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6.xml" ContentType="application/vnd.openxmlformats-officedocument.drawing+xml"/>
  <Override PartName="/xl/ctrlProps/ctrlProp93.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Z:\~Engineering Standards Library\STRUCTURAL\Analysis_Mount\~MAT_v3\v3.3.X\"/>
    </mc:Choice>
  </mc:AlternateContent>
  <xr:revisionPtr revIDLastSave="0" documentId="13_ncr:1_{972D32F4-88EF-45E3-A7FD-18B79363279A}" xr6:coauthVersionLast="47" xr6:coauthVersionMax="47" xr10:uidLastSave="{00000000-0000-0000-0000-000000000000}"/>
  <bookViews>
    <workbookView xWindow="-120" yWindow="-120" windowWidth="29040" windowHeight="17520" tabRatio="781" firstSheet="1" activeTab="2" xr2:uid="{320DF265-9EA5-4D13-9CA6-36513A437E03}"/>
  </bookViews>
  <sheets>
    <sheet name="Meta" sheetId="373" state="hidden" r:id="rId1"/>
    <sheet name="Revisions" sheetId="392" r:id="rId2"/>
    <sheet name="Code" sheetId="1" r:id="rId3"/>
    <sheet name="Geometry" sheetId="8" r:id="rId4"/>
    <sheet name="Distributed Load Tables" sheetId="74" state="hidden" r:id="rId5"/>
    <sheet name="Discrete Loads" sheetId="520" r:id="rId6"/>
    <sheet name="Point Load Tables" sheetId="73" state="hidden" r:id="rId7"/>
    <sheet name="Maintenance Loads" sheetId="78" r:id="rId8"/>
    <sheet name="Area Load Tables" sheetId="75" state="hidden" r:id="rId9"/>
    <sheet name="RISA-3D" sheetId="6" r:id="rId10"/>
    <sheet name="Results" sheetId="111" r:id="rId11"/>
    <sheet name="Filter" sheetId="254" state="hidden" r:id="rId12"/>
    <sheet name="TIA-222-H" sheetId="2" state="hidden" r:id="rId13"/>
    <sheet name="TIA-222-I" sheetId="107" state="hidden" r:id="rId14"/>
    <sheet name="Project_Data" sheetId="444" state="hidden" r:id="rId15"/>
    <sheet name="TIA-222, Fig. 2-2" sheetId="479" r:id="rId16"/>
    <sheet name="Extract_FeedlineData" sheetId="522" state="hidden" r:id="rId17"/>
    <sheet name="Extract_DiscreteLoadData" sheetId="523" state="hidden" r:id="rId18"/>
    <sheet name="Extract_DishData" sheetId="524" state="hidden" r:id="rId19"/>
    <sheet name="FeedlineData" sheetId="525" state="hidden" r:id="rId20"/>
    <sheet name="DiscreteLoadData" sheetId="526" state="hidden" r:id="rId21"/>
    <sheet name="DishData" sheetId="527" state="hidden" r:id="rId22"/>
    <sheet name="DiscreteLoadParse" sheetId="528" state="hidden" r:id="rId23"/>
    <sheet name="DishParse" sheetId="529" state="hidden" r:id="rId24"/>
    <sheet name="Risa File" sheetId="533" r:id="rId25"/>
  </sheets>
  <functionGroups builtInGroupCount="19"/>
  <externalReferences>
    <externalReference r:id="rId26"/>
    <externalReference r:id="rId27"/>
    <externalReference r:id="rId28"/>
  </externalReferences>
  <definedNames>
    <definedName name="_xleta.COLUMN" hidden="1" xlm="1">#NAME?</definedName>
    <definedName name="_xleta.COS" hidden="1" xlm="1">#NAME?</definedName>
    <definedName name="_xleta.TYPE" hidden="1" xlm="1">#NAME?</definedName>
    <definedName name="_xlpm.AdjType" hidden="1" xlm="1">#NAME?</definedName>
    <definedName name="_xlpm.Ag" hidden="1" xlm="1">#NAME?</definedName>
    <definedName name="_xlpm.angle" hidden="1" xlm="1">#NAME?</definedName>
    <definedName name="_xlpm.Azimuth" hidden="1" xlm="1">#NAME?</definedName>
    <definedName name="_xlpm.BAR" hidden="1" xlm="1">#NAME?</definedName>
    <definedName name="_xlpm.CaAa" hidden="1" xlm="1">#NAME?</definedName>
    <definedName name="_xlpm.CaAa_Front" hidden="1" xlm="1">#NAME?</definedName>
    <definedName name="_xlpm.CaAa_Side" hidden="1" xlm="1">#NAME?</definedName>
    <definedName name="_xlpm.cciCode" hidden="1" xlm="1">#NAME?</definedName>
    <definedName name="_xlpm.CFD_col" hidden="1" xlm="1">#NAME?</definedName>
    <definedName name="_xlpm.CFD_val" hidden="1" xlm="1">#NAME?</definedName>
    <definedName name="_xlpm.Channel" hidden="1" xlm="1">#NAME?</definedName>
    <definedName name="_xlpm.Cond" hidden="1" xlm="1">#NAME?</definedName>
    <definedName name="_xlpm.condition" hidden="1" xlm="1">#NAME?</definedName>
    <definedName name="_xlpm.count" hidden="1" xlm="1">#NAME?</definedName>
    <definedName name="_xlpm.d" hidden="1" xlm="1">#NAME?</definedName>
    <definedName name="_xlpm.dbase_CFD" hidden="1" xlm="1">#NAME?</definedName>
    <definedName name="_xlpm.dbase_front_CCI" hidden="1" xlm="1">#NAME?</definedName>
    <definedName name="_xlpm.dbase_man_CCI" hidden="1" xlm="1">#NAME?</definedName>
    <definedName name="_xlpm.dbase_mod_CCI" hidden="1" xlm="1">#NAME?</definedName>
    <definedName name="_xlpm.dbase_model" hidden="1" xlm="1">#NAME?</definedName>
    <definedName name="_xlpm.depth" hidden="1" xlm="1">#NAME?</definedName>
    <definedName name="_xlpm.Direction" hidden="1" xlm="1">#NAME?</definedName>
    <definedName name="_xlpm.DoubleAngle" hidden="1" xlm="1">#NAME?</definedName>
    <definedName name="_xlpm.dx" hidden="1" xlm="1">#NAME?</definedName>
    <definedName name="_xlpm.dz" hidden="1" xlm="1">#NAME?</definedName>
    <definedName name="_xlpm.elevation" hidden="1" xlm="1">#NAME?</definedName>
    <definedName name="_xlpm.face" hidden="1" xlm="1">#NAME?</definedName>
    <definedName name="_xlpm.h" hidden="1" xlm="1">#NAME?</definedName>
    <definedName name="_xlpm.height" hidden="1" xlm="1">#NAME?</definedName>
    <definedName name="_xlpm.HorizCol" hidden="1" xlm="1">#NAME?</definedName>
    <definedName name="_xlpm.horizontalOffset" hidden="1" xlm="1">#NAME?</definedName>
    <definedName name="_xlpm.HSS" hidden="1" xlm="1">#NAME?</definedName>
    <definedName name="_xlpm.HSSPipe" hidden="1" xlm="1">#NAME?</definedName>
    <definedName name="_xlpm.iCaAa_Front" hidden="1" xlm="1">#NAME?</definedName>
    <definedName name="_xlpm.iCaAa_Side" hidden="1" xlm="1">#NAME?</definedName>
    <definedName name="_xlpm.Ka" hidden="1" xlm="1">#NAME?</definedName>
    <definedName name="_xlpm.Kd" hidden="1" xlm="1">#NAME?</definedName>
    <definedName name="_xlpm.Kes" hidden="1" xlm="1">#NAME?</definedName>
    <definedName name="_xlpm.l" hidden="1" xlm="1">#NAME?</definedName>
    <definedName name="_xlpm.length" hidden="1" xlm="1">#NAME?</definedName>
    <definedName name="_xlpm.LocBtm" hidden="1" xlm="1">#NAME?</definedName>
    <definedName name="_xlpm.LocTop" hidden="1" xlm="1">#NAME?</definedName>
    <definedName name="_xlpm.manufacturer" hidden="1" xlm="1">#NAME?</definedName>
    <definedName name="_xlpm.member" hidden="1" xlm="1">#NAME?</definedName>
    <definedName name="_xlpm.Mi" hidden="1" xlm="1">#NAME?</definedName>
    <definedName name="_xlpm.Mj" hidden="1" xlm="1">#NAME?</definedName>
    <definedName name="_xlpm.model" hidden="1" xlm="1">#NAME?</definedName>
    <definedName name="_xlpm.modelRange" hidden="1" xlm="1">#NAME?</definedName>
    <definedName name="_xlpm.mountHeight" hidden="1" xlm="1">#NAME?</definedName>
    <definedName name="_xlpm.Mxi" hidden="1" xlm="1">#NAME?</definedName>
    <definedName name="_xlpm.Mxj" hidden="1" xlm="1">#NAME?</definedName>
    <definedName name="_xlpm.Mzi" hidden="1" xlm="1">#NAME?</definedName>
    <definedName name="_xlpm.Mzj" hidden="1" xlm="1">#NAME?</definedName>
    <definedName name="_xlpm.Names" hidden="1" xlm="1">#NAME?</definedName>
    <definedName name="_xlpm.nCols" hidden="1" xlm="1">#NAME?</definedName>
    <definedName name="_xlpm.nRows" hidden="1" xlm="1">#NAME?</definedName>
    <definedName name="_xlpm.offset" hidden="1" xlm="1">#NAME?</definedName>
    <definedName name="_xlpm.offset_cnt" hidden="1" xlm="1">#NAME?</definedName>
    <definedName name="_xlpm.offsetType" hidden="1" xlm="1">#NAME?</definedName>
    <definedName name="_xlpm.Pi" hidden="1" xlm="1">#NAME?</definedName>
    <definedName name="_xlpm.Pipe" hidden="1" xlm="1">#NAME?</definedName>
    <definedName name="_xlpm.Pj" hidden="1" xlm="1">#NAME?</definedName>
    <definedName name="_xlpm.PosBtm" hidden="1" xlm="1">#NAME?</definedName>
    <definedName name="_xlpm.PosTop" hidden="1" xlm="1">#NAME?</definedName>
    <definedName name="_xlpm.Pxi" hidden="1" xlm="1">#NAME?</definedName>
    <definedName name="_xlpm.Pxj" hidden="1" xlm="1">#NAME?</definedName>
    <definedName name="_xlpm.Pzi" hidden="1" xlm="1">#NAME?</definedName>
    <definedName name="_xlpm.Pzj" hidden="1" xlm="1">#NAME?</definedName>
    <definedName name="_xlpm.Qty" hidden="1" xlm="1">#NAME?</definedName>
    <definedName name="_xlpm.qtyA" hidden="1" xlm="1">#NAME?</definedName>
    <definedName name="_xlpm.qtyB" hidden="1" xlm="1">#NAME?</definedName>
    <definedName name="_xlpm.qtyC" hidden="1" xlm="1">#NAME?</definedName>
    <definedName name="_xlpm.qtyD" hidden="1" xlm="1">#NAME?</definedName>
    <definedName name="_xlpm.qtyRange" hidden="1" xlm="1">#NAME?</definedName>
    <definedName name="_xlpm.quantities" hidden="1" xlm="1">#NAME?</definedName>
    <definedName name="_xlpm.qz" hidden="1" xlm="1">#NAME?</definedName>
    <definedName name="_xlpm.r" hidden="1" xlm="1">#NAME?</definedName>
    <definedName name="_xlpm.RECT" hidden="1" xlm="1">#NAME?</definedName>
    <definedName name="_xlpm.rowIdx" hidden="1" xlm="1">#NAME?</definedName>
    <definedName name="_xlpm.sectorList" hidden="1" xlm="1">#NAME?</definedName>
    <definedName name="_xlpm.sectors" hidden="1" xlm="1">#NAME?</definedName>
    <definedName name="_xlpm.selfWeight" hidden="1" xlm="1">#NAME?</definedName>
    <definedName name="_xlpm.Shape" hidden="1" xlm="1">#NAME?</definedName>
    <definedName name="_xlpm.ShapeCol" hidden="1" xlm="1">#NAME?</definedName>
    <definedName name="_xlpm.Shield" hidden="1" xlm="1">#NAME?</definedName>
    <definedName name="_xlpm.Shield_Front" hidden="1" xlm="1">#NAME?</definedName>
    <definedName name="_xlpm.Shield_S" hidden="1" xlm="1">#NAME?</definedName>
    <definedName name="_xlpm.Shield_Si" hidden="1" xlm="1">#NAME?</definedName>
    <definedName name="_xlpm.Shield_Sid" hidden="1" xlm="1">#NAME?</definedName>
    <definedName name="_xlpm.Shield_Side" hidden="1" xlm="1">#NAME?</definedName>
    <definedName name="_xlpm.SingleAngle" hidden="1" xlm="1">#NAME?</definedName>
    <definedName name="_xlpm.startHeight" hidden="1" xlm="1">#NAME?</definedName>
    <definedName name="_xlpm.status" hidden="1" xlm="1">#NAME?</definedName>
    <definedName name="_xlpm.theta" hidden="1" xlm="1">#NAME?</definedName>
    <definedName name="_xlpm.ti" hidden="1" xlm="1">#NAME?</definedName>
    <definedName name="_xlpm.Total" hidden="1" xlm="1">#NAME?</definedName>
    <definedName name="_xlpm.type" hidden="1" xlm="1">#NAME?</definedName>
    <definedName name="_xlpm.TypeCol" hidden="1" xlm="1">#NAME?</definedName>
    <definedName name="_xlpm.USNameRep" hidden="1" xlm="1">#NAME?</definedName>
    <definedName name="_xlpm.UW" hidden="1" xlm="1">#NAME?</definedName>
    <definedName name="_xlpm.ux" hidden="1" xlm="1">#NAME?</definedName>
    <definedName name="_xlpm.uz" hidden="1" xlm="1">#NAME?</definedName>
    <definedName name="_xlpm.Valid" hidden="1" xlm="1">#NAME?</definedName>
    <definedName name="_xlpm.verticalOffset" hidden="1" xlm="1">#NAME?</definedName>
    <definedName name="_xlpm.VertOff" hidden="1" xlm="1">#NAME?</definedName>
    <definedName name="_xlpm.W" hidden="1" xlm="1">#NAME?</definedName>
    <definedName name="_xlpm.weight" hidden="1" xlm="1">#NAME?</definedName>
    <definedName name="_xlpm.Wi" hidden="1" xlm="1">#NAME?</definedName>
    <definedName name="_xlpm.WideFlange" hidden="1" xlm="1">#NAME?</definedName>
    <definedName name="_xlpm.width" hidden="1" xlm="1">#NAME?</definedName>
    <definedName name="_xlpm.Wt" hidden="1" xlm="1">#NAME?</definedName>
    <definedName name="A_Azimuth">Filter!$J$2</definedName>
    <definedName name="alpha">VLOOKUP(Exposure,T2.4,4,0)</definedName>
    <definedName name="alpha_c">IF(Exposure="BC", 9.8, "N/A")</definedName>
    <definedName name="AlphaMountAzimuth">'Discrete Loads'!$M$2</definedName>
    <definedName name="AppurtenanceListNoBlanks">OFFSET(OFFSET(AppurtenanceList,0,0,1,1),0,0,COUNTA(AppurtenanceList),1)</definedName>
    <definedName name="AR_Quad1">'TIA-222-H'!$AO$4:$AP$4</definedName>
    <definedName name="AR_Quad2">'TIA-222-H'!$AP$4:$AQ$4</definedName>
    <definedName name="AR_Quad3">'TIA-222-H'!$AQ$4:$AR$4</definedName>
    <definedName name="As">Code!$M$36</definedName>
    <definedName name="ASCE">Code!$C$17</definedName>
    <definedName name="Axes">Code!$R$21</definedName>
    <definedName name="BetaMountAzimuth">'Discrete Loads'!$U$2</definedName>
    <definedName name="Buffer_LeftElev">Code!$AY$27</definedName>
    <definedName name="Buffer_LeftPlan">Code!$BC$27</definedName>
    <definedName name="Buffer_TopElev">Code!$AW$27</definedName>
    <definedName name="Buffer_TopPlan">Code!$BA$27</definedName>
    <definedName name="Ca_Quad1">'TIA-222-H'!$AO$5:$AP$5</definedName>
    <definedName name="Ca_Quad2">'TIA-222-H'!$AP$5:$AQ$5</definedName>
    <definedName name="Ca_Quad3">'TIA-222-H'!$AQ$5:$AR$5</definedName>
    <definedName name="Carrier">Code!$C$4</definedName>
    <definedName name="Carrier_Colors">Code!$AW$16</definedName>
    <definedName name="Carrier_Project">Code!$C$7</definedName>
    <definedName name="Carrier_SiteName">Code!$C$5</definedName>
    <definedName name="Carrier_SiteNumber">Code!$C$6</definedName>
    <definedName name="CenterPoint">Code!$H$21</definedName>
    <definedName name="Chart_Height">Code!#REF!</definedName>
    <definedName name="Chart_Width">Code!#REF!</definedName>
    <definedName name="Client">Code!$C$3</definedName>
    <definedName name="ConvertLength">IF(Code!$R$16="in",1,12)</definedName>
    <definedName name="Cs">Code!$M$34</definedName>
    <definedName name="Cs_Amp">Code!$M$35</definedName>
    <definedName name="cv_F">'Discrete Loads'!$BC$1</definedName>
    <definedName name="cv_L">'Discrete Loads'!$BE$1</definedName>
    <definedName name="cv_M">'Discrete Loads'!$BD$1</definedName>
    <definedName name="DeltaMountAzimuth">'Discrete Loads'!$AK$2</definedName>
    <definedName name="dimScale_Appurtenance">Code!$BC$29</definedName>
    <definedName name="dimScale_Member">Code!$AY$29</definedName>
    <definedName name="Display_Sector">Code!$BA$16</definedName>
    <definedName name="Eh">Code!$H$47</definedName>
    <definedName name="ElevationViewCell_Alpha">Code!$AM$18</definedName>
    <definedName name="Ev">Code!$H$46</definedName>
    <definedName name="EV_Height">Code!$AW$23</definedName>
    <definedName name="EV_LeftBuff">Code!$AY$25</definedName>
    <definedName name="EV_TopBuff">Code!$AW$25</definedName>
    <definedName name="EV_Width">Code!$AY$23</definedName>
    <definedName name="Exposure">Code!$C$24</definedName>
    <definedName name="Fa">'TIA-222-H'!$R$66</definedName>
    <definedName name="FalseCheck">Geometry!$AJ$2</definedName>
    <definedName name="Filepath_APPURT">Meta!$E$11</definedName>
    <definedName name="Filepath_DISH">Meta!$E$12</definedName>
    <definedName name="Filepath_FEEDLINE">Meta!$E$13</definedName>
    <definedName name="Filepath_SHAPES">Meta!$E$14</definedName>
    <definedName name="Fv">'TIA-222-H'!$R$82</definedName>
    <definedName name="GammaMountAzimuth">'Discrete Loads'!$AC$2</definedName>
    <definedName name="Gh">Code!$M$19</definedName>
    <definedName name="Grating">Code!$C$43</definedName>
    <definedName name="H_1">Code!$H$33</definedName>
    <definedName name="H_2">Code!$H$34</definedName>
    <definedName name="Hs">Code!$H$32</definedName>
    <definedName name="Hurricane_Prone">Code!$C$28</definedName>
    <definedName name="I.earthquake">IF(Risk="I","N/A",VLOOKUP(Risk,T2.3,3,0))</definedName>
    <definedName name="I.ice">IF(Risk="I","N/A",VLOOKUP(Risk,T2.3,2,0))</definedName>
    <definedName name="I.wind">IF(ASCE&lt;&gt;"ASCE 7-05",1,VLOOKUP(Risk,T2.3,4,0))</definedName>
    <definedName name="IBC">Code!$C$16</definedName>
    <definedName name="iGrating">Code!$C$44</definedName>
    <definedName name="Ka">Code!$M$20</definedName>
    <definedName name="Kc">VLOOKUP(Exposure,T2.4,6,0)</definedName>
    <definedName name="Kd">Code!$M$17</definedName>
    <definedName name="Ke">Code!$M$18</definedName>
    <definedName name="Kes.i">Code!$C$47</definedName>
    <definedName name="Kes.w">Code!$C$46</definedName>
    <definedName name="Kiz">Code!$M$26</definedName>
    <definedName name="Ks">Code!$M$16</definedName>
    <definedName name="Kz">Code!$M$22</definedName>
    <definedName name="Kz_Exposure_D">IF(IF(AND(RIGHT(TIA,1)="I",Exposure="D",Hurricane_Prone="Yes"),2.01*(z/700)^(2/11.5),2)&gt;2.01,2.01,IF(IF(AND(RIGHT(TIA,1)="I",Exposure="D",Hurricane_Prone="Yes"),2.01*(z/700)^(2/11.5),2)&lt;Kzmin,Kzmin,IF(AND(RIGHT(TIA,1)="I",Exposure="D",Hurricane_Prone="Yes"),2.01*(z/700)^(2/11.5),2)))</definedName>
    <definedName name="Kz_Factor">IF(RIGHT(TIA,1)="I",2.41,2.01)</definedName>
    <definedName name="Kzmin">VLOOKUP(Exposure,T2.4,5,0)</definedName>
    <definedName name="Kzmin_c">IF(Exposure="BC",0.85,"N/A")</definedName>
    <definedName name="Kzt">Code!$C$27</definedName>
    <definedName name="LegalEntity">Meta!$E$7</definedName>
    <definedName name="Lm">Code!$C$41</definedName>
    <definedName name="Lv">Code!$C$42</definedName>
    <definedName name="MCL_Check">Code!$AW$17</definedName>
    <definedName name="Method">Code!$D$19</definedName>
    <definedName name="MissingShapeDataCheck">IF(OR(Geometry!$AI$2=TRUE,Geometry!$AJ$2=TRUE),TRUE,FALSE)</definedName>
    <definedName name="ModelPath">Code!$R$24</definedName>
    <definedName name="MountType">Code!$H$17</definedName>
    <definedName name="nArea">'RISA-3D'!$L$22</definedName>
    <definedName name="nDistributed">'RISA-3D'!$L$20</definedName>
    <definedName name="nGrate">'Maintenance Loads'!$R$4</definedName>
    <definedName name="nLC">'RISA-3D'!$O$1</definedName>
    <definedName name="nLm">'Maintenance Loads'!$E$4</definedName>
    <definedName name="nLv">'Maintenance Loads'!$J$4</definedName>
    <definedName name="nPoint">'RISA-3D'!$L$18</definedName>
    <definedName name="Offices">Meta!$E$1:$E$5</definedName>
    <definedName name="Parapet_Height">Code!$H$29</definedName>
    <definedName name="PlanViewCell">Code!$AR$18</definedName>
    <definedName name="_xlnm.Print_Area" localSheetId="2">Code!$A$1:$I$71,Code!$K$1:$S$71,Code!$U$1:$AK$71,Code!$AM$1:$AU$71</definedName>
    <definedName name="ProjectFilePath">Meta!$E$8</definedName>
    <definedName name="ProjectNumber">Code!$C$2</definedName>
    <definedName name="PV_Height">Code!$BA$23</definedName>
    <definedName name="PV_LeftBuff">Code!$BC$25</definedName>
    <definedName name="PV_TopBuff">Code!$BA$25</definedName>
    <definedName name="PV_Width">Code!$BC$23</definedName>
    <definedName name="qiz">Code!$H$43</definedName>
    <definedName name="qizKa">Code!$M$28</definedName>
    <definedName name="qmz">Code!$H$41</definedName>
    <definedName name="QtySectors">Code!$H$19</definedName>
    <definedName name="QtySectorsTotal">Code!$H$18</definedName>
    <definedName name="qz">Code!$H$40</definedName>
    <definedName name="R.mount">2</definedName>
    <definedName name="ResultsOption">Code!$K$38</definedName>
    <definedName name="rho">1</definedName>
    <definedName name="RISA3D.AISC">Code!$R$22</definedName>
    <definedName name="RISA3D.Axis">Code!$R$21</definedName>
    <definedName name="RISA3D.Unit.AreaLoad">Code!$R$20</definedName>
    <definedName name="RISA3D.Unit.Force">Code!$R$17</definedName>
    <definedName name="RISA3D.Unit.Length">Code!$R$16</definedName>
    <definedName name="RISA3D.Unit.LinearForce">Code!$R$18</definedName>
    <definedName name="RISA3D.Unit.Moment">Code!$R$19</definedName>
    <definedName name="RISA3D.Version">Code!$R$23</definedName>
    <definedName name="Risk">Code!$C$21</definedName>
    <definedName name="rngR3DSectionSets">Geometry!$X$6:$AF$31</definedName>
    <definedName name="Roof_Speed_Up">Code!$H$27</definedName>
    <definedName name="S_1">Code!$C$34</definedName>
    <definedName name="S_D1">Code!$C$39</definedName>
    <definedName name="S_DS">Code!$C$38</definedName>
    <definedName name="S_M1">Code!$C$37</definedName>
    <definedName name="S_MS">Code!$C$36</definedName>
    <definedName name="S_S">Code!$C$33</definedName>
    <definedName name="Scale_Elevation">Code!$AY$20</definedName>
    <definedName name="Scale_Plan">Code!$BC$20</definedName>
    <definedName name="sector1">Meta!$O$13</definedName>
    <definedName name="sector2">Meta!$O$12</definedName>
    <definedName name="sector3">Meta!$O$11</definedName>
    <definedName name="sector4">Meta!$O$10</definedName>
    <definedName name="Shape_Dish">Code!$BA$17</definedName>
    <definedName name="SiteClass">Code!$C$35</definedName>
    <definedName name="SiteSoilClass">'TIA-222-H'!$AL$3:$AL$10</definedName>
    <definedName name="Standard">Code!$C$19</definedName>
    <definedName name="Supporting_Structure">Code!$H$25</definedName>
    <definedName name="T2.11">'TIA-222-H'!$J$67:$R$72</definedName>
    <definedName name="T2.11_A">'TIA-222-H'!$M$67:$P$67</definedName>
    <definedName name="T2.11_B">'TIA-222-H'!$M$68:$P$68</definedName>
    <definedName name="T2.11_C">'TIA-222-H'!$K$69:$Q$69</definedName>
    <definedName name="T2.11_D">'TIA-222-H'!$K$70:$Q$70</definedName>
    <definedName name="T2.11_E">'TIA-222-H'!$K$71:$Q$71</definedName>
    <definedName name="T2.11_F">'TIA-222-H'!$K$72:$Q$72</definedName>
    <definedName name="T2.11_Fa">'TIA-222-H'!$K$67:$Q$72</definedName>
    <definedName name="T2.11_SiteClass">'TIA-222-H'!$J$67:$J$72</definedName>
    <definedName name="T2.11_Ss">'TIA-222-H'!$K$66:$Q$66</definedName>
    <definedName name="T2.11_x">'TIA-222-H'!$T$70:$U$70</definedName>
    <definedName name="T2.11_xLB">OFFSET(INDEX(T2.11_Ss,1,MATCH(S_S,T2.11_Ss,1)),0,1)</definedName>
    <definedName name="T2.11_xUB">INDEX(T2.11_Ss,1,MATCH(S_S,T2.11_Ss,1))</definedName>
    <definedName name="T2.11_y">'TIA-222-H'!$T$71:$U$71</definedName>
    <definedName name="T2.11_yLB">INDEX(T2.11_Fa,MATCH(LEFT(SiteClass,1),T2.11_SiteClass,0),MATCH('TIA-222-H'!A1048576,T2.11_Ss,1))</definedName>
    <definedName name="T2.11_yUB">INDEX(T2.11_Fa,MATCH(LEFT(SiteClass,1),T2.11_SiteClass,0),MATCH(S_S,T2.11_Ss,1))</definedName>
    <definedName name="T2.12">'TIA-222-H'!$J$83:$R$88</definedName>
    <definedName name="T2.12_A">'TIA-222-H'!$K$83:$Q$83</definedName>
    <definedName name="T2.12_B">'TIA-222-H'!$K$84:$Q$84</definedName>
    <definedName name="T2.12_C">'TIA-222-H'!$K$85:$Q$85</definedName>
    <definedName name="T2.12_D">'TIA-222-H'!$K$86:$Q$86</definedName>
    <definedName name="T2.12_E">'TIA-222-H'!$K$87:$Q$87</definedName>
    <definedName name="T2.12_F">'TIA-222-H'!$K$88:$Q$88</definedName>
    <definedName name="T2.12_Fv">'TIA-222-H'!$K$83:$Q$88</definedName>
    <definedName name="T2.12_S1">'TIA-222-H'!$K$82:$Q$82</definedName>
    <definedName name="T2.12_SiteClass">'TIA-222-H'!$J$83:$J$88</definedName>
    <definedName name="T2.12_x">'TIA-222-H'!$T$86:$U$86</definedName>
    <definedName name="T2.12_xLB">OFFSET(INDEX(T2.12_S1,1,MATCH(S_1,T2.12_S1,1)),0,1)</definedName>
    <definedName name="T2.12_xUB">INDEX(T2.12_S1,1,MATCH(S_1,T2.12_S1,1))</definedName>
    <definedName name="T2.12_y">'TIA-222-H'!$T$87:$U$87</definedName>
    <definedName name="T2.12_yLB">INDEX(T2.12_Fv,MATCH(LEFT(SiteClass,1),T2.12_SiteClass,0),MATCH(T2.12_xLB,T2.12_S1,1))</definedName>
    <definedName name="T2.12_yUB">INDEX(T2.12_Fv,MATCH(LEFT(SiteClass,1),T2.12_SiteClass,0),MATCH(S_1,T2.12_S1,1))</definedName>
    <definedName name="T2.3">'TIA-222-H'!$J$18:$M$21</definedName>
    <definedName name="T2.4">IF(RIGHT(TIA,1)="I",'TIA-222-I'!$J$28:$O$31,'TIA-222-H'!$J$28:$O$30)</definedName>
    <definedName name="T2.5">'TIA-222-H'!$J$35:$M$37</definedName>
    <definedName name="T2.6">'TIA-222-H'!$J$42:$P$50</definedName>
    <definedName name="ti">Code!$C$31</definedName>
    <definedName name="TIA">Code!$C$18</definedName>
    <definedName name="tiz">Code!$H$44</definedName>
    <definedName name="tizKes">Code!$M$29</definedName>
    <definedName name="Topo_Method">Code!$C$26</definedName>
    <definedName name="TowerHeight">Code!$H$23</definedName>
    <definedName name="TowerType">Code!$H$24</definedName>
    <definedName name="UserInputCheck">Geometry!$AI$2</definedName>
    <definedName name="V">Code!$C$22</definedName>
    <definedName name="ValidationTowerList">Code!$H$24</definedName>
    <definedName name="Vi">Code!$C$30</definedName>
    <definedName name="Vm">Code!$C$23</definedName>
    <definedName name="Ws">Code!$H$31</definedName>
    <definedName name="Xb">Code!$H$30</definedName>
    <definedName name="z">Code!$H$16</definedName>
    <definedName name="zg.SI">VLOOKUP(Exposure,T2.4,3,0)</definedName>
    <definedName name="zg.US">VLOOKUP(Exposure,T2.4,2,0)</definedName>
    <definedName name="zg.US_c">IF(Exposure="BC",2460,"N/A")</definedName>
    <definedName name="zr">Code!$H$28</definedName>
    <definedName name="zs">Code!$C$25</definedName>
    <definedName name="α">VLOOKUP([0]!Exposure,[0]!T2.4,4,0)</definedName>
    <definedName name="α_c">IF([0]!Exposure="BC", 9.8, "N/A")</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E101" i="6" l="1"/>
  <c r="BU101" i="6"/>
  <c r="BS101" i="6"/>
  <c r="AO101" i="6"/>
  <c r="AM101" i="6"/>
  <c r="EE100" i="6"/>
  <c r="BU100" i="6"/>
  <c r="BS100" i="6"/>
  <c r="AO100" i="6"/>
  <c r="AM100" i="6"/>
  <c r="EE99" i="6"/>
  <c r="BU99" i="6"/>
  <c r="BS99" i="6"/>
  <c r="AO99" i="6"/>
  <c r="AM99" i="6"/>
  <c r="EE98" i="6"/>
  <c r="BU98" i="6"/>
  <c r="BS98" i="6"/>
  <c r="AO98" i="6"/>
  <c r="AM98" i="6"/>
  <c r="EE97" i="6"/>
  <c r="BU97" i="6"/>
  <c r="BS97" i="6"/>
  <c r="AO97" i="6"/>
  <c r="AM97" i="6"/>
  <c r="EE96" i="6"/>
  <c r="BU96" i="6"/>
  <c r="BS96" i="6"/>
  <c r="AO96" i="6"/>
  <c r="AM96" i="6"/>
  <c r="EE95" i="6"/>
  <c r="BU95" i="6"/>
  <c r="BS95" i="6"/>
  <c r="AO95" i="6"/>
  <c r="AM95" i="6"/>
  <c r="EE94" i="6"/>
  <c r="BU94" i="6"/>
  <c r="BS94" i="6"/>
  <c r="AO94" i="6"/>
  <c r="AM94" i="6"/>
  <c r="EE93" i="6"/>
  <c r="BU93" i="6"/>
  <c r="BS93" i="6"/>
  <c r="AO93" i="6"/>
  <c r="AM93" i="6"/>
  <c r="EE92" i="6"/>
  <c r="BU92" i="6"/>
  <c r="BS92" i="6"/>
  <c r="AO92" i="6"/>
  <c r="AM92" i="6"/>
  <c r="EE91" i="6"/>
  <c r="BU91" i="6"/>
  <c r="BS91" i="6"/>
  <c r="AO91" i="6"/>
  <c r="AM91" i="6"/>
  <c r="EE90" i="6"/>
  <c r="BU90" i="6"/>
  <c r="BS90" i="6"/>
  <c r="AO90" i="6"/>
  <c r="AM90" i="6"/>
  <c r="EE89" i="6"/>
  <c r="BU89" i="6"/>
  <c r="BS89" i="6"/>
  <c r="AO89" i="6"/>
  <c r="AM89" i="6"/>
  <c r="EE88" i="6"/>
  <c r="BU88" i="6"/>
  <c r="BS88" i="6"/>
  <c r="AO88" i="6"/>
  <c r="AM88" i="6"/>
  <c r="EE87" i="6"/>
  <c r="BU87" i="6"/>
  <c r="BS87" i="6"/>
  <c r="AO87" i="6"/>
  <c r="AM87" i="6"/>
  <c r="EE86" i="6"/>
  <c r="BU86" i="6"/>
  <c r="BS86" i="6"/>
  <c r="AO86" i="6"/>
  <c r="AM86" i="6"/>
  <c r="EE85" i="6"/>
  <c r="BU85" i="6"/>
  <c r="BS85" i="6"/>
  <c r="AO85" i="6"/>
  <c r="AM85" i="6"/>
  <c r="EE84" i="6"/>
  <c r="BU84" i="6"/>
  <c r="BS84" i="6"/>
  <c r="AO84" i="6"/>
  <c r="AM84" i="6"/>
  <c r="EE83" i="6"/>
  <c r="BU83" i="6"/>
  <c r="BS83" i="6"/>
  <c r="AO83" i="6"/>
  <c r="AM83" i="6"/>
  <c r="EE82" i="6"/>
  <c r="BU82" i="6"/>
  <c r="BS82" i="6"/>
  <c r="AO82" i="6"/>
  <c r="AM82" i="6"/>
  <c r="EE81" i="6"/>
  <c r="BU81" i="6"/>
  <c r="BS81" i="6"/>
  <c r="AO81" i="6"/>
  <c r="AM81" i="6"/>
  <c r="EE80" i="6"/>
  <c r="BU80" i="6"/>
  <c r="BS80" i="6"/>
  <c r="AO80" i="6"/>
  <c r="AM80" i="6"/>
  <c r="EE79" i="6"/>
  <c r="BU79" i="6"/>
  <c r="BS79" i="6"/>
  <c r="AO79" i="6"/>
  <c r="AM79" i="6"/>
  <c r="EE78" i="6"/>
  <c r="BU78" i="6"/>
  <c r="BS78" i="6"/>
  <c r="AO78" i="6"/>
  <c r="AM78" i="6"/>
  <c r="EE77" i="6"/>
  <c r="BU77" i="6"/>
  <c r="BS77" i="6"/>
  <c r="AO77" i="6"/>
  <c r="AM77" i="6"/>
  <c r="EE76" i="6"/>
  <c r="BU76" i="6"/>
  <c r="BS76" i="6"/>
  <c r="AO76" i="6"/>
  <c r="AM76" i="6"/>
  <c r="EE75" i="6"/>
  <c r="BU75" i="6"/>
  <c r="BS75" i="6"/>
  <c r="AO75" i="6"/>
  <c r="AM75" i="6"/>
  <c r="EE74" i="6"/>
  <c r="BU74" i="6"/>
  <c r="BS74" i="6"/>
  <c r="AO74" i="6"/>
  <c r="AM74" i="6"/>
  <c r="EE73" i="6"/>
  <c r="BU73" i="6"/>
  <c r="BS73" i="6"/>
  <c r="AO73" i="6"/>
  <c r="AM73" i="6"/>
  <c r="EE72" i="6"/>
  <c r="BU72" i="6"/>
  <c r="BS72" i="6"/>
  <c r="AO72" i="6"/>
  <c r="AM72" i="6"/>
  <c r="EE71" i="6"/>
  <c r="BU71" i="6"/>
  <c r="BS71" i="6"/>
  <c r="AO71" i="6"/>
  <c r="AM71" i="6"/>
  <c r="EE70" i="6"/>
  <c r="BU70" i="6"/>
  <c r="BS70" i="6"/>
  <c r="AO70" i="6"/>
  <c r="AM70" i="6"/>
  <c r="EE69" i="6"/>
  <c r="BU69" i="6"/>
  <c r="BS69" i="6"/>
  <c r="BC69" i="6"/>
  <c r="BA69" i="6"/>
  <c r="AO69" i="6"/>
  <c r="AM69" i="6"/>
  <c r="EE68" i="6"/>
  <c r="BU68" i="6"/>
  <c r="BS68" i="6"/>
  <c r="BC68" i="6"/>
  <c r="BA68" i="6"/>
  <c r="AO68" i="6"/>
  <c r="AM68" i="6"/>
  <c r="EE67" i="6"/>
  <c r="BU67" i="6"/>
  <c r="BS67" i="6"/>
  <c r="BC67" i="6"/>
  <c r="BA67" i="6"/>
  <c r="AO67" i="6"/>
  <c r="AM67" i="6"/>
  <c r="EE66" i="6"/>
  <c r="BU66" i="6"/>
  <c r="BS66" i="6"/>
  <c r="BC66" i="6"/>
  <c r="BA66" i="6"/>
  <c r="AO66" i="6"/>
  <c r="AM66" i="6"/>
  <c r="EE65" i="6"/>
  <c r="BU65" i="6"/>
  <c r="BS65" i="6"/>
  <c r="BC65" i="6"/>
  <c r="BA65" i="6"/>
  <c r="AO65" i="6"/>
  <c r="AM65" i="6"/>
  <c r="EE64" i="6"/>
  <c r="BU64" i="6"/>
  <c r="BS64" i="6"/>
  <c r="BC64" i="6"/>
  <c r="BA64" i="6"/>
  <c r="AO64" i="6"/>
  <c r="AM64" i="6"/>
  <c r="EE63" i="6"/>
  <c r="BU63" i="6"/>
  <c r="BS63" i="6"/>
  <c r="BC63" i="6"/>
  <c r="BA63" i="6"/>
  <c r="AO63" i="6"/>
  <c r="AM63" i="6"/>
  <c r="EE62" i="6"/>
  <c r="BU62" i="6"/>
  <c r="BS62" i="6"/>
  <c r="BC62" i="6"/>
  <c r="BA62" i="6"/>
  <c r="AO62" i="6"/>
  <c r="AM62" i="6"/>
  <c r="EE61" i="6"/>
  <c r="BU61" i="6"/>
  <c r="BS61" i="6"/>
  <c r="BC61" i="6"/>
  <c r="BA61" i="6"/>
  <c r="AO61" i="6"/>
  <c r="AM61" i="6"/>
  <c r="EE60" i="6"/>
  <c r="BU60" i="6"/>
  <c r="BS60" i="6"/>
  <c r="BC60" i="6"/>
  <c r="BA60" i="6"/>
  <c r="AO60" i="6"/>
  <c r="AM60" i="6"/>
  <c r="EE59" i="6"/>
  <c r="BU59" i="6"/>
  <c r="BS59" i="6"/>
  <c r="BC59" i="6"/>
  <c r="BA59" i="6"/>
  <c r="AO59" i="6"/>
  <c r="AM59" i="6"/>
  <c r="EE58" i="6"/>
  <c r="BU58" i="6"/>
  <c r="BS58" i="6"/>
  <c r="BC58" i="6"/>
  <c r="BA58" i="6"/>
  <c r="AO58" i="6"/>
  <c r="AM58" i="6"/>
  <c r="EE57" i="6"/>
  <c r="BU57" i="6"/>
  <c r="BS57" i="6"/>
  <c r="BC57" i="6"/>
  <c r="BA57" i="6"/>
  <c r="AO57" i="6"/>
  <c r="AM57" i="6"/>
  <c r="EE56" i="6"/>
  <c r="BU56" i="6"/>
  <c r="BS56" i="6"/>
  <c r="BC56" i="6"/>
  <c r="BA56" i="6"/>
  <c r="AO56" i="6"/>
  <c r="AM56" i="6"/>
  <c r="EE55" i="6"/>
  <c r="BU55" i="6"/>
  <c r="BS55" i="6"/>
  <c r="BC55" i="6"/>
  <c r="BA55" i="6"/>
  <c r="AO55" i="6"/>
  <c r="AM55" i="6"/>
  <c r="EE54" i="6"/>
  <c r="BU54" i="6"/>
  <c r="BS54" i="6"/>
  <c r="BC54" i="6"/>
  <c r="BA54" i="6"/>
  <c r="AO54" i="6"/>
  <c r="AM54" i="6"/>
  <c r="EE53" i="6"/>
  <c r="BU53" i="6"/>
  <c r="BS53" i="6"/>
  <c r="AO53" i="6"/>
  <c r="AM53" i="6"/>
  <c r="EE52" i="6"/>
  <c r="BU52" i="6"/>
  <c r="BS52" i="6"/>
  <c r="AO52" i="6"/>
  <c r="AM52" i="6"/>
  <c r="EE51" i="6"/>
  <c r="BU51" i="6"/>
  <c r="BS51" i="6"/>
  <c r="AO51" i="6"/>
  <c r="AM51" i="6"/>
  <c r="EE50" i="6"/>
  <c r="BU50" i="6"/>
  <c r="BS50" i="6"/>
  <c r="AO50" i="6"/>
  <c r="AM50" i="6"/>
  <c r="EE49" i="6"/>
  <c r="BU49" i="6"/>
  <c r="BS49" i="6"/>
  <c r="AO49" i="6"/>
  <c r="AM49" i="6"/>
  <c r="EE48" i="6"/>
  <c r="BU48" i="6"/>
  <c r="BS48" i="6"/>
  <c r="AO48" i="6"/>
  <c r="AM48" i="6"/>
  <c r="EE47" i="6"/>
  <c r="BU47" i="6"/>
  <c r="BS47" i="6"/>
  <c r="AO47" i="6"/>
  <c r="AM47" i="6"/>
  <c r="EE46" i="6"/>
  <c r="BU46" i="6"/>
  <c r="BS46" i="6"/>
  <c r="AO46" i="6"/>
  <c r="AM46" i="6"/>
  <c r="EE45" i="6"/>
  <c r="BU45" i="6"/>
  <c r="BS45" i="6"/>
  <c r="AO45" i="6"/>
  <c r="AM45" i="6"/>
  <c r="EE44" i="6"/>
  <c r="BU44" i="6"/>
  <c r="BS44" i="6"/>
  <c r="AO44" i="6"/>
  <c r="AM44" i="6"/>
  <c r="EE43" i="6"/>
  <c r="BU43" i="6"/>
  <c r="BS43" i="6"/>
  <c r="AO43" i="6"/>
  <c r="AM43" i="6"/>
  <c r="EE42" i="6"/>
  <c r="BU42" i="6"/>
  <c r="BS42" i="6"/>
  <c r="AO42" i="6"/>
  <c r="AM42" i="6"/>
  <c r="EE41" i="6"/>
  <c r="BU41" i="6"/>
  <c r="BS41" i="6"/>
  <c r="AO41" i="6"/>
  <c r="AM41" i="6"/>
  <c r="EE40" i="6"/>
  <c r="BU40" i="6"/>
  <c r="BS40" i="6"/>
  <c r="AO40" i="6"/>
  <c r="AM40" i="6"/>
  <c r="EE39" i="6"/>
  <c r="BU39" i="6"/>
  <c r="BS39" i="6"/>
  <c r="AO39" i="6"/>
  <c r="AM39" i="6"/>
  <c r="EE38" i="6"/>
  <c r="BU38" i="6"/>
  <c r="BS38" i="6"/>
  <c r="AO38" i="6"/>
  <c r="AM38" i="6"/>
  <c r="B2" i="392" a="1"/>
  <c r="B2" i="392" s="1"/>
  <c r="AD71" i="1" l="1" a="1"/>
  <c r="AD71" i="1" s="1"/>
  <c r="U71" i="1"/>
  <c r="AC71" i="1" s="1" a="1"/>
  <c r="AC71" i="1" s="1"/>
  <c r="AK70" i="1" a="1"/>
  <c r="AK70" i="1" s="1"/>
  <c r="AF70" i="1" a="1"/>
  <c r="AF70" i="1" s="1"/>
  <c r="AE70" i="1" a="1"/>
  <c r="AE70" i="1" s="1"/>
  <c r="AD70" i="1" a="1"/>
  <c r="AD70" i="1" s="1"/>
  <c r="AC70" i="1" a="1"/>
  <c r="AC70" i="1" s="1"/>
  <c r="X70" i="1" a="1"/>
  <c r="X70" i="1" s="1"/>
  <c r="W70" i="1" a="1"/>
  <c r="W70" i="1" s="1"/>
  <c r="U70" i="1"/>
  <c r="AB70" i="1" s="1" a="1"/>
  <c r="AB70" i="1" s="1"/>
  <c r="AK69" i="1" a="1"/>
  <c r="AK69" i="1" s="1"/>
  <c r="AJ69" i="1"/>
  <c r="AJ69" i="1" a="1"/>
  <c r="AE69" i="1" a="1"/>
  <c r="AE69" i="1" s="1"/>
  <c r="AD69" i="1" a="1"/>
  <c r="AD69" i="1" s="1"/>
  <c r="AC69" i="1" a="1"/>
  <c r="AC69" i="1" s="1"/>
  <c r="AB69" i="1" a="1"/>
  <c r="AB69" i="1" s="1"/>
  <c r="AA69" i="1" a="1"/>
  <c r="AA69" i="1" s="1"/>
  <c r="Z69" i="1" a="1"/>
  <c r="Z69" i="1" s="1"/>
  <c r="X69" i="1" a="1"/>
  <c r="X69" i="1" s="1"/>
  <c r="W69" i="1" a="1"/>
  <c r="W69" i="1" s="1"/>
  <c r="U69" i="1"/>
  <c r="AI69" i="1" s="1"/>
  <c r="AK68" i="1" a="1"/>
  <c r="AK68" i="1" s="1"/>
  <c r="AJ68" i="1"/>
  <c r="AJ68" i="1" a="1"/>
  <c r="AI68" i="1"/>
  <c r="AH68" i="1" a="1"/>
  <c r="AH68" i="1" s="1"/>
  <c r="AG68" i="1" a="1"/>
  <c r="AG68" i="1" s="1"/>
  <c r="AE68" i="1" a="1"/>
  <c r="AE68" i="1" s="1"/>
  <c r="AD68" i="1" a="1"/>
  <c r="AD68" i="1" s="1"/>
  <c r="AC68" i="1" a="1"/>
  <c r="AC68" i="1" s="1"/>
  <c r="AB68" i="1" a="1"/>
  <c r="AB68" i="1" s="1"/>
  <c r="AA68" i="1" a="1"/>
  <c r="AA68" i="1" s="1"/>
  <c r="Z68" i="1" a="1"/>
  <c r="Z68" i="1" s="1"/>
  <c r="Y68" i="1" a="1"/>
  <c r="Y68" i="1" s="1"/>
  <c r="W68" i="1" a="1"/>
  <c r="W68" i="1" s="1"/>
  <c r="U68" i="1"/>
  <c r="AF68" i="1" s="1" a="1"/>
  <c r="AF68" i="1" s="1"/>
  <c r="AK67" i="1" a="1"/>
  <c r="AK67" i="1" s="1"/>
  <c r="AJ67" i="1"/>
  <c r="AJ67" i="1" a="1"/>
  <c r="AI67" i="1"/>
  <c r="AH67" i="1" a="1"/>
  <c r="AH67" i="1" s="1"/>
  <c r="AG67" i="1" a="1"/>
  <c r="AG67" i="1" s="1"/>
  <c r="AF67" i="1" a="1"/>
  <c r="AF67" i="1" s="1"/>
  <c r="AD67" i="1" a="1"/>
  <c r="AD67" i="1" s="1"/>
  <c r="AC67" i="1" a="1"/>
  <c r="AC67" i="1" s="1"/>
  <c r="AB67" i="1" a="1"/>
  <c r="AB67" i="1" s="1"/>
  <c r="AA67" i="1" a="1"/>
  <c r="AA67" i="1" s="1"/>
  <c r="Z67" i="1" a="1"/>
  <c r="Z67" i="1" s="1"/>
  <c r="Y67" i="1" a="1"/>
  <c r="Y67" i="1" s="1"/>
  <c r="X67" i="1" a="1"/>
  <c r="X67" i="1" s="1"/>
  <c r="U67" i="1"/>
  <c r="AE67" i="1" s="1" a="1"/>
  <c r="AE67" i="1" s="1"/>
  <c r="AK66" i="1" a="1"/>
  <c r="AK66" i="1" s="1"/>
  <c r="AI66" i="1"/>
  <c r="AH66" i="1" a="1"/>
  <c r="AH66" i="1" s="1"/>
  <c r="AG66" i="1" a="1"/>
  <c r="AG66" i="1" s="1"/>
  <c r="AF66" i="1" a="1"/>
  <c r="AF66" i="1" s="1"/>
  <c r="AE66" i="1" a="1"/>
  <c r="AE66" i="1" s="1"/>
  <c r="AC66" i="1" a="1"/>
  <c r="AC66" i="1" s="1"/>
  <c r="AB66" i="1" a="1"/>
  <c r="AB66" i="1" s="1"/>
  <c r="AA66" i="1" a="1"/>
  <c r="AA66" i="1" s="1"/>
  <c r="Z66" i="1" a="1"/>
  <c r="Z66" i="1" s="1"/>
  <c r="Y66" i="1" a="1"/>
  <c r="Y66" i="1" s="1"/>
  <c r="X66" i="1" a="1"/>
  <c r="X66" i="1" s="1"/>
  <c r="W66" i="1" a="1"/>
  <c r="W66" i="1" s="1"/>
  <c r="U66" i="1"/>
  <c r="AD66" i="1" s="1" a="1"/>
  <c r="AD66" i="1" s="1"/>
  <c r="AJ65" i="1"/>
  <c r="AJ65" i="1" a="1"/>
  <c r="AI65" i="1"/>
  <c r="AH65" i="1" a="1"/>
  <c r="AH65" i="1" s="1"/>
  <c r="AG65" i="1" a="1"/>
  <c r="AG65" i="1" s="1"/>
  <c r="AF65" i="1" a="1"/>
  <c r="AF65" i="1" s="1"/>
  <c r="AE65" i="1" a="1"/>
  <c r="AE65" i="1" s="1"/>
  <c r="AD65" i="1" a="1"/>
  <c r="AD65" i="1" s="1"/>
  <c r="AB65" i="1" a="1"/>
  <c r="AB65" i="1" s="1"/>
  <c r="AA65" i="1" a="1"/>
  <c r="AA65" i="1" s="1"/>
  <c r="Z65" i="1" a="1"/>
  <c r="Z65" i="1" s="1"/>
  <c r="Y65" i="1" a="1"/>
  <c r="Y65" i="1" s="1"/>
  <c r="X65" i="1" a="1"/>
  <c r="X65" i="1" s="1"/>
  <c r="W65" i="1" a="1"/>
  <c r="W65" i="1" s="1"/>
  <c r="U65" i="1"/>
  <c r="AC65" i="1" s="1" a="1"/>
  <c r="AC65" i="1" s="1"/>
  <c r="AI64" i="1"/>
  <c r="AH64" i="1" a="1"/>
  <c r="AH64" i="1" s="1"/>
  <c r="AG64" i="1" a="1"/>
  <c r="AG64" i="1" s="1"/>
  <c r="AF64" i="1" a="1"/>
  <c r="AF64" i="1" s="1"/>
  <c r="AE64" i="1" a="1"/>
  <c r="AE64" i="1" s="1"/>
  <c r="AD64" i="1" a="1"/>
  <c r="AD64" i="1" s="1"/>
  <c r="AC64" i="1" a="1"/>
  <c r="AC64" i="1" s="1"/>
  <c r="AA64" i="1" a="1"/>
  <c r="AA64" i="1" s="1"/>
  <c r="Z64" i="1" a="1"/>
  <c r="Z64" i="1" s="1"/>
  <c r="Y64" i="1" a="1"/>
  <c r="Y64" i="1" s="1"/>
  <c r="X64" i="1" a="1"/>
  <c r="X64" i="1" s="1"/>
  <c r="W64" i="1" a="1"/>
  <c r="W64" i="1" s="1"/>
  <c r="U64" i="1"/>
  <c r="AK64" i="1" s="1" a="1"/>
  <c r="AK64" i="1" s="1"/>
  <c r="AH63" i="1" a="1"/>
  <c r="AH63" i="1" s="1"/>
  <c r="AG63" i="1" a="1"/>
  <c r="AG63" i="1" s="1"/>
  <c r="AF63" i="1" a="1"/>
  <c r="AF63" i="1" s="1"/>
  <c r="AE63" i="1" a="1"/>
  <c r="AE63" i="1" s="1"/>
  <c r="AD63" i="1" a="1"/>
  <c r="AD63" i="1" s="1"/>
  <c r="AC63" i="1" a="1"/>
  <c r="AC63" i="1" s="1"/>
  <c r="AB63" i="1" a="1"/>
  <c r="AB63" i="1" s="1"/>
  <c r="Z63" i="1" a="1"/>
  <c r="Z63" i="1" s="1"/>
  <c r="Y63" i="1" a="1"/>
  <c r="Y63" i="1" s="1"/>
  <c r="X63" i="1" a="1"/>
  <c r="X63" i="1" s="1"/>
  <c r="W63" i="1" a="1"/>
  <c r="W63" i="1" s="1"/>
  <c r="U63" i="1"/>
  <c r="AK63" i="1" s="1" a="1"/>
  <c r="AK63" i="1" s="1"/>
  <c r="AK62" i="1" a="1"/>
  <c r="AK62" i="1" s="1"/>
  <c r="AI62" i="1"/>
  <c r="AG62" i="1" a="1"/>
  <c r="AG62" i="1" s="1"/>
  <c r="AF62" i="1" a="1"/>
  <c r="AF62" i="1" s="1"/>
  <c r="AE62" i="1" a="1"/>
  <c r="AE62" i="1" s="1"/>
  <c r="AD62" i="1" a="1"/>
  <c r="AD62" i="1" s="1"/>
  <c r="AC62" i="1" a="1"/>
  <c r="AC62" i="1" s="1"/>
  <c r="AB62" i="1" a="1"/>
  <c r="AB62" i="1" s="1"/>
  <c r="AA62" i="1" a="1"/>
  <c r="AA62" i="1" s="1"/>
  <c r="Y62" i="1" a="1"/>
  <c r="Y62" i="1" s="1"/>
  <c r="X62" i="1" a="1"/>
  <c r="X62" i="1" s="1"/>
  <c r="W62" i="1" a="1"/>
  <c r="W62" i="1" s="1"/>
  <c r="U62" i="1"/>
  <c r="AJ62" i="1" s="1" a="1"/>
  <c r="AJ62" i="1" s="1"/>
  <c r="AK61" i="1"/>
  <c r="AK61" i="1" a="1"/>
  <c r="AJ61" i="1" a="1"/>
  <c r="AJ61" i="1" s="1"/>
  <c r="AI61" i="1"/>
  <c r="AH61" i="1" a="1"/>
  <c r="AH61" i="1" s="1"/>
  <c r="AF61" i="1" a="1"/>
  <c r="AF61" i="1" s="1"/>
  <c r="AE61" i="1" a="1"/>
  <c r="AE61" i="1" s="1"/>
  <c r="AD61" i="1" a="1"/>
  <c r="AD61" i="1" s="1"/>
  <c r="AC61" i="1" a="1"/>
  <c r="AC61" i="1" s="1"/>
  <c r="AB61" i="1" a="1"/>
  <c r="AB61" i="1" s="1"/>
  <c r="AA61" i="1" a="1"/>
  <c r="AA61" i="1" s="1"/>
  <c r="Z61" i="1" a="1"/>
  <c r="Z61" i="1" s="1"/>
  <c r="X61" i="1" a="1"/>
  <c r="X61" i="1" s="1"/>
  <c r="W61" i="1" a="1"/>
  <c r="W61" i="1" s="1"/>
  <c r="U61" i="1"/>
  <c r="AG61" i="1" s="1" a="1"/>
  <c r="AG61" i="1" s="1"/>
  <c r="AK60" i="1"/>
  <c r="AK60" i="1" a="1"/>
  <c r="AJ60" i="1" a="1"/>
  <c r="AJ60" i="1" s="1"/>
  <c r="AI60" i="1"/>
  <c r="AH60" i="1" a="1"/>
  <c r="AH60" i="1" s="1"/>
  <c r="AG60" i="1" a="1"/>
  <c r="AG60" i="1" s="1"/>
  <c r="AE60" i="1" a="1"/>
  <c r="AE60" i="1" s="1"/>
  <c r="AD60" i="1" a="1"/>
  <c r="AD60" i="1" s="1"/>
  <c r="AC60" i="1" a="1"/>
  <c r="AC60" i="1" s="1"/>
  <c r="AB60" i="1" a="1"/>
  <c r="AB60" i="1" s="1"/>
  <c r="AA60" i="1" a="1"/>
  <c r="AA60" i="1" s="1"/>
  <c r="Z60" i="1" a="1"/>
  <c r="Z60" i="1" s="1"/>
  <c r="Y60" i="1" a="1"/>
  <c r="Y60" i="1" s="1"/>
  <c r="W60" i="1" a="1"/>
  <c r="W60" i="1" s="1"/>
  <c r="U60" i="1"/>
  <c r="AF60" i="1" s="1" a="1"/>
  <c r="AF60" i="1" s="1"/>
  <c r="AK59" i="1"/>
  <c r="AK59" i="1" a="1"/>
  <c r="AJ59" i="1" a="1"/>
  <c r="AJ59" i="1" s="1"/>
  <c r="AI59" i="1"/>
  <c r="AH59" i="1" a="1"/>
  <c r="AH59" i="1" s="1"/>
  <c r="AG59" i="1" a="1"/>
  <c r="AG59" i="1" s="1"/>
  <c r="AF59" i="1" a="1"/>
  <c r="AF59" i="1" s="1"/>
  <c r="AE59" i="1" a="1"/>
  <c r="AE59" i="1" s="1"/>
  <c r="AD59" i="1" a="1"/>
  <c r="AD59" i="1" s="1"/>
  <c r="AC59" i="1" a="1"/>
  <c r="AC59" i="1" s="1"/>
  <c r="AB59" i="1" a="1"/>
  <c r="AB59" i="1" s="1"/>
  <c r="AA59" i="1" a="1"/>
  <c r="AA59" i="1" s="1"/>
  <c r="Z59" i="1" a="1"/>
  <c r="Z59" i="1" s="1"/>
  <c r="Y59" i="1" a="1"/>
  <c r="Y59" i="1" s="1"/>
  <c r="X59" i="1" a="1"/>
  <c r="X59" i="1" s="1"/>
  <c r="W59" i="1" a="1"/>
  <c r="W59" i="1" s="1"/>
  <c r="U59" i="1"/>
  <c r="AK58" i="1" a="1"/>
  <c r="AK58" i="1" s="1"/>
  <c r="AI58" i="1"/>
  <c r="AH58" i="1" a="1"/>
  <c r="AH58" i="1" s="1"/>
  <c r="AG58" i="1" a="1"/>
  <c r="AG58" i="1" s="1"/>
  <c r="AF58" i="1" a="1"/>
  <c r="AF58" i="1" s="1"/>
  <c r="AE58" i="1" a="1"/>
  <c r="AE58" i="1" s="1"/>
  <c r="AD58" i="1" a="1"/>
  <c r="AD58" i="1" s="1"/>
  <c r="AC58" i="1" a="1"/>
  <c r="AC58" i="1" s="1"/>
  <c r="AB58" i="1" a="1"/>
  <c r="AB58" i="1" s="1"/>
  <c r="AA58" i="1" a="1"/>
  <c r="AA58" i="1" s="1"/>
  <c r="Z58" i="1" a="1"/>
  <c r="Z58" i="1" s="1"/>
  <c r="Y58" i="1" a="1"/>
  <c r="Y58" i="1" s="1"/>
  <c r="X58" i="1" a="1"/>
  <c r="X58" i="1" s="1"/>
  <c r="W58" i="1" a="1"/>
  <c r="W58" i="1" s="1"/>
  <c r="U58" i="1"/>
  <c r="AJ58" i="1" s="1" a="1"/>
  <c r="AJ58" i="1" s="1"/>
  <c r="AJ57" i="1" a="1"/>
  <c r="AJ57" i="1" s="1"/>
  <c r="AI57" i="1"/>
  <c r="AH57" i="1" a="1"/>
  <c r="AH57" i="1" s="1"/>
  <c r="AG57" i="1" a="1"/>
  <c r="AG57" i="1" s="1"/>
  <c r="AF57" i="1" a="1"/>
  <c r="AF57" i="1" s="1"/>
  <c r="AE57" i="1" a="1"/>
  <c r="AE57" i="1" s="1"/>
  <c r="AD57" i="1" a="1"/>
  <c r="AD57" i="1" s="1"/>
  <c r="AC57" i="1" a="1"/>
  <c r="AC57" i="1" s="1"/>
  <c r="AB57" i="1" a="1"/>
  <c r="AB57" i="1" s="1"/>
  <c r="AA57" i="1" a="1"/>
  <c r="AA57" i="1" s="1"/>
  <c r="Z57" i="1" a="1"/>
  <c r="Z57" i="1" s="1"/>
  <c r="Y57" i="1" a="1"/>
  <c r="Y57" i="1" s="1"/>
  <c r="X57" i="1" a="1"/>
  <c r="X57" i="1" s="1"/>
  <c r="W57" i="1" a="1"/>
  <c r="W57" i="1" s="1"/>
  <c r="U57" i="1"/>
  <c r="AK57" i="1" s="1" a="1"/>
  <c r="AK57" i="1" s="1"/>
  <c r="AI56" i="1"/>
  <c r="AH56" i="1" a="1"/>
  <c r="AH56" i="1" s="1"/>
  <c r="AG56" i="1" a="1"/>
  <c r="AG56" i="1" s="1"/>
  <c r="AF56" i="1" a="1"/>
  <c r="AF56" i="1" s="1"/>
  <c r="AE56" i="1" a="1"/>
  <c r="AE56" i="1" s="1"/>
  <c r="AD56" i="1" a="1"/>
  <c r="AD56" i="1" s="1"/>
  <c r="AC56" i="1" a="1"/>
  <c r="AC56" i="1" s="1"/>
  <c r="AB56" i="1" a="1"/>
  <c r="AB56" i="1" s="1"/>
  <c r="AA56" i="1" a="1"/>
  <c r="AA56" i="1" s="1"/>
  <c r="Z56" i="1" a="1"/>
  <c r="Z56" i="1" s="1"/>
  <c r="Y56" i="1" a="1"/>
  <c r="Y56" i="1" s="1"/>
  <c r="X56" i="1" a="1"/>
  <c r="X56" i="1" s="1"/>
  <c r="W56" i="1" a="1"/>
  <c r="W56" i="1" s="1"/>
  <c r="U56" i="1"/>
  <c r="AK56" i="1" s="1" a="1"/>
  <c r="AK56" i="1" s="1"/>
  <c r="AI55" i="1"/>
  <c r="AH55" i="1" a="1"/>
  <c r="AH55" i="1" s="1"/>
  <c r="AG55" i="1" a="1"/>
  <c r="AG55" i="1" s="1"/>
  <c r="AF55" i="1" a="1"/>
  <c r="AF55" i="1" s="1"/>
  <c r="AE55" i="1" a="1"/>
  <c r="AE55" i="1" s="1"/>
  <c r="AD55" i="1" a="1"/>
  <c r="AD55" i="1" s="1"/>
  <c r="AC55" i="1" a="1"/>
  <c r="AC55" i="1" s="1"/>
  <c r="AB55" i="1" a="1"/>
  <c r="AB55" i="1" s="1"/>
  <c r="AA55" i="1" a="1"/>
  <c r="AA55" i="1" s="1"/>
  <c r="Z55" i="1" a="1"/>
  <c r="Z55" i="1" s="1"/>
  <c r="Y55" i="1" a="1"/>
  <c r="Y55" i="1" s="1"/>
  <c r="X55" i="1" a="1"/>
  <c r="X55" i="1" s="1"/>
  <c r="W55" i="1" a="1"/>
  <c r="W55" i="1" s="1"/>
  <c r="U55" i="1"/>
  <c r="AK55" i="1" s="1" a="1"/>
  <c r="AK55" i="1" s="1"/>
  <c r="AK54" i="1"/>
  <c r="AK54" i="1" a="1"/>
  <c r="AI54" i="1"/>
  <c r="AH54" i="1" a="1"/>
  <c r="AH54" i="1" s="1"/>
  <c r="AG54" i="1" a="1"/>
  <c r="AG54" i="1" s="1"/>
  <c r="AF54" i="1" a="1"/>
  <c r="AF54" i="1" s="1"/>
  <c r="AE54" i="1" a="1"/>
  <c r="AE54" i="1" s="1"/>
  <c r="AD54" i="1" a="1"/>
  <c r="AD54" i="1" s="1"/>
  <c r="AC54" i="1" a="1"/>
  <c r="AC54" i="1" s="1"/>
  <c r="AB54" i="1" a="1"/>
  <c r="AB54" i="1" s="1"/>
  <c r="AA54" i="1" a="1"/>
  <c r="AA54" i="1" s="1"/>
  <c r="Z54" i="1" a="1"/>
  <c r="Z54" i="1" s="1"/>
  <c r="Y54" i="1" a="1"/>
  <c r="Y54" i="1" s="1"/>
  <c r="X54" i="1" a="1"/>
  <c r="X54" i="1" s="1"/>
  <c r="W54" i="1" a="1"/>
  <c r="W54" i="1" s="1"/>
  <c r="U54" i="1"/>
  <c r="AJ54" i="1" s="1" a="1"/>
  <c r="AJ54" i="1" s="1"/>
  <c r="AK53" i="1"/>
  <c r="AK53" i="1" a="1"/>
  <c r="AJ53" i="1"/>
  <c r="AJ53" i="1" a="1"/>
  <c r="AI53" i="1"/>
  <c r="AH53" i="1" a="1"/>
  <c r="AH53" i="1" s="1"/>
  <c r="AG53" i="1" a="1"/>
  <c r="AG53" i="1" s="1"/>
  <c r="AF53" i="1" a="1"/>
  <c r="AF53" i="1" s="1"/>
  <c r="AE53" i="1" a="1"/>
  <c r="AE53" i="1" s="1"/>
  <c r="AD53" i="1" a="1"/>
  <c r="AD53" i="1" s="1"/>
  <c r="AC53" i="1" a="1"/>
  <c r="AC53" i="1" s="1"/>
  <c r="AB53" i="1" a="1"/>
  <c r="AB53" i="1" s="1"/>
  <c r="AA53" i="1" a="1"/>
  <c r="AA53" i="1" s="1"/>
  <c r="Z53" i="1" a="1"/>
  <c r="Z53" i="1" s="1"/>
  <c r="Y53" i="1" a="1"/>
  <c r="Y53" i="1" s="1"/>
  <c r="X53" i="1" a="1"/>
  <c r="X53" i="1" s="1"/>
  <c r="W53" i="1" a="1"/>
  <c r="W53" i="1" s="1"/>
  <c r="U53" i="1"/>
  <c r="AK52" i="1"/>
  <c r="AK52" i="1" a="1"/>
  <c r="AJ52" i="1" a="1"/>
  <c r="AJ52" i="1" s="1"/>
  <c r="AI52" i="1"/>
  <c r="AH52" i="1" a="1"/>
  <c r="AH52" i="1" s="1"/>
  <c r="AG52" i="1" a="1"/>
  <c r="AG52" i="1" s="1"/>
  <c r="AF52" i="1" a="1"/>
  <c r="AF52" i="1" s="1"/>
  <c r="AE52" i="1" a="1"/>
  <c r="AE52" i="1" s="1"/>
  <c r="AD52" i="1" a="1"/>
  <c r="AD52" i="1" s="1"/>
  <c r="AC52" i="1" a="1"/>
  <c r="AC52" i="1" s="1"/>
  <c r="AB52" i="1" a="1"/>
  <c r="AB52" i="1" s="1"/>
  <c r="AA52" i="1" a="1"/>
  <c r="AA52" i="1" s="1"/>
  <c r="Z52" i="1" a="1"/>
  <c r="Z52" i="1" s="1"/>
  <c r="Y52" i="1" a="1"/>
  <c r="Y52" i="1" s="1"/>
  <c r="X52" i="1" a="1"/>
  <c r="X52" i="1" s="1"/>
  <c r="W52" i="1" a="1"/>
  <c r="W52" i="1" s="1"/>
  <c r="U52" i="1"/>
  <c r="AJ51" i="1" a="1"/>
  <c r="AJ51" i="1" s="1"/>
  <c r="AI51" i="1"/>
  <c r="AH51" i="1" a="1"/>
  <c r="AH51" i="1" s="1"/>
  <c r="AG51" i="1" a="1"/>
  <c r="AG51" i="1" s="1"/>
  <c r="AF51" i="1" a="1"/>
  <c r="AF51" i="1" s="1"/>
  <c r="AE51" i="1" a="1"/>
  <c r="AE51" i="1" s="1"/>
  <c r="AD51" i="1" a="1"/>
  <c r="AD51" i="1" s="1"/>
  <c r="AC51" i="1" a="1"/>
  <c r="AC51" i="1" s="1"/>
  <c r="AB51" i="1" a="1"/>
  <c r="AB51" i="1" s="1"/>
  <c r="AA51" i="1" a="1"/>
  <c r="AA51" i="1" s="1"/>
  <c r="Z51" i="1" a="1"/>
  <c r="Z51" i="1" s="1"/>
  <c r="Y51" i="1" a="1"/>
  <c r="Y51" i="1" s="1"/>
  <c r="X51" i="1" a="1"/>
  <c r="X51" i="1" s="1"/>
  <c r="W51" i="1" a="1"/>
  <c r="W51" i="1" s="1"/>
  <c r="U51" i="1"/>
  <c r="AK51" i="1" s="1" a="1"/>
  <c r="AK51" i="1" s="1"/>
  <c r="AI50" i="1"/>
  <c r="AH50" i="1" a="1"/>
  <c r="AH50" i="1" s="1"/>
  <c r="AG50" i="1" a="1"/>
  <c r="AG50" i="1" s="1"/>
  <c r="AF50" i="1" a="1"/>
  <c r="AF50" i="1" s="1"/>
  <c r="AE50" i="1" a="1"/>
  <c r="AE50" i="1" s="1"/>
  <c r="AD50" i="1" a="1"/>
  <c r="AD50" i="1" s="1"/>
  <c r="AC50" i="1" a="1"/>
  <c r="AC50" i="1" s="1"/>
  <c r="AB50" i="1" a="1"/>
  <c r="AB50" i="1" s="1"/>
  <c r="AA50" i="1" a="1"/>
  <c r="AA50" i="1" s="1"/>
  <c r="Z50" i="1" a="1"/>
  <c r="Z50" i="1" s="1"/>
  <c r="Y50" i="1" a="1"/>
  <c r="Y50" i="1" s="1"/>
  <c r="X50" i="1" a="1"/>
  <c r="X50" i="1" s="1"/>
  <c r="W50" i="1" a="1"/>
  <c r="W50" i="1" s="1"/>
  <c r="U50" i="1"/>
  <c r="AK50" i="1" s="1" a="1"/>
  <c r="AK50" i="1" s="1"/>
  <c r="AJ49" i="1"/>
  <c r="AJ49" i="1" a="1"/>
  <c r="AI49" i="1"/>
  <c r="AH49" i="1" a="1"/>
  <c r="AH49" i="1" s="1"/>
  <c r="AG49" i="1" a="1"/>
  <c r="AG49" i="1" s="1"/>
  <c r="AF49" i="1" a="1"/>
  <c r="AF49" i="1" s="1"/>
  <c r="AE49" i="1" a="1"/>
  <c r="AE49" i="1" s="1"/>
  <c r="AD49" i="1" a="1"/>
  <c r="AD49" i="1" s="1"/>
  <c r="AC49" i="1" a="1"/>
  <c r="AC49" i="1" s="1"/>
  <c r="AB49" i="1" a="1"/>
  <c r="AB49" i="1" s="1"/>
  <c r="AA49" i="1" a="1"/>
  <c r="AA49" i="1" s="1"/>
  <c r="Z49" i="1" a="1"/>
  <c r="Z49" i="1" s="1"/>
  <c r="Y49" i="1" a="1"/>
  <c r="Y49" i="1" s="1"/>
  <c r="X49" i="1" a="1"/>
  <c r="X49" i="1" s="1"/>
  <c r="W49" i="1" a="1"/>
  <c r="W49" i="1" s="1"/>
  <c r="U49" i="1"/>
  <c r="AK49" i="1" s="1" a="1"/>
  <c r="AK49" i="1" s="1"/>
  <c r="AI48" i="1"/>
  <c r="AH48" i="1" a="1"/>
  <c r="AH48" i="1" s="1"/>
  <c r="AG48" i="1" a="1"/>
  <c r="AG48" i="1" s="1"/>
  <c r="AF48" i="1" a="1"/>
  <c r="AF48" i="1" s="1"/>
  <c r="AE48" i="1" a="1"/>
  <c r="AE48" i="1" s="1"/>
  <c r="AD48" i="1" a="1"/>
  <c r="AD48" i="1" s="1"/>
  <c r="AC48" i="1" a="1"/>
  <c r="AC48" i="1" s="1"/>
  <c r="AB48" i="1" a="1"/>
  <c r="AB48" i="1" s="1"/>
  <c r="AA48" i="1" a="1"/>
  <c r="AA48" i="1" s="1"/>
  <c r="Z48" i="1" a="1"/>
  <c r="Z48" i="1" s="1"/>
  <c r="Y48" i="1" a="1"/>
  <c r="Y48" i="1" s="1"/>
  <c r="X48" i="1" a="1"/>
  <c r="X48" i="1" s="1"/>
  <c r="W48" i="1" a="1"/>
  <c r="W48" i="1" s="1"/>
  <c r="U48" i="1"/>
  <c r="AK48" i="1" s="1" a="1"/>
  <c r="AK48" i="1" s="1"/>
  <c r="AG40" i="1" a="1"/>
  <c r="AG40" i="1" s="1"/>
  <c r="AF40" i="1" a="1"/>
  <c r="AF40" i="1" s="1"/>
  <c r="AE40" i="1" a="1"/>
  <c r="AE40" i="1" s="1"/>
  <c r="AD40" i="1" a="1"/>
  <c r="AD40" i="1" s="1"/>
  <c r="AB40" i="1" a="1"/>
  <c r="AB40" i="1" s="1"/>
  <c r="AA40" i="1" a="1"/>
  <c r="AA40" i="1" s="1"/>
  <c r="Y40" i="1" a="1"/>
  <c r="Y40" i="1" s="1"/>
  <c r="X40" i="1" a="1"/>
  <c r="X40" i="1" s="1"/>
  <c r="W40" i="1" a="1"/>
  <c r="W40" i="1" s="1"/>
  <c r="U40" i="1"/>
  <c r="AK40" i="1" s="1" a="1"/>
  <c r="AK40" i="1" s="1"/>
  <c r="U39" i="1"/>
  <c r="AK39" i="1" s="1" a="1"/>
  <c r="AK39" i="1" s="1"/>
  <c r="AK38" i="1" a="1"/>
  <c r="AK38" i="1" s="1"/>
  <c r="AI38" i="1" a="1"/>
  <c r="AI38" i="1" s="1"/>
  <c r="AH38" i="1" a="1"/>
  <c r="AH38" i="1" s="1"/>
  <c r="AF38" i="1" a="1"/>
  <c r="AF38" i="1" s="1"/>
  <c r="AE38" i="1" a="1"/>
  <c r="AE38" i="1" s="1"/>
  <c r="AD38" i="1" a="1"/>
  <c r="AD38" i="1" s="1"/>
  <c r="AC38" i="1" a="1"/>
  <c r="AC38" i="1" s="1"/>
  <c r="AB38" i="1" a="1"/>
  <c r="AB38" i="1" s="1"/>
  <c r="AA38" i="1" a="1"/>
  <c r="AA38" i="1" s="1"/>
  <c r="Z38" i="1" a="1"/>
  <c r="Z38" i="1" s="1"/>
  <c r="Y38" i="1" a="1"/>
  <c r="Y38" i="1" s="1"/>
  <c r="X38" i="1" a="1"/>
  <c r="X38" i="1" s="1"/>
  <c r="W38" i="1" a="1"/>
  <c r="W38" i="1" s="1"/>
  <c r="U38" i="1"/>
  <c r="AJ38" i="1" s="1" a="1"/>
  <c r="AJ38" i="1" s="1"/>
  <c r="U37" i="1"/>
  <c r="AJ37" i="1" s="1" a="1"/>
  <c r="AJ37" i="1" s="1"/>
  <c r="AK36" i="1" a="1"/>
  <c r="AK36" i="1" s="1"/>
  <c r="AJ36" i="1" a="1"/>
  <c r="AJ36" i="1" s="1"/>
  <c r="AI36" i="1" a="1"/>
  <c r="AI36" i="1" s="1"/>
  <c r="AH36" i="1" a="1"/>
  <c r="AH36" i="1" s="1"/>
  <c r="AG36" i="1" a="1"/>
  <c r="AG36" i="1" s="1"/>
  <c r="AF36" i="1" a="1"/>
  <c r="AF36" i="1" s="1"/>
  <c r="AE36" i="1" a="1"/>
  <c r="AE36" i="1" s="1"/>
  <c r="AD36" i="1" a="1"/>
  <c r="AD36" i="1" s="1"/>
  <c r="AC36" i="1" a="1"/>
  <c r="AC36" i="1" s="1"/>
  <c r="AB36" i="1" a="1"/>
  <c r="AB36" i="1" s="1"/>
  <c r="AA36" i="1" a="1"/>
  <c r="AA36" i="1" s="1"/>
  <c r="Z36" i="1" a="1"/>
  <c r="Z36" i="1" s="1"/>
  <c r="Y36" i="1" a="1"/>
  <c r="Y36" i="1" s="1"/>
  <c r="X36" i="1" a="1"/>
  <c r="X36" i="1" s="1"/>
  <c r="W36" i="1" a="1"/>
  <c r="W36" i="1" s="1"/>
  <c r="U36" i="1"/>
  <c r="U35" i="1"/>
  <c r="AI35" i="1" s="1" a="1"/>
  <c r="AI35" i="1" s="1"/>
  <c r="AK34" i="1" a="1"/>
  <c r="AK34" i="1" s="1"/>
  <c r="AJ34" i="1" a="1"/>
  <c r="AJ34" i="1" s="1"/>
  <c r="AI34" i="1" a="1"/>
  <c r="AI34" i="1" s="1"/>
  <c r="AH34" i="1" a="1"/>
  <c r="AH34" i="1" s="1"/>
  <c r="AG34" i="1" a="1"/>
  <c r="AG34" i="1" s="1"/>
  <c r="AF34" i="1" a="1"/>
  <c r="AF34" i="1" s="1"/>
  <c r="AE34" i="1" a="1"/>
  <c r="AE34" i="1" s="1"/>
  <c r="AD34" i="1" a="1"/>
  <c r="AD34" i="1" s="1"/>
  <c r="AC34" i="1" a="1"/>
  <c r="AC34" i="1" s="1"/>
  <c r="AB34" i="1" a="1"/>
  <c r="AB34" i="1" s="1"/>
  <c r="AA34" i="1" a="1"/>
  <c r="AA34" i="1" s="1"/>
  <c r="Z34" i="1" a="1"/>
  <c r="Z34" i="1" s="1"/>
  <c r="Y34" i="1" a="1"/>
  <c r="Y34" i="1" s="1"/>
  <c r="X34" i="1" a="1"/>
  <c r="X34" i="1" s="1"/>
  <c r="W34" i="1" a="1"/>
  <c r="W34" i="1" s="1"/>
  <c r="U34" i="1"/>
  <c r="U33" i="1"/>
  <c r="AH33" i="1" s="1" a="1"/>
  <c r="AH33" i="1" s="1"/>
  <c r="AK32" i="1" a="1"/>
  <c r="AK32" i="1" s="1"/>
  <c r="AJ32" i="1" a="1"/>
  <c r="AJ32" i="1" s="1"/>
  <c r="AI32" i="1" a="1"/>
  <c r="AI32" i="1" s="1"/>
  <c r="AH32" i="1" a="1"/>
  <c r="AH32" i="1" s="1"/>
  <c r="AG32" i="1" a="1"/>
  <c r="AG32" i="1" s="1"/>
  <c r="AF32" i="1" a="1"/>
  <c r="AF32" i="1" s="1"/>
  <c r="AE32" i="1" a="1"/>
  <c r="AE32" i="1" s="1"/>
  <c r="AD32" i="1" a="1"/>
  <c r="AD32" i="1" s="1"/>
  <c r="AC32" i="1" a="1"/>
  <c r="AC32" i="1" s="1"/>
  <c r="AB32" i="1" a="1"/>
  <c r="AB32" i="1" s="1"/>
  <c r="AA32" i="1" a="1"/>
  <c r="AA32" i="1" s="1"/>
  <c r="Z32" i="1" a="1"/>
  <c r="Z32" i="1" s="1"/>
  <c r="Y32" i="1" a="1"/>
  <c r="Y32" i="1" s="1"/>
  <c r="X32" i="1" a="1"/>
  <c r="X32" i="1" s="1"/>
  <c r="W32" i="1" a="1"/>
  <c r="W32" i="1" s="1"/>
  <c r="U32" i="1"/>
  <c r="U31" i="1"/>
  <c r="AG31" i="1" s="1" a="1"/>
  <c r="AG31" i="1" s="1"/>
  <c r="AK30" i="1" a="1"/>
  <c r="AK30" i="1" s="1"/>
  <c r="AJ30" i="1" a="1"/>
  <c r="AJ30" i="1" s="1"/>
  <c r="AI30" i="1" a="1"/>
  <c r="AI30" i="1" s="1"/>
  <c r="AH30" i="1" a="1"/>
  <c r="AH30" i="1" s="1"/>
  <c r="AG30" i="1" a="1"/>
  <c r="AG30" i="1" s="1"/>
  <c r="AF30" i="1" a="1"/>
  <c r="AF30" i="1" s="1"/>
  <c r="AE30" i="1" a="1"/>
  <c r="AE30" i="1" s="1"/>
  <c r="AD30" i="1" a="1"/>
  <c r="AD30" i="1" s="1"/>
  <c r="AC30" i="1" a="1"/>
  <c r="AC30" i="1" s="1"/>
  <c r="AB30" i="1" a="1"/>
  <c r="AB30" i="1" s="1"/>
  <c r="AA30" i="1" a="1"/>
  <c r="AA30" i="1" s="1"/>
  <c r="Z30" i="1" a="1"/>
  <c r="Z30" i="1" s="1"/>
  <c r="Y30" i="1" a="1"/>
  <c r="Y30" i="1" s="1"/>
  <c r="X30" i="1" a="1"/>
  <c r="X30" i="1" s="1"/>
  <c r="W30" i="1" a="1"/>
  <c r="W30" i="1" s="1"/>
  <c r="U30" i="1"/>
  <c r="U29" i="1"/>
  <c r="AF29" i="1" s="1" a="1"/>
  <c r="AF29" i="1" s="1"/>
  <c r="AK28" i="1" a="1"/>
  <c r="AK28" i="1" s="1"/>
  <c r="AJ28" i="1" a="1"/>
  <c r="AJ28" i="1" s="1"/>
  <c r="AI28" i="1" a="1"/>
  <c r="AI28" i="1" s="1"/>
  <c r="AH28" i="1" a="1"/>
  <c r="AH28" i="1" s="1"/>
  <c r="AG28" i="1" a="1"/>
  <c r="AG28" i="1" s="1"/>
  <c r="AF28" i="1" a="1"/>
  <c r="AF28" i="1" s="1"/>
  <c r="AE28" i="1" a="1"/>
  <c r="AE28" i="1" s="1"/>
  <c r="AD28" i="1" a="1"/>
  <c r="AD28" i="1" s="1"/>
  <c r="AC28" i="1" a="1"/>
  <c r="AC28" i="1" s="1"/>
  <c r="AB28" i="1" a="1"/>
  <c r="AB28" i="1" s="1"/>
  <c r="AA28" i="1" a="1"/>
  <c r="AA28" i="1" s="1"/>
  <c r="Z28" i="1" a="1"/>
  <c r="Z28" i="1" s="1"/>
  <c r="Y28" i="1" a="1"/>
  <c r="Y28" i="1" s="1"/>
  <c r="X28" i="1" a="1"/>
  <c r="X28" i="1" s="1"/>
  <c r="W28" i="1" a="1"/>
  <c r="W28" i="1" s="1"/>
  <c r="U28" i="1"/>
  <c r="U27" i="1"/>
  <c r="AE27" i="1" s="1" a="1"/>
  <c r="AE27" i="1" s="1"/>
  <c r="AK26" i="1" a="1"/>
  <c r="AK26" i="1" s="1"/>
  <c r="AJ26" i="1" a="1"/>
  <c r="AJ26" i="1" s="1"/>
  <c r="AI26" i="1" a="1"/>
  <c r="AI26" i="1" s="1"/>
  <c r="AH26" i="1" a="1"/>
  <c r="AH26" i="1" s="1"/>
  <c r="AG26" i="1" a="1"/>
  <c r="AG26" i="1" s="1"/>
  <c r="AF26" i="1" a="1"/>
  <c r="AF26" i="1" s="1"/>
  <c r="AE26" i="1" a="1"/>
  <c r="AE26" i="1" s="1"/>
  <c r="AD26" i="1" a="1"/>
  <c r="AD26" i="1" s="1"/>
  <c r="AC26" i="1" a="1"/>
  <c r="AC26" i="1" s="1"/>
  <c r="AB26" i="1" a="1"/>
  <c r="AB26" i="1" s="1"/>
  <c r="AA26" i="1" a="1"/>
  <c r="AA26" i="1" s="1"/>
  <c r="Z26" i="1" a="1"/>
  <c r="Z26" i="1" s="1"/>
  <c r="Y26" i="1" a="1"/>
  <c r="Y26" i="1" s="1"/>
  <c r="X26" i="1" a="1"/>
  <c r="X26" i="1" s="1"/>
  <c r="W26" i="1" a="1"/>
  <c r="W26" i="1" s="1"/>
  <c r="U26" i="1"/>
  <c r="U25" i="1"/>
  <c r="AD25" i="1" s="1" a="1"/>
  <c r="AD25" i="1" s="1"/>
  <c r="AK24" i="1" a="1"/>
  <c r="AK24" i="1" s="1"/>
  <c r="AJ24" i="1" a="1"/>
  <c r="AJ24" i="1" s="1"/>
  <c r="AI24" i="1" a="1"/>
  <c r="AI24" i="1" s="1"/>
  <c r="AH24" i="1" a="1"/>
  <c r="AH24" i="1" s="1"/>
  <c r="AG24" i="1" a="1"/>
  <c r="AG24" i="1" s="1"/>
  <c r="AF24" i="1" a="1"/>
  <c r="AF24" i="1" s="1"/>
  <c r="AE24" i="1" a="1"/>
  <c r="AE24" i="1" s="1"/>
  <c r="AD24" i="1" a="1"/>
  <c r="AD24" i="1" s="1"/>
  <c r="AC24" i="1" a="1"/>
  <c r="AC24" i="1" s="1"/>
  <c r="AB24" i="1" a="1"/>
  <c r="AB24" i="1" s="1"/>
  <c r="AA24" i="1" a="1"/>
  <c r="AA24" i="1" s="1"/>
  <c r="Z24" i="1" a="1"/>
  <c r="Z24" i="1" s="1"/>
  <c r="Y24" i="1" a="1"/>
  <c r="Y24" i="1" s="1"/>
  <c r="X24" i="1" a="1"/>
  <c r="X24" i="1" s="1"/>
  <c r="W24" i="1" a="1"/>
  <c r="W24" i="1" s="1"/>
  <c r="U24" i="1"/>
  <c r="U23" i="1"/>
  <c r="AK23" i="1" s="1" a="1"/>
  <c r="AK23" i="1" s="1"/>
  <c r="AK22" i="1" a="1"/>
  <c r="AK22" i="1" s="1"/>
  <c r="AJ22" i="1" a="1"/>
  <c r="AJ22" i="1" s="1"/>
  <c r="AI22" i="1" a="1"/>
  <c r="AI22" i="1" s="1"/>
  <c r="AH22" i="1" a="1"/>
  <c r="AH22" i="1" s="1"/>
  <c r="AG22" i="1" a="1"/>
  <c r="AG22" i="1" s="1"/>
  <c r="AF22" i="1" a="1"/>
  <c r="AF22" i="1" s="1"/>
  <c r="AE22" i="1" a="1"/>
  <c r="AE22" i="1" s="1"/>
  <c r="AD22" i="1" a="1"/>
  <c r="AD22" i="1" s="1"/>
  <c r="AC22" i="1" a="1"/>
  <c r="AC22" i="1" s="1"/>
  <c r="AB22" i="1" a="1"/>
  <c r="AB22" i="1" s="1"/>
  <c r="AA22" i="1" a="1"/>
  <c r="AA22" i="1" s="1"/>
  <c r="Z22" i="1" a="1"/>
  <c r="Z22" i="1" s="1"/>
  <c r="Y22" i="1" a="1"/>
  <c r="Y22" i="1" s="1"/>
  <c r="X22" i="1" a="1"/>
  <c r="X22" i="1" s="1"/>
  <c r="W22" i="1" a="1"/>
  <c r="W22" i="1" s="1"/>
  <c r="U22" i="1"/>
  <c r="U21" i="1"/>
  <c r="AJ21" i="1" s="1" a="1"/>
  <c r="AJ21" i="1" s="1"/>
  <c r="AK20" i="1" a="1"/>
  <c r="AK20" i="1" s="1"/>
  <c r="AJ20" i="1" a="1"/>
  <c r="AJ20" i="1" s="1"/>
  <c r="AI20" i="1" a="1"/>
  <c r="AI20" i="1" s="1"/>
  <c r="AH20" i="1" a="1"/>
  <c r="AH20" i="1" s="1"/>
  <c r="AG20" i="1" a="1"/>
  <c r="AG20" i="1" s="1"/>
  <c r="AF20" i="1" a="1"/>
  <c r="AF20" i="1" s="1"/>
  <c r="AE20" i="1" a="1"/>
  <c r="AE20" i="1" s="1"/>
  <c r="AD20" i="1" a="1"/>
  <c r="AD20" i="1" s="1"/>
  <c r="AC20" i="1" a="1"/>
  <c r="AC20" i="1" s="1"/>
  <c r="AB20" i="1" a="1"/>
  <c r="AB20" i="1" s="1"/>
  <c r="AA20" i="1" a="1"/>
  <c r="AA20" i="1" s="1"/>
  <c r="Z20" i="1" a="1"/>
  <c r="Z20" i="1" s="1"/>
  <c r="Y20" i="1" a="1"/>
  <c r="Y20" i="1" s="1"/>
  <c r="X20" i="1" a="1"/>
  <c r="X20" i="1" s="1"/>
  <c r="W20" i="1" a="1"/>
  <c r="W20" i="1" s="1"/>
  <c r="U20" i="1"/>
  <c r="U19" i="1"/>
  <c r="AI19" i="1" s="1" a="1"/>
  <c r="AI19" i="1" s="1"/>
  <c r="AK18" i="1" a="1"/>
  <c r="AK18" i="1" s="1"/>
  <c r="AJ18" i="1" a="1"/>
  <c r="AJ18" i="1" s="1"/>
  <c r="AI18" i="1" a="1"/>
  <c r="AI18" i="1" s="1"/>
  <c r="AH18" i="1" a="1"/>
  <c r="AH18" i="1" s="1"/>
  <c r="AG18" i="1" a="1"/>
  <c r="AG18" i="1" s="1"/>
  <c r="AF18" i="1" a="1"/>
  <c r="AF18" i="1" s="1"/>
  <c r="AE18" i="1" a="1"/>
  <c r="AE18" i="1" s="1"/>
  <c r="AD18" i="1" a="1"/>
  <c r="AD18" i="1" s="1"/>
  <c r="AC18" i="1" a="1"/>
  <c r="AC18" i="1" s="1"/>
  <c r="AB18" i="1" a="1"/>
  <c r="AB18" i="1" s="1"/>
  <c r="AA18" i="1" a="1"/>
  <c r="AA18" i="1" s="1"/>
  <c r="Z18" i="1" a="1"/>
  <c r="Z18" i="1" s="1"/>
  <c r="Y18" i="1" a="1"/>
  <c r="Y18" i="1" s="1"/>
  <c r="X18" i="1" a="1"/>
  <c r="X18" i="1" s="1"/>
  <c r="W18" i="1" a="1"/>
  <c r="W18" i="1" s="1"/>
  <c r="U18" i="1"/>
  <c r="U17" i="1"/>
  <c r="AH17" i="1" s="1" a="1"/>
  <c r="AH17" i="1" s="1"/>
  <c r="AG7" i="1"/>
  <c r="AG2" i="1"/>
  <c r="AZ9" i="520"/>
  <c r="AZ10" i="520"/>
  <c r="AZ11" i="520"/>
  <c r="AZ12" i="520"/>
  <c r="AZ13" i="520"/>
  <c r="AZ14" i="520"/>
  <c r="AZ15" i="520"/>
  <c r="AZ16" i="520"/>
  <c r="AZ17" i="520"/>
  <c r="AZ18" i="520"/>
  <c r="AZ19" i="520"/>
  <c r="AZ20" i="520"/>
  <c r="AZ21" i="520"/>
  <c r="AZ22" i="520"/>
  <c r="AZ23" i="520"/>
  <c r="AZ24" i="520"/>
  <c r="AZ25" i="520"/>
  <c r="AZ26" i="520"/>
  <c r="AZ27" i="520"/>
  <c r="AZ28" i="520"/>
  <c r="W71" i="1" l="1" a="1"/>
  <c r="W71" i="1" s="1"/>
  <c r="AE71" i="1" a="1"/>
  <c r="AE71" i="1" s="1"/>
  <c r="X71" i="1" a="1"/>
  <c r="X71" i="1" s="1"/>
  <c r="AF71" i="1" a="1"/>
  <c r="AF71" i="1" s="1"/>
  <c r="AJ50" i="1" a="1"/>
  <c r="AJ50" i="1" s="1"/>
  <c r="AJ66" i="1" a="1"/>
  <c r="AJ66" i="1" s="1"/>
  <c r="Y71" i="1" a="1"/>
  <c r="Y71" i="1" s="1"/>
  <c r="AG71" i="1" a="1"/>
  <c r="AG71" i="1" s="1"/>
  <c r="AF69" i="1" a="1"/>
  <c r="AF69" i="1" s="1"/>
  <c r="Y70" i="1" a="1"/>
  <c r="Y70" i="1" s="1"/>
  <c r="AG70" i="1" a="1"/>
  <c r="AG70" i="1" s="1"/>
  <c r="Z71" i="1" a="1"/>
  <c r="Z71" i="1" s="1"/>
  <c r="AH71" i="1" a="1"/>
  <c r="AH71" i="1" s="1"/>
  <c r="AJ48" i="1" a="1"/>
  <c r="AJ48" i="1" s="1"/>
  <c r="AJ56" i="1" a="1"/>
  <c r="AJ56" i="1" s="1"/>
  <c r="AJ64" i="1" a="1"/>
  <c r="AJ64" i="1" s="1"/>
  <c r="AK65" i="1" a="1"/>
  <c r="AK65" i="1" s="1"/>
  <c r="X60" i="1" a="1"/>
  <c r="X60" i="1" s="1"/>
  <c r="Y61" i="1" a="1"/>
  <c r="Y61" i="1" s="1"/>
  <c r="Z62" i="1" a="1"/>
  <c r="Z62" i="1" s="1"/>
  <c r="AH62" i="1" a="1"/>
  <c r="AH62" i="1" s="1"/>
  <c r="AA63" i="1" a="1"/>
  <c r="AA63" i="1" s="1"/>
  <c r="AI63" i="1"/>
  <c r="AB64" i="1" a="1"/>
  <c r="AB64" i="1" s="1"/>
  <c r="W67" i="1" a="1"/>
  <c r="W67" i="1" s="1"/>
  <c r="X68" i="1" a="1"/>
  <c r="X68" i="1" s="1"/>
  <c r="Y69" i="1" a="1"/>
  <c r="Y69" i="1" s="1"/>
  <c r="AG69" i="1" a="1"/>
  <c r="AG69" i="1" s="1"/>
  <c r="Z70" i="1" a="1"/>
  <c r="Z70" i="1" s="1"/>
  <c r="AH70" i="1" a="1"/>
  <c r="AH70" i="1" s="1"/>
  <c r="AA71" i="1" a="1"/>
  <c r="AA71" i="1" s="1"/>
  <c r="AI71" i="1"/>
  <c r="AJ55" i="1" a="1"/>
  <c r="AJ55" i="1" s="1"/>
  <c r="AJ63" i="1" a="1"/>
  <c r="AJ63" i="1" s="1"/>
  <c r="AJ71" i="1" a="1"/>
  <c r="AJ71" i="1" s="1"/>
  <c r="AH69" i="1" a="1"/>
  <c r="AH69" i="1" s="1"/>
  <c r="AA70" i="1" a="1"/>
  <c r="AA70" i="1" s="1"/>
  <c r="AI70" i="1"/>
  <c r="AB71" i="1" a="1"/>
  <c r="AB71" i="1" s="1"/>
  <c r="AJ70" i="1" a="1"/>
  <c r="AJ70" i="1" s="1"/>
  <c r="AK71" i="1" a="1"/>
  <c r="AK71" i="1" s="1"/>
  <c r="AA17" i="1" a="1"/>
  <c r="AA17" i="1" s="1"/>
  <c r="AI17" i="1" a="1"/>
  <c r="AI17" i="1" s="1"/>
  <c r="AB19" i="1" a="1"/>
  <c r="AB19" i="1" s="1"/>
  <c r="AJ19" i="1" a="1"/>
  <c r="AJ19" i="1" s="1"/>
  <c r="AC21" i="1" a="1"/>
  <c r="AC21" i="1" s="1"/>
  <c r="AK21" i="1" a="1"/>
  <c r="AK21" i="1" s="1"/>
  <c r="AD23" i="1" a="1"/>
  <c r="AD23" i="1" s="1"/>
  <c r="W25" i="1" a="1"/>
  <c r="W25" i="1" s="1"/>
  <c r="AE25" i="1" a="1"/>
  <c r="AE25" i="1" s="1"/>
  <c r="X27" i="1" a="1"/>
  <c r="X27" i="1" s="1"/>
  <c r="AF27" i="1" a="1"/>
  <c r="AF27" i="1" s="1"/>
  <c r="Y29" i="1" a="1"/>
  <c r="Y29" i="1" s="1"/>
  <c r="AG29" i="1" a="1"/>
  <c r="AG29" i="1" s="1"/>
  <c r="Z31" i="1" a="1"/>
  <c r="Z31" i="1" s="1"/>
  <c r="AH31" i="1" a="1"/>
  <c r="AH31" i="1" s="1"/>
  <c r="AA33" i="1" a="1"/>
  <c r="AA33" i="1" s="1"/>
  <c r="AI33" i="1" a="1"/>
  <c r="AI33" i="1" s="1"/>
  <c r="AB35" i="1" a="1"/>
  <c r="AB35" i="1" s="1"/>
  <c r="AJ35" i="1" a="1"/>
  <c r="AJ35" i="1" s="1"/>
  <c r="AC37" i="1" a="1"/>
  <c r="AC37" i="1" s="1"/>
  <c r="AK37" i="1" a="1"/>
  <c r="AK37" i="1" s="1"/>
  <c r="AD39" i="1" a="1"/>
  <c r="AD39" i="1" s="1"/>
  <c r="AB17" i="1" a="1"/>
  <c r="AB17" i="1" s="1"/>
  <c r="AJ17" i="1" a="1"/>
  <c r="AJ17" i="1" s="1"/>
  <c r="AC19" i="1" a="1"/>
  <c r="AC19" i="1" s="1"/>
  <c r="AK19" i="1" a="1"/>
  <c r="AK19" i="1" s="1"/>
  <c r="AD21" i="1" a="1"/>
  <c r="AD21" i="1" s="1"/>
  <c r="W23" i="1" a="1"/>
  <c r="W23" i="1" s="1"/>
  <c r="AE23" i="1" a="1"/>
  <c r="AE23" i="1" s="1"/>
  <c r="X25" i="1" a="1"/>
  <c r="X25" i="1" s="1"/>
  <c r="AF25" i="1" a="1"/>
  <c r="AF25" i="1" s="1"/>
  <c r="Y27" i="1" a="1"/>
  <c r="Y27" i="1" s="1"/>
  <c r="AG27" i="1" a="1"/>
  <c r="AG27" i="1" s="1"/>
  <c r="Z29" i="1" a="1"/>
  <c r="Z29" i="1" s="1"/>
  <c r="AH29" i="1" a="1"/>
  <c r="AH29" i="1" s="1"/>
  <c r="AA31" i="1" a="1"/>
  <c r="AA31" i="1" s="1"/>
  <c r="AI31" i="1" a="1"/>
  <c r="AI31" i="1" s="1"/>
  <c r="AB33" i="1" a="1"/>
  <c r="AB33" i="1" s="1"/>
  <c r="AJ33" i="1" a="1"/>
  <c r="AJ33" i="1" s="1"/>
  <c r="AC35" i="1" a="1"/>
  <c r="AC35" i="1" s="1"/>
  <c r="AK35" i="1" a="1"/>
  <c r="AK35" i="1" s="1"/>
  <c r="AD37" i="1" a="1"/>
  <c r="AD37" i="1" s="1"/>
  <c r="W39" i="1" a="1"/>
  <c r="W39" i="1" s="1"/>
  <c r="AE39" i="1" a="1"/>
  <c r="AE39" i="1" s="1"/>
  <c r="AC17" i="1" a="1"/>
  <c r="AC17" i="1" s="1"/>
  <c r="AK17" i="1" a="1"/>
  <c r="AK17" i="1" s="1"/>
  <c r="AD19" i="1" a="1"/>
  <c r="AD19" i="1" s="1"/>
  <c r="W21" i="1" a="1"/>
  <c r="W21" i="1" s="1"/>
  <c r="AE21" i="1" a="1"/>
  <c r="AE21" i="1" s="1"/>
  <c r="X23" i="1" a="1"/>
  <c r="X23" i="1" s="1"/>
  <c r="AF23" i="1" a="1"/>
  <c r="AF23" i="1" s="1"/>
  <c r="Y25" i="1" a="1"/>
  <c r="Y25" i="1" s="1"/>
  <c r="AG25" i="1" a="1"/>
  <c r="AG25" i="1" s="1"/>
  <c r="Z27" i="1" a="1"/>
  <c r="Z27" i="1" s="1"/>
  <c r="AH27" i="1" a="1"/>
  <c r="AH27" i="1" s="1"/>
  <c r="AA29" i="1" a="1"/>
  <c r="AA29" i="1" s="1"/>
  <c r="AI29" i="1" a="1"/>
  <c r="AI29" i="1" s="1"/>
  <c r="AB31" i="1" a="1"/>
  <c r="AB31" i="1" s="1"/>
  <c r="AJ31" i="1" a="1"/>
  <c r="AJ31" i="1" s="1"/>
  <c r="AC33" i="1" a="1"/>
  <c r="AC33" i="1" s="1"/>
  <c r="AK33" i="1" a="1"/>
  <c r="AK33" i="1" s="1"/>
  <c r="AD35" i="1" a="1"/>
  <c r="AD35" i="1" s="1"/>
  <c r="W37" i="1" a="1"/>
  <c r="W37" i="1" s="1"/>
  <c r="AE37" i="1" a="1"/>
  <c r="AE37" i="1" s="1"/>
  <c r="X39" i="1" a="1"/>
  <c r="X39" i="1" s="1"/>
  <c r="AF39" i="1" a="1"/>
  <c r="AF39" i="1" s="1"/>
  <c r="AD17" i="1" a="1"/>
  <c r="AD17" i="1" s="1"/>
  <c r="W19" i="1" a="1"/>
  <c r="W19" i="1" s="1"/>
  <c r="AE19" i="1" a="1"/>
  <c r="AE19" i="1" s="1"/>
  <c r="X21" i="1" a="1"/>
  <c r="X21" i="1" s="1"/>
  <c r="AF21" i="1" a="1"/>
  <c r="AF21" i="1" s="1"/>
  <c r="Y23" i="1" a="1"/>
  <c r="Y23" i="1" s="1"/>
  <c r="AG23" i="1" a="1"/>
  <c r="AG23" i="1" s="1"/>
  <c r="Z25" i="1" a="1"/>
  <c r="Z25" i="1" s="1"/>
  <c r="AH25" i="1" a="1"/>
  <c r="AH25" i="1" s="1"/>
  <c r="AA27" i="1" a="1"/>
  <c r="AA27" i="1" s="1"/>
  <c r="AI27" i="1" a="1"/>
  <c r="AI27" i="1" s="1"/>
  <c r="AB29" i="1" a="1"/>
  <c r="AB29" i="1" s="1"/>
  <c r="AJ29" i="1" a="1"/>
  <c r="AJ29" i="1" s="1"/>
  <c r="AC31" i="1" a="1"/>
  <c r="AC31" i="1" s="1"/>
  <c r="AK31" i="1" a="1"/>
  <c r="AK31" i="1" s="1"/>
  <c r="AD33" i="1" a="1"/>
  <c r="AD33" i="1" s="1"/>
  <c r="W35" i="1" a="1"/>
  <c r="W35" i="1" s="1"/>
  <c r="AE35" i="1" a="1"/>
  <c r="AE35" i="1" s="1"/>
  <c r="X37" i="1" a="1"/>
  <c r="X37" i="1" s="1"/>
  <c r="AF37" i="1" a="1"/>
  <c r="AF37" i="1" s="1"/>
  <c r="Y39" i="1" a="1"/>
  <c r="Y39" i="1" s="1"/>
  <c r="AG39" i="1" a="1"/>
  <c r="AG39" i="1" s="1"/>
  <c r="AG38" i="1" a="1"/>
  <c r="AG38" i="1" s="1"/>
  <c r="Z40" i="1" a="1"/>
  <c r="Z40" i="1" s="1"/>
  <c r="AH40" i="1" a="1"/>
  <c r="AH40" i="1" s="1"/>
  <c r="W17" i="1" a="1"/>
  <c r="W17" i="1" s="1"/>
  <c r="AE17" i="1" a="1"/>
  <c r="AE17" i="1" s="1"/>
  <c r="X19" i="1" a="1"/>
  <c r="X19" i="1" s="1"/>
  <c r="AF19" i="1" a="1"/>
  <c r="AF19" i="1" s="1"/>
  <c r="Y21" i="1" a="1"/>
  <c r="Y21" i="1" s="1"/>
  <c r="AG21" i="1" a="1"/>
  <c r="AG21" i="1" s="1"/>
  <c r="Z23" i="1" a="1"/>
  <c r="Z23" i="1" s="1"/>
  <c r="AH23" i="1" a="1"/>
  <c r="AH23" i="1" s="1"/>
  <c r="AA25" i="1" a="1"/>
  <c r="AA25" i="1" s="1"/>
  <c r="AI25" i="1" a="1"/>
  <c r="AI25" i="1" s="1"/>
  <c r="AB27" i="1" a="1"/>
  <c r="AB27" i="1" s="1"/>
  <c r="AJ27" i="1" a="1"/>
  <c r="AJ27" i="1" s="1"/>
  <c r="AC29" i="1" a="1"/>
  <c r="AC29" i="1" s="1"/>
  <c r="AK29" i="1" a="1"/>
  <c r="AK29" i="1" s="1"/>
  <c r="AD31" i="1" a="1"/>
  <c r="AD31" i="1" s="1"/>
  <c r="W33" i="1" a="1"/>
  <c r="W33" i="1" s="1"/>
  <c r="AE33" i="1" a="1"/>
  <c r="AE33" i="1" s="1"/>
  <c r="X35" i="1" a="1"/>
  <c r="X35" i="1" s="1"/>
  <c r="AF35" i="1" a="1"/>
  <c r="AF35" i="1" s="1"/>
  <c r="Y37" i="1" a="1"/>
  <c r="Y37" i="1" s="1"/>
  <c r="AG37" i="1" a="1"/>
  <c r="AG37" i="1" s="1"/>
  <c r="Z39" i="1" a="1"/>
  <c r="Z39" i="1" s="1"/>
  <c r="AH39" i="1" a="1"/>
  <c r="AH39" i="1" s="1"/>
  <c r="AI40" i="1" a="1"/>
  <c r="AI40" i="1" s="1"/>
  <c r="X17" i="1" a="1"/>
  <c r="X17" i="1" s="1"/>
  <c r="AF17" i="1" a="1"/>
  <c r="AF17" i="1" s="1"/>
  <c r="Y19" i="1" a="1"/>
  <c r="Y19" i="1" s="1"/>
  <c r="AG19" i="1" a="1"/>
  <c r="AG19" i="1" s="1"/>
  <c r="Z21" i="1" a="1"/>
  <c r="Z21" i="1" s="1"/>
  <c r="AH21" i="1" a="1"/>
  <c r="AH21" i="1" s="1"/>
  <c r="AA23" i="1" a="1"/>
  <c r="AA23" i="1" s="1"/>
  <c r="AI23" i="1" a="1"/>
  <c r="AI23" i="1" s="1"/>
  <c r="AB25" i="1" a="1"/>
  <c r="AB25" i="1" s="1"/>
  <c r="AJ25" i="1" a="1"/>
  <c r="AJ25" i="1" s="1"/>
  <c r="AC27" i="1" a="1"/>
  <c r="AC27" i="1" s="1"/>
  <c r="AK27" i="1" a="1"/>
  <c r="AK27" i="1" s="1"/>
  <c r="AD29" i="1" a="1"/>
  <c r="AD29" i="1" s="1"/>
  <c r="W31" i="1" a="1"/>
  <c r="W31" i="1" s="1"/>
  <c r="AE31" i="1" a="1"/>
  <c r="AE31" i="1" s="1"/>
  <c r="X33" i="1" a="1"/>
  <c r="X33" i="1" s="1"/>
  <c r="AF33" i="1" a="1"/>
  <c r="AF33" i="1" s="1"/>
  <c r="Y35" i="1" a="1"/>
  <c r="Y35" i="1" s="1"/>
  <c r="AG35" i="1" a="1"/>
  <c r="AG35" i="1" s="1"/>
  <c r="Z37" i="1" a="1"/>
  <c r="Z37" i="1" s="1"/>
  <c r="AH37" i="1" a="1"/>
  <c r="AH37" i="1" s="1"/>
  <c r="AA39" i="1" a="1"/>
  <c r="AA39" i="1" s="1"/>
  <c r="AI39" i="1" a="1"/>
  <c r="AI39" i="1" s="1"/>
  <c r="AJ40" i="1" a="1"/>
  <c r="AJ40" i="1" s="1"/>
  <c r="Y17" i="1" a="1"/>
  <c r="Y17" i="1" s="1"/>
  <c r="AG17" i="1" a="1"/>
  <c r="AG17" i="1" s="1"/>
  <c r="Z19" i="1" a="1"/>
  <c r="Z19" i="1" s="1"/>
  <c r="AH19" i="1" a="1"/>
  <c r="AH19" i="1" s="1"/>
  <c r="AA21" i="1" a="1"/>
  <c r="AA21" i="1" s="1"/>
  <c r="AI21" i="1" a="1"/>
  <c r="AI21" i="1" s="1"/>
  <c r="AB23" i="1" a="1"/>
  <c r="AB23" i="1" s="1"/>
  <c r="AJ23" i="1" a="1"/>
  <c r="AJ23" i="1" s="1"/>
  <c r="AC25" i="1" a="1"/>
  <c r="AC25" i="1" s="1"/>
  <c r="AK25" i="1" a="1"/>
  <c r="AK25" i="1" s="1"/>
  <c r="AD27" i="1" a="1"/>
  <c r="AD27" i="1" s="1"/>
  <c r="W29" i="1" a="1"/>
  <c r="W29" i="1" s="1"/>
  <c r="AE29" i="1" a="1"/>
  <c r="AE29" i="1" s="1"/>
  <c r="X31" i="1" a="1"/>
  <c r="X31" i="1" s="1"/>
  <c r="AF31" i="1" a="1"/>
  <c r="AF31" i="1" s="1"/>
  <c r="Y33" i="1" a="1"/>
  <c r="Y33" i="1" s="1"/>
  <c r="AG33" i="1" a="1"/>
  <c r="AG33" i="1" s="1"/>
  <c r="Z35" i="1" a="1"/>
  <c r="Z35" i="1" s="1"/>
  <c r="AH35" i="1" a="1"/>
  <c r="AH35" i="1" s="1"/>
  <c r="AA37" i="1" a="1"/>
  <c r="AA37" i="1" s="1"/>
  <c r="AI37" i="1" a="1"/>
  <c r="AI37" i="1" s="1"/>
  <c r="AB39" i="1" a="1"/>
  <c r="AB39" i="1" s="1"/>
  <c r="AJ39" i="1" a="1"/>
  <c r="AJ39" i="1" s="1"/>
  <c r="AC40" i="1" a="1"/>
  <c r="AC40" i="1" s="1"/>
  <c r="Z17" i="1" a="1"/>
  <c r="Z17" i="1" s="1"/>
  <c r="AA19" i="1" a="1"/>
  <c r="AA19" i="1" s="1"/>
  <c r="AB21" i="1" a="1"/>
  <c r="AB21" i="1" s="1"/>
  <c r="AC23" i="1" a="1"/>
  <c r="AC23" i="1" s="1"/>
  <c r="W27" i="1" a="1"/>
  <c r="W27" i="1" s="1"/>
  <c r="X29" i="1" a="1"/>
  <c r="X29" i="1" s="1"/>
  <c r="Y31" i="1" a="1"/>
  <c r="Y31" i="1" s="1"/>
  <c r="Z33" i="1" a="1"/>
  <c r="Z33" i="1" s="1"/>
  <c r="AA35" i="1" a="1"/>
  <c r="AA35" i="1" s="1"/>
  <c r="AB37" i="1" a="1"/>
  <c r="AB37" i="1" s="1"/>
  <c r="AC39" i="1" a="1"/>
  <c r="AC39" i="1" s="1"/>
  <c r="BA4" i="520" a="1"/>
  <c r="BA4" i="520" s="1"/>
  <c r="BB4" i="520"/>
  <c r="BD4" i="520"/>
  <c r="AY70" i="8"/>
  <c r="AX70" i="8"/>
  <c r="AT70" i="8"/>
  <c r="AS70" i="8"/>
  <c r="AY69" i="8"/>
  <c r="AX69" i="8"/>
  <c r="AT69" i="8"/>
  <c r="AS69" i="8"/>
  <c r="AY68" i="8"/>
  <c r="AX68" i="8"/>
  <c r="AT68" i="8"/>
  <c r="AS68" i="8"/>
  <c r="AY67" i="8"/>
  <c r="AX67" i="8"/>
  <c r="AT67" i="8"/>
  <c r="AS67" i="8"/>
  <c r="AY66" i="8"/>
  <c r="AX66" i="8"/>
  <c r="AT66" i="8"/>
  <c r="AS66" i="8"/>
  <c r="AY65" i="8"/>
  <c r="AX65" i="8"/>
  <c r="AT65" i="8"/>
  <c r="AS65" i="8"/>
  <c r="AY64" i="8"/>
  <c r="AX64" i="8"/>
  <c r="AT64" i="8"/>
  <c r="AS64" i="8"/>
  <c r="AY63" i="8"/>
  <c r="AX63" i="8"/>
  <c r="AT63" i="8"/>
  <c r="AS63" i="8"/>
  <c r="AY62" i="8"/>
  <c r="AX62" i="8"/>
  <c r="AT62" i="8"/>
  <c r="AS62" i="8"/>
  <c r="AY61" i="8"/>
  <c r="AX61" i="8"/>
  <c r="AT61" i="8"/>
  <c r="AS61" i="8"/>
  <c r="AY60" i="8"/>
  <c r="AX60" i="8"/>
  <c r="AT60" i="8"/>
  <c r="AS60" i="8"/>
  <c r="AY59" i="8"/>
  <c r="AX59" i="8"/>
  <c r="AT59" i="8"/>
  <c r="AS59" i="8"/>
  <c r="AY58" i="8"/>
  <c r="AX58" i="8"/>
  <c r="AT58" i="8"/>
  <c r="AS58" i="8"/>
  <c r="AY57" i="8"/>
  <c r="AX57" i="8"/>
  <c r="AT57" i="8"/>
  <c r="AS57" i="8"/>
  <c r="AY56" i="8"/>
  <c r="AX56" i="8"/>
  <c r="AT56" i="8"/>
  <c r="AS56" i="8"/>
  <c r="AY55" i="8"/>
  <c r="AX55" i="8"/>
  <c r="AT55" i="8"/>
  <c r="AS55" i="8"/>
  <c r="AY54" i="8"/>
  <c r="AX54" i="8"/>
  <c r="AT54" i="8"/>
  <c r="AS54" i="8"/>
  <c r="AY53" i="8"/>
  <c r="AX53" i="8"/>
  <c r="AT53" i="8"/>
  <c r="AS53" i="8"/>
  <c r="AY52" i="8"/>
  <c r="AX52" i="8"/>
  <c r="AT52" i="8"/>
  <c r="AS52" i="8"/>
  <c r="AY51" i="8"/>
  <c r="AX51" i="8"/>
  <c r="AT51" i="8"/>
  <c r="AS51" i="8"/>
  <c r="AY50" i="8"/>
  <c r="AX50" i="8"/>
  <c r="AT50" i="8"/>
  <c r="AS50" i="8"/>
  <c r="AY49" i="8"/>
  <c r="AX49" i="8"/>
  <c r="AT49" i="8"/>
  <c r="AS49" i="8"/>
  <c r="AY48" i="8"/>
  <c r="AX48" i="8"/>
  <c r="AT48" i="8"/>
  <c r="AS48" i="8"/>
  <c r="AY47" i="8"/>
  <c r="AX47" i="8"/>
  <c r="AT47" i="8"/>
  <c r="AS47" i="8"/>
  <c r="AY46" i="8"/>
  <c r="AX46" i="8"/>
  <c r="AT46" i="8"/>
  <c r="AS46" i="8"/>
  <c r="AY45" i="8"/>
  <c r="AX45" i="8"/>
  <c r="AT45" i="8"/>
  <c r="AS45" i="8"/>
  <c r="AY44" i="8"/>
  <c r="AX44" i="8"/>
  <c r="AT44" i="8"/>
  <c r="AS44" i="8"/>
  <c r="AY43" i="8"/>
  <c r="AX43" i="8"/>
  <c r="AT43" i="8"/>
  <c r="AS43" i="8"/>
  <c r="AY42" i="8"/>
  <c r="AX42" i="8"/>
  <c r="AT42" i="8"/>
  <c r="AS42" i="8"/>
  <c r="AY41" i="8"/>
  <c r="AX41" i="8"/>
  <c r="AT41" i="8"/>
  <c r="AS41" i="8"/>
  <c r="AY40" i="8"/>
  <c r="AX40" i="8"/>
  <c r="AT40" i="8"/>
  <c r="AS40" i="8"/>
  <c r="AY39" i="8"/>
  <c r="AX39" i="8"/>
  <c r="AT39" i="8"/>
  <c r="AS39" i="8"/>
  <c r="AY38" i="8"/>
  <c r="AX38" i="8"/>
  <c r="AT38" i="8"/>
  <c r="AS38" i="8"/>
  <c r="AY37" i="8"/>
  <c r="AX37" i="8"/>
  <c r="AT37" i="8"/>
  <c r="AS37" i="8"/>
  <c r="AY36" i="8"/>
  <c r="AX36" i="8"/>
  <c r="AT36" i="8"/>
  <c r="AS36" i="8"/>
  <c r="AY35" i="8"/>
  <c r="AX35" i="8"/>
  <c r="AT35" i="8"/>
  <c r="AS35" i="8"/>
  <c r="AY34" i="8"/>
  <c r="AX34" i="8"/>
  <c r="AT34" i="8"/>
  <c r="AS34" i="8"/>
  <c r="AY33" i="8"/>
  <c r="AX33" i="8"/>
  <c r="AT33" i="8"/>
  <c r="AS33" i="8"/>
  <c r="AY32" i="8"/>
  <c r="AX32" i="8"/>
  <c r="AT32" i="8"/>
  <c r="AS32" i="8"/>
  <c r="AY31" i="8"/>
  <c r="AX31" i="8"/>
  <c r="AT31" i="8"/>
  <c r="AS31" i="8"/>
  <c r="AY30" i="8"/>
  <c r="AX30" i="8"/>
  <c r="AT30" i="8"/>
  <c r="AS30" i="8"/>
  <c r="AY29" i="8"/>
  <c r="AX29" i="8"/>
  <c r="AT29" i="8"/>
  <c r="AS29" i="8"/>
  <c r="AY28" i="8"/>
  <c r="AX28" i="8"/>
  <c r="AT28" i="8"/>
  <c r="AS28" i="8"/>
  <c r="AY27" i="8"/>
  <c r="AX27" i="8"/>
  <c r="AT27" i="8"/>
  <c r="AS27" i="8"/>
  <c r="AY26" i="8"/>
  <c r="AX26" i="8"/>
  <c r="AT26" i="8"/>
  <c r="AS26" i="8"/>
  <c r="AY25" i="8"/>
  <c r="AX25" i="8"/>
  <c r="AT25" i="8"/>
  <c r="AS25" i="8"/>
  <c r="AY24" i="8"/>
  <c r="AX24" i="8"/>
  <c r="AT24" i="8"/>
  <c r="AS24" i="8"/>
  <c r="AY23" i="8"/>
  <c r="AX23" i="8"/>
  <c r="AT23" i="8"/>
  <c r="AS23" i="8"/>
  <c r="AY22" i="8"/>
  <c r="AX22" i="8"/>
  <c r="AT22" i="8"/>
  <c r="AS22" i="8"/>
  <c r="AY21" i="8"/>
  <c r="AX21" i="8"/>
  <c r="AT21" i="8"/>
  <c r="AS21" i="8"/>
  <c r="AY20" i="8"/>
  <c r="AX20" i="8"/>
  <c r="AT20" i="8"/>
  <c r="AS20" i="8"/>
  <c r="AY19" i="8"/>
  <c r="AX19" i="8"/>
  <c r="AT19" i="8"/>
  <c r="AS19" i="8"/>
  <c r="AY18" i="8"/>
  <c r="AX18" i="8"/>
  <c r="AT18" i="8"/>
  <c r="AS18" i="8"/>
  <c r="AY17" i="8"/>
  <c r="AX17" i="8"/>
  <c r="AT17" i="8"/>
  <c r="AS17" i="8"/>
  <c r="AY16" i="8"/>
  <c r="AX16" i="8"/>
  <c r="AT16" i="8"/>
  <c r="AS16" i="8"/>
  <c r="AY15" i="8"/>
  <c r="AX15" i="8"/>
  <c r="AT15" i="8"/>
  <c r="AS15" i="8"/>
  <c r="AY14" i="8"/>
  <c r="AX14" i="8"/>
  <c r="AT14" i="8"/>
  <c r="AS14" i="8"/>
  <c r="AY13" i="8"/>
  <c r="AX13" i="8"/>
  <c r="AT13" i="8"/>
  <c r="AS13" i="8"/>
  <c r="AY12" i="8"/>
  <c r="AX12" i="8"/>
  <c r="AT12" i="8"/>
  <c r="AS12" i="8"/>
  <c r="AY11" i="8"/>
  <c r="AX11" i="8"/>
  <c r="AT11" i="8"/>
  <c r="AS11" i="8"/>
  <c r="AY10" i="8"/>
  <c r="AX10" i="8"/>
  <c r="AT10" i="8"/>
  <c r="AS10" i="8"/>
  <c r="AY9" i="8"/>
  <c r="AX9" i="8"/>
  <c r="AT9" i="8"/>
  <c r="AS9" i="8"/>
  <c r="AY8" i="8"/>
  <c r="AX8" i="8"/>
  <c r="AT8" i="8"/>
  <c r="AS8" i="8"/>
  <c r="AY7" i="8"/>
  <c r="AX7" i="8"/>
  <c r="AT7" i="8"/>
  <c r="AS7" i="8"/>
  <c r="AY6" i="8"/>
  <c r="AX6" i="8"/>
  <c r="AT6" i="8"/>
  <c r="AS6" i="8"/>
  <c r="AM51" i="1"/>
  <c r="AM52" i="1"/>
  <c r="AM53" i="1"/>
  <c r="AM54" i="1"/>
  <c r="AM55" i="1"/>
  <c r="AM56" i="1"/>
  <c r="AM57" i="1"/>
  <c r="Q2" i="523" a="1"/>
  <c r="Q2" i="523" s="1"/>
  <c r="BD12" i="520"/>
  <c r="BB12" i="520"/>
  <c r="BA12" i="520" a="1"/>
  <c r="BA12" i="520" s="1"/>
  <c r="AV10" i="520" a="1"/>
  <c r="AW12" i="520" a="1"/>
  <c r="AV12" i="520" a="1"/>
  <c r="AT54" i="1" l="1" a="1"/>
  <c r="AT54" i="1" s="1"/>
  <c r="AU54" i="1" a="1"/>
  <c r="AU54" i="1" s="1"/>
  <c r="AU53" i="1" a="1"/>
  <c r="AU53" i="1" s="1"/>
  <c r="AT53" i="1" a="1"/>
  <c r="AT53" i="1" s="1"/>
  <c r="AU52" i="1" a="1"/>
  <c r="AU52" i="1" s="1"/>
  <c r="AT52" i="1" a="1"/>
  <c r="AT52" i="1" s="1"/>
  <c r="AU57" i="1" a="1"/>
  <c r="AU57" i="1" s="1"/>
  <c r="AT57" i="1" a="1"/>
  <c r="AT57" i="1" s="1"/>
  <c r="AT56" i="1" a="1"/>
  <c r="AT56" i="1" s="1"/>
  <c r="AU56" i="1" a="1"/>
  <c r="AU56" i="1" s="1"/>
  <c r="AT55" i="1" a="1"/>
  <c r="AT55" i="1" s="1"/>
  <c r="AU55" i="1" a="1"/>
  <c r="AU55" i="1" s="1"/>
  <c r="AU51" i="1" a="1"/>
  <c r="AU51" i="1" s="1"/>
  <c r="AT51" i="1" a="1"/>
  <c r="AT51" i="1" s="1"/>
  <c r="AV10" i="520"/>
  <c r="AV12" i="520"/>
  <c r="AW12" i="520"/>
  <c r="BP12" i="520" l="1"/>
  <c r="CF12" i="520"/>
  <c r="BI12" i="520"/>
  <c r="BW12" i="520"/>
  <c r="BH12" i="520"/>
  <c r="BG12" i="520"/>
  <c r="BV12" i="520"/>
  <c r="CJ12" i="520"/>
  <c r="BU12" i="520"/>
  <c r="CI12" i="520"/>
  <c r="BT12" i="520"/>
  <c r="CH12" i="520"/>
  <c r="BS12" i="520"/>
  <c r="BR12" i="520"/>
  <c r="CE12" i="520"/>
  <c r="BQ12" i="520"/>
  <c r="CD12" i="520"/>
  <c r="BO12" i="520"/>
  <c r="BN12" i="520"/>
  <c r="BM12" i="520"/>
  <c r="BK12" i="520"/>
  <c r="BY12" i="520"/>
  <c r="BJ12" i="520"/>
  <c r="DB12" i="520"/>
  <c r="CL12" i="520"/>
  <c r="CK12" i="520"/>
  <c r="CG12" i="520"/>
  <c r="CY12" i="520"/>
  <c r="CC12" i="520"/>
  <c r="CB12" i="520"/>
  <c r="CW12" i="520"/>
  <c r="BL12" i="520"/>
  <c r="CA12" i="520"/>
  <c r="BZ12" i="520"/>
  <c r="CU12" i="520"/>
  <c r="BX12" i="520"/>
  <c r="CT12" i="520"/>
  <c r="CR12" i="520"/>
  <c r="CQ12" i="520"/>
  <c r="CN12" i="520"/>
  <c r="DH12" i="520"/>
  <c r="DG12" i="520"/>
  <c r="DF12" i="520"/>
  <c r="DE12" i="520"/>
  <c r="DA12" i="520"/>
  <c r="DD12" i="520"/>
  <c r="CZ12" i="520"/>
  <c r="DC12" i="520"/>
  <c r="CX12" i="520"/>
  <c r="DR12" i="520"/>
  <c r="CV12" i="520"/>
  <c r="DQ12" i="520"/>
  <c r="CS12" i="520"/>
  <c r="DP12" i="520"/>
  <c r="CP12" i="520"/>
  <c r="DO12" i="520"/>
  <c r="CO12" i="520"/>
  <c r="DN12" i="520"/>
  <c r="CM12" i="520"/>
  <c r="DM12" i="520"/>
  <c r="DL12" i="520"/>
  <c r="DK12" i="520"/>
  <c r="DJ12" i="520"/>
  <c r="DI12" i="520"/>
  <c r="U47" i="1"/>
  <c r="U16" i="1"/>
  <c r="AC16" i="1" l="1" a="1"/>
  <c r="AC16" i="1" s="1"/>
  <c r="AB16" i="1" a="1"/>
  <c r="AB16" i="1" s="1"/>
  <c r="AG16" i="1" a="1"/>
  <c r="AG16" i="1" s="1"/>
  <c r="AA16" i="1" a="1"/>
  <c r="AA16" i="1" s="1"/>
  <c r="Z16" i="1" a="1"/>
  <c r="Z16" i="1" s="1"/>
  <c r="Y16" i="1" a="1"/>
  <c r="Y16" i="1" s="1"/>
  <c r="X16" i="1" a="1"/>
  <c r="X16" i="1" s="1"/>
  <c r="W16" i="1" a="1"/>
  <c r="W16" i="1" s="1"/>
  <c r="AH16" i="1" a="1"/>
  <c r="AH16" i="1" s="1"/>
  <c r="AF16" i="1" a="1"/>
  <c r="AF16" i="1" s="1"/>
  <c r="AK16" i="1" a="1"/>
  <c r="AK16" i="1" s="1"/>
  <c r="AI16" i="1" a="1"/>
  <c r="AI16" i="1" s="1"/>
  <c r="AD16" i="1" a="1"/>
  <c r="AD16" i="1" s="1"/>
  <c r="AE16" i="1" a="1"/>
  <c r="AE16" i="1" s="1"/>
  <c r="AA47" i="1" a="1"/>
  <c r="AA47" i="1" s="1"/>
  <c r="Z47" i="1" a="1"/>
  <c r="Z47" i="1" s="1"/>
  <c r="AB47" i="1" a="1"/>
  <c r="AB47" i="1" s="1"/>
  <c r="Y47" i="1" a="1"/>
  <c r="Y47" i="1" s="1"/>
  <c r="X47" i="1" a="1"/>
  <c r="X47" i="1" s="1"/>
  <c r="AK47" i="1" a="1"/>
  <c r="AK47" i="1" s="1"/>
  <c r="AC47" i="1" a="1"/>
  <c r="AC47" i="1" s="1"/>
  <c r="W47" i="1" a="1"/>
  <c r="W47" i="1" s="1"/>
  <c r="AD47" i="1" a="1"/>
  <c r="AD47" i="1" s="1"/>
  <c r="AJ47" i="1" a="1"/>
  <c r="AJ47" i="1" s="1"/>
  <c r="AH47" i="1" a="1"/>
  <c r="AH47" i="1" s="1"/>
  <c r="AG47" i="1" a="1"/>
  <c r="AG47" i="1" s="1"/>
  <c r="AF47" i="1" a="1"/>
  <c r="AF47" i="1" s="1"/>
  <c r="AE47" i="1" a="1"/>
  <c r="AE47" i="1" s="1"/>
  <c r="BJ18" i="6"/>
  <c r="AD18" i="6"/>
  <c r="BJ10" i="6"/>
  <c r="AD10" i="6"/>
  <c r="BJ9" i="6"/>
  <c r="AD9" i="6"/>
  <c r="BJ8" i="6"/>
  <c r="AD8" i="6"/>
  <c r="BJ21" i="6"/>
  <c r="AD21" i="6"/>
  <c r="BJ20" i="6"/>
  <c r="AD20" i="6"/>
  <c r="BJ19" i="6"/>
  <c r="AD19" i="6"/>
  <c r="BJ7" i="6"/>
  <c r="AD7" i="6"/>
  <c r="BJ17" i="6"/>
  <c r="AD17" i="6"/>
  <c r="BJ16" i="6"/>
  <c r="AD16" i="6"/>
  <c r="BJ15" i="6"/>
  <c r="AD15" i="6"/>
  <c r="BJ14" i="6"/>
  <c r="AD14" i="6"/>
  <c r="BJ13" i="6"/>
  <c r="AD13" i="6"/>
  <c r="BJ12" i="6"/>
  <c r="AD12" i="6"/>
  <c r="BJ11" i="6"/>
  <c r="AD11" i="6"/>
  <c r="BJ6" i="6"/>
  <c r="AD6" i="6"/>
  <c r="DV137" i="6"/>
  <c r="DV136" i="6"/>
  <c r="DV135" i="6"/>
  <c r="DV134" i="6"/>
  <c r="DV133" i="6"/>
  <c r="DV132" i="6"/>
  <c r="DV131" i="6"/>
  <c r="DV130" i="6"/>
  <c r="DV129" i="6"/>
  <c r="DV128" i="6"/>
  <c r="DV127" i="6"/>
  <c r="DV126" i="6"/>
  <c r="DV125" i="6"/>
  <c r="DV124" i="6"/>
  <c r="DV123" i="6"/>
  <c r="DV122" i="6"/>
  <c r="DV121" i="6"/>
  <c r="DV120" i="6"/>
  <c r="DV119" i="6"/>
  <c r="DV118" i="6"/>
  <c r="DV117" i="6"/>
  <c r="DV116" i="6"/>
  <c r="DV115" i="6"/>
  <c r="DV114" i="6"/>
  <c r="DV113" i="6"/>
  <c r="DV112" i="6"/>
  <c r="DV111" i="6"/>
  <c r="DV110" i="6"/>
  <c r="DV109" i="6"/>
  <c r="DV108" i="6"/>
  <c r="DV107" i="6"/>
  <c r="DV106" i="6"/>
  <c r="DV105" i="6"/>
  <c r="DV104" i="6"/>
  <c r="DV103" i="6"/>
  <c r="DV102" i="6"/>
  <c r="DV101" i="6"/>
  <c r="DV100" i="6"/>
  <c r="DV99" i="6"/>
  <c r="DV98" i="6"/>
  <c r="DV97" i="6"/>
  <c r="DV96" i="6"/>
  <c r="DV95" i="6"/>
  <c r="DV94" i="6"/>
  <c r="DV93" i="6"/>
  <c r="DV92" i="6"/>
  <c r="DV91" i="6"/>
  <c r="DV90" i="6"/>
  <c r="DV89" i="6"/>
  <c r="DV88" i="6"/>
  <c r="DV87" i="6"/>
  <c r="DV86" i="6"/>
  <c r="DV85" i="6"/>
  <c r="DV84" i="6"/>
  <c r="DV83" i="6"/>
  <c r="DV82" i="6"/>
  <c r="DV81" i="6"/>
  <c r="DV80" i="6"/>
  <c r="DV79" i="6"/>
  <c r="DV78" i="6"/>
  <c r="DV77" i="6"/>
  <c r="DV76" i="6"/>
  <c r="DV75" i="6"/>
  <c r="DV74" i="6"/>
  <c r="DV73" i="6"/>
  <c r="DV72" i="6"/>
  <c r="DV71" i="6"/>
  <c r="DV70" i="6"/>
  <c r="DV69" i="6"/>
  <c r="DV68" i="6"/>
  <c r="DV67" i="6"/>
  <c r="DV66" i="6"/>
  <c r="DV65" i="6"/>
  <c r="DV64" i="6"/>
  <c r="DV63" i="6"/>
  <c r="DV62" i="6"/>
  <c r="DV61" i="6"/>
  <c r="DV60" i="6"/>
  <c r="DV59" i="6"/>
  <c r="DV58" i="6"/>
  <c r="DV57" i="6"/>
  <c r="DV56" i="6"/>
  <c r="DV55" i="6"/>
  <c r="DV54" i="6"/>
  <c r="DV53" i="6"/>
  <c r="DV52" i="6"/>
  <c r="DV51" i="6"/>
  <c r="DV50" i="6"/>
  <c r="DV49" i="6"/>
  <c r="DV48" i="6"/>
  <c r="DV47" i="6"/>
  <c r="DV46" i="6"/>
  <c r="DV45" i="6"/>
  <c r="DV44" i="6"/>
  <c r="DV43" i="6"/>
  <c r="DV42" i="6"/>
  <c r="DV41" i="6"/>
  <c r="DV40" i="6"/>
  <c r="DV39" i="6"/>
  <c r="DV38" i="6"/>
  <c r="DV37" i="6"/>
  <c r="DV36" i="6"/>
  <c r="DV35" i="6"/>
  <c r="DV34" i="6"/>
  <c r="DV33" i="6"/>
  <c r="DV32" i="6"/>
  <c r="DV31" i="6"/>
  <c r="DV30" i="6"/>
  <c r="DV29" i="6"/>
  <c r="DV28" i="6"/>
  <c r="DV27" i="6"/>
  <c r="DV26" i="6"/>
  <c r="DV25" i="6"/>
  <c r="DV24" i="6"/>
  <c r="DV23" i="6"/>
  <c r="DV22" i="6"/>
  <c r="DV21" i="6"/>
  <c r="DV20" i="6"/>
  <c r="DV19" i="6"/>
  <c r="DV18" i="6"/>
  <c r="DV17" i="6"/>
  <c r="DV16" i="6"/>
  <c r="DV15" i="6"/>
  <c r="DV14" i="6"/>
  <c r="DV13" i="6"/>
  <c r="DV12" i="6"/>
  <c r="DV11" i="6"/>
  <c r="DV10" i="6"/>
  <c r="DV9" i="6"/>
  <c r="DV8" i="6"/>
  <c r="DV7" i="6"/>
  <c r="DV6" i="6"/>
  <c r="U41" i="1" l="1"/>
  <c r="BA2" i="529" a="1"/>
  <c r="BA2" i="529" s="1"/>
  <c r="AN2" i="529" a="1"/>
  <c r="AN2" i="529" s="1"/>
  <c r="AA2" i="529" a="1"/>
  <c r="AA2" i="529" s="1"/>
  <c r="N2" i="529" a="1"/>
  <c r="N2" i="529" s="1"/>
  <c r="BM2" i="528" a="1"/>
  <c r="BM2" i="528" s="1"/>
  <c r="AW2" i="528" a="1"/>
  <c r="AW2" i="528" s="1"/>
  <c r="AG2" i="528" a="1"/>
  <c r="AG2" i="528" s="1"/>
  <c r="Q2" i="528" a="1"/>
  <c r="R87" i="107"/>
  <c r="R86" i="107"/>
  <c r="R85" i="107"/>
  <c r="U83" i="107" a="1"/>
  <c r="U83" i="107" s="1"/>
  <c r="T83" i="107"/>
  <c r="U82" i="107"/>
  <c r="T82" i="107"/>
  <c r="K81" i="107"/>
  <c r="R71" i="107"/>
  <c r="R70" i="107"/>
  <c r="R69" i="107"/>
  <c r="W67" i="107"/>
  <c r="V67" i="107" a="1"/>
  <c r="V67" i="107" s="1"/>
  <c r="U67" i="107" a="1"/>
  <c r="U67" i="107" s="1"/>
  <c r="T67" i="107" a="1"/>
  <c r="T67" i="107" s="1"/>
  <c r="W66" i="107"/>
  <c r="V66" i="107"/>
  <c r="U66" i="107" a="1"/>
  <c r="U66" i="107" s="1"/>
  <c r="T66" i="107" a="1"/>
  <c r="T66" i="107" s="1"/>
  <c r="K65" i="107"/>
  <c r="AF40" i="107"/>
  <c r="AE40" i="107"/>
  <c r="AD40" i="107"/>
  <c r="AC40" i="107"/>
  <c r="AB40" i="107"/>
  <c r="AA40" i="107"/>
  <c r="Z40" i="107"/>
  <c r="Y40" i="107"/>
  <c r="X40" i="107"/>
  <c r="W40" i="107"/>
  <c r="V40" i="107"/>
  <c r="U40" i="107"/>
  <c r="AF30" i="107"/>
  <c r="AE30" i="107"/>
  <c r="AD30" i="107"/>
  <c r="AC30" i="107"/>
  <c r="AB30" i="107"/>
  <c r="AA30" i="107"/>
  <c r="Z30" i="107"/>
  <c r="Y30" i="107"/>
  <c r="X30" i="107"/>
  <c r="W30" i="107"/>
  <c r="V30" i="107"/>
  <c r="U30" i="107"/>
  <c r="AF20" i="107"/>
  <c r="AE20" i="107"/>
  <c r="AD20" i="107"/>
  <c r="AC20" i="107"/>
  <c r="AB20" i="107"/>
  <c r="AA20" i="107"/>
  <c r="Z20" i="107"/>
  <c r="Y20" i="107"/>
  <c r="X20" i="107"/>
  <c r="W20" i="107"/>
  <c r="V20" i="107"/>
  <c r="U20" i="107"/>
  <c r="AF10" i="107"/>
  <c r="AE10" i="107"/>
  <c r="AD10" i="107"/>
  <c r="AC10" i="107"/>
  <c r="AB10" i="107"/>
  <c r="AA10" i="107"/>
  <c r="Z10" i="107"/>
  <c r="Y10" i="107"/>
  <c r="X10" i="107"/>
  <c r="W10" i="107"/>
  <c r="V10" i="107"/>
  <c r="U10" i="107"/>
  <c r="AJ6" i="107"/>
  <c r="AI6" i="107"/>
  <c r="AJ5" i="107"/>
  <c r="AI5" i="107"/>
  <c r="AJ4" i="107"/>
  <c r="AI4" i="107"/>
  <c r="AJ3" i="107"/>
  <c r="AI3" i="107"/>
  <c r="U87" i="2" a="1"/>
  <c r="U87" i="2" s="1"/>
  <c r="T87" i="2"/>
  <c r="R87" i="2"/>
  <c r="U86" i="2"/>
  <c r="T86" i="2"/>
  <c r="R86" i="2"/>
  <c r="R85" i="2"/>
  <c r="K81" i="2"/>
  <c r="W71" i="2"/>
  <c r="V71" i="2" a="1"/>
  <c r="V71" i="2" s="1"/>
  <c r="T71" i="2" a="1"/>
  <c r="T71" i="2" s="1"/>
  <c r="R71" i="2"/>
  <c r="W70" i="2"/>
  <c r="V70" i="2"/>
  <c r="U70" i="2" a="1"/>
  <c r="U70" i="2" s="1"/>
  <c r="U71" i="2" s="1" a="1"/>
  <c r="U71" i="2" s="1"/>
  <c r="T70" i="2" a="1"/>
  <c r="T70" i="2" s="1"/>
  <c r="R70" i="2"/>
  <c r="R69" i="2"/>
  <c r="K65" i="2"/>
  <c r="AF40" i="2"/>
  <c r="AE40" i="2"/>
  <c r="AD40" i="2"/>
  <c r="AC40" i="2"/>
  <c r="AB40" i="2"/>
  <c r="AA40" i="2"/>
  <c r="Z40" i="2"/>
  <c r="Y40" i="2"/>
  <c r="X40" i="2"/>
  <c r="W40" i="2"/>
  <c r="V40" i="2"/>
  <c r="U40" i="2"/>
  <c r="AF30" i="2"/>
  <c r="AE30" i="2"/>
  <c r="AD30" i="2"/>
  <c r="AC30" i="2"/>
  <c r="AB30" i="2"/>
  <c r="AA30" i="2"/>
  <c r="Z30" i="2"/>
  <c r="Y30" i="2"/>
  <c r="X30" i="2"/>
  <c r="W30" i="2"/>
  <c r="V30" i="2"/>
  <c r="U30" i="2"/>
  <c r="AF20" i="2"/>
  <c r="AE20" i="2"/>
  <c r="AD20" i="2"/>
  <c r="AC20" i="2"/>
  <c r="AB20" i="2"/>
  <c r="AA20" i="2"/>
  <c r="Z20" i="2"/>
  <c r="Y20" i="2"/>
  <c r="X20" i="2"/>
  <c r="W20" i="2"/>
  <c r="V20" i="2"/>
  <c r="U20" i="2"/>
  <c r="AF10" i="2"/>
  <c r="AE10" i="2"/>
  <c r="AD10" i="2"/>
  <c r="AC10" i="2"/>
  <c r="AB10" i="2"/>
  <c r="AA10" i="2"/>
  <c r="Z10" i="2"/>
  <c r="Y10" i="2"/>
  <c r="X10" i="2"/>
  <c r="W10" i="2"/>
  <c r="V10" i="2"/>
  <c r="U10" i="2"/>
  <c r="AJ6" i="2"/>
  <c r="AI6" i="2"/>
  <c r="AJ5" i="2"/>
  <c r="AI5" i="2"/>
  <c r="AJ4" i="2"/>
  <c r="AI4" i="2"/>
  <c r="AJ3" i="2"/>
  <c r="AI3" i="2"/>
  <c r="AF1003" i="254"/>
  <c r="AE1003" i="254"/>
  <c r="AD1003" i="254"/>
  <c r="AC1003" i="254"/>
  <c r="AB1003" i="254"/>
  <c r="AA1003" i="254"/>
  <c r="Z1003" i="254"/>
  <c r="Y1003" i="254"/>
  <c r="X1003" i="254"/>
  <c r="W1003" i="254"/>
  <c r="V1003" i="254"/>
  <c r="U1003" i="254"/>
  <c r="T1003" i="254"/>
  <c r="S1003" i="254"/>
  <c r="R1003" i="254"/>
  <c r="Q1003" i="254"/>
  <c r="P1003" i="254"/>
  <c r="O1003" i="254"/>
  <c r="N1003" i="254"/>
  <c r="M1003" i="254"/>
  <c r="L1003" i="254"/>
  <c r="K1003" i="254"/>
  <c r="J1003" i="254"/>
  <c r="I1003" i="254"/>
  <c r="H1003" i="254"/>
  <c r="G1003" i="254"/>
  <c r="F1003" i="254"/>
  <c r="E1003" i="254"/>
  <c r="D1003" i="254"/>
  <c r="C1003" i="254"/>
  <c r="B1003" i="254"/>
  <c r="A1003" i="254"/>
  <c r="AF1002" i="254"/>
  <c r="AE1002" i="254"/>
  <c r="AD1002" i="254"/>
  <c r="AC1002" i="254"/>
  <c r="AB1002" i="254"/>
  <c r="AA1002" i="254"/>
  <c r="Z1002" i="254"/>
  <c r="Y1002" i="254"/>
  <c r="X1002" i="254"/>
  <c r="W1002" i="254"/>
  <c r="V1002" i="254"/>
  <c r="U1002" i="254"/>
  <c r="T1002" i="254"/>
  <c r="S1002" i="254"/>
  <c r="R1002" i="254"/>
  <c r="Q1002" i="254"/>
  <c r="P1002" i="254"/>
  <c r="O1002" i="254"/>
  <c r="N1002" i="254"/>
  <c r="M1002" i="254"/>
  <c r="L1002" i="254"/>
  <c r="K1002" i="254"/>
  <c r="J1002" i="254"/>
  <c r="I1002" i="254"/>
  <c r="H1002" i="254"/>
  <c r="G1002" i="254"/>
  <c r="F1002" i="254"/>
  <c r="E1002" i="254"/>
  <c r="D1002" i="254"/>
  <c r="C1002" i="254"/>
  <c r="B1002" i="254"/>
  <c r="A1002" i="254"/>
  <c r="AF1001" i="254"/>
  <c r="AE1001" i="254"/>
  <c r="AD1001" i="254"/>
  <c r="AC1001" i="254"/>
  <c r="AB1001" i="254"/>
  <c r="AA1001" i="254"/>
  <c r="Z1001" i="254"/>
  <c r="Y1001" i="254"/>
  <c r="X1001" i="254"/>
  <c r="W1001" i="254"/>
  <c r="V1001" i="254"/>
  <c r="U1001" i="254"/>
  <c r="T1001" i="254"/>
  <c r="S1001" i="254"/>
  <c r="R1001" i="254"/>
  <c r="Q1001" i="254"/>
  <c r="P1001" i="254"/>
  <c r="O1001" i="254"/>
  <c r="N1001" i="254"/>
  <c r="M1001" i="254"/>
  <c r="L1001" i="254"/>
  <c r="K1001" i="254"/>
  <c r="J1001" i="254"/>
  <c r="I1001" i="254"/>
  <c r="H1001" i="254"/>
  <c r="G1001" i="254"/>
  <c r="F1001" i="254"/>
  <c r="E1001" i="254"/>
  <c r="D1001" i="254"/>
  <c r="C1001" i="254"/>
  <c r="B1001" i="254"/>
  <c r="A1001" i="254"/>
  <c r="AF1000" i="254"/>
  <c r="AE1000" i="254"/>
  <c r="AD1000" i="254"/>
  <c r="AC1000" i="254"/>
  <c r="AB1000" i="254"/>
  <c r="AA1000" i="254"/>
  <c r="Z1000" i="254"/>
  <c r="Y1000" i="254"/>
  <c r="X1000" i="254"/>
  <c r="W1000" i="254"/>
  <c r="V1000" i="254"/>
  <c r="U1000" i="254"/>
  <c r="T1000" i="254"/>
  <c r="S1000" i="254"/>
  <c r="R1000" i="254"/>
  <c r="Q1000" i="254"/>
  <c r="P1000" i="254"/>
  <c r="O1000" i="254"/>
  <c r="N1000" i="254"/>
  <c r="M1000" i="254"/>
  <c r="L1000" i="254"/>
  <c r="K1000" i="254"/>
  <c r="J1000" i="254"/>
  <c r="I1000" i="254"/>
  <c r="H1000" i="254"/>
  <c r="G1000" i="254"/>
  <c r="F1000" i="254"/>
  <c r="E1000" i="254"/>
  <c r="D1000" i="254"/>
  <c r="C1000" i="254"/>
  <c r="B1000" i="254"/>
  <c r="A1000" i="254"/>
  <c r="AF999" i="254"/>
  <c r="AE999" i="254"/>
  <c r="AD999" i="254"/>
  <c r="AC999" i="254"/>
  <c r="AB999" i="254"/>
  <c r="AA999" i="254"/>
  <c r="Z999" i="254"/>
  <c r="Y999" i="254"/>
  <c r="X999" i="254"/>
  <c r="W999" i="254"/>
  <c r="V999" i="254"/>
  <c r="U999" i="254"/>
  <c r="T999" i="254"/>
  <c r="S999" i="254"/>
  <c r="R999" i="254"/>
  <c r="Q999" i="254"/>
  <c r="P999" i="254"/>
  <c r="O999" i="254"/>
  <c r="N999" i="254"/>
  <c r="M999" i="254"/>
  <c r="L999" i="254"/>
  <c r="K999" i="254"/>
  <c r="J999" i="254"/>
  <c r="I999" i="254"/>
  <c r="H999" i="254"/>
  <c r="G999" i="254"/>
  <c r="F999" i="254"/>
  <c r="E999" i="254"/>
  <c r="D999" i="254"/>
  <c r="C999" i="254"/>
  <c r="B999" i="254"/>
  <c r="A999" i="254"/>
  <c r="AF998" i="254"/>
  <c r="AE998" i="254"/>
  <c r="AD998" i="254"/>
  <c r="AC998" i="254"/>
  <c r="AB998" i="254"/>
  <c r="AA998" i="254"/>
  <c r="Z998" i="254"/>
  <c r="Y998" i="254"/>
  <c r="X998" i="254"/>
  <c r="W998" i="254"/>
  <c r="V998" i="254"/>
  <c r="U998" i="254"/>
  <c r="T998" i="254"/>
  <c r="S998" i="254"/>
  <c r="R998" i="254"/>
  <c r="Q998" i="254"/>
  <c r="P998" i="254"/>
  <c r="O998" i="254"/>
  <c r="N998" i="254"/>
  <c r="M998" i="254"/>
  <c r="L998" i="254"/>
  <c r="K998" i="254"/>
  <c r="J998" i="254"/>
  <c r="I998" i="254"/>
  <c r="H998" i="254"/>
  <c r="G998" i="254"/>
  <c r="F998" i="254"/>
  <c r="E998" i="254"/>
  <c r="D998" i="254"/>
  <c r="C998" i="254"/>
  <c r="B998" i="254"/>
  <c r="A998" i="254"/>
  <c r="AF997" i="254"/>
  <c r="AE997" i="254"/>
  <c r="AD997" i="254"/>
  <c r="AC997" i="254"/>
  <c r="AB997" i="254"/>
  <c r="AA997" i="254"/>
  <c r="Z997" i="254"/>
  <c r="Y997" i="254"/>
  <c r="X997" i="254"/>
  <c r="W997" i="254"/>
  <c r="V997" i="254"/>
  <c r="U997" i="254"/>
  <c r="T997" i="254"/>
  <c r="S997" i="254"/>
  <c r="R997" i="254"/>
  <c r="Q997" i="254"/>
  <c r="P997" i="254"/>
  <c r="O997" i="254"/>
  <c r="N997" i="254"/>
  <c r="M997" i="254"/>
  <c r="L997" i="254"/>
  <c r="K997" i="254"/>
  <c r="J997" i="254"/>
  <c r="I997" i="254"/>
  <c r="H997" i="254"/>
  <c r="G997" i="254"/>
  <c r="F997" i="254"/>
  <c r="E997" i="254"/>
  <c r="D997" i="254"/>
  <c r="C997" i="254"/>
  <c r="B997" i="254"/>
  <c r="A997" i="254"/>
  <c r="AF996" i="254"/>
  <c r="AE996" i="254"/>
  <c r="AD996" i="254"/>
  <c r="AC996" i="254"/>
  <c r="AB996" i="254"/>
  <c r="AA996" i="254"/>
  <c r="Z996" i="254"/>
  <c r="Y996" i="254"/>
  <c r="X996" i="254"/>
  <c r="W996" i="254"/>
  <c r="V996" i="254"/>
  <c r="U996" i="254"/>
  <c r="T996" i="254"/>
  <c r="S996" i="254"/>
  <c r="R996" i="254"/>
  <c r="Q996" i="254"/>
  <c r="P996" i="254"/>
  <c r="O996" i="254"/>
  <c r="N996" i="254"/>
  <c r="M996" i="254"/>
  <c r="L996" i="254"/>
  <c r="K996" i="254"/>
  <c r="J996" i="254"/>
  <c r="I996" i="254"/>
  <c r="H996" i="254"/>
  <c r="G996" i="254"/>
  <c r="F996" i="254"/>
  <c r="E996" i="254"/>
  <c r="D996" i="254"/>
  <c r="C996" i="254"/>
  <c r="B996" i="254"/>
  <c r="A996" i="254"/>
  <c r="AF995" i="254"/>
  <c r="AE995" i="254"/>
  <c r="AD995" i="254"/>
  <c r="AC995" i="254"/>
  <c r="AB995" i="254"/>
  <c r="AA995" i="254"/>
  <c r="Z995" i="254"/>
  <c r="Y995" i="254"/>
  <c r="X995" i="254"/>
  <c r="W995" i="254"/>
  <c r="V995" i="254"/>
  <c r="U995" i="254"/>
  <c r="T995" i="254"/>
  <c r="S995" i="254"/>
  <c r="R995" i="254"/>
  <c r="Q995" i="254"/>
  <c r="P995" i="254"/>
  <c r="O995" i="254"/>
  <c r="N995" i="254"/>
  <c r="M995" i="254"/>
  <c r="L995" i="254"/>
  <c r="K995" i="254"/>
  <c r="J995" i="254"/>
  <c r="I995" i="254"/>
  <c r="H995" i="254"/>
  <c r="G995" i="254"/>
  <c r="F995" i="254"/>
  <c r="E995" i="254"/>
  <c r="D995" i="254"/>
  <c r="C995" i="254"/>
  <c r="B995" i="254"/>
  <c r="A995" i="254"/>
  <c r="AF994" i="254"/>
  <c r="AE994" i="254"/>
  <c r="AD994" i="254"/>
  <c r="AC994" i="254"/>
  <c r="AB994" i="254"/>
  <c r="AA994" i="254"/>
  <c r="Z994" i="254"/>
  <c r="Y994" i="254"/>
  <c r="X994" i="254"/>
  <c r="W994" i="254"/>
  <c r="V994" i="254"/>
  <c r="U994" i="254"/>
  <c r="T994" i="254"/>
  <c r="S994" i="254"/>
  <c r="R994" i="254"/>
  <c r="Q994" i="254"/>
  <c r="P994" i="254"/>
  <c r="O994" i="254"/>
  <c r="N994" i="254"/>
  <c r="M994" i="254"/>
  <c r="L994" i="254"/>
  <c r="K994" i="254"/>
  <c r="J994" i="254"/>
  <c r="I994" i="254"/>
  <c r="H994" i="254"/>
  <c r="G994" i="254"/>
  <c r="F994" i="254"/>
  <c r="E994" i="254"/>
  <c r="D994" i="254"/>
  <c r="C994" i="254"/>
  <c r="B994" i="254"/>
  <c r="A994" i="254"/>
  <c r="AF993" i="254"/>
  <c r="AE993" i="254"/>
  <c r="AD993" i="254"/>
  <c r="AC993" i="254"/>
  <c r="AB993" i="254"/>
  <c r="AA993" i="254"/>
  <c r="Z993" i="254"/>
  <c r="Y993" i="254"/>
  <c r="X993" i="254"/>
  <c r="W993" i="254"/>
  <c r="V993" i="254"/>
  <c r="U993" i="254"/>
  <c r="T993" i="254"/>
  <c r="S993" i="254"/>
  <c r="R993" i="254"/>
  <c r="Q993" i="254"/>
  <c r="P993" i="254"/>
  <c r="O993" i="254"/>
  <c r="N993" i="254"/>
  <c r="M993" i="254"/>
  <c r="L993" i="254"/>
  <c r="K993" i="254"/>
  <c r="J993" i="254"/>
  <c r="I993" i="254"/>
  <c r="H993" i="254"/>
  <c r="G993" i="254"/>
  <c r="F993" i="254"/>
  <c r="E993" i="254"/>
  <c r="D993" i="254"/>
  <c r="C993" i="254"/>
  <c r="B993" i="254"/>
  <c r="A993" i="254"/>
  <c r="AF992" i="254"/>
  <c r="AE992" i="254"/>
  <c r="AD992" i="254"/>
  <c r="AC992" i="254"/>
  <c r="AB992" i="254"/>
  <c r="AA992" i="254"/>
  <c r="Z992" i="254"/>
  <c r="Y992" i="254"/>
  <c r="X992" i="254"/>
  <c r="W992" i="254"/>
  <c r="V992" i="254"/>
  <c r="U992" i="254"/>
  <c r="T992" i="254"/>
  <c r="S992" i="254"/>
  <c r="R992" i="254"/>
  <c r="Q992" i="254"/>
  <c r="P992" i="254"/>
  <c r="O992" i="254"/>
  <c r="N992" i="254"/>
  <c r="M992" i="254"/>
  <c r="L992" i="254"/>
  <c r="K992" i="254"/>
  <c r="J992" i="254"/>
  <c r="I992" i="254"/>
  <c r="H992" i="254"/>
  <c r="G992" i="254"/>
  <c r="F992" i="254"/>
  <c r="E992" i="254"/>
  <c r="D992" i="254"/>
  <c r="C992" i="254"/>
  <c r="B992" i="254"/>
  <c r="A992" i="254"/>
  <c r="AF991" i="254"/>
  <c r="AE991" i="254"/>
  <c r="AD991" i="254"/>
  <c r="AC991" i="254"/>
  <c r="AB991" i="254"/>
  <c r="AA991" i="254"/>
  <c r="Z991" i="254"/>
  <c r="Y991" i="254"/>
  <c r="X991" i="254"/>
  <c r="W991" i="254"/>
  <c r="V991" i="254"/>
  <c r="U991" i="254"/>
  <c r="T991" i="254"/>
  <c r="S991" i="254"/>
  <c r="R991" i="254"/>
  <c r="Q991" i="254"/>
  <c r="P991" i="254"/>
  <c r="O991" i="254"/>
  <c r="N991" i="254"/>
  <c r="M991" i="254"/>
  <c r="L991" i="254"/>
  <c r="K991" i="254"/>
  <c r="J991" i="254"/>
  <c r="I991" i="254"/>
  <c r="H991" i="254"/>
  <c r="G991" i="254"/>
  <c r="F991" i="254"/>
  <c r="E991" i="254"/>
  <c r="D991" i="254"/>
  <c r="C991" i="254"/>
  <c r="B991" i="254"/>
  <c r="A991" i="254"/>
  <c r="AF990" i="254"/>
  <c r="AE990" i="254"/>
  <c r="AD990" i="254"/>
  <c r="AC990" i="254"/>
  <c r="AB990" i="254"/>
  <c r="AA990" i="254"/>
  <c r="Z990" i="254"/>
  <c r="Y990" i="254"/>
  <c r="X990" i="254"/>
  <c r="W990" i="254"/>
  <c r="V990" i="254"/>
  <c r="U990" i="254"/>
  <c r="T990" i="254"/>
  <c r="S990" i="254"/>
  <c r="R990" i="254"/>
  <c r="Q990" i="254"/>
  <c r="P990" i="254"/>
  <c r="O990" i="254"/>
  <c r="N990" i="254"/>
  <c r="M990" i="254"/>
  <c r="L990" i="254"/>
  <c r="K990" i="254"/>
  <c r="J990" i="254"/>
  <c r="I990" i="254"/>
  <c r="H990" i="254"/>
  <c r="G990" i="254"/>
  <c r="F990" i="254"/>
  <c r="E990" i="254"/>
  <c r="D990" i="254"/>
  <c r="C990" i="254"/>
  <c r="B990" i="254"/>
  <c r="A990" i="254"/>
  <c r="AF989" i="254"/>
  <c r="AE989" i="254"/>
  <c r="AD989" i="254"/>
  <c r="AC989" i="254"/>
  <c r="AB989" i="254"/>
  <c r="AA989" i="254"/>
  <c r="Z989" i="254"/>
  <c r="Y989" i="254"/>
  <c r="X989" i="254"/>
  <c r="W989" i="254"/>
  <c r="V989" i="254"/>
  <c r="U989" i="254"/>
  <c r="T989" i="254"/>
  <c r="S989" i="254"/>
  <c r="R989" i="254"/>
  <c r="Q989" i="254"/>
  <c r="P989" i="254"/>
  <c r="O989" i="254"/>
  <c r="N989" i="254"/>
  <c r="M989" i="254"/>
  <c r="L989" i="254"/>
  <c r="K989" i="254"/>
  <c r="J989" i="254"/>
  <c r="I989" i="254"/>
  <c r="H989" i="254"/>
  <c r="G989" i="254"/>
  <c r="F989" i="254"/>
  <c r="E989" i="254"/>
  <c r="D989" i="254"/>
  <c r="C989" i="254"/>
  <c r="B989" i="254"/>
  <c r="A989" i="254"/>
  <c r="AF988" i="254"/>
  <c r="AE988" i="254"/>
  <c r="AD988" i="254"/>
  <c r="AC988" i="254"/>
  <c r="AB988" i="254"/>
  <c r="AA988" i="254"/>
  <c r="Z988" i="254"/>
  <c r="Y988" i="254"/>
  <c r="X988" i="254"/>
  <c r="W988" i="254"/>
  <c r="V988" i="254"/>
  <c r="U988" i="254"/>
  <c r="T988" i="254"/>
  <c r="S988" i="254"/>
  <c r="R988" i="254"/>
  <c r="Q988" i="254"/>
  <c r="P988" i="254"/>
  <c r="O988" i="254"/>
  <c r="N988" i="254"/>
  <c r="M988" i="254"/>
  <c r="L988" i="254"/>
  <c r="K988" i="254"/>
  <c r="J988" i="254"/>
  <c r="I988" i="254"/>
  <c r="H988" i="254"/>
  <c r="G988" i="254"/>
  <c r="F988" i="254"/>
  <c r="E988" i="254"/>
  <c r="D988" i="254"/>
  <c r="C988" i="254"/>
  <c r="B988" i="254"/>
  <c r="A988" i="254"/>
  <c r="AF987" i="254"/>
  <c r="AE987" i="254"/>
  <c r="AD987" i="254"/>
  <c r="AC987" i="254"/>
  <c r="AB987" i="254"/>
  <c r="AA987" i="254"/>
  <c r="Z987" i="254"/>
  <c r="Y987" i="254"/>
  <c r="X987" i="254"/>
  <c r="W987" i="254"/>
  <c r="V987" i="254"/>
  <c r="U987" i="254"/>
  <c r="T987" i="254"/>
  <c r="S987" i="254"/>
  <c r="R987" i="254"/>
  <c r="Q987" i="254"/>
  <c r="P987" i="254"/>
  <c r="O987" i="254"/>
  <c r="N987" i="254"/>
  <c r="M987" i="254"/>
  <c r="L987" i="254"/>
  <c r="K987" i="254"/>
  <c r="J987" i="254"/>
  <c r="I987" i="254"/>
  <c r="H987" i="254"/>
  <c r="G987" i="254"/>
  <c r="F987" i="254"/>
  <c r="E987" i="254"/>
  <c r="D987" i="254"/>
  <c r="C987" i="254"/>
  <c r="B987" i="254"/>
  <c r="A987" i="254"/>
  <c r="AF986" i="254"/>
  <c r="AE986" i="254"/>
  <c r="AD986" i="254"/>
  <c r="AC986" i="254"/>
  <c r="AB986" i="254"/>
  <c r="AA986" i="254"/>
  <c r="Z986" i="254"/>
  <c r="Y986" i="254"/>
  <c r="X986" i="254"/>
  <c r="W986" i="254"/>
  <c r="V986" i="254"/>
  <c r="U986" i="254"/>
  <c r="T986" i="254"/>
  <c r="S986" i="254"/>
  <c r="R986" i="254"/>
  <c r="Q986" i="254"/>
  <c r="P986" i="254"/>
  <c r="O986" i="254"/>
  <c r="N986" i="254"/>
  <c r="M986" i="254"/>
  <c r="L986" i="254"/>
  <c r="K986" i="254"/>
  <c r="J986" i="254"/>
  <c r="I986" i="254"/>
  <c r="H986" i="254"/>
  <c r="G986" i="254"/>
  <c r="F986" i="254"/>
  <c r="E986" i="254"/>
  <c r="D986" i="254"/>
  <c r="C986" i="254"/>
  <c r="B986" i="254"/>
  <c r="A986" i="254"/>
  <c r="AF985" i="254"/>
  <c r="AE985" i="254"/>
  <c r="AD985" i="254"/>
  <c r="AC985" i="254"/>
  <c r="AB985" i="254"/>
  <c r="AA985" i="254"/>
  <c r="Z985" i="254"/>
  <c r="Y985" i="254"/>
  <c r="X985" i="254"/>
  <c r="W985" i="254"/>
  <c r="V985" i="254"/>
  <c r="U985" i="254"/>
  <c r="T985" i="254"/>
  <c r="S985" i="254"/>
  <c r="R985" i="254"/>
  <c r="Q985" i="254"/>
  <c r="P985" i="254"/>
  <c r="O985" i="254"/>
  <c r="N985" i="254"/>
  <c r="M985" i="254"/>
  <c r="L985" i="254"/>
  <c r="K985" i="254"/>
  <c r="J985" i="254"/>
  <c r="I985" i="254"/>
  <c r="H985" i="254"/>
  <c r="G985" i="254"/>
  <c r="F985" i="254"/>
  <c r="E985" i="254"/>
  <c r="D985" i="254"/>
  <c r="C985" i="254"/>
  <c r="B985" i="254"/>
  <c r="A985" i="254"/>
  <c r="AF984" i="254"/>
  <c r="AE984" i="254"/>
  <c r="AD984" i="254"/>
  <c r="AC984" i="254"/>
  <c r="AB984" i="254"/>
  <c r="AA984" i="254"/>
  <c r="Z984" i="254"/>
  <c r="Y984" i="254"/>
  <c r="X984" i="254"/>
  <c r="W984" i="254"/>
  <c r="V984" i="254"/>
  <c r="U984" i="254"/>
  <c r="T984" i="254"/>
  <c r="S984" i="254"/>
  <c r="R984" i="254"/>
  <c r="Q984" i="254"/>
  <c r="P984" i="254"/>
  <c r="O984" i="254"/>
  <c r="N984" i="254"/>
  <c r="M984" i="254"/>
  <c r="L984" i="254"/>
  <c r="K984" i="254"/>
  <c r="J984" i="254"/>
  <c r="I984" i="254"/>
  <c r="H984" i="254"/>
  <c r="G984" i="254"/>
  <c r="F984" i="254"/>
  <c r="E984" i="254"/>
  <c r="D984" i="254"/>
  <c r="C984" i="254"/>
  <c r="B984" i="254"/>
  <c r="A984" i="254"/>
  <c r="AF983" i="254"/>
  <c r="AE983" i="254"/>
  <c r="AD983" i="254"/>
  <c r="AC983" i="254"/>
  <c r="AB983" i="254"/>
  <c r="AA983" i="254"/>
  <c r="Z983" i="254"/>
  <c r="Y983" i="254"/>
  <c r="X983" i="254"/>
  <c r="W983" i="254"/>
  <c r="V983" i="254"/>
  <c r="U983" i="254"/>
  <c r="T983" i="254"/>
  <c r="S983" i="254"/>
  <c r="R983" i="254"/>
  <c r="Q983" i="254"/>
  <c r="P983" i="254"/>
  <c r="O983" i="254"/>
  <c r="N983" i="254"/>
  <c r="M983" i="254"/>
  <c r="L983" i="254"/>
  <c r="K983" i="254"/>
  <c r="J983" i="254"/>
  <c r="I983" i="254"/>
  <c r="H983" i="254"/>
  <c r="G983" i="254"/>
  <c r="F983" i="254"/>
  <c r="E983" i="254"/>
  <c r="D983" i="254"/>
  <c r="C983" i="254"/>
  <c r="B983" i="254"/>
  <c r="A983" i="254"/>
  <c r="AF982" i="254"/>
  <c r="AE982" i="254"/>
  <c r="AD982" i="254"/>
  <c r="AC982" i="254"/>
  <c r="AB982" i="254"/>
  <c r="AA982" i="254"/>
  <c r="Z982" i="254"/>
  <c r="Y982" i="254"/>
  <c r="X982" i="254"/>
  <c r="W982" i="254"/>
  <c r="V982" i="254"/>
  <c r="U982" i="254"/>
  <c r="T982" i="254"/>
  <c r="S982" i="254"/>
  <c r="R982" i="254"/>
  <c r="Q982" i="254"/>
  <c r="P982" i="254"/>
  <c r="O982" i="254"/>
  <c r="N982" i="254"/>
  <c r="M982" i="254"/>
  <c r="L982" i="254"/>
  <c r="K982" i="254"/>
  <c r="J982" i="254"/>
  <c r="I982" i="254"/>
  <c r="H982" i="254"/>
  <c r="G982" i="254"/>
  <c r="F982" i="254"/>
  <c r="E982" i="254"/>
  <c r="D982" i="254"/>
  <c r="C982" i="254"/>
  <c r="B982" i="254"/>
  <c r="A982" i="254"/>
  <c r="AF981" i="254"/>
  <c r="AE981" i="254"/>
  <c r="AD981" i="254"/>
  <c r="AC981" i="254"/>
  <c r="AB981" i="254"/>
  <c r="AA981" i="254"/>
  <c r="Z981" i="254"/>
  <c r="Y981" i="254"/>
  <c r="X981" i="254"/>
  <c r="W981" i="254"/>
  <c r="V981" i="254"/>
  <c r="U981" i="254"/>
  <c r="T981" i="254"/>
  <c r="S981" i="254"/>
  <c r="R981" i="254"/>
  <c r="Q981" i="254"/>
  <c r="P981" i="254"/>
  <c r="O981" i="254"/>
  <c r="N981" i="254"/>
  <c r="M981" i="254"/>
  <c r="L981" i="254"/>
  <c r="K981" i="254"/>
  <c r="J981" i="254"/>
  <c r="I981" i="254"/>
  <c r="H981" i="254"/>
  <c r="G981" i="254"/>
  <c r="F981" i="254"/>
  <c r="E981" i="254"/>
  <c r="D981" i="254"/>
  <c r="C981" i="254"/>
  <c r="B981" i="254"/>
  <c r="A981" i="254"/>
  <c r="AF980" i="254"/>
  <c r="AE980" i="254"/>
  <c r="AD980" i="254"/>
  <c r="AC980" i="254"/>
  <c r="AB980" i="254"/>
  <c r="AA980" i="254"/>
  <c r="Z980" i="254"/>
  <c r="Y980" i="254"/>
  <c r="X980" i="254"/>
  <c r="W980" i="254"/>
  <c r="V980" i="254"/>
  <c r="U980" i="254"/>
  <c r="T980" i="254"/>
  <c r="S980" i="254"/>
  <c r="R980" i="254"/>
  <c r="Q980" i="254"/>
  <c r="P980" i="254"/>
  <c r="O980" i="254"/>
  <c r="N980" i="254"/>
  <c r="M980" i="254"/>
  <c r="L980" i="254"/>
  <c r="K980" i="254"/>
  <c r="J980" i="254"/>
  <c r="I980" i="254"/>
  <c r="H980" i="254"/>
  <c r="G980" i="254"/>
  <c r="F980" i="254"/>
  <c r="E980" i="254"/>
  <c r="D980" i="254"/>
  <c r="C980" i="254"/>
  <c r="B980" i="254"/>
  <c r="A980" i="254"/>
  <c r="AF979" i="254"/>
  <c r="AE979" i="254"/>
  <c r="AD979" i="254"/>
  <c r="AC979" i="254"/>
  <c r="AB979" i="254"/>
  <c r="AA979" i="254"/>
  <c r="Z979" i="254"/>
  <c r="Y979" i="254"/>
  <c r="X979" i="254"/>
  <c r="W979" i="254"/>
  <c r="V979" i="254"/>
  <c r="U979" i="254"/>
  <c r="T979" i="254"/>
  <c r="S979" i="254"/>
  <c r="R979" i="254"/>
  <c r="Q979" i="254"/>
  <c r="P979" i="254"/>
  <c r="O979" i="254"/>
  <c r="N979" i="254"/>
  <c r="M979" i="254"/>
  <c r="L979" i="254"/>
  <c r="K979" i="254"/>
  <c r="J979" i="254"/>
  <c r="I979" i="254"/>
  <c r="H979" i="254"/>
  <c r="G979" i="254"/>
  <c r="F979" i="254"/>
  <c r="E979" i="254"/>
  <c r="D979" i="254"/>
  <c r="C979" i="254"/>
  <c r="B979" i="254"/>
  <c r="A979" i="254"/>
  <c r="AF978" i="254"/>
  <c r="AE978" i="254"/>
  <c r="AD978" i="254"/>
  <c r="AC978" i="254"/>
  <c r="AB978" i="254"/>
  <c r="AA978" i="254"/>
  <c r="Z978" i="254"/>
  <c r="Y978" i="254"/>
  <c r="X978" i="254"/>
  <c r="W978" i="254"/>
  <c r="V978" i="254"/>
  <c r="U978" i="254"/>
  <c r="T978" i="254"/>
  <c r="S978" i="254"/>
  <c r="R978" i="254"/>
  <c r="Q978" i="254"/>
  <c r="P978" i="254"/>
  <c r="O978" i="254"/>
  <c r="N978" i="254"/>
  <c r="M978" i="254"/>
  <c r="L978" i="254"/>
  <c r="K978" i="254"/>
  <c r="J978" i="254"/>
  <c r="I978" i="254"/>
  <c r="H978" i="254"/>
  <c r="G978" i="254"/>
  <c r="F978" i="254"/>
  <c r="E978" i="254"/>
  <c r="D978" i="254"/>
  <c r="C978" i="254"/>
  <c r="B978" i="254"/>
  <c r="A978" i="254"/>
  <c r="AF977" i="254"/>
  <c r="AE977" i="254"/>
  <c r="AD977" i="254"/>
  <c r="AC977" i="254"/>
  <c r="AB977" i="254"/>
  <c r="AA977" i="254"/>
  <c r="Z977" i="254"/>
  <c r="Y977" i="254"/>
  <c r="X977" i="254"/>
  <c r="W977" i="254"/>
  <c r="V977" i="254"/>
  <c r="U977" i="254"/>
  <c r="T977" i="254"/>
  <c r="S977" i="254"/>
  <c r="R977" i="254"/>
  <c r="Q977" i="254"/>
  <c r="P977" i="254"/>
  <c r="O977" i="254"/>
  <c r="N977" i="254"/>
  <c r="M977" i="254"/>
  <c r="L977" i="254"/>
  <c r="K977" i="254"/>
  <c r="J977" i="254"/>
  <c r="I977" i="254"/>
  <c r="H977" i="254"/>
  <c r="G977" i="254"/>
  <c r="F977" i="254"/>
  <c r="E977" i="254"/>
  <c r="D977" i="254"/>
  <c r="C977" i="254"/>
  <c r="B977" i="254"/>
  <c r="A977" i="254"/>
  <c r="AF976" i="254"/>
  <c r="AE976" i="254"/>
  <c r="AD976" i="254"/>
  <c r="AC976" i="254"/>
  <c r="AB976" i="254"/>
  <c r="AA976" i="254"/>
  <c r="Z976" i="254"/>
  <c r="Y976" i="254"/>
  <c r="X976" i="254"/>
  <c r="W976" i="254"/>
  <c r="V976" i="254"/>
  <c r="U976" i="254"/>
  <c r="T976" i="254"/>
  <c r="S976" i="254"/>
  <c r="R976" i="254"/>
  <c r="Q976" i="254"/>
  <c r="P976" i="254"/>
  <c r="O976" i="254"/>
  <c r="N976" i="254"/>
  <c r="M976" i="254"/>
  <c r="L976" i="254"/>
  <c r="K976" i="254"/>
  <c r="J976" i="254"/>
  <c r="I976" i="254"/>
  <c r="H976" i="254"/>
  <c r="G976" i="254"/>
  <c r="F976" i="254"/>
  <c r="E976" i="254"/>
  <c r="D976" i="254"/>
  <c r="C976" i="254"/>
  <c r="B976" i="254"/>
  <c r="A976" i="254"/>
  <c r="AF975" i="254"/>
  <c r="AE975" i="254"/>
  <c r="AD975" i="254"/>
  <c r="AC975" i="254"/>
  <c r="AB975" i="254"/>
  <c r="AA975" i="254"/>
  <c r="Z975" i="254"/>
  <c r="Y975" i="254"/>
  <c r="X975" i="254"/>
  <c r="W975" i="254"/>
  <c r="V975" i="254"/>
  <c r="U975" i="254"/>
  <c r="T975" i="254"/>
  <c r="S975" i="254"/>
  <c r="R975" i="254"/>
  <c r="Q975" i="254"/>
  <c r="P975" i="254"/>
  <c r="O975" i="254"/>
  <c r="N975" i="254"/>
  <c r="M975" i="254"/>
  <c r="L975" i="254"/>
  <c r="K975" i="254"/>
  <c r="J975" i="254"/>
  <c r="I975" i="254"/>
  <c r="H975" i="254"/>
  <c r="G975" i="254"/>
  <c r="F975" i="254"/>
  <c r="E975" i="254"/>
  <c r="D975" i="254"/>
  <c r="C975" i="254"/>
  <c r="B975" i="254"/>
  <c r="A975" i="254"/>
  <c r="AF974" i="254"/>
  <c r="AE974" i="254"/>
  <c r="AD974" i="254"/>
  <c r="AC974" i="254"/>
  <c r="AB974" i="254"/>
  <c r="AA974" i="254"/>
  <c r="Z974" i="254"/>
  <c r="Y974" i="254"/>
  <c r="X974" i="254"/>
  <c r="W974" i="254"/>
  <c r="V974" i="254"/>
  <c r="U974" i="254"/>
  <c r="T974" i="254"/>
  <c r="S974" i="254"/>
  <c r="R974" i="254"/>
  <c r="Q974" i="254"/>
  <c r="P974" i="254"/>
  <c r="O974" i="254"/>
  <c r="N974" i="254"/>
  <c r="M974" i="254"/>
  <c r="L974" i="254"/>
  <c r="K974" i="254"/>
  <c r="J974" i="254"/>
  <c r="I974" i="254"/>
  <c r="H974" i="254"/>
  <c r="G974" i="254"/>
  <c r="F974" i="254"/>
  <c r="E974" i="254"/>
  <c r="D974" i="254"/>
  <c r="C974" i="254"/>
  <c r="B974" i="254"/>
  <c r="A974" i="254"/>
  <c r="AF973" i="254"/>
  <c r="AE973" i="254"/>
  <c r="AD973" i="254"/>
  <c r="AC973" i="254"/>
  <c r="AB973" i="254"/>
  <c r="AA973" i="254"/>
  <c r="Z973" i="254"/>
  <c r="Y973" i="254"/>
  <c r="X973" i="254"/>
  <c r="W973" i="254"/>
  <c r="V973" i="254"/>
  <c r="U973" i="254"/>
  <c r="T973" i="254"/>
  <c r="S973" i="254"/>
  <c r="R973" i="254"/>
  <c r="Q973" i="254"/>
  <c r="P973" i="254"/>
  <c r="O973" i="254"/>
  <c r="N973" i="254"/>
  <c r="M973" i="254"/>
  <c r="L973" i="254"/>
  <c r="K973" i="254"/>
  <c r="J973" i="254"/>
  <c r="I973" i="254"/>
  <c r="H973" i="254"/>
  <c r="G973" i="254"/>
  <c r="F973" i="254"/>
  <c r="E973" i="254"/>
  <c r="D973" i="254"/>
  <c r="C973" i="254"/>
  <c r="B973" i="254"/>
  <c r="A973" i="254"/>
  <c r="AF972" i="254"/>
  <c r="AE972" i="254"/>
  <c r="AD972" i="254"/>
  <c r="AC972" i="254"/>
  <c r="AB972" i="254"/>
  <c r="AA972" i="254"/>
  <c r="Z972" i="254"/>
  <c r="Y972" i="254"/>
  <c r="X972" i="254"/>
  <c r="W972" i="254"/>
  <c r="V972" i="254"/>
  <c r="U972" i="254"/>
  <c r="T972" i="254"/>
  <c r="S972" i="254"/>
  <c r="R972" i="254"/>
  <c r="Q972" i="254"/>
  <c r="P972" i="254"/>
  <c r="O972" i="254"/>
  <c r="N972" i="254"/>
  <c r="M972" i="254"/>
  <c r="L972" i="254"/>
  <c r="K972" i="254"/>
  <c r="J972" i="254"/>
  <c r="I972" i="254"/>
  <c r="H972" i="254"/>
  <c r="G972" i="254"/>
  <c r="F972" i="254"/>
  <c r="E972" i="254"/>
  <c r="D972" i="254"/>
  <c r="C972" i="254"/>
  <c r="B972" i="254"/>
  <c r="A972" i="254"/>
  <c r="AF971" i="254"/>
  <c r="AE971" i="254"/>
  <c r="AD971" i="254"/>
  <c r="AC971" i="254"/>
  <c r="AB971" i="254"/>
  <c r="AA971" i="254"/>
  <c r="Z971" i="254"/>
  <c r="Y971" i="254"/>
  <c r="X971" i="254"/>
  <c r="W971" i="254"/>
  <c r="V971" i="254"/>
  <c r="U971" i="254"/>
  <c r="T971" i="254"/>
  <c r="S971" i="254"/>
  <c r="R971" i="254"/>
  <c r="Q971" i="254"/>
  <c r="P971" i="254"/>
  <c r="O971" i="254"/>
  <c r="N971" i="254"/>
  <c r="M971" i="254"/>
  <c r="L971" i="254"/>
  <c r="K971" i="254"/>
  <c r="J971" i="254"/>
  <c r="I971" i="254"/>
  <c r="H971" i="254"/>
  <c r="G971" i="254"/>
  <c r="F971" i="254"/>
  <c r="E971" i="254"/>
  <c r="D971" i="254"/>
  <c r="C971" i="254"/>
  <c r="B971" i="254"/>
  <c r="A971" i="254"/>
  <c r="AF970" i="254"/>
  <c r="AE970" i="254"/>
  <c r="AD970" i="254"/>
  <c r="AC970" i="254"/>
  <c r="AB970" i="254"/>
  <c r="AA970" i="254"/>
  <c r="Z970" i="254"/>
  <c r="Y970" i="254"/>
  <c r="X970" i="254"/>
  <c r="W970" i="254"/>
  <c r="V970" i="254"/>
  <c r="U970" i="254"/>
  <c r="T970" i="254"/>
  <c r="S970" i="254"/>
  <c r="R970" i="254"/>
  <c r="Q970" i="254"/>
  <c r="P970" i="254"/>
  <c r="O970" i="254"/>
  <c r="N970" i="254"/>
  <c r="M970" i="254"/>
  <c r="L970" i="254"/>
  <c r="K970" i="254"/>
  <c r="J970" i="254"/>
  <c r="I970" i="254"/>
  <c r="H970" i="254"/>
  <c r="G970" i="254"/>
  <c r="F970" i="254"/>
  <c r="E970" i="254"/>
  <c r="D970" i="254"/>
  <c r="C970" i="254"/>
  <c r="B970" i="254"/>
  <c r="A970" i="254"/>
  <c r="AF969" i="254"/>
  <c r="AE969" i="254"/>
  <c r="AD969" i="254"/>
  <c r="AC969" i="254"/>
  <c r="AB969" i="254"/>
  <c r="AA969" i="254"/>
  <c r="Z969" i="254"/>
  <c r="Y969" i="254"/>
  <c r="X969" i="254"/>
  <c r="W969" i="254"/>
  <c r="V969" i="254"/>
  <c r="U969" i="254"/>
  <c r="T969" i="254"/>
  <c r="S969" i="254"/>
  <c r="R969" i="254"/>
  <c r="Q969" i="254"/>
  <c r="P969" i="254"/>
  <c r="O969" i="254"/>
  <c r="N969" i="254"/>
  <c r="M969" i="254"/>
  <c r="L969" i="254"/>
  <c r="K969" i="254"/>
  <c r="J969" i="254"/>
  <c r="I969" i="254"/>
  <c r="H969" i="254"/>
  <c r="G969" i="254"/>
  <c r="F969" i="254"/>
  <c r="E969" i="254"/>
  <c r="D969" i="254"/>
  <c r="C969" i="254"/>
  <c r="B969" i="254"/>
  <c r="A969" i="254"/>
  <c r="AF968" i="254"/>
  <c r="AE968" i="254"/>
  <c r="AD968" i="254"/>
  <c r="AC968" i="254"/>
  <c r="AB968" i="254"/>
  <c r="AA968" i="254"/>
  <c r="Z968" i="254"/>
  <c r="Y968" i="254"/>
  <c r="X968" i="254"/>
  <c r="W968" i="254"/>
  <c r="V968" i="254"/>
  <c r="U968" i="254"/>
  <c r="T968" i="254"/>
  <c r="S968" i="254"/>
  <c r="R968" i="254"/>
  <c r="Q968" i="254"/>
  <c r="P968" i="254"/>
  <c r="O968" i="254"/>
  <c r="N968" i="254"/>
  <c r="M968" i="254"/>
  <c r="L968" i="254"/>
  <c r="K968" i="254"/>
  <c r="J968" i="254"/>
  <c r="I968" i="254"/>
  <c r="H968" i="254"/>
  <c r="G968" i="254"/>
  <c r="F968" i="254"/>
  <c r="E968" i="254"/>
  <c r="D968" i="254"/>
  <c r="C968" i="254"/>
  <c r="B968" i="254"/>
  <c r="A968" i="254"/>
  <c r="AF967" i="254"/>
  <c r="AE967" i="254"/>
  <c r="AD967" i="254"/>
  <c r="AC967" i="254"/>
  <c r="AB967" i="254"/>
  <c r="AA967" i="254"/>
  <c r="Z967" i="254"/>
  <c r="Y967" i="254"/>
  <c r="X967" i="254"/>
  <c r="W967" i="254"/>
  <c r="V967" i="254"/>
  <c r="U967" i="254"/>
  <c r="T967" i="254"/>
  <c r="S967" i="254"/>
  <c r="R967" i="254"/>
  <c r="Q967" i="254"/>
  <c r="P967" i="254"/>
  <c r="O967" i="254"/>
  <c r="N967" i="254"/>
  <c r="M967" i="254"/>
  <c r="L967" i="254"/>
  <c r="K967" i="254"/>
  <c r="J967" i="254"/>
  <c r="I967" i="254"/>
  <c r="H967" i="254"/>
  <c r="G967" i="254"/>
  <c r="F967" i="254"/>
  <c r="E967" i="254"/>
  <c r="D967" i="254"/>
  <c r="C967" i="254"/>
  <c r="B967" i="254"/>
  <c r="A967" i="254"/>
  <c r="AF966" i="254"/>
  <c r="AE966" i="254"/>
  <c r="AD966" i="254"/>
  <c r="AC966" i="254"/>
  <c r="AB966" i="254"/>
  <c r="AA966" i="254"/>
  <c r="Z966" i="254"/>
  <c r="Y966" i="254"/>
  <c r="X966" i="254"/>
  <c r="W966" i="254"/>
  <c r="V966" i="254"/>
  <c r="U966" i="254"/>
  <c r="T966" i="254"/>
  <c r="S966" i="254"/>
  <c r="R966" i="254"/>
  <c r="Q966" i="254"/>
  <c r="P966" i="254"/>
  <c r="O966" i="254"/>
  <c r="N966" i="254"/>
  <c r="M966" i="254"/>
  <c r="L966" i="254"/>
  <c r="K966" i="254"/>
  <c r="J966" i="254"/>
  <c r="I966" i="254"/>
  <c r="H966" i="254"/>
  <c r="G966" i="254"/>
  <c r="F966" i="254"/>
  <c r="E966" i="254"/>
  <c r="D966" i="254"/>
  <c r="C966" i="254"/>
  <c r="B966" i="254"/>
  <c r="A966" i="254"/>
  <c r="AF965" i="254"/>
  <c r="AE965" i="254"/>
  <c r="AD965" i="254"/>
  <c r="AC965" i="254"/>
  <c r="AB965" i="254"/>
  <c r="AA965" i="254"/>
  <c r="Z965" i="254"/>
  <c r="Y965" i="254"/>
  <c r="X965" i="254"/>
  <c r="W965" i="254"/>
  <c r="V965" i="254"/>
  <c r="U965" i="254"/>
  <c r="T965" i="254"/>
  <c r="S965" i="254"/>
  <c r="R965" i="254"/>
  <c r="Q965" i="254"/>
  <c r="P965" i="254"/>
  <c r="O965" i="254"/>
  <c r="N965" i="254"/>
  <c r="M965" i="254"/>
  <c r="L965" i="254"/>
  <c r="K965" i="254"/>
  <c r="J965" i="254"/>
  <c r="I965" i="254"/>
  <c r="H965" i="254"/>
  <c r="G965" i="254"/>
  <c r="F965" i="254"/>
  <c r="E965" i="254"/>
  <c r="D965" i="254"/>
  <c r="C965" i="254"/>
  <c r="B965" i="254"/>
  <c r="A965" i="254"/>
  <c r="AF964" i="254"/>
  <c r="AE964" i="254"/>
  <c r="AD964" i="254"/>
  <c r="AC964" i="254"/>
  <c r="AB964" i="254"/>
  <c r="AA964" i="254"/>
  <c r="Z964" i="254"/>
  <c r="Y964" i="254"/>
  <c r="X964" i="254"/>
  <c r="W964" i="254"/>
  <c r="V964" i="254"/>
  <c r="U964" i="254"/>
  <c r="T964" i="254"/>
  <c r="S964" i="254"/>
  <c r="R964" i="254"/>
  <c r="Q964" i="254"/>
  <c r="P964" i="254"/>
  <c r="O964" i="254"/>
  <c r="N964" i="254"/>
  <c r="M964" i="254"/>
  <c r="L964" i="254"/>
  <c r="K964" i="254"/>
  <c r="J964" i="254"/>
  <c r="I964" i="254"/>
  <c r="H964" i="254"/>
  <c r="G964" i="254"/>
  <c r="F964" i="254"/>
  <c r="E964" i="254"/>
  <c r="D964" i="254"/>
  <c r="C964" i="254"/>
  <c r="B964" i="254"/>
  <c r="A964" i="254"/>
  <c r="AF963" i="254"/>
  <c r="AE963" i="254"/>
  <c r="AD963" i="254"/>
  <c r="AC963" i="254"/>
  <c r="AB963" i="254"/>
  <c r="AA963" i="254"/>
  <c r="Z963" i="254"/>
  <c r="Y963" i="254"/>
  <c r="X963" i="254"/>
  <c r="W963" i="254"/>
  <c r="V963" i="254"/>
  <c r="U963" i="254"/>
  <c r="T963" i="254"/>
  <c r="S963" i="254"/>
  <c r="R963" i="254"/>
  <c r="Q963" i="254"/>
  <c r="P963" i="254"/>
  <c r="O963" i="254"/>
  <c r="N963" i="254"/>
  <c r="M963" i="254"/>
  <c r="L963" i="254"/>
  <c r="K963" i="254"/>
  <c r="J963" i="254"/>
  <c r="I963" i="254"/>
  <c r="H963" i="254"/>
  <c r="G963" i="254"/>
  <c r="F963" i="254"/>
  <c r="E963" i="254"/>
  <c r="D963" i="254"/>
  <c r="C963" i="254"/>
  <c r="B963" i="254"/>
  <c r="A963" i="254"/>
  <c r="AF962" i="254"/>
  <c r="AE962" i="254"/>
  <c r="AD962" i="254"/>
  <c r="AC962" i="254"/>
  <c r="AB962" i="254"/>
  <c r="AA962" i="254"/>
  <c r="Z962" i="254"/>
  <c r="Y962" i="254"/>
  <c r="X962" i="254"/>
  <c r="W962" i="254"/>
  <c r="V962" i="254"/>
  <c r="U962" i="254"/>
  <c r="T962" i="254"/>
  <c r="S962" i="254"/>
  <c r="R962" i="254"/>
  <c r="Q962" i="254"/>
  <c r="P962" i="254"/>
  <c r="O962" i="254"/>
  <c r="N962" i="254"/>
  <c r="M962" i="254"/>
  <c r="L962" i="254"/>
  <c r="K962" i="254"/>
  <c r="J962" i="254"/>
  <c r="I962" i="254"/>
  <c r="H962" i="254"/>
  <c r="G962" i="254"/>
  <c r="F962" i="254"/>
  <c r="E962" i="254"/>
  <c r="D962" i="254"/>
  <c r="C962" i="254"/>
  <c r="B962" i="254"/>
  <c r="A962" i="254"/>
  <c r="AF961" i="254"/>
  <c r="AE961" i="254"/>
  <c r="AD961" i="254"/>
  <c r="AC961" i="254"/>
  <c r="AB961" i="254"/>
  <c r="AA961" i="254"/>
  <c r="Z961" i="254"/>
  <c r="Y961" i="254"/>
  <c r="X961" i="254"/>
  <c r="W961" i="254"/>
  <c r="V961" i="254"/>
  <c r="U961" i="254"/>
  <c r="T961" i="254"/>
  <c r="S961" i="254"/>
  <c r="R961" i="254"/>
  <c r="Q961" i="254"/>
  <c r="P961" i="254"/>
  <c r="O961" i="254"/>
  <c r="N961" i="254"/>
  <c r="M961" i="254"/>
  <c r="L961" i="254"/>
  <c r="K961" i="254"/>
  <c r="J961" i="254"/>
  <c r="I961" i="254"/>
  <c r="H961" i="254"/>
  <c r="G961" i="254"/>
  <c r="F961" i="254"/>
  <c r="E961" i="254"/>
  <c r="D961" i="254"/>
  <c r="C961" i="254"/>
  <c r="B961" i="254"/>
  <c r="A961" i="254"/>
  <c r="AF960" i="254"/>
  <c r="AE960" i="254"/>
  <c r="AD960" i="254"/>
  <c r="AC960" i="254"/>
  <c r="AB960" i="254"/>
  <c r="AA960" i="254"/>
  <c r="Z960" i="254"/>
  <c r="Y960" i="254"/>
  <c r="X960" i="254"/>
  <c r="W960" i="254"/>
  <c r="V960" i="254"/>
  <c r="U960" i="254"/>
  <c r="T960" i="254"/>
  <c r="S960" i="254"/>
  <c r="R960" i="254"/>
  <c r="Q960" i="254"/>
  <c r="P960" i="254"/>
  <c r="O960" i="254"/>
  <c r="N960" i="254"/>
  <c r="M960" i="254"/>
  <c r="L960" i="254"/>
  <c r="K960" i="254"/>
  <c r="J960" i="254"/>
  <c r="I960" i="254"/>
  <c r="H960" i="254"/>
  <c r="G960" i="254"/>
  <c r="F960" i="254"/>
  <c r="E960" i="254"/>
  <c r="D960" i="254"/>
  <c r="C960" i="254"/>
  <c r="B960" i="254"/>
  <c r="A960" i="254"/>
  <c r="AF959" i="254"/>
  <c r="AE959" i="254"/>
  <c r="AD959" i="254"/>
  <c r="AC959" i="254"/>
  <c r="AB959" i="254"/>
  <c r="AA959" i="254"/>
  <c r="Z959" i="254"/>
  <c r="Y959" i="254"/>
  <c r="X959" i="254"/>
  <c r="W959" i="254"/>
  <c r="V959" i="254"/>
  <c r="U959" i="254"/>
  <c r="T959" i="254"/>
  <c r="S959" i="254"/>
  <c r="R959" i="254"/>
  <c r="Q959" i="254"/>
  <c r="P959" i="254"/>
  <c r="O959" i="254"/>
  <c r="N959" i="254"/>
  <c r="M959" i="254"/>
  <c r="L959" i="254"/>
  <c r="K959" i="254"/>
  <c r="J959" i="254"/>
  <c r="I959" i="254"/>
  <c r="H959" i="254"/>
  <c r="G959" i="254"/>
  <c r="F959" i="254"/>
  <c r="E959" i="254"/>
  <c r="D959" i="254"/>
  <c r="C959" i="254"/>
  <c r="B959" i="254"/>
  <c r="A959" i="254"/>
  <c r="AF958" i="254"/>
  <c r="AE958" i="254"/>
  <c r="AD958" i="254"/>
  <c r="AC958" i="254"/>
  <c r="AB958" i="254"/>
  <c r="AA958" i="254"/>
  <c r="Z958" i="254"/>
  <c r="Y958" i="254"/>
  <c r="X958" i="254"/>
  <c r="W958" i="254"/>
  <c r="V958" i="254"/>
  <c r="U958" i="254"/>
  <c r="T958" i="254"/>
  <c r="S958" i="254"/>
  <c r="R958" i="254"/>
  <c r="Q958" i="254"/>
  <c r="P958" i="254"/>
  <c r="O958" i="254"/>
  <c r="N958" i="254"/>
  <c r="M958" i="254"/>
  <c r="L958" i="254"/>
  <c r="K958" i="254"/>
  <c r="J958" i="254"/>
  <c r="I958" i="254"/>
  <c r="H958" i="254"/>
  <c r="G958" i="254"/>
  <c r="F958" i="254"/>
  <c r="E958" i="254"/>
  <c r="D958" i="254"/>
  <c r="C958" i="254"/>
  <c r="B958" i="254"/>
  <c r="A958" i="254"/>
  <c r="AF957" i="254"/>
  <c r="AE957" i="254"/>
  <c r="AD957" i="254"/>
  <c r="AC957" i="254"/>
  <c r="AB957" i="254"/>
  <c r="AA957" i="254"/>
  <c r="Z957" i="254"/>
  <c r="Y957" i="254"/>
  <c r="X957" i="254"/>
  <c r="W957" i="254"/>
  <c r="V957" i="254"/>
  <c r="U957" i="254"/>
  <c r="T957" i="254"/>
  <c r="S957" i="254"/>
  <c r="R957" i="254"/>
  <c r="Q957" i="254"/>
  <c r="P957" i="254"/>
  <c r="O957" i="254"/>
  <c r="N957" i="254"/>
  <c r="M957" i="254"/>
  <c r="L957" i="254"/>
  <c r="K957" i="254"/>
  <c r="J957" i="254"/>
  <c r="I957" i="254"/>
  <c r="H957" i="254"/>
  <c r="G957" i="254"/>
  <c r="F957" i="254"/>
  <c r="E957" i="254"/>
  <c r="D957" i="254"/>
  <c r="C957" i="254"/>
  <c r="B957" i="254"/>
  <c r="A957" i="254"/>
  <c r="AF956" i="254"/>
  <c r="AE956" i="254"/>
  <c r="AD956" i="254"/>
  <c r="AC956" i="254"/>
  <c r="AB956" i="254"/>
  <c r="AA956" i="254"/>
  <c r="Z956" i="254"/>
  <c r="Y956" i="254"/>
  <c r="X956" i="254"/>
  <c r="W956" i="254"/>
  <c r="V956" i="254"/>
  <c r="U956" i="254"/>
  <c r="T956" i="254"/>
  <c r="S956" i="254"/>
  <c r="R956" i="254"/>
  <c r="Q956" i="254"/>
  <c r="P956" i="254"/>
  <c r="O956" i="254"/>
  <c r="N956" i="254"/>
  <c r="M956" i="254"/>
  <c r="L956" i="254"/>
  <c r="K956" i="254"/>
  <c r="J956" i="254"/>
  <c r="I956" i="254"/>
  <c r="H956" i="254"/>
  <c r="G956" i="254"/>
  <c r="F956" i="254"/>
  <c r="E956" i="254"/>
  <c r="D956" i="254"/>
  <c r="C956" i="254"/>
  <c r="B956" i="254"/>
  <c r="A956" i="254"/>
  <c r="AF955" i="254"/>
  <c r="AE955" i="254"/>
  <c r="AD955" i="254"/>
  <c r="AC955" i="254"/>
  <c r="AB955" i="254"/>
  <c r="AA955" i="254"/>
  <c r="Z955" i="254"/>
  <c r="Y955" i="254"/>
  <c r="X955" i="254"/>
  <c r="W955" i="254"/>
  <c r="V955" i="254"/>
  <c r="U955" i="254"/>
  <c r="T955" i="254"/>
  <c r="S955" i="254"/>
  <c r="R955" i="254"/>
  <c r="Q955" i="254"/>
  <c r="P955" i="254"/>
  <c r="O955" i="254"/>
  <c r="N955" i="254"/>
  <c r="M955" i="254"/>
  <c r="L955" i="254"/>
  <c r="K955" i="254"/>
  <c r="J955" i="254"/>
  <c r="I955" i="254"/>
  <c r="H955" i="254"/>
  <c r="G955" i="254"/>
  <c r="F955" i="254"/>
  <c r="E955" i="254"/>
  <c r="D955" i="254"/>
  <c r="C955" i="254"/>
  <c r="B955" i="254"/>
  <c r="A955" i="254"/>
  <c r="AF954" i="254"/>
  <c r="AE954" i="254"/>
  <c r="AD954" i="254"/>
  <c r="AC954" i="254"/>
  <c r="AB954" i="254"/>
  <c r="AA954" i="254"/>
  <c r="Z954" i="254"/>
  <c r="Y954" i="254"/>
  <c r="X954" i="254"/>
  <c r="W954" i="254"/>
  <c r="V954" i="254"/>
  <c r="U954" i="254"/>
  <c r="T954" i="254"/>
  <c r="S954" i="254"/>
  <c r="R954" i="254"/>
  <c r="Q954" i="254"/>
  <c r="P954" i="254"/>
  <c r="O954" i="254"/>
  <c r="N954" i="254"/>
  <c r="M954" i="254"/>
  <c r="L954" i="254"/>
  <c r="K954" i="254"/>
  <c r="J954" i="254"/>
  <c r="I954" i="254"/>
  <c r="H954" i="254"/>
  <c r="G954" i="254"/>
  <c r="F954" i="254"/>
  <c r="E954" i="254"/>
  <c r="D954" i="254"/>
  <c r="C954" i="254"/>
  <c r="B954" i="254"/>
  <c r="A954" i="254"/>
  <c r="AF953" i="254"/>
  <c r="AE953" i="254"/>
  <c r="AD953" i="254"/>
  <c r="AC953" i="254"/>
  <c r="AB953" i="254"/>
  <c r="AA953" i="254"/>
  <c r="Z953" i="254"/>
  <c r="Y953" i="254"/>
  <c r="X953" i="254"/>
  <c r="W953" i="254"/>
  <c r="V953" i="254"/>
  <c r="U953" i="254"/>
  <c r="T953" i="254"/>
  <c r="S953" i="254"/>
  <c r="R953" i="254"/>
  <c r="Q953" i="254"/>
  <c r="P953" i="254"/>
  <c r="O953" i="254"/>
  <c r="N953" i="254"/>
  <c r="M953" i="254"/>
  <c r="L953" i="254"/>
  <c r="K953" i="254"/>
  <c r="J953" i="254"/>
  <c r="I953" i="254"/>
  <c r="H953" i="254"/>
  <c r="G953" i="254"/>
  <c r="F953" i="254"/>
  <c r="E953" i="254"/>
  <c r="D953" i="254"/>
  <c r="C953" i="254"/>
  <c r="B953" i="254"/>
  <c r="A953" i="254"/>
  <c r="AF952" i="254"/>
  <c r="AE952" i="254"/>
  <c r="AD952" i="254"/>
  <c r="AC952" i="254"/>
  <c r="AB952" i="254"/>
  <c r="AA952" i="254"/>
  <c r="Z952" i="254"/>
  <c r="Y952" i="254"/>
  <c r="X952" i="254"/>
  <c r="W952" i="254"/>
  <c r="V952" i="254"/>
  <c r="U952" i="254"/>
  <c r="T952" i="254"/>
  <c r="S952" i="254"/>
  <c r="R952" i="254"/>
  <c r="Q952" i="254"/>
  <c r="P952" i="254"/>
  <c r="O952" i="254"/>
  <c r="N952" i="254"/>
  <c r="M952" i="254"/>
  <c r="L952" i="254"/>
  <c r="K952" i="254"/>
  <c r="J952" i="254"/>
  <c r="I952" i="254"/>
  <c r="H952" i="254"/>
  <c r="G952" i="254"/>
  <c r="F952" i="254"/>
  <c r="E952" i="254"/>
  <c r="D952" i="254"/>
  <c r="C952" i="254"/>
  <c r="B952" i="254"/>
  <c r="A952" i="254"/>
  <c r="AF951" i="254"/>
  <c r="AE951" i="254"/>
  <c r="AD951" i="254"/>
  <c r="AC951" i="254"/>
  <c r="AB951" i="254"/>
  <c r="AA951" i="254"/>
  <c r="Z951" i="254"/>
  <c r="Y951" i="254"/>
  <c r="X951" i="254"/>
  <c r="W951" i="254"/>
  <c r="V951" i="254"/>
  <c r="U951" i="254"/>
  <c r="T951" i="254"/>
  <c r="S951" i="254"/>
  <c r="R951" i="254"/>
  <c r="Q951" i="254"/>
  <c r="P951" i="254"/>
  <c r="O951" i="254"/>
  <c r="N951" i="254"/>
  <c r="M951" i="254"/>
  <c r="L951" i="254"/>
  <c r="K951" i="254"/>
  <c r="J951" i="254"/>
  <c r="I951" i="254"/>
  <c r="H951" i="254"/>
  <c r="G951" i="254"/>
  <c r="F951" i="254"/>
  <c r="E951" i="254"/>
  <c r="D951" i="254"/>
  <c r="C951" i="254"/>
  <c r="B951" i="254"/>
  <c r="A951" i="254"/>
  <c r="AF950" i="254"/>
  <c r="AE950" i="254"/>
  <c r="AD950" i="254"/>
  <c r="AC950" i="254"/>
  <c r="AB950" i="254"/>
  <c r="AA950" i="254"/>
  <c r="Z950" i="254"/>
  <c r="Y950" i="254"/>
  <c r="X950" i="254"/>
  <c r="W950" i="254"/>
  <c r="V950" i="254"/>
  <c r="U950" i="254"/>
  <c r="T950" i="254"/>
  <c r="S950" i="254"/>
  <c r="R950" i="254"/>
  <c r="Q950" i="254"/>
  <c r="P950" i="254"/>
  <c r="O950" i="254"/>
  <c r="N950" i="254"/>
  <c r="M950" i="254"/>
  <c r="L950" i="254"/>
  <c r="K950" i="254"/>
  <c r="J950" i="254"/>
  <c r="I950" i="254"/>
  <c r="H950" i="254"/>
  <c r="G950" i="254"/>
  <c r="F950" i="254"/>
  <c r="E950" i="254"/>
  <c r="D950" i="254"/>
  <c r="C950" i="254"/>
  <c r="B950" i="254"/>
  <c r="A950" i="254"/>
  <c r="AF949" i="254"/>
  <c r="AE949" i="254"/>
  <c r="AD949" i="254"/>
  <c r="AC949" i="254"/>
  <c r="AB949" i="254"/>
  <c r="AA949" i="254"/>
  <c r="Z949" i="254"/>
  <c r="Y949" i="254"/>
  <c r="X949" i="254"/>
  <c r="W949" i="254"/>
  <c r="V949" i="254"/>
  <c r="U949" i="254"/>
  <c r="T949" i="254"/>
  <c r="S949" i="254"/>
  <c r="R949" i="254"/>
  <c r="Q949" i="254"/>
  <c r="P949" i="254"/>
  <c r="O949" i="254"/>
  <c r="N949" i="254"/>
  <c r="M949" i="254"/>
  <c r="L949" i="254"/>
  <c r="K949" i="254"/>
  <c r="J949" i="254"/>
  <c r="I949" i="254"/>
  <c r="H949" i="254"/>
  <c r="G949" i="254"/>
  <c r="F949" i="254"/>
  <c r="E949" i="254"/>
  <c r="D949" i="254"/>
  <c r="C949" i="254"/>
  <c r="B949" i="254"/>
  <c r="A949" i="254"/>
  <c r="AF948" i="254"/>
  <c r="AE948" i="254"/>
  <c r="AD948" i="254"/>
  <c r="AC948" i="254"/>
  <c r="AB948" i="254"/>
  <c r="AA948" i="254"/>
  <c r="Z948" i="254"/>
  <c r="Y948" i="254"/>
  <c r="X948" i="254"/>
  <c r="W948" i="254"/>
  <c r="V948" i="254"/>
  <c r="U948" i="254"/>
  <c r="T948" i="254"/>
  <c r="S948" i="254"/>
  <c r="R948" i="254"/>
  <c r="Q948" i="254"/>
  <c r="P948" i="254"/>
  <c r="O948" i="254"/>
  <c r="N948" i="254"/>
  <c r="M948" i="254"/>
  <c r="L948" i="254"/>
  <c r="K948" i="254"/>
  <c r="J948" i="254"/>
  <c r="I948" i="254"/>
  <c r="H948" i="254"/>
  <c r="G948" i="254"/>
  <c r="F948" i="254"/>
  <c r="E948" i="254"/>
  <c r="D948" i="254"/>
  <c r="C948" i="254"/>
  <c r="B948" i="254"/>
  <c r="A948" i="254"/>
  <c r="AF947" i="254"/>
  <c r="AE947" i="254"/>
  <c r="AD947" i="254"/>
  <c r="AC947" i="254"/>
  <c r="AB947" i="254"/>
  <c r="AA947" i="254"/>
  <c r="Z947" i="254"/>
  <c r="Y947" i="254"/>
  <c r="X947" i="254"/>
  <c r="W947" i="254"/>
  <c r="V947" i="254"/>
  <c r="U947" i="254"/>
  <c r="T947" i="254"/>
  <c r="S947" i="254"/>
  <c r="R947" i="254"/>
  <c r="Q947" i="254"/>
  <c r="P947" i="254"/>
  <c r="O947" i="254"/>
  <c r="N947" i="254"/>
  <c r="M947" i="254"/>
  <c r="L947" i="254"/>
  <c r="K947" i="254"/>
  <c r="J947" i="254"/>
  <c r="I947" i="254"/>
  <c r="H947" i="254"/>
  <c r="G947" i="254"/>
  <c r="F947" i="254"/>
  <c r="E947" i="254"/>
  <c r="D947" i="254"/>
  <c r="C947" i="254"/>
  <c r="B947" i="254"/>
  <c r="A947" i="254"/>
  <c r="AF946" i="254"/>
  <c r="AE946" i="254"/>
  <c r="AD946" i="254"/>
  <c r="AC946" i="254"/>
  <c r="AB946" i="254"/>
  <c r="AA946" i="254"/>
  <c r="Z946" i="254"/>
  <c r="Y946" i="254"/>
  <c r="X946" i="254"/>
  <c r="W946" i="254"/>
  <c r="V946" i="254"/>
  <c r="U946" i="254"/>
  <c r="T946" i="254"/>
  <c r="S946" i="254"/>
  <c r="R946" i="254"/>
  <c r="Q946" i="254"/>
  <c r="P946" i="254"/>
  <c r="O946" i="254"/>
  <c r="N946" i="254"/>
  <c r="M946" i="254"/>
  <c r="L946" i="254"/>
  <c r="K946" i="254"/>
  <c r="J946" i="254"/>
  <c r="I946" i="254"/>
  <c r="H946" i="254"/>
  <c r="G946" i="254"/>
  <c r="F946" i="254"/>
  <c r="E946" i="254"/>
  <c r="D946" i="254"/>
  <c r="C946" i="254"/>
  <c r="B946" i="254"/>
  <c r="A946" i="254"/>
  <c r="AF945" i="254"/>
  <c r="AE945" i="254"/>
  <c r="AD945" i="254"/>
  <c r="AC945" i="254"/>
  <c r="AB945" i="254"/>
  <c r="AA945" i="254"/>
  <c r="Z945" i="254"/>
  <c r="Y945" i="254"/>
  <c r="X945" i="254"/>
  <c r="W945" i="254"/>
  <c r="V945" i="254"/>
  <c r="U945" i="254"/>
  <c r="T945" i="254"/>
  <c r="S945" i="254"/>
  <c r="R945" i="254"/>
  <c r="Q945" i="254"/>
  <c r="P945" i="254"/>
  <c r="O945" i="254"/>
  <c r="N945" i="254"/>
  <c r="M945" i="254"/>
  <c r="L945" i="254"/>
  <c r="K945" i="254"/>
  <c r="J945" i="254"/>
  <c r="I945" i="254"/>
  <c r="H945" i="254"/>
  <c r="G945" i="254"/>
  <c r="F945" i="254"/>
  <c r="E945" i="254"/>
  <c r="D945" i="254"/>
  <c r="C945" i="254"/>
  <c r="B945" i="254"/>
  <c r="A945" i="254"/>
  <c r="AF944" i="254"/>
  <c r="AE944" i="254"/>
  <c r="AD944" i="254"/>
  <c r="AC944" i="254"/>
  <c r="AB944" i="254"/>
  <c r="AA944" i="254"/>
  <c r="Z944" i="254"/>
  <c r="Y944" i="254"/>
  <c r="X944" i="254"/>
  <c r="W944" i="254"/>
  <c r="V944" i="254"/>
  <c r="U944" i="254"/>
  <c r="T944" i="254"/>
  <c r="S944" i="254"/>
  <c r="R944" i="254"/>
  <c r="Q944" i="254"/>
  <c r="P944" i="254"/>
  <c r="O944" i="254"/>
  <c r="N944" i="254"/>
  <c r="M944" i="254"/>
  <c r="L944" i="254"/>
  <c r="K944" i="254"/>
  <c r="J944" i="254"/>
  <c r="I944" i="254"/>
  <c r="H944" i="254"/>
  <c r="G944" i="254"/>
  <c r="F944" i="254"/>
  <c r="E944" i="254"/>
  <c r="D944" i="254"/>
  <c r="C944" i="254"/>
  <c r="B944" i="254"/>
  <c r="A944" i="254"/>
  <c r="AF943" i="254"/>
  <c r="AE943" i="254"/>
  <c r="AD943" i="254"/>
  <c r="AC943" i="254"/>
  <c r="AB943" i="254"/>
  <c r="AA943" i="254"/>
  <c r="Z943" i="254"/>
  <c r="Y943" i="254"/>
  <c r="X943" i="254"/>
  <c r="W943" i="254"/>
  <c r="V943" i="254"/>
  <c r="U943" i="254"/>
  <c r="T943" i="254"/>
  <c r="S943" i="254"/>
  <c r="R943" i="254"/>
  <c r="Q943" i="254"/>
  <c r="P943" i="254"/>
  <c r="O943" i="254"/>
  <c r="N943" i="254"/>
  <c r="M943" i="254"/>
  <c r="L943" i="254"/>
  <c r="K943" i="254"/>
  <c r="J943" i="254"/>
  <c r="I943" i="254"/>
  <c r="H943" i="254"/>
  <c r="G943" i="254"/>
  <c r="F943" i="254"/>
  <c r="E943" i="254"/>
  <c r="D943" i="254"/>
  <c r="C943" i="254"/>
  <c r="B943" i="254"/>
  <c r="A943" i="254"/>
  <c r="AF942" i="254"/>
  <c r="AE942" i="254"/>
  <c r="AD942" i="254"/>
  <c r="AC942" i="254"/>
  <c r="AB942" i="254"/>
  <c r="AA942" i="254"/>
  <c r="Z942" i="254"/>
  <c r="Y942" i="254"/>
  <c r="X942" i="254"/>
  <c r="W942" i="254"/>
  <c r="V942" i="254"/>
  <c r="U942" i="254"/>
  <c r="T942" i="254"/>
  <c r="S942" i="254"/>
  <c r="R942" i="254"/>
  <c r="Q942" i="254"/>
  <c r="P942" i="254"/>
  <c r="O942" i="254"/>
  <c r="N942" i="254"/>
  <c r="M942" i="254"/>
  <c r="L942" i="254"/>
  <c r="K942" i="254"/>
  <c r="J942" i="254"/>
  <c r="I942" i="254"/>
  <c r="H942" i="254"/>
  <c r="G942" i="254"/>
  <c r="F942" i="254"/>
  <c r="E942" i="254"/>
  <c r="D942" i="254"/>
  <c r="C942" i="254"/>
  <c r="B942" i="254"/>
  <c r="A942" i="254"/>
  <c r="AF941" i="254"/>
  <c r="AE941" i="254"/>
  <c r="AD941" i="254"/>
  <c r="AC941" i="254"/>
  <c r="AB941" i="254"/>
  <c r="AA941" i="254"/>
  <c r="Z941" i="254"/>
  <c r="Y941" i="254"/>
  <c r="X941" i="254"/>
  <c r="W941" i="254"/>
  <c r="V941" i="254"/>
  <c r="U941" i="254"/>
  <c r="T941" i="254"/>
  <c r="S941" i="254"/>
  <c r="R941" i="254"/>
  <c r="Q941" i="254"/>
  <c r="P941" i="254"/>
  <c r="O941" i="254"/>
  <c r="N941" i="254"/>
  <c r="M941" i="254"/>
  <c r="L941" i="254"/>
  <c r="K941" i="254"/>
  <c r="J941" i="254"/>
  <c r="I941" i="254"/>
  <c r="H941" i="254"/>
  <c r="G941" i="254"/>
  <c r="F941" i="254"/>
  <c r="E941" i="254"/>
  <c r="D941" i="254"/>
  <c r="C941" i="254"/>
  <c r="B941" i="254"/>
  <c r="A941" i="254"/>
  <c r="AF940" i="254"/>
  <c r="AE940" i="254"/>
  <c r="AD940" i="254"/>
  <c r="AC940" i="254"/>
  <c r="AB940" i="254"/>
  <c r="AA940" i="254"/>
  <c r="Z940" i="254"/>
  <c r="Y940" i="254"/>
  <c r="X940" i="254"/>
  <c r="W940" i="254"/>
  <c r="V940" i="254"/>
  <c r="U940" i="254"/>
  <c r="T940" i="254"/>
  <c r="S940" i="254"/>
  <c r="R940" i="254"/>
  <c r="Q940" i="254"/>
  <c r="P940" i="254"/>
  <c r="O940" i="254"/>
  <c r="N940" i="254"/>
  <c r="M940" i="254"/>
  <c r="L940" i="254"/>
  <c r="K940" i="254"/>
  <c r="J940" i="254"/>
  <c r="I940" i="254"/>
  <c r="H940" i="254"/>
  <c r="G940" i="254"/>
  <c r="F940" i="254"/>
  <c r="E940" i="254"/>
  <c r="D940" i="254"/>
  <c r="C940" i="254"/>
  <c r="B940" i="254"/>
  <c r="A940" i="254"/>
  <c r="AF939" i="254"/>
  <c r="AE939" i="254"/>
  <c r="AD939" i="254"/>
  <c r="AC939" i="254"/>
  <c r="AB939" i="254"/>
  <c r="AA939" i="254"/>
  <c r="Z939" i="254"/>
  <c r="Y939" i="254"/>
  <c r="X939" i="254"/>
  <c r="W939" i="254"/>
  <c r="V939" i="254"/>
  <c r="U939" i="254"/>
  <c r="T939" i="254"/>
  <c r="S939" i="254"/>
  <c r="R939" i="254"/>
  <c r="Q939" i="254"/>
  <c r="P939" i="254"/>
  <c r="O939" i="254"/>
  <c r="N939" i="254"/>
  <c r="M939" i="254"/>
  <c r="L939" i="254"/>
  <c r="K939" i="254"/>
  <c r="J939" i="254"/>
  <c r="I939" i="254"/>
  <c r="H939" i="254"/>
  <c r="G939" i="254"/>
  <c r="F939" i="254"/>
  <c r="E939" i="254"/>
  <c r="D939" i="254"/>
  <c r="C939" i="254"/>
  <c r="B939" i="254"/>
  <c r="A939" i="254"/>
  <c r="AF938" i="254"/>
  <c r="AE938" i="254"/>
  <c r="AD938" i="254"/>
  <c r="AC938" i="254"/>
  <c r="AB938" i="254"/>
  <c r="AA938" i="254"/>
  <c r="Z938" i="254"/>
  <c r="Y938" i="254"/>
  <c r="X938" i="254"/>
  <c r="W938" i="254"/>
  <c r="V938" i="254"/>
  <c r="U938" i="254"/>
  <c r="T938" i="254"/>
  <c r="S938" i="254"/>
  <c r="R938" i="254"/>
  <c r="Q938" i="254"/>
  <c r="P938" i="254"/>
  <c r="O938" i="254"/>
  <c r="N938" i="254"/>
  <c r="M938" i="254"/>
  <c r="L938" i="254"/>
  <c r="K938" i="254"/>
  <c r="J938" i="254"/>
  <c r="I938" i="254"/>
  <c r="H938" i="254"/>
  <c r="G938" i="254"/>
  <c r="F938" i="254"/>
  <c r="E938" i="254"/>
  <c r="D938" i="254"/>
  <c r="C938" i="254"/>
  <c r="B938" i="254"/>
  <c r="A938" i="254"/>
  <c r="AF937" i="254"/>
  <c r="AE937" i="254"/>
  <c r="AD937" i="254"/>
  <c r="AC937" i="254"/>
  <c r="AB937" i="254"/>
  <c r="AA937" i="254"/>
  <c r="Z937" i="254"/>
  <c r="Y937" i="254"/>
  <c r="X937" i="254"/>
  <c r="W937" i="254"/>
  <c r="V937" i="254"/>
  <c r="U937" i="254"/>
  <c r="T937" i="254"/>
  <c r="S937" i="254"/>
  <c r="R937" i="254"/>
  <c r="Q937" i="254"/>
  <c r="P937" i="254"/>
  <c r="O937" i="254"/>
  <c r="N937" i="254"/>
  <c r="M937" i="254"/>
  <c r="L937" i="254"/>
  <c r="K937" i="254"/>
  <c r="J937" i="254"/>
  <c r="I937" i="254"/>
  <c r="H937" i="254"/>
  <c r="G937" i="254"/>
  <c r="F937" i="254"/>
  <c r="E937" i="254"/>
  <c r="D937" i="254"/>
  <c r="C937" i="254"/>
  <c r="B937" i="254"/>
  <c r="A937" i="254"/>
  <c r="AF936" i="254"/>
  <c r="AE936" i="254"/>
  <c r="AD936" i="254"/>
  <c r="AC936" i="254"/>
  <c r="AB936" i="254"/>
  <c r="AA936" i="254"/>
  <c r="Z936" i="254"/>
  <c r="Y936" i="254"/>
  <c r="X936" i="254"/>
  <c r="W936" i="254"/>
  <c r="V936" i="254"/>
  <c r="U936" i="254"/>
  <c r="T936" i="254"/>
  <c r="S936" i="254"/>
  <c r="R936" i="254"/>
  <c r="Q936" i="254"/>
  <c r="P936" i="254"/>
  <c r="O936" i="254"/>
  <c r="N936" i="254"/>
  <c r="M936" i="254"/>
  <c r="L936" i="254"/>
  <c r="K936" i="254"/>
  <c r="J936" i="254"/>
  <c r="I936" i="254"/>
  <c r="H936" i="254"/>
  <c r="G936" i="254"/>
  <c r="F936" i="254"/>
  <c r="E936" i="254"/>
  <c r="D936" i="254"/>
  <c r="C936" i="254"/>
  <c r="B936" i="254"/>
  <c r="A936" i="254"/>
  <c r="AF935" i="254"/>
  <c r="AE935" i="254"/>
  <c r="AD935" i="254"/>
  <c r="AC935" i="254"/>
  <c r="AB935" i="254"/>
  <c r="AA935" i="254"/>
  <c r="Z935" i="254"/>
  <c r="Y935" i="254"/>
  <c r="X935" i="254"/>
  <c r="W935" i="254"/>
  <c r="V935" i="254"/>
  <c r="U935" i="254"/>
  <c r="T935" i="254"/>
  <c r="S935" i="254"/>
  <c r="R935" i="254"/>
  <c r="Q935" i="254"/>
  <c r="P935" i="254"/>
  <c r="O935" i="254"/>
  <c r="N935" i="254"/>
  <c r="M935" i="254"/>
  <c r="L935" i="254"/>
  <c r="K935" i="254"/>
  <c r="J935" i="254"/>
  <c r="I935" i="254"/>
  <c r="H935" i="254"/>
  <c r="G935" i="254"/>
  <c r="F935" i="254"/>
  <c r="E935" i="254"/>
  <c r="D935" i="254"/>
  <c r="C935" i="254"/>
  <c r="B935" i="254"/>
  <c r="A935" i="254"/>
  <c r="AF934" i="254"/>
  <c r="AE934" i="254"/>
  <c r="AD934" i="254"/>
  <c r="AC934" i="254"/>
  <c r="AB934" i="254"/>
  <c r="AA934" i="254"/>
  <c r="Z934" i="254"/>
  <c r="Y934" i="254"/>
  <c r="X934" i="254"/>
  <c r="W934" i="254"/>
  <c r="V934" i="254"/>
  <c r="U934" i="254"/>
  <c r="T934" i="254"/>
  <c r="S934" i="254"/>
  <c r="R934" i="254"/>
  <c r="Q934" i="254"/>
  <c r="P934" i="254"/>
  <c r="O934" i="254"/>
  <c r="N934" i="254"/>
  <c r="M934" i="254"/>
  <c r="L934" i="254"/>
  <c r="K934" i="254"/>
  <c r="J934" i="254"/>
  <c r="I934" i="254"/>
  <c r="H934" i="254"/>
  <c r="G934" i="254"/>
  <c r="F934" i="254"/>
  <c r="E934" i="254"/>
  <c r="D934" i="254"/>
  <c r="C934" i="254"/>
  <c r="B934" i="254"/>
  <c r="A934" i="254"/>
  <c r="AF933" i="254"/>
  <c r="AE933" i="254"/>
  <c r="AD933" i="254"/>
  <c r="AC933" i="254"/>
  <c r="AB933" i="254"/>
  <c r="AA933" i="254"/>
  <c r="Z933" i="254"/>
  <c r="Y933" i="254"/>
  <c r="X933" i="254"/>
  <c r="W933" i="254"/>
  <c r="V933" i="254"/>
  <c r="U933" i="254"/>
  <c r="T933" i="254"/>
  <c r="S933" i="254"/>
  <c r="R933" i="254"/>
  <c r="Q933" i="254"/>
  <c r="P933" i="254"/>
  <c r="O933" i="254"/>
  <c r="N933" i="254"/>
  <c r="M933" i="254"/>
  <c r="L933" i="254"/>
  <c r="K933" i="254"/>
  <c r="J933" i="254"/>
  <c r="I933" i="254"/>
  <c r="H933" i="254"/>
  <c r="G933" i="254"/>
  <c r="F933" i="254"/>
  <c r="E933" i="254"/>
  <c r="D933" i="254"/>
  <c r="C933" i="254"/>
  <c r="B933" i="254"/>
  <c r="A933" i="254"/>
  <c r="AF932" i="254"/>
  <c r="AE932" i="254"/>
  <c r="AD932" i="254"/>
  <c r="AC932" i="254"/>
  <c r="AB932" i="254"/>
  <c r="AA932" i="254"/>
  <c r="Z932" i="254"/>
  <c r="Y932" i="254"/>
  <c r="X932" i="254"/>
  <c r="W932" i="254"/>
  <c r="V932" i="254"/>
  <c r="U932" i="254"/>
  <c r="T932" i="254"/>
  <c r="S932" i="254"/>
  <c r="R932" i="254"/>
  <c r="Q932" i="254"/>
  <c r="P932" i="254"/>
  <c r="O932" i="254"/>
  <c r="N932" i="254"/>
  <c r="M932" i="254"/>
  <c r="L932" i="254"/>
  <c r="K932" i="254"/>
  <c r="J932" i="254"/>
  <c r="I932" i="254"/>
  <c r="H932" i="254"/>
  <c r="G932" i="254"/>
  <c r="F932" i="254"/>
  <c r="E932" i="254"/>
  <c r="D932" i="254"/>
  <c r="C932" i="254"/>
  <c r="B932" i="254"/>
  <c r="A932" i="254"/>
  <c r="AF931" i="254"/>
  <c r="AE931" i="254"/>
  <c r="AD931" i="254"/>
  <c r="AC931" i="254"/>
  <c r="AB931" i="254"/>
  <c r="AA931" i="254"/>
  <c r="Z931" i="254"/>
  <c r="Y931" i="254"/>
  <c r="X931" i="254"/>
  <c r="W931" i="254"/>
  <c r="V931" i="254"/>
  <c r="U931" i="254"/>
  <c r="T931" i="254"/>
  <c r="S931" i="254"/>
  <c r="R931" i="254"/>
  <c r="Q931" i="254"/>
  <c r="P931" i="254"/>
  <c r="O931" i="254"/>
  <c r="N931" i="254"/>
  <c r="M931" i="254"/>
  <c r="L931" i="254"/>
  <c r="K931" i="254"/>
  <c r="J931" i="254"/>
  <c r="I931" i="254"/>
  <c r="H931" i="254"/>
  <c r="G931" i="254"/>
  <c r="F931" i="254"/>
  <c r="E931" i="254"/>
  <c r="D931" i="254"/>
  <c r="C931" i="254"/>
  <c r="B931" i="254"/>
  <c r="A931" i="254"/>
  <c r="AF930" i="254"/>
  <c r="AE930" i="254"/>
  <c r="AD930" i="254"/>
  <c r="AC930" i="254"/>
  <c r="AB930" i="254"/>
  <c r="AA930" i="254"/>
  <c r="Z930" i="254"/>
  <c r="Y930" i="254"/>
  <c r="X930" i="254"/>
  <c r="W930" i="254"/>
  <c r="V930" i="254"/>
  <c r="U930" i="254"/>
  <c r="T930" i="254"/>
  <c r="S930" i="254"/>
  <c r="R930" i="254"/>
  <c r="Q930" i="254"/>
  <c r="P930" i="254"/>
  <c r="O930" i="254"/>
  <c r="N930" i="254"/>
  <c r="M930" i="254"/>
  <c r="L930" i="254"/>
  <c r="K930" i="254"/>
  <c r="J930" i="254"/>
  <c r="I930" i="254"/>
  <c r="H930" i="254"/>
  <c r="G930" i="254"/>
  <c r="F930" i="254"/>
  <c r="E930" i="254"/>
  <c r="D930" i="254"/>
  <c r="C930" i="254"/>
  <c r="B930" i="254"/>
  <c r="A930" i="254"/>
  <c r="AF929" i="254"/>
  <c r="AE929" i="254"/>
  <c r="AD929" i="254"/>
  <c r="AC929" i="254"/>
  <c r="AB929" i="254"/>
  <c r="AA929" i="254"/>
  <c r="Z929" i="254"/>
  <c r="Y929" i="254"/>
  <c r="X929" i="254"/>
  <c r="W929" i="254"/>
  <c r="V929" i="254"/>
  <c r="U929" i="254"/>
  <c r="T929" i="254"/>
  <c r="S929" i="254"/>
  <c r="R929" i="254"/>
  <c r="Q929" i="254"/>
  <c r="P929" i="254"/>
  <c r="O929" i="254"/>
  <c r="N929" i="254"/>
  <c r="M929" i="254"/>
  <c r="L929" i="254"/>
  <c r="K929" i="254"/>
  <c r="J929" i="254"/>
  <c r="I929" i="254"/>
  <c r="H929" i="254"/>
  <c r="G929" i="254"/>
  <c r="F929" i="254"/>
  <c r="E929" i="254"/>
  <c r="D929" i="254"/>
  <c r="C929" i="254"/>
  <c r="B929" i="254"/>
  <c r="A929" i="254"/>
  <c r="AF928" i="254"/>
  <c r="AE928" i="254"/>
  <c r="AD928" i="254"/>
  <c r="AC928" i="254"/>
  <c r="AB928" i="254"/>
  <c r="AA928" i="254"/>
  <c r="Z928" i="254"/>
  <c r="Y928" i="254"/>
  <c r="X928" i="254"/>
  <c r="W928" i="254"/>
  <c r="V928" i="254"/>
  <c r="U928" i="254"/>
  <c r="T928" i="254"/>
  <c r="S928" i="254"/>
  <c r="R928" i="254"/>
  <c r="Q928" i="254"/>
  <c r="P928" i="254"/>
  <c r="O928" i="254"/>
  <c r="N928" i="254"/>
  <c r="M928" i="254"/>
  <c r="L928" i="254"/>
  <c r="K928" i="254"/>
  <c r="J928" i="254"/>
  <c r="I928" i="254"/>
  <c r="H928" i="254"/>
  <c r="G928" i="254"/>
  <c r="F928" i="254"/>
  <c r="E928" i="254"/>
  <c r="D928" i="254"/>
  <c r="C928" i="254"/>
  <c r="B928" i="254"/>
  <c r="A928" i="254"/>
  <c r="AF927" i="254"/>
  <c r="AE927" i="254"/>
  <c r="AD927" i="254"/>
  <c r="AC927" i="254"/>
  <c r="AB927" i="254"/>
  <c r="AA927" i="254"/>
  <c r="Z927" i="254"/>
  <c r="Y927" i="254"/>
  <c r="X927" i="254"/>
  <c r="W927" i="254"/>
  <c r="V927" i="254"/>
  <c r="U927" i="254"/>
  <c r="T927" i="254"/>
  <c r="S927" i="254"/>
  <c r="R927" i="254"/>
  <c r="Q927" i="254"/>
  <c r="P927" i="254"/>
  <c r="O927" i="254"/>
  <c r="N927" i="254"/>
  <c r="M927" i="254"/>
  <c r="L927" i="254"/>
  <c r="K927" i="254"/>
  <c r="J927" i="254"/>
  <c r="I927" i="254"/>
  <c r="H927" i="254"/>
  <c r="G927" i="254"/>
  <c r="F927" i="254"/>
  <c r="E927" i="254"/>
  <c r="D927" i="254"/>
  <c r="C927" i="254"/>
  <c r="B927" i="254"/>
  <c r="A927" i="254"/>
  <c r="AF926" i="254"/>
  <c r="AE926" i="254"/>
  <c r="AD926" i="254"/>
  <c r="AC926" i="254"/>
  <c r="AB926" i="254"/>
  <c r="AA926" i="254"/>
  <c r="Z926" i="254"/>
  <c r="Y926" i="254"/>
  <c r="X926" i="254"/>
  <c r="W926" i="254"/>
  <c r="V926" i="254"/>
  <c r="U926" i="254"/>
  <c r="T926" i="254"/>
  <c r="S926" i="254"/>
  <c r="R926" i="254"/>
  <c r="Q926" i="254"/>
  <c r="P926" i="254"/>
  <c r="O926" i="254"/>
  <c r="N926" i="254"/>
  <c r="M926" i="254"/>
  <c r="L926" i="254"/>
  <c r="K926" i="254"/>
  <c r="J926" i="254"/>
  <c r="I926" i="254"/>
  <c r="H926" i="254"/>
  <c r="G926" i="254"/>
  <c r="F926" i="254"/>
  <c r="E926" i="254"/>
  <c r="D926" i="254"/>
  <c r="C926" i="254"/>
  <c r="B926" i="254"/>
  <c r="A926" i="254"/>
  <c r="AF925" i="254"/>
  <c r="AE925" i="254"/>
  <c r="AD925" i="254"/>
  <c r="AC925" i="254"/>
  <c r="AB925" i="254"/>
  <c r="AA925" i="254"/>
  <c r="Z925" i="254"/>
  <c r="Y925" i="254"/>
  <c r="X925" i="254"/>
  <c r="W925" i="254"/>
  <c r="V925" i="254"/>
  <c r="U925" i="254"/>
  <c r="T925" i="254"/>
  <c r="S925" i="254"/>
  <c r="R925" i="254"/>
  <c r="Q925" i="254"/>
  <c r="P925" i="254"/>
  <c r="O925" i="254"/>
  <c r="N925" i="254"/>
  <c r="M925" i="254"/>
  <c r="L925" i="254"/>
  <c r="K925" i="254"/>
  <c r="J925" i="254"/>
  <c r="I925" i="254"/>
  <c r="H925" i="254"/>
  <c r="G925" i="254"/>
  <c r="F925" i="254"/>
  <c r="E925" i="254"/>
  <c r="D925" i="254"/>
  <c r="C925" i="254"/>
  <c r="B925" i="254"/>
  <c r="A925" i="254"/>
  <c r="AF924" i="254"/>
  <c r="AE924" i="254"/>
  <c r="AD924" i="254"/>
  <c r="AC924" i="254"/>
  <c r="AB924" i="254"/>
  <c r="AA924" i="254"/>
  <c r="Z924" i="254"/>
  <c r="Y924" i="254"/>
  <c r="X924" i="254"/>
  <c r="W924" i="254"/>
  <c r="V924" i="254"/>
  <c r="U924" i="254"/>
  <c r="T924" i="254"/>
  <c r="S924" i="254"/>
  <c r="R924" i="254"/>
  <c r="Q924" i="254"/>
  <c r="P924" i="254"/>
  <c r="O924" i="254"/>
  <c r="N924" i="254"/>
  <c r="M924" i="254"/>
  <c r="L924" i="254"/>
  <c r="K924" i="254"/>
  <c r="J924" i="254"/>
  <c r="I924" i="254"/>
  <c r="H924" i="254"/>
  <c r="G924" i="254"/>
  <c r="F924" i="254"/>
  <c r="E924" i="254"/>
  <c r="D924" i="254"/>
  <c r="C924" i="254"/>
  <c r="B924" i="254"/>
  <c r="A924" i="254"/>
  <c r="AF923" i="254"/>
  <c r="AE923" i="254"/>
  <c r="AD923" i="254"/>
  <c r="AC923" i="254"/>
  <c r="AB923" i="254"/>
  <c r="AA923" i="254"/>
  <c r="Z923" i="254"/>
  <c r="Y923" i="254"/>
  <c r="X923" i="254"/>
  <c r="W923" i="254"/>
  <c r="V923" i="254"/>
  <c r="U923" i="254"/>
  <c r="T923" i="254"/>
  <c r="S923" i="254"/>
  <c r="R923" i="254"/>
  <c r="Q923" i="254"/>
  <c r="P923" i="254"/>
  <c r="O923" i="254"/>
  <c r="N923" i="254"/>
  <c r="M923" i="254"/>
  <c r="L923" i="254"/>
  <c r="K923" i="254"/>
  <c r="J923" i="254"/>
  <c r="I923" i="254"/>
  <c r="H923" i="254"/>
  <c r="G923" i="254"/>
  <c r="F923" i="254"/>
  <c r="E923" i="254"/>
  <c r="D923" i="254"/>
  <c r="C923" i="254"/>
  <c r="B923" i="254"/>
  <c r="A923" i="254"/>
  <c r="AF922" i="254"/>
  <c r="AE922" i="254"/>
  <c r="AD922" i="254"/>
  <c r="AC922" i="254"/>
  <c r="AB922" i="254"/>
  <c r="AA922" i="254"/>
  <c r="Z922" i="254"/>
  <c r="Y922" i="254"/>
  <c r="X922" i="254"/>
  <c r="W922" i="254"/>
  <c r="V922" i="254"/>
  <c r="U922" i="254"/>
  <c r="T922" i="254"/>
  <c r="S922" i="254"/>
  <c r="R922" i="254"/>
  <c r="Q922" i="254"/>
  <c r="P922" i="254"/>
  <c r="O922" i="254"/>
  <c r="N922" i="254"/>
  <c r="M922" i="254"/>
  <c r="L922" i="254"/>
  <c r="K922" i="254"/>
  <c r="J922" i="254"/>
  <c r="I922" i="254"/>
  <c r="H922" i="254"/>
  <c r="G922" i="254"/>
  <c r="F922" i="254"/>
  <c r="E922" i="254"/>
  <c r="D922" i="254"/>
  <c r="C922" i="254"/>
  <c r="B922" i="254"/>
  <c r="A922" i="254"/>
  <c r="AF921" i="254"/>
  <c r="AE921" i="254"/>
  <c r="AD921" i="254"/>
  <c r="AC921" i="254"/>
  <c r="AB921" i="254"/>
  <c r="AA921" i="254"/>
  <c r="Z921" i="254"/>
  <c r="Y921" i="254"/>
  <c r="X921" i="254"/>
  <c r="W921" i="254"/>
  <c r="V921" i="254"/>
  <c r="U921" i="254"/>
  <c r="T921" i="254"/>
  <c r="S921" i="254"/>
  <c r="R921" i="254"/>
  <c r="Q921" i="254"/>
  <c r="P921" i="254"/>
  <c r="O921" i="254"/>
  <c r="N921" i="254"/>
  <c r="M921" i="254"/>
  <c r="L921" i="254"/>
  <c r="K921" i="254"/>
  <c r="J921" i="254"/>
  <c r="I921" i="254"/>
  <c r="H921" i="254"/>
  <c r="G921" i="254"/>
  <c r="F921" i="254"/>
  <c r="E921" i="254"/>
  <c r="D921" i="254"/>
  <c r="C921" i="254"/>
  <c r="B921" i="254"/>
  <c r="A921" i="254"/>
  <c r="AF920" i="254"/>
  <c r="AE920" i="254"/>
  <c r="AD920" i="254"/>
  <c r="AC920" i="254"/>
  <c r="AB920" i="254"/>
  <c r="AA920" i="254"/>
  <c r="Z920" i="254"/>
  <c r="Y920" i="254"/>
  <c r="X920" i="254"/>
  <c r="W920" i="254"/>
  <c r="V920" i="254"/>
  <c r="U920" i="254"/>
  <c r="T920" i="254"/>
  <c r="S920" i="254"/>
  <c r="R920" i="254"/>
  <c r="Q920" i="254"/>
  <c r="P920" i="254"/>
  <c r="O920" i="254"/>
  <c r="N920" i="254"/>
  <c r="M920" i="254"/>
  <c r="L920" i="254"/>
  <c r="K920" i="254"/>
  <c r="J920" i="254"/>
  <c r="I920" i="254"/>
  <c r="H920" i="254"/>
  <c r="G920" i="254"/>
  <c r="F920" i="254"/>
  <c r="E920" i="254"/>
  <c r="D920" i="254"/>
  <c r="C920" i="254"/>
  <c r="B920" i="254"/>
  <c r="A920" i="254"/>
  <c r="AF919" i="254"/>
  <c r="AE919" i="254"/>
  <c r="AD919" i="254"/>
  <c r="AC919" i="254"/>
  <c r="AB919" i="254"/>
  <c r="AA919" i="254"/>
  <c r="Z919" i="254"/>
  <c r="Y919" i="254"/>
  <c r="X919" i="254"/>
  <c r="W919" i="254"/>
  <c r="V919" i="254"/>
  <c r="U919" i="254"/>
  <c r="T919" i="254"/>
  <c r="S919" i="254"/>
  <c r="R919" i="254"/>
  <c r="Q919" i="254"/>
  <c r="P919" i="254"/>
  <c r="O919" i="254"/>
  <c r="N919" i="254"/>
  <c r="M919" i="254"/>
  <c r="L919" i="254"/>
  <c r="K919" i="254"/>
  <c r="J919" i="254"/>
  <c r="I919" i="254"/>
  <c r="H919" i="254"/>
  <c r="G919" i="254"/>
  <c r="F919" i="254"/>
  <c r="E919" i="254"/>
  <c r="D919" i="254"/>
  <c r="C919" i="254"/>
  <c r="B919" i="254"/>
  <c r="A919" i="254"/>
  <c r="AF918" i="254"/>
  <c r="AE918" i="254"/>
  <c r="AD918" i="254"/>
  <c r="AC918" i="254"/>
  <c r="AB918" i="254"/>
  <c r="AA918" i="254"/>
  <c r="Z918" i="254"/>
  <c r="Y918" i="254"/>
  <c r="X918" i="254"/>
  <c r="W918" i="254"/>
  <c r="V918" i="254"/>
  <c r="U918" i="254"/>
  <c r="T918" i="254"/>
  <c r="S918" i="254"/>
  <c r="R918" i="254"/>
  <c r="Q918" i="254"/>
  <c r="P918" i="254"/>
  <c r="O918" i="254"/>
  <c r="N918" i="254"/>
  <c r="M918" i="254"/>
  <c r="L918" i="254"/>
  <c r="K918" i="254"/>
  <c r="J918" i="254"/>
  <c r="I918" i="254"/>
  <c r="H918" i="254"/>
  <c r="G918" i="254"/>
  <c r="F918" i="254"/>
  <c r="E918" i="254"/>
  <c r="D918" i="254"/>
  <c r="C918" i="254"/>
  <c r="B918" i="254"/>
  <c r="A918" i="254"/>
  <c r="AF917" i="254"/>
  <c r="AE917" i="254"/>
  <c r="AD917" i="254"/>
  <c r="AC917" i="254"/>
  <c r="AB917" i="254"/>
  <c r="AA917" i="254"/>
  <c r="Z917" i="254"/>
  <c r="Y917" i="254"/>
  <c r="X917" i="254"/>
  <c r="W917" i="254"/>
  <c r="V917" i="254"/>
  <c r="U917" i="254"/>
  <c r="T917" i="254"/>
  <c r="S917" i="254"/>
  <c r="R917" i="254"/>
  <c r="Q917" i="254"/>
  <c r="P917" i="254"/>
  <c r="O917" i="254"/>
  <c r="N917" i="254"/>
  <c r="M917" i="254"/>
  <c r="L917" i="254"/>
  <c r="K917" i="254"/>
  <c r="J917" i="254"/>
  <c r="I917" i="254"/>
  <c r="H917" i="254"/>
  <c r="G917" i="254"/>
  <c r="F917" i="254"/>
  <c r="E917" i="254"/>
  <c r="D917" i="254"/>
  <c r="C917" i="254"/>
  <c r="B917" i="254"/>
  <c r="A917" i="254"/>
  <c r="AF916" i="254"/>
  <c r="AE916" i="254"/>
  <c r="AD916" i="254"/>
  <c r="AC916" i="254"/>
  <c r="AB916" i="254"/>
  <c r="AA916" i="254"/>
  <c r="Z916" i="254"/>
  <c r="Y916" i="254"/>
  <c r="X916" i="254"/>
  <c r="W916" i="254"/>
  <c r="V916" i="254"/>
  <c r="U916" i="254"/>
  <c r="T916" i="254"/>
  <c r="S916" i="254"/>
  <c r="R916" i="254"/>
  <c r="Q916" i="254"/>
  <c r="P916" i="254"/>
  <c r="O916" i="254"/>
  <c r="N916" i="254"/>
  <c r="M916" i="254"/>
  <c r="L916" i="254"/>
  <c r="K916" i="254"/>
  <c r="J916" i="254"/>
  <c r="I916" i="254"/>
  <c r="H916" i="254"/>
  <c r="G916" i="254"/>
  <c r="F916" i="254"/>
  <c r="E916" i="254"/>
  <c r="D916" i="254"/>
  <c r="C916" i="254"/>
  <c r="B916" i="254"/>
  <c r="A916" i="254"/>
  <c r="AF915" i="254"/>
  <c r="AE915" i="254"/>
  <c r="AD915" i="254"/>
  <c r="AC915" i="254"/>
  <c r="AB915" i="254"/>
  <c r="AA915" i="254"/>
  <c r="Z915" i="254"/>
  <c r="Y915" i="254"/>
  <c r="X915" i="254"/>
  <c r="W915" i="254"/>
  <c r="V915" i="254"/>
  <c r="U915" i="254"/>
  <c r="T915" i="254"/>
  <c r="S915" i="254"/>
  <c r="R915" i="254"/>
  <c r="Q915" i="254"/>
  <c r="P915" i="254"/>
  <c r="O915" i="254"/>
  <c r="N915" i="254"/>
  <c r="M915" i="254"/>
  <c r="L915" i="254"/>
  <c r="K915" i="254"/>
  <c r="J915" i="254"/>
  <c r="I915" i="254"/>
  <c r="H915" i="254"/>
  <c r="G915" i="254"/>
  <c r="F915" i="254"/>
  <c r="E915" i="254"/>
  <c r="D915" i="254"/>
  <c r="C915" i="254"/>
  <c r="B915" i="254"/>
  <c r="A915" i="254"/>
  <c r="AF914" i="254"/>
  <c r="AE914" i="254"/>
  <c r="AD914" i="254"/>
  <c r="AC914" i="254"/>
  <c r="AB914" i="254"/>
  <c r="AA914" i="254"/>
  <c r="Z914" i="254"/>
  <c r="Y914" i="254"/>
  <c r="X914" i="254"/>
  <c r="W914" i="254"/>
  <c r="V914" i="254"/>
  <c r="U914" i="254"/>
  <c r="T914" i="254"/>
  <c r="S914" i="254"/>
  <c r="R914" i="254"/>
  <c r="Q914" i="254"/>
  <c r="P914" i="254"/>
  <c r="O914" i="254"/>
  <c r="N914" i="254"/>
  <c r="M914" i="254"/>
  <c r="L914" i="254"/>
  <c r="K914" i="254"/>
  <c r="J914" i="254"/>
  <c r="I914" i="254"/>
  <c r="H914" i="254"/>
  <c r="G914" i="254"/>
  <c r="F914" i="254"/>
  <c r="E914" i="254"/>
  <c r="D914" i="254"/>
  <c r="C914" i="254"/>
  <c r="B914" i="254"/>
  <c r="A914" i="254"/>
  <c r="AF913" i="254"/>
  <c r="AE913" i="254"/>
  <c r="AD913" i="254"/>
  <c r="AC913" i="254"/>
  <c r="AB913" i="254"/>
  <c r="AA913" i="254"/>
  <c r="Z913" i="254"/>
  <c r="Y913" i="254"/>
  <c r="X913" i="254"/>
  <c r="W913" i="254"/>
  <c r="V913" i="254"/>
  <c r="U913" i="254"/>
  <c r="T913" i="254"/>
  <c r="S913" i="254"/>
  <c r="R913" i="254"/>
  <c r="Q913" i="254"/>
  <c r="P913" i="254"/>
  <c r="O913" i="254"/>
  <c r="N913" i="254"/>
  <c r="M913" i="254"/>
  <c r="L913" i="254"/>
  <c r="K913" i="254"/>
  <c r="J913" i="254"/>
  <c r="I913" i="254"/>
  <c r="H913" i="254"/>
  <c r="G913" i="254"/>
  <c r="F913" i="254"/>
  <c r="E913" i="254"/>
  <c r="D913" i="254"/>
  <c r="C913" i="254"/>
  <c r="B913" i="254"/>
  <c r="A913" i="254"/>
  <c r="AF912" i="254"/>
  <c r="AE912" i="254"/>
  <c r="AD912" i="254"/>
  <c r="AC912" i="254"/>
  <c r="AB912" i="254"/>
  <c r="AA912" i="254"/>
  <c r="Z912" i="254"/>
  <c r="Y912" i="254"/>
  <c r="X912" i="254"/>
  <c r="W912" i="254"/>
  <c r="V912" i="254"/>
  <c r="U912" i="254"/>
  <c r="T912" i="254"/>
  <c r="S912" i="254"/>
  <c r="R912" i="254"/>
  <c r="Q912" i="254"/>
  <c r="P912" i="254"/>
  <c r="O912" i="254"/>
  <c r="N912" i="254"/>
  <c r="M912" i="254"/>
  <c r="L912" i="254"/>
  <c r="K912" i="254"/>
  <c r="J912" i="254"/>
  <c r="I912" i="254"/>
  <c r="H912" i="254"/>
  <c r="G912" i="254"/>
  <c r="F912" i="254"/>
  <c r="E912" i="254"/>
  <c r="D912" i="254"/>
  <c r="C912" i="254"/>
  <c r="B912" i="254"/>
  <c r="A912" i="254"/>
  <c r="AF911" i="254"/>
  <c r="AE911" i="254"/>
  <c r="AD911" i="254"/>
  <c r="AC911" i="254"/>
  <c r="AB911" i="254"/>
  <c r="AA911" i="254"/>
  <c r="Z911" i="254"/>
  <c r="Y911" i="254"/>
  <c r="X911" i="254"/>
  <c r="W911" i="254"/>
  <c r="V911" i="254"/>
  <c r="U911" i="254"/>
  <c r="T911" i="254"/>
  <c r="S911" i="254"/>
  <c r="R911" i="254"/>
  <c r="Q911" i="254"/>
  <c r="P911" i="254"/>
  <c r="O911" i="254"/>
  <c r="N911" i="254"/>
  <c r="M911" i="254"/>
  <c r="L911" i="254"/>
  <c r="K911" i="254"/>
  <c r="J911" i="254"/>
  <c r="I911" i="254"/>
  <c r="H911" i="254"/>
  <c r="G911" i="254"/>
  <c r="F911" i="254"/>
  <c r="E911" i="254"/>
  <c r="D911" i="254"/>
  <c r="C911" i="254"/>
  <c r="B911" i="254"/>
  <c r="A911" i="254"/>
  <c r="AF910" i="254"/>
  <c r="AE910" i="254"/>
  <c r="AD910" i="254"/>
  <c r="AC910" i="254"/>
  <c r="AB910" i="254"/>
  <c r="AA910" i="254"/>
  <c r="Z910" i="254"/>
  <c r="Y910" i="254"/>
  <c r="X910" i="254"/>
  <c r="W910" i="254"/>
  <c r="V910" i="254"/>
  <c r="U910" i="254"/>
  <c r="T910" i="254"/>
  <c r="S910" i="254"/>
  <c r="R910" i="254"/>
  <c r="Q910" i="254"/>
  <c r="P910" i="254"/>
  <c r="O910" i="254"/>
  <c r="N910" i="254"/>
  <c r="M910" i="254"/>
  <c r="L910" i="254"/>
  <c r="K910" i="254"/>
  <c r="J910" i="254"/>
  <c r="I910" i="254"/>
  <c r="H910" i="254"/>
  <c r="G910" i="254"/>
  <c r="F910" i="254"/>
  <c r="E910" i="254"/>
  <c r="D910" i="254"/>
  <c r="C910" i="254"/>
  <c r="B910" i="254"/>
  <c r="A910" i="254"/>
  <c r="AF909" i="254"/>
  <c r="AE909" i="254"/>
  <c r="AD909" i="254"/>
  <c r="AC909" i="254"/>
  <c r="AB909" i="254"/>
  <c r="AA909" i="254"/>
  <c r="Z909" i="254"/>
  <c r="Y909" i="254"/>
  <c r="X909" i="254"/>
  <c r="W909" i="254"/>
  <c r="V909" i="254"/>
  <c r="U909" i="254"/>
  <c r="T909" i="254"/>
  <c r="S909" i="254"/>
  <c r="R909" i="254"/>
  <c r="Q909" i="254"/>
  <c r="P909" i="254"/>
  <c r="O909" i="254"/>
  <c r="N909" i="254"/>
  <c r="M909" i="254"/>
  <c r="L909" i="254"/>
  <c r="K909" i="254"/>
  <c r="J909" i="254"/>
  <c r="I909" i="254"/>
  <c r="H909" i="254"/>
  <c r="G909" i="254"/>
  <c r="F909" i="254"/>
  <c r="E909" i="254"/>
  <c r="D909" i="254"/>
  <c r="C909" i="254"/>
  <c r="B909" i="254"/>
  <c r="A909" i="254"/>
  <c r="AF908" i="254"/>
  <c r="AE908" i="254"/>
  <c r="AD908" i="254"/>
  <c r="AC908" i="254"/>
  <c r="AB908" i="254"/>
  <c r="AA908" i="254"/>
  <c r="Z908" i="254"/>
  <c r="Y908" i="254"/>
  <c r="X908" i="254"/>
  <c r="W908" i="254"/>
  <c r="V908" i="254"/>
  <c r="U908" i="254"/>
  <c r="T908" i="254"/>
  <c r="S908" i="254"/>
  <c r="R908" i="254"/>
  <c r="Q908" i="254"/>
  <c r="P908" i="254"/>
  <c r="O908" i="254"/>
  <c r="N908" i="254"/>
  <c r="M908" i="254"/>
  <c r="L908" i="254"/>
  <c r="K908" i="254"/>
  <c r="J908" i="254"/>
  <c r="I908" i="254"/>
  <c r="H908" i="254"/>
  <c r="G908" i="254"/>
  <c r="F908" i="254"/>
  <c r="E908" i="254"/>
  <c r="D908" i="254"/>
  <c r="C908" i="254"/>
  <c r="B908" i="254"/>
  <c r="A908" i="254"/>
  <c r="AF907" i="254"/>
  <c r="AE907" i="254"/>
  <c r="AD907" i="254"/>
  <c r="AC907" i="254"/>
  <c r="AB907" i="254"/>
  <c r="AA907" i="254"/>
  <c r="Z907" i="254"/>
  <c r="Y907" i="254"/>
  <c r="X907" i="254"/>
  <c r="W907" i="254"/>
  <c r="V907" i="254"/>
  <c r="U907" i="254"/>
  <c r="T907" i="254"/>
  <c r="S907" i="254"/>
  <c r="R907" i="254"/>
  <c r="Q907" i="254"/>
  <c r="P907" i="254"/>
  <c r="O907" i="254"/>
  <c r="N907" i="254"/>
  <c r="M907" i="254"/>
  <c r="L907" i="254"/>
  <c r="K907" i="254"/>
  <c r="J907" i="254"/>
  <c r="I907" i="254"/>
  <c r="H907" i="254"/>
  <c r="G907" i="254"/>
  <c r="F907" i="254"/>
  <c r="E907" i="254"/>
  <c r="D907" i="254"/>
  <c r="C907" i="254"/>
  <c r="B907" i="254"/>
  <c r="A907" i="254"/>
  <c r="AF906" i="254"/>
  <c r="AE906" i="254"/>
  <c r="AD906" i="254"/>
  <c r="AC906" i="254"/>
  <c r="AB906" i="254"/>
  <c r="AA906" i="254"/>
  <c r="Z906" i="254"/>
  <c r="Y906" i="254"/>
  <c r="X906" i="254"/>
  <c r="W906" i="254"/>
  <c r="V906" i="254"/>
  <c r="U906" i="254"/>
  <c r="T906" i="254"/>
  <c r="S906" i="254"/>
  <c r="R906" i="254"/>
  <c r="Q906" i="254"/>
  <c r="P906" i="254"/>
  <c r="O906" i="254"/>
  <c r="N906" i="254"/>
  <c r="M906" i="254"/>
  <c r="L906" i="254"/>
  <c r="K906" i="254"/>
  <c r="J906" i="254"/>
  <c r="I906" i="254"/>
  <c r="H906" i="254"/>
  <c r="G906" i="254"/>
  <c r="F906" i="254"/>
  <c r="E906" i="254"/>
  <c r="D906" i="254"/>
  <c r="C906" i="254"/>
  <c r="B906" i="254"/>
  <c r="A906" i="254"/>
  <c r="AF905" i="254"/>
  <c r="AE905" i="254"/>
  <c r="AD905" i="254"/>
  <c r="AC905" i="254"/>
  <c r="AB905" i="254"/>
  <c r="AA905" i="254"/>
  <c r="Z905" i="254"/>
  <c r="Y905" i="254"/>
  <c r="X905" i="254"/>
  <c r="W905" i="254"/>
  <c r="V905" i="254"/>
  <c r="U905" i="254"/>
  <c r="T905" i="254"/>
  <c r="S905" i="254"/>
  <c r="R905" i="254"/>
  <c r="Q905" i="254"/>
  <c r="P905" i="254"/>
  <c r="O905" i="254"/>
  <c r="N905" i="254"/>
  <c r="M905" i="254"/>
  <c r="L905" i="254"/>
  <c r="K905" i="254"/>
  <c r="J905" i="254"/>
  <c r="I905" i="254"/>
  <c r="H905" i="254"/>
  <c r="G905" i="254"/>
  <c r="F905" i="254"/>
  <c r="E905" i="254"/>
  <c r="D905" i="254"/>
  <c r="C905" i="254"/>
  <c r="B905" i="254"/>
  <c r="A905" i="254"/>
  <c r="AF904" i="254"/>
  <c r="AE904" i="254"/>
  <c r="AD904" i="254"/>
  <c r="AC904" i="254"/>
  <c r="AB904" i="254"/>
  <c r="AA904" i="254"/>
  <c r="Z904" i="254"/>
  <c r="Y904" i="254"/>
  <c r="X904" i="254"/>
  <c r="W904" i="254"/>
  <c r="V904" i="254"/>
  <c r="U904" i="254"/>
  <c r="T904" i="254"/>
  <c r="S904" i="254"/>
  <c r="R904" i="254"/>
  <c r="Q904" i="254"/>
  <c r="P904" i="254"/>
  <c r="O904" i="254"/>
  <c r="N904" i="254"/>
  <c r="M904" i="254"/>
  <c r="L904" i="254"/>
  <c r="K904" i="254"/>
  <c r="J904" i="254"/>
  <c r="I904" i="254"/>
  <c r="H904" i="254"/>
  <c r="G904" i="254"/>
  <c r="F904" i="254"/>
  <c r="E904" i="254"/>
  <c r="D904" i="254"/>
  <c r="C904" i="254"/>
  <c r="B904" i="254"/>
  <c r="A904" i="254"/>
  <c r="AF903" i="254"/>
  <c r="AE903" i="254"/>
  <c r="AD903" i="254"/>
  <c r="AC903" i="254"/>
  <c r="AB903" i="254"/>
  <c r="AA903" i="254"/>
  <c r="Z903" i="254"/>
  <c r="Y903" i="254"/>
  <c r="X903" i="254"/>
  <c r="W903" i="254"/>
  <c r="V903" i="254"/>
  <c r="U903" i="254"/>
  <c r="T903" i="254"/>
  <c r="S903" i="254"/>
  <c r="R903" i="254"/>
  <c r="Q903" i="254"/>
  <c r="P903" i="254"/>
  <c r="O903" i="254"/>
  <c r="N903" i="254"/>
  <c r="M903" i="254"/>
  <c r="L903" i="254"/>
  <c r="K903" i="254"/>
  <c r="J903" i="254"/>
  <c r="I903" i="254"/>
  <c r="H903" i="254"/>
  <c r="G903" i="254"/>
  <c r="F903" i="254"/>
  <c r="E903" i="254"/>
  <c r="D903" i="254"/>
  <c r="C903" i="254"/>
  <c r="B903" i="254"/>
  <c r="A903" i="254"/>
  <c r="AF902" i="254"/>
  <c r="AE902" i="254"/>
  <c r="AD902" i="254"/>
  <c r="AC902" i="254"/>
  <c r="AB902" i="254"/>
  <c r="AA902" i="254"/>
  <c r="Z902" i="254"/>
  <c r="Y902" i="254"/>
  <c r="X902" i="254"/>
  <c r="W902" i="254"/>
  <c r="V902" i="254"/>
  <c r="U902" i="254"/>
  <c r="T902" i="254"/>
  <c r="S902" i="254"/>
  <c r="R902" i="254"/>
  <c r="Q902" i="254"/>
  <c r="P902" i="254"/>
  <c r="O902" i="254"/>
  <c r="N902" i="254"/>
  <c r="M902" i="254"/>
  <c r="L902" i="254"/>
  <c r="K902" i="254"/>
  <c r="J902" i="254"/>
  <c r="I902" i="254"/>
  <c r="H902" i="254"/>
  <c r="G902" i="254"/>
  <c r="F902" i="254"/>
  <c r="E902" i="254"/>
  <c r="D902" i="254"/>
  <c r="C902" i="254"/>
  <c r="B902" i="254"/>
  <c r="A902" i="254"/>
  <c r="AF901" i="254"/>
  <c r="AE901" i="254"/>
  <c r="AD901" i="254"/>
  <c r="AC901" i="254"/>
  <c r="AB901" i="254"/>
  <c r="AA901" i="254"/>
  <c r="Z901" i="254"/>
  <c r="Y901" i="254"/>
  <c r="X901" i="254"/>
  <c r="W901" i="254"/>
  <c r="V901" i="254"/>
  <c r="U901" i="254"/>
  <c r="T901" i="254"/>
  <c r="S901" i="254"/>
  <c r="R901" i="254"/>
  <c r="Q901" i="254"/>
  <c r="P901" i="254"/>
  <c r="O901" i="254"/>
  <c r="N901" i="254"/>
  <c r="M901" i="254"/>
  <c r="L901" i="254"/>
  <c r="K901" i="254"/>
  <c r="J901" i="254"/>
  <c r="I901" i="254"/>
  <c r="H901" i="254"/>
  <c r="G901" i="254"/>
  <c r="F901" i="254"/>
  <c r="E901" i="254"/>
  <c r="D901" i="254"/>
  <c r="C901" i="254"/>
  <c r="B901" i="254"/>
  <c r="A901" i="254"/>
  <c r="AF900" i="254"/>
  <c r="AE900" i="254"/>
  <c r="AD900" i="254"/>
  <c r="AC900" i="254"/>
  <c r="AB900" i="254"/>
  <c r="AA900" i="254"/>
  <c r="Z900" i="254"/>
  <c r="Y900" i="254"/>
  <c r="X900" i="254"/>
  <c r="W900" i="254"/>
  <c r="V900" i="254"/>
  <c r="U900" i="254"/>
  <c r="T900" i="254"/>
  <c r="S900" i="254"/>
  <c r="R900" i="254"/>
  <c r="Q900" i="254"/>
  <c r="P900" i="254"/>
  <c r="O900" i="254"/>
  <c r="N900" i="254"/>
  <c r="M900" i="254"/>
  <c r="L900" i="254"/>
  <c r="K900" i="254"/>
  <c r="J900" i="254"/>
  <c r="I900" i="254"/>
  <c r="H900" i="254"/>
  <c r="G900" i="254"/>
  <c r="F900" i="254"/>
  <c r="E900" i="254"/>
  <c r="D900" i="254"/>
  <c r="C900" i="254"/>
  <c r="B900" i="254"/>
  <c r="A900" i="254"/>
  <c r="AF899" i="254"/>
  <c r="AE899" i="254"/>
  <c r="AD899" i="254"/>
  <c r="AC899" i="254"/>
  <c r="AB899" i="254"/>
  <c r="AA899" i="254"/>
  <c r="Z899" i="254"/>
  <c r="Y899" i="254"/>
  <c r="X899" i="254"/>
  <c r="W899" i="254"/>
  <c r="V899" i="254"/>
  <c r="U899" i="254"/>
  <c r="T899" i="254"/>
  <c r="S899" i="254"/>
  <c r="R899" i="254"/>
  <c r="Q899" i="254"/>
  <c r="P899" i="254"/>
  <c r="O899" i="254"/>
  <c r="N899" i="254"/>
  <c r="M899" i="254"/>
  <c r="L899" i="254"/>
  <c r="K899" i="254"/>
  <c r="J899" i="254"/>
  <c r="I899" i="254"/>
  <c r="H899" i="254"/>
  <c r="G899" i="254"/>
  <c r="F899" i="254"/>
  <c r="E899" i="254"/>
  <c r="D899" i="254"/>
  <c r="C899" i="254"/>
  <c r="B899" i="254"/>
  <c r="A899" i="254"/>
  <c r="AF898" i="254"/>
  <c r="AE898" i="254"/>
  <c r="AD898" i="254"/>
  <c r="AC898" i="254"/>
  <c r="AB898" i="254"/>
  <c r="AA898" i="254"/>
  <c r="Z898" i="254"/>
  <c r="Y898" i="254"/>
  <c r="X898" i="254"/>
  <c r="W898" i="254"/>
  <c r="V898" i="254"/>
  <c r="U898" i="254"/>
  <c r="T898" i="254"/>
  <c r="S898" i="254"/>
  <c r="R898" i="254"/>
  <c r="Q898" i="254"/>
  <c r="P898" i="254"/>
  <c r="O898" i="254"/>
  <c r="N898" i="254"/>
  <c r="M898" i="254"/>
  <c r="L898" i="254"/>
  <c r="K898" i="254"/>
  <c r="J898" i="254"/>
  <c r="I898" i="254"/>
  <c r="H898" i="254"/>
  <c r="G898" i="254"/>
  <c r="F898" i="254"/>
  <c r="E898" i="254"/>
  <c r="D898" i="254"/>
  <c r="C898" i="254"/>
  <c r="B898" i="254"/>
  <c r="A898" i="254"/>
  <c r="AF897" i="254"/>
  <c r="AE897" i="254"/>
  <c r="AD897" i="254"/>
  <c r="AC897" i="254"/>
  <c r="AB897" i="254"/>
  <c r="AA897" i="254"/>
  <c r="Z897" i="254"/>
  <c r="Y897" i="254"/>
  <c r="X897" i="254"/>
  <c r="W897" i="254"/>
  <c r="V897" i="254"/>
  <c r="U897" i="254"/>
  <c r="T897" i="254"/>
  <c r="S897" i="254"/>
  <c r="R897" i="254"/>
  <c r="Q897" i="254"/>
  <c r="P897" i="254"/>
  <c r="O897" i="254"/>
  <c r="N897" i="254"/>
  <c r="M897" i="254"/>
  <c r="L897" i="254"/>
  <c r="K897" i="254"/>
  <c r="J897" i="254"/>
  <c r="I897" i="254"/>
  <c r="H897" i="254"/>
  <c r="G897" i="254"/>
  <c r="F897" i="254"/>
  <c r="E897" i="254"/>
  <c r="D897" i="254"/>
  <c r="C897" i="254"/>
  <c r="B897" i="254"/>
  <c r="A897" i="254"/>
  <c r="AF896" i="254"/>
  <c r="AE896" i="254"/>
  <c r="AD896" i="254"/>
  <c r="AC896" i="254"/>
  <c r="AB896" i="254"/>
  <c r="AA896" i="254"/>
  <c r="Z896" i="254"/>
  <c r="Y896" i="254"/>
  <c r="X896" i="254"/>
  <c r="W896" i="254"/>
  <c r="V896" i="254"/>
  <c r="U896" i="254"/>
  <c r="T896" i="254"/>
  <c r="S896" i="254"/>
  <c r="R896" i="254"/>
  <c r="Q896" i="254"/>
  <c r="P896" i="254"/>
  <c r="O896" i="254"/>
  <c r="N896" i="254"/>
  <c r="M896" i="254"/>
  <c r="L896" i="254"/>
  <c r="K896" i="254"/>
  <c r="J896" i="254"/>
  <c r="I896" i="254"/>
  <c r="H896" i="254"/>
  <c r="G896" i="254"/>
  <c r="F896" i="254"/>
  <c r="E896" i="254"/>
  <c r="D896" i="254"/>
  <c r="C896" i="254"/>
  <c r="B896" i="254"/>
  <c r="A896" i="254"/>
  <c r="AF895" i="254"/>
  <c r="AE895" i="254"/>
  <c r="AD895" i="254"/>
  <c r="AC895" i="254"/>
  <c r="AB895" i="254"/>
  <c r="AA895" i="254"/>
  <c r="Z895" i="254"/>
  <c r="Y895" i="254"/>
  <c r="X895" i="254"/>
  <c r="W895" i="254"/>
  <c r="V895" i="254"/>
  <c r="U895" i="254"/>
  <c r="T895" i="254"/>
  <c r="S895" i="254"/>
  <c r="R895" i="254"/>
  <c r="Q895" i="254"/>
  <c r="P895" i="254"/>
  <c r="O895" i="254"/>
  <c r="N895" i="254"/>
  <c r="M895" i="254"/>
  <c r="L895" i="254"/>
  <c r="K895" i="254"/>
  <c r="J895" i="254"/>
  <c r="I895" i="254"/>
  <c r="H895" i="254"/>
  <c r="G895" i="254"/>
  <c r="F895" i="254"/>
  <c r="E895" i="254"/>
  <c r="D895" i="254"/>
  <c r="C895" i="254"/>
  <c r="B895" i="254"/>
  <c r="A895" i="254"/>
  <c r="AF894" i="254"/>
  <c r="AE894" i="254"/>
  <c r="AD894" i="254"/>
  <c r="AC894" i="254"/>
  <c r="AB894" i="254"/>
  <c r="AA894" i="254"/>
  <c r="Z894" i="254"/>
  <c r="Y894" i="254"/>
  <c r="X894" i="254"/>
  <c r="W894" i="254"/>
  <c r="V894" i="254"/>
  <c r="U894" i="254"/>
  <c r="T894" i="254"/>
  <c r="S894" i="254"/>
  <c r="R894" i="254"/>
  <c r="Q894" i="254"/>
  <c r="P894" i="254"/>
  <c r="O894" i="254"/>
  <c r="N894" i="254"/>
  <c r="M894" i="254"/>
  <c r="L894" i="254"/>
  <c r="K894" i="254"/>
  <c r="J894" i="254"/>
  <c r="I894" i="254"/>
  <c r="H894" i="254"/>
  <c r="G894" i="254"/>
  <c r="F894" i="254"/>
  <c r="E894" i="254"/>
  <c r="D894" i="254"/>
  <c r="C894" i="254"/>
  <c r="B894" i="254"/>
  <c r="A894" i="254"/>
  <c r="AF893" i="254"/>
  <c r="AE893" i="254"/>
  <c r="AD893" i="254"/>
  <c r="AC893" i="254"/>
  <c r="AB893" i="254"/>
  <c r="AA893" i="254"/>
  <c r="Z893" i="254"/>
  <c r="Y893" i="254"/>
  <c r="X893" i="254"/>
  <c r="W893" i="254"/>
  <c r="V893" i="254"/>
  <c r="U893" i="254"/>
  <c r="T893" i="254"/>
  <c r="S893" i="254"/>
  <c r="R893" i="254"/>
  <c r="Q893" i="254"/>
  <c r="P893" i="254"/>
  <c r="O893" i="254"/>
  <c r="N893" i="254"/>
  <c r="M893" i="254"/>
  <c r="L893" i="254"/>
  <c r="K893" i="254"/>
  <c r="J893" i="254"/>
  <c r="I893" i="254"/>
  <c r="H893" i="254"/>
  <c r="G893" i="254"/>
  <c r="F893" i="254"/>
  <c r="E893" i="254"/>
  <c r="D893" i="254"/>
  <c r="C893" i="254"/>
  <c r="B893" i="254"/>
  <c r="A893" i="254"/>
  <c r="AF892" i="254"/>
  <c r="AE892" i="254"/>
  <c r="AD892" i="254"/>
  <c r="AC892" i="254"/>
  <c r="AB892" i="254"/>
  <c r="AA892" i="254"/>
  <c r="Z892" i="254"/>
  <c r="Y892" i="254"/>
  <c r="X892" i="254"/>
  <c r="W892" i="254"/>
  <c r="V892" i="254"/>
  <c r="U892" i="254"/>
  <c r="T892" i="254"/>
  <c r="S892" i="254"/>
  <c r="R892" i="254"/>
  <c r="Q892" i="254"/>
  <c r="P892" i="254"/>
  <c r="O892" i="254"/>
  <c r="N892" i="254"/>
  <c r="M892" i="254"/>
  <c r="L892" i="254"/>
  <c r="K892" i="254"/>
  <c r="J892" i="254"/>
  <c r="I892" i="254"/>
  <c r="H892" i="254"/>
  <c r="G892" i="254"/>
  <c r="F892" i="254"/>
  <c r="E892" i="254"/>
  <c r="D892" i="254"/>
  <c r="C892" i="254"/>
  <c r="B892" i="254"/>
  <c r="A892" i="254"/>
  <c r="AF891" i="254"/>
  <c r="AE891" i="254"/>
  <c r="AD891" i="254"/>
  <c r="AC891" i="254"/>
  <c r="AB891" i="254"/>
  <c r="AA891" i="254"/>
  <c r="Z891" i="254"/>
  <c r="Y891" i="254"/>
  <c r="X891" i="254"/>
  <c r="W891" i="254"/>
  <c r="V891" i="254"/>
  <c r="U891" i="254"/>
  <c r="T891" i="254"/>
  <c r="S891" i="254"/>
  <c r="R891" i="254"/>
  <c r="Q891" i="254"/>
  <c r="P891" i="254"/>
  <c r="O891" i="254"/>
  <c r="N891" i="254"/>
  <c r="M891" i="254"/>
  <c r="L891" i="254"/>
  <c r="K891" i="254"/>
  <c r="J891" i="254"/>
  <c r="I891" i="254"/>
  <c r="H891" i="254"/>
  <c r="G891" i="254"/>
  <c r="F891" i="254"/>
  <c r="E891" i="254"/>
  <c r="D891" i="254"/>
  <c r="C891" i="254"/>
  <c r="B891" i="254"/>
  <c r="A891" i="254"/>
  <c r="AF890" i="254"/>
  <c r="AE890" i="254"/>
  <c r="AD890" i="254"/>
  <c r="AC890" i="254"/>
  <c r="AB890" i="254"/>
  <c r="AA890" i="254"/>
  <c r="Z890" i="254"/>
  <c r="Y890" i="254"/>
  <c r="X890" i="254"/>
  <c r="W890" i="254"/>
  <c r="V890" i="254"/>
  <c r="U890" i="254"/>
  <c r="T890" i="254"/>
  <c r="S890" i="254"/>
  <c r="R890" i="254"/>
  <c r="Q890" i="254"/>
  <c r="P890" i="254"/>
  <c r="O890" i="254"/>
  <c r="N890" i="254"/>
  <c r="M890" i="254"/>
  <c r="L890" i="254"/>
  <c r="K890" i="254"/>
  <c r="J890" i="254"/>
  <c r="I890" i="254"/>
  <c r="H890" i="254"/>
  <c r="G890" i="254"/>
  <c r="F890" i="254"/>
  <c r="E890" i="254"/>
  <c r="D890" i="254"/>
  <c r="C890" i="254"/>
  <c r="B890" i="254"/>
  <c r="A890" i="254"/>
  <c r="AF889" i="254"/>
  <c r="AE889" i="254"/>
  <c r="AD889" i="254"/>
  <c r="AC889" i="254"/>
  <c r="AB889" i="254"/>
  <c r="AA889" i="254"/>
  <c r="Z889" i="254"/>
  <c r="Y889" i="254"/>
  <c r="X889" i="254"/>
  <c r="W889" i="254"/>
  <c r="V889" i="254"/>
  <c r="U889" i="254"/>
  <c r="T889" i="254"/>
  <c r="S889" i="254"/>
  <c r="R889" i="254"/>
  <c r="Q889" i="254"/>
  <c r="P889" i="254"/>
  <c r="O889" i="254"/>
  <c r="N889" i="254"/>
  <c r="M889" i="254"/>
  <c r="L889" i="254"/>
  <c r="K889" i="254"/>
  <c r="J889" i="254"/>
  <c r="I889" i="254"/>
  <c r="H889" i="254"/>
  <c r="G889" i="254"/>
  <c r="F889" i="254"/>
  <c r="E889" i="254"/>
  <c r="D889" i="254"/>
  <c r="C889" i="254"/>
  <c r="B889" i="254"/>
  <c r="A889" i="254"/>
  <c r="AF888" i="254"/>
  <c r="AE888" i="254"/>
  <c r="AD888" i="254"/>
  <c r="AC888" i="254"/>
  <c r="AB888" i="254"/>
  <c r="AA888" i="254"/>
  <c r="Z888" i="254"/>
  <c r="Y888" i="254"/>
  <c r="X888" i="254"/>
  <c r="W888" i="254"/>
  <c r="V888" i="254"/>
  <c r="U888" i="254"/>
  <c r="T888" i="254"/>
  <c r="S888" i="254"/>
  <c r="R888" i="254"/>
  <c r="Q888" i="254"/>
  <c r="P888" i="254"/>
  <c r="O888" i="254"/>
  <c r="N888" i="254"/>
  <c r="M888" i="254"/>
  <c r="L888" i="254"/>
  <c r="K888" i="254"/>
  <c r="J888" i="254"/>
  <c r="I888" i="254"/>
  <c r="H888" i="254"/>
  <c r="G888" i="254"/>
  <c r="F888" i="254"/>
  <c r="E888" i="254"/>
  <c r="D888" i="254"/>
  <c r="C888" i="254"/>
  <c r="B888" i="254"/>
  <c r="A888" i="254"/>
  <c r="AF887" i="254"/>
  <c r="AE887" i="254"/>
  <c r="AD887" i="254"/>
  <c r="AC887" i="254"/>
  <c r="AB887" i="254"/>
  <c r="AA887" i="254"/>
  <c r="Z887" i="254"/>
  <c r="Y887" i="254"/>
  <c r="X887" i="254"/>
  <c r="W887" i="254"/>
  <c r="V887" i="254"/>
  <c r="U887" i="254"/>
  <c r="T887" i="254"/>
  <c r="S887" i="254"/>
  <c r="R887" i="254"/>
  <c r="Q887" i="254"/>
  <c r="P887" i="254"/>
  <c r="O887" i="254"/>
  <c r="N887" i="254"/>
  <c r="M887" i="254"/>
  <c r="L887" i="254"/>
  <c r="K887" i="254"/>
  <c r="J887" i="254"/>
  <c r="I887" i="254"/>
  <c r="H887" i="254"/>
  <c r="G887" i="254"/>
  <c r="F887" i="254"/>
  <c r="E887" i="254"/>
  <c r="D887" i="254"/>
  <c r="C887" i="254"/>
  <c r="B887" i="254"/>
  <c r="A887" i="254"/>
  <c r="AF886" i="254"/>
  <c r="AE886" i="254"/>
  <c r="AD886" i="254"/>
  <c r="AC886" i="254"/>
  <c r="AB886" i="254"/>
  <c r="AA886" i="254"/>
  <c r="Z886" i="254"/>
  <c r="Y886" i="254"/>
  <c r="X886" i="254"/>
  <c r="W886" i="254"/>
  <c r="V886" i="254"/>
  <c r="U886" i="254"/>
  <c r="T886" i="254"/>
  <c r="S886" i="254"/>
  <c r="R886" i="254"/>
  <c r="Q886" i="254"/>
  <c r="P886" i="254"/>
  <c r="O886" i="254"/>
  <c r="N886" i="254"/>
  <c r="M886" i="254"/>
  <c r="L886" i="254"/>
  <c r="K886" i="254"/>
  <c r="J886" i="254"/>
  <c r="I886" i="254"/>
  <c r="H886" i="254"/>
  <c r="G886" i="254"/>
  <c r="F886" i="254"/>
  <c r="E886" i="254"/>
  <c r="D886" i="254"/>
  <c r="C886" i="254"/>
  <c r="B886" i="254"/>
  <c r="A886" i="254"/>
  <c r="AF885" i="254"/>
  <c r="AE885" i="254"/>
  <c r="AD885" i="254"/>
  <c r="AC885" i="254"/>
  <c r="AB885" i="254"/>
  <c r="AA885" i="254"/>
  <c r="Z885" i="254"/>
  <c r="Y885" i="254"/>
  <c r="X885" i="254"/>
  <c r="W885" i="254"/>
  <c r="V885" i="254"/>
  <c r="U885" i="254"/>
  <c r="T885" i="254"/>
  <c r="S885" i="254"/>
  <c r="R885" i="254"/>
  <c r="Q885" i="254"/>
  <c r="P885" i="254"/>
  <c r="O885" i="254"/>
  <c r="N885" i="254"/>
  <c r="M885" i="254"/>
  <c r="L885" i="254"/>
  <c r="K885" i="254"/>
  <c r="J885" i="254"/>
  <c r="I885" i="254"/>
  <c r="H885" i="254"/>
  <c r="G885" i="254"/>
  <c r="F885" i="254"/>
  <c r="E885" i="254"/>
  <c r="D885" i="254"/>
  <c r="C885" i="254"/>
  <c r="B885" i="254"/>
  <c r="A885" i="254"/>
  <c r="AF884" i="254"/>
  <c r="AE884" i="254"/>
  <c r="AD884" i="254"/>
  <c r="AC884" i="254"/>
  <c r="AB884" i="254"/>
  <c r="AA884" i="254"/>
  <c r="Z884" i="254"/>
  <c r="Y884" i="254"/>
  <c r="X884" i="254"/>
  <c r="W884" i="254"/>
  <c r="V884" i="254"/>
  <c r="U884" i="254"/>
  <c r="T884" i="254"/>
  <c r="S884" i="254"/>
  <c r="R884" i="254"/>
  <c r="Q884" i="254"/>
  <c r="P884" i="254"/>
  <c r="O884" i="254"/>
  <c r="N884" i="254"/>
  <c r="M884" i="254"/>
  <c r="L884" i="254"/>
  <c r="K884" i="254"/>
  <c r="J884" i="254"/>
  <c r="I884" i="254"/>
  <c r="H884" i="254"/>
  <c r="G884" i="254"/>
  <c r="F884" i="254"/>
  <c r="E884" i="254"/>
  <c r="D884" i="254"/>
  <c r="C884" i="254"/>
  <c r="B884" i="254"/>
  <c r="A884" i="254"/>
  <c r="AF883" i="254"/>
  <c r="AE883" i="254"/>
  <c r="AD883" i="254"/>
  <c r="AC883" i="254"/>
  <c r="AB883" i="254"/>
  <c r="AA883" i="254"/>
  <c r="Z883" i="254"/>
  <c r="Y883" i="254"/>
  <c r="X883" i="254"/>
  <c r="W883" i="254"/>
  <c r="V883" i="254"/>
  <c r="U883" i="254"/>
  <c r="T883" i="254"/>
  <c r="S883" i="254"/>
  <c r="R883" i="254"/>
  <c r="Q883" i="254"/>
  <c r="P883" i="254"/>
  <c r="O883" i="254"/>
  <c r="N883" i="254"/>
  <c r="M883" i="254"/>
  <c r="L883" i="254"/>
  <c r="K883" i="254"/>
  <c r="J883" i="254"/>
  <c r="I883" i="254"/>
  <c r="H883" i="254"/>
  <c r="G883" i="254"/>
  <c r="F883" i="254"/>
  <c r="E883" i="254"/>
  <c r="D883" i="254"/>
  <c r="C883" i="254"/>
  <c r="B883" i="254"/>
  <c r="A883" i="254"/>
  <c r="AF882" i="254"/>
  <c r="AE882" i="254"/>
  <c r="AD882" i="254"/>
  <c r="AC882" i="254"/>
  <c r="AB882" i="254"/>
  <c r="AA882" i="254"/>
  <c r="Z882" i="254"/>
  <c r="Y882" i="254"/>
  <c r="X882" i="254"/>
  <c r="W882" i="254"/>
  <c r="V882" i="254"/>
  <c r="U882" i="254"/>
  <c r="T882" i="254"/>
  <c r="S882" i="254"/>
  <c r="R882" i="254"/>
  <c r="Q882" i="254"/>
  <c r="P882" i="254"/>
  <c r="O882" i="254"/>
  <c r="N882" i="254"/>
  <c r="M882" i="254"/>
  <c r="L882" i="254"/>
  <c r="K882" i="254"/>
  <c r="J882" i="254"/>
  <c r="I882" i="254"/>
  <c r="H882" i="254"/>
  <c r="G882" i="254"/>
  <c r="F882" i="254"/>
  <c r="E882" i="254"/>
  <c r="D882" i="254"/>
  <c r="C882" i="254"/>
  <c r="B882" i="254"/>
  <c r="A882" i="254"/>
  <c r="AF881" i="254"/>
  <c r="AE881" i="254"/>
  <c r="AD881" i="254"/>
  <c r="AC881" i="254"/>
  <c r="AB881" i="254"/>
  <c r="AA881" i="254"/>
  <c r="Z881" i="254"/>
  <c r="Y881" i="254"/>
  <c r="X881" i="254"/>
  <c r="W881" i="254"/>
  <c r="V881" i="254"/>
  <c r="U881" i="254"/>
  <c r="T881" i="254"/>
  <c r="S881" i="254"/>
  <c r="R881" i="254"/>
  <c r="Q881" i="254"/>
  <c r="P881" i="254"/>
  <c r="O881" i="254"/>
  <c r="N881" i="254"/>
  <c r="M881" i="254"/>
  <c r="L881" i="254"/>
  <c r="K881" i="254"/>
  <c r="J881" i="254"/>
  <c r="I881" i="254"/>
  <c r="H881" i="254"/>
  <c r="G881" i="254"/>
  <c r="F881" i="254"/>
  <c r="E881" i="254"/>
  <c r="D881" i="254"/>
  <c r="C881" i="254"/>
  <c r="B881" i="254"/>
  <c r="A881" i="254"/>
  <c r="AF880" i="254"/>
  <c r="AE880" i="254"/>
  <c r="AD880" i="254"/>
  <c r="AC880" i="254"/>
  <c r="AB880" i="254"/>
  <c r="AA880" i="254"/>
  <c r="Z880" i="254"/>
  <c r="Y880" i="254"/>
  <c r="X880" i="254"/>
  <c r="W880" i="254"/>
  <c r="V880" i="254"/>
  <c r="U880" i="254"/>
  <c r="T880" i="254"/>
  <c r="S880" i="254"/>
  <c r="R880" i="254"/>
  <c r="Q880" i="254"/>
  <c r="P880" i="254"/>
  <c r="O880" i="254"/>
  <c r="N880" i="254"/>
  <c r="M880" i="254"/>
  <c r="L880" i="254"/>
  <c r="K880" i="254"/>
  <c r="J880" i="254"/>
  <c r="I880" i="254"/>
  <c r="H880" i="254"/>
  <c r="G880" i="254"/>
  <c r="F880" i="254"/>
  <c r="E880" i="254"/>
  <c r="D880" i="254"/>
  <c r="C880" i="254"/>
  <c r="B880" i="254"/>
  <c r="A880" i="254"/>
  <c r="AF879" i="254"/>
  <c r="AE879" i="254"/>
  <c r="AD879" i="254"/>
  <c r="AC879" i="254"/>
  <c r="AB879" i="254"/>
  <c r="AA879" i="254"/>
  <c r="Z879" i="254"/>
  <c r="Y879" i="254"/>
  <c r="X879" i="254"/>
  <c r="W879" i="254"/>
  <c r="V879" i="254"/>
  <c r="U879" i="254"/>
  <c r="T879" i="254"/>
  <c r="S879" i="254"/>
  <c r="R879" i="254"/>
  <c r="Q879" i="254"/>
  <c r="P879" i="254"/>
  <c r="O879" i="254"/>
  <c r="N879" i="254"/>
  <c r="M879" i="254"/>
  <c r="L879" i="254"/>
  <c r="K879" i="254"/>
  <c r="J879" i="254"/>
  <c r="I879" i="254"/>
  <c r="H879" i="254"/>
  <c r="G879" i="254"/>
  <c r="F879" i="254"/>
  <c r="E879" i="254"/>
  <c r="D879" i="254"/>
  <c r="C879" i="254"/>
  <c r="B879" i="254"/>
  <c r="A879" i="254"/>
  <c r="AF878" i="254"/>
  <c r="AE878" i="254"/>
  <c r="AD878" i="254"/>
  <c r="AC878" i="254"/>
  <c r="AB878" i="254"/>
  <c r="AA878" i="254"/>
  <c r="Z878" i="254"/>
  <c r="Y878" i="254"/>
  <c r="X878" i="254"/>
  <c r="W878" i="254"/>
  <c r="V878" i="254"/>
  <c r="U878" i="254"/>
  <c r="T878" i="254"/>
  <c r="S878" i="254"/>
  <c r="R878" i="254"/>
  <c r="Q878" i="254"/>
  <c r="P878" i="254"/>
  <c r="O878" i="254"/>
  <c r="N878" i="254"/>
  <c r="M878" i="254"/>
  <c r="L878" i="254"/>
  <c r="K878" i="254"/>
  <c r="J878" i="254"/>
  <c r="I878" i="254"/>
  <c r="H878" i="254"/>
  <c r="G878" i="254"/>
  <c r="F878" i="254"/>
  <c r="E878" i="254"/>
  <c r="D878" i="254"/>
  <c r="C878" i="254"/>
  <c r="B878" i="254"/>
  <c r="A878" i="254"/>
  <c r="AF877" i="254"/>
  <c r="AE877" i="254"/>
  <c r="AD877" i="254"/>
  <c r="AC877" i="254"/>
  <c r="AB877" i="254"/>
  <c r="AA877" i="254"/>
  <c r="Z877" i="254"/>
  <c r="Y877" i="254"/>
  <c r="X877" i="254"/>
  <c r="W877" i="254"/>
  <c r="V877" i="254"/>
  <c r="U877" i="254"/>
  <c r="T877" i="254"/>
  <c r="S877" i="254"/>
  <c r="R877" i="254"/>
  <c r="Q877" i="254"/>
  <c r="P877" i="254"/>
  <c r="O877" i="254"/>
  <c r="N877" i="254"/>
  <c r="M877" i="254"/>
  <c r="L877" i="254"/>
  <c r="K877" i="254"/>
  <c r="J877" i="254"/>
  <c r="I877" i="254"/>
  <c r="H877" i="254"/>
  <c r="G877" i="254"/>
  <c r="F877" i="254"/>
  <c r="E877" i="254"/>
  <c r="D877" i="254"/>
  <c r="C877" i="254"/>
  <c r="B877" i="254"/>
  <c r="A877" i="254"/>
  <c r="AF876" i="254"/>
  <c r="AE876" i="254"/>
  <c r="AD876" i="254"/>
  <c r="AC876" i="254"/>
  <c r="AB876" i="254"/>
  <c r="AA876" i="254"/>
  <c r="Z876" i="254"/>
  <c r="Y876" i="254"/>
  <c r="X876" i="254"/>
  <c r="W876" i="254"/>
  <c r="V876" i="254"/>
  <c r="U876" i="254"/>
  <c r="T876" i="254"/>
  <c r="S876" i="254"/>
  <c r="R876" i="254"/>
  <c r="Q876" i="254"/>
  <c r="P876" i="254"/>
  <c r="O876" i="254"/>
  <c r="N876" i="254"/>
  <c r="M876" i="254"/>
  <c r="L876" i="254"/>
  <c r="K876" i="254"/>
  <c r="J876" i="254"/>
  <c r="I876" i="254"/>
  <c r="H876" i="254"/>
  <c r="G876" i="254"/>
  <c r="F876" i="254"/>
  <c r="E876" i="254"/>
  <c r="D876" i="254"/>
  <c r="C876" i="254"/>
  <c r="B876" i="254"/>
  <c r="A876" i="254"/>
  <c r="AF875" i="254"/>
  <c r="AE875" i="254"/>
  <c r="AD875" i="254"/>
  <c r="AC875" i="254"/>
  <c r="AB875" i="254"/>
  <c r="AA875" i="254"/>
  <c r="Z875" i="254"/>
  <c r="Y875" i="254"/>
  <c r="X875" i="254"/>
  <c r="W875" i="254"/>
  <c r="V875" i="254"/>
  <c r="U875" i="254"/>
  <c r="T875" i="254"/>
  <c r="S875" i="254"/>
  <c r="R875" i="254"/>
  <c r="Q875" i="254"/>
  <c r="P875" i="254"/>
  <c r="O875" i="254"/>
  <c r="N875" i="254"/>
  <c r="M875" i="254"/>
  <c r="L875" i="254"/>
  <c r="K875" i="254"/>
  <c r="J875" i="254"/>
  <c r="I875" i="254"/>
  <c r="H875" i="254"/>
  <c r="G875" i="254"/>
  <c r="F875" i="254"/>
  <c r="E875" i="254"/>
  <c r="D875" i="254"/>
  <c r="C875" i="254"/>
  <c r="B875" i="254"/>
  <c r="A875" i="254"/>
  <c r="AF874" i="254"/>
  <c r="AE874" i="254"/>
  <c r="AD874" i="254"/>
  <c r="AC874" i="254"/>
  <c r="AB874" i="254"/>
  <c r="AA874" i="254"/>
  <c r="Z874" i="254"/>
  <c r="Y874" i="254"/>
  <c r="X874" i="254"/>
  <c r="W874" i="254"/>
  <c r="V874" i="254"/>
  <c r="U874" i="254"/>
  <c r="T874" i="254"/>
  <c r="S874" i="254"/>
  <c r="R874" i="254"/>
  <c r="Q874" i="254"/>
  <c r="P874" i="254"/>
  <c r="O874" i="254"/>
  <c r="N874" i="254"/>
  <c r="M874" i="254"/>
  <c r="L874" i="254"/>
  <c r="K874" i="254"/>
  <c r="J874" i="254"/>
  <c r="I874" i="254"/>
  <c r="H874" i="254"/>
  <c r="G874" i="254"/>
  <c r="F874" i="254"/>
  <c r="E874" i="254"/>
  <c r="D874" i="254"/>
  <c r="C874" i="254"/>
  <c r="B874" i="254"/>
  <c r="A874" i="254"/>
  <c r="AF873" i="254"/>
  <c r="AE873" i="254"/>
  <c r="AD873" i="254"/>
  <c r="AC873" i="254"/>
  <c r="AB873" i="254"/>
  <c r="AA873" i="254"/>
  <c r="Z873" i="254"/>
  <c r="Y873" i="254"/>
  <c r="X873" i="254"/>
  <c r="W873" i="254"/>
  <c r="V873" i="254"/>
  <c r="U873" i="254"/>
  <c r="T873" i="254"/>
  <c r="S873" i="254"/>
  <c r="R873" i="254"/>
  <c r="Q873" i="254"/>
  <c r="P873" i="254"/>
  <c r="O873" i="254"/>
  <c r="N873" i="254"/>
  <c r="M873" i="254"/>
  <c r="L873" i="254"/>
  <c r="K873" i="254"/>
  <c r="J873" i="254"/>
  <c r="I873" i="254"/>
  <c r="H873" i="254"/>
  <c r="G873" i="254"/>
  <c r="F873" i="254"/>
  <c r="E873" i="254"/>
  <c r="D873" i="254"/>
  <c r="C873" i="254"/>
  <c r="B873" i="254"/>
  <c r="A873" i="254"/>
  <c r="AF872" i="254"/>
  <c r="AE872" i="254"/>
  <c r="AD872" i="254"/>
  <c r="AC872" i="254"/>
  <c r="AB872" i="254"/>
  <c r="AA872" i="254"/>
  <c r="Z872" i="254"/>
  <c r="Y872" i="254"/>
  <c r="X872" i="254"/>
  <c r="W872" i="254"/>
  <c r="V872" i="254"/>
  <c r="U872" i="254"/>
  <c r="T872" i="254"/>
  <c r="S872" i="254"/>
  <c r="R872" i="254"/>
  <c r="Q872" i="254"/>
  <c r="P872" i="254"/>
  <c r="O872" i="254"/>
  <c r="N872" i="254"/>
  <c r="M872" i="254"/>
  <c r="L872" i="254"/>
  <c r="K872" i="254"/>
  <c r="J872" i="254"/>
  <c r="I872" i="254"/>
  <c r="H872" i="254"/>
  <c r="G872" i="254"/>
  <c r="F872" i="254"/>
  <c r="E872" i="254"/>
  <c r="D872" i="254"/>
  <c r="C872" i="254"/>
  <c r="B872" i="254"/>
  <c r="A872" i="254"/>
  <c r="AF871" i="254"/>
  <c r="AE871" i="254"/>
  <c r="AD871" i="254"/>
  <c r="AC871" i="254"/>
  <c r="AB871" i="254"/>
  <c r="AA871" i="254"/>
  <c r="Z871" i="254"/>
  <c r="Y871" i="254"/>
  <c r="X871" i="254"/>
  <c r="W871" i="254"/>
  <c r="V871" i="254"/>
  <c r="U871" i="254"/>
  <c r="T871" i="254"/>
  <c r="S871" i="254"/>
  <c r="R871" i="254"/>
  <c r="Q871" i="254"/>
  <c r="P871" i="254"/>
  <c r="O871" i="254"/>
  <c r="N871" i="254"/>
  <c r="M871" i="254"/>
  <c r="L871" i="254"/>
  <c r="K871" i="254"/>
  <c r="J871" i="254"/>
  <c r="I871" i="254"/>
  <c r="H871" i="254"/>
  <c r="G871" i="254"/>
  <c r="F871" i="254"/>
  <c r="E871" i="254"/>
  <c r="D871" i="254"/>
  <c r="C871" i="254"/>
  <c r="B871" i="254"/>
  <c r="A871" i="254"/>
  <c r="AF870" i="254"/>
  <c r="AE870" i="254"/>
  <c r="AD870" i="254"/>
  <c r="AC870" i="254"/>
  <c r="AB870" i="254"/>
  <c r="AA870" i="254"/>
  <c r="Z870" i="254"/>
  <c r="Y870" i="254"/>
  <c r="X870" i="254"/>
  <c r="W870" i="254"/>
  <c r="V870" i="254"/>
  <c r="U870" i="254"/>
  <c r="T870" i="254"/>
  <c r="S870" i="254"/>
  <c r="R870" i="254"/>
  <c r="Q870" i="254"/>
  <c r="P870" i="254"/>
  <c r="O870" i="254"/>
  <c r="N870" i="254"/>
  <c r="M870" i="254"/>
  <c r="L870" i="254"/>
  <c r="K870" i="254"/>
  <c r="J870" i="254"/>
  <c r="I870" i="254"/>
  <c r="H870" i="254"/>
  <c r="G870" i="254"/>
  <c r="F870" i="254"/>
  <c r="E870" i="254"/>
  <c r="D870" i="254"/>
  <c r="C870" i="254"/>
  <c r="B870" i="254"/>
  <c r="A870" i="254"/>
  <c r="AF869" i="254"/>
  <c r="AE869" i="254"/>
  <c r="AD869" i="254"/>
  <c r="AC869" i="254"/>
  <c r="AB869" i="254"/>
  <c r="AA869" i="254"/>
  <c r="Z869" i="254"/>
  <c r="Y869" i="254"/>
  <c r="X869" i="254"/>
  <c r="W869" i="254"/>
  <c r="V869" i="254"/>
  <c r="U869" i="254"/>
  <c r="T869" i="254"/>
  <c r="S869" i="254"/>
  <c r="R869" i="254"/>
  <c r="Q869" i="254"/>
  <c r="P869" i="254"/>
  <c r="O869" i="254"/>
  <c r="N869" i="254"/>
  <c r="M869" i="254"/>
  <c r="L869" i="254"/>
  <c r="K869" i="254"/>
  <c r="J869" i="254"/>
  <c r="I869" i="254"/>
  <c r="H869" i="254"/>
  <c r="G869" i="254"/>
  <c r="F869" i="254"/>
  <c r="E869" i="254"/>
  <c r="D869" i="254"/>
  <c r="C869" i="254"/>
  <c r="B869" i="254"/>
  <c r="A869" i="254"/>
  <c r="AF868" i="254"/>
  <c r="AE868" i="254"/>
  <c r="AD868" i="254"/>
  <c r="AC868" i="254"/>
  <c r="AB868" i="254"/>
  <c r="AA868" i="254"/>
  <c r="Z868" i="254"/>
  <c r="Y868" i="254"/>
  <c r="X868" i="254"/>
  <c r="W868" i="254"/>
  <c r="V868" i="254"/>
  <c r="U868" i="254"/>
  <c r="T868" i="254"/>
  <c r="S868" i="254"/>
  <c r="R868" i="254"/>
  <c r="Q868" i="254"/>
  <c r="P868" i="254"/>
  <c r="O868" i="254"/>
  <c r="N868" i="254"/>
  <c r="M868" i="254"/>
  <c r="L868" i="254"/>
  <c r="K868" i="254"/>
  <c r="J868" i="254"/>
  <c r="I868" i="254"/>
  <c r="H868" i="254"/>
  <c r="G868" i="254"/>
  <c r="F868" i="254"/>
  <c r="E868" i="254"/>
  <c r="D868" i="254"/>
  <c r="C868" i="254"/>
  <c r="B868" i="254"/>
  <c r="A868" i="254"/>
  <c r="AF867" i="254"/>
  <c r="AE867" i="254"/>
  <c r="AD867" i="254"/>
  <c r="AC867" i="254"/>
  <c r="AB867" i="254"/>
  <c r="AA867" i="254"/>
  <c r="Z867" i="254"/>
  <c r="Y867" i="254"/>
  <c r="X867" i="254"/>
  <c r="W867" i="254"/>
  <c r="V867" i="254"/>
  <c r="U867" i="254"/>
  <c r="T867" i="254"/>
  <c r="S867" i="254"/>
  <c r="R867" i="254"/>
  <c r="Q867" i="254"/>
  <c r="P867" i="254"/>
  <c r="O867" i="254"/>
  <c r="N867" i="254"/>
  <c r="M867" i="254"/>
  <c r="L867" i="254"/>
  <c r="K867" i="254"/>
  <c r="J867" i="254"/>
  <c r="I867" i="254"/>
  <c r="H867" i="254"/>
  <c r="G867" i="254"/>
  <c r="F867" i="254"/>
  <c r="E867" i="254"/>
  <c r="D867" i="254"/>
  <c r="C867" i="254"/>
  <c r="B867" i="254"/>
  <c r="A867" i="254"/>
  <c r="AF866" i="254"/>
  <c r="AE866" i="254"/>
  <c r="AD866" i="254"/>
  <c r="AC866" i="254"/>
  <c r="AB866" i="254"/>
  <c r="AA866" i="254"/>
  <c r="Z866" i="254"/>
  <c r="Y866" i="254"/>
  <c r="X866" i="254"/>
  <c r="W866" i="254"/>
  <c r="V866" i="254"/>
  <c r="U866" i="254"/>
  <c r="T866" i="254"/>
  <c r="S866" i="254"/>
  <c r="R866" i="254"/>
  <c r="Q866" i="254"/>
  <c r="P866" i="254"/>
  <c r="O866" i="254"/>
  <c r="N866" i="254"/>
  <c r="M866" i="254"/>
  <c r="L866" i="254"/>
  <c r="K866" i="254"/>
  <c r="J866" i="254"/>
  <c r="I866" i="254"/>
  <c r="H866" i="254"/>
  <c r="G866" i="254"/>
  <c r="F866" i="254"/>
  <c r="E866" i="254"/>
  <c r="D866" i="254"/>
  <c r="C866" i="254"/>
  <c r="B866" i="254"/>
  <c r="A866" i="254"/>
  <c r="AF865" i="254"/>
  <c r="AE865" i="254"/>
  <c r="AD865" i="254"/>
  <c r="AC865" i="254"/>
  <c r="AB865" i="254"/>
  <c r="AA865" i="254"/>
  <c r="Z865" i="254"/>
  <c r="Y865" i="254"/>
  <c r="X865" i="254"/>
  <c r="W865" i="254"/>
  <c r="V865" i="254"/>
  <c r="U865" i="254"/>
  <c r="T865" i="254"/>
  <c r="S865" i="254"/>
  <c r="R865" i="254"/>
  <c r="Q865" i="254"/>
  <c r="P865" i="254"/>
  <c r="O865" i="254"/>
  <c r="N865" i="254"/>
  <c r="M865" i="254"/>
  <c r="L865" i="254"/>
  <c r="K865" i="254"/>
  <c r="J865" i="254"/>
  <c r="I865" i="254"/>
  <c r="H865" i="254"/>
  <c r="G865" i="254"/>
  <c r="F865" i="254"/>
  <c r="E865" i="254"/>
  <c r="D865" i="254"/>
  <c r="C865" i="254"/>
  <c r="B865" i="254"/>
  <c r="A865" i="254"/>
  <c r="AF864" i="254"/>
  <c r="AE864" i="254"/>
  <c r="AD864" i="254"/>
  <c r="AC864" i="254"/>
  <c r="AB864" i="254"/>
  <c r="AA864" i="254"/>
  <c r="Z864" i="254"/>
  <c r="Y864" i="254"/>
  <c r="X864" i="254"/>
  <c r="W864" i="254"/>
  <c r="V864" i="254"/>
  <c r="U864" i="254"/>
  <c r="T864" i="254"/>
  <c r="S864" i="254"/>
  <c r="R864" i="254"/>
  <c r="Q864" i="254"/>
  <c r="P864" i="254"/>
  <c r="O864" i="254"/>
  <c r="N864" i="254"/>
  <c r="M864" i="254"/>
  <c r="L864" i="254"/>
  <c r="K864" i="254"/>
  <c r="J864" i="254"/>
  <c r="I864" i="254"/>
  <c r="H864" i="254"/>
  <c r="G864" i="254"/>
  <c r="F864" i="254"/>
  <c r="E864" i="254"/>
  <c r="D864" i="254"/>
  <c r="C864" i="254"/>
  <c r="B864" i="254"/>
  <c r="A864" i="254"/>
  <c r="AF863" i="254"/>
  <c r="AE863" i="254"/>
  <c r="AD863" i="254"/>
  <c r="AC863" i="254"/>
  <c r="AB863" i="254"/>
  <c r="AA863" i="254"/>
  <c r="Z863" i="254"/>
  <c r="Y863" i="254"/>
  <c r="X863" i="254"/>
  <c r="W863" i="254"/>
  <c r="V863" i="254"/>
  <c r="U863" i="254"/>
  <c r="T863" i="254"/>
  <c r="S863" i="254"/>
  <c r="R863" i="254"/>
  <c r="Q863" i="254"/>
  <c r="P863" i="254"/>
  <c r="O863" i="254"/>
  <c r="N863" i="254"/>
  <c r="M863" i="254"/>
  <c r="L863" i="254"/>
  <c r="K863" i="254"/>
  <c r="J863" i="254"/>
  <c r="I863" i="254"/>
  <c r="H863" i="254"/>
  <c r="G863" i="254"/>
  <c r="F863" i="254"/>
  <c r="E863" i="254"/>
  <c r="D863" i="254"/>
  <c r="C863" i="254"/>
  <c r="B863" i="254"/>
  <c r="A863" i="254"/>
  <c r="AF862" i="254"/>
  <c r="AE862" i="254"/>
  <c r="AD862" i="254"/>
  <c r="AC862" i="254"/>
  <c r="AB862" i="254"/>
  <c r="AA862" i="254"/>
  <c r="Z862" i="254"/>
  <c r="Y862" i="254"/>
  <c r="X862" i="254"/>
  <c r="W862" i="254"/>
  <c r="V862" i="254"/>
  <c r="U862" i="254"/>
  <c r="T862" i="254"/>
  <c r="S862" i="254"/>
  <c r="R862" i="254"/>
  <c r="Q862" i="254"/>
  <c r="P862" i="254"/>
  <c r="O862" i="254"/>
  <c r="N862" i="254"/>
  <c r="M862" i="254"/>
  <c r="L862" i="254"/>
  <c r="K862" i="254"/>
  <c r="J862" i="254"/>
  <c r="I862" i="254"/>
  <c r="H862" i="254"/>
  <c r="G862" i="254"/>
  <c r="F862" i="254"/>
  <c r="E862" i="254"/>
  <c r="D862" i="254"/>
  <c r="C862" i="254"/>
  <c r="B862" i="254"/>
  <c r="A862" i="254"/>
  <c r="AF861" i="254"/>
  <c r="AE861" i="254"/>
  <c r="AD861" i="254"/>
  <c r="AC861" i="254"/>
  <c r="AB861" i="254"/>
  <c r="AA861" i="254"/>
  <c r="Z861" i="254"/>
  <c r="Y861" i="254"/>
  <c r="X861" i="254"/>
  <c r="W861" i="254"/>
  <c r="V861" i="254"/>
  <c r="U861" i="254"/>
  <c r="T861" i="254"/>
  <c r="S861" i="254"/>
  <c r="R861" i="254"/>
  <c r="Q861" i="254"/>
  <c r="P861" i="254"/>
  <c r="O861" i="254"/>
  <c r="N861" i="254"/>
  <c r="M861" i="254"/>
  <c r="L861" i="254"/>
  <c r="K861" i="254"/>
  <c r="J861" i="254"/>
  <c r="I861" i="254"/>
  <c r="H861" i="254"/>
  <c r="G861" i="254"/>
  <c r="F861" i="254"/>
  <c r="E861" i="254"/>
  <c r="D861" i="254"/>
  <c r="C861" i="254"/>
  <c r="B861" i="254"/>
  <c r="A861" i="254"/>
  <c r="AF860" i="254"/>
  <c r="AE860" i="254"/>
  <c r="AD860" i="254"/>
  <c r="AC860" i="254"/>
  <c r="AB860" i="254"/>
  <c r="AA860" i="254"/>
  <c r="Z860" i="254"/>
  <c r="Y860" i="254"/>
  <c r="X860" i="254"/>
  <c r="W860" i="254"/>
  <c r="V860" i="254"/>
  <c r="U860" i="254"/>
  <c r="T860" i="254"/>
  <c r="S860" i="254"/>
  <c r="R860" i="254"/>
  <c r="Q860" i="254"/>
  <c r="P860" i="254"/>
  <c r="O860" i="254"/>
  <c r="N860" i="254"/>
  <c r="M860" i="254"/>
  <c r="L860" i="254"/>
  <c r="K860" i="254"/>
  <c r="J860" i="254"/>
  <c r="I860" i="254"/>
  <c r="H860" i="254"/>
  <c r="G860" i="254"/>
  <c r="F860" i="254"/>
  <c r="E860" i="254"/>
  <c r="D860" i="254"/>
  <c r="C860" i="254"/>
  <c r="B860" i="254"/>
  <c r="A860" i="254"/>
  <c r="AF859" i="254"/>
  <c r="AE859" i="254"/>
  <c r="AD859" i="254"/>
  <c r="AC859" i="254"/>
  <c r="AB859" i="254"/>
  <c r="AA859" i="254"/>
  <c r="Z859" i="254"/>
  <c r="Y859" i="254"/>
  <c r="X859" i="254"/>
  <c r="W859" i="254"/>
  <c r="V859" i="254"/>
  <c r="U859" i="254"/>
  <c r="T859" i="254"/>
  <c r="S859" i="254"/>
  <c r="R859" i="254"/>
  <c r="Q859" i="254"/>
  <c r="P859" i="254"/>
  <c r="O859" i="254"/>
  <c r="N859" i="254"/>
  <c r="M859" i="254"/>
  <c r="L859" i="254"/>
  <c r="K859" i="254"/>
  <c r="J859" i="254"/>
  <c r="I859" i="254"/>
  <c r="H859" i="254"/>
  <c r="G859" i="254"/>
  <c r="F859" i="254"/>
  <c r="E859" i="254"/>
  <c r="D859" i="254"/>
  <c r="C859" i="254"/>
  <c r="B859" i="254"/>
  <c r="A859" i="254"/>
  <c r="AF858" i="254"/>
  <c r="AE858" i="254"/>
  <c r="AD858" i="254"/>
  <c r="AC858" i="254"/>
  <c r="AB858" i="254"/>
  <c r="AA858" i="254"/>
  <c r="Z858" i="254"/>
  <c r="Y858" i="254"/>
  <c r="X858" i="254"/>
  <c r="W858" i="254"/>
  <c r="V858" i="254"/>
  <c r="U858" i="254"/>
  <c r="T858" i="254"/>
  <c r="S858" i="254"/>
  <c r="R858" i="254"/>
  <c r="Q858" i="254"/>
  <c r="P858" i="254"/>
  <c r="O858" i="254"/>
  <c r="N858" i="254"/>
  <c r="M858" i="254"/>
  <c r="L858" i="254"/>
  <c r="K858" i="254"/>
  <c r="J858" i="254"/>
  <c r="I858" i="254"/>
  <c r="H858" i="254"/>
  <c r="G858" i="254"/>
  <c r="F858" i="254"/>
  <c r="E858" i="254"/>
  <c r="D858" i="254"/>
  <c r="C858" i="254"/>
  <c r="B858" i="254"/>
  <c r="A858" i="254"/>
  <c r="AF857" i="254"/>
  <c r="AE857" i="254"/>
  <c r="AD857" i="254"/>
  <c r="AC857" i="254"/>
  <c r="AB857" i="254"/>
  <c r="AA857" i="254"/>
  <c r="Z857" i="254"/>
  <c r="Y857" i="254"/>
  <c r="X857" i="254"/>
  <c r="W857" i="254"/>
  <c r="V857" i="254"/>
  <c r="U857" i="254"/>
  <c r="T857" i="254"/>
  <c r="S857" i="254"/>
  <c r="R857" i="254"/>
  <c r="Q857" i="254"/>
  <c r="P857" i="254"/>
  <c r="O857" i="254"/>
  <c r="N857" i="254"/>
  <c r="M857" i="254"/>
  <c r="L857" i="254"/>
  <c r="K857" i="254"/>
  <c r="J857" i="254"/>
  <c r="I857" i="254"/>
  <c r="H857" i="254"/>
  <c r="G857" i="254"/>
  <c r="F857" i="254"/>
  <c r="E857" i="254"/>
  <c r="D857" i="254"/>
  <c r="C857" i="254"/>
  <c r="B857" i="254"/>
  <c r="A857" i="254"/>
  <c r="AF856" i="254"/>
  <c r="AE856" i="254"/>
  <c r="AD856" i="254"/>
  <c r="AC856" i="254"/>
  <c r="AB856" i="254"/>
  <c r="AA856" i="254"/>
  <c r="Z856" i="254"/>
  <c r="Y856" i="254"/>
  <c r="X856" i="254"/>
  <c r="W856" i="254"/>
  <c r="V856" i="254"/>
  <c r="U856" i="254"/>
  <c r="T856" i="254"/>
  <c r="S856" i="254"/>
  <c r="R856" i="254"/>
  <c r="Q856" i="254"/>
  <c r="P856" i="254"/>
  <c r="O856" i="254"/>
  <c r="N856" i="254"/>
  <c r="M856" i="254"/>
  <c r="L856" i="254"/>
  <c r="K856" i="254"/>
  <c r="J856" i="254"/>
  <c r="I856" i="254"/>
  <c r="H856" i="254"/>
  <c r="G856" i="254"/>
  <c r="F856" i="254"/>
  <c r="E856" i="254"/>
  <c r="D856" i="254"/>
  <c r="C856" i="254"/>
  <c r="B856" i="254"/>
  <c r="A856" i="254"/>
  <c r="AF855" i="254"/>
  <c r="AE855" i="254"/>
  <c r="AD855" i="254"/>
  <c r="AC855" i="254"/>
  <c r="AB855" i="254"/>
  <c r="AA855" i="254"/>
  <c r="Z855" i="254"/>
  <c r="Y855" i="254"/>
  <c r="X855" i="254"/>
  <c r="W855" i="254"/>
  <c r="V855" i="254"/>
  <c r="U855" i="254"/>
  <c r="T855" i="254"/>
  <c r="S855" i="254"/>
  <c r="R855" i="254"/>
  <c r="Q855" i="254"/>
  <c r="P855" i="254"/>
  <c r="O855" i="254"/>
  <c r="N855" i="254"/>
  <c r="M855" i="254"/>
  <c r="L855" i="254"/>
  <c r="K855" i="254"/>
  <c r="J855" i="254"/>
  <c r="I855" i="254"/>
  <c r="H855" i="254"/>
  <c r="G855" i="254"/>
  <c r="F855" i="254"/>
  <c r="E855" i="254"/>
  <c r="D855" i="254"/>
  <c r="C855" i="254"/>
  <c r="B855" i="254"/>
  <c r="A855" i="254"/>
  <c r="AF854" i="254"/>
  <c r="AE854" i="254"/>
  <c r="AD854" i="254"/>
  <c r="AC854" i="254"/>
  <c r="AB854" i="254"/>
  <c r="AA854" i="254"/>
  <c r="Z854" i="254"/>
  <c r="Y854" i="254"/>
  <c r="X854" i="254"/>
  <c r="W854" i="254"/>
  <c r="V854" i="254"/>
  <c r="U854" i="254"/>
  <c r="T854" i="254"/>
  <c r="S854" i="254"/>
  <c r="R854" i="254"/>
  <c r="Q854" i="254"/>
  <c r="P854" i="254"/>
  <c r="O854" i="254"/>
  <c r="N854" i="254"/>
  <c r="M854" i="254"/>
  <c r="L854" i="254"/>
  <c r="K854" i="254"/>
  <c r="J854" i="254"/>
  <c r="I854" i="254"/>
  <c r="H854" i="254"/>
  <c r="G854" i="254"/>
  <c r="F854" i="254"/>
  <c r="E854" i="254"/>
  <c r="D854" i="254"/>
  <c r="C854" i="254"/>
  <c r="B854" i="254"/>
  <c r="A854" i="254"/>
  <c r="AF853" i="254"/>
  <c r="AE853" i="254"/>
  <c r="AD853" i="254"/>
  <c r="AC853" i="254"/>
  <c r="AB853" i="254"/>
  <c r="AA853" i="254"/>
  <c r="Z853" i="254"/>
  <c r="Y853" i="254"/>
  <c r="X853" i="254"/>
  <c r="W853" i="254"/>
  <c r="V853" i="254"/>
  <c r="U853" i="254"/>
  <c r="T853" i="254"/>
  <c r="S853" i="254"/>
  <c r="R853" i="254"/>
  <c r="Q853" i="254"/>
  <c r="P853" i="254"/>
  <c r="O853" i="254"/>
  <c r="N853" i="254"/>
  <c r="M853" i="254"/>
  <c r="L853" i="254"/>
  <c r="K853" i="254"/>
  <c r="J853" i="254"/>
  <c r="I853" i="254"/>
  <c r="H853" i="254"/>
  <c r="G853" i="254"/>
  <c r="F853" i="254"/>
  <c r="E853" i="254"/>
  <c r="D853" i="254"/>
  <c r="C853" i="254"/>
  <c r="B853" i="254"/>
  <c r="A853" i="254"/>
  <c r="AF852" i="254"/>
  <c r="AE852" i="254"/>
  <c r="AD852" i="254"/>
  <c r="AC852" i="254"/>
  <c r="AB852" i="254"/>
  <c r="AA852" i="254"/>
  <c r="Z852" i="254"/>
  <c r="Y852" i="254"/>
  <c r="X852" i="254"/>
  <c r="W852" i="254"/>
  <c r="V852" i="254"/>
  <c r="U852" i="254"/>
  <c r="T852" i="254"/>
  <c r="S852" i="254"/>
  <c r="R852" i="254"/>
  <c r="Q852" i="254"/>
  <c r="P852" i="254"/>
  <c r="O852" i="254"/>
  <c r="N852" i="254"/>
  <c r="M852" i="254"/>
  <c r="L852" i="254"/>
  <c r="K852" i="254"/>
  <c r="J852" i="254"/>
  <c r="I852" i="254"/>
  <c r="H852" i="254"/>
  <c r="G852" i="254"/>
  <c r="F852" i="254"/>
  <c r="E852" i="254"/>
  <c r="D852" i="254"/>
  <c r="C852" i="254"/>
  <c r="B852" i="254"/>
  <c r="A852" i="254"/>
  <c r="AF851" i="254"/>
  <c r="AE851" i="254"/>
  <c r="AD851" i="254"/>
  <c r="AC851" i="254"/>
  <c r="AB851" i="254"/>
  <c r="AA851" i="254"/>
  <c r="Z851" i="254"/>
  <c r="Y851" i="254"/>
  <c r="X851" i="254"/>
  <c r="W851" i="254"/>
  <c r="V851" i="254"/>
  <c r="U851" i="254"/>
  <c r="T851" i="254"/>
  <c r="S851" i="254"/>
  <c r="R851" i="254"/>
  <c r="Q851" i="254"/>
  <c r="P851" i="254"/>
  <c r="O851" i="254"/>
  <c r="N851" i="254"/>
  <c r="M851" i="254"/>
  <c r="L851" i="254"/>
  <c r="K851" i="254"/>
  <c r="J851" i="254"/>
  <c r="I851" i="254"/>
  <c r="H851" i="254"/>
  <c r="G851" i="254"/>
  <c r="F851" i="254"/>
  <c r="E851" i="254"/>
  <c r="D851" i="254"/>
  <c r="C851" i="254"/>
  <c r="B851" i="254"/>
  <c r="A851" i="254"/>
  <c r="AF850" i="254"/>
  <c r="AE850" i="254"/>
  <c r="AD850" i="254"/>
  <c r="AC850" i="254"/>
  <c r="AB850" i="254"/>
  <c r="AA850" i="254"/>
  <c r="Z850" i="254"/>
  <c r="Y850" i="254"/>
  <c r="X850" i="254"/>
  <c r="W850" i="254"/>
  <c r="V850" i="254"/>
  <c r="U850" i="254"/>
  <c r="T850" i="254"/>
  <c r="S850" i="254"/>
  <c r="R850" i="254"/>
  <c r="Q850" i="254"/>
  <c r="P850" i="254"/>
  <c r="O850" i="254"/>
  <c r="N850" i="254"/>
  <c r="M850" i="254"/>
  <c r="L850" i="254"/>
  <c r="K850" i="254"/>
  <c r="J850" i="254"/>
  <c r="I850" i="254"/>
  <c r="H850" i="254"/>
  <c r="G850" i="254"/>
  <c r="F850" i="254"/>
  <c r="E850" i="254"/>
  <c r="D850" i="254"/>
  <c r="C850" i="254"/>
  <c r="B850" i="254"/>
  <c r="A850" i="254"/>
  <c r="AF849" i="254"/>
  <c r="AE849" i="254"/>
  <c r="AD849" i="254"/>
  <c r="AC849" i="254"/>
  <c r="AB849" i="254"/>
  <c r="AA849" i="254"/>
  <c r="Z849" i="254"/>
  <c r="Y849" i="254"/>
  <c r="X849" i="254"/>
  <c r="W849" i="254"/>
  <c r="V849" i="254"/>
  <c r="U849" i="254"/>
  <c r="T849" i="254"/>
  <c r="S849" i="254"/>
  <c r="R849" i="254"/>
  <c r="Q849" i="254"/>
  <c r="P849" i="254"/>
  <c r="O849" i="254"/>
  <c r="N849" i="254"/>
  <c r="M849" i="254"/>
  <c r="L849" i="254"/>
  <c r="K849" i="254"/>
  <c r="J849" i="254"/>
  <c r="I849" i="254"/>
  <c r="H849" i="254"/>
  <c r="G849" i="254"/>
  <c r="F849" i="254"/>
  <c r="E849" i="254"/>
  <c r="D849" i="254"/>
  <c r="C849" i="254"/>
  <c r="B849" i="254"/>
  <c r="A849" i="254"/>
  <c r="AF848" i="254"/>
  <c r="AE848" i="254"/>
  <c r="AD848" i="254"/>
  <c r="AC848" i="254"/>
  <c r="AB848" i="254"/>
  <c r="AA848" i="254"/>
  <c r="Z848" i="254"/>
  <c r="Y848" i="254"/>
  <c r="X848" i="254"/>
  <c r="W848" i="254"/>
  <c r="V848" i="254"/>
  <c r="U848" i="254"/>
  <c r="T848" i="254"/>
  <c r="S848" i="254"/>
  <c r="R848" i="254"/>
  <c r="Q848" i="254"/>
  <c r="P848" i="254"/>
  <c r="O848" i="254"/>
  <c r="N848" i="254"/>
  <c r="M848" i="254"/>
  <c r="L848" i="254"/>
  <c r="K848" i="254"/>
  <c r="J848" i="254"/>
  <c r="I848" i="254"/>
  <c r="H848" i="254"/>
  <c r="G848" i="254"/>
  <c r="F848" i="254"/>
  <c r="E848" i="254"/>
  <c r="D848" i="254"/>
  <c r="C848" i="254"/>
  <c r="B848" i="254"/>
  <c r="A848" i="254"/>
  <c r="AF847" i="254"/>
  <c r="AE847" i="254"/>
  <c r="AD847" i="254"/>
  <c r="AC847" i="254"/>
  <c r="AB847" i="254"/>
  <c r="AA847" i="254"/>
  <c r="Z847" i="254"/>
  <c r="Y847" i="254"/>
  <c r="X847" i="254"/>
  <c r="W847" i="254"/>
  <c r="V847" i="254"/>
  <c r="U847" i="254"/>
  <c r="T847" i="254"/>
  <c r="S847" i="254"/>
  <c r="R847" i="254"/>
  <c r="Q847" i="254"/>
  <c r="P847" i="254"/>
  <c r="O847" i="254"/>
  <c r="N847" i="254"/>
  <c r="M847" i="254"/>
  <c r="L847" i="254"/>
  <c r="K847" i="254"/>
  <c r="J847" i="254"/>
  <c r="I847" i="254"/>
  <c r="H847" i="254"/>
  <c r="G847" i="254"/>
  <c r="F847" i="254"/>
  <c r="E847" i="254"/>
  <c r="D847" i="254"/>
  <c r="C847" i="254"/>
  <c r="B847" i="254"/>
  <c r="A847" i="254"/>
  <c r="AF846" i="254"/>
  <c r="AE846" i="254"/>
  <c r="AD846" i="254"/>
  <c r="AC846" i="254"/>
  <c r="AB846" i="254"/>
  <c r="AA846" i="254"/>
  <c r="Z846" i="254"/>
  <c r="Y846" i="254"/>
  <c r="X846" i="254"/>
  <c r="W846" i="254"/>
  <c r="V846" i="254"/>
  <c r="U846" i="254"/>
  <c r="T846" i="254"/>
  <c r="S846" i="254"/>
  <c r="R846" i="254"/>
  <c r="Q846" i="254"/>
  <c r="P846" i="254"/>
  <c r="O846" i="254"/>
  <c r="N846" i="254"/>
  <c r="M846" i="254"/>
  <c r="L846" i="254"/>
  <c r="K846" i="254"/>
  <c r="J846" i="254"/>
  <c r="I846" i="254"/>
  <c r="H846" i="254"/>
  <c r="G846" i="254"/>
  <c r="F846" i="254"/>
  <c r="E846" i="254"/>
  <c r="D846" i="254"/>
  <c r="C846" i="254"/>
  <c r="B846" i="254"/>
  <c r="A846" i="254"/>
  <c r="AF845" i="254"/>
  <c r="AE845" i="254"/>
  <c r="AD845" i="254"/>
  <c r="AC845" i="254"/>
  <c r="AB845" i="254"/>
  <c r="AA845" i="254"/>
  <c r="Z845" i="254"/>
  <c r="Y845" i="254"/>
  <c r="X845" i="254"/>
  <c r="W845" i="254"/>
  <c r="V845" i="254"/>
  <c r="U845" i="254"/>
  <c r="T845" i="254"/>
  <c r="S845" i="254"/>
  <c r="R845" i="254"/>
  <c r="Q845" i="254"/>
  <c r="P845" i="254"/>
  <c r="O845" i="254"/>
  <c r="N845" i="254"/>
  <c r="M845" i="254"/>
  <c r="L845" i="254"/>
  <c r="K845" i="254"/>
  <c r="J845" i="254"/>
  <c r="I845" i="254"/>
  <c r="H845" i="254"/>
  <c r="G845" i="254"/>
  <c r="F845" i="254"/>
  <c r="E845" i="254"/>
  <c r="D845" i="254"/>
  <c r="C845" i="254"/>
  <c r="B845" i="254"/>
  <c r="A845" i="254"/>
  <c r="AF844" i="254"/>
  <c r="AE844" i="254"/>
  <c r="AD844" i="254"/>
  <c r="AC844" i="254"/>
  <c r="AB844" i="254"/>
  <c r="AA844" i="254"/>
  <c r="Z844" i="254"/>
  <c r="Y844" i="254"/>
  <c r="X844" i="254"/>
  <c r="W844" i="254"/>
  <c r="V844" i="254"/>
  <c r="U844" i="254"/>
  <c r="T844" i="254"/>
  <c r="S844" i="254"/>
  <c r="R844" i="254"/>
  <c r="Q844" i="254"/>
  <c r="P844" i="254"/>
  <c r="O844" i="254"/>
  <c r="N844" i="254"/>
  <c r="M844" i="254"/>
  <c r="L844" i="254"/>
  <c r="K844" i="254"/>
  <c r="J844" i="254"/>
  <c r="I844" i="254"/>
  <c r="H844" i="254"/>
  <c r="G844" i="254"/>
  <c r="F844" i="254"/>
  <c r="E844" i="254"/>
  <c r="D844" i="254"/>
  <c r="C844" i="254"/>
  <c r="B844" i="254"/>
  <c r="A844" i="254"/>
  <c r="AF843" i="254"/>
  <c r="AE843" i="254"/>
  <c r="AD843" i="254"/>
  <c r="AC843" i="254"/>
  <c r="AB843" i="254"/>
  <c r="AA843" i="254"/>
  <c r="Z843" i="254"/>
  <c r="Y843" i="254"/>
  <c r="X843" i="254"/>
  <c r="W843" i="254"/>
  <c r="V843" i="254"/>
  <c r="U843" i="254"/>
  <c r="T843" i="254"/>
  <c r="S843" i="254"/>
  <c r="R843" i="254"/>
  <c r="Q843" i="254"/>
  <c r="P843" i="254"/>
  <c r="O843" i="254"/>
  <c r="N843" i="254"/>
  <c r="M843" i="254"/>
  <c r="L843" i="254"/>
  <c r="K843" i="254"/>
  <c r="J843" i="254"/>
  <c r="I843" i="254"/>
  <c r="H843" i="254"/>
  <c r="G843" i="254"/>
  <c r="F843" i="254"/>
  <c r="E843" i="254"/>
  <c r="D843" i="254"/>
  <c r="C843" i="254"/>
  <c r="B843" i="254"/>
  <c r="A843" i="254"/>
  <c r="AF842" i="254"/>
  <c r="AE842" i="254"/>
  <c r="AD842" i="254"/>
  <c r="AC842" i="254"/>
  <c r="AB842" i="254"/>
  <c r="AA842" i="254"/>
  <c r="Z842" i="254"/>
  <c r="Y842" i="254"/>
  <c r="X842" i="254"/>
  <c r="W842" i="254"/>
  <c r="V842" i="254"/>
  <c r="U842" i="254"/>
  <c r="T842" i="254"/>
  <c r="S842" i="254"/>
  <c r="R842" i="254"/>
  <c r="Q842" i="254"/>
  <c r="P842" i="254"/>
  <c r="O842" i="254"/>
  <c r="N842" i="254"/>
  <c r="M842" i="254"/>
  <c r="L842" i="254"/>
  <c r="K842" i="254"/>
  <c r="J842" i="254"/>
  <c r="I842" i="254"/>
  <c r="H842" i="254"/>
  <c r="G842" i="254"/>
  <c r="F842" i="254"/>
  <c r="E842" i="254"/>
  <c r="D842" i="254"/>
  <c r="C842" i="254"/>
  <c r="B842" i="254"/>
  <c r="A842" i="254"/>
  <c r="AF841" i="254"/>
  <c r="AE841" i="254"/>
  <c r="AD841" i="254"/>
  <c r="AC841" i="254"/>
  <c r="AB841" i="254"/>
  <c r="AA841" i="254"/>
  <c r="Z841" i="254"/>
  <c r="Y841" i="254"/>
  <c r="X841" i="254"/>
  <c r="W841" i="254"/>
  <c r="V841" i="254"/>
  <c r="U841" i="254"/>
  <c r="T841" i="254"/>
  <c r="S841" i="254"/>
  <c r="R841" i="254"/>
  <c r="Q841" i="254"/>
  <c r="P841" i="254"/>
  <c r="O841" i="254"/>
  <c r="N841" i="254"/>
  <c r="M841" i="254"/>
  <c r="L841" i="254"/>
  <c r="K841" i="254"/>
  <c r="J841" i="254"/>
  <c r="I841" i="254"/>
  <c r="H841" i="254"/>
  <c r="G841" i="254"/>
  <c r="F841" i="254"/>
  <c r="E841" i="254"/>
  <c r="D841" i="254"/>
  <c r="C841" i="254"/>
  <c r="B841" i="254"/>
  <c r="A841" i="254"/>
  <c r="AF840" i="254"/>
  <c r="AE840" i="254"/>
  <c r="AD840" i="254"/>
  <c r="AC840" i="254"/>
  <c r="AB840" i="254"/>
  <c r="AA840" i="254"/>
  <c r="Z840" i="254"/>
  <c r="Y840" i="254"/>
  <c r="X840" i="254"/>
  <c r="W840" i="254"/>
  <c r="V840" i="254"/>
  <c r="U840" i="254"/>
  <c r="T840" i="254"/>
  <c r="S840" i="254"/>
  <c r="R840" i="254"/>
  <c r="Q840" i="254"/>
  <c r="P840" i="254"/>
  <c r="O840" i="254"/>
  <c r="N840" i="254"/>
  <c r="M840" i="254"/>
  <c r="L840" i="254"/>
  <c r="K840" i="254"/>
  <c r="J840" i="254"/>
  <c r="I840" i="254"/>
  <c r="H840" i="254"/>
  <c r="G840" i="254"/>
  <c r="F840" i="254"/>
  <c r="E840" i="254"/>
  <c r="D840" i="254"/>
  <c r="C840" i="254"/>
  <c r="B840" i="254"/>
  <c r="A840" i="254"/>
  <c r="AF839" i="254"/>
  <c r="AE839" i="254"/>
  <c r="AD839" i="254"/>
  <c r="AC839" i="254"/>
  <c r="AB839" i="254"/>
  <c r="AA839" i="254"/>
  <c r="Z839" i="254"/>
  <c r="Y839" i="254"/>
  <c r="X839" i="254"/>
  <c r="W839" i="254"/>
  <c r="V839" i="254"/>
  <c r="U839" i="254"/>
  <c r="T839" i="254"/>
  <c r="S839" i="254"/>
  <c r="R839" i="254"/>
  <c r="Q839" i="254"/>
  <c r="P839" i="254"/>
  <c r="O839" i="254"/>
  <c r="N839" i="254"/>
  <c r="M839" i="254"/>
  <c r="L839" i="254"/>
  <c r="K839" i="254"/>
  <c r="J839" i="254"/>
  <c r="I839" i="254"/>
  <c r="H839" i="254"/>
  <c r="G839" i="254"/>
  <c r="F839" i="254"/>
  <c r="E839" i="254"/>
  <c r="D839" i="254"/>
  <c r="C839" i="254"/>
  <c r="B839" i="254"/>
  <c r="A839" i="254"/>
  <c r="AF838" i="254"/>
  <c r="AE838" i="254"/>
  <c r="AD838" i="254"/>
  <c r="AC838" i="254"/>
  <c r="AB838" i="254"/>
  <c r="AA838" i="254"/>
  <c r="Z838" i="254"/>
  <c r="Y838" i="254"/>
  <c r="X838" i="254"/>
  <c r="W838" i="254"/>
  <c r="V838" i="254"/>
  <c r="U838" i="254"/>
  <c r="T838" i="254"/>
  <c r="S838" i="254"/>
  <c r="R838" i="254"/>
  <c r="Q838" i="254"/>
  <c r="P838" i="254"/>
  <c r="O838" i="254"/>
  <c r="N838" i="254"/>
  <c r="M838" i="254"/>
  <c r="L838" i="254"/>
  <c r="K838" i="254"/>
  <c r="J838" i="254"/>
  <c r="I838" i="254"/>
  <c r="H838" i="254"/>
  <c r="G838" i="254"/>
  <c r="F838" i="254"/>
  <c r="E838" i="254"/>
  <c r="D838" i="254"/>
  <c r="C838" i="254"/>
  <c r="B838" i="254"/>
  <c r="A838" i="254"/>
  <c r="AF837" i="254"/>
  <c r="AE837" i="254"/>
  <c r="AD837" i="254"/>
  <c r="AC837" i="254"/>
  <c r="AB837" i="254"/>
  <c r="AA837" i="254"/>
  <c r="Z837" i="254"/>
  <c r="Y837" i="254"/>
  <c r="X837" i="254"/>
  <c r="W837" i="254"/>
  <c r="V837" i="254"/>
  <c r="U837" i="254"/>
  <c r="T837" i="254"/>
  <c r="S837" i="254"/>
  <c r="R837" i="254"/>
  <c r="Q837" i="254"/>
  <c r="P837" i="254"/>
  <c r="O837" i="254"/>
  <c r="N837" i="254"/>
  <c r="M837" i="254"/>
  <c r="L837" i="254"/>
  <c r="K837" i="254"/>
  <c r="J837" i="254"/>
  <c r="I837" i="254"/>
  <c r="H837" i="254"/>
  <c r="G837" i="254"/>
  <c r="F837" i="254"/>
  <c r="E837" i="254"/>
  <c r="D837" i="254"/>
  <c r="C837" i="254"/>
  <c r="B837" i="254"/>
  <c r="A837" i="254"/>
  <c r="AF836" i="254"/>
  <c r="AE836" i="254"/>
  <c r="AD836" i="254"/>
  <c r="AC836" i="254"/>
  <c r="AB836" i="254"/>
  <c r="AA836" i="254"/>
  <c r="Z836" i="254"/>
  <c r="Y836" i="254"/>
  <c r="X836" i="254"/>
  <c r="W836" i="254"/>
  <c r="V836" i="254"/>
  <c r="U836" i="254"/>
  <c r="T836" i="254"/>
  <c r="S836" i="254"/>
  <c r="R836" i="254"/>
  <c r="Q836" i="254"/>
  <c r="P836" i="254"/>
  <c r="O836" i="254"/>
  <c r="N836" i="254"/>
  <c r="M836" i="254"/>
  <c r="L836" i="254"/>
  <c r="K836" i="254"/>
  <c r="J836" i="254"/>
  <c r="I836" i="254"/>
  <c r="H836" i="254"/>
  <c r="G836" i="254"/>
  <c r="F836" i="254"/>
  <c r="E836" i="254"/>
  <c r="D836" i="254"/>
  <c r="C836" i="254"/>
  <c r="B836" i="254"/>
  <c r="A836" i="254"/>
  <c r="AF835" i="254"/>
  <c r="AE835" i="254"/>
  <c r="AD835" i="254"/>
  <c r="AC835" i="254"/>
  <c r="AB835" i="254"/>
  <c r="AA835" i="254"/>
  <c r="Z835" i="254"/>
  <c r="Y835" i="254"/>
  <c r="X835" i="254"/>
  <c r="W835" i="254"/>
  <c r="V835" i="254"/>
  <c r="U835" i="254"/>
  <c r="T835" i="254"/>
  <c r="S835" i="254"/>
  <c r="R835" i="254"/>
  <c r="Q835" i="254"/>
  <c r="P835" i="254"/>
  <c r="O835" i="254"/>
  <c r="N835" i="254"/>
  <c r="M835" i="254"/>
  <c r="L835" i="254"/>
  <c r="K835" i="254"/>
  <c r="J835" i="254"/>
  <c r="I835" i="254"/>
  <c r="H835" i="254"/>
  <c r="G835" i="254"/>
  <c r="F835" i="254"/>
  <c r="E835" i="254"/>
  <c r="D835" i="254"/>
  <c r="C835" i="254"/>
  <c r="B835" i="254"/>
  <c r="A835" i="254"/>
  <c r="AF834" i="254"/>
  <c r="AE834" i="254"/>
  <c r="AD834" i="254"/>
  <c r="AC834" i="254"/>
  <c r="AB834" i="254"/>
  <c r="AA834" i="254"/>
  <c r="Z834" i="254"/>
  <c r="Y834" i="254"/>
  <c r="X834" i="254"/>
  <c r="W834" i="254"/>
  <c r="V834" i="254"/>
  <c r="U834" i="254"/>
  <c r="T834" i="254"/>
  <c r="S834" i="254"/>
  <c r="R834" i="254"/>
  <c r="Q834" i="254"/>
  <c r="P834" i="254"/>
  <c r="O834" i="254"/>
  <c r="N834" i="254"/>
  <c r="M834" i="254"/>
  <c r="L834" i="254"/>
  <c r="K834" i="254"/>
  <c r="J834" i="254"/>
  <c r="I834" i="254"/>
  <c r="H834" i="254"/>
  <c r="G834" i="254"/>
  <c r="F834" i="254"/>
  <c r="E834" i="254"/>
  <c r="D834" i="254"/>
  <c r="C834" i="254"/>
  <c r="B834" i="254"/>
  <c r="A834" i="254"/>
  <c r="AF833" i="254"/>
  <c r="AE833" i="254"/>
  <c r="AD833" i="254"/>
  <c r="AC833" i="254"/>
  <c r="AB833" i="254"/>
  <c r="AA833" i="254"/>
  <c r="Z833" i="254"/>
  <c r="Y833" i="254"/>
  <c r="X833" i="254"/>
  <c r="W833" i="254"/>
  <c r="V833" i="254"/>
  <c r="U833" i="254"/>
  <c r="T833" i="254"/>
  <c r="S833" i="254"/>
  <c r="R833" i="254"/>
  <c r="Q833" i="254"/>
  <c r="P833" i="254"/>
  <c r="O833" i="254"/>
  <c r="N833" i="254"/>
  <c r="M833" i="254"/>
  <c r="L833" i="254"/>
  <c r="K833" i="254"/>
  <c r="J833" i="254"/>
  <c r="I833" i="254"/>
  <c r="H833" i="254"/>
  <c r="G833" i="254"/>
  <c r="F833" i="254"/>
  <c r="E833" i="254"/>
  <c r="D833" i="254"/>
  <c r="C833" i="254"/>
  <c r="B833" i="254"/>
  <c r="A833" i="254"/>
  <c r="AF832" i="254"/>
  <c r="AE832" i="254"/>
  <c r="AD832" i="254"/>
  <c r="AC832" i="254"/>
  <c r="AB832" i="254"/>
  <c r="AA832" i="254"/>
  <c r="Z832" i="254"/>
  <c r="Y832" i="254"/>
  <c r="X832" i="254"/>
  <c r="W832" i="254"/>
  <c r="V832" i="254"/>
  <c r="U832" i="254"/>
  <c r="T832" i="254"/>
  <c r="S832" i="254"/>
  <c r="R832" i="254"/>
  <c r="Q832" i="254"/>
  <c r="P832" i="254"/>
  <c r="O832" i="254"/>
  <c r="N832" i="254"/>
  <c r="M832" i="254"/>
  <c r="L832" i="254"/>
  <c r="K832" i="254"/>
  <c r="J832" i="254"/>
  <c r="I832" i="254"/>
  <c r="H832" i="254"/>
  <c r="G832" i="254"/>
  <c r="F832" i="254"/>
  <c r="E832" i="254"/>
  <c r="D832" i="254"/>
  <c r="C832" i="254"/>
  <c r="B832" i="254"/>
  <c r="A832" i="254"/>
  <c r="AF831" i="254"/>
  <c r="AE831" i="254"/>
  <c r="AD831" i="254"/>
  <c r="AC831" i="254"/>
  <c r="AB831" i="254"/>
  <c r="AA831" i="254"/>
  <c r="Z831" i="254"/>
  <c r="Y831" i="254"/>
  <c r="X831" i="254"/>
  <c r="W831" i="254"/>
  <c r="V831" i="254"/>
  <c r="U831" i="254"/>
  <c r="T831" i="254"/>
  <c r="S831" i="254"/>
  <c r="R831" i="254"/>
  <c r="Q831" i="254"/>
  <c r="P831" i="254"/>
  <c r="O831" i="254"/>
  <c r="N831" i="254"/>
  <c r="M831" i="254"/>
  <c r="L831" i="254"/>
  <c r="K831" i="254"/>
  <c r="J831" i="254"/>
  <c r="I831" i="254"/>
  <c r="H831" i="254"/>
  <c r="G831" i="254"/>
  <c r="F831" i="254"/>
  <c r="E831" i="254"/>
  <c r="D831" i="254"/>
  <c r="C831" i="254"/>
  <c r="B831" i="254"/>
  <c r="A831" i="254"/>
  <c r="AF830" i="254"/>
  <c r="AE830" i="254"/>
  <c r="AD830" i="254"/>
  <c r="AC830" i="254"/>
  <c r="AB830" i="254"/>
  <c r="AA830" i="254"/>
  <c r="Z830" i="254"/>
  <c r="Y830" i="254"/>
  <c r="X830" i="254"/>
  <c r="W830" i="254"/>
  <c r="V830" i="254"/>
  <c r="U830" i="254"/>
  <c r="T830" i="254"/>
  <c r="S830" i="254"/>
  <c r="R830" i="254"/>
  <c r="Q830" i="254"/>
  <c r="P830" i="254"/>
  <c r="O830" i="254"/>
  <c r="N830" i="254"/>
  <c r="M830" i="254"/>
  <c r="L830" i="254"/>
  <c r="K830" i="254"/>
  <c r="J830" i="254"/>
  <c r="I830" i="254"/>
  <c r="H830" i="254"/>
  <c r="G830" i="254"/>
  <c r="F830" i="254"/>
  <c r="E830" i="254"/>
  <c r="D830" i="254"/>
  <c r="C830" i="254"/>
  <c r="B830" i="254"/>
  <c r="A830" i="254"/>
  <c r="AF829" i="254"/>
  <c r="AE829" i="254"/>
  <c r="AD829" i="254"/>
  <c r="AC829" i="254"/>
  <c r="AB829" i="254"/>
  <c r="AA829" i="254"/>
  <c r="Z829" i="254"/>
  <c r="Y829" i="254"/>
  <c r="X829" i="254"/>
  <c r="W829" i="254"/>
  <c r="V829" i="254"/>
  <c r="U829" i="254"/>
  <c r="T829" i="254"/>
  <c r="S829" i="254"/>
  <c r="R829" i="254"/>
  <c r="Q829" i="254"/>
  <c r="P829" i="254"/>
  <c r="O829" i="254"/>
  <c r="N829" i="254"/>
  <c r="M829" i="254"/>
  <c r="L829" i="254"/>
  <c r="K829" i="254"/>
  <c r="J829" i="254"/>
  <c r="I829" i="254"/>
  <c r="H829" i="254"/>
  <c r="G829" i="254"/>
  <c r="F829" i="254"/>
  <c r="E829" i="254"/>
  <c r="D829" i="254"/>
  <c r="C829" i="254"/>
  <c r="B829" i="254"/>
  <c r="A829" i="254"/>
  <c r="AF828" i="254"/>
  <c r="AE828" i="254"/>
  <c r="AD828" i="254"/>
  <c r="AC828" i="254"/>
  <c r="AB828" i="254"/>
  <c r="AA828" i="254"/>
  <c r="Z828" i="254"/>
  <c r="Y828" i="254"/>
  <c r="X828" i="254"/>
  <c r="W828" i="254"/>
  <c r="V828" i="254"/>
  <c r="U828" i="254"/>
  <c r="T828" i="254"/>
  <c r="S828" i="254"/>
  <c r="R828" i="254"/>
  <c r="Q828" i="254"/>
  <c r="P828" i="254"/>
  <c r="O828" i="254"/>
  <c r="N828" i="254"/>
  <c r="M828" i="254"/>
  <c r="L828" i="254"/>
  <c r="K828" i="254"/>
  <c r="J828" i="254"/>
  <c r="I828" i="254"/>
  <c r="H828" i="254"/>
  <c r="G828" i="254"/>
  <c r="F828" i="254"/>
  <c r="E828" i="254"/>
  <c r="D828" i="254"/>
  <c r="C828" i="254"/>
  <c r="B828" i="254"/>
  <c r="A828" i="254"/>
  <c r="AF827" i="254"/>
  <c r="AE827" i="254"/>
  <c r="AD827" i="254"/>
  <c r="AC827" i="254"/>
  <c r="AB827" i="254"/>
  <c r="AA827" i="254"/>
  <c r="Z827" i="254"/>
  <c r="Y827" i="254"/>
  <c r="X827" i="254"/>
  <c r="W827" i="254"/>
  <c r="V827" i="254"/>
  <c r="U827" i="254"/>
  <c r="T827" i="254"/>
  <c r="S827" i="254"/>
  <c r="R827" i="254"/>
  <c r="Q827" i="254"/>
  <c r="P827" i="254"/>
  <c r="O827" i="254"/>
  <c r="N827" i="254"/>
  <c r="M827" i="254"/>
  <c r="L827" i="254"/>
  <c r="K827" i="254"/>
  <c r="J827" i="254"/>
  <c r="I827" i="254"/>
  <c r="H827" i="254"/>
  <c r="G827" i="254"/>
  <c r="F827" i="254"/>
  <c r="E827" i="254"/>
  <c r="D827" i="254"/>
  <c r="C827" i="254"/>
  <c r="B827" i="254"/>
  <c r="A827" i="254"/>
  <c r="AF826" i="254"/>
  <c r="AE826" i="254"/>
  <c r="AD826" i="254"/>
  <c r="AC826" i="254"/>
  <c r="AB826" i="254"/>
  <c r="AA826" i="254"/>
  <c r="Z826" i="254"/>
  <c r="Y826" i="254"/>
  <c r="X826" i="254"/>
  <c r="W826" i="254"/>
  <c r="V826" i="254"/>
  <c r="U826" i="254"/>
  <c r="T826" i="254"/>
  <c r="S826" i="254"/>
  <c r="R826" i="254"/>
  <c r="Q826" i="254"/>
  <c r="P826" i="254"/>
  <c r="O826" i="254"/>
  <c r="N826" i="254"/>
  <c r="M826" i="254"/>
  <c r="L826" i="254"/>
  <c r="K826" i="254"/>
  <c r="J826" i="254"/>
  <c r="I826" i="254"/>
  <c r="H826" i="254"/>
  <c r="G826" i="254"/>
  <c r="F826" i="254"/>
  <c r="E826" i="254"/>
  <c r="D826" i="254"/>
  <c r="C826" i="254"/>
  <c r="B826" i="254"/>
  <c r="A826" i="254"/>
  <c r="AF825" i="254"/>
  <c r="AE825" i="254"/>
  <c r="AD825" i="254"/>
  <c r="AC825" i="254"/>
  <c r="AB825" i="254"/>
  <c r="AA825" i="254"/>
  <c r="Z825" i="254"/>
  <c r="Y825" i="254"/>
  <c r="X825" i="254"/>
  <c r="W825" i="254"/>
  <c r="V825" i="254"/>
  <c r="U825" i="254"/>
  <c r="T825" i="254"/>
  <c r="S825" i="254"/>
  <c r="R825" i="254"/>
  <c r="Q825" i="254"/>
  <c r="P825" i="254"/>
  <c r="O825" i="254"/>
  <c r="N825" i="254"/>
  <c r="M825" i="254"/>
  <c r="L825" i="254"/>
  <c r="K825" i="254"/>
  <c r="J825" i="254"/>
  <c r="I825" i="254"/>
  <c r="H825" i="254"/>
  <c r="G825" i="254"/>
  <c r="F825" i="254"/>
  <c r="E825" i="254"/>
  <c r="D825" i="254"/>
  <c r="C825" i="254"/>
  <c r="B825" i="254"/>
  <c r="A825" i="254"/>
  <c r="AF824" i="254"/>
  <c r="AE824" i="254"/>
  <c r="AD824" i="254"/>
  <c r="AC824" i="254"/>
  <c r="AB824" i="254"/>
  <c r="AA824" i="254"/>
  <c r="Z824" i="254"/>
  <c r="Y824" i="254"/>
  <c r="X824" i="254"/>
  <c r="W824" i="254"/>
  <c r="V824" i="254"/>
  <c r="U824" i="254"/>
  <c r="T824" i="254"/>
  <c r="S824" i="254"/>
  <c r="R824" i="254"/>
  <c r="Q824" i="254"/>
  <c r="P824" i="254"/>
  <c r="O824" i="254"/>
  <c r="N824" i="254"/>
  <c r="M824" i="254"/>
  <c r="L824" i="254"/>
  <c r="K824" i="254"/>
  <c r="J824" i="254"/>
  <c r="I824" i="254"/>
  <c r="H824" i="254"/>
  <c r="G824" i="254"/>
  <c r="F824" i="254"/>
  <c r="E824" i="254"/>
  <c r="D824" i="254"/>
  <c r="C824" i="254"/>
  <c r="B824" i="254"/>
  <c r="A824" i="254"/>
  <c r="AF823" i="254"/>
  <c r="AE823" i="254"/>
  <c r="AD823" i="254"/>
  <c r="AC823" i="254"/>
  <c r="AB823" i="254"/>
  <c r="AA823" i="254"/>
  <c r="Z823" i="254"/>
  <c r="Y823" i="254"/>
  <c r="X823" i="254"/>
  <c r="W823" i="254"/>
  <c r="V823" i="254"/>
  <c r="U823" i="254"/>
  <c r="T823" i="254"/>
  <c r="S823" i="254"/>
  <c r="R823" i="254"/>
  <c r="Q823" i="254"/>
  <c r="P823" i="254"/>
  <c r="O823" i="254"/>
  <c r="N823" i="254"/>
  <c r="M823" i="254"/>
  <c r="L823" i="254"/>
  <c r="K823" i="254"/>
  <c r="J823" i="254"/>
  <c r="I823" i="254"/>
  <c r="H823" i="254"/>
  <c r="G823" i="254"/>
  <c r="F823" i="254"/>
  <c r="E823" i="254"/>
  <c r="D823" i="254"/>
  <c r="C823" i="254"/>
  <c r="B823" i="254"/>
  <c r="A823" i="254"/>
  <c r="AF822" i="254"/>
  <c r="AE822" i="254"/>
  <c r="AD822" i="254"/>
  <c r="AC822" i="254"/>
  <c r="AB822" i="254"/>
  <c r="AA822" i="254"/>
  <c r="Z822" i="254"/>
  <c r="Y822" i="254"/>
  <c r="X822" i="254"/>
  <c r="W822" i="254"/>
  <c r="V822" i="254"/>
  <c r="U822" i="254"/>
  <c r="T822" i="254"/>
  <c r="S822" i="254"/>
  <c r="R822" i="254"/>
  <c r="Q822" i="254"/>
  <c r="P822" i="254"/>
  <c r="O822" i="254"/>
  <c r="N822" i="254"/>
  <c r="M822" i="254"/>
  <c r="L822" i="254"/>
  <c r="K822" i="254"/>
  <c r="J822" i="254"/>
  <c r="I822" i="254"/>
  <c r="H822" i="254"/>
  <c r="G822" i="254"/>
  <c r="F822" i="254"/>
  <c r="E822" i="254"/>
  <c r="D822" i="254"/>
  <c r="C822" i="254"/>
  <c r="B822" i="254"/>
  <c r="A822" i="254"/>
  <c r="AF821" i="254"/>
  <c r="AE821" i="254"/>
  <c r="AD821" i="254"/>
  <c r="AC821" i="254"/>
  <c r="AB821" i="254"/>
  <c r="AA821" i="254"/>
  <c r="Z821" i="254"/>
  <c r="Y821" i="254"/>
  <c r="X821" i="254"/>
  <c r="W821" i="254"/>
  <c r="V821" i="254"/>
  <c r="U821" i="254"/>
  <c r="T821" i="254"/>
  <c r="S821" i="254"/>
  <c r="R821" i="254"/>
  <c r="Q821" i="254"/>
  <c r="P821" i="254"/>
  <c r="O821" i="254"/>
  <c r="N821" i="254"/>
  <c r="M821" i="254"/>
  <c r="L821" i="254"/>
  <c r="K821" i="254"/>
  <c r="J821" i="254"/>
  <c r="I821" i="254"/>
  <c r="H821" i="254"/>
  <c r="G821" i="254"/>
  <c r="F821" i="254"/>
  <c r="E821" i="254"/>
  <c r="D821" i="254"/>
  <c r="C821" i="254"/>
  <c r="B821" i="254"/>
  <c r="A821" i="254"/>
  <c r="AF820" i="254"/>
  <c r="AE820" i="254"/>
  <c r="AD820" i="254"/>
  <c r="AC820" i="254"/>
  <c r="AB820" i="254"/>
  <c r="AA820" i="254"/>
  <c r="Z820" i="254"/>
  <c r="Y820" i="254"/>
  <c r="X820" i="254"/>
  <c r="W820" i="254"/>
  <c r="V820" i="254"/>
  <c r="U820" i="254"/>
  <c r="T820" i="254"/>
  <c r="S820" i="254"/>
  <c r="R820" i="254"/>
  <c r="Q820" i="254"/>
  <c r="P820" i="254"/>
  <c r="O820" i="254"/>
  <c r="N820" i="254"/>
  <c r="M820" i="254"/>
  <c r="L820" i="254"/>
  <c r="K820" i="254"/>
  <c r="J820" i="254"/>
  <c r="I820" i="254"/>
  <c r="H820" i="254"/>
  <c r="G820" i="254"/>
  <c r="F820" i="254"/>
  <c r="E820" i="254"/>
  <c r="D820" i="254"/>
  <c r="C820" i="254"/>
  <c r="B820" i="254"/>
  <c r="A820" i="254"/>
  <c r="AF819" i="254"/>
  <c r="AE819" i="254"/>
  <c r="AD819" i="254"/>
  <c r="AC819" i="254"/>
  <c r="AB819" i="254"/>
  <c r="AA819" i="254"/>
  <c r="Z819" i="254"/>
  <c r="Y819" i="254"/>
  <c r="X819" i="254"/>
  <c r="W819" i="254"/>
  <c r="V819" i="254"/>
  <c r="U819" i="254"/>
  <c r="T819" i="254"/>
  <c r="S819" i="254"/>
  <c r="R819" i="254"/>
  <c r="Q819" i="254"/>
  <c r="P819" i="254"/>
  <c r="O819" i="254"/>
  <c r="N819" i="254"/>
  <c r="M819" i="254"/>
  <c r="L819" i="254"/>
  <c r="K819" i="254"/>
  <c r="J819" i="254"/>
  <c r="I819" i="254"/>
  <c r="H819" i="254"/>
  <c r="G819" i="254"/>
  <c r="F819" i="254"/>
  <c r="E819" i="254"/>
  <c r="D819" i="254"/>
  <c r="C819" i="254"/>
  <c r="B819" i="254"/>
  <c r="A819" i="254"/>
  <c r="AF818" i="254"/>
  <c r="AE818" i="254"/>
  <c r="AD818" i="254"/>
  <c r="AC818" i="254"/>
  <c r="AB818" i="254"/>
  <c r="AA818" i="254"/>
  <c r="Z818" i="254"/>
  <c r="Y818" i="254"/>
  <c r="X818" i="254"/>
  <c r="W818" i="254"/>
  <c r="V818" i="254"/>
  <c r="U818" i="254"/>
  <c r="T818" i="254"/>
  <c r="S818" i="254"/>
  <c r="R818" i="254"/>
  <c r="Q818" i="254"/>
  <c r="P818" i="254"/>
  <c r="O818" i="254"/>
  <c r="N818" i="254"/>
  <c r="M818" i="254"/>
  <c r="L818" i="254"/>
  <c r="K818" i="254"/>
  <c r="J818" i="254"/>
  <c r="I818" i="254"/>
  <c r="H818" i="254"/>
  <c r="G818" i="254"/>
  <c r="F818" i="254"/>
  <c r="E818" i="254"/>
  <c r="D818" i="254"/>
  <c r="C818" i="254"/>
  <c r="B818" i="254"/>
  <c r="A818" i="254"/>
  <c r="AF817" i="254"/>
  <c r="AE817" i="254"/>
  <c r="AD817" i="254"/>
  <c r="AC817" i="254"/>
  <c r="AB817" i="254"/>
  <c r="AA817" i="254"/>
  <c r="Z817" i="254"/>
  <c r="Y817" i="254"/>
  <c r="X817" i="254"/>
  <c r="W817" i="254"/>
  <c r="V817" i="254"/>
  <c r="U817" i="254"/>
  <c r="T817" i="254"/>
  <c r="S817" i="254"/>
  <c r="R817" i="254"/>
  <c r="Q817" i="254"/>
  <c r="P817" i="254"/>
  <c r="O817" i="254"/>
  <c r="N817" i="254"/>
  <c r="M817" i="254"/>
  <c r="L817" i="254"/>
  <c r="K817" i="254"/>
  <c r="J817" i="254"/>
  <c r="I817" i="254"/>
  <c r="H817" i="254"/>
  <c r="G817" i="254"/>
  <c r="F817" i="254"/>
  <c r="E817" i="254"/>
  <c r="D817" i="254"/>
  <c r="C817" i="254"/>
  <c r="B817" i="254"/>
  <c r="A817" i="254"/>
  <c r="AF816" i="254"/>
  <c r="AE816" i="254"/>
  <c r="AD816" i="254"/>
  <c r="AC816" i="254"/>
  <c r="AB816" i="254"/>
  <c r="AA816" i="254"/>
  <c r="Z816" i="254"/>
  <c r="Y816" i="254"/>
  <c r="X816" i="254"/>
  <c r="W816" i="254"/>
  <c r="V816" i="254"/>
  <c r="U816" i="254"/>
  <c r="T816" i="254"/>
  <c r="S816" i="254"/>
  <c r="R816" i="254"/>
  <c r="Q816" i="254"/>
  <c r="P816" i="254"/>
  <c r="O816" i="254"/>
  <c r="N816" i="254"/>
  <c r="M816" i="254"/>
  <c r="L816" i="254"/>
  <c r="K816" i="254"/>
  <c r="J816" i="254"/>
  <c r="I816" i="254"/>
  <c r="H816" i="254"/>
  <c r="G816" i="254"/>
  <c r="F816" i="254"/>
  <c r="E816" i="254"/>
  <c r="D816" i="254"/>
  <c r="C816" i="254"/>
  <c r="B816" i="254"/>
  <c r="A816" i="254"/>
  <c r="AF815" i="254"/>
  <c r="AE815" i="254"/>
  <c r="AD815" i="254"/>
  <c r="AC815" i="254"/>
  <c r="AB815" i="254"/>
  <c r="AA815" i="254"/>
  <c r="Z815" i="254"/>
  <c r="Y815" i="254"/>
  <c r="X815" i="254"/>
  <c r="W815" i="254"/>
  <c r="V815" i="254"/>
  <c r="U815" i="254"/>
  <c r="T815" i="254"/>
  <c r="S815" i="254"/>
  <c r="R815" i="254"/>
  <c r="Q815" i="254"/>
  <c r="P815" i="254"/>
  <c r="O815" i="254"/>
  <c r="N815" i="254"/>
  <c r="M815" i="254"/>
  <c r="L815" i="254"/>
  <c r="K815" i="254"/>
  <c r="J815" i="254"/>
  <c r="I815" i="254"/>
  <c r="H815" i="254"/>
  <c r="G815" i="254"/>
  <c r="F815" i="254"/>
  <c r="E815" i="254"/>
  <c r="D815" i="254"/>
  <c r="C815" i="254"/>
  <c r="B815" i="254"/>
  <c r="A815" i="254"/>
  <c r="AF814" i="254"/>
  <c r="AE814" i="254"/>
  <c r="AD814" i="254"/>
  <c r="AC814" i="254"/>
  <c r="AB814" i="254"/>
  <c r="AA814" i="254"/>
  <c r="Z814" i="254"/>
  <c r="Y814" i="254"/>
  <c r="X814" i="254"/>
  <c r="W814" i="254"/>
  <c r="V814" i="254"/>
  <c r="U814" i="254"/>
  <c r="T814" i="254"/>
  <c r="S814" i="254"/>
  <c r="R814" i="254"/>
  <c r="Q814" i="254"/>
  <c r="P814" i="254"/>
  <c r="O814" i="254"/>
  <c r="N814" i="254"/>
  <c r="M814" i="254"/>
  <c r="L814" i="254"/>
  <c r="K814" i="254"/>
  <c r="J814" i="254"/>
  <c r="I814" i="254"/>
  <c r="H814" i="254"/>
  <c r="G814" i="254"/>
  <c r="F814" i="254"/>
  <c r="E814" i="254"/>
  <c r="D814" i="254"/>
  <c r="C814" i="254"/>
  <c r="B814" i="254"/>
  <c r="A814" i="254"/>
  <c r="AF813" i="254"/>
  <c r="AE813" i="254"/>
  <c r="AD813" i="254"/>
  <c r="AC813" i="254"/>
  <c r="AB813" i="254"/>
  <c r="AA813" i="254"/>
  <c r="Z813" i="254"/>
  <c r="Y813" i="254"/>
  <c r="X813" i="254"/>
  <c r="W813" i="254"/>
  <c r="V813" i="254"/>
  <c r="U813" i="254"/>
  <c r="T813" i="254"/>
  <c r="S813" i="254"/>
  <c r="R813" i="254"/>
  <c r="Q813" i="254"/>
  <c r="P813" i="254"/>
  <c r="O813" i="254"/>
  <c r="N813" i="254"/>
  <c r="M813" i="254"/>
  <c r="L813" i="254"/>
  <c r="K813" i="254"/>
  <c r="J813" i="254"/>
  <c r="I813" i="254"/>
  <c r="H813" i="254"/>
  <c r="G813" i="254"/>
  <c r="F813" i="254"/>
  <c r="E813" i="254"/>
  <c r="D813" i="254"/>
  <c r="C813" i="254"/>
  <c r="B813" i="254"/>
  <c r="A813" i="254"/>
  <c r="AF812" i="254"/>
  <c r="AE812" i="254"/>
  <c r="AD812" i="254"/>
  <c r="AC812" i="254"/>
  <c r="AB812" i="254"/>
  <c r="AA812" i="254"/>
  <c r="Z812" i="254"/>
  <c r="Y812" i="254"/>
  <c r="X812" i="254"/>
  <c r="W812" i="254"/>
  <c r="V812" i="254"/>
  <c r="U812" i="254"/>
  <c r="T812" i="254"/>
  <c r="S812" i="254"/>
  <c r="R812" i="254"/>
  <c r="Q812" i="254"/>
  <c r="P812" i="254"/>
  <c r="O812" i="254"/>
  <c r="N812" i="254"/>
  <c r="M812" i="254"/>
  <c r="L812" i="254"/>
  <c r="K812" i="254"/>
  <c r="J812" i="254"/>
  <c r="I812" i="254"/>
  <c r="H812" i="254"/>
  <c r="G812" i="254"/>
  <c r="F812" i="254"/>
  <c r="E812" i="254"/>
  <c r="D812" i="254"/>
  <c r="C812" i="254"/>
  <c r="B812" i="254"/>
  <c r="A812" i="254"/>
  <c r="AF811" i="254"/>
  <c r="AE811" i="254"/>
  <c r="AD811" i="254"/>
  <c r="AC811" i="254"/>
  <c r="AB811" i="254"/>
  <c r="AA811" i="254"/>
  <c r="Z811" i="254"/>
  <c r="Y811" i="254"/>
  <c r="X811" i="254"/>
  <c r="W811" i="254"/>
  <c r="V811" i="254"/>
  <c r="U811" i="254"/>
  <c r="T811" i="254"/>
  <c r="S811" i="254"/>
  <c r="R811" i="254"/>
  <c r="Q811" i="254"/>
  <c r="P811" i="254"/>
  <c r="O811" i="254"/>
  <c r="N811" i="254"/>
  <c r="M811" i="254"/>
  <c r="L811" i="254"/>
  <c r="K811" i="254"/>
  <c r="J811" i="254"/>
  <c r="I811" i="254"/>
  <c r="H811" i="254"/>
  <c r="G811" i="254"/>
  <c r="F811" i="254"/>
  <c r="E811" i="254"/>
  <c r="D811" i="254"/>
  <c r="C811" i="254"/>
  <c r="B811" i="254"/>
  <c r="A811" i="254"/>
  <c r="AF810" i="254"/>
  <c r="AE810" i="254"/>
  <c r="AD810" i="254"/>
  <c r="AC810" i="254"/>
  <c r="AB810" i="254"/>
  <c r="AA810" i="254"/>
  <c r="Z810" i="254"/>
  <c r="Y810" i="254"/>
  <c r="X810" i="254"/>
  <c r="W810" i="254"/>
  <c r="V810" i="254"/>
  <c r="U810" i="254"/>
  <c r="T810" i="254"/>
  <c r="S810" i="254"/>
  <c r="R810" i="254"/>
  <c r="Q810" i="254"/>
  <c r="P810" i="254"/>
  <c r="O810" i="254"/>
  <c r="N810" i="254"/>
  <c r="M810" i="254"/>
  <c r="L810" i="254"/>
  <c r="K810" i="254"/>
  <c r="J810" i="254"/>
  <c r="I810" i="254"/>
  <c r="H810" i="254"/>
  <c r="G810" i="254"/>
  <c r="F810" i="254"/>
  <c r="E810" i="254"/>
  <c r="D810" i="254"/>
  <c r="C810" i="254"/>
  <c r="B810" i="254"/>
  <c r="A810" i="254"/>
  <c r="AF809" i="254"/>
  <c r="AE809" i="254"/>
  <c r="AD809" i="254"/>
  <c r="AC809" i="254"/>
  <c r="AB809" i="254"/>
  <c r="AA809" i="254"/>
  <c r="Z809" i="254"/>
  <c r="Y809" i="254"/>
  <c r="X809" i="254"/>
  <c r="W809" i="254"/>
  <c r="V809" i="254"/>
  <c r="U809" i="254"/>
  <c r="T809" i="254"/>
  <c r="S809" i="254"/>
  <c r="R809" i="254"/>
  <c r="Q809" i="254"/>
  <c r="P809" i="254"/>
  <c r="O809" i="254"/>
  <c r="N809" i="254"/>
  <c r="M809" i="254"/>
  <c r="L809" i="254"/>
  <c r="K809" i="254"/>
  <c r="J809" i="254"/>
  <c r="I809" i="254"/>
  <c r="H809" i="254"/>
  <c r="G809" i="254"/>
  <c r="F809" i="254"/>
  <c r="E809" i="254"/>
  <c r="D809" i="254"/>
  <c r="C809" i="254"/>
  <c r="B809" i="254"/>
  <c r="A809" i="254"/>
  <c r="AF808" i="254"/>
  <c r="AE808" i="254"/>
  <c r="AD808" i="254"/>
  <c r="AC808" i="254"/>
  <c r="AB808" i="254"/>
  <c r="AA808" i="254"/>
  <c r="Z808" i="254"/>
  <c r="Y808" i="254"/>
  <c r="X808" i="254"/>
  <c r="W808" i="254"/>
  <c r="V808" i="254"/>
  <c r="U808" i="254"/>
  <c r="T808" i="254"/>
  <c r="S808" i="254"/>
  <c r="R808" i="254"/>
  <c r="Q808" i="254"/>
  <c r="P808" i="254"/>
  <c r="O808" i="254"/>
  <c r="N808" i="254"/>
  <c r="M808" i="254"/>
  <c r="L808" i="254"/>
  <c r="K808" i="254"/>
  <c r="J808" i="254"/>
  <c r="I808" i="254"/>
  <c r="H808" i="254"/>
  <c r="G808" i="254"/>
  <c r="F808" i="254"/>
  <c r="E808" i="254"/>
  <c r="D808" i="254"/>
  <c r="C808" i="254"/>
  <c r="B808" i="254"/>
  <c r="A808" i="254"/>
  <c r="AF807" i="254"/>
  <c r="AE807" i="254"/>
  <c r="AD807" i="254"/>
  <c r="AC807" i="254"/>
  <c r="AB807" i="254"/>
  <c r="AA807" i="254"/>
  <c r="Z807" i="254"/>
  <c r="Y807" i="254"/>
  <c r="X807" i="254"/>
  <c r="W807" i="254"/>
  <c r="V807" i="254"/>
  <c r="U807" i="254"/>
  <c r="T807" i="254"/>
  <c r="S807" i="254"/>
  <c r="R807" i="254"/>
  <c r="Q807" i="254"/>
  <c r="P807" i="254"/>
  <c r="O807" i="254"/>
  <c r="N807" i="254"/>
  <c r="M807" i="254"/>
  <c r="L807" i="254"/>
  <c r="K807" i="254"/>
  <c r="J807" i="254"/>
  <c r="I807" i="254"/>
  <c r="H807" i="254"/>
  <c r="G807" i="254"/>
  <c r="F807" i="254"/>
  <c r="E807" i="254"/>
  <c r="D807" i="254"/>
  <c r="C807" i="254"/>
  <c r="B807" i="254"/>
  <c r="A807" i="254"/>
  <c r="AF806" i="254"/>
  <c r="AE806" i="254"/>
  <c r="AD806" i="254"/>
  <c r="AC806" i="254"/>
  <c r="AB806" i="254"/>
  <c r="AA806" i="254"/>
  <c r="Z806" i="254"/>
  <c r="Y806" i="254"/>
  <c r="X806" i="254"/>
  <c r="W806" i="254"/>
  <c r="V806" i="254"/>
  <c r="U806" i="254"/>
  <c r="T806" i="254"/>
  <c r="S806" i="254"/>
  <c r="R806" i="254"/>
  <c r="Q806" i="254"/>
  <c r="P806" i="254"/>
  <c r="O806" i="254"/>
  <c r="N806" i="254"/>
  <c r="M806" i="254"/>
  <c r="L806" i="254"/>
  <c r="K806" i="254"/>
  <c r="J806" i="254"/>
  <c r="I806" i="254"/>
  <c r="H806" i="254"/>
  <c r="G806" i="254"/>
  <c r="F806" i="254"/>
  <c r="E806" i="254"/>
  <c r="D806" i="254"/>
  <c r="C806" i="254"/>
  <c r="B806" i="254"/>
  <c r="A806" i="254"/>
  <c r="AF805" i="254"/>
  <c r="AE805" i="254"/>
  <c r="AD805" i="254"/>
  <c r="AC805" i="254"/>
  <c r="AB805" i="254"/>
  <c r="AA805" i="254"/>
  <c r="Z805" i="254"/>
  <c r="Y805" i="254"/>
  <c r="X805" i="254"/>
  <c r="W805" i="254"/>
  <c r="V805" i="254"/>
  <c r="U805" i="254"/>
  <c r="T805" i="254"/>
  <c r="S805" i="254"/>
  <c r="R805" i="254"/>
  <c r="Q805" i="254"/>
  <c r="P805" i="254"/>
  <c r="O805" i="254"/>
  <c r="N805" i="254"/>
  <c r="M805" i="254"/>
  <c r="L805" i="254"/>
  <c r="K805" i="254"/>
  <c r="J805" i="254"/>
  <c r="I805" i="254"/>
  <c r="H805" i="254"/>
  <c r="G805" i="254"/>
  <c r="F805" i="254"/>
  <c r="E805" i="254"/>
  <c r="D805" i="254"/>
  <c r="C805" i="254"/>
  <c r="B805" i="254"/>
  <c r="A805" i="254"/>
  <c r="AF804" i="254"/>
  <c r="AE804" i="254"/>
  <c r="AD804" i="254"/>
  <c r="AC804" i="254"/>
  <c r="AB804" i="254"/>
  <c r="AA804" i="254"/>
  <c r="Z804" i="254"/>
  <c r="Y804" i="254"/>
  <c r="X804" i="254"/>
  <c r="W804" i="254"/>
  <c r="V804" i="254"/>
  <c r="U804" i="254"/>
  <c r="T804" i="254"/>
  <c r="S804" i="254"/>
  <c r="R804" i="254"/>
  <c r="Q804" i="254"/>
  <c r="P804" i="254"/>
  <c r="O804" i="254"/>
  <c r="N804" i="254"/>
  <c r="M804" i="254"/>
  <c r="L804" i="254"/>
  <c r="K804" i="254"/>
  <c r="J804" i="254"/>
  <c r="I804" i="254"/>
  <c r="H804" i="254"/>
  <c r="G804" i="254"/>
  <c r="F804" i="254"/>
  <c r="E804" i="254"/>
  <c r="D804" i="254"/>
  <c r="C804" i="254"/>
  <c r="B804" i="254"/>
  <c r="A804" i="254"/>
  <c r="AF803" i="254"/>
  <c r="AE803" i="254"/>
  <c r="AD803" i="254"/>
  <c r="AC803" i="254"/>
  <c r="AB803" i="254"/>
  <c r="AA803" i="254"/>
  <c r="Z803" i="254"/>
  <c r="Y803" i="254"/>
  <c r="X803" i="254"/>
  <c r="W803" i="254"/>
  <c r="V803" i="254"/>
  <c r="U803" i="254"/>
  <c r="T803" i="254"/>
  <c r="S803" i="254"/>
  <c r="R803" i="254"/>
  <c r="Q803" i="254"/>
  <c r="P803" i="254"/>
  <c r="O803" i="254"/>
  <c r="N803" i="254"/>
  <c r="M803" i="254"/>
  <c r="L803" i="254"/>
  <c r="K803" i="254"/>
  <c r="J803" i="254"/>
  <c r="I803" i="254"/>
  <c r="H803" i="254"/>
  <c r="G803" i="254"/>
  <c r="F803" i="254"/>
  <c r="E803" i="254"/>
  <c r="D803" i="254"/>
  <c r="C803" i="254"/>
  <c r="B803" i="254"/>
  <c r="A803" i="254"/>
  <c r="AF802" i="254"/>
  <c r="AE802" i="254"/>
  <c r="AD802" i="254"/>
  <c r="AC802" i="254"/>
  <c r="AB802" i="254"/>
  <c r="AA802" i="254"/>
  <c r="Z802" i="254"/>
  <c r="Y802" i="254"/>
  <c r="X802" i="254"/>
  <c r="W802" i="254"/>
  <c r="V802" i="254"/>
  <c r="U802" i="254"/>
  <c r="T802" i="254"/>
  <c r="S802" i="254"/>
  <c r="R802" i="254"/>
  <c r="Q802" i="254"/>
  <c r="P802" i="254"/>
  <c r="O802" i="254"/>
  <c r="N802" i="254"/>
  <c r="M802" i="254"/>
  <c r="L802" i="254"/>
  <c r="K802" i="254"/>
  <c r="J802" i="254"/>
  <c r="I802" i="254"/>
  <c r="H802" i="254"/>
  <c r="G802" i="254"/>
  <c r="F802" i="254"/>
  <c r="E802" i="254"/>
  <c r="D802" i="254"/>
  <c r="C802" i="254"/>
  <c r="B802" i="254"/>
  <c r="A802" i="254"/>
  <c r="AF801" i="254"/>
  <c r="AE801" i="254"/>
  <c r="AD801" i="254"/>
  <c r="AC801" i="254"/>
  <c r="AB801" i="254"/>
  <c r="AA801" i="254"/>
  <c r="Z801" i="254"/>
  <c r="Y801" i="254"/>
  <c r="X801" i="254"/>
  <c r="W801" i="254"/>
  <c r="V801" i="254"/>
  <c r="U801" i="254"/>
  <c r="T801" i="254"/>
  <c r="S801" i="254"/>
  <c r="R801" i="254"/>
  <c r="Q801" i="254"/>
  <c r="P801" i="254"/>
  <c r="O801" i="254"/>
  <c r="N801" i="254"/>
  <c r="M801" i="254"/>
  <c r="L801" i="254"/>
  <c r="K801" i="254"/>
  <c r="J801" i="254"/>
  <c r="I801" i="254"/>
  <c r="H801" i="254"/>
  <c r="G801" i="254"/>
  <c r="F801" i="254"/>
  <c r="E801" i="254"/>
  <c r="D801" i="254"/>
  <c r="C801" i="254"/>
  <c r="B801" i="254"/>
  <c r="A801" i="254"/>
  <c r="AF800" i="254"/>
  <c r="AE800" i="254"/>
  <c r="AD800" i="254"/>
  <c r="AC800" i="254"/>
  <c r="AB800" i="254"/>
  <c r="AA800" i="254"/>
  <c r="Z800" i="254"/>
  <c r="Y800" i="254"/>
  <c r="X800" i="254"/>
  <c r="W800" i="254"/>
  <c r="V800" i="254"/>
  <c r="U800" i="254"/>
  <c r="T800" i="254"/>
  <c r="S800" i="254"/>
  <c r="R800" i="254"/>
  <c r="Q800" i="254"/>
  <c r="P800" i="254"/>
  <c r="O800" i="254"/>
  <c r="N800" i="254"/>
  <c r="M800" i="254"/>
  <c r="L800" i="254"/>
  <c r="K800" i="254"/>
  <c r="J800" i="254"/>
  <c r="I800" i="254"/>
  <c r="H800" i="254"/>
  <c r="G800" i="254"/>
  <c r="F800" i="254"/>
  <c r="E800" i="254"/>
  <c r="D800" i="254"/>
  <c r="C800" i="254"/>
  <c r="B800" i="254"/>
  <c r="A800" i="254"/>
  <c r="AF799" i="254"/>
  <c r="AE799" i="254"/>
  <c r="AD799" i="254"/>
  <c r="AC799" i="254"/>
  <c r="AB799" i="254"/>
  <c r="AA799" i="254"/>
  <c r="Z799" i="254"/>
  <c r="Y799" i="254"/>
  <c r="X799" i="254"/>
  <c r="W799" i="254"/>
  <c r="V799" i="254"/>
  <c r="U799" i="254"/>
  <c r="T799" i="254"/>
  <c r="S799" i="254"/>
  <c r="R799" i="254"/>
  <c r="Q799" i="254"/>
  <c r="P799" i="254"/>
  <c r="O799" i="254"/>
  <c r="N799" i="254"/>
  <c r="M799" i="254"/>
  <c r="L799" i="254"/>
  <c r="K799" i="254"/>
  <c r="J799" i="254"/>
  <c r="I799" i="254"/>
  <c r="H799" i="254"/>
  <c r="G799" i="254"/>
  <c r="F799" i="254"/>
  <c r="E799" i="254"/>
  <c r="D799" i="254"/>
  <c r="C799" i="254"/>
  <c r="B799" i="254"/>
  <c r="A799" i="254"/>
  <c r="AF798" i="254"/>
  <c r="AE798" i="254"/>
  <c r="AD798" i="254"/>
  <c r="AC798" i="254"/>
  <c r="AB798" i="254"/>
  <c r="AA798" i="254"/>
  <c r="Z798" i="254"/>
  <c r="Y798" i="254"/>
  <c r="X798" i="254"/>
  <c r="W798" i="254"/>
  <c r="V798" i="254"/>
  <c r="U798" i="254"/>
  <c r="T798" i="254"/>
  <c r="S798" i="254"/>
  <c r="R798" i="254"/>
  <c r="Q798" i="254"/>
  <c r="P798" i="254"/>
  <c r="O798" i="254"/>
  <c r="N798" i="254"/>
  <c r="M798" i="254"/>
  <c r="L798" i="254"/>
  <c r="K798" i="254"/>
  <c r="J798" i="254"/>
  <c r="I798" i="254"/>
  <c r="H798" i="254"/>
  <c r="G798" i="254"/>
  <c r="F798" i="254"/>
  <c r="E798" i="254"/>
  <c r="D798" i="254"/>
  <c r="C798" i="254"/>
  <c r="B798" i="254"/>
  <c r="A798" i="254"/>
  <c r="AF797" i="254"/>
  <c r="AE797" i="254"/>
  <c r="AD797" i="254"/>
  <c r="AC797" i="254"/>
  <c r="AB797" i="254"/>
  <c r="AA797" i="254"/>
  <c r="Z797" i="254"/>
  <c r="Y797" i="254"/>
  <c r="X797" i="254"/>
  <c r="W797" i="254"/>
  <c r="V797" i="254"/>
  <c r="U797" i="254"/>
  <c r="T797" i="254"/>
  <c r="S797" i="254"/>
  <c r="R797" i="254"/>
  <c r="Q797" i="254"/>
  <c r="P797" i="254"/>
  <c r="O797" i="254"/>
  <c r="N797" i="254"/>
  <c r="M797" i="254"/>
  <c r="L797" i="254"/>
  <c r="K797" i="254"/>
  <c r="J797" i="254"/>
  <c r="I797" i="254"/>
  <c r="H797" i="254"/>
  <c r="G797" i="254"/>
  <c r="F797" i="254"/>
  <c r="E797" i="254"/>
  <c r="D797" i="254"/>
  <c r="C797" i="254"/>
  <c r="B797" i="254"/>
  <c r="A797" i="254"/>
  <c r="AF796" i="254"/>
  <c r="AE796" i="254"/>
  <c r="AD796" i="254"/>
  <c r="AC796" i="254"/>
  <c r="AB796" i="254"/>
  <c r="AA796" i="254"/>
  <c r="Z796" i="254"/>
  <c r="Y796" i="254"/>
  <c r="X796" i="254"/>
  <c r="W796" i="254"/>
  <c r="V796" i="254"/>
  <c r="U796" i="254"/>
  <c r="T796" i="254"/>
  <c r="S796" i="254"/>
  <c r="R796" i="254"/>
  <c r="Q796" i="254"/>
  <c r="P796" i="254"/>
  <c r="O796" i="254"/>
  <c r="N796" i="254"/>
  <c r="M796" i="254"/>
  <c r="L796" i="254"/>
  <c r="K796" i="254"/>
  <c r="J796" i="254"/>
  <c r="I796" i="254"/>
  <c r="H796" i="254"/>
  <c r="G796" i="254"/>
  <c r="F796" i="254"/>
  <c r="E796" i="254"/>
  <c r="D796" i="254"/>
  <c r="C796" i="254"/>
  <c r="B796" i="254"/>
  <c r="A796" i="254"/>
  <c r="AF795" i="254"/>
  <c r="AE795" i="254"/>
  <c r="AD795" i="254"/>
  <c r="AC795" i="254"/>
  <c r="AB795" i="254"/>
  <c r="AA795" i="254"/>
  <c r="Z795" i="254"/>
  <c r="Y795" i="254"/>
  <c r="X795" i="254"/>
  <c r="W795" i="254"/>
  <c r="V795" i="254"/>
  <c r="U795" i="254"/>
  <c r="T795" i="254"/>
  <c r="S795" i="254"/>
  <c r="R795" i="254"/>
  <c r="Q795" i="254"/>
  <c r="P795" i="254"/>
  <c r="O795" i="254"/>
  <c r="N795" i="254"/>
  <c r="M795" i="254"/>
  <c r="L795" i="254"/>
  <c r="K795" i="254"/>
  <c r="J795" i="254"/>
  <c r="I795" i="254"/>
  <c r="H795" i="254"/>
  <c r="G795" i="254"/>
  <c r="F795" i="254"/>
  <c r="E795" i="254"/>
  <c r="D795" i="254"/>
  <c r="C795" i="254"/>
  <c r="B795" i="254"/>
  <c r="A795" i="254"/>
  <c r="AF794" i="254"/>
  <c r="AE794" i="254"/>
  <c r="AD794" i="254"/>
  <c r="AC794" i="254"/>
  <c r="AB794" i="254"/>
  <c r="AA794" i="254"/>
  <c r="Z794" i="254"/>
  <c r="Y794" i="254"/>
  <c r="X794" i="254"/>
  <c r="W794" i="254"/>
  <c r="V794" i="254"/>
  <c r="U794" i="254"/>
  <c r="T794" i="254"/>
  <c r="S794" i="254"/>
  <c r="R794" i="254"/>
  <c r="Q794" i="254"/>
  <c r="P794" i="254"/>
  <c r="O794" i="254"/>
  <c r="N794" i="254"/>
  <c r="M794" i="254"/>
  <c r="L794" i="254"/>
  <c r="K794" i="254"/>
  <c r="J794" i="254"/>
  <c r="I794" i="254"/>
  <c r="H794" i="254"/>
  <c r="G794" i="254"/>
  <c r="F794" i="254"/>
  <c r="E794" i="254"/>
  <c r="D794" i="254"/>
  <c r="C794" i="254"/>
  <c r="B794" i="254"/>
  <c r="A794" i="254"/>
  <c r="AF793" i="254"/>
  <c r="AE793" i="254"/>
  <c r="AD793" i="254"/>
  <c r="AC793" i="254"/>
  <c r="AB793" i="254"/>
  <c r="AA793" i="254"/>
  <c r="Z793" i="254"/>
  <c r="Y793" i="254"/>
  <c r="X793" i="254"/>
  <c r="W793" i="254"/>
  <c r="V793" i="254"/>
  <c r="U793" i="254"/>
  <c r="T793" i="254"/>
  <c r="S793" i="254"/>
  <c r="R793" i="254"/>
  <c r="Q793" i="254"/>
  <c r="P793" i="254"/>
  <c r="O793" i="254"/>
  <c r="N793" i="254"/>
  <c r="M793" i="254"/>
  <c r="L793" i="254"/>
  <c r="K793" i="254"/>
  <c r="J793" i="254"/>
  <c r="I793" i="254"/>
  <c r="H793" i="254"/>
  <c r="G793" i="254"/>
  <c r="F793" i="254"/>
  <c r="E793" i="254"/>
  <c r="D793" i="254"/>
  <c r="C793" i="254"/>
  <c r="B793" i="254"/>
  <c r="A793" i="254"/>
  <c r="AF792" i="254"/>
  <c r="AE792" i="254"/>
  <c r="AD792" i="254"/>
  <c r="AC792" i="254"/>
  <c r="AB792" i="254"/>
  <c r="AA792" i="254"/>
  <c r="Z792" i="254"/>
  <c r="Y792" i="254"/>
  <c r="X792" i="254"/>
  <c r="W792" i="254"/>
  <c r="V792" i="254"/>
  <c r="U792" i="254"/>
  <c r="T792" i="254"/>
  <c r="S792" i="254"/>
  <c r="R792" i="254"/>
  <c r="Q792" i="254"/>
  <c r="P792" i="254"/>
  <c r="O792" i="254"/>
  <c r="N792" i="254"/>
  <c r="M792" i="254"/>
  <c r="L792" i="254"/>
  <c r="K792" i="254"/>
  <c r="J792" i="254"/>
  <c r="I792" i="254"/>
  <c r="H792" i="254"/>
  <c r="G792" i="254"/>
  <c r="F792" i="254"/>
  <c r="E792" i="254"/>
  <c r="D792" i="254"/>
  <c r="C792" i="254"/>
  <c r="B792" i="254"/>
  <c r="A792" i="254"/>
  <c r="AF791" i="254"/>
  <c r="AE791" i="254"/>
  <c r="AD791" i="254"/>
  <c r="AC791" i="254"/>
  <c r="AB791" i="254"/>
  <c r="AA791" i="254"/>
  <c r="Z791" i="254"/>
  <c r="Y791" i="254"/>
  <c r="X791" i="254"/>
  <c r="W791" i="254"/>
  <c r="V791" i="254"/>
  <c r="U791" i="254"/>
  <c r="T791" i="254"/>
  <c r="S791" i="254"/>
  <c r="R791" i="254"/>
  <c r="Q791" i="254"/>
  <c r="P791" i="254"/>
  <c r="O791" i="254"/>
  <c r="N791" i="254"/>
  <c r="M791" i="254"/>
  <c r="L791" i="254"/>
  <c r="K791" i="254"/>
  <c r="J791" i="254"/>
  <c r="I791" i="254"/>
  <c r="H791" i="254"/>
  <c r="G791" i="254"/>
  <c r="F791" i="254"/>
  <c r="E791" i="254"/>
  <c r="D791" i="254"/>
  <c r="C791" i="254"/>
  <c r="B791" i="254"/>
  <c r="A791" i="254"/>
  <c r="AF790" i="254"/>
  <c r="AE790" i="254"/>
  <c r="AD790" i="254"/>
  <c r="AC790" i="254"/>
  <c r="AB790" i="254"/>
  <c r="AA790" i="254"/>
  <c r="Z790" i="254"/>
  <c r="Y790" i="254"/>
  <c r="X790" i="254"/>
  <c r="W790" i="254"/>
  <c r="V790" i="254"/>
  <c r="U790" i="254"/>
  <c r="T790" i="254"/>
  <c r="S790" i="254"/>
  <c r="R790" i="254"/>
  <c r="Q790" i="254"/>
  <c r="P790" i="254"/>
  <c r="O790" i="254"/>
  <c r="N790" i="254"/>
  <c r="M790" i="254"/>
  <c r="L790" i="254"/>
  <c r="K790" i="254"/>
  <c r="J790" i="254"/>
  <c r="I790" i="254"/>
  <c r="H790" i="254"/>
  <c r="G790" i="254"/>
  <c r="F790" i="254"/>
  <c r="E790" i="254"/>
  <c r="D790" i="254"/>
  <c r="C790" i="254"/>
  <c r="B790" i="254"/>
  <c r="A790" i="254"/>
  <c r="AF789" i="254"/>
  <c r="AE789" i="254"/>
  <c r="AD789" i="254"/>
  <c r="AC789" i="254"/>
  <c r="AB789" i="254"/>
  <c r="AA789" i="254"/>
  <c r="Z789" i="254"/>
  <c r="Y789" i="254"/>
  <c r="X789" i="254"/>
  <c r="W789" i="254"/>
  <c r="V789" i="254"/>
  <c r="U789" i="254"/>
  <c r="T789" i="254"/>
  <c r="S789" i="254"/>
  <c r="R789" i="254"/>
  <c r="Q789" i="254"/>
  <c r="P789" i="254"/>
  <c r="O789" i="254"/>
  <c r="N789" i="254"/>
  <c r="M789" i="254"/>
  <c r="L789" i="254"/>
  <c r="K789" i="254"/>
  <c r="J789" i="254"/>
  <c r="I789" i="254"/>
  <c r="H789" i="254"/>
  <c r="G789" i="254"/>
  <c r="F789" i="254"/>
  <c r="E789" i="254"/>
  <c r="D789" i="254"/>
  <c r="C789" i="254"/>
  <c r="B789" i="254"/>
  <c r="A789" i="254"/>
  <c r="AF788" i="254"/>
  <c r="AE788" i="254"/>
  <c r="AD788" i="254"/>
  <c r="AC788" i="254"/>
  <c r="AB788" i="254"/>
  <c r="AA788" i="254"/>
  <c r="Z788" i="254"/>
  <c r="Y788" i="254"/>
  <c r="X788" i="254"/>
  <c r="W788" i="254"/>
  <c r="V788" i="254"/>
  <c r="U788" i="254"/>
  <c r="T788" i="254"/>
  <c r="S788" i="254"/>
  <c r="R788" i="254"/>
  <c r="Q788" i="254"/>
  <c r="P788" i="254"/>
  <c r="O788" i="254"/>
  <c r="N788" i="254"/>
  <c r="M788" i="254"/>
  <c r="L788" i="254"/>
  <c r="K788" i="254"/>
  <c r="J788" i="254"/>
  <c r="I788" i="254"/>
  <c r="H788" i="254"/>
  <c r="G788" i="254"/>
  <c r="F788" i="254"/>
  <c r="E788" i="254"/>
  <c r="D788" i="254"/>
  <c r="C788" i="254"/>
  <c r="B788" i="254"/>
  <c r="A788" i="254"/>
  <c r="AF787" i="254"/>
  <c r="AE787" i="254"/>
  <c r="AD787" i="254"/>
  <c r="AC787" i="254"/>
  <c r="AB787" i="254"/>
  <c r="AA787" i="254"/>
  <c r="Z787" i="254"/>
  <c r="Y787" i="254"/>
  <c r="X787" i="254"/>
  <c r="W787" i="254"/>
  <c r="V787" i="254"/>
  <c r="U787" i="254"/>
  <c r="T787" i="254"/>
  <c r="S787" i="254"/>
  <c r="R787" i="254"/>
  <c r="Q787" i="254"/>
  <c r="P787" i="254"/>
  <c r="O787" i="254"/>
  <c r="N787" i="254"/>
  <c r="M787" i="254"/>
  <c r="L787" i="254"/>
  <c r="K787" i="254"/>
  <c r="J787" i="254"/>
  <c r="I787" i="254"/>
  <c r="H787" i="254"/>
  <c r="G787" i="254"/>
  <c r="F787" i="254"/>
  <c r="E787" i="254"/>
  <c r="D787" i="254"/>
  <c r="C787" i="254"/>
  <c r="B787" i="254"/>
  <c r="A787" i="254"/>
  <c r="AF786" i="254"/>
  <c r="AE786" i="254"/>
  <c r="AD786" i="254"/>
  <c r="AC786" i="254"/>
  <c r="AB786" i="254"/>
  <c r="AA786" i="254"/>
  <c r="Z786" i="254"/>
  <c r="Y786" i="254"/>
  <c r="X786" i="254"/>
  <c r="W786" i="254"/>
  <c r="V786" i="254"/>
  <c r="U786" i="254"/>
  <c r="T786" i="254"/>
  <c r="S786" i="254"/>
  <c r="R786" i="254"/>
  <c r="Q786" i="254"/>
  <c r="P786" i="254"/>
  <c r="O786" i="254"/>
  <c r="N786" i="254"/>
  <c r="M786" i="254"/>
  <c r="L786" i="254"/>
  <c r="K786" i="254"/>
  <c r="J786" i="254"/>
  <c r="I786" i="254"/>
  <c r="H786" i="254"/>
  <c r="G786" i="254"/>
  <c r="F786" i="254"/>
  <c r="E786" i="254"/>
  <c r="D786" i="254"/>
  <c r="C786" i="254"/>
  <c r="B786" i="254"/>
  <c r="A786" i="254"/>
  <c r="AF785" i="254"/>
  <c r="AE785" i="254"/>
  <c r="AD785" i="254"/>
  <c r="AC785" i="254"/>
  <c r="AB785" i="254"/>
  <c r="AA785" i="254"/>
  <c r="Z785" i="254"/>
  <c r="Y785" i="254"/>
  <c r="X785" i="254"/>
  <c r="W785" i="254"/>
  <c r="V785" i="254"/>
  <c r="U785" i="254"/>
  <c r="T785" i="254"/>
  <c r="S785" i="254"/>
  <c r="R785" i="254"/>
  <c r="Q785" i="254"/>
  <c r="P785" i="254"/>
  <c r="O785" i="254"/>
  <c r="N785" i="254"/>
  <c r="M785" i="254"/>
  <c r="L785" i="254"/>
  <c r="K785" i="254"/>
  <c r="J785" i="254"/>
  <c r="I785" i="254"/>
  <c r="H785" i="254"/>
  <c r="G785" i="254"/>
  <c r="F785" i="254"/>
  <c r="E785" i="254"/>
  <c r="D785" i="254"/>
  <c r="C785" i="254"/>
  <c r="B785" i="254"/>
  <c r="A785" i="254"/>
  <c r="AF784" i="254"/>
  <c r="AE784" i="254"/>
  <c r="AD784" i="254"/>
  <c r="AC784" i="254"/>
  <c r="AB784" i="254"/>
  <c r="AA784" i="254"/>
  <c r="Z784" i="254"/>
  <c r="Y784" i="254"/>
  <c r="X784" i="254"/>
  <c r="W784" i="254"/>
  <c r="V784" i="254"/>
  <c r="U784" i="254"/>
  <c r="T784" i="254"/>
  <c r="S784" i="254"/>
  <c r="R784" i="254"/>
  <c r="Q784" i="254"/>
  <c r="P784" i="254"/>
  <c r="O784" i="254"/>
  <c r="N784" i="254"/>
  <c r="M784" i="254"/>
  <c r="L784" i="254"/>
  <c r="K784" i="254"/>
  <c r="J784" i="254"/>
  <c r="I784" i="254"/>
  <c r="H784" i="254"/>
  <c r="G784" i="254"/>
  <c r="F784" i="254"/>
  <c r="E784" i="254"/>
  <c r="D784" i="254"/>
  <c r="C784" i="254"/>
  <c r="B784" i="254"/>
  <c r="A784" i="254"/>
  <c r="AF783" i="254"/>
  <c r="AE783" i="254"/>
  <c r="AD783" i="254"/>
  <c r="AC783" i="254"/>
  <c r="AB783" i="254"/>
  <c r="AA783" i="254"/>
  <c r="Z783" i="254"/>
  <c r="Y783" i="254"/>
  <c r="X783" i="254"/>
  <c r="W783" i="254"/>
  <c r="V783" i="254"/>
  <c r="U783" i="254"/>
  <c r="T783" i="254"/>
  <c r="S783" i="254"/>
  <c r="R783" i="254"/>
  <c r="Q783" i="254"/>
  <c r="P783" i="254"/>
  <c r="O783" i="254"/>
  <c r="N783" i="254"/>
  <c r="M783" i="254"/>
  <c r="L783" i="254"/>
  <c r="K783" i="254"/>
  <c r="J783" i="254"/>
  <c r="I783" i="254"/>
  <c r="H783" i="254"/>
  <c r="G783" i="254"/>
  <c r="F783" i="254"/>
  <c r="E783" i="254"/>
  <c r="D783" i="254"/>
  <c r="C783" i="254"/>
  <c r="B783" i="254"/>
  <c r="A783" i="254"/>
  <c r="AF782" i="254"/>
  <c r="AE782" i="254"/>
  <c r="AD782" i="254"/>
  <c r="AC782" i="254"/>
  <c r="AB782" i="254"/>
  <c r="AA782" i="254"/>
  <c r="Z782" i="254"/>
  <c r="Y782" i="254"/>
  <c r="X782" i="254"/>
  <c r="W782" i="254"/>
  <c r="V782" i="254"/>
  <c r="U782" i="254"/>
  <c r="T782" i="254"/>
  <c r="S782" i="254"/>
  <c r="R782" i="254"/>
  <c r="Q782" i="254"/>
  <c r="P782" i="254"/>
  <c r="O782" i="254"/>
  <c r="N782" i="254"/>
  <c r="M782" i="254"/>
  <c r="L782" i="254"/>
  <c r="K782" i="254"/>
  <c r="J782" i="254"/>
  <c r="I782" i="254"/>
  <c r="H782" i="254"/>
  <c r="G782" i="254"/>
  <c r="F782" i="254"/>
  <c r="E782" i="254"/>
  <c r="D782" i="254"/>
  <c r="C782" i="254"/>
  <c r="B782" i="254"/>
  <c r="A782" i="254"/>
  <c r="AF781" i="254"/>
  <c r="AE781" i="254"/>
  <c r="AD781" i="254"/>
  <c r="AC781" i="254"/>
  <c r="AB781" i="254"/>
  <c r="AA781" i="254"/>
  <c r="Z781" i="254"/>
  <c r="Y781" i="254"/>
  <c r="X781" i="254"/>
  <c r="W781" i="254"/>
  <c r="V781" i="254"/>
  <c r="U781" i="254"/>
  <c r="T781" i="254"/>
  <c r="S781" i="254"/>
  <c r="R781" i="254"/>
  <c r="Q781" i="254"/>
  <c r="P781" i="254"/>
  <c r="O781" i="254"/>
  <c r="N781" i="254"/>
  <c r="M781" i="254"/>
  <c r="L781" i="254"/>
  <c r="K781" i="254"/>
  <c r="J781" i="254"/>
  <c r="I781" i="254"/>
  <c r="H781" i="254"/>
  <c r="G781" i="254"/>
  <c r="F781" i="254"/>
  <c r="E781" i="254"/>
  <c r="D781" i="254"/>
  <c r="C781" i="254"/>
  <c r="B781" i="254"/>
  <c r="A781" i="254"/>
  <c r="AF780" i="254"/>
  <c r="AE780" i="254"/>
  <c r="AD780" i="254"/>
  <c r="AC780" i="254"/>
  <c r="AB780" i="254"/>
  <c r="AA780" i="254"/>
  <c r="Z780" i="254"/>
  <c r="Y780" i="254"/>
  <c r="X780" i="254"/>
  <c r="W780" i="254"/>
  <c r="V780" i="254"/>
  <c r="U780" i="254"/>
  <c r="T780" i="254"/>
  <c r="S780" i="254"/>
  <c r="R780" i="254"/>
  <c r="Q780" i="254"/>
  <c r="P780" i="254"/>
  <c r="O780" i="254"/>
  <c r="N780" i="254"/>
  <c r="M780" i="254"/>
  <c r="L780" i="254"/>
  <c r="K780" i="254"/>
  <c r="J780" i="254"/>
  <c r="I780" i="254"/>
  <c r="H780" i="254"/>
  <c r="G780" i="254"/>
  <c r="F780" i="254"/>
  <c r="E780" i="254"/>
  <c r="D780" i="254"/>
  <c r="C780" i="254"/>
  <c r="B780" i="254"/>
  <c r="A780" i="254"/>
  <c r="AF779" i="254"/>
  <c r="AE779" i="254"/>
  <c r="AD779" i="254"/>
  <c r="AC779" i="254"/>
  <c r="AB779" i="254"/>
  <c r="AA779" i="254"/>
  <c r="Z779" i="254"/>
  <c r="Y779" i="254"/>
  <c r="X779" i="254"/>
  <c r="W779" i="254"/>
  <c r="V779" i="254"/>
  <c r="U779" i="254"/>
  <c r="T779" i="254"/>
  <c r="S779" i="254"/>
  <c r="R779" i="254"/>
  <c r="Q779" i="254"/>
  <c r="P779" i="254"/>
  <c r="O779" i="254"/>
  <c r="N779" i="254"/>
  <c r="M779" i="254"/>
  <c r="L779" i="254"/>
  <c r="K779" i="254"/>
  <c r="J779" i="254"/>
  <c r="I779" i="254"/>
  <c r="H779" i="254"/>
  <c r="G779" i="254"/>
  <c r="F779" i="254"/>
  <c r="E779" i="254"/>
  <c r="D779" i="254"/>
  <c r="C779" i="254"/>
  <c r="B779" i="254"/>
  <c r="A779" i="254"/>
  <c r="AF778" i="254"/>
  <c r="AE778" i="254"/>
  <c r="AD778" i="254"/>
  <c r="AC778" i="254"/>
  <c r="AB778" i="254"/>
  <c r="AA778" i="254"/>
  <c r="Z778" i="254"/>
  <c r="Y778" i="254"/>
  <c r="X778" i="254"/>
  <c r="W778" i="254"/>
  <c r="V778" i="254"/>
  <c r="U778" i="254"/>
  <c r="T778" i="254"/>
  <c r="S778" i="254"/>
  <c r="R778" i="254"/>
  <c r="Q778" i="254"/>
  <c r="P778" i="254"/>
  <c r="O778" i="254"/>
  <c r="N778" i="254"/>
  <c r="M778" i="254"/>
  <c r="L778" i="254"/>
  <c r="K778" i="254"/>
  <c r="J778" i="254"/>
  <c r="I778" i="254"/>
  <c r="H778" i="254"/>
  <c r="G778" i="254"/>
  <c r="F778" i="254"/>
  <c r="E778" i="254"/>
  <c r="D778" i="254"/>
  <c r="C778" i="254"/>
  <c r="B778" i="254"/>
  <c r="A778" i="254"/>
  <c r="AF777" i="254"/>
  <c r="AE777" i="254"/>
  <c r="AD777" i="254"/>
  <c r="AC777" i="254"/>
  <c r="AB777" i="254"/>
  <c r="AA777" i="254"/>
  <c r="Z777" i="254"/>
  <c r="Y777" i="254"/>
  <c r="X777" i="254"/>
  <c r="W777" i="254"/>
  <c r="V777" i="254"/>
  <c r="U777" i="254"/>
  <c r="T777" i="254"/>
  <c r="S777" i="254"/>
  <c r="R777" i="254"/>
  <c r="Q777" i="254"/>
  <c r="P777" i="254"/>
  <c r="O777" i="254"/>
  <c r="N777" i="254"/>
  <c r="M777" i="254"/>
  <c r="L777" i="254"/>
  <c r="K777" i="254"/>
  <c r="J777" i="254"/>
  <c r="I777" i="254"/>
  <c r="H777" i="254"/>
  <c r="G777" i="254"/>
  <c r="F777" i="254"/>
  <c r="E777" i="254"/>
  <c r="D777" i="254"/>
  <c r="C777" i="254"/>
  <c r="B777" i="254"/>
  <c r="A777" i="254"/>
  <c r="AF776" i="254"/>
  <c r="AE776" i="254"/>
  <c r="AD776" i="254"/>
  <c r="AC776" i="254"/>
  <c r="AB776" i="254"/>
  <c r="AA776" i="254"/>
  <c r="Z776" i="254"/>
  <c r="Y776" i="254"/>
  <c r="X776" i="254"/>
  <c r="W776" i="254"/>
  <c r="V776" i="254"/>
  <c r="U776" i="254"/>
  <c r="T776" i="254"/>
  <c r="S776" i="254"/>
  <c r="R776" i="254"/>
  <c r="Q776" i="254"/>
  <c r="P776" i="254"/>
  <c r="O776" i="254"/>
  <c r="N776" i="254"/>
  <c r="M776" i="254"/>
  <c r="L776" i="254"/>
  <c r="K776" i="254"/>
  <c r="J776" i="254"/>
  <c r="I776" i="254"/>
  <c r="H776" i="254"/>
  <c r="G776" i="254"/>
  <c r="F776" i="254"/>
  <c r="E776" i="254"/>
  <c r="D776" i="254"/>
  <c r="C776" i="254"/>
  <c r="B776" i="254"/>
  <c r="A776" i="254"/>
  <c r="AF775" i="254"/>
  <c r="AE775" i="254"/>
  <c r="AD775" i="254"/>
  <c r="AC775" i="254"/>
  <c r="AB775" i="254"/>
  <c r="AA775" i="254"/>
  <c r="Z775" i="254"/>
  <c r="Y775" i="254"/>
  <c r="X775" i="254"/>
  <c r="W775" i="254"/>
  <c r="V775" i="254"/>
  <c r="U775" i="254"/>
  <c r="T775" i="254"/>
  <c r="S775" i="254"/>
  <c r="R775" i="254"/>
  <c r="Q775" i="254"/>
  <c r="P775" i="254"/>
  <c r="O775" i="254"/>
  <c r="N775" i="254"/>
  <c r="M775" i="254"/>
  <c r="L775" i="254"/>
  <c r="K775" i="254"/>
  <c r="J775" i="254"/>
  <c r="I775" i="254"/>
  <c r="H775" i="254"/>
  <c r="G775" i="254"/>
  <c r="F775" i="254"/>
  <c r="E775" i="254"/>
  <c r="D775" i="254"/>
  <c r="C775" i="254"/>
  <c r="B775" i="254"/>
  <c r="A775" i="254"/>
  <c r="AF774" i="254"/>
  <c r="AE774" i="254"/>
  <c r="AD774" i="254"/>
  <c r="AC774" i="254"/>
  <c r="AB774" i="254"/>
  <c r="AA774" i="254"/>
  <c r="Z774" i="254"/>
  <c r="Y774" i="254"/>
  <c r="X774" i="254"/>
  <c r="W774" i="254"/>
  <c r="V774" i="254"/>
  <c r="U774" i="254"/>
  <c r="T774" i="254"/>
  <c r="S774" i="254"/>
  <c r="R774" i="254"/>
  <c r="Q774" i="254"/>
  <c r="P774" i="254"/>
  <c r="O774" i="254"/>
  <c r="N774" i="254"/>
  <c r="M774" i="254"/>
  <c r="L774" i="254"/>
  <c r="K774" i="254"/>
  <c r="J774" i="254"/>
  <c r="I774" i="254"/>
  <c r="H774" i="254"/>
  <c r="G774" i="254"/>
  <c r="F774" i="254"/>
  <c r="E774" i="254"/>
  <c r="D774" i="254"/>
  <c r="C774" i="254"/>
  <c r="B774" i="254"/>
  <c r="A774" i="254"/>
  <c r="AF773" i="254"/>
  <c r="AE773" i="254"/>
  <c r="AD773" i="254"/>
  <c r="AC773" i="254"/>
  <c r="AB773" i="254"/>
  <c r="AA773" i="254"/>
  <c r="Z773" i="254"/>
  <c r="Y773" i="254"/>
  <c r="X773" i="254"/>
  <c r="W773" i="254"/>
  <c r="V773" i="254"/>
  <c r="U773" i="254"/>
  <c r="T773" i="254"/>
  <c r="S773" i="254"/>
  <c r="R773" i="254"/>
  <c r="Q773" i="254"/>
  <c r="P773" i="254"/>
  <c r="O773" i="254"/>
  <c r="N773" i="254"/>
  <c r="M773" i="254"/>
  <c r="L773" i="254"/>
  <c r="K773" i="254"/>
  <c r="J773" i="254"/>
  <c r="I773" i="254"/>
  <c r="H773" i="254"/>
  <c r="G773" i="254"/>
  <c r="F773" i="254"/>
  <c r="E773" i="254"/>
  <c r="D773" i="254"/>
  <c r="C773" i="254"/>
  <c r="B773" i="254"/>
  <c r="A773" i="254"/>
  <c r="AF772" i="254"/>
  <c r="AE772" i="254"/>
  <c r="AD772" i="254"/>
  <c r="AC772" i="254"/>
  <c r="AB772" i="254"/>
  <c r="AA772" i="254"/>
  <c r="Z772" i="254"/>
  <c r="Y772" i="254"/>
  <c r="X772" i="254"/>
  <c r="W772" i="254"/>
  <c r="V772" i="254"/>
  <c r="U772" i="254"/>
  <c r="T772" i="254"/>
  <c r="S772" i="254"/>
  <c r="R772" i="254"/>
  <c r="Q772" i="254"/>
  <c r="P772" i="254"/>
  <c r="O772" i="254"/>
  <c r="N772" i="254"/>
  <c r="M772" i="254"/>
  <c r="L772" i="254"/>
  <c r="K772" i="254"/>
  <c r="J772" i="254"/>
  <c r="I772" i="254"/>
  <c r="H772" i="254"/>
  <c r="G772" i="254"/>
  <c r="F772" i="254"/>
  <c r="E772" i="254"/>
  <c r="D772" i="254"/>
  <c r="C772" i="254"/>
  <c r="B772" i="254"/>
  <c r="A772" i="254"/>
  <c r="AF771" i="254"/>
  <c r="AE771" i="254"/>
  <c r="AD771" i="254"/>
  <c r="AC771" i="254"/>
  <c r="AB771" i="254"/>
  <c r="AA771" i="254"/>
  <c r="Z771" i="254"/>
  <c r="Y771" i="254"/>
  <c r="X771" i="254"/>
  <c r="W771" i="254"/>
  <c r="V771" i="254"/>
  <c r="U771" i="254"/>
  <c r="T771" i="254"/>
  <c r="S771" i="254"/>
  <c r="R771" i="254"/>
  <c r="Q771" i="254"/>
  <c r="P771" i="254"/>
  <c r="O771" i="254"/>
  <c r="N771" i="254"/>
  <c r="M771" i="254"/>
  <c r="L771" i="254"/>
  <c r="K771" i="254"/>
  <c r="J771" i="254"/>
  <c r="I771" i="254"/>
  <c r="H771" i="254"/>
  <c r="G771" i="254"/>
  <c r="F771" i="254"/>
  <c r="E771" i="254"/>
  <c r="D771" i="254"/>
  <c r="C771" i="254"/>
  <c r="B771" i="254"/>
  <c r="A771" i="254"/>
  <c r="AF770" i="254"/>
  <c r="AE770" i="254"/>
  <c r="AD770" i="254"/>
  <c r="AC770" i="254"/>
  <c r="AB770" i="254"/>
  <c r="AA770" i="254"/>
  <c r="Z770" i="254"/>
  <c r="Y770" i="254"/>
  <c r="X770" i="254"/>
  <c r="W770" i="254"/>
  <c r="V770" i="254"/>
  <c r="U770" i="254"/>
  <c r="T770" i="254"/>
  <c r="S770" i="254"/>
  <c r="R770" i="254"/>
  <c r="Q770" i="254"/>
  <c r="P770" i="254"/>
  <c r="O770" i="254"/>
  <c r="N770" i="254"/>
  <c r="M770" i="254"/>
  <c r="L770" i="254"/>
  <c r="K770" i="254"/>
  <c r="J770" i="254"/>
  <c r="I770" i="254"/>
  <c r="H770" i="254"/>
  <c r="G770" i="254"/>
  <c r="F770" i="254"/>
  <c r="E770" i="254"/>
  <c r="D770" i="254"/>
  <c r="C770" i="254"/>
  <c r="B770" i="254"/>
  <c r="A770" i="254"/>
  <c r="AF769" i="254"/>
  <c r="AE769" i="254"/>
  <c r="AD769" i="254"/>
  <c r="AC769" i="254"/>
  <c r="AB769" i="254"/>
  <c r="AA769" i="254"/>
  <c r="Z769" i="254"/>
  <c r="Y769" i="254"/>
  <c r="X769" i="254"/>
  <c r="W769" i="254"/>
  <c r="V769" i="254"/>
  <c r="U769" i="254"/>
  <c r="T769" i="254"/>
  <c r="S769" i="254"/>
  <c r="R769" i="254"/>
  <c r="Q769" i="254"/>
  <c r="P769" i="254"/>
  <c r="O769" i="254"/>
  <c r="N769" i="254"/>
  <c r="M769" i="254"/>
  <c r="L769" i="254"/>
  <c r="K769" i="254"/>
  <c r="J769" i="254"/>
  <c r="I769" i="254"/>
  <c r="H769" i="254"/>
  <c r="G769" i="254"/>
  <c r="F769" i="254"/>
  <c r="E769" i="254"/>
  <c r="D769" i="254"/>
  <c r="C769" i="254"/>
  <c r="B769" i="254"/>
  <c r="A769" i="254"/>
  <c r="AF768" i="254"/>
  <c r="AE768" i="254"/>
  <c r="AD768" i="254"/>
  <c r="AC768" i="254"/>
  <c r="AB768" i="254"/>
  <c r="AA768" i="254"/>
  <c r="Z768" i="254"/>
  <c r="Y768" i="254"/>
  <c r="X768" i="254"/>
  <c r="W768" i="254"/>
  <c r="V768" i="254"/>
  <c r="U768" i="254"/>
  <c r="T768" i="254"/>
  <c r="S768" i="254"/>
  <c r="R768" i="254"/>
  <c r="Q768" i="254"/>
  <c r="P768" i="254"/>
  <c r="O768" i="254"/>
  <c r="N768" i="254"/>
  <c r="M768" i="254"/>
  <c r="L768" i="254"/>
  <c r="K768" i="254"/>
  <c r="J768" i="254"/>
  <c r="I768" i="254"/>
  <c r="H768" i="254"/>
  <c r="G768" i="254"/>
  <c r="F768" i="254"/>
  <c r="E768" i="254"/>
  <c r="D768" i="254"/>
  <c r="C768" i="254"/>
  <c r="B768" i="254"/>
  <c r="A768" i="254"/>
  <c r="AF767" i="254"/>
  <c r="AE767" i="254"/>
  <c r="AD767" i="254"/>
  <c r="AC767" i="254"/>
  <c r="AB767" i="254"/>
  <c r="AA767" i="254"/>
  <c r="Z767" i="254"/>
  <c r="Y767" i="254"/>
  <c r="X767" i="254"/>
  <c r="W767" i="254"/>
  <c r="V767" i="254"/>
  <c r="U767" i="254"/>
  <c r="T767" i="254"/>
  <c r="S767" i="254"/>
  <c r="R767" i="254"/>
  <c r="Q767" i="254"/>
  <c r="P767" i="254"/>
  <c r="O767" i="254"/>
  <c r="N767" i="254"/>
  <c r="M767" i="254"/>
  <c r="L767" i="254"/>
  <c r="K767" i="254"/>
  <c r="J767" i="254"/>
  <c r="I767" i="254"/>
  <c r="H767" i="254"/>
  <c r="G767" i="254"/>
  <c r="F767" i="254"/>
  <c r="E767" i="254"/>
  <c r="D767" i="254"/>
  <c r="C767" i="254"/>
  <c r="B767" i="254"/>
  <c r="A767" i="254"/>
  <c r="AF766" i="254"/>
  <c r="AE766" i="254"/>
  <c r="AD766" i="254"/>
  <c r="AC766" i="254"/>
  <c r="AB766" i="254"/>
  <c r="AA766" i="254"/>
  <c r="Z766" i="254"/>
  <c r="Y766" i="254"/>
  <c r="X766" i="254"/>
  <c r="W766" i="254"/>
  <c r="V766" i="254"/>
  <c r="U766" i="254"/>
  <c r="T766" i="254"/>
  <c r="S766" i="254"/>
  <c r="R766" i="254"/>
  <c r="Q766" i="254"/>
  <c r="P766" i="254"/>
  <c r="O766" i="254"/>
  <c r="N766" i="254"/>
  <c r="M766" i="254"/>
  <c r="L766" i="254"/>
  <c r="K766" i="254"/>
  <c r="J766" i="254"/>
  <c r="I766" i="254"/>
  <c r="H766" i="254"/>
  <c r="G766" i="254"/>
  <c r="F766" i="254"/>
  <c r="E766" i="254"/>
  <c r="D766" i="254"/>
  <c r="C766" i="254"/>
  <c r="B766" i="254"/>
  <c r="A766" i="254"/>
  <c r="AF765" i="254"/>
  <c r="AE765" i="254"/>
  <c r="AD765" i="254"/>
  <c r="AC765" i="254"/>
  <c r="AB765" i="254"/>
  <c r="AA765" i="254"/>
  <c r="Z765" i="254"/>
  <c r="Y765" i="254"/>
  <c r="X765" i="254"/>
  <c r="W765" i="254"/>
  <c r="V765" i="254"/>
  <c r="U765" i="254"/>
  <c r="T765" i="254"/>
  <c r="S765" i="254"/>
  <c r="R765" i="254"/>
  <c r="Q765" i="254"/>
  <c r="P765" i="254"/>
  <c r="O765" i="254"/>
  <c r="N765" i="254"/>
  <c r="M765" i="254"/>
  <c r="L765" i="254"/>
  <c r="K765" i="254"/>
  <c r="J765" i="254"/>
  <c r="I765" i="254"/>
  <c r="H765" i="254"/>
  <c r="G765" i="254"/>
  <c r="F765" i="254"/>
  <c r="E765" i="254"/>
  <c r="D765" i="254"/>
  <c r="C765" i="254"/>
  <c r="B765" i="254"/>
  <c r="A765" i="254"/>
  <c r="AF764" i="254"/>
  <c r="AE764" i="254"/>
  <c r="AD764" i="254"/>
  <c r="AC764" i="254"/>
  <c r="AB764" i="254"/>
  <c r="AA764" i="254"/>
  <c r="Z764" i="254"/>
  <c r="Y764" i="254"/>
  <c r="X764" i="254"/>
  <c r="W764" i="254"/>
  <c r="V764" i="254"/>
  <c r="U764" i="254"/>
  <c r="T764" i="254"/>
  <c r="S764" i="254"/>
  <c r="R764" i="254"/>
  <c r="Q764" i="254"/>
  <c r="P764" i="254"/>
  <c r="O764" i="254"/>
  <c r="N764" i="254"/>
  <c r="M764" i="254"/>
  <c r="L764" i="254"/>
  <c r="K764" i="254"/>
  <c r="J764" i="254"/>
  <c r="I764" i="254"/>
  <c r="H764" i="254"/>
  <c r="G764" i="254"/>
  <c r="F764" i="254"/>
  <c r="E764" i="254"/>
  <c r="D764" i="254"/>
  <c r="C764" i="254"/>
  <c r="B764" i="254"/>
  <c r="A764" i="254"/>
  <c r="AF763" i="254"/>
  <c r="AE763" i="254"/>
  <c r="AD763" i="254"/>
  <c r="AC763" i="254"/>
  <c r="AB763" i="254"/>
  <c r="AA763" i="254"/>
  <c r="Z763" i="254"/>
  <c r="Y763" i="254"/>
  <c r="X763" i="254"/>
  <c r="W763" i="254"/>
  <c r="V763" i="254"/>
  <c r="U763" i="254"/>
  <c r="T763" i="254"/>
  <c r="S763" i="254"/>
  <c r="R763" i="254"/>
  <c r="Q763" i="254"/>
  <c r="P763" i="254"/>
  <c r="O763" i="254"/>
  <c r="N763" i="254"/>
  <c r="M763" i="254"/>
  <c r="L763" i="254"/>
  <c r="K763" i="254"/>
  <c r="J763" i="254"/>
  <c r="I763" i="254"/>
  <c r="H763" i="254"/>
  <c r="G763" i="254"/>
  <c r="F763" i="254"/>
  <c r="E763" i="254"/>
  <c r="D763" i="254"/>
  <c r="C763" i="254"/>
  <c r="B763" i="254"/>
  <c r="A763" i="254"/>
  <c r="AF762" i="254"/>
  <c r="AE762" i="254"/>
  <c r="AD762" i="254"/>
  <c r="AC762" i="254"/>
  <c r="AB762" i="254"/>
  <c r="AA762" i="254"/>
  <c r="Z762" i="254"/>
  <c r="Y762" i="254"/>
  <c r="X762" i="254"/>
  <c r="W762" i="254"/>
  <c r="V762" i="254"/>
  <c r="U762" i="254"/>
  <c r="T762" i="254"/>
  <c r="S762" i="254"/>
  <c r="R762" i="254"/>
  <c r="Q762" i="254"/>
  <c r="P762" i="254"/>
  <c r="O762" i="254"/>
  <c r="N762" i="254"/>
  <c r="M762" i="254"/>
  <c r="L762" i="254"/>
  <c r="K762" i="254"/>
  <c r="J762" i="254"/>
  <c r="I762" i="254"/>
  <c r="H762" i="254"/>
  <c r="G762" i="254"/>
  <c r="F762" i="254"/>
  <c r="E762" i="254"/>
  <c r="D762" i="254"/>
  <c r="C762" i="254"/>
  <c r="B762" i="254"/>
  <c r="A762" i="254"/>
  <c r="AF761" i="254"/>
  <c r="AE761" i="254"/>
  <c r="AD761" i="254"/>
  <c r="AC761" i="254"/>
  <c r="AB761" i="254"/>
  <c r="AA761" i="254"/>
  <c r="Z761" i="254"/>
  <c r="Y761" i="254"/>
  <c r="X761" i="254"/>
  <c r="W761" i="254"/>
  <c r="V761" i="254"/>
  <c r="U761" i="254"/>
  <c r="T761" i="254"/>
  <c r="S761" i="254"/>
  <c r="R761" i="254"/>
  <c r="Q761" i="254"/>
  <c r="P761" i="254"/>
  <c r="O761" i="254"/>
  <c r="N761" i="254"/>
  <c r="M761" i="254"/>
  <c r="L761" i="254"/>
  <c r="K761" i="254"/>
  <c r="J761" i="254"/>
  <c r="I761" i="254"/>
  <c r="H761" i="254"/>
  <c r="G761" i="254"/>
  <c r="F761" i="254"/>
  <c r="E761" i="254"/>
  <c r="D761" i="254"/>
  <c r="C761" i="254"/>
  <c r="B761" i="254"/>
  <c r="A761" i="254"/>
  <c r="AF760" i="254"/>
  <c r="AE760" i="254"/>
  <c r="AD760" i="254"/>
  <c r="AC760" i="254"/>
  <c r="AB760" i="254"/>
  <c r="AA760" i="254"/>
  <c r="Z760" i="254"/>
  <c r="Y760" i="254"/>
  <c r="X760" i="254"/>
  <c r="W760" i="254"/>
  <c r="V760" i="254"/>
  <c r="U760" i="254"/>
  <c r="T760" i="254"/>
  <c r="S760" i="254"/>
  <c r="R760" i="254"/>
  <c r="Q760" i="254"/>
  <c r="P760" i="254"/>
  <c r="O760" i="254"/>
  <c r="N760" i="254"/>
  <c r="M760" i="254"/>
  <c r="L760" i="254"/>
  <c r="K760" i="254"/>
  <c r="J760" i="254"/>
  <c r="I760" i="254"/>
  <c r="H760" i="254"/>
  <c r="G760" i="254"/>
  <c r="F760" i="254"/>
  <c r="E760" i="254"/>
  <c r="D760" i="254"/>
  <c r="C760" i="254"/>
  <c r="B760" i="254"/>
  <c r="A760" i="254"/>
  <c r="AF759" i="254"/>
  <c r="AE759" i="254"/>
  <c r="AD759" i="254"/>
  <c r="AC759" i="254"/>
  <c r="AB759" i="254"/>
  <c r="AA759" i="254"/>
  <c r="Z759" i="254"/>
  <c r="Y759" i="254"/>
  <c r="X759" i="254"/>
  <c r="W759" i="254"/>
  <c r="V759" i="254"/>
  <c r="U759" i="254"/>
  <c r="T759" i="254"/>
  <c r="S759" i="254"/>
  <c r="R759" i="254"/>
  <c r="Q759" i="254"/>
  <c r="P759" i="254"/>
  <c r="O759" i="254"/>
  <c r="N759" i="254"/>
  <c r="M759" i="254"/>
  <c r="L759" i="254"/>
  <c r="K759" i="254"/>
  <c r="J759" i="254"/>
  <c r="I759" i="254"/>
  <c r="H759" i="254"/>
  <c r="G759" i="254"/>
  <c r="F759" i="254"/>
  <c r="E759" i="254"/>
  <c r="D759" i="254"/>
  <c r="C759" i="254"/>
  <c r="B759" i="254"/>
  <c r="A759" i="254"/>
  <c r="AF758" i="254"/>
  <c r="AE758" i="254"/>
  <c r="AD758" i="254"/>
  <c r="AC758" i="254"/>
  <c r="AB758" i="254"/>
  <c r="AA758" i="254"/>
  <c r="Z758" i="254"/>
  <c r="Y758" i="254"/>
  <c r="X758" i="254"/>
  <c r="W758" i="254"/>
  <c r="V758" i="254"/>
  <c r="U758" i="254"/>
  <c r="T758" i="254"/>
  <c r="S758" i="254"/>
  <c r="R758" i="254"/>
  <c r="Q758" i="254"/>
  <c r="P758" i="254"/>
  <c r="O758" i="254"/>
  <c r="N758" i="254"/>
  <c r="M758" i="254"/>
  <c r="L758" i="254"/>
  <c r="K758" i="254"/>
  <c r="J758" i="254"/>
  <c r="I758" i="254"/>
  <c r="H758" i="254"/>
  <c r="G758" i="254"/>
  <c r="F758" i="254"/>
  <c r="E758" i="254"/>
  <c r="D758" i="254"/>
  <c r="C758" i="254"/>
  <c r="B758" i="254"/>
  <c r="A758" i="254"/>
  <c r="AF757" i="254"/>
  <c r="AE757" i="254"/>
  <c r="AD757" i="254"/>
  <c r="AC757" i="254"/>
  <c r="AB757" i="254"/>
  <c r="AA757" i="254"/>
  <c r="Z757" i="254"/>
  <c r="Y757" i="254"/>
  <c r="X757" i="254"/>
  <c r="W757" i="254"/>
  <c r="V757" i="254"/>
  <c r="U757" i="254"/>
  <c r="T757" i="254"/>
  <c r="S757" i="254"/>
  <c r="R757" i="254"/>
  <c r="Q757" i="254"/>
  <c r="P757" i="254"/>
  <c r="O757" i="254"/>
  <c r="N757" i="254"/>
  <c r="M757" i="254"/>
  <c r="L757" i="254"/>
  <c r="K757" i="254"/>
  <c r="J757" i="254"/>
  <c r="I757" i="254"/>
  <c r="H757" i="254"/>
  <c r="G757" i="254"/>
  <c r="F757" i="254"/>
  <c r="E757" i="254"/>
  <c r="D757" i="254"/>
  <c r="C757" i="254"/>
  <c r="B757" i="254"/>
  <c r="A757" i="254"/>
  <c r="AF756" i="254"/>
  <c r="AE756" i="254"/>
  <c r="AD756" i="254"/>
  <c r="AC756" i="254"/>
  <c r="AB756" i="254"/>
  <c r="AA756" i="254"/>
  <c r="Z756" i="254"/>
  <c r="Y756" i="254"/>
  <c r="X756" i="254"/>
  <c r="W756" i="254"/>
  <c r="V756" i="254"/>
  <c r="U756" i="254"/>
  <c r="T756" i="254"/>
  <c r="S756" i="254"/>
  <c r="R756" i="254"/>
  <c r="Q756" i="254"/>
  <c r="P756" i="254"/>
  <c r="O756" i="254"/>
  <c r="N756" i="254"/>
  <c r="M756" i="254"/>
  <c r="L756" i="254"/>
  <c r="K756" i="254"/>
  <c r="J756" i="254"/>
  <c r="I756" i="254"/>
  <c r="H756" i="254"/>
  <c r="G756" i="254"/>
  <c r="F756" i="254"/>
  <c r="E756" i="254"/>
  <c r="D756" i="254"/>
  <c r="C756" i="254"/>
  <c r="B756" i="254"/>
  <c r="A756" i="254"/>
  <c r="AF755" i="254"/>
  <c r="AE755" i="254"/>
  <c r="AD755" i="254"/>
  <c r="AC755" i="254"/>
  <c r="AB755" i="254"/>
  <c r="AA755" i="254"/>
  <c r="Z755" i="254"/>
  <c r="Y755" i="254"/>
  <c r="X755" i="254"/>
  <c r="W755" i="254"/>
  <c r="V755" i="254"/>
  <c r="U755" i="254"/>
  <c r="T755" i="254"/>
  <c r="S755" i="254"/>
  <c r="R755" i="254"/>
  <c r="Q755" i="254"/>
  <c r="P755" i="254"/>
  <c r="O755" i="254"/>
  <c r="N755" i="254"/>
  <c r="M755" i="254"/>
  <c r="L755" i="254"/>
  <c r="K755" i="254"/>
  <c r="J755" i="254"/>
  <c r="I755" i="254"/>
  <c r="H755" i="254"/>
  <c r="G755" i="254"/>
  <c r="F755" i="254"/>
  <c r="E755" i="254"/>
  <c r="D755" i="254"/>
  <c r="C755" i="254"/>
  <c r="B755" i="254"/>
  <c r="A755" i="254"/>
  <c r="AF754" i="254"/>
  <c r="AE754" i="254"/>
  <c r="AD754" i="254"/>
  <c r="AC754" i="254"/>
  <c r="AB754" i="254"/>
  <c r="AA754" i="254"/>
  <c r="Z754" i="254"/>
  <c r="Y754" i="254"/>
  <c r="X754" i="254"/>
  <c r="W754" i="254"/>
  <c r="V754" i="254"/>
  <c r="U754" i="254"/>
  <c r="T754" i="254"/>
  <c r="S754" i="254"/>
  <c r="R754" i="254"/>
  <c r="Q754" i="254"/>
  <c r="P754" i="254"/>
  <c r="O754" i="254"/>
  <c r="N754" i="254"/>
  <c r="M754" i="254"/>
  <c r="L754" i="254"/>
  <c r="K754" i="254"/>
  <c r="J754" i="254"/>
  <c r="I754" i="254"/>
  <c r="H754" i="254"/>
  <c r="G754" i="254"/>
  <c r="F754" i="254"/>
  <c r="E754" i="254"/>
  <c r="D754" i="254"/>
  <c r="C754" i="254"/>
  <c r="B754" i="254"/>
  <c r="A754" i="254"/>
  <c r="AF753" i="254"/>
  <c r="AE753" i="254"/>
  <c r="AD753" i="254"/>
  <c r="AC753" i="254"/>
  <c r="AB753" i="254"/>
  <c r="AA753" i="254"/>
  <c r="Z753" i="254"/>
  <c r="Y753" i="254"/>
  <c r="X753" i="254"/>
  <c r="W753" i="254"/>
  <c r="V753" i="254"/>
  <c r="U753" i="254"/>
  <c r="T753" i="254"/>
  <c r="S753" i="254"/>
  <c r="R753" i="254"/>
  <c r="Q753" i="254"/>
  <c r="P753" i="254"/>
  <c r="O753" i="254"/>
  <c r="N753" i="254"/>
  <c r="M753" i="254"/>
  <c r="L753" i="254"/>
  <c r="K753" i="254"/>
  <c r="J753" i="254"/>
  <c r="I753" i="254"/>
  <c r="H753" i="254"/>
  <c r="G753" i="254"/>
  <c r="F753" i="254"/>
  <c r="E753" i="254"/>
  <c r="D753" i="254"/>
  <c r="C753" i="254"/>
  <c r="B753" i="254"/>
  <c r="A753" i="254"/>
  <c r="AF752" i="254"/>
  <c r="AE752" i="254"/>
  <c r="AD752" i="254"/>
  <c r="AC752" i="254"/>
  <c r="AB752" i="254"/>
  <c r="AA752" i="254"/>
  <c r="Z752" i="254"/>
  <c r="Y752" i="254"/>
  <c r="X752" i="254"/>
  <c r="W752" i="254"/>
  <c r="V752" i="254"/>
  <c r="U752" i="254"/>
  <c r="T752" i="254"/>
  <c r="S752" i="254"/>
  <c r="R752" i="254"/>
  <c r="Q752" i="254"/>
  <c r="P752" i="254"/>
  <c r="O752" i="254"/>
  <c r="N752" i="254"/>
  <c r="M752" i="254"/>
  <c r="L752" i="254"/>
  <c r="K752" i="254"/>
  <c r="J752" i="254"/>
  <c r="I752" i="254"/>
  <c r="H752" i="254"/>
  <c r="G752" i="254"/>
  <c r="F752" i="254"/>
  <c r="E752" i="254"/>
  <c r="D752" i="254"/>
  <c r="C752" i="254"/>
  <c r="B752" i="254"/>
  <c r="A752" i="254"/>
  <c r="AF751" i="254"/>
  <c r="AE751" i="254"/>
  <c r="AD751" i="254"/>
  <c r="AC751" i="254"/>
  <c r="AB751" i="254"/>
  <c r="AA751" i="254"/>
  <c r="Z751" i="254"/>
  <c r="Y751" i="254"/>
  <c r="X751" i="254"/>
  <c r="W751" i="254"/>
  <c r="V751" i="254"/>
  <c r="U751" i="254"/>
  <c r="T751" i="254"/>
  <c r="S751" i="254"/>
  <c r="R751" i="254"/>
  <c r="Q751" i="254"/>
  <c r="P751" i="254"/>
  <c r="O751" i="254"/>
  <c r="N751" i="254"/>
  <c r="M751" i="254"/>
  <c r="L751" i="254"/>
  <c r="K751" i="254"/>
  <c r="J751" i="254"/>
  <c r="I751" i="254"/>
  <c r="H751" i="254"/>
  <c r="G751" i="254"/>
  <c r="F751" i="254"/>
  <c r="E751" i="254"/>
  <c r="D751" i="254"/>
  <c r="C751" i="254"/>
  <c r="B751" i="254"/>
  <c r="A751" i="254"/>
  <c r="AF750" i="254"/>
  <c r="AE750" i="254"/>
  <c r="AD750" i="254"/>
  <c r="AC750" i="254"/>
  <c r="AB750" i="254"/>
  <c r="AA750" i="254"/>
  <c r="Z750" i="254"/>
  <c r="Y750" i="254"/>
  <c r="X750" i="254"/>
  <c r="W750" i="254"/>
  <c r="V750" i="254"/>
  <c r="U750" i="254"/>
  <c r="T750" i="254"/>
  <c r="S750" i="254"/>
  <c r="R750" i="254"/>
  <c r="Q750" i="254"/>
  <c r="P750" i="254"/>
  <c r="O750" i="254"/>
  <c r="N750" i="254"/>
  <c r="M750" i="254"/>
  <c r="L750" i="254"/>
  <c r="K750" i="254"/>
  <c r="J750" i="254"/>
  <c r="I750" i="254"/>
  <c r="H750" i="254"/>
  <c r="G750" i="254"/>
  <c r="F750" i="254"/>
  <c r="E750" i="254"/>
  <c r="D750" i="254"/>
  <c r="C750" i="254"/>
  <c r="B750" i="254"/>
  <c r="A750" i="254"/>
  <c r="AF749" i="254"/>
  <c r="AE749" i="254"/>
  <c r="AD749" i="254"/>
  <c r="AC749" i="254"/>
  <c r="AB749" i="254"/>
  <c r="AA749" i="254"/>
  <c r="Z749" i="254"/>
  <c r="Y749" i="254"/>
  <c r="X749" i="254"/>
  <c r="W749" i="254"/>
  <c r="V749" i="254"/>
  <c r="U749" i="254"/>
  <c r="T749" i="254"/>
  <c r="S749" i="254"/>
  <c r="R749" i="254"/>
  <c r="Q749" i="254"/>
  <c r="P749" i="254"/>
  <c r="O749" i="254"/>
  <c r="N749" i="254"/>
  <c r="M749" i="254"/>
  <c r="L749" i="254"/>
  <c r="K749" i="254"/>
  <c r="J749" i="254"/>
  <c r="I749" i="254"/>
  <c r="H749" i="254"/>
  <c r="G749" i="254"/>
  <c r="F749" i="254"/>
  <c r="E749" i="254"/>
  <c r="D749" i="254"/>
  <c r="C749" i="254"/>
  <c r="B749" i="254"/>
  <c r="A749" i="254"/>
  <c r="AF748" i="254"/>
  <c r="AE748" i="254"/>
  <c r="AD748" i="254"/>
  <c r="AC748" i="254"/>
  <c r="AB748" i="254"/>
  <c r="AA748" i="254"/>
  <c r="Z748" i="254"/>
  <c r="Y748" i="254"/>
  <c r="X748" i="254"/>
  <c r="W748" i="254"/>
  <c r="V748" i="254"/>
  <c r="U748" i="254"/>
  <c r="T748" i="254"/>
  <c r="S748" i="254"/>
  <c r="R748" i="254"/>
  <c r="Q748" i="254"/>
  <c r="P748" i="254"/>
  <c r="O748" i="254"/>
  <c r="N748" i="254"/>
  <c r="M748" i="254"/>
  <c r="L748" i="254"/>
  <c r="K748" i="254"/>
  <c r="J748" i="254"/>
  <c r="I748" i="254"/>
  <c r="H748" i="254"/>
  <c r="G748" i="254"/>
  <c r="F748" i="254"/>
  <c r="E748" i="254"/>
  <c r="D748" i="254"/>
  <c r="C748" i="254"/>
  <c r="B748" i="254"/>
  <c r="A748" i="254"/>
  <c r="AF747" i="254"/>
  <c r="AE747" i="254"/>
  <c r="AD747" i="254"/>
  <c r="AC747" i="254"/>
  <c r="AB747" i="254"/>
  <c r="AA747" i="254"/>
  <c r="Z747" i="254"/>
  <c r="Y747" i="254"/>
  <c r="X747" i="254"/>
  <c r="W747" i="254"/>
  <c r="V747" i="254"/>
  <c r="U747" i="254"/>
  <c r="T747" i="254"/>
  <c r="S747" i="254"/>
  <c r="R747" i="254"/>
  <c r="Q747" i="254"/>
  <c r="P747" i="254"/>
  <c r="O747" i="254"/>
  <c r="N747" i="254"/>
  <c r="M747" i="254"/>
  <c r="L747" i="254"/>
  <c r="K747" i="254"/>
  <c r="J747" i="254"/>
  <c r="I747" i="254"/>
  <c r="H747" i="254"/>
  <c r="G747" i="254"/>
  <c r="F747" i="254"/>
  <c r="E747" i="254"/>
  <c r="D747" i="254"/>
  <c r="C747" i="254"/>
  <c r="B747" i="254"/>
  <c r="A747" i="254"/>
  <c r="AF746" i="254"/>
  <c r="AE746" i="254"/>
  <c r="AD746" i="254"/>
  <c r="AC746" i="254"/>
  <c r="AB746" i="254"/>
  <c r="AA746" i="254"/>
  <c r="Z746" i="254"/>
  <c r="Y746" i="254"/>
  <c r="X746" i="254"/>
  <c r="W746" i="254"/>
  <c r="V746" i="254"/>
  <c r="U746" i="254"/>
  <c r="T746" i="254"/>
  <c r="S746" i="254"/>
  <c r="R746" i="254"/>
  <c r="Q746" i="254"/>
  <c r="P746" i="254"/>
  <c r="O746" i="254"/>
  <c r="N746" i="254"/>
  <c r="M746" i="254"/>
  <c r="L746" i="254"/>
  <c r="K746" i="254"/>
  <c r="J746" i="254"/>
  <c r="I746" i="254"/>
  <c r="H746" i="254"/>
  <c r="G746" i="254"/>
  <c r="F746" i="254"/>
  <c r="E746" i="254"/>
  <c r="D746" i="254"/>
  <c r="C746" i="254"/>
  <c r="B746" i="254"/>
  <c r="A746" i="254"/>
  <c r="AF745" i="254"/>
  <c r="AE745" i="254"/>
  <c r="AD745" i="254"/>
  <c r="AC745" i="254"/>
  <c r="AB745" i="254"/>
  <c r="AA745" i="254"/>
  <c r="Z745" i="254"/>
  <c r="Y745" i="254"/>
  <c r="X745" i="254"/>
  <c r="W745" i="254"/>
  <c r="V745" i="254"/>
  <c r="U745" i="254"/>
  <c r="T745" i="254"/>
  <c r="S745" i="254"/>
  <c r="R745" i="254"/>
  <c r="Q745" i="254"/>
  <c r="P745" i="254"/>
  <c r="O745" i="254"/>
  <c r="N745" i="254"/>
  <c r="M745" i="254"/>
  <c r="L745" i="254"/>
  <c r="K745" i="254"/>
  <c r="J745" i="254"/>
  <c r="I745" i="254"/>
  <c r="H745" i="254"/>
  <c r="G745" i="254"/>
  <c r="F745" i="254"/>
  <c r="E745" i="254"/>
  <c r="D745" i="254"/>
  <c r="C745" i="254"/>
  <c r="B745" i="254"/>
  <c r="A745" i="254"/>
  <c r="AF744" i="254"/>
  <c r="AE744" i="254"/>
  <c r="AD744" i="254"/>
  <c r="AC744" i="254"/>
  <c r="AB744" i="254"/>
  <c r="AA744" i="254"/>
  <c r="Z744" i="254"/>
  <c r="Y744" i="254"/>
  <c r="X744" i="254"/>
  <c r="W744" i="254"/>
  <c r="V744" i="254"/>
  <c r="U744" i="254"/>
  <c r="T744" i="254"/>
  <c r="S744" i="254"/>
  <c r="R744" i="254"/>
  <c r="Q744" i="254"/>
  <c r="P744" i="254"/>
  <c r="O744" i="254"/>
  <c r="N744" i="254"/>
  <c r="M744" i="254"/>
  <c r="L744" i="254"/>
  <c r="K744" i="254"/>
  <c r="J744" i="254"/>
  <c r="I744" i="254"/>
  <c r="H744" i="254"/>
  <c r="G744" i="254"/>
  <c r="F744" i="254"/>
  <c r="E744" i="254"/>
  <c r="D744" i="254"/>
  <c r="C744" i="254"/>
  <c r="B744" i="254"/>
  <c r="A744" i="254"/>
  <c r="AF743" i="254"/>
  <c r="AE743" i="254"/>
  <c r="AD743" i="254"/>
  <c r="AC743" i="254"/>
  <c r="AB743" i="254"/>
  <c r="AA743" i="254"/>
  <c r="Z743" i="254"/>
  <c r="Y743" i="254"/>
  <c r="X743" i="254"/>
  <c r="W743" i="254"/>
  <c r="V743" i="254"/>
  <c r="U743" i="254"/>
  <c r="T743" i="254"/>
  <c r="S743" i="254"/>
  <c r="R743" i="254"/>
  <c r="Q743" i="254"/>
  <c r="P743" i="254"/>
  <c r="O743" i="254"/>
  <c r="N743" i="254"/>
  <c r="M743" i="254"/>
  <c r="L743" i="254"/>
  <c r="K743" i="254"/>
  <c r="J743" i="254"/>
  <c r="I743" i="254"/>
  <c r="H743" i="254"/>
  <c r="G743" i="254"/>
  <c r="F743" i="254"/>
  <c r="E743" i="254"/>
  <c r="D743" i="254"/>
  <c r="C743" i="254"/>
  <c r="B743" i="254"/>
  <c r="A743" i="254"/>
  <c r="AF742" i="254"/>
  <c r="AE742" i="254"/>
  <c r="AD742" i="254"/>
  <c r="AC742" i="254"/>
  <c r="AB742" i="254"/>
  <c r="AA742" i="254"/>
  <c r="Z742" i="254"/>
  <c r="Y742" i="254"/>
  <c r="X742" i="254"/>
  <c r="W742" i="254"/>
  <c r="V742" i="254"/>
  <c r="U742" i="254"/>
  <c r="T742" i="254"/>
  <c r="S742" i="254"/>
  <c r="R742" i="254"/>
  <c r="Q742" i="254"/>
  <c r="P742" i="254"/>
  <c r="O742" i="254"/>
  <c r="N742" i="254"/>
  <c r="M742" i="254"/>
  <c r="L742" i="254"/>
  <c r="K742" i="254"/>
  <c r="J742" i="254"/>
  <c r="I742" i="254"/>
  <c r="H742" i="254"/>
  <c r="G742" i="254"/>
  <c r="F742" i="254"/>
  <c r="E742" i="254"/>
  <c r="D742" i="254"/>
  <c r="C742" i="254"/>
  <c r="B742" i="254"/>
  <c r="A742" i="254"/>
  <c r="AF741" i="254"/>
  <c r="AE741" i="254"/>
  <c r="AD741" i="254"/>
  <c r="AC741" i="254"/>
  <c r="AB741" i="254"/>
  <c r="AA741" i="254"/>
  <c r="Z741" i="254"/>
  <c r="Y741" i="254"/>
  <c r="X741" i="254"/>
  <c r="W741" i="254"/>
  <c r="V741" i="254"/>
  <c r="U741" i="254"/>
  <c r="T741" i="254"/>
  <c r="S741" i="254"/>
  <c r="R741" i="254"/>
  <c r="Q741" i="254"/>
  <c r="P741" i="254"/>
  <c r="O741" i="254"/>
  <c r="N741" i="254"/>
  <c r="M741" i="254"/>
  <c r="L741" i="254"/>
  <c r="K741" i="254"/>
  <c r="J741" i="254"/>
  <c r="I741" i="254"/>
  <c r="H741" i="254"/>
  <c r="G741" i="254"/>
  <c r="F741" i="254"/>
  <c r="E741" i="254"/>
  <c r="D741" i="254"/>
  <c r="C741" i="254"/>
  <c r="B741" i="254"/>
  <c r="A741" i="254"/>
  <c r="AF740" i="254"/>
  <c r="AE740" i="254"/>
  <c r="AD740" i="254"/>
  <c r="AC740" i="254"/>
  <c r="AB740" i="254"/>
  <c r="AA740" i="254"/>
  <c r="Z740" i="254"/>
  <c r="Y740" i="254"/>
  <c r="X740" i="254"/>
  <c r="W740" i="254"/>
  <c r="V740" i="254"/>
  <c r="U740" i="254"/>
  <c r="T740" i="254"/>
  <c r="S740" i="254"/>
  <c r="R740" i="254"/>
  <c r="Q740" i="254"/>
  <c r="P740" i="254"/>
  <c r="O740" i="254"/>
  <c r="N740" i="254"/>
  <c r="M740" i="254"/>
  <c r="L740" i="254"/>
  <c r="K740" i="254"/>
  <c r="J740" i="254"/>
  <c r="I740" i="254"/>
  <c r="H740" i="254"/>
  <c r="G740" i="254"/>
  <c r="F740" i="254"/>
  <c r="E740" i="254"/>
  <c r="D740" i="254"/>
  <c r="C740" i="254"/>
  <c r="B740" i="254"/>
  <c r="A740" i="254"/>
  <c r="AF739" i="254"/>
  <c r="AE739" i="254"/>
  <c r="AD739" i="254"/>
  <c r="AC739" i="254"/>
  <c r="AB739" i="254"/>
  <c r="AA739" i="254"/>
  <c r="Z739" i="254"/>
  <c r="Y739" i="254"/>
  <c r="X739" i="254"/>
  <c r="W739" i="254"/>
  <c r="V739" i="254"/>
  <c r="U739" i="254"/>
  <c r="T739" i="254"/>
  <c r="S739" i="254"/>
  <c r="R739" i="254"/>
  <c r="Q739" i="254"/>
  <c r="P739" i="254"/>
  <c r="O739" i="254"/>
  <c r="N739" i="254"/>
  <c r="M739" i="254"/>
  <c r="L739" i="254"/>
  <c r="K739" i="254"/>
  <c r="J739" i="254"/>
  <c r="I739" i="254"/>
  <c r="H739" i="254"/>
  <c r="G739" i="254"/>
  <c r="F739" i="254"/>
  <c r="E739" i="254"/>
  <c r="D739" i="254"/>
  <c r="C739" i="254"/>
  <c r="B739" i="254"/>
  <c r="A739" i="254"/>
  <c r="AF738" i="254"/>
  <c r="AE738" i="254"/>
  <c r="AD738" i="254"/>
  <c r="AC738" i="254"/>
  <c r="AB738" i="254"/>
  <c r="AA738" i="254"/>
  <c r="Z738" i="254"/>
  <c r="Y738" i="254"/>
  <c r="X738" i="254"/>
  <c r="W738" i="254"/>
  <c r="V738" i="254"/>
  <c r="U738" i="254"/>
  <c r="T738" i="254"/>
  <c r="S738" i="254"/>
  <c r="R738" i="254"/>
  <c r="Q738" i="254"/>
  <c r="P738" i="254"/>
  <c r="O738" i="254"/>
  <c r="N738" i="254"/>
  <c r="M738" i="254"/>
  <c r="L738" i="254"/>
  <c r="K738" i="254"/>
  <c r="J738" i="254"/>
  <c r="I738" i="254"/>
  <c r="H738" i="254"/>
  <c r="G738" i="254"/>
  <c r="F738" i="254"/>
  <c r="E738" i="254"/>
  <c r="D738" i="254"/>
  <c r="C738" i="254"/>
  <c r="B738" i="254"/>
  <c r="A738" i="254"/>
  <c r="AF737" i="254"/>
  <c r="AE737" i="254"/>
  <c r="AD737" i="254"/>
  <c r="AC737" i="254"/>
  <c r="AB737" i="254"/>
  <c r="AA737" i="254"/>
  <c r="Z737" i="254"/>
  <c r="Y737" i="254"/>
  <c r="X737" i="254"/>
  <c r="W737" i="254"/>
  <c r="V737" i="254"/>
  <c r="U737" i="254"/>
  <c r="T737" i="254"/>
  <c r="S737" i="254"/>
  <c r="R737" i="254"/>
  <c r="Q737" i="254"/>
  <c r="P737" i="254"/>
  <c r="O737" i="254"/>
  <c r="N737" i="254"/>
  <c r="M737" i="254"/>
  <c r="L737" i="254"/>
  <c r="K737" i="254"/>
  <c r="J737" i="254"/>
  <c r="I737" i="254"/>
  <c r="H737" i="254"/>
  <c r="G737" i="254"/>
  <c r="F737" i="254"/>
  <c r="E737" i="254"/>
  <c r="D737" i="254"/>
  <c r="C737" i="254"/>
  <c r="B737" i="254"/>
  <c r="A737" i="254"/>
  <c r="AF736" i="254"/>
  <c r="AE736" i="254"/>
  <c r="AD736" i="254"/>
  <c r="AC736" i="254"/>
  <c r="AB736" i="254"/>
  <c r="AA736" i="254"/>
  <c r="Z736" i="254"/>
  <c r="Y736" i="254"/>
  <c r="X736" i="254"/>
  <c r="W736" i="254"/>
  <c r="V736" i="254"/>
  <c r="U736" i="254"/>
  <c r="T736" i="254"/>
  <c r="S736" i="254"/>
  <c r="R736" i="254"/>
  <c r="Q736" i="254"/>
  <c r="P736" i="254"/>
  <c r="O736" i="254"/>
  <c r="N736" i="254"/>
  <c r="M736" i="254"/>
  <c r="L736" i="254"/>
  <c r="K736" i="254"/>
  <c r="J736" i="254"/>
  <c r="I736" i="254"/>
  <c r="H736" i="254"/>
  <c r="G736" i="254"/>
  <c r="F736" i="254"/>
  <c r="E736" i="254"/>
  <c r="D736" i="254"/>
  <c r="C736" i="254"/>
  <c r="B736" i="254"/>
  <c r="A736" i="254"/>
  <c r="AF735" i="254"/>
  <c r="AE735" i="254"/>
  <c r="AD735" i="254"/>
  <c r="AC735" i="254"/>
  <c r="AB735" i="254"/>
  <c r="AA735" i="254"/>
  <c r="Z735" i="254"/>
  <c r="Y735" i="254"/>
  <c r="X735" i="254"/>
  <c r="W735" i="254"/>
  <c r="V735" i="254"/>
  <c r="U735" i="254"/>
  <c r="T735" i="254"/>
  <c r="S735" i="254"/>
  <c r="R735" i="254"/>
  <c r="Q735" i="254"/>
  <c r="P735" i="254"/>
  <c r="O735" i="254"/>
  <c r="N735" i="254"/>
  <c r="M735" i="254"/>
  <c r="L735" i="254"/>
  <c r="K735" i="254"/>
  <c r="J735" i="254"/>
  <c r="I735" i="254"/>
  <c r="H735" i="254"/>
  <c r="G735" i="254"/>
  <c r="F735" i="254"/>
  <c r="E735" i="254"/>
  <c r="D735" i="254"/>
  <c r="C735" i="254"/>
  <c r="B735" i="254"/>
  <c r="A735" i="254"/>
  <c r="AF734" i="254"/>
  <c r="AE734" i="254"/>
  <c r="AD734" i="254"/>
  <c r="AC734" i="254"/>
  <c r="AB734" i="254"/>
  <c r="AA734" i="254"/>
  <c r="Z734" i="254"/>
  <c r="Y734" i="254"/>
  <c r="X734" i="254"/>
  <c r="W734" i="254"/>
  <c r="V734" i="254"/>
  <c r="U734" i="254"/>
  <c r="T734" i="254"/>
  <c r="S734" i="254"/>
  <c r="R734" i="254"/>
  <c r="Q734" i="254"/>
  <c r="P734" i="254"/>
  <c r="O734" i="254"/>
  <c r="N734" i="254"/>
  <c r="M734" i="254"/>
  <c r="L734" i="254"/>
  <c r="K734" i="254"/>
  <c r="J734" i="254"/>
  <c r="I734" i="254"/>
  <c r="H734" i="254"/>
  <c r="G734" i="254"/>
  <c r="F734" i="254"/>
  <c r="E734" i="254"/>
  <c r="D734" i="254"/>
  <c r="C734" i="254"/>
  <c r="B734" i="254"/>
  <c r="A734" i="254"/>
  <c r="AF733" i="254"/>
  <c r="AE733" i="254"/>
  <c r="AD733" i="254"/>
  <c r="AC733" i="254"/>
  <c r="AB733" i="254"/>
  <c r="AA733" i="254"/>
  <c r="Z733" i="254"/>
  <c r="Y733" i="254"/>
  <c r="X733" i="254"/>
  <c r="W733" i="254"/>
  <c r="V733" i="254"/>
  <c r="U733" i="254"/>
  <c r="T733" i="254"/>
  <c r="S733" i="254"/>
  <c r="R733" i="254"/>
  <c r="Q733" i="254"/>
  <c r="P733" i="254"/>
  <c r="O733" i="254"/>
  <c r="N733" i="254"/>
  <c r="M733" i="254"/>
  <c r="L733" i="254"/>
  <c r="K733" i="254"/>
  <c r="J733" i="254"/>
  <c r="I733" i="254"/>
  <c r="H733" i="254"/>
  <c r="G733" i="254"/>
  <c r="F733" i="254"/>
  <c r="E733" i="254"/>
  <c r="D733" i="254"/>
  <c r="C733" i="254"/>
  <c r="B733" i="254"/>
  <c r="A733" i="254"/>
  <c r="AF732" i="254"/>
  <c r="AE732" i="254"/>
  <c r="AD732" i="254"/>
  <c r="AC732" i="254"/>
  <c r="AB732" i="254"/>
  <c r="AA732" i="254"/>
  <c r="Z732" i="254"/>
  <c r="Y732" i="254"/>
  <c r="X732" i="254"/>
  <c r="W732" i="254"/>
  <c r="V732" i="254"/>
  <c r="U732" i="254"/>
  <c r="T732" i="254"/>
  <c r="S732" i="254"/>
  <c r="R732" i="254"/>
  <c r="Q732" i="254"/>
  <c r="P732" i="254"/>
  <c r="O732" i="254"/>
  <c r="N732" i="254"/>
  <c r="M732" i="254"/>
  <c r="L732" i="254"/>
  <c r="K732" i="254"/>
  <c r="J732" i="254"/>
  <c r="I732" i="254"/>
  <c r="H732" i="254"/>
  <c r="G732" i="254"/>
  <c r="F732" i="254"/>
  <c r="E732" i="254"/>
  <c r="D732" i="254"/>
  <c r="C732" i="254"/>
  <c r="B732" i="254"/>
  <c r="A732" i="254"/>
  <c r="AF731" i="254"/>
  <c r="AE731" i="254"/>
  <c r="AD731" i="254"/>
  <c r="AC731" i="254"/>
  <c r="AB731" i="254"/>
  <c r="AA731" i="254"/>
  <c r="Z731" i="254"/>
  <c r="Y731" i="254"/>
  <c r="X731" i="254"/>
  <c r="W731" i="254"/>
  <c r="V731" i="254"/>
  <c r="U731" i="254"/>
  <c r="T731" i="254"/>
  <c r="S731" i="254"/>
  <c r="R731" i="254"/>
  <c r="Q731" i="254"/>
  <c r="P731" i="254"/>
  <c r="O731" i="254"/>
  <c r="N731" i="254"/>
  <c r="M731" i="254"/>
  <c r="L731" i="254"/>
  <c r="K731" i="254"/>
  <c r="J731" i="254"/>
  <c r="I731" i="254"/>
  <c r="H731" i="254"/>
  <c r="G731" i="254"/>
  <c r="F731" i="254"/>
  <c r="E731" i="254"/>
  <c r="D731" i="254"/>
  <c r="C731" i="254"/>
  <c r="B731" i="254"/>
  <c r="A731" i="254"/>
  <c r="AF730" i="254"/>
  <c r="AE730" i="254"/>
  <c r="AD730" i="254"/>
  <c r="AC730" i="254"/>
  <c r="AB730" i="254"/>
  <c r="AA730" i="254"/>
  <c r="Z730" i="254"/>
  <c r="Y730" i="254"/>
  <c r="X730" i="254"/>
  <c r="W730" i="254"/>
  <c r="V730" i="254"/>
  <c r="U730" i="254"/>
  <c r="T730" i="254"/>
  <c r="S730" i="254"/>
  <c r="R730" i="254"/>
  <c r="Q730" i="254"/>
  <c r="P730" i="254"/>
  <c r="O730" i="254"/>
  <c r="N730" i="254"/>
  <c r="M730" i="254"/>
  <c r="L730" i="254"/>
  <c r="K730" i="254"/>
  <c r="J730" i="254"/>
  <c r="I730" i="254"/>
  <c r="H730" i="254"/>
  <c r="G730" i="254"/>
  <c r="F730" i="254"/>
  <c r="E730" i="254"/>
  <c r="D730" i="254"/>
  <c r="C730" i="254"/>
  <c r="B730" i="254"/>
  <c r="A730" i="254"/>
  <c r="AF729" i="254"/>
  <c r="AE729" i="254"/>
  <c r="AD729" i="254"/>
  <c r="AC729" i="254"/>
  <c r="AB729" i="254"/>
  <c r="AA729" i="254"/>
  <c r="Z729" i="254"/>
  <c r="Y729" i="254"/>
  <c r="X729" i="254"/>
  <c r="W729" i="254"/>
  <c r="V729" i="254"/>
  <c r="U729" i="254"/>
  <c r="T729" i="254"/>
  <c r="S729" i="254"/>
  <c r="R729" i="254"/>
  <c r="Q729" i="254"/>
  <c r="P729" i="254"/>
  <c r="O729" i="254"/>
  <c r="N729" i="254"/>
  <c r="M729" i="254"/>
  <c r="L729" i="254"/>
  <c r="K729" i="254"/>
  <c r="J729" i="254"/>
  <c r="I729" i="254"/>
  <c r="H729" i="254"/>
  <c r="G729" i="254"/>
  <c r="F729" i="254"/>
  <c r="E729" i="254"/>
  <c r="D729" i="254"/>
  <c r="C729" i="254"/>
  <c r="B729" i="254"/>
  <c r="A729" i="254"/>
  <c r="AF728" i="254"/>
  <c r="AE728" i="254"/>
  <c r="AD728" i="254"/>
  <c r="AC728" i="254"/>
  <c r="AB728" i="254"/>
  <c r="AA728" i="254"/>
  <c r="Z728" i="254"/>
  <c r="Y728" i="254"/>
  <c r="X728" i="254"/>
  <c r="W728" i="254"/>
  <c r="V728" i="254"/>
  <c r="U728" i="254"/>
  <c r="T728" i="254"/>
  <c r="S728" i="254"/>
  <c r="R728" i="254"/>
  <c r="Q728" i="254"/>
  <c r="P728" i="254"/>
  <c r="O728" i="254"/>
  <c r="N728" i="254"/>
  <c r="M728" i="254"/>
  <c r="L728" i="254"/>
  <c r="K728" i="254"/>
  <c r="J728" i="254"/>
  <c r="I728" i="254"/>
  <c r="H728" i="254"/>
  <c r="G728" i="254"/>
  <c r="F728" i="254"/>
  <c r="E728" i="254"/>
  <c r="D728" i="254"/>
  <c r="C728" i="254"/>
  <c r="B728" i="254"/>
  <c r="A728" i="254"/>
  <c r="AF727" i="254"/>
  <c r="AE727" i="254"/>
  <c r="AD727" i="254"/>
  <c r="AC727" i="254"/>
  <c r="AB727" i="254"/>
  <c r="AA727" i="254"/>
  <c r="Z727" i="254"/>
  <c r="Y727" i="254"/>
  <c r="X727" i="254"/>
  <c r="W727" i="254"/>
  <c r="V727" i="254"/>
  <c r="U727" i="254"/>
  <c r="T727" i="254"/>
  <c r="S727" i="254"/>
  <c r="R727" i="254"/>
  <c r="Q727" i="254"/>
  <c r="P727" i="254"/>
  <c r="O727" i="254"/>
  <c r="N727" i="254"/>
  <c r="M727" i="254"/>
  <c r="L727" i="254"/>
  <c r="K727" i="254"/>
  <c r="J727" i="254"/>
  <c r="I727" i="254"/>
  <c r="H727" i="254"/>
  <c r="G727" i="254"/>
  <c r="F727" i="254"/>
  <c r="E727" i="254"/>
  <c r="D727" i="254"/>
  <c r="C727" i="254"/>
  <c r="B727" i="254"/>
  <c r="A727" i="254"/>
  <c r="AF726" i="254"/>
  <c r="AE726" i="254"/>
  <c r="AD726" i="254"/>
  <c r="AC726" i="254"/>
  <c r="AB726" i="254"/>
  <c r="AA726" i="254"/>
  <c r="Z726" i="254"/>
  <c r="Y726" i="254"/>
  <c r="X726" i="254"/>
  <c r="W726" i="254"/>
  <c r="V726" i="254"/>
  <c r="U726" i="254"/>
  <c r="T726" i="254"/>
  <c r="S726" i="254"/>
  <c r="R726" i="254"/>
  <c r="Q726" i="254"/>
  <c r="P726" i="254"/>
  <c r="O726" i="254"/>
  <c r="N726" i="254"/>
  <c r="M726" i="254"/>
  <c r="L726" i="254"/>
  <c r="K726" i="254"/>
  <c r="J726" i="254"/>
  <c r="I726" i="254"/>
  <c r="H726" i="254"/>
  <c r="G726" i="254"/>
  <c r="F726" i="254"/>
  <c r="E726" i="254"/>
  <c r="D726" i="254"/>
  <c r="C726" i="254"/>
  <c r="B726" i="254"/>
  <c r="A726" i="254"/>
  <c r="AF725" i="254"/>
  <c r="AE725" i="254"/>
  <c r="AD725" i="254"/>
  <c r="AC725" i="254"/>
  <c r="AB725" i="254"/>
  <c r="AA725" i="254"/>
  <c r="Z725" i="254"/>
  <c r="Y725" i="254"/>
  <c r="X725" i="254"/>
  <c r="W725" i="254"/>
  <c r="V725" i="254"/>
  <c r="U725" i="254"/>
  <c r="T725" i="254"/>
  <c r="S725" i="254"/>
  <c r="R725" i="254"/>
  <c r="Q725" i="254"/>
  <c r="P725" i="254"/>
  <c r="O725" i="254"/>
  <c r="N725" i="254"/>
  <c r="M725" i="254"/>
  <c r="L725" i="254"/>
  <c r="K725" i="254"/>
  <c r="J725" i="254"/>
  <c r="I725" i="254"/>
  <c r="H725" i="254"/>
  <c r="G725" i="254"/>
  <c r="F725" i="254"/>
  <c r="E725" i="254"/>
  <c r="D725" i="254"/>
  <c r="C725" i="254"/>
  <c r="B725" i="254"/>
  <c r="A725" i="254"/>
  <c r="AF724" i="254"/>
  <c r="AE724" i="254"/>
  <c r="AD724" i="254"/>
  <c r="AC724" i="254"/>
  <c r="AB724" i="254"/>
  <c r="AA724" i="254"/>
  <c r="Z724" i="254"/>
  <c r="Y724" i="254"/>
  <c r="X724" i="254"/>
  <c r="W724" i="254"/>
  <c r="V724" i="254"/>
  <c r="U724" i="254"/>
  <c r="T724" i="254"/>
  <c r="S724" i="254"/>
  <c r="R724" i="254"/>
  <c r="Q724" i="254"/>
  <c r="P724" i="254"/>
  <c r="O724" i="254"/>
  <c r="N724" i="254"/>
  <c r="M724" i="254"/>
  <c r="L724" i="254"/>
  <c r="K724" i="254"/>
  <c r="J724" i="254"/>
  <c r="I724" i="254"/>
  <c r="H724" i="254"/>
  <c r="G724" i="254"/>
  <c r="F724" i="254"/>
  <c r="E724" i="254"/>
  <c r="D724" i="254"/>
  <c r="C724" i="254"/>
  <c r="B724" i="254"/>
  <c r="A724" i="254"/>
  <c r="AF723" i="254"/>
  <c r="AE723" i="254"/>
  <c r="AD723" i="254"/>
  <c r="AC723" i="254"/>
  <c r="AB723" i="254"/>
  <c r="AA723" i="254"/>
  <c r="Z723" i="254"/>
  <c r="Y723" i="254"/>
  <c r="X723" i="254"/>
  <c r="W723" i="254"/>
  <c r="V723" i="254"/>
  <c r="U723" i="254"/>
  <c r="T723" i="254"/>
  <c r="S723" i="254"/>
  <c r="R723" i="254"/>
  <c r="Q723" i="254"/>
  <c r="P723" i="254"/>
  <c r="O723" i="254"/>
  <c r="N723" i="254"/>
  <c r="M723" i="254"/>
  <c r="L723" i="254"/>
  <c r="K723" i="254"/>
  <c r="J723" i="254"/>
  <c r="I723" i="254"/>
  <c r="H723" i="254"/>
  <c r="G723" i="254"/>
  <c r="F723" i="254"/>
  <c r="E723" i="254"/>
  <c r="D723" i="254"/>
  <c r="C723" i="254"/>
  <c r="B723" i="254"/>
  <c r="A723" i="254"/>
  <c r="AF722" i="254"/>
  <c r="AE722" i="254"/>
  <c r="AD722" i="254"/>
  <c r="AC722" i="254"/>
  <c r="AB722" i="254"/>
  <c r="AA722" i="254"/>
  <c r="Z722" i="254"/>
  <c r="Y722" i="254"/>
  <c r="X722" i="254"/>
  <c r="W722" i="254"/>
  <c r="V722" i="254"/>
  <c r="U722" i="254"/>
  <c r="T722" i="254"/>
  <c r="S722" i="254"/>
  <c r="R722" i="254"/>
  <c r="Q722" i="254"/>
  <c r="P722" i="254"/>
  <c r="O722" i="254"/>
  <c r="N722" i="254"/>
  <c r="M722" i="254"/>
  <c r="L722" i="254"/>
  <c r="K722" i="254"/>
  <c r="J722" i="254"/>
  <c r="I722" i="254"/>
  <c r="H722" i="254"/>
  <c r="G722" i="254"/>
  <c r="F722" i="254"/>
  <c r="E722" i="254"/>
  <c r="D722" i="254"/>
  <c r="C722" i="254"/>
  <c r="B722" i="254"/>
  <c r="A722" i="254"/>
  <c r="AF721" i="254"/>
  <c r="AE721" i="254"/>
  <c r="AD721" i="254"/>
  <c r="AC721" i="254"/>
  <c r="AB721" i="254"/>
  <c r="AA721" i="254"/>
  <c r="Z721" i="254"/>
  <c r="Y721" i="254"/>
  <c r="X721" i="254"/>
  <c r="W721" i="254"/>
  <c r="V721" i="254"/>
  <c r="U721" i="254"/>
  <c r="T721" i="254"/>
  <c r="S721" i="254"/>
  <c r="R721" i="254"/>
  <c r="Q721" i="254"/>
  <c r="P721" i="254"/>
  <c r="O721" i="254"/>
  <c r="N721" i="254"/>
  <c r="M721" i="254"/>
  <c r="L721" i="254"/>
  <c r="K721" i="254"/>
  <c r="J721" i="254"/>
  <c r="I721" i="254"/>
  <c r="H721" i="254"/>
  <c r="G721" i="254"/>
  <c r="F721" i="254"/>
  <c r="E721" i="254"/>
  <c r="D721" i="254"/>
  <c r="C721" i="254"/>
  <c r="B721" i="254"/>
  <c r="A721" i="254"/>
  <c r="AF720" i="254"/>
  <c r="AE720" i="254"/>
  <c r="AD720" i="254"/>
  <c r="AC720" i="254"/>
  <c r="AB720" i="254"/>
  <c r="AA720" i="254"/>
  <c r="Z720" i="254"/>
  <c r="Y720" i="254"/>
  <c r="X720" i="254"/>
  <c r="W720" i="254"/>
  <c r="V720" i="254"/>
  <c r="U720" i="254"/>
  <c r="T720" i="254"/>
  <c r="S720" i="254"/>
  <c r="R720" i="254"/>
  <c r="Q720" i="254"/>
  <c r="P720" i="254"/>
  <c r="O720" i="254"/>
  <c r="N720" i="254"/>
  <c r="M720" i="254"/>
  <c r="L720" i="254"/>
  <c r="K720" i="254"/>
  <c r="J720" i="254"/>
  <c r="I720" i="254"/>
  <c r="H720" i="254"/>
  <c r="G720" i="254"/>
  <c r="F720" i="254"/>
  <c r="E720" i="254"/>
  <c r="D720" i="254"/>
  <c r="C720" i="254"/>
  <c r="B720" i="254"/>
  <c r="A720" i="254"/>
  <c r="AF719" i="254"/>
  <c r="AE719" i="254"/>
  <c r="AD719" i="254"/>
  <c r="AC719" i="254"/>
  <c r="AB719" i="254"/>
  <c r="AA719" i="254"/>
  <c r="Z719" i="254"/>
  <c r="Y719" i="254"/>
  <c r="X719" i="254"/>
  <c r="W719" i="254"/>
  <c r="V719" i="254"/>
  <c r="U719" i="254"/>
  <c r="T719" i="254"/>
  <c r="S719" i="254"/>
  <c r="R719" i="254"/>
  <c r="Q719" i="254"/>
  <c r="P719" i="254"/>
  <c r="O719" i="254"/>
  <c r="N719" i="254"/>
  <c r="M719" i="254"/>
  <c r="L719" i="254"/>
  <c r="K719" i="254"/>
  <c r="J719" i="254"/>
  <c r="I719" i="254"/>
  <c r="H719" i="254"/>
  <c r="G719" i="254"/>
  <c r="F719" i="254"/>
  <c r="E719" i="254"/>
  <c r="D719" i="254"/>
  <c r="C719" i="254"/>
  <c r="B719" i="254"/>
  <c r="A719" i="254"/>
  <c r="AF718" i="254"/>
  <c r="AE718" i="254"/>
  <c r="AD718" i="254"/>
  <c r="AC718" i="254"/>
  <c r="AB718" i="254"/>
  <c r="AA718" i="254"/>
  <c r="Z718" i="254"/>
  <c r="Y718" i="254"/>
  <c r="X718" i="254"/>
  <c r="W718" i="254"/>
  <c r="V718" i="254"/>
  <c r="U718" i="254"/>
  <c r="T718" i="254"/>
  <c r="S718" i="254"/>
  <c r="R718" i="254"/>
  <c r="Q718" i="254"/>
  <c r="P718" i="254"/>
  <c r="O718" i="254"/>
  <c r="N718" i="254"/>
  <c r="M718" i="254"/>
  <c r="L718" i="254"/>
  <c r="K718" i="254"/>
  <c r="J718" i="254"/>
  <c r="I718" i="254"/>
  <c r="H718" i="254"/>
  <c r="G718" i="254"/>
  <c r="F718" i="254"/>
  <c r="E718" i="254"/>
  <c r="D718" i="254"/>
  <c r="C718" i="254"/>
  <c r="B718" i="254"/>
  <c r="A718" i="254"/>
  <c r="AF717" i="254"/>
  <c r="AE717" i="254"/>
  <c r="AD717" i="254"/>
  <c r="AC717" i="254"/>
  <c r="AB717" i="254"/>
  <c r="AA717" i="254"/>
  <c r="Z717" i="254"/>
  <c r="Y717" i="254"/>
  <c r="X717" i="254"/>
  <c r="W717" i="254"/>
  <c r="V717" i="254"/>
  <c r="U717" i="254"/>
  <c r="T717" i="254"/>
  <c r="S717" i="254"/>
  <c r="R717" i="254"/>
  <c r="Q717" i="254"/>
  <c r="P717" i="254"/>
  <c r="O717" i="254"/>
  <c r="N717" i="254"/>
  <c r="M717" i="254"/>
  <c r="L717" i="254"/>
  <c r="K717" i="254"/>
  <c r="J717" i="254"/>
  <c r="I717" i="254"/>
  <c r="H717" i="254"/>
  <c r="G717" i="254"/>
  <c r="F717" i="254"/>
  <c r="E717" i="254"/>
  <c r="D717" i="254"/>
  <c r="C717" i="254"/>
  <c r="B717" i="254"/>
  <c r="A717" i="254"/>
  <c r="AF716" i="254"/>
  <c r="AE716" i="254"/>
  <c r="AD716" i="254"/>
  <c r="AC716" i="254"/>
  <c r="AB716" i="254"/>
  <c r="AA716" i="254"/>
  <c r="Z716" i="254"/>
  <c r="Y716" i="254"/>
  <c r="X716" i="254"/>
  <c r="W716" i="254"/>
  <c r="V716" i="254"/>
  <c r="U716" i="254"/>
  <c r="T716" i="254"/>
  <c r="S716" i="254"/>
  <c r="R716" i="254"/>
  <c r="Q716" i="254"/>
  <c r="P716" i="254"/>
  <c r="O716" i="254"/>
  <c r="N716" i="254"/>
  <c r="M716" i="254"/>
  <c r="L716" i="254"/>
  <c r="K716" i="254"/>
  <c r="J716" i="254"/>
  <c r="I716" i="254"/>
  <c r="H716" i="254"/>
  <c r="G716" i="254"/>
  <c r="F716" i="254"/>
  <c r="E716" i="254"/>
  <c r="D716" i="254"/>
  <c r="C716" i="254"/>
  <c r="B716" i="254"/>
  <c r="A716" i="254"/>
  <c r="AF715" i="254"/>
  <c r="AE715" i="254"/>
  <c r="AD715" i="254"/>
  <c r="AC715" i="254"/>
  <c r="AB715" i="254"/>
  <c r="AA715" i="254"/>
  <c r="Z715" i="254"/>
  <c r="Y715" i="254"/>
  <c r="X715" i="254"/>
  <c r="W715" i="254"/>
  <c r="V715" i="254"/>
  <c r="U715" i="254"/>
  <c r="T715" i="254"/>
  <c r="S715" i="254"/>
  <c r="R715" i="254"/>
  <c r="Q715" i="254"/>
  <c r="P715" i="254"/>
  <c r="O715" i="254"/>
  <c r="N715" i="254"/>
  <c r="M715" i="254"/>
  <c r="L715" i="254"/>
  <c r="K715" i="254"/>
  <c r="J715" i="254"/>
  <c r="I715" i="254"/>
  <c r="H715" i="254"/>
  <c r="G715" i="254"/>
  <c r="F715" i="254"/>
  <c r="E715" i="254"/>
  <c r="D715" i="254"/>
  <c r="C715" i="254"/>
  <c r="B715" i="254"/>
  <c r="A715" i="254"/>
  <c r="AF714" i="254"/>
  <c r="AE714" i="254"/>
  <c r="AD714" i="254"/>
  <c r="AC714" i="254"/>
  <c r="AB714" i="254"/>
  <c r="AA714" i="254"/>
  <c r="Z714" i="254"/>
  <c r="Y714" i="254"/>
  <c r="X714" i="254"/>
  <c r="W714" i="254"/>
  <c r="V714" i="254"/>
  <c r="U714" i="254"/>
  <c r="T714" i="254"/>
  <c r="S714" i="254"/>
  <c r="R714" i="254"/>
  <c r="Q714" i="254"/>
  <c r="P714" i="254"/>
  <c r="O714" i="254"/>
  <c r="N714" i="254"/>
  <c r="M714" i="254"/>
  <c r="L714" i="254"/>
  <c r="K714" i="254"/>
  <c r="J714" i="254"/>
  <c r="I714" i="254"/>
  <c r="H714" i="254"/>
  <c r="G714" i="254"/>
  <c r="F714" i="254"/>
  <c r="E714" i="254"/>
  <c r="D714" i="254"/>
  <c r="C714" i="254"/>
  <c r="B714" i="254"/>
  <c r="A714" i="254"/>
  <c r="AF713" i="254"/>
  <c r="AE713" i="254"/>
  <c r="AD713" i="254"/>
  <c r="AC713" i="254"/>
  <c r="AB713" i="254"/>
  <c r="AA713" i="254"/>
  <c r="Z713" i="254"/>
  <c r="Y713" i="254"/>
  <c r="X713" i="254"/>
  <c r="W713" i="254"/>
  <c r="V713" i="254"/>
  <c r="U713" i="254"/>
  <c r="T713" i="254"/>
  <c r="S713" i="254"/>
  <c r="R713" i="254"/>
  <c r="Q713" i="254"/>
  <c r="P713" i="254"/>
  <c r="O713" i="254"/>
  <c r="N713" i="254"/>
  <c r="M713" i="254"/>
  <c r="L713" i="254"/>
  <c r="K713" i="254"/>
  <c r="J713" i="254"/>
  <c r="I713" i="254"/>
  <c r="H713" i="254"/>
  <c r="G713" i="254"/>
  <c r="F713" i="254"/>
  <c r="E713" i="254"/>
  <c r="D713" i="254"/>
  <c r="C713" i="254"/>
  <c r="B713" i="254"/>
  <c r="A713" i="254"/>
  <c r="AF712" i="254"/>
  <c r="AE712" i="254"/>
  <c r="AD712" i="254"/>
  <c r="AC712" i="254"/>
  <c r="AB712" i="254"/>
  <c r="AA712" i="254"/>
  <c r="Z712" i="254"/>
  <c r="Y712" i="254"/>
  <c r="X712" i="254"/>
  <c r="W712" i="254"/>
  <c r="V712" i="254"/>
  <c r="U712" i="254"/>
  <c r="T712" i="254"/>
  <c r="S712" i="254"/>
  <c r="R712" i="254"/>
  <c r="Q712" i="254"/>
  <c r="P712" i="254"/>
  <c r="O712" i="254"/>
  <c r="N712" i="254"/>
  <c r="M712" i="254"/>
  <c r="L712" i="254"/>
  <c r="K712" i="254"/>
  <c r="J712" i="254"/>
  <c r="I712" i="254"/>
  <c r="H712" i="254"/>
  <c r="G712" i="254"/>
  <c r="F712" i="254"/>
  <c r="E712" i="254"/>
  <c r="D712" i="254"/>
  <c r="C712" i="254"/>
  <c r="B712" i="254"/>
  <c r="A712" i="254"/>
  <c r="AF711" i="254"/>
  <c r="AE711" i="254"/>
  <c r="AD711" i="254"/>
  <c r="AC711" i="254"/>
  <c r="AB711" i="254"/>
  <c r="AA711" i="254"/>
  <c r="Z711" i="254"/>
  <c r="Y711" i="254"/>
  <c r="X711" i="254"/>
  <c r="W711" i="254"/>
  <c r="V711" i="254"/>
  <c r="U711" i="254"/>
  <c r="T711" i="254"/>
  <c r="S711" i="254"/>
  <c r="R711" i="254"/>
  <c r="Q711" i="254"/>
  <c r="P711" i="254"/>
  <c r="O711" i="254"/>
  <c r="N711" i="254"/>
  <c r="M711" i="254"/>
  <c r="L711" i="254"/>
  <c r="K711" i="254"/>
  <c r="J711" i="254"/>
  <c r="I711" i="254"/>
  <c r="H711" i="254"/>
  <c r="G711" i="254"/>
  <c r="F711" i="254"/>
  <c r="E711" i="254"/>
  <c r="D711" i="254"/>
  <c r="C711" i="254"/>
  <c r="B711" i="254"/>
  <c r="A711" i="254"/>
  <c r="AF710" i="254"/>
  <c r="AE710" i="254"/>
  <c r="AD710" i="254"/>
  <c r="AC710" i="254"/>
  <c r="AB710" i="254"/>
  <c r="AA710" i="254"/>
  <c r="Z710" i="254"/>
  <c r="Y710" i="254"/>
  <c r="X710" i="254"/>
  <c r="W710" i="254"/>
  <c r="V710" i="254"/>
  <c r="U710" i="254"/>
  <c r="T710" i="254"/>
  <c r="S710" i="254"/>
  <c r="R710" i="254"/>
  <c r="Q710" i="254"/>
  <c r="P710" i="254"/>
  <c r="O710" i="254"/>
  <c r="N710" i="254"/>
  <c r="M710" i="254"/>
  <c r="L710" i="254"/>
  <c r="K710" i="254"/>
  <c r="J710" i="254"/>
  <c r="I710" i="254"/>
  <c r="H710" i="254"/>
  <c r="G710" i="254"/>
  <c r="F710" i="254"/>
  <c r="E710" i="254"/>
  <c r="D710" i="254"/>
  <c r="C710" i="254"/>
  <c r="B710" i="254"/>
  <c r="A710" i="254"/>
  <c r="AF709" i="254"/>
  <c r="AE709" i="254"/>
  <c r="AD709" i="254"/>
  <c r="AC709" i="254"/>
  <c r="AB709" i="254"/>
  <c r="AA709" i="254"/>
  <c r="Z709" i="254"/>
  <c r="Y709" i="254"/>
  <c r="X709" i="254"/>
  <c r="W709" i="254"/>
  <c r="V709" i="254"/>
  <c r="U709" i="254"/>
  <c r="T709" i="254"/>
  <c r="S709" i="254"/>
  <c r="R709" i="254"/>
  <c r="Q709" i="254"/>
  <c r="P709" i="254"/>
  <c r="O709" i="254"/>
  <c r="N709" i="254"/>
  <c r="M709" i="254"/>
  <c r="L709" i="254"/>
  <c r="K709" i="254"/>
  <c r="J709" i="254"/>
  <c r="I709" i="254"/>
  <c r="H709" i="254"/>
  <c r="G709" i="254"/>
  <c r="F709" i="254"/>
  <c r="E709" i="254"/>
  <c r="D709" i="254"/>
  <c r="C709" i="254"/>
  <c r="B709" i="254"/>
  <c r="A709" i="254"/>
  <c r="AF708" i="254"/>
  <c r="AE708" i="254"/>
  <c r="AD708" i="254"/>
  <c r="AC708" i="254"/>
  <c r="AB708" i="254"/>
  <c r="AA708" i="254"/>
  <c r="Z708" i="254"/>
  <c r="Y708" i="254"/>
  <c r="X708" i="254"/>
  <c r="W708" i="254"/>
  <c r="V708" i="254"/>
  <c r="U708" i="254"/>
  <c r="T708" i="254"/>
  <c r="S708" i="254"/>
  <c r="R708" i="254"/>
  <c r="Q708" i="254"/>
  <c r="P708" i="254"/>
  <c r="O708" i="254"/>
  <c r="N708" i="254"/>
  <c r="M708" i="254"/>
  <c r="L708" i="254"/>
  <c r="K708" i="254"/>
  <c r="J708" i="254"/>
  <c r="I708" i="254"/>
  <c r="H708" i="254"/>
  <c r="G708" i="254"/>
  <c r="F708" i="254"/>
  <c r="E708" i="254"/>
  <c r="D708" i="254"/>
  <c r="C708" i="254"/>
  <c r="B708" i="254"/>
  <c r="A708" i="254"/>
  <c r="AF707" i="254"/>
  <c r="AE707" i="254"/>
  <c r="AD707" i="254"/>
  <c r="AC707" i="254"/>
  <c r="AB707" i="254"/>
  <c r="AA707" i="254"/>
  <c r="Z707" i="254"/>
  <c r="Y707" i="254"/>
  <c r="X707" i="254"/>
  <c r="W707" i="254"/>
  <c r="V707" i="254"/>
  <c r="U707" i="254"/>
  <c r="T707" i="254"/>
  <c r="S707" i="254"/>
  <c r="R707" i="254"/>
  <c r="Q707" i="254"/>
  <c r="P707" i="254"/>
  <c r="O707" i="254"/>
  <c r="N707" i="254"/>
  <c r="M707" i="254"/>
  <c r="L707" i="254"/>
  <c r="K707" i="254"/>
  <c r="J707" i="254"/>
  <c r="I707" i="254"/>
  <c r="H707" i="254"/>
  <c r="G707" i="254"/>
  <c r="F707" i="254"/>
  <c r="E707" i="254"/>
  <c r="D707" i="254"/>
  <c r="C707" i="254"/>
  <c r="B707" i="254"/>
  <c r="A707" i="254"/>
  <c r="AF706" i="254"/>
  <c r="AE706" i="254"/>
  <c r="AD706" i="254"/>
  <c r="AC706" i="254"/>
  <c r="AB706" i="254"/>
  <c r="AA706" i="254"/>
  <c r="Z706" i="254"/>
  <c r="Y706" i="254"/>
  <c r="X706" i="254"/>
  <c r="W706" i="254"/>
  <c r="V706" i="254"/>
  <c r="U706" i="254"/>
  <c r="T706" i="254"/>
  <c r="S706" i="254"/>
  <c r="R706" i="254"/>
  <c r="Q706" i="254"/>
  <c r="P706" i="254"/>
  <c r="O706" i="254"/>
  <c r="N706" i="254"/>
  <c r="M706" i="254"/>
  <c r="L706" i="254"/>
  <c r="K706" i="254"/>
  <c r="J706" i="254"/>
  <c r="I706" i="254"/>
  <c r="H706" i="254"/>
  <c r="G706" i="254"/>
  <c r="F706" i="254"/>
  <c r="E706" i="254"/>
  <c r="D706" i="254"/>
  <c r="C706" i="254"/>
  <c r="B706" i="254"/>
  <c r="A706" i="254"/>
  <c r="AF705" i="254"/>
  <c r="AE705" i="254"/>
  <c r="AD705" i="254"/>
  <c r="AC705" i="254"/>
  <c r="AB705" i="254"/>
  <c r="AA705" i="254"/>
  <c r="Z705" i="254"/>
  <c r="Y705" i="254"/>
  <c r="X705" i="254"/>
  <c r="W705" i="254"/>
  <c r="V705" i="254"/>
  <c r="U705" i="254"/>
  <c r="T705" i="254"/>
  <c r="S705" i="254"/>
  <c r="R705" i="254"/>
  <c r="Q705" i="254"/>
  <c r="P705" i="254"/>
  <c r="O705" i="254"/>
  <c r="N705" i="254"/>
  <c r="M705" i="254"/>
  <c r="L705" i="254"/>
  <c r="K705" i="254"/>
  <c r="J705" i="254"/>
  <c r="I705" i="254"/>
  <c r="H705" i="254"/>
  <c r="G705" i="254"/>
  <c r="F705" i="254"/>
  <c r="E705" i="254"/>
  <c r="D705" i="254"/>
  <c r="C705" i="254"/>
  <c r="B705" i="254"/>
  <c r="A705" i="254"/>
  <c r="AF704" i="254"/>
  <c r="AE704" i="254"/>
  <c r="AD704" i="254"/>
  <c r="AC704" i="254"/>
  <c r="AB704" i="254"/>
  <c r="AA704" i="254"/>
  <c r="Z704" i="254"/>
  <c r="Y704" i="254"/>
  <c r="X704" i="254"/>
  <c r="W704" i="254"/>
  <c r="V704" i="254"/>
  <c r="U704" i="254"/>
  <c r="T704" i="254"/>
  <c r="S704" i="254"/>
  <c r="R704" i="254"/>
  <c r="Q704" i="254"/>
  <c r="P704" i="254"/>
  <c r="O704" i="254"/>
  <c r="N704" i="254"/>
  <c r="M704" i="254"/>
  <c r="L704" i="254"/>
  <c r="K704" i="254"/>
  <c r="J704" i="254"/>
  <c r="I704" i="254"/>
  <c r="H704" i="254"/>
  <c r="G704" i="254"/>
  <c r="F704" i="254"/>
  <c r="E704" i="254"/>
  <c r="D704" i="254"/>
  <c r="C704" i="254"/>
  <c r="B704" i="254"/>
  <c r="A704" i="254"/>
  <c r="AF703" i="254"/>
  <c r="AE703" i="254"/>
  <c r="AD703" i="254"/>
  <c r="AC703" i="254"/>
  <c r="AB703" i="254"/>
  <c r="AA703" i="254"/>
  <c r="Z703" i="254"/>
  <c r="Y703" i="254"/>
  <c r="X703" i="254"/>
  <c r="W703" i="254"/>
  <c r="V703" i="254"/>
  <c r="U703" i="254"/>
  <c r="T703" i="254"/>
  <c r="S703" i="254"/>
  <c r="R703" i="254"/>
  <c r="Q703" i="254"/>
  <c r="P703" i="254"/>
  <c r="O703" i="254"/>
  <c r="N703" i="254"/>
  <c r="M703" i="254"/>
  <c r="L703" i="254"/>
  <c r="K703" i="254"/>
  <c r="J703" i="254"/>
  <c r="I703" i="254"/>
  <c r="H703" i="254"/>
  <c r="G703" i="254"/>
  <c r="F703" i="254"/>
  <c r="E703" i="254"/>
  <c r="D703" i="254"/>
  <c r="C703" i="254"/>
  <c r="B703" i="254"/>
  <c r="A703" i="254"/>
  <c r="AF702" i="254"/>
  <c r="AE702" i="254"/>
  <c r="AD702" i="254"/>
  <c r="AC702" i="254"/>
  <c r="AB702" i="254"/>
  <c r="AA702" i="254"/>
  <c r="Z702" i="254"/>
  <c r="Y702" i="254"/>
  <c r="X702" i="254"/>
  <c r="W702" i="254"/>
  <c r="V702" i="254"/>
  <c r="U702" i="254"/>
  <c r="T702" i="254"/>
  <c r="S702" i="254"/>
  <c r="R702" i="254"/>
  <c r="Q702" i="254"/>
  <c r="P702" i="254"/>
  <c r="O702" i="254"/>
  <c r="N702" i="254"/>
  <c r="M702" i="254"/>
  <c r="L702" i="254"/>
  <c r="K702" i="254"/>
  <c r="J702" i="254"/>
  <c r="I702" i="254"/>
  <c r="H702" i="254"/>
  <c r="G702" i="254"/>
  <c r="F702" i="254"/>
  <c r="E702" i="254"/>
  <c r="D702" i="254"/>
  <c r="C702" i="254"/>
  <c r="B702" i="254"/>
  <c r="A702" i="254"/>
  <c r="AF701" i="254"/>
  <c r="AE701" i="254"/>
  <c r="AD701" i="254"/>
  <c r="AC701" i="254"/>
  <c r="AB701" i="254"/>
  <c r="AA701" i="254"/>
  <c r="Z701" i="254"/>
  <c r="Y701" i="254"/>
  <c r="X701" i="254"/>
  <c r="W701" i="254"/>
  <c r="V701" i="254"/>
  <c r="U701" i="254"/>
  <c r="T701" i="254"/>
  <c r="S701" i="254"/>
  <c r="R701" i="254"/>
  <c r="Q701" i="254"/>
  <c r="P701" i="254"/>
  <c r="O701" i="254"/>
  <c r="N701" i="254"/>
  <c r="M701" i="254"/>
  <c r="L701" i="254"/>
  <c r="K701" i="254"/>
  <c r="J701" i="254"/>
  <c r="I701" i="254"/>
  <c r="H701" i="254"/>
  <c r="G701" i="254"/>
  <c r="F701" i="254"/>
  <c r="E701" i="254"/>
  <c r="D701" i="254"/>
  <c r="C701" i="254"/>
  <c r="B701" i="254"/>
  <c r="A701" i="254"/>
  <c r="AF700" i="254"/>
  <c r="AE700" i="254"/>
  <c r="AD700" i="254"/>
  <c r="AC700" i="254"/>
  <c r="AB700" i="254"/>
  <c r="AA700" i="254"/>
  <c r="Z700" i="254"/>
  <c r="Y700" i="254"/>
  <c r="X700" i="254"/>
  <c r="W700" i="254"/>
  <c r="V700" i="254"/>
  <c r="U700" i="254"/>
  <c r="T700" i="254"/>
  <c r="S700" i="254"/>
  <c r="R700" i="254"/>
  <c r="Q700" i="254"/>
  <c r="P700" i="254"/>
  <c r="O700" i="254"/>
  <c r="N700" i="254"/>
  <c r="M700" i="254"/>
  <c r="L700" i="254"/>
  <c r="K700" i="254"/>
  <c r="J700" i="254"/>
  <c r="I700" i="254"/>
  <c r="H700" i="254"/>
  <c r="G700" i="254"/>
  <c r="F700" i="254"/>
  <c r="E700" i="254"/>
  <c r="D700" i="254"/>
  <c r="C700" i="254"/>
  <c r="B700" i="254"/>
  <c r="A700" i="254"/>
  <c r="AF699" i="254"/>
  <c r="AE699" i="254"/>
  <c r="AD699" i="254"/>
  <c r="AC699" i="254"/>
  <c r="AB699" i="254"/>
  <c r="AA699" i="254"/>
  <c r="Z699" i="254"/>
  <c r="Y699" i="254"/>
  <c r="X699" i="254"/>
  <c r="W699" i="254"/>
  <c r="V699" i="254"/>
  <c r="U699" i="254"/>
  <c r="T699" i="254"/>
  <c r="S699" i="254"/>
  <c r="R699" i="254"/>
  <c r="Q699" i="254"/>
  <c r="P699" i="254"/>
  <c r="O699" i="254"/>
  <c r="N699" i="254"/>
  <c r="M699" i="254"/>
  <c r="L699" i="254"/>
  <c r="K699" i="254"/>
  <c r="J699" i="254"/>
  <c r="I699" i="254"/>
  <c r="H699" i="254"/>
  <c r="G699" i="254"/>
  <c r="F699" i="254"/>
  <c r="E699" i="254"/>
  <c r="D699" i="254"/>
  <c r="C699" i="254"/>
  <c r="B699" i="254"/>
  <c r="A699" i="254"/>
  <c r="AF698" i="254"/>
  <c r="AE698" i="254"/>
  <c r="AD698" i="254"/>
  <c r="AC698" i="254"/>
  <c r="AB698" i="254"/>
  <c r="AA698" i="254"/>
  <c r="Z698" i="254"/>
  <c r="Y698" i="254"/>
  <c r="X698" i="254"/>
  <c r="W698" i="254"/>
  <c r="V698" i="254"/>
  <c r="U698" i="254"/>
  <c r="T698" i="254"/>
  <c r="S698" i="254"/>
  <c r="R698" i="254"/>
  <c r="Q698" i="254"/>
  <c r="P698" i="254"/>
  <c r="O698" i="254"/>
  <c r="N698" i="254"/>
  <c r="M698" i="254"/>
  <c r="L698" i="254"/>
  <c r="K698" i="254"/>
  <c r="J698" i="254"/>
  <c r="I698" i="254"/>
  <c r="H698" i="254"/>
  <c r="G698" i="254"/>
  <c r="F698" i="254"/>
  <c r="E698" i="254"/>
  <c r="D698" i="254"/>
  <c r="C698" i="254"/>
  <c r="B698" i="254"/>
  <c r="A698" i="254"/>
  <c r="AF697" i="254"/>
  <c r="AE697" i="254"/>
  <c r="AD697" i="254"/>
  <c r="AC697" i="254"/>
  <c r="AB697" i="254"/>
  <c r="AA697" i="254"/>
  <c r="Z697" i="254"/>
  <c r="Y697" i="254"/>
  <c r="X697" i="254"/>
  <c r="W697" i="254"/>
  <c r="V697" i="254"/>
  <c r="U697" i="254"/>
  <c r="T697" i="254"/>
  <c r="S697" i="254"/>
  <c r="R697" i="254"/>
  <c r="Q697" i="254"/>
  <c r="P697" i="254"/>
  <c r="O697" i="254"/>
  <c r="N697" i="254"/>
  <c r="M697" i="254"/>
  <c r="L697" i="254"/>
  <c r="K697" i="254"/>
  <c r="J697" i="254"/>
  <c r="I697" i="254"/>
  <c r="H697" i="254"/>
  <c r="G697" i="254"/>
  <c r="F697" i="254"/>
  <c r="E697" i="254"/>
  <c r="D697" i="254"/>
  <c r="C697" i="254"/>
  <c r="B697" i="254"/>
  <c r="A697" i="254"/>
  <c r="AF696" i="254"/>
  <c r="AE696" i="254"/>
  <c r="AD696" i="254"/>
  <c r="AC696" i="254"/>
  <c r="AB696" i="254"/>
  <c r="AA696" i="254"/>
  <c r="Z696" i="254"/>
  <c r="Y696" i="254"/>
  <c r="X696" i="254"/>
  <c r="W696" i="254"/>
  <c r="V696" i="254"/>
  <c r="U696" i="254"/>
  <c r="T696" i="254"/>
  <c r="S696" i="254"/>
  <c r="R696" i="254"/>
  <c r="Q696" i="254"/>
  <c r="P696" i="254"/>
  <c r="O696" i="254"/>
  <c r="N696" i="254"/>
  <c r="M696" i="254"/>
  <c r="L696" i="254"/>
  <c r="K696" i="254"/>
  <c r="J696" i="254"/>
  <c r="I696" i="254"/>
  <c r="H696" i="254"/>
  <c r="G696" i="254"/>
  <c r="F696" i="254"/>
  <c r="E696" i="254"/>
  <c r="D696" i="254"/>
  <c r="C696" i="254"/>
  <c r="B696" i="254"/>
  <c r="A696" i="254"/>
  <c r="AF695" i="254"/>
  <c r="AE695" i="254"/>
  <c r="AD695" i="254"/>
  <c r="AC695" i="254"/>
  <c r="AB695" i="254"/>
  <c r="AA695" i="254"/>
  <c r="Z695" i="254"/>
  <c r="Y695" i="254"/>
  <c r="X695" i="254"/>
  <c r="W695" i="254"/>
  <c r="V695" i="254"/>
  <c r="U695" i="254"/>
  <c r="T695" i="254"/>
  <c r="S695" i="254"/>
  <c r="R695" i="254"/>
  <c r="Q695" i="254"/>
  <c r="P695" i="254"/>
  <c r="O695" i="254"/>
  <c r="N695" i="254"/>
  <c r="M695" i="254"/>
  <c r="L695" i="254"/>
  <c r="K695" i="254"/>
  <c r="J695" i="254"/>
  <c r="I695" i="254"/>
  <c r="H695" i="254"/>
  <c r="G695" i="254"/>
  <c r="F695" i="254"/>
  <c r="E695" i="254"/>
  <c r="D695" i="254"/>
  <c r="C695" i="254"/>
  <c r="B695" i="254"/>
  <c r="A695" i="254"/>
  <c r="AF694" i="254"/>
  <c r="AE694" i="254"/>
  <c r="AD694" i="254"/>
  <c r="AC694" i="254"/>
  <c r="AB694" i="254"/>
  <c r="AA694" i="254"/>
  <c r="Z694" i="254"/>
  <c r="Y694" i="254"/>
  <c r="X694" i="254"/>
  <c r="W694" i="254"/>
  <c r="V694" i="254"/>
  <c r="U694" i="254"/>
  <c r="T694" i="254"/>
  <c r="S694" i="254"/>
  <c r="R694" i="254"/>
  <c r="Q694" i="254"/>
  <c r="P694" i="254"/>
  <c r="O694" i="254"/>
  <c r="N694" i="254"/>
  <c r="M694" i="254"/>
  <c r="L694" i="254"/>
  <c r="K694" i="254"/>
  <c r="J694" i="254"/>
  <c r="I694" i="254"/>
  <c r="H694" i="254"/>
  <c r="G694" i="254"/>
  <c r="F694" i="254"/>
  <c r="E694" i="254"/>
  <c r="D694" i="254"/>
  <c r="C694" i="254"/>
  <c r="B694" i="254"/>
  <c r="A694" i="254"/>
  <c r="AF693" i="254"/>
  <c r="AE693" i="254"/>
  <c r="AD693" i="254"/>
  <c r="AC693" i="254"/>
  <c r="AB693" i="254"/>
  <c r="AA693" i="254"/>
  <c r="Z693" i="254"/>
  <c r="Y693" i="254"/>
  <c r="X693" i="254"/>
  <c r="W693" i="254"/>
  <c r="V693" i="254"/>
  <c r="U693" i="254"/>
  <c r="T693" i="254"/>
  <c r="S693" i="254"/>
  <c r="R693" i="254"/>
  <c r="Q693" i="254"/>
  <c r="P693" i="254"/>
  <c r="O693" i="254"/>
  <c r="N693" i="254"/>
  <c r="M693" i="254"/>
  <c r="L693" i="254"/>
  <c r="K693" i="254"/>
  <c r="J693" i="254"/>
  <c r="I693" i="254"/>
  <c r="H693" i="254"/>
  <c r="G693" i="254"/>
  <c r="F693" i="254"/>
  <c r="E693" i="254"/>
  <c r="D693" i="254"/>
  <c r="C693" i="254"/>
  <c r="B693" i="254"/>
  <c r="A693" i="254"/>
  <c r="AF692" i="254"/>
  <c r="AE692" i="254"/>
  <c r="AD692" i="254"/>
  <c r="AC692" i="254"/>
  <c r="AB692" i="254"/>
  <c r="AA692" i="254"/>
  <c r="Z692" i="254"/>
  <c r="Y692" i="254"/>
  <c r="X692" i="254"/>
  <c r="W692" i="254"/>
  <c r="V692" i="254"/>
  <c r="U692" i="254"/>
  <c r="T692" i="254"/>
  <c r="S692" i="254"/>
  <c r="R692" i="254"/>
  <c r="Q692" i="254"/>
  <c r="P692" i="254"/>
  <c r="O692" i="254"/>
  <c r="N692" i="254"/>
  <c r="M692" i="254"/>
  <c r="L692" i="254"/>
  <c r="K692" i="254"/>
  <c r="J692" i="254"/>
  <c r="I692" i="254"/>
  <c r="H692" i="254"/>
  <c r="G692" i="254"/>
  <c r="F692" i="254"/>
  <c r="E692" i="254"/>
  <c r="D692" i="254"/>
  <c r="C692" i="254"/>
  <c r="B692" i="254"/>
  <c r="A692" i="254"/>
  <c r="AF691" i="254"/>
  <c r="AE691" i="254"/>
  <c r="AD691" i="254"/>
  <c r="AC691" i="254"/>
  <c r="AB691" i="254"/>
  <c r="AA691" i="254"/>
  <c r="Z691" i="254"/>
  <c r="Y691" i="254"/>
  <c r="X691" i="254"/>
  <c r="W691" i="254"/>
  <c r="V691" i="254"/>
  <c r="U691" i="254"/>
  <c r="T691" i="254"/>
  <c r="S691" i="254"/>
  <c r="R691" i="254"/>
  <c r="Q691" i="254"/>
  <c r="P691" i="254"/>
  <c r="O691" i="254"/>
  <c r="N691" i="254"/>
  <c r="M691" i="254"/>
  <c r="L691" i="254"/>
  <c r="K691" i="254"/>
  <c r="J691" i="254"/>
  <c r="I691" i="254"/>
  <c r="H691" i="254"/>
  <c r="G691" i="254"/>
  <c r="F691" i="254"/>
  <c r="E691" i="254"/>
  <c r="D691" i="254"/>
  <c r="C691" i="254"/>
  <c r="B691" i="254"/>
  <c r="A691" i="254"/>
  <c r="AF690" i="254"/>
  <c r="AE690" i="254"/>
  <c r="AD690" i="254"/>
  <c r="AC690" i="254"/>
  <c r="AB690" i="254"/>
  <c r="AA690" i="254"/>
  <c r="Z690" i="254"/>
  <c r="Y690" i="254"/>
  <c r="X690" i="254"/>
  <c r="W690" i="254"/>
  <c r="V690" i="254"/>
  <c r="U690" i="254"/>
  <c r="T690" i="254"/>
  <c r="S690" i="254"/>
  <c r="R690" i="254"/>
  <c r="Q690" i="254"/>
  <c r="P690" i="254"/>
  <c r="O690" i="254"/>
  <c r="N690" i="254"/>
  <c r="M690" i="254"/>
  <c r="L690" i="254"/>
  <c r="K690" i="254"/>
  <c r="J690" i="254"/>
  <c r="I690" i="254"/>
  <c r="H690" i="254"/>
  <c r="G690" i="254"/>
  <c r="F690" i="254"/>
  <c r="E690" i="254"/>
  <c r="D690" i="254"/>
  <c r="C690" i="254"/>
  <c r="B690" i="254"/>
  <c r="A690" i="254"/>
  <c r="AF689" i="254"/>
  <c r="AE689" i="254"/>
  <c r="AD689" i="254"/>
  <c r="AC689" i="254"/>
  <c r="AB689" i="254"/>
  <c r="AA689" i="254"/>
  <c r="Z689" i="254"/>
  <c r="Y689" i="254"/>
  <c r="X689" i="254"/>
  <c r="W689" i="254"/>
  <c r="V689" i="254"/>
  <c r="U689" i="254"/>
  <c r="T689" i="254"/>
  <c r="S689" i="254"/>
  <c r="R689" i="254"/>
  <c r="Q689" i="254"/>
  <c r="P689" i="254"/>
  <c r="O689" i="254"/>
  <c r="N689" i="254"/>
  <c r="M689" i="254"/>
  <c r="L689" i="254"/>
  <c r="K689" i="254"/>
  <c r="J689" i="254"/>
  <c r="I689" i="254"/>
  <c r="H689" i="254"/>
  <c r="G689" i="254"/>
  <c r="F689" i="254"/>
  <c r="E689" i="254"/>
  <c r="D689" i="254"/>
  <c r="C689" i="254"/>
  <c r="B689" i="254"/>
  <c r="A689" i="254"/>
  <c r="AF688" i="254"/>
  <c r="AE688" i="254"/>
  <c r="AD688" i="254"/>
  <c r="AC688" i="254"/>
  <c r="AB688" i="254"/>
  <c r="AA688" i="254"/>
  <c r="Z688" i="254"/>
  <c r="Y688" i="254"/>
  <c r="X688" i="254"/>
  <c r="W688" i="254"/>
  <c r="V688" i="254"/>
  <c r="U688" i="254"/>
  <c r="T688" i="254"/>
  <c r="S688" i="254"/>
  <c r="R688" i="254"/>
  <c r="Q688" i="254"/>
  <c r="P688" i="254"/>
  <c r="O688" i="254"/>
  <c r="N688" i="254"/>
  <c r="M688" i="254"/>
  <c r="L688" i="254"/>
  <c r="K688" i="254"/>
  <c r="J688" i="254"/>
  <c r="I688" i="254"/>
  <c r="H688" i="254"/>
  <c r="G688" i="254"/>
  <c r="F688" i="254"/>
  <c r="E688" i="254"/>
  <c r="D688" i="254"/>
  <c r="C688" i="254"/>
  <c r="B688" i="254"/>
  <c r="A688" i="254"/>
  <c r="AF687" i="254"/>
  <c r="AE687" i="254"/>
  <c r="AD687" i="254"/>
  <c r="AC687" i="254"/>
  <c r="AB687" i="254"/>
  <c r="AA687" i="254"/>
  <c r="Z687" i="254"/>
  <c r="Y687" i="254"/>
  <c r="X687" i="254"/>
  <c r="W687" i="254"/>
  <c r="V687" i="254"/>
  <c r="U687" i="254"/>
  <c r="T687" i="254"/>
  <c r="S687" i="254"/>
  <c r="R687" i="254"/>
  <c r="Q687" i="254"/>
  <c r="P687" i="254"/>
  <c r="O687" i="254"/>
  <c r="N687" i="254"/>
  <c r="M687" i="254"/>
  <c r="L687" i="254"/>
  <c r="K687" i="254"/>
  <c r="J687" i="254"/>
  <c r="I687" i="254"/>
  <c r="H687" i="254"/>
  <c r="G687" i="254"/>
  <c r="F687" i="254"/>
  <c r="E687" i="254"/>
  <c r="D687" i="254"/>
  <c r="C687" i="254"/>
  <c r="B687" i="254"/>
  <c r="A687" i="254"/>
  <c r="AF686" i="254"/>
  <c r="AE686" i="254"/>
  <c r="AD686" i="254"/>
  <c r="AC686" i="254"/>
  <c r="AB686" i="254"/>
  <c r="AA686" i="254"/>
  <c r="Z686" i="254"/>
  <c r="Y686" i="254"/>
  <c r="X686" i="254"/>
  <c r="W686" i="254"/>
  <c r="V686" i="254"/>
  <c r="U686" i="254"/>
  <c r="T686" i="254"/>
  <c r="S686" i="254"/>
  <c r="R686" i="254"/>
  <c r="Q686" i="254"/>
  <c r="P686" i="254"/>
  <c r="O686" i="254"/>
  <c r="N686" i="254"/>
  <c r="M686" i="254"/>
  <c r="L686" i="254"/>
  <c r="K686" i="254"/>
  <c r="J686" i="254"/>
  <c r="I686" i="254"/>
  <c r="H686" i="254"/>
  <c r="G686" i="254"/>
  <c r="F686" i="254"/>
  <c r="E686" i="254"/>
  <c r="D686" i="254"/>
  <c r="C686" i="254"/>
  <c r="B686" i="254"/>
  <c r="A686" i="254"/>
  <c r="AF685" i="254"/>
  <c r="AE685" i="254"/>
  <c r="AD685" i="254"/>
  <c r="AC685" i="254"/>
  <c r="AB685" i="254"/>
  <c r="AA685" i="254"/>
  <c r="Z685" i="254"/>
  <c r="Y685" i="254"/>
  <c r="X685" i="254"/>
  <c r="W685" i="254"/>
  <c r="V685" i="254"/>
  <c r="U685" i="254"/>
  <c r="T685" i="254"/>
  <c r="S685" i="254"/>
  <c r="R685" i="254"/>
  <c r="Q685" i="254"/>
  <c r="P685" i="254"/>
  <c r="O685" i="254"/>
  <c r="N685" i="254"/>
  <c r="M685" i="254"/>
  <c r="L685" i="254"/>
  <c r="K685" i="254"/>
  <c r="J685" i="254"/>
  <c r="I685" i="254"/>
  <c r="H685" i="254"/>
  <c r="G685" i="254"/>
  <c r="F685" i="254"/>
  <c r="E685" i="254"/>
  <c r="D685" i="254"/>
  <c r="C685" i="254"/>
  <c r="B685" i="254"/>
  <c r="A685" i="254"/>
  <c r="AF684" i="254"/>
  <c r="AE684" i="254"/>
  <c r="AD684" i="254"/>
  <c r="AC684" i="254"/>
  <c r="AB684" i="254"/>
  <c r="AA684" i="254"/>
  <c r="Z684" i="254"/>
  <c r="Y684" i="254"/>
  <c r="X684" i="254"/>
  <c r="W684" i="254"/>
  <c r="V684" i="254"/>
  <c r="U684" i="254"/>
  <c r="T684" i="254"/>
  <c r="S684" i="254"/>
  <c r="R684" i="254"/>
  <c r="Q684" i="254"/>
  <c r="P684" i="254"/>
  <c r="O684" i="254"/>
  <c r="N684" i="254"/>
  <c r="M684" i="254"/>
  <c r="L684" i="254"/>
  <c r="K684" i="254"/>
  <c r="J684" i="254"/>
  <c r="I684" i="254"/>
  <c r="H684" i="254"/>
  <c r="G684" i="254"/>
  <c r="F684" i="254"/>
  <c r="E684" i="254"/>
  <c r="D684" i="254"/>
  <c r="C684" i="254"/>
  <c r="B684" i="254"/>
  <c r="A684" i="254"/>
  <c r="AF683" i="254"/>
  <c r="AE683" i="254"/>
  <c r="AD683" i="254"/>
  <c r="AC683" i="254"/>
  <c r="AB683" i="254"/>
  <c r="AA683" i="254"/>
  <c r="Z683" i="254"/>
  <c r="Y683" i="254"/>
  <c r="X683" i="254"/>
  <c r="W683" i="254"/>
  <c r="V683" i="254"/>
  <c r="U683" i="254"/>
  <c r="T683" i="254"/>
  <c r="S683" i="254"/>
  <c r="R683" i="254"/>
  <c r="Q683" i="254"/>
  <c r="P683" i="254"/>
  <c r="O683" i="254"/>
  <c r="N683" i="254"/>
  <c r="M683" i="254"/>
  <c r="L683" i="254"/>
  <c r="K683" i="254"/>
  <c r="J683" i="254"/>
  <c r="I683" i="254"/>
  <c r="H683" i="254"/>
  <c r="G683" i="254"/>
  <c r="F683" i="254"/>
  <c r="E683" i="254"/>
  <c r="D683" i="254"/>
  <c r="C683" i="254"/>
  <c r="B683" i="254"/>
  <c r="A683" i="254"/>
  <c r="AF682" i="254"/>
  <c r="AE682" i="254"/>
  <c r="AD682" i="254"/>
  <c r="AC682" i="254"/>
  <c r="AB682" i="254"/>
  <c r="AA682" i="254"/>
  <c r="Z682" i="254"/>
  <c r="Y682" i="254"/>
  <c r="X682" i="254"/>
  <c r="W682" i="254"/>
  <c r="V682" i="254"/>
  <c r="U682" i="254"/>
  <c r="T682" i="254"/>
  <c r="S682" i="254"/>
  <c r="R682" i="254"/>
  <c r="Q682" i="254"/>
  <c r="P682" i="254"/>
  <c r="O682" i="254"/>
  <c r="N682" i="254"/>
  <c r="M682" i="254"/>
  <c r="L682" i="254"/>
  <c r="K682" i="254"/>
  <c r="J682" i="254"/>
  <c r="I682" i="254"/>
  <c r="H682" i="254"/>
  <c r="G682" i="254"/>
  <c r="F682" i="254"/>
  <c r="E682" i="254"/>
  <c r="D682" i="254"/>
  <c r="C682" i="254"/>
  <c r="B682" i="254"/>
  <c r="A682" i="254"/>
  <c r="AF681" i="254"/>
  <c r="AE681" i="254"/>
  <c r="AD681" i="254"/>
  <c r="AC681" i="254"/>
  <c r="AB681" i="254"/>
  <c r="AA681" i="254"/>
  <c r="Z681" i="254"/>
  <c r="Y681" i="254"/>
  <c r="X681" i="254"/>
  <c r="W681" i="254"/>
  <c r="V681" i="254"/>
  <c r="U681" i="254"/>
  <c r="T681" i="254"/>
  <c r="S681" i="254"/>
  <c r="R681" i="254"/>
  <c r="Q681" i="254"/>
  <c r="P681" i="254"/>
  <c r="O681" i="254"/>
  <c r="N681" i="254"/>
  <c r="M681" i="254"/>
  <c r="L681" i="254"/>
  <c r="K681" i="254"/>
  <c r="J681" i="254"/>
  <c r="I681" i="254"/>
  <c r="H681" i="254"/>
  <c r="G681" i="254"/>
  <c r="F681" i="254"/>
  <c r="E681" i="254"/>
  <c r="D681" i="254"/>
  <c r="C681" i="254"/>
  <c r="B681" i="254"/>
  <c r="A681" i="254"/>
  <c r="AF680" i="254"/>
  <c r="AE680" i="254"/>
  <c r="AD680" i="254"/>
  <c r="AC680" i="254"/>
  <c r="AB680" i="254"/>
  <c r="AA680" i="254"/>
  <c r="Z680" i="254"/>
  <c r="Y680" i="254"/>
  <c r="X680" i="254"/>
  <c r="W680" i="254"/>
  <c r="V680" i="254"/>
  <c r="U680" i="254"/>
  <c r="T680" i="254"/>
  <c r="S680" i="254"/>
  <c r="R680" i="254"/>
  <c r="Q680" i="254"/>
  <c r="P680" i="254"/>
  <c r="O680" i="254"/>
  <c r="N680" i="254"/>
  <c r="M680" i="254"/>
  <c r="L680" i="254"/>
  <c r="K680" i="254"/>
  <c r="J680" i="254"/>
  <c r="I680" i="254"/>
  <c r="H680" i="254"/>
  <c r="G680" i="254"/>
  <c r="F680" i="254"/>
  <c r="E680" i="254"/>
  <c r="D680" i="254"/>
  <c r="C680" i="254"/>
  <c r="B680" i="254"/>
  <c r="A680" i="254"/>
  <c r="AF679" i="254"/>
  <c r="AE679" i="254"/>
  <c r="AD679" i="254"/>
  <c r="AC679" i="254"/>
  <c r="AB679" i="254"/>
  <c r="AA679" i="254"/>
  <c r="Z679" i="254"/>
  <c r="Y679" i="254"/>
  <c r="X679" i="254"/>
  <c r="W679" i="254"/>
  <c r="V679" i="254"/>
  <c r="U679" i="254"/>
  <c r="T679" i="254"/>
  <c r="S679" i="254"/>
  <c r="R679" i="254"/>
  <c r="Q679" i="254"/>
  <c r="P679" i="254"/>
  <c r="O679" i="254"/>
  <c r="N679" i="254"/>
  <c r="M679" i="254"/>
  <c r="L679" i="254"/>
  <c r="K679" i="254"/>
  <c r="J679" i="254"/>
  <c r="I679" i="254"/>
  <c r="H679" i="254"/>
  <c r="G679" i="254"/>
  <c r="F679" i="254"/>
  <c r="E679" i="254"/>
  <c r="D679" i="254"/>
  <c r="C679" i="254"/>
  <c r="B679" i="254"/>
  <c r="A679" i="254"/>
  <c r="AF678" i="254"/>
  <c r="AE678" i="254"/>
  <c r="AD678" i="254"/>
  <c r="AC678" i="254"/>
  <c r="AB678" i="254"/>
  <c r="AA678" i="254"/>
  <c r="Z678" i="254"/>
  <c r="Y678" i="254"/>
  <c r="X678" i="254"/>
  <c r="W678" i="254"/>
  <c r="V678" i="254"/>
  <c r="U678" i="254"/>
  <c r="T678" i="254"/>
  <c r="S678" i="254"/>
  <c r="R678" i="254"/>
  <c r="Q678" i="254"/>
  <c r="P678" i="254"/>
  <c r="O678" i="254"/>
  <c r="N678" i="254"/>
  <c r="M678" i="254"/>
  <c r="L678" i="254"/>
  <c r="K678" i="254"/>
  <c r="J678" i="254"/>
  <c r="I678" i="254"/>
  <c r="H678" i="254"/>
  <c r="G678" i="254"/>
  <c r="F678" i="254"/>
  <c r="E678" i="254"/>
  <c r="D678" i="254"/>
  <c r="C678" i="254"/>
  <c r="B678" i="254"/>
  <c r="A678" i="254"/>
  <c r="AF677" i="254"/>
  <c r="AE677" i="254"/>
  <c r="AD677" i="254"/>
  <c r="AC677" i="254"/>
  <c r="AB677" i="254"/>
  <c r="AA677" i="254"/>
  <c r="Z677" i="254"/>
  <c r="Y677" i="254"/>
  <c r="X677" i="254"/>
  <c r="W677" i="254"/>
  <c r="V677" i="254"/>
  <c r="U677" i="254"/>
  <c r="T677" i="254"/>
  <c r="S677" i="254"/>
  <c r="R677" i="254"/>
  <c r="Q677" i="254"/>
  <c r="P677" i="254"/>
  <c r="O677" i="254"/>
  <c r="N677" i="254"/>
  <c r="M677" i="254"/>
  <c r="L677" i="254"/>
  <c r="K677" i="254"/>
  <c r="J677" i="254"/>
  <c r="I677" i="254"/>
  <c r="H677" i="254"/>
  <c r="G677" i="254"/>
  <c r="F677" i="254"/>
  <c r="E677" i="254"/>
  <c r="D677" i="254"/>
  <c r="C677" i="254"/>
  <c r="B677" i="254"/>
  <c r="A677" i="254"/>
  <c r="AF676" i="254"/>
  <c r="AE676" i="254"/>
  <c r="AD676" i="254"/>
  <c r="AC676" i="254"/>
  <c r="AB676" i="254"/>
  <c r="AA676" i="254"/>
  <c r="Z676" i="254"/>
  <c r="Y676" i="254"/>
  <c r="X676" i="254"/>
  <c r="W676" i="254"/>
  <c r="V676" i="254"/>
  <c r="U676" i="254"/>
  <c r="T676" i="254"/>
  <c r="S676" i="254"/>
  <c r="R676" i="254"/>
  <c r="Q676" i="254"/>
  <c r="P676" i="254"/>
  <c r="O676" i="254"/>
  <c r="N676" i="254"/>
  <c r="M676" i="254"/>
  <c r="L676" i="254"/>
  <c r="K676" i="254"/>
  <c r="J676" i="254"/>
  <c r="I676" i="254"/>
  <c r="H676" i="254"/>
  <c r="G676" i="254"/>
  <c r="F676" i="254"/>
  <c r="E676" i="254"/>
  <c r="D676" i="254"/>
  <c r="C676" i="254"/>
  <c r="B676" i="254"/>
  <c r="A676" i="254"/>
  <c r="AF675" i="254"/>
  <c r="AE675" i="254"/>
  <c r="AD675" i="254"/>
  <c r="AC675" i="254"/>
  <c r="AB675" i="254"/>
  <c r="AA675" i="254"/>
  <c r="Z675" i="254"/>
  <c r="Y675" i="254"/>
  <c r="X675" i="254"/>
  <c r="W675" i="254"/>
  <c r="V675" i="254"/>
  <c r="U675" i="254"/>
  <c r="T675" i="254"/>
  <c r="S675" i="254"/>
  <c r="R675" i="254"/>
  <c r="Q675" i="254"/>
  <c r="P675" i="254"/>
  <c r="O675" i="254"/>
  <c r="N675" i="254"/>
  <c r="M675" i="254"/>
  <c r="L675" i="254"/>
  <c r="K675" i="254"/>
  <c r="J675" i="254"/>
  <c r="I675" i="254"/>
  <c r="H675" i="254"/>
  <c r="G675" i="254"/>
  <c r="F675" i="254"/>
  <c r="E675" i="254"/>
  <c r="D675" i="254"/>
  <c r="C675" i="254"/>
  <c r="B675" i="254"/>
  <c r="A675" i="254"/>
  <c r="AF674" i="254"/>
  <c r="AE674" i="254"/>
  <c r="AD674" i="254"/>
  <c r="AC674" i="254"/>
  <c r="AB674" i="254"/>
  <c r="AA674" i="254"/>
  <c r="Z674" i="254"/>
  <c r="Y674" i="254"/>
  <c r="X674" i="254"/>
  <c r="W674" i="254"/>
  <c r="V674" i="254"/>
  <c r="U674" i="254"/>
  <c r="T674" i="254"/>
  <c r="S674" i="254"/>
  <c r="R674" i="254"/>
  <c r="Q674" i="254"/>
  <c r="P674" i="254"/>
  <c r="O674" i="254"/>
  <c r="N674" i="254"/>
  <c r="M674" i="254"/>
  <c r="L674" i="254"/>
  <c r="K674" i="254"/>
  <c r="J674" i="254"/>
  <c r="I674" i="254"/>
  <c r="H674" i="254"/>
  <c r="G674" i="254"/>
  <c r="F674" i="254"/>
  <c r="E674" i="254"/>
  <c r="D674" i="254"/>
  <c r="C674" i="254"/>
  <c r="B674" i="254"/>
  <c r="A674" i="254"/>
  <c r="AF673" i="254"/>
  <c r="AE673" i="254"/>
  <c r="AD673" i="254"/>
  <c r="AC673" i="254"/>
  <c r="AB673" i="254"/>
  <c r="AA673" i="254"/>
  <c r="Z673" i="254"/>
  <c r="Y673" i="254"/>
  <c r="X673" i="254"/>
  <c r="W673" i="254"/>
  <c r="V673" i="254"/>
  <c r="U673" i="254"/>
  <c r="T673" i="254"/>
  <c r="S673" i="254"/>
  <c r="R673" i="254"/>
  <c r="Q673" i="254"/>
  <c r="P673" i="254"/>
  <c r="O673" i="254"/>
  <c r="N673" i="254"/>
  <c r="M673" i="254"/>
  <c r="L673" i="254"/>
  <c r="K673" i="254"/>
  <c r="J673" i="254"/>
  <c r="I673" i="254"/>
  <c r="H673" i="254"/>
  <c r="G673" i="254"/>
  <c r="F673" i="254"/>
  <c r="E673" i="254"/>
  <c r="D673" i="254"/>
  <c r="C673" i="254"/>
  <c r="B673" i="254"/>
  <c r="A673" i="254"/>
  <c r="AF672" i="254"/>
  <c r="AE672" i="254"/>
  <c r="AD672" i="254"/>
  <c r="AC672" i="254"/>
  <c r="AB672" i="254"/>
  <c r="AA672" i="254"/>
  <c r="Z672" i="254"/>
  <c r="Y672" i="254"/>
  <c r="X672" i="254"/>
  <c r="W672" i="254"/>
  <c r="V672" i="254"/>
  <c r="U672" i="254"/>
  <c r="T672" i="254"/>
  <c r="S672" i="254"/>
  <c r="R672" i="254"/>
  <c r="Q672" i="254"/>
  <c r="P672" i="254"/>
  <c r="O672" i="254"/>
  <c r="N672" i="254"/>
  <c r="M672" i="254"/>
  <c r="L672" i="254"/>
  <c r="K672" i="254"/>
  <c r="J672" i="254"/>
  <c r="I672" i="254"/>
  <c r="H672" i="254"/>
  <c r="G672" i="254"/>
  <c r="F672" i="254"/>
  <c r="E672" i="254"/>
  <c r="D672" i="254"/>
  <c r="C672" i="254"/>
  <c r="B672" i="254"/>
  <c r="A672" i="254"/>
  <c r="AF671" i="254"/>
  <c r="AE671" i="254"/>
  <c r="AD671" i="254"/>
  <c r="AC671" i="254"/>
  <c r="AB671" i="254"/>
  <c r="AA671" i="254"/>
  <c r="Z671" i="254"/>
  <c r="Y671" i="254"/>
  <c r="X671" i="254"/>
  <c r="W671" i="254"/>
  <c r="V671" i="254"/>
  <c r="U671" i="254"/>
  <c r="T671" i="254"/>
  <c r="S671" i="254"/>
  <c r="R671" i="254"/>
  <c r="Q671" i="254"/>
  <c r="P671" i="254"/>
  <c r="O671" i="254"/>
  <c r="N671" i="254"/>
  <c r="M671" i="254"/>
  <c r="L671" i="254"/>
  <c r="K671" i="254"/>
  <c r="J671" i="254"/>
  <c r="I671" i="254"/>
  <c r="H671" i="254"/>
  <c r="G671" i="254"/>
  <c r="F671" i="254"/>
  <c r="E671" i="254"/>
  <c r="D671" i="254"/>
  <c r="C671" i="254"/>
  <c r="B671" i="254"/>
  <c r="A671" i="254"/>
  <c r="AF670" i="254"/>
  <c r="AE670" i="254"/>
  <c r="AD670" i="254"/>
  <c r="AC670" i="254"/>
  <c r="AB670" i="254"/>
  <c r="AA670" i="254"/>
  <c r="Z670" i="254"/>
  <c r="Y670" i="254"/>
  <c r="X670" i="254"/>
  <c r="W670" i="254"/>
  <c r="V670" i="254"/>
  <c r="U670" i="254"/>
  <c r="T670" i="254"/>
  <c r="S670" i="254"/>
  <c r="R670" i="254"/>
  <c r="Q670" i="254"/>
  <c r="P670" i="254"/>
  <c r="O670" i="254"/>
  <c r="N670" i="254"/>
  <c r="M670" i="254"/>
  <c r="L670" i="254"/>
  <c r="K670" i="254"/>
  <c r="J670" i="254"/>
  <c r="I670" i="254"/>
  <c r="H670" i="254"/>
  <c r="G670" i="254"/>
  <c r="F670" i="254"/>
  <c r="E670" i="254"/>
  <c r="D670" i="254"/>
  <c r="C670" i="254"/>
  <c r="B670" i="254"/>
  <c r="A670" i="254"/>
  <c r="AF669" i="254"/>
  <c r="AE669" i="254"/>
  <c r="AD669" i="254"/>
  <c r="AC669" i="254"/>
  <c r="AB669" i="254"/>
  <c r="AA669" i="254"/>
  <c r="Z669" i="254"/>
  <c r="Y669" i="254"/>
  <c r="X669" i="254"/>
  <c r="W669" i="254"/>
  <c r="V669" i="254"/>
  <c r="U669" i="254"/>
  <c r="T669" i="254"/>
  <c r="S669" i="254"/>
  <c r="R669" i="254"/>
  <c r="Q669" i="254"/>
  <c r="P669" i="254"/>
  <c r="O669" i="254"/>
  <c r="N669" i="254"/>
  <c r="M669" i="254"/>
  <c r="L669" i="254"/>
  <c r="K669" i="254"/>
  <c r="J669" i="254"/>
  <c r="I669" i="254"/>
  <c r="H669" i="254"/>
  <c r="G669" i="254"/>
  <c r="F669" i="254"/>
  <c r="E669" i="254"/>
  <c r="D669" i="254"/>
  <c r="C669" i="254"/>
  <c r="B669" i="254"/>
  <c r="A669" i="254"/>
  <c r="AF668" i="254"/>
  <c r="AE668" i="254"/>
  <c r="AD668" i="254"/>
  <c r="AC668" i="254"/>
  <c r="AB668" i="254"/>
  <c r="AA668" i="254"/>
  <c r="Z668" i="254"/>
  <c r="Y668" i="254"/>
  <c r="X668" i="254"/>
  <c r="W668" i="254"/>
  <c r="V668" i="254"/>
  <c r="U668" i="254"/>
  <c r="T668" i="254"/>
  <c r="S668" i="254"/>
  <c r="R668" i="254"/>
  <c r="Q668" i="254"/>
  <c r="P668" i="254"/>
  <c r="O668" i="254"/>
  <c r="N668" i="254"/>
  <c r="M668" i="254"/>
  <c r="L668" i="254"/>
  <c r="K668" i="254"/>
  <c r="J668" i="254"/>
  <c r="I668" i="254"/>
  <c r="H668" i="254"/>
  <c r="G668" i="254"/>
  <c r="F668" i="254"/>
  <c r="E668" i="254"/>
  <c r="D668" i="254"/>
  <c r="C668" i="254"/>
  <c r="B668" i="254"/>
  <c r="A668" i="254"/>
  <c r="AF667" i="254"/>
  <c r="AE667" i="254"/>
  <c r="AD667" i="254"/>
  <c r="AC667" i="254"/>
  <c r="AB667" i="254"/>
  <c r="AA667" i="254"/>
  <c r="Z667" i="254"/>
  <c r="Y667" i="254"/>
  <c r="X667" i="254"/>
  <c r="W667" i="254"/>
  <c r="V667" i="254"/>
  <c r="U667" i="254"/>
  <c r="T667" i="254"/>
  <c r="S667" i="254"/>
  <c r="R667" i="254"/>
  <c r="Q667" i="254"/>
  <c r="P667" i="254"/>
  <c r="O667" i="254"/>
  <c r="N667" i="254"/>
  <c r="M667" i="254"/>
  <c r="L667" i="254"/>
  <c r="K667" i="254"/>
  <c r="J667" i="254"/>
  <c r="I667" i="254"/>
  <c r="H667" i="254"/>
  <c r="G667" i="254"/>
  <c r="F667" i="254"/>
  <c r="E667" i="254"/>
  <c r="D667" i="254"/>
  <c r="C667" i="254"/>
  <c r="B667" i="254"/>
  <c r="A667" i="254"/>
  <c r="AF666" i="254"/>
  <c r="AE666" i="254"/>
  <c r="AD666" i="254"/>
  <c r="AC666" i="254"/>
  <c r="AB666" i="254"/>
  <c r="AA666" i="254"/>
  <c r="Z666" i="254"/>
  <c r="Y666" i="254"/>
  <c r="X666" i="254"/>
  <c r="W666" i="254"/>
  <c r="V666" i="254"/>
  <c r="U666" i="254"/>
  <c r="T666" i="254"/>
  <c r="S666" i="254"/>
  <c r="R666" i="254"/>
  <c r="Q666" i="254"/>
  <c r="P666" i="254"/>
  <c r="O666" i="254"/>
  <c r="N666" i="254"/>
  <c r="M666" i="254"/>
  <c r="L666" i="254"/>
  <c r="K666" i="254"/>
  <c r="J666" i="254"/>
  <c r="I666" i="254"/>
  <c r="H666" i="254"/>
  <c r="G666" i="254"/>
  <c r="F666" i="254"/>
  <c r="E666" i="254"/>
  <c r="D666" i="254"/>
  <c r="C666" i="254"/>
  <c r="B666" i="254"/>
  <c r="A666" i="254"/>
  <c r="AF665" i="254"/>
  <c r="AE665" i="254"/>
  <c r="AD665" i="254"/>
  <c r="AC665" i="254"/>
  <c r="AB665" i="254"/>
  <c r="AA665" i="254"/>
  <c r="Z665" i="254"/>
  <c r="Y665" i="254"/>
  <c r="X665" i="254"/>
  <c r="W665" i="254"/>
  <c r="V665" i="254"/>
  <c r="U665" i="254"/>
  <c r="T665" i="254"/>
  <c r="S665" i="254"/>
  <c r="R665" i="254"/>
  <c r="Q665" i="254"/>
  <c r="P665" i="254"/>
  <c r="O665" i="254"/>
  <c r="N665" i="254"/>
  <c r="M665" i="254"/>
  <c r="L665" i="254"/>
  <c r="K665" i="254"/>
  <c r="J665" i="254"/>
  <c r="I665" i="254"/>
  <c r="H665" i="254"/>
  <c r="G665" i="254"/>
  <c r="F665" i="254"/>
  <c r="E665" i="254"/>
  <c r="D665" i="254"/>
  <c r="C665" i="254"/>
  <c r="B665" i="254"/>
  <c r="A665" i="254"/>
  <c r="AF664" i="254"/>
  <c r="AE664" i="254"/>
  <c r="AD664" i="254"/>
  <c r="AC664" i="254"/>
  <c r="AB664" i="254"/>
  <c r="AA664" i="254"/>
  <c r="Z664" i="254"/>
  <c r="Y664" i="254"/>
  <c r="X664" i="254"/>
  <c r="W664" i="254"/>
  <c r="V664" i="254"/>
  <c r="U664" i="254"/>
  <c r="T664" i="254"/>
  <c r="S664" i="254"/>
  <c r="R664" i="254"/>
  <c r="Q664" i="254"/>
  <c r="P664" i="254"/>
  <c r="O664" i="254"/>
  <c r="N664" i="254"/>
  <c r="M664" i="254"/>
  <c r="L664" i="254"/>
  <c r="K664" i="254"/>
  <c r="J664" i="254"/>
  <c r="I664" i="254"/>
  <c r="H664" i="254"/>
  <c r="G664" i="254"/>
  <c r="F664" i="254"/>
  <c r="E664" i="254"/>
  <c r="D664" i="254"/>
  <c r="C664" i="254"/>
  <c r="B664" i="254"/>
  <c r="A664" i="254"/>
  <c r="AF663" i="254"/>
  <c r="AE663" i="254"/>
  <c r="AD663" i="254"/>
  <c r="AC663" i="254"/>
  <c r="AB663" i="254"/>
  <c r="AA663" i="254"/>
  <c r="Z663" i="254"/>
  <c r="Y663" i="254"/>
  <c r="X663" i="254"/>
  <c r="W663" i="254"/>
  <c r="V663" i="254"/>
  <c r="U663" i="254"/>
  <c r="T663" i="254"/>
  <c r="S663" i="254"/>
  <c r="R663" i="254"/>
  <c r="Q663" i="254"/>
  <c r="P663" i="254"/>
  <c r="O663" i="254"/>
  <c r="N663" i="254"/>
  <c r="M663" i="254"/>
  <c r="L663" i="254"/>
  <c r="K663" i="254"/>
  <c r="J663" i="254"/>
  <c r="I663" i="254"/>
  <c r="H663" i="254"/>
  <c r="G663" i="254"/>
  <c r="F663" i="254"/>
  <c r="E663" i="254"/>
  <c r="D663" i="254"/>
  <c r="C663" i="254"/>
  <c r="B663" i="254"/>
  <c r="A663" i="254"/>
  <c r="AF662" i="254"/>
  <c r="AE662" i="254"/>
  <c r="AD662" i="254"/>
  <c r="AC662" i="254"/>
  <c r="AB662" i="254"/>
  <c r="AA662" i="254"/>
  <c r="Z662" i="254"/>
  <c r="Y662" i="254"/>
  <c r="X662" i="254"/>
  <c r="W662" i="254"/>
  <c r="V662" i="254"/>
  <c r="U662" i="254"/>
  <c r="T662" i="254"/>
  <c r="S662" i="254"/>
  <c r="R662" i="254"/>
  <c r="Q662" i="254"/>
  <c r="P662" i="254"/>
  <c r="O662" i="254"/>
  <c r="N662" i="254"/>
  <c r="M662" i="254"/>
  <c r="L662" i="254"/>
  <c r="K662" i="254"/>
  <c r="J662" i="254"/>
  <c r="I662" i="254"/>
  <c r="H662" i="254"/>
  <c r="G662" i="254"/>
  <c r="F662" i="254"/>
  <c r="E662" i="254"/>
  <c r="D662" i="254"/>
  <c r="C662" i="254"/>
  <c r="B662" i="254"/>
  <c r="A662" i="254"/>
  <c r="AF661" i="254"/>
  <c r="AE661" i="254"/>
  <c r="AD661" i="254"/>
  <c r="AC661" i="254"/>
  <c r="AB661" i="254"/>
  <c r="AA661" i="254"/>
  <c r="Z661" i="254"/>
  <c r="Y661" i="254"/>
  <c r="X661" i="254"/>
  <c r="W661" i="254"/>
  <c r="V661" i="254"/>
  <c r="U661" i="254"/>
  <c r="T661" i="254"/>
  <c r="S661" i="254"/>
  <c r="R661" i="254"/>
  <c r="Q661" i="254"/>
  <c r="P661" i="254"/>
  <c r="O661" i="254"/>
  <c r="N661" i="254"/>
  <c r="M661" i="254"/>
  <c r="L661" i="254"/>
  <c r="K661" i="254"/>
  <c r="J661" i="254"/>
  <c r="I661" i="254"/>
  <c r="H661" i="254"/>
  <c r="G661" i="254"/>
  <c r="F661" i="254"/>
  <c r="E661" i="254"/>
  <c r="D661" i="254"/>
  <c r="C661" i="254"/>
  <c r="B661" i="254"/>
  <c r="A661" i="254"/>
  <c r="AF660" i="254"/>
  <c r="AE660" i="254"/>
  <c r="AD660" i="254"/>
  <c r="AC660" i="254"/>
  <c r="AB660" i="254"/>
  <c r="AA660" i="254"/>
  <c r="Z660" i="254"/>
  <c r="Y660" i="254"/>
  <c r="X660" i="254"/>
  <c r="W660" i="254"/>
  <c r="V660" i="254"/>
  <c r="U660" i="254"/>
  <c r="T660" i="254"/>
  <c r="S660" i="254"/>
  <c r="R660" i="254"/>
  <c r="Q660" i="254"/>
  <c r="P660" i="254"/>
  <c r="O660" i="254"/>
  <c r="N660" i="254"/>
  <c r="M660" i="254"/>
  <c r="L660" i="254"/>
  <c r="K660" i="254"/>
  <c r="J660" i="254"/>
  <c r="I660" i="254"/>
  <c r="H660" i="254"/>
  <c r="G660" i="254"/>
  <c r="F660" i="254"/>
  <c r="E660" i="254"/>
  <c r="D660" i="254"/>
  <c r="C660" i="254"/>
  <c r="B660" i="254"/>
  <c r="A660" i="254"/>
  <c r="AF659" i="254"/>
  <c r="AE659" i="254"/>
  <c r="AD659" i="254"/>
  <c r="AC659" i="254"/>
  <c r="AB659" i="254"/>
  <c r="AA659" i="254"/>
  <c r="Z659" i="254"/>
  <c r="Y659" i="254"/>
  <c r="X659" i="254"/>
  <c r="W659" i="254"/>
  <c r="V659" i="254"/>
  <c r="U659" i="254"/>
  <c r="T659" i="254"/>
  <c r="S659" i="254"/>
  <c r="R659" i="254"/>
  <c r="Q659" i="254"/>
  <c r="P659" i="254"/>
  <c r="O659" i="254"/>
  <c r="N659" i="254"/>
  <c r="M659" i="254"/>
  <c r="L659" i="254"/>
  <c r="K659" i="254"/>
  <c r="J659" i="254"/>
  <c r="I659" i="254"/>
  <c r="H659" i="254"/>
  <c r="G659" i="254"/>
  <c r="F659" i="254"/>
  <c r="E659" i="254"/>
  <c r="D659" i="254"/>
  <c r="C659" i="254"/>
  <c r="B659" i="254"/>
  <c r="A659" i="254"/>
  <c r="AF658" i="254"/>
  <c r="AE658" i="254"/>
  <c r="AD658" i="254"/>
  <c r="AC658" i="254"/>
  <c r="AB658" i="254"/>
  <c r="AA658" i="254"/>
  <c r="Z658" i="254"/>
  <c r="Y658" i="254"/>
  <c r="X658" i="254"/>
  <c r="W658" i="254"/>
  <c r="V658" i="254"/>
  <c r="U658" i="254"/>
  <c r="T658" i="254"/>
  <c r="S658" i="254"/>
  <c r="R658" i="254"/>
  <c r="Q658" i="254"/>
  <c r="P658" i="254"/>
  <c r="O658" i="254"/>
  <c r="N658" i="254"/>
  <c r="M658" i="254"/>
  <c r="L658" i="254"/>
  <c r="K658" i="254"/>
  <c r="J658" i="254"/>
  <c r="I658" i="254"/>
  <c r="H658" i="254"/>
  <c r="G658" i="254"/>
  <c r="F658" i="254"/>
  <c r="E658" i="254"/>
  <c r="D658" i="254"/>
  <c r="C658" i="254"/>
  <c r="B658" i="254"/>
  <c r="A658" i="254"/>
  <c r="AF657" i="254"/>
  <c r="AE657" i="254"/>
  <c r="AD657" i="254"/>
  <c r="AC657" i="254"/>
  <c r="AB657" i="254"/>
  <c r="AA657" i="254"/>
  <c r="Z657" i="254"/>
  <c r="Y657" i="254"/>
  <c r="X657" i="254"/>
  <c r="W657" i="254"/>
  <c r="V657" i="254"/>
  <c r="U657" i="254"/>
  <c r="T657" i="254"/>
  <c r="S657" i="254"/>
  <c r="R657" i="254"/>
  <c r="Q657" i="254"/>
  <c r="P657" i="254"/>
  <c r="O657" i="254"/>
  <c r="N657" i="254"/>
  <c r="M657" i="254"/>
  <c r="L657" i="254"/>
  <c r="K657" i="254"/>
  <c r="J657" i="254"/>
  <c r="I657" i="254"/>
  <c r="H657" i="254"/>
  <c r="G657" i="254"/>
  <c r="F657" i="254"/>
  <c r="E657" i="254"/>
  <c r="D657" i="254"/>
  <c r="C657" i="254"/>
  <c r="B657" i="254"/>
  <c r="A657" i="254"/>
  <c r="AF656" i="254"/>
  <c r="AE656" i="254"/>
  <c r="AD656" i="254"/>
  <c r="AC656" i="254"/>
  <c r="AB656" i="254"/>
  <c r="AA656" i="254"/>
  <c r="Z656" i="254"/>
  <c r="Y656" i="254"/>
  <c r="X656" i="254"/>
  <c r="W656" i="254"/>
  <c r="V656" i="254"/>
  <c r="U656" i="254"/>
  <c r="T656" i="254"/>
  <c r="S656" i="254"/>
  <c r="R656" i="254"/>
  <c r="Q656" i="254"/>
  <c r="P656" i="254"/>
  <c r="O656" i="254"/>
  <c r="N656" i="254"/>
  <c r="M656" i="254"/>
  <c r="L656" i="254"/>
  <c r="K656" i="254"/>
  <c r="J656" i="254"/>
  <c r="I656" i="254"/>
  <c r="H656" i="254"/>
  <c r="G656" i="254"/>
  <c r="F656" i="254"/>
  <c r="E656" i="254"/>
  <c r="D656" i="254"/>
  <c r="C656" i="254"/>
  <c r="B656" i="254"/>
  <c r="A656" i="254"/>
  <c r="AF655" i="254"/>
  <c r="AE655" i="254"/>
  <c r="AD655" i="254"/>
  <c r="AC655" i="254"/>
  <c r="AB655" i="254"/>
  <c r="AA655" i="254"/>
  <c r="Z655" i="254"/>
  <c r="Y655" i="254"/>
  <c r="X655" i="254"/>
  <c r="W655" i="254"/>
  <c r="V655" i="254"/>
  <c r="U655" i="254"/>
  <c r="T655" i="254"/>
  <c r="S655" i="254"/>
  <c r="R655" i="254"/>
  <c r="Q655" i="254"/>
  <c r="P655" i="254"/>
  <c r="O655" i="254"/>
  <c r="N655" i="254"/>
  <c r="M655" i="254"/>
  <c r="L655" i="254"/>
  <c r="K655" i="254"/>
  <c r="J655" i="254"/>
  <c r="I655" i="254"/>
  <c r="H655" i="254"/>
  <c r="G655" i="254"/>
  <c r="F655" i="254"/>
  <c r="E655" i="254"/>
  <c r="D655" i="254"/>
  <c r="C655" i="254"/>
  <c r="B655" i="254"/>
  <c r="A655" i="254"/>
  <c r="AF654" i="254"/>
  <c r="AE654" i="254"/>
  <c r="AD654" i="254"/>
  <c r="AC654" i="254"/>
  <c r="AB654" i="254"/>
  <c r="AA654" i="254"/>
  <c r="Z654" i="254"/>
  <c r="Y654" i="254"/>
  <c r="X654" i="254"/>
  <c r="W654" i="254"/>
  <c r="V654" i="254"/>
  <c r="U654" i="254"/>
  <c r="T654" i="254"/>
  <c r="S654" i="254"/>
  <c r="R654" i="254"/>
  <c r="Q654" i="254"/>
  <c r="P654" i="254"/>
  <c r="O654" i="254"/>
  <c r="N654" i="254"/>
  <c r="M654" i="254"/>
  <c r="L654" i="254"/>
  <c r="K654" i="254"/>
  <c r="J654" i="254"/>
  <c r="I654" i="254"/>
  <c r="H654" i="254"/>
  <c r="G654" i="254"/>
  <c r="F654" i="254"/>
  <c r="E654" i="254"/>
  <c r="D654" i="254"/>
  <c r="C654" i="254"/>
  <c r="B654" i="254"/>
  <c r="A654" i="254"/>
  <c r="AF653" i="254"/>
  <c r="AE653" i="254"/>
  <c r="AD653" i="254"/>
  <c r="AC653" i="254"/>
  <c r="AB653" i="254"/>
  <c r="AA653" i="254"/>
  <c r="Z653" i="254"/>
  <c r="Y653" i="254"/>
  <c r="X653" i="254"/>
  <c r="W653" i="254"/>
  <c r="V653" i="254"/>
  <c r="U653" i="254"/>
  <c r="T653" i="254"/>
  <c r="S653" i="254"/>
  <c r="R653" i="254"/>
  <c r="Q653" i="254"/>
  <c r="P653" i="254"/>
  <c r="O653" i="254"/>
  <c r="N653" i="254"/>
  <c r="M653" i="254"/>
  <c r="L653" i="254"/>
  <c r="K653" i="254"/>
  <c r="J653" i="254"/>
  <c r="I653" i="254"/>
  <c r="H653" i="254"/>
  <c r="G653" i="254"/>
  <c r="F653" i="254"/>
  <c r="E653" i="254"/>
  <c r="D653" i="254"/>
  <c r="C653" i="254"/>
  <c r="B653" i="254"/>
  <c r="A653" i="254"/>
  <c r="AF652" i="254"/>
  <c r="AE652" i="254"/>
  <c r="AD652" i="254"/>
  <c r="AC652" i="254"/>
  <c r="AB652" i="254"/>
  <c r="AA652" i="254"/>
  <c r="Z652" i="254"/>
  <c r="Y652" i="254"/>
  <c r="X652" i="254"/>
  <c r="W652" i="254"/>
  <c r="V652" i="254"/>
  <c r="U652" i="254"/>
  <c r="T652" i="254"/>
  <c r="S652" i="254"/>
  <c r="R652" i="254"/>
  <c r="Q652" i="254"/>
  <c r="P652" i="254"/>
  <c r="O652" i="254"/>
  <c r="N652" i="254"/>
  <c r="M652" i="254"/>
  <c r="L652" i="254"/>
  <c r="K652" i="254"/>
  <c r="J652" i="254"/>
  <c r="I652" i="254"/>
  <c r="H652" i="254"/>
  <c r="G652" i="254"/>
  <c r="F652" i="254"/>
  <c r="E652" i="254"/>
  <c r="D652" i="254"/>
  <c r="C652" i="254"/>
  <c r="B652" i="254"/>
  <c r="A652" i="254"/>
  <c r="AF651" i="254"/>
  <c r="AE651" i="254"/>
  <c r="AD651" i="254"/>
  <c r="AC651" i="254"/>
  <c r="AB651" i="254"/>
  <c r="AA651" i="254"/>
  <c r="Z651" i="254"/>
  <c r="Y651" i="254"/>
  <c r="X651" i="254"/>
  <c r="W651" i="254"/>
  <c r="V651" i="254"/>
  <c r="U651" i="254"/>
  <c r="T651" i="254"/>
  <c r="S651" i="254"/>
  <c r="R651" i="254"/>
  <c r="Q651" i="254"/>
  <c r="P651" i="254"/>
  <c r="O651" i="254"/>
  <c r="N651" i="254"/>
  <c r="M651" i="254"/>
  <c r="L651" i="254"/>
  <c r="K651" i="254"/>
  <c r="J651" i="254"/>
  <c r="I651" i="254"/>
  <c r="H651" i="254"/>
  <c r="G651" i="254"/>
  <c r="F651" i="254"/>
  <c r="E651" i="254"/>
  <c r="D651" i="254"/>
  <c r="C651" i="254"/>
  <c r="B651" i="254"/>
  <c r="A651" i="254"/>
  <c r="AF650" i="254"/>
  <c r="AE650" i="254"/>
  <c r="AD650" i="254"/>
  <c r="AC650" i="254"/>
  <c r="AB650" i="254"/>
  <c r="AA650" i="254"/>
  <c r="Z650" i="254"/>
  <c r="Y650" i="254"/>
  <c r="X650" i="254"/>
  <c r="W650" i="254"/>
  <c r="V650" i="254"/>
  <c r="U650" i="254"/>
  <c r="T650" i="254"/>
  <c r="S650" i="254"/>
  <c r="R650" i="254"/>
  <c r="Q650" i="254"/>
  <c r="P650" i="254"/>
  <c r="O650" i="254"/>
  <c r="N650" i="254"/>
  <c r="M650" i="254"/>
  <c r="L650" i="254"/>
  <c r="K650" i="254"/>
  <c r="J650" i="254"/>
  <c r="I650" i="254"/>
  <c r="H650" i="254"/>
  <c r="G650" i="254"/>
  <c r="F650" i="254"/>
  <c r="E650" i="254"/>
  <c r="D650" i="254"/>
  <c r="C650" i="254"/>
  <c r="B650" i="254"/>
  <c r="A650" i="254"/>
  <c r="AF649" i="254"/>
  <c r="AE649" i="254"/>
  <c r="AD649" i="254"/>
  <c r="AC649" i="254"/>
  <c r="AB649" i="254"/>
  <c r="AA649" i="254"/>
  <c r="Z649" i="254"/>
  <c r="Y649" i="254"/>
  <c r="X649" i="254"/>
  <c r="W649" i="254"/>
  <c r="V649" i="254"/>
  <c r="U649" i="254"/>
  <c r="T649" i="254"/>
  <c r="S649" i="254"/>
  <c r="R649" i="254"/>
  <c r="Q649" i="254"/>
  <c r="P649" i="254"/>
  <c r="O649" i="254"/>
  <c r="N649" i="254"/>
  <c r="M649" i="254"/>
  <c r="L649" i="254"/>
  <c r="K649" i="254"/>
  <c r="J649" i="254"/>
  <c r="I649" i="254"/>
  <c r="H649" i="254"/>
  <c r="G649" i="254"/>
  <c r="F649" i="254"/>
  <c r="E649" i="254"/>
  <c r="D649" i="254"/>
  <c r="C649" i="254"/>
  <c r="B649" i="254"/>
  <c r="A649" i="254"/>
  <c r="AF648" i="254"/>
  <c r="AE648" i="254"/>
  <c r="AD648" i="254"/>
  <c r="AC648" i="254"/>
  <c r="AB648" i="254"/>
  <c r="AA648" i="254"/>
  <c r="Z648" i="254"/>
  <c r="Y648" i="254"/>
  <c r="X648" i="254"/>
  <c r="W648" i="254"/>
  <c r="V648" i="254"/>
  <c r="U648" i="254"/>
  <c r="T648" i="254"/>
  <c r="S648" i="254"/>
  <c r="R648" i="254"/>
  <c r="Q648" i="254"/>
  <c r="P648" i="254"/>
  <c r="O648" i="254"/>
  <c r="N648" i="254"/>
  <c r="M648" i="254"/>
  <c r="L648" i="254"/>
  <c r="K648" i="254"/>
  <c r="J648" i="254"/>
  <c r="I648" i="254"/>
  <c r="H648" i="254"/>
  <c r="G648" i="254"/>
  <c r="F648" i="254"/>
  <c r="E648" i="254"/>
  <c r="D648" i="254"/>
  <c r="C648" i="254"/>
  <c r="B648" i="254"/>
  <c r="A648" i="254"/>
  <c r="AF647" i="254"/>
  <c r="AE647" i="254"/>
  <c r="AD647" i="254"/>
  <c r="AC647" i="254"/>
  <c r="AB647" i="254"/>
  <c r="AA647" i="254"/>
  <c r="Z647" i="254"/>
  <c r="Y647" i="254"/>
  <c r="X647" i="254"/>
  <c r="W647" i="254"/>
  <c r="V647" i="254"/>
  <c r="U647" i="254"/>
  <c r="T647" i="254"/>
  <c r="S647" i="254"/>
  <c r="R647" i="254"/>
  <c r="Q647" i="254"/>
  <c r="P647" i="254"/>
  <c r="O647" i="254"/>
  <c r="N647" i="254"/>
  <c r="M647" i="254"/>
  <c r="L647" i="254"/>
  <c r="K647" i="254"/>
  <c r="J647" i="254"/>
  <c r="I647" i="254"/>
  <c r="H647" i="254"/>
  <c r="G647" i="254"/>
  <c r="F647" i="254"/>
  <c r="E647" i="254"/>
  <c r="D647" i="254"/>
  <c r="C647" i="254"/>
  <c r="B647" i="254"/>
  <c r="A647" i="254"/>
  <c r="AF646" i="254"/>
  <c r="AE646" i="254"/>
  <c r="AD646" i="254"/>
  <c r="AC646" i="254"/>
  <c r="AB646" i="254"/>
  <c r="AA646" i="254"/>
  <c r="Z646" i="254"/>
  <c r="Y646" i="254"/>
  <c r="X646" i="254"/>
  <c r="W646" i="254"/>
  <c r="V646" i="254"/>
  <c r="U646" i="254"/>
  <c r="T646" i="254"/>
  <c r="S646" i="254"/>
  <c r="R646" i="254"/>
  <c r="Q646" i="254"/>
  <c r="P646" i="254"/>
  <c r="O646" i="254"/>
  <c r="N646" i="254"/>
  <c r="M646" i="254"/>
  <c r="L646" i="254"/>
  <c r="K646" i="254"/>
  <c r="J646" i="254"/>
  <c r="I646" i="254"/>
  <c r="H646" i="254"/>
  <c r="G646" i="254"/>
  <c r="F646" i="254"/>
  <c r="E646" i="254"/>
  <c r="D646" i="254"/>
  <c r="C646" i="254"/>
  <c r="B646" i="254"/>
  <c r="A646" i="254"/>
  <c r="AF645" i="254"/>
  <c r="AE645" i="254"/>
  <c r="AD645" i="254"/>
  <c r="AC645" i="254"/>
  <c r="AB645" i="254"/>
  <c r="AA645" i="254"/>
  <c r="Z645" i="254"/>
  <c r="Y645" i="254"/>
  <c r="X645" i="254"/>
  <c r="W645" i="254"/>
  <c r="V645" i="254"/>
  <c r="U645" i="254"/>
  <c r="T645" i="254"/>
  <c r="S645" i="254"/>
  <c r="R645" i="254"/>
  <c r="Q645" i="254"/>
  <c r="P645" i="254"/>
  <c r="O645" i="254"/>
  <c r="N645" i="254"/>
  <c r="M645" i="254"/>
  <c r="L645" i="254"/>
  <c r="K645" i="254"/>
  <c r="J645" i="254"/>
  <c r="I645" i="254"/>
  <c r="H645" i="254"/>
  <c r="G645" i="254"/>
  <c r="F645" i="254"/>
  <c r="E645" i="254"/>
  <c r="D645" i="254"/>
  <c r="C645" i="254"/>
  <c r="B645" i="254"/>
  <c r="A645" i="254"/>
  <c r="AF644" i="254"/>
  <c r="AE644" i="254"/>
  <c r="AD644" i="254"/>
  <c r="AC644" i="254"/>
  <c r="AB644" i="254"/>
  <c r="AA644" i="254"/>
  <c r="Z644" i="254"/>
  <c r="Y644" i="254"/>
  <c r="X644" i="254"/>
  <c r="W644" i="254"/>
  <c r="V644" i="254"/>
  <c r="U644" i="254"/>
  <c r="T644" i="254"/>
  <c r="S644" i="254"/>
  <c r="R644" i="254"/>
  <c r="Q644" i="254"/>
  <c r="P644" i="254"/>
  <c r="O644" i="254"/>
  <c r="N644" i="254"/>
  <c r="M644" i="254"/>
  <c r="L644" i="254"/>
  <c r="K644" i="254"/>
  <c r="J644" i="254"/>
  <c r="I644" i="254"/>
  <c r="H644" i="254"/>
  <c r="G644" i="254"/>
  <c r="F644" i="254"/>
  <c r="E644" i="254"/>
  <c r="D644" i="254"/>
  <c r="C644" i="254"/>
  <c r="B644" i="254"/>
  <c r="A644" i="254"/>
  <c r="AF643" i="254"/>
  <c r="AE643" i="254"/>
  <c r="AD643" i="254"/>
  <c r="AC643" i="254"/>
  <c r="AB643" i="254"/>
  <c r="AA643" i="254"/>
  <c r="Z643" i="254"/>
  <c r="Y643" i="254"/>
  <c r="X643" i="254"/>
  <c r="W643" i="254"/>
  <c r="V643" i="254"/>
  <c r="U643" i="254"/>
  <c r="T643" i="254"/>
  <c r="S643" i="254"/>
  <c r="R643" i="254"/>
  <c r="Q643" i="254"/>
  <c r="P643" i="254"/>
  <c r="O643" i="254"/>
  <c r="N643" i="254"/>
  <c r="M643" i="254"/>
  <c r="L643" i="254"/>
  <c r="K643" i="254"/>
  <c r="J643" i="254"/>
  <c r="I643" i="254"/>
  <c r="H643" i="254"/>
  <c r="G643" i="254"/>
  <c r="F643" i="254"/>
  <c r="E643" i="254"/>
  <c r="D643" i="254"/>
  <c r="C643" i="254"/>
  <c r="B643" i="254"/>
  <c r="A643" i="254"/>
  <c r="AF642" i="254"/>
  <c r="AE642" i="254"/>
  <c r="AD642" i="254"/>
  <c r="AC642" i="254"/>
  <c r="AB642" i="254"/>
  <c r="AA642" i="254"/>
  <c r="Z642" i="254"/>
  <c r="Y642" i="254"/>
  <c r="X642" i="254"/>
  <c r="W642" i="254"/>
  <c r="V642" i="254"/>
  <c r="U642" i="254"/>
  <c r="T642" i="254"/>
  <c r="S642" i="254"/>
  <c r="R642" i="254"/>
  <c r="Q642" i="254"/>
  <c r="P642" i="254"/>
  <c r="O642" i="254"/>
  <c r="N642" i="254"/>
  <c r="M642" i="254"/>
  <c r="L642" i="254"/>
  <c r="K642" i="254"/>
  <c r="J642" i="254"/>
  <c r="I642" i="254"/>
  <c r="H642" i="254"/>
  <c r="G642" i="254"/>
  <c r="F642" i="254"/>
  <c r="E642" i="254"/>
  <c r="D642" i="254"/>
  <c r="C642" i="254"/>
  <c r="B642" i="254"/>
  <c r="A642" i="254"/>
  <c r="AF641" i="254"/>
  <c r="AE641" i="254"/>
  <c r="AD641" i="254"/>
  <c r="AC641" i="254"/>
  <c r="AB641" i="254"/>
  <c r="AA641" i="254"/>
  <c r="Z641" i="254"/>
  <c r="Y641" i="254"/>
  <c r="X641" i="254"/>
  <c r="W641" i="254"/>
  <c r="V641" i="254"/>
  <c r="U641" i="254"/>
  <c r="T641" i="254"/>
  <c r="S641" i="254"/>
  <c r="R641" i="254"/>
  <c r="Q641" i="254"/>
  <c r="P641" i="254"/>
  <c r="O641" i="254"/>
  <c r="N641" i="254"/>
  <c r="M641" i="254"/>
  <c r="L641" i="254"/>
  <c r="K641" i="254"/>
  <c r="J641" i="254"/>
  <c r="I641" i="254"/>
  <c r="H641" i="254"/>
  <c r="G641" i="254"/>
  <c r="F641" i="254"/>
  <c r="E641" i="254"/>
  <c r="D641" i="254"/>
  <c r="C641" i="254"/>
  <c r="B641" i="254"/>
  <c r="A641" i="254"/>
  <c r="AF640" i="254"/>
  <c r="AE640" i="254"/>
  <c r="AD640" i="254"/>
  <c r="AC640" i="254"/>
  <c r="AB640" i="254"/>
  <c r="AA640" i="254"/>
  <c r="Z640" i="254"/>
  <c r="Y640" i="254"/>
  <c r="X640" i="254"/>
  <c r="W640" i="254"/>
  <c r="V640" i="254"/>
  <c r="U640" i="254"/>
  <c r="T640" i="254"/>
  <c r="S640" i="254"/>
  <c r="R640" i="254"/>
  <c r="Q640" i="254"/>
  <c r="P640" i="254"/>
  <c r="O640" i="254"/>
  <c r="N640" i="254"/>
  <c r="M640" i="254"/>
  <c r="L640" i="254"/>
  <c r="K640" i="254"/>
  <c r="J640" i="254"/>
  <c r="I640" i="254"/>
  <c r="H640" i="254"/>
  <c r="G640" i="254"/>
  <c r="F640" i="254"/>
  <c r="E640" i="254"/>
  <c r="D640" i="254"/>
  <c r="C640" i="254"/>
  <c r="B640" i="254"/>
  <c r="A640" i="254"/>
  <c r="AF639" i="254"/>
  <c r="AE639" i="254"/>
  <c r="AD639" i="254"/>
  <c r="AC639" i="254"/>
  <c r="AB639" i="254"/>
  <c r="AA639" i="254"/>
  <c r="Z639" i="254"/>
  <c r="Y639" i="254"/>
  <c r="X639" i="254"/>
  <c r="W639" i="254"/>
  <c r="V639" i="254"/>
  <c r="U639" i="254"/>
  <c r="T639" i="254"/>
  <c r="S639" i="254"/>
  <c r="R639" i="254"/>
  <c r="Q639" i="254"/>
  <c r="P639" i="254"/>
  <c r="O639" i="254"/>
  <c r="N639" i="254"/>
  <c r="M639" i="254"/>
  <c r="L639" i="254"/>
  <c r="K639" i="254"/>
  <c r="J639" i="254"/>
  <c r="I639" i="254"/>
  <c r="H639" i="254"/>
  <c r="G639" i="254"/>
  <c r="F639" i="254"/>
  <c r="E639" i="254"/>
  <c r="D639" i="254"/>
  <c r="C639" i="254"/>
  <c r="B639" i="254"/>
  <c r="A639" i="254"/>
  <c r="AF638" i="254"/>
  <c r="AE638" i="254"/>
  <c r="AD638" i="254"/>
  <c r="AC638" i="254"/>
  <c r="AB638" i="254"/>
  <c r="AA638" i="254"/>
  <c r="Z638" i="254"/>
  <c r="Y638" i="254"/>
  <c r="X638" i="254"/>
  <c r="W638" i="254"/>
  <c r="V638" i="254"/>
  <c r="U638" i="254"/>
  <c r="T638" i="254"/>
  <c r="S638" i="254"/>
  <c r="R638" i="254"/>
  <c r="Q638" i="254"/>
  <c r="P638" i="254"/>
  <c r="O638" i="254"/>
  <c r="N638" i="254"/>
  <c r="M638" i="254"/>
  <c r="L638" i="254"/>
  <c r="K638" i="254"/>
  <c r="J638" i="254"/>
  <c r="I638" i="254"/>
  <c r="H638" i="254"/>
  <c r="G638" i="254"/>
  <c r="F638" i="254"/>
  <c r="E638" i="254"/>
  <c r="D638" i="254"/>
  <c r="C638" i="254"/>
  <c r="B638" i="254"/>
  <c r="A638" i="254"/>
  <c r="AF637" i="254"/>
  <c r="AE637" i="254"/>
  <c r="AD637" i="254"/>
  <c r="AC637" i="254"/>
  <c r="AB637" i="254"/>
  <c r="AA637" i="254"/>
  <c r="Z637" i="254"/>
  <c r="Y637" i="254"/>
  <c r="X637" i="254"/>
  <c r="W637" i="254"/>
  <c r="V637" i="254"/>
  <c r="U637" i="254"/>
  <c r="T637" i="254"/>
  <c r="S637" i="254"/>
  <c r="R637" i="254"/>
  <c r="Q637" i="254"/>
  <c r="P637" i="254"/>
  <c r="O637" i="254"/>
  <c r="N637" i="254"/>
  <c r="M637" i="254"/>
  <c r="L637" i="254"/>
  <c r="K637" i="254"/>
  <c r="J637" i="254"/>
  <c r="I637" i="254"/>
  <c r="H637" i="254"/>
  <c r="G637" i="254"/>
  <c r="F637" i="254"/>
  <c r="E637" i="254"/>
  <c r="D637" i="254"/>
  <c r="C637" i="254"/>
  <c r="B637" i="254"/>
  <c r="A637" i="254"/>
  <c r="AF636" i="254"/>
  <c r="AE636" i="254"/>
  <c r="AD636" i="254"/>
  <c r="AC636" i="254"/>
  <c r="AB636" i="254"/>
  <c r="AA636" i="254"/>
  <c r="Z636" i="254"/>
  <c r="Y636" i="254"/>
  <c r="X636" i="254"/>
  <c r="W636" i="254"/>
  <c r="V636" i="254"/>
  <c r="U636" i="254"/>
  <c r="T636" i="254"/>
  <c r="S636" i="254"/>
  <c r="R636" i="254"/>
  <c r="Q636" i="254"/>
  <c r="P636" i="254"/>
  <c r="O636" i="254"/>
  <c r="N636" i="254"/>
  <c r="M636" i="254"/>
  <c r="L636" i="254"/>
  <c r="K636" i="254"/>
  <c r="J636" i="254"/>
  <c r="I636" i="254"/>
  <c r="H636" i="254"/>
  <c r="G636" i="254"/>
  <c r="F636" i="254"/>
  <c r="E636" i="254"/>
  <c r="D636" i="254"/>
  <c r="C636" i="254"/>
  <c r="B636" i="254"/>
  <c r="A636" i="254"/>
  <c r="AF635" i="254"/>
  <c r="AE635" i="254"/>
  <c r="AD635" i="254"/>
  <c r="AC635" i="254"/>
  <c r="AB635" i="254"/>
  <c r="AA635" i="254"/>
  <c r="Z635" i="254"/>
  <c r="Y635" i="254"/>
  <c r="X635" i="254"/>
  <c r="W635" i="254"/>
  <c r="V635" i="254"/>
  <c r="U635" i="254"/>
  <c r="T635" i="254"/>
  <c r="S635" i="254"/>
  <c r="R635" i="254"/>
  <c r="Q635" i="254"/>
  <c r="P635" i="254"/>
  <c r="O635" i="254"/>
  <c r="N635" i="254"/>
  <c r="M635" i="254"/>
  <c r="L635" i="254"/>
  <c r="K635" i="254"/>
  <c r="J635" i="254"/>
  <c r="I635" i="254"/>
  <c r="H635" i="254"/>
  <c r="G635" i="254"/>
  <c r="F635" i="254"/>
  <c r="E635" i="254"/>
  <c r="D635" i="254"/>
  <c r="C635" i="254"/>
  <c r="B635" i="254"/>
  <c r="A635" i="254"/>
  <c r="AF634" i="254"/>
  <c r="AE634" i="254"/>
  <c r="AD634" i="254"/>
  <c r="AC634" i="254"/>
  <c r="AB634" i="254"/>
  <c r="AA634" i="254"/>
  <c r="Z634" i="254"/>
  <c r="Y634" i="254"/>
  <c r="X634" i="254"/>
  <c r="W634" i="254"/>
  <c r="V634" i="254"/>
  <c r="U634" i="254"/>
  <c r="T634" i="254"/>
  <c r="S634" i="254"/>
  <c r="R634" i="254"/>
  <c r="Q634" i="254"/>
  <c r="P634" i="254"/>
  <c r="O634" i="254"/>
  <c r="N634" i="254"/>
  <c r="M634" i="254"/>
  <c r="L634" i="254"/>
  <c r="K634" i="254"/>
  <c r="J634" i="254"/>
  <c r="I634" i="254"/>
  <c r="H634" i="254"/>
  <c r="G634" i="254"/>
  <c r="F634" i="254"/>
  <c r="E634" i="254"/>
  <c r="D634" i="254"/>
  <c r="C634" i="254"/>
  <c r="B634" i="254"/>
  <c r="A634" i="254"/>
  <c r="AF633" i="254"/>
  <c r="AE633" i="254"/>
  <c r="AD633" i="254"/>
  <c r="AC633" i="254"/>
  <c r="AB633" i="254"/>
  <c r="AA633" i="254"/>
  <c r="Z633" i="254"/>
  <c r="Y633" i="254"/>
  <c r="X633" i="254"/>
  <c r="W633" i="254"/>
  <c r="V633" i="254"/>
  <c r="U633" i="254"/>
  <c r="T633" i="254"/>
  <c r="S633" i="254"/>
  <c r="R633" i="254"/>
  <c r="Q633" i="254"/>
  <c r="P633" i="254"/>
  <c r="O633" i="254"/>
  <c r="N633" i="254"/>
  <c r="M633" i="254"/>
  <c r="L633" i="254"/>
  <c r="K633" i="254"/>
  <c r="J633" i="254"/>
  <c r="I633" i="254"/>
  <c r="H633" i="254"/>
  <c r="G633" i="254"/>
  <c r="F633" i="254"/>
  <c r="E633" i="254"/>
  <c r="D633" i="254"/>
  <c r="C633" i="254"/>
  <c r="B633" i="254"/>
  <c r="A633" i="254"/>
  <c r="AF632" i="254"/>
  <c r="AE632" i="254"/>
  <c r="AD632" i="254"/>
  <c r="AC632" i="254"/>
  <c r="AB632" i="254"/>
  <c r="AA632" i="254"/>
  <c r="Z632" i="254"/>
  <c r="Y632" i="254"/>
  <c r="X632" i="254"/>
  <c r="W632" i="254"/>
  <c r="V632" i="254"/>
  <c r="U632" i="254"/>
  <c r="T632" i="254"/>
  <c r="S632" i="254"/>
  <c r="R632" i="254"/>
  <c r="Q632" i="254"/>
  <c r="P632" i="254"/>
  <c r="O632" i="254"/>
  <c r="N632" i="254"/>
  <c r="M632" i="254"/>
  <c r="L632" i="254"/>
  <c r="K632" i="254"/>
  <c r="J632" i="254"/>
  <c r="I632" i="254"/>
  <c r="H632" i="254"/>
  <c r="G632" i="254"/>
  <c r="F632" i="254"/>
  <c r="E632" i="254"/>
  <c r="D632" i="254"/>
  <c r="C632" i="254"/>
  <c r="B632" i="254"/>
  <c r="A632" i="254"/>
  <c r="AF631" i="254"/>
  <c r="AE631" i="254"/>
  <c r="AD631" i="254"/>
  <c r="AC631" i="254"/>
  <c r="AB631" i="254"/>
  <c r="AA631" i="254"/>
  <c r="Z631" i="254"/>
  <c r="Y631" i="254"/>
  <c r="X631" i="254"/>
  <c r="W631" i="254"/>
  <c r="V631" i="254"/>
  <c r="U631" i="254"/>
  <c r="T631" i="254"/>
  <c r="S631" i="254"/>
  <c r="R631" i="254"/>
  <c r="Q631" i="254"/>
  <c r="P631" i="254"/>
  <c r="O631" i="254"/>
  <c r="N631" i="254"/>
  <c r="M631" i="254"/>
  <c r="L631" i="254"/>
  <c r="K631" i="254"/>
  <c r="J631" i="254"/>
  <c r="I631" i="254"/>
  <c r="H631" i="254"/>
  <c r="G631" i="254"/>
  <c r="F631" i="254"/>
  <c r="E631" i="254"/>
  <c r="D631" i="254"/>
  <c r="C631" i="254"/>
  <c r="B631" i="254"/>
  <c r="A631" i="254"/>
  <c r="AF630" i="254"/>
  <c r="AE630" i="254"/>
  <c r="AD630" i="254"/>
  <c r="AC630" i="254"/>
  <c r="AB630" i="254"/>
  <c r="AA630" i="254"/>
  <c r="Z630" i="254"/>
  <c r="Y630" i="254"/>
  <c r="X630" i="254"/>
  <c r="W630" i="254"/>
  <c r="V630" i="254"/>
  <c r="U630" i="254"/>
  <c r="T630" i="254"/>
  <c r="S630" i="254"/>
  <c r="R630" i="254"/>
  <c r="Q630" i="254"/>
  <c r="P630" i="254"/>
  <c r="O630" i="254"/>
  <c r="N630" i="254"/>
  <c r="M630" i="254"/>
  <c r="L630" i="254"/>
  <c r="K630" i="254"/>
  <c r="J630" i="254"/>
  <c r="I630" i="254"/>
  <c r="H630" i="254"/>
  <c r="G630" i="254"/>
  <c r="F630" i="254"/>
  <c r="E630" i="254"/>
  <c r="D630" i="254"/>
  <c r="C630" i="254"/>
  <c r="B630" i="254"/>
  <c r="A630" i="254"/>
  <c r="AF629" i="254"/>
  <c r="AE629" i="254"/>
  <c r="AD629" i="254"/>
  <c r="AC629" i="254"/>
  <c r="AB629" i="254"/>
  <c r="AA629" i="254"/>
  <c r="Z629" i="254"/>
  <c r="Y629" i="254"/>
  <c r="X629" i="254"/>
  <c r="W629" i="254"/>
  <c r="V629" i="254"/>
  <c r="U629" i="254"/>
  <c r="T629" i="254"/>
  <c r="S629" i="254"/>
  <c r="R629" i="254"/>
  <c r="Q629" i="254"/>
  <c r="P629" i="254"/>
  <c r="O629" i="254"/>
  <c r="N629" i="254"/>
  <c r="M629" i="254"/>
  <c r="L629" i="254"/>
  <c r="K629" i="254"/>
  <c r="J629" i="254"/>
  <c r="I629" i="254"/>
  <c r="H629" i="254"/>
  <c r="G629" i="254"/>
  <c r="F629" i="254"/>
  <c r="E629" i="254"/>
  <c r="D629" i="254"/>
  <c r="C629" i="254"/>
  <c r="B629" i="254"/>
  <c r="A629" i="254"/>
  <c r="AF628" i="254"/>
  <c r="AE628" i="254"/>
  <c r="AD628" i="254"/>
  <c r="AC628" i="254"/>
  <c r="AB628" i="254"/>
  <c r="AA628" i="254"/>
  <c r="Z628" i="254"/>
  <c r="Y628" i="254"/>
  <c r="X628" i="254"/>
  <c r="W628" i="254"/>
  <c r="V628" i="254"/>
  <c r="U628" i="254"/>
  <c r="T628" i="254"/>
  <c r="S628" i="254"/>
  <c r="R628" i="254"/>
  <c r="Q628" i="254"/>
  <c r="P628" i="254"/>
  <c r="O628" i="254"/>
  <c r="N628" i="254"/>
  <c r="M628" i="254"/>
  <c r="L628" i="254"/>
  <c r="K628" i="254"/>
  <c r="J628" i="254"/>
  <c r="I628" i="254"/>
  <c r="H628" i="254"/>
  <c r="G628" i="254"/>
  <c r="F628" i="254"/>
  <c r="E628" i="254"/>
  <c r="D628" i="254"/>
  <c r="C628" i="254"/>
  <c r="B628" i="254"/>
  <c r="A628" i="254"/>
  <c r="AF627" i="254"/>
  <c r="AE627" i="254"/>
  <c r="AD627" i="254"/>
  <c r="AC627" i="254"/>
  <c r="AB627" i="254"/>
  <c r="AA627" i="254"/>
  <c r="Z627" i="254"/>
  <c r="Y627" i="254"/>
  <c r="X627" i="254"/>
  <c r="W627" i="254"/>
  <c r="V627" i="254"/>
  <c r="U627" i="254"/>
  <c r="T627" i="254"/>
  <c r="S627" i="254"/>
  <c r="R627" i="254"/>
  <c r="Q627" i="254"/>
  <c r="P627" i="254"/>
  <c r="O627" i="254"/>
  <c r="N627" i="254"/>
  <c r="M627" i="254"/>
  <c r="L627" i="254"/>
  <c r="K627" i="254"/>
  <c r="J627" i="254"/>
  <c r="I627" i="254"/>
  <c r="H627" i="254"/>
  <c r="G627" i="254"/>
  <c r="F627" i="254"/>
  <c r="E627" i="254"/>
  <c r="D627" i="254"/>
  <c r="C627" i="254"/>
  <c r="B627" i="254"/>
  <c r="A627" i="254"/>
  <c r="AF626" i="254"/>
  <c r="AE626" i="254"/>
  <c r="AD626" i="254"/>
  <c r="AC626" i="254"/>
  <c r="AB626" i="254"/>
  <c r="AA626" i="254"/>
  <c r="Z626" i="254"/>
  <c r="Y626" i="254"/>
  <c r="X626" i="254"/>
  <c r="W626" i="254"/>
  <c r="V626" i="254"/>
  <c r="U626" i="254"/>
  <c r="T626" i="254"/>
  <c r="S626" i="254"/>
  <c r="R626" i="254"/>
  <c r="Q626" i="254"/>
  <c r="P626" i="254"/>
  <c r="O626" i="254"/>
  <c r="N626" i="254"/>
  <c r="M626" i="254"/>
  <c r="L626" i="254"/>
  <c r="K626" i="254"/>
  <c r="J626" i="254"/>
  <c r="I626" i="254"/>
  <c r="H626" i="254"/>
  <c r="G626" i="254"/>
  <c r="F626" i="254"/>
  <c r="E626" i="254"/>
  <c r="D626" i="254"/>
  <c r="C626" i="254"/>
  <c r="B626" i="254"/>
  <c r="A626" i="254"/>
  <c r="AF625" i="254"/>
  <c r="AE625" i="254"/>
  <c r="AD625" i="254"/>
  <c r="AC625" i="254"/>
  <c r="AB625" i="254"/>
  <c r="AA625" i="254"/>
  <c r="Z625" i="254"/>
  <c r="Y625" i="254"/>
  <c r="X625" i="254"/>
  <c r="W625" i="254"/>
  <c r="V625" i="254"/>
  <c r="U625" i="254"/>
  <c r="T625" i="254"/>
  <c r="S625" i="254"/>
  <c r="R625" i="254"/>
  <c r="Q625" i="254"/>
  <c r="P625" i="254"/>
  <c r="O625" i="254"/>
  <c r="N625" i="254"/>
  <c r="M625" i="254"/>
  <c r="L625" i="254"/>
  <c r="K625" i="254"/>
  <c r="J625" i="254"/>
  <c r="I625" i="254"/>
  <c r="H625" i="254"/>
  <c r="G625" i="254"/>
  <c r="F625" i="254"/>
  <c r="E625" i="254"/>
  <c r="D625" i="254"/>
  <c r="C625" i="254"/>
  <c r="B625" i="254"/>
  <c r="A625" i="254"/>
  <c r="AF624" i="254"/>
  <c r="AE624" i="254"/>
  <c r="AD624" i="254"/>
  <c r="AC624" i="254"/>
  <c r="AB624" i="254"/>
  <c r="AA624" i="254"/>
  <c r="Z624" i="254"/>
  <c r="Y624" i="254"/>
  <c r="X624" i="254"/>
  <c r="W624" i="254"/>
  <c r="V624" i="254"/>
  <c r="U624" i="254"/>
  <c r="T624" i="254"/>
  <c r="S624" i="254"/>
  <c r="R624" i="254"/>
  <c r="Q624" i="254"/>
  <c r="P624" i="254"/>
  <c r="O624" i="254"/>
  <c r="N624" i="254"/>
  <c r="M624" i="254"/>
  <c r="L624" i="254"/>
  <c r="K624" i="254"/>
  <c r="J624" i="254"/>
  <c r="I624" i="254"/>
  <c r="H624" i="254"/>
  <c r="G624" i="254"/>
  <c r="F624" i="254"/>
  <c r="E624" i="254"/>
  <c r="D624" i="254"/>
  <c r="C624" i="254"/>
  <c r="B624" i="254"/>
  <c r="A624" i="254"/>
  <c r="AF623" i="254"/>
  <c r="AE623" i="254"/>
  <c r="AD623" i="254"/>
  <c r="AC623" i="254"/>
  <c r="AB623" i="254"/>
  <c r="AA623" i="254"/>
  <c r="Z623" i="254"/>
  <c r="Y623" i="254"/>
  <c r="X623" i="254"/>
  <c r="W623" i="254"/>
  <c r="V623" i="254"/>
  <c r="U623" i="254"/>
  <c r="T623" i="254"/>
  <c r="S623" i="254"/>
  <c r="R623" i="254"/>
  <c r="Q623" i="254"/>
  <c r="P623" i="254"/>
  <c r="O623" i="254"/>
  <c r="N623" i="254"/>
  <c r="M623" i="254"/>
  <c r="L623" i="254"/>
  <c r="K623" i="254"/>
  <c r="J623" i="254"/>
  <c r="I623" i="254"/>
  <c r="H623" i="254"/>
  <c r="G623" i="254"/>
  <c r="F623" i="254"/>
  <c r="E623" i="254"/>
  <c r="D623" i="254"/>
  <c r="C623" i="254"/>
  <c r="B623" i="254"/>
  <c r="A623" i="254"/>
  <c r="AF622" i="254"/>
  <c r="AE622" i="254"/>
  <c r="AD622" i="254"/>
  <c r="AC622" i="254"/>
  <c r="AB622" i="254"/>
  <c r="AA622" i="254"/>
  <c r="Z622" i="254"/>
  <c r="Y622" i="254"/>
  <c r="X622" i="254"/>
  <c r="W622" i="254"/>
  <c r="V622" i="254"/>
  <c r="U622" i="254"/>
  <c r="T622" i="254"/>
  <c r="S622" i="254"/>
  <c r="R622" i="254"/>
  <c r="Q622" i="254"/>
  <c r="P622" i="254"/>
  <c r="O622" i="254"/>
  <c r="N622" i="254"/>
  <c r="M622" i="254"/>
  <c r="L622" i="254"/>
  <c r="K622" i="254"/>
  <c r="J622" i="254"/>
  <c r="I622" i="254"/>
  <c r="H622" i="254"/>
  <c r="G622" i="254"/>
  <c r="F622" i="254"/>
  <c r="E622" i="254"/>
  <c r="D622" i="254"/>
  <c r="C622" i="254"/>
  <c r="B622" i="254"/>
  <c r="A622" i="254"/>
  <c r="AF621" i="254"/>
  <c r="AE621" i="254"/>
  <c r="AD621" i="254"/>
  <c r="AC621" i="254"/>
  <c r="AB621" i="254"/>
  <c r="AA621" i="254"/>
  <c r="Z621" i="254"/>
  <c r="Y621" i="254"/>
  <c r="X621" i="254"/>
  <c r="W621" i="254"/>
  <c r="V621" i="254"/>
  <c r="U621" i="254"/>
  <c r="T621" i="254"/>
  <c r="S621" i="254"/>
  <c r="R621" i="254"/>
  <c r="Q621" i="254"/>
  <c r="P621" i="254"/>
  <c r="O621" i="254"/>
  <c r="N621" i="254"/>
  <c r="M621" i="254"/>
  <c r="L621" i="254"/>
  <c r="K621" i="254"/>
  <c r="J621" i="254"/>
  <c r="I621" i="254"/>
  <c r="H621" i="254"/>
  <c r="G621" i="254"/>
  <c r="F621" i="254"/>
  <c r="E621" i="254"/>
  <c r="D621" i="254"/>
  <c r="C621" i="254"/>
  <c r="B621" i="254"/>
  <c r="A621" i="254"/>
  <c r="AF620" i="254"/>
  <c r="AE620" i="254"/>
  <c r="AD620" i="254"/>
  <c r="AC620" i="254"/>
  <c r="AB620" i="254"/>
  <c r="AA620" i="254"/>
  <c r="Z620" i="254"/>
  <c r="Y620" i="254"/>
  <c r="X620" i="254"/>
  <c r="W620" i="254"/>
  <c r="V620" i="254"/>
  <c r="U620" i="254"/>
  <c r="T620" i="254"/>
  <c r="S620" i="254"/>
  <c r="R620" i="254"/>
  <c r="Q620" i="254"/>
  <c r="P620" i="254"/>
  <c r="O620" i="254"/>
  <c r="N620" i="254"/>
  <c r="M620" i="254"/>
  <c r="L620" i="254"/>
  <c r="K620" i="254"/>
  <c r="J620" i="254"/>
  <c r="I620" i="254"/>
  <c r="H620" i="254"/>
  <c r="G620" i="254"/>
  <c r="F620" i="254"/>
  <c r="E620" i="254"/>
  <c r="D620" i="254"/>
  <c r="C620" i="254"/>
  <c r="B620" i="254"/>
  <c r="A620" i="254"/>
  <c r="AF619" i="254"/>
  <c r="AE619" i="254"/>
  <c r="AD619" i="254"/>
  <c r="AC619" i="254"/>
  <c r="AB619" i="254"/>
  <c r="AA619" i="254"/>
  <c r="Z619" i="254"/>
  <c r="Y619" i="254"/>
  <c r="X619" i="254"/>
  <c r="W619" i="254"/>
  <c r="V619" i="254"/>
  <c r="U619" i="254"/>
  <c r="T619" i="254"/>
  <c r="S619" i="254"/>
  <c r="R619" i="254"/>
  <c r="Q619" i="254"/>
  <c r="P619" i="254"/>
  <c r="O619" i="254"/>
  <c r="N619" i="254"/>
  <c r="M619" i="254"/>
  <c r="L619" i="254"/>
  <c r="K619" i="254"/>
  <c r="J619" i="254"/>
  <c r="I619" i="254"/>
  <c r="H619" i="254"/>
  <c r="G619" i="254"/>
  <c r="F619" i="254"/>
  <c r="E619" i="254"/>
  <c r="D619" i="254"/>
  <c r="C619" i="254"/>
  <c r="B619" i="254"/>
  <c r="A619" i="254"/>
  <c r="AF618" i="254"/>
  <c r="AE618" i="254"/>
  <c r="AD618" i="254"/>
  <c r="AC618" i="254"/>
  <c r="AB618" i="254"/>
  <c r="AA618" i="254"/>
  <c r="Z618" i="254"/>
  <c r="Y618" i="254"/>
  <c r="X618" i="254"/>
  <c r="W618" i="254"/>
  <c r="V618" i="254"/>
  <c r="U618" i="254"/>
  <c r="T618" i="254"/>
  <c r="S618" i="254"/>
  <c r="R618" i="254"/>
  <c r="Q618" i="254"/>
  <c r="P618" i="254"/>
  <c r="O618" i="254"/>
  <c r="N618" i="254"/>
  <c r="M618" i="254"/>
  <c r="L618" i="254"/>
  <c r="K618" i="254"/>
  <c r="J618" i="254"/>
  <c r="I618" i="254"/>
  <c r="H618" i="254"/>
  <c r="G618" i="254"/>
  <c r="F618" i="254"/>
  <c r="E618" i="254"/>
  <c r="D618" i="254"/>
  <c r="C618" i="254"/>
  <c r="B618" i="254"/>
  <c r="A618" i="254"/>
  <c r="AF617" i="254"/>
  <c r="AE617" i="254"/>
  <c r="AD617" i="254"/>
  <c r="AC617" i="254"/>
  <c r="AB617" i="254"/>
  <c r="AA617" i="254"/>
  <c r="Z617" i="254"/>
  <c r="Y617" i="254"/>
  <c r="X617" i="254"/>
  <c r="W617" i="254"/>
  <c r="V617" i="254"/>
  <c r="U617" i="254"/>
  <c r="T617" i="254"/>
  <c r="S617" i="254"/>
  <c r="R617" i="254"/>
  <c r="Q617" i="254"/>
  <c r="P617" i="254"/>
  <c r="O617" i="254"/>
  <c r="N617" i="254"/>
  <c r="M617" i="254"/>
  <c r="L617" i="254"/>
  <c r="K617" i="254"/>
  <c r="J617" i="254"/>
  <c r="I617" i="254"/>
  <c r="H617" i="254"/>
  <c r="G617" i="254"/>
  <c r="F617" i="254"/>
  <c r="E617" i="254"/>
  <c r="D617" i="254"/>
  <c r="C617" i="254"/>
  <c r="B617" i="254"/>
  <c r="A617" i="254"/>
  <c r="AF616" i="254"/>
  <c r="AE616" i="254"/>
  <c r="AD616" i="254"/>
  <c r="AC616" i="254"/>
  <c r="AB616" i="254"/>
  <c r="AA616" i="254"/>
  <c r="Z616" i="254"/>
  <c r="Y616" i="254"/>
  <c r="X616" i="254"/>
  <c r="W616" i="254"/>
  <c r="V616" i="254"/>
  <c r="U616" i="254"/>
  <c r="T616" i="254"/>
  <c r="S616" i="254"/>
  <c r="R616" i="254"/>
  <c r="Q616" i="254"/>
  <c r="P616" i="254"/>
  <c r="O616" i="254"/>
  <c r="N616" i="254"/>
  <c r="M616" i="254"/>
  <c r="L616" i="254"/>
  <c r="K616" i="254"/>
  <c r="J616" i="254"/>
  <c r="I616" i="254"/>
  <c r="H616" i="254"/>
  <c r="G616" i="254"/>
  <c r="F616" i="254"/>
  <c r="E616" i="254"/>
  <c r="D616" i="254"/>
  <c r="C616" i="254"/>
  <c r="B616" i="254"/>
  <c r="A616" i="254"/>
  <c r="AF615" i="254"/>
  <c r="AE615" i="254"/>
  <c r="AD615" i="254"/>
  <c r="AC615" i="254"/>
  <c r="AB615" i="254"/>
  <c r="AA615" i="254"/>
  <c r="Z615" i="254"/>
  <c r="Y615" i="254"/>
  <c r="X615" i="254"/>
  <c r="W615" i="254"/>
  <c r="V615" i="254"/>
  <c r="U615" i="254"/>
  <c r="T615" i="254"/>
  <c r="S615" i="254"/>
  <c r="R615" i="254"/>
  <c r="Q615" i="254"/>
  <c r="P615" i="254"/>
  <c r="O615" i="254"/>
  <c r="N615" i="254"/>
  <c r="M615" i="254"/>
  <c r="L615" i="254"/>
  <c r="K615" i="254"/>
  <c r="J615" i="254"/>
  <c r="I615" i="254"/>
  <c r="H615" i="254"/>
  <c r="G615" i="254"/>
  <c r="F615" i="254"/>
  <c r="E615" i="254"/>
  <c r="D615" i="254"/>
  <c r="C615" i="254"/>
  <c r="B615" i="254"/>
  <c r="A615" i="254"/>
  <c r="AF614" i="254"/>
  <c r="AE614" i="254"/>
  <c r="AD614" i="254"/>
  <c r="AC614" i="254"/>
  <c r="AB614" i="254"/>
  <c r="AA614" i="254"/>
  <c r="Z614" i="254"/>
  <c r="Y614" i="254"/>
  <c r="X614" i="254"/>
  <c r="W614" i="254"/>
  <c r="V614" i="254"/>
  <c r="U614" i="254"/>
  <c r="T614" i="254"/>
  <c r="S614" i="254"/>
  <c r="R614" i="254"/>
  <c r="Q614" i="254"/>
  <c r="P614" i="254"/>
  <c r="O614" i="254"/>
  <c r="N614" i="254"/>
  <c r="M614" i="254"/>
  <c r="L614" i="254"/>
  <c r="K614" i="254"/>
  <c r="J614" i="254"/>
  <c r="I614" i="254"/>
  <c r="H614" i="254"/>
  <c r="G614" i="254"/>
  <c r="F614" i="254"/>
  <c r="E614" i="254"/>
  <c r="D614" i="254"/>
  <c r="C614" i="254"/>
  <c r="B614" i="254"/>
  <c r="A614" i="254"/>
  <c r="AF613" i="254"/>
  <c r="AE613" i="254"/>
  <c r="AD613" i="254"/>
  <c r="AC613" i="254"/>
  <c r="AB613" i="254"/>
  <c r="AA613" i="254"/>
  <c r="Z613" i="254"/>
  <c r="Y613" i="254"/>
  <c r="X613" i="254"/>
  <c r="W613" i="254"/>
  <c r="V613" i="254"/>
  <c r="U613" i="254"/>
  <c r="T613" i="254"/>
  <c r="S613" i="254"/>
  <c r="R613" i="254"/>
  <c r="Q613" i="254"/>
  <c r="P613" i="254"/>
  <c r="O613" i="254"/>
  <c r="N613" i="254"/>
  <c r="M613" i="254"/>
  <c r="L613" i="254"/>
  <c r="K613" i="254"/>
  <c r="J613" i="254"/>
  <c r="I613" i="254"/>
  <c r="H613" i="254"/>
  <c r="G613" i="254"/>
  <c r="F613" i="254"/>
  <c r="E613" i="254"/>
  <c r="D613" i="254"/>
  <c r="C613" i="254"/>
  <c r="B613" i="254"/>
  <c r="A613" i="254"/>
  <c r="AF612" i="254"/>
  <c r="AE612" i="254"/>
  <c r="AD612" i="254"/>
  <c r="AC612" i="254"/>
  <c r="AB612" i="254"/>
  <c r="AA612" i="254"/>
  <c r="Z612" i="254"/>
  <c r="Y612" i="254"/>
  <c r="X612" i="254"/>
  <c r="W612" i="254"/>
  <c r="V612" i="254"/>
  <c r="U612" i="254"/>
  <c r="T612" i="254"/>
  <c r="S612" i="254"/>
  <c r="R612" i="254"/>
  <c r="Q612" i="254"/>
  <c r="P612" i="254"/>
  <c r="O612" i="254"/>
  <c r="N612" i="254"/>
  <c r="M612" i="254"/>
  <c r="L612" i="254"/>
  <c r="K612" i="254"/>
  <c r="J612" i="254"/>
  <c r="I612" i="254"/>
  <c r="H612" i="254"/>
  <c r="G612" i="254"/>
  <c r="F612" i="254"/>
  <c r="E612" i="254"/>
  <c r="D612" i="254"/>
  <c r="C612" i="254"/>
  <c r="B612" i="254"/>
  <c r="A612" i="254"/>
  <c r="AF611" i="254"/>
  <c r="AE611" i="254"/>
  <c r="AD611" i="254"/>
  <c r="AC611" i="254"/>
  <c r="AB611" i="254"/>
  <c r="AA611" i="254"/>
  <c r="Z611" i="254"/>
  <c r="Y611" i="254"/>
  <c r="X611" i="254"/>
  <c r="W611" i="254"/>
  <c r="V611" i="254"/>
  <c r="U611" i="254"/>
  <c r="T611" i="254"/>
  <c r="S611" i="254"/>
  <c r="R611" i="254"/>
  <c r="Q611" i="254"/>
  <c r="P611" i="254"/>
  <c r="O611" i="254"/>
  <c r="N611" i="254"/>
  <c r="M611" i="254"/>
  <c r="L611" i="254"/>
  <c r="K611" i="254"/>
  <c r="J611" i="254"/>
  <c r="I611" i="254"/>
  <c r="H611" i="254"/>
  <c r="G611" i="254"/>
  <c r="F611" i="254"/>
  <c r="E611" i="254"/>
  <c r="D611" i="254"/>
  <c r="C611" i="254"/>
  <c r="B611" i="254"/>
  <c r="A611" i="254"/>
  <c r="AF610" i="254"/>
  <c r="AE610" i="254"/>
  <c r="AD610" i="254"/>
  <c r="AC610" i="254"/>
  <c r="AB610" i="254"/>
  <c r="AA610" i="254"/>
  <c r="Z610" i="254"/>
  <c r="Y610" i="254"/>
  <c r="X610" i="254"/>
  <c r="W610" i="254"/>
  <c r="V610" i="254"/>
  <c r="U610" i="254"/>
  <c r="T610" i="254"/>
  <c r="S610" i="254"/>
  <c r="R610" i="254"/>
  <c r="Q610" i="254"/>
  <c r="P610" i="254"/>
  <c r="O610" i="254"/>
  <c r="N610" i="254"/>
  <c r="M610" i="254"/>
  <c r="L610" i="254"/>
  <c r="K610" i="254"/>
  <c r="J610" i="254"/>
  <c r="I610" i="254"/>
  <c r="H610" i="254"/>
  <c r="G610" i="254"/>
  <c r="F610" i="254"/>
  <c r="E610" i="254"/>
  <c r="D610" i="254"/>
  <c r="C610" i="254"/>
  <c r="B610" i="254"/>
  <c r="A610" i="254"/>
  <c r="AF609" i="254"/>
  <c r="AE609" i="254"/>
  <c r="AD609" i="254"/>
  <c r="AC609" i="254"/>
  <c r="AB609" i="254"/>
  <c r="AA609" i="254"/>
  <c r="Z609" i="254"/>
  <c r="Y609" i="254"/>
  <c r="X609" i="254"/>
  <c r="W609" i="254"/>
  <c r="V609" i="254"/>
  <c r="U609" i="254"/>
  <c r="T609" i="254"/>
  <c r="S609" i="254"/>
  <c r="R609" i="254"/>
  <c r="Q609" i="254"/>
  <c r="P609" i="254"/>
  <c r="O609" i="254"/>
  <c r="N609" i="254"/>
  <c r="M609" i="254"/>
  <c r="L609" i="254"/>
  <c r="K609" i="254"/>
  <c r="J609" i="254"/>
  <c r="I609" i="254"/>
  <c r="H609" i="254"/>
  <c r="G609" i="254"/>
  <c r="F609" i="254"/>
  <c r="E609" i="254"/>
  <c r="D609" i="254"/>
  <c r="C609" i="254"/>
  <c r="B609" i="254"/>
  <c r="A609" i="254"/>
  <c r="AF608" i="254"/>
  <c r="AE608" i="254"/>
  <c r="AD608" i="254"/>
  <c r="AC608" i="254"/>
  <c r="AB608" i="254"/>
  <c r="AA608" i="254"/>
  <c r="Z608" i="254"/>
  <c r="Y608" i="254"/>
  <c r="X608" i="254"/>
  <c r="W608" i="254"/>
  <c r="V608" i="254"/>
  <c r="U608" i="254"/>
  <c r="T608" i="254"/>
  <c r="S608" i="254"/>
  <c r="R608" i="254"/>
  <c r="Q608" i="254"/>
  <c r="P608" i="254"/>
  <c r="O608" i="254"/>
  <c r="N608" i="254"/>
  <c r="M608" i="254"/>
  <c r="L608" i="254"/>
  <c r="K608" i="254"/>
  <c r="J608" i="254"/>
  <c r="I608" i="254"/>
  <c r="H608" i="254"/>
  <c r="G608" i="254"/>
  <c r="F608" i="254"/>
  <c r="E608" i="254"/>
  <c r="D608" i="254"/>
  <c r="C608" i="254"/>
  <c r="B608" i="254"/>
  <c r="A608" i="254"/>
  <c r="AF607" i="254"/>
  <c r="AE607" i="254"/>
  <c r="AD607" i="254"/>
  <c r="AC607" i="254"/>
  <c r="AB607" i="254"/>
  <c r="AA607" i="254"/>
  <c r="Z607" i="254"/>
  <c r="Y607" i="254"/>
  <c r="X607" i="254"/>
  <c r="W607" i="254"/>
  <c r="V607" i="254"/>
  <c r="U607" i="254"/>
  <c r="T607" i="254"/>
  <c r="S607" i="254"/>
  <c r="R607" i="254"/>
  <c r="Q607" i="254"/>
  <c r="P607" i="254"/>
  <c r="O607" i="254"/>
  <c r="N607" i="254"/>
  <c r="M607" i="254"/>
  <c r="L607" i="254"/>
  <c r="K607" i="254"/>
  <c r="J607" i="254"/>
  <c r="I607" i="254"/>
  <c r="H607" i="254"/>
  <c r="G607" i="254"/>
  <c r="F607" i="254"/>
  <c r="E607" i="254"/>
  <c r="D607" i="254"/>
  <c r="C607" i="254"/>
  <c r="B607" i="254"/>
  <c r="A607" i="254"/>
  <c r="AF606" i="254"/>
  <c r="AE606" i="254"/>
  <c r="AD606" i="254"/>
  <c r="AC606" i="254"/>
  <c r="AB606" i="254"/>
  <c r="AA606" i="254"/>
  <c r="Z606" i="254"/>
  <c r="Y606" i="254"/>
  <c r="X606" i="254"/>
  <c r="W606" i="254"/>
  <c r="V606" i="254"/>
  <c r="U606" i="254"/>
  <c r="T606" i="254"/>
  <c r="S606" i="254"/>
  <c r="R606" i="254"/>
  <c r="Q606" i="254"/>
  <c r="P606" i="254"/>
  <c r="O606" i="254"/>
  <c r="N606" i="254"/>
  <c r="M606" i="254"/>
  <c r="L606" i="254"/>
  <c r="K606" i="254"/>
  <c r="J606" i="254"/>
  <c r="I606" i="254"/>
  <c r="H606" i="254"/>
  <c r="G606" i="254"/>
  <c r="F606" i="254"/>
  <c r="E606" i="254"/>
  <c r="D606" i="254"/>
  <c r="C606" i="254"/>
  <c r="B606" i="254"/>
  <c r="A606" i="254"/>
  <c r="AF605" i="254"/>
  <c r="AE605" i="254"/>
  <c r="AD605" i="254"/>
  <c r="AC605" i="254"/>
  <c r="AB605" i="254"/>
  <c r="AA605" i="254"/>
  <c r="Z605" i="254"/>
  <c r="Y605" i="254"/>
  <c r="X605" i="254"/>
  <c r="W605" i="254"/>
  <c r="V605" i="254"/>
  <c r="U605" i="254"/>
  <c r="T605" i="254"/>
  <c r="S605" i="254"/>
  <c r="R605" i="254"/>
  <c r="Q605" i="254"/>
  <c r="P605" i="254"/>
  <c r="O605" i="254"/>
  <c r="N605" i="254"/>
  <c r="M605" i="254"/>
  <c r="L605" i="254"/>
  <c r="K605" i="254"/>
  <c r="J605" i="254"/>
  <c r="I605" i="254"/>
  <c r="H605" i="254"/>
  <c r="G605" i="254"/>
  <c r="F605" i="254"/>
  <c r="E605" i="254"/>
  <c r="D605" i="254"/>
  <c r="C605" i="254"/>
  <c r="B605" i="254"/>
  <c r="A605" i="254"/>
  <c r="AF604" i="254"/>
  <c r="AE604" i="254"/>
  <c r="AD604" i="254"/>
  <c r="AC604" i="254"/>
  <c r="AB604" i="254"/>
  <c r="AA604" i="254"/>
  <c r="Z604" i="254"/>
  <c r="Y604" i="254"/>
  <c r="X604" i="254"/>
  <c r="W604" i="254"/>
  <c r="V604" i="254"/>
  <c r="U604" i="254"/>
  <c r="T604" i="254"/>
  <c r="S604" i="254"/>
  <c r="R604" i="254"/>
  <c r="Q604" i="254"/>
  <c r="P604" i="254"/>
  <c r="O604" i="254"/>
  <c r="N604" i="254"/>
  <c r="M604" i="254"/>
  <c r="L604" i="254"/>
  <c r="K604" i="254"/>
  <c r="J604" i="254"/>
  <c r="I604" i="254"/>
  <c r="H604" i="254"/>
  <c r="G604" i="254"/>
  <c r="F604" i="254"/>
  <c r="E604" i="254"/>
  <c r="D604" i="254"/>
  <c r="C604" i="254"/>
  <c r="B604" i="254"/>
  <c r="A604" i="254"/>
  <c r="AF603" i="254"/>
  <c r="AE603" i="254"/>
  <c r="AD603" i="254"/>
  <c r="AC603" i="254"/>
  <c r="AB603" i="254"/>
  <c r="AA603" i="254"/>
  <c r="Z603" i="254"/>
  <c r="Y603" i="254"/>
  <c r="X603" i="254"/>
  <c r="W603" i="254"/>
  <c r="V603" i="254"/>
  <c r="U603" i="254"/>
  <c r="T603" i="254"/>
  <c r="S603" i="254"/>
  <c r="R603" i="254"/>
  <c r="Q603" i="254"/>
  <c r="P603" i="254"/>
  <c r="O603" i="254"/>
  <c r="N603" i="254"/>
  <c r="M603" i="254"/>
  <c r="L603" i="254"/>
  <c r="K603" i="254"/>
  <c r="J603" i="254"/>
  <c r="I603" i="254"/>
  <c r="H603" i="254"/>
  <c r="G603" i="254"/>
  <c r="F603" i="254"/>
  <c r="E603" i="254"/>
  <c r="D603" i="254"/>
  <c r="C603" i="254"/>
  <c r="B603" i="254"/>
  <c r="A603" i="254"/>
  <c r="AF602" i="254"/>
  <c r="AE602" i="254"/>
  <c r="AD602" i="254"/>
  <c r="AC602" i="254"/>
  <c r="AB602" i="254"/>
  <c r="AA602" i="254"/>
  <c r="Z602" i="254"/>
  <c r="Y602" i="254"/>
  <c r="X602" i="254"/>
  <c r="W602" i="254"/>
  <c r="V602" i="254"/>
  <c r="U602" i="254"/>
  <c r="T602" i="254"/>
  <c r="S602" i="254"/>
  <c r="R602" i="254"/>
  <c r="Q602" i="254"/>
  <c r="P602" i="254"/>
  <c r="O602" i="254"/>
  <c r="N602" i="254"/>
  <c r="M602" i="254"/>
  <c r="L602" i="254"/>
  <c r="K602" i="254"/>
  <c r="J602" i="254"/>
  <c r="I602" i="254"/>
  <c r="H602" i="254"/>
  <c r="G602" i="254"/>
  <c r="F602" i="254"/>
  <c r="E602" i="254"/>
  <c r="D602" i="254"/>
  <c r="C602" i="254"/>
  <c r="B602" i="254"/>
  <c r="A602" i="254"/>
  <c r="AF601" i="254"/>
  <c r="AE601" i="254"/>
  <c r="AD601" i="254"/>
  <c r="AC601" i="254"/>
  <c r="AB601" i="254"/>
  <c r="AA601" i="254"/>
  <c r="Z601" i="254"/>
  <c r="Y601" i="254"/>
  <c r="X601" i="254"/>
  <c r="W601" i="254"/>
  <c r="V601" i="254"/>
  <c r="U601" i="254"/>
  <c r="T601" i="254"/>
  <c r="S601" i="254"/>
  <c r="R601" i="254"/>
  <c r="Q601" i="254"/>
  <c r="P601" i="254"/>
  <c r="O601" i="254"/>
  <c r="N601" i="254"/>
  <c r="M601" i="254"/>
  <c r="L601" i="254"/>
  <c r="K601" i="254"/>
  <c r="J601" i="254"/>
  <c r="I601" i="254"/>
  <c r="H601" i="254"/>
  <c r="G601" i="254"/>
  <c r="F601" i="254"/>
  <c r="E601" i="254"/>
  <c r="D601" i="254"/>
  <c r="C601" i="254"/>
  <c r="B601" i="254"/>
  <c r="A601" i="254"/>
  <c r="AF600" i="254"/>
  <c r="AE600" i="254"/>
  <c r="AD600" i="254"/>
  <c r="AC600" i="254"/>
  <c r="AB600" i="254"/>
  <c r="AA600" i="254"/>
  <c r="Z600" i="254"/>
  <c r="Y600" i="254"/>
  <c r="X600" i="254"/>
  <c r="W600" i="254"/>
  <c r="V600" i="254"/>
  <c r="U600" i="254"/>
  <c r="T600" i="254"/>
  <c r="S600" i="254"/>
  <c r="R600" i="254"/>
  <c r="Q600" i="254"/>
  <c r="P600" i="254"/>
  <c r="O600" i="254"/>
  <c r="N600" i="254"/>
  <c r="M600" i="254"/>
  <c r="L600" i="254"/>
  <c r="K600" i="254"/>
  <c r="J600" i="254"/>
  <c r="I600" i="254"/>
  <c r="H600" i="254"/>
  <c r="G600" i="254"/>
  <c r="F600" i="254"/>
  <c r="E600" i="254"/>
  <c r="D600" i="254"/>
  <c r="C600" i="254"/>
  <c r="B600" i="254"/>
  <c r="A600" i="254"/>
  <c r="AF599" i="254"/>
  <c r="AE599" i="254"/>
  <c r="AD599" i="254"/>
  <c r="AC599" i="254"/>
  <c r="AB599" i="254"/>
  <c r="AA599" i="254"/>
  <c r="Z599" i="254"/>
  <c r="Y599" i="254"/>
  <c r="X599" i="254"/>
  <c r="W599" i="254"/>
  <c r="V599" i="254"/>
  <c r="U599" i="254"/>
  <c r="T599" i="254"/>
  <c r="S599" i="254"/>
  <c r="R599" i="254"/>
  <c r="Q599" i="254"/>
  <c r="P599" i="254"/>
  <c r="O599" i="254"/>
  <c r="N599" i="254"/>
  <c r="M599" i="254"/>
  <c r="L599" i="254"/>
  <c r="K599" i="254"/>
  <c r="J599" i="254"/>
  <c r="I599" i="254"/>
  <c r="H599" i="254"/>
  <c r="G599" i="254"/>
  <c r="F599" i="254"/>
  <c r="E599" i="254"/>
  <c r="D599" i="254"/>
  <c r="C599" i="254"/>
  <c r="B599" i="254"/>
  <c r="A599" i="254"/>
  <c r="AF598" i="254"/>
  <c r="AE598" i="254"/>
  <c r="AD598" i="254"/>
  <c r="AC598" i="254"/>
  <c r="AB598" i="254"/>
  <c r="AA598" i="254"/>
  <c r="Z598" i="254"/>
  <c r="Y598" i="254"/>
  <c r="X598" i="254"/>
  <c r="W598" i="254"/>
  <c r="V598" i="254"/>
  <c r="U598" i="254"/>
  <c r="T598" i="254"/>
  <c r="S598" i="254"/>
  <c r="R598" i="254"/>
  <c r="Q598" i="254"/>
  <c r="P598" i="254"/>
  <c r="O598" i="254"/>
  <c r="N598" i="254"/>
  <c r="M598" i="254"/>
  <c r="L598" i="254"/>
  <c r="K598" i="254"/>
  <c r="J598" i="254"/>
  <c r="I598" i="254"/>
  <c r="H598" i="254"/>
  <c r="G598" i="254"/>
  <c r="F598" i="254"/>
  <c r="E598" i="254"/>
  <c r="D598" i="254"/>
  <c r="C598" i="254"/>
  <c r="B598" i="254"/>
  <c r="A598" i="254"/>
  <c r="AF597" i="254"/>
  <c r="AE597" i="254"/>
  <c r="AD597" i="254"/>
  <c r="AC597" i="254"/>
  <c r="AB597" i="254"/>
  <c r="AA597" i="254"/>
  <c r="Z597" i="254"/>
  <c r="Y597" i="254"/>
  <c r="X597" i="254"/>
  <c r="W597" i="254"/>
  <c r="V597" i="254"/>
  <c r="U597" i="254"/>
  <c r="T597" i="254"/>
  <c r="S597" i="254"/>
  <c r="R597" i="254"/>
  <c r="Q597" i="254"/>
  <c r="P597" i="254"/>
  <c r="O597" i="254"/>
  <c r="N597" i="254"/>
  <c r="M597" i="254"/>
  <c r="L597" i="254"/>
  <c r="K597" i="254"/>
  <c r="J597" i="254"/>
  <c r="I597" i="254"/>
  <c r="H597" i="254"/>
  <c r="G597" i="254"/>
  <c r="F597" i="254"/>
  <c r="E597" i="254"/>
  <c r="D597" i="254"/>
  <c r="C597" i="254"/>
  <c r="B597" i="254"/>
  <c r="A597" i="254"/>
  <c r="AF596" i="254"/>
  <c r="AE596" i="254"/>
  <c r="AD596" i="254"/>
  <c r="AC596" i="254"/>
  <c r="AB596" i="254"/>
  <c r="AA596" i="254"/>
  <c r="Z596" i="254"/>
  <c r="Y596" i="254"/>
  <c r="X596" i="254"/>
  <c r="W596" i="254"/>
  <c r="V596" i="254"/>
  <c r="U596" i="254"/>
  <c r="T596" i="254"/>
  <c r="S596" i="254"/>
  <c r="R596" i="254"/>
  <c r="Q596" i="254"/>
  <c r="P596" i="254"/>
  <c r="O596" i="254"/>
  <c r="N596" i="254"/>
  <c r="M596" i="254"/>
  <c r="L596" i="254"/>
  <c r="K596" i="254"/>
  <c r="J596" i="254"/>
  <c r="I596" i="254"/>
  <c r="H596" i="254"/>
  <c r="G596" i="254"/>
  <c r="F596" i="254"/>
  <c r="E596" i="254"/>
  <c r="D596" i="254"/>
  <c r="C596" i="254"/>
  <c r="B596" i="254"/>
  <c r="A596" i="254"/>
  <c r="AF595" i="254"/>
  <c r="AE595" i="254"/>
  <c r="AD595" i="254"/>
  <c r="AC595" i="254"/>
  <c r="AB595" i="254"/>
  <c r="AA595" i="254"/>
  <c r="Z595" i="254"/>
  <c r="Y595" i="254"/>
  <c r="X595" i="254"/>
  <c r="W595" i="254"/>
  <c r="V595" i="254"/>
  <c r="U595" i="254"/>
  <c r="T595" i="254"/>
  <c r="S595" i="254"/>
  <c r="R595" i="254"/>
  <c r="Q595" i="254"/>
  <c r="P595" i="254"/>
  <c r="O595" i="254"/>
  <c r="N595" i="254"/>
  <c r="M595" i="254"/>
  <c r="L595" i="254"/>
  <c r="K595" i="254"/>
  <c r="J595" i="254"/>
  <c r="I595" i="254"/>
  <c r="H595" i="254"/>
  <c r="G595" i="254"/>
  <c r="F595" i="254"/>
  <c r="E595" i="254"/>
  <c r="D595" i="254"/>
  <c r="C595" i="254"/>
  <c r="B595" i="254"/>
  <c r="A595" i="254"/>
  <c r="AF594" i="254"/>
  <c r="AE594" i="254"/>
  <c r="AD594" i="254"/>
  <c r="AC594" i="254"/>
  <c r="AB594" i="254"/>
  <c r="AA594" i="254"/>
  <c r="Z594" i="254"/>
  <c r="Y594" i="254"/>
  <c r="X594" i="254"/>
  <c r="W594" i="254"/>
  <c r="V594" i="254"/>
  <c r="U594" i="254"/>
  <c r="T594" i="254"/>
  <c r="S594" i="254"/>
  <c r="R594" i="254"/>
  <c r="Q594" i="254"/>
  <c r="P594" i="254"/>
  <c r="O594" i="254"/>
  <c r="N594" i="254"/>
  <c r="M594" i="254"/>
  <c r="L594" i="254"/>
  <c r="K594" i="254"/>
  <c r="J594" i="254"/>
  <c r="I594" i="254"/>
  <c r="H594" i="254"/>
  <c r="G594" i="254"/>
  <c r="F594" i="254"/>
  <c r="E594" i="254"/>
  <c r="D594" i="254"/>
  <c r="C594" i="254"/>
  <c r="B594" i="254"/>
  <c r="A594" i="254"/>
  <c r="AF593" i="254"/>
  <c r="AE593" i="254"/>
  <c r="AD593" i="254"/>
  <c r="AC593" i="254"/>
  <c r="AB593" i="254"/>
  <c r="AA593" i="254"/>
  <c r="Z593" i="254"/>
  <c r="Y593" i="254"/>
  <c r="X593" i="254"/>
  <c r="W593" i="254"/>
  <c r="V593" i="254"/>
  <c r="U593" i="254"/>
  <c r="T593" i="254"/>
  <c r="S593" i="254"/>
  <c r="R593" i="254"/>
  <c r="Q593" i="254"/>
  <c r="P593" i="254"/>
  <c r="O593" i="254"/>
  <c r="N593" i="254"/>
  <c r="M593" i="254"/>
  <c r="L593" i="254"/>
  <c r="K593" i="254"/>
  <c r="J593" i="254"/>
  <c r="I593" i="254"/>
  <c r="H593" i="254"/>
  <c r="G593" i="254"/>
  <c r="F593" i="254"/>
  <c r="E593" i="254"/>
  <c r="D593" i="254"/>
  <c r="C593" i="254"/>
  <c r="B593" i="254"/>
  <c r="A593" i="254"/>
  <c r="AF592" i="254"/>
  <c r="AE592" i="254"/>
  <c r="AD592" i="254"/>
  <c r="AC592" i="254"/>
  <c r="AB592" i="254"/>
  <c r="AA592" i="254"/>
  <c r="Z592" i="254"/>
  <c r="Y592" i="254"/>
  <c r="X592" i="254"/>
  <c r="W592" i="254"/>
  <c r="V592" i="254"/>
  <c r="U592" i="254"/>
  <c r="T592" i="254"/>
  <c r="S592" i="254"/>
  <c r="R592" i="254"/>
  <c r="Q592" i="254"/>
  <c r="P592" i="254"/>
  <c r="O592" i="254"/>
  <c r="N592" i="254"/>
  <c r="M592" i="254"/>
  <c r="L592" i="254"/>
  <c r="K592" i="254"/>
  <c r="J592" i="254"/>
  <c r="I592" i="254"/>
  <c r="H592" i="254"/>
  <c r="G592" i="254"/>
  <c r="F592" i="254"/>
  <c r="E592" i="254"/>
  <c r="D592" i="254"/>
  <c r="C592" i="254"/>
  <c r="B592" i="254"/>
  <c r="A592" i="254"/>
  <c r="AF591" i="254"/>
  <c r="AE591" i="254"/>
  <c r="AD591" i="254"/>
  <c r="AC591" i="254"/>
  <c r="AB591" i="254"/>
  <c r="AA591" i="254"/>
  <c r="Z591" i="254"/>
  <c r="Y591" i="254"/>
  <c r="X591" i="254"/>
  <c r="W591" i="254"/>
  <c r="V591" i="254"/>
  <c r="U591" i="254"/>
  <c r="T591" i="254"/>
  <c r="S591" i="254"/>
  <c r="R591" i="254"/>
  <c r="Q591" i="254"/>
  <c r="P591" i="254"/>
  <c r="O591" i="254"/>
  <c r="N591" i="254"/>
  <c r="M591" i="254"/>
  <c r="L591" i="254"/>
  <c r="K591" i="254"/>
  <c r="J591" i="254"/>
  <c r="I591" i="254"/>
  <c r="H591" i="254"/>
  <c r="G591" i="254"/>
  <c r="F591" i="254"/>
  <c r="E591" i="254"/>
  <c r="D591" i="254"/>
  <c r="C591" i="254"/>
  <c r="B591" i="254"/>
  <c r="A591" i="254"/>
  <c r="AF590" i="254"/>
  <c r="AE590" i="254"/>
  <c r="AD590" i="254"/>
  <c r="AC590" i="254"/>
  <c r="AB590" i="254"/>
  <c r="AA590" i="254"/>
  <c r="Z590" i="254"/>
  <c r="Y590" i="254"/>
  <c r="X590" i="254"/>
  <c r="W590" i="254"/>
  <c r="V590" i="254"/>
  <c r="U590" i="254"/>
  <c r="T590" i="254"/>
  <c r="S590" i="254"/>
  <c r="R590" i="254"/>
  <c r="Q590" i="254"/>
  <c r="P590" i="254"/>
  <c r="O590" i="254"/>
  <c r="N590" i="254"/>
  <c r="M590" i="254"/>
  <c r="L590" i="254"/>
  <c r="K590" i="254"/>
  <c r="J590" i="254"/>
  <c r="I590" i="254"/>
  <c r="H590" i="254"/>
  <c r="G590" i="254"/>
  <c r="F590" i="254"/>
  <c r="E590" i="254"/>
  <c r="D590" i="254"/>
  <c r="C590" i="254"/>
  <c r="B590" i="254"/>
  <c r="A590" i="254"/>
  <c r="AF589" i="254"/>
  <c r="AE589" i="254"/>
  <c r="AD589" i="254"/>
  <c r="AC589" i="254"/>
  <c r="AB589" i="254"/>
  <c r="AA589" i="254"/>
  <c r="Z589" i="254"/>
  <c r="Y589" i="254"/>
  <c r="X589" i="254"/>
  <c r="W589" i="254"/>
  <c r="V589" i="254"/>
  <c r="U589" i="254"/>
  <c r="T589" i="254"/>
  <c r="S589" i="254"/>
  <c r="R589" i="254"/>
  <c r="Q589" i="254"/>
  <c r="P589" i="254"/>
  <c r="O589" i="254"/>
  <c r="N589" i="254"/>
  <c r="M589" i="254"/>
  <c r="L589" i="254"/>
  <c r="K589" i="254"/>
  <c r="J589" i="254"/>
  <c r="I589" i="254"/>
  <c r="H589" i="254"/>
  <c r="G589" i="254"/>
  <c r="F589" i="254"/>
  <c r="E589" i="254"/>
  <c r="D589" i="254"/>
  <c r="C589" i="254"/>
  <c r="B589" i="254"/>
  <c r="A589" i="254"/>
  <c r="AF588" i="254"/>
  <c r="AE588" i="254"/>
  <c r="AD588" i="254"/>
  <c r="AC588" i="254"/>
  <c r="AB588" i="254"/>
  <c r="AA588" i="254"/>
  <c r="Z588" i="254"/>
  <c r="Y588" i="254"/>
  <c r="X588" i="254"/>
  <c r="W588" i="254"/>
  <c r="V588" i="254"/>
  <c r="U588" i="254"/>
  <c r="T588" i="254"/>
  <c r="S588" i="254"/>
  <c r="R588" i="254"/>
  <c r="Q588" i="254"/>
  <c r="P588" i="254"/>
  <c r="O588" i="254"/>
  <c r="N588" i="254"/>
  <c r="M588" i="254"/>
  <c r="L588" i="254"/>
  <c r="K588" i="254"/>
  <c r="J588" i="254"/>
  <c r="I588" i="254"/>
  <c r="H588" i="254"/>
  <c r="G588" i="254"/>
  <c r="F588" i="254"/>
  <c r="E588" i="254"/>
  <c r="D588" i="254"/>
  <c r="C588" i="254"/>
  <c r="B588" i="254"/>
  <c r="A588" i="254"/>
  <c r="AF587" i="254"/>
  <c r="AE587" i="254"/>
  <c r="AD587" i="254"/>
  <c r="AC587" i="254"/>
  <c r="AB587" i="254"/>
  <c r="AA587" i="254"/>
  <c r="Z587" i="254"/>
  <c r="Y587" i="254"/>
  <c r="X587" i="254"/>
  <c r="W587" i="254"/>
  <c r="V587" i="254"/>
  <c r="U587" i="254"/>
  <c r="T587" i="254"/>
  <c r="S587" i="254"/>
  <c r="R587" i="254"/>
  <c r="Q587" i="254"/>
  <c r="P587" i="254"/>
  <c r="O587" i="254"/>
  <c r="N587" i="254"/>
  <c r="M587" i="254"/>
  <c r="L587" i="254"/>
  <c r="K587" i="254"/>
  <c r="J587" i="254"/>
  <c r="I587" i="254"/>
  <c r="H587" i="254"/>
  <c r="G587" i="254"/>
  <c r="F587" i="254"/>
  <c r="E587" i="254"/>
  <c r="D587" i="254"/>
  <c r="C587" i="254"/>
  <c r="B587" i="254"/>
  <c r="A587" i="254"/>
  <c r="AF586" i="254"/>
  <c r="AE586" i="254"/>
  <c r="AD586" i="254"/>
  <c r="AC586" i="254"/>
  <c r="AB586" i="254"/>
  <c r="AA586" i="254"/>
  <c r="Z586" i="254"/>
  <c r="Y586" i="254"/>
  <c r="X586" i="254"/>
  <c r="W586" i="254"/>
  <c r="V586" i="254"/>
  <c r="U586" i="254"/>
  <c r="T586" i="254"/>
  <c r="S586" i="254"/>
  <c r="R586" i="254"/>
  <c r="Q586" i="254"/>
  <c r="P586" i="254"/>
  <c r="O586" i="254"/>
  <c r="N586" i="254"/>
  <c r="M586" i="254"/>
  <c r="L586" i="254"/>
  <c r="K586" i="254"/>
  <c r="J586" i="254"/>
  <c r="I586" i="254"/>
  <c r="H586" i="254"/>
  <c r="G586" i="254"/>
  <c r="F586" i="254"/>
  <c r="E586" i="254"/>
  <c r="D586" i="254"/>
  <c r="C586" i="254"/>
  <c r="B586" i="254"/>
  <c r="A586" i="254"/>
  <c r="AF585" i="254"/>
  <c r="AE585" i="254"/>
  <c r="AD585" i="254"/>
  <c r="AC585" i="254"/>
  <c r="AB585" i="254"/>
  <c r="AA585" i="254"/>
  <c r="Z585" i="254"/>
  <c r="Y585" i="254"/>
  <c r="X585" i="254"/>
  <c r="W585" i="254"/>
  <c r="V585" i="254"/>
  <c r="U585" i="254"/>
  <c r="T585" i="254"/>
  <c r="S585" i="254"/>
  <c r="R585" i="254"/>
  <c r="Q585" i="254"/>
  <c r="P585" i="254"/>
  <c r="O585" i="254"/>
  <c r="N585" i="254"/>
  <c r="M585" i="254"/>
  <c r="L585" i="254"/>
  <c r="K585" i="254"/>
  <c r="J585" i="254"/>
  <c r="I585" i="254"/>
  <c r="H585" i="254"/>
  <c r="G585" i="254"/>
  <c r="F585" i="254"/>
  <c r="E585" i="254"/>
  <c r="D585" i="254"/>
  <c r="C585" i="254"/>
  <c r="B585" i="254"/>
  <c r="A585" i="254"/>
  <c r="AF584" i="254"/>
  <c r="AE584" i="254"/>
  <c r="AD584" i="254"/>
  <c r="AC584" i="254"/>
  <c r="AB584" i="254"/>
  <c r="AA584" i="254"/>
  <c r="Z584" i="254"/>
  <c r="Y584" i="254"/>
  <c r="X584" i="254"/>
  <c r="W584" i="254"/>
  <c r="V584" i="254"/>
  <c r="U584" i="254"/>
  <c r="T584" i="254"/>
  <c r="S584" i="254"/>
  <c r="R584" i="254"/>
  <c r="Q584" i="254"/>
  <c r="P584" i="254"/>
  <c r="O584" i="254"/>
  <c r="N584" i="254"/>
  <c r="M584" i="254"/>
  <c r="L584" i="254"/>
  <c r="K584" i="254"/>
  <c r="J584" i="254"/>
  <c r="I584" i="254"/>
  <c r="H584" i="254"/>
  <c r="G584" i="254"/>
  <c r="F584" i="254"/>
  <c r="E584" i="254"/>
  <c r="D584" i="254"/>
  <c r="C584" i="254"/>
  <c r="B584" i="254"/>
  <c r="A584" i="254"/>
  <c r="AF583" i="254"/>
  <c r="AE583" i="254"/>
  <c r="AD583" i="254"/>
  <c r="AC583" i="254"/>
  <c r="AB583" i="254"/>
  <c r="AA583" i="254"/>
  <c r="Z583" i="254"/>
  <c r="Y583" i="254"/>
  <c r="X583" i="254"/>
  <c r="W583" i="254"/>
  <c r="V583" i="254"/>
  <c r="U583" i="254"/>
  <c r="T583" i="254"/>
  <c r="S583" i="254"/>
  <c r="R583" i="254"/>
  <c r="Q583" i="254"/>
  <c r="P583" i="254"/>
  <c r="O583" i="254"/>
  <c r="N583" i="254"/>
  <c r="M583" i="254"/>
  <c r="L583" i="254"/>
  <c r="K583" i="254"/>
  <c r="J583" i="254"/>
  <c r="I583" i="254"/>
  <c r="H583" i="254"/>
  <c r="G583" i="254"/>
  <c r="F583" i="254"/>
  <c r="E583" i="254"/>
  <c r="D583" i="254"/>
  <c r="C583" i="254"/>
  <c r="B583" i="254"/>
  <c r="A583" i="254"/>
  <c r="AF582" i="254"/>
  <c r="AE582" i="254"/>
  <c r="AD582" i="254"/>
  <c r="AC582" i="254"/>
  <c r="AB582" i="254"/>
  <c r="AA582" i="254"/>
  <c r="Z582" i="254"/>
  <c r="Y582" i="254"/>
  <c r="X582" i="254"/>
  <c r="W582" i="254"/>
  <c r="V582" i="254"/>
  <c r="U582" i="254"/>
  <c r="T582" i="254"/>
  <c r="S582" i="254"/>
  <c r="R582" i="254"/>
  <c r="Q582" i="254"/>
  <c r="P582" i="254"/>
  <c r="O582" i="254"/>
  <c r="N582" i="254"/>
  <c r="M582" i="254"/>
  <c r="L582" i="254"/>
  <c r="K582" i="254"/>
  <c r="J582" i="254"/>
  <c r="I582" i="254"/>
  <c r="H582" i="254"/>
  <c r="G582" i="254"/>
  <c r="F582" i="254"/>
  <c r="E582" i="254"/>
  <c r="D582" i="254"/>
  <c r="C582" i="254"/>
  <c r="B582" i="254"/>
  <c r="A582" i="254"/>
  <c r="AF581" i="254"/>
  <c r="AE581" i="254"/>
  <c r="AD581" i="254"/>
  <c r="AC581" i="254"/>
  <c r="AB581" i="254"/>
  <c r="AA581" i="254"/>
  <c r="Z581" i="254"/>
  <c r="Y581" i="254"/>
  <c r="X581" i="254"/>
  <c r="W581" i="254"/>
  <c r="V581" i="254"/>
  <c r="U581" i="254"/>
  <c r="T581" i="254"/>
  <c r="S581" i="254"/>
  <c r="R581" i="254"/>
  <c r="Q581" i="254"/>
  <c r="P581" i="254"/>
  <c r="O581" i="254"/>
  <c r="N581" i="254"/>
  <c r="M581" i="254"/>
  <c r="L581" i="254"/>
  <c r="K581" i="254"/>
  <c r="J581" i="254"/>
  <c r="I581" i="254"/>
  <c r="H581" i="254"/>
  <c r="G581" i="254"/>
  <c r="F581" i="254"/>
  <c r="E581" i="254"/>
  <c r="D581" i="254"/>
  <c r="C581" i="254"/>
  <c r="B581" i="254"/>
  <c r="A581" i="254"/>
  <c r="AF580" i="254"/>
  <c r="AE580" i="254"/>
  <c r="AD580" i="254"/>
  <c r="AC580" i="254"/>
  <c r="AB580" i="254"/>
  <c r="AA580" i="254"/>
  <c r="Z580" i="254"/>
  <c r="Y580" i="254"/>
  <c r="X580" i="254"/>
  <c r="W580" i="254"/>
  <c r="V580" i="254"/>
  <c r="U580" i="254"/>
  <c r="T580" i="254"/>
  <c r="S580" i="254"/>
  <c r="R580" i="254"/>
  <c r="Q580" i="254"/>
  <c r="P580" i="254"/>
  <c r="O580" i="254"/>
  <c r="N580" i="254"/>
  <c r="M580" i="254"/>
  <c r="L580" i="254"/>
  <c r="K580" i="254"/>
  <c r="J580" i="254"/>
  <c r="I580" i="254"/>
  <c r="H580" i="254"/>
  <c r="G580" i="254"/>
  <c r="F580" i="254"/>
  <c r="E580" i="254"/>
  <c r="D580" i="254"/>
  <c r="C580" i="254"/>
  <c r="B580" i="254"/>
  <c r="A580" i="254"/>
  <c r="AF579" i="254"/>
  <c r="AE579" i="254"/>
  <c r="AD579" i="254"/>
  <c r="AC579" i="254"/>
  <c r="AB579" i="254"/>
  <c r="AA579" i="254"/>
  <c r="Z579" i="254"/>
  <c r="Y579" i="254"/>
  <c r="X579" i="254"/>
  <c r="W579" i="254"/>
  <c r="V579" i="254"/>
  <c r="U579" i="254"/>
  <c r="T579" i="254"/>
  <c r="S579" i="254"/>
  <c r="R579" i="254"/>
  <c r="Q579" i="254"/>
  <c r="P579" i="254"/>
  <c r="O579" i="254"/>
  <c r="N579" i="254"/>
  <c r="M579" i="254"/>
  <c r="L579" i="254"/>
  <c r="K579" i="254"/>
  <c r="J579" i="254"/>
  <c r="I579" i="254"/>
  <c r="H579" i="254"/>
  <c r="G579" i="254"/>
  <c r="F579" i="254"/>
  <c r="E579" i="254"/>
  <c r="D579" i="254"/>
  <c r="C579" i="254"/>
  <c r="B579" i="254"/>
  <c r="A579" i="254"/>
  <c r="AF578" i="254"/>
  <c r="AE578" i="254"/>
  <c r="AD578" i="254"/>
  <c r="AC578" i="254"/>
  <c r="AB578" i="254"/>
  <c r="AA578" i="254"/>
  <c r="Z578" i="254"/>
  <c r="Y578" i="254"/>
  <c r="X578" i="254"/>
  <c r="W578" i="254"/>
  <c r="V578" i="254"/>
  <c r="U578" i="254"/>
  <c r="T578" i="254"/>
  <c r="S578" i="254"/>
  <c r="R578" i="254"/>
  <c r="Q578" i="254"/>
  <c r="P578" i="254"/>
  <c r="O578" i="254"/>
  <c r="N578" i="254"/>
  <c r="M578" i="254"/>
  <c r="L578" i="254"/>
  <c r="K578" i="254"/>
  <c r="J578" i="254"/>
  <c r="I578" i="254"/>
  <c r="H578" i="254"/>
  <c r="G578" i="254"/>
  <c r="F578" i="254"/>
  <c r="E578" i="254"/>
  <c r="D578" i="254"/>
  <c r="C578" i="254"/>
  <c r="B578" i="254"/>
  <c r="A578" i="254"/>
  <c r="AF577" i="254"/>
  <c r="AE577" i="254"/>
  <c r="AD577" i="254"/>
  <c r="AC577" i="254"/>
  <c r="AB577" i="254"/>
  <c r="AA577" i="254"/>
  <c r="Z577" i="254"/>
  <c r="Y577" i="254"/>
  <c r="X577" i="254"/>
  <c r="W577" i="254"/>
  <c r="V577" i="254"/>
  <c r="U577" i="254"/>
  <c r="T577" i="254"/>
  <c r="S577" i="254"/>
  <c r="R577" i="254"/>
  <c r="Q577" i="254"/>
  <c r="P577" i="254"/>
  <c r="O577" i="254"/>
  <c r="N577" i="254"/>
  <c r="M577" i="254"/>
  <c r="L577" i="254"/>
  <c r="K577" i="254"/>
  <c r="J577" i="254"/>
  <c r="I577" i="254"/>
  <c r="H577" i="254"/>
  <c r="G577" i="254"/>
  <c r="F577" i="254"/>
  <c r="E577" i="254"/>
  <c r="D577" i="254"/>
  <c r="C577" i="254"/>
  <c r="B577" i="254"/>
  <c r="A577" i="254"/>
  <c r="AF576" i="254"/>
  <c r="AE576" i="254"/>
  <c r="AD576" i="254"/>
  <c r="AC576" i="254"/>
  <c r="AB576" i="254"/>
  <c r="AA576" i="254"/>
  <c r="Z576" i="254"/>
  <c r="Y576" i="254"/>
  <c r="X576" i="254"/>
  <c r="W576" i="254"/>
  <c r="V576" i="254"/>
  <c r="U576" i="254"/>
  <c r="T576" i="254"/>
  <c r="S576" i="254"/>
  <c r="R576" i="254"/>
  <c r="Q576" i="254"/>
  <c r="P576" i="254"/>
  <c r="O576" i="254"/>
  <c r="N576" i="254"/>
  <c r="M576" i="254"/>
  <c r="L576" i="254"/>
  <c r="K576" i="254"/>
  <c r="J576" i="254"/>
  <c r="I576" i="254"/>
  <c r="H576" i="254"/>
  <c r="G576" i="254"/>
  <c r="F576" i="254"/>
  <c r="E576" i="254"/>
  <c r="D576" i="254"/>
  <c r="C576" i="254"/>
  <c r="B576" i="254"/>
  <c r="A576" i="254"/>
  <c r="AF575" i="254"/>
  <c r="AE575" i="254"/>
  <c r="AD575" i="254"/>
  <c r="AC575" i="254"/>
  <c r="AB575" i="254"/>
  <c r="AA575" i="254"/>
  <c r="Z575" i="254"/>
  <c r="Y575" i="254"/>
  <c r="X575" i="254"/>
  <c r="W575" i="254"/>
  <c r="V575" i="254"/>
  <c r="U575" i="254"/>
  <c r="T575" i="254"/>
  <c r="S575" i="254"/>
  <c r="R575" i="254"/>
  <c r="Q575" i="254"/>
  <c r="P575" i="254"/>
  <c r="O575" i="254"/>
  <c r="N575" i="254"/>
  <c r="M575" i="254"/>
  <c r="L575" i="254"/>
  <c r="K575" i="254"/>
  <c r="J575" i="254"/>
  <c r="I575" i="254"/>
  <c r="H575" i="254"/>
  <c r="G575" i="254"/>
  <c r="F575" i="254"/>
  <c r="E575" i="254"/>
  <c r="D575" i="254"/>
  <c r="C575" i="254"/>
  <c r="B575" i="254"/>
  <c r="A575" i="254"/>
  <c r="AF574" i="254"/>
  <c r="AE574" i="254"/>
  <c r="AD574" i="254"/>
  <c r="AC574" i="254"/>
  <c r="AB574" i="254"/>
  <c r="AA574" i="254"/>
  <c r="Z574" i="254"/>
  <c r="Y574" i="254"/>
  <c r="X574" i="254"/>
  <c r="W574" i="254"/>
  <c r="V574" i="254"/>
  <c r="U574" i="254"/>
  <c r="T574" i="254"/>
  <c r="S574" i="254"/>
  <c r="R574" i="254"/>
  <c r="Q574" i="254"/>
  <c r="P574" i="254"/>
  <c r="O574" i="254"/>
  <c r="N574" i="254"/>
  <c r="M574" i="254"/>
  <c r="L574" i="254"/>
  <c r="K574" i="254"/>
  <c r="J574" i="254"/>
  <c r="I574" i="254"/>
  <c r="H574" i="254"/>
  <c r="G574" i="254"/>
  <c r="F574" i="254"/>
  <c r="E574" i="254"/>
  <c r="D574" i="254"/>
  <c r="C574" i="254"/>
  <c r="B574" i="254"/>
  <c r="A574" i="254"/>
  <c r="AF573" i="254"/>
  <c r="AE573" i="254"/>
  <c r="AD573" i="254"/>
  <c r="AC573" i="254"/>
  <c r="AB573" i="254"/>
  <c r="AA573" i="254"/>
  <c r="Z573" i="254"/>
  <c r="Y573" i="254"/>
  <c r="X573" i="254"/>
  <c r="W573" i="254"/>
  <c r="V573" i="254"/>
  <c r="U573" i="254"/>
  <c r="T573" i="254"/>
  <c r="S573" i="254"/>
  <c r="R573" i="254"/>
  <c r="Q573" i="254"/>
  <c r="P573" i="254"/>
  <c r="O573" i="254"/>
  <c r="N573" i="254"/>
  <c r="M573" i="254"/>
  <c r="L573" i="254"/>
  <c r="K573" i="254"/>
  <c r="J573" i="254"/>
  <c r="I573" i="254"/>
  <c r="H573" i="254"/>
  <c r="G573" i="254"/>
  <c r="F573" i="254"/>
  <c r="E573" i="254"/>
  <c r="D573" i="254"/>
  <c r="C573" i="254"/>
  <c r="B573" i="254"/>
  <c r="A573" i="254"/>
  <c r="AF572" i="254"/>
  <c r="AE572" i="254"/>
  <c r="AD572" i="254"/>
  <c r="AC572" i="254"/>
  <c r="AB572" i="254"/>
  <c r="AA572" i="254"/>
  <c r="Z572" i="254"/>
  <c r="Y572" i="254"/>
  <c r="X572" i="254"/>
  <c r="W572" i="254"/>
  <c r="V572" i="254"/>
  <c r="U572" i="254"/>
  <c r="T572" i="254"/>
  <c r="S572" i="254"/>
  <c r="R572" i="254"/>
  <c r="Q572" i="254"/>
  <c r="P572" i="254"/>
  <c r="O572" i="254"/>
  <c r="N572" i="254"/>
  <c r="M572" i="254"/>
  <c r="L572" i="254"/>
  <c r="K572" i="254"/>
  <c r="J572" i="254"/>
  <c r="I572" i="254"/>
  <c r="H572" i="254"/>
  <c r="G572" i="254"/>
  <c r="F572" i="254"/>
  <c r="E572" i="254"/>
  <c r="D572" i="254"/>
  <c r="C572" i="254"/>
  <c r="B572" i="254"/>
  <c r="A572" i="254"/>
  <c r="AF571" i="254"/>
  <c r="AE571" i="254"/>
  <c r="AD571" i="254"/>
  <c r="AC571" i="254"/>
  <c r="AB571" i="254"/>
  <c r="AA571" i="254"/>
  <c r="Z571" i="254"/>
  <c r="Y571" i="254"/>
  <c r="X571" i="254"/>
  <c r="W571" i="254"/>
  <c r="V571" i="254"/>
  <c r="U571" i="254"/>
  <c r="T571" i="254"/>
  <c r="S571" i="254"/>
  <c r="R571" i="254"/>
  <c r="Q571" i="254"/>
  <c r="P571" i="254"/>
  <c r="O571" i="254"/>
  <c r="N571" i="254"/>
  <c r="M571" i="254"/>
  <c r="L571" i="254"/>
  <c r="K571" i="254"/>
  <c r="J571" i="254"/>
  <c r="I571" i="254"/>
  <c r="H571" i="254"/>
  <c r="G571" i="254"/>
  <c r="F571" i="254"/>
  <c r="E571" i="254"/>
  <c r="D571" i="254"/>
  <c r="C571" i="254"/>
  <c r="B571" i="254"/>
  <c r="A571" i="254"/>
  <c r="AF570" i="254"/>
  <c r="AE570" i="254"/>
  <c r="AD570" i="254"/>
  <c r="AC570" i="254"/>
  <c r="AB570" i="254"/>
  <c r="AA570" i="254"/>
  <c r="Z570" i="254"/>
  <c r="Y570" i="254"/>
  <c r="X570" i="254"/>
  <c r="W570" i="254"/>
  <c r="V570" i="254"/>
  <c r="U570" i="254"/>
  <c r="T570" i="254"/>
  <c r="S570" i="254"/>
  <c r="R570" i="254"/>
  <c r="Q570" i="254"/>
  <c r="P570" i="254"/>
  <c r="O570" i="254"/>
  <c r="N570" i="254"/>
  <c r="M570" i="254"/>
  <c r="L570" i="254"/>
  <c r="K570" i="254"/>
  <c r="J570" i="254"/>
  <c r="I570" i="254"/>
  <c r="H570" i="254"/>
  <c r="G570" i="254"/>
  <c r="F570" i="254"/>
  <c r="E570" i="254"/>
  <c r="D570" i="254"/>
  <c r="C570" i="254"/>
  <c r="B570" i="254"/>
  <c r="A570" i="254"/>
  <c r="AF569" i="254"/>
  <c r="AE569" i="254"/>
  <c r="AD569" i="254"/>
  <c r="AC569" i="254"/>
  <c r="AB569" i="254"/>
  <c r="AA569" i="254"/>
  <c r="Z569" i="254"/>
  <c r="Y569" i="254"/>
  <c r="X569" i="254"/>
  <c r="W569" i="254"/>
  <c r="V569" i="254"/>
  <c r="U569" i="254"/>
  <c r="T569" i="254"/>
  <c r="S569" i="254"/>
  <c r="R569" i="254"/>
  <c r="Q569" i="254"/>
  <c r="P569" i="254"/>
  <c r="O569" i="254"/>
  <c r="N569" i="254"/>
  <c r="M569" i="254"/>
  <c r="L569" i="254"/>
  <c r="K569" i="254"/>
  <c r="J569" i="254"/>
  <c r="I569" i="254"/>
  <c r="H569" i="254"/>
  <c r="G569" i="254"/>
  <c r="F569" i="254"/>
  <c r="E569" i="254"/>
  <c r="D569" i="254"/>
  <c r="C569" i="254"/>
  <c r="B569" i="254"/>
  <c r="A569" i="254"/>
  <c r="AF568" i="254"/>
  <c r="AE568" i="254"/>
  <c r="AD568" i="254"/>
  <c r="AC568" i="254"/>
  <c r="AB568" i="254"/>
  <c r="AA568" i="254"/>
  <c r="Z568" i="254"/>
  <c r="Y568" i="254"/>
  <c r="X568" i="254"/>
  <c r="W568" i="254"/>
  <c r="V568" i="254"/>
  <c r="U568" i="254"/>
  <c r="T568" i="254"/>
  <c r="S568" i="254"/>
  <c r="R568" i="254"/>
  <c r="Q568" i="254"/>
  <c r="P568" i="254"/>
  <c r="O568" i="254"/>
  <c r="N568" i="254"/>
  <c r="M568" i="254"/>
  <c r="L568" i="254"/>
  <c r="K568" i="254"/>
  <c r="J568" i="254"/>
  <c r="I568" i="254"/>
  <c r="H568" i="254"/>
  <c r="G568" i="254"/>
  <c r="F568" i="254"/>
  <c r="E568" i="254"/>
  <c r="D568" i="254"/>
  <c r="C568" i="254"/>
  <c r="B568" i="254"/>
  <c r="A568" i="254"/>
  <c r="AF567" i="254"/>
  <c r="AE567" i="254"/>
  <c r="AD567" i="254"/>
  <c r="AC567" i="254"/>
  <c r="AB567" i="254"/>
  <c r="AA567" i="254"/>
  <c r="Z567" i="254"/>
  <c r="Y567" i="254"/>
  <c r="X567" i="254"/>
  <c r="W567" i="254"/>
  <c r="V567" i="254"/>
  <c r="U567" i="254"/>
  <c r="T567" i="254"/>
  <c r="S567" i="254"/>
  <c r="R567" i="254"/>
  <c r="Q567" i="254"/>
  <c r="P567" i="254"/>
  <c r="O567" i="254"/>
  <c r="N567" i="254"/>
  <c r="M567" i="254"/>
  <c r="L567" i="254"/>
  <c r="K567" i="254"/>
  <c r="J567" i="254"/>
  <c r="I567" i="254"/>
  <c r="H567" i="254"/>
  <c r="G567" i="254"/>
  <c r="F567" i="254"/>
  <c r="E567" i="254"/>
  <c r="D567" i="254"/>
  <c r="C567" i="254"/>
  <c r="B567" i="254"/>
  <c r="A567" i="254"/>
  <c r="AF566" i="254"/>
  <c r="AE566" i="254"/>
  <c r="AD566" i="254"/>
  <c r="AC566" i="254"/>
  <c r="AB566" i="254"/>
  <c r="AA566" i="254"/>
  <c r="Z566" i="254"/>
  <c r="Y566" i="254"/>
  <c r="X566" i="254"/>
  <c r="W566" i="254"/>
  <c r="V566" i="254"/>
  <c r="U566" i="254"/>
  <c r="T566" i="254"/>
  <c r="S566" i="254"/>
  <c r="R566" i="254"/>
  <c r="Q566" i="254"/>
  <c r="P566" i="254"/>
  <c r="O566" i="254"/>
  <c r="N566" i="254"/>
  <c r="M566" i="254"/>
  <c r="L566" i="254"/>
  <c r="K566" i="254"/>
  <c r="J566" i="254"/>
  <c r="I566" i="254"/>
  <c r="H566" i="254"/>
  <c r="G566" i="254"/>
  <c r="F566" i="254"/>
  <c r="E566" i="254"/>
  <c r="D566" i="254"/>
  <c r="C566" i="254"/>
  <c r="B566" i="254"/>
  <c r="A566" i="254"/>
  <c r="AF565" i="254"/>
  <c r="AE565" i="254"/>
  <c r="AD565" i="254"/>
  <c r="AC565" i="254"/>
  <c r="AB565" i="254"/>
  <c r="AA565" i="254"/>
  <c r="Z565" i="254"/>
  <c r="Y565" i="254"/>
  <c r="X565" i="254"/>
  <c r="W565" i="254"/>
  <c r="V565" i="254"/>
  <c r="U565" i="254"/>
  <c r="T565" i="254"/>
  <c r="S565" i="254"/>
  <c r="R565" i="254"/>
  <c r="Q565" i="254"/>
  <c r="P565" i="254"/>
  <c r="O565" i="254"/>
  <c r="N565" i="254"/>
  <c r="M565" i="254"/>
  <c r="L565" i="254"/>
  <c r="K565" i="254"/>
  <c r="J565" i="254"/>
  <c r="I565" i="254"/>
  <c r="H565" i="254"/>
  <c r="G565" i="254"/>
  <c r="F565" i="254"/>
  <c r="E565" i="254"/>
  <c r="D565" i="254"/>
  <c r="C565" i="254"/>
  <c r="B565" i="254"/>
  <c r="A565" i="254"/>
  <c r="AF564" i="254"/>
  <c r="AE564" i="254"/>
  <c r="AD564" i="254"/>
  <c r="AC564" i="254"/>
  <c r="AB564" i="254"/>
  <c r="AA564" i="254"/>
  <c r="Z564" i="254"/>
  <c r="Y564" i="254"/>
  <c r="X564" i="254"/>
  <c r="W564" i="254"/>
  <c r="V564" i="254"/>
  <c r="U564" i="254"/>
  <c r="T564" i="254"/>
  <c r="S564" i="254"/>
  <c r="R564" i="254"/>
  <c r="Q564" i="254"/>
  <c r="P564" i="254"/>
  <c r="O564" i="254"/>
  <c r="N564" i="254"/>
  <c r="M564" i="254"/>
  <c r="L564" i="254"/>
  <c r="K564" i="254"/>
  <c r="J564" i="254"/>
  <c r="I564" i="254"/>
  <c r="H564" i="254"/>
  <c r="G564" i="254"/>
  <c r="F564" i="254"/>
  <c r="E564" i="254"/>
  <c r="D564" i="254"/>
  <c r="C564" i="254"/>
  <c r="B564" i="254"/>
  <c r="A564" i="254"/>
  <c r="AF563" i="254"/>
  <c r="AE563" i="254"/>
  <c r="AD563" i="254"/>
  <c r="AC563" i="254"/>
  <c r="AB563" i="254"/>
  <c r="AA563" i="254"/>
  <c r="Z563" i="254"/>
  <c r="Y563" i="254"/>
  <c r="X563" i="254"/>
  <c r="W563" i="254"/>
  <c r="V563" i="254"/>
  <c r="U563" i="254"/>
  <c r="T563" i="254"/>
  <c r="S563" i="254"/>
  <c r="R563" i="254"/>
  <c r="Q563" i="254"/>
  <c r="P563" i="254"/>
  <c r="O563" i="254"/>
  <c r="N563" i="254"/>
  <c r="M563" i="254"/>
  <c r="L563" i="254"/>
  <c r="K563" i="254"/>
  <c r="J563" i="254"/>
  <c r="I563" i="254"/>
  <c r="H563" i="254"/>
  <c r="G563" i="254"/>
  <c r="F563" i="254"/>
  <c r="E563" i="254"/>
  <c r="D563" i="254"/>
  <c r="C563" i="254"/>
  <c r="B563" i="254"/>
  <c r="A563" i="254"/>
  <c r="AF562" i="254"/>
  <c r="AE562" i="254"/>
  <c r="AD562" i="254"/>
  <c r="AC562" i="254"/>
  <c r="AB562" i="254"/>
  <c r="AA562" i="254"/>
  <c r="Z562" i="254"/>
  <c r="Y562" i="254"/>
  <c r="X562" i="254"/>
  <c r="W562" i="254"/>
  <c r="V562" i="254"/>
  <c r="U562" i="254"/>
  <c r="T562" i="254"/>
  <c r="S562" i="254"/>
  <c r="R562" i="254"/>
  <c r="Q562" i="254"/>
  <c r="P562" i="254"/>
  <c r="O562" i="254"/>
  <c r="N562" i="254"/>
  <c r="M562" i="254"/>
  <c r="L562" i="254"/>
  <c r="K562" i="254"/>
  <c r="J562" i="254"/>
  <c r="I562" i="254"/>
  <c r="H562" i="254"/>
  <c r="G562" i="254"/>
  <c r="F562" i="254"/>
  <c r="E562" i="254"/>
  <c r="D562" i="254"/>
  <c r="C562" i="254"/>
  <c r="B562" i="254"/>
  <c r="A562" i="254"/>
  <c r="AF561" i="254"/>
  <c r="AE561" i="254"/>
  <c r="AD561" i="254"/>
  <c r="AC561" i="254"/>
  <c r="AB561" i="254"/>
  <c r="AA561" i="254"/>
  <c r="Z561" i="254"/>
  <c r="Y561" i="254"/>
  <c r="X561" i="254"/>
  <c r="W561" i="254"/>
  <c r="V561" i="254"/>
  <c r="U561" i="254"/>
  <c r="T561" i="254"/>
  <c r="S561" i="254"/>
  <c r="R561" i="254"/>
  <c r="Q561" i="254"/>
  <c r="P561" i="254"/>
  <c r="O561" i="254"/>
  <c r="N561" i="254"/>
  <c r="M561" i="254"/>
  <c r="L561" i="254"/>
  <c r="K561" i="254"/>
  <c r="J561" i="254"/>
  <c r="I561" i="254"/>
  <c r="H561" i="254"/>
  <c r="G561" i="254"/>
  <c r="F561" i="254"/>
  <c r="E561" i="254"/>
  <c r="D561" i="254"/>
  <c r="C561" i="254"/>
  <c r="B561" i="254"/>
  <c r="A561" i="254"/>
  <c r="AF560" i="254"/>
  <c r="AE560" i="254"/>
  <c r="AD560" i="254"/>
  <c r="AC560" i="254"/>
  <c r="AB560" i="254"/>
  <c r="AA560" i="254"/>
  <c r="Z560" i="254"/>
  <c r="Y560" i="254"/>
  <c r="X560" i="254"/>
  <c r="W560" i="254"/>
  <c r="V560" i="254"/>
  <c r="U560" i="254"/>
  <c r="T560" i="254"/>
  <c r="S560" i="254"/>
  <c r="R560" i="254"/>
  <c r="Q560" i="254"/>
  <c r="P560" i="254"/>
  <c r="O560" i="254"/>
  <c r="N560" i="254"/>
  <c r="M560" i="254"/>
  <c r="L560" i="254"/>
  <c r="K560" i="254"/>
  <c r="J560" i="254"/>
  <c r="I560" i="254"/>
  <c r="H560" i="254"/>
  <c r="G560" i="254"/>
  <c r="F560" i="254"/>
  <c r="E560" i="254"/>
  <c r="D560" i="254"/>
  <c r="C560" i="254"/>
  <c r="B560" i="254"/>
  <c r="A560" i="254"/>
  <c r="AF559" i="254"/>
  <c r="AE559" i="254"/>
  <c r="AD559" i="254"/>
  <c r="AC559" i="254"/>
  <c r="AB559" i="254"/>
  <c r="AA559" i="254"/>
  <c r="Z559" i="254"/>
  <c r="Y559" i="254"/>
  <c r="X559" i="254"/>
  <c r="W559" i="254"/>
  <c r="V559" i="254"/>
  <c r="U559" i="254"/>
  <c r="T559" i="254"/>
  <c r="S559" i="254"/>
  <c r="R559" i="254"/>
  <c r="Q559" i="254"/>
  <c r="P559" i="254"/>
  <c r="O559" i="254"/>
  <c r="N559" i="254"/>
  <c r="M559" i="254"/>
  <c r="L559" i="254"/>
  <c r="K559" i="254"/>
  <c r="J559" i="254"/>
  <c r="I559" i="254"/>
  <c r="H559" i="254"/>
  <c r="G559" i="254"/>
  <c r="F559" i="254"/>
  <c r="E559" i="254"/>
  <c r="D559" i="254"/>
  <c r="C559" i="254"/>
  <c r="B559" i="254"/>
  <c r="A559" i="254"/>
  <c r="AF558" i="254"/>
  <c r="AE558" i="254"/>
  <c r="AD558" i="254"/>
  <c r="AC558" i="254"/>
  <c r="AB558" i="254"/>
  <c r="AA558" i="254"/>
  <c r="Z558" i="254"/>
  <c r="Y558" i="254"/>
  <c r="X558" i="254"/>
  <c r="W558" i="254"/>
  <c r="V558" i="254"/>
  <c r="U558" i="254"/>
  <c r="T558" i="254"/>
  <c r="S558" i="254"/>
  <c r="R558" i="254"/>
  <c r="Q558" i="254"/>
  <c r="P558" i="254"/>
  <c r="O558" i="254"/>
  <c r="N558" i="254"/>
  <c r="M558" i="254"/>
  <c r="L558" i="254"/>
  <c r="K558" i="254"/>
  <c r="J558" i="254"/>
  <c r="I558" i="254"/>
  <c r="H558" i="254"/>
  <c r="G558" i="254"/>
  <c r="F558" i="254"/>
  <c r="E558" i="254"/>
  <c r="D558" i="254"/>
  <c r="C558" i="254"/>
  <c r="B558" i="254"/>
  <c r="A558" i="254"/>
  <c r="AF557" i="254"/>
  <c r="AE557" i="254"/>
  <c r="AD557" i="254"/>
  <c r="AC557" i="254"/>
  <c r="AB557" i="254"/>
  <c r="AA557" i="254"/>
  <c r="Z557" i="254"/>
  <c r="Y557" i="254"/>
  <c r="X557" i="254"/>
  <c r="W557" i="254"/>
  <c r="V557" i="254"/>
  <c r="U557" i="254"/>
  <c r="T557" i="254"/>
  <c r="S557" i="254"/>
  <c r="R557" i="254"/>
  <c r="Q557" i="254"/>
  <c r="P557" i="254"/>
  <c r="O557" i="254"/>
  <c r="N557" i="254"/>
  <c r="M557" i="254"/>
  <c r="L557" i="254"/>
  <c r="K557" i="254"/>
  <c r="J557" i="254"/>
  <c r="I557" i="254"/>
  <c r="H557" i="254"/>
  <c r="G557" i="254"/>
  <c r="F557" i="254"/>
  <c r="E557" i="254"/>
  <c r="D557" i="254"/>
  <c r="C557" i="254"/>
  <c r="B557" i="254"/>
  <c r="A557" i="254"/>
  <c r="AF556" i="254"/>
  <c r="AE556" i="254"/>
  <c r="AD556" i="254"/>
  <c r="AC556" i="254"/>
  <c r="AB556" i="254"/>
  <c r="AA556" i="254"/>
  <c r="Z556" i="254"/>
  <c r="Y556" i="254"/>
  <c r="X556" i="254"/>
  <c r="W556" i="254"/>
  <c r="V556" i="254"/>
  <c r="U556" i="254"/>
  <c r="T556" i="254"/>
  <c r="S556" i="254"/>
  <c r="R556" i="254"/>
  <c r="Q556" i="254"/>
  <c r="P556" i="254"/>
  <c r="O556" i="254"/>
  <c r="N556" i="254"/>
  <c r="M556" i="254"/>
  <c r="L556" i="254"/>
  <c r="K556" i="254"/>
  <c r="J556" i="254"/>
  <c r="I556" i="254"/>
  <c r="H556" i="254"/>
  <c r="G556" i="254"/>
  <c r="F556" i="254"/>
  <c r="E556" i="254"/>
  <c r="D556" i="254"/>
  <c r="C556" i="254"/>
  <c r="B556" i="254"/>
  <c r="A556" i="254"/>
  <c r="AF555" i="254"/>
  <c r="AE555" i="254"/>
  <c r="AD555" i="254"/>
  <c r="AC555" i="254"/>
  <c r="AB555" i="254"/>
  <c r="AA555" i="254"/>
  <c r="Z555" i="254"/>
  <c r="Y555" i="254"/>
  <c r="X555" i="254"/>
  <c r="W555" i="254"/>
  <c r="V555" i="254"/>
  <c r="U555" i="254"/>
  <c r="T555" i="254"/>
  <c r="S555" i="254"/>
  <c r="R555" i="254"/>
  <c r="Q555" i="254"/>
  <c r="P555" i="254"/>
  <c r="O555" i="254"/>
  <c r="N555" i="254"/>
  <c r="M555" i="254"/>
  <c r="L555" i="254"/>
  <c r="K555" i="254"/>
  <c r="J555" i="254"/>
  <c r="I555" i="254"/>
  <c r="H555" i="254"/>
  <c r="G555" i="254"/>
  <c r="F555" i="254"/>
  <c r="E555" i="254"/>
  <c r="D555" i="254"/>
  <c r="C555" i="254"/>
  <c r="B555" i="254"/>
  <c r="A555" i="254"/>
  <c r="AF554" i="254"/>
  <c r="AE554" i="254"/>
  <c r="AD554" i="254"/>
  <c r="AC554" i="254"/>
  <c r="AB554" i="254"/>
  <c r="AA554" i="254"/>
  <c r="Z554" i="254"/>
  <c r="Y554" i="254"/>
  <c r="X554" i="254"/>
  <c r="W554" i="254"/>
  <c r="V554" i="254"/>
  <c r="U554" i="254"/>
  <c r="T554" i="254"/>
  <c r="S554" i="254"/>
  <c r="R554" i="254"/>
  <c r="Q554" i="254"/>
  <c r="P554" i="254"/>
  <c r="O554" i="254"/>
  <c r="N554" i="254"/>
  <c r="M554" i="254"/>
  <c r="L554" i="254"/>
  <c r="K554" i="254"/>
  <c r="J554" i="254"/>
  <c r="I554" i="254"/>
  <c r="H554" i="254"/>
  <c r="G554" i="254"/>
  <c r="F554" i="254"/>
  <c r="E554" i="254"/>
  <c r="D554" i="254"/>
  <c r="C554" i="254"/>
  <c r="B554" i="254"/>
  <c r="A554" i="254"/>
  <c r="AF553" i="254"/>
  <c r="AE553" i="254"/>
  <c r="AD553" i="254"/>
  <c r="AC553" i="254"/>
  <c r="AB553" i="254"/>
  <c r="AA553" i="254"/>
  <c r="Z553" i="254"/>
  <c r="Y553" i="254"/>
  <c r="X553" i="254"/>
  <c r="W553" i="254"/>
  <c r="V553" i="254"/>
  <c r="U553" i="254"/>
  <c r="T553" i="254"/>
  <c r="S553" i="254"/>
  <c r="R553" i="254"/>
  <c r="Q553" i="254"/>
  <c r="P553" i="254"/>
  <c r="O553" i="254"/>
  <c r="N553" i="254"/>
  <c r="M553" i="254"/>
  <c r="L553" i="254"/>
  <c r="K553" i="254"/>
  <c r="J553" i="254"/>
  <c r="I553" i="254"/>
  <c r="H553" i="254"/>
  <c r="G553" i="254"/>
  <c r="F553" i="254"/>
  <c r="E553" i="254"/>
  <c r="D553" i="254"/>
  <c r="C553" i="254"/>
  <c r="B553" i="254"/>
  <c r="A553" i="254"/>
  <c r="AF552" i="254"/>
  <c r="AE552" i="254"/>
  <c r="AD552" i="254"/>
  <c r="AC552" i="254"/>
  <c r="AB552" i="254"/>
  <c r="AA552" i="254"/>
  <c r="Z552" i="254"/>
  <c r="Y552" i="254"/>
  <c r="X552" i="254"/>
  <c r="W552" i="254"/>
  <c r="V552" i="254"/>
  <c r="U552" i="254"/>
  <c r="T552" i="254"/>
  <c r="S552" i="254"/>
  <c r="R552" i="254"/>
  <c r="Q552" i="254"/>
  <c r="P552" i="254"/>
  <c r="O552" i="254"/>
  <c r="N552" i="254"/>
  <c r="M552" i="254"/>
  <c r="L552" i="254"/>
  <c r="K552" i="254"/>
  <c r="J552" i="254"/>
  <c r="I552" i="254"/>
  <c r="H552" i="254"/>
  <c r="G552" i="254"/>
  <c r="F552" i="254"/>
  <c r="E552" i="254"/>
  <c r="D552" i="254"/>
  <c r="C552" i="254"/>
  <c r="B552" i="254"/>
  <c r="A552" i="254"/>
  <c r="AF551" i="254"/>
  <c r="AE551" i="254"/>
  <c r="AD551" i="254"/>
  <c r="AC551" i="254"/>
  <c r="AB551" i="254"/>
  <c r="AA551" i="254"/>
  <c r="Z551" i="254"/>
  <c r="Y551" i="254"/>
  <c r="X551" i="254"/>
  <c r="W551" i="254"/>
  <c r="V551" i="254"/>
  <c r="U551" i="254"/>
  <c r="T551" i="254"/>
  <c r="S551" i="254"/>
  <c r="R551" i="254"/>
  <c r="Q551" i="254"/>
  <c r="P551" i="254"/>
  <c r="O551" i="254"/>
  <c r="N551" i="254"/>
  <c r="M551" i="254"/>
  <c r="L551" i="254"/>
  <c r="K551" i="254"/>
  <c r="J551" i="254"/>
  <c r="I551" i="254"/>
  <c r="H551" i="254"/>
  <c r="G551" i="254"/>
  <c r="F551" i="254"/>
  <c r="E551" i="254"/>
  <c r="D551" i="254"/>
  <c r="C551" i="254"/>
  <c r="B551" i="254"/>
  <c r="A551" i="254"/>
  <c r="AF550" i="254"/>
  <c r="AE550" i="254"/>
  <c r="AD550" i="254"/>
  <c r="AC550" i="254"/>
  <c r="AB550" i="254"/>
  <c r="AA550" i="254"/>
  <c r="Z550" i="254"/>
  <c r="Y550" i="254"/>
  <c r="X550" i="254"/>
  <c r="W550" i="254"/>
  <c r="V550" i="254"/>
  <c r="U550" i="254"/>
  <c r="T550" i="254"/>
  <c r="S550" i="254"/>
  <c r="R550" i="254"/>
  <c r="Q550" i="254"/>
  <c r="P550" i="254"/>
  <c r="O550" i="254"/>
  <c r="N550" i="254"/>
  <c r="M550" i="254"/>
  <c r="L550" i="254"/>
  <c r="K550" i="254"/>
  <c r="J550" i="254"/>
  <c r="I550" i="254"/>
  <c r="H550" i="254"/>
  <c r="G550" i="254"/>
  <c r="F550" i="254"/>
  <c r="E550" i="254"/>
  <c r="D550" i="254"/>
  <c r="C550" i="254"/>
  <c r="B550" i="254"/>
  <c r="A550" i="254"/>
  <c r="AF549" i="254"/>
  <c r="AE549" i="254"/>
  <c r="AD549" i="254"/>
  <c r="AC549" i="254"/>
  <c r="AB549" i="254"/>
  <c r="AA549" i="254"/>
  <c r="Z549" i="254"/>
  <c r="Y549" i="254"/>
  <c r="X549" i="254"/>
  <c r="W549" i="254"/>
  <c r="V549" i="254"/>
  <c r="U549" i="254"/>
  <c r="T549" i="254"/>
  <c r="S549" i="254"/>
  <c r="R549" i="254"/>
  <c r="Q549" i="254"/>
  <c r="P549" i="254"/>
  <c r="O549" i="254"/>
  <c r="N549" i="254"/>
  <c r="M549" i="254"/>
  <c r="L549" i="254"/>
  <c r="K549" i="254"/>
  <c r="J549" i="254"/>
  <c r="I549" i="254"/>
  <c r="H549" i="254"/>
  <c r="G549" i="254"/>
  <c r="F549" i="254"/>
  <c r="E549" i="254"/>
  <c r="D549" i="254"/>
  <c r="C549" i="254"/>
  <c r="B549" i="254"/>
  <c r="A549" i="254"/>
  <c r="AF548" i="254"/>
  <c r="AE548" i="254"/>
  <c r="AD548" i="254"/>
  <c r="AC548" i="254"/>
  <c r="AB548" i="254"/>
  <c r="AA548" i="254"/>
  <c r="Z548" i="254"/>
  <c r="Y548" i="254"/>
  <c r="X548" i="254"/>
  <c r="W548" i="254"/>
  <c r="V548" i="254"/>
  <c r="U548" i="254"/>
  <c r="T548" i="254"/>
  <c r="S548" i="254"/>
  <c r="R548" i="254"/>
  <c r="Q548" i="254"/>
  <c r="P548" i="254"/>
  <c r="O548" i="254"/>
  <c r="N548" i="254"/>
  <c r="M548" i="254"/>
  <c r="L548" i="254"/>
  <c r="K548" i="254"/>
  <c r="J548" i="254"/>
  <c r="I548" i="254"/>
  <c r="H548" i="254"/>
  <c r="G548" i="254"/>
  <c r="F548" i="254"/>
  <c r="E548" i="254"/>
  <c r="D548" i="254"/>
  <c r="C548" i="254"/>
  <c r="B548" i="254"/>
  <c r="A548" i="254"/>
  <c r="AF547" i="254"/>
  <c r="AE547" i="254"/>
  <c r="AD547" i="254"/>
  <c r="AC547" i="254"/>
  <c r="AB547" i="254"/>
  <c r="AA547" i="254"/>
  <c r="Z547" i="254"/>
  <c r="Y547" i="254"/>
  <c r="X547" i="254"/>
  <c r="W547" i="254"/>
  <c r="V547" i="254"/>
  <c r="U547" i="254"/>
  <c r="T547" i="254"/>
  <c r="S547" i="254"/>
  <c r="R547" i="254"/>
  <c r="Q547" i="254"/>
  <c r="P547" i="254"/>
  <c r="O547" i="254"/>
  <c r="N547" i="254"/>
  <c r="M547" i="254"/>
  <c r="L547" i="254"/>
  <c r="K547" i="254"/>
  <c r="J547" i="254"/>
  <c r="I547" i="254"/>
  <c r="H547" i="254"/>
  <c r="G547" i="254"/>
  <c r="F547" i="254"/>
  <c r="E547" i="254"/>
  <c r="D547" i="254"/>
  <c r="C547" i="254"/>
  <c r="B547" i="254"/>
  <c r="A547" i="254"/>
  <c r="AF546" i="254"/>
  <c r="AE546" i="254"/>
  <c r="AD546" i="254"/>
  <c r="AC546" i="254"/>
  <c r="AB546" i="254"/>
  <c r="AA546" i="254"/>
  <c r="Z546" i="254"/>
  <c r="Y546" i="254"/>
  <c r="X546" i="254"/>
  <c r="W546" i="254"/>
  <c r="V546" i="254"/>
  <c r="U546" i="254"/>
  <c r="T546" i="254"/>
  <c r="S546" i="254"/>
  <c r="R546" i="254"/>
  <c r="Q546" i="254"/>
  <c r="P546" i="254"/>
  <c r="O546" i="254"/>
  <c r="N546" i="254"/>
  <c r="M546" i="254"/>
  <c r="L546" i="254"/>
  <c r="K546" i="254"/>
  <c r="J546" i="254"/>
  <c r="I546" i="254"/>
  <c r="H546" i="254"/>
  <c r="G546" i="254"/>
  <c r="F546" i="254"/>
  <c r="E546" i="254"/>
  <c r="D546" i="254"/>
  <c r="C546" i="254"/>
  <c r="B546" i="254"/>
  <c r="A546" i="254"/>
  <c r="AF545" i="254"/>
  <c r="AE545" i="254"/>
  <c r="AD545" i="254"/>
  <c r="AC545" i="254"/>
  <c r="AB545" i="254"/>
  <c r="AA545" i="254"/>
  <c r="Z545" i="254"/>
  <c r="Y545" i="254"/>
  <c r="X545" i="254"/>
  <c r="W545" i="254"/>
  <c r="V545" i="254"/>
  <c r="U545" i="254"/>
  <c r="T545" i="254"/>
  <c r="S545" i="254"/>
  <c r="R545" i="254"/>
  <c r="Q545" i="254"/>
  <c r="P545" i="254"/>
  <c r="O545" i="254"/>
  <c r="N545" i="254"/>
  <c r="M545" i="254"/>
  <c r="L545" i="254"/>
  <c r="K545" i="254"/>
  <c r="J545" i="254"/>
  <c r="I545" i="254"/>
  <c r="H545" i="254"/>
  <c r="G545" i="254"/>
  <c r="F545" i="254"/>
  <c r="E545" i="254"/>
  <c r="D545" i="254"/>
  <c r="C545" i="254"/>
  <c r="B545" i="254"/>
  <c r="A545" i="254"/>
  <c r="AF544" i="254"/>
  <c r="AE544" i="254"/>
  <c r="AD544" i="254"/>
  <c r="AC544" i="254"/>
  <c r="AB544" i="254"/>
  <c r="AA544" i="254"/>
  <c r="Z544" i="254"/>
  <c r="Y544" i="254"/>
  <c r="X544" i="254"/>
  <c r="W544" i="254"/>
  <c r="V544" i="254"/>
  <c r="U544" i="254"/>
  <c r="T544" i="254"/>
  <c r="S544" i="254"/>
  <c r="R544" i="254"/>
  <c r="Q544" i="254"/>
  <c r="P544" i="254"/>
  <c r="O544" i="254"/>
  <c r="N544" i="254"/>
  <c r="M544" i="254"/>
  <c r="L544" i="254"/>
  <c r="K544" i="254"/>
  <c r="J544" i="254"/>
  <c r="I544" i="254"/>
  <c r="H544" i="254"/>
  <c r="G544" i="254"/>
  <c r="F544" i="254"/>
  <c r="E544" i="254"/>
  <c r="D544" i="254"/>
  <c r="C544" i="254"/>
  <c r="B544" i="254"/>
  <c r="A544" i="254"/>
  <c r="AF543" i="254"/>
  <c r="AE543" i="254"/>
  <c r="AD543" i="254"/>
  <c r="AC543" i="254"/>
  <c r="AB543" i="254"/>
  <c r="AA543" i="254"/>
  <c r="Z543" i="254"/>
  <c r="Y543" i="254"/>
  <c r="X543" i="254"/>
  <c r="W543" i="254"/>
  <c r="V543" i="254"/>
  <c r="U543" i="254"/>
  <c r="T543" i="254"/>
  <c r="S543" i="254"/>
  <c r="R543" i="254"/>
  <c r="Q543" i="254"/>
  <c r="P543" i="254"/>
  <c r="O543" i="254"/>
  <c r="N543" i="254"/>
  <c r="M543" i="254"/>
  <c r="L543" i="254"/>
  <c r="K543" i="254"/>
  <c r="J543" i="254"/>
  <c r="I543" i="254"/>
  <c r="H543" i="254"/>
  <c r="G543" i="254"/>
  <c r="F543" i="254"/>
  <c r="E543" i="254"/>
  <c r="D543" i="254"/>
  <c r="C543" i="254"/>
  <c r="B543" i="254"/>
  <c r="A543" i="254"/>
  <c r="AF542" i="254"/>
  <c r="AE542" i="254"/>
  <c r="AD542" i="254"/>
  <c r="AC542" i="254"/>
  <c r="AB542" i="254"/>
  <c r="AA542" i="254"/>
  <c r="Z542" i="254"/>
  <c r="Y542" i="254"/>
  <c r="X542" i="254"/>
  <c r="W542" i="254"/>
  <c r="V542" i="254"/>
  <c r="U542" i="254"/>
  <c r="T542" i="254"/>
  <c r="S542" i="254"/>
  <c r="R542" i="254"/>
  <c r="Q542" i="254"/>
  <c r="P542" i="254"/>
  <c r="O542" i="254"/>
  <c r="N542" i="254"/>
  <c r="M542" i="254"/>
  <c r="L542" i="254"/>
  <c r="K542" i="254"/>
  <c r="J542" i="254"/>
  <c r="I542" i="254"/>
  <c r="H542" i="254"/>
  <c r="G542" i="254"/>
  <c r="F542" i="254"/>
  <c r="E542" i="254"/>
  <c r="D542" i="254"/>
  <c r="C542" i="254"/>
  <c r="B542" i="254"/>
  <c r="A542" i="254"/>
  <c r="AF541" i="254"/>
  <c r="AE541" i="254"/>
  <c r="AD541" i="254"/>
  <c r="AC541" i="254"/>
  <c r="AB541" i="254"/>
  <c r="AA541" i="254"/>
  <c r="Z541" i="254"/>
  <c r="Y541" i="254"/>
  <c r="X541" i="254"/>
  <c r="W541" i="254"/>
  <c r="V541" i="254"/>
  <c r="U541" i="254"/>
  <c r="T541" i="254"/>
  <c r="S541" i="254"/>
  <c r="R541" i="254"/>
  <c r="Q541" i="254"/>
  <c r="P541" i="254"/>
  <c r="O541" i="254"/>
  <c r="N541" i="254"/>
  <c r="M541" i="254"/>
  <c r="L541" i="254"/>
  <c r="K541" i="254"/>
  <c r="J541" i="254"/>
  <c r="I541" i="254"/>
  <c r="H541" i="254"/>
  <c r="G541" i="254"/>
  <c r="F541" i="254"/>
  <c r="E541" i="254"/>
  <c r="D541" i="254"/>
  <c r="C541" i="254"/>
  <c r="B541" i="254"/>
  <c r="A541" i="254"/>
  <c r="AF540" i="254"/>
  <c r="AE540" i="254"/>
  <c r="AD540" i="254"/>
  <c r="AC540" i="254"/>
  <c r="AB540" i="254"/>
  <c r="AA540" i="254"/>
  <c r="Z540" i="254"/>
  <c r="Y540" i="254"/>
  <c r="X540" i="254"/>
  <c r="W540" i="254"/>
  <c r="V540" i="254"/>
  <c r="U540" i="254"/>
  <c r="T540" i="254"/>
  <c r="S540" i="254"/>
  <c r="R540" i="254"/>
  <c r="Q540" i="254"/>
  <c r="P540" i="254"/>
  <c r="O540" i="254"/>
  <c r="N540" i="254"/>
  <c r="M540" i="254"/>
  <c r="L540" i="254"/>
  <c r="K540" i="254"/>
  <c r="J540" i="254"/>
  <c r="I540" i="254"/>
  <c r="H540" i="254"/>
  <c r="G540" i="254"/>
  <c r="F540" i="254"/>
  <c r="E540" i="254"/>
  <c r="D540" i="254"/>
  <c r="C540" i="254"/>
  <c r="B540" i="254"/>
  <c r="A540" i="254"/>
  <c r="AF539" i="254"/>
  <c r="AE539" i="254"/>
  <c r="AD539" i="254"/>
  <c r="AC539" i="254"/>
  <c r="AB539" i="254"/>
  <c r="AA539" i="254"/>
  <c r="Z539" i="254"/>
  <c r="Y539" i="254"/>
  <c r="X539" i="254"/>
  <c r="W539" i="254"/>
  <c r="V539" i="254"/>
  <c r="U539" i="254"/>
  <c r="T539" i="254"/>
  <c r="S539" i="254"/>
  <c r="R539" i="254"/>
  <c r="Q539" i="254"/>
  <c r="P539" i="254"/>
  <c r="O539" i="254"/>
  <c r="N539" i="254"/>
  <c r="M539" i="254"/>
  <c r="L539" i="254"/>
  <c r="K539" i="254"/>
  <c r="J539" i="254"/>
  <c r="I539" i="254"/>
  <c r="H539" i="254"/>
  <c r="G539" i="254"/>
  <c r="F539" i="254"/>
  <c r="E539" i="254"/>
  <c r="D539" i="254"/>
  <c r="C539" i="254"/>
  <c r="B539" i="254"/>
  <c r="A539" i="254"/>
  <c r="AF538" i="254"/>
  <c r="AE538" i="254"/>
  <c r="AD538" i="254"/>
  <c r="AC538" i="254"/>
  <c r="AB538" i="254"/>
  <c r="AA538" i="254"/>
  <c r="Z538" i="254"/>
  <c r="Y538" i="254"/>
  <c r="X538" i="254"/>
  <c r="W538" i="254"/>
  <c r="V538" i="254"/>
  <c r="U538" i="254"/>
  <c r="T538" i="254"/>
  <c r="S538" i="254"/>
  <c r="R538" i="254"/>
  <c r="Q538" i="254"/>
  <c r="P538" i="254"/>
  <c r="O538" i="254"/>
  <c r="N538" i="254"/>
  <c r="M538" i="254"/>
  <c r="L538" i="254"/>
  <c r="K538" i="254"/>
  <c r="J538" i="254"/>
  <c r="I538" i="254"/>
  <c r="H538" i="254"/>
  <c r="G538" i="254"/>
  <c r="F538" i="254"/>
  <c r="E538" i="254"/>
  <c r="D538" i="254"/>
  <c r="C538" i="254"/>
  <c r="B538" i="254"/>
  <c r="A538" i="254"/>
  <c r="AF537" i="254"/>
  <c r="AE537" i="254"/>
  <c r="AD537" i="254"/>
  <c r="AC537" i="254"/>
  <c r="AB537" i="254"/>
  <c r="AA537" i="254"/>
  <c r="Z537" i="254"/>
  <c r="Y537" i="254"/>
  <c r="X537" i="254"/>
  <c r="W537" i="254"/>
  <c r="V537" i="254"/>
  <c r="U537" i="254"/>
  <c r="T537" i="254"/>
  <c r="S537" i="254"/>
  <c r="R537" i="254"/>
  <c r="Q537" i="254"/>
  <c r="P537" i="254"/>
  <c r="O537" i="254"/>
  <c r="N537" i="254"/>
  <c r="M537" i="254"/>
  <c r="L537" i="254"/>
  <c r="K537" i="254"/>
  <c r="J537" i="254"/>
  <c r="I537" i="254"/>
  <c r="H537" i="254"/>
  <c r="G537" i="254"/>
  <c r="F537" i="254"/>
  <c r="E537" i="254"/>
  <c r="D537" i="254"/>
  <c r="C537" i="254"/>
  <c r="B537" i="254"/>
  <c r="A537" i="254"/>
  <c r="AF536" i="254"/>
  <c r="AE536" i="254"/>
  <c r="AD536" i="254"/>
  <c r="AC536" i="254"/>
  <c r="AB536" i="254"/>
  <c r="AA536" i="254"/>
  <c r="Z536" i="254"/>
  <c r="Y536" i="254"/>
  <c r="X536" i="254"/>
  <c r="W536" i="254"/>
  <c r="V536" i="254"/>
  <c r="U536" i="254"/>
  <c r="T536" i="254"/>
  <c r="S536" i="254"/>
  <c r="R536" i="254"/>
  <c r="Q536" i="254"/>
  <c r="P536" i="254"/>
  <c r="O536" i="254"/>
  <c r="N536" i="254"/>
  <c r="M536" i="254"/>
  <c r="L536" i="254"/>
  <c r="K536" i="254"/>
  <c r="J536" i="254"/>
  <c r="I536" i="254"/>
  <c r="H536" i="254"/>
  <c r="G536" i="254"/>
  <c r="F536" i="254"/>
  <c r="E536" i="254"/>
  <c r="D536" i="254"/>
  <c r="C536" i="254"/>
  <c r="B536" i="254"/>
  <c r="A536" i="254"/>
  <c r="AF535" i="254"/>
  <c r="AE535" i="254"/>
  <c r="AD535" i="254"/>
  <c r="AC535" i="254"/>
  <c r="AB535" i="254"/>
  <c r="AA535" i="254"/>
  <c r="Z535" i="254"/>
  <c r="Y535" i="254"/>
  <c r="X535" i="254"/>
  <c r="W535" i="254"/>
  <c r="V535" i="254"/>
  <c r="U535" i="254"/>
  <c r="T535" i="254"/>
  <c r="S535" i="254"/>
  <c r="R535" i="254"/>
  <c r="Q535" i="254"/>
  <c r="P535" i="254"/>
  <c r="O535" i="254"/>
  <c r="N535" i="254"/>
  <c r="M535" i="254"/>
  <c r="L535" i="254"/>
  <c r="K535" i="254"/>
  <c r="J535" i="254"/>
  <c r="I535" i="254"/>
  <c r="H535" i="254"/>
  <c r="G535" i="254"/>
  <c r="F535" i="254"/>
  <c r="E535" i="254"/>
  <c r="D535" i="254"/>
  <c r="C535" i="254"/>
  <c r="B535" i="254"/>
  <c r="A535" i="254"/>
  <c r="AF534" i="254"/>
  <c r="AE534" i="254"/>
  <c r="AD534" i="254"/>
  <c r="AC534" i="254"/>
  <c r="AB534" i="254"/>
  <c r="AA534" i="254"/>
  <c r="Z534" i="254"/>
  <c r="Y534" i="254"/>
  <c r="X534" i="254"/>
  <c r="W534" i="254"/>
  <c r="V534" i="254"/>
  <c r="U534" i="254"/>
  <c r="T534" i="254"/>
  <c r="S534" i="254"/>
  <c r="R534" i="254"/>
  <c r="Q534" i="254"/>
  <c r="P534" i="254"/>
  <c r="O534" i="254"/>
  <c r="N534" i="254"/>
  <c r="M534" i="254"/>
  <c r="L534" i="254"/>
  <c r="K534" i="254"/>
  <c r="J534" i="254"/>
  <c r="I534" i="254"/>
  <c r="H534" i="254"/>
  <c r="G534" i="254"/>
  <c r="F534" i="254"/>
  <c r="E534" i="254"/>
  <c r="D534" i="254"/>
  <c r="C534" i="254"/>
  <c r="B534" i="254"/>
  <c r="A534" i="254"/>
  <c r="AF533" i="254"/>
  <c r="AE533" i="254"/>
  <c r="AD533" i="254"/>
  <c r="AC533" i="254"/>
  <c r="AB533" i="254"/>
  <c r="AA533" i="254"/>
  <c r="Z533" i="254"/>
  <c r="Y533" i="254"/>
  <c r="X533" i="254"/>
  <c r="W533" i="254"/>
  <c r="V533" i="254"/>
  <c r="U533" i="254"/>
  <c r="T533" i="254"/>
  <c r="S533" i="254"/>
  <c r="R533" i="254"/>
  <c r="Q533" i="254"/>
  <c r="P533" i="254"/>
  <c r="O533" i="254"/>
  <c r="N533" i="254"/>
  <c r="M533" i="254"/>
  <c r="L533" i="254"/>
  <c r="K533" i="254"/>
  <c r="J533" i="254"/>
  <c r="I533" i="254"/>
  <c r="H533" i="254"/>
  <c r="G533" i="254"/>
  <c r="F533" i="254"/>
  <c r="E533" i="254"/>
  <c r="D533" i="254"/>
  <c r="C533" i="254"/>
  <c r="B533" i="254"/>
  <c r="A533" i="254"/>
  <c r="AF532" i="254"/>
  <c r="AE532" i="254"/>
  <c r="AD532" i="254"/>
  <c r="AC532" i="254"/>
  <c r="AB532" i="254"/>
  <c r="AA532" i="254"/>
  <c r="Z532" i="254"/>
  <c r="Y532" i="254"/>
  <c r="X532" i="254"/>
  <c r="W532" i="254"/>
  <c r="V532" i="254"/>
  <c r="U532" i="254"/>
  <c r="T532" i="254"/>
  <c r="S532" i="254"/>
  <c r="R532" i="254"/>
  <c r="Q532" i="254"/>
  <c r="P532" i="254"/>
  <c r="O532" i="254"/>
  <c r="N532" i="254"/>
  <c r="M532" i="254"/>
  <c r="L532" i="254"/>
  <c r="K532" i="254"/>
  <c r="J532" i="254"/>
  <c r="I532" i="254"/>
  <c r="H532" i="254"/>
  <c r="G532" i="254"/>
  <c r="F532" i="254"/>
  <c r="E532" i="254"/>
  <c r="D532" i="254"/>
  <c r="C532" i="254"/>
  <c r="B532" i="254"/>
  <c r="A532" i="254"/>
  <c r="AF531" i="254"/>
  <c r="AE531" i="254"/>
  <c r="AD531" i="254"/>
  <c r="AC531" i="254"/>
  <c r="AB531" i="254"/>
  <c r="AA531" i="254"/>
  <c r="Z531" i="254"/>
  <c r="Y531" i="254"/>
  <c r="X531" i="254"/>
  <c r="W531" i="254"/>
  <c r="V531" i="254"/>
  <c r="U531" i="254"/>
  <c r="T531" i="254"/>
  <c r="S531" i="254"/>
  <c r="R531" i="254"/>
  <c r="Q531" i="254"/>
  <c r="P531" i="254"/>
  <c r="O531" i="254"/>
  <c r="N531" i="254"/>
  <c r="M531" i="254"/>
  <c r="L531" i="254"/>
  <c r="K531" i="254"/>
  <c r="J531" i="254"/>
  <c r="I531" i="254"/>
  <c r="H531" i="254"/>
  <c r="G531" i="254"/>
  <c r="F531" i="254"/>
  <c r="E531" i="254"/>
  <c r="D531" i="254"/>
  <c r="C531" i="254"/>
  <c r="B531" i="254"/>
  <c r="A531" i="254"/>
  <c r="AF530" i="254"/>
  <c r="AE530" i="254"/>
  <c r="AD530" i="254"/>
  <c r="AC530" i="254"/>
  <c r="AB530" i="254"/>
  <c r="AA530" i="254"/>
  <c r="Z530" i="254"/>
  <c r="Y530" i="254"/>
  <c r="X530" i="254"/>
  <c r="W530" i="254"/>
  <c r="V530" i="254"/>
  <c r="U530" i="254"/>
  <c r="T530" i="254"/>
  <c r="S530" i="254"/>
  <c r="R530" i="254"/>
  <c r="Q530" i="254"/>
  <c r="P530" i="254"/>
  <c r="O530" i="254"/>
  <c r="N530" i="254"/>
  <c r="M530" i="254"/>
  <c r="L530" i="254"/>
  <c r="K530" i="254"/>
  <c r="J530" i="254"/>
  <c r="I530" i="254"/>
  <c r="H530" i="254"/>
  <c r="G530" i="254"/>
  <c r="F530" i="254"/>
  <c r="E530" i="254"/>
  <c r="D530" i="254"/>
  <c r="C530" i="254"/>
  <c r="B530" i="254"/>
  <c r="A530" i="254"/>
  <c r="AF529" i="254"/>
  <c r="AE529" i="254"/>
  <c r="AD529" i="254"/>
  <c r="AC529" i="254"/>
  <c r="AB529" i="254"/>
  <c r="AA529" i="254"/>
  <c r="Z529" i="254"/>
  <c r="Y529" i="254"/>
  <c r="X529" i="254"/>
  <c r="W529" i="254"/>
  <c r="V529" i="254"/>
  <c r="U529" i="254"/>
  <c r="T529" i="254"/>
  <c r="S529" i="254"/>
  <c r="R529" i="254"/>
  <c r="Q529" i="254"/>
  <c r="P529" i="254"/>
  <c r="O529" i="254"/>
  <c r="N529" i="254"/>
  <c r="M529" i="254"/>
  <c r="L529" i="254"/>
  <c r="K529" i="254"/>
  <c r="J529" i="254"/>
  <c r="I529" i="254"/>
  <c r="H529" i="254"/>
  <c r="G529" i="254"/>
  <c r="F529" i="254"/>
  <c r="E529" i="254"/>
  <c r="D529" i="254"/>
  <c r="C529" i="254"/>
  <c r="B529" i="254"/>
  <c r="A529" i="254"/>
  <c r="AF528" i="254"/>
  <c r="AE528" i="254"/>
  <c r="AD528" i="254"/>
  <c r="AC528" i="254"/>
  <c r="AB528" i="254"/>
  <c r="AA528" i="254"/>
  <c r="Z528" i="254"/>
  <c r="Y528" i="254"/>
  <c r="X528" i="254"/>
  <c r="W528" i="254"/>
  <c r="V528" i="254"/>
  <c r="U528" i="254"/>
  <c r="T528" i="254"/>
  <c r="S528" i="254"/>
  <c r="R528" i="254"/>
  <c r="Q528" i="254"/>
  <c r="P528" i="254"/>
  <c r="O528" i="254"/>
  <c r="N528" i="254"/>
  <c r="M528" i="254"/>
  <c r="L528" i="254"/>
  <c r="K528" i="254"/>
  <c r="J528" i="254"/>
  <c r="I528" i="254"/>
  <c r="H528" i="254"/>
  <c r="G528" i="254"/>
  <c r="F528" i="254"/>
  <c r="E528" i="254"/>
  <c r="D528" i="254"/>
  <c r="C528" i="254"/>
  <c r="B528" i="254"/>
  <c r="A528" i="254"/>
  <c r="AF527" i="254"/>
  <c r="AE527" i="254"/>
  <c r="AD527" i="254"/>
  <c r="AC527" i="254"/>
  <c r="AB527" i="254"/>
  <c r="AA527" i="254"/>
  <c r="Z527" i="254"/>
  <c r="Y527" i="254"/>
  <c r="X527" i="254"/>
  <c r="W527" i="254"/>
  <c r="V527" i="254"/>
  <c r="U527" i="254"/>
  <c r="T527" i="254"/>
  <c r="S527" i="254"/>
  <c r="R527" i="254"/>
  <c r="Q527" i="254"/>
  <c r="P527" i="254"/>
  <c r="O527" i="254"/>
  <c r="N527" i="254"/>
  <c r="M527" i="254"/>
  <c r="L527" i="254"/>
  <c r="K527" i="254"/>
  <c r="J527" i="254"/>
  <c r="I527" i="254"/>
  <c r="H527" i="254"/>
  <c r="G527" i="254"/>
  <c r="F527" i="254"/>
  <c r="E527" i="254"/>
  <c r="D527" i="254"/>
  <c r="C527" i="254"/>
  <c r="B527" i="254"/>
  <c r="A527" i="254"/>
  <c r="AF526" i="254"/>
  <c r="AE526" i="254"/>
  <c r="AD526" i="254"/>
  <c r="AC526" i="254"/>
  <c r="AB526" i="254"/>
  <c r="AA526" i="254"/>
  <c r="Z526" i="254"/>
  <c r="Y526" i="254"/>
  <c r="X526" i="254"/>
  <c r="W526" i="254"/>
  <c r="V526" i="254"/>
  <c r="U526" i="254"/>
  <c r="T526" i="254"/>
  <c r="S526" i="254"/>
  <c r="R526" i="254"/>
  <c r="Q526" i="254"/>
  <c r="P526" i="254"/>
  <c r="O526" i="254"/>
  <c r="N526" i="254"/>
  <c r="M526" i="254"/>
  <c r="L526" i="254"/>
  <c r="K526" i="254"/>
  <c r="J526" i="254"/>
  <c r="I526" i="254"/>
  <c r="H526" i="254"/>
  <c r="G526" i="254"/>
  <c r="F526" i="254"/>
  <c r="E526" i="254"/>
  <c r="D526" i="254"/>
  <c r="C526" i="254"/>
  <c r="B526" i="254"/>
  <c r="A526" i="254"/>
  <c r="AF525" i="254"/>
  <c r="AE525" i="254"/>
  <c r="AD525" i="254"/>
  <c r="AC525" i="254"/>
  <c r="AB525" i="254"/>
  <c r="AA525" i="254"/>
  <c r="Z525" i="254"/>
  <c r="Y525" i="254"/>
  <c r="X525" i="254"/>
  <c r="W525" i="254"/>
  <c r="V525" i="254"/>
  <c r="U525" i="254"/>
  <c r="T525" i="254"/>
  <c r="S525" i="254"/>
  <c r="R525" i="254"/>
  <c r="Q525" i="254"/>
  <c r="P525" i="254"/>
  <c r="O525" i="254"/>
  <c r="N525" i="254"/>
  <c r="M525" i="254"/>
  <c r="L525" i="254"/>
  <c r="K525" i="254"/>
  <c r="J525" i="254"/>
  <c r="I525" i="254"/>
  <c r="H525" i="254"/>
  <c r="G525" i="254"/>
  <c r="F525" i="254"/>
  <c r="E525" i="254"/>
  <c r="D525" i="254"/>
  <c r="C525" i="254"/>
  <c r="B525" i="254"/>
  <c r="A525" i="254"/>
  <c r="AF524" i="254"/>
  <c r="AE524" i="254"/>
  <c r="AD524" i="254"/>
  <c r="AC524" i="254"/>
  <c r="AB524" i="254"/>
  <c r="AA524" i="254"/>
  <c r="Z524" i="254"/>
  <c r="Y524" i="254"/>
  <c r="X524" i="254"/>
  <c r="W524" i="254"/>
  <c r="V524" i="254"/>
  <c r="U524" i="254"/>
  <c r="T524" i="254"/>
  <c r="S524" i="254"/>
  <c r="R524" i="254"/>
  <c r="Q524" i="254"/>
  <c r="P524" i="254"/>
  <c r="O524" i="254"/>
  <c r="N524" i="254"/>
  <c r="M524" i="254"/>
  <c r="L524" i="254"/>
  <c r="K524" i="254"/>
  <c r="J524" i="254"/>
  <c r="I524" i="254"/>
  <c r="H524" i="254"/>
  <c r="G524" i="254"/>
  <c r="F524" i="254"/>
  <c r="E524" i="254"/>
  <c r="D524" i="254"/>
  <c r="C524" i="254"/>
  <c r="B524" i="254"/>
  <c r="A524" i="254"/>
  <c r="AF523" i="254"/>
  <c r="AE523" i="254"/>
  <c r="AD523" i="254"/>
  <c r="AC523" i="254"/>
  <c r="AB523" i="254"/>
  <c r="AA523" i="254"/>
  <c r="Z523" i="254"/>
  <c r="Y523" i="254"/>
  <c r="X523" i="254"/>
  <c r="W523" i="254"/>
  <c r="V523" i="254"/>
  <c r="U523" i="254"/>
  <c r="T523" i="254"/>
  <c r="S523" i="254"/>
  <c r="R523" i="254"/>
  <c r="Q523" i="254"/>
  <c r="P523" i="254"/>
  <c r="O523" i="254"/>
  <c r="N523" i="254"/>
  <c r="M523" i="254"/>
  <c r="L523" i="254"/>
  <c r="K523" i="254"/>
  <c r="J523" i="254"/>
  <c r="I523" i="254"/>
  <c r="H523" i="254"/>
  <c r="G523" i="254"/>
  <c r="F523" i="254"/>
  <c r="E523" i="254"/>
  <c r="D523" i="254"/>
  <c r="C523" i="254"/>
  <c r="B523" i="254"/>
  <c r="A523" i="254"/>
  <c r="AF522" i="254"/>
  <c r="AE522" i="254"/>
  <c r="AD522" i="254"/>
  <c r="AC522" i="254"/>
  <c r="AB522" i="254"/>
  <c r="AA522" i="254"/>
  <c r="Z522" i="254"/>
  <c r="Y522" i="254"/>
  <c r="X522" i="254"/>
  <c r="W522" i="254"/>
  <c r="V522" i="254"/>
  <c r="U522" i="254"/>
  <c r="T522" i="254"/>
  <c r="S522" i="254"/>
  <c r="R522" i="254"/>
  <c r="Q522" i="254"/>
  <c r="P522" i="254"/>
  <c r="O522" i="254"/>
  <c r="N522" i="254"/>
  <c r="M522" i="254"/>
  <c r="L522" i="254"/>
  <c r="K522" i="254"/>
  <c r="J522" i="254"/>
  <c r="I522" i="254"/>
  <c r="H522" i="254"/>
  <c r="G522" i="254"/>
  <c r="F522" i="254"/>
  <c r="E522" i="254"/>
  <c r="D522" i="254"/>
  <c r="C522" i="254"/>
  <c r="B522" i="254"/>
  <c r="A522" i="254"/>
  <c r="AF521" i="254"/>
  <c r="AE521" i="254"/>
  <c r="AD521" i="254"/>
  <c r="AC521" i="254"/>
  <c r="AB521" i="254"/>
  <c r="AA521" i="254"/>
  <c r="Z521" i="254"/>
  <c r="Y521" i="254"/>
  <c r="X521" i="254"/>
  <c r="W521" i="254"/>
  <c r="V521" i="254"/>
  <c r="U521" i="254"/>
  <c r="T521" i="254"/>
  <c r="S521" i="254"/>
  <c r="R521" i="254"/>
  <c r="Q521" i="254"/>
  <c r="P521" i="254"/>
  <c r="O521" i="254"/>
  <c r="N521" i="254"/>
  <c r="M521" i="254"/>
  <c r="L521" i="254"/>
  <c r="K521" i="254"/>
  <c r="J521" i="254"/>
  <c r="I521" i="254"/>
  <c r="H521" i="254"/>
  <c r="G521" i="254"/>
  <c r="F521" i="254"/>
  <c r="E521" i="254"/>
  <c r="D521" i="254"/>
  <c r="C521" i="254"/>
  <c r="B521" i="254"/>
  <c r="A521" i="254"/>
  <c r="AF520" i="254"/>
  <c r="AE520" i="254"/>
  <c r="AD520" i="254"/>
  <c r="AC520" i="254"/>
  <c r="AB520" i="254"/>
  <c r="AA520" i="254"/>
  <c r="Z520" i="254"/>
  <c r="Y520" i="254"/>
  <c r="X520" i="254"/>
  <c r="W520" i="254"/>
  <c r="V520" i="254"/>
  <c r="U520" i="254"/>
  <c r="T520" i="254"/>
  <c r="S520" i="254"/>
  <c r="R520" i="254"/>
  <c r="Q520" i="254"/>
  <c r="P520" i="254"/>
  <c r="O520" i="254"/>
  <c r="N520" i="254"/>
  <c r="M520" i="254"/>
  <c r="L520" i="254"/>
  <c r="K520" i="254"/>
  <c r="J520" i="254"/>
  <c r="I520" i="254"/>
  <c r="H520" i="254"/>
  <c r="G520" i="254"/>
  <c r="F520" i="254"/>
  <c r="E520" i="254"/>
  <c r="D520" i="254"/>
  <c r="C520" i="254"/>
  <c r="B520" i="254"/>
  <c r="A520" i="254"/>
  <c r="AF519" i="254"/>
  <c r="AE519" i="254"/>
  <c r="AD519" i="254"/>
  <c r="AC519" i="254"/>
  <c r="AB519" i="254"/>
  <c r="AA519" i="254"/>
  <c r="Z519" i="254"/>
  <c r="Y519" i="254"/>
  <c r="X519" i="254"/>
  <c r="W519" i="254"/>
  <c r="V519" i="254"/>
  <c r="U519" i="254"/>
  <c r="T519" i="254"/>
  <c r="S519" i="254"/>
  <c r="R519" i="254"/>
  <c r="Q519" i="254"/>
  <c r="P519" i="254"/>
  <c r="O519" i="254"/>
  <c r="N519" i="254"/>
  <c r="M519" i="254"/>
  <c r="L519" i="254"/>
  <c r="K519" i="254"/>
  <c r="J519" i="254"/>
  <c r="I519" i="254"/>
  <c r="H519" i="254"/>
  <c r="G519" i="254"/>
  <c r="F519" i="254"/>
  <c r="E519" i="254"/>
  <c r="D519" i="254"/>
  <c r="C519" i="254"/>
  <c r="B519" i="254"/>
  <c r="A519" i="254"/>
  <c r="AF518" i="254"/>
  <c r="AE518" i="254"/>
  <c r="AD518" i="254"/>
  <c r="AC518" i="254"/>
  <c r="AB518" i="254"/>
  <c r="AA518" i="254"/>
  <c r="Z518" i="254"/>
  <c r="Y518" i="254"/>
  <c r="X518" i="254"/>
  <c r="W518" i="254"/>
  <c r="V518" i="254"/>
  <c r="U518" i="254"/>
  <c r="T518" i="254"/>
  <c r="S518" i="254"/>
  <c r="R518" i="254"/>
  <c r="Q518" i="254"/>
  <c r="P518" i="254"/>
  <c r="O518" i="254"/>
  <c r="N518" i="254"/>
  <c r="M518" i="254"/>
  <c r="L518" i="254"/>
  <c r="K518" i="254"/>
  <c r="J518" i="254"/>
  <c r="I518" i="254"/>
  <c r="H518" i="254"/>
  <c r="G518" i="254"/>
  <c r="F518" i="254"/>
  <c r="E518" i="254"/>
  <c r="D518" i="254"/>
  <c r="C518" i="254"/>
  <c r="B518" i="254"/>
  <c r="A518" i="254"/>
  <c r="AF517" i="254"/>
  <c r="AE517" i="254"/>
  <c r="AD517" i="254"/>
  <c r="AC517" i="254"/>
  <c r="AB517" i="254"/>
  <c r="AA517" i="254"/>
  <c r="Z517" i="254"/>
  <c r="Y517" i="254"/>
  <c r="X517" i="254"/>
  <c r="W517" i="254"/>
  <c r="V517" i="254"/>
  <c r="U517" i="254"/>
  <c r="T517" i="254"/>
  <c r="S517" i="254"/>
  <c r="R517" i="254"/>
  <c r="Q517" i="254"/>
  <c r="P517" i="254"/>
  <c r="O517" i="254"/>
  <c r="N517" i="254"/>
  <c r="M517" i="254"/>
  <c r="L517" i="254"/>
  <c r="K517" i="254"/>
  <c r="J517" i="254"/>
  <c r="I517" i="254"/>
  <c r="H517" i="254"/>
  <c r="G517" i="254"/>
  <c r="F517" i="254"/>
  <c r="E517" i="254"/>
  <c r="D517" i="254"/>
  <c r="C517" i="254"/>
  <c r="B517" i="254"/>
  <c r="A517" i="254"/>
  <c r="AF516" i="254"/>
  <c r="AE516" i="254"/>
  <c r="AD516" i="254"/>
  <c r="AC516" i="254"/>
  <c r="AB516" i="254"/>
  <c r="AA516" i="254"/>
  <c r="Z516" i="254"/>
  <c r="Y516" i="254"/>
  <c r="X516" i="254"/>
  <c r="W516" i="254"/>
  <c r="V516" i="254"/>
  <c r="U516" i="254"/>
  <c r="T516" i="254"/>
  <c r="S516" i="254"/>
  <c r="R516" i="254"/>
  <c r="Q516" i="254"/>
  <c r="P516" i="254"/>
  <c r="O516" i="254"/>
  <c r="N516" i="254"/>
  <c r="M516" i="254"/>
  <c r="L516" i="254"/>
  <c r="K516" i="254"/>
  <c r="J516" i="254"/>
  <c r="I516" i="254"/>
  <c r="H516" i="254"/>
  <c r="G516" i="254"/>
  <c r="F516" i="254"/>
  <c r="E516" i="254"/>
  <c r="D516" i="254"/>
  <c r="C516" i="254"/>
  <c r="B516" i="254"/>
  <c r="A516" i="254"/>
  <c r="AF515" i="254"/>
  <c r="AE515" i="254"/>
  <c r="AD515" i="254"/>
  <c r="AC515" i="254"/>
  <c r="AB515" i="254"/>
  <c r="AA515" i="254"/>
  <c r="Z515" i="254"/>
  <c r="Y515" i="254"/>
  <c r="X515" i="254"/>
  <c r="W515" i="254"/>
  <c r="V515" i="254"/>
  <c r="U515" i="254"/>
  <c r="T515" i="254"/>
  <c r="S515" i="254"/>
  <c r="R515" i="254"/>
  <c r="Q515" i="254"/>
  <c r="P515" i="254"/>
  <c r="O515" i="254"/>
  <c r="N515" i="254"/>
  <c r="M515" i="254"/>
  <c r="L515" i="254"/>
  <c r="K515" i="254"/>
  <c r="J515" i="254"/>
  <c r="I515" i="254"/>
  <c r="H515" i="254"/>
  <c r="G515" i="254"/>
  <c r="F515" i="254"/>
  <c r="E515" i="254"/>
  <c r="D515" i="254"/>
  <c r="C515" i="254"/>
  <c r="B515" i="254"/>
  <c r="A515" i="254"/>
  <c r="AF514" i="254"/>
  <c r="AE514" i="254"/>
  <c r="AD514" i="254"/>
  <c r="AC514" i="254"/>
  <c r="AB514" i="254"/>
  <c r="AA514" i="254"/>
  <c r="Z514" i="254"/>
  <c r="Y514" i="254"/>
  <c r="X514" i="254"/>
  <c r="W514" i="254"/>
  <c r="V514" i="254"/>
  <c r="U514" i="254"/>
  <c r="T514" i="254"/>
  <c r="S514" i="254"/>
  <c r="R514" i="254"/>
  <c r="Q514" i="254"/>
  <c r="P514" i="254"/>
  <c r="O514" i="254"/>
  <c r="N514" i="254"/>
  <c r="M514" i="254"/>
  <c r="L514" i="254"/>
  <c r="K514" i="254"/>
  <c r="J514" i="254"/>
  <c r="I514" i="254"/>
  <c r="H514" i="254"/>
  <c r="G514" i="254"/>
  <c r="F514" i="254"/>
  <c r="E514" i="254"/>
  <c r="D514" i="254"/>
  <c r="C514" i="254"/>
  <c r="B514" i="254"/>
  <c r="A514" i="254"/>
  <c r="AF513" i="254"/>
  <c r="AE513" i="254"/>
  <c r="AD513" i="254"/>
  <c r="AC513" i="254"/>
  <c r="AB513" i="254"/>
  <c r="AA513" i="254"/>
  <c r="Z513" i="254"/>
  <c r="Y513" i="254"/>
  <c r="X513" i="254"/>
  <c r="W513" i="254"/>
  <c r="V513" i="254"/>
  <c r="U513" i="254"/>
  <c r="T513" i="254"/>
  <c r="S513" i="254"/>
  <c r="R513" i="254"/>
  <c r="Q513" i="254"/>
  <c r="P513" i="254"/>
  <c r="O513" i="254"/>
  <c r="N513" i="254"/>
  <c r="M513" i="254"/>
  <c r="L513" i="254"/>
  <c r="K513" i="254"/>
  <c r="J513" i="254"/>
  <c r="I513" i="254"/>
  <c r="H513" i="254"/>
  <c r="G513" i="254"/>
  <c r="F513" i="254"/>
  <c r="E513" i="254"/>
  <c r="D513" i="254"/>
  <c r="C513" i="254"/>
  <c r="B513" i="254"/>
  <c r="A513" i="254"/>
  <c r="AF512" i="254"/>
  <c r="AE512" i="254"/>
  <c r="AD512" i="254"/>
  <c r="AC512" i="254"/>
  <c r="AB512" i="254"/>
  <c r="AA512" i="254"/>
  <c r="Z512" i="254"/>
  <c r="Y512" i="254"/>
  <c r="X512" i="254"/>
  <c r="W512" i="254"/>
  <c r="V512" i="254"/>
  <c r="U512" i="254"/>
  <c r="T512" i="254"/>
  <c r="S512" i="254"/>
  <c r="R512" i="254"/>
  <c r="Q512" i="254"/>
  <c r="P512" i="254"/>
  <c r="O512" i="254"/>
  <c r="N512" i="254"/>
  <c r="M512" i="254"/>
  <c r="L512" i="254"/>
  <c r="K512" i="254"/>
  <c r="J512" i="254"/>
  <c r="I512" i="254"/>
  <c r="H512" i="254"/>
  <c r="G512" i="254"/>
  <c r="F512" i="254"/>
  <c r="E512" i="254"/>
  <c r="D512" i="254"/>
  <c r="C512" i="254"/>
  <c r="B512" i="254"/>
  <c r="A512" i="254"/>
  <c r="AF511" i="254"/>
  <c r="AE511" i="254"/>
  <c r="AD511" i="254"/>
  <c r="AC511" i="254"/>
  <c r="AB511" i="254"/>
  <c r="AA511" i="254"/>
  <c r="Z511" i="254"/>
  <c r="Y511" i="254"/>
  <c r="X511" i="254"/>
  <c r="W511" i="254"/>
  <c r="V511" i="254"/>
  <c r="U511" i="254"/>
  <c r="T511" i="254"/>
  <c r="S511" i="254"/>
  <c r="R511" i="254"/>
  <c r="Q511" i="254"/>
  <c r="P511" i="254"/>
  <c r="O511" i="254"/>
  <c r="N511" i="254"/>
  <c r="M511" i="254"/>
  <c r="L511" i="254"/>
  <c r="K511" i="254"/>
  <c r="J511" i="254"/>
  <c r="I511" i="254"/>
  <c r="H511" i="254"/>
  <c r="G511" i="254"/>
  <c r="F511" i="254"/>
  <c r="E511" i="254"/>
  <c r="D511" i="254"/>
  <c r="C511" i="254"/>
  <c r="B511" i="254"/>
  <c r="A511" i="254"/>
  <c r="AF510" i="254"/>
  <c r="AE510" i="254"/>
  <c r="AD510" i="254"/>
  <c r="AC510" i="254"/>
  <c r="AB510" i="254"/>
  <c r="AA510" i="254"/>
  <c r="Z510" i="254"/>
  <c r="Y510" i="254"/>
  <c r="X510" i="254"/>
  <c r="W510" i="254"/>
  <c r="V510" i="254"/>
  <c r="U510" i="254"/>
  <c r="T510" i="254"/>
  <c r="S510" i="254"/>
  <c r="R510" i="254"/>
  <c r="Q510" i="254"/>
  <c r="P510" i="254"/>
  <c r="O510" i="254"/>
  <c r="N510" i="254"/>
  <c r="M510" i="254"/>
  <c r="L510" i="254"/>
  <c r="K510" i="254"/>
  <c r="J510" i="254"/>
  <c r="I510" i="254"/>
  <c r="H510" i="254"/>
  <c r="G510" i="254"/>
  <c r="F510" i="254"/>
  <c r="E510" i="254"/>
  <c r="D510" i="254"/>
  <c r="C510" i="254"/>
  <c r="B510" i="254"/>
  <c r="A510" i="254"/>
  <c r="AF509" i="254"/>
  <c r="AE509" i="254"/>
  <c r="AD509" i="254"/>
  <c r="AC509" i="254"/>
  <c r="AB509" i="254"/>
  <c r="AA509" i="254"/>
  <c r="Z509" i="254"/>
  <c r="Y509" i="254"/>
  <c r="X509" i="254"/>
  <c r="W509" i="254"/>
  <c r="V509" i="254"/>
  <c r="U509" i="254"/>
  <c r="T509" i="254"/>
  <c r="S509" i="254"/>
  <c r="R509" i="254"/>
  <c r="Q509" i="254"/>
  <c r="P509" i="254"/>
  <c r="O509" i="254"/>
  <c r="N509" i="254"/>
  <c r="M509" i="254"/>
  <c r="L509" i="254"/>
  <c r="K509" i="254"/>
  <c r="J509" i="254"/>
  <c r="I509" i="254"/>
  <c r="H509" i="254"/>
  <c r="G509" i="254"/>
  <c r="F509" i="254"/>
  <c r="E509" i="254"/>
  <c r="D509" i="254"/>
  <c r="C509" i="254"/>
  <c r="B509" i="254"/>
  <c r="A509" i="254"/>
  <c r="AF508" i="254"/>
  <c r="AE508" i="254"/>
  <c r="AD508" i="254"/>
  <c r="AC508" i="254"/>
  <c r="AB508" i="254"/>
  <c r="AA508" i="254"/>
  <c r="Z508" i="254"/>
  <c r="Y508" i="254"/>
  <c r="X508" i="254"/>
  <c r="W508" i="254"/>
  <c r="V508" i="254"/>
  <c r="U508" i="254"/>
  <c r="T508" i="254"/>
  <c r="S508" i="254"/>
  <c r="R508" i="254"/>
  <c r="Q508" i="254"/>
  <c r="P508" i="254"/>
  <c r="O508" i="254"/>
  <c r="N508" i="254"/>
  <c r="M508" i="254"/>
  <c r="L508" i="254"/>
  <c r="K508" i="254"/>
  <c r="J508" i="254"/>
  <c r="I508" i="254"/>
  <c r="H508" i="254"/>
  <c r="G508" i="254"/>
  <c r="F508" i="254"/>
  <c r="E508" i="254"/>
  <c r="D508" i="254"/>
  <c r="C508" i="254"/>
  <c r="B508" i="254"/>
  <c r="A508" i="254"/>
  <c r="AF507" i="254"/>
  <c r="AE507" i="254"/>
  <c r="AD507" i="254"/>
  <c r="AC507" i="254"/>
  <c r="AB507" i="254"/>
  <c r="AA507" i="254"/>
  <c r="Z507" i="254"/>
  <c r="Y507" i="254"/>
  <c r="X507" i="254"/>
  <c r="W507" i="254"/>
  <c r="V507" i="254"/>
  <c r="U507" i="254"/>
  <c r="T507" i="254"/>
  <c r="S507" i="254"/>
  <c r="R507" i="254"/>
  <c r="Q507" i="254"/>
  <c r="P507" i="254"/>
  <c r="O507" i="254"/>
  <c r="N507" i="254"/>
  <c r="M507" i="254"/>
  <c r="L507" i="254"/>
  <c r="K507" i="254"/>
  <c r="J507" i="254"/>
  <c r="I507" i="254"/>
  <c r="H507" i="254"/>
  <c r="G507" i="254"/>
  <c r="F507" i="254"/>
  <c r="E507" i="254"/>
  <c r="D507" i="254"/>
  <c r="C507" i="254"/>
  <c r="B507" i="254"/>
  <c r="A507" i="254"/>
  <c r="AF506" i="254"/>
  <c r="AE506" i="254"/>
  <c r="AD506" i="254"/>
  <c r="AC506" i="254"/>
  <c r="AB506" i="254"/>
  <c r="AA506" i="254"/>
  <c r="Z506" i="254"/>
  <c r="Y506" i="254"/>
  <c r="X506" i="254"/>
  <c r="W506" i="254"/>
  <c r="V506" i="254"/>
  <c r="U506" i="254"/>
  <c r="T506" i="254"/>
  <c r="S506" i="254"/>
  <c r="R506" i="254"/>
  <c r="Q506" i="254"/>
  <c r="P506" i="254"/>
  <c r="O506" i="254"/>
  <c r="N506" i="254"/>
  <c r="M506" i="254"/>
  <c r="L506" i="254"/>
  <c r="K506" i="254"/>
  <c r="J506" i="254"/>
  <c r="I506" i="254"/>
  <c r="H506" i="254"/>
  <c r="G506" i="254"/>
  <c r="F506" i="254"/>
  <c r="E506" i="254"/>
  <c r="D506" i="254"/>
  <c r="C506" i="254"/>
  <c r="B506" i="254"/>
  <c r="A506" i="254"/>
  <c r="AF505" i="254"/>
  <c r="AE505" i="254"/>
  <c r="AD505" i="254"/>
  <c r="AC505" i="254"/>
  <c r="AB505" i="254"/>
  <c r="AA505" i="254"/>
  <c r="Z505" i="254"/>
  <c r="Y505" i="254"/>
  <c r="X505" i="254"/>
  <c r="W505" i="254"/>
  <c r="V505" i="254"/>
  <c r="U505" i="254"/>
  <c r="T505" i="254"/>
  <c r="S505" i="254"/>
  <c r="R505" i="254"/>
  <c r="Q505" i="254"/>
  <c r="P505" i="254"/>
  <c r="O505" i="254"/>
  <c r="N505" i="254"/>
  <c r="M505" i="254"/>
  <c r="L505" i="254"/>
  <c r="K505" i="254"/>
  <c r="J505" i="254"/>
  <c r="I505" i="254"/>
  <c r="H505" i="254"/>
  <c r="G505" i="254"/>
  <c r="F505" i="254"/>
  <c r="E505" i="254"/>
  <c r="D505" i="254"/>
  <c r="C505" i="254"/>
  <c r="B505" i="254"/>
  <c r="A505" i="254"/>
  <c r="AF504" i="254"/>
  <c r="AE504" i="254"/>
  <c r="AD504" i="254"/>
  <c r="AC504" i="254"/>
  <c r="AB504" i="254"/>
  <c r="AA504" i="254"/>
  <c r="Z504" i="254"/>
  <c r="Y504" i="254"/>
  <c r="X504" i="254"/>
  <c r="W504" i="254"/>
  <c r="V504" i="254"/>
  <c r="U504" i="254"/>
  <c r="T504" i="254"/>
  <c r="S504" i="254"/>
  <c r="R504" i="254"/>
  <c r="Q504" i="254"/>
  <c r="P504" i="254"/>
  <c r="O504" i="254"/>
  <c r="N504" i="254"/>
  <c r="M504" i="254"/>
  <c r="L504" i="254"/>
  <c r="K504" i="254"/>
  <c r="J504" i="254"/>
  <c r="I504" i="254"/>
  <c r="H504" i="254"/>
  <c r="G504" i="254"/>
  <c r="F504" i="254"/>
  <c r="E504" i="254"/>
  <c r="D504" i="254"/>
  <c r="C504" i="254"/>
  <c r="B504" i="254"/>
  <c r="A504" i="254"/>
  <c r="AF503" i="254"/>
  <c r="AE503" i="254"/>
  <c r="AD503" i="254"/>
  <c r="AC503" i="254"/>
  <c r="AB503" i="254"/>
  <c r="AA503" i="254"/>
  <c r="Z503" i="254"/>
  <c r="Y503" i="254"/>
  <c r="X503" i="254"/>
  <c r="W503" i="254"/>
  <c r="V503" i="254"/>
  <c r="U503" i="254"/>
  <c r="T503" i="254"/>
  <c r="S503" i="254"/>
  <c r="R503" i="254"/>
  <c r="Q503" i="254"/>
  <c r="P503" i="254"/>
  <c r="O503" i="254"/>
  <c r="N503" i="254"/>
  <c r="M503" i="254"/>
  <c r="L503" i="254"/>
  <c r="K503" i="254"/>
  <c r="J503" i="254"/>
  <c r="I503" i="254"/>
  <c r="H503" i="254"/>
  <c r="G503" i="254"/>
  <c r="F503" i="254"/>
  <c r="E503" i="254"/>
  <c r="D503" i="254"/>
  <c r="C503" i="254"/>
  <c r="B503" i="254"/>
  <c r="A503" i="254"/>
  <c r="AF502" i="254"/>
  <c r="AE502" i="254"/>
  <c r="AD502" i="254"/>
  <c r="AC502" i="254"/>
  <c r="AB502" i="254"/>
  <c r="AA502" i="254"/>
  <c r="Z502" i="254"/>
  <c r="Y502" i="254"/>
  <c r="X502" i="254"/>
  <c r="W502" i="254"/>
  <c r="V502" i="254"/>
  <c r="U502" i="254"/>
  <c r="T502" i="254"/>
  <c r="S502" i="254"/>
  <c r="R502" i="254"/>
  <c r="Q502" i="254"/>
  <c r="P502" i="254"/>
  <c r="O502" i="254"/>
  <c r="N502" i="254"/>
  <c r="M502" i="254"/>
  <c r="L502" i="254"/>
  <c r="K502" i="254"/>
  <c r="J502" i="254"/>
  <c r="I502" i="254"/>
  <c r="H502" i="254"/>
  <c r="G502" i="254"/>
  <c r="F502" i="254"/>
  <c r="E502" i="254"/>
  <c r="D502" i="254"/>
  <c r="C502" i="254"/>
  <c r="B502" i="254"/>
  <c r="A502" i="254"/>
  <c r="AF501" i="254"/>
  <c r="AE501" i="254"/>
  <c r="AD501" i="254"/>
  <c r="AC501" i="254"/>
  <c r="AB501" i="254"/>
  <c r="AA501" i="254"/>
  <c r="Z501" i="254"/>
  <c r="Y501" i="254"/>
  <c r="X501" i="254"/>
  <c r="W501" i="254"/>
  <c r="V501" i="254"/>
  <c r="U501" i="254"/>
  <c r="T501" i="254"/>
  <c r="S501" i="254"/>
  <c r="R501" i="254"/>
  <c r="Q501" i="254"/>
  <c r="P501" i="254"/>
  <c r="O501" i="254"/>
  <c r="N501" i="254"/>
  <c r="M501" i="254"/>
  <c r="L501" i="254"/>
  <c r="K501" i="254"/>
  <c r="J501" i="254"/>
  <c r="I501" i="254"/>
  <c r="H501" i="254"/>
  <c r="G501" i="254"/>
  <c r="F501" i="254"/>
  <c r="E501" i="254"/>
  <c r="D501" i="254"/>
  <c r="C501" i="254"/>
  <c r="B501" i="254"/>
  <c r="A501" i="254"/>
  <c r="AF500" i="254"/>
  <c r="AE500" i="254"/>
  <c r="AD500" i="254"/>
  <c r="AC500" i="254"/>
  <c r="AB500" i="254"/>
  <c r="AA500" i="254"/>
  <c r="Z500" i="254"/>
  <c r="Y500" i="254"/>
  <c r="X500" i="254"/>
  <c r="W500" i="254"/>
  <c r="V500" i="254"/>
  <c r="U500" i="254"/>
  <c r="T500" i="254"/>
  <c r="S500" i="254"/>
  <c r="R500" i="254"/>
  <c r="Q500" i="254"/>
  <c r="P500" i="254"/>
  <c r="O500" i="254"/>
  <c r="N500" i="254"/>
  <c r="M500" i="254"/>
  <c r="L500" i="254"/>
  <c r="K500" i="254"/>
  <c r="J500" i="254"/>
  <c r="I500" i="254"/>
  <c r="H500" i="254"/>
  <c r="G500" i="254"/>
  <c r="F500" i="254"/>
  <c r="E500" i="254"/>
  <c r="D500" i="254"/>
  <c r="C500" i="254"/>
  <c r="B500" i="254"/>
  <c r="A500" i="254"/>
  <c r="AF499" i="254"/>
  <c r="AE499" i="254"/>
  <c r="AD499" i="254"/>
  <c r="AC499" i="254"/>
  <c r="AB499" i="254"/>
  <c r="AA499" i="254"/>
  <c r="Z499" i="254"/>
  <c r="Y499" i="254"/>
  <c r="X499" i="254"/>
  <c r="W499" i="254"/>
  <c r="V499" i="254"/>
  <c r="U499" i="254"/>
  <c r="T499" i="254"/>
  <c r="S499" i="254"/>
  <c r="R499" i="254"/>
  <c r="Q499" i="254"/>
  <c r="P499" i="254"/>
  <c r="O499" i="254"/>
  <c r="N499" i="254"/>
  <c r="M499" i="254"/>
  <c r="L499" i="254"/>
  <c r="K499" i="254"/>
  <c r="J499" i="254"/>
  <c r="I499" i="254"/>
  <c r="H499" i="254"/>
  <c r="G499" i="254"/>
  <c r="F499" i="254"/>
  <c r="E499" i="254"/>
  <c r="D499" i="254"/>
  <c r="C499" i="254"/>
  <c r="B499" i="254"/>
  <c r="A499" i="254"/>
  <c r="AF498" i="254"/>
  <c r="AE498" i="254"/>
  <c r="AD498" i="254"/>
  <c r="AC498" i="254"/>
  <c r="AB498" i="254"/>
  <c r="AA498" i="254"/>
  <c r="Z498" i="254"/>
  <c r="Y498" i="254"/>
  <c r="X498" i="254"/>
  <c r="W498" i="254"/>
  <c r="V498" i="254"/>
  <c r="U498" i="254"/>
  <c r="T498" i="254"/>
  <c r="S498" i="254"/>
  <c r="R498" i="254"/>
  <c r="Q498" i="254"/>
  <c r="P498" i="254"/>
  <c r="O498" i="254"/>
  <c r="N498" i="254"/>
  <c r="M498" i="254"/>
  <c r="L498" i="254"/>
  <c r="K498" i="254"/>
  <c r="J498" i="254"/>
  <c r="I498" i="254"/>
  <c r="H498" i="254"/>
  <c r="G498" i="254"/>
  <c r="F498" i="254"/>
  <c r="E498" i="254"/>
  <c r="D498" i="254"/>
  <c r="C498" i="254"/>
  <c r="B498" i="254"/>
  <c r="A498" i="254"/>
  <c r="AF497" i="254"/>
  <c r="AE497" i="254"/>
  <c r="AD497" i="254"/>
  <c r="AC497" i="254"/>
  <c r="AB497" i="254"/>
  <c r="AA497" i="254"/>
  <c r="Z497" i="254"/>
  <c r="Y497" i="254"/>
  <c r="X497" i="254"/>
  <c r="W497" i="254"/>
  <c r="V497" i="254"/>
  <c r="U497" i="254"/>
  <c r="T497" i="254"/>
  <c r="S497" i="254"/>
  <c r="R497" i="254"/>
  <c r="Q497" i="254"/>
  <c r="P497" i="254"/>
  <c r="O497" i="254"/>
  <c r="N497" i="254"/>
  <c r="M497" i="254"/>
  <c r="L497" i="254"/>
  <c r="K497" i="254"/>
  <c r="J497" i="254"/>
  <c r="I497" i="254"/>
  <c r="H497" i="254"/>
  <c r="G497" i="254"/>
  <c r="F497" i="254"/>
  <c r="E497" i="254"/>
  <c r="D497" i="254"/>
  <c r="C497" i="254"/>
  <c r="B497" i="254"/>
  <c r="A497" i="254"/>
  <c r="AF496" i="254"/>
  <c r="AE496" i="254"/>
  <c r="AD496" i="254"/>
  <c r="AC496" i="254"/>
  <c r="AB496" i="254"/>
  <c r="AA496" i="254"/>
  <c r="Z496" i="254"/>
  <c r="Y496" i="254"/>
  <c r="X496" i="254"/>
  <c r="W496" i="254"/>
  <c r="V496" i="254"/>
  <c r="U496" i="254"/>
  <c r="T496" i="254"/>
  <c r="S496" i="254"/>
  <c r="R496" i="254"/>
  <c r="Q496" i="254"/>
  <c r="P496" i="254"/>
  <c r="O496" i="254"/>
  <c r="N496" i="254"/>
  <c r="M496" i="254"/>
  <c r="L496" i="254"/>
  <c r="K496" i="254"/>
  <c r="J496" i="254"/>
  <c r="I496" i="254"/>
  <c r="H496" i="254"/>
  <c r="G496" i="254"/>
  <c r="F496" i="254"/>
  <c r="E496" i="254"/>
  <c r="D496" i="254"/>
  <c r="C496" i="254"/>
  <c r="B496" i="254"/>
  <c r="A496" i="254"/>
  <c r="AF495" i="254"/>
  <c r="AE495" i="254"/>
  <c r="AD495" i="254"/>
  <c r="AC495" i="254"/>
  <c r="AB495" i="254"/>
  <c r="AA495" i="254"/>
  <c r="Z495" i="254"/>
  <c r="Y495" i="254"/>
  <c r="X495" i="254"/>
  <c r="W495" i="254"/>
  <c r="V495" i="254"/>
  <c r="U495" i="254"/>
  <c r="T495" i="254"/>
  <c r="S495" i="254"/>
  <c r="R495" i="254"/>
  <c r="Q495" i="254"/>
  <c r="P495" i="254"/>
  <c r="O495" i="254"/>
  <c r="N495" i="254"/>
  <c r="M495" i="254"/>
  <c r="L495" i="254"/>
  <c r="K495" i="254"/>
  <c r="J495" i="254"/>
  <c r="I495" i="254"/>
  <c r="H495" i="254"/>
  <c r="G495" i="254"/>
  <c r="F495" i="254"/>
  <c r="E495" i="254"/>
  <c r="D495" i="254"/>
  <c r="C495" i="254"/>
  <c r="B495" i="254"/>
  <c r="A495" i="254"/>
  <c r="AF494" i="254"/>
  <c r="AE494" i="254"/>
  <c r="AD494" i="254"/>
  <c r="AC494" i="254"/>
  <c r="AB494" i="254"/>
  <c r="AA494" i="254"/>
  <c r="Z494" i="254"/>
  <c r="Y494" i="254"/>
  <c r="X494" i="254"/>
  <c r="W494" i="254"/>
  <c r="V494" i="254"/>
  <c r="U494" i="254"/>
  <c r="T494" i="254"/>
  <c r="S494" i="254"/>
  <c r="R494" i="254"/>
  <c r="Q494" i="254"/>
  <c r="P494" i="254"/>
  <c r="O494" i="254"/>
  <c r="N494" i="254"/>
  <c r="M494" i="254"/>
  <c r="L494" i="254"/>
  <c r="K494" i="254"/>
  <c r="J494" i="254"/>
  <c r="I494" i="254"/>
  <c r="H494" i="254"/>
  <c r="G494" i="254"/>
  <c r="F494" i="254"/>
  <c r="E494" i="254"/>
  <c r="D494" i="254"/>
  <c r="C494" i="254"/>
  <c r="B494" i="254"/>
  <c r="A494" i="254"/>
  <c r="AF493" i="254"/>
  <c r="AE493" i="254"/>
  <c r="AD493" i="254"/>
  <c r="AC493" i="254"/>
  <c r="AB493" i="254"/>
  <c r="AA493" i="254"/>
  <c r="Z493" i="254"/>
  <c r="Y493" i="254"/>
  <c r="X493" i="254"/>
  <c r="W493" i="254"/>
  <c r="V493" i="254"/>
  <c r="U493" i="254"/>
  <c r="T493" i="254"/>
  <c r="S493" i="254"/>
  <c r="R493" i="254"/>
  <c r="Q493" i="254"/>
  <c r="P493" i="254"/>
  <c r="O493" i="254"/>
  <c r="N493" i="254"/>
  <c r="M493" i="254"/>
  <c r="L493" i="254"/>
  <c r="K493" i="254"/>
  <c r="J493" i="254"/>
  <c r="I493" i="254"/>
  <c r="H493" i="254"/>
  <c r="G493" i="254"/>
  <c r="F493" i="254"/>
  <c r="E493" i="254"/>
  <c r="D493" i="254"/>
  <c r="C493" i="254"/>
  <c r="B493" i="254"/>
  <c r="A493" i="254"/>
  <c r="AF492" i="254"/>
  <c r="AE492" i="254"/>
  <c r="AD492" i="254"/>
  <c r="AC492" i="254"/>
  <c r="AB492" i="254"/>
  <c r="AA492" i="254"/>
  <c r="Z492" i="254"/>
  <c r="Y492" i="254"/>
  <c r="X492" i="254"/>
  <c r="W492" i="254"/>
  <c r="V492" i="254"/>
  <c r="U492" i="254"/>
  <c r="T492" i="254"/>
  <c r="S492" i="254"/>
  <c r="R492" i="254"/>
  <c r="Q492" i="254"/>
  <c r="P492" i="254"/>
  <c r="O492" i="254"/>
  <c r="N492" i="254"/>
  <c r="M492" i="254"/>
  <c r="L492" i="254"/>
  <c r="K492" i="254"/>
  <c r="J492" i="254"/>
  <c r="I492" i="254"/>
  <c r="H492" i="254"/>
  <c r="G492" i="254"/>
  <c r="F492" i="254"/>
  <c r="E492" i="254"/>
  <c r="D492" i="254"/>
  <c r="C492" i="254"/>
  <c r="B492" i="254"/>
  <c r="A492" i="254"/>
  <c r="AF491" i="254"/>
  <c r="AE491" i="254"/>
  <c r="AD491" i="254"/>
  <c r="AC491" i="254"/>
  <c r="AB491" i="254"/>
  <c r="AA491" i="254"/>
  <c r="Z491" i="254"/>
  <c r="Y491" i="254"/>
  <c r="X491" i="254"/>
  <c r="W491" i="254"/>
  <c r="V491" i="254"/>
  <c r="U491" i="254"/>
  <c r="T491" i="254"/>
  <c r="S491" i="254"/>
  <c r="R491" i="254"/>
  <c r="Q491" i="254"/>
  <c r="P491" i="254"/>
  <c r="O491" i="254"/>
  <c r="N491" i="254"/>
  <c r="M491" i="254"/>
  <c r="L491" i="254"/>
  <c r="K491" i="254"/>
  <c r="J491" i="254"/>
  <c r="I491" i="254"/>
  <c r="H491" i="254"/>
  <c r="G491" i="254"/>
  <c r="F491" i="254"/>
  <c r="E491" i="254"/>
  <c r="D491" i="254"/>
  <c r="C491" i="254"/>
  <c r="B491" i="254"/>
  <c r="A491" i="254"/>
  <c r="AF490" i="254"/>
  <c r="AE490" i="254"/>
  <c r="AD490" i="254"/>
  <c r="AC490" i="254"/>
  <c r="AB490" i="254"/>
  <c r="AA490" i="254"/>
  <c r="Z490" i="254"/>
  <c r="Y490" i="254"/>
  <c r="X490" i="254"/>
  <c r="W490" i="254"/>
  <c r="V490" i="254"/>
  <c r="U490" i="254"/>
  <c r="T490" i="254"/>
  <c r="S490" i="254"/>
  <c r="R490" i="254"/>
  <c r="Q490" i="254"/>
  <c r="P490" i="254"/>
  <c r="O490" i="254"/>
  <c r="N490" i="254"/>
  <c r="M490" i="254"/>
  <c r="L490" i="254"/>
  <c r="K490" i="254"/>
  <c r="J490" i="254"/>
  <c r="I490" i="254"/>
  <c r="H490" i="254"/>
  <c r="G490" i="254"/>
  <c r="F490" i="254"/>
  <c r="E490" i="254"/>
  <c r="D490" i="254"/>
  <c r="C490" i="254"/>
  <c r="B490" i="254"/>
  <c r="A490" i="254"/>
  <c r="AF489" i="254"/>
  <c r="AE489" i="254"/>
  <c r="AD489" i="254"/>
  <c r="AC489" i="254"/>
  <c r="AB489" i="254"/>
  <c r="AA489" i="254"/>
  <c r="Z489" i="254"/>
  <c r="Y489" i="254"/>
  <c r="X489" i="254"/>
  <c r="W489" i="254"/>
  <c r="V489" i="254"/>
  <c r="U489" i="254"/>
  <c r="T489" i="254"/>
  <c r="S489" i="254"/>
  <c r="R489" i="254"/>
  <c r="Q489" i="254"/>
  <c r="P489" i="254"/>
  <c r="O489" i="254"/>
  <c r="N489" i="254"/>
  <c r="M489" i="254"/>
  <c r="L489" i="254"/>
  <c r="K489" i="254"/>
  <c r="J489" i="254"/>
  <c r="I489" i="254"/>
  <c r="H489" i="254"/>
  <c r="G489" i="254"/>
  <c r="F489" i="254"/>
  <c r="E489" i="254"/>
  <c r="D489" i="254"/>
  <c r="C489" i="254"/>
  <c r="B489" i="254"/>
  <c r="A489" i="254"/>
  <c r="AF488" i="254"/>
  <c r="AE488" i="254"/>
  <c r="AD488" i="254"/>
  <c r="AC488" i="254"/>
  <c r="AB488" i="254"/>
  <c r="AA488" i="254"/>
  <c r="Z488" i="254"/>
  <c r="Y488" i="254"/>
  <c r="X488" i="254"/>
  <c r="W488" i="254"/>
  <c r="V488" i="254"/>
  <c r="U488" i="254"/>
  <c r="T488" i="254"/>
  <c r="S488" i="254"/>
  <c r="R488" i="254"/>
  <c r="Q488" i="254"/>
  <c r="P488" i="254"/>
  <c r="O488" i="254"/>
  <c r="N488" i="254"/>
  <c r="M488" i="254"/>
  <c r="L488" i="254"/>
  <c r="K488" i="254"/>
  <c r="J488" i="254"/>
  <c r="I488" i="254"/>
  <c r="H488" i="254"/>
  <c r="G488" i="254"/>
  <c r="F488" i="254"/>
  <c r="E488" i="254"/>
  <c r="D488" i="254"/>
  <c r="C488" i="254"/>
  <c r="B488" i="254"/>
  <c r="A488" i="254"/>
  <c r="AF487" i="254"/>
  <c r="AE487" i="254"/>
  <c r="AD487" i="254"/>
  <c r="AC487" i="254"/>
  <c r="AB487" i="254"/>
  <c r="AA487" i="254"/>
  <c r="Z487" i="254"/>
  <c r="Y487" i="254"/>
  <c r="X487" i="254"/>
  <c r="W487" i="254"/>
  <c r="V487" i="254"/>
  <c r="U487" i="254"/>
  <c r="T487" i="254"/>
  <c r="S487" i="254"/>
  <c r="R487" i="254"/>
  <c r="Q487" i="254"/>
  <c r="P487" i="254"/>
  <c r="O487" i="254"/>
  <c r="N487" i="254"/>
  <c r="M487" i="254"/>
  <c r="L487" i="254"/>
  <c r="K487" i="254"/>
  <c r="J487" i="254"/>
  <c r="I487" i="254"/>
  <c r="H487" i="254"/>
  <c r="G487" i="254"/>
  <c r="F487" i="254"/>
  <c r="E487" i="254"/>
  <c r="D487" i="254"/>
  <c r="C487" i="254"/>
  <c r="B487" i="254"/>
  <c r="A487" i="254"/>
  <c r="AF486" i="254"/>
  <c r="AE486" i="254"/>
  <c r="AD486" i="254"/>
  <c r="AC486" i="254"/>
  <c r="AB486" i="254"/>
  <c r="AA486" i="254"/>
  <c r="Z486" i="254"/>
  <c r="Y486" i="254"/>
  <c r="X486" i="254"/>
  <c r="W486" i="254"/>
  <c r="V486" i="254"/>
  <c r="U486" i="254"/>
  <c r="T486" i="254"/>
  <c r="S486" i="254"/>
  <c r="R486" i="254"/>
  <c r="Q486" i="254"/>
  <c r="P486" i="254"/>
  <c r="O486" i="254"/>
  <c r="N486" i="254"/>
  <c r="M486" i="254"/>
  <c r="L486" i="254"/>
  <c r="K486" i="254"/>
  <c r="J486" i="254"/>
  <c r="I486" i="254"/>
  <c r="H486" i="254"/>
  <c r="G486" i="254"/>
  <c r="F486" i="254"/>
  <c r="E486" i="254"/>
  <c r="D486" i="254"/>
  <c r="C486" i="254"/>
  <c r="B486" i="254"/>
  <c r="A486" i="254"/>
  <c r="AF485" i="254"/>
  <c r="AE485" i="254"/>
  <c r="AD485" i="254"/>
  <c r="AC485" i="254"/>
  <c r="AB485" i="254"/>
  <c r="AA485" i="254"/>
  <c r="Z485" i="254"/>
  <c r="Y485" i="254"/>
  <c r="X485" i="254"/>
  <c r="W485" i="254"/>
  <c r="V485" i="254"/>
  <c r="U485" i="254"/>
  <c r="T485" i="254"/>
  <c r="S485" i="254"/>
  <c r="R485" i="254"/>
  <c r="Q485" i="254"/>
  <c r="P485" i="254"/>
  <c r="O485" i="254"/>
  <c r="N485" i="254"/>
  <c r="M485" i="254"/>
  <c r="L485" i="254"/>
  <c r="K485" i="254"/>
  <c r="J485" i="254"/>
  <c r="I485" i="254"/>
  <c r="H485" i="254"/>
  <c r="G485" i="254"/>
  <c r="F485" i="254"/>
  <c r="E485" i="254"/>
  <c r="D485" i="254"/>
  <c r="C485" i="254"/>
  <c r="B485" i="254"/>
  <c r="A485" i="254"/>
  <c r="AF484" i="254"/>
  <c r="AE484" i="254"/>
  <c r="AD484" i="254"/>
  <c r="AC484" i="254"/>
  <c r="AB484" i="254"/>
  <c r="AA484" i="254"/>
  <c r="Z484" i="254"/>
  <c r="Y484" i="254"/>
  <c r="X484" i="254"/>
  <c r="W484" i="254"/>
  <c r="V484" i="254"/>
  <c r="U484" i="254"/>
  <c r="T484" i="254"/>
  <c r="S484" i="254"/>
  <c r="R484" i="254"/>
  <c r="Q484" i="254"/>
  <c r="P484" i="254"/>
  <c r="O484" i="254"/>
  <c r="N484" i="254"/>
  <c r="M484" i="254"/>
  <c r="L484" i="254"/>
  <c r="K484" i="254"/>
  <c r="J484" i="254"/>
  <c r="I484" i="254"/>
  <c r="H484" i="254"/>
  <c r="G484" i="254"/>
  <c r="F484" i="254"/>
  <c r="E484" i="254"/>
  <c r="D484" i="254"/>
  <c r="C484" i="254"/>
  <c r="B484" i="254"/>
  <c r="A484" i="254"/>
  <c r="AF483" i="254"/>
  <c r="AE483" i="254"/>
  <c r="AD483" i="254"/>
  <c r="AC483" i="254"/>
  <c r="AB483" i="254"/>
  <c r="AA483" i="254"/>
  <c r="Z483" i="254"/>
  <c r="Y483" i="254"/>
  <c r="X483" i="254"/>
  <c r="W483" i="254"/>
  <c r="V483" i="254"/>
  <c r="U483" i="254"/>
  <c r="T483" i="254"/>
  <c r="S483" i="254"/>
  <c r="R483" i="254"/>
  <c r="Q483" i="254"/>
  <c r="P483" i="254"/>
  <c r="O483" i="254"/>
  <c r="N483" i="254"/>
  <c r="M483" i="254"/>
  <c r="L483" i="254"/>
  <c r="K483" i="254"/>
  <c r="J483" i="254"/>
  <c r="I483" i="254"/>
  <c r="H483" i="254"/>
  <c r="G483" i="254"/>
  <c r="F483" i="254"/>
  <c r="E483" i="254"/>
  <c r="D483" i="254"/>
  <c r="C483" i="254"/>
  <c r="B483" i="254"/>
  <c r="A483" i="254"/>
  <c r="AF482" i="254"/>
  <c r="AE482" i="254"/>
  <c r="AD482" i="254"/>
  <c r="AC482" i="254"/>
  <c r="AB482" i="254"/>
  <c r="AA482" i="254"/>
  <c r="Z482" i="254"/>
  <c r="Y482" i="254"/>
  <c r="X482" i="254"/>
  <c r="W482" i="254"/>
  <c r="V482" i="254"/>
  <c r="U482" i="254"/>
  <c r="T482" i="254"/>
  <c r="S482" i="254"/>
  <c r="R482" i="254"/>
  <c r="Q482" i="254"/>
  <c r="P482" i="254"/>
  <c r="O482" i="254"/>
  <c r="N482" i="254"/>
  <c r="M482" i="254"/>
  <c r="L482" i="254"/>
  <c r="K482" i="254"/>
  <c r="J482" i="254"/>
  <c r="I482" i="254"/>
  <c r="H482" i="254"/>
  <c r="G482" i="254"/>
  <c r="F482" i="254"/>
  <c r="E482" i="254"/>
  <c r="D482" i="254"/>
  <c r="C482" i="254"/>
  <c r="B482" i="254"/>
  <c r="A482" i="254"/>
  <c r="AF481" i="254"/>
  <c r="AE481" i="254"/>
  <c r="AD481" i="254"/>
  <c r="AC481" i="254"/>
  <c r="AB481" i="254"/>
  <c r="AA481" i="254"/>
  <c r="Z481" i="254"/>
  <c r="Y481" i="254"/>
  <c r="X481" i="254"/>
  <c r="W481" i="254"/>
  <c r="V481" i="254"/>
  <c r="U481" i="254"/>
  <c r="T481" i="254"/>
  <c r="S481" i="254"/>
  <c r="R481" i="254"/>
  <c r="Q481" i="254"/>
  <c r="P481" i="254"/>
  <c r="O481" i="254"/>
  <c r="N481" i="254"/>
  <c r="M481" i="254"/>
  <c r="L481" i="254"/>
  <c r="K481" i="254"/>
  <c r="J481" i="254"/>
  <c r="I481" i="254"/>
  <c r="H481" i="254"/>
  <c r="G481" i="254"/>
  <c r="F481" i="254"/>
  <c r="E481" i="254"/>
  <c r="D481" i="254"/>
  <c r="C481" i="254"/>
  <c r="B481" i="254"/>
  <c r="A481" i="254"/>
  <c r="AF480" i="254"/>
  <c r="AE480" i="254"/>
  <c r="AD480" i="254"/>
  <c r="AC480" i="254"/>
  <c r="AB480" i="254"/>
  <c r="AA480" i="254"/>
  <c r="Z480" i="254"/>
  <c r="Y480" i="254"/>
  <c r="X480" i="254"/>
  <c r="W480" i="254"/>
  <c r="V480" i="254"/>
  <c r="U480" i="254"/>
  <c r="T480" i="254"/>
  <c r="S480" i="254"/>
  <c r="R480" i="254"/>
  <c r="Q480" i="254"/>
  <c r="P480" i="254"/>
  <c r="O480" i="254"/>
  <c r="N480" i="254"/>
  <c r="M480" i="254"/>
  <c r="L480" i="254"/>
  <c r="K480" i="254"/>
  <c r="J480" i="254"/>
  <c r="I480" i="254"/>
  <c r="H480" i="254"/>
  <c r="G480" i="254"/>
  <c r="F480" i="254"/>
  <c r="E480" i="254"/>
  <c r="D480" i="254"/>
  <c r="C480" i="254"/>
  <c r="B480" i="254"/>
  <c r="A480" i="254"/>
  <c r="AF479" i="254"/>
  <c r="AE479" i="254"/>
  <c r="AD479" i="254"/>
  <c r="AC479" i="254"/>
  <c r="AB479" i="254"/>
  <c r="AA479" i="254"/>
  <c r="Z479" i="254"/>
  <c r="Y479" i="254"/>
  <c r="X479" i="254"/>
  <c r="W479" i="254"/>
  <c r="V479" i="254"/>
  <c r="U479" i="254"/>
  <c r="T479" i="254"/>
  <c r="S479" i="254"/>
  <c r="R479" i="254"/>
  <c r="Q479" i="254"/>
  <c r="P479" i="254"/>
  <c r="O479" i="254"/>
  <c r="N479" i="254"/>
  <c r="M479" i="254"/>
  <c r="L479" i="254"/>
  <c r="K479" i="254"/>
  <c r="J479" i="254"/>
  <c r="I479" i="254"/>
  <c r="H479" i="254"/>
  <c r="G479" i="254"/>
  <c r="F479" i="254"/>
  <c r="E479" i="254"/>
  <c r="D479" i="254"/>
  <c r="C479" i="254"/>
  <c r="B479" i="254"/>
  <c r="A479" i="254"/>
  <c r="AF478" i="254"/>
  <c r="AE478" i="254"/>
  <c r="AD478" i="254"/>
  <c r="AC478" i="254"/>
  <c r="AB478" i="254"/>
  <c r="AA478" i="254"/>
  <c r="Z478" i="254"/>
  <c r="Y478" i="254"/>
  <c r="X478" i="254"/>
  <c r="W478" i="254"/>
  <c r="V478" i="254"/>
  <c r="U478" i="254"/>
  <c r="T478" i="254"/>
  <c r="S478" i="254"/>
  <c r="R478" i="254"/>
  <c r="Q478" i="254"/>
  <c r="P478" i="254"/>
  <c r="O478" i="254"/>
  <c r="N478" i="254"/>
  <c r="M478" i="254"/>
  <c r="L478" i="254"/>
  <c r="K478" i="254"/>
  <c r="J478" i="254"/>
  <c r="I478" i="254"/>
  <c r="H478" i="254"/>
  <c r="G478" i="254"/>
  <c r="F478" i="254"/>
  <c r="E478" i="254"/>
  <c r="D478" i="254"/>
  <c r="C478" i="254"/>
  <c r="B478" i="254"/>
  <c r="A478" i="254"/>
  <c r="AF477" i="254"/>
  <c r="AE477" i="254"/>
  <c r="AD477" i="254"/>
  <c r="AC477" i="254"/>
  <c r="AB477" i="254"/>
  <c r="AA477" i="254"/>
  <c r="Z477" i="254"/>
  <c r="Y477" i="254"/>
  <c r="X477" i="254"/>
  <c r="W477" i="254"/>
  <c r="V477" i="254"/>
  <c r="U477" i="254"/>
  <c r="T477" i="254"/>
  <c r="S477" i="254"/>
  <c r="R477" i="254"/>
  <c r="Q477" i="254"/>
  <c r="P477" i="254"/>
  <c r="O477" i="254"/>
  <c r="N477" i="254"/>
  <c r="M477" i="254"/>
  <c r="L477" i="254"/>
  <c r="K477" i="254"/>
  <c r="J477" i="254"/>
  <c r="I477" i="254"/>
  <c r="H477" i="254"/>
  <c r="G477" i="254"/>
  <c r="F477" i="254"/>
  <c r="E477" i="254"/>
  <c r="D477" i="254"/>
  <c r="C477" i="254"/>
  <c r="B477" i="254"/>
  <c r="A477" i="254"/>
  <c r="AF476" i="254"/>
  <c r="AE476" i="254"/>
  <c r="AD476" i="254"/>
  <c r="AC476" i="254"/>
  <c r="AB476" i="254"/>
  <c r="AA476" i="254"/>
  <c r="Z476" i="254"/>
  <c r="Y476" i="254"/>
  <c r="X476" i="254"/>
  <c r="W476" i="254"/>
  <c r="V476" i="254"/>
  <c r="U476" i="254"/>
  <c r="T476" i="254"/>
  <c r="S476" i="254"/>
  <c r="R476" i="254"/>
  <c r="Q476" i="254"/>
  <c r="P476" i="254"/>
  <c r="O476" i="254"/>
  <c r="N476" i="254"/>
  <c r="M476" i="254"/>
  <c r="L476" i="254"/>
  <c r="K476" i="254"/>
  <c r="J476" i="254"/>
  <c r="I476" i="254"/>
  <c r="H476" i="254"/>
  <c r="G476" i="254"/>
  <c r="F476" i="254"/>
  <c r="E476" i="254"/>
  <c r="D476" i="254"/>
  <c r="C476" i="254"/>
  <c r="B476" i="254"/>
  <c r="A476" i="254"/>
  <c r="AF475" i="254"/>
  <c r="AE475" i="254"/>
  <c r="AD475" i="254"/>
  <c r="AC475" i="254"/>
  <c r="AB475" i="254"/>
  <c r="AA475" i="254"/>
  <c r="Z475" i="254"/>
  <c r="Y475" i="254"/>
  <c r="X475" i="254"/>
  <c r="W475" i="254"/>
  <c r="V475" i="254"/>
  <c r="U475" i="254"/>
  <c r="T475" i="254"/>
  <c r="S475" i="254"/>
  <c r="R475" i="254"/>
  <c r="Q475" i="254"/>
  <c r="P475" i="254"/>
  <c r="O475" i="254"/>
  <c r="N475" i="254"/>
  <c r="M475" i="254"/>
  <c r="L475" i="254"/>
  <c r="K475" i="254"/>
  <c r="J475" i="254"/>
  <c r="I475" i="254"/>
  <c r="H475" i="254"/>
  <c r="G475" i="254"/>
  <c r="F475" i="254"/>
  <c r="E475" i="254"/>
  <c r="D475" i="254"/>
  <c r="C475" i="254"/>
  <c r="B475" i="254"/>
  <c r="A475" i="254"/>
  <c r="AF474" i="254"/>
  <c r="AE474" i="254"/>
  <c r="AD474" i="254"/>
  <c r="AC474" i="254"/>
  <c r="AB474" i="254"/>
  <c r="AA474" i="254"/>
  <c r="Z474" i="254"/>
  <c r="Y474" i="254"/>
  <c r="X474" i="254"/>
  <c r="W474" i="254"/>
  <c r="V474" i="254"/>
  <c r="U474" i="254"/>
  <c r="T474" i="254"/>
  <c r="S474" i="254"/>
  <c r="R474" i="254"/>
  <c r="Q474" i="254"/>
  <c r="P474" i="254"/>
  <c r="O474" i="254"/>
  <c r="N474" i="254"/>
  <c r="M474" i="254"/>
  <c r="L474" i="254"/>
  <c r="K474" i="254"/>
  <c r="J474" i="254"/>
  <c r="I474" i="254"/>
  <c r="H474" i="254"/>
  <c r="G474" i="254"/>
  <c r="F474" i="254"/>
  <c r="E474" i="254"/>
  <c r="D474" i="254"/>
  <c r="C474" i="254"/>
  <c r="B474" i="254"/>
  <c r="A474" i="254"/>
  <c r="AF473" i="254"/>
  <c r="AE473" i="254"/>
  <c r="AD473" i="254"/>
  <c r="AC473" i="254"/>
  <c r="AB473" i="254"/>
  <c r="AA473" i="254"/>
  <c r="Z473" i="254"/>
  <c r="Y473" i="254"/>
  <c r="X473" i="254"/>
  <c r="W473" i="254"/>
  <c r="V473" i="254"/>
  <c r="U473" i="254"/>
  <c r="T473" i="254"/>
  <c r="S473" i="254"/>
  <c r="R473" i="254"/>
  <c r="Q473" i="254"/>
  <c r="P473" i="254"/>
  <c r="O473" i="254"/>
  <c r="N473" i="254"/>
  <c r="M473" i="254"/>
  <c r="L473" i="254"/>
  <c r="K473" i="254"/>
  <c r="J473" i="254"/>
  <c r="I473" i="254"/>
  <c r="H473" i="254"/>
  <c r="G473" i="254"/>
  <c r="F473" i="254"/>
  <c r="E473" i="254"/>
  <c r="D473" i="254"/>
  <c r="C473" i="254"/>
  <c r="B473" i="254"/>
  <c r="A473" i="254"/>
  <c r="AF472" i="254"/>
  <c r="AE472" i="254"/>
  <c r="AD472" i="254"/>
  <c r="AC472" i="254"/>
  <c r="AB472" i="254"/>
  <c r="AA472" i="254"/>
  <c r="Z472" i="254"/>
  <c r="Y472" i="254"/>
  <c r="X472" i="254"/>
  <c r="W472" i="254"/>
  <c r="V472" i="254"/>
  <c r="U472" i="254"/>
  <c r="T472" i="254"/>
  <c r="S472" i="254"/>
  <c r="R472" i="254"/>
  <c r="Q472" i="254"/>
  <c r="P472" i="254"/>
  <c r="O472" i="254"/>
  <c r="N472" i="254"/>
  <c r="M472" i="254"/>
  <c r="L472" i="254"/>
  <c r="K472" i="254"/>
  <c r="J472" i="254"/>
  <c r="I472" i="254"/>
  <c r="H472" i="254"/>
  <c r="G472" i="254"/>
  <c r="F472" i="254"/>
  <c r="E472" i="254"/>
  <c r="D472" i="254"/>
  <c r="C472" i="254"/>
  <c r="B472" i="254"/>
  <c r="A472" i="254"/>
  <c r="AF471" i="254"/>
  <c r="AE471" i="254"/>
  <c r="AD471" i="254"/>
  <c r="AC471" i="254"/>
  <c r="AB471" i="254"/>
  <c r="AA471" i="254"/>
  <c r="Z471" i="254"/>
  <c r="Y471" i="254"/>
  <c r="X471" i="254"/>
  <c r="W471" i="254"/>
  <c r="V471" i="254"/>
  <c r="U471" i="254"/>
  <c r="T471" i="254"/>
  <c r="S471" i="254"/>
  <c r="R471" i="254"/>
  <c r="Q471" i="254"/>
  <c r="P471" i="254"/>
  <c r="O471" i="254"/>
  <c r="N471" i="254"/>
  <c r="M471" i="254"/>
  <c r="L471" i="254"/>
  <c r="K471" i="254"/>
  <c r="J471" i="254"/>
  <c r="I471" i="254"/>
  <c r="H471" i="254"/>
  <c r="G471" i="254"/>
  <c r="F471" i="254"/>
  <c r="E471" i="254"/>
  <c r="D471" i="254"/>
  <c r="C471" i="254"/>
  <c r="B471" i="254"/>
  <c r="A471" i="254"/>
  <c r="AF470" i="254"/>
  <c r="AE470" i="254"/>
  <c r="AD470" i="254"/>
  <c r="AC470" i="254"/>
  <c r="AB470" i="254"/>
  <c r="AA470" i="254"/>
  <c r="Z470" i="254"/>
  <c r="Y470" i="254"/>
  <c r="X470" i="254"/>
  <c r="W470" i="254"/>
  <c r="V470" i="254"/>
  <c r="U470" i="254"/>
  <c r="T470" i="254"/>
  <c r="S470" i="254"/>
  <c r="R470" i="254"/>
  <c r="Q470" i="254"/>
  <c r="P470" i="254"/>
  <c r="O470" i="254"/>
  <c r="N470" i="254"/>
  <c r="M470" i="254"/>
  <c r="L470" i="254"/>
  <c r="K470" i="254"/>
  <c r="J470" i="254"/>
  <c r="I470" i="254"/>
  <c r="H470" i="254"/>
  <c r="G470" i="254"/>
  <c r="F470" i="254"/>
  <c r="E470" i="254"/>
  <c r="D470" i="254"/>
  <c r="C470" i="254"/>
  <c r="B470" i="254"/>
  <c r="A470" i="254"/>
  <c r="AF469" i="254"/>
  <c r="AE469" i="254"/>
  <c r="AD469" i="254"/>
  <c r="AC469" i="254"/>
  <c r="AB469" i="254"/>
  <c r="AA469" i="254"/>
  <c r="Z469" i="254"/>
  <c r="Y469" i="254"/>
  <c r="X469" i="254"/>
  <c r="W469" i="254"/>
  <c r="V469" i="254"/>
  <c r="U469" i="254"/>
  <c r="T469" i="254"/>
  <c r="S469" i="254"/>
  <c r="R469" i="254"/>
  <c r="Q469" i="254"/>
  <c r="P469" i="254"/>
  <c r="O469" i="254"/>
  <c r="N469" i="254"/>
  <c r="M469" i="254"/>
  <c r="L469" i="254"/>
  <c r="K469" i="254"/>
  <c r="J469" i="254"/>
  <c r="I469" i="254"/>
  <c r="H469" i="254"/>
  <c r="G469" i="254"/>
  <c r="F469" i="254"/>
  <c r="E469" i="254"/>
  <c r="D469" i="254"/>
  <c r="C469" i="254"/>
  <c r="B469" i="254"/>
  <c r="A469" i="254"/>
  <c r="AF468" i="254"/>
  <c r="AE468" i="254"/>
  <c r="AD468" i="254"/>
  <c r="AC468" i="254"/>
  <c r="AB468" i="254"/>
  <c r="AA468" i="254"/>
  <c r="Z468" i="254"/>
  <c r="Y468" i="254"/>
  <c r="X468" i="254"/>
  <c r="W468" i="254"/>
  <c r="V468" i="254"/>
  <c r="U468" i="254"/>
  <c r="T468" i="254"/>
  <c r="S468" i="254"/>
  <c r="R468" i="254"/>
  <c r="Q468" i="254"/>
  <c r="P468" i="254"/>
  <c r="O468" i="254"/>
  <c r="N468" i="254"/>
  <c r="M468" i="254"/>
  <c r="L468" i="254"/>
  <c r="K468" i="254"/>
  <c r="J468" i="254"/>
  <c r="I468" i="254"/>
  <c r="H468" i="254"/>
  <c r="G468" i="254"/>
  <c r="F468" i="254"/>
  <c r="E468" i="254"/>
  <c r="D468" i="254"/>
  <c r="C468" i="254"/>
  <c r="B468" i="254"/>
  <c r="A468" i="254"/>
  <c r="AF467" i="254"/>
  <c r="AE467" i="254"/>
  <c r="AD467" i="254"/>
  <c r="AC467" i="254"/>
  <c r="AB467" i="254"/>
  <c r="AA467" i="254"/>
  <c r="Z467" i="254"/>
  <c r="Y467" i="254"/>
  <c r="X467" i="254"/>
  <c r="W467" i="254"/>
  <c r="V467" i="254"/>
  <c r="U467" i="254"/>
  <c r="T467" i="254"/>
  <c r="S467" i="254"/>
  <c r="R467" i="254"/>
  <c r="Q467" i="254"/>
  <c r="P467" i="254"/>
  <c r="O467" i="254"/>
  <c r="N467" i="254"/>
  <c r="M467" i="254"/>
  <c r="L467" i="254"/>
  <c r="K467" i="254"/>
  <c r="J467" i="254"/>
  <c r="I467" i="254"/>
  <c r="H467" i="254"/>
  <c r="G467" i="254"/>
  <c r="F467" i="254"/>
  <c r="E467" i="254"/>
  <c r="D467" i="254"/>
  <c r="C467" i="254"/>
  <c r="B467" i="254"/>
  <c r="A467" i="254"/>
  <c r="AF466" i="254"/>
  <c r="AE466" i="254"/>
  <c r="AD466" i="254"/>
  <c r="AC466" i="254"/>
  <c r="AB466" i="254"/>
  <c r="AA466" i="254"/>
  <c r="Z466" i="254"/>
  <c r="Y466" i="254"/>
  <c r="X466" i="254"/>
  <c r="W466" i="254"/>
  <c r="V466" i="254"/>
  <c r="U466" i="254"/>
  <c r="T466" i="254"/>
  <c r="S466" i="254"/>
  <c r="R466" i="254"/>
  <c r="Q466" i="254"/>
  <c r="P466" i="254"/>
  <c r="O466" i="254"/>
  <c r="N466" i="254"/>
  <c r="M466" i="254"/>
  <c r="L466" i="254"/>
  <c r="K466" i="254"/>
  <c r="J466" i="254"/>
  <c r="I466" i="254"/>
  <c r="H466" i="254"/>
  <c r="G466" i="254"/>
  <c r="F466" i="254"/>
  <c r="E466" i="254"/>
  <c r="D466" i="254"/>
  <c r="C466" i="254"/>
  <c r="B466" i="254"/>
  <c r="A466" i="254"/>
  <c r="AF465" i="254"/>
  <c r="AE465" i="254"/>
  <c r="AD465" i="254"/>
  <c r="AC465" i="254"/>
  <c r="AB465" i="254"/>
  <c r="AA465" i="254"/>
  <c r="Z465" i="254"/>
  <c r="Y465" i="254"/>
  <c r="X465" i="254"/>
  <c r="W465" i="254"/>
  <c r="V465" i="254"/>
  <c r="U465" i="254"/>
  <c r="T465" i="254"/>
  <c r="S465" i="254"/>
  <c r="R465" i="254"/>
  <c r="Q465" i="254"/>
  <c r="P465" i="254"/>
  <c r="O465" i="254"/>
  <c r="N465" i="254"/>
  <c r="M465" i="254"/>
  <c r="L465" i="254"/>
  <c r="K465" i="254"/>
  <c r="J465" i="254"/>
  <c r="I465" i="254"/>
  <c r="H465" i="254"/>
  <c r="G465" i="254"/>
  <c r="F465" i="254"/>
  <c r="E465" i="254"/>
  <c r="D465" i="254"/>
  <c r="C465" i="254"/>
  <c r="B465" i="254"/>
  <c r="A465" i="254"/>
  <c r="AF464" i="254"/>
  <c r="AE464" i="254"/>
  <c r="AD464" i="254"/>
  <c r="AC464" i="254"/>
  <c r="AB464" i="254"/>
  <c r="AA464" i="254"/>
  <c r="Z464" i="254"/>
  <c r="Y464" i="254"/>
  <c r="X464" i="254"/>
  <c r="W464" i="254"/>
  <c r="V464" i="254"/>
  <c r="U464" i="254"/>
  <c r="T464" i="254"/>
  <c r="S464" i="254"/>
  <c r="R464" i="254"/>
  <c r="Q464" i="254"/>
  <c r="P464" i="254"/>
  <c r="O464" i="254"/>
  <c r="N464" i="254"/>
  <c r="M464" i="254"/>
  <c r="L464" i="254"/>
  <c r="K464" i="254"/>
  <c r="J464" i="254"/>
  <c r="I464" i="254"/>
  <c r="H464" i="254"/>
  <c r="G464" i="254"/>
  <c r="F464" i="254"/>
  <c r="E464" i="254"/>
  <c r="D464" i="254"/>
  <c r="C464" i="254"/>
  <c r="B464" i="254"/>
  <c r="A464" i="254"/>
  <c r="AF463" i="254"/>
  <c r="AE463" i="254"/>
  <c r="AD463" i="254"/>
  <c r="AC463" i="254"/>
  <c r="AB463" i="254"/>
  <c r="AA463" i="254"/>
  <c r="Z463" i="254"/>
  <c r="Y463" i="254"/>
  <c r="X463" i="254"/>
  <c r="W463" i="254"/>
  <c r="V463" i="254"/>
  <c r="U463" i="254"/>
  <c r="T463" i="254"/>
  <c r="S463" i="254"/>
  <c r="R463" i="254"/>
  <c r="Q463" i="254"/>
  <c r="P463" i="254"/>
  <c r="O463" i="254"/>
  <c r="N463" i="254"/>
  <c r="M463" i="254"/>
  <c r="L463" i="254"/>
  <c r="K463" i="254"/>
  <c r="J463" i="254"/>
  <c r="I463" i="254"/>
  <c r="H463" i="254"/>
  <c r="G463" i="254"/>
  <c r="F463" i="254"/>
  <c r="E463" i="254"/>
  <c r="D463" i="254"/>
  <c r="C463" i="254"/>
  <c r="B463" i="254"/>
  <c r="A463" i="254"/>
  <c r="AF462" i="254"/>
  <c r="AE462" i="254"/>
  <c r="AD462" i="254"/>
  <c r="AC462" i="254"/>
  <c r="AB462" i="254"/>
  <c r="AA462" i="254"/>
  <c r="Z462" i="254"/>
  <c r="Y462" i="254"/>
  <c r="X462" i="254"/>
  <c r="W462" i="254"/>
  <c r="V462" i="254"/>
  <c r="U462" i="254"/>
  <c r="T462" i="254"/>
  <c r="S462" i="254"/>
  <c r="R462" i="254"/>
  <c r="Q462" i="254"/>
  <c r="P462" i="254"/>
  <c r="O462" i="254"/>
  <c r="N462" i="254"/>
  <c r="M462" i="254"/>
  <c r="L462" i="254"/>
  <c r="K462" i="254"/>
  <c r="J462" i="254"/>
  <c r="I462" i="254"/>
  <c r="H462" i="254"/>
  <c r="G462" i="254"/>
  <c r="F462" i="254"/>
  <c r="E462" i="254"/>
  <c r="D462" i="254"/>
  <c r="C462" i="254"/>
  <c r="B462" i="254"/>
  <c r="A462" i="254"/>
  <c r="AF461" i="254"/>
  <c r="AE461" i="254"/>
  <c r="AD461" i="254"/>
  <c r="AC461" i="254"/>
  <c r="AB461" i="254"/>
  <c r="AA461" i="254"/>
  <c r="Z461" i="254"/>
  <c r="Y461" i="254"/>
  <c r="X461" i="254"/>
  <c r="W461" i="254"/>
  <c r="V461" i="254"/>
  <c r="U461" i="254"/>
  <c r="T461" i="254"/>
  <c r="S461" i="254"/>
  <c r="R461" i="254"/>
  <c r="Q461" i="254"/>
  <c r="P461" i="254"/>
  <c r="O461" i="254"/>
  <c r="N461" i="254"/>
  <c r="M461" i="254"/>
  <c r="L461" i="254"/>
  <c r="K461" i="254"/>
  <c r="J461" i="254"/>
  <c r="I461" i="254"/>
  <c r="H461" i="254"/>
  <c r="G461" i="254"/>
  <c r="F461" i="254"/>
  <c r="E461" i="254"/>
  <c r="D461" i="254"/>
  <c r="C461" i="254"/>
  <c r="B461" i="254"/>
  <c r="A461" i="254"/>
  <c r="AF460" i="254"/>
  <c r="AE460" i="254"/>
  <c r="AD460" i="254"/>
  <c r="AC460" i="254"/>
  <c r="AB460" i="254"/>
  <c r="AA460" i="254"/>
  <c r="Z460" i="254"/>
  <c r="Y460" i="254"/>
  <c r="X460" i="254"/>
  <c r="W460" i="254"/>
  <c r="V460" i="254"/>
  <c r="U460" i="254"/>
  <c r="T460" i="254"/>
  <c r="S460" i="254"/>
  <c r="R460" i="254"/>
  <c r="Q460" i="254"/>
  <c r="P460" i="254"/>
  <c r="O460" i="254"/>
  <c r="N460" i="254"/>
  <c r="M460" i="254"/>
  <c r="L460" i="254"/>
  <c r="K460" i="254"/>
  <c r="J460" i="254"/>
  <c r="I460" i="254"/>
  <c r="H460" i="254"/>
  <c r="G460" i="254"/>
  <c r="F460" i="254"/>
  <c r="E460" i="254"/>
  <c r="D460" i="254"/>
  <c r="C460" i="254"/>
  <c r="B460" i="254"/>
  <c r="A460" i="254"/>
  <c r="AF459" i="254"/>
  <c r="AE459" i="254"/>
  <c r="AD459" i="254"/>
  <c r="AC459" i="254"/>
  <c r="AB459" i="254"/>
  <c r="AA459" i="254"/>
  <c r="Z459" i="254"/>
  <c r="Y459" i="254"/>
  <c r="X459" i="254"/>
  <c r="W459" i="254"/>
  <c r="V459" i="254"/>
  <c r="U459" i="254"/>
  <c r="T459" i="254"/>
  <c r="S459" i="254"/>
  <c r="R459" i="254"/>
  <c r="Q459" i="254"/>
  <c r="P459" i="254"/>
  <c r="O459" i="254"/>
  <c r="N459" i="254"/>
  <c r="M459" i="254"/>
  <c r="L459" i="254"/>
  <c r="K459" i="254"/>
  <c r="J459" i="254"/>
  <c r="I459" i="254"/>
  <c r="H459" i="254"/>
  <c r="G459" i="254"/>
  <c r="F459" i="254"/>
  <c r="E459" i="254"/>
  <c r="D459" i="254"/>
  <c r="C459" i="254"/>
  <c r="B459" i="254"/>
  <c r="A459" i="254"/>
  <c r="AF458" i="254"/>
  <c r="AE458" i="254"/>
  <c r="AD458" i="254"/>
  <c r="AC458" i="254"/>
  <c r="AB458" i="254"/>
  <c r="AA458" i="254"/>
  <c r="Z458" i="254"/>
  <c r="Y458" i="254"/>
  <c r="X458" i="254"/>
  <c r="W458" i="254"/>
  <c r="V458" i="254"/>
  <c r="U458" i="254"/>
  <c r="T458" i="254"/>
  <c r="S458" i="254"/>
  <c r="R458" i="254"/>
  <c r="Q458" i="254"/>
  <c r="P458" i="254"/>
  <c r="O458" i="254"/>
  <c r="N458" i="254"/>
  <c r="M458" i="254"/>
  <c r="L458" i="254"/>
  <c r="K458" i="254"/>
  <c r="J458" i="254"/>
  <c r="I458" i="254"/>
  <c r="H458" i="254"/>
  <c r="G458" i="254"/>
  <c r="F458" i="254"/>
  <c r="E458" i="254"/>
  <c r="D458" i="254"/>
  <c r="C458" i="254"/>
  <c r="B458" i="254"/>
  <c r="A458" i="254"/>
  <c r="AF457" i="254"/>
  <c r="AE457" i="254"/>
  <c r="AD457" i="254"/>
  <c r="AC457" i="254"/>
  <c r="AB457" i="254"/>
  <c r="AA457" i="254"/>
  <c r="Z457" i="254"/>
  <c r="Y457" i="254"/>
  <c r="X457" i="254"/>
  <c r="W457" i="254"/>
  <c r="V457" i="254"/>
  <c r="U457" i="254"/>
  <c r="T457" i="254"/>
  <c r="S457" i="254"/>
  <c r="R457" i="254"/>
  <c r="Q457" i="254"/>
  <c r="P457" i="254"/>
  <c r="O457" i="254"/>
  <c r="N457" i="254"/>
  <c r="M457" i="254"/>
  <c r="L457" i="254"/>
  <c r="K457" i="254"/>
  <c r="J457" i="254"/>
  <c r="I457" i="254"/>
  <c r="H457" i="254"/>
  <c r="G457" i="254"/>
  <c r="F457" i="254"/>
  <c r="E457" i="254"/>
  <c r="D457" i="254"/>
  <c r="C457" i="254"/>
  <c r="B457" i="254"/>
  <c r="A457" i="254"/>
  <c r="AF456" i="254"/>
  <c r="AE456" i="254"/>
  <c r="AD456" i="254"/>
  <c r="AC456" i="254"/>
  <c r="AB456" i="254"/>
  <c r="AA456" i="254"/>
  <c r="Z456" i="254"/>
  <c r="Y456" i="254"/>
  <c r="X456" i="254"/>
  <c r="W456" i="254"/>
  <c r="V456" i="254"/>
  <c r="U456" i="254"/>
  <c r="T456" i="254"/>
  <c r="S456" i="254"/>
  <c r="R456" i="254"/>
  <c r="Q456" i="254"/>
  <c r="P456" i="254"/>
  <c r="O456" i="254"/>
  <c r="N456" i="254"/>
  <c r="M456" i="254"/>
  <c r="L456" i="254"/>
  <c r="K456" i="254"/>
  <c r="J456" i="254"/>
  <c r="I456" i="254"/>
  <c r="H456" i="254"/>
  <c r="G456" i="254"/>
  <c r="F456" i="254"/>
  <c r="E456" i="254"/>
  <c r="D456" i="254"/>
  <c r="C456" i="254"/>
  <c r="B456" i="254"/>
  <c r="A456" i="254"/>
  <c r="AF455" i="254"/>
  <c r="AE455" i="254"/>
  <c r="AD455" i="254"/>
  <c r="AC455" i="254"/>
  <c r="AB455" i="254"/>
  <c r="AA455" i="254"/>
  <c r="Z455" i="254"/>
  <c r="Y455" i="254"/>
  <c r="X455" i="254"/>
  <c r="W455" i="254"/>
  <c r="V455" i="254"/>
  <c r="U455" i="254"/>
  <c r="T455" i="254"/>
  <c r="S455" i="254"/>
  <c r="R455" i="254"/>
  <c r="Q455" i="254"/>
  <c r="P455" i="254"/>
  <c r="O455" i="254"/>
  <c r="N455" i="254"/>
  <c r="M455" i="254"/>
  <c r="L455" i="254"/>
  <c r="K455" i="254"/>
  <c r="J455" i="254"/>
  <c r="I455" i="254"/>
  <c r="H455" i="254"/>
  <c r="G455" i="254"/>
  <c r="F455" i="254"/>
  <c r="E455" i="254"/>
  <c r="D455" i="254"/>
  <c r="C455" i="254"/>
  <c r="B455" i="254"/>
  <c r="A455" i="254"/>
  <c r="AF454" i="254"/>
  <c r="AE454" i="254"/>
  <c r="AD454" i="254"/>
  <c r="AC454" i="254"/>
  <c r="AB454" i="254"/>
  <c r="AA454" i="254"/>
  <c r="Z454" i="254"/>
  <c r="Y454" i="254"/>
  <c r="X454" i="254"/>
  <c r="W454" i="254"/>
  <c r="V454" i="254"/>
  <c r="U454" i="254"/>
  <c r="T454" i="254"/>
  <c r="S454" i="254"/>
  <c r="R454" i="254"/>
  <c r="Q454" i="254"/>
  <c r="P454" i="254"/>
  <c r="O454" i="254"/>
  <c r="N454" i="254"/>
  <c r="M454" i="254"/>
  <c r="L454" i="254"/>
  <c r="K454" i="254"/>
  <c r="J454" i="254"/>
  <c r="I454" i="254"/>
  <c r="H454" i="254"/>
  <c r="G454" i="254"/>
  <c r="F454" i="254"/>
  <c r="E454" i="254"/>
  <c r="D454" i="254"/>
  <c r="C454" i="254"/>
  <c r="B454" i="254"/>
  <c r="A454" i="254"/>
  <c r="AF453" i="254"/>
  <c r="AE453" i="254"/>
  <c r="AD453" i="254"/>
  <c r="AC453" i="254"/>
  <c r="AB453" i="254"/>
  <c r="AA453" i="254"/>
  <c r="Z453" i="254"/>
  <c r="Y453" i="254"/>
  <c r="X453" i="254"/>
  <c r="W453" i="254"/>
  <c r="V453" i="254"/>
  <c r="U453" i="254"/>
  <c r="T453" i="254"/>
  <c r="S453" i="254"/>
  <c r="R453" i="254"/>
  <c r="Q453" i="254"/>
  <c r="P453" i="254"/>
  <c r="O453" i="254"/>
  <c r="N453" i="254"/>
  <c r="M453" i="254"/>
  <c r="L453" i="254"/>
  <c r="K453" i="254"/>
  <c r="J453" i="254"/>
  <c r="I453" i="254"/>
  <c r="H453" i="254"/>
  <c r="G453" i="254"/>
  <c r="F453" i="254"/>
  <c r="E453" i="254"/>
  <c r="D453" i="254"/>
  <c r="C453" i="254"/>
  <c r="B453" i="254"/>
  <c r="A453" i="254"/>
  <c r="AF452" i="254"/>
  <c r="AE452" i="254"/>
  <c r="AD452" i="254"/>
  <c r="AC452" i="254"/>
  <c r="AB452" i="254"/>
  <c r="AA452" i="254"/>
  <c r="Z452" i="254"/>
  <c r="Y452" i="254"/>
  <c r="X452" i="254"/>
  <c r="W452" i="254"/>
  <c r="V452" i="254"/>
  <c r="U452" i="254"/>
  <c r="T452" i="254"/>
  <c r="S452" i="254"/>
  <c r="R452" i="254"/>
  <c r="Q452" i="254"/>
  <c r="P452" i="254"/>
  <c r="O452" i="254"/>
  <c r="N452" i="254"/>
  <c r="M452" i="254"/>
  <c r="L452" i="254"/>
  <c r="K452" i="254"/>
  <c r="J452" i="254"/>
  <c r="I452" i="254"/>
  <c r="H452" i="254"/>
  <c r="G452" i="254"/>
  <c r="F452" i="254"/>
  <c r="E452" i="254"/>
  <c r="D452" i="254"/>
  <c r="C452" i="254"/>
  <c r="B452" i="254"/>
  <c r="A452" i="254"/>
  <c r="AF451" i="254"/>
  <c r="AE451" i="254"/>
  <c r="AD451" i="254"/>
  <c r="AC451" i="254"/>
  <c r="AB451" i="254"/>
  <c r="AA451" i="254"/>
  <c r="Z451" i="254"/>
  <c r="Y451" i="254"/>
  <c r="X451" i="254"/>
  <c r="W451" i="254"/>
  <c r="V451" i="254"/>
  <c r="U451" i="254"/>
  <c r="T451" i="254"/>
  <c r="S451" i="254"/>
  <c r="R451" i="254"/>
  <c r="Q451" i="254"/>
  <c r="P451" i="254"/>
  <c r="O451" i="254"/>
  <c r="N451" i="254"/>
  <c r="M451" i="254"/>
  <c r="L451" i="254"/>
  <c r="K451" i="254"/>
  <c r="J451" i="254"/>
  <c r="I451" i="254"/>
  <c r="H451" i="254"/>
  <c r="G451" i="254"/>
  <c r="F451" i="254"/>
  <c r="E451" i="254"/>
  <c r="D451" i="254"/>
  <c r="C451" i="254"/>
  <c r="B451" i="254"/>
  <c r="A451" i="254"/>
  <c r="AF450" i="254"/>
  <c r="AE450" i="254"/>
  <c r="AD450" i="254"/>
  <c r="AC450" i="254"/>
  <c r="AB450" i="254"/>
  <c r="AA450" i="254"/>
  <c r="Z450" i="254"/>
  <c r="Y450" i="254"/>
  <c r="X450" i="254"/>
  <c r="W450" i="254"/>
  <c r="V450" i="254"/>
  <c r="U450" i="254"/>
  <c r="T450" i="254"/>
  <c r="S450" i="254"/>
  <c r="R450" i="254"/>
  <c r="Q450" i="254"/>
  <c r="P450" i="254"/>
  <c r="O450" i="254"/>
  <c r="N450" i="254"/>
  <c r="M450" i="254"/>
  <c r="L450" i="254"/>
  <c r="K450" i="254"/>
  <c r="J450" i="254"/>
  <c r="I450" i="254"/>
  <c r="H450" i="254"/>
  <c r="G450" i="254"/>
  <c r="F450" i="254"/>
  <c r="E450" i="254"/>
  <c r="D450" i="254"/>
  <c r="C450" i="254"/>
  <c r="B450" i="254"/>
  <c r="A450" i="254"/>
  <c r="AF449" i="254"/>
  <c r="AE449" i="254"/>
  <c r="AD449" i="254"/>
  <c r="AC449" i="254"/>
  <c r="AB449" i="254"/>
  <c r="AA449" i="254"/>
  <c r="Z449" i="254"/>
  <c r="Y449" i="254"/>
  <c r="X449" i="254"/>
  <c r="W449" i="254"/>
  <c r="V449" i="254"/>
  <c r="U449" i="254"/>
  <c r="T449" i="254"/>
  <c r="S449" i="254"/>
  <c r="R449" i="254"/>
  <c r="Q449" i="254"/>
  <c r="P449" i="254"/>
  <c r="O449" i="254"/>
  <c r="N449" i="254"/>
  <c r="M449" i="254"/>
  <c r="L449" i="254"/>
  <c r="K449" i="254"/>
  <c r="J449" i="254"/>
  <c r="I449" i="254"/>
  <c r="H449" i="254"/>
  <c r="G449" i="254"/>
  <c r="F449" i="254"/>
  <c r="E449" i="254"/>
  <c r="D449" i="254"/>
  <c r="C449" i="254"/>
  <c r="B449" i="254"/>
  <c r="A449" i="254"/>
  <c r="AF448" i="254"/>
  <c r="AE448" i="254"/>
  <c r="AD448" i="254"/>
  <c r="AC448" i="254"/>
  <c r="AB448" i="254"/>
  <c r="AA448" i="254"/>
  <c r="Z448" i="254"/>
  <c r="Y448" i="254"/>
  <c r="X448" i="254"/>
  <c r="W448" i="254"/>
  <c r="V448" i="254"/>
  <c r="U448" i="254"/>
  <c r="T448" i="254"/>
  <c r="S448" i="254"/>
  <c r="R448" i="254"/>
  <c r="Q448" i="254"/>
  <c r="P448" i="254"/>
  <c r="O448" i="254"/>
  <c r="N448" i="254"/>
  <c r="M448" i="254"/>
  <c r="L448" i="254"/>
  <c r="K448" i="254"/>
  <c r="J448" i="254"/>
  <c r="I448" i="254"/>
  <c r="H448" i="254"/>
  <c r="G448" i="254"/>
  <c r="F448" i="254"/>
  <c r="E448" i="254"/>
  <c r="D448" i="254"/>
  <c r="C448" i="254"/>
  <c r="B448" i="254"/>
  <c r="A448" i="254"/>
  <c r="AF447" i="254"/>
  <c r="AE447" i="254"/>
  <c r="AD447" i="254"/>
  <c r="AC447" i="254"/>
  <c r="AB447" i="254"/>
  <c r="AA447" i="254"/>
  <c r="Z447" i="254"/>
  <c r="Y447" i="254"/>
  <c r="X447" i="254"/>
  <c r="W447" i="254"/>
  <c r="V447" i="254"/>
  <c r="U447" i="254"/>
  <c r="T447" i="254"/>
  <c r="S447" i="254"/>
  <c r="R447" i="254"/>
  <c r="Q447" i="254"/>
  <c r="P447" i="254"/>
  <c r="O447" i="254"/>
  <c r="N447" i="254"/>
  <c r="M447" i="254"/>
  <c r="L447" i="254"/>
  <c r="K447" i="254"/>
  <c r="J447" i="254"/>
  <c r="I447" i="254"/>
  <c r="H447" i="254"/>
  <c r="G447" i="254"/>
  <c r="F447" i="254"/>
  <c r="E447" i="254"/>
  <c r="D447" i="254"/>
  <c r="C447" i="254"/>
  <c r="B447" i="254"/>
  <c r="A447" i="254"/>
  <c r="AF446" i="254"/>
  <c r="AE446" i="254"/>
  <c r="AD446" i="254"/>
  <c r="AC446" i="254"/>
  <c r="AB446" i="254"/>
  <c r="AA446" i="254"/>
  <c r="Z446" i="254"/>
  <c r="Y446" i="254"/>
  <c r="X446" i="254"/>
  <c r="W446" i="254"/>
  <c r="V446" i="254"/>
  <c r="U446" i="254"/>
  <c r="T446" i="254"/>
  <c r="S446" i="254"/>
  <c r="R446" i="254"/>
  <c r="Q446" i="254"/>
  <c r="P446" i="254"/>
  <c r="O446" i="254"/>
  <c r="N446" i="254"/>
  <c r="M446" i="254"/>
  <c r="L446" i="254"/>
  <c r="K446" i="254"/>
  <c r="J446" i="254"/>
  <c r="I446" i="254"/>
  <c r="H446" i="254"/>
  <c r="G446" i="254"/>
  <c r="F446" i="254"/>
  <c r="E446" i="254"/>
  <c r="D446" i="254"/>
  <c r="C446" i="254"/>
  <c r="B446" i="254"/>
  <c r="A446" i="254"/>
  <c r="AF445" i="254"/>
  <c r="AE445" i="254"/>
  <c r="AD445" i="254"/>
  <c r="AC445" i="254"/>
  <c r="AB445" i="254"/>
  <c r="AA445" i="254"/>
  <c r="Z445" i="254"/>
  <c r="Y445" i="254"/>
  <c r="X445" i="254"/>
  <c r="W445" i="254"/>
  <c r="V445" i="254"/>
  <c r="U445" i="254"/>
  <c r="T445" i="254"/>
  <c r="S445" i="254"/>
  <c r="R445" i="254"/>
  <c r="Q445" i="254"/>
  <c r="P445" i="254"/>
  <c r="O445" i="254"/>
  <c r="N445" i="254"/>
  <c r="M445" i="254"/>
  <c r="L445" i="254"/>
  <c r="K445" i="254"/>
  <c r="J445" i="254"/>
  <c r="I445" i="254"/>
  <c r="H445" i="254"/>
  <c r="G445" i="254"/>
  <c r="F445" i="254"/>
  <c r="E445" i="254"/>
  <c r="D445" i="254"/>
  <c r="C445" i="254"/>
  <c r="B445" i="254"/>
  <c r="A445" i="254"/>
  <c r="AF444" i="254"/>
  <c r="AE444" i="254"/>
  <c r="AD444" i="254"/>
  <c r="AC444" i="254"/>
  <c r="AB444" i="254"/>
  <c r="AA444" i="254"/>
  <c r="Z444" i="254"/>
  <c r="Y444" i="254"/>
  <c r="X444" i="254"/>
  <c r="W444" i="254"/>
  <c r="V444" i="254"/>
  <c r="U444" i="254"/>
  <c r="T444" i="254"/>
  <c r="S444" i="254"/>
  <c r="R444" i="254"/>
  <c r="Q444" i="254"/>
  <c r="P444" i="254"/>
  <c r="O444" i="254"/>
  <c r="N444" i="254"/>
  <c r="M444" i="254"/>
  <c r="L444" i="254"/>
  <c r="K444" i="254"/>
  <c r="J444" i="254"/>
  <c r="I444" i="254"/>
  <c r="H444" i="254"/>
  <c r="G444" i="254"/>
  <c r="F444" i="254"/>
  <c r="E444" i="254"/>
  <c r="D444" i="254"/>
  <c r="C444" i="254"/>
  <c r="B444" i="254"/>
  <c r="A444" i="254"/>
  <c r="AF443" i="254"/>
  <c r="AE443" i="254"/>
  <c r="AD443" i="254"/>
  <c r="AC443" i="254"/>
  <c r="AB443" i="254"/>
  <c r="AA443" i="254"/>
  <c r="Z443" i="254"/>
  <c r="Y443" i="254"/>
  <c r="X443" i="254"/>
  <c r="W443" i="254"/>
  <c r="V443" i="254"/>
  <c r="U443" i="254"/>
  <c r="T443" i="254"/>
  <c r="S443" i="254"/>
  <c r="R443" i="254"/>
  <c r="Q443" i="254"/>
  <c r="P443" i="254"/>
  <c r="O443" i="254"/>
  <c r="N443" i="254"/>
  <c r="M443" i="254"/>
  <c r="L443" i="254"/>
  <c r="K443" i="254"/>
  <c r="J443" i="254"/>
  <c r="I443" i="254"/>
  <c r="H443" i="254"/>
  <c r="G443" i="254"/>
  <c r="F443" i="254"/>
  <c r="E443" i="254"/>
  <c r="D443" i="254"/>
  <c r="C443" i="254"/>
  <c r="B443" i="254"/>
  <c r="A443" i="254"/>
  <c r="AF442" i="254"/>
  <c r="AE442" i="254"/>
  <c r="AD442" i="254"/>
  <c r="AC442" i="254"/>
  <c r="AB442" i="254"/>
  <c r="AA442" i="254"/>
  <c r="Z442" i="254"/>
  <c r="Y442" i="254"/>
  <c r="X442" i="254"/>
  <c r="W442" i="254"/>
  <c r="V442" i="254"/>
  <c r="U442" i="254"/>
  <c r="T442" i="254"/>
  <c r="S442" i="254"/>
  <c r="R442" i="254"/>
  <c r="Q442" i="254"/>
  <c r="P442" i="254"/>
  <c r="O442" i="254"/>
  <c r="N442" i="254"/>
  <c r="M442" i="254"/>
  <c r="L442" i="254"/>
  <c r="K442" i="254"/>
  <c r="J442" i="254"/>
  <c r="I442" i="254"/>
  <c r="H442" i="254"/>
  <c r="G442" i="254"/>
  <c r="F442" i="254"/>
  <c r="E442" i="254"/>
  <c r="D442" i="254"/>
  <c r="C442" i="254"/>
  <c r="B442" i="254"/>
  <c r="A442" i="254"/>
  <c r="AF441" i="254"/>
  <c r="AE441" i="254"/>
  <c r="AD441" i="254"/>
  <c r="AC441" i="254"/>
  <c r="AB441" i="254"/>
  <c r="AA441" i="254"/>
  <c r="Z441" i="254"/>
  <c r="Y441" i="254"/>
  <c r="X441" i="254"/>
  <c r="W441" i="254"/>
  <c r="V441" i="254"/>
  <c r="U441" i="254"/>
  <c r="T441" i="254"/>
  <c r="S441" i="254"/>
  <c r="R441" i="254"/>
  <c r="Q441" i="254"/>
  <c r="P441" i="254"/>
  <c r="O441" i="254"/>
  <c r="N441" i="254"/>
  <c r="M441" i="254"/>
  <c r="L441" i="254"/>
  <c r="K441" i="254"/>
  <c r="J441" i="254"/>
  <c r="I441" i="254"/>
  <c r="H441" i="254"/>
  <c r="G441" i="254"/>
  <c r="F441" i="254"/>
  <c r="E441" i="254"/>
  <c r="D441" i="254"/>
  <c r="C441" i="254"/>
  <c r="B441" i="254"/>
  <c r="A441" i="254"/>
  <c r="AF440" i="254"/>
  <c r="AE440" i="254"/>
  <c r="AD440" i="254"/>
  <c r="AC440" i="254"/>
  <c r="AB440" i="254"/>
  <c r="AA440" i="254"/>
  <c r="Z440" i="254"/>
  <c r="Y440" i="254"/>
  <c r="X440" i="254"/>
  <c r="W440" i="254"/>
  <c r="V440" i="254"/>
  <c r="U440" i="254"/>
  <c r="T440" i="254"/>
  <c r="S440" i="254"/>
  <c r="R440" i="254"/>
  <c r="Q440" i="254"/>
  <c r="P440" i="254"/>
  <c r="O440" i="254"/>
  <c r="N440" i="254"/>
  <c r="M440" i="254"/>
  <c r="L440" i="254"/>
  <c r="K440" i="254"/>
  <c r="J440" i="254"/>
  <c r="I440" i="254"/>
  <c r="H440" i="254"/>
  <c r="G440" i="254"/>
  <c r="F440" i="254"/>
  <c r="E440" i="254"/>
  <c r="D440" i="254"/>
  <c r="C440" i="254"/>
  <c r="B440" i="254"/>
  <c r="A440" i="254"/>
  <c r="AF439" i="254"/>
  <c r="AE439" i="254"/>
  <c r="AD439" i="254"/>
  <c r="AC439" i="254"/>
  <c r="AB439" i="254"/>
  <c r="AA439" i="254"/>
  <c r="Z439" i="254"/>
  <c r="Y439" i="254"/>
  <c r="X439" i="254"/>
  <c r="W439" i="254"/>
  <c r="V439" i="254"/>
  <c r="U439" i="254"/>
  <c r="T439" i="254"/>
  <c r="S439" i="254"/>
  <c r="R439" i="254"/>
  <c r="Q439" i="254"/>
  <c r="P439" i="254"/>
  <c r="O439" i="254"/>
  <c r="N439" i="254"/>
  <c r="M439" i="254"/>
  <c r="L439" i="254"/>
  <c r="K439" i="254"/>
  <c r="J439" i="254"/>
  <c r="I439" i="254"/>
  <c r="H439" i="254"/>
  <c r="G439" i="254"/>
  <c r="F439" i="254"/>
  <c r="E439" i="254"/>
  <c r="D439" i="254"/>
  <c r="C439" i="254"/>
  <c r="B439" i="254"/>
  <c r="A439" i="254"/>
  <c r="AF438" i="254"/>
  <c r="AE438" i="254"/>
  <c r="AD438" i="254"/>
  <c r="AC438" i="254"/>
  <c r="AB438" i="254"/>
  <c r="AA438" i="254"/>
  <c r="Z438" i="254"/>
  <c r="Y438" i="254"/>
  <c r="X438" i="254"/>
  <c r="W438" i="254"/>
  <c r="V438" i="254"/>
  <c r="U438" i="254"/>
  <c r="T438" i="254"/>
  <c r="S438" i="254"/>
  <c r="R438" i="254"/>
  <c r="Q438" i="254"/>
  <c r="P438" i="254"/>
  <c r="O438" i="254"/>
  <c r="N438" i="254"/>
  <c r="M438" i="254"/>
  <c r="L438" i="254"/>
  <c r="K438" i="254"/>
  <c r="J438" i="254"/>
  <c r="I438" i="254"/>
  <c r="H438" i="254"/>
  <c r="G438" i="254"/>
  <c r="F438" i="254"/>
  <c r="E438" i="254"/>
  <c r="D438" i="254"/>
  <c r="C438" i="254"/>
  <c r="B438" i="254"/>
  <c r="A438" i="254"/>
  <c r="AF437" i="254"/>
  <c r="AE437" i="254"/>
  <c r="AD437" i="254"/>
  <c r="AC437" i="254"/>
  <c r="AB437" i="254"/>
  <c r="AA437" i="254"/>
  <c r="Z437" i="254"/>
  <c r="Y437" i="254"/>
  <c r="X437" i="254"/>
  <c r="W437" i="254"/>
  <c r="V437" i="254"/>
  <c r="U437" i="254"/>
  <c r="T437" i="254"/>
  <c r="S437" i="254"/>
  <c r="R437" i="254"/>
  <c r="Q437" i="254"/>
  <c r="P437" i="254"/>
  <c r="O437" i="254"/>
  <c r="N437" i="254"/>
  <c r="M437" i="254"/>
  <c r="L437" i="254"/>
  <c r="K437" i="254"/>
  <c r="J437" i="254"/>
  <c r="I437" i="254"/>
  <c r="H437" i="254"/>
  <c r="G437" i="254"/>
  <c r="F437" i="254"/>
  <c r="E437" i="254"/>
  <c r="D437" i="254"/>
  <c r="C437" i="254"/>
  <c r="B437" i="254"/>
  <c r="A437" i="254"/>
  <c r="AF436" i="254"/>
  <c r="AE436" i="254"/>
  <c r="AD436" i="254"/>
  <c r="AC436" i="254"/>
  <c r="AB436" i="254"/>
  <c r="AA436" i="254"/>
  <c r="Z436" i="254"/>
  <c r="Y436" i="254"/>
  <c r="X436" i="254"/>
  <c r="W436" i="254"/>
  <c r="V436" i="254"/>
  <c r="U436" i="254"/>
  <c r="T436" i="254"/>
  <c r="S436" i="254"/>
  <c r="R436" i="254"/>
  <c r="Q436" i="254"/>
  <c r="P436" i="254"/>
  <c r="O436" i="254"/>
  <c r="N436" i="254"/>
  <c r="M436" i="254"/>
  <c r="L436" i="254"/>
  <c r="K436" i="254"/>
  <c r="J436" i="254"/>
  <c r="I436" i="254"/>
  <c r="H436" i="254"/>
  <c r="G436" i="254"/>
  <c r="F436" i="254"/>
  <c r="E436" i="254"/>
  <c r="D436" i="254"/>
  <c r="C436" i="254"/>
  <c r="B436" i="254"/>
  <c r="A436" i="254"/>
  <c r="AF435" i="254"/>
  <c r="AE435" i="254"/>
  <c r="AD435" i="254"/>
  <c r="AC435" i="254"/>
  <c r="AB435" i="254"/>
  <c r="AA435" i="254"/>
  <c r="Z435" i="254"/>
  <c r="Y435" i="254"/>
  <c r="X435" i="254"/>
  <c r="W435" i="254"/>
  <c r="V435" i="254"/>
  <c r="U435" i="254"/>
  <c r="T435" i="254"/>
  <c r="S435" i="254"/>
  <c r="R435" i="254"/>
  <c r="Q435" i="254"/>
  <c r="P435" i="254"/>
  <c r="O435" i="254"/>
  <c r="N435" i="254"/>
  <c r="M435" i="254"/>
  <c r="L435" i="254"/>
  <c r="K435" i="254"/>
  <c r="J435" i="254"/>
  <c r="I435" i="254"/>
  <c r="H435" i="254"/>
  <c r="G435" i="254"/>
  <c r="F435" i="254"/>
  <c r="E435" i="254"/>
  <c r="D435" i="254"/>
  <c r="C435" i="254"/>
  <c r="B435" i="254"/>
  <c r="A435" i="254"/>
  <c r="AF434" i="254"/>
  <c r="AE434" i="254"/>
  <c r="AD434" i="254"/>
  <c r="AC434" i="254"/>
  <c r="AB434" i="254"/>
  <c r="AA434" i="254"/>
  <c r="Z434" i="254"/>
  <c r="Y434" i="254"/>
  <c r="X434" i="254"/>
  <c r="W434" i="254"/>
  <c r="V434" i="254"/>
  <c r="U434" i="254"/>
  <c r="T434" i="254"/>
  <c r="S434" i="254"/>
  <c r="R434" i="254"/>
  <c r="Q434" i="254"/>
  <c r="P434" i="254"/>
  <c r="O434" i="254"/>
  <c r="N434" i="254"/>
  <c r="M434" i="254"/>
  <c r="L434" i="254"/>
  <c r="K434" i="254"/>
  <c r="J434" i="254"/>
  <c r="I434" i="254"/>
  <c r="H434" i="254"/>
  <c r="G434" i="254"/>
  <c r="F434" i="254"/>
  <c r="E434" i="254"/>
  <c r="D434" i="254"/>
  <c r="C434" i="254"/>
  <c r="B434" i="254"/>
  <c r="A434" i="254"/>
  <c r="AF433" i="254"/>
  <c r="AE433" i="254"/>
  <c r="AD433" i="254"/>
  <c r="AC433" i="254"/>
  <c r="AB433" i="254"/>
  <c r="AA433" i="254"/>
  <c r="Z433" i="254"/>
  <c r="Y433" i="254"/>
  <c r="X433" i="254"/>
  <c r="W433" i="254"/>
  <c r="V433" i="254"/>
  <c r="U433" i="254"/>
  <c r="T433" i="254"/>
  <c r="S433" i="254"/>
  <c r="R433" i="254"/>
  <c r="Q433" i="254"/>
  <c r="P433" i="254"/>
  <c r="O433" i="254"/>
  <c r="N433" i="254"/>
  <c r="M433" i="254"/>
  <c r="L433" i="254"/>
  <c r="K433" i="254"/>
  <c r="J433" i="254"/>
  <c r="I433" i="254"/>
  <c r="H433" i="254"/>
  <c r="G433" i="254"/>
  <c r="F433" i="254"/>
  <c r="E433" i="254"/>
  <c r="D433" i="254"/>
  <c r="C433" i="254"/>
  <c r="B433" i="254"/>
  <c r="A433" i="254"/>
  <c r="AF432" i="254"/>
  <c r="AE432" i="254"/>
  <c r="AD432" i="254"/>
  <c r="AC432" i="254"/>
  <c r="AB432" i="254"/>
  <c r="AA432" i="254"/>
  <c r="Z432" i="254"/>
  <c r="Y432" i="254"/>
  <c r="X432" i="254"/>
  <c r="W432" i="254"/>
  <c r="V432" i="254"/>
  <c r="U432" i="254"/>
  <c r="T432" i="254"/>
  <c r="S432" i="254"/>
  <c r="R432" i="254"/>
  <c r="Q432" i="254"/>
  <c r="P432" i="254"/>
  <c r="O432" i="254"/>
  <c r="N432" i="254"/>
  <c r="M432" i="254"/>
  <c r="L432" i="254"/>
  <c r="K432" i="254"/>
  <c r="J432" i="254"/>
  <c r="I432" i="254"/>
  <c r="H432" i="254"/>
  <c r="G432" i="254"/>
  <c r="F432" i="254"/>
  <c r="E432" i="254"/>
  <c r="D432" i="254"/>
  <c r="C432" i="254"/>
  <c r="B432" i="254"/>
  <c r="A432" i="254"/>
  <c r="AF431" i="254"/>
  <c r="AE431" i="254"/>
  <c r="AD431" i="254"/>
  <c r="AC431" i="254"/>
  <c r="AB431" i="254"/>
  <c r="AA431" i="254"/>
  <c r="Z431" i="254"/>
  <c r="Y431" i="254"/>
  <c r="X431" i="254"/>
  <c r="W431" i="254"/>
  <c r="V431" i="254"/>
  <c r="U431" i="254"/>
  <c r="T431" i="254"/>
  <c r="S431" i="254"/>
  <c r="R431" i="254"/>
  <c r="Q431" i="254"/>
  <c r="P431" i="254"/>
  <c r="O431" i="254"/>
  <c r="N431" i="254"/>
  <c r="M431" i="254"/>
  <c r="L431" i="254"/>
  <c r="K431" i="254"/>
  <c r="J431" i="254"/>
  <c r="I431" i="254"/>
  <c r="H431" i="254"/>
  <c r="G431" i="254"/>
  <c r="F431" i="254"/>
  <c r="E431" i="254"/>
  <c r="D431" i="254"/>
  <c r="C431" i="254"/>
  <c r="B431" i="254"/>
  <c r="A431" i="254"/>
  <c r="AF430" i="254"/>
  <c r="AE430" i="254"/>
  <c r="AD430" i="254"/>
  <c r="AC430" i="254"/>
  <c r="AB430" i="254"/>
  <c r="AA430" i="254"/>
  <c r="Z430" i="254"/>
  <c r="Y430" i="254"/>
  <c r="X430" i="254"/>
  <c r="W430" i="254"/>
  <c r="V430" i="254"/>
  <c r="U430" i="254"/>
  <c r="T430" i="254"/>
  <c r="S430" i="254"/>
  <c r="R430" i="254"/>
  <c r="Q430" i="254"/>
  <c r="P430" i="254"/>
  <c r="O430" i="254"/>
  <c r="N430" i="254"/>
  <c r="M430" i="254"/>
  <c r="L430" i="254"/>
  <c r="K430" i="254"/>
  <c r="J430" i="254"/>
  <c r="I430" i="254"/>
  <c r="H430" i="254"/>
  <c r="G430" i="254"/>
  <c r="F430" i="254"/>
  <c r="E430" i="254"/>
  <c r="D430" i="254"/>
  <c r="C430" i="254"/>
  <c r="B430" i="254"/>
  <c r="A430" i="254"/>
  <c r="AF429" i="254"/>
  <c r="AE429" i="254"/>
  <c r="AD429" i="254"/>
  <c r="AC429" i="254"/>
  <c r="AB429" i="254"/>
  <c r="AA429" i="254"/>
  <c r="Z429" i="254"/>
  <c r="Y429" i="254"/>
  <c r="X429" i="254"/>
  <c r="W429" i="254"/>
  <c r="V429" i="254"/>
  <c r="U429" i="254"/>
  <c r="T429" i="254"/>
  <c r="S429" i="254"/>
  <c r="R429" i="254"/>
  <c r="Q429" i="254"/>
  <c r="P429" i="254"/>
  <c r="O429" i="254"/>
  <c r="N429" i="254"/>
  <c r="M429" i="254"/>
  <c r="L429" i="254"/>
  <c r="K429" i="254"/>
  <c r="J429" i="254"/>
  <c r="I429" i="254"/>
  <c r="H429" i="254"/>
  <c r="G429" i="254"/>
  <c r="F429" i="254"/>
  <c r="E429" i="254"/>
  <c r="D429" i="254"/>
  <c r="C429" i="254"/>
  <c r="B429" i="254"/>
  <c r="A429" i="254"/>
  <c r="AF428" i="254"/>
  <c r="AE428" i="254"/>
  <c r="AD428" i="254"/>
  <c r="AC428" i="254"/>
  <c r="AB428" i="254"/>
  <c r="AA428" i="254"/>
  <c r="Z428" i="254"/>
  <c r="Y428" i="254"/>
  <c r="X428" i="254"/>
  <c r="W428" i="254"/>
  <c r="V428" i="254"/>
  <c r="U428" i="254"/>
  <c r="T428" i="254"/>
  <c r="S428" i="254"/>
  <c r="R428" i="254"/>
  <c r="Q428" i="254"/>
  <c r="P428" i="254"/>
  <c r="O428" i="254"/>
  <c r="N428" i="254"/>
  <c r="M428" i="254"/>
  <c r="L428" i="254"/>
  <c r="K428" i="254"/>
  <c r="J428" i="254"/>
  <c r="I428" i="254"/>
  <c r="H428" i="254"/>
  <c r="G428" i="254"/>
  <c r="F428" i="254"/>
  <c r="E428" i="254"/>
  <c r="D428" i="254"/>
  <c r="C428" i="254"/>
  <c r="B428" i="254"/>
  <c r="A428" i="254"/>
  <c r="AF427" i="254"/>
  <c r="AE427" i="254"/>
  <c r="AD427" i="254"/>
  <c r="AC427" i="254"/>
  <c r="AB427" i="254"/>
  <c r="AA427" i="254"/>
  <c r="Z427" i="254"/>
  <c r="Y427" i="254"/>
  <c r="X427" i="254"/>
  <c r="W427" i="254"/>
  <c r="V427" i="254"/>
  <c r="U427" i="254"/>
  <c r="T427" i="254"/>
  <c r="S427" i="254"/>
  <c r="R427" i="254"/>
  <c r="Q427" i="254"/>
  <c r="P427" i="254"/>
  <c r="O427" i="254"/>
  <c r="N427" i="254"/>
  <c r="M427" i="254"/>
  <c r="L427" i="254"/>
  <c r="K427" i="254"/>
  <c r="J427" i="254"/>
  <c r="I427" i="254"/>
  <c r="H427" i="254"/>
  <c r="G427" i="254"/>
  <c r="F427" i="254"/>
  <c r="E427" i="254"/>
  <c r="D427" i="254"/>
  <c r="C427" i="254"/>
  <c r="B427" i="254"/>
  <c r="A427" i="254"/>
  <c r="AF426" i="254"/>
  <c r="AE426" i="254"/>
  <c r="AD426" i="254"/>
  <c r="AC426" i="254"/>
  <c r="AB426" i="254"/>
  <c r="AA426" i="254"/>
  <c r="Z426" i="254"/>
  <c r="Y426" i="254"/>
  <c r="X426" i="254"/>
  <c r="W426" i="254"/>
  <c r="V426" i="254"/>
  <c r="U426" i="254"/>
  <c r="T426" i="254"/>
  <c r="S426" i="254"/>
  <c r="R426" i="254"/>
  <c r="Q426" i="254"/>
  <c r="P426" i="254"/>
  <c r="O426" i="254"/>
  <c r="N426" i="254"/>
  <c r="M426" i="254"/>
  <c r="L426" i="254"/>
  <c r="K426" i="254"/>
  <c r="J426" i="254"/>
  <c r="I426" i="254"/>
  <c r="H426" i="254"/>
  <c r="G426" i="254"/>
  <c r="F426" i="254"/>
  <c r="E426" i="254"/>
  <c r="D426" i="254"/>
  <c r="C426" i="254"/>
  <c r="B426" i="254"/>
  <c r="A426" i="254"/>
  <c r="AF425" i="254"/>
  <c r="AE425" i="254"/>
  <c r="AD425" i="254"/>
  <c r="AC425" i="254"/>
  <c r="AB425" i="254"/>
  <c r="AA425" i="254"/>
  <c r="Z425" i="254"/>
  <c r="Y425" i="254"/>
  <c r="X425" i="254"/>
  <c r="W425" i="254"/>
  <c r="V425" i="254"/>
  <c r="U425" i="254"/>
  <c r="T425" i="254"/>
  <c r="S425" i="254"/>
  <c r="R425" i="254"/>
  <c r="Q425" i="254"/>
  <c r="P425" i="254"/>
  <c r="O425" i="254"/>
  <c r="N425" i="254"/>
  <c r="M425" i="254"/>
  <c r="L425" i="254"/>
  <c r="K425" i="254"/>
  <c r="J425" i="254"/>
  <c r="I425" i="254"/>
  <c r="H425" i="254"/>
  <c r="G425" i="254"/>
  <c r="F425" i="254"/>
  <c r="E425" i="254"/>
  <c r="D425" i="254"/>
  <c r="C425" i="254"/>
  <c r="B425" i="254"/>
  <c r="A425" i="254"/>
  <c r="AF424" i="254"/>
  <c r="AE424" i="254"/>
  <c r="AD424" i="254"/>
  <c r="AC424" i="254"/>
  <c r="AB424" i="254"/>
  <c r="AA424" i="254"/>
  <c r="Z424" i="254"/>
  <c r="Y424" i="254"/>
  <c r="X424" i="254"/>
  <c r="W424" i="254"/>
  <c r="V424" i="254"/>
  <c r="U424" i="254"/>
  <c r="T424" i="254"/>
  <c r="S424" i="254"/>
  <c r="R424" i="254"/>
  <c r="Q424" i="254"/>
  <c r="P424" i="254"/>
  <c r="O424" i="254"/>
  <c r="N424" i="254"/>
  <c r="M424" i="254"/>
  <c r="L424" i="254"/>
  <c r="K424" i="254"/>
  <c r="J424" i="254"/>
  <c r="I424" i="254"/>
  <c r="H424" i="254"/>
  <c r="G424" i="254"/>
  <c r="F424" i="254"/>
  <c r="E424" i="254"/>
  <c r="D424" i="254"/>
  <c r="C424" i="254"/>
  <c r="B424" i="254"/>
  <c r="A424" i="254"/>
  <c r="AF423" i="254"/>
  <c r="AE423" i="254"/>
  <c r="AD423" i="254"/>
  <c r="AC423" i="254"/>
  <c r="AB423" i="254"/>
  <c r="AA423" i="254"/>
  <c r="Z423" i="254"/>
  <c r="Y423" i="254"/>
  <c r="X423" i="254"/>
  <c r="W423" i="254"/>
  <c r="V423" i="254"/>
  <c r="U423" i="254"/>
  <c r="T423" i="254"/>
  <c r="S423" i="254"/>
  <c r="R423" i="254"/>
  <c r="Q423" i="254"/>
  <c r="P423" i="254"/>
  <c r="O423" i="254"/>
  <c r="N423" i="254"/>
  <c r="M423" i="254"/>
  <c r="L423" i="254"/>
  <c r="K423" i="254"/>
  <c r="J423" i="254"/>
  <c r="I423" i="254"/>
  <c r="H423" i="254"/>
  <c r="G423" i="254"/>
  <c r="F423" i="254"/>
  <c r="E423" i="254"/>
  <c r="D423" i="254"/>
  <c r="C423" i="254"/>
  <c r="B423" i="254"/>
  <c r="A423" i="254"/>
  <c r="AF422" i="254"/>
  <c r="AE422" i="254"/>
  <c r="AD422" i="254"/>
  <c r="AC422" i="254"/>
  <c r="AB422" i="254"/>
  <c r="AA422" i="254"/>
  <c r="Z422" i="254"/>
  <c r="Y422" i="254"/>
  <c r="X422" i="254"/>
  <c r="W422" i="254"/>
  <c r="V422" i="254"/>
  <c r="U422" i="254"/>
  <c r="T422" i="254"/>
  <c r="S422" i="254"/>
  <c r="R422" i="254"/>
  <c r="Q422" i="254"/>
  <c r="P422" i="254"/>
  <c r="O422" i="254"/>
  <c r="N422" i="254"/>
  <c r="M422" i="254"/>
  <c r="L422" i="254"/>
  <c r="K422" i="254"/>
  <c r="J422" i="254"/>
  <c r="I422" i="254"/>
  <c r="H422" i="254"/>
  <c r="G422" i="254"/>
  <c r="F422" i="254"/>
  <c r="E422" i="254"/>
  <c r="D422" i="254"/>
  <c r="C422" i="254"/>
  <c r="B422" i="254"/>
  <c r="A422" i="254"/>
  <c r="AF421" i="254"/>
  <c r="AE421" i="254"/>
  <c r="AD421" i="254"/>
  <c r="AC421" i="254"/>
  <c r="AB421" i="254"/>
  <c r="AA421" i="254"/>
  <c r="Z421" i="254"/>
  <c r="Y421" i="254"/>
  <c r="X421" i="254"/>
  <c r="W421" i="254"/>
  <c r="V421" i="254"/>
  <c r="U421" i="254"/>
  <c r="T421" i="254"/>
  <c r="S421" i="254"/>
  <c r="R421" i="254"/>
  <c r="Q421" i="254"/>
  <c r="P421" i="254"/>
  <c r="O421" i="254"/>
  <c r="N421" i="254"/>
  <c r="M421" i="254"/>
  <c r="L421" i="254"/>
  <c r="K421" i="254"/>
  <c r="J421" i="254"/>
  <c r="I421" i="254"/>
  <c r="H421" i="254"/>
  <c r="G421" i="254"/>
  <c r="F421" i="254"/>
  <c r="E421" i="254"/>
  <c r="D421" i="254"/>
  <c r="C421" i="254"/>
  <c r="B421" i="254"/>
  <c r="A421" i="254"/>
  <c r="AF420" i="254"/>
  <c r="AE420" i="254"/>
  <c r="AD420" i="254"/>
  <c r="AC420" i="254"/>
  <c r="AB420" i="254"/>
  <c r="AA420" i="254"/>
  <c r="Z420" i="254"/>
  <c r="Y420" i="254"/>
  <c r="X420" i="254"/>
  <c r="W420" i="254"/>
  <c r="V420" i="254"/>
  <c r="U420" i="254"/>
  <c r="T420" i="254"/>
  <c r="S420" i="254"/>
  <c r="R420" i="254"/>
  <c r="Q420" i="254"/>
  <c r="P420" i="254"/>
  <c r="O420" i="254"/>
  <c r="N420" i="254"/>
  <c r="M420" i="254"/>
  <c r="L420" i="254"/>
  <c r="K420" i="254"/>
  <c r="J420" i="254"/>
  <c r="I420" i="254"/>
  <c r="H420" i="254"/>
  <c r="G420" i="254"/>
  <c r="F420" i="254"/>
  <c r="E420" i="254"/>
  <c r="D420" i="254"/>
  <c r="C420" i="254"/>
  <c r="B420" i="254"/>
  <c r="A420" i="254"/>
  <c r="AF419" i="254"/>
  <c r="AE419" i="254"/>
  <c r="AD419" i="254"/>
  <c r="AC419" i="254"/>
  <c r="AB419" i="254"/>
  <c r="AA419" i="254"/>
  <c r="Z419" i="254"/>
  <c r="Y419" i="254"/>
  <c r="X419" i="254"/>
  <c r="W419" i="254"/>
  <c r="V419" i="254"/>
  <c r="U419" i="254"/>
  <c r="T419" i="254"/>
  <c r="S419" i="254"/>
  <c r="R419" i="254"/>
  <c r="Q419" i="254"/>
  <c r="P419" i="254"/>
  <c r="O419" i="254"/>
  <c r="N419" i="254"/>
  <c r="M419" i="254"/>
  <c r="L419" i="254"/>
  <c r="K419" i="254"/>
  <c r="J419" i="254"/>
  <c r="I419" i="254"/>
  <c r="H419" i="254"/>
  <c r="G419" i="254"/>
  <c r="F419" i="254"/>
  <c r="E419" i="254"/>
  <c r="D419" i="254"/>
  <c r="C419" i="254"/>
  <c r="B419" i="254"/>
  <c r="A419" i="254"/>
  <c r="AF418" i="254"/>
  <c r="AE418" i="254"/>
  <c r="AD418" i="254"/>
  <c r="AC418" i="254"/>
  <c r="AB418" i="254"/>
  <c r="AA418" i="254"/>
  <c r="Z418" i="254"/>
  <c r="Y418" i="254"/>
  <c r="X418" i="254"/>
  <c r="W418" i="254"/>
  <c r="V418" i="254"/>
  <c r="U418" i="254"/>
  <c r="T418" i="254"/>
  <c r="S418" i="254"/>
  <c r="R418" i="254"/>
  <c r="Q418" i="254"/>
  <c r="P418" i="254"/>
  <c r="O418" i="254"/>
  <c r="N418" i="254"/>
  <c r="M418" i="254"/>
  <c r="L418" i="254"/>
  <c r="K418" i="254"/>
  <c r="J418" i="254"/>
  <c r="I418" i="254"/>
  <c r="H418" i="254"/>
  <c r="G418" i="254"/>
  <c r="F418" i="254"/>
  <c r="E418" i="254"/>
  <c r="D418" i="254"/>
  <c r="C418" i="254"/>
  <c r="B418" i="254"/>
  <c r="A418" i="254"/>
  <c r="AF417" i="254"/>
  <c r="AE417" i="254"/>
  <c r="AD417" i="254"/>
  <c r="AC417" i="254"/>
  <c r="AB417" i="254"/>
  <c r="AA417" i="254"/>
  <c r="Z417" i="254"/>
  <c r="Y417" i="254"/>
  <c r="X417" i="254"/>
  <c r="W417" i="254"/>
  <c r="V417" i="254"/>
  <c r="U417" i="254"/>
  <c r="T417" i="254"/>
  <c r="S417" i="254"/>
  <c r="R417" i="254"/>
  <c r="Q417" i="254"/>
  <c r="P417" i="254"/>
  <c r="O417" i="254"/>
  <c r="N417" i="254"/>
  <c r="M417" i="254"/>
  <c r="L417" i="254"/>
  <c r="K417" i="254"/>
  <c r="J417" i="254"/>
  <c r="I417" i="254"/>
  <c r="H417" i="254"/>
  <c r="G417" i="254"/>
  <c r="F417" i="254"/>
  <c r="E417" i="254"/>
  <c r="D417" i="254"/>
  <c r="C417" i="254"/>
  <c r="B417" i="254"/>
  <c r="A417" i="254"/>
  <c r="AF416" i="254"/>
  <c r="AE416" i="254"/>
  <c r="AD416" i="254"/>
  <c r="AC416" i="254"/>
  <c r="AB416" i="254"/>
  <c r="AA416" i="254"/>
  <c r="Z416" i="254"/>
  <c r="Y416" i="254"/>
  <c r="X416" i="254"/>
  <c r="W416" i="254"/>
  <c r="V416" i="254"/>
  <c r="U416" i="254"/>
  <c r="T416" i="254"/>
  <c r="S416" i="254"/>
  <c r="R416" i="254"/>
  <c r="Q416" i="254"/>
  <c r="P416" i="254"/>
  <c r="O416" i="254"/>
  <c r="N416" i="254"/>
  <c r="M416" i="254"/>
  <c r="L416" i="254"/>
  <c r="K416" i="254"/>
  <c r="J416" i="254"/>
  <c r="I416" i="254"/>
  <c r="H416" i="254"/>
  <c r="G416" i="254"/>
  <c r="F416" i="254"/>
  <c r="E416" i="254"/>
  <c r="D416" i="254"/>
  <c r="C416" i="254"/>
  <c r="B416" i="254"/>
  <c r="A416" i="254"/>
  <c r="AF415" i="254"/>
  <c r="AE415" i="254"/>
  <c r="AD415" i="254"/>
  <c r="AC415" i="254"/>
  <c r="AB415" i="254"/>
  <c r="AA415" i="254"/>
  <c r="Z415" i="254"/>
  <c r="Y415" i="254"/>
  <c r="X415" i="254"/>
  <c r="W415" i="254"/>
  <c r="V415" i="254"/>
  <c r="U415" i="254"/>
  <c r="T415" i="254"/>
  <c r="S415" i="254"/>
  <c r="R415" i="254"/>
  <c r="Q415" i="254"/>
  <c r="P415" i="254"/>
  <c r="O415" i="254"/>
  <c r="N415" i="254"/>
  <c r="M415" i="254"/>
  <c r="L415" i="254"/>
  <c r="K415" i="254"/>
  <c r="J415" i="254"/>
  <c r="I415" i="254"/>
  <c r="H415" i="254"/>
  <c r="G415" i="254"/>
  <c r="F415" i="254"/>
  <c r="E415" i="254"/>
  <c r="D415" i="254"/>
  <c r="C415" i="254"/>
  <c r="B415" i="254"/>
  <c r="A415" i="254"/>
  <c r="AF414" i="254"/>
  <c r="AE414" i="254"/>
  <c r="AD414" i="254"/>
  <c r="AC414" i="254"/>
  <c r="AB414" i="254"/>
  <c r="AA414" i="254"/>
  <c r="Z414" i="254"/>
  <c r="Y414" i="254"/>
  <c r="X414" i="254"/>
  <c r="W414" i="254"/>
  <c r="V414" i="254"/>
  <c r="U414" i="254"/>
  <c r="T414" i="254"/>
  <c r="S414" i="254"/>
  <c r="R414" i="254"/>
  <c r="Q414" i="254"/>
  <c r="P414" i="254"/>
  <c r="O414" i="254"/>
  <c r="N414" i="254"/>
  <c r="M414" i="254"/>
  <c r="L414" i="254"/>
  <c r="K414" i="254"/>
  <c r="J414" i="254"/>
  <c r="I414" i="254"/>
  <c r="H414" i="254"/>
  <c r="G414" i="254"/>
  <c r="F414" i="254"/>
  <c r="E414" i="254"/>
  <c r="D414" i="254"/>
  <c r="C414" i="254"/>
  <c r="B414" i="254"/>
  <c r="A414" i="254"/>
  <c r="AF413" i="254"/>
  <c r="AE413" i="254"/>
  <c r="AD413" i="254"/>
  <c r="AC413" i="254"/>
  <c r="AB413" i="254"/>
  <c r="AA413" i="254"/>
  <c r="Z413" i="254"/>
  <c r="Y413" i="254"/>
  <c r="X413" i="254"/>
  <c r="W413" i="254"/>
  <c r="V413" i="254"/>
  <c r="U413" i="254"/>
  <c r="T413" i="254"/>
  <c r="S413" i="254"/>
  <c r="R413" i="254"/>
  <c r="Q413" i="254"/>
  <c r="P413" i="254"/>
  <c r="O413" i="254"/>
  <c r="N413" i="254"/>
  <c r="M413" i="254"/>
  <c r="L413" i="254"/>
  <c r="K413" i="254"/>
  <c r="J413" i="254"/>
  <c r="I413" i="254"/>
  <c r="H413" i="254"/>
  <c r="G413" i="254"/>
  <c r="F413" i="254"/>
  <c r="E413" i="254"/>
  <c r="D413" i="254"/>
  <c r="C413" i="254"/>
  <c r="B413" i="254"/>
  <c r="A413" i="254"/>
  <c r="AF412" i="254"/>
  <c r="AE412" i="254"/>
  <c r="AD412" i="254"/>
  <c r="AC412" i="254"/>
  <c r="AB412" i="254"/>
  <c r="AA412" i="254"/>
  <c r="Z412" i="254"/>
  <c r="Y412" i="254"/>
  <c r="X412" i="254"/>
  <c r="W412" i="254"/>
  <c r="V412" i="254"/>
  <c r="U412" i="254"/>
  <c r="T412" i="254"/>
  <c r="S412" i="254"/>
  <c r="R412" i="254"/>
  <c r="Q412" i="254"/>
  <c r="P412" i="254"/>
  <c r="O412" i="254"/>
  <c r="N412" i="254"/>
  <c r="M412" i="254"/>
  <c r="L412" i="254"/>
  <c r="K412" i="254"/>
  <c r="J412" i="254"/>
  <c r="I412" i="254"/>
  <c r="H412" i="254"/>
  <c r="G412" i="254"/>
  <c r="F412" i="254"/>
  <c r="E412" i="254"/>
  <c r="D412" i="254"/>
  <c r="C412" i="254"/>
  <c r="B412" i="254"/>
  <c r="A412" i="254"/>
  <c r="AF411" i="254"/>
  <c r="AE411" i="254"/>
  <c r="AD411" i="254"/>
  <c r="AC411" i="254"/>
  <c r="AB411" i="254"/>
  <c r="AA411" i="254"/>
  <c r="Z411" i="254"/>
  <c r="Y411" i="254"/>
  <c r="X411" i="254"/>
  <c r="W411" i="254"/>
  <c r="V411" i="254"/>
  <c r="U411" i="254"/>
  <c r="T411" i="254"/>
  <c r="S411" i="254"/>
  <c r="R411" i="254"/>
  <c r="Q411" i="254"/>
  <c r="P411" i="254"/>
  <c r="O411" i="254"/>
  <c r="N411" i="254"/>
  <c r="M411" i="254"/>
  <c r="L411" i="254"/>
  <c r="K411" i="254"/>
  <c r="J411" i="254"/>
  <c r="I411" i="254"/>
  <c r="H411" i="254"/>
  <c r="G411" i="254"/>
  <c r="F411" i="254"/>
  <c r="E411" i="254"/>
  <c r="D411" i="254"/>
  <c r="C411" i="254"/>
  <c r="B411" i="254"/>
  <c r="A411" i="254"/>
  <c r="AF410" i="254"/>
  <c r="AE410" i="254"/>
  <c r="AD410" i="254"/>
  <c r="AC410" i="254"/>
  <c r="AB410" i="254"/>
  <c r="AA410" i="254"/>
  <c r="Z410" i="254"/>
  <c r="Y410" i="254"/>
  <c r="X410" i="254"/>
  <c r="W410" i="254"/>
  <c r="V410" i="254"/>
  <c r="U410" i="254"/>
  <c r="T410" i="254"/>
  <c r="S410" i="254"/>
  <c r="R410" i="254"/>
  <c r="Q410" i="254"/>
  <c r="P410" i="254"/>
  <c r="O410" i="254"/>
  <c r="N410" i="254"/>
  <c r="M410" i="254"/>
  <c r="L410" i="254"/>
  <c r="K410" i="254"/>
  <c r="J410" i="254"/>
  <c r="I410" i="254"/>
  <c r="H410" i="254"/>
  <c r="G410" i="254"/>
  <c r="F410" i="254"/>
  <c r="E410" i="254"/>
  <c r="D410" i="254"/>
  <c r="C410" i="254"/>
  <c r="B410" i="254"/>
  <c r="A410" i="254"/>
  <c r="AF409" i="254"/>
  <c r="AE409" i="254"/>
  <c r="AD409" i="254"/>
  <c r="AC409" i="254"/>
  <c r="AB409" i="254"/>
  <c r="AA409" i="254"/>
  <c r="Z409" i="254"/>
  <c r="Y409" i="254"/>
  <c r="X409" i="254"/>
  <c r="W409" i="254"/>
  <c r="V409" i="254"/>
  <c r="U409" i="254"/>
  <c r="T409" i="254"/>
  <c r="S409" i="254"/>
  <c r="R409" i="254"/>
  <c r="Q409" i="254"/>
  <c r="P409" i="254"/>
  <c r="O409" i="254"/>
  <c r="N409" i="254"/>
  <c r="M409" i="254"/>
  <c r="L409" i="254"/>
  <c r="K409" i="254"/>
  <c r="J409" i="254"/>
  <c r="I409" i="254"/>
  <c r="H409" i="254"/>
  <c r="G409" i="254"/>
  <c r="F409" i="254"/>
  <c r="E409" i="254"/>
  <c r="D409" i="254"/>
  <c r="C409" i="254"/>
  <c r="B409" i="254"/>
  <c r="A409" i="254"/>
  <c r="AF408" i="254"/>
  <c r="AE408" i="254"/>
  <c r="AD408" i="254"/>
  <c r="AC408" i="254"/>
  <c r="AB408" i="254"/>
  <c r="AA408" i="254"/>
  <c r="Z408" i="254"/>
  <c r="Y408" i="254"/>
  <c r="X408" i="254"/>
  <c r="W408" i="254"/>
  <c r="V408" i="254"/>
  <c r="U408" i="254"/>
  <c r="T408" i="254"/>
  <c r="S408" i="254"/>
  <c r="R408" i="254"/>
  <c r="Q408" i="254"/>
  <c r="P408" i="254"/>
  <c r="O408" i="254"/>
  <c r="N408" i="254"/>
  <c r="M408" i="254"/>
  <c r="L408" i="254"/>
  <c r="K408" i="254"/>
  <c r="J408" i="254"/>
  <c r="I408" i="254"/>
  <c r="H408" i="254"/>
  <c r="G408" i="254"/>
  <c r="F408" i="254"/>
  <c r="E408" i="254"/>
  <c r="D408" i="254"/>
  <c r="C408" i="254"/>
  <c r="B408" i="254"/>
  <c r="A408" i="254"/>
  <c r="AF407" i="254"/>
  <c r="AE407" i="254"/>
  <c r="AD407" i="254"/>
  <c r="AC407" i="254"/>
  <c r="AB407" i="254"/>
  <c r="AA407" i="254"/>
  <c r="Z407" i="254"/>
  <c r="Y407" i="254"/>
  <c r="X407" i="254"/>
  <c r="W407" i="254"/>
  <c r="V407" i="254"/>
  <c r="U407" i="254"/>
  <c r="T407" i="254"/>
  <c r="S407" i="254"/>
  <c r="R407" i="254"/>
  <c r="Q407" i="254"/>
  <c r="P407" i="254"/>
  <c r="O407" i="254"/>
  <c r="N407" i="254"/>
  <c r="M407" i="254"/>
  <c r="L407" i="254"/>
  <c r="K407" i="254"/>
  <c r="J407" i="254"/>
  <c r="I407" i="254"/>
  <c r="H407" i="254"/>
  <c r="G407" i="254"/>
  <c r="F407" i="254"/>
  <c r="E407" i="254"/>
  <c r="D407" i="254"/>
  <c r="C407" i="254"/>
  <c r="B407" i="254"/>
  <c r="A407" i="254"/>
  <c r="AF406" i="254"/>
  <c r="AE406" i="254"/>
  <c r="AD406" i="254"/>
  <c r="AC406" i="254"/>
  <c r="AB406" i="254"/>
  <c r="AA406" i="254"/>
  <c r="Z406" i="254"/>
  <c r="Y406" i="254"/>
  <c r="X406" i="254"/>
  <c r="W406" i="254"/>
  <c r="V406" i="254"/>
  <c r="U406" i="254"/>
  <c r="T406" i="254"/>
  <c r="S406" i="254"/>
  <c r="R406" i="254"/>
  <c r="Q406" i="254"/>
  <c r="P406" i="254"/>
  <c r="O406" i="254"/>
  <c r="N406" i="254"/>
  <c r="M406" i="254"/>
  <c r="L406" i="254"/>
  <c r="K406" i="254"/>
  <c r="J406" i="254"/>
  <c r="I406" i="254"/>
  <c r="H406" i="254"/>
  <c r="G406" i="254"/>
  <c r="F406" i="254"/>
  <c r="E406" i="254"/>
  <c r="D406" i="254"/>
  <c r="C406" i="254"/>
  <c r="B406" i="254"/>
  <c r="A406" i="254"/>
  <c r="AF405" i="254"/>
  <c r="AE405" i="254"/>
  <c r="AD405" i="254"/>
  <c r="AC405" i="254"/>
  <c r="AB405" i="254"/>
  <c r="AA405" i="254"/>
  <c r="Z405" i="254"/>
  <c r="Y405" i="254"/>
  <c r="X405" i="254"/>
  <c r="W405" i="254"/>
  <c r="V405" i="254"/>
  <c r="U405" i="254"/>
  <c r="T405" i="254"/>
  <c r="S405" i="254"/>
  <c r="R405" i="254"/>
  <c r="Q405" i="254"/>
  <c r="P405" i="254"/>
  <c r="O405" i="254"/>
  <c r="N405" i="254"/>
  <c r="M405" i="254"/>
  <c r="L405" i="254"/>
  <c r="K405" i="254"/>
  <c r="J405" i="254"/>
  <c r="I405" i="254"/>
  <c r="H405" i="254"/>
  <c r="G405" i="254"/>
  <c r="F405" i="254"/>
  <c r="E405" i="254"/>
  <c r="D405" i="254"/>
  <c r="C405" i="254"/>
  <c r="B405" i="254"/>
  <c r="A405" i="254"/>
  <c r="AF404" i="254"/>
  <c r="AE404" i="254"/>
  <c r="AD404" i="254"/>
  <c r="AC404" i="254"/>
  <c r="AB404" i="254"/>
  <c r="AA404" i="254"/>
  <c r="Z404" i="254"/>
  <c r="Y404" i="254"/>
  <c r="X404" i="254"/>
  <c r="W404" i="254"/>
  <c r="V404" i="254"/>
  <c r="U404" i="254"/>
  <c r="T404" i="254"/>
  <c r="S404" i="254"/>
  <c r="R404" i="254"/>
  <c r="Q404" i="254"/>
  <c r="P404" i="254"/>
  <c r="O404" i="254"/>
  <c r="N404" i="254"/>
  <c r="M404" i="254"/>
  <c r="L404" i="254"/>
  <c r="K404" i="254"/>
  <c r="J404" i="254"/>
  <c r="I404" i="254"/>
  <c r="H404" i="254"/>
  <c r="G404" i="254"/>
  <c r="F404" i="254"/>
  <c r="E404" i="254"/>
  <c r="D404" i="254"/>
  <c r="C404" i="254"/>
  <c r="B404" i="254"/>
  <c r="A404" i="254"/>
  <c r="AF403" i="254"/>
  <c r="AE403" i="254"/>
  <c r="AD403" i="254"/>
  <c r="AC403" i="254"/>
  <c r="AB403" i="254"/>
  <c r="AA403" i="254"/>
  <c r="Z403" i="254"/>
  <c r="Y403" i="254"/>
  <c r="X403" i="254"/>
  <c r="W403" i="254"/>
  <c r="V403" i="254"/>
  <c r="U403" i="254"/>
  <c r="T403" i="254"/>
  <c r="S403" i="254"/>
  <c r="R403" i="254"/>
  <c r="Q403" i="254"/>
  <c r="P403" i="254"/>
  <c r="O403" i="254"/>
  <c r="N403" i="254"/>
  <c r="M403" i="254"/>
  <c r="L403" i="254"/>
  <c r="K403" i="254"/>
  <c r="J403" i="254"/>
  <c r="I403" i="254"/>
  <c r="H403" i="254"/>
  <c r="G403" i="254"/>
  <c r="F403" i="254"/>
  <c r="E403" i="254"/>
  <c r="D403" i="254"/>
  <c r="C403" i="254"/>
  <c r="B403" i="254"/>
  <c r="A403" i="254"/>
  <c r="AF402" i="254"/>
  <c r="AE402" i="254"/>
  <c r="AD402" i="254"/>
  <c r="AC402" i="254"/>
  <c r="AB402" i="254"/>
  <c r="AA402" i="254"/>
  <c r="Z402" i="254"/>
  <c r="Y402" i="254"/>
  <c r="X402" i="254"/>
  <c r="W402" i="254"/>
  <c r="V402" i="254"/>
  <c r="U402" i="254"/>
  <c r="T402" i="254"/>
  <c r="S402" i="254"/>
  <c r="R402" i="254"/>
  <c r="Q402" i="254"/>
  <c r="P402" i="254"/>
  <c r="O402" i="254"/>
  <c r="N402" i="254"/>
  <c r="M402" i="254"/>
  <c r="L402" i="254"/>
  <c r="K402" i="254"/>
  <c r="J402" i="254"/>
  <c r="I402" i="254"/>
  <c r="H402" i="254"/>
  <c r="G402" i="254"/>
  <c r="F402" i="254"/>
  <c r="E402" i="254"/>
  <c r="D402" i="254"/>
  <c r="C402" i="254"/>
  <c r="B402" i="254"/>
  <c r="A402" i="254"/>
  <c r="AF401" i="254"/>
  <c r="AE401" i="254"/>
  <c r="AD401" i="254"/>
  <c r="AC401" i="254"/>
  <c r="AB401" i="254"/>
  <c r="AA401" i="254"/>
  <c r="Z401" i="254"/>
  <c r="Y401" i="254"/>
  <c r="X401" i="254"/>
  <c r="W401" i="254"/>
  <c r="V401" i="254"/>
  <c r="U401" i="254"/>
  <c r="T401" i="254"/>
  <c r="S401" i="254"/>
  <c r="R401" i="254"/>
  <c r="Q401" i="254"/>
  <c r="P401" i="254"/>
  <c r="O401" i="254"/>
  <c r="N401" i="254"/>
  <c r="M401" i="254"/>
  <c r="L401" i="254"/>
  <c r="K401" i="254"/>
  <c r="J401" i="254"/>
  <c r="I401" i="254"/>
  <c r="H401" i="254"/>
  <c r="G401" i="254"/>
  <c r="F401" i="254"/>
  <c r="E401" i="254"/>
  <c r="D401" i="254"/>
  <c r="C401" i="254"/>
  <c r="B401" i="254"/>
  <c r="A401" i="254"/>
  <c r="AF400" i="254"/>
  <c r="AE400" i="254"/>
  <c r="AD400" i="254"/>
  <c r="AC400" i="254"/>
  <c r="AB400" i="254"/>
  <c r="AA400" i="254"/>
  <c r="Z400" i="254"/>
  <c r="Y400" i="254"/>
  <c r="X400" i="254"/>
  <c r="W400" i="254"/>
  <c r="V400" i="254"/>
  <c r="U400" i="254"/>
  <c r="T400" i="254"/>
  <c r="S400" i="254"/>
  <c r="R400" i="254"/>
  <c r="Q400" i="254"/>
  <c r="P400" i="254"/>
  <c r="O400" i="254"/>
  <c r="N400" i="254"/>
  <c r="M400" i="254"/>
  <c r="L400" i="254"/>
  <c r="K400" i="254"/>
  <c r="J400" i="254"/>
  <c r="I400" i="254"/>
  <c r="H400" i="254"/>
  <c r="G400" i="254"/>
  <c r="F400" i="254"/>
  <c r="E400" i="254"/>
  <c r="D400" i="254"/>
  <c r="C400" i="254"/>
  <c r="B400" i="254"/>
  <c r="A400" i="254"/>
  <c r="AF399" i="254"/>
  <c r="AE399" i="254"/>
  <c r="AD399" i="254"/>
  <c r="AC399" i="254"/>
  <c r="AB399" i="254"/>
  <c r="AA399" i="254"/>
  <c r="Z399" i="254"/>
  <c r="Y399" i="254"/>
  <c r="X399" i="254"/>
  <c r="W399" i="254"/>
  <c r="V399" i="254"/>
  <c r="U399" i="254"/>
  <c r="T399" i="254"/>
  <c r="S399" i="254"/>
  <c r="R399" i="254"/>
  <c r="Q399" i="254"/>
  <c r="P399" i="254"/>
  <c r="O399" i="254"/>
  <c r="N399" i="254"/>
  <c r="M399" i="254"/>
  <c r="L399" i="254"/>
  <c r="K399" i="254"/>
  <c r="J399" i="254"/>
  <c r="I399" i="254"/>
  <c r="H399" i="254"/>
  <c r="G399" i="254"/>
  <c r="F399" i="254"/>
  <c r="E399" i="254"/>
  <c r="D399" i="254"/>
  <c r="C399" i="254"/>
  <c r="B399" i="254"/>
  <c r="A399" i="254"/>
  <c r="AF398" i="254"/>
  <c r="AE398" i="254"/>
  <c r="AD398" i="254"/>
  <c r="AC398" i="254"/>
  <c r="AB398" i="254"/>
  <c r="AA398" i="254"/>
  <c r="Z398" i="254"/>
  <c r="Y398" i="254"/>
  <c r="X398" i="254"/>
  <c r="W398" i="254"/>
  <c r="V398" i="254"/>
  <c r="U398" i="254"/>
  <c r="T398" i="254"/>
  <c r="S398" i="254"/>
  <c r="R398" i="254"/>
  <c r="Q398" i="254"/>
  <c r="P398" i="254"/>
  <c r="O398" i="254"/>
  <c r="N398" i="254"/>
  <c r="M398" i="254"/>
  <c r="L398" i="254"/>
  <c r="K398" i="254"/>
  <c r="J398" i="254"/>
  <c r="I398" i="254"/>
  <c r="H398" i="254"/>
  <c r="G398" i="254"/>
  <c r="F398" i="254"/>
  <c r="E398" i="254"/>
  <c r="D398" i="254"/>
  <c r="C398" i="254"/>
  <c r="B398" i="254"/>
  <c r="A398" i="254"/>
  <c r="AF397" i="254"/>
  <c r="AE397" i="254"/>
  <c r="AD397" i="254"/>
  <c r="AC397" i="254"/>
  <c r="AB397" i="254"/>
  <c r="AA397" i="254"/>
  <c r="Z397" i="254"/>
  <c r="Y397" i="254"/>
  <c r="X397" i="254"/>
  <c r="W397" i="254"/>
  <c r="V397" i="254"/>
  <c r="U397" i="254"/>
  <c r="T397" i="254"/>
  <c r="S397" i="254"/>
  <c r="R397" i="254"/>
  <c r="Q397" i="254"/>
  <c r="P397" i="254"/>
  <c r="O397" i="254"/>
  <c r="N397" i="254"/>
  <c r="M397" i="254"/>
  <c r="L397" i="254"/>
  <c r="K397" i="254"/>
  <c r="J397" i="254"/>
  <c r="I397" i="254"/>
  <c r="H397" i="254"/>
  <c r="G397" i="254"/>
  <c r="F397" i="254"/>
  <c r="E397" i="254"/>
  <c r="D397" i="254"/>
  <c r="C397" i="254"/>
  <c r="B397" i="254"/>
  <c r="A397" i="254"/>
  <c r="AF396" i="254"/>
  <c r="AE396" i="254"/>
  <c r="AD396" i="254"/>
  <c r="AC396" i="254"/>
  <c r="AB396" i="254"/>
  <c r="AA396" i="254"/>
  <c r="Z396" i="254"/>
  <c r="Y396" i="254"/>
  <c r="X396" i="254"/>
  <c r="W396" i="254"/>
  <c r="V396" i="254"/>
  <c r="U396" i="254"/>
  <c r="T396" i="254"/>
  <c r="S396" i="254"/>
  <c r="R396" i="254"/>
  <c r="Q396" i="254"/>
  <c r="P396" i="254"/>
  <c r="O396" i="254"/>
  <c r="N396" i="254"/>
  <c r="M396" i="254"/>
  <c r="L396" i="254"/>
  <c r="K396" i="254"/>
  <c r="J396" i="254"/>
  <c r="I396" i="254"/>
  <c r="H396" i="254"/>
  <c r="G396" i="254"/>
  <c r="F396" i="254"/>
  <c r="E396" i="254"/>
  <c r="D396" i="254"/>
  <c r="C396" i="254"/>
  <c r="B396" i="254"/>
  <c r="A396" i="254"/>
  <c r="AF395" i="254"/>
  <c r="AE395" i="254"/>
  <c r="AD395" i="254"/>
  <c r="AC395" i="254"/>
  <c r="AB395" i="254"/>
  <c r="AA395" i="254"/>
  <c r="Z395" i="254"/>
  <c r="Y395" i="254"/>
  <c r="X395" i="254"/>
  <c r="W395" i="254"/>
  <c r="V395" i="254"/>
  <c r="U395" i="254"/>
  <c r="T395" i="254"/>
  <c r="S395" i="254"/>
  <c r="R395" i="254"/>
  <c r="Q395" i="254"/>
  <c r="P395" i="254"/>
  <c r="O395" i="254"/>
  <c r="N395" i="254"/>
  <c r="M395" i="254"/>
  <c r="L395" i="254"/>
  <c r="K395" i="254"/>
  <c r="J395" i="254"/>
  <c r="I395" i="254"/>
  <c r="H395" i="254"/>
  <c r="G395" i="254"/>
  <c r="F395" i="254"/>
  <c r="E395" i="254"/>
  <c r="D395" i="254"/>
  <c r="C395" i="254"/>
  <c r="B395" i="254"/>
  <c r="A395" i="254"/>
  <c r="AF394" i="254"/>
  <c r="AE394" i="254"/>
  <c r="AD394" i="254"/>
  <c r="AC394" i="254"/>
  <c r="AB394" i="254"/>
  <c r="AA394" i="254"/>
  <c r="Z394" i="254"/>
  <c r="Y394" i="254"/>
  <c r="X394" i="254"/>
  <c r="W394" i="254"/>
  <c r="V394" i="254"/>
  <c r="U394" i="254"/>
  <c r="T394" i="254"/>
  <c r="S394" i="254"/>
  <c r="R394" i="254"/>
  <c r="Q394" i="254"/>
  <c r="P394" i="254"/>
  <c r="O394" i="254"/>
  <c r="N394" i="254"/>
  <c r="M394" i="254"/>
  <c r="L394" i="254"/>
  <c r="K394" i="254"/>
  <c r="J394" i="254"/>
  <c r="I394" i="254"/>
  <c r="H394" i="254"/>
  <c r="G394" i="254"/>
  <c r="F394" i="254"/>
  <c r="E394" i="254"/>
  <c r="D394" i="254"/>
  <c r="C394" i="254"/>
  <c r="B394" i="254"/>
  <c r="A394" i="254"/>
  <c r="AF393" i="254"/>
  <c r="AE393" i="254"/>
  <c r="AD393" i="254"/>
  <c r="AC393" i="254"/>
  <c r="AB393" i="254"/>
  <c r="AA393" i="254"/>
  <c r="Z393" i="254"/>
  <c r="Y393" i="254"/>
  <c r="X393" i="254"/>
  <c r="W393" i="254"/>
  <c r="V393" i="254"/>
  <c r="U393" i="254"/>
  <c r="T393" i="254"/>
  <c r="S393" i="254"/>
  <c r="R393" i="254"/>
  <c r="Q393" i="254"/>
  <c r="P393" i="254"/>
  <c r="O393" i="254"/>
  <c r="N393" i="254"/>
  <c r="M393" i="254"/>
  <c r="L393" i="254"/>
  <c r="K393" i="254"/>
  <c r="J393" i="254"/>
  <c r="I393" i="254"/>
  <c r="H393" i="254"/>
  <c r="G393" i="254"/>
  <c r="F393" i="254"/>
  <c r="E393" i="254"/>
  <c r="D393" i="254"/>
  <c r="C393" i="254"/>
  <c r="B393" i="254"/>
  <c r="A393" i="254"/>
  <c r="AF392" i="254"/>
  <c r="AE392" i="254"/>
  <c r="AD392" i="254"/>
  <c r="AC392" i="254"/>
  <c r="AB392" i="254"/>
  <c r="AA392" i="254"/>
  <c r="Z392" i="254"/>
  <c r="Y392" i="254"/>
  <c r="X392" i="254"/>
  <c r="W392" i="254"/>
  <c r="V392" i="254"/>
  <c r="U392" i="254"/>
  <c r="T392" i="254"/>
  <c r="S392" i="254"/>
  <c r="R392" i="254"/>
  <c r="Q392" i="254"/>
  <c r="P392" i="254"/>
  <c r="O392" i="254"/>
  <c r="N392" i="254"/>
  <c r="M392" i="254"/>
  <c r="L392" i="254"/>
  <c r="K392" i="254"/>
  <c r="J392" i="254"/>
  <c r="I392" i="254"/>
  <c r="H392" i="254"/>
  <c r="G392" i="254"/>
  <c r="F392" i="254"/>
  <c r="E392" i="254"/>
  <c r="D392" i="254"/>
  <c r="C392" i="254"/>
  <c r="B392" i="254"/>
  <c r="A392" i="254"/>
  <c r="AF391" i="254"/>
  <c r="AE391" i="254"/>
  <c r="AD391" i="254"/>
  <c r="AC391" i="254"/>
  <c r="AB391" i="254"/>
  <c r="AA391" i="254"/>
  <c r="Z391" i="254"/>
  <c r="Y391" i="254"/>
  <c r="X391" i="254"/>
  <c r="W391" i="254"/>
  <c r="V391" i="254"/>
  <c r="U391" i="254"/>
  <c r="T391" i="254"/>
  <c r="S391" i="254"/>
  <c r="R391" i="254"/>
  <c r="Q391" i="254"/>
  <c r="P391" i="254"/>
  <c r="O391" i="254"/>
  <c r="N391" i="254"/>
  <c r="M391" i="254"/>
  <c r="L391" i="254"/>
  <c r="K391" i="254"/>
  <c r="J391" i="254"/>
  <c r="I391" i="254"/>
  <c r="H391" i="254"/>
  <c r="G391" i="254"/>
  <c r="F391" i="254"/>
  <c r="E391" i="254"/>
  <c r="D391" i="254"/>
  <c r="C391" i="254"/>
  <c r="B391" i="254"/>
  <c r="A391" i="254"/>
  <c r="AF390" i="254"/>
  <c r="AE390" i="254"/>
  <c r="AD390" i="254"/>
  <c r="AC390" i="254"/>
  <c r="AB390" i="254"/>
  <c r="AA390" i="254"/>
  <c r="Z390" i="254"/>
  <c r="Y390" i="254"/>
  <c r="X390" i="254"/>
  <c r="W390" i="254"/>
  <c r="V390" i="254"/>
  <c r="U390" i="254"/>
  <c r="T390" i="254"/>
  <c r="S390" i="254"/>
  <c r="R390" i="254"/>
  <c r="Q390" i="254"/>
  <c r="P390" i="254"/>
  <c r="O390" i="254"/>
  <c r="N390" i="254"/>
  <c r="M390" i="254"/>
  <c r="L390" i="254"/>
  <c r="K390" i="254"/>
  <c r="J390" i="254"/>
  <c r="I390" i="254"/>
  <c r="H390" i="254"/>
  <c r="G390" i="254"/>
  <c r="F390" i="254"/>
  <c r="E390" i="254"/>
  <c r="D390" i="254"/>
  <c r="C390" i="254"/>
  <c r="B390" i="254"/>
  <c r="A390" i="254"/>
  <c r="AF389" i="254"/>
  <c r="AE389" i="254"/>
  <c r="AD389" i="254"/>
  <c r="AC389" i="254"/>
  <c r="AB389" i="254"/>
  <c r="AA389" i="254"/>
  <c r="Z389" i="254"/>
  <c r="Y389" i="254"/>
  <c r="X389" i="254"/>
  <c r="W389" i="254"/>
  <c r="V389" i="254"/>
  <c r="U389" i="254"/>
  <c r="T389" i="254"/>
  <c r="S389" i="254"/>
  <c r="R389" i="254"/>
  <c r="Q389" i="254"/>
  <c r="P389" i="254"/>
  <c r="O389" i="254"/>
  <c r="N389" i="254"/>
  <c r="M389" i="254"/>
  <c r="L389" i="254"/>
  <c r="K389" i="254"/>
  <c r="J389" i="254"/>
  <c r="I389" i="254"/>
  <c r="H389" i="254"/>
  <c r="G389" i="254"/>
  <c r="F389" i="254"/>
  <c r="E389" i="254"/>
  <c r="D389" i="254"/>
  <c r="C389" i="254"/>
  <c r="B389" i="254"/>
  <c r="A389" i="254"/>
  <c r="AF388" i="254"/>
  <c r="AE388" i="254"/>
  <c r="AD388" i="254"/>
  <c r="AC388" i="254"/>
  <c r="AB388" i="254"/>
  <c r="AA388" i="254"/>
  <c r="Z388" i="254"/>
  <c r="Y388" i="254"/>
  <c r="X388" i="254"/>
  <c r="W388" i="254"/>
  <c r="V388" i="254"/>
  <c r="U388" i="254"/>
  <c r="T388" i="254"/>
  <c r="S388" i="254"/>
  <c r="R388" i="254"/>
  <c r="Q388" i="254"/>
  <c r="P388" i="254"/>
  <c r="O388" i="254"/>
  <c r="N388" i="254"/>
  <c r="M388" i="254"/>
  <c r="L388" i="254"/>
  <c r="K388" i="254"/>
  <c r="J388" i="254"/>
  <c r="I388" i="254"/>
  <c r="H388" i="254"/>
  <c r="G388" i="254"/>
  <c r="F388" i="254"/>
  <c r="E388" i="254"/>
  <c r="D388" i="254"/>
  <c r="C388" i="254"/>
  <c r="B388" i="254"/>
  <c r="A388" i="254"/>
  <c r="AF387" i="254"/>
  <c r="AE387" i="254"/>
  <c r="AD387" i="254"/>
  <c r="AC387" i="254"/>
  <c r="AB387" i="254"/>
  <c r="AA387" i="254"/>
  <c r="Z387" i="254"/>
  <c r="Y387" i="254"/>
  <c r="X387" i="254"/>
  <c r="W387" i="254"/>
  <c r="V387" i="254"/>
  <c r="U387" i="254"/>
  <c r="T387" i="254"/>
  <c r="S387" i="254"/>
  <c r="R387" i="254"/>
  <c r="Q387" i="254"/>
  <c r="P387" i="254"/>
  <c r="O387" i="254"/>
  <c r="N387" i="254"/>
  <c r="M387" i="254"/>
  <c r="L387" i="254"/>
  <c r="K387" i="254"/>
  <c r="J387" i="254"/>
  <c r="I387" i="254"/>
  <c r="H387" i="254"/>
  <c r="G387" i="254"/>
  <c r="F387" i="254"/>
  <c r="E387" i="254"/>
  <c r="D387" i="254"/>
  <c r="C387" i="254"/>
  <c r="B387" i="254"/>
  <c r="A387" i="254"/>
  <c r="AF386" i="254"/>
  <c r="AE386" i="254"/>
  <c r="AD386" i="254"/>
  <c r="AC386" i="254"/>
  <c r="AB386" i="254"/>
  <c r="AA386" i="254"/>
  <c r="Z386" i="254"/>
  <c r="Y386" i="254"/>
  <c r="X386" i="254"/>
  <c r="W386" i="254"/>
  <c r="V386" i="254"/>
  <c r="U386" i="254"/>
  <c r="T386" i="254"/>
  <c r="S386" i="254"/>
  <c r="R386" i="254"/>
  <c r="Q386" i="254"/>
  <c r="P386" i="254"/>
  <c r="O386" i="254"/>
  <c r="N386" i="254"/>
  <c r="M386" i="254"/>
  <c r="L386" i="254"/>
  <c r="K386" i="254"/>
  <c r="J386" i="254"/>
  <c r="I386" i="254"/>
  <c r="H386" i="254"/>
  <c r="G386" i="254"/>
  <c r="F386" i="254"/>
  <c r="E386" i="254"/>
  <c r="D386" i="254"/>
  <c r="C386" i="254"/>
  <c r="B386" i="254"/>
  <c r="A386" i="254"/>
  <c r="AF385" i="254"/>
  <c r="AE385" i="254"/>
  <c r="AD385" i="254"/>
  <c r="AC385" i="254"/>
  <c r="AB385" i="254"/>
  <c r="AA385" i="254"/>
  <c r="Z385" i="254"/>
  <c r="Y385" i="254"/>
  <c r="X385" i="254"/>
  <c r="W385" i="254"/>
  <c r="V385" i="254"/>
  <c r="U385" i="254"/>
  <c r="T385" i="254"/>
  <c r="S385" i="254"/>
  <c r="R385" i="254"/>
  <c r="Q385" i="254"/>
  <c r="P385" i="254"/>
  <c r="O385" i="254"/>
  <c r="N385" i="254"/>
  <c r="M385" i="254"/>
  <c r="L385" i="254"/>
  <c r="K385" i="254"/>
  <c r="J385" i="254"/>
  <c r="I385" i="254"/>
  <c r="H385" i="254"/>
  <c r="G385" i="254"/>
  <c r="F385" i="254"/>
  <c r="E385" i="254"/>
  <c r="D385" i="254"/>
  <c r="C385" i="254"/>
  <c r="B385" i="254"/>
  <c r="A385" i="254"/>
  <c r="AF384" i="254"/>
  <c r="AE384" i="254"/>
  <c r="AD384" i="254"/>
  <c r="AC384" i="254"/>
  <c r="AB384" i="254"/>
  <c r="AA384" i="254"/>
  <c r="Z384" i="254"/>
  <c r="Y384" i="254"/>
  <c r="X384" i="254"/>
  <c r="W384" i="254"/>
  <c r="V384" i="254"/>
  <c r="U384" i="254"/>
  <c r="T384" i="254"/>
  <c r="S384" i="254"/>
  <c r="R384" i="254"/>
  <c r="Q384" i="254"/>
  <c r="P384" i="254"/>
  <c r="O384" i="254"/>
  <c r="N384" i="254"/>
  <c r="M384" i="254"/>
  <c r="L384" i="254"/>
  <c r="K384" i="254"/>
  <c r="J384" i="254"/>
  <c r="I384" i="254"/>
  <c r="H384" i="254"/>
  <c r="G384" i="254"/>
  <c r="F384" i="254"/>
  <c r="E384" i="254"/>
  <c r="D384" i="254"/>
  <c r="C384" i="254"/>
  <c r="B384" i="254"/>
  <c r="A384" i="254"/>
  <c r="AF383" i="254"/>
  <c r="AE383" i="254"/>
  <c r="AD383" i="254"/>
  <c r="AC383" i="254"/>
  <c r="AB383" i="254"/>
  <c r="AA383" i="254"/>
  <c r="Z383" i="254"/>
  <c r="Y383" i="254"/>
  <c r="X383" i="254"/>
  <c r="W383" i="254"/>
  <c r="V383" i="254"/>
  <c r="U383" i="254"/>
  <c r="T383" i="254"/>
  <c r="S383" i="254"/>
  <c r="R383" i="254"/>
  <c r="Q383" i="254"/>
  <c r="P383" i="254"/>
  <c r="O383" i="254"/>
  <c r="N383" i="254"/>
  <c r="M383" i="254"/>
  <c r="L383" i="254"/>
  <c r="K383" i="254"/>
  <c r="J383" i="254"/>
  <c r="I383" i="254"/>
  <c r="H383" i="254"/>
  <c r="G383" i="254"/>
  <c r="F383" i="254"/>
  <c r="E383" i="254"/>
  <c r="D383" i="254"/>
  <c r="C383" i="254"/>
  <c r="B383" i="254"/>
  <c r="A383" i="254"/>
  <c r="AF382" i="254"/>
  <c r="AE382" i="254"/>
  <c r="AD382" i="254"/>
  <c r="AC382" i="254"/>
  <c r="AB382" i="254"/>
  <c r="AA382" i="254"/>
  <c r="Z382" i="254"/>
  <c r="Y382" i="254"/>
  <c r="X382" i="254"/>
  <c r="W382" i="254"/>
  <c r="V382" i="254"/>
  <c r="U382" i="254"/>
  <c r="T382" i="254"/>
  <c r="S382" i="254"/>
  <c r="R382" i="254"/>
  <c r="Q382" i="254"/>
  <c r="P382" i="254"/>
  <c r="O382" i="254"/>
  <c r="N382" i="254"/>
  <c r="M382" i="254"/>
  <c r="L382" i="254"/>
  <c r="K382" i="254"/>
  <c r="J382" i="254"/>
  <c r="I382" i="254"/>
  <c r="H382" i="254"/>
  <c r="G382" i="254"/>
  <c r="F382" i="254"/>
  <c r="E382" i="254"/>
  <c r="D382" i="254"/>
  <c r="C382" i="254"/>
  <c r="B382" i="254"/>
  <c r="A382" i="254"/>
  <c r="AF381" i="254"/>
  <c r="AE381" i="254"/>
  <c r="AD381" i="254"/>
  <c r="AC381" i="254"/>
  <c r="AB381" i="254"/>
  <c r="AA381" i="254"/>
  <c r="Z381" i="254"/>
  <c r="Y381" i="254"/>
  <c r="X381" i="254"/>
  <c r="W381" i="254"/>
  <c r="V381" i="254"/>
  <c r="U381" i="254"/>
  <c r="T381" i="254"/>
  <c r="S381" i="254"/>
  <c r="R381" i="254"/>
  <c r="Q381" i="254"/>
  <c r="P381" i="254"/>
  <c r="O381" i="254"/>
  <c r="N381" i="254"/>
  <c r="M381" i="254"/>
  <c r="L381" i="254"/>
  <c r="K381" i="254"/>
  <c r="J381" i="254"/>
  <c r="I381" i="254"/>
  <c r="H381" i="254"/>
  <c r="G381" i="254"/>
  <c r="F381" i="254"/>
  <c r="E381" i="254"/>
  <c r="D381" i="254"/>
  <c r="C381" i="254"/>
  <c r="B381" i="254"/>
  <c r="A381" i="254"/>
  <c r="AF380" i="254"/>
  <c r="AE380" i="254"/>
  <c r="AD380" i="254"/>
  <c r="AC380" i="254"/>
  <c r="AB380" i="254"/>
  <c r="AA380" i="254"/>
  <c r="Z380" i="254"/>
  <c r="Y380" i="254"/>
  <c r="X380" i="254"/>
  <c r="W380" i="254"/>
  <c r="V380" i="254"/>
  <c r="U380" i="254"/>
  <c r="T380" i="254"/>
  <c r="S380" i="254"/>
  <c r="R380" i="254"/>
  <c r="Q380" i="254"/>
  <c r="P380" i="254"/>
  <c r="O380" i="254"/>
  <c r="N380" i="254"/>
  <c r="M380" i="254"/>
  <c r="L380" i="254"/>
  <c r="K380" i="254"/>
  <c r="J380" i="254"/>
  <c r="I380" i="254"/>
  <c r="H380" i="254"/>
  <c r="G380" i="254"/>
  <c r="F380" i="254"/>
  <c r="E380" i="254"/>
  <c r="D380" i="254"/>
  <c r="C380" i="254"/>
  <c r="B380" i="254"/>
  <c r="A380" i="254"/>
  <c r="AF379" i="254"/>
  <c r="AE379" i="254"/>
  <c r="AD379" i="254"/>
  <c r="AC379" i="254"/>
  <c r="AB379" i="254"/>
  <c r="AA379" i="254"/>
  <c r="Z379" i="254"/>
  <c r="Y379" i="254"/>
  <c r="X379" i="254"/>
  <c r="W379" i="254"/>
  <c r="V379" i="254"/>
  <c r="U379" i="254"/>
  <c r="T379" i="254"/>
  <c r="S379" i="254"/>
  <c r="R379" i="254"/>
  <c r="Q379" i="254"/>
  <c r="P379" i="254"/>
  <c r="O379" i="254"/>
  <c r="N379" i="254"/>
  <c r="M379" i="254"/>
  <c r="L379" i="254"/>
  <c r="K379" i="254"/>
  <c r="J379" i="254"/>
  <c r="I379" i="254"/>
  <c r="H379" i="254"/>
  <c r="G379" i="254"/>
  <c r="F379" i="254"/>
  <c r="E379" i="254"/>
  <c r="D379" i="254"/>
  <c r="C379" i="254"/>
  <c r="B379" i="254"/>
  <c r="A379" i="254"/>
  <c r="AF378" i="254"/>
  <c r="AE378" i="254"/>
  <c r="AD378" i="254"/>
  <c r="AC378" i="254"/>
  <c r="AB378" i="254"/>
  <c r="AA378" i="254"/>
  <c r="Z378" i="254"/>
  <c r="Y378" i="254"/>
  <c r="X378" i="254"/>
  <c r="W378" i="254"/>
  <c r="V378" i="254"/>
  <c r="U378" i="254"/>
  <c r="T378" i="254"/>
  <c r="S378" i="254"/>
  <c r="R378" i="254"/>
  <c r="Q378" i="254"/>
  <c r="P378" i="254"/>
  <c r="O378" i="254"/>
  <c r="N378" i="254"/>
  <c r="M378" i="254"/>
  <c r="L378" i="254"/>
  <c r="K378" i="254"/>
  <c r="J378" i="254"/>
  <c r="I378" i="254"/>
  <c r="H378" i="254"/>
  <c r="G378" i="254"/>
  <c r="F378" i="254"/>
  <c r="E378" i="254"/>
  <c r="D378" i="254"/>
  <c r="C378" i="254"/>
  <c r="B378" i="254"/>
  <c r="A378" i="254"/>
  <c r="AF377" i="254"/>
  <c r="AE377" i="254"/>
  <c r="AD377" i="254"/>
  <c r="AC377" i="254"/>
  <c r="AB377" i="254"/>
  <c r="AA377" i="254"/>
  <c r="Z377" i="254"/>
  <c r="Y377" i="254"/>
  <c r="X377" i="254"/>
  <c r="W377" i="254"/>
  <c r="V377" i="254"/>
  <c r="U377" i="254"/>
  <c r="T377" i="254"/>
  <c r="S377" i="254"/>
  <c r="R377" i="254"/>
  <c r="Q377" i="254"/>
  <c r="P377" i="254"/>
  <c r="O377" i="254"/>
  <c r="N377" i="254"/>
  <c r="M377" i="254"/>
  <c r="L377" i="254"/>
  <c r="K377" i="254"/>
  <c r="J377" i="254"/>
  <c r="I377" i="254"/>
  <c r="H377" i="254"/>
  <c r="G377" i="254"/>
  <c r="F377" i="254"/>
  <c r="E377" i="254"/>
  <c r="D377" i="254"/>
  <c r="C377" i="254"/>
  <c r="B377" i="254"/>
  <c r="A377" i="254"/>
  <c r="AF376" i="254"/>
  <c r="AE376" i="254"/>
  <c r="AD376" i="254"/>
  <c r="AC376" i="254"/>
  <c r="AB376" i="254"/>
  <c r="AA376" i="254"/>
  <c r="Z376" i="254"/>
  <c r="Y376" i="254"/>
  <c r="X376" i="254"/>
  <c r="W376" i="254"/>
  <c r="V376" i="254"/>
  <c r="U376" i="254"/>
  <c r="T376" i="254"/>
  <c r="S376" i="254"/>
  <c r="R376" i="254"/>
  <c r="Q376" i="254"/>
  <c r="P376" i="254"/>
  <c r="O376" i="254"/>
  <c r="N376" i="254"/>
  <c r="M376" i="254"/>
  <c r="L376" i="254"/>
  <c r="K376" i="254"/>
  <c r="J376" i="254"/>
  <c r="I376" i="254"/>
  <c r="H376" i="254"/>
  <c r="G376" i="254"/>
  <c r="F376" i="254"/>
  <c r="E376" i="254"/>
  <c r="D376" i="254"/>
  <c r="C376" i="254"/>
  <c r="B376" i="254"/>
  <c r="A376" i="254"/>
  <c r="AF375" i="254"/>
  <c r="AE375" i="254"/>
  <c r="AD375" i="254"/>
  <c r="AC375" i="254"/>
  <c r="AB375" i="254"/>
  <c r="AA375" i="254"/>
  <c r="Z375" i="254"/>
  <c r="Y375" i="254"/>
  <c r="X375" i="254"/>
  <c r="W375" i="254"/>
  <c r="V375" i="254"/>
  <c r="U375" i="254"/>
  <c r="T375" i="254"/>
  <c r="S375" i="254"/>
  <c r="R375" i="254"/>
  <c r="Q375" i="254"/>
  <c r="P375" i="254"/>
  <c r="O375" i="254"/>
  <c r="N375" i="254"/>
  <c r="M375" i="254"/>
  <c r="L375" i="254"/>
  <c r="K375" i="254"/>
  <c r="J375" i="254"/>
  <c r="I375" i="254"/>
  <c r="H375" i="254"/>
  <c r="G375" i="254"/>
  <c r="F375" i="254"/>
  <c r="E375" i="254"/>
  <c r="D375" i="254"/>
  <c r="C375" i="254"/>
  <c r="B375" i="254"/>
  <c r="A375" i="254"/>
  <c r="AF374" i="254"/>
  <c r="AE374" i="254"/>
  <c r="AD374" i="254"/>
  <c r="AC374" i="254"/>
  <c r="AB374" i="254"/>
  <c r="AA374" i="254"/>
  <c r="Z374" i="254"/>
  <c r="Y374" i="254"/>
  <c r="X374" i="254"/>
  <c r="W374" i="254"/>
  <c r="V374" i="254"/>
  <c r="U374" i="254"/>
  <c r="T374" i="254"/>
  <c r="S374" i="254"/>
  <c r="R374" i="254"/>
  <c r="Q374" i="254"/>
  <c r="P374" i="254"/>
  <c r="O374" i="254"/>
  <c r="N374" i="254"/>
  <c r="M374" i="254"/>
  <c r="L374" i="254"/>
  <c r="K374" i="254"/>
  <c r="J374" i="254"/>
  <c r="I374" i="254"/>
  <c r="H374" i="254"/>
  <c r="G374" i="254"/>
  <c r="F374" i="254"/>
  <c r="E374" i="254"/>
  <c r="D374" i="254"/>
  <c r="C374" i="254"/>
  <c r="B374" i="254"/>
  <c r="A374" i="254"/>
  <c r="AF373" i="254"/>
  <c r="AE373" i="254"/>
  <c r="AD373" i="254"/>
  <c r="AC373" i="254"/>
  <c r="AB373" i="254"/>
  <c r="AA373" i="254"/>
  <c r="Z373" i="254"/>
  <c r="Y373" i="254"/>
  <c r="X373" i="254"/>
  <c r="W373" i="254"/>
  <c r="V373" i="254"/>
  <c r="U373" i="254"/>
  <c r="T373" i="254"/>
  <c r="S373" i="254"/>
  <c r="R373" i="254"/>
  <c r="Q373" i="254"/>
  <c r="P373" i="254"/>
  <c r="O373" i="254"/>
  <c r="N373" i="254"/>
  <c r="M373" i="254"/>
  <c r="L373" i="254"/>
  <c r="K373" i="254"/>
  <c r="J373" i="254"/>
  <c r="I373" i="254"/>
  <c r="H373" i="254"/>
  <c r="G373" i="254"/>
  <c r="F373" i="254"/>
  <c r="E373" i="254"/>
  <c r="D373" i="254"/>
  <c r="C373" i="254"/>
  <c r="B373" i="254"/>
  <c r="A373" i="254"/>
  <c r="AF372" i="254"/>
  <c r="AE372" i="254"/>
  <c r="AD372" i="254"/>
  <c r="AC372" i="254"/>
  <c r="AB372" i="254"/>
  <c r="AA372" i="254"/>
  <c r="Z372" i="254"/>
  <c r="Y372" i="254"/>
  <c r="X372" i="254"/>
  <c r="W372" i="254"/>
  <c r="V372" i="254"/>
  <c r="U372" i="254"/>
  <c r="T372" i="254"/>
  <c r="S372" i="254"/>
  <c r="R372" i="254"/>
  <c r="Q372" i="254"/>
  <c r="P372" i="254"/>
  <c r="O372" i="254"/>
  <c r="N372" i="254"/>
  <c r="M372" i="254"/>
  <c r="L372" i="254"/>
  <c r="K372" i="254"/>
  <c r="J372" i="254"/>
  <c r="I372" i="254"/>
  <c r="H372" i="254"/>
  <c r="G372" i="254"/>
  <c r="F372" i="254"/>
  <c r="E372" i="254"/>
  <c r="D372" i="254"/>
  <c r="C372" i="254"/>
  <c r="B372" i="254"/>
  <c r="A372" i="254"/>
  <c r="AF371" i="254"/>
  <c r="AE371" i="254"/>
  <c r="AD371" i="254"/>
  <c r="AC371" i="254"/>
  <c r="AB371" i="254"/>
  <c r="AA371" i="254"/>
  <c r="Z371" i="254"/>
  <c r="Y371" i="254"/>
  <c r="X371" i="254"/>
  <c r="W371" i="254"/>
  <c r="V371" i="254"/>
  <c r="U371" i="254"/>
  <c r="T371" i="254"/>
  <c r="S371" i="254"/>
  <c r="R371" i="254"/>
  <c r="Q371" i="254"/>
  <c r="P371" i="254"/>
  <c r="O371" i="254"/>
  <c r="N371" i="254"/>
  <c r="M371" i="254"/>
  <c r="L371" i="254"/>
  <c r="K371" i="254"/>
  <c r="J371" i="254"/>
  <c r="I371" i="254"/>
  <c r="H371" i="254"/>
  <c r="G371" i="254"/>
  <c r="F371" i="254"/>
  <c r="E371" i="254"/>
  <c r="D371" i="254"/>
  <c r="C371" i="254"/>
  <c r="B371" i="254"/>
  <c r="A371" i="254"/>
  <c r="AF370" i="254"/>
  <c r="AE370" i="254"/>
  <c r="AD370" i="254"/>
  <c r="AC370" i="254"/>
  <c r="AB370" i="254"/>
  <c r="AA370" i="254"/>
  <c r="Z370" i="254"/>
  <c r="Y370" i="254"/>
  <c r="X370" i="254"/>
  <c r="W370" i="254"/>
  <c r="V370" i="254"/>
  <c r="U370" i="254"/>
  <c r="T370" i="254"/>
  <c r="S370" i="254"/>
  <c r="R370" i="254"/>
  <c r="Q370" i="254"/>
  <c r="P370" i="254"/>
  <c r="O370" i="254"/>
  <c r="N370" i="254"/>
  <c r="M370" i="254"/>
  <c r="L370" i="254"/>
  <c r="K370" i="254"/>
  <c r="J370" i="254"/>
  <c r="I370" i="254"/>
  <c r="H370" i="254"/>
  <c r="G370" i="254"/>
  <c r="F370" i="254"/>
  <c r="E370" i="254"/>
  <c r="D370" i="254"/>
  <c r="C370" i="254"/>
  <c r="B370" i="254"/>
  <c r="A370" i="254"/>
  <c r="AF369" i="254"/>
  <c r="AE369" i="254"/>
  <c r="AD369" i="254"/>
  <c r="AC369" i="254"/>
  <c r="AB369" i="254"/>
  <c r="AA369" i="254"/>
  <c r="Z369" i="254"/>
  <c r="Y369" i="254"/>
  <c r="X369" i="254"/>
  <c r="W369" i="254"/>
  <c r="V369" i="254"/>
  <c r="U369" i="254"/>
  <c r="T369" i="254"/>
  <c r="S369" i="254"/>
  <c r="R369" i="254"/>
  <c r="Q369" i="254"/>
  <c r="P369" i="254"/>
  <c r="O369" i="254"/>
  <c r="N369" i="254"/>
  <c r="M369" i="254"/>
  <c r="L369" i="254"/>
  <c r="K369" i="254"/>
  <c r="J369" i="254"/>
  <c r="I369" i="254"/>
  <c r="H369" i="254"/>
  <c r="G369" i="254"/>
  <c r="F369" i="254"/>
  <c r="E369" i="254"/>
  <c r="D369" i="254"/>
  <c r="C369" i="254"/>
  <c r="B369" i="254"/>
  <c r="A369" i="254"/>
  <c r="AF368" i="254"/>
  <c r="AE368" i="254"/>
  <c r="AD368" i="254"/>
  <c r="AC368" i="254"/>
  <c r="AB368" i="254"/>
  <c r="AA368" i="254"/>
  <c r="Z368" i="254"/>
  <c r="Y368" i="254"/>
  <c r="X368" i="254"/>
  <c r="W368" i="254"/>
  <c r="V368" i="254"/>
  <c r="U368" i="254"/>
  <c r="T368" i="254"/>
  <c r="S368" i="254"/>
  <c r="R368" i="254"/>
  <c r="Q368" i="254"/>
  <c r="P368" i="254"/>
  <c r="O368" i="254"/>
  <c r="N368" i="254"/>
  <c r="M368" i="254"/>
  <c r="L368" i="254"/>
  <c r="K368" i="254"/>
  <c r="J368" i="254"/>
  <c r="I368" i="254"/>
  <c r="H368" i="254"/>
  <c r="G368" i="254"/>
  <c r="F368" i="254"/>
  <c r="E368" i="254"/>
  <c r="D368" i="254"/>
  <c r="C368" i="254"/>
  <c r="B368" i="254"/>
  <c r="A368" i="254"/>
  <c r="AF367" i="254"/>
  <c r="AE367" i="254"/>
  <c r="AD367" i="254"/>
  <c r="AC367" i="254"/>
  <c r="AB367" i="254"/>
  <c r="AA367" i="254"/>
  <c r="Z367" i="254"/>
  <c r="Y367" i="254"/>
  <c r="X367" i="254"/>
  <c r="W367" i="254"/>
  <c r="V367" i="254"/>
  <c r="U367" i="254"/>
  <c r="T367" i="254"/>
  <c r="S367" i="254"/>
  <c r="R367" i="254"/>
  <c r="Q367" i="254"/>
  <c r="P367" i="254"/>
  <c r="O367" i="254"/>
  <c r="N367" i="254"/>
  <c r="M367" i="254"/>
  <c r="L367" i="254"/>
  <c r="K367" i="254"/>
  <c r="J367" i="254"/>
  <c r="I367" i="254"/>
  <c r="H367" i="254"/>
  <c r="G367" i="254"/>
  <c r="F367" i="254"/>
  <c r="E367" i="254"/>
  <c r="D367" i="254"/>
  <c r="C367" i="254"/>
  <c r="B367" i="254"/>
  <c r="A367" i="254"/>
  <c r="AF366" i="254"/>
  <c r="AE366" i="254"/>
  <c r="AD366" i="254"/>
  <c r="AC366" i="254"/>
  <c r="AB366" i="254"/>
  <c r="AA366" i="254"/>
  <c r="Z366" i="254"/>
  <c r="Y366" i="254"/>
  <c r="X366" i="254"/>
  <c r="W366" i="254"/>
  <c r="V366" i="254"/>
  <c r="U366" i="254"/>
  <c r="T366" i="254"/>
  <c r="S366" i="254"/>
  <c r="R366" i="254"/>
  <c r="Q366" i="254"/>
  <c r="P366" i="254"/>
  <c r="O366" i="254"/>
  <c r="N366" i="254"/>
  <c r="M366" i="254"/>
  <c r="L366" i="254"/>
  <c r="K366" i="254"/>
  <c r="J366" i="254"/>
  <c r="I366" i="254"/>
  <c r="H366" i="254"/>
  <c r="G366" i="254"/>
  <c r="F366" i="254"/>
  <c r="E366" i="254"/>
  <c r="D366" i="254"/>
  <c r="C366" i="254"/>
  <c r="B366" i="254"/>
  <c r="A366" i="254"/>
  <c r="AF365" i="254"/>
  <c r="AE365" i="254"/>
  <c r="AD365" i="254"/>
  <c r="AC365" i="254"/>
  <c r="AB365" i="254"/>
  <c r="AA365" i="254"/>
  <c r="Z365" i="254"/>
  <c r="Y365" i="254"/>
  <c r="X365" i="254"/>
  <c r="W365" i="254"/>
  <c r="V365" i="254"/>
  <c r="U365" i="254"/>
  <c r="T365" i="254"/>
  <c r="S365" i="254"/>
  <c r="R365" i="254"/>
  <c r="Q365" i="254"/>
  <c r="P365" i="254"/>
  <c r="O365" i="254"/>
  <c r="N365" i="254"/>
  <c r="M365" i="254"/>
  <c r="L365" i="254"/>
  <c r="K365" i="254"/>
  <c r="J365" i="254"/>
  <c r="I365" i="254"/>
  <c r="H365" i="254"/>
  <c r="G365" i="254"/>
  <c r="F365" i="254"/>
  <c r="E365" i="254"/>
  <c r="D365" i="254"/>
  <c r="C365" i="254"/>
  <c r="B365" i="254"/>
  <c r="A365" i="254"/>
  <c r="AF364" i="254"/>
  <c r="AE364" i="254"/>
  <c r="AD364" i="254"/>
  <c r="AC364" i="254"/>
  <c r="AB364" i="254"/>
  <c r="AA364" i="254"/>
  <c r="Z364" i="254"/>
  <c r="Y364" i="254"/>
  <c r="X364" i="254"/>
  <c r="W364" i="254"/>
  <c r="V364" i="254"/>
  <c r="U364" i="254"/>
  <c r="T364" i="254"/>
  <c r="S364" i="254"/>
  <c r="R364" i="254"/>
  <c r="Q364" i="254"/>
  <c r="P364" i="254"/>
  <c r="O364" i="254"/>
  <c r="N364" i="254"/>
  <c r="M364" i="254"/>
  <c r="L364" i="254"/>
  <c r="K364" i="254"/>
  <c r="J364" i="254"/>
  <c r="I364" i="254"/>
  <c r="H364" i="254"/>
  <c r="G364" i="254"/>
  <c r="F364" i="254"/>
  <c r="E364" i="254"/>
  <c r="D364" i="254"/>
  <c r="C364" i="254"/>
  <c r="B364" i="254"/>
  <c r="A364" i="254"/>
  <c r="AF363" i="254"/>
  <c r="AE363" i="254"/>
  <c r="AD363" i="254"/>
  <c r="AC363" i="254"/>
  <c r="AB363" i="254"/>
  <c r="AA363" i="254"/>
  <c r="Z363" i="254"/>
  <c r="Y363" i="254"/>
  <c r="X363" i="254"/>
  <c r="W363" i="254"/>
  <c r="V363" i="254"/>
  <c r="U363" i="254"/>
  <c r="T363" i="254"/>
  <c r="S363" i="254"/>
  <c r="R363" i="254"/>
  <c r="Q363" i="254"/>
  <c r="P363" i="254"/>
  <c r="O363" i="254"/>
  <c r="N363" i="254"/>
  <c r="M363" i="254"/>
  <c r="L363" i="254"/>
  <c r="K363" i="254"/>
  <c r="J363" i="254"/>
  <c r="I363" i="254"/>
  <c r="H363" i="254"/>
  <c r="G363" i="254"/>
  <c r="F363" i="254"/>
  <c r="E363" i="254"/>
  <c r="D363" i="254"/>
  <c r="C363" i="254"/>
  <c r="B363" i="254"/>
  <c r="A363" i="254"/>
  <c r="AF362" i="254"/>
  <c r="AE362" i="254"/>
  <c r="AD362" i="254"/>
  <c r="AC362" i="254"/>
  <c r="AB362" i="254"/>
  <c r="AA362" i="254"/>
  <c r="Z362" i="254"/>
  <c r="Y362" i="254"/>
  <c r="X362" i="254"/>
  <c r="W362" i="254"/>
  <c r="V362" i="254"/>
  <c r="U362" i="254"/>
  <c r="T362" i="254"/>
  <c r="S362" i="254"/>
  <c r="R362" i="254"/>
  <c r="Q362" i="254"/>
  <c r="P362" i="254"/>
  <c r="O362" i="254"/>
  <c r="N362" i="254"/>
  <c r="M362" i="254"/>
  <c r="L362" i="254"/>
  <c r="K362" i="254"/>
  <c r="J362" i="254"/>
  <c r="I362" i="254"/>
  <c r="H362" i="254"/>
  <c r="G362" i="254"/>
  <c r="F362" i="254"/>
  <c r="E362" i="254"/>
  <c r="D362" i="254"/>
  <c r="C362" i="254"/>
  <c r="B362" i="254"/>
  <c r="A362" i="254"/>
  <c r="AF361" i="254"/>
  <c r="AE361" i="254"/>
  <c r="AD361" i="254"/>
  <c r="AC361" i="254"/>
  <c r="AB361" i="254"/>
  <c r="AA361" i="254"/>
  <c r="Z361" i="254"/>
  <c r="Y361" i="254"/>
  <c r="X361" i="254"/>
  <c r="W361" i="254"/>
  <c r="V361" i="254"/>
  <c r="U361" i="254"/>
  <c r="T361" i="254"/>
  <c r="S361" i="254"/>
  <c r="R361" i="254"/>
  <c r="Q361" i="254"/>
  <c r="P361" i="254"/>
  <c r="O361" i="254"/>
  <c r="N361" i="254"/>
  <c r="M361" i="254"/>
  <c r="L361" i="254"/>
  <c r="K361" i="254"/>
  <c r="J361" i="254"/>
  <c r="I361" i="254"/>
  <c r="H361" i="254"/>
  <c r="G361" i="254"/>
  <c r="F361" i="254"/>
  <c r="E361" i="254"/>
  <c r="D361" i="254"/>
  <c r="C361" i="254"/>
  <c r="B361" i="254"/>
  <c r="A361" i="254"/>
  <c r="AF360" i="254"/>
  <c r="AE360" i="254"/>
  <c r="AD360" i="254"/>
  <c r="AC360" i="254"/>
  <c r="AB360" i="254"/>
  <c r="AA360" i="254"/>
  <c r="Z360" i="254"/>
  <c r="Y360" i="254"/>
  <c r="X360" i="254"/>
  <c r="W360" i="254"/>
  <c r="V360" i="254"/>
  <c r="U360" i="254"/>
  <c r="T360" i="254"/>
  <c r="S360" i="254"/>
  <c r="R360" i="254"/>
  <c r="Q360" i="254"/>
  <c r="P360" i="254"/>
  <c r="O360" i="254"/>
  <c r="N360" i="254"/>
  <c r="M360" i="254"/>
  <c r="L360" i="254"/>
  <c r="K360" i="254"/>
  <c r="J360" i="254"/>
  <c r="I360" i="254"/>
  <c r="H360" i="254"/>
  <c r="G360" i="254"/>
  <c r="F360" i="254"/>
  <c r="E360" i="254"/>
  <c r="D360" i="254"/>
  <c r="C360" i="254"/>
  <c r="B360" i="254"/>
  <c r="A360" i="254"/>
  <c r="AF359" i="254"/>
  <c r="AE359" i="254"/>
  <c r="AD359" i="254"/>
  <c r="AC359" i="254"/>
  <c r="AB359" i="254"/>
  <c r="AA359" i="254"/>
  <c r="Z359" i="254"/>
  <c r="Y359" i="254"/>
  <c r="X359" i="254"/>
  <c r="W359" i="254"/>
  <c r="V359" i="254"/>
  <c r="U359" i="254"/>
  <c r="T359" i="254"/>
  <c r="S359" i="254"/>
  <c r="R359" i="254"/>
  <c r="Q359" i="254"/>
  <c r="P359" i="254"/>
  <c r="O359" i="254"/>
  <c r="N359" i="254"/>
  <c r="M359" i="254"/>
  <c r="L359" i="254"/>
  <c r="K359" i="254"/>
  <c r="J359" i="254"/>
  <c r="I359" i="254"/>
  <c r="H359" i="254"/>
  <c r="G359" i="254"/>
  <c r="F359" i="254"/>
  <c r="E359" i="254"/>
  <c r="D359" i="254"/>
  <c r="C359" i="254"/>
  <c r="B359" i="254"/>
  <c r="A359" i="254"/>
  <c r="AF358" i="254"/>
  <c r="AE358" i="254"/>
  <c r="AD358" i="254"/>
  <c r="AC358" i="254"/>
  <c r="AB358" i="254"/>
  <c r="AA358" i="254"/>
  <c r="Z358" i="254"/>
  <c r="Y358" i="254"/>
  <c r="X358" i="254"/>
  <c r="W358" i="254"/>
  <c r="V358" i="254"/>
  <c r="U358" i="254"/>
  <c r="T358" i="254"/>
  <c r="S358" i="254"/>
  <c r="R358" i="254"/>
  <c r="Q358" i="254"/>
  <c r="P358" i="254"/>
  <c r="O358" i="254"/>
  <c r="N358" i="254"/>
  <c r="M358" i="254"/>
  <c r="L358" i="254"/>
  <c r="K358" i="254"/>
  <c r="J358" i="254"/>
  <c r="I358" i="254"/>
  <c r="H358" i="254"/>
  <c r="G358" i="254"/>
  <c r="F358" i="254"/>
  <c r="E358" i="254"/>
  <c r="D358" i="254"/>
  <c r="C358" i="254"/>
  <c r="B358" i="254"/>
  <c r="A358" i="254"/>
  <c r="AF357" i="254"/>
  <c r="AE357" i="254"/>
  <c r="AD357" i="254"/>
  <c r="AC357" i="254"/>
  <c r="AB357" i="254"/>
  <c r="AA357" i="254"/>
  <c r="Z357" i="254"/>
  <c r="Y357" i="254"/>
  <c r="X357" i="254"/>
  <c r="W357" i="254"/>
  <c r="V357" i="254"/>
  <c r="U357" i="254"/>
  <c r="T357" i="254"/>
  <c r="S357" i="254"/>
  <c r="R357" i="254"/>
  <c r="Q357" i="254"/>
  <c r="P357" i="254"/>
  <c r="O357" i="254"/>
  <c r="N357" i="254"/>
  <c r="M357" i="254"/>
  <c r="L357" i="254"/>
  <c r="K357" i="254"/>
  <c r="J357" i="254"/>
  <c r="I357" i="254"/>
  <c r="H357" i="254"/>
  <c r="G357" i="254"/>
  <c r="F357" i="254"/>
  <c r="E357" i="254"/>
  <c r="D357" i="254"/>
  <c r="C357" i="254"/>
  <c r="B357" i="254"/>
  <c r="A357" i="254"/>
  <c r="AF356" i="254"/>
  <c r="AE356" i="254"/>
  <c r="AD356" i="254"/>
  <c r="AC356" i="254"/>
  <c r="AB356" i="254"/>
  <c r="AA356" i="254"/>
  <c r="Z356" i="254"/>
  <c r="Y356" i="254"/>
  <c r="X356" i="254"/>
  <c r="W356" i="254"/>
  <c r="V356" i="254"/>
  <c r="U356" i="254"/>
  <c r="T356" i="254"/>
  <c r="S356" i="254"/>
  <c r="R356" i="254"/>
  <c r="Q356" i="254"/>
  <c r="P356" i="254"/>
  <c r="O356" i="254"/>
  <c r="N356" i="254"/>
  <c r="M356" i="254"/>
  <c r="L356" i="254"/>
  <c r="K356" i="254"/>
  <c r="J356" i="254"/>
  <c r="I356" i="254"/>
  <c r="H356" i="254"/>
  <c r="G356" i="254"/>
  <c r="F356" i="254"/>
  <c r="E356" i="254"/>
  <c r="D356" i="254"/>
  <c r="C356" i="254"/>
  <c r="B356" i="254"/>
  <c r="A356" i="254"/>
  <c r="AF355" i="254"/>
  <c r="AE355" i="254"/>
  <c r="AD355" i="254"/>
  <c r="AC355" i="254"/>
  <c r="AB355" i="254"/>
  <c r="AA355" i="254"/>
  <c r="Z355" i="254"/>
  <c r="Y355" i="254"/>
  <c r="X355" i="254"/>
  <c r="W355" i="254"/>
  <c r="V355" i="254"/>
  <c r="U355" i="254"/>
  <c r="T355" i="254"/>
  <c r="S355" i="254"/>
  <c r="R355" i="254"/>
  <c r="Q355" i="254"/>
  <c r="P355" i="254"/>
  <c r="O355" i="254"/>
  <c r="N355" i="254"/>
  <c r="M355" i="254"/>
  <c r="L355" i="254"/>
  <c r="K355" i="254"/>
  <c r="J355" i="254"/>
  <c r="I355" i="254"/>
  <c r="H355" i="254"/>
  <c r="G355" i="254"/>
  <c r="F355" i="254"/>
  <c r="E355" i="254"/>
  <c r="D355" i="254"/>
  <c r="C355" i="254"/>
  <c r="B355" i="254"/>
  <c r="A355" i="254"/>
  <c r="AF354" i="254"/>
  <c r="AE354" i="254"/>
  <c r="AD354" i="254"/>
  <c r="AC354" i="254"/>
  <c r="AB354" i="254"/>
  <c r="AA354" i="254"/>
  <c r="Z354" i="254"/>
  <c r="Y354" i="254"/>
  <c r="X354" i="254"/>
  <c r="W354" i="254"/>
  <c r="V354" i="254"/>
  <c r="U354" i="254"/>
  <c r="T354" i="254"/>
  <c r="S354" i="254"/>
  <c r="R354" i="254"/>
  <c r="Q354" i="254"/>
  <c r="P354" i="254"/>
  <c r="O354" i="254"/>
  <c r="N354" i="254"/>
  <c r="M354" i="254"/>
  <c r="L354" i="254"/>
  <c r="K354" i="254"/>
  <c r="J354" i="254"/>
  <c r="I354" i="254"/>
  <c r="H354" i="254"/>
  <c r="G354" i="254"/>
  <c r="F354" i="254"/>
  <c r="E354" i="254"/>
  <c r="D354" i="254"/>
  <c r="C354" i="254"/>
  <c r="B354" i="254"/>
  <c r="A354" i="254"/>
  <c r="AF353" i="254"/>
  <c r="AE353" i="254"/>
  <c r="AD353" i="254"/>
  <c r="AC353" i="254"/>
  <c r="AB353" i="254"/>
  <c r="AA353" i="254"/>
  <c r="Z353" i="254"/>
  <c r="Y353" i="254"/>
  <c r="X353" i="254"/>
  <c r="W353" i="254"/>
  <c r="V353" i="254"/>
  <c r="U353" i="254"/>
  <c r="T353" i="254"/>
  <c r="S353" i="254"/>
  <c r="R353" i="254"/>
  <c r="Q353" i="254"/>
  <c r="P353" i="254"/>
  <c r="O353" i="254"/>
  <c r="N353" i="254"/>
  <c r="M353" i="254"/>
  <c r="L353" i="254"/>
  <c r="K353" i="254"/>
  <c r="J353" i="254"/>
  <c r="I353" i="254"/>
  <c r="H353" i="254"/>
  <c r="G353" i="254"/>
  <c r="F353" i="254"/>
  <c r="E353" i="254"/>
  <c r="D353" i="254"/>
  <c r="C353" i="254"/>
  <c r="B353" i="254"/>
  <c r="A353" i="254"/>
  <c r="AF352" i="254"/>
  <c r="AE352" i="254"/>
  <c r="AD352" i="254"/>
  <c r="AC352" i="254"/>
  <c r="AB352" i="254"/>
  <c r="AA352" i="254"/>
  <c r="Z352" i="254"/>
  <c r="Y352" i="254"/>
  <c r="X352" i="254"/>
  <c r="W352" i="254"/>
  <c r="V352" i="254"/>
  <c r="U352" i="254"/>
  <c r="T352" i="254"/>
  <c r="S352" i="254"/>
  <c r="R352" i="254"/>
  <c r="Q352" i="254"/>
  <c r="P352" i="254"/>
  <c r="O352" i="254"/>
  <c r="N352" i="254"/>
  <c r="M352" i="254"/>
  <c r="L352" i="254"/>
  <c r="K352" i="254"/>
  <c r="J352" i="254"/>
  <c r="I352" i="254"/>
  <c r="H352" i="254"/>
  <c r="G352" i="254"/>
  <c r="F352" i="254"/>
  <c r="E352" i="254"/>
  <c r="D352" i="254"/>
  <c r="C352" i="254"/>
  <c r="B352" i="254"/>
  <c r="A352" i="254"/>
  <c r="AF351" i="254"/>
  <c r="AE351" i="254"/>
  <c r="AD351" i="254"/>
  <c r="AC351" i="254"/>
  <c r="AB351" i="254"/>
  <c r="AA351" i="254"/>
  <c r="Z351" i="254"/>
  <c r="Y351" i="254"/>
  <c r="X351" i="254"/>
  <c r="W351" i="254"/>
  <c r="V351" i="254"/>
  <c r="U351" i="254"/>
  <c r="T351" i="254"/>
  <c r="S351" i="254"/>
  <c r="R351" i="254"/>
  <c r="Q351" i="254"/>
  <c r="P351" i="254"/>
  <c r="O351" i="254"/>
  <c r="N351" i="254"/>
  <c r="M351" i="254"/>
  <c r="L351" i="254"/>
  <c r="K351" i="254"/>
  <c r="J351" i="254"/>
  <c r="I351" i="254"/>
  <c r="H351" i="254"/>
  <c r="G351" i="254"/>
  <c r="F351" i="254"/>
  <c r="E351" i="254"/>
  <c r="D351" i="254"/>
  <c r="C351" i="254"/>
  <c r="B351" i="254"/>
  <c r="A351" i="254"/>
  <c r="AF350" i="254"/>
  <c r="AE350" i="254"/>
  <c r="AD350" i="254"/>
  <c r="AC350" i="254"/>
  <c r="AB350" i="254"/>
  <c r="AA350" i="254"/>
  <c r="Z350" i="254"/>
  <c r="Y350" i="254"/>
  <c r="X350" i="254"/>
  <c r="W350" i="254"/>
  <c r="V350" i="254"/>
  <c r="U350" i="254"/>
  <c r="T350" i="254"/>
  <c r="S350" i="254"/>
  <c r="R350" i="254"/>
  <c r="Q350" i="254"/>
  <c r="P350" i="254"/>
  <c r="O350" i="254"/>
  <c r="N350" i="254"/>
  <c r="M350" i="254"/>
  <c r="L350" i="254"/>
  <c r="K350" i="254"/>
  <c r="J350" i="254"/>
  <c r="I350" i="254"/>
  <c r="H350" i="254"/>
  <c r="G350" i="254"/>
  <c r="F350" i="254"/>
  <c r="E350" i="254"/>
  <c r="D350" i="254"/>
  <c r="C350" i="254"/>
  <c r="B350" i="254"/>
  <c r="A350" i="254"/>
  <c r="AF349" i="254"/>
  <c r="AE349" i="254"/>
  <c r="AD349" i="254"/>
  <c r="AC349" i="254"/>
  <c r="AB349" i="254"/>
  <c r="AA349" i="254"/>
  <c r="Z349" i="254"/>
  <c r="Y349" i="254"/>
  <c r="X349" i="254"/>
  <c r="W349" i="254"/>
  <c r="V349" i="254"/>
  <c r="U349" i="254"/>
  <c r="T349" i="254"/>
  <c r="S349" i="254"/>
  <c r="R349" i="254"/>
  <c r="Q349" i="254"/>
  <c r="P349" i="254"/>
  <c r="O349" i="254"/>
  <c r="N349" i="254"/>
  <c r="M349" i="254"/>
  <c r="L349" i="254"/>
  <c r="K349" i="254"/>
  <c r="J349" i="254"/>
  <c r="I349" i="254"/>
  <c r="H349" i="254"/>
  <c r="G349" i="254"/>
  <c r="F349" i="254"/>
  <c r="E349" i="254"/>
  <c r="D349" i="254"/>
  <c r="C349" i="254"/>
  <c r="B349" i="254"/>
  <c r="A349" i="254"/>
  <c r="AF348" i="254"/>
  <c r="AE348" i="254"/>
  <c r="AD348" i="254"/>
  <c r="AC348" i="254"/>
  <c r="AB348" i="254"/>
  <c r="AA348" i="254"/>
  <c r="Z348" i="254"/>
  <c r="Y348" i="254"/>
  <c r="X348" i="254"/>
  <c r="W348" i="254"/>
  <c r="V348" i="254"/>
  <c r="U348" i="254"/>
  <c r="T348" i="254"/>
  <c r="S348" i="254"/>
  <c r="R348" i="254"/>
  <c r="Q348" i="254"/>
  <c r="P348" i="254"/>
  <c r="O348" i="254"/>
  <c r="N348" i="254"/>
  <c r="M348" i="254"/>
  <c r="L348" i="254"/>
  <c r="K348" i="254"/>
  <c r="J348" i="254"/>
  <c r="I348" i="254"/>
  <c r="H348" i="254"/>
  <c r="G348" i="254"/>
  <c r="F348" i="254"/>
  <c r="E348" i="254"/>
  <c r="D348" i="254"/>
  <c r="C348" i="254"/>
  <c r="B348" i="254"/>
  <c r="A348" i="254"/>
  <c r="AF347" i="254"/>
  <c r="AE347" i="254"/>
  <c r="AD347" i="254"/>
  <c r="AC347" i="254"/>
  <c r="AB347" i="254"/>
  <c r="AA347" i="254"/>
  <c r="Z347" i="254"/>
  <c r="Y347" i="254"/>
  <c r="X347" i="254"/>
  <c r="W347" i="254"/>
  <c r="V347" i="254"/>
  <c r="U347" i="254"/>
  <c r="T347" i="254"/>
  <c r="S347" i="254"/>
  <c r="R347" i="254"/>
  <c r="Q347" i="254"/>
  <c r="P347" i="254"/>
  <c r="O347" i="254"/>
  <c r="N347" i="254"/>
  <c r="M347" i="254"/>
  <c r="L347" i="254"/>
  <c r="K347" i="254"/>
  <c r="J347" i="254"/>
  <c r="I347" i="254"/>
  <c r="H347" i="254"/>
  <c r="G347" i="254"/>
  <c r="F347" i="254"/>
  <c r="E347" i="254"/>
  <c r="D347" i="254"/>
  <c r="C347" i="254"/>
  <c r="B347" i="254"/>
  <c r="A347" i="254"/>
  <c r="AF346" i="254"/>
  <c r="AE346" i="254"/>
  <c r="AD346" i="254"/>
  <c r="AC346" i="254"/>
  <c r="AB346" i="254"/>
  <c r="AA346" i="254"/>
  <c r="Z346" i="254"/>
  <c r="Y346" i="254"/>
  <c r="X346" i="254"/>
  <c r="W346" i="254"/>
  <c r="V346" i="254"/>
  <c r="U346" i="254"/>
  <c r="T346" i="254"/>
  <c r="S346" i="254"/>
  <c r="R346" i="254"/>
  <c r="Q346" i="254"/>
  <c r="P346" i="254"/>
  <c r="O346" i="254"/>
  <c r="N346" i="254"/>
  <c r="M346" i="254"/>
  <c r="L346" i="254"/>
  <c r="K346" i="254"/>
  <c r="J346" i="254"/>
  <c r="I346" i="254"/>
  <c r="H346" i="254"/>
  <c r="G346" i="254"/>
  <c r="F346" i="254"/>
  <c r="E346" i="254"/>
  <c r="D346" i="254"/>
  <c r="C346" i="254"/>
  <c r="B346" i="254"/>
  <c r="A346" i="254"/>
  <c r="AF345" i="254"/>
  <c r="AE345" i="254"/>
  <c r="AD345" i="254"/>
  <c r="AC345" i="254"/>
  <c r="AB345" i="254"/>
  <c r="AA345" i="254"/>
  <c r="Z345" i="254"/>
  <c r="Y345" i="254"/>
  <c r="X345" i="254"/>
  <c r="W345" i="254"/>
  <c r="V345" i="254"/>
  <c r="U345" i="254"/>
  <c r="T345" i="254"/>
  <c r="S345" i="254"/>
  <c r="R345" i="254"/>
  <c r="Q345" i="254"/>
  <c r="P345" i="254"/>
  <c r="O345" i="254"/>
  <c r="N345" i="254"/>
  <c r="M345" i="254"/>
  <c r="L345" i="254"/>
  <c r="K345" i="254"/>
  <c r="J345" i="254"/>
  <c r="I345" i="254"/>
  <c r="H345" i="254"/>
  <c r="G345" i="254"/>
  <c r="F345" i="254"/>
  <c r="E345" i="254"/>
  <c r="D345" i="254"/>
  <c r="C345" i="254"/>
  <c r="B345" i="254"/>
  <c r="A345" i="254"/>
  <c r="AF344" i="254"/>
  <c r="AE344" i="254"/>
  <c r="AD344" i="254"/>
  <c r="AC344" i="254"/>
  <c r="AB344" i="254"/>
  <c r="AA344" i="254"/>
  <c r="Z344" i="254"/>
  <c r="Y344" i="254"/>
  <c r="X344" i="254"/>
  <c r="W344" i="254"/>
  <c r="V344" i="254"/>
  <c r="U344" i="254"/>
  <c r="T344" i="254"/>
  <c r="S344" i="254"/>
  <c r="R344" i="254"/>
  <c r="Q344" i="254"/>
  <c r="P344" i="254"/>
  <c r="O344" i="254"/>
  <c r="N344" i="254"/>
  <c r="M344" i="254"/>
  <c r="L344" i="254"/>
  <c r="K344" i="254"/>
  <c r="J344" i="254"/>
  <c r="I344" i="254"/>
  <c r="H344" i="254"/>
  <c r="G344" i="254"/>
  <c r="F344" i="254"/>
  <c r="E344" i="254"/>
  <c r="D344" i="254"/>
  <c r="C344" i="254"/>
  <c r="B344" i="254"/>
  <c r="A344" i="254"/>
  <c r="AF343" i="254"/>
  <c r="AE343" i="254"/>
  <c r="AD343" i="254"/>
  <c r="AC343" i="254"/>
  <c r="AB343" i="254"/>
  <c r="AA343" i="254"/>
  <c r="Z343" i="254"/>
  <c r="Y343" i="254"/>
  <c r="X343" i="254"/>
  <c r="W343" i="254"/>
  <c r="V343" i="254"/>
  <c r="U343" i="254"/>
  <c r="T343" i="254"/>
  <c r="S343" i="254"/>
  <c r="R343" i="254"/>
  <c r="Q343" i="254"/>
  <c r="P343" i="254"/>
  <c r="O343" i="254"/>
  <c r="N343" i="254"/>
  <c r="M343" i="254"/>
  <c r="L343" i="254"/>
  <c r="K343" i="254"/>
  <c r="J343" i="254"/>
  <c r="I343" i="254"/>
  <c r="H343" i="254"/>
  <c r="G343" i="254"/>
  <c r="F343" i="254"/>
  <c r="E343" i="254"/>
  <c r="D343" i="254"/>
  <c r="C343" i="254"/>
  <c r="B343" i="254"/>
  <c r="A343" i="254"/>
  <c r="AF342" i="254"/>
  <c r="AE342" i="254"/>
  <c r="AD342" i="254"/>
  <c r="AC342" i="254"/>
  <c r="AB342" i="254"/>
  <c r="AA342" i="254"/>
  <c r="Z342" i="254"/>
  <c r="Y342" i="254"/>
  <c r="X342" i="254"/>
  <c r="W342" i="254"/>
  <c r="V342" i="254"/>
  <c r="U342" i="254"/>
  <c r="T342" i="254"/>
  <c r="S342" i="254"/>
  <c r="R342" i="254"/>
  <c r="Q342" i="254"/>
  <c r="P342" i="254"/>
  <c r="O342" i="254"/>
  <c r="N342" i="254"/>
  <c r="M342" i="254"/>
  <c r="L342" i="254"/>
  <c r="K342" i="254"/>
  <c r="J342" i="254"/>
  <c r="I342" i="254"/>
  <c r="H342" i="254"/>
  <c r="G342" i="254"/>
  <c r="F342" i="254"/>
  <c r="E342" i="254"/>
  <c r="D342" i="254"/>
  <c r="C342" i="254"/>
  <c r="B342" i="254"/>
  <c r="A342" i="254"/>
  <c r="AF341" i="254"/>
  <c r="AE341" i="254"/>
  <c r="AD341" i="254"/>
  <c r="AC341" i="254"/>
  <c r="AB341" i="254"/>
  <c r="AA341" i="254"/>
  <c r="Z341" i="254"/>
  <c r="Y341" i="254"/>
  <c r="X341" i="254"/>
  <c r="W341" i="254"/>
  <c r="V341" i="254"/>
  <c r="U341" i="254"/>
  <c r="T341" i="254"/>
  <c r="S341" i="254"/>
  <c r="R341" i="254"/>
  <c r="Q341" i="254"/>
  <c r="P341" i="254"/>
  <c r="O341" i="254"/>
  <c r="N341" i="254"/>
  <c r="M341" i="254"/>
  <c r="L341" i="254"/>
  <c r="K341" i="254"/>
  <c r="J341" i="254"/>
  <c r="I341" i="254"/>
  <c r="H341" i="254"/>
  <c r="G341" i="254"/>
  <c r="F341" i="254"/>
  <c r="E341" i="254"/>
  <c r="D341" i="254"/>
  <c r="C341" i="254"/>
  <c r="B341" i="254"/>
  <c r="A341" i="254"/>
  <c r="AF340" i="254"/>
  <c r="AE340" i="254"/>
  <c r="AD340" i="254"/>
  <c r="AC340" i="254"/>
  <c r="AB340" i="254"/>
  <c r="AA340" i="254"/>
  <c r="Z340" i="254"/>
  <c r="Y340" i="254"/>
  <c r="X340" i="254"/>
  <c r="W340" i="254"/>
  <c r="V340" i="254"/>
  <c r="U340" i="254"/>
  <c r="T340" i="254"/>
  <c r="S340" i="254"/>
  <c r="R340" i="254"/>
  <c r="Q340" i="254"/>
  <c r="P340" i="254"/>
  <c r="O340" i="254"/>
  <c r="N340" i="254"/>
  <c r="M340" i="254"/>
  <c r="L340" i="254"/>
  <c r="K340" i="254"/>
  <c r="J340" i="254"/>
  <c r="I340" i="254"/>
  <c r="H340" i="254"/>
  <c r="G340" i="254"/>
  <c r="F340" i="254"/>
  <c r="E340" i="254"/>
  <c r="D340" i="254"/>
  <c r="C340" i="254"/>
  <c r="B340" i="254"/>
  <c r="A340" i="254"/>
  <c r="AF339" i="254"/>
  <c r="AE339" i="254"/>
  <c r="AD339" i="254"/>
  <c r="AC339" i="254"/>
  <c r="AB339" i="254"/>
  <c r="AA339" i="254"/>
  <c r="Z339" i="254"/>
  <c r="Y339" i="254"/>
  <c r="X339" i="254"/>
  <c r="W339" i="254"/>
  <c r="V339" i="254"/>
  <c r="U339" i="254"/>
  <c r="T339" i="254"/>
  <c r="S339" i="254"/>
  <c r="R339" i="254"/>
  <c r="Q339" i="254"/>
  <c r="P339" i="254"/>
  <c r="O339" i="254"/>
  <c r="N339" i="254"/>
  <c r="M339" i="254"/>
  <c r="L339" i="254"/>
  <c r="K339" i="254"/>
  <c r="J339" i="254"/>
  <c r="I339" i="254"/>
  <c r="H339" i="254"/>
  <c r="G339" i="254"/>
  <c r="F339" i="254"/>
  <c r="E339" i="254"/>
  <c r="D339" i="254"/>
  <c r="C339" i="254"/>
  <c r="B339" i="254"/>
  <c r="A339" i="254"/>
  <c r="AF338" i="254"/>
  <c r="AE338" i="254"/>
  <c r="AD338" i="254"/>
  <c r="AC338" i="254"/>
  <c r="AB338" i="254"/>
  <c r="AA338" i="254"/>
  <c r="Z338" i="254"/>
  <c r="Y338" i="254"/>
  <c r="X338" i="254"/>
  <c r="W338" i="254"/>
  <c r="V338" i="254"/>
  <c r="U338" i="254"/>
  <c r="T338" i="254"/>
  <c r="S338" i="254"/>
  <c r="R338" i="254"/>
  <c r="Q338" i="254"/>
  <c r="P338" i="254"/>
  <c r="O338" i="254"/>
  <c r="N338" i="254"/>
  <c r="M338" i="254"/>
  <c r="L338" i="254"/>
  <c r="K338" i="254"/>
  <c r="J338" i="254"/>
  <c r="I338" i="254"/>
  <c r="H338" i="254"/>
  <c r="G338" i="254"/>
  <c r="F338" i="254"/>
  <c r="E338" i="254"/>
  <c r="D338" i="254"/>
  <c r="C338" i="254"/>
  <c r="B338" i="254"/>
  <c r="A338" i="254"/>
  <c r="AF337" i="254"/>
  <c r="AE337" i="254"/>
  <c r="AD337" i="254"/>
  <c r="AC337" i="254"/>
  <c r="AB337" i="254"/>
  <c r="AA337" i="254"/>
  <c r="Z337" i="254"/>
  <c r="Y337" i="254"/>
  <c r="X337" i="254"/>
  <c r="W337" i="254"/>
  <c r="V337" i="254"/>
  <c r="U337" i="254"/>
  <c r="T337" i="254"/>
  <c r="S337" i="254"/>
  <c r="R337" i="254"/>
  <c r="Q337" i="254"/>
  <c r="P337" i="254"/>
  <c r="O337" i="254"/>
  <c r="N337" i="254"/>
  <c r="M337" i="254"/>
  <c r="L337" i="254"/>
  <c r="K337" i="254"/>
  <c r="J337" i="254"/>
  <c r="I337" i="254"/>
  <c r="H337" i="254"/>
  <c r="G337" i="254"/>
  <c r="F337" i="254"/>
  <c r="E337" i="254"/>
  <c r="D337" i="254"/>
  <c r="C337" i="254"/>
  <c r="B337" i="254"/>
  <c r="A337" i="254"/>
  <c r="AF336" i="254"/>
  <c r="AE336" i="254"/>
  <c r="AD336" i="254"/>
  <c r="AC336" i="254"/>
  <c r="AB336" i="254"/>
  <c r="AA336" i="254"/>
  <c r="Z336" i="254"/>
  <c r="Y336" i="254"/>
  <c r="X336" i="254"/>
  <c r="W336" i="254"/>
  <c r="V336" i="254"/>
  <c r="U336" i="254"/>
  <c r="T336" i="254"/>
  <c r="S336" i="254"/>
  <c r="R336" i="254"/>
  <c r="Q336" i="254"/>
  <c r="P336" i="254"/>
  <c r="O336" i="254"/>
  <c r="N336" i="254"/>
  <c r="M336" i="254"/>
  <c r="L336" i="254"/>
  <c r="K336" i="254"/>
  <c r="J336" i="254"/>
  <c r="I336" i="254"/>
  <c r="H336" i="254"/>
  <c r="G336" i="254"/>
  <c r="F336" i="254"/>
  <c r="E336" i="254"/>
  <c r="D336" i="254"/>
  <c r="C336" i="254"/>
  <c r="B336" i="254"/>
  <c r="A336" i="254"/>
  <c r="AF335" i="254"/>
  <c r="AE335" i="254"/>
  <c r="AD335" i="254"/>
  <c r="AC335" i="254"/>
  <c r="AB335" i="254"/>
  <c r="AA335" i="254"/>
  <c r="Z335" i="254"/>
  <c r="Y335" i="254"/>
  <c r="X335" i="254"/>
  <c r="W335" i="254"/>
  <c r="V335" i="254"/>
  <c r="U335" i="254"/>
  <c r="T335" i="254"/>
  <c r="S335" i="254"/>
  <c r="R335" i="254"/>
  <c r="Q335" i="254"/>
  <c r="P335" i="254"/>
  <c r="O335" i="254"/>
  <c r="N335" i="254"/>
  <c r="M335" i="254"/>
  <c r="L335" i="254"/>
  <c r="K335" i="254"/>
  <c r="J335" i="254"/>
  <c r="I335" i="254"/>
  <c r="H335" i="254"/>
  <c r="G335" i="254"/>
  <c r="F335" i="254"/>
  <c r="E335" i="254"/>
  <c r="D335" i="254"/>
  <c r="C335" i="254"/>
  <c r="B335" i="254"/>
  <c r="A335" i="254"/>
  <c r="AF334" i="254"/>
  <c r="AE334" i="254"/>
  <c r="AD334" i="254"/>
  <c r="AC334" i="254"/>
  <c r="AB334" i="254"/>
  <c r="AA334" i="254"/>
  <c r="Z334" i="254"/>
  <c r="Y334" i="254"/>
  <c r="X334" i="254"/>
  <c r="W334" i="254"/>
  <c r="V334" i="254"/>
  <c r="U334" i="254"/>
  <c r="T334" i="254"/>
  <c r="S334" i="254"/>
  <c r="R334" i="254"/>
  <c r="Q334" i="254"/>
  <c r="P334" i="254"/>
  <c r="O334" i="254"/>
  <c r="N334" i="254"/>
  <c r="M334" i="254"/>
  <c r="L334" i="254"/>
  <c r="K334" i="254"/>
  <c r="J334" i="254"/>
  <c r="I334" i="254"/>
  <c r="H334" i="254"/>
  <c r="G334" i="254"/>
  <c r="F334" i="254"/>
  <c r="E334" i="254"/>
  <c r="D334" i="254"/>
  <c r="C334" i="254"/>
  <c r="B334" i="254"/>
  <c r="A334" i="254"/>
  <c r="AF333" i="254"/>
  <c r="AE333" i="254"/>
  <c r="AD333" i="254"/>
  <c r="AC333" i="254"/>
  <c r="AB333" i="254"/>
  <c r="AA333" i="254"/>
  <c r="Z333" i="254"/>
  <c r="Y333" i="254"/>
  <c r="X333" i="254"/>
  <c r="W333" i="254"/>
  <c r="V333" i="254"/>
  <c r="U333" i="254"/>
  <c r="T333" i="254"/>
  <c r="S333" i="254"/>
  <c r="R333" i="254"/>
  <c r="Q333" i="254"/>
  <c r="P333" i="254"/>
  <c r="O333" i="254"/>
  <c r="N333" i="254"/>
  <c r="M333" i="254"/>
  <c r="L333" i="254"/>
  <c r="K333" i="254"/>
  <c r="J333" i="254"/>
  <c r="I333" i="254"/>
  <c r="H333" i="254"/>
  <c r="G333" i="254"/>
  <c r="F333" i="254"/>
  <c r="E333" i="254"/>
  <c r="D333" i="254"/>
  <c r="C333" i="254"/>
  <c r="B333" i="254"/>
  <c r="A333" i="254"/>
  <c r="AF332" i="254"/>
  <c r="AE332" i="254"/>
  <c r="AD332" i="254"/>
  <c r="AC332" i="254"/>
  <c r="AB332" i="254"/>
  <c r="AA332" i="254"/>
  <c r="Z332" i="254"/>
  <c r="Y332" i="254"/>
  <c r="X332" i="254"/>
  <c r="W332" i="254"/>
  <c r="V332" i="254"/>
  <c r="U332" i="254"/>
  <c r="T332" i="254"/>
  <c r="S332" i="254"/>
  <c r="R332" i="254"/>
  <c r="Q332" i="254"/>
  <c r="P332" i="254"/>
  <c r="O332" i="254"/>
  <c r="N332" i="254"/>
  <c r="M332" i="254"/>
  <c r="L332" i="254"/>
  <c r="K332" i="254"/>
  <c r="J332" i="254"/>
  <c r="I332" i="254"/>
  <c r="H332" i="254"/>
  <c r="G332" i="254"/>
  <c r="F332" i="254"/>
  <c r="E332" i="254"/>
  <c r="D332" i="254"/>
  <c r="C332" i="254"/>
  <c r="B332" i="254"/>
  <c r="A332" i="254"/>
  <c r="AF331" i="254"/>
  <c r="AE331" i="254"/>
  <c r="AD331" i="254"/>
  <c r="AC331" i="254"/>
  <c r="AB331" i="254"/>
  <c r="AA331" i="254"/>
  <c r="Z331" i="254"/>
  <c r="Y331" i="254"/>
  <c r="X331" i="254"/>
  <c r="W331" i="254"/>
  <c r="V331" i="254"/>
  <c r="U331" i="254"/>
  <c r="T331" i="254"/>
  <c r="S331" i="254"/>
  <c r="R331" i="254"/>
  <c r="Q331" i="254"/>
  <c r="P331" i="254"/>
  <c r="O331" i="254"/>
  <c r="N331" i="254"/>
  <c r="M331" i="254"/>
  <c r="L331" i="254"/>
  <c r="K331" i="254"/>
  <c r="J331" i="254"/>
  <c r="I331" i="254"/>
  <c r="H331" i="254"/>
  <c r="G331" i="254"/>
  <c r="F331" i="254"/>
  <c r="E331" i="254"/>
  <c r="D331" i="254"/>
  <c r="C331" i="254"/>
  <c r="B331" i="254"/>
  <c r="A331" i="254"/>
  <c r="AF330" i="254"/>
  <c r="AE330" i="254"/>
  <c r="AD330" i="254"/>
  <c r="AC330" i="254"/>
  <c r="AB330" i="254"/>
  <c r="AA330" i="254"/>
  <c r="Z330" i="254"/>
  <c r="Y330" i="254"/>
  <c r="X330" i="254"/>
  <c r="W330" i="254"/>
  <c r="V330" i="254"/>
  <c r="U330" i="254"/>
  <c r="T330" i="254"/>
  <c r="S330" i="254"/>
  <c r="R330" i="254"/>
  <c r="Q330" i="254"/>
  <c r="P330" i="254"/>
  <c r="O330" i="254"/>
  <c r="N330" i="254"/>
  <c r="M330" i="254"/>
  <c r="L330" i="254"/>
  <c r="K330" i="254"/>
  <c r="J330" i="254"/>
  <c r="I330" i="254"/>
  <c r="H330" i="254"/>
  <c r="G330" i="254"/>
  <c r="F330" i="254"/>
  <c r="E330" i="254"/>
  <c r="D330" i="254"/>
  <c r="C330" i="254"/>
  <c r="B330" i="254"/>
  <c r="A330" i="254"/>
  <c r="AF329" i="254"/>
  <c r="AE329" i="254"/>
  <c r="AD329" i="254"/>
  <c r="AC329" i="254"/>
  <c r="AB329" i="254"/>
  <c r="AA329" i="254"/>
  <c r="Z329" i="254"/>
  <c r="Y329" i="254"/>
  <c r="X329" i="254"/>
  <c r="W329" i="254"/>
  <c r="V329" i="254"/>
  <c r="U329" i="254"/>
  <c r="T329" i="254"/>
  <c r="S329" i="254"/>
  <c r="R329" i="254"/>
  <c r="Q329" i="254"/>
  <c r="P329" i="254"/>
  <c r="O329" i="254"/>
  <c r="N329" i="254"/>
  <c r="M329" i="254"/>
  <c r="L329" i="254"/>
  <c r="K329" i="254"/>
  <c r="J329" i="254"/>
  <c r="I329" i="254"/>
  <c r="H329" i="254"/>
  <c r="G329" i="254"/>
  <c r="F329" i="254"/>
  <c r="E329" i="254"/>
  <c r="D329" i="254"/>
  <c r="C329" i="254"/>
  <c r="B329" i="254"/>
  <c r="A329" i="254"/>
  <c r="AF328" i="254"/>
  <c r="AE328" i="254"/>
  <c r="AD328" i="254"/>
  <c r="AC328" i="254"/>
  <c r="AB328" i="254"/>
  <c r="AA328" i="254"/>
  <c r="Z328" i="254"/>
  <c r="Y328" i="254"/>
  <c r="X328" i="254"/>
  <c r="W328" i="254"/>
  <c r="V328" i="254"/>
  <c r="U328" i="254"/>
  <c r="T328" i="254"/>
  <c r="S328" i="254"/>
  <c r="R328" i="254"/>
  <c r="Q328" i="254"/>
  <c r="P328" i="254"/>
  <c r="O328" i="254"/>
  <c r="N328" i="254"/>
  <c r="M328" i="254"/>
  <c r="L328" i="254"/>
  <c r="K328" i="254"/>
  <c r="J328" i="254"/>
  <c r="I328" i="254"/>
  <c r="H328" i="254"/>
  <c r="G328" i="254"/>
  <c r="F328" i="254"/>
  <c r="E328" i="254"/>
  <c r="D328" i="254"/>
  <c r="C328" i="254"/>
  <c r="B328" i="254"/>
  <c r="A328" i="254"/>
  <c r="AF327" i="254"/>
  <c r="AE327" i="254"/>
  <c r="AD327" i="254"/>
  <c r="AC327" i="254"/>
  <c r="AB327" i="254"/>
  <c r="AA327" i="254"/>
  <c r="Z327" i="254"/>
  <c r="Y327" i="254"/>
  <c r="X327" i="254"/>
  <c r="W327" i="254"/>
  <c r="V327" i="254"/>
  <c r="U327" i="254"/>
  <c r="T327" i="254"/>
  <c r="S327" i="254"/>
  <c r="R327" i="254"/>
  <c r="Q327" i="254"/>
  <c r="P327" i="254"/>
  <c r="O327" i="254"/>
  <c r="N327" i="254"/>
  <c r="M327" i="254"/>
  <c r="L327" i="254"/>
  <c r="K327" i="254"/>
  <c r="J327" i="254"/>
  <c r="I327" i="254"/>
  <c r="H327" i="254"/>
  <c r="G327" i="254"/>
  <c r="F327" i="254"/>
  <c r="E327" i="254"/>
  <c r="D327" i="254"/>
  <c r="C327" i="254"/>
  <c r="B327" i="254"/>
  <c r="A327" i="254"/>
  <c r="AF326" i="254"/>
  <c r="AE326" i="254"/>
  <c r="AD326" i="254"/>
  <c r="AC326" i="254"/>
  <c r="AB326" i="254"/>
  <c r="AA326" i="254"/>
  <c r="Z326" i="254"/>
  <c r="Y326" i="254"/>
  <c r="X326" i="254"/>
  <c r="W326" i="254"/>
  <c r="V326" i="254"/>
  <c r="U326" i="254"/>
  <c r="T326" i="254"/>
  <c r="S326" i="254"/>
  <c r="R326" i="254"/>
  <c r="Q326" i="254"/>
  <c r="P326" i="254"/>
  <c r="O326" i="254"/>
  <c r="N326" i="254"/>
  <c r="M326" i="254"/>
  <c r="L326" i="254"/>
  <c r="K326" i="254"/>
  <c r="J326" i="254"/>
  <c r="I326" i="254"/>
  <c r="H326" i="254"/>
  <c r="G326" i="254"/>
  <c r="F326" i="254"/>
  <c r="E326" i="254"/>
  <c r="D326" i="254"/>
  <c r="C326" i="254"/>
  <c r="B326" i="254"/>
  <c r="A326" i="254"/>
  <c r="AF325" i="254"/>
  <c r="AE325" i="254"/>
  <c r="AD325" i="254"/>
  <c r="AC325" i="254"/>
  <c r="AB325" i="254"/>
  <c r="AA325" i="254"/>
  <c r="Z325" i="254"/>
  <c r="Y325" i="254"/>
  <c r="X325" i="254"/>
  <c r="W325" i="254"/>
  <c r="V325" i="254"/>
  <c r="U325" i="254"/>
  <c r="T325" i="254"/>
  <c r="S325" i="254"/>
  <c r="R325" i="254"/>
  <c r="Q325" i="254"/>
  <c r="P325" i="254"/>
  <c r="O325" i="254"/>
  <c r="N325" i="254"/>
  <c r="M325" i="254"/>
  <c r="L325" i="254"/>
  <c r="K325" i="254"/>
  <c r="J325" i="254"/>
  <c r="I325" i="254"/>
  <c r="H325" i="254"/>
  <c r="G325" i="254"/>
  <c r="F325" i="254"/>
  <c r="E325" i="254"/>
  <c r="D325" i="254"/>
  <c r="C325" i="254"/>
  <c r="B325" i="254"/>
  <c r="A325" i="254"/>
  <c r="AF324" i="254"/>
  <c r="AE324" i="254"/>
  <c r="AD324" i="254"/>
  <c r="AC324" i="254"/>
  <c r="AB324" i="254"/>
  <c r="AA324" i="254"/>
  <c r="Z324" i="254"/>
  <c r="Y324" i="254"/>
  <c r="X324" i="254"/>
  <c r="W324" i="254"/>
  <c r="V324" i="254"/>
  <c r="U324" i="254"/>
  <c r="T324" i="254"/>
  <c r="S324" i="254"/>
  <c r="R324" i="254"/>
  <c r="Q324" i="254"/>
  <c r="P324" i="254"/>
  <c r="O324" i="254"/>
  <c r="N324" i="254"/>
  <c r="M324" i="254"/>
  <c r="L324" i="254"/>
  <c r="K324" i="254"/>
  <c r="J324" i="254"/>
  <c r="I324" i="254"/>
  <c r="H324" i="254"/>
  <c r="G324" i="254"/>
  <c r="F324" i="254"/>
  <c r="E324" i="254"/>
  <c r="D324" i="254"/>
  <c r="C324" i="254"/>
  <c r="B324" i="254"/>
  <c r="A324" i="254"/>
  <c r="AF323" i="254"/>
  <c r="AE323" i="254"/>
  <c r="AD323" i="254"/>
  <c r="AC323" i="254"/>
  <c r="AB323" i="254"/>
  <c r="AA323" i="254"/>
  <c r="Z323" i="254"/>
  <c r="Y323" i="254"/>
  <c r="X323" i="254"/>
  <c r="W323" i="254"/>
  <c r="V323" i="254"/>
  <c r="U323" i="254"/>
  <c r="T323" i="254"/>
  <c r="S323" i="254"/>
  <c r="R323" i="254"/>
  <c r="Q323" i="254"/>
  <c r="P323" i="254"/>
  <c r="O323" i="254"/>
  <c r="N323" i="254"/>
  <c r="M323" i="254"/>
  <c r="L323" i="254"/>
  <c r="K323" i="254"/>
  <c r="J323" i="254"/>
  <c r="I323" i="254"/>
  <c r="H323" i="254"/>
  <c r="G323" i="254"/>
  <c r="F323" i="254"/>
  <c r="E323" i="254"/>
  <c r="D323" i="254"/>
  <c r="C323" i="254"/>
  <c r="B323" i="254"/>
  <c r="A323" i="254"/>
  <c r="AF322" i="254"/>
  <c r="AE322" i="254"/>
  <c r="AD322" i="254"/>
  <c r="AC322" i="254"/>
  <c r="AB322" i="254"/>
  <c r="AA322" i="254"/>
  <c r="Z322" i="254"/>
  <c r="Y322" i="254"/>
  <c r="X322" i="254"/>
  <c r="W322" i="254"/>
  <c r="V322" i="254"/>
  <c r="U322" i="254"/>
  <c r="T322" i="254"/>
  <c r="S322" i="254"/>
  <c r="R322" i="254"/>
  <c r="Q322" i="254"/>
  <c r="P322" i="254"/>
  <c r="O322" i="254"/>
  <c r="N322" i="254"/>
  <c r="M322" i="254"/>
  <c r="L322" i="254"/>
  <c r="K322" i="254"/>
  <c r="J322" i="254"/>
  <c r="I322" i="254"/>
  <c r="H322" i="254"/>
  <c r="G322" i="254"/>
  <c r="F322" i="254"/>
  <c r="E322" i="254"/>
  <c r="D322" i="254"/>
  <c r="C322" i="254"/>
  <c r="B322" i="254"/>
  <c r="A322" i="254"/>
  <c r="AF321" i="254"/>
  <c r="AE321" i="254"/>
  <c r="AD321" i="254"/>
  <c r="AC321" i="254"/>
  <c r="AB321" i="254"/>
  <c r="AA321" i="254"/>
  <c r="Z321" i="254"/>
  <c r="Y321" i="254"/>
  <c r="X321" i="254"/>
  <c r="W321" i="254"/>
  <c r="V321" i="254"/>
  <c r="U321" i="254"/>
  <c r="T321" i="254"/>
  <c r="S321" i="254"/>
  <c r="R321" i="254"/>
  <c r="Q321" i="254"/>
  <c r="P321" i="254"/>
  <c r="O321" i="254"/>
  <c r="N321" i="254"/>
  <c r="M321" i="254"/>
  <c r="L321" i="254"/>
  <c r="K321" i="254"/>
  <c r="J321" i="254"/>
  <c r="I321" i="254"/>
  <c r="H321" i="254"/>
  <c r="G321" i="254"/>
  <c r="F321" i="254"/>
  <c r="E321" i="254"/>
  <c r="D321" i="254"/>
  <c r="C321" i="254"/>
  <c r="B321" i="254"/>
  <c r="A321" i="254"/>
  <c r="AF320" i="254"/>
  <c r="AE320" i="254"/>
  <c r="AD320" i="254"/>
  <c r="AC320" i="254"/>
  <c r="AB320" i="254"/>
  <c r="AA320" i="254"/>
  <c r="Z320" i="254"/>
  <c r="Y320" i="254"/>
  <c r="X320" i="254"/>
  <c r="W320" i="254"/>
  <c r="V320" i="254"/>
  <c r="U320" i="254"/>
  <c r="T320" i="254"/>
  <c r="S320" i="254"/>
  <c r="R320" i="254"/>
  <c r="Q320" i="254"/>
  <c r="P320" i="254"/>
  <c r="O320" i="254"/>
  <c r="N320" i="254"/>
  <c r="M320" i="254"/>
  <c r="L320" i="254"/>
  <c r="K320" i="254"/>
  <c r="J320" i="254"/>
  <c r="I320" i="254"/>
  <c r="H320" i="254"/>
  <c r="G320" i="254"/>
  <c r="F320" i="254"/>
  <c r="E320" i="254"/>
  <c r="D320" i="254"/>
  <c r="C320" i="254"/>
  <c r="B320" i="254"/>
  <c r="A320" i="254"/>
  <c r="AF319" i="254"/>
  <c r="AE319" i="254"/>
  <c r="AD319" i="254"/>
  <c r="AC319" i="254"/>
  <c r="AB319" i="254"/>
  <c r="AA319" i="254"/>
  <c r="Z319" i="254"/>
  <c r="Y319" i="254"/>
  <c r="X319" i="254"/>
  <c r="W319" i="254"/>
  <c r="V319" i="254"/>
  <c r="U319" i="254"/>
  <c r="T319" i="254"/>
  <c r="S319" i="254"/>
  <c r="R319" i="254"/>
  <c r="Q319" i="254"/>
  <c r="P319" i="254"/>
  <c r="O319" i="254"/>
  <c r="N319" i="254"/>
  <c r="M319" i="254"/>
  <c r="L319" i="254"/>
  <c r="K319" i="254"/>
  <c r="J319" i="254"/>
  <c r="I319" i="254"/>
  <c r="H319" i="254"/>
  <c r="G319" i="254"/>
  <c r="F319" i="254"/>
  <c r="E319" i="254"/>
  <c r="D319" i="254"/>
  <c r="C319" i="254"/>
  <c r="B319" i="254"/>
  <c r="A319" i="254"/>
  <c r="AF318" i="254"/>
  <c r="AE318" i="254"/>
  <c r="AD318" i="254"/>
  <c r="AC318" i="254"/>
  <c r="AB318" i="254"/>
  <c r="AA318" i="254"/>
  <c r="Z318" i="254"/>
  <c r="Y318" i="254"/>
  <c r="X318" i="254"/>
  <c r="W318" i="254"/>
  <c r="V318" i="254"/>
  <c r="U318" i="254"/>
  <c r="T318" i="254"/>
  <c r="S318" i="254"/>
  <c r="R318" i="254"/>
  <c r="Q318" i="254"/>
  <c r="P318" i="254"/>
  <c r="O318" i="254"/>
  <c r="N318" i="254"/>
  <c r="M318" i="254"/>
  <c r="L318" i="254"/>
  <c r="K318" i="254"/>
  <c r="J318" i="254"/>
  <c r="I318" i="254"/>
  <c r="H318" i="254"/>
  <c r="G318" i="254"/>
  <c r="F318" i="254"/>
  <c r="E318" i="254"/>
  <c r="D318" i="254"/>
  <c r="C318" i="254"/>
  <c r="B318" i="254"/>
  <c r="A318" i="254"/>
  <c r="AF317" i="254"/>
  <c r="AE317" i="254"/>
  <c r="AD317" i="254"/>
  <c r="AC317" i="254"/>
  <c r="AB317" i="254"/>
  <c r="AA317" i="254"/>
  <c r="Z317" i="254"/>
  <c r="Y317" i="254"/>
  <c r="X317" i="254"/>
  <c r="W317" i="254"/>
  <c r="V317" i="254"/>
  <c r="U317" i="254"/>
  <c r="T317" i="254"/>
  <c r="S317" i="254"/>
  <c r="R317" i="254"/>
  <c r="Q317" i="254"/>
  <c r="P317" i="254"/>
  <c r="O317" i="254"/>
  <c r="N317" i="254"/>
  <c r="M317" i="254"/>
  <c r="L317" i="254"/>
  <c r="K317" i="254"/>
  <c r="J317" i="254"/>
  <c r="I317" i="254"/>
  <c r="H317" i="254"/>
  <c r="G317" i="254"/>
  <c r="F317" i="254"/>
  <c r="E317" i="254"/>
  <c r="D317" i="254"/>
  <c r="C317" i="254"/>
  <c r="B317" i="254"/>
  <c r="A317" i="254"/>
  <c r="AF316" i="254"/>
  <c r="AE316" i="254"/>
  <c r="AD316" i="254"/>
  <c r="AC316" i="254"/>
  <c r="AB316" i="254"/>
  <c r="AA316" i="254"/>
  <c r="Z316" i="254"/>
  <c r="Y316" i="254"/>
  <c r="X316" i="254"/>
  <c r="W316" i="254"/>
  <c r="V316" i="254"/>
  <c r="U316" i="254"/>
  <c r="T316" i="254"/>
  <c r="S316" i="254"/>
  <c r="R316" i="254"/>
  <c r="Q316" i="254"/>
  <c r="P316" i="254"/>
  <c r="O316" i="254"/>
  <c r="N316" i="254"/>
  <c r="M316" i="254"/>
  <c r="L316" i="254"/>
  <c r="K316" i="254"/>
  <c r="J316" i="254"/>
  <c r="I316" i="254"/>
  <c r="H316" i="254"/>
  <c r="G316" i="254"/>
  <c r="F316" i="254"/>
  <c r="E316" i="254"/>
  <c r="D316" i="254"/>
  <c r="C316" i="254"/>
  <c r="B316" i="254"/>
  <c r="A316" i="254"/>
  <c r="AF315" i="254"/>
  <c r="AE315" i="254"/>
  <c r="AD315" i="254"/>
  <c r="AC315" i="254"/>
  <c r="AB315" i="254"/>
  <c r="AA315" i="254"/>
  <c r="Z315" i="254"/>
  <c r="Y315" i="254"/>
  <c r="X315" i="254"/>
  <c r="W315" i="254"/>
  <c r="V315" i="254"/>
  <c r="U315" i="254"/>
  <c r="T315" i="254"/>
  <c r="S315" i="254"/>
  <c r="R315" i="254"/>
  <c r="Q315" i="254"/>
  <c r="P315" i="254"/>
  <c r="O315" i="254"/>
  <c r="N315" i="254"/>
  <c r="M315" i="254"/>
  <c r="L315" i="254"/>
  <c r="K315" i="254"/>
  <c r="J315" i="254"/>
  <c r="I315" i="254"/>
  <c r="H315" i="254"/>
  <c r="G315" i="254"/>
  <c r="F315" i="254"/>
  <c r="E315" i="254"/>
  <c r="D315" i="254"/>
  <c r="C315" i="254"/>
  <c r="B315" i="254"/>
  <c r="A315" i="254"/>
  <c r="AF314" i="254"/>
  <c r="AE314" i="254"/>
  <c r="AD314" i="254"/>
  <c r="AC314" i="254"/>
  <c r="AB314" i="254"/>
  <c r="AA314" i="254"/>
  <c r="Z314" i="254"/>
  <c r="Y314" i="254"/>
  <c r="X314" i="254"/>
  <c r="W314" i="254"/>
  <c r="V314" i="254"/>
  <c r="U314" i="254"/>
  <c r="T314" i="254"/>
  <c r="S314" i="254"/>
  <c r="R314" i="254"/>
  <c r="Q314" i="254"/>
  <c r="P314" i="254"/>
  <c r="O314" i="254"/>
  <c r="N314" i="254"/>
  <c r="M314" i="254"/>
  <c r="L314" i="254"/>
  <c r="K314" i="254"/>
  <c r="J314" i="254"/>
  <c r="I314" i="254"/>
  <c r="H314" i="254"/>
  <c r="G314" i="254"/>
  <c r="F314" i="254"/>
  <c r="E314" i="254"/>
  <c r="D314" i="254"/>
  <c r="C314" i="254"/>
  <c r="B314" i="254"/>
  <c r="A314" i="254"/>
  <c r="AF313" i="254"/>
  <c r="AE313" i="254"/>
  <c r="AD313" i="254"/>
  <c r="AC313" i="254"/>
  <c r="AB313" i="254"/>
  <c r="AA313" i="254"/>
  <c r="Z313" i="254"/>
  <c r="Y313" i="254"/>
  <c r="X313" i="254"/>
  <c r="W313" i="254"/>
  <c r="V313" i="254"/>
  <c r="U313" i="254"/>
  <c r="T313" i="254"/>
  <c r="S313" i="254"/>
  <c r="R313" i="254"/>
  <c r="Q313" i="254"/>
  <c r="P313" i="254"/>
  <c r="O313" i="254"/>
  <c r="N313" i="254"/>
  <c r="M313" i="254"/>
  <c r="L313" i="254"/>
  <c r="K313" i="254"/>
  <c r="J313" i="254"/>
  <c r="I313" i="254"/>
  <c r="H313" i="254"/>
  <c r="G313" i="254"/>
  <c r="F313" i="254"/>
  <c r="E313" i="254"/>
  <c r="D313" i="254"/>
  <c r="C313" i="254"/>
  <c r="B313" i="254"/>
  <c r="A313" i="254"/>
  <c r="AF312" i="254"/>
  <c r="AE312" i="254"/>
  <c r="AD312" i="254"/>
  <c r="AC312" i="254"/>
  <c r="AB312" i="254"/>
  <c r="AA312" i="254"/>
  <c r="Z312" i="254"/>
  <c r="Y312" i="254"/>
  <c r="X312" i="254"/>
  <c r="W312" i="254"/>
  <c r="V312" i="254"/>
  <c r="U312" i="254"/>
  <c r="T312" i="254"/>
  <c r="S312" i="254"/>
  <c r="R312" i="254"/>
  <c r="Q312" i="254"/>
  <c r="P312" i="254"/>
  <c r="O312" i="254"/>
  <c r="N312" i="254"/>
  <c r="M312" i="254"/>
  <c r="L312" i="254"/>
  <c r="K312" i="254"/>
  <c r="J312" i="254"/>
  <c r="I312" i="254"/>
  <c r="H312" i="254"/>
  <c r="G312" i="254"/>
  <c r="F312" i="254"/>
  <c r="E312" i="254"/>
  <c r="D312" i="254"/>
  <c r="C312" i="254"/>
  <c r="B312" i="254"/>
  <c r="A312" i="254"/>
  <c r="AF311" i="254"/>
  <c r="AE311" i="254"/>
  <c r="AD311" i="254"/>
  <c r="AC311" i="254"/>
  <c r="AB311" i="254"/>
  <c r="AA311" i="254"/>
  <c r="Z311" i="254"/>
  <c r="Y311" i="254"/>
  <c r="X311" i="254"/>
  <c r="W311" i="254"/>
  <c r="V311" i="254"/>
  <c r="U311" i="254"/>
  <c r="T311" i="254"/>
  <c r="S311" i="254"/>
  <c r="R311" i="254"/>
  <c r="Q311" i="254"/>
  <c r="P311" i="254"/>
  <c r="O311" i="254"/>
  <c r="N311" i="254"/>
  <c r="M311" i="254"/>
  <c r="L311" i="254"/>
  <c r="K311" i="254"/>
  <c r="J311" i="254"/>
  <c r="I311" i="254"/>
  <c r="H311" i="254"/>
  <c r="G311" i="254"/>
  <c r="F311" i="254"/>
  <c r="E311" i="254"/>
  <c r="D311" i="254"/>
  <c r="C311" i="254"/>
  <c r="B311" i="254"/>
  <c r="A311" i="254"/>
  <c r="AF310" i="254"/>
  <c r="AE310" i="254"/>
  <c r="AD310" i="254"/>
  <c r="AC310" i="254"/>
  <c r="AB310" i="254"/>
  <c r="AA310" i="254"/>
  <c r="Z310" i="254"/>
  <c r="Y310" i="254"/>
  <c r="X310" i="254"/>
  <c r="W310" i="254"/>
  <c r="V310" i="254"/>
  <c r="U310" i="254"/>
  <c r="T310" i="254"/>
  <c r="S310" i="254"/>
  <c r="R310" i="254"/>
  <c r="Q310" i="254"/>
  <c r="P310" i="254"/>
  <c r="O310" i="254"/>
  <c r="N310" i="254"/>
  <c r="M310" i="254"/>
  <c r="L310" i="254"/>
  <c r="K310" i="254"/>
  <c r="J310" i="254"/>
  <c r="I310" i="254"/>
  <c r="H310" i="254"/>
  <c r="G310" i="254"/>
  <c r="F310" i="254"/>
  <c r="E310" i="254"/>
  <c r="D310" i="254"/>
  <c r="C310" i="254"/>
  <c r="B310" i="254"/>
  <c r="A310" i="254"/>
  <c r="AF309" i="254"/>
  <c r="AE309" i="254"/>
  <c r="AD309" i="254"/>
  <c r="AC309" i="254"/>
  <c r="AB309" i="254"/>
  <c r="AA309" i="254"/>
  <c r="Z309" i="254"/>
  <c r="Y309" i="254"/>
  <c r="X309" i="254"/>
  <c r="W309" i="254"/>
  <c r="V309" i="254"/>
  <c r="U309" i="254"/>
  <c r="T309" i="254"/>
  <c r="S309" i="254"/>
  <c r="R309" i="254"/>
  <c r="Q309" i="254"/>
  <c r="P309" i="254"/>
  <c r="O309" i="254"/>
  <c r="N309" i="254"/>
  <c r="M309" i="254"/>
  <c r="L309" i="254"/>
  <c r="K309" i="254"/>
  <c r="J309" i="254"/>
  <c r="I309" i="254"/>
  <c r="H309" i="254"/>
  <c r="G309" i="254"/>
  <c r="F309" i="254"/>
  <c r="E309" i="254"/>
  <c r="D309" i="254"/>
  <c r="C309" i="254"/>
  <c r="B309" i="254"/>
  <c r="A309" i="254"/>
  <c r="AF308" i="254"/>
  <c r="AE308" i="254"/>
  <c r="AD308" i="254"/>
  <c r="AC308" i="254"/>
  <c r="AB308" i="254"/>
  <c r="AA308" i="254"/>
  <c r="Z308" i="254"/>
  <c r="Y308" i="254"/>
  <c r="X308" i="254"/>
  <c r="W308" i="254"/>
  <c r="V308" i="254"/>
  <c r="U308" i="254"/>
  <c r="T308" i="254"/>
  <c r="S308" i="254"/>
  <c r="R308" i="254"/>
  <c r="Q308" i="254"/>
  <c r="P308" i="254"/>
  <c r="O308" i="254"/>
  <c r="N308" i="254"/>
  <c r="M308" i="254"/>
  <c r="L308" i="254"/>
  <c r="K308" i="254"/>
  <c r="J308" i="254"/>
  <c r="I308" i="254"/>
  <c r="H308" i="254"/>
  <c r="G308" i="254"/>
  <c r="F308" i="254"/>
  <c r="E308" i="254"/>
  <c r="D308" i="254"/>
  <c r="C308" i="254"/>
  <c r="B308" i="254"/>
  <c r="A308" i="254"/>
  <c r="AF307" i="254"/>
  <c r="AE307" i="254"/>
  <c r="AD307" i="254"/>
  <c r="AC307" i="254"/>
  <c r="AB307" i="254"/>
  <c r="AA307" i="254"/>
  <c r="Z307" i="254"/>
  <c r="Y307" i="254"/>
  <c r="X307" i="254"/>
  <c r="W307" i="254"/>
  <c r="V307" i="254"/>
  <c r="U307" i="254"/>
  <c r="T307" i="254"/>
  <c r="S307" i="254"/>
  <c r="R307" i="254"/>
  <c r="Q307" i="254"/>
  <c r="P307" i="254"/>
  <c r="O307" i="254"/>
  <c r="N307" i="254"/>
  <c r="M307" i="254"/>
  <c r="L307" i="254"/>
  <c r="K307" i="254"/>
  <c r="J307" i="254"/>
  <c r="I307" i="254"/>
  <c r="H307" i="254"/>
  <c r="G307" i="254"/>
  <c r="F307" i="254"/>
  <c r="E307" i="254"/>
  <c r="D307" i="254"/>
  <c r="C307" i="254"/>
  <c r="B307" i="254"/>
  <c r="A307" i="254"/>
  <c r="AF306" i="254"/>
  <c r="AE306" i="254"/>
  <c r="AD306" i="254"/>
  <c r="AC306" i="254"/>
  <c r="AB306" i="254"/>
  <c r="AA306" i="254"/>
  <c r="Z306" i="254"/>
  <c r="Y306" i="254"/>
  <c r="X306" i="254"/>
  <c r="W306" i="254"/>
  <c r="V306" i="254"/>
  <c r="U306" i="254"/>
  <c r="T306" i="254"/>
  <c r="S306" i="254"/>
  <c r="R306" i="254"/>
  <c r="Q306" i="254"/>
  <c r="P306" i="254"/>
  <c r="O306" i="254"/>
  <c r="N306" i="254"/>
  <c r="M306" i="254"/>
  <c r="L306" i="254"/>
  <c r="K306" i="254"/>
  <c r="J306" i="254"/>
  <c r="I306" i="254"/>
  <c r="H306" i="254"/>
  <c r="G306" i="254"/>
  <c r="F306" i="254"/>
  <c r="E306" i="254"/>
  <c r="D306" i="254"/>
  <c r="C306" i="254"/>
  <c r="B306" i="254"/>
  <c r="A306" i="254"/>
  <c r="AF305" i="254"/>
  <c r="AE305" i="254"/>
  <c r="AD305" i="254"/>
  <c r="AC305" i="254"/>
  <c r="AB305" i="254"/>
  <c r="AA305" i="254"/>
  <c r="Z305" i="254"/>
  <c r="Y305" i="254"/>
  <c r="X305" i="254"/>
  <c r="W305" i="254"/>
  <c r="V305" i="254"/>
  <c r="U305" i="254"/>
  <c r="T305" i="254"/>
  <c r="S305" i="254"/>
  <c r="R305" i="254"/>
  <c r="Q305" i="254"/>
  <c r="P305" i="254"/>
  <c r="O305" i="254"/>
  <c r="N305" i="254"/>
  <c r="M305" i="254"/>
  <c r="L305" i="254"/>
  <c r="K305" i="254"/>
  <c r="J305" i="254"/>
  <c r="I305" i="254"/>
  <c r="H305" i="254"/>
  <c r="G305" i="254"/>
  <c r="F305" i="254"/>
  <c r="E305" i="254"/>
  <c r="D305" i="254"/>
  <c r="C305" i="254"/>
  <c r="B305" i="254"/>
  <c r="A305" i="254"/>
  <c r="AF304" i="254"/>
  <c r="AE304" i="254"/>
  <c r="AD304" i="254"/>
  <c r="AC304" i="254"/>
  <c r="AB304" i="254"/>
  <c r="AA304" i="254"/>
  <c r="Z304" i="254"/>
  <c r="Y304" i="254"/>
  <c r="X304" i="254"/>
  <c r="W304" i="254"/>
  <c r="V304" i="254"/>
  <c r="U304" i="254"/>
  <c r="T304" i="254"/>
  <c r="S304" i="254"/>
  <c r="R304" i="254"/>
  <c r="Q304" i="254"/>
  <c r="P304" i="254"/>
  <c r="O304" i="254"/>
  <c r="N304" i="254"/>
  <c r="M304" i="254"/>
  <c r="L304" i="254"/>
  <c r="K304" i="254"/>
  <c r="J304" i="254"/>
  <c r="I304" i="254"/>
  <c r="H304" i="254"/>
  <c r="G304" i="254"/>
  <c r="F304" i="254"/>
  <c r="E304" i="254"/>
  <c r="D304" i="254"/>
  <c r="C304" i="254"/>
  <c r="B304" i="254"/>
  <c r="A304" i="254"/>
  <c r="AF303" i="254"/>
  <c r="AE303" i="254"/>
  <c r="AD303" i="254"/>
  <c r="AC303" i="254"/>
  <c r="AB303" i="254"/>
  <c r="AA303" i="254"/>
  <c r="Z303" i="254"/>
  <c r="Y303" i="254"/>
  <c r="X303" i="254"/>
  <c r="W303" i="254"/>
  <c r="V303" i="254"/>
  <c r="U303" i="254"/>
  <c r="T303" i="254"/>
  <c r="S303" i="254"/>
  <c r="R303" i="254"/>
  <c r="Q303" i="254"/>
  <c r="P303" i="254"/>
  <c r="O303" i="254"/>
  <c r="N303" i="254"/>
  <c r="M303" i="254"/>
  <c r="L303" i="254"/>
  <c r="K303" i="254"/>
  <c r="J303" i="254"/>
  <c r="I303" i="254"/>
  <c r="H303" i="254"/>
  <c r="G303" i="254"/>
  <c r="F303" i="254"/>
  <c r="E303" i="254"/>
  <c r="D303" i="254"/>
  <c r="C303" i="254"/>
  <c r="B303" i="254"/>
  <c r="A303" i="254"/>
  <c r="AF302" i="254"/>
  <c r="AE302" i="254"/>
  <c r="AD302" i="254"/>
  <c r="AC302" i="254"/>
  <c r="AB302" i="254"/>
  <c r="AA302" i="254"/>
  <c r="Z302" i="254"/>
  <c r="Y302" i="254"/>
  <c r="X302" i="254"/>
  <c r="W302" i="254"/>
  <c r="V302" i="254"/>
  <c r="U302" i="254"/>
  <c r="T302" i="254"/>
  <c r="S302" i="254"/>
  <c r="R302" i="254"/>
  <c r="Q302" i="254"/>
  <c r="P302" i="254"/>
  <c r="O302" i="254"/>
  <c r="N302" i="254"/>
  <c r="M302" i="254"/>
  <c r="L302" i="254"/>
  <c r="K302" i="254"/>
  <c r="J302" i="254"/>
  <c r="I302" i="254"/>
  <c r="H302" i="254"/>
  <c r="G302" i="254"/>
  <c r="F302" i="254"/>
  <c r="E302" i="254"/>
  <c r="D302" i="254"/>
  <c r="C302" i="254"/>
  <c r="B302" i="254"/>
  <c r="A302" i="254"/>
  <c r="AF301" i="254"/>
  <c r="AE301" i="254"/>
  <c r="AD301" i="254"/>
  <c r="AC301" i="254"/>
  <c r="AB301" i="254"/>
  <c r="AA301" i="254"/>
  <c r="Z301" i="254"/>
  <c r="Y301" i="254"/>
  <c r="X301" i="254"/>
  <c r="W301" i="254"/>
  <c r="V301" i="254"/>
  <c r="U301" i="254"/>
  <c r="T301" i="254"/>
  <c r="S301" i="254"/>
  <c r="R301" i="254"/>
  <c r="Q301" i="254"/>
  <c r="P301" i="254"/>
  <c r="O301" i="254"/>
  <c r="N301" i="254"/>
  <c r="M301" i="254"/>
  <c r="L301" i="254"/>
  <c r="K301" i="254"/>
  <c r="J301" i="254"/>
  <c r="I301" i="254"/>
  <c r="H301" i="254"/>
  <c r="G301" i="254"/>
  <c r="F301" i="254"/>
  <c r="E301" i="254"/>
  <c r="D301" i="254"/>
  <c r="C301" i="254"/>
  <c r="B301" i="254"/>
  <c r="A301" i="254"/>
  <c r="AF300" i="254"/>
  <c r="AE300" i="254"/>
  <c r="AD300" i="254"/>
  <c r="AC300" i="254"/>
  <c r="AB300" i="254"/>
  <c r="AA300" i="254"/>
  <c r="Z300" i="254"/>
  <c r="Y300" i="254"/>
  <c r="X300" i="254"/>
  <c r="W300" i="254"/>
  <c r="V300" i="254"/>
  <c r="U300" i="254"/>
  <c r="T300" i="254"/>
  <c r="S300" i="254"/>
  <c r="R300" i="254"/>
  <c r="Q300" i="254"/>
  <c r="P300" i="254"/>
  <c r="O300" i="254"/>
  <c r="N300" i="254"/>
  <c r="M300" i="254"/>
  <c r="L300" i="254"/>
  <c r="K300" i="254"/>
  <c r="J300" i="254"/>
  <c r="I300" i="254"/>
  <c r="H300" i="254"/>
  <c r="G300" i="254"/>
  <c r="F300" i="254"/>
  <c r="E300" i="254"/>
  <c r="D300" i="254"/>
  <c r="C300" i="254"/>
  <c r="B300" i="254"/>
  <c r="A300" i="254"/>
  <c r="AF299" i="254"/>
  <c r="AE299" i="254"/>
  <c r="AD299" i="254"/>
  <c r="AC299" i="254"/>
  <c r="AB299" i="254"/>
  <c r="AA299" i="254"/>
  <c r="Z299" i="254"/>
  <c r="Y299" i="254"/>
  <c r="X299" i="254"/>
  <c r="W299" i="254"/>
  <c r="V299" i="254"/>
  <c r="U299" i="254"/>
  <c r="T299" i="254"/>
  <c r="S299" i="254"/>
  <c r="R299" i="254"/>
  <c r="Q299" i="254"/>
  <c r="P299" i="254"/>
  <c r="O299" i="254"/>
  <c r="N299" i="254"/>
  <c r="M299" i="254"/>
  <c r="L299" i="254"/>
  <c r="K299" i="254"/>
  <c r="J299" i="254"/>
  <c r="I299" i="254"/>
  <c r="H299" i="254"/>
  <c r="G299" i="254"/>
  <c r="F299" i="254"/>
  <c r="E299" i="254"/>
  <c r="D299" i="254"/>
  <c r="C299" i="254"/>
  <c r="B299" i="254"/>
  <c r="A299" i="254"/>
  <c r="AF298" i="254"/>
  <c r="AE298" i="254"/>
  <c r="AD298" i="254"/>
  <c r="AC298" i="254"/>
  <c r="AB298" i="254"/>
  <c r="AA298" i="254"/>
  <c r="Z298" i="254"/>
  <c r="Y298" i="254"/>
  <c r="X298" i="254"/>
  <c r="W298" i="254"/>
  <c r="V298" i="254"/>
  <c r="U298" i="254"/>
  <c r="T298" i="254"/>
  <c r="S298" i="254"/>
  <c r="R298" i="254"/>
  <c r="Q298" i="254"/>
  <c r="P298" i="254"/>
  <c r="O298" i="254"/>
  <c r="N298" i="254"/>
  <c r="M298" i="254"/>
  <c r="L298" i="254"/>
  <c r="K298" i="254"/>
  <c r="J298" i="254"/>
  <c r="I298" i="254"/>
  <c r="H298" i="254"/>
  <c r="G298" i="254"/>
  <c r="F298" i="254"/>
  <c r="E298" i="254"/>
  <c r="D298" i="254"/>
  <c r="C298" i="254"/>
  <c r="B298" i="254"/>
  <c r="A298" i="254"/>
  <c r="AF297" i="254"/>
  <c r="AE297" i="254"/>
  <c r="AD297" i="254"/>
  <c r="AC297" i="254"/>
  <c r="AB297" i="254"/>
  <c r="AA297" i="254"/>
  <c r="Z297" i="254"/>
  <c r="Y297" i="254"/>
  <c r="X297" i="254"/>
  <c r="W297" i="254"/>
  <c r="V297" i="254"/>
  <c r="U297" i="254"/>
  <c r="T297" i="254"/>
  <c r="S297" i="254"/>
  <c r="R297" i="254"/>
  <c r="Q297" i="254"/>
  <c r="P297" i="254"/>
  <c r="O297" i="254"/>
  <c r="N297" i="254"/>
  <c r="M297" i="254"/>
  <c r="L297" i="254"/>
  <c r="K297" i="254"/>
  <c r="J297" i="254"/>
  <c r="I297" i="254"/>
  <c r="H297" i="254"/>
  <c r="G297" i="254"/>
  <c r="F297" i="254"/>
  <c r="E297" i="254"/>
  <c r="D297" i="254"/>
  <c r="C297" i="254"/>
  <c r="B297" i="254"/>
  <c r="A297" i="254"/>
  <c r="AF296" i="254"/>
  <c r="AE296" i="254"/>
  <c r="AD296" i="254"/>
  <c r="AC296" i="254"/>
  <c r="AB296" i="254"/>
  <c r="AA296" i="254"/>
  <c r="Z296" i="254"/>
  <c r="Y296" i="254"/>
  <c r="X296" i="254"/>
  <c r="W296" i="254"/>
  <c r="V296" i="254"/>
  <c r="U296" i="254"/>
  <c r="T296" i="254"/>
  <c r="S296" i="254"/>
  <c r="R296" i="254"/>
  <c r="Q296" i="254"/>
  <c r="P296" i="254"/>
  <c r="O296" i="254"/>
  <c r="N296" i="254"/>
  <c r="M296" i="254"/>
  <c r="L296" i="254"/>
  <c r="K296" i="254"/>
  <c r="J296" i="254"/>
  <c r="I296" i="254"/>
  <c r="H296" i="254"/>
  <c r="G296" i="254"/>
  <c r="F296" i="254"/>
  <c r="E296" i="254"/>
  <c r="D296" i="254"/>
  <c r="C296" i="254"/>
  <c r="B296" i="254"/>
  <c r="A296" i="254"/>
  <c r="AF295" i="254"/>
  <c r="AE295" i="254"/>
  <c r="AD295" i="254"/>
  <c r="AC295" i="254"/>
  <c r="AB295" i="254"/>
  <c r="AA295" i="254"/>
  <c r="Z295" i="254"/>
  <c r="Y295" i="254"/>
  <c r="X295" i="254"/>
  <c r="W295" i="254"/>
  <c r="V295" i="254"/>
  <c r="U295" i="254"/>
  <c r="T295" i="254"/>
  <c r="S295" i="254"/>
  <c r="R295" i="254"/>
  <c r="Q295" i="254"/>
  <c r="P295" i="254"/>
  <c r="O295" i="254"/>
  <c r="N295" i="254"/>
  <c r="M295" i="254"/>
  <c r="L295" i="254"/>
  <c r="K295" i="254"/>
  <c r="J295" i="254"/>
  <c r="I295" i="254"/>
  <c r="H295" i="254"/>
  <c r="G295" i="254"/>
  <c r="F295" i="254"/>
  <c r="E295" i="254"/>
  <c r="D295" i="254"/>
  <c r="C295" i="254"/>
  <c r="B295" i="254"/>
  <c r="A295" i="254"/>
  <c r="AF294" i="254"/>
  <c r="AE294" i="254"/>
  <c r="AD294" i="254"/>
  <c r="AC294" i="254"/>
  <c r="AB294" i="254"/>
  <c r="AA294" i="254"/>
  <c r="Z294" i="254"/>
  <c r="Y294" i="254"/>
  <c r="X294" i="254"/>
  <c r="W294" i="254"/>
  <c r="V294" i="254"/>
  <c r="U294" i="254"/>
  <c r="T294" i="254"/>
  <c r="S294" i="254"/>
  <c r="R294" i="254"/>
  <c r="Q294" i="254"/>
  <c r="P294" i="254"/>
  <c r="O294" i="254"/>
  <c r="N294" i="254"/>
  <c r="M294" i="254"/>
  <c r="L294" i="254"/>
  <c r="K294" i="254"/>
  <c r="J294" i="254"/>
  <c r="I294" i="254"/>
  <c r="H294" i="254"/>
  <c r="G294" i="254"/>
  <c r="F294" i="254"/>
  <c r="E294" i="254"/>
  <c r="D294" i="254"/>
  <c r="C294" i="254"/>
  <c r="B294" i="254"/>
  <c r="A294" i="254"/>
  <c r="AF293" i="254"/>
  <c r="AE293" i="254"/>
  <c r="AD293" i="254"/>
  <c r="AC293" i="254"/>
  <c r="AB293" i="254"/>
  <c r="AA293" i="254"/>
  <c r="Z293" i="254"/>
  <c r="Y293" i="254"/>
  <c r="X293" i="254"/>
  <c r="W293" i="254"/>
  <c r="V293" i="254"/>
  <c r="U293" i="254"/>
  <c r="T293" i="254"/>
  <c r="S293" i="254"/>
  <c r="R293" i="254"/>
  <c r="Q293" i="254"/>
  <c r="P293" i="254"/>
  <c r="O293" i="254"/>
  <c r="N293" i="254"/>
  <c r="M293" i="254"/>
  <c r="L293" i="254"/>
  <c r="K293" i="254"/>
  <c r="J293" i="254"/>
  <c r="I293" i="254"/>
  <c r="H293" i="254"/>
  <c r="G293" i="254"/>
  <c r="F293" i="254"/>
  <c r="E293" i="254"/>
  <c r="D293" i="254"/>
  <c r="C293" i="254"/>
  <c r="B293" i="254"/>
  <c r="A293" i="254"/>
  <c r="AF292" i="254"/>
  <c r="AE292" i="254"/>
  <c r="AD292" i="254"/>
  <c r="AC292" i="254"/>
  <c r="AB292" i="254"/>
  <c r="AA292" i="254"/>
  <c r="Z292" i="254"/>
  <c r="Y292" i="254"/>
  <c r="X292" i="254"/>
  <c r="W292" i="254"/>
  <c r="V292" i="254"/>
  <c r="U292" i="254"/>
  <c r="T292" i="254"/>
  <c r="S292" i="254"/>
  <c r="R292" i="254"/>
  <c r="Q292" i="254"/>
  <c r="P292" i="254"/>
  <c r="O292" i="254"/>
  <c r="N292" i="254"/>
  <c r="M292" i="254"/>
  <c r="L292" i="254"/>
  <c r="K292" i="254"/>
  <c r="J292" i="254"/>
  <c r="I292" i="254"/>
  <c r="H292" i="254"/>
  <c r="G292" i="254"/>
  <c r="F292" i="254"/>
  <c r="E292" i="254"/>
  <c r="D292" i="254"/>
  <c r="C292" i="254"/>
  <c r="B292" i="254"/>
  <c r="A292" i="254"/>
  <c r="AF291" i="254"/>
  <c r="AE291" i="254"/>
  <c r="AD291" i="254"/>
  <c r="AC291" i="254"/>
  <c r="AB291" i="254"/>
  <c r="AA291" i="254"/>
  <c r="Z291" i="254"/>
  <c r="Y291" i="254"/>
  <c r="X291" i="254"/>
  <c r="W291" i="254"/>
  <c r="V291" i="254"/>
  <c r="U291" i="254"/>
  <c r="T291" i="254"/>
  <c r="S291" i="254"/>
  <c r="R291" i="254"/>
  <c r="Q291" i="254"/>
  <c r="P291" i="254"/>
  <c r="O291" i="254"/>
  <c r="N291" i="254"/>
  <c r="M291" i="254"/>
  <c r="L291" i="254"/>
  <c r="K291" i="254"/>
  <c r="J291" i="254"/>
  <c r="I291" i="254"/>
  <c r="H291" i="254"/>
  <c r="G291" i="254"/>
  <c r="F291" i="254"/>
  <c r="E291" i="254"/>
  <c r="D291" i="254"/>
  <c r="C291" i="254"/>
  <c r="B291" i="254"/>
  <c r="A291" i="254"/>
  <c r="AF290" i="254"/>
  <c r="AE290" i="254"/>
  <c r="AD290" i="254"/>
  <c r="AC290" i="254"/>
  <c r="AB290" i="254"/>
  <c r="AA290" i="254"/>
  <c r="Z290" i="254"/>
  <c r="Y290" i="254"/>
  <c r="X290" i="254"/>
  <c r="W290" i="254"/>
  <c r="V290" i="254"/>
  <c r="U290" i="254"/>
  <c r="T290" i="254"/>
  <c r="S290" i="254"/>
  <c r="R290" i="254"/>
  <c r="Q290" i="254"/>
  <c r="P290" i="254"/>
  <c r="O290" i="254"/>
  <c r="N290" i="254"/>
  <c r="M290" i="254"/>
  <c r="L290" i="254"/>
  <c r="K290" i="254"/>
  <c r="J290" i="254"/>
  <c r="I290" i="254"/>
  <c r="H290" i="254"/>
  <c r="G290" i="254"/>
  <c r="F290" i="254"/>
  <c r="E290" i="254"/>
  <c r="D290" i="254"/>
  <c r="C290" i="254"/>
  <c r="B290" i="254"/>
  <c r="A290" i="254"/>
  <c r="AF289" i="254"/>
  <c r="AE289" i="254"/>
  <c r="AD289" i="254"/>
  <c r="AC289" i="254"/>
  <c r="AB289" i="254"/>
  <c r="AA289" i="254"/>
  <c r="Z289" i="254"/>
  <c r="Y289" i="254"/>
  <c r="X289" i="254"/>
  <c r="W289" i="254"/>
  <c r="V289" i="254"/>
  <c r="U289" i="254"/>
  <c r="T289" i="254"/>
  <c r="S289" i="254"/>
  <c r="R289" i="254"/>
  <c r="Q289" i="254"/>
  <c r="P289" i="254"/>
  <c r="O289" i="254"/>
  <c r="N289" i="254"/>
  <c r="M289" i="254"/>
  <c r="L289" i="254"/>
  <c r="K289" i="254"/>
  <c r="J289" i="254"/>
  <c r="I289" i="254"/>
  <c r="H289" i="254"/>
  <c r="G289" i="254"/>
  <c r="F289" i="254"/>
  <c r="E289" i="254"/>
  <c r="D289" i="254"/>
  <c r="C289" i="254"/>
  <c r="B289" i="254"/>
  <c r="A289" i="254"/>
  <c r="AF288" i="254"/>
  <c r="AE288" i="254"/>
  <c r="AD288" i="254"/>
  <c r="AC288" i="254"/>
  <c r="AB288" i="254"/>
  <c r="AA288" i="254"/>
  <c r="Z288" i="254"/>
  <c r="Y288" i="254"/>
  <c r="X288" i="254"/>
  <c r="W288" i="254"/>
  <c r="V288" i="254"/>
  <c r="U288" i="254"/>
  <c r="T288" i="254"/>
  <c r="S288" i="254"/>
  <c r="R288" i="254"/>
  <c r="Q288" i="254"/>
  <c r="P288" i="254"/>
  <c r="O288" i="254"/>
  <c r="N288" i="254"/>
  <c r="M288" i="254"/>
  <c r="L288" i="254"/>
  <c r="K288" i="254"/>
  <c r="J288" i="254"/>
  <c r="I288" i="254"/>
  <c r="H288" i="254"/>
  <c r="G288" i="254"/>
  <c r="F288" i="254"/>
  <c r="E288" i="254"/>
  <c r="D288" i="254"/>
  <c r="C288" i="254"/>
  <c r="B288" i="254"/>
  <c r="A288" i="254"/>
  <c r="AF287" i="254"/>
  <c r="AE287" i="254"/>
  <c r="AD287" i="254"/>
  <c r="AC287" i="254"/>
  <c r="AB287" i="254"/>
  <c r="AA287" i="254"/>
  <c r="Z287" i="254"/>
  <c r="Y287" i="254"/>
  <c r="X287" i="254"/>
  <c r="W287" i="254"/>
  <c r="V287" i="254"/>
  <c r="U287" i="254"/>
  <c r="T287" i="254"/>
  <c r="S287" i="254"/>
  <c r="R287" i="254"/>
  <c r="Q287" i="254"/>
  <c r="P287" i="254"/>
  <c r="O287" i="254"/>
  <c r="N287" i="254"/>
  <c r="M287" i="254"/>
  <c r="L287" i="254"/>
  <c r="K287" i="254"/>
  <c r="J287" i="254"/>
  <c r="I287" i="254"/>
  <c r="H287" i="254"/>
  <c r="G287" i="254"/>
  <c r="F287" i="254"/>
  <c r="E287" i="254"/>
  <c r="D287" i="254"/>
  <c r="C287" i="254"/>
  <c r="B287" i="254"/>
  <c r="A287" i="254"/>
  <c r="AF286" i="254"/>
  <c r="AE286" i="254"/>
  <c r="AD286" i="254"/>
  <c r="AC286" i="254"/>
  <c r="AB286" i="254"/>
  <c r="AA286" i="254"/>
  <c r="Z286" i="254"/>
  <c r="Y286" i="254"/>
  <c r="X286" i="254"/>
  <c r="W286" i="254"/>
  <c r="V286" i="254"/>
  <c r="U286" i="254"/>
  <c r="T286" i="254"/>
  <c r="S286" i="254"/>
  <c r="R286" i="254"/>
  <c r="Q286" i="254"/>
  <c r="P286" i="254"/>
  <c r="O286" i="254"/>
  <c r="N286" i="254"/>
  <c r="M286" i="254"/>
  <c r="L286" i="254"/>
  <c r="K286" i="254"/>
  <c r="J286" i="254"/>
  <c r="I286" i="254"/>
  <c r="H286" i="254"/>
  <c r="G286" i="254"/>
  <c r="F286" i="254"/>
  <c r="E286" i="254"/>
  <c r="D286" i="254"/>
  <c r="C286" i="254"/>
  <c r="B286" i="254"/>
  <c r="A286" i="254"/>
  <c r="AF285" i="254"/>
  <c r="AE285" i="254"/>
  <c r="AD285" i="254"/>
  <c r="AC285" i="254"/>
  <c r="AB285" i="254"/>
  <c r="AA285" i="254"/>
  <c r="Z285" i="254"/>
  <c r="Y285" i="254"/>
  <c r="X285" i="254"/>
  <c r="W285" i="254"/>
  <c r="V285" i="254"/>
  <c r="U285" i="254"/>
  <c r="T285" i="254"/>
  <c r="S285" i="254"/>
  <c r="R285" i="254"/>
  <c r="Q285" i="254"/>
  <c r="P285" i="254"/>
  <c r="O285" i="254"/>
  <c r="N285" i="254"/>
  <c r="M285" i="254"/>
  <c r="L285" i="254"/>
  <c r="K285" i="254"/>
  <c r="J285" i="254"/>
  <c r="I285" i="254"/>
  <c r="H285" i="254"/>
  <c r="G285" i="254"/>
  <c r="F285" i="254"/>
  <c r="E285" i="254"/>
  <c r="D285" i="254"/>
  <c r="C285" i="254"/>
  <c r="B285" i="254"/>
  <c r="A285" i="254"/>
  <c r="AF284" i="254"/>
  <c r="AE284" i="254"/>
  <c r="AD284" i="254"/>
  <c r="AC284" i="254"/>
  <c r="AB284" i="254"/>
  <c r="AA284" i="254"/>
  <c r="Z284" i="254"/>
  <c r="Y284" i="254"/>
  <c r="X284" i="254"/>
  <c r="W284" i="254"/>
  <c r="V284" i="254"/>
  <c r="U284" i="254"/>
  <c r="T284" i="254"/>
  <c r="S284" i="254"/>
  <c r="R284" i="254"/>
  <c r="Q284" i="254"/>
  <c r="P284" i="254"/>
  <c r="O284" i="254"/>
  <c r="N284" i="254"/>
  <c r="M284" i="254"/>
  <c r="L284" i="254"/>
  <c r="K284" i="254"/>
  <c r="J284" i="254"/>
  <c r="I284" i="254"/>
  <c r="H284" i="254"/>
  <c r="G284" i="254"/>
  <c r="F284" i="254"/>
  <c r="E284" i="254"/>
  <c r="D284" i="254"/>
  <c r="C284" i="254"/>
  <c r="B284" i="254"/>
  <c r="A284" i="254"/>
  <c r="AF283" i="254"/>
  <c r="AE283" i="254"/>
  <c r="AD283" i="254"/>
  <c r="AC283" i="254"/>
  <c r="AB283" i="254"/>
  <c r="AA283" i="254"/>
  <c r="Z283" i="254"/>
  <c r="Y283" i="254"/>
  <c r="X283" i="254"/>
  <c r="W283" i="254"/>
  <c r="V283" i="254"/>
  <c r="U283" i="254"/>
  <c r="T283" i="254"/>
  <c r="S283" i="254"/>
  <c r="R283" i="254"/>
  <c r="Q283" i="254"/>
  <c r="P283" i="254"/>
  <c r="O283" i="254"/>
  <c r="N283" i="254"/>
  <c r="M283" i="254"/>
  <c r="L283" i="254"/>
  <c r="K283" i="254"/>
  <c r="J283" i="254"/>
  <c r="I283" i="254"/>
  <c r="H283" i="254"/>
  <c r="G283" i="254"/>
  <c r="F283" i="254"/>
  <c r="E283" i="254"/>
  <c r="D283" i="254"/>
  <c r="C283" i="254"/>
  <c r="B283" i="254"/>
  <c r="A283" i="254"/>
  <c r="AF282" i="254"/>
  <c r="AE282" i="254"/>
  <c r="AD282" i="254"/>
  <c r="AC282" i="254"/>
  <c r="AB282" i="254"/>
  <c r="AA282" i="254"/>
  <c r="Z282" i="254"/>
  <c r="Y282" i="254"/>
  <c r="X282" i="254"/>
  <c r="W282" i="254"/>
  <c r="V282" i="254"/>
  <c r="U282" i="254"/>
  <c r="T282" i="254"/>
  <c r="S282" i="254"/>
  <c r="R282" i="254"/>
  <c r="Q282" i="254"/>
  <c r="P282" i="254"/>
  <c r="O282" i="254"/>
  <c r="N282" i="254"/>
  <c r="M282" i="254"/>
  <c r="L282" i="254"/>
  <c r="K282" i="254"/>
  <c r="J282" i="254"/>
  <c r="I282" i="254"/>
  <c r="H282" i="254"/>
  <c r="G282" i="254"/>
  <c r="F282" i="254"/>
  <c r="E282" i="254"/>
  <c r="D282" i="254"/>
  <c r="C282" i="254"/>
  <c r="B282" i="254"/>
  <c r="A282" i="254"/>
  <c r="AF281" i="254"/>
  <c r="AE281" i="254"/>
  <c r="AD281" i="254"/>
  <c r="AC281" i="254"/>
  <c r="AB281" i="254"/>
  <c r="AA281" i="254"/>
  <c r="Z281" i="254"/>
  <c r="Y281" i="254"/>
  <c r="X281" i="254"/>
  <c r="W281" i="254"/>
  <c r="V281" i="254"/>
  <c r="U281" i="254"/>
  <c r="T281" i="254"/>
  <c r="S281" i="254"/>
  <c r="R281" i="254"/>
  <c r="Q281" i="254"/>
  <c r="P281" i="254"/>
  <c r="O281" i="254"/>
  <c r="N281" i="254"/>
  <c r="M281" i="254"/>
  <c r="L281" i="254"/>
  <c r="K281" i="254"/>
  <c r="J281" i="254"/>
  <c r="I281" i="254"/>
  <c r="H281" i="254"/>
  <c r="G281" i="254"/>
  <c r="F281" i="254"/>
  <c r="E281" i="254"/>
  <c r="D281" i="254"/>
  <c r="C281" i="254"/>
  <c r="B281" i="254"/>
  <c r="A281" i="254"/>
  <c r="AF280" i="254"/>
  <c r="AE280" i="254"/>
  <c r="AD280" i="254"/>
  <c r="AC280" i="254"/>
  <c r="AB280" i="254"/>
  <c r="AA280" i="254"/>
  <c r="Z280" i="254"/>
  <c r="Y280" i="254"/>
  <c r="X280" i="254"/>
  <c r="W280" i="254"/>
  <c r="V280" i="254"/>
  <c r="U280" i="254"/>
  <c r="T280" i="254"/>
  <c r="S280" i="254"/>
  <c r="R280" i="254"/>
  <c r="Q280" i="254"/>
  <c r="P280" i="254"/>
  <c r="O280" i="254"/>
  <c r="N280" i="254"/>
  <c r="M280" i="254"/>
  <c r="L280" i="254"/>
  <c r="K280" i="254"/>
  <c r="J280" i="254"/>
  <c r="I280" i="254"/>
  <c r="H280" i="254"/>
  <c r="G280" i="254"/>
  <c r="F280" i="254"/>
  <c r="E280" i="254"/>
  <c r="D280" i="254"/>
  <c r="C280" i="254"/>
  <c r="B280" i="254"/>
  <c r="A280" i="254"/>
  <c r="AF279" i="254"/>
  <c r="AE279" i="254"/>
  <c r="AD279" i="254"/>
  <c r="AC279" i="254"/>
  <c r="AB279" i="254"/>
  <c r="AA279" i="254"/>
  <c r="Z279" i="254"/>
  <c r="Y279" i="254"/>
  <c r="X279" i="254"/>
  <c r="W279" i="254"/>
  <c r="V279" i="254"/>
  <c r="U279" i="254"/>
  <c r="T279" i="254"/>
  <c r="S279" i="254"/>
  <c r="R279" i="254"/>
  <c r="Q279" i="254"/>
  <c r="P279" i="254"/>
  <c r="O279" i="254"/>
  <c r="N279" i="254"/>
  <c r="M279" i="254"/>
  <c r="L279" i="254"/>
  <c r="K279" i="254"/>
  <c r="J279" i="254"/>
  <c r="I279" i="254"/>
  <c r="H279" i="254"/>
  <c r="G279" i="254"/>
  <c r="F279" i="254"/>
  <c r="E279" i="254"/>
  <c r="D279" i="254"/>
  <c r="C279" i="254"/>
  <c r="B279" i="254"/>
  <c r="A279" i="254"/>
  <c r="AF278" i="254"/>
  <c r="AE278" i="254"/>
  <c r="AD278" i="254"/>
  <c r="AC278" i="254"/>
  <c r="AB278" i="254"/>
  <c r="AA278" i="254"/>
  <c r="Z278" i="254"/>
  <c r="Y278" i="254"/>
  <c r="X278" i="254"/>
  <c r="W278" i="254"/>
  <c r="V278" i="254"/>
  <c r="U278" i="254"/>
  <c r="T278" i="254"/>
  <c r="S278" i="254"/>
  <c r="R278" i="254"/>
  <c r="Q278" i="254"/>
  <c r="P278" i="254"/>
  <c r="O278" i="254"/>
  <c r="N278" i="254"/>
  <c r="M278" i="254"/>
  <c r="L278" i="254"/>
  <c r="K278" i="254"/>
  <c r="J278" i="254"/>
  <c r="I278" i="254"/>
  <c r="H278" i="254"/>
  <c r="G278" i="254"/>
  <c r="F278" i="254"/>
  <c r="E278" i="254"/>
  <c r="D278" i="254"/>
  <c r="C278" i="254"/>
  <c r="B278" i="254"/>
  <c r="A278" i="254"/>
  <c r="AF277" i="254"/>
  <c r="AE277" i="254"/>
  <c r="AD277" i="254"/>
  <c r="AC277" i="254"/>
  <c r="AB277" i="254"/>
  <c r="AA277" i="254"/>
  <c r="Z277" i="254"/>
  <c r="Y277" i="254"/>
  <c r="X277" i="254"/>
  <c r="W277" i="254"/>
  <c r="V277" i="254"/>
  <c r="U277" i="254"/>
  <c r="T277" i="254"/>
  <c r="S277" i="254"/>
  <c r="R277" i="254"/>
  <c r="Q277" i="254"/>
  <c r="P277" i="254"/>
  <c r="O277" i="254"/>
  <c r="N277" i="254"/>
  <c r="M277" i="254"/>
  <c r="L277" i="254"/>
  <c r="K277" i="254"/>
  <c r="J277" i="254"/>
  <c r="I277" i="254"/>
  <c r="H277" i="254"/>
  <c r="G277" i="254"/>
  <c r="F277" i="254"/>
  <c r="E277" i="254"/>
  <c r="D277" i="254"/>
  <c r="C277" i="254"/>
  <c r="B277" i="254"/>
  <c r="A277" i="254"/>
  <c r="AF276" i="254"/>
  <c r="AE276" i="254"/>
  <c r="AD276" i="254"/>
  <c r="AC276" i="254"/>
  <c r="AB276" i="254"/>
  <c r="AA276" i="254"/>
  <c r="Z276" i="254"/>
  <c r="Y276" i="254"/>
  <c r="X276" i="254"/>
  <c r="W276" i="254"/>
  <c r="V276" i="254"/>
  <c r="U276" i="254"/>
  <c r="T276" i="254"/>
  <c r="S276" i="254"/>
  <c r="R276" i="254"/>
  <c r="Q276" i="254"/>
  <c r="P276" i="254"/>
  <c r="O276" i="254"/>
  <c r="N276" i="254"/>
  <c r="M276" i="254"/>
  <c r="L276" i="254"/>
  <c r="K276" i="254"/>
  <c r="J276" i="254"/>
  <c r="I276" i="254"/>
  <c r="H276" i="254"/>
  <c r="G276" i="254"/>
  <c r="F276" i="254"/>
  <c r="E276" i="254"/>
  <c r="D276" i="254"/>
  <c r="C276" i="254"/>
  <c r="B276" i="254"/>
  <c r="A276" i="254"/>
  <c r="AF275" i="254"/>
  <c r="AE275" i="254"/>
  <c r="AD275" i="254"/>
  <c r="AC275" i="254"/>
  <c r="AB275" i="254"/>
  <c r="AA275" i="254"/>
  <c r="Z275" i="254"/>
  <c r="Y275" i="254"/>
  <c r="X275" i="254"/>
  <c r="W275" i="254"/>
  <c r="V275" i="254"/>
  <c r="U275" i="254"/>
  <c r="T275" i="254"/>
  <c r="S275" i="254"/>
  <c r="R275" i="254"/>
  <c r="Q275" i="254"/>
  <c r="P275" i="254"/>
  <c r="O275" i="254"/>
  <c r="N275" i="254"/>
  <c r="M275" i="254"/>
  <c r="L275" i="254"/>
  <c r="K275" i="254"/>
  <c r="J275" i="254"/>
  <c r="I275" i="254"/>
  <c r="H275" i="254"/>
  <c r="G275" i="254"/>
  <c r="F275" i="254"/>
  <c r="E275" i="254"/>
  <c r="D275" i="254"/>
  <c r="C275" i="254"/>
  <c r="B275" i="254"/>
  <c r="A275" i="254"/>
  <c r="AF274" i="254"/>
  <c r="AE274" i="254"/>
  <c r="AD274" i="254"/>
  <c r="AC274" i="254"/>
  <c r="AB274" i="254"/>
  <c r="AA274" i="254"/>
  <c r="Z274" i="254"/>
  <c r="Y274" i="254"/>
  <c r="X274" i="254"/>
  <c r="W274" i="254"/>
  <c r="V274" i="254"/>
  <c r="U274" i="254"/>
  <c r="T274" i="254"/>
  <c r="S274" i="254"/>
  <c r="R274" i="254"/>
  <c r="Q274" i="254"/>
  <c r="P274" i="254"/>
  <c r="O274" i="254"/>
  <c r="N274" i="254"/>
  <c r="M274" i="254"/>
  <c r="L274" i="254"/>
  <c r="K274" i="254"/>
  <c r="J274" i="254"/>
  <c r="I274" i="254"/>
  <c r="H274" i="254"/>
  <c r="G274" i="254"/>
  <c r="F274" i="254"/>
  <c r="E274" i="254"/>
  <c r="D274" i="254"/>
  <c r="C274" i="254"/>
  <c r="B274" i="254"/>
  <c r="A274" i="254"/>
  <c r="AF273" i="254"/>
  <c r="AE273" i="254"/>
  <c r="AD273" i="254"/>
  <c r="AC273" i="254"/>
  <c r="AB273" i="254"/>
  <c r="AA273" i="254"/>
  <c r="Z273" i="254"/>
  <c r="Y273" i="254"/>
  <c r="X273" i="254"/>
  <c r="W273" i="254"/>
  <c r="V273" i="254"/>
  <c r="U273" i="254"/>
  <c r="T273" i="254"/>
  <c r="S273" i="254"/>
  <c r="R273" i="254"/>
  <c r="Q273" i="254"/>
  <c r="P273" i="254"/>
  <c r="O273" i="254"/>
  <c r="N273" i="254"/>
  <c r="M273" i="254"/>
  <c r="L273" i="254"/>
  <c r="K273" i="254"/>
  <c r="J273" i="254"/>
  <c r="I273" i="254"/>
  <c r="H273" i="254"/>
  <c r="G273" i="254"/>
  <c r="F273" i="254"/>
  <c r="E273" i="254"/>
  <c r="D273" i="254"/>
  <c r="C273" i="254"/>
  <c r="B273" i="254"/>
  <c r="A273" i="254"/>
  <c r="AF272" i="254"/>
  <c r="AE272" i="254"/>
  <c r="AD272" i="254"/>
  <c r="AC272" i="254"/>
  <c r="AB272" i="254"/>
  <c r="AA272" i="254"/>
  <c r="Z272" i="254"/>
  <c r="Y272" i="254"/>
  <c r="X272" i="254"/>
  <c r="W272" i="254"/>
  <c r="V272" i="254"/>
  <c r="U272" i="254"/>
  <c r="T272" i="254"/>
  <c r="S272" i="254"/>
  <c r="R272" i="254"/>
  <c r="Q272" i="254"/>
  <c r="P272" i="254"/>
  <c r="O272" i="254"/>
  <c r="N272" i="254"/>
  <c r="M272" i="254"/>
  <c r="L272" i="254"/>
  <c r="K272" i="254"/>
  <c r="J272" i="254"/>
  <c r="I272" i="254"/>
  <c r="H272" i="254"/>
  <c r="G272" i="254"/>
  <c r="F272" i="254"/>
  <c r="E272" i="254"/>
  <c r="D272" i="254"/>
  <c r="C272" i="254"/>
  <c r="B272" i="254"/>
  <c r="A272" i="254"/>
  <c r="AF271" i="254"/>
  <c r="AE271" i="254"/>
  <c r="AD271" i="254"/>
  <c r="AC271" i="254"/>
  <c r="AB271" i="254"/>
  <c r="AA271" i="254"/>
  <c r="Z271" i="254"/>
  <c r="Y271" i="254"/>
  <c r="X271" i="254"/>
  <c r="W271" i="254"/>
  <c r="V271" i="254"/>
  <c r="U271" i="254"/>
  <c r="T271" i="254"/>
  <c r="S271" i="254"/>
  <c r="R271" i="254"/>
  <c r="Q271" i="254"/>
  <c r="P271" i="254"/>
  <c r="O271" i="254"/>
  <c r="N271" i="254"/>
  <c r="M271" i="254"/>
  <c r="L271" i="254"/>
  <c r="K271" i="254"/>
  <c r="J271" i="254"/>
  <c r="I271" i="254"/>
  <c r="H271" i="254"/>
  <c r="G271" i="254"/>
  <c r="F271" i="254"/>
  <c r="E271" i="254"/>
  <c r="D271" i="254"/>
  <c r="C271" i="254"/>
  <c r="B271" i="254"/>
  <c r="A271" i="254"/>
  <c r="AF270" i="254"/>
  <c r="AE270" i="254"/>
  <c r="AD270" i="254"/>
  <c r="AC270" i="254"/>
  <c r="AB270" i="254"/>
  <c r="AA270" i="254"/>
  <c r="Z270" i="254"/>
  <c r="Y270" i="254"/>
  <c r="X270" i="254"/>
  <c r="W270" i="254"/>
  <c r="V270" i="254"/>
  <c r="U270" i="254"/>
  <c r="T270" i="254"/>
  <c r="S270" i="254"/>
  <c r="R270" i="254"/>
  <c r="Q270" i="254"/>
  <c r="P270" i="254"/>
  <c r="O270" i="254"/>
  <c r="N270" i="254"/>
  <c r="M270" i="254"/>
  <c r="L270" i="254"/>
  <c r="K270" i="254"/>
  <c r="J270" i="254"/>
  <c r="I270" i="254"/>
  <c r="H270" i="254"/>
  <c r="G270" i="254"/>
  <c r="F270" i="254"/>
  <c r="E270" i="254"/>
  <c r="D270" i="254"/>
  <c r="C270" i="254"/>
  <c r="B270" i="254"/>
  <c r="A270" i="254"/>
  <c r="AF269" i="254"/>
  <c r="AE269" i="254"/>
  <c r="AD269" i="254"/>
  <c r="AC269" i="254"/>
  <c r="AB269" i="254"/>
  <c r="AA269" i="254"/>
  <c r="Z269" i="254"/>
  <c r="Y269" i="254"/>
  <c r="X269" i="254"/>
  <c r="W269" i="254"/>
  <c r="V269" i="254"/>
  <c r="U269" i="254"/>
  <c r="T269" i="254"/>
  <c r="S269" i="254"/>
  <c r="R269" i="254"/>
  <c r="Q269" i="254"/>
  <c r="P269" i="254"/>
  <c r="O269" i="254"/>
  <c r="N269" i="254"/>
  <c r="M269" i="254"/>
  <c r="L269" i="254"/>
  <c r="K269" i="254"/>
  <c r="J269" i="254"/>
  <c r="I269" i="254"/>
  <c r="H269" i="254"/>
  <c r="G269" i="254"/>
  <c r="F269" i="254"/>
  <c r="E269" i="254"/>
  <c r="D269" i="254"/>
  <c r="C269" i="254"/>
  <c r="B269" i="254"/>
  <c r="A269" i="254"/>
  <c r="AF268" i="254"/>
  <c r="AE268" i="254"/>
  <c r="AD268" i="254"/>
  <c r="AC268" i="254"/>
  <c r="AB268" i="254"/>
  <c r="AA268" i="254"/>
  <c r="Z268" i="254"/>
  <c r="Y268" i="254"/>
  <c r="X268" i="254"/>
  <c r="W268" i="254"/>
  <c r="V268" i="254"/>
  <c r="U268" i="254"/>
  <c r="T268" i="254"/>
  <c r="S268" i="254"/>
  <c r="R268" i="254"/>
  <c r="Q268" i="254"/>
  <c r="P268" i="254"/>
  <c r="O268" i="254"/>
  <c r="N268" i="254"/>
  <c r="M268" i="254"/>
  <c r="L268" i="254"/>
  <c r="K268" i="254"/>
  <c r="J268" i="254"/>
  <c r="I268" i="254"/>
  <c r="H268" i="254"/>
  <c r="G268" i="254"/>
  <c r="F268" i="254"/>
  <c r="E268" i="254"/>
  <c r="D268" i="254"/>
  <c r="C268" i="254"/>
  <c r="B268" i="254"/>
  <c r="A268" i="254"/>
  <c r="AF267" i="254"/>
  <c r="AE267" i="254"/>
  <c r="AD267" i="254"/>
  <c r="AC267" i="254"/>
  <c r="AB267" i="254"/>
  <c r="AA267" i="254"/>
  <c r="Z267" i="254"/>
  <c r="Y267" i="254"/>
  <c r="X267" i="254"/>
  <c r="W267" i="254"/>
  <c r="V267" i="254"/>
  <c r="U267" i="254"/>
  <c r="T267" i="254"/>
  <c r="S267" i="254"/>
  <c r="R267" i="254"/>
  <c r="Q267" i="254"/>
  <c r="P267" i="254"/>
  <c r="O267" i="254"/>
  <c r="N267" i="254"/>
  <c r="M267" i="254"/>
  <c r="L267" i="254"/>
  <c r="K267" i="254"/>
  <c r="J267" i="254"/>
  <c r="I267" i="254"/>
  <c r="H267" i="254"/>
  <c r="G267" i="254"/>
  <c r="F267" i="254"/>
  <c r="E267" i="254"/>
  <c r="D267" i="254"/>
  <c r="C267" i="254"/>
  <c r="B267" i="254"/>
  <c r="A267" i="254"/>
  <c r="AF266" i="254"/>
  <c r="AE266" i="254"/>
  <c r="AD266" i="254"/>
  <c r="AC266" i="254"/>
  <c r="AB266" i="254"/>
  <c r="AA266" i="254"/>
  <c r="Z266" i="254"/>
  <c r="Y266" i="254"/>
  <c r="X266" i="254"/>
  <c r="W266" i="254"/>
  <c r="V266" i="254"/>
  <c r="U266" i="254"/>
  <c r="T266" i="254"/>
  <c r="S266" i="254"/>
  <c r="R266" i="254"/>
  <c r="Q266" i="254"/>
  <c r="P266" i="254"/>
  <c r="O266" i="254"/>
  <c r="N266" i="254"/>
  <c r="M266" i="254"/>
  <c r="L266" i="254"/>
  <c r="K266" i="254"/>
  <c r="J266" i="254"/>
  <c r="I266" i="254"/>
  <c r="H266" i="254"/>
  <c r="G266" i="254"/>
  <c r="F266" i="254"/>
  <c r="E266" i="254"/>
  <c r="D266" i="254"/>
  <c r="C266" i="254"/>
  <c r="B266" i="254"/>
  <c r="A266" i="254"/>
  <c r="AF265" i="254"/>
  <c r="AE265" i="254"/>
  <c r="AD265" i="254"/>
  <c r="AC265" i="254"/>
  <c r="AB265" i="254"/>
  <c r="AA265" i="254"/>
  <c r="Z265" i="254"/>
  <c r="Y265" i="254"/>
  <c r="X265" i="254"/>
  <c r="W265" i="254"/>
  <c r="V265" i="254"/>
  <c r="U265" i="254"/>
  <c r="T265" i="254"/>
  <c r="S265" i="254"/>
  <c r="R265" i="254"/>
  <c r="Q265" i="254"/>
  <c r="P265" i="254"/>
  <c r="O265" i="254"/>
  <c r="N265" i="254"/>
  <c r="M265" i="254"/>
  <c r="L265" i="254"/>
  <c r="K265" i="254"/>
  <c r="J265" i="254"/>
  <c r="I265" i="254"/>
  <c r="H265" i="254"/>
  <c r="G265" i="254"/>
  <c r="F265" i="254"/>
  <c r="E265" i="254"/>
  <c r="D265" i="254"/>
  <c r="C265" i="254"/>
  <c r="B265" i="254"/>
  <c r="A265" i="254"/>
  <c r="AF264" i="254"/>
  <c r="AE264" i="254"/>
  <c r="AD264" i="254"/>
  <c r="AC264" i="254"/>
  <c r="AB264" i="254"/>
  <c r="AA264" i="254"/>
  <c r="Z264" i="254"/>
  <c r="Y264" i="254"/>
  <c r="X264" i="254"/>
  <c r="W264" i="254"/>
  <c r="V264" i="254"/>
  <c r="U264" i="254"/>
  <c r="T264" i="254"/>
  <c r="S264" i="254"/>
  <c r="R264" i="254"/>
  <c r="Q264" i="254"/>
  <c r="P264" i="254"/>
  <c r="O264" i="254"/>
  <c r="N264" i="254"/>
  <c r="M264" i="254"/>
  <c r="L264" i="254"/>
  <c r="K264" i="254"/>
  <c r="J264" i="254"/>
  <c r="I264" i="254"/>
  <c r="H264" i="254"/>
  <c r="G264" i="254"/>
  <c r="F264" i="254"/>
  <c r="E264" i="254"/>
  <c r="D264" i="254"/>
  <c r="C264" i="254"/>
  <c r="B264" i="254"/>
  <c r="A264" i="254"/>
  <c r="AF263" i="254"/>
  <c r="AE263" i="254"/>
  <c r="AD263" i="254"/>
  <c r="AC263" i="254"/>
  <c r="AB263" i="254"/>
  <c r="AA263" i="254"/>
  <c r="Z263" i="254"/>
  <c r="Y263" i="254"/>
  <c r="X263" i="254"/>
  <c r="W263" i="254"/>
  <c r="V263" i="254"/>
  <c r="U263" i="254"/>
  <c r="T263" i="254"/>
  <c r="S263" i="254"/>
  <c r="R263" i="254"/>
  <c r="Q263" i="254"/>
  <c r="P263" i="254"/>
  <c r="O263" i="254"/>
  <c r="N263" i="254"/>
  <c r="M263" i="254"/>
  <c r="L263" i="254"/>
  <c r="K263" i="254"/>
  <c r="J263" i="254"/>
  <c r="I263" i="254"/>
  <c r="H263" i="254"/>
  <c r="G263" i="254"/>
  <c r="F263" i="254"/>
  <c r="E263" i="254"/>
  <c r="D263" i="254"/>
  <c r="C263" i="254"/>
  <c r="B263" i="254"/>
  <c r="A263" i="254"/>
  <c r="AF262" i="254"/>
  <c r="AE262" i="254"/>
  <c r="AD262" i="254"/>
  <c r="AC262" i="254"/>
  <c r="AB262" i="254"/>
  <c r="AA262" i="254"/>
  <c r="Z262" i="254"/>
  <c r="Y262" i="254"/>
  <c r="X262" i="254"/>
  <c r="W262" i="254"/>
  <c r="V262" i="254"/>
  <c r="U262" i="254"/>
  <c r="T262" i="254"/>
  <c r="S262" i="254"/>
  <c r="R262" i="254"/>
  <c r="Q262" i="254"/>
  <c r="P262" i="254"/>
  <c r="O262" i="254"/>
  <c r="N262" i="254"/>
  <c r="M262" i="254"/>
  <c r="L262" i="254"/>
  <c r="K262" i="254"/>
  <c r="J262" i="254"/>
  <c r="I262" i="254"/>
  <c r="H262" i="254"/>
  <c r="G262" i="254"/>
  <c r="F262" i="254"/>
  <c r="E262" i="254"/>
  <c r="D262" i="254"/>
  <c r="C262" i="254"/>
  <c r="B262" i="254"/>
  <c r="A262" i="254"/>
  <c r="AF261" i="254"/>
  <c r="AE261" i="254"/>
  <c r="AD261" i="254"/>
  <c r="AC261" i="254"/>
  <c r="AB261" i="254"/>
  <c r="AA261" i="254"/>
  <c r="Z261" i="254"/>
  <c r="Y261" i="254"/>
  <c r="X261" i="254"/>
  <c r="W261" i="254"/>
  <c r="V261" i="254"/>
  <c r="U261" i="254"/>
  <c r="T261" i="254"/>
  <c r="S261" i="254"/>
  <c r="R261" i="254"/>
  <c r="Q261" i="254"/>
  <c r="P261" i="254"/>
  <c r="O261" i="254"/>
  <c r="N261" i="254"/>
  <c r="M261" i="254"/>
  <c r="L261" i="254"/>
  <c r="K261" i="254"/>
  <c r="J261" i="254"/>
  <c r="I261" i="254"/>
  <c r="H261" i="254"/>
  <c r="G261" i="254"/>
  <c r="F261" i="254"/>
  <c r="E261" i="254"/>
  <c r="D261" i="254"/>
  <c r="C261" i="254"/>
  <c r="B261" i="254"/>
  <c r="A261" i="254"/>
  <c r="AF260" i="254"/>
  <c r="AE260" i="254"/>
  <c r="AD260" i="254"/>
  <c r="AC260" i="254"/>
  <c r="AB260" i="254"/>
  <c r="AA260" i="254"/>
  <c r="Z260" i="254"/>
  <c r="Y260" i="254"/>
  <c r="X260" i="254"/>
  <c r="W260" i="254"/>
  <c r="V260" i="254"/>
  <c r="U260" i="254"/>
  <c r="T260" i="254"/>
  <c r="S260" i="254"/>
  <c r="R260" i="254"/>
  <c r="Q260" i="254"/>
  <c r="P260" i="254"/>
  <c r="O260" i="254"/>
  <c r="N260" i="254"/>
  <c r="M260" i="254"/>
  <c r="L260" i="254"/>
  <c r="K260" i="254"/>
  <c r="J260" i="254"/>
  <c r="I260" i="254"/>
  <c r="H260" i="254"/>
  <c r="G260" i="254"/>
  <c r="F260" i="254"/>
  <c r="E260" i="254"/>
  <c r="D260" i="254"/>
  <c r="C260" i="254"/>
  <c r="B260" i="254"/>
  <c r="A260" i="254"/>
  <c r="AF259" i="254"/>
  <c r="AE259" i="254"/>
  <c r="AD259" i="254"/>
  <c r="AC259" i="254"/>
  <c r="AB259" i="254"/>
  <c r="AA259" i="254"/>
  <c r="Z259" i="254"/>
  <c r="Y259" i="254"/>
  <c r="X259" i="254"/>
  <c r="W259" i="254"/>
  <c r="V259" i="254"/>
  <c r="U259" i="254"/>
  <c r="T259" i="254"/>
  <c r="S259" i="254"/>
  <c r="R259" i="254"/>
  <c r="Q259" i="254"/>
  <c r="P259" i="254"/>
  <c r="O259" i="254"/>
  <c r="N259" i="254"/>
  <c r="M259" i="254"/>
  <c r="L259" i="254"/>
  <c r="K259" i="254"/>
  <c r="J259" i="254"/>
  <c r="I259" i="254"/>
  <c r="H259" i="254"/>
  <c r="G259" i="254"/>
  <c r="F259" i="254"/>
  <c r="E259" i="254"/>
  <c r="D259" i="254"/>
  <c r="C259" i="254"/>
  <c r="B259" i="254"/>
  <c r="A259" i="254"/>
  <c r="AF258" i="254"/>
  <c r="AE258" i="254"/>
  <c r="AD258" i="254"/>
  <c r="AC258" i="254"/>
  <c r="AB258" i="254"/>
  <c r="AA258" i="254"/>
  <c r="Z258" i="254"/>
  <c r="Y258" i="254"/>
  <c r="X258" i="254"/>
  <c r="W258" i="254"/>
  <c r="V258" i="254"/>
  <c r="U258" i="254"/>
  <c r="T258" i="254"/>
  <c r="S258" i="254"/>
  <c r="R258" i="254"/>
  <c r="Q258" i="254"/>
  <c r="P258" i="254"/>
  <c r="O258" i="254"/>
  <c r="N258" i="254"/>
  <c r="M258" i="254"/>
  <c r="L258" i="254"/>
  <c r="K258" i="254"/>
  <c r="J258" i="254"/>
  <c r="I258" i="254"/>
  <c r="H258" i="254"/>
  <c r="G258" i="254"/>
  <c r="F258" i="254"/>
  <c r="E258" i="254"/>
  <c r="D258" i="254"/>
  <c r="C258" i="254"/>
  <c r="B258" i="254"/>
  <c r="A258" i="254"/>
  <c r="AF257" i="254"/>
  <c r="AE257" i="254"/>
  <c r="AD257" i="254"/>
  <c r="AC257" i="254"/>
  <c r="AB257" i="254"/>
  <c r="AA257" i="254"/>
  <c r="Z257" i="254"/>
  <c r="Y257" i="254"/>
  <c r="X257" i="254"/>
  <c r="W257" i="254"/>
  <c r="V257" i="254"/>
  <c r="U257" i="254"/>
  <c r="T257" i="254"/>
  <c r="S257" i="254"/>
  <c r="R257" i="254"/>
  <c r="Q257" i="254"/>
  <c r="P257" i="254"/>
  <c r="O257" i="254"/>
  <c r="N257" i="254"/>
  <c r="M257" i="254"/>
  <c r="L257" i="254"/>
  <c r="K257" i="254"/>
  <c r="J257" i="254"/>
  <c r="I257" i="254"/>
  <c r="H257" i="254"/>
  <c r="G257" i="254"/>
  <c r="F257" i="254"/>
  <c r="E257" i="254"/>
  <c r="D257" i="254"/>
  <c r="C257" i="254"/>
  <c r="B257" i="254"/>
  <c r="A257" i="254"/>
  <c r="AF256" i="254"/>
  <c r="AE256" i="254"/>
  <c r="AD256" i="254"/>
  <c r="AC256" i="254"/>
  <c r="AB256" i="254"/>
  <c r="AA256" i="254"/>
  <c r="Z256" i="254"/>
  <c r="Y256" i="254"/>
  <c r="X256" i="254"/>
  <c r="W256" i="254"/>
  <c r="V256" i="254"/>
  <c r="U256" i="254"/>
  <c r="T256" i="254"/>
  <c r="S256" i="254"/>
  <c r="R256" i="254"/>
  <c r="Q256" i="254"/>
  <c r="P256" i="254"/>
  <c r="O256" i="254"/>
  <c r="N256" i="254"/>
  <c r="M256" i="254"/>
  <c r="L256" i="254"/>
  <c r="K256" i="254"/>
  <c r="J256" i="254"/>
  <c r="I256" i="254"/>
  <c r="H256" i="254"/>
  <c r="G256" i="254"/>
  <c r="F256" i="254"/>
  <c r="E256" i="254"/>
  <c r="D256" i="254"/>
  <c r="C256" i="254"/>
  <c r="B256" i="254"/>
  <c r="A256" i="254"/>
  <c r="AF255" i="254"/>
  <c r="AE255" i="254"/>
  <c r="AD255" i="254"/>
  <c r="AC255" i="254"/>
  <c r="AB255" i="254"/>
  <c r="AA255" i="254"/>
  <c r="Z255" i="254"/>
  <c r="Y255" i="254"/>
  <c r="X255" i="254"/>
  <c r="W255" i="254"/>
  <c r="V255" i="254"/>
  <c r="U255" i="254"/>
  <c r="T255" i="254"/>
  <c r="S255" i="254"/>
  <c r="R255" i="254"/>
  <c r="Q255" i="254"/>
  <c r="P255" i="254"/>
  <c r="O255" i="254"/>
  <c r="N255" i="254"/>
  <c r="M255" i="254"/>
  <c r="L255" i="254"/>
  <c r="K255" i="254"/>
  <c r="J255" i="254"/>
  <c r="I255" i="254"/>
  <c r="H255" i="254"/>
  <c r="G255" i="254"/>
  <c r="F255" i="254"/>
  <c r="E255" i="254"/>
  <c r="D255" i="254"/>
  <c r="C255" i="254"/>
  <c r="B255" i="254"/>
  <c r="A255" i="254"/>
  <c r="AF254" i="254"/>
  <c r="AE254" i="254"/>
  <c r="AD254" i="254"/>
  <c r="AC254" i="254"/>
  <c r="AB254" i="254"/>
  <c r="AA254" i="254"/>
  <c r="Z254" i="254"/>
  <c r="Y254" i="254"/>
  <c r="X254" i="254"/>
  <c r="W254" i="254"/>
  <c r="V254" i="254"/>
  <c r="U254" i="254"/>
  <c r="T254" i="254"/>
  <c r="S254" i="254"/>
  <c r="R254" i="254"/>
  <c r="Q254" i="254"/>
  <c r="P254" i="254"/>
  <c r="O254" i="254"/>
  <c r="N254" i="254"/>
  <c r="M254" i="254"/>
  <c r="L254" i="254"/>
  <c r="K254" i="254"/>
  <c r="J254" i="254"/>
  <c r="I254" i="254"/>
  <c r="H254" i="254"/>
  <c r="G254" i="254"/>
  <c r="F254" i="254"/>
  <c r="E254" i="254"/>
  <c r="D254" i="254"/>
  <c r="C254" i="254"/>
  <c r="B254" i="254"/>
  <c r="A254" i="254"/>
  <c r="AF253" i="254"/>
  <c r="AE253" i="254"/>
  <c r="AD253" i="254"/>
  <c r="AC253" i="254"/>
  <c r="AB253" i="254"/>
  <c r="AA253" i="254"/>
  <c r="Z253" i="254"/>
  <c r="Y253" i="254"/>
  <c r="X253" i="254"/>
  <c r="W253" i="254"/>
  <c r="V253" i="254"/>
  <c r="U253" i="254"/>
  <c r="T253" i="254"/>
  <c r="S253" i="254"/>
  <c r="R253" i="254"/>
  <c r="Q253" i="254"/>
  <c r="P253" i="254"/>
  <c r="O253" i="254"/>
  <c r="N253" i="254"/>
  <c r="M253" i="254"/>
  <c r="L253" i="254"/>
  <c r="K253" i="254"/>
  <c r="J253" i="254"/>
  <c r="I253" i="254"/>
  <c r="H253" i="254"/>
  <c r="G253" i="254"/>
  <c r="F253" i="254"/>
  <c r="E253" i="254"/>
  <c r="D253" i="254"/>
  <c r="C253" i="254"/>
  <c r="B253" i="254"/>
  <c r="A253" i="254"/>
  <c r="AF252" i="254"/>
  <c r="AE252" i="254"/>
  <c r="AD252" i="254"/>
  <c r="AC252" i="254"/>
  <c r="AB252" i="254"/>
  <c r="AA252" i="254"/>
  <c r="Z252" i="254"/>
  <c r="Y252" i="254"/>
  <c r="X252" i="254"/>
  <c r="W252" i="254"/>
  <c r="V252" i="254"/>
  <c r="U252" i="254"/>
  <c r="T252" i="254"/>
  <c r="S252" i="254"/>
  <c r="R252" i="254"/>
  <c r="Q252" i="254"/>
  <c r="P252" i="254"/>
  <c r="O252" i="254"/>
  <c r="N252" i="254"/>
  <c r="M252" i="254"/>
  <c r="L252" i="254"/>
  <c r="K252" i="254"/>
  <c r="J252" i="254"/>
  <c r="I252" i="254"/>
  <c r="H252" i="254"/>
  <c r="G252" i="254"/>
  <c r="F252" i="254"/>
  <c r="E252" i="254"/>
  <c r="D252" i="254"/>
  <c r="C252" i="254"/>
  <c r="B252" i="254"/>
  <c r="A252" i="254"/>
  <c r="AF251" i="254"/>
  <c r="AE251" i="254"/>
  <c r="AD251" i="254"/>
  <c r="AC251" i="254"/>
  <c r="AB251" i="254"/>
  <c r="AA251" i="254"/>
  <c r="Z251" i="254"/>
  <c r="Y251" i="254"/>
  <c r="X251" i="254"/>
  <c r="W251" i="254"/>
  <c r="V251" i="254"/>
  <c r="U251" i="254"/>
  <c r="T251" i="254"/>
  <c r="S251" i="254"/>
  <c r="R251" i="254"/>
  <c r="Q251" i="254"/>
  <c r="P251" i="254"/>
  <c r="O251" i="254"/>
  <c r="N251" i="254"/>
  <c r="M251" i="254"/>
  <c r="L251" i="254"/>
  <c r="K251" i="254"/>
  <c r="J251" i="254"/>
  <c r="I251" i="254"/>
  <c r="H251" i="254"/>
  <c r="G251" i="254"/>
  <c r="F251" i="254"/>
  <c r="E251" i="254"/>
  <c r="D251" i="254"/>
  <c r="C251" i="254"/>
  <c r="B251" i="254"/>
  <c r="A251" i="254"/>
  <c r="AF250" i="254"/>
  <c r="AE250" i="254"/>
  <c r="AD250" i="254"/>
  <c r="AC250" i="254"/>
  <c r="AB250" i="254"/>
  <c r="AA250" i="254"/>
  <c r="Z250" i="254"/>
  <c r="Y250" i="254"/>
  <c r="X250" i="254"/>
  <c r="W250" i="254"/>
  <c r="V250" i="254"/>
  <c r="U250" i="254"/>
  <c r="T250" i="254"/>
  <c r="S250" i="254"/>
  <c r="R250" i="254"/>
  <c r="Q250" i="254"/>
  <c r="P250" i="254"/>
  <c r="O250" i="254"/>
  <c r="N250" i="254"/>
  <c r="M250" i="254"/>
  <c r="L250" i="254"/>
  <c r="K250" i="254"/>
  <c r="J250" i="254"/>
  <c r="I250" i="254"/>
  <c r="H250" i="254"/>
  <c r="G250" i="254"/>
  <c r="F250" i="254"/>
  <c r="E250" i="254"/>
  <c r="D250" i="254"/>
  <c r="C250" i="254"/>
  <c r="B250" i="254"/>
  <c r="A250" i="254"/>
  <c r="AF249" i="254"/>
  <c r="AE249" i="254"/>
  <c r="AD249" i="254"/>
  <c r="AC249" i="254"/>
  <c r="AB249" i="254"/>
  <c r="AA249" i="254"/>
  <c r="Z249" i="254"/>
  <c r="Y249" i="254"/>
  <c r="X249" i="254"/>
  <c r="W249" i="254"/>
  <c r="V249" i="254"/>
  <c r="U249" i="254"/>
  <c r="T249" i="254"/>
  <c r="S249" i="254"/>
  <c r="R249" i="254"/>
  <c r="Q249" i="254"/>
  <c r="P249" i="254"/>
  <c r="O249" i="254"/>
  <c r="N249" i="254"/>
  <c r="M249" i="254"/>
  <c r="L249" i="254"/>
  <c r="K249" i="254"/>
  <c r="J249" i="254"/>
  <c r="I249" i="254"/>
  <c r="H249" i="254"/>
  <c r="G249" i="254"/>
  <c r="F249" i="254"/>
  <c r="E249" i="254"/>
  <c r="D249" i="254"/>
  <c r="C249" i="254"/>
  <c r="B249" i="254"/>
  <c r="A249" i="254"/>
  <c r="AF248" i="254"/>
  <c r="AE248" i="254"/>
  <c r="AD248" i="254"/>
  <c r="AC248" i="254"/>
  <c r="AB248" i="254"/>
  <c r="AA248" i="254"/>
  <c r="Z248" i="254"/>
  <c r="Y248" i="254"/>
  <c r="X248" i="254"/>
  <c r="W248" i="254"/>
  <c r="V248" i="254"/>
  <c r="U248" i="254"/>
  <c r="T248" i="254"/>
  <c r="S248" i="254"/>
  <c r="R248" i="254"/>
  <c r="Q248" i="254"/>
  <c r="P248" i="254"/>
  <c r="O248" i="254"/>
  <c r="N248" i="254"/>
  <c r="M248" i="254"/>
  <c r="L248" i="254"/>
  <c r="K248" i="254"/>
  <c r="J248" i="254"/>
  <c r="I248" i="254"/>
  <c r="H248" i="254"/>
  <c r="G248" i="254"/>
  <c r="F248" i="254"/>
  <c r="E248" i="254"/>
  <c r="D248" i="254"/>
  <c r="C248" i="254"/>
  <c r="B248" i="254"/>
  <c r="A248" i="254"/>
  <c r="AF247" i="254"/>
  <c r="AE247" i="254"/>
  <c r="AD247" i="254"/>
  <c r="AC247" i="254"/>
  <c r="AB247" i="254"/>
  <c r="AA247" i="254"/>
  <c r="Z247" i="254"/>
  <c r="Y247" i="254"/>
  <c r="X247" i="254"/>
  <c r="W247" i="254"/>
  <c r="V247" i="254"/>
  <c r="U247" i="254"/>
  <c r="T247" i="254"/>
  <c r="S247" i="254"/>
  <c r="R247" i="254"/>
  <c r="Q247" i="254"/>
  <c r="P247" i="254"/>
  <c r="O247" i="254"/>
  <c r="N247" i="254"/>
  <c r="M247" i="254"/>
  <c r="L247" i="254"/>
  <c r="K247" i="254"/>
  <c r="J247" i="254"/>
  <c r="I247" i="254"/>
  <c r="H247" i="254"/>
  <c r="G247" i="254"/>
  <c r="F247" i="254"/>
  <c r="E247" i="254"/>
  <c r="D247" i="254"/>
  <c r="C247" i="254"/>
  <c r="B247" i="254"/>
  <c r="A247" i="254"/>
  <c r="AF246" i="254"/>
  <c r="AE246" i="254"/>
  <c r="AD246" i="254"/>
  <c r="AC246" i="254"/>
  <c r="AB246" i="254"/>
  <c r="AA246" i="254"/>
  <c r="Z246" i="254"/>
  <c r="Y246" i="254"/>
  <c r="X246" i="254"/>
  <c r="W246" i="254"/>
  <c r="V246" i="254"/>
  <c r="U246" i="254"/>
  <c r="T246" i="254"/>
  <c r="S246" i="254"/>
  <c r="R246" i="254"/>
  <c r="Q246" i="254"/>
  <c r="P246" i="254"/>
  <c r="O246" i="254"/>
  <c r="N246" i="254"/>
  <c r="M246" i="254"/>
  <c r="L246" i="254"/>
  <c r="K246" i="254"/>
  <c r="J246" i="254"/>
  <c r="I246" i="254"/>
  <c r="H246" i="254"/>
  <c r="G246" i="254"/>
  <c r="F246" i="254"/>
  <c r="E246" i="254"/>
  <c r="D246" i="254"/>
  <c r="C246" i="254"/>
  <c r="B246" i="254"/>
  <c r="A246" i="254"/>
  <c r="AF245" i="254"/>
  <c r="AE245" i="254"/>
  <c r="AD245" i="254"/>
  <c r="AC245" i="254"/>
  <c r="AB245" i="254"/>
  <c r="AA245" i="254"/>
  <c r="Z245" i="254"/>
  <c r="Y245" i="254"/>
  <c r="X245" i="254"/>
  <c r="W245" i="254"/>
  <c r="V245" i="254"/>
  <c r="U245" i="254"/>
  <c r="T245" i="254"/>
  <c r="S245" i="254"/>
  <c r="R245" i="254"/>
  <c r="Q245" i="254"/>
  <c r="P245" i="254"/>
  <c r="O245" i="254"/>
  <c r="N245" i="254"/>
  <c r="M245" i="254"/>
  <c r="L245" i="254"/>
  <c r="K245" i="254"/>
  <c r="J245" i="254"/>
  <c r="I245" i="254"/>
  <c r="H245" i="254"/>
  <c r="G245" i="254"/>
  <c r="F245" i="254"/>
  <c r="E245" i="254"/>
  <c r="D245" i="254"/>
  <c r="C245" i="254"/>
  <c r="B245" i="254"/>
  <c r="A245" i="254"/>
  <c r="AF244" i="254"/>
  <c r="AE244" i="254"/>
  <c r="AD244" i="254"/>
  <c r="AC244" i="254"/>
  <c r="AB244" i="254"/>
  <c r="AA244" i="254"/>
  <c r="Z244" i="254"/>
  <c r="Y244" i="254"/>
  <c r="X244" i="254"/>
  <c r="W244" i="254"/>
  <c r="V244" i="254"/>
  <c r="U244" i="254"/>
  <c r="T244" i="254"/>
  <c r="S244" i="254"/>
  <c r="R244" i="254"/>
  <c r="Q244" i="254"/>
  <c r="P244" i="254"/>
  <c r="O244" i="254"/>
  <c r="N244" i="254"/>
  <c r="M244" i="254"/>
  <c r="L244" i="254"/>
  <c r="K244" i="254"/>
  <c r="J244" i="254"/>
  <c r="I244" i="254"/>
  <c r="H244" i="254"/>
  <c r="G244" i="254"/>
  <c r="F244" i="254"/>
  <c r="E244" i="254"/>
  <c r="D244" i="254"/>
  <c r="C244" i="254"/>
  <c r="B244" i="254"/>
  <c r="A244" i="254"/>
  <c r="AF243" i="254"/>
  <c r="AE243" i="254"/>
  <c r="AD243" i="254"/>
  <c r="AC243" i="254"/>
  <c r="AB243" i="254"/>
  <c r="AA243" i="254"/>
  <c r="Z243" i="254"/>
  <c r="Y243" i="254"/>
  <c r="X243" i="254"/>
  <c r="W243" i="254"/>
  <c r="V243" i="254"/>
  <c r="U243" i="254"/>
  <c r="T243" i="254"/>
  <c r="S243" i="254"/>
  <c r="R243" i="254"/>
  <c r="Q243" i="254"/>
  <c r="P243" i="254"/>
  <c r="O243" i="254"/>
  <c r="N243" i="254"/>
  <c r="M243" i="254"/>
  <c r="L243" i="254"/>
  <c r="K243" i="254"/>
  <c r="J243" i="254"/>
  <c r="I243" i="254"/>
  <c r="H243" i="254"/>
  <c r="G243" i="254"/>
  <c r="F243" i="254"/>
  <c r="E243" i="254"/>
  <c r="D243" i="254"/>
  <c r="C243" i="254"/>
  <c r="B243" i="254"/>
  <c r="A243" i="254"/>
  <c r="AF242" i="254"/>
  <c r="AE242" i="254"/>
  <c r="AD242" i="254"/>
  <c r="AC242" i="254"/>
  <c r="AB242" i="254"/>
  <c r="AA242" i="254"/>
  <c r="Z242" i="254"/>
  <c r="Y242" i="254"/>
  <c r="X242" i="254"/>
  <c r="W242" i="254"/>
  <c r="V242" i="254"/>
  <c r="U242" i="254"/>
  <c r="T242" i="254"/>
  <c r="S242" i="254"/>
  <c r="R242" i="254"/>
  <c r="Q242" i="254"/>
  <c r="P242" i="254"/>
  <c r="O242" i="254"/>
  <c r="N242" i="254"/>
  <c r="M242" i="254"/>
  <c r="L242" i="254"/>
  <c r="K242" i="254"/>
  <c r="J242" i="254"/>
  <c r="I242" i="254"/>
  <c r="H242" i="254"/>
  <c r="G242" i="254"/>
  <c r="F242" i="254"/>
  <c r="E242" i="254"/>
  <c r="D242" i="254"/>
  <c r="C242" i="254"/>
  <c r="B242" i="254"/>
  <c r="A242" i="254"/>
  <c r="AF241" i="254"/>
  <c r="AE241" i="254"/>
  <c r="AD241" i="254"/>
  <c r="AC241" i="254"/>
  <c r="AB241" i="254"/>
  <c r="AA241" i="254"/>
  <c r="Z241" i="254"/>
  <c r="Y241" i="254"/>
  <c r="X241" i="254"/>
  <c r="W241" i="254"/>
  <c r="V241" i="254"/>
  <c r="U241" i="254"/>
  <c r="T241" i="254"/>
  <c r="S241" i="254"/>
  <c r="R241" i="254"/>
  <c r="Q241" i="254"/>
  <c r="P241" i="254"/>
  <c r="O241" i="254"/>
  <c r="N241" i="254"/>
  <c r="M241" i="254"/>
  <c r="L241" i="254"/>
  <c r="K241" i="254"/>
  <c r="J241" i="254"/>
  <c r="I241" i="254"/>
  <c r="H241" i="254"/>
  <c r="G241" i="254"/>
  <c r="F241" i="254"/>
  <c r="E241" i="254"/>
  <c r="D241" i="254"/>
  <c r="C241" i="254"/>
  <c r="B241" i="254"/>
  <c r="A241" i="254"/>
  <c r="AF240" i="254"/>
  <c r="AE240" i="254"/>
  <c r="AD240" i="254"/>
  <c r="AC240" i="254"/>
  <c r="AB240" i="254"/>
  <c r="AA240" i="254"/>
  <c r="Z240" i="254"/>
  <c r="Y240" i="254"/>
  <c r="X240" i="254"/>
  <c r="W240" i="254"/>
  <c r="V240" i="254"/>
  <c r="U240" i="254"/>
  <c r="T240" i="254"/>
  <c r="S240" i="254"/>
  <c r="R240" i="254"/>
  <c r="Q240" i="254"/>
  <c r="P240" i="254"/>
  <c r="O240" i="254"/>
  <c r="N240" i="254"/>
  <c r="M240" i="254"/>
  <c r="L240" i="254"/>
  <c r="K240" i="254"/>
  <c r="J240" i="254"/>
  <c r="I240" i="254"/>
  <c r="H240" i="254"/>
  <c r="G240" i="254"/>
  <c r="F240" i="254"/>
  <c r="E240" i="254"/>
  <c r="D240" i="254"/>
  <c r="C240" i="254"/>
  <c r="B240" i="254"/>
  <c r="A240" i="254"/>
  <c r="AF239" i="254"/>
  <c r="AE239" i="254"/>
  <c r="AD239" i="254"/>
  <c r="AC239" i="254"/>
  <c r="AB239" i="254"/>
  <c r="AA239" i="254"/>
  <c r="Z239" i="254"/>
  <c r="Y239" i="254"/>
  <c r="X239" i="254"/>
  <c r="W239" i="254"/>
  <c r="V239" i="254"/>
  <c r="U239" i="254"/>
  <c r="T239" i="254"/>
  <c r="S239" i="254"/>
  <c r="R239" i="254"/>
  <c r="Q239" i="254"/>
  <c r="P239" i="254"/>
  <c r="O239" i="254"/>
  <c r="N239" i="254"/>
  <c r="M239" i="254"/>
  <c r="L239" i="254"/>
  <c r="K239" i="254"/>
  <c r="J239" i="254"/>
  <c r="I239" i="254"/>
  <c r="H239" i="254"/>
  <c r="G239" i="254"/>
  <c r="F239" i="254"/>
  <c r="E239" i="254"/>
  <c r="D239" i="254"/>
  <c r="C239" i="254"/>
  <c r="B239" i="254"/>
  <c r="A239" i="254"/>
  <c r="AF238" i="254"/>
  <c r="AE238" i="254"/>
  <c r="AD238" i="254"/>
  <c r="AC238" i="254"/>
  <c r="AB238" i="254"/>
  <c r="AA238" i="254"/>
  <c r="Z238" i="254"/>
  <c r="Y238" i="254"/>
  <c r="X238" i="254"/>
  <c r="W238" i="254"/>
  <c r="V238" i="254"/>
  <c r="U238" i="254"/>
  <c r="T238" i="254"/>
  <c r="S238" i="254"/>
  <c r="R238" i="254"/>
  <c r="Q238" i="254"/>
  <c r="P238" i="254"/>
  <c r="O238" i="254"/>
  <c r="N238" i="254"/>
  <c r="M238" i="254"/>
  <c r="L238" i="254"/>
  <c r="K238" i="254"/>
  <c r="J238" i="254"/>
  <c r="I238" i="254"/>
  <c r="H238" i="254"/>
  <c r="G238" i="254"/>
  <c r="F238" i="254"/>
  <c r="E238" i="254"/>
  <c r="D238" i="254"/>
  <c r="C238" i="254"/>
  <c r="B238" i="254"/>
  <c r="A238" i="254"/>
  <c r="AF237" i="254"/>
  <c r="AE237" i="254"/>
  <c r="AD237" i="254"/>
  <c r="AC237" i="254"/>
  <c r="AB237" i="254"/>
  <c r="AA237" i="254"/>
  <c r="Z237" i="254"/>
  <c r="Y237" i="254"/>
  <c r="X237" i="254"/>
  <c r="W237" i="254"/>
  <c r="V237" i="254"/>
  <c r="U237" i="254"/>
  <c r="T237" i="254"/>
  <c r="S237" i="254"/>
  <c r="R237" i="254"/>
  <c r="Q237" i="254"/>
  <c r="P237" i="254"/>
  <c r="O237" i="254"/>
  <c r="N237" i="254"/>
  <c r="M237" i="254"/>
  <c r="L237" i="254"/>
  <c r="K237" i="254"/>
  <c r="J237" i="254"/>
  <c r="I237" i="254"/>
  <c r="H237" i="254"/>
  <c r="G237" i="254"/>
  <c r="F237" i="254"/>
  <c r="E237" i="254"/>
  <c r="D237" i="254"/>
  <c r="C237" i="254"/>
  <c r="B237" i="254"/>
  <c r="A237" i="254"/>
  <c r="AF236" i="254"/>
  <c r="AE236" i="254"/>
  <c r="AD236" i="254"/>
  <c r="AC236" i="254"/>
  <c r="AB236" i="254"/>
  <c r="AA236" i="254"/>
  <c r="Z236" i="254"/>
  <c r="Y236" i="254"/>
  <c r="X236" i="254"/>
  <c r="W236" i="254"/>
  <c r="V236" i="254"/>
  <c r="U236" i="254"/>
  <c r="T236" i="254"/>
  <c r="S236" i="254"/>
  <c r="R236" i="254"/>
  <c r="Q236" i="254"/>
  <c r="P236" i="254"/>
  <c r="O236" i="254"/>
  <c r="N236" i="254"/>
  <c r="M236" i="254"/>
  <c r="L236" i="254"/>
  <c r="K236" i="254"/>
  <c r="J236" i="254"/>
  <c r="I236" i="254"/>
  <c r="H236" i="254"/>
  <c r="G236" i="254"/>
  <c r="F236" i="254"/>
  <c r="E236" i="254"/>
  <c r="D236" i="254"/>
  <c r="C236" i="254"/>
  <c r="B236" i="254"/>
  <c r="A236" i="254"/>
  <c r="AF235" i="254"/>
  <c r="AE235" i="254"/>
  <c r="AD235" i="254"/>
  <c r="AC235" i="254"/>
  <c r="AB235" i="254"/>
  <c r="AA235" i="254"/>
  <c r="Z235" i="254"/>
  <c r="Y235" i="254"/>
  <c r="X235" i="254"/>
  <c r="W235" i="254"/>
  <c r="V235" i="254"/>
  <c r="U235" i="254"/>
  <c r="T235" i="254"/>
  <c r="S235" i="254"/>
  <c r="R235" i="254"/>
  <c r="Q235" i="254"/>
  <c r="P235" i="254"/>
  <c r="O235" i="254"/>
  <c r="N235" i="254"/>
  <c r="M235" i="254"/>
  <c r="L235" i="254"/>
  <c r="K235" i="254"/>
  <c r="J235" i="254"/>
  <c r="I235" i="254"/>
  <c r="H235" i="254"/>
  <c r="G235" i="254"/>
  <c r="F235" i="254"/>
  <c r="E235" i="254"/>
  <c r="D235" i="254"/>
  <c r="C235" i="254"/>
  <c r="B235" i="254"/>
  <c r="A235" i="254"/>
  <c r="AF234" i="254"/>
  <c r="AE234" i="254"/>
  <c r="AD234" i="254"/>
  <c r="AC234" i="254"/>
  <c r="AB234" i="254"/>
  <c r="AA234" i="254"/>
  <c r="Z234" i="254"/>
  <c r="Y234" i="254"/>
  <c r="X234" i="254"/>
  <c r="W234" i="254"/>
  <c r="V234" i="254"/>
  <c r="U234" i="254"/>
  <c r="T234" i="254"/>
  <c r="S234" i="254"/>
  <c r="R234" i="254"/>
  <c r="Q234" i="254"/>
  <c r="P234" i="254"/>
  <c r="O234" i="254"/>
  <c r="N234" i="254"/>
  <c r="M234" i="254"/>
  <c r="L234" i="254"/>
  <c r="K234" i="254"/>
  <c r="J234" i="254"/>
  <c r="I234" i="254"/>
  <c r="H234" i="254"/>
  <c r="G234" i="254"/>
  <c r="F234" i="254"/>
  <c r="E234" i="254"/>
  <c r="D234" i="254"/>
  <c r="C234" i="254"/>
  <c r="B234" i="254"/>
  <c r="A234" i="254"/>
  <c r="AF233" i="254"/>
  <c r="AE233" i="254"/>
  <c r="AD233" i="254"/>
  <c r="AC233" i="254"/>
  <c r="AB233" i="254"/>
  <c r="AA233" i="254"/>
  <c r="Z233" i="254"/>
  <c r="Y233" i="254"/>
  <c r="X233" i="254"/>
  <c r="W233" i="254"/>
  <c r="V233" i="254"/>
  <c r="U233" i="254"/>
  <c r="T233" i="254"/>
  <c r="S233" i="254"/>
  <c r="R233" i="254"/>
  <c r="Q233" i="254"/>
  <c r="P233" i="254"/>
  <c r="O233" i="254"/>
  <c r="N233" i="254"/>
  <c r="M233" i="254"/>
  <c r="L233" i="254"/>
  <c r="K233" i="254"/>
  <c r="J233" i="254"/>
  <c r="I233" i="254"/>
  <c r="H233" i="254"/>
  <c r="G233" i="254"/>
  <c r="F233" i="254"/>
  <c r="E233" i="254"/>
  <c r="D233" i="254"/>
  <c r="C233" i="254"/>
  <c r="B233" i="254"/>
  <c r="A233" i="254"/>
  <c r="AF232" i="254"/>
  <c r="AE232" i="254"/>
  <c r="AD232" i="254"/>
  <c r="AC232" i="254"/>
  <c r="AB232" i="254"/>
  <c r="AA232" i="254"/>
  <c r="Z232" i="254"/>
  <c r="Y232" i="254"/>
  <c r="X232" i="254"/>
  <c r="W232" i="254"/>
  <c r="V232" i="254"/>
  <c r="U232" i="254"/>
  <c r="T232" i="254"/>
  <c r="S232" i="254"/>
  <c r="R232" i="254"/>
  <c r="Q232" i="254"/>
  <c r="P232" i="254"/>
  <c r="O232" i="254"/>
  <c r="N232" i="254"/>
  <c r="M232" i="254"/>
  <c r="L232" i="254"/>
  <c r="K232" i="254"/>
  <c r="J232" i="254"/>
  <c r="I232" i="254"/>
  <c r="H232" i="254"/>
  <c r="G232" i="254"/>
  <c r="F232" i="254"/>
  <c r="E232" i="254"/>
  <c r="D232" i="254"/>
  <c r="C232" i="254"/>
  <c r="B232" i="254"/>
  <c r="A232" i="254"/>
  <c r="AF231" i="254"/>
  <c r="AE231" i="254"/>
  <c r="AD231" i="254"/>
  <c r="AC231" i="254"/>
  <c r="AB231" i="254"/>
  <c r="AA231" i="254"/>
  <c r="Z231" i="254"/>
  <c r="Y231" i="254"/>
  <c r="X231" i="254"/>
  <c r="W231" i="254"/>
  <c r="V231" i="254"/>
  <c r="U231" i="254"/>
  <c r="T231" i="254"/>
  <c r="S231" i="254"/>
  <c r="R231" i="254"/>
  <c r="Q231" i="254"/>
  <c r="P231" i="254"/>
  <c r="O231" i="254"/>
  <c r="N231" i="254"/>
  <c r="M231" i="254"/>
  <c r="L231" i="254"/>
  <c r="K231" i="254"/>
  <c r="J231" i="254"/>
  <c r="I231" i="254"/>
  <c r="H231" i="254"/>
  <c r="G231" i="254"/>
  <c r="F231" i="254"/>
  <c r="E231" i="254"/>
  <c r="D231" i="254"/>
  <c r="C231" i="254"/>
  <c r="B231" i="254"/>
  <c r="A231" i="254"/>
  <c r="AF230" i="254"/>
  <c r="AE230" i="254"/>
  <c r="AD230" i="254"/>
  <c r="AC230" i="254"/>
  <c r="AB230" i="254"/>
  <c r="AA230" i="254"/>
  <c r="Z230" i="254"/>
  <c r="Y230" i="254"/>
  <c r="X230" i="254"/>
  <c r="W230" i="254"/>
  <c r="V230" i="254"/>
  <c r="U230" i="254"/>
  <c r="T230" i="254"/>
  <c r="S230" i="254"/>
  <c r="R230" i="254"/>
  <c r="Q230" i="254"/>
  <c r="P230" i="254"/>
  <c r="O230" i="254"/>
  <c r="N230" i="254"/>
  <c r="M230" i="254"/>
  <c r="L230" i="254"/>
  <c r="K230" i="254"/>
  <c r="J230" i="254"/>
  <c r="I230" i="254"/>
  <c r="H230" i="254"/>
  <c r="G230" i="254"/>
  <c r="F230" i="254"/>
  <c r="E230" i="254"/>
  <c r="D230" i="254"/>
  <c r="C230" i="254"/>
  <c r="B230" i="254"/>
  <c r="A230" i="254"/>
  <c r="AF229" i="254"/>
  <c r="AE229" i="254"/>
  <c r="AD229" i="254"/>
  <c r="AC229" i="254"/>
  <c r="AB229" i="254"/>
  <c r="AA229" i="254"/>
  <c r="Z229" i="254"/>
  <c r="Y229" i="254"/>
  <c r="X229" i="254"/>
  <c r="W229" i="254"/>
  <c r="V229" i="254"/>
  <c r="U229" i="254"/>
  <c r="T229" i="254"/>
  <c r="S229" i="254"/>
  <c r="R229" i="254"/>
  <c r="Q229" i="254"/>
  <c r="P229" i="254"/>
  <c r="O229" i="254"/>
  <c r="N229" i="254"/>
  <c r="M229" i="254"/>
  <c r="L229" i="254"/>
  <c r="K229" i="254"/>
  <c r="J229" i="254"/>
  <c r="I229" i="254"/>
  <c r="H229" i="254"/>
  <c r="G229" i="254"/>
  <c r="F229" i="254"/>
  <c r="E229" i="254"/>
  <c r="D229" i="254"/>
  <c r="C229" i="254"/>
  <c r="B229" i="254"/>
  <c r="A229" i="254"/>
  <c r="AF228" i="254"/>
  <c r="AE228" i="254"/>
  <c r="AD228" i="254"/>
  <c r="AC228" i="254"/>
  <c r="AB228" i="254"/>
  <c r="AA228" i="254"/>
  <c r="Z228" i="254"/>
  <c r="Y228" i="254"/>
  <c r="X228" i="254"/>
  <c r="W228" i="254"/>
  <c r="V228" i="254"/>
  <c r="U228" i="254"/>
  <c r="T228" i="254"/>
  <c r="S228" i="254"/>
  <c r="R228" i="254"/>
  <c r="Q228" i="254"/>
  <c r="P228" i="254"/>
  <c r="O228" i="254"/>
  <c r="N228" i="254"/>
  <c r="M228" i="254"/>
  <c r="L228" i="254"/>
  <c r="K228" i="254"/>
  <c r="J228" i="254"/>
  <c r="I228" i="254"/>
  <c r="H228" i="254"/>
  <c r="G228" i="254"/>
  <c r="F228" i="254"/>
  <c r="E228" i="254"/>
  <c r="D228" i="254"/>
  <c r="C228" i="254"/>
  <c r="B228" i="254"/>
  <c r="A228" i="254"/>
  <c r="AF227" i="254"/>
  <c r="AE227" i="254"/>
  <c r="AD227" i="254"/>
  <c r="AC227" i="254"/>
  <c r="AB227" i="254"/>
  <c r="AA227" i="254"/>
  <c r="Z227" i="254"/>
  <c r="Y227" i="254"/>
  <c r="X227" i="254"/>
  <c r="W227" i="254"/>
  <c r="V227" i="254"/>
  <c r="U227" i="254"/>
  <c r="T227" i="254"/>
  <c r="S227" i="254"/>
  <c r="R227" i="254"/>
  <c r="Q227" i="254"/>
  <c r="P227" i="254"/>
  <c r="O227" i="254"/>
  <c r="N227" i="254"/>
  <c r="M227" i="254"/>
  <c r="L227" i="254"/>
  <c r="K227" i="254"/>
  <c r="J227" i="254"/>
  <c r="I227" i="254"/>
  <c r="H227" i="254"/>
  <c r="G227" i="254"/>
  <c r="F227" i="254"/>
  <c r="E227" i="254"/>
  <c r="D227" i="254"/>
  <c r="C227" i="254"/>
  <c r="B227" i="254"/>
  <c r="A227" i="254"/>
  <c r="AF226" i="254"/>
  <c r="AE226" i="254"/>
  <c r="AD226" i="254"/>
  <c r="AC226" i="254"/>
  <c r="AB226" i="254"/>
  <c r="AA226" i="254"/>
  <c r="Z226" i="254"/>
  <c r="Y226" i="254"/>
  <c r="X226" i="254"/>
  <c r="W226" i="254"/>
  <c r="V226" i="254"/>
  <c r="U226" i="254"/>
  <c r="T226" i="254"/>
  <c r="S226" i="254"/>
  <c r="R226" i="254"/>
  <c r="Q226" i="254"/>
  <c r="P226" i="254"/>
  <c r="O226" i="254"/>
  <c r="N226" i="254"/>
  <c r="M226" i="254"/>
  <c r="L226" i="254"/>
  <c r="K226" i="254"/>
  <c r="J226" i="254"/>
  <c r="I226" i="254"/>
  <c r="H226" i="254"/>
  <c r="G226" i="254"/>
  <c r="F226" i="254"/>
  <c r="E226" i="254"/>
  <c r="D226" i="254"/>
  <c r="C226" i="254"/>
  <c r="B226" i="254"/>
  <c r="A226" i="254"/>
  <c r="AF225" i="254"/>
  <c r="AE225" i="254"/>
  <c r="AD225" i="254"/>
  <c r="AC225" i="254"/>
  <c r="AB225" i="254"/>
  <c r="AA225" i="254"/>
  <c r="Z225" i="254"/>
  <c r="Y225" i="254"/>
  <c r="X225" i="254"/>
  <c r="W225" i="254"/>
  <c r="V225" i="254"/>
  <c r="U225" i="254"/>
  <c r="T225" i="254"/>
  <c r="S225" i="254"/>
  <c r="R225" i="254"/>
  <c r="Q225" i="254"/>
  <c r="P225" i="254"/>
  <c r="O225" i="254"/>
  <c r="N225" i="254"/>
  <c r="M225" i="254"/>
  <c r="L225" i="254"/>
  <c r="K225" i="254"/>
  <c r="J225" i="254"/>
  <c r="I225" i="254"/>
  <c r="H225" i="254"/>
  <c r="G225" i="254"/>
  <c r="F225" i="254"/>
  <c r="E225" i="254"/>
  <c r="D225" i="254"/>
  <c r="C225" i="254"/>
  <c r="B225" i="254"/>
  <c r="A225" i="254"/>
  <c r="AF224" i="254"/>
  <c r="AE224" i="254"/>
  <c r="AD224" i="254"/>
  <c r="AC224" i="254"/>
  <c r="AB224" i="254"/>
  <c r="AA224" i="254"/>
  <c r="Z224" i="254"/>
  <c r="Y224" i="254"/>
  <c r="X224" i="254"/>
  <c r="W224" i="254"/>
  <c r="V224" i="254"/>
  <c r="U224" i="254"/>
  <c r="T224" i="254"/>
  <c r="S224" i="254"/>
  <c r="R224" i="254"/>
  <c r="Q224" i="254"/>
  <c r="P224" i="254"/>
  <c r="O224" i="254"/>
  <c r="N224" i="254"/>
  <c r="M224" i="254"/>
  <c r="L224" i="254"/>
  <c r="K224" i="254"/>
  <c r="J224" i="254"/>
  <c r="I224" i="254"/>
  <c r="H224" i="254"/>
  <c r="G224" i="254"/>
  <c r="F224" i="254"/>
  <c r="E224" i="254"/>
  <c r="D224" i="254"/>
  <c r="C224" i="254"/>
  <c r="B224" i="254"/>
  <c r="A224" i="254"/>
  <c r="AF223" i="254"/>
  <c r="AE223" i="254"/>
  <c r="AD223" i="254"/>
  <c r="AC223" i="254"/>
  <c r="AB223" i="254"/>
  <c r="AA223" i="254"/>
  <c r="Z223" i="254"/>
  <c r="Y223" i="254"/>
  <c r="X223" i="254"/>
  <c r="W223" i="254"/>
  <c r="V223" i="254"/>
  <c r="U223" i="254"/>
  <c r="T223" i="254"/>
  <c r="S223" i="254"/>
  <c r="R223" i="254"/>
  <c r="Q223" i="254"/>
  <c r="P223" i="254"/>
  <c r="O223" i="254"/>
  <c r="N223" i="254"/>
  <c r="M223" i="254"/>
  <c r="L223" i="254"/>
  <c r="K223" i="254"/>
  <c r="J223" i="254"/>
  <c r="I223" i="254"/>
  <c r="H223" i="254"/>
  <c r="G223" i="254"/>
  <c r="F223" i="254"/>
  <c r="E223" i="254"/>
  <c r="D223" i="254"/>
  <c r="C223" i="254"/>
  <c r="B223" i="254"/>
  <c r="A223" i="254"/>
  <c r="AF222" i="254"/>
  <c r="AE222" i="254"/>
  <c r="AD222" i="254"/>
  <c r="AC222" i="254"/>
  <c r="AB222" i="254"/>
  <c r="AA222" i="254"/>
  <c r="Z222" i="254"/>
  <c r="Y222" i="254"/>
  <c r="X222" i="254"/>
  <c r="W222" i="254"/>
  <c r="V222" i="254"/>
  <c r="U222" i="254"/>
  <c r="T222" i="254"/>
  <c r="S222" i="254"/>
  <c r="R222" i="254"/>
  <c r="Q222" i="254"/>
  <c r="P222" i="254"/>
  <c r="O222" i="254"/>
  <c r="N222" i="254"/>
  <c r="M222" i="254"/>
  <c r="L222" i="254"/>
  <c r="K222" i="254"/>
  <c r="J222" i="254"/>
  <c r="I222" i="254"/>
  <c r="H222" i="254"/>
  <c r="G222" i="254"/>
  <c r="F222" i="254"/>
  <c r="E222" i="254"/>
  <c r="D222" i="254"/>
  <c r="C222" i="254"/>
  <c r="B222" i="254"/>
  <c r="A222" i="254"/>
  <c r="AF221" i="254"/>
  <c r="AE221" i="254"/>
  <c r="AD221" i="254"/>
  <c r="AC221" i="254"/>
  <c r="AB221" i="254"/>
  <c r="AA221" i="254"/>
  <c r="Z221" i="254"/>
  <c r="Y221" i="254"/>
  <c r="X221" i="254"/>
  <c r="W221" i="254"/>
  <c r="V221" i="254"/>
  <c r="U221" i="254"/>
  <c r="T221" i="254"/>
  <c r="S221" i="254"/>
  <c r="R221" i="254"/>
  <c r="Q221" i="254"/>
  <c r="P221" i="254"/>
  <c r="O221" i="254"/>
  <c r="N221" i="254"/>
  <c r="M221" i="254"/>
  <c r="L221" i="254"/>
  <c r="K221" i="254"/>
  <c r="J221" i="254"/>
  <c r="I221" i="254"/>
  <c r="H221" i="254"/>
  <c r="G221" i="254"/>
  <c r="F221" i="254"/>
  <c r="E221" i="254"/>
  <c r="D221" i="254"/>
  <c r="C221" i="254"/>
  <c r="B221" i="254"/>
  <c r="A221" i="254"/>
  <c r="AF220" i="254"/>
  <c r="AE220" i="254"/>
  <c r="AD220" i="254"/>
  <c r="AC220" i="254"/>
  <c r="AB220" i="254"/>
  <c r="AA220" i="254"/>
  <c r="Z220" i="254"/>
  <c r="Y220" i="254"/>
  <c r="X220" i="254"/>
  <c r="W220" i="254"/>
  <c r="V220" i="254"/>
  <c r="U220" i="254"/>
  <c r="T220" i="254"/>
  <c r="S220" i="254"/>
  <c r="R220" i="254"/>
  <c r="Q220" i="254"/>
  <c r="P220" i="254"/>
  <c r="O220" i="254"/>
  <c r="N220" i="254"/>
  <c r="M220" i="254"/>
  <c r="L220" i="254"/>
  <c r="K220" i="254"/>
  <c r="J220" i="254"/>
  <c r="I220" i="254"/>
  <c r="H220" i="254"/>
  <c r="G220" i="254"/>
  <c r="F220" i="254"/>
  <c r="E220" i="254"/>
  <c r="D220" i="254"/>
  <c r="C220" i="254"/>
  <c r="B220" i="254"/>
  <c r="A220" i="254"/>
  <c r="AF219" i="254"/>
  <c r="AE219" i="254"/>
  <c r="AD219" i="254"/>
  <c r="AC219" i="254"/>
  <c r="AB219" i="254"/>
  <c r="AA219" i="254"/>
  <c r="Z219" i="254"/>
  <c r="Y219" i="254"/>
  <c r="X219" i="254"/>
  <c r="W219" i="254"/>
  <c r="V219" i="254"/>
  <c r="U219" i="254"/>
  <c r="T219" i="254"/>
  <c r="S219" i="254"/>
  <c r="R219" i="254"/>
  <c r="Q219" i="254"/>
  <c r="P219" i="254"/>
  <c r="O219" i="254"/>
  <c r="N219" i="254"/>
  <c r="M219" i="254"/>
  <c r="L219" i="254"/>
  <c r="K219" i="254"/>
  <c r="J219" i="254"/>
  <c r="I219" i="254"/>
  <c r="H219" i="254"/>
  <c r="G219" i="254"/>
  <c r="F219" i="254"/>
  <c r="E219" i="254"/>
  <c r="D219" i="254"/>
  <c r="C219" i="254"/>
  <c r="B219" i="254"/>
  <c r="A219" i="254"/>
  <c r="AF218" i="254"/>
  <c r="AE218" i="254"/>
  <c r="AD218" i="254"/>
  <c r="AC218" i="254"/>
  <c r="AB218" i="254"/>
  <c r="AA218" i="254"/>
  <c r="Z218" i="254"/>
  <c r="Y218" i="254"/>
  <c r="X218" i="254"/>
  <c r="W218" i="254"/>
  <c r="V218" i="254"/>
  <c r="U218" i="254"/>
  <c r="T218" i="254"/>
  <c r="S218" i="254"/>
  <c r="R218" i="254"/>
  <c r="Q218" i="254"/>
  <c r="P218" i="254"/>
  <c r="O218" i="254"/>
  <c r="N218" i="254"/>
  <c r="M218" i="254"/>
  <c r="L218" i="254"/>
  <c r="K218" i="254"/>
  <c r="J218" i="254"/>
  <c r="I218" i="254"/>
  <c r="H218" i="254"/>
  <c r="G218" i="254"/>
  <c r="F218" i="254"/>
  <c r="E218" i="254"/>
  <c r="D218" i="254"/>
  <c r="C218" i="254"/>
  <c r="B218" i="254"/>
  <c r="A218" i="254"/>
  <c r="AF217" i="254"/>
  <c r="AE217" i="254"/>
  <c r="AD217" i="254"/>
  <c r="AC217" i="254"/>
  <c r="AB217" i="254"/>
  <c r="AA217" i="254"/>
  <c r="Z217" i="254"/>
  <c r="Y217" i="254"/>
  <c r="X217" i="254"/>
  <c r="W217" i="254"/>
  <c r="V217" i="254"/>
  <c r="U217" i="254"/>
  <c r="T217" i="254"/>
  <c r="S217" i="254"/>
  <c r="R217" i="254"/>
  <c r="Q217" i="254"/>
  <c r="P217" i="254"/>
  <c r="O217" i="254"/>
  <c r="N217" i="254"/>
  <c r="M217" i="254"/>
  <c r="L217" i="254"/>
  <c r="K217" i="254"/>
  <c r="J217" i="254"/>
  <c r="I217" i="254"/>
  <c r="H217" i="254"/>
  <c r="G217" i="254"/>
  <c r="F217" i="254"/>
  <c r="E217" i="254"/>
  <c r="D217" i="254"/>
  <c r="C217" i="254"/>
  <c r="B217" i="254"/>
  <c r="A217" i="254"/>
  <c r="AF216" i="254"/>
  <c r="AE216" i="254"/>
  <c r="AD216" i="254"/>
  <c r="AC216" i="254"/>
  <c r="AB216" i="254"/>
  <c r="AA216" i="254"/>
  <c r="Z216" i="254"/>
  <c r="Y216" i="254"/>
  <c r="X216" i="254"/>
  <c r="W216" i="254"/>
  <c r="V216" i="254"/>
  <c r="U216" i="254"/>
  <c r="T216" i="254"/>
  <c r="S216" i="254"/>
  <c r="R216" i="254"/>
  <c r="Q216" i="254"/>
  <c r="P216" i="254"/>
  <c r="O216" i="254"/>
  <c r="N216" i="254"/>
  <c r="M216" i="254"/>
  <c r="L216" i="254"/>
  <c r="K216" i="254"/>
  <c r="J216" i="254"/>
  <c r="I216" i="254"/>
  <c r="H216" i="254"/>
  <c r="G216" i="254"/>
  <c r="F216" i="254"/>
  <c r="E216" i="254"/>
  <c r="D216" i="254"/>
  <c r="C216" i="254"/>
  <c r="B216" i="254"/>
  <c r="A216" i="254"/>
  <c r="AF215" i="254"/>
  <c r="AE215" i="254"/>
  <c r="AD215" i="254"/>
  <c r="AC215" i="254"/>
  <c r="AB215" i="254"/>
  <c r="AA215" i="254"/>
  <c r="Z215" i="254"/>
  <c r="Y215" i="254"/>
  <c r="X215" i="254"/>
  <c r="W215" i="254"/>
  <c r="V215" i="254"/>
  <c r="U215" i="254"/>
  <c r="T215" i="254"/>
  <c r="S215" i="254"/>
  <c r="R215" i="254"/>
  <c r="Q215" i="254"/>
  <c r="P215" i="254"/>
  <c r="O215" i="254"/>
  <c r="N215" i="254"/>
  <c r="M215" i="254"/>
  <c r="L215" i="254"/>
  <c r="K215" i="254"/>
  <c r="J215" i="254"/>
  <c r="I215" i="254"/>
  <c r="H215" i="254"/>
  <c r="G215" i="254"/>
  <c r="F215" i="254"/>
  <c r="E215" i="254"/>
  <c r="D215" i="254"/>
  <c r="C215" i="254"/>
  <c r="B215" i="254"/>
  <c r="A215" i="254"/>
  <c r="AF214" i="254"/>
  <c r="AE214" i="254"/>
  <c r="AD214" i="254"/>
  <c r="AC214" i="254"/>
  <c r="AB214" i="254"/>
  <c r="AA214" i="254"/>
  <c r="Z214" i="254"/>
  <c r="Y214" i="254"/>
  <c r="X214" i="254"/>
  <c r="W214" i="254"/>
  <c r="V214" i="254"/>
  <c r="U214" i="254"/>
  <c r="T214" i="254"/>
  <c r="S214" i="254"/>
  <c r="R214" i="254"/>
  <c r="Q214" i="254"/>
  <c r="P214" i="254"/>
  <c r="O214" i="254"/>
  <c r="N214" i="254"/>
  <c r="M214" i="254"/>
  <c r="L214" i="254"/>
  <c r="K214" i="254"/>
  <c r="J214" i="254"/>
  <c r="I214" i="254"/>
  <c r="H214" i="254"/>
  <c r="G214" i="254"/>
  <c r="F214" i="254"/>
  <c r="E214" i="254"/>
  <c r="D214" i="254"/>
  <c r="C214" i="254"/>
  <c r="B214" i="254"/>
  <c r="A214" i="254"/>
  <c r="AF213" i="254"/>
  <c r="AE213" i="254"/>
  <c r="AD213" i="254"/>
  <c r="AC213" i="254"/>
  <c r="AB213" i="254"/>
  <c r="AA213" i="254"/>
  <c r="Z213" i="254"/>
  <c r="Y213" i="254"/>
  <c r="X213" i="254"/>
  <c r="W213" i="254"/>
  <c r="V213" i="254"/>
  <c r="U213" i="254"/>
  <c r="T213" i="254"/>
  <c r="S213" i="254"/>
  <c r="R213" i="254"/>
  <c r="Q213" i="254"/>
  <c r="P213" i="254"/>
  <c r="O213" i="254"/>
  <c r="N213" i="254"/>
  <c r="M213" i="254"/>
  <c r="L213" i="254"/>
  <c r="K213" i="254"/>
  <c r="J213" i="254"/>
  <c r="I213" i="254"/>
  <c r="H213" i="254"/>
  <c r="G213" i="254"/>
  <c r="F213" i="254"/>
  <c r="E213" i="254"/>
  <c r="D213" i="254"/>
  <c r="C213" i="254"/>
  <c r="B213" i="254"/>
  <c r="A213" i="254"/>
  <c r="AF212" i="254"/>
  <c r="AE212" i="254"/>
  <c r="AD212" i="254"/>
  <c r="AC212" i="254"/>
  <c r="AB212" i="254"/>
  <c r="AA212" i="254"/>
  <c r="Z212" i="254"/>
  <c r="Y212" i="254"/>
  <c r="X212" i="254"/>
  <c r="W212" i="254"/>
  <c r="V212" i="254"/>
  <c r="U212" i="254"/>
  <c r="T212" i="254"/>
  <c r="S212" i="254"/>
  <c r="R212" i="254"/>
  <c r="Q212" i="254"/>
  <c r="P212" i="254"/>
  <c r="O212" i="254"/>
  <c r="N212" i="254"/>
  <c r="M212" i="254"/>
  <c r="L212" i="254"/>
  <c r="K212" i="254"/>
  <c r="J212" i="254"/>
  <c r="I212" i="254"/>
  <c r="H212" i="254"/>
  <c r="G212" i="254"/>
  <c r="F212" i="254"/>
  <c r="E212" i="254"/>
  <c r="D212" i="254"/>
  <c r="C212" i="254"/>
  <c r="B212" i="254"/>
  <c r="A212" i="254"/>
  <c r="AF211" i="254"/>
  <c r="AE211" i="254"/>
  <c r="AD211" i="254"/>
  <c r="AC211" i="254"/>
  <c r="AB211" i="254"/>
  <c r="AA211" i="254"/>
  <c r="Z211" i="254"/>
  <c r="Y211" i="254"/>
  <c r="X211" i="254"/>
  <c r="W211" i="254"/>
  <c r="V211" i="254"/>
  <c r="U211" i="254"/>
  <c r="T211" i="254"/>
  <c r="S211" i="254"/>
  <c r="R211" i="254"/>
  <c r="Q211" i="254"/>
  <c r="P211" i="254"/>
  <c r="O211" i="254"/>
  <c r="N211" i="254"/>
  <c r="M211" i="254"/>
  <c r="L211" i="254"/>
  <c r="K211" i="254"/>
  <c r="J211" i="254"/>
  <c r="I211" i="254"/>
  <c r="H211" i="254"/>
  <c r="G211" i="254"/>
  <c r="F211" i="254"/>
  <c r="E211" i="254"/>
  <c r="D211" i="254"/>
  <c r="C211" i="254"/>
  <c r="B211" i="254"/>
  <c r="A211" i="254"/>
  <c r="AF210" i="254"/>
  <c r="AE210" i="254"/>
  <c r="AD210" i="254"/>
  <c r="AC210" i="254"/>
  <c r="AB210" i="254"/>
  <c r="AA210" i="254"/>
  <c r="Z210" i="254"/>
  <c r="Y210" i="254"/>
  <c r="X210" i="254"/>
  <c r="W210" i="254"/>
  <c r="V210" i="254"/>
  <c r="U210" i="254"/>
  <c r="T210" i="254"/>
  <c r="S210" i="254"/>
  <c r="R210" i="254"/>
  <c r="Q210" i="254"/>
  <c r="P210" i="254"/>
  <c r="O210" i="254"/>
  <c r="N210" i="254"/>
  <c r="M210" i="254"/>
  <c r="L210" i="254"/>
  <c r="K210" i="254"/>
  <c r="J210" i="254"/>
  <c r="I210" i="254"/>
  <c r="H210" i="254"/>
  <c r="G210" i="254"/>
  <c r="F210" i="254"/>
  <c r="E210" i="254"/>
  <c r="D210" i="254"/>
  <c r="C210" i="254"/>
  <c r="B210" i="254"/>
  <c r="A210" i="254"/>
  <c r="AF209" i="254"/>
  <c r="AE209" i="254"/>
  <c r="AD209" i="254"/>
  <c r="AC209" i="254"/>
  <c r="AB209" i="254"/>
  <c r="AA209" i="254"/>
  <c r="Z209" i="254"/>
  <c r="Y209" i="254"/>
  <c r="X209" i="254"/>
  <c r="W209" i="254"/>
  <c r="V209" i="254"/>
  <c r="U209" i="254"/>
  <c r="T209" i="254"/>
  <c r="S209" i="254"/>
  <c r="R209" i="254"/>
  <c r="Q209" i="254"/>
  <c r="P209" i="254"/>
  <c r="O209" i="254"/>
  <c r="N209" i="254"/>
  <c r="M209" i="254"/>
  <c r="L209" i="254"/>
  <c r="K209" i="254"/>
  <c r="J209" i="254"/>
  <c r="I209" i="254"/>
  <c r="H209" i="254"/>
  <c r="G209" i="254"/>
  <c r="F209" i="254"/>
  <c r="E209" i="254"/>
  <c r="D209" i="254"/>
  <c r="C209" i="254"/>
  <c r="B209" i="254"/>
  <c r="A209" i="254"/>
  <c r="AF208" i="254"/>
  <c r="AE208" i="254"/>
  <c r="AD208" i="254"/>
  <c r="AC208" i="254"/>
  <c r="AB208" i="254"/>
  <c r="AA208" i="254"/>
  <c r="Z208" i="254"/>
  <c r="Y208" i="254"/>
  <c r="X208" i="254"/>
  <c r="W208" i="254"/>
  <c r="V208" i="254"/>
  <c r="U208" i="254"/>
  <c r="T208" i="254"/>
  <c r="S208" i="254"/>
  <c r="R208" i="254"/>
  <c r="Q208" i="254"/>
  <c r="P208" i="254"/>
  <c r="O208" i="254"/>
  <c r="N208" i="254"/>
  <c r="M208" i="254"/>
  <c r="L208" i="254"/>
  <c r="K208" i="254"/>
  <c r="J208" i="254"/>
  <c r="I208" i="254"/>
  <c r="H208" i="254"/>
  <c r="G208" i="254"/>
  <c r="F208" i="254"/>
  <c r="E208" i="254"/>
  <c r="D208" i="254"/>
  <c r="C208" i="254"/>
  <c r="B208" i="254"/>
  <c r="A208" i="254"/>
  <c r="AF207" i="254"/>
  <c r="AE207" i="254"/>
  <c r="AD207" i="254"/>
  <c r="AC207" i="254"/>
  <c r="AB207" i="254"/>
  <c r="AA207" i="254"/>
  <c r="Z207" i="254"/>
  <c r="Y207" i="254"/>
  <c r="X207" i="254"/>
  <c r="W207" i="254"/>
  <c r="V207" i="254"/>
  <c r="U207" i="254"/>
  <c r="T207" i="254"/>
  <c r="S207" i="254"/>
  <c r="R207" i="254"/>
  <c r="Q207" i="254"/>
  <c r="P207" i="254"/>
  <c r="O207" i="254"/>
  <c r="N207" i="254"/>
  <c r="M207" i="254"/>
  <c r="L207" i="254"/>
  <c r="K207" i="254"/>
  <c r="J207" i="254"/>
  <c r="I207" i="254"/>
  <c r="H207" i="254"/>
  <c r="G207" i="254"/>
  <c r="F207" i="254"/>
  <c r="E207" i="254"/>
  <c r="D207" i="254"/>
  <c r="C207" i="254"/>
  <c r="B207" i="254"/>
  <c r="A207" i="254"/>
  <c r="AF206" i="254"/>
  <c r="AE206" i="254"/>
  <c r="AD206" i="254"/>
  <c r="AC206" i="254"/>
  <c r="AB206" i="254"/>
  <c r="AA206" i="254"/>
  <c r="Z206" i="254"/>
  <c r="Y206" i="254"/>
  <c r="X206" i="254"/>
  <c r="W206" i="254"/>
  <c r="V206" i="254"/>
  <c r="U206" i="254"/>
  <c r="T206" i="254"/>
  <c r="S206" i="254"/>
  <c r="R206" i="254"/>
  <c r="Q206" i="254"/>
  <c r="P206" i="254"/>
  <c r="O206" i="254"/>
  <c r="N206" i="254"/>
  <c r="M206" i="254"/>
  <c r="L206" i="254"/>
  <c r="K206" i="254"/>
  <c r="J206" i="254"/>
  <c r="I206" i="254"/>
  <c r="H206" i="254"/>
  <c r="G206" i="254"/>
  <c r="F206" i="254"/>
  <c r="E206" i="254"/>
  <c r="D206" i="254"/>
  <c r="C206" i="254"/>
  <c r="B206" i="254"/>
  <c r="A206" i="254"/>
  <c r="AF205" i="254"/>
  <c r="AE205" i="254"/>
  <c r="AD205" i="254"/>
  <c r="AC205" i="254"/>
  <c r="AB205" i="254"/>
  <c r="AA205" i="254"/>
  <c r="Z205" i="254"/>
  <c r="Y205" i="254"/>
  <c r="X205" i="254"/>
  <c r="W205" i="254"/>
  <c r="V205" i="254"/>
  <c r="U205" i="254"/>
  <c r="T205" i="254"/>
  <c r="S205" i="254"/>
  <c r="R205" i="254"/>
  <c r="Q205" i="254"/>
  <c r="P205" i="254"/>
  <c r="O205" i="254"/>
  <c r="N205" i="254"/>
  <c r="M205" i="254"/>
  <c r="L205" i="254"/>
  <c r="K205" i="254"/>
  <c r="J205" i="254"/>
  <c r="I205" i="254"/>
  <c r="H205" i="254"/>
  <c r="G205" i="254"/>
  <c r="F205" i="254"/>
  <c r="E205" i="254"/>
  <c r="D205" i="254"/>
  <c r="C205" i="254"/>
  <c r="B205" i="254"/>
  <c r="A205" i="254"/>
  <c r="AF204" i="254"/>
  <c r="AE204" i="254"/>
  <c r="AD204" i="254"/>
  <c r="AC204" i="254"/>
  <c r="AB204" i="254"/>
  <c r="AA204" i="254"/>
  <c r="Z204" i="254"/>
  <c r="Y204" i="254"/>
  <c r="X204" i="254"/>
  <c r="W204" i="254"/>
  <c r="V204" i="254"/>
  <c r="U204" i="254"/>
  <c r="T204" i="254"/>
  <c r="S204" i="254"/>
  <c r="R204" i="254"/>
  <c r="Q204" i="254"/>
  <c r="P204" i="254"/>
  <c r="O204" i="254"/>
  <c r="N204" i="254"/>
  <c r="M204" i="254"/>
  <c r="L204" i="254"/>
  <c r="K204" i="254"/>
  <c r="J204" i="254"/>
  <c r="I204" i="254"/>
  <c r="H204" i="254"/>
  <c r="G204" i="254"/>
  <c r="F204" i="254"/>
  <c r="E204" i="254"/>
  <c r="D204" i="254"/>
  <c r="C204" i="254"/>
  <c r="B204" i="254"/>
  <c r="A204" i="254"/>
  <c r="AF203" i="254"/>
  <c r="AE203" i="254"/>
  <c r="AD203" i="254"/>
  <c r="AC203" i="254"/>
  <c r="AB203" i="254"/>
  <c r="AA203" i="254"/>
  <c r="Z203" i="254"/>
  <c r="Y203" i="254"/>
  <c r="X203" i="254"/>
  <c r="W203" i="254"/>
  <c r="V203" i="254"/>
  <c r="U203" i="254"/>
  <c r="T203" i="254"/>
  <c r="S203" i="254"/>
  <c r="R203" i="254"/>
  <c r="Q203" i="254"/>
  <c r="P203" i="254"/>
  <c r="O203" i="254"/>
  <c r="N203" i="254"/>
  <c r="M203" i="254"/>
  <c r="L203" i="254"/>
  <c r="K203" i="254"/>
  <c r="J203" i="254"/>
  <c r="I203" i="254"/>
  <c r="H203" i="254"/>
  <c r="G203" i="254"/>
  <c r="F203" i="254"/>
  <c r="E203" i="254"/>
  <c r="D203" i="254"/>
  <c r="C203" i="254"/>
  <c r="B203" i="254"/>
  <c r="A203" i="254"/>
  <c r="AF202" i="254"/>
  <c r="AE202" i="254"/>
  <c r="AD202" i="254"/>
  <c r="AC202" i="254"/>
  <c r="AB202" i="254"/>
  <c r="AA202" i="254"/>
  <c r="Z202" i="254"/>
  <c r="Y202" i="254"/>
  <c r="X202" i="254"/>
  <c r="W202" i="254"/>
  <c r="V202" i="254"/>
  <c r="U202" i="254"/>
  <c r="T202" i="254"/>
  <c r="S202" i="254"/>
  <c r="R202" i="254"/>
  <c r="Q202" i="254"/>
  <c r="P202" i="254"/>
  <c r="O202" i="254"/>
  <c r="N202" i="254"/>
  <c r="M202" i="254"/>
  <c r="L202" i="254"/>
  <c r="K202" i="254"/>
  <c r="J202" i="254"/>
  <c r="I202" i="254"/>
  <c r="H202" i="254"/>
  <c r="G202" i="254"/>
  <c r="F202" i="254"/>
  <c r="E202" i="254"/>
  <c r="D202" i="254"/>
  <c r="C202" i="254"/>
  <c r="B202" i="254"/>
  <c r="A202" i="254"/>
  <c r="AF201" i="254"/>
  <c r="AE201" i="254"/>
  <c r="AD201" i="254"/>
  <c r="AC201" i="254"/>
  <c r="AB201" i="254"/>
  <c r="AA201" i="254"/>
  <c r="Z201" i="254"/>
  <c r="Y201" i="254"/>
  <c r="X201" i="254"/>
  <c r="W201" i="254"/>
  <c r="V201" i="254"/>
  <c r="U201" i="254"/>
  <c r="T201" i="254"/>
  <c r="S201" i="254"/>
  <c r="R201" i="254"/>
  <c r="Q201" i="254"/>
  <c r="P201" i="254"/>
  <c r="O201" i="254"/>
  <c r="N201" i="254"/>
  <c r="M201" i="254"/>
  <c r="L201" i="254"/>
  <c r="K201" i="254"/>
  <c r="J201" i="254"/>
  <c r="I201" i="254"/>
  <c r="H201" i="254"/>
  <c r="G201" i="254"/>
  <c r="F201" i="254"/>
  <c r="E201" i="254"/>
  <c r="D201" i="254"/>
  <c r="C201" i="254"/>
  <c r="B201" i="254"/>
  <c r="A201" i="254"/>
  <c r="AF200" i="254"/>
  <c r="AE200" i="254"/>
  <c r="AD200" i="254"/>
  <c r="AC200" i="254"/>
  <c r="AB200" i="254"/>
  <c r="AA200" i="254"/>
  <c r="Z200" i="254"/>
  <c r="Y200" i="254"/>
  <c r="X200" i="254"/>
  <c r="W200" i="254"/>
  <c r="V200" i="254"/>
  <c r="U200" i="254"/>
  <c r="T200" i="254"/>
  <c r="S200" i="254"/>
  <c r="R200" i="254"/>
  <c r="Q200" i="254"/>
  <c r="P200" i="254"/>
  <c r="O200" i="254"/>
  <c r="N200" i="254"/>
  <c r="M200" i="254"/>
  <c r="L200" i="254"/>
  <c r="K200" i="254"/>
  <c r="J200" i="254"/>
  <c r="I200" i="254"/>
  <c r="H200" i="254"/>
  <c r="G200" i="254"/>
  <c r="F200" i="254"/>
  <c r="E200" i="254"/>
  <c r="D200" i="254"/>
  <c r="C200" i="254"/>
  <c r="B200" i="254"/>
  <c r="A200" i="254"/>
  <c r="AF199" i="254"/>
  <c r="AE199" i="254"/>
  <c r="AD199" i="254"/>
  <c r="AC199" i="254"/>
  <c r="AB199" i="254"/>
  <c r="AA199" i="254"/>
  <c r="Z199" i="254"/>
  <c r="Y199" i="254"/>
  <c r="X199" i="254"/>
  <c r="W199" i="254"/>
  <c r="V199" i="254"/>
  <c r="U199" i="254"/>
  <c r="T199" i="254"/>
  <c r="S199" i="254"/>
  <c r="R199" i="254"/>
  <c r="Q199" i="254"/>
  <c r="P199" i="254"/>
  <c r="O199" i="254"/>
  <c r="N199" i="254"/>
  <c r="M199" i="254"/>
  <c r="L199" i="254"/>
  <c r="K199" i="254"/>
  <c r="J199" i="254"/>
  <c r="I199" i="254"/>
  <c r="H199" i="254"/>
  <c r="G199" i="254"/>
  <c r="F199" i="254"/>
  <c r="E199" i="254"/>
  <c r="D199" i="254"/>
  <c r="C199" i="254"/>
  <c r="B199" i="254"/>
  <c r="A199" i="254"/>
  <c r="AF198" i="254"/>
  <c r="AE198" i="254"/>
  <c r="AD198" i="254"/>
  <c r="AC198" i="254"/>
  <c r="AB198" i="254"/>
  <c r="AA198" i="254"/>
  <c r="Z198" i="254"/>
  <c r="Y198" i="254"/>
  <c r="X198" i="254"/>
  <c r="W198" i="254"/>
  <c r="V198" i="254"/>
  <c r="U198" i="254"/>
  <c r="T198" i="254"/>
  <c r="S198" i="254"/>
  <c r="R198" i="254"/>
  <c r="Q198" i="254"/>
  <c r="P198" i="254"/>
  <c r="O198" i="254"/>
  <c r="N198" i="254"/>
  <c r="M198" i="254"/>
  <c r="L198" i="254"/>
  <c r="K198" i="254"/>
  <c r="J198" i="254"/>
  <c r="I198" i="254"/>
  <c r="H198" i="254"/>
  <c r="G198" i="254"/>
  <c r="F198" i="254"/>
  <c r="E198" i="254"/>
  <c r="D198" i="254"/>
  <c r="C198" i="254"/>
  <c r="B198" i="254"/>
  <c r="A198" i="254"/>
  <c r="AF197" i="254"/>
  <c r="AE197" i="254"/>
  <c r="AD197" i="254"/>
  <c r="AC197" i="254"/>
  <c r="AB197" i="254"/>
  <c r="AA197" i="254"/>
  <c r="Z197" i="254"/>
  <c r="Y197" i="254"/>
  <c r="X197" i="254"/>
  <c r="W197" i="254"/>
  <c r="V197" i="254"/>
  <c r="U197" i="254"/>
  <c r="T197" i="254"/>
  <c r="S197" i="254"/>
  <c r="R197" i="254"/>
  <c r="Q197" i="254"/>
  <c r="P197" i="254"/>
  <c r="O197" i="254"/>
  <c r="N197" i="254"/>
  <c r="M197" i="254"/>
  <c r="L197" i="254"/>
  <c r="K197" i="254"/>
  <c r="J197" i="254"/>
  <c r="I197" i="254"/>
  <c r="H197" i="254"/>
  <c r="G197" i="254"/>
  <c r="F197" i="254"/>
  <c r="E197" i="254"/>
  <c r="D197" i="254"/>
  <c r="C197" i="254"/>
  <c r="B197" i="254"/>
  <c r="A197" i="254"/>
  <c r="AF196" i="254"/>
  <c r="AE196" i="254"/>
  <c r="AD196" i="254"/>
  <c r="AC196" i="254"/>
  <c r="AB196" i="254"/>
  <c r="AA196" i="254"/>
  <c r="Z196" i="254"/>
  <c r="Y196" i="254"/>
  <c r="X196" i="254"/>
  <c r="W196" i="254"/>
  <c r="V196" i="254"/>
  <c r="U196" i="254"/>
  <c r="T196" i="254"/>
  <c r="S196" i="254"/>
  <c r="R196" i="254"/>
  <c r="Q196" i="254"/>
  <c r="P196" i="254"/>
  <c r="O196" i="254"/>
  <c r="N196" i="254"/>
  <c r="M196" i="254"/>
  <c r="L196" i="254"/>
  <c r="K196" i="254"/>
  <c r="J196" i="254"/>
  <c r="I196" i="254"/>
  <c r="H196" i="254"/>
  <c r="G196" i="254"/>
  <c r="F196" i="254"/>
  <c r="E196" i="254"/>
  <c r="D196" i="254"/>
  <c r="C196" i="254"/>
  <c r="B196" i="254"/>
  <c r="A196" i="254"/>
  <c r="AF195" i="254"/>
  <c r="AE195" i="254"/>
  <c r="AD195" i="254"/>
  <c r="AC195" i="254"/>
  <c r="AB195" i="254"/>
  <c r="AA195" i="254"/>
  <c r="Z195" i="254"/>
  <c r="Y195" i="254"/>
  <c r="X195" i="254"/>
  <c r="W195" i="254"/>
  <c r="V195" i="254"/>
  <c r="U195" i="254"/>
  <c r="T195" i="254"/>
  <c r="S195" i="254"/>
  <c r="R195" i="254"/>
  <c r="Q195" i="254"/>
  <c r="P195" i="254"/>
  <c r="O195" i="254"/>
  <c r="N195" i="254"/>
  <c r="M195" i="254"/>
  <c r="L195" i="254"/>
  <c r="K195" i="254"/>
  <c r="J195" i="254"/>
  <c r="I195" i="254"/>
  <c r="H195" i="254"/>
  <c r="G195" i="254"/>
  <c r="F195" i="254"/>
  <c r="E195" i="254"/>
  <c r="D195" i="254"/>
  <c r="C195" i="254"/>
  <c r="B195" i="254"/>
  <c r="A195" i="254"/>
  <c r="AF194" i="254"/>
  <c r="AE194" i="254"/>
  <c r="AD194" i="254"/>
  <c r="AC194" i="254"/>
  <c r="AB194" i="254"/>
  <c r="AA194" i="254"/>
  <c r="Z194" i="254"/>
  <c r="Y194" i="254"/>
  <c r="X194" i="254"/>
  <c r="W194" i="254"/>
  <c r="V194" i="254"/>
  <c r="U194" i="254"/>
  <c r="T194" i="254"/>
  <c r="S194" i="254"/>
  <c r="R194" i="254"/>
  <c r="Q194" i="254"/>
  <c r="P194" i="254"/>
  <c r="O194" i="254"/>
  <c r="N194" i="254"/>
  <c r="M194" i="254"/>
  <c r="L194" i="254"/>
  <c r="K194" i="254"/>
  <c r="J194" i="254"/>
  <c r="I194" i="254"/>
  <c r="H194" i="254"/>
  <c r="G194" i="254"/>
  <c r="F194" i="254"/>
  <c r="E194" i="254"/>
  <c r="D194" i="254"/>
  <c r="C194" i="254"/>
  <c r="B194" i="254"/>
  <c r="A194" i="254"/>
  <c r="AF193" i="254"/>
  <c r="AE193" i="254"/>
  <c r="AD193" i="254"/>
  <c r="AC193" i="254"/>
  <c r="AB193" i="254"/>
  <c r="AA193" i="254"/>
  <c r="Z193" i="254"/>
  <c r="Y193" i="254"/>
  <c r="X193" i="254"/>
  <c r="W193" i="254"/>
  <c r="V193" i="254"/>
  <c r="U193" i="254"/>
  <c r="T193" i="254"/>
  <c r="S193" i="254"/>
  <c r="R193" i="254"/>
  <c r="Q193" i="254"/>
  <c r="P193" i="254"/>
  <c r="O193" i="254"/>
  <c r="N193" i="254"/>
  <c r="M193" i="254"/>
  <c r="L193" i="254"/>
  <c r="K193" i="254"/>
  <c r="J193" i="254"/>
  <c r="I193" i="254"/>
  <c r="H193" i="254"/>
  <c r="G193" i="254"/>
  <c r="F193" i="254"/>
  <c r="E193" i="254"/>
  <c r="D193" i="254"/>
  <c r="C193" i="254"/>
  <c r="B193" i="254"/>
  <c r="A193" i="254"/>
  <c r="AF192" i="254"/>
  <c r="AE192" i="254"/>
  <c r="AD192" i="254"/>
  <c r="AC192" i="254"/>
  <c r="AB192" i="254"/>
  <c r="AA192" i="254"/>
  <c r="Z192" i="254"/>
  <c r="Y192" i="254"/>
  <c r="X192" i="254"/>
  <c r="W192" i="254"/>
  <c r="V192" i="254"/>
  <c r="U192" i="254"/>
  <c r="T192" i="254"/>
  <c r="S192" i="254"/>
  <c r="R192" i="254"/>
  <c r="Q192" i="254"/>
  <c r="P192" i="254"/>
  <c r="O192" i="254"/>
  <c r="N192" i="254"/>
  <c r="M192" i="254"/>
  <c r="L192" i="254"/>
  <c r="K192" i="254"/>
  <c r="J192" i="254"/>
  <c r="I192" i="254"/>
  <c r="H192" i="254"/>
  <c r="G192" i="254"/>
  <c r="F192" i="254"/>
  <c r="E192" i="254"/>
  <c r="D192" i="254"/>
  <c r="C192" i="254"/>
  <c r="B192" i="254"/>
  <c r="A192" i="254"/>
  <c r="AF191" i="254"/>
  <c r="AE191" i="254"/>
  <c r="AD191" i="254"/>
  <c r="AC191" i="254"/>
  <c r="AB191" i="254"/>
  <c r="AA191" i="254"/>
  <c r="Z191" i="254"/>
  <c r="Y191" i="254"/>
  <c r="X191" i="254"/>
  <c r="W191" i="254"/>
  <c r="V191" i="254"/>
  <c r="U191" i="254"/>
  <c r="T191" i="254"/>
  <c r="S191" i="254"/>
  <c r="R191" i="254"/>
  <c r="Q191" i="254"/>
  <c r="P191" i="254"/>
  <c r="O191" i="254"/>
  <c r="N191" i="254"/>
  <c r="M191" i="254"/>
  <c r="L191" i="254"/>
  <c r="K191" i="254"/>
  <c r="J191" i="254"/>
  <c r="I191" i="254"/>
  <c r="H191" i="254"/>
  <c r="G191" i="254"/>
  <c r="F191" i="254"/>
  <c r="E191" i="254"/>
  <c r="D191" i="254"/>
  <c r="C191" i="254"/>
  <c r="B191" i="254"/>
  <c r="A191" i="254"/>
  <c r="AF190" i="254"/>
  <c r="AE190" i="254"/>
  <c r="AD190" i="254"/>
  <c r="AC190" i="254"/>
  <c r="AB190" i="254"/>
  <c r="AA190" i="254"/>
  <c r="Z190" i="254"/>
  <c r="Y190" i="254"/>
  <c r="X190" i="254"/>
  <c r="W190" i="254"/>
  <c r="V190" i="254"/>
  <c r="U190" i="254"/>
  <c r="T190" i="254"/>
  <c r="S190" i="254"/>
  <c r="R190" i="254"/>
  <c r="Q190" i="254"/>
  <c r="P190" i="254"/>
  <c r="O190" i="254"/>
  <c r="N190" i="254"/>
  <c r="M190" i="254"/>
  <c r="L190" i="254"/>
  <c r="K190" i="254"/>
  <c r="J190" i="254"/>
  <c r="I190" i="254"/>
  <c r="H190" i="254"/>
  <c r="G190" i="254"/>
  <c r="F190" i="254"/>
  <c r="E190" i="254"/>
  <c r="D190" i="254"/>
  <c r="C190" i="254"/>
  <c r="B190" i="254"/>
  <c r="A190" i="254"/>
  <c r="AF189" i="254"/>
  <c r="AE189" i="254"/>
  <c r="AD189" i="254"/>
  <c r="AC189" i="254"/>
  <c r="AB189" i="254"/>
  <c r="AA189" i="254"/>
  <c r="Z189" i="254"/>
  <c r="Y189" i="254"/>
  <c r="X189" i="254"/>
  <c r="W189" i="254"/>
  <c r="V189" i="254"/>
  <c r="U189" i="254"/>
  <c r="T189" i="254"/>
  <c r="S189" i="254"/>
  <c r="R189" i="254"/>
  <c r="Q189" i="254"/>
  <c r="P189" i="254"/>
  <c r="O189" i="254"/>
  <c r="N189" i="254"/>
  <c r="M189" i="254"/>
  <c r="L189" i="254"/>
  <c r="K189" i="254"/>
  <c r="J189" i="254"/>
  <c r="I189" i="254"/>
  <c r="H189" i="254"/>
  <c r="G189" i="254"/>
  <c r="F189" i="254"/>
  <c r="E189" i="254"/>
  <c r="D189" i="254"/>
  <c r="C189" i="254"/>
  <c r="B189" i="254"/>
  <c r="A189" i="254"/>
  <c r="AF188" i="254"/>
  <c r="AE188" i="254"/>
  <c r="AD188" i="254"/>
  <c r="AC188" i="254"/>
  <c r="AB188" i="254"/>
  <c r="AA188" i="254"/>
  <c r="Z188" i="254"/>
  <c r="Y188" i="254"/>
  <c r="X188" i="254"/>
  <c r="W188" i="254"/>
  <c r="V188" i="254"/>
  <c r="U188" i="254"/>
  <c r="T188" i="254"/>
  <c r="S188" i="254"/>
  <c r="R188" i="254"/>
  <c r="Q188" i="254"/>
  <c r="P188" i="254"/>
  <c r="O188" i="254"/>
  <c r="N188" i="254"/>
  <c r="M188" i="254"/>
  <c r="L188" i="254"/>
  <c r="K188" i="254"/>
  <c r="J188" i="254"/>
  <c r="I188" i="254"/>
  <c r="H188" i="254"/>
  <c r="G188" i="254"/>
  <c r="F188" i="254"/>
  <c r="E188" i="254"/>
  <c r="D188" i="254"/>
  <c r="C188" i="254"/>
  <c r="B188" i="254"/>
  <c r="A188" i="254"/>
  <c r="AF187" i="254"/>
  <c r="AE187" i="254"/>
  <c r="AD187" i="254"/>
  <c r="AC187" i="254"/>
  <c r="AB187" i="254"/>
  <c r="AA187" i="254"/>
  <c r="Z187" i="254"/>
  <c r="Y187" i="254"/>
  <c r="X187" i="254"/>
  <c r="W187" i="254"/>
  <c r="V187" i="254"/>
  <c r="U187" i="254"/>
  <c r="T187" i="254"/>
  <c r="S187" i="254"/>
  <c r="R187" i="254"/>
  <c r="Q187" i="254"/>
  <c r="P187" i="254"/>
  <c r="O187" i="254"/>
  <c r="N187" i="254"/>
  <c r="M187" i="254"/>
  <c r="L187" i="254"/>
  <c r="K187" i="254"/>
  <c r="J187" i="254"/>
  <c r="I187" i="254"/>
  <c r="H187" i="254"/>
  <c r="G187" i="254"/>
  <c r="F187" i="254"/>
  <c r="E187" i="254"/>
  <c r="D187" i="254"/>
  <c r="C187" i="254"/>
  <c r="B187" i="254"/>
  <c r="A187" i="254"/>
  <c r="AF186" i="254"/>
  <c r="AE186" i="254"/>
  <c r="AD186" i="254"/>
  <c r="AC186" i="254"/>
  <c r="AB186" i="254"/>
  <c r="AA186" i="254"/>
  <c r="Z186" i="254"/>
  <c r="Y186" i="254"/>
  <c r="X186" i="254"/>
  <c r="W186" i="254"/>
  <c r="V186" i="254"/>
  <c r="U186" i="254"/>
  <c r="T186" i="254"/>
  <c r="S186" i="254"/>
  <c r="R186" i="254"/>
  <c r="Q186" i="254"/>
  <c r="P186" i="254"/>
  <c r="O186" i="254"/>
  <c r="N186" i="254"/>
  <c r="M186" i="254"/>
  <c r="L186" i="254"/>
  <c r="K186" i="254"/>
  <c r="J186" i="254"/>
  <c r="I186" i="254"/>
  <c r="H186" i="254"/>
  <c r="G186" i="254"/>
  <c r="F186" i="254"/>
  <c r="E186" i="254"/>
  <c r="D186" i="254"/>
  <c r="C186" i="254"/>
  <c r="B186" i="254"/>
  <c r="A186" i="254"/>
  <c r="AF185" i="254"/>
  <c r="AE185" i="254"/>
  <c r="AD185" i="254"/>
  <c r="AC185" i="254"/>
  <c r="AB185" i="254"/>
  <c r="AA185" i="254"/>
  <c r="Z185" i="254"/>
  <c r="Y185" i="254"/>
  <c r="X185" i="254"/>
  <c r="W185" i="254"/>
  <c r="V185" i="254"/>
  <c r="U185" i="254"/>
  <c r="T185" i="254"/>
  <c r="S185" i="254"/>
  <c r="R185" i="254"/>
  <c r="Q185" i="254"/>
  <c r="P185" i="254"/>
  <c r="O185" i="254"/>
  <c r="N185" i="254"/>
  <c r="M185" i="254"/>
  <c r="L185" i="254"/>
  <c r="K185" i="254"/>
  <c r="J185" i="254"/>
  <c r="I185" i="254"/>
  <c r="H185" i="254"/>
  <c r="G185" i="254"/>
  <c r="F185" i="254"/>
  <c r="E185" i="254"/>
  <c r="D185" i="254"/>
  <c r="C185" i="254"/>
  <c r="B185" i="254"/>
  <c r="A185" i="254"/>
  <c r="AF184" i="254"/>
  <c r="AE184" i="254"/>
  <c r="AD184" i="254"/>
  <c r="AC184" i="254"/>
  <c r="AB184" i="254"/>
  <c r="AA184" i="254"/>
  <c r="Z184" i="254"/>
  <c r="Y184" i="254"/>
  <c r="X184" i="254"/>
  <c r="W184" i="254"/>
  <c r="V184" i="254"/>
  <c r="U184" i="254"/>
  <c r="T184" i="254"/>
  <c r="S184" i="254"/>
  <c r="R184" i="254"/>
  <c r="Q184" i="254"/>
  <c r="P184" i="254"/>
  <c r="O184" i="254"/>
  <c r="N184" i="254"/>
  <c r="M184" i="254"/>
  <c r="L184" i="254"/>
  <c r="K184" i="254"/>
  <c r="J184" i="254"/>
  <c r="I184" i="254"/>
  <c r="H184" i="254"/>
  <c r="G184" i="254"/>
  <c r="F184" i="254"/>
  <c r="E184" i="254"/>
  <c r="D184" i="254"/>
  <c r="C184" i="254"/>
  <c r="B184" i="254"/>
  <c r="A184" i="254"/>
  <c r="AF183" i="254"/>
  <c r="AE183" i="254"/>
  <c r="AD183" i="254"/>
  <c r="AC183" i="254"/>
  <c r="AB183" i="254"/>
  <c r="AA183" i="254"/>
  <c r="Z183" i="254"/>
  <c r="Y183" i="254"/>
  <c r="X183" i="254"/>
  <c r="W183" i="254"/>
  <c r="V183" i="254"/>
  <c r="U183" i="254"/>
  <c r="T183" i="254"/>
  <c r="S183" i="254"/>
  <c r="R183" i="254"/>
  <c r="Q183" i="254"/>
  <c r="P183" i="254"/>
  <c r="O183" i="254"/>
  <c r="N183" i="254"/>
  <c r="M183" i="254"/>
  <c r="L183" i="254"/>
  <c r="K183" i="254"/>
  <c r="J183" i="254"/>
  <c r="I183" i="254"/>
  <c r="H183" i="254"/>
  <c r="G183" i="254"/>
  <c r="F183" i="254"/>
  <c r="E183" i="254"/>
  <c r="D183" i="254"/>
  <c r="C183" i="254"/>
  <c r="B183" i="254"/>
  <c r="A183" i="254"/>
  <c r="AF182" i="254"/>
  <c r="AE182" i="254"/>
  <c r="AD182" i="254"/>
  <c r="AC182" i="254"/>
  <c r="AB182" i="254"/>
  <c r="AA182" i="254"/>
  <c r="Z182" i="254"/>
  <c r="Y182" i="254"/>
  <c r="X182" i="254"/>
  <c r="W182" i="254"/>
  <c r="V182" i="254"/>
  <c r="U182" i="254"/>
  <c r="T182" i="254"/>
  <c r="S182" i="254"/>
  <c r="R182" i="254"/>
  <c r="Q182" i="254"/>
  <c r="P182" i="254"/>
  <c r="O182" i="254"/>
  <c r="N182" i="254"/>
  <c r="M182" i="254"/>
  <c r="L182" i="254"/>
  <c r="K182" i="254"/>
  <c r="J182" i="254"/>
  <c r="I182" i="254"/>
  <c r="H182" i="254"/>
  <c r="G182" i="254"/>
  <c r="F182" i="254"/>
  <c r="E182" i="254"/>
  <c r="D182" i="254"/>
  <c r="C182" i="254"/>
  <c r="B182" i="254"/>
  <c r="A182" i="254"/>
  <c r="AF181" i="254"/>
  <c r="AE181" i="254"/>
  <c r="AD181" i="254"/>
  <c r="AC181" i="254"/>
  <c r="AB181" i="254"/>
  <c r="AA181" i="254"/>
  <c r="Z181" i="254"/>
  <c r="Y181" i="254"/>
  <c r="X181" i="254"/>
  <c r="W181" i="254"/>
  <c r="V181" i="254"/>
  <c r="U181" i="254"/>
  <c r="T181" i="254"/>
  <c r="S181" i="254"/>
  <c r="R181" i="254"/>
  <c r="Q181" i="254"/>
  <c r="P181" i="254"/>
  <c r="O181" i="254"/>
  <c r="N181" i="254"/>
  <c r="M181" i="254"/>
  <c r="L181" i="254"/>
  <c r="K181" i="254"/>
  <c r="J181" i="254"/>
  <c r="I181" i="254"/>
  <c r="H181" i="254"/>
  <c r="G181" i="254"/>
  <c r="F181" i="254"/>
  <c r="E181" i="254"/>
  <c r="D181" i="254"/>
  <c r="C181" i="254"/>
  <c r="B181" i="254"/>
  <c r="A181" i="254"/>
  <c r="AF180" i="254"/>
  <c r="AE180" i="254"/>
  <c r="AD180" i="254"/>
  <c r="AC180" i="254"/>
  <c r="AB180" i="254"/>
  <c r="AA180" i="254"/>
  <c r="Z180" i="254"/>
  <c r="Y180" i="254"/>
  <c r="X180" i="254"/>
  <c r="W180" i="254"/>
  <c r="V180" i="254"/>
  <c r="U180" i="254"/>
  <c r="T180" i="254"/>
  <c r="S180" i="254"/>
  <c r="R180" i="254"/>
  <c r="Q180" i="254"/>
  <c r="P180" i="254"/>
  <c r="O180" i="254"/>
  <c r="N180" i="254"/>
  <c r="M180" i="254"/>
  <c r="L180" i="254"/>
  <c r="K180" i="254"/>
  <c r="J180" i="254"/>
  <c r="I180" i="254"/>
  <c r="H180" i="254"/>
  <c r="G180" i="254"/>
  <c r="F180" i="254"/>
  <c r="E180" i="254"/>
  <c r="D180" i="254"/>
  <c r="C180" i="254"/>
  <c r="B180" i="254"/>
  <c r="A180" i="254"/>
  <c r="AF179" i="254"/>
  <c r="AE179" i="254"/>
  <c r="AD179" i="254"/>
  <c r="AC179" i="254"/>
  <c r="AB179" i="254"/>
  <c r="AA179" i="254"/>
  <c r="Z179" i="254"/>
  <c r="Y179" i="254"/>
  <c r="X179" i="254"/>
  <c r="W179" i="254"/>
  <c r="V179" i="254"/>
  <c r="U179" i="254"/>
  <c r="T179" i="254"/>
  <c r="S179" i="254"/>
  <c r="R179" i="254"/>
  <c r="Q179" i="254"/>
  <c r="P179" i="254"/>
  <c r="O179" i="254"/>
  <c r="N179" i="254"/>
  <c r="M179" i="254"/>
  <c r="L179" i="254"/>
  <c r="K179" i="254"/>
  <c r="J179" i="254"/>
  <c r="I179" i="254"/>
  <c r="H179" i="254"/>
  <c r="G179" i="254"/>
  <c r="F179" i="254"/>
  <c r="E179" i="254"/>
  <c r="D179" i="254"/>
  <c r="C179" i="254"/>
  <c r="B179" i="254"/>
  <c r="A179" i="254"/>
  <c r="AF178" i="254"/>
  <c r="AE178" i="254"/>
  <c r="AD178" i="254"/>
  <c r="AC178" i="254"/>
  <c r="AB178" i="254"/>
  <c r="AA178" i="254"/>
  <c r="Z178" i="254"/>
  <c r="Y178" i="254"/>
  <c r="X178" i="254"/>
  <c r="W178" i="254"/>
  <c r="V178" i="254"/>
  <c r="U178" i="254"/>
  <c r="T178" i="254"/>
  <c r="S178" i="254"/>
  <c r="R178" i="254"/>
  <c r="Q178" i="254"/>
  <c r="P178" i="254"/>
  <c r="O178" i="254"/>
  <c r="N178" i="254"/>
  <c r="M178" i="254"/>
  <c r="L178" i="254"/>
  <c r="K178" i="254"/>
  <c r="J178" i="254"/>
  <c r="I178" i="254"/>
  <c r="H178" i="254"/>
  <c r="G178" i="254"/>
  <c r="F178" i="254"/>
  <c r="E178" i="254"/>
  <c r="D178" i="254"/>
  <c r="C178" i="254"/>
  <c r="B178" i="254"/>
  <c r="A178" i="254"/>
  <c r="AF177" i="254"/>
  <c r="AE177" i="254"/>
  <c r="AD177" i="254"/>
  <c r="AC177" i="254"/>
  <c r="AB177" i="254"/>
  <c r="AA177" i="254"/>
  <c r="Z177" i="254"/>
  <c r="Y177" i="254"/>
  <c r="X177" i="254"/>
  <c r="W177" i="254"/>
  <c r="V177" i="254"/>
  <c r="U177" i="254"/>
  <c r="T177" i="254"/>
  <c r="S177" i="254"/>
  <c r="R177" i="254"/>
  <c r="Q177" i="254"/>
  <c r="P177" i="254"/>
  <c r="O177" i="254"/>
  <c r="N177" i="254"/>
  <c r="M177" i="254"/>
  <c r="L177" i="254"/>
  <c r="K177" i="254"/>
  <c r="J177" i="254"/>
  <c r="I177" i="254"/>
  <c r="H177" i="254"/>
  <c r="G177" i="254"/>
  <c r="F177" i="254"/>
  <c r="E177" i="254"/>
  <c r="D177" i="254"/>
  <c r="C177" i="254"/>
  <c r="B177" i="254"/>
  <c r="A177" i="254"/>
  <c r="AF176" i="254"/>
  <c r="AE176" i="254"/>
  <c r="AD176" i="254"/>
  <c r="AC176" i="254"/>
  <c r="AB176" i="254"/>
  <c r="AA176" i="254"/>
  <c r="Z176" i="254"/>
  <c r="Y176" i="254"/>
  <c r="X176" i="254"/>
  <c r="W176" i="254"/>
  <c r="V176" i="254"/>
  <c r="U176" i="254"/>
  <c r="T176" i="254"/>
  <c r="S176" i="254"/>
  <c r="R176" i="254"/>
  <c r="Q176" i="254"/>
  <c r="P176" i="254"/>
  <c r="O176" i="254"/>
  <c r="N176" i="254"/>
  <c r="M176" i="254"/>
  <c r="L176" i="254"/>
  <c r="K176" i="254"/>
  <c r="J176" i="254"/>
  <c r="I176" i="254"/>
  <c r="H176" i="254"/>
  <c r="G176" i="254"/>
  <c r="F176" i="254"/>
  <c r="E176" i="254"/>
  <c r="D176" i="254"/>
  <c r="C176" i="254"/>
  <c r="B176" i="254"/>
  <c r="A176" i="254"/>
  <c r="AF175" i="254"/>
  <c r="AE175" i="254"/>
  <c r="AD175" i="254"/>
  <c r="AC175" i="254"/>
  <c r="AB175" i="254"/>
  <c r="AA175" i="254"/>
  <c r="Z175" i="254"/>
  <c r="Y175" i="254"/>
  <c r="X175" i="254"/>
  <c r="W175" i="254"/>
  <c r="V175" i="254"/>
  <c r="U175" i="254"/>
  <c r="T175" i="254"/>
  <c r="S175" i="254"/>
  <c r="R175" i="254"/>
  <c r="Q175" i="254"/>
  <c r="P175" i="254"/>
  <c r="O175" i="254"/>
  <c r="N175" i="254"/>
  <c r="M175" i="254"/>
  <c r="L175" i="254"/>
  <c r="K175" i="254"/>
  <c r="J175" i="254"/>
  <c r="I175" i="254"/>
  <c r="H175" i="254"/>
  <c r="G175" i="254"/>
  <c r="F175" i="254"/>
  <c r="E175" i="254"/>
  <c r="D175" i="254"/>
  <c r="C175" i="254"/>
  <c r="B175" i="254"/>
  <c r="A175" i="254"/>
  <c r="AF174" i="254"/>
  <c r="AE174" i="254"/>
  <c r="AD174" i="254"/>
  <c r="AC174" i="254"/>
  <c r="AB174" i="254"/>
  <c r="AA174" i="254"/>
  <c r="Z174" i="254"/>
  <c r="Y174" i="254"/>
  <c r="X174" i="254"/>
  <c r="W174" i="254"/>
  <c r="V174" i="254"/>
  <c r="U174" i="254"/>
  <c r="T174" i="254"/>
  <c r="S174" i="254"/>
  <c r="R174" i="254"/>
  <c r="Q174" i="254"/>
  <c r="P174" i="254"/>
  <c r="O174" i="254"/>
  <c r="N174" i="254"/>
  <c r="M174" i="254"/>
  <c r="L174" i="254"/>
  <c r="K174" i="254"/>
  <c r="J174" i="254"/>
  <c r="I174" i="254"/>
  <c r="H174" i="254"/>
  <c r="G174" i="254"/>
  <c r="F174" i="254"/>
  <c r="E174" i="254"/>
  <c r="D174" i="254"/>
  <c r="C174" i="254"/>
  <c r="B174" i="254"/>
  <c r="A174" i="254"/>
  <c r="AF173" i="254"/>
  <c r="AE173" i="254"/>
  <c r="AD173" i="254"/>
  <c r="AC173" i="254"/>
  <c r="AB173" i="254"/>
  <c r="AA173" i="254"/>
  <c r="Z173" i="254"/>
  <c r="Y173" i="254"/>
  <c r="X173" i="254"/>
  <c r="W173" i="254"/>
  <c r="V173" i="254"/>
  <c r="U173" i="254"/>
  <c r="T173" i="254"/>
  <c r="S173" i="254"/>
  <c r="R173" i="254"/>
  <c r="Q173" i="254"/>
  <c r="P173" i="254"/>
  <c r="O173" i="254"/>
  <c r="N173" i="254"/>
  <c r="M173" i="254"/>
  <c r="L173" i="254"/>
  <c r="K173" i="254"/>
  <c r="J173" i="254"/>
  <c r="I173" i="254"/>
  <c r="H173" i="254"/>
  <c r="G173" i="254"/>
  <c r="F173" i="254"/>
  <c r="E173" i="254"/>
  <c r="D173" i="254"/>
  <c r="C173" i="254"/>
  <c r="B173" i="254"/>
  <c r="A173" i="254"/>
  <c r="AF172" i="254"/>
  <c r="AE172" i="254"/>
  <c r="AD172" i="254"/>
  <c r="AC172" i="254"/>
  <c r="AB172" i="254"/>
  <c r="AA172" i="254"/>
  <c r="Z172" i="254"/>
  <c r="Y172" i="254"/>
  <c r="X172" i="254"/>
  <c r="W172" i="254"/>
  <c r="V172" i="254"/>
  <c r="U172" i="254"/>
  <c r="T172" i="254"/>
  <c r="S172" i="254"/>
  <c r="R172" i="254"/>
  <c r="Q172" i="254"/>
  <c r="P172" i="254"/>
  <c r="O172" i="254"/>
  <c r="N172" i="254"/>
  <c r="M172" i="254"/>
  <c r="L172" i="254"/>
  <c r="K172" i="254"/>
  <c r="J172" i="254"/>
  <c r="I172" i="254"/>
  <c r="H172" i="254"/>
  <c r="G172" i="254"/>
  <c r="F172" i="254"/>
  <c r="E172" i="254"/>
  <c r="D172" i="254"/>
  <c r="C172" i="254"/>
  <c r="B172" i="254"/>
  <c r="A172" i="254"/>
  <c r="AF171" i="254"/>
  <c r="AE171" i="254"/>
  <c r="AD171" i="254"/>
  <c r="AC171" i="254"/>
  <c r="AB171" i="254"/>
  <c r="AA171" i="254"/>
  <c r="Z171" i="254"/>
  <c r="Y171" i="254"/>
  <c r="X171" i="254"/>
  <c r="W171" i="254"/>
  <c r="V171" i="254"/>
  <c r="U171" i="254"/>
  <c r="T171" i="254"/>
  <c r="S171" i="254"/>
  <c r="R171" i="254"/>
  <c r="Q171" i="254"/>
  <c r="P171" i="254"/>
  <c r="O171" i="254"/>
  <c r="N171" i="254"/>
  <c r="M171" i="254"/>
  <c r="L171" i="254"/>
  <c r="K171" i="254"/>
  <c r="J171" i="254"/>
  <c r="I171" i="254"/>
  <c r="H171" i="254"/>
  <c r="G171" i="254"/>
  <c r="F171" i="254"/>
  <c r="E171" i="254"/>
  <c r="D171" i="254"/>
  <c r="C171" i="254"/>
  <c r="B171" i="254"/>
  <c r="A171" i="254"/>
  <c r="AF170" i="254"/>
  <c r="AE170" i="254"/>
  <c r="AD170" i="254"/>
  <c r="AC170" i="254"/>
  <c r="AB170" i="254"/>
  <c r="AA170" i="254"/>
  <c r="Z170" i="254"/>
  <c r="Y170" i="254"/>
  <c r="X170" i="254"/>
  <c r="W170" i="254"/>
  <c r="V170" i="254"/>
  <c r="U170" i="254"/>
  <c r="T170" i="254"/>
  <c r="S170" i="254"/>
  <c r="R170" i="254"/>
  <c r="Q170" i="254"/>
  <c r="P170" i="254"/>
  <c r="O170" i="254"/>
  <c r="N170" i="254"/>
  <c r="M170" i="254"/>
  <c r="L170" i="254"/>
  <c r="K170" i="254"/>
  <c r="J170" i="254"/>
  <c r="I170" i="254"/>
  <c r="H170" i="254"/>
  <c r="G170" i="254"/>
  <c r="F170" i="254"/>
  <c r="E170" i="254"/>
  <c r="D170" i="254"/>
  <c r="C170" i="254"/>
  <c r="B170" i="254"/>
  <c r="A170" i="254"/>
  <c r="AF169" i="254"/>
  <c r="AE169" i="254"/>
  <c r="AD169" i="254"/>
  <c r="AC169" i="254"/>
  <c r="AB169" i="254"/>
  <c r="AA169" i="254"/>
  <c r="Z169" i="254"/>
  <c r="Y169" i="254"/>
  <c r="X169" i="254"/>
  <c r="W169" i="254"/>
  <c r="V169" i="254"/>
  <c r="U169" i="254"/>
  <c r="T169" i="254"/>
  <c r="S169" i="254"/>
  <c r="R169" i="254"/>
  <c r="Q169" i="254"/>
  <c r="P169" i="254"/>
  <c r="O169" i="254"/>
  <c r="N169" i="254"/>
  <c r="M169" i="254"/>
  <c r="L169" i="254"/>
  <c r="K169" i="254"/>
  <c r="J169" i="254"/>
  <c r="I169" i="254"/>
  <c r="H169" i="254"/>
  <c r="G169" i="254"/>
  <c r="F169" i="254"/>
  <c r="E169" i="254"/>
  <c r="D169" i="254"/>
  <c r="C169" i="254"/>
  <c r="B169" i="254"/>
  <c r="A169" i="254"/>
  <c r="AF168" i="254"/>
  <c r="AE168" i="254"/>
  <c r="AD168" i="254"/>
  <c r="AC168" i="254"/>
  <c r="AB168" i="254"/>
  <c r="AA168" i="254"/>
  <c r="Z168" i="254"/>
  <c r="Y168" i="254"/>
  <c r="X168" i="254"/>
  <c r="W168" i="254"/>
  <c r="V168" i="254"/>
  <c r="U168" i="254"/>
  <c r="T168" i="254"/>
  <c r="S168" i="254"/>
  <c r="R168" i="254"/>
  <c r="Q168" i="254"/>
  <c r="P168" i="254"/>
  <c r="O168" i="254"/>
  <c r="N168" i="254"/>
  <c r="M168" i="254"/>
  <c r="L168" i="254"/>
  <c r="K168" i="254"/>
  <c r="J168" i="254"/>
  <c r="I168" i="254"/>
  <c r="H168" i="254"/>
  <c r="G168" i="254"/>
  <c r="F168" i="254"/>
  <c r="E168" i="254"/>
  <c r="D168" i="254"/>
  <c r="C168" i="254"/>
  <c r="B168" i="254"/>
  <c r="A168" i="254"/>
  <c r="AF167" i="254"/>
  <c r="AE167" i="254"/>
  <c r="AD167" i="254"/>
  <c r="AC167" i="254"/>
  <c r="AB167" i="254"/>
  <c r="AA167" i="254"/>
  <c r="Z167" i="254"/>
  <c r="Y167" i="254"/>
  <c r="X167" i="254"/>
  <c r="W167" i="254"/>
  <c r="V167" i="254"/>
  <c r="U167" i="254"/>
  <c r="T167" i="254"/>
  <c r="S167" i="254"/>
  <c r="R167" i="254"/>
  <c r="Q167" i="254"/>
  <c r="P167" i="254"/>
  <c r="O167" i="254"/>
  <c r="N167" i="254"/>
  <c r="M167" i="254"/>
  <c r="L167" i="254"/>
  <c r="K167" i="254"/>
  <c r="J167" i="254"/>
  <c r="I167" i="254"/>
  <c r="H167" i="254"/>
  <c r="G167" i="254"/>
  <c r="F167" i="254"/>
  <c r="E167" i="254"/>
  <c r="D167" i="254"/>
  <c r="C167" i="254"/>
  <c r="B167" i="254"/>
  <c r="A167" i="254"/>
  <c r="AF166" i="254"/>
  <c r="AE166" i="254"/>
  <c r="AD166" i="254"/>
  <c r="AC166" i="254"/>
  <c r="AB166" i="254"/>
  <c r="AA166" i="254"/>
  <c r="Z166" i="254"/>
  <c r="Y166" i="254"/>
  <c r="X166" i="254"/>
  <c r="W166" i="254"/>
  <c r="V166" i="254"/>
  <c r="U166" i="254"/>
  <c r="T166" i="254"/>
  <c r="S166" i="254"/>
  <c r="R166" i="254"/>
  <c r="Q166" i="254"/>
  <c r="P166" i="254"/>
  <c r="O166" i="254"/>
  <c r="N166" i="254"/>
  <c r="M166" i="254"/>
  <c r="L166" i="254"/>
  <c r="K166" i="254"/>
  <c r="J166" i="254"/>
  <c r="I166" i="254"/>
  <c r="H166" i="254"/>
  <c r="G166" i="254"/>
  <c r="F166" i="254"/>
  <c r="E166" i="254"/>
  <c r="D166" i="254"/>
  <c r="C166" i="254"/>
  <c r="B166" i="254"/>
  <c r="A166" i="254"/>
  <c r="AF165" i="254"/>
  <c r="AE165" i="254"/>
  <c r="AD165" i="254"/>
  <c r="AC165" i="254"/>
  <c r="AB165" i="254"/>
  <c r="AA165" i="254"/>
  <c r="Z165" i="254"/>
  <c r="Y165" i="254"/>
  <c r="X165" i="254"/>
  <c r="W165" i="254"/>
  <c r="V165" i="254"/>
  <c r="U165" i="254"/>
  <c r="T165" i="254"/>
  <c r="S165" i="254"/>
  <c r="R165" i="254"/>
  <c r="Q165" i="254"/>
  <c r="P165" i="254"/>
  <c r="O165" i="254"/>
  <c r="N165" i="254"/>
  <c r="M165" i="254"/>
  <c r="L165" i="254"/>
  <c r="K165" i="254"/>
  <c r="J165" i="254"/>
  <c r="I165" i="254"/>
  <c r="H165" i="254"/>
  <c r="G165" i="254"/>
  <c r="F165" i="254"/>
  <c r="E165" i="254"/>
  <c r="D165" i="254"/>
  <c r="C165" i="254"/>
  <c r="B165" i="254"/>
  <c r="A165" i="254"/>
  <c r="AF164" i="254"/>
  <c r="AE164" i="254"/>
  <c r="AD164" i="254"/>
  <c r="AC164" i="254"/>
  <c r="AB164" i="254"/>
  <c r="AA164" i="254"/>
  <c r="Z164" i="254"/>
  <c r="Y164" i="254"/>
  <c r="X164" i="254"/>
  <c r="W164" i="254"/>
  <c r="V164" i="254"/>
  <c r="U164" i="254"/>
  <c r="T164" i="254"/>
  <c r="S164" i="254"/>
  <c r="R164" i="254"/>
  <c r="Q164" i="254"/>
  <c r="P164" i="254"/>
  <c r="O164" i="254"/>
  <c r="N164" i="254"/>
  <c r="M164" i="254"/>
  <c r="L164" i="254"/>
  <c r="K164" i="254"/>
  <c r="J164" i="254"/>
  <c r="I164" i="254"/>
  <c r="H164" i="254"/>
  <c r="G164" i="254"/>
  <c r="F164" i="254"/>
  <c r="E164" i="254"/>
  <c r="D164" i="254"/>
  <c r="C164" i="254"/>
  <c r="B164" i="254"/>
  <c r="A164" i="254"/>
  <c r="AF163" i="254"/>
  <c r="AE163" i="254"/>
  <c r="AD163" i="254"/>
  <c r="AC163" i="254"/>
  <c r="AB163" i="254"/>
  <c r="AA163" i="254"/>
  <c r="Z163" i="254"/>
  <c r="Y163" i="254"/>
  <c r="X163" i="254"/>
  <c r="W163" i="254"/>
  <c r="V163" i="254"/>
  <c r="U163" i="254"/>
  <c r="T163" i="254"/>
  <c r="S163" i="254"/>
  <c r="R163" i="254"/>
  <c r="Q163" i="254"/>
  <c r="P163" i="254"/>
  <c r="O163" i="254"/>
  <c r="N163" i="254"/>
  <c r="M163" i="254"/>
  <c r="L163" i="254"/>
  <c r="K163" i="254"/>
  <c r="J163" i="254"/>
  <c r="I163" i="254"/>
  <c r="H163" i="254"/>
  <c r="G163" i="254"/>
  <c r="F163" i="254"/>
  <c r="E163" i="254"/>
  <c r="D163" i="254"/>
  <c r="C163" i="254"/>
  <c r="B163" i="254"/>
  <c r="A163" i="254"/>
  <c r="AF162" i="254"/>
  <c r="AE162" i="254"/>
  <c r="AD162" i="254"/>
  <c r="AC162" i="254"/>
  <c r="AB162" i="254"/>
  <c r="AA162" i="254"/>
  <c r="Z162" i="254"/>
  <c r="Y162" i="254"/>
  <c r="X162" i="254"/>
  <c r="W162" i="254"/>
  <c r="V162" i="254"/>
  <c r="U162" i="254"/>
  <c r="T162" i="254"/>
  <c r="S162" i="254"/>
  <c r="R162" i="254"/>
  <c r="Q162" i="254"/>
  <c r="P162" i="254"/>
  <c r="O162" i="254"/>
  <c r="N162" i="254"/>
  <c r="M162" i="254"/>
  <c r="L162" i="254"/>
  <c r="K162" i="254"/>
  <c r="J162" i="254"/>
  <c r="I162" i="254"/>
  <c r="H162" i="254"/>
  <c r="G162" i="254"/>
  <c r="F162" i="254"/>
  <c r="E162" i="254"/>
  <c r="D162" i="254"/>
  <c r="C162" i="254"/>
  <c r="B162" i="254"/>
  <c r="A162" i="254"/>
  <c r="AF161" i="254"/>
  <c r="AE161" i="254"/>
  <c r="AD161" i="254"/>
  <c r="AC161" i="254"/>
  <c r="AB161" i="254"/>
  <c r="AA161" i="254"/>
  <c r="Z161" i="254"/>
  <c r="Y161" i="254"/>
  <c r="X161" i="254"/>
  <c r="W161" i="254"/>
  <c r="V161" i="254"/>
  <c r="U161" i="254"/>
  <c r="T161" i="254"/>
  <c r="S161" i="254"/>
  <c r="R161" i="254"/>
  <c r="Q161" i="254"/>
  <c r="P161" i="254"/>
  <c r="O161" i="254"/>
  <c r="N161" i="254"/>
  <c r="M161" i="254"/>
  <c r="L161" i="254"/>
  <c r="K161" i="254"/>
  <c r="J161" i="254"/>
  <c r="I161" i="254"/>
  <c r="H161" i="254"/>
  <c r="G161" i="254"/>
  <c r="F161" i="254"/>
  <c r="E161" i="254"/>
  <c r="D161" i="254"/>
  <c r="C161" i="254"/>
  <c r="B161" i="254"/>
  <c r="A161" i="254"/>
  <c r="AF160" i="254"/>
  <c r="AE160" i="254"/>
  <c r="AD160" i="254"/>
  <c r="AC160" i="254"/>
  <c r="AB160" i="254"/>
  <c r="AA160" i="254"/>
  <c r="Z160" i="254"/>
  <c r="Y160" i="254"/>
  <c r="X160" i="254"/>
  <c r="W160" i="254"/>
  <c r="V160" i="254"/>
  <c r="U160" i="254"/>
  <c r="T160" i="254"/>
  <c r="S160" i="254"/>
  <c r="R160" i="254"/>
  <c r="Q160" i="254"/>
  <c r="P160" i="254"/>
  <c r="O160" i="254"/>
  <c r="N160" i="254"/>
  <c r="M160" i="254"/>
  <c r="L160" i="254"/>
  <c r="K160" i="254"/>
  <c r="J160" i="254"/>
  <c r="I160" i="254"/>
  <c r="H160" i="254"/>
  <c r="G160" i="254"/>
  <c r="F160" i="254"/>
  <c r="E160" i="254"/>
  <c r="D160" i="254"/>
  <c r="C160" i="254"/>
  <c r="B160" i="254"/>
  <c r="A160" i="254"/>
  <c r="AF159" i="254"/>
  <c r="AE159" i="254"/>
  <c r="AD159" i="254"/>
  <c r="AC159" i="254"/>
  <c r="AB159" i="254"/>
  <c r="AA159" i="254"/>
  <c r="Z159" i="254"/>
  <c r="Y159" i="254"/>
  <c r="X159" i="254"/>
  <c r="W159" i="254"/>
  <c r="V159" i="254"/>
  <c r="U159" i="254"/>
  <c r="T159" i="254"/>
  <c r="S159" i="254"/>
  <c r="R159" i="254"/>
  <c r="Q159" i="254"/>
  <c r="P159" i="254"/>
  <c r="O159" i="254"/>
  <c r="N159" i="254"/>
  <c r="M159" i="254"/>
  <c r="L159" i="254"/>
  <c r="K159" i="254"/>
  <c r="J159" i="254"/>
  <c r="I159" i="254"/>
  <c r="H159" i="254"/>
  <c r="G159" i="254"/>
  <c r="F159" i="254"/>
  <c r="E159" i="254"/>
  <c r="D159" i="254"/>
  <c r="C159" i="254"/>
  <c r="B159" i="254"/>
  <c r="A159" i="254"/>
  <c r="AF158" i="254"/>
  <c r="AE158" i="254"/>
  <c r="AD158" i="254"/>
  <c r="AC158" i="254"/>
  <c r="AB158" i="254"/>
  <c r="AA158" i="254"/>
  <c r="Z158" i="254"/>
  <c r="Y158" i="254"/>
  <c r="X158" i="254"/>
  <c r="W158" i="254"/>
  <c r="V158" i="254"/>
  <c r="U158" i="254"/>
  <c r="T158" i="254"/>
  <c r="S158" i="254"/>
  <c r="R158" i="254"/>
  <c r="Q158" i="254"/>
  <c r="P158" i="254"/>
  <c r="O158" i="254"/>
  <c r="N158" i="254"/>
  <c r="M158" i="254"/>
  <c r="L158" i="254"/>
  <c r="K158" i="254"/>
  <c r="J158" i="254"/>
  <c r="I158" i="254"/>
  <c r="H158" i="254"/>
  <c r="G158" i="254"/>
  <c r="F158" i="254"/>
  <c r="E158" i="254"/>
  <c r="D158" i="254"/>
  <c r="C158" i="254"/>
  <c r="B158" i="254"/>
  <c r="A158" i="254"/>
  <c r="AF157" i="254"/>
  <c r="AE157" i="254"/>
  <c r="AD157" i="254"/>
  <c r="AC157" i="254"/>
  <c r="AB157" i="254"/>
  <c r="AA157" i="254"/>
  <c r="Z157" i="254"/>
  <c r="Y157" i="254"/>
  <c r="X157" i="254"/>
  <c r="W157" i="254"/>
  <c r="V157" i="254"/>
  <c r="U157" i="254"/>
  <c r="T157" i="254"/>
  <c r="S157" i="254"/>
  <c r="R157" i="254"/>
  <c r="Q157" i="254"/>
  <c r="P157" i="254"/>
  <c r="O157" i="254"/>
  <c r="N157" i="254"/>
  <c r="M157" i="254"/>
  <c r="L157" i="254"/>
  <c r="K157" i="254"/>
  <c r="J157" i="254"/>
  <c r="I157" i="254"/>
  <c r="H157" i="254"/>
  <c r="G157" i="254"/>
  <c r="F157" i="254"/>
  <c r="E157" i="254"/>
  <c r="D157" i="254"/>
  <c r="C157" i="254"/>
  <c r="B157" i="254"/>
  <c r="A157" i="254"/>
  <c r="AF156" i="254"/>
  <c r="AE156" i="254"/>
  <c r="AD156" i="254"/>
  <c r="AC156" i="254"/>
  <c r="AB156" i="254"/>
  <c r="AA156" i="254"/>
  <c r="Z156" i="254"/>
  <c r="Y156" i="254"/>
  <c r="X156" i="254"/>
  <c r="W156" i="254"/>
  <c r="V156" i="254"/>
  <c r="U156" i="254"/>
  <c r="T156" i="254"/>
  <c r="S156" i="254"/>
  <c r="R156" i="254"/>
  <c r="Q156" i="254"/>
  <c r="P156" i="254"/>
  <c r="O156" i="254"/>
  <c r="N156" i="254"/>
  <c r="M156" i="254"/>
  <c r="L156" i="254"/>
  <c r="K156" i="254"/>
  <c r="J156" i="254"/>
  <c r="I156" i="254"/>
  <c r="H156" i="254"/>
  <c r="G156" i="254"/>
  <c r="F156" i="254"/>
  <c r="E156" i="254"/>
  <c r="D156" i="254"/>
  <c r="C156" i="254"/>
  <c r="B156" i="254"/>
  <c r="A156" i="254"/>
  <c r="AF155" i="254"/>
  <c r="AE155" i="254"/>
  <c r="AD155" i="254"/>
  <c r="AC155" i="254"/>
  <c r="AB155" i="254"/>
  <c r="AA155" i="254"/>
  <c r="Z155" i="254"/>
  <c r="Y155" i="254"/>
  <c r="X155" i="254"/>
  <c r="W155" i="254"/>
  <c r="V155" i="254"/>
  <c r="U155" i="254"/>
  <c r="T155" i="254"/>
  <c r="S155" i="254"/>
  <c r="R155" i="254"/>
  <c r="Q155" i="254"/>
  <c r="P155" i="254"/>
  <c r="O155" i="254"/>
  <c r="N155" i="254"/>
  <c r="M155" i="254"/>
  <c r="L155" i="254"/>
  <c r="K155" i="254"/>
  <c r="J155" i="254"/>
  <c r="I155" i="254"/>
  <c r="H155" i="254"/>
  <c r="G155" i="254"/>
  <c r="F155" i="254"/>
  <c r="E155" i="254"/>
  <c r="D155" i="254"/>
  <c r="C155" i="254"/>
  <c r="B155" i="254"/>
  <c r="A155" i="254"/>
  <c r="AF154" i="254"/>
  <c r="AE154" i="254"/>
  <c r="AD154" i="254"/>
  <c r="AC154" i="254"/>
  <c r="AB154" i="254"/>
  <c r="AA154" i="254"/>
  <c r="Z154" i="254"/>
  <c r="Y154" i="254"/>
  <c r="X154" i="254"/>
  <c r="W154" i="254"/>
  <c r="V154" i="254"/>
  <c r="U154" i="254"/>
  <c r="T154" i="254"/>
  <c r="S154" i="254"/>
  <c r="R154" i="254"/>
  <c r="Q154" i="254"/>
  <c r="P154" i="254"/>
  <c r="O154" i="254"/>
  <c r="N154" i="254"/>
  <c r="M154" i="254"/>
  <c r="L154" i="254"/>
  <c r="K154" i="254"/>
  <c r="J154" i="254"/>
  <c r="I154" i="254"/>
  <c r="H154" i="254"/>
  <c r="G154" i="254"/>
  <c r="F154" i="254"/>
  <c r="E154" i="254"/>
  <c r="D154" i="254"/>
  <c r="C154" i="254"/>
  <c r="B154" i="254"/>
  <c r="A154" i="254"/>
  <c r="AF153" i="254"/>
  <c r="AE153" i="254"/>
  <c r="AD153" i="254"/>
  <c r="AC153" i="254"/>
  <c r="AB153" i="254"/>
  <c r="AA153" i="254"/>
  <c r="Z153" i="254"/>
  <c r="Y153" i="254"/>
  <c r="X153" i="254"/>
  <c r="W153" i="254"/>
  <c r="V153" i="254"/>
  <c r="U153" i="254"/>
  <c r="T153" i="254"/>
  <c r="S153" i="254"/>
  <c r="R153" i="254"/>
  <c r="Q153" i="254"/>
  <c r="P153" i="254"/>
  <c r="O153" i="254"/>
  <c r="N153" i="254"/>
  <c r="M153" i="254"/>
  <c r="L153" i="254"/>
  <c r="K153" i="254"/>
  <c r="J153" i="254"/>
  <c r="I153" i="254"/>
  <c r="H153" i="254"/>
  <c r="G153" i="254"/>
  <c r="F153" i="254"/>
  <c r="E153" i="254"/>
  <c r="D153" i="254"/>
  <c r="C153" i="254"/>
  <c r="B153" i="254"/>
  <c r="A153" i="254"/>
  <c r="AF152" i="254"/>
  <c r="AE152" i="254"/>
  <c r="AD152" i="254"/>
  <c r="AC152" i="254"/>
  <c r="AB152" i="254"/>
  <c r="AA152" i="254"/>
  <c r="Z152" i="254"/>
  <c r="Y152" i="254"/>
  <c r="X152" i="254"/>
  <c r="W152" i="254"/>
  <c r="V152" i="254"/>
  <c r="U152" i="254"/>
  <c r="T152" i="254"/>
  <c r="S152" i="254"/>
  <c r="R152" i="254"/>
  <c r="Q152" i="254"/>
  <c r="P152" i="254"/>
  <c r="O152" i="254"/>
  <c r="N152" i="254"/>
  <c r="M152" i="254"/>
  <c r="L152" i="254"/>
  <c r="K152" i="254"/>
  <c r="J152" i="254"/>
  <c r="I152" i="254"/>
  <c r="H152" i="254"/>
  <c r="G152" i="254"/>
  <c r="F152" i="254"/>
  <c r="E152" i="254"/>
  <c r="D152" i="254"/>
  <c r="C152" i="254"/>
  <c r="B152" i="254"/>
  <c r="A152" i="254"/>
  <c r="AF151" i="254"/>
  <c r="AE151" i="254"/>
  <c r="AD151" i="254"/>
  <c r="AC151" i="254"/>
  <c r="AB151" i="254"/>
  <c r="AA151" i="254"/>
  <c r="Z151" i="254"/>
  <c r="Y151" i="254"/>
  <c r="X151" i="254"/>
  <c r="W151" i="254"/>
  <c r="V151" i="254"/>
  <c r="U151" i="254"/>
  <c r="T151" i="254"/>
  <c r="S151" i="254"/>
  <c r="R151" i="254"/>
  <c r="Q151" i="254"/>
  <c r="P151" i="254"/>
  <c r="O151" i="254"/>
  <c r="N151" i="254"/>
  <c r="M151" i="254"/>
  <c r="L151" i="254"/>
  <c r="K151" i="254"/>
  <c r="J151" i="254"/>
  <c r="I151" i="254"/>
  <c r="H151" i="254"/>
  <c r="G151" i="254"/>
  <c r="F151" i="254"/>
  <c r="E151" i="254"/>
  <c r="D151" i="254"/>
  <c r="C151" i="254"/>
  <c r="B151" i="254"/>
  <c r="A151" i="254"/>
  <c r="AF150" i="254"/>
  <c r="AE150" i="254"/>
  <c r="AD150" i="254"/>
  <c r="AC150" i="254"/>
  <c r="AB150" i="254"/>
  <c r="AA150" i="254"/>
  <c r="Z150" i="254"/>
  <c r="Y150" i="254"/>
  <c r="X150" i="254"/>
  <c r="W150" i="254"/>
  <c r="V150" i="254"/>
  <c r="U150" i="254"/>
  <c r="T150" i="254"/>
  <c r="S150" i="254"/>
  <c r="R150" i="254"/>
  <c r="Q150" i="254"/>
  <c r="P150" i="254"/>
  <c r="O150" i="254"/>
  <c r="N150" i="254"/>
  <c r="M150" i="254"/>
  <c r="L150" i="254"/>
  <c r="K150" i="254"/>
  <c r="J150" i="254"/>
  <c r="I150" i="254"/>
  <c r="H150" i="254"/>
  <c r="G150" i="254"/>
  <c r="F150" i="254"/>
  <c r="E150" i="254"/>
  <c r="D150" i="254"/>
  <c r="C150" i="254"/>
  <c r="B150" i="254"/>
  <c r="A150" i="254"/>
  <c r="AF149" i="254"/>
  <c r="AE149" i="254"/>
  <c r="AD149" i="254"/>
  <c r="AC149" i="254"/>
  <c r="AB149" i="254"/>
  <c r="AA149" i="254"/>
  <c r="Z149" i="254"/>
  <c r="Y149" i="254"/>
  <c r="X149" i="254"/>
  <c r="W149" i="254"/>
  <c r="V149" i="254"/>
  <c r="U149" i="254"/>
  <c r="T149" i="254"/>
  <c r="S149" i="254"/>
  <c r="R149" i="254"/>
  <c r="Q149" i="254"/>
  <c r="P149" i="254"/>
  <c r="O149" i="254"/>
  <c r="N149" i="254"/>
  <c r="M149" i="254"/>
  <c r="L149" i="254"/>
  <c r="K149" i="254"/>
  <c r="J149" i="254"/>
  <c r="I149" i="254"/>
  <c r="H149" i="254"/>
  <c r="G149" i="254"/>
  <c r="F149" i="254"/>
  <c r="E149" i="254"/>
  <c r="D149" i="254"/>
  <c r="C149" i="254"/>
  <c r="B149" i="254"/>
  <c r="A149" i="254"/>
  <c r="AF148" i="254"/>
  <c r="AE148" i="254"/>
  <c r="AD148" i="254"/>
  <c r="AC148" i="254"/>
  <c r="AB148" i="254"/>
  <c r="AA148" i="254"/>
  <c r="Z148" i="254"/>
  <c r="Y148" i="254"/>
  <c r="X148" i="254"/>
  <c r="W148" i="254"/>
  <c r="V148" i="254"/>
  <c r="U148" i="254"/>
  <c r="T148" i="254"/>
  <c r="S148" i="254"/>
  <c r="R148" i="254"/>
  <c r="Q148" i="254"/>
  <c r="P148" i="254"/>
  <c r="O148" i="254"/>
  <c r="N148" i="254"/>
  <c r="M148" i="254"/>
  <c r="L148" i="254"/>
  <c r="K148" i="254"/>
  <c r="J148" i="254"/>
  <c r="I148" i="254"/>
  <c r="H148" i="254"/>
  <c r="G148" i="254"/>
  <c r="F148" i="254"/>
  <c r="E148" i="254"/>
  <c r="D148" i="254"/>
  <c r="C148" i="254"/>
  <c r="B148" i="254"/>
  <c r="A148" i="254"/>
  <c r="AF147" i="254"/>
  <c r="AE147" i="254"/>
  <c r="AD147" i="254"/>
  <c r="AC147" i="254"/>
  <c r="AB147" i="254"/>
  <c r="AA147" i="254"/>
  <c r="Z147" i="254"/>
  <c r="Y147" i="254"/>
  <c r="X147" i="254"/>
  <c r="W147" i="254"/>
  <c r="V147" i="254"/>
  <c r="U147" i="254"/>
  <c r="T147" i="254"/>
  <c r="S147" i="254"/>
  <c r="R147" i="254"/>
  <c r="Q147" i="254"/>
  <c r="P147" i="254"/>
  <c r="O147" i="254"/>
  <c r="N147" i="254"/>
  <c r="M147" i="254"/>
  <c r="L147" i="254"/>
  <c r="K147" i="254"/>
  <c r="J147" i="254"/>
  <c r="I147" i="254"/>
  <c r="H147" i="254"/>
  <c r="G147" i="254"/>
  <c r="F147" i="254"/>
  <c r="E147" i="254"/>
  <c r="D147" i="254"/>
  <c r="C147" i="254"/>
  <c r="B147" i="254"/>
  <c r="A147" i="254"/>
  <c r="AF146" i="254"/>
  <c r="AE146" i="254"/>
  <c r="AD146" i="254"/>
  <c r="AC146" i="254"/>
  <c r="AB146" i="254"/>
  <c r="AA146" i="254"/>
  <c r="Z146" i="254"/>
  <c r="Y146" i="254"/>
  <c r="X146" i="254"/>
  <c r="W146" i="254"/>
  <c r="V146" i="254"/>
  <c r="U146" i="254"/>
  <c r="T146" i="254"/>
  <c r="S146" i="254"/>
  <c r="R146" i="254"/>
  <c r="Q146" i="254"/>
  <c r="P146" i="254"/>
  <c r="O146" i="254"/>
  <c r="N146" i="254"/>
  <c r="M146" i="254"/>
  <c r="L146" i="254"/>
  <c r="K146" i="254"/>
  <c r="J146" i="254"/>
  <c r="I146" i="254"/>
  <c r="H146" i="254"/>
  <c r="G146" i="254"/>
  <c r="F146" i="254"/>
  <c r="E146" i="254"/>
  <c r="D146" i="254"/>
  <c r="C146" i="254"/>
  <c r="B146" i="254"/>
  <c r="A146" i="254"/>
  <c r="AF145" i="254"/>
  <c r="AE145" i="254"/>
  <c r="AD145" i="254"/>
  <c r="AC145" i="254"/>
  <c r="AB145" i="254"/>
  <c r="AA145" i="254"/>
  <c r="Z145" i="254"/>
  <c r="Y145" i="254"/>
  <c r="X145" i="254"/>
  <c r="W145" i="254"/>
  <c r="V145" i="254"/>
  <c r="U145" i="254"/>
  <c r="T145" i="254"/>
  <c r="S145" i="254"/>
  <c r="R145" i="254"/>
  <c r="Q145" i="254"/>
  <c r="P145" i="254"/>
  <c r="O145" i="254"/>
  <c r="N145" i="254"/>
  <c r="M145" i="254"/>
  <c r="L145" i="254"/>
  <c r="K145" i="254"/>
  <c r="J145" i="254"/>
  <c r="I145" i="254"/>
  <c r="H145" i="254"/>
  <c r="G145" i="254"/>
  <c r="F145" i="254"/>
  <c r="E145" i="254"/>
  <c r="D145" i="254"/>
  <c r="C145" i="254"/>
  <c r="B145" i="254"/>
  <c r="A145" i="254"/>
  <c r="AF144" i="254"/>
  <c r="AE144" i="254"/>
  <c r="AD144" i="254"/>
  <c r="AC144" i="254"/>
  <c r="AB144" i="254"/>
  <c r="AA144" i="254"/>
  <c r="Z144" i="254"/>
  <c r="Y144" i="254"/>
  <c r="X144" i="254"/>
  <c r="W144" i="254"/>
  <c r="V144" i="254"/>
  <c r="U144" i="254"/>
  <c r="T144" i="254"/>
  <c r="S144" i="254"/>
  <c r="R144" i="254"/>
  <c r="Q144" i="254"/>
  <c r="P144" i="254"/>
  <c r="O144" i="254"/>
  <c r="N144" i="254"/>
  <c r="M144" i="254"/>
  <c r="L144" i="254"/>
  <c r="K144" i="254"/>
  <c r="J144" i="254"/>
  <c r="I144" i="254"/>
  <c r="H144" i="254"/>
  <c r="G144" i="254"/>
  <c r="F144" i="254"/>
  <c r="E144" i="254"/>
  <c r="D144" i="254"/>
  <c r="C144" i="254"/>
  <c r="B144" i="254"/>
  <c r="A144" i="254"/>
  <c r="AF143" i="254"/>
  <c r="AE143" i="254"/>
  <c r="AD143" i="254"/>
  <c r="AC143" i="254"/>
  <c r="AB143" i="254"/>
  <c r="AA143" i="254"/>
  <c r="Z143" i="254"/>
  <c r="Y143" i="254"/>
  <c r="X143" i="254"/>
  <c r="W143" i="254"/>
  <c r="V143" i="254"/>
  <c r="U143" i="254"/>
  <c r="T143" i="254"/>
  <c r="S143" i="254"/>
  <c r="R143" i="254"/>
  <c r="Q143" i="254"/>
  <c r="P143" i="254"/>
  <c r="O143" i="254"/>
  <c r="N143" i="254"/>
  <c r="M143" i="254"/>
  <c r="L143" i="254"/>
  <c r="K143" i="254"/>
  <c r="J143" i="254"/>
  <c r="I143" i="254"/>
  <c r="H143" i="254"/>
  <c r="G143" i="254"/>
  <c r="F143" i="254"/>
  <c r="E143" i="254"/>
  <c r="D143" i="254"/>
  <c r="C143" i="254"/>
  <c r="B143" i="254"/>
  <c r="A143" i="254"/>
  <c r="AF142" i="254"/>
  <c r="AE142" i="254"/>
  <c r="AD142" i="254"/>
  <c r="AC142" i="254"/>
  <c r="AB142" i="254"/>
  <c r="AA142" i="254"/>
  <c r="Z142" i="254"/>
  <c r="Y142" i="254"/>
  <c r="X142" i="254"/>
  <c r="W142" i="254"/>
  <c r="V142" i="254"/>
  <c r="U142" i="254"/>
  <c r="T142" i="254"/>
  <c r="S142" i="254"/>
  <c r="R142" i="254"/>
  <c r="Q142" i="254"/>
  <c r="P142" i="254"/>
  <c r="O142" i="254"/>
  <c r="N142" i="254"/>
  <c r="M142" i="254"/>
  <c r="L142" i="254"/>
  <c r="K142" i="254"/>
  <c r="J142" i="254"/>
  <c r="I142" i="254"/>
  <c r="H142" i="254"/>
  <c r="G142" i="254"/>
  <c r="F142" i="254"/>
  <c r="E142" i="254"/>
  <c r="D142" i="254"/>
  <c r="C142" i="254"/>
  <c r="B142" i="254"/>
  <c r="A142" i="254"/>
  <c r="AF141" i="254"/>
  <c r="AE141" i="254"/>
  <c r="AD141" i="254"/>
  <c r="AC141" i="254"/>
  <c r="AB141" i="254"/>
  <c r="AA141" i="254"/>
  <c r="Z141" i="254"/>
  <c r="Y141" i="254"/>
  <c r="X141" i="254"/>
  <c r="W141" i="254"/>
  <c r="V141" i="254"/>
  <c r="U141" i="254"/>
  <c r="T141" i="254"/>
  <c r="S141" i="254"/>
  <c r="R141" i="254"/>
  <c r="Q141" i="254"/>
  <c r="P141" i="254"/>
  <c r="O141" i="254"/>
  <c r="N141" i="254"/>
  <c r="M141" i="254"/>
  <c r="L141" i="254"/>
  <c r="K141" i="254"/>
  <c r="J141" i="254"/>
  <c r="I141" i="254"/>
  <c r="H141" i="254"/>
  <c r="G141" i="254"/>
  <c r="F141" i="254"/>
  <c r="E141" i="254"/>
  <c r="D141" i="254"/>
  <c r="C141" i="254"/>
  <c r="B141" i="254"/>
  <c r="A141" i="254"/>
  <c r="AF140" i="254"/>
  <c r="AE140" i="254"/>
  <c r="AD140" i="254"/>
  <c r="AC140" i="254"/>
  <c r="AB140" i="254"/>
  <c r="AA140" i="254"/>
  <c r="Z140" i="254"/>
  <c r="Y140" i="254"/>
  <c r="X140" i="254"/>
  <c r="W140" i="254"/>
  <c r="V140" i="254"/>
  <c r="U140" i="254"/>
  <c r="T140" i="254"/>
  <c r="S140" i="254"/>
  <c r="R140" i="254"/>
  <c r="Q140" i="254"/>
  <c r="P140" i="254"/>
  <c r="O140" i="254"/>
  <c r="N140" i="254"/>
  <c r="M140" i="254"/>
  <c r="L140" i="254"/>
  <c r="K140" i="254"/>
  <c r="J140" i="254"/>
  <c r="I140" i="254"/>
  <c r="H140" i="254"/>
  <c r="G140" i="254"/>
  <c r="F140" i="254"/>
  <c r="E140" i="254"/>
  <c r="D140" i="254"/>
  <c r="C140" i="254"/>
  <c r="B140" i="254"/>
  <c r="A140" i="254"/>
  <c r="AF139" i="254"/>
  <c r="AE139" i="254"/>
  <c r="AD139" i="254"/>
  <c r="AC139" i="254"/>
  <c r="AB139" i="254"/>
  <c r="AA139" i="254"/>
  <c r="Z139" i="254"/>
  <c r="Y139" i="254"/>
  <c r="X139" i="254"/>
  <c r="W139" i="254"/>
  <c r="V139" i="254"/>
  <c r="U139" i="254"/>
  <c r="T139" i="254"/>
  <c r="S139" i="254"/>
  <c r="R139" i="254"/>
  <c r="Q139" i="254"/>
  <c r="P139" i="254"/>
  <c r="O139" i="254"/>
  <c r="N139" i="254"/>
  <c r="M139" i="254"/>
  <c r="L139" i="254"/>
  <c r="K139" i="254"/>
  <c r="J139" i="254"/>
  <c r="I139" i="254"/>
  <c r="H139" i="254"/>
  <c r="G139" i="254"/>
  <c r="F139" i="254"/>
  <c r="E139" i="254"/>
  <c r="D139" i="254"/>
  <c r="C139" i="254"/>
  <c r="B139" i="254"/>
  <c r="A139" i="254"/>
  <c r="AF138" i="254"/>
  <c r="AE138" i="254"/>
  <c r="AD138" i="254"/>
  <c r="AC138" i="254"/>
  <c r="AB138" i="254"/>
  <c r="AA138" i="254"/>
  <c r="Z138" i="254"/>
  <c r="Y138" i="254"/>
  <c r="X138" i="254"/>
  <c r="W138" i="254"/>
  <c r="V138" i="254"/>
  <c r="U138" i="254"/>
  <c r="T138" i="254"/>
  <c r="S138" i="254"/>
  <c r="R138" i="254"/>
  <c r="Q138" i="254"/>
  <c r="P138" i="254"/>
  <c r="O138" i="254"/>
  <c r="N138" i="254"/>
  <c r="M138" i="254"/>
  <c r="L138" i="254"/>
  <c r="K138" i="254"/>
  <c r="J138" i="254"/>
  <c r="I138" i="254"/>
  <c r="H138" i="254"/>
  <c r="G138" i="254"/>
  <c r="F138" i="254"/>
  <c r="E138" i="254"/>
  <c r="D138" i="254"/>
  <c r="C138" i="254"/>
  <c r="B138" i="254"/>
  <c r="A138" i="254"/>
  <c r="AF137" i="254"/>
  <c r="AE137" i="254"/>
  <c r="AD137" i="254"/>
  <c r="AC137" i="254"/>
  <c r="AB137" i="254"/>
  <c r="AA137" i="254"/>
  <c r="Z137" i="254"/>
  <c r="Y137" i="254"/>
  <c r="X137" i="254"/>
  <c r="W137" i="254"/>
  <c r="V137" i="254"/>
  <c r="U137" i="254"/>
  <c r="T137" i="254"/>
  <c r="S137" i="254"/>
  <c r="R137" i="254"/>
  <c r="Q137" i="254"/>
  <c r="P137" i="254"/>
  <c r="O137" i="254"/>
  <c r="N137" i="254"/>
  <c r="M137" i="254"/>
  <c r="L137" i="254"/>
  <c r="K137" i="254"/>
  <c r="J137" i="254"/>
  <c r="I137" i="254"/>
  <c r="H137" i="254"/>
  <c r="G137" i="254"/>
  <c r="F137" i="254"/>
  <c r="E137" i="254"/>
  <c r="D137" i="254"/>
  <c r="C137" i="254"/>
  <c r="B137" i="254"/>
  <c r="A137" i="254"/>
  <c r="AF136" i="254"/>
  <c r="AE136" i="254"/>
  <c r="AD136" i="254"/>
  <c r="AC136" i="254"/>
  <c r="AB136" i="254"/>
  <c r="AA136" i="254"/>
  <c r="Z136" i="254"/>
  <c r="Y136" i="254"/>
  <c r="X136" i="254"/>
  <c r="W136" i="254"/>
  <c r="V136" i="254"/>
  <c r="U136" i="254"/>
  <c r="T136" i="254"/>
  <c r="S136" i="254"/>
  <c r="R136" i="254"/>
  <c r="Q136" i="254"/>
  <c r="P136" i="254"/>
  <c r="O136" i="254"/>
  <c r="N136" i="254"/>
  <c r="M136" i="254"/>
  <c r="L136" i="254"/>
  <c r="K136" i="254"/>
  <c r="J136" i="254"/>
  <c r="I136" i="254"/>
  <c r="H136" i="254"/>
  <c r="G136" i="254"/>
  <c r="F136" i="254"/>
  <c r="E136" i="254"/>
  <c r="D136" i="254"/>
  <c r="C136" i="254"/>
  <c r="B136" i="254"/>
  <c r="A136" i="254"/>
  <c r="AF135" i="254"/>
  <c r="AE135" i="254"/>
  <c r="AD135" i="254"/>
  <c r="AC135" i="254"/>
  <c r="AB135" i="254"/>
  <c r="AA135" i="254"/>
  <c r="Z135" i="254"/>
  <c r="Y135" i="254"/>
  <c r="X135" i="254"/>
  <c r="W135" i="254"/>
  <c r="V135" i="254"/>
  <c r="U135" i="254"/>
  <c r="T135" i="254"/>
  <c r="S135" i="254"/>
  <c r="R135" i="254"/>
  <c r="Q135" i="254"/>
  <c r="P135" i="254"/>
  <c r="O135" i="254"/>
  <c r="N135" i="254"/>
  <c r="M135" i="254"/>
  <c r="L135" i="254"/>
  <c r="K135" i="254"/>
  <c r="J135" i="254"/>
  <c r="I135" i="254"/>
  <c r="H135" i="254"/>
  <c r="G135" i="254"/>
  <c r="F135" i="254"/>
  <c r="E135" i="254"/>
  <c r="D135" i="254"/>
  <c r="C135" i="254"/>
  <c r="B135" i="254"/>
  <c r="A135" i="254"/>
  <c r="AF134" i="254"/>
  <c r="AE134" i="254"/>
  <c r="AD134" i="254"/>
  <c r="AC134" i="254"/>
  <c r="AB134" i="254"/>
  <c r="AA134" i="254"/>
  <c r="Z134" i="254"/>
  <c r="Y134" i="254"/>
  <c r="X134" i="254"/>
  <c r="W134" i="254"/>
  <c r="V134" i="254"/>
  <c r="U134" i="254"/>
  <c r="T134" i="254"/>
  <c r="S134" i="254"/>
  <c r="R134" i="254"/>
  <c r="Q134" i="254"/>
  <c r="P134" i="254"/>
  <c r="O134" i="254"/>
  <c r="N134" i="254"/>
  <c r="M134" i="254"/>
  <c r="L134" i="254"/>
  <c r="K134" i="254"/>
  <c r="J134" i="254"/>
  <c r="I134" i="254"/>
  <c r="H134" i="254"/>
  <c r="G134" i="254"/>
  <c r="F134" i="254"/>
  <c r="E134" i="254"/>
  <c r="D134" i="254"/>
  <c r="C134" i="254"/>
  <c r="B134" i="254"/>
  <c r="A134" i="254"/>
  <c r="AF133" i="254"/>
  <c r="AE133" i="254"/>
  <c r="AD133" i="254"/>
  <c r="AC133" i="254"/>
  <c r="AB133" i="254"/>
  <c r="AA133" i="254"/>
  <c r="Z133" i="254"/>
  <c r="Y133" i="254"/>
  <c r="X133" i="254"/>
  <c r="W133" i="254"/>
  <c r="V133" i="254"/>
  <c r="U133" i="254"/>
  <c r="T133" i="254"/>
  <c r="S133" i="254"/>
  <c r="R133" i="254"/>
  <c r="Q133" i="254"/>
  <c r="P133" i="254"/>
  <c r="O133" i="254"/>
  <c r="N133" i="254"/>
  <c r="M133" i="254"/>
  <c r="L133" i="254"/>
  <c r="K133" i="254"/>
  <c r="J133" i="254"/>
  <c r="I133" i="254"/>
  <c r="H133" i="254"/>
  <c r="G133" i="254"/>
  <c r="F133" i="254"/>
  <c r="E133" i="254"/>
  <c r="D133" i="254"/>
  <c r="C133" i="254"/>
  <c r="B133" i="254"/>
  <c r="A133" i="254"/>
  <c r="AF132" i="254"/>
  <c r="AE132" i="254"/>
  <c r="AD132" i="254"/>
  <c r="AC132" i="254"/>
  <c r="AB132" i="254"/>
  <c r="AA132" i="254"/>
  <c r="Z132" i="254"/>
  <c r="Y132" i="254"/>
  <c r="X132" i="254"/>
  <c r="W132" i="254"/>
  <c r="V132" i="254"/>
  <c r="U132" i="254"/>
  <c r="T132" i="254"/>
  <c r="S132" i="254"/>
  <c r="R132" i="254"/>
  <c r="Q132" i="254"/>
  <c r="P132" i="254"/>
  <c r="O132" i="254"/>
  <c r="N132" i="254"/>
  <c r="M132" i="254"/>
  <c r="L132" i="254"/>
  <c r="K132" i="254"/>
  <c r="J132" i="254"/>
  <c r="I132" i="254"/>
  <c r="H132" i="254"/>
  <c r="G132" i="254"/>
  <c r="F132" i="254"/>
  <c r="E132" i="254"/>
  <c r="D132" i="254"/>
  <c r="C132" i="254"/>
  <c r="B132" i="254"/>
  <c r="A132" i="254"/>
  <c r="AF131" i="254"/>
  <c r="AE131" i="254"/>
  <c r="AD131" i="254"/>
  <c r="AC131" i="254"/>
  <c r="AB131" i="254"/>
  <c r="AA131" i="254"/>
  <c r="Z131" i="254"/>
  <c r="Y131" i="254"/>
  <c r="X131" i="254"/>
  <c r="W131" i="254"/>
  <c r="V131" i="254"/>
  <c r="U131" i="254"/>
  <c r="T131" i="254"/>
  <c r="S131" i="254"/>
  <c r="R131" i="254"/>
  <c r="Q131" i="254"/>
  <c r="P131" i="254"/>
  <c r="O131" i="254"/>
  <c r="N131" i="254"/>
  <c r="M131" i="254"/>
  <c r="L131" i="254"/>
  <c r="K131" i="254"/>
  <c r="J131" i="254"/>
  <c r="I131" i="254"/>
  <c r="H131" i="254"/>
  <c r="G131" i="254"/>
  <c r="F131" i="254"/>
  <c r="E131" i="254"/>
  <c r="D131" i="254"/>
  <c r="C131" i="254"/>
  <c r="B131" i="254"/>
  <c r="A131" i="254"/>
  <c r="AF130" i="254"/>
  <c r="AE130" i="254"/>
  <c r="AD130" i="254"/>
  <c r="AC130" i="254"/>
  <c r="AB130" i="254"/>
  <c r="AA130" i="254"/>
  <c r="Z130" i="254"/>
  <c r="Y130" i="254"/>
  <c r="X130" i="254"/>
  <c r="W130" i="254"/>
  <c r="V130" i="254"/>
  <c r="U130" i="254"/>
  <c r="T130" i="254"/>
  <c r="S130" i="254"/>
  <c r="R130" i="254"/>
  <c r="Q130" i="254"/>
  <c r="P130" i="254"/>
  <c r="O130" i="254"/>
  <c r="N130" i="254"/>
  <c r="M130" i="254"/>
  <c r="L130" i="254"/>
  <c r="K130" i="254"/>
  <c r="J130" i="254"/>
  <c r="I130" i="254"/>
  <c r="H130" i="254"/>
  <c r="G130" i="254"/>
  <c r="F130" i="254"/>
  <c r="E130" i="254"/>
  <c r="D130" i="254"/>
  <c r="C130" i="254"/>
  <c r="B130" i="254"/>
  <c r="A130" i="254"/>
  <c r="AF129" i="254"/>
  <c r="AE129" i="254"/>
  <c r="AD129" i="254"/>
  <c r="AC129" i="254"/>
  <c r="AB129" i="254"/>
  <c r="AA129" i="254"/>
  <c r="Z129" i="254"/>
  <c r="Y129" i="254"/>
  <c r="X129" i="254"/>
  <c r="W129" i="254"/>
  <c r="V129" i="254"/>
  <c r="U129" i="254"/>
  <c r="T129" i="254"/>
  <c r="S129" i="254"/>
  <c r="R129" i="254"/>
  <c r="Q129" i="254"/>
  <c r="P129" i="254"/>
  <c r="O129" i="254"/>
  <c r="N129" i="254"/>
  <c r="M129" i="254"/>
  <c r="L129" i="254"/>
  <c r="K129" i="254"/>
  <c r="J129" i="254"/>
  <c r="I129" i="254"/>
  <c r="H129" i="254"/>
  <c r="G129" i="254"/>
  <c r="F129" i="254"/>
  <c r="E129" i="254"/>
  <c r="D129" i="254"/>
  <c r="C129" i="254"/>
  <c r="B129" i="254"/>
  <c r="A129" i="254"/>
  <c r="AF128" i="254"/>
  <c r="AE128" i="254"/>
  <c r="AD128" i="254"/>
  <c r="AC128" i="254"/>
  <c r="AB128" i="254"/>
  <c r="AA128" i="254"/>
  <c r="Z128" i="254"/>
  <c r="Y128" i="254"/>
  <c r="X128" i="254"/>
  <c r="W128" i="254"/>
  <c r="V128" i="254"/>
  <c r="U128" i="254"/>
  <c r="T128" i="254"/>
  <c r="S128" i="254"/>
  <c r="R128" i="254"/>
  <c r="Q128" i="254"/>
  <c r="P128" i="254"/>
  <c r="O128" i="254"/>
  <c r="N128" i="254"/>
  <c r="M128" i="254"/>
  <c r="L128" i="254"/>
  <c r="K128" i="254"/>
  <c r="J128" i="254"/>
  <c r="I128" i="254"/>
  <c r="H128" i="254"/>
  <c r="G128" i="254"/>
  <c r="F128" i="254"/>
  <c r="E128" i="254"/>
  <c r="D128" i="254"/>
  <c r="C128" i="254"/>
  <c r="B128" i="254"/>
  <c r="A128" i="254"/>
  <c r="AF127" i="254"/>
  <c r="AE127" i="254"/>
  <c r="AD127" i="254"/>
  <c r="AC127" i="254"/>
  <c r="AB127" i="254"/>
  <c r="AA127" i="254"/>
  <c r="Z127" i="254"/>
  <c r="Y127" i="254"/>
  <c r="X127" i="254"/>
  <c r="W127" i="254"/>
  <c r="V127" i="254"/>
  <c r="U127" i="254"/>
  <c r="T127" i="254"/>
  <c r="S127" i="254"/>
  <c r="R127" i="254"/>
  <c r="Q127" i="254"/>
  <c r="P127" i="254"/>
  <c r="O127" i="254"/>
  <c r="N127" i="254"/>
  <c r="M127" i="254"/>
  <c r="L127" i="254"/>
  <c r="K127" i="254"/>
  <c r="J127" i="254"/>
  <c r="I127" i="254"/>
  <c r="H127" i="254"/>
  <c r="G127" i="254"/>
  <c r="F127" i="254"/>
  <c r="E127" i="254"/>
  <c r="D127" i="254"/>
  <c r="C127" i="254"/>
  <c r="B127" i="254"/>
  <c r="A127" i="254"/>
  <c r="AF126" i="254"/>
  <c r="AE126" i="254"/>
  <c r="AD126" i="254"/>
  <c r="AC126" i="254"/>
  <c r="AB126" i="254"/>
  <c r="AA126" i="254"/>
  <c r="Z126" i="254"/>
  <c r="Y126" i="254"/>
  <c r="X126" i="254"/>
  <c r="W126" i="254"/>
  <c r="V126" i="254"/>
  <c r="U126" i="254"/>
  <c r="T126" i="254"/>
  <c r="S126" i="254"/>
  <c r="R126" i="254"/>
  <c r="Q126" i="254"/>
  <c r="P126" i="254"/>
  <c r="O126" i="254"/>
  <c r="N126" i="254"/>
  <c r="M126" i="254"/>
  <c r="L126" i="254"/>
  <c r="K126" i="254"/>
  <c r="J126" i="254"/>
  <c r="I126" i="254"/>
  <c r="H126" i="254"/>
  <c r="G126" i="254"/>
  <c r="F126" i="254"/>
  <c r="E126" i="254"/>
  <c r="D126" i="254"/>
  <c r="C126" i="254"/>
  <c r="B126" i="254"/>
  <c r="A126" i="254"/>
  <c r="AF125" i="254"/>
  <c r="AE125" i="254"/>
  <c r="AD125" i="254"/>
  <c r="AC125" i="254"/>
  <c r="AB125" i="254"/>
  <c r="AA125" i="254"/>
  <c r="Z125" i="254"/>
  <c r="Y125" i="254"/>
  <c r="X125" i="254"/>
  <c r="W125" i="254"/>
  <c r="V125" i="254"/>
  <c r="U125" i="254"/>
  <c r="T125" i="254"/>
  <c r="S125" i="254"/>
  <c r="R125" i="254"/>
  <c r="Q125" i="254"/>
  <c r="P125" i="254"/>
  <c r="O125" i="254"/>
  <c r="N125" i="254"/>
  <c r="M125" i="254"/>
  <c r="L125" i="254"/>
  <c r="K125" i="254"/>
  <c r="J125" i="254"/>
  <c r="I125" i="254"/>
  <c r="H125" i="254"/>
  <c r="G125" i="254"/>
  <c r="F125" i="254"/>
  <c r="E125" i="254"/>
  <c r="D125" i="254"/>
  <c r="C125" i="254"/>
  <c r="B125" i="254"/>
  <c r="A125" i="254"/>
  <c r="AF124" i="254"/>
  <c r="AE124" i="254"/>
  <c r="AD124" i="254"/>
  <c r="AC124" i="254"/>
  <c r="AB124" i="254"/>
  <c r="AA124" i="254"/>
  <c r="Z124" i="254"/>
  <c r="Y124" i="254"/>
  <c r="X124" i="254"/>
  <c r="W124" i="254"/>
  <c r="V124" i="254"/>
  <c r="U124" i="254"/>
  <c r="T124" i="254"/>
  <c r="S124" i="254"/>
  <c r="R124" i="254"/>
  <c r="Q124" i="254"/>
  <c r="P124" i="254"/>
  <c r="O124" i="254"/>
  <c r="N124" i="254"/>
  <c r="M124" i="254"/>
  <c r="L124" i="254"/>
  <c r="K124" i="254"/>
  <c r="J124" i="254"/>
  <c r="I124" i="254"/>
  <c r="H124" i="254"/>
  <c r="G124" i="254"/>
  <c r="F124" i="254"/>
  <c r="E124" i="254"/>
  <c r="D124" i="254"/>
  <c r="C124" i="254"/>
  <c r="B124" i="254"/>
  <c r="A124" i="254"/>
  <c r="AF123" i="254"/>
  <c r="AE123" i="254"/>
  <c r="AD123" i="254"/>
  <c r="AC123" i="254"/>
  <c r="AB123" i="254"/>
  <c r="AA123" i="254"/>
  <c r="Z123" i="254"/>
  <c r="Y123" i="254"/>
  <c r="X123" i="254"/>
  <c r="W123" i="254"/>
  <c r="V123" i="254"/>
  <c r="U123" i="254"/>
  <c r="T123" i="254"/>
  <c r="S123" i="254"/>
  <c r="R123" i="254"/>
  <c r="Q123" i="254"/>
  <c r="P123" i="254"/>
  <c r="O123" i="254"/>
  <c r="N123" i="254"/>
  <c r="M123" i="254"/>
  <c r="L123" i="254"/>
  <c r="K123" i="254"/>
  <c r="J123" i="254"/>
  <c r="I123" i="254"/>
  <c r="H123" i="254"/>
  <c r="G123" i="254"/>
  <c r="F123" i="254"/>
  <c r="E123" i="254"/>
  <c r="D123" i="254"/>
  <c r="C123" i="254"/>
  <c r="B123" i="254"/>
  <c r="A123" i="254"/>
  <c r="AF122" i="254"/>
  <c r="AE122" i="254"/>
  <c r="AD122" i="254"/>
  <c r="AC122" i="254"/>
  <c r="AB122" i="254"/>
  <c r="AA122" i="254"/>
  <c r="Z122" i="254"/>
  <c r="Y122" i="254"/>
  <c r="X122" i="254"/>
  <c r="W122" i="254"/>
  <c r="V122" i="254"/>
  <c r="U122" i="254"/>
  <c r="T122" i="254"/>
  <c r="S122" i="254"/>
  <c r="R122" i="254"/>
  <c r="Q122" i="254"/>
  <c r="P122" i="254"/>
  <c r="O122" i="254"/>
  <c r="N122" i="254"/>
  <c r="M122" i="254"/>
  <c r="L122" i="254"/>
  <c r="K122" i="254"/>
  <c r="J122" i="254"/>
  <c r="I122" i="254"/>
  <c r="H122" i="254"/>
  <c r="G122" i="254"/>
  <c r="F122" i="254"/>
  <c r="E122" i="254"/>
  <c r="D122" i="254"/>
  <c r="C122" i="254"/>
  <c r="B122" i="254"/>
  <c r="A122" i="254"/>
  <c r="AF121" i="254"/>
  <c r="AE121" i="254"/>
  <c r="AD121" i="254"/>
  <c r="AC121" i="254"/>
  <c r="AB121" i="254"/>
  <c r="AA121" i="254"/>
  <c r="Z121" i="254"/>
  <c r="Y121" i="254"/>
  <c r="X121" i="254"/>
  <c r="W121" i="254"/>
  <c r="V121" i="254"/>
  <c r="U121" i="254"/>
  <c r="T121" i="254"/>
  <c r="S121" i="254"/>
  <c r="R121" i="254"/>
  <c r="Q121" i="254"/>
  <c r="P121" i="254"/>
  <c r="O121" i="254"/>
  <c r="N121" i="254"/>
  <c r="M121" i="254"/>
  <c r="L121" i="254"/>
  <c r="K121" i="254"/>
  <c r="J121" i="254"/>
  <c r="I121" i="254"/>
  <c r="H121" i="254"/>
  <c r="G121" i="254"/>
  <c r="F121" i="254"/>
  <c r="E121" i="254"/>
  <c r="D121" i="254"/>
  <c r="C121" i="254"/>
  <c r="B121" i="254"/>
  <c r="A121" i="254"/>
  <c r="AF120" i="254"/>
  <c r="AE120" i="254"/>
  <c r="AD120" i="254"/>
  <c r="AC120" i="254"/>
  <c r="AB120" i="254"/>
  <c r="AA120" i="254"/>
  <c r="Z120" i="254"/>
  <c r="Y120" i="254"/>
  <c r="X120" i="254"/>
  <c r="W120" i="254"/>
  <c r="V120" i="254"/>
  <c r="U120" i="254"/>
  <c r="T120" i="254"/>
  <c r="S120" i="254"/>
  <c r="R120" i="254"/>
  <c r="Q120" i="254"/>
  <c r="P120" i="254"/>
  <c r="O120" i="254"/>
  <c r="N120" i="254"/>
  <c r="M120" i="254"/>
  <c r="L120" i="254"/>
  <c r="K120" i="254"/>
  <c r="J120" i="254"/>
  <c r="I120" i="254"/>
  <c r="H120" i="254"/>
  <c r="G120" i="254"/>
  <c r="F120" i="254"/>
  <c r="E120" i="254"/>
  <c r="D120" i="254"/>
  <c r="C120" i="254"/>
  <c r="B120" i="254"/>
  <c r="A120" i="254"/>
  <c r="AF119" i="254"/>
  <c r="AE119" i="254"/>
  <c r="AD119" i="254"/>
  <c r="AC119" i="254"/>
  <c r="AB119" i="254"/>
  <c r="AA119" i="254"/>
  <c r="Z119" i="254"/>
  <c r="Y119" i="254"/>
  <c r="X119" i="254"/>
  <c r="W119" i="254"/>
  <c r="V119" i="254"/>
  <c r="U119" i="254"/>
  <c r="T119" i="254"/>
  <c r="S119" i="254"/>
  <c r="R119" i="254"/>
  <c r="Q119" i="254"/>
  <c r="P119" i="254"/>
  <c r="O119" i="254"/>
  <c r="N119" i="254"/>
  <c r="M119" i="254"/>
  <c r="L119" i="254"/>
  <c r="K119" i="254"/>
  <c r="J119" i="254"/>
  <c r="I119" i="254"/>
  <c r="H119" i="254"/>
  <c r="G119" i="254"/>
  <c r="F119" i="254"/>
  <c r="E119" i="254"/>
  <c r="D119" i="254"/>
  <c r="C119" i="254"/>
  <c r="B119" i="254"/>
  <c r="A119" i="254"/>
  <c r="AF118" i="254"/>
  <c r="AE118" i="254"/>
  <c r="AD118" i="254"/>
  <c r="AC118" i="254"/>
  <c r="AB118" i="254"/>
  <c r="AA118" i="254"/>
  <c r="Z118" i="254"/>
  <c r="Y118" i="254"/>
  <c r="X118" i="254"/>
  <c r="W118" i="254"/>
  <c r="V118" i="254"/>
  <c r="U118" i="254"/>
  <c r="T118" i="254"/>
  <c r="S118" i="254"/>
  <c r="R118" i="254"/>
  <c r="Q118" i="254"/>
  <c r="P118" i="254"/>
  <c r="O118" i="254"/>
  <c r="N118" i="254"/>
  <c r="M118" i="254"/>
  <c r="L118" i="254"/>
  <c r="K118" i="254"/>
  <c r="J118" i="254"/>
  <c r="I118" i="254"/>
  <c r="H118" i="254"/>
  <c r="G118" i="254"/>
  <c r="F118" i="254"/>
  <c r="E118" i="254"/>
  <c r="D118" i="254"/>
  <c r="C118" i="254"/>
  <c r="B118" i="254"/>
  <c r="A118" i="254"/>
  <c r="AF117" i="254"/>
  <c r="AE117" i="254"/>
  <c r="AD117" i="254"/>
  <c r="AC117" i="254"/>
  <c r="AB117" i="254"/>
  <c r="AA117" i="254"/>
  <c r="Z117" i="254"/>
  <c r="Y117" i="254"/>
  <c r="X117" i="254"/>
  <c r="W117" i="254"/>
  <c r="V117" i="254"/>
  <c r="U117" i="254"/>
  <c r="T117" i="254"/>
  <c r="S117" i="254"/>
  <c r="R117" i="254"/>
  <c r="Q117" i="254"/>
  <c r="P117" i="254"/>
  <c r="O117" i="254"/>
  <c r="N117" i="254"/>
  <c r="M117" i="254"/>
  <c r="L117" i="254"/>
  <c r="K117" i="254"/>
  <c r="J117" i="254"/>
  <c r="I117" i="254"/>
  <c r="H117" i="254"/>
  <c r="G117" i="254"/>
  <c r="F117" i="254"/>
  <c r="E117" i="254"/>
  <c r="D117" i="254"/>
  <c r="C117" i="254"/>
  <c r="B117" i="254"/>
  <c r="A117" i="254"/>
  <c r="AF116" i="254"/>
  <c r="AE116" i="254"/>
  <c r="AD116" i="254"/>
  <c r="AC116" i="254"/>
  <c r="AB116" i="254"/>
  <c r="AA116" i="254"/>
  <c r="Z116" i="254"/>
  <c r="Y116" i="254"/>
  <c r="X116" i="254"/>
  <c r="W116" i="254"/>
  <c r="V116" i="254"/>
  <c r="U116" i="254"/>
  <c r="T116" i="254"/>
  <c r="S116" i="254"/>
  <c r="R116" i="254"/>
  <c r="Q116" i="254"/>
  <c r="P116" i="254"/>
  <c r="O116" i="254"/>
  <c r="N116" i="254"/>
  <c r="M116" i="254"/>
  <c r="L116" i="254"/>
  <c r="K116" i="254"/>
  <c r="J116" i="254"/>
  <c r="I116" i="254"/>
  <c r="H116" i="254"/>
  <c r="G116" i="254"/>
  <c r="F116" i="254"/>
  <c r="E116" i="254"/>
  <c r="D116" i="254"/>
  <c r="C116" i="254"/>
  <c r="B116" i="254"/>
  <c r="A116" i="254"/>
  <c r="AF115" i="254"/>
  <c r="AE115" i="254"/>
  <c r="AD115" i="254"/>
  <c r="AC115" i="254"/>
  <c r="AB115" i="254"/>
  <c r="AA115" i="254"/>
  <c r="Z115" i="254"/>
  <c r="Y115" i="254"/>
  <c r="X115" i="254"/>
  <c r="W115" i="254"/>
  <c r="V115" i="254"/>
  <c r="U115" i="254"/>
  <c r="T115" i="254"/>
  <c r="S115" i="254"/>
  <c r="R115" i="254"/>
  <c r="Q115" i="254"/>
  <c r="P115" i="254"/>
  <c r="O115" i="254"/>
  <c r="N115" i="254"/>
  <c r="M115" i="254"/>
  <c r="L115" i="254"/>
  <c r="K115" i="254"/>
  <c r="J115" i="254"/>
  <c r="I115" i="254"/>
  <c r="H115" i="254"/>
  <c r="G115" i="254"/>
  <c r="F115" i="254"/>
  <c r="E115" i="254"/>
  <c r="D115" i="254"/>
  <c r="C115" i="254"/>
  <c r="B115" i="254"/>
  <c r="A115" i="254"/>
  <c r="AF114" i="254"/>
  <c r="AE114" i="254"/>
  <c r="AD114" i="254"/>
  <c r="AC114" i="254"/>
  <c r="AB114" i="254"/>
  <c r="AA114" i="254"/>
  <c r="Z114" i="254"/>
  <c r="Y114" i="254"/>
  <c r="X114" i="254"/>
  <c r="W114" i="254"/>
  <c r="V114" i="254"/>
  <c r="U114" i="254"/>
  <c r="T114" i="254"/>
  <c r="S114" i="254"/>
  <c r="R114" i="254"/>
  <c r="Q114" i="254"/>
  <c r="P114" i="254"/>
  <c r="O114" i="254"/>
  <c r="N114" i="254"/>
  <c r="M114" i="254"/>
  <c r="L114" i="254"/>
  <c r="K114" i="254"/>
  <c r="J114" i="254"/>
  <c r="I114" i="254"/>
  <c r="H114" i="254"/>
  <c r="G114" i="254"/>
  <c r="F114" i="254"/>
  <c r="E114" i="254"/>
  <c r="D114" i="254"/>
  <c r="C114" i="254"/>
  <c r="B114" i="254"/>
  <c r="A114" i="254"/>
  <c r="AF113" i="254"/>
  <c r="AE113" i="254"/>
  <c r="AD113" i="254"/>
  <c r="AC113" i="254"/>
  <c r="AB113" i="254"/>
  <c r="AA113" i="254"/>
  <c r="Z113" i="254"/>
  <c r="Y113" i="254"/>
  <c r="X113" i="254"/>
  <c r="W113" i="254"/>
  <c r="V113" i="254"/>
  <c r="U113" i="254"/>
  <c r="T113" i="254"/>
  <c r="S113" i="254"/>
  <c r="R113" i="254"/>
  <c r="Q113" i="254"/>
  <c r="P113" i="254"/>
  <c r="O113" i="254"/>
  <c r="N113" i="254"/>
  <c r="M113" i="254"/>
  <c r="L113" i="254"/>
  <c r="K113" i="254"/>
  <c r="J113" i="254"/>
  <c r="I113" i="254"/>
  <c r="H113" i="254"/>
  <c r="G113" i="254"/>
  <c r="F113" i="254"/>
  <c r="E113" i="254"/>
  <c r="D113" i="254"/>
  <c r="C113" i="254"/>
  <c r="B113" i="254"/>
  <c r="A113" i="254"/>
  <c r="AF112" i="254"/>
  <c r="AE112" i="254"/>
  <c r="AD112" i="254"/>
  <c r="AC112" i="254"/>
  <c r="AB112" i="254"/>
  <c r="AA112" i="254"/>
  <c r="Z112" i="254"/>
  <c r="Y112" i="254"/>
  <c r="X112" i="254"/>
  <c r="W112" i="254"/>
  <c r="V112" i="254"/>
  <c r="U112" i="254"/>
  <c r="T112" i="254"/>
  <c r="S112" i="254"/>
  <c r="R112" i="254"/>
  <c r="Q112" i="254"/>
  <c r="P112" i="254"/>
  <c r="O112" i="254"/>
  <c r="N112" i="254"/>
  <c r="M112" i="254"/>
  <c r="L112" i="254"/>
  <c r="K112" i="254"/>
  <c r="J112" i="254"/>
  <c r="I112" i="254"/>
  <c r="H112" i="254"/>
  <c r="G112" i="254"/>
  <c r="F112" i="254"/>
  <c r="E112" i="254"/>
  <c r="D112" i="254"/>
  <c r="C112" i="254"/>
  <c r="B112" i="254"/>
  <c r="A112" i="254"/>
  <c r="AF111" i="254"/>
  <c r="AE111" i="254"/>
  <c r="AD111" i="254"/>
  <c r="AC111" i="254"/>
  <c r="AB111" i="254"/>
  <c r="AA111" i="254"/>
  <c r="Z111" i="254"/>
  <c r="Y111" i="254"/>
  <c r="X111" i="254"/>
  <c r="W111" i="254"/>
  <c r="V111" i="254"/>
  <c r="U111" i="254"/>
  <c r="T111" i="254"/>
  <c r="S111" i="254"/>
  <c r="R111" i="254"/>
  <c r="Q111" i="254"/>
  <c r="P111" i="254"/>
  <c r="O111" i="254"/>
  <c r="N111" i="254"/>
  <c r="M111" i="254"/>
  <c r="L111" i="254"/>
  <c r="K111" i="254"/>
  <c r="J111" i="254"/>
  <c r="I111" i="254"/>
  <c r="H111" i="254"/>
  <c r="G111" i="254"/>
  <c r="F111" i="254"/>
  <c r="E111" i="254"/>
  <c r="D111" i="254"/>
  <c r="C111" i="254"/>
  <c r="B111" i="254"/>
  <c r="A111" i="254"/>
  <c r="AF110" i="254"/>
  <c r="AE110" i="254"/>
  <c r="AD110" i="254"/>
  <c r="AC110" i="254"/>
  <c r="AB110" i="254"/>
  <c r="AA110" i="254"/>
  <c r="Z110" i="254"/>
  <c r="Y110" i="254"/>
  <c r="X110" i="254"/>
  <c r="W110" i="254"/>
  <c r="V110" i="254"/>
  <c r="U110" i="254"/>
  <c r="T110" i="254"/>
  <c r="S110" i="254"/>
  <c r="R110" i="254"/>
  <c r="Q110" i="254"/>
  <c r="P110" i="254"/>
  <c r="O110" i="254"/>
  <c r="N110" i="254"/>
  <c r="M110" i="254"/>
  <c r="L110" i="254"/>
  <c r="K110" i="254"/>
  <c r="J110" i="254"/>
  <c r="I110" i="254"/>
  <c r="H110" i="254"/>
  <c r="G110" i="254"/>
  <c r="F110" i="254"/>
  <c r="E110" i="254"/>
  <c r="D110" i="254"/>
  <c r="C110" i="254"/>
  <c r="B110" i="254"/>
  <c r="A110" i="254"/>
  <c r="AF109" i="254"/>
  <c r="AE109" i="254"/>
  <c r="AD109" i="254"/>
  <c r="AC109" i="254"/>
  <c r="AB109" i="254"/>
  <c r="AA109" i="254"/>
  <c r="Z109" i="254"/>
  <c r="Y109" i="254"/>
  <c r="X109" i="254"/>
  <c r="W109" i="254"/>
  <c r="V109" i="254"/>
  <c r="U109" i="254"/>
  <c r="T109" i="254"/>
  <c r="S109" i="254"/>
  <c r="R109" i="254"/>
  <c r="Q109" i="254"/>
  <c r="P109" i="254"/>
  <c r="O109" i="254"/>
  <c r="N109" i="254"/>
  <c r="M109" i="254"/>
  <c r="L109" i="254"/>
  <c r="K109" i="254"/>
  <c r="J109" i="254"/>
  <c r="I109" i="254"/>
  <c r="H109" i="254"/>
  <c r="G109" i="254"/>
  <c r="F109" i="254"/>
  <c r="E109" i="254"/>
  <c r="D109" i="254"/>
  <c r="C109" i="254"/>
  <c r="B109" i="254"/>
  <c r="A109" i="254"/>
  <c r="AF108" i="254"/>
  <c r="AE108" i="254"/>
  <c r="AD108" i="254"/>
  <c r="AC108" i="254"/>
  <c r="AB108" i="254"/>
  <c r="AA108" i="254"/>
  <c r="Z108" i="254"/>
  <c r="Y108" i="254"/>
  <c r="X108" i="254"/>
  <c r="W108" i="254"/>
  <c r="V108" i="254"/>
  <c r="U108" i="254"/>
  <c r="T108" i="254"/>
  <c r="S108" i="254"/>
  <c r="R108" i="254"/>
  <c r="Q108" i="254"/>
  <c r="P108" i="254"/>
  <c r="O108" i="254"/>
  <c r="N108" i="254"/>
  <c r="M108" i="254"/>
  <c r="L108" i="254"/>
  <c r="K108" i="254"/>
  <c r="J108" i="254"/>
  <c r="I108" i="254"/>
  <c r="H108" i="254"/>
  <c r="G108" i="254"/>
  <c r="F108" i="254"/>
  <c r="E108" i="254"/>
  <c r="D108" i="254"/>
  <c r="C108" i="254"/>
  <c r="B108" i="254"/>
  <c r="A108" i="254"/>
  <c r="AF107" i="254"/>
  <c r="AE107" i="254"/>
  <c r="AD107" i="254"/>
  <c r="AC107" i="254"/>
  <c r="AB107" i="254"/>
  <c r="AA107" i="254"/>
  <c r="Z107" i="254"/>
  <c r="Y107" i="254"/>
  <c r="X107" i="254"/>
  <c r="W107" i="254"/>
  <c r="V107" i="254"/>
  <c r="U107" i="254"/>
  <c r="T107" i="254"/>
  <c r="S107" i="254"/>
  <c r="R107" i="254"/>
  <c r="Q107" i="254"/>
  <c r="P107" i="254"/>
  <c r="O107" i="254"/>
  <c r="N107" i="254"/>
  <c r="M107" i="254"/>
  <c r="L107" i="254"/>
  <c r="K107" i="254"/>
  <c r="J107" i="254"/>
  <c r="I107" i="254"/>
  <c r="H107" i="254"/>
  <c r="G107" i="254"/>
  <c r="F107" i="254"/>
  <c r="E107" i="254"/>
  <c r="D107" i="254"/>
  <c r="C107" i="254"/>
  <c r="B107" i="254"/>
  <c r="A107" i="254"/>
  <c r="AF106" i="254"/>
  <c r="AE106" i="254"/>
  <c r="AD106" i="254"/>
  <c r="AC106" i="254"/>
  <c r="AB106" i="254"/>
  <c r="AA106" i="254"/>
  <c r="Z106" i="254"/>
  <c r="Y106" i="254"/>
  <c r="X106" i="254"/>
  <c r="W106" i="254"/>
  <c r="V106" i="254"/>
  <c r="U106" i="254"/>
  <c r="T106" i="254"/>
  <c r="S106" i="254"/>
  <c r="R106" i="254"/>
  <c r="Q106" i="254"/>
  <c r="P106" i="254"/>
  <c r="O106" i="254"/>
  <c r="N106" i="254"/>
  <c r="M106" i="254"/>
  <c r="L106" i="254"/>
  <c r="K106" i="254"/>
  <c r="J106" i="254"/>
  <c r="I106" i="254"/>
  <c r="H106" i="254"/>
  <c r="G106" i="254"/>
  <c r="F106" i="254"/>
  <c r="E106" i="254"/>
  <c r="D106" i="254"/>
  <c r="C106" i="254"/>
  <c r="B106" i="254"/>
  <c r="A106" i="254"/>
  <c r="AF105" i="254"/>
  <c r="AE105" i="254"/>
  <c r="AD105" i="254"/>
  <c r="AC105" i="254"/>
  <c r="AB105" i="254"/>
  <c r="AA105" i="254"/>
  <c r="Z105" i="254"/>
  <c r="Y105" i="254"/>
  <c r="X105" i="254"/>
  <c r="W105" i="254"/>
  <c r="V105" i="254"/>
  <c r="U105" i="254"/>
  <c r="T105" i="254"/>
  <c r="S105" i="254"/>
  <c r="R105" i="254"/>
  <c r="Q105" i="254"/>
  <c r="P105" i="254"/>
  <c r="O105" i="254"/>
  <c r="N105" i="254"/>
  <c r="M105" i="254"/>
  <c r="L105" i="254"/>
  <c r="K105" i="254"/>
  <c r="J105" i="254"/>
  <c r="I105" i="254"/>
  <c r="H105" i="254"/>
  <c r="G105" i="254"/>
  <c r="F105" i="254"/>
  <c r="E105" i="254"/>
  <c r="D105" i="254"/>
  <c r="C105" i="254"/>
  <c r="B105" i="254"/>
  <c r="A105" i="254"/>
  <c r="AF104" i="254"/>
  <c r="AE104" i="254"/>
  <c r="AD104" i="254"/>
  <c r="AC104" i="254"/>
  <c r="AB104" i="254"/>
  <c r="AA104" i="254"/>
  <c r="Z104" i="254"/>
  <c r="Y104" i="254"/>
  <c r="X104" i="254"/>
  <c r="W104" i="254"/>
  <c r="V104" i="254"/>
  <c r="U104" i="254"/>
  <c r="T104" i="254"/>
  <c r="S104" i="254"/>
  <c r="R104" i="254"/>
  <c r="Q104" i="254"/>
  <c r="P104" i="254"/>
  <c r="O104" i="254"/>
  <c r="N104" i="254"/>
  <c r="M104" i="254"/>
  <c r="L104" i="254"/>
  <c r="K104" i="254"/>
  <c r="J104" i="254"/>
  <c r="I104" i="254"/>
  <c r="H104" i="254"/>
  <c r="G104" i="254"/>
  <c r="F104" i="254"/>
  <c r="E104" i="254"/>
  <c r="D104" i="254"/>
  <c r="C104" i="254"/>
  <c r="B104" i="254"/>
  <c r="A104" i="254"/>
  <c r="AF103" i="254"/>
  <c r="AE103" i="254"/>
  <c r="AD103" i="254"/>
  <c r="AC103" i="254"/>
  <c r="AB103" i="254"/>
  <c r="AA103" i="254"/>
  <c r="Z103" i="254"/>
  <c r="Y103" i="254"/>
  <c r="X103" i="254"/>
  <c r="W103" i="254"/>
  <c r="V103" i="254"/>
  <c r="U103" i="254"/>
  <c r="T103" i="254"/>
  <c r="S103" i="254"/>
  <c r="R103" i="254"/>
  <c r="Q103" i="254"/>
  <c r="P103" i="254"/>
  <c r="O103" i="254"/>
  <c r="N103" i="254"/>
  <c r="M103" i="254"/>
  <c r="L103" i="254"/>
  <c r="K103" i="254"/>
  <c r="J103" i="254"/>
  <c r="I103" i="254"/>
  <c r="H103" i="254"/>
  <c r="G103" i="254"/>
  <c r="F103" i="254"/>
  <c r="E103" i="254"/>
  <c r="D103" i="254"/>
  <c r="C103" i="254"/>
  <c r="B103" i="254"/>
  <c r="A103" i="254"/>
  <c r="AF102" i="254"/>
  <c r="AE102" i="254"/>
  <c r="AD102" i="254"/>
  <c r="AC102" i="254"/>
  <c r="AB102" i="254"/>
  <c r="AA102" i="254"/>
  <c r="Z102" i="254"/>
  <c r="Y102" i="254"/>
  <c r="X102" i="254"/>
  <c r="W102" i="254"/>
  <c r="V102" i="254"/>
  <c r="U102" i="254"/>
  <c r="T102" i="254"/>
  <c r="S102" i="254"/>
  <c r="R102" i="254"/>
  <c r="Q102" i="254"/>
  <c r="P102" i="254"/>
  <c r="O102" i="254"/>
  <c r="N102" i="254"/>
  <c r="M102" i="254"/>
  <c r="L102" i="254"/>
  <c r="K102" i="254"/>
  <c r="J102" i="254"/>
  <c r="I102" i="254"/>
  <c r="H102" i="254"/>
  <c r="G102" i="254"/>
  <c r="F102" i="254"/>
  <c r="E102" i="254"/>
  <c r="D102" i="254"/>
  <c r="C102" i="254"/>
  <c r="B102" i="254"/>
  <c r="A102" i="254"/>
  <c r="AF101" i="254"/>
  <c r="AE101" i="254"/>
  <c r="AD101" i="254"/>
  <c r="AC101" i="254"/>
  <c r="AB101" i="254"/>
  <c r="AA101" i="254"/>
  <c r="Z101" i="254"/>
  <c r="Y101" i="254"/>
  <c r="X101" i="254"/>
  <c r="W101" i="254"/>
  <c r="V101" i="254"/>
  <c r="U101" i="254"/>
  <c r="T101" i="254"/>
  <c r="S101" i="254"/>
  <c r="R101" i="254"/>
  <c r="Q101" i="254"/>
  <c r="P101" i="254"/>
  <c r="O101" i="254"/>
  <c r="N101" i="254"/>
  <c r="M101" i="254"/>
  <c r="L101" i="254"/>
  <c r="K101" i="254"/>
  <c r="J101" i="254"/>
  <c r="I101" i="254"/>
  <c r="H101" i="254"/>
  <c r="G101" i="254"/>
  <c r="F101" i="254"/>
  <c r="E101" i="254"/>
  <c r="D101" i="254"/>
  <c r="C101" i="254"/>
  <c r="B101" i="254"/>
  <c r="A101" i="254"/>
  <c r="AF100" i="254"/>
  <c r="AE100" i="254"/>
  <c r="AD100" i="254"/>
  <c r="AC100" i="254"/>
  <c r="AB100" i="254"/>
  <c r="AA100" i="254"/>
  <c r="Z100" i="254"/>
  <c r="Y100" i="254"/>
  <c r="X100" i="254"/>
  <c r="W100" i="254"/>
  <c r="V100" i="254"/>
  <c r="U100" i="254"/>
  <c r="T100" i="254"/>
  <c r="S100" i="254"/>
  <c r="R100" i="254"/>
  <c r="Q100" i="254"/>
  <c r="P100" i="254"/>
  <c r="O100" i="254"/>
  <c r="N100" i="254"/>
  <c r="M100" i="254"/>
  <c r="L100" i="254"/>
  <c r="K100" i="254"/>
  <c r="J100" i="254"/>
  <c r="I100" i="254"/>
  <c r="H100" i="254"/>
  <c r="G100" i="254"/>
  <c r="F100" i="254"/>
  <c r="E100" i="254"/>
  <c r="D100" i="254"/>
  <c r="C100" i="254"/>
  <c r="B100" i="254"/>
  <c r="A100" i="254"/>
  <c r="AF99" i="254"/>
  <c r="AE99" i="254"/>
  <c r="AD99" i="254"/>
  <c r="AC99" i="254"/>
  <c r="AB99" i="254"/>
  <c r="AA99" i="254"/>
  <c r="Z99" i="254"/>
  <c r="Y99" i="254"/>
  <c r="X99" i="254"/>
  <c r="W99" i="254"/>
  <c r="V99" i="254"/>
  <c r="U99" i="254"/>
  <c r="T99" i="254"/>
  <c r="S99" i="254"/>
  <c r="R99" i="254"/>
  <c r="Q99" i="254"/>
  <c r="P99" i="254"/>
  <c r="O99" i="254"/>
  <c r="N99" i="254"/>
  <c r="M99" i="254"/>
  <c r="L99" i="254"/>
  <c r="K99" i="254"/>
  <c r="J99" i="254"/>
  <c r="I99" i="254"/>
  <c r="H99" i="254"/>
  <c r="G99" i="254"/>
  <c r="F99" i="254"/>
  <c r="E99" i="254"/>
  <c r="D99" i="254"/>
  <c r="C99" i="254"/>
  <c r="B99" i="254"/>
  <c r="A99" i="254"/>
  <c r="AF98" i="254"/>
  <c r="AE98" i="254"/>
  <c r="AD98" i="254"/>
  <c r="AC98" i="254"/>
  <c r="AB98" i="254"/>
  <c r="AA98" i="254"/>
  <c r="Z98" i="254"/>
  <c r="Y98" i="254"/>
  <c r="X98" i="254"/>
  <c r="W98" i="254"/>
  <c r="V98" i="254"/>
  <c r="U98" i="254"/>
  <c r="T98" i="254"/>
  <c r="S98" i="254"/>
  <c r="R98" i="254"/>
  <c r="Q98" i="254"/>
  <c r="P98" i="254"/>
  <c r="O98" i="254"/>
  <c r="N98" i="254"/>
  <c r="M98" i="254"/>
  <c r="L98" i="254"/>
  <c r="K98" i="254"/>
  <c r="J98" i="254"/>
  <c r="I98" i="254"/>
  <c r="H98" i="254"/>
  <c r="G98" i="254"/>
  <c r="F98" i="254"/>
  <c r="E98" i="254"/>
  <c r="D98" i="254"/>
  <c r="C98" i="254"/>
  <c r="B98" i="254"/>
  <c r="A98" i="254"/>
  <c r="AF97" i="254"/>
  <c r="AE97" i="254"/>
  <c r="AD97" i="254"/>
  <c r="AC97" i="254"/>
  <c r="AB97" i="254"/>
  <c r="AA97" i="254"/>
  <c r="Z97" i="254"/>
  <c r="Y97" i="254"/>
  <c r="X97" i="254"/>
  <c r="W97" i="254"/>
  <c r="V97" i="254"/>
  <c r="U97" i="254"/>
  <c r="T97" i="254"/>
  <c r="S97" i="254"/>
  <c r="R97" i="254"/>
  <c r="Q97" i="254"/>
  <c r="P97" i="254"/>
  <c r="O97" i="254"/>
  <c r="N97" i="254"/>
  <c r="M97" i="254"/>
  <c r="L97" i="254"/>
  <c r="K97" i="254"/>
  <c r="J97" i="254"/>
  <c r="I97" i="254"/>
  <c r="H97" i="254"/>
  <c r="G97" i="254"/>
  <c r="F97" i="254"/>
  <c r="E97" i="254"/>
  <c r="D97" i="254"/>
  <c r="C97" i="254"/>
  <c r="B97" i="254"/>
  <c r="A97" i="254"/>
  <c r="AF96" i="254"/>
  <c r="AE96" i="254"/>
  <c r="AD96" i="254"/>
  <c r="AC96" i="254"/>
  <c r="AB96" i="254"/>
  <c r="AA96" i="254"/>
  <c r="Z96" i="254"/>
  <c r="Y96" i="254"/>
  <c r="X96" i="254"/>
  <c r="W96" i="254"/>
  <c r="V96" i="254"/>
  <c r="U96" i="254"/>
  <c r="T96" i="254"/>
  <c r="S96" i="254"/>
  <c r="R96" i="254"/>
  <c r="Q96" i="254"/>
  <c r="P96" i="254"/>
  <c r="O96" i="254"/>
  <c r="N96" i="254"/>
  <c r="M96" i="254"/>
  <c r="L96" i="254"/>
  <c r="K96" i="254"/>
  <c r="J96" i="254"/>
  <c r="I96" i="254"/>
  <c r="H96" i="254"/>
  <c r="G96" i="254"/>
  <c r="F96" i="254"/>
  <c r="E96" i="254"/>
  <c r="D96" i="254"/>
  <c r="C96" i="254"/>
  <c r="B96" i="254"/>
  <c r="A96" i="254"/>
  <c r="AF95" i="254"/>
  <c r="AE95" i="254"/>
  <c r="AD95" i="254"/>
  <c r="AC95" i="254"/>
  <c r="AB95" i="254"/>
  <c r="AA95" i="254"/>
  <c r="Z95" i="254"/>
  <c r="Y95" i="254"/>
  <c r="X95" i="254"/>
  <c r="W95" i="254"/>
  <c r="V95" i="254"/>
  <c r="U95" i="254"/>
  <c r="T95" i="254"/>
  <c r="S95" i="254"/>
  <c r="R95" i="254"/>
  <c r="Q95" i="254"/>
  <c r="P95" i="254"/>
  <c r="O95" i="254"/>
  <c r="N95" i="254"/>
  <c r="M95" i="254"/>
  <c r="L95" i="254"/>
  <c r="K95" i="254"/>
  <c r="J95" i="254"/>
  <c r="I95" i="254"/>
  <c r="H95" i="254"/>
  <c r="G95" i="254"/>
  <c r="F95" i="254"/>
  <c r="E95" i="254"/>
  <c r="D95" i="254"/>
  <c r="C95" i="254"/>
  <c r="B95" i="254"/>
  <c r="A95" i="254"/>
  <c r="AF94" i="254"/>
  <c r="AE94" i="254"/>
  <c r="AD94" i="254"/>
  <c r="AC94" i="254"/>
  <c r="AB94" i="254"/>
  <c r="AA94" i="254"/>
  <c r="Z94" i="254"/>
  <c r="Y94" i="254"/>
  <c r="X94" i="254"/>
  <c r="W94" i="254"/>
  <c r="V94" i="254"/>
  <c r="U94" i="254"/>
  <c r="T94" i="254"/>
  <c r="S94" i="254"/>
  <c r="R94" i="254"/>
  <c r="Q94" i="254"/>
  <c r="P94" i="254"/>
  <c r="O94" i="254"/>
  <c r="N94" i="254"/>
  <c r="M94" i="254"/>
  <c r="L94" i="254"/>
  <c r="K94" i="254"/>
  <c r="J94" i="254"/>
  <c r="I94" i="254"/>
  <c r="H94" i="254"/>
  <c r="G94" i="254"/>
  <c r="F94" i="254"/>
  <c r="E94" i="254"/>
  <c r="D94" i="254"/>
  <c r="C94" i="254"/>
  <c r="B94" i="254"/>
  <c r="A94" i="254"/>
  <c r="AF93" i="254"/>
  <c r="AE93" i="254"/>
  <c r="AD93" i="254"/>
  <c r="AC93" i="254"/>
  <c r="AB93" i="254"/>
  <c r="AA93" i="254"/>
  <c r="Z93" i="254"/>
  <c r="Y93" i="254"/>
  <c r="X93" i="254"/>
  <c r="W93" i="254"/>
  <c r="V93" i="254"/>
  <c r="U93" i="254"/>
  <c r="T93" i="254"/>
  <c r="S93" i="254"/>
  <c r="R93" i="254"/>
  <c r="Q93" i="254"/>
  <c r="P93" i="254"/>
  <c r="O93" i="254"/>
  <c r="N93" i="254"/>
  <c r="M93" i="254"/>
  <c r="L93" i="254"/>
  <c r="K93" i="254"/>
  <c r="J93" i="254"/>
  <c r="I93" i="254"/>
  <c r="H93" i="254"/>
  <c r="G93" i="254"/>
  <c r="F93" i="254"/>
  <c r="E93" i="254"/>
  <c r="D93" i="254"/>
  <c r="C93" i="254"/>
  <c r="B93" i="254"/>
  <c r="A93" i="254"/>
  <c r="AF92" i="254"/>
  <c r="AE92" i="254"/>
  <c r="AD92" i="254"/>
  <c r="AC92" i="254"/>
  <c r="AB92" i="254"/>
  <c r="AA92" i="254"/>
  <c r="Z92" i="254"/>
  <c r="Y92" i="254"/>
  <c r="X92" i="254"/>
  <c r="W92" i="254"/>
  <c r="V92" i="254"/>
  <c r="U92" i="254"/>
  <c r="T92" i="254"/>
  <c r="S92" i="254"/>
  <c r="R92" i="254"/>
  <c r="Q92" i="254"/>
  <c r="P92" i="254"/>
  <c r="O92" i="254"/>
  <c r="N92" i="254"/>
  <c r="M92" i="254"/>
  <c r="L92" i="254"/>
  <c r="K92" i="254"/>
  <c r="J92" i="254"/>
  <c r="I92" i="254"/>
  <c r="H92" i="254"/>
  <c r="G92" i="254"/>
  <c r="F92" i="254"/>
  <c r="E92" i="254"/>
  <c r="D92" i="254"/>
  <c r="C92" i="254"/>
  <c r="B92" i="254"/>
  <c r="A92" i="254"/>
  <c r="AF91" i="254"/>
  <c r="AE91" i="254"/>
  <c r="AD91" i="254"/>
  <c r="AC91" i="254"/>
  <c r="AB91" i="254"/>
  <c r="AA91" i="254"/>
  <c r="Z91" i="254"/>
  <c r="Y91" i="254"/>
  <c r="X91" i="254"/>
  <c r="W91" i="254"/>
  <c r="V91" i="254"/>
  <c r="U91" i="254"/>
  <c r="T91" i="254"/>
  <c r="S91" i="254"/>
  <c r="R91" i="254"/>
  <c r="Q91" i="254"/>
  <c r="P91" i="254"/>
  <c r="O91" i="254"/>
  <c r="N91" i="254"/>
  <c r="M91" i="254"/>
  <c r="L91" i="254"/>
  <c r="K91" i="254"/>
  <c r="J91" i="254"/>
  <c r="I91" i="254"/>
  <c r="H91" i="254"/>
  <c r="G91" i="254"/>
  <c r="F91" i="254"/>
  <c r="E91" i="254"/>
  <c r="D91" i="254"/>
  <c r="C91" i="254"/>
  <c r="B91" i="254"/>
  <c r="A91" i="254"/>
  <c r="AF90" i="254"/>
  <c r="AE90" i="254"/>
  <c r="AD90" i="254"/>
  <c r="AC90" i="254"/>
  <c r="AB90" i="254"/>
  <c r="AA90" i="254"/>
  <c r="Z90" i="254"/>
  <c r="Y90" i="254"/>
  <c r="X90" i="254"/>
  <c r="W90" i="254"/>
  <c r="V90" i="254"/>
  <c r="U90" i="254"/>
  <c r="T90" i="254"/>
  <c r="S90" i="254"/>
  <c r="R90" i="254"/>
  <c r="Q90" i="254"/>
  <c r="P90" i="254"/>
  <c r="O90" i="254"/>
  <c r="N90" i="254"/>
  <c r="M90" i="254"/>
  <c r="L90" i="254"/>
  <c r="K90" i="254"/>
  <c r="J90" i="254"/>
  <c r="I90" i="254"/>
  <c r="H90" i="254"/>
  <c r="G90" i="254"/>
  <c r="F90" i="254"/>
  <c r="E90" i="254"/>
  <c r="D90" i="254"/>
  <c r="C90" i="254"/>
  <c r="B90" i="254"/>
  <c r="A90" i="254"/>
  <c r="AF89" i="254"/>
  <c r="AE89" i="254"/>
  <c r="AD89" i="254"/>
  <c r="AC89" i="254"/>
  <c r="AB89" i="254"/>
  <c r="AA89" i="254"/>
  <c r="Z89" i="254"/>
  <c r="Y89" i="254"/>
  <c r="X89" i="254"/>
  <c r="W89" i="254"/>
  <c r="V89" i="254"/>
  <c r="U89" i="254"/>
  <c r="T89" i="254"/>
  <c r="S89" i="254"/>
  <c r="R89" i="254"/>
  <c r="Q89" i="254"/>
  <c r="P89" i="254"/>
  <c r="O89" i="254"/>
  <c r="N89" i="254"/>
  <c r="M89" i="254"/>
  <c r="L89" i="254"/>
  <c r="K89" i="254"/>
  <c r="J89" i="254"/>
  <c r="I89" i="254"/>
  <c r="H89" i="254"/>
  <c r="G89" i="254"/>
  <c r="F89" i="254"/>
  <c r="E89" i="254"/>
  <c r="D89" i="254"/>
  <c r="C89" i="254"/>
  <c r="B89" i="254"/>
  <c r="A89" i="254"/>
  <c r="AF88" i="254"/>
  <c r="AE88" i="254"/>
  <c r="AD88" i="254"/>
  <c r="AC88" i="254"/>
  <c r="AB88" i="254"/>
  <c r="AA88" i="254"/>
  <c r="Z88" i="254"/>
  <c r="Y88" i="254"/>
  <c r="X88" i="254"/>
  <c r="W88" i="254"/>
  <c r="V88" i="254"/>
  <c r="U88" i="254"/>
  <c r="T88" i="254"/>
  <c r="S88" i="254"/>
  <c r="R88" i="254"/>
  <c r="Q88" i="254"/>
  <c r="P88" i="254"/>
  <c r="O88" i="254"/>
  <c r="N88" i="254"/>
  <c r="M88" i="254"/>
  <c r="L88" i="254"/>
  <c r="K88" i="254"/>
  <c r="J88" i="254"/>
  <c r="I88" i="254"/>
  <c r="H88" i="254"/>
  <c r="G88" i="254"/>
  <c r="F88" i="254"/>
  <c r="E88" i="254"/>
  <c r="D88" i="254"/>
  <c r="C88" i="254"/>
  <c r="B88" i="254"/>
  <c r="A88" i="254"/>
  <c r="AF87" i="254"/>
  <c r="AE87" i="254"/>
  <c r="AD87" i="254"/>
  <c r="AC87" i="254"/>
  <c r="AB87" i="254"/>
  <c r="AA87" i="254"/>
  <c r="Z87" i="254"/>
  <c r="Y87" i="254"/>
  <c r="X87" i="254"/>
  <c r="W87" i="254"/>
  <c r="V87" i="254"/>
  <c r="U87" i="254"/>
  <c r="T87" i="254"/>
  <c r="S87" i="254"/>
  <c r="R87" i="254"/>
  <c r="Q87" i="254"/>
  <c r="P87" i="254"/>
  <c r="O87" i="254"/>
  <c r="N87" i="254"/>
  <c r="M87" i="254"/>
  <c r="L87" i="254"/>
  <c r="K87" i="254"/>
  <c r="J87" i="254"/>
  <c r="I87" i="254"/>
  <c r="H87" i="254"/>
  <c r="G87" i="254"/>
  <c r="F87" i="254"/>
  <c r="E87" i="254"/>
  <c r="D87" i="254"/>
  <c r="C87" i="254"/>
  <c r="B87" i="254"/>
  <c r="A87" i="254"/>
  <c r="AF86" i="254"/>
  <c r="AE86" i="254"/>
  <c r="AD86" i="254"/>
  <c r="AC86" i="254"/>
  <c r="AB86" i="254"/>
  <c r="AA86" i="254"/>
  <c r="Z86" i="254"/>
  <c r="Y86" i="254"/>
  <c r="X86" i="254"/>
  <c r="W86" i="254"/>
  <c r="V86" i="254"/>
  <c r="U86" i="254"/>
  <c r="T86" i="254"/>
  <c r="S86" i="254"/>
  <c r="R86" i="254"/>
  <c r="Q86" i="254"/>
  <c r="P86" i="254"/>
  <c r="O86" i="254"/>
  <c r="N86" i="254"/>
  <c r="M86" i="254"/>
  <c r="L86" i="254"/>
  <c r="K86" i="254"/>
  <c r="J86" i="254"/>
  <c r="I86" i="254"/>
  <c r="H86" i="254"/>
  <c r="G86" i="254"/>
  <c r="F86" i="254"/>
  <c r="E86" i="254"/>
  <c r="D86" i="254"/>
  <c r="C86" i="254"/>
  <c r="B86" i="254"/>
  <c r="A86" i="254"/>
  <c r="AF85" i="254"/>
  <c r="AE85" i="254"/>
  <c r="AD85" i="254"/>
  <c r="AC85" i="254"/>
  <c r="AB85" i="254"/>
  <c r="AA85" i="254"/>
  <c r="Z85" i="254"/>
  <c r="Y85" i="254"/>
  <c r="X85" i="254"/>
  <c r="W85" i="254"/>
  <c r="V85" i="254"/>
  <c r="U85" i="254"/>
  <c r="T85" i="254"/>
  <c r="S85" i="254"/>
  <c r="R85" i="254"/>
  <c r="Q85" i="254"/>
  <c r="P85" i="254"/>
  <c r="O85" i="254"/>
  <c r="N85" i="254"/>
  <c r="M85" i="254"/>
  <c r="L85" i="254"/>
  <c r="K85" i="254"/>
  <c r="J85" i="254"/>
  <c r="I85" i="254"/>
  <c r="H85" i="254"/>
  <c r="G85" i="254"/>
  <c r="F85" i="254"/>
  <c r="E85" i="254"/>
  <c r="D85" i="254"/>
  <c r="C85" i="254"/>
  <c r="B85" i="254"/>
  <c r="A85" i="254"/>
  <c r="AF84" i="254"/>
  <c r="AE84" i="254"/>
  <c r="AD84" i="254"/>
  <c r="AC84" i="254"/>
  <c r="AB84" i="254"/>
  <c r="AA84" i="254"/>
  <c r="Z84" i="254"/>
  <c r="Y84" i="254"/>
  <c r="X84" i="254"/>
  <c r="W84" i="254"/>
  <c r="V84" i="254"/>
  <c r="U84" i="254"/>
  <c r="T84" i="254"/>
  <c r="S84" i="254"/>
  <c r="R84" i="254"/>
  <c r="Q84" i="254"/>
  <c r="P84" i="254"/>
  <c r="O84" i="254"/>
  <c r="N84" i="254"/>
  <c r="M84" i="254"/>
  <c r="L84" i="254"/>
  <c r="K84" i="254"/>
  <c r="J84" i="254"/>
  <c r="I84" i="254"/>
  <c r="H84" i="254"/>
  <c r="G84" i="254"/>
  <c r="F84" i="254"/>
  <c r="E84" i="254"/>
  <c r="D84" i="254"/>
  <c r="C84" i="254"/>
  <c r="B84" i="254"/>
  <c r="A84" i="254"/>
  <c r="AF83" i="254"/>
  <c r="AE83" i="254"/>
  <c r="AD83" i="254"/>
  <c r="AC83" i="254"/>
  <c r="AB83" i="254"/>
  <c r="AA83" i="254"/>
  <c r="Z83" i="254"/>
  <c r="Y83" i="254"/>
  <c r="X83" i="254"/>
  <c r="W83" i="254"/>
  <c r="V83" i="254"/>
  <c r="U83" i="254"/>
  <c r="T83" i="254"/>
  <c r="S83" i="254"/>
  <c r="R83" i="254"/>
  <c r="Q83" i="254"/>
  <c r="P83" i="254"/>
  <c r="O83" i="254"/>
  <c r="N83" i="254"/>
  <c r="M83" i="254"/>
  <c r="L83" i="254"/>
  <c r="K83" i="254"/>
  <c r="J83" i="254"/>
  <c r="I83" i="254"/>
  <c r="H83" i="254"/>
  <c r="G83" i="254"/>
  <c r="F83" i="254"/>
  <c r="E83" i="254"/>
  <c r="D83" i="254"/>
  <c r="C83" i="254"/>
  <c r="B83" i="254"/>
  <c r="A83" i="254"/>
  <c r="AF82" i="254"/>
  <c r="AE82" i="254"/>
  <c r="AD82" i="254"/>
  <c r="AC82" i="254"/>
  <c r="AB82" i="254"/>
  <c r="AA82" i="254"/>
  <c r="Z82" i="254"/>
  <c r="Y82" i="254"/>
  <c r="X82" i="254"/>
  <c r="W82" i="254"/>
  <c r="V82" i="254"/>
  <c r="U82" i="254"/>
  <c r="T82" i="254"/>
  <c r="S82" i="254"/>
  <c r="R82" i="254"/>
  <c r="Q82" i="254"/>
  <c r="P82" i="254"/>
  <c r="O82" i="254"/>
  <c r="N82" i="254"/>
  <c r="M82" i="254"/>
  <c r="L82" i="254"/>
  <c r="K82" i="254"/>
  <c r="J82" i="254"/>
  <c r="I82" i="254"/>
  <c r="H82" i="254"/>
  <c r="G82" i="254"/>
  <c r="F82" i="254"/>
  <c r="E82" i="254"/>
  <c r="D82" i="254"/>
  <c r="C82" i="254"/>
  <c r="B82" i="254"/>
  <c r="A82" i="254"/>
  <c r="AF81" i="254"/>
  <c r="AE81" i="254"/>
  <c r="AD81" i="254"/>
  <c r="AC81" i="254"/>
  <c r="AB81" i="254"/>
  <c r="AA81" i="254"/>
  <c r="Z81" i="254"/>
  <c r="Y81" i="254"/>
  <c r="X81" i="254"/>
  <c r="W81" i="254"/>
  <c r="V81" i="254"/>
  <c r="U81" i="254"/>
  <c r="T81" i="254"/>
  <c r="S81" i="254"/>
  <c r="R81" i="254"/>
  <c r="Q81" i="254"/>
  <c r="P81" i="254"/>
  <c r="O81" i="254"/>
  <c r="N81" i="254"/>
  <c r="M81" i="254"/>
  <c r="L81" i="254"/>
  <c r="K81" i="254"/>
  <c r="J81" i="254"/>
  <c r="I81" i="254"/>
  <c r="H81" i="254"/>
  <c r="G81" i="254"/>
  <c r="F81" i="254"/>
  <c r="E81" i="254"/>
  <c r="D81" i="254"/>
  <c r="C81" i="254"/>
  <c r="B81" i="254"/>
  <c r="A81" i="254"/>
  <c r="AF80" i="254"/>
  <c r="AE80" i="254"/>
  <c r="AD80" i="254"/>
  <c r="AC80" i="254"/>
  <c r="AB80" i="254"/>
  <c r="AA80" i="254"/>
  <c r="Z80" i="254"/>
  <c r="Y80" i="254"/>
  <c r="X80" i="254"/>
  <c r="W80" i="254"/>
  <c r="V80" i="254"/>
  <c r="U80" i="254"/>
  <c r="T80" i="254"/>
  <c r="S80" i="254"/>
  <c r="R80" i="254"/>
  <c r="Q80" i="254"/>
  <c r="P80" i="254"/>
  <c r="O80" i="254"/>
  <c r="N80" i="254"/>
  <c r="M80" i="254"/>
  <c r="L80" i="254"/>
  <c r="K80" i="254"/>
  <c r="J80" i="254"/>
  <c r="I80" i="254"/>
  <c r="H80" i="254"/>
  <c r="G80" i="254"/>
  <c r="F80" i="254"/>
  <c r="E80" i="254"/>
  <c r="D80" i="254"/>
  <c r="C80" i="254"/>
  <c r="B80" i="254"/>
  <c r="A80" i="254"/>
  <c r="AF79" i="254"/>
  <c r="AE79" i="254"/>
  <c r="AD79" i="254"/>
  <c r="AC79" i="254"/>
  <c r="AB79" i="254"/>
  <c r="AA79" i="254"/>
  <c r="Z79" i="254"/>
  <c r="Y79" i="254"/>
  <c r="X79" i="254"/>
  <c r="W79" i="254"/>
  <c r="V79" i="254"/>
  <c r="U79" i="254"/>
  <c r="T79" i="254"/>
  <c r="S79" i="254"/>
  <c r="R79" i="254"/>
  <c r="Q79" i="254"/>
  <c r="P79" i="254"/>
  <c r="O79" i="254"/>
  <c r="N79" i="254"/>
  <c r="M79" i="254"/>
  <c r="L79" i="254"/>
  <c r="K79" i="254"/>
  <c r="J79" i="254"/>
  <c r="I79" i="254"/>
  <c r="H79" i="254"/>
  <c r="G79" i="254"/>
  <c r="F79" i="254"/>
  <c r="E79" i="254"/>
  <c r="D79" i="254"/>
  <c r="C79" i="254"/>
  <c r="B79" i="254"/>
  <c r="A79" i="254"/>
  <c r="AF78" i="254"/>
  <c r="AE78" i="254"/>
  <c r="AD78" i="254"/>
  <c r="AC78" i="254"/>
  <c r="AB78" i="254"/>
  <c r="AA78" i="254"/>
  <c r="Z78" i="254"/>
  <c r="Y78" i="254"/>
  <c r="X78" i="254"/>
  <c r="W78" i="254"/>
  <c r="V78" i="254"/>
  <c r="U78" i="254"/>
  <c r="T78" i="254"/>
  <c r="S78" i="254"/>
  <c r="R78" i="254"/>
  <c r="Q78" i="254"/>
  <c r="P78" i="254"/>
  <c r="O78" i="254"/>
  <c r="N78" i="254"/>
  <c r="M78" i="254"/>
  <c r="L78" i="254"/>
  <c r="K78" i="254"/>
  <c r="J78" i="254"/>
  <c r="I78" i="254"/>
  <c r="H78" i="254"/>
  <c r="G78" i="254"/>
  <c r="F78" i="254"/>
  <c r="E78" i="254"/>
  <c r="D78" i="254"/>
  <c r="C78" i="254"/>
  <c r="B78" i="254"/>
  <c r="A78" i="254"/>
  <c r="AF77" i="254"/>
  <c r="AE77" i="254"/>
  <c r="AD77" i="254"/>
  <c r="AC77" i="254"/>
  <c r="AB77" i="254"/>
  <c r="AA77" i="254"/>
  <c r="Z77" i="254"/>
  <c r="Y77" i="254"/>
  <c r="X77" i="254"/>
  <c r="W77" i="254"/>
  <c r="V77" i="254"/>
  <c r="U77" i="254"/>
  <c r="T77" i="254"/>
  <c r="S77" i="254"/>
  <c r="R77" i="254"/>
  <c r="Q77" i="254"/>
  <c r="P77" i="254"/>
  <c r="O77" i="254"/>
  <c r="N77" i="254"/>
  <c r="M77" i="254"/>
  <c r="L77" i="254"/>
  <c r="K77" i="254"/>
  <c r="J77" i="254"/>
  <c r="I77" i="254"/>
  <c r="H77" i="254"/>
  <c r="G77" i="254"/>
  <c r="F77" i="254"/>
  <c r="E77" i="254"/>
  <c r="D77" i="254"/>
  <c r="C77" i="254"/>
  <c r="B77" i="254"/>
  <c r="A77" i="254"/>
  <c r="AF76" i="254"/>
  <c r="AE76" i="254"/>
  <c r="AD76" i="254"/>
  <c r="AC76" i="254"/>
  <c r="AB76" i="254"/>
  <c r="AA76" i="254"/>
  <c r="Z76" i="254"/>
  <c r="Y76" i="254"/>
  <c r="X76" i="254"/>
  <c r="W76" i="254"/>
  <c r="V76" i="254"/>
  <c r="U76" i="254"/>
  <c r="T76" i="254"/>
  <c r="S76" i="254"/>
  <c r="R76" i="254"/>
  <c r="Q76" i="254"/>
  <c r="P76" i="254"/>
  <c r="O76" i="254"/>
  <c r="N76" i="254"/>
  <c r="M76" i="254"/>
  <c r="L76" i="254"/>
  <c r="K76" i="254"/>
  <c r="J76" i="254"/>
  <c r="I76" i="254"/>
  <c r="H76" i="254"/>
  <c r="G76" i="254"/>
  <c r="F76" i="254"/>
  <c r="E76" i="254"/>
  <c r="D76" i="254"/>
  <c r="C76" i="254"/>
  <c r="B76" i="254"/>
  <c r="A76" i="254"/>
  <c r="AF75" i="254"/>
  <c r="AE75" i="254"/>
  <c r="AD75" i="254"/>
  <c r="AC75" i="254"/>
  <c r="AB75" i="254"/>
  <c r="AA75" i="254"/>
  <c r="Z75" i="254"/>
  <c r="Y75" i="254"/>
  <c r="X75" i="254"/>
  <c r="W75" i="254"/>
  <c r="V75" i="254"/>
  <c r="U75" i="254"/>
  <c r="T75" i="254"/>
  <c r="S75" i="254"/>
  <c r="R75" i="254"/>
  <c r="Q75" i="254"/>
  <c r="P75" i="254"/>
  <c r="O75" i="254"/>
  <c r="N75" i="254"/>
  <c r="M75" i="254"/>
  <c r="L75" i="254"/>
  <c r="K75" i="254"/>
  <c r="J75" i="254"/>
  <c r="I75" i="254"/>
  <c r="H75" i="254"/>
  <c r="G75" i="254"/>
  <c r="F75" i="254"/>
  <c r="E75" i="254"/>
  <c r="D75" i="254"/>
  <c r="C75" i="254"/>
  <c r="B75" i="254"/>
  <c r="A75" i="254"/>
  <c r="AF74" i="254"/>
  <c r="AE74" i="254"/>
  <c r="AD74" i="254"/>
  <c r="AC74" i="254"/>
  <c r="AB74" i="254"/>
  <c r="AA74" i="254"/>
  <c r="Z74" i="254"/>
  <c r="Y74" i="254"/>
  <c r="X74" i="254"/>
  <c r="W74" i="254"/>
  <c r="V74" i="254"/>
  <c r="U74" i="254"/>
  <c r="T74" i="254"/>
  <c r="S74" i="254"/>
  <c r="R74" i="254"/>
  <c r="Q74" i="254"/>
  <c r="P74" i="254"/>
  <c r="O74" i="254"/>
  <c r="N74" i="254"/>
  <c r="M74" i="254"/>
  <c r="L74" i="254"/>
  <c r="K74" i="254"/>
  <c r="J74" i="254"/>
  <c r="I74" i="254"/>
  <c r="H74" i="254"/>
  <c r="G74" i="254"/>
  <c r="F74" i="254"/>
  <c r="E74" i="254"/>
  <c r="D74" i="254"/>
  <c r="C74" i="254"/>
  <c r="B74" i="254"/>
  <c r="A74" i="254"/>
  <c r="AF73" i="254"/>
  <c r="AE73" i="254"/>
  <c r="AD73" i="254"/>
  <c r="AC73" i="254"/>
  <c r="AB73" i="254"/>
  <c r="AA73" i="254"/>
  <c r="Z73" i="254"/>
  <c r="Y73" i="254"/>
  <c r="X73" i="254"/>
  <c r="W73" i="254"/>
  <c r="V73" i="254"/>
  <c r="U73" i="254"/>
  <c r="T73" i="254"/>
  <c r="S73" i="254"/>
  <c r="R73" i="254"/>
  <c r="Q73" i="254"/>
  <c r="P73" i="254"/>
  <c r="O73" i="254"/>
  <c r="N73" i="254"/>
  <c r="M73" i="254"/>
  <c r="L73" i="254"/>
  <c r="K73" i="254"/>
  <c r="J73" i="254"/>
  <c r="I73" i="254"/>
  <c r="H73" i="254"/>
  <c r="G73" i="254"/>
  <c r="F73" i="254"/>
  <c r="E73" i="254"/>
  <c r="D73" i="254"/>
  <c r="C73" i="254"/>
  <c r="B73" i="254"/>
  <c r="A73" i="254"/>
  <c r="AF72" i="254"/>
  <c r="AE72" i="254"/>
  <c r="AD72" i="254"/>
  <c r="AC72" i="254"/>
  <c r="AB72" i="254"/>
  <c r="AA72" i="254"/>
  <c r="Z72" i="254"/>
  <c r="Y72" i="254"/>
  <c r="X72" i="254"/>
  <c r="W72" i="254"/>
  <c r="V72" i="254"/>
  <c r="U72" i="254"/>
  <c r="T72" i="254"/>
  <c r="S72" i="254"/>
  <c r="R72" i="254"/>
  <c r="Q72" i="254"/>
  <c r="P72" i="254"/>
  <c r="O72" i="254"/>
  <c r="N72" i="254"/>
  <c r="M72" i="254"/>
  <c r="L72" i="254"/>
  <c r="K72" i="254"/>
  <c r="J72" i="254"/>
  <c r="I72" i="254"/>
  <c r="H72" i="254"/>
  <c r="G72" i="254"/>
  <c r="F72" i="254"/>
  <c r="E72" i="254"/>
  <c r="D72" i="254"/>
  <c r="C72" i="254"/>
  <c r="B72" i="254"/>
  <c r="A72" i="254"/>
  <c r="AF71" i="254"/>
  <c r="AE71" i="254"/>
  <c r="AD71" i="254"/>
  <c r="AC71" i="254"/>
  <c r="AB71" i="254"/>
  <c r="AA71" i="254"/>
  <c r="Z71" i="254"/>
  <c r="Y71" i="254"/>
  <c r="X71" i="254"/>
  <c r="W71" i="254"/>
  <c r="V71" i="254"/>
  <c r="U71" i="254"/>
  <c r="T71" i="254"/>
  <c r="S71" i="254"/>
  <c r="R71" i="254"/>
  <c r="Q71" i="254"/>
  <c r="P71" i="254"/>
  <c r="O71" i="254"/>
  <c r="N71" i="254"/>
  <c r="M71" i="254"/>
  <c r="L71" i="254"/>
  <c r="K71" i="254"/>
  <c r="J71" i="254"/>
  <c r="I71" i="254"/>
  <c r="H71" i="254"/>
  <c r="G71" i="254"/>
  <c r="F71" i="254"/>
  <c r="E71" i="254"/>
  <c r="D71" i="254"/>
  <c r="C71" i="254"/>
  <c r="B71" i="254"/>
  <c r="A71" i="254"/>
  <c r="AF70" i="254"/>
  <c r="AE70" i="254"/>
  <c r="AD70" i="254"/>
  <c r="AC70" i="254"/>
  <c r="AB70" i="254"/>
  <c r="AA70" i="254"/>
  <c r="Z70" i="254"/>
  <c r="Y70" i="254"/>
  <c r="X70" i="254"/>
  <c r="W70" i="254"/>
  <c r="V70" i="254"/>
  <c r="U70" i="254"/>
  <c r="T70" i="254"/>
  <c r="S70" i="254"/>
  <c r="R70" i="254"/>
  <c r="Q70" i="254"/>
  <c r="P70" i="254"/>
  <c r="O70" i="254"/>
  <c r="N70" i="254"/>
  <c r="M70" i="254"/>
  <c r="L70" i="254"/>
  <c r="K70" i="254"/>
  <c r="J70" i="254"/>
  <c r="I70" i="254"/>
  <c r="H70" i="254"/>
  <c r="G70" i="254"/>
  <c r="F70" i="254"/>
  <c r="E70" i="254"/>
  <c r="D70" i="254"/>
  <c r="C70" i="254"/>
  <c r="B70" i="254"/>
  <c r="A70" i="254"/>
  <c r="AF69" i="254"/>
  <c r="AE69" i="254"/>
  <c r="AD69" i="254"/>
  <c r="AC69" i="254"/>
  <c r="AB69" i="254"/>
  <c r="AA69" i="254"/>
  <c r="Z69" i="254"/>
  <c r="Y69" i="254"/>
  <c r="X69" i="254"/>
  <c r="W69" i="254"/>
  <c r="V69" i="254"/>
  <c r="U69" i="254"/>
  <c r="T69" i="254"/>
  <c r="S69" i="254"/>
  <c r="R69" i="254"/>
  <c r="Q69" i="254"/>
  <c r="P69" i="254"/>
  <c r="O69" i="254"/>
  <c r="N69" i="254"/>
  <c r="M69" i="254"/>
  <c r="L69" i="254"/>
  <c r="K69" i="254"/>
  <c r="J69" i="254"/>
  <c r="I69" i="254"/>
  <c r="H69" i="254"/>
  <c r="G69" i="254"/>
  <c r="F69" i="254"/>
  <c r="E69" i="254"/>
  <c r="D69" i="254"/>
  <c r="C69" i="254"/>
  <c r="B69" i="254"/>
  <c r="A69" i="254"/>
  <c r="AF68" i="254"/>
  <c r="AE68" i="254"/>
  <c r="AD68" i="254"/>
  <c r="AC68" i="254"/>
  <c r="AB68" i="254"/>
  <c r="AA68" i="254"/>
  <c r="Z68" i="254"/>
  <c r="Y68" i="254"/>
  <c r="X68" i="254"/>
  <c r="W68" i="254"/>
  <c r="V68" i="254"/>
  <c r="U68" i="254"/>
  <c r="T68" i="254"/>
  <c r="S68" i="254"/>
  <c r="R68" i="254"/>
  <c r="Q68" i="254"/>
  <c r="P68" i="254"/>
  <c r="O68" i="254"/>
  <c r="N68" i="254"/>
  <c r="M68" i="254"/>
  <c r="L68" i="254"/>
  <c r="K68" i="254"/>
  <c r="J68" i="254"/>
  <c r="I68" i="254"/>
  <c r="H68" i="254"/>
  <c r="G68" i="254"/>
  <c r="F68" i="254"/>
  <c r="E68" i="254"/>
  <c r="D68" i="254"/>
  <c r="C68" i="254"/>
  <c r="B68" i="254"/>
  <c r="A68" i="254"/>
  <c r="AF67" i="254"/>
  <c r="AE67" i="254"/>
  <c r="AD67" i="254"/>
  <c r="AC67" i="254"/>
  <c r="AB67" i="254"/>
  <c r="AA67" i="254"/>
  <c r="Z67" i="254"/>
  <c r="Y67" i="254"/>
  <c r="X67" i="254"/>
  <c r="W67" i="254"/>
  <c r="V67" i="254"/>
  <c r="U67" i="254"/>
  <c r="T67" i="254"/>
  <c r="S67" i="254"/>
  <c r="R67" i="254"/>
  <c r="Q67" i="254"/>
  <c r="P67" i="254"/>
  <c r="O67" i="254"/>
  <c r="N67" i="254"/>
  <c r="M67" i="254"/>
  <c r="L67" i="254"/>
  <c r="K67" i="254"/>
  <c r="J67" i="254"/>
  <c r="I67" i="254"/>
  <c r="H67" i="254"/>
  <c r="G67" i="254"/>
  <c r="F67" i="254"/>
  <c r="E67" i="254"/>
  <c r="D67" i="254"/>
  <c r="C67" i="254"/>
  <c r="B67" i="254"/>
  <c r="A67" i="254"/>
  <c r="AF66" i="254"/>
  <c r="AE66" i="254"/>
  <c r="AD66" i="254"/>
  <c r="AC66" i="254"/>
  <c r="AB66" i="254"/>
  <c r="AA66" i="254"/>
  <c r="Z66" i="254"/>
  <c r="Y66" i="254"/>
  <c r="X66" i="254"/>
  <c r="W66" i="254"/>
  <c r="V66" i="254"/>
  <c r="U66" i="254"/>
  <c r="T66" i="254"/>
  <c r="S66" i="254"/>
  <c r="R66" i="254"/>
  <c r="Q66" i="254"/>
  <c r="P66" i="254"/>
  <c r="O66" i="254"/>
  <c r="N66" i="254"/>
  <c r="M66" i="254"/>
  <c r="L66" i="254"/>
  <c r="K66" i="254"/>
  <c r="J66" i="254"/>
  <c r="I66" i="254"/>
  <c r="H66" i="254"/>
  <c r="G66" i="254"/>
  <c r="F66" i="254"/>
  <c r="E66" i="254"/>
  <c r="D66" i="254"/>
  <c r="C66" i="254"/>
  <c r="B66" i="254"/>
  <c r="A66" i="254"/>
  <c r="AF65" i="254"/>
  <c r="AE65" i="254"/>
  <c r="AD65" i="254"/>
  <c r="AC65" i="254"/>
  <c r="AB65" i="254"/>
  <c r="AA65" i="254"/>
  <c r="Z65" i="254"/>
  <c r="Y65" i="254"/>
  <c r="X65" i="254"/>
  <c r="W65" i="254"/>
  <c r="V65" i="254"/>
  <c r="U65" i="254"/>
  <c r="T65" i="254"/>
  <c r="S65" i="254"/>
  <c r="R65" i="254"/>
  <c r="Q65" i="254"/>
  <c r="P65" i="254"/>
  <c r="O65" i="254"/>
  <c r="N65" i="254"/>
  <c r="M65" i="254"/>
  <c r="L65" i="254"/>
  <c r="K65" i="254"/>
  <c r="J65" i="254"/>
  <c r="I65" i="254"/>
  <c r="H65" i="254"/>
  <c r="G65" i="254"/>
  <c r="F65" i="254"/>
  <c r="E65" i="254"/>
  <c r="D65" i="254"/>
  <c r="C65" i="254"/>
  <c r="B65" i="254"/>
  <c r="A65" i="254"/>
  <c r="AF64" i="254"/>
  <c r="AE64" i="254"/>
  <c r="AD64" i="254"/>
  <c r="AC64" i="254"/>
  <c r="AB64" i="254"/>
  <c r="AA64" i="254"/>
  <c r="Z64" i="254"/>
  <c r="Y64" i="254"/>
  <c r="X64" i="254"/>
  <c r="W64" i="254"/>
  <c r="V64" i="254"/>
  <c r="U64" i="254"/>
  <c r="T64" i="254"/>
  <c r="S64" i="254"/>
  <c r="R64" i="254"/>
  <c r="Q64" i="254"/>
  <c r="P64" i="254"/>
  <c r="O64" i="254"/>
  <c r="N64" i="254"/>
  <c r="M64" i="254"/>
  <c r="L64" i="254"/>
  <c r="K64" i="254"/>
  <c r="J64" i="254"/>
  <c r="I64" i="254"/>
  <c r="H64" i="254"/>
  <c r="G64" i="254"/>
  <c r="F64" i="254"/>
  <c r="E64" i="254"/>
  <c r="D64" i="254"/>
  <c r="C64" i="254"/>
  <c r="B64" i="254"/>
  <c r="A64" i="254"/>
  <c r="AF63" i="254"/>
  <c r="AE63" i="254"/>
  <c r="AD63" i="254"/>
  <c r="AC63" i="254"/>
  <c r="AB63" i="254"/>
  <c r="AA63" i="254"/>
  <c r="Z63" i="254"/>
  <c r="Y63" i="254"/>
  <c r="X63" i="254"/>
  <c r="W63" i="254"/>
  <c r="V63" i="254"/>
  <c r="U63" i="254"/>
  <c r="T63" i="254"/>
  <c r="S63" i="254"/>
  <c r="R63" i="254"/>
  <c r="Q63" i="254"/>
  <c r="P63" i="254"/>
  <c r="O63" i="254"/>
  <c r="N63" i="254"/>
  <c r="M63" i="254"/>
  <c r="L63" i="254"/>
  <c r="K63" i="254"/>
  <c r="J63" i="254"/>
  <c r="I63" i="254"/>
  <c r="H63" i="254"/>
  <c r="G63" i="254"/>
  <c r="F63" i="254"/>
  <c r="E63" i="254"/>
  <c r="D63" i="254"/>
  <c r="C63" i="254"/>
  <c r="B63" i="254"/>
  <c r="A63" i="254"/>
  <c r="AF62" i="254"/>
  <c r="AE62" i="254"/>
  <c r="AD62" i="254"/>
  <c r="AC62" i="254"/>
  <c r="AB62" i="254"/>
  <c r="AA62" i="254"/>
  <c r="Z62" i="254"/>
  <c r="Y62" i="254"/>
  <c r="X62" i="254"/>
  <c r="W62" i="254"/>
  <c r="V62" i="254"/>
  <c r="U62" i="254"/>
  <c r="T62" i="254"/>
  <c r="S62" i="254"/>
  <c r="R62" i="254"/>
  <c r="Q62" i="254"/>
  <c r="P62" i="254"/>
  <c r="O62" i="254"/>
  <c r="N62" i="254"/>
  <c r="M62" i="254"/>
  <c r="L62" i="254"/>
  <c r="K62" i="254"/>
  <c r="J62" i="254"/>
  <c r="I62" i="254"/>
  <c r="H62" i="254"/>
  <c r="G62" i="254"/>
  <c r="F62" i="254"/>
  <c r="E62" i="254"/>
  <c r="D62" i="254"/>
  <c r="C62" i="254"/>
  <c r="B62" i="254"/>
  <c r="A62" i="254"/>
  <c r="AF61" i="254"/>
  <c r="AE61" i="254"/>
  <c r="AD61" i="254"/>
  <c r="AC61" i="254"/>
  <c r="AB61" i="254"/>
  <c r="AA61" i="254"/>
  <c r="Z61" i="254"/>
  <c r="Y61" i="254"/>
  <c r="X61" i="254"/>
  <c r="W61" i="254"/>
  <c r="V61" i="254"/>
  <c r="U61" i="254"/>
  <c r="T61" i="254"/>
  <c r="S61" i="254"/>
  <c r="R61" i="254"/>
  <c r="Q61" i="254"/>
  <c r="P61" i="254"/>
  <c r="O61" i="254"/>
  <c r="N61" i="254"/>
  <c r="M61" i="254"/>
  <c r="L61" i="254"/>
  <c r="K61" i="254"/>
  <c r="J61" i="254"/>
  <c r="I61" i="254"/>
  <c r="H61" i="254"/>
  <c r="G61" i="254"/>
  <c r="F61" i="254"/>
  <c r="E61" i="254"/>
  <c r="D61" i="254"/>
  <c r="C61" i="254"/>
  <c r="B61" i="254"/>
  <c r="A61" i="254"/>
  <c r="AF60" i="254"/>
  <c r="AE60" i="254"/>
  <c r="AD60" i="254"/>
  <c r="AC60" i="254"/>
  <c r="AB60" i="254"/>
  <c r="AA60" i="254"/>
  <c r="Z60" i="254"/>
  <c r="Y60" i="254"/>
  <c r="X60" i="254"/>
  <c r="W60" i="254"/>
  <c r="V60" i="254"/>
  <c r="U60" i="254"/>
  <c r="T60" i="254"/>
  <c r="S60" i="254"/>
  <c r="R60" i="254"/>
  <c r="Q60" i="254"/>
  <c r="P60" i="254"/>
  <c r="O60" i="254"/>
  <c r="N60" i="254"/>
  <c r="M60" i="254"/>
  <c r="L60" i="254"/>
  <c r="K60" i="254"/>
  <c r="J60" i="254"/>
  <c r="I60" i="254"/>
  <c r="H60" i="254"/>
  <c r="G60" i="254"/>
  <c r="F60" i="254"/>
  <c r="E60" i="254"/>
  <c r="D60" i="254"/>
  <c r="C60" i="254"/>
  <c r="B60" i="254"/>
  <c r="A60" i="254"/>
  <c r="AF59" i="254"/>
  <c r="AE59" i="254"/>
  <c r="AD59" i="254"/>
  <c r="AC59" i="254"/>
  <c r="AB59" i="254"/>
  <c r="AA59" i="254"/>
  <c r="Z59" i="254"/>
  <c r="Y59" i="254"/>
  <c r="X59" i="254"/>
  <c r="W59" i="254"/>
  <c r="V59" i="254"/>
  <c r="U59" i="254"/>
  <c r="T59" i="254"/>
  <c r="S59" i="254"/>
  <c r="R59" i="254"/>
  <c r="Q59" i="254"/>
  <c r="P59" i="254"/>
  <c r="O59" i="254"/>
  <c r="N59" i="254"/>
  <c r="M59" i="254"/>
  <c r="L59" i="254"/>
  <c r="K59" i="254"/>
  <c r="J59" i="254"/>
  <c r="I59" i="254"/>
  <c r="H59" i="254"/>
  <c r="G59" i="254"/>
  <c r="F59" i="254"/>
  <c r="E59" i="254"/>
  <c r="D59" i="254"/>
  <c r="C59" i="254"/>
  <c r="B59" i="254"/>
  <c r="A59" i="254"/>
  <c r="AF58" i="254"/>
  <c r="AE58" i="254"/>
  <c r="AD58" i="254"/>
  <c r="AC58" i="254"/>
  <c r="AB58" i="254"/>
  <c r="AA58" i="254"/>
  <c r="Z58" i="254"/>
  <c r="Y58" i="254"/>
  <c r="X58" i="254"/>
  <c r="W58" i="254"/>
  <c r="V58" i="254"/>
  <c r="U58" i="254"/>
  <c r="T58" i="254"/>
  <c r="S58" i="254"/>
  <c r="R58" i="254"/>
  <c r="Q58" i="254"/>
  <c r="P58" i="254"/>
  <c r="O58" i="254"/>
  <c r="N58" i="254"/>
  <c r="M58" i="254"/>
  <c r="L58" i="254"/>
  <c r="K58" i="254"/>
  <c r="J58" i="254"/>
  <c r="I58" i="254"/>
  <c r="H58" i="254"/>
  <c r="G58" i="254"/>
  <c r="F58" i="254"/>
  <c r="E58" i="254"/>
  <c r="D58" i="254"/>
  <c r="C58" i="254"/>
  <c r="B58" i="254"/>
  <c r="A58" i="254"/>
  <c r="AF57" i="254"/>
  <c r="AE57" i="254"/>
  <c r="AD57" i="254"/>
  <c r="AC57" i="254"/>
  <c r="AB57" i="254"/>
  <c r="AA57" i="254"/>
  <c r="Z57" i="254"/>
  <c r="Y57" i="254"/>
  <c r="X57" i="254"/>
  <c r="W57" i="254"/>
  <c r="V57" i="254"/>
  <c r="U57" i="254"/>
  <c r="T57" i="254"/>
  <c r="S57" i="254"/>
  <c r="R57" i="254"/>
  <c r="Q57" i="254"/>
  <c r="P57" i="254"/>
  <c r="O57" i="254"/>
  <c r="N57" i="254"/>
  <c r="M57" i="254"/>
  <c r="L57" i="254"/>
  <c r="K57" i="254"/>
  <c r="J57" i="254"/>
  <c r="I57" i="254"/>
  <c r="H57" i="254"/>
  <c r="G57" i="254"/>
  <c r="F57" i="254"/>
  <c r="E57" i="254"/>
  <c r="D57" i="254"/>
  <c r="C57" i="254"/>
  <c r="B57" i="254"/>
  <c r="A57" i="254"/>
  <c r="AF56" i="254"/>
  <c r="AE56" i="254"/>
  <c r="AD56" i="254"/>
  <c r="AC56" i="254"/>
  <c r="AB56" i="254"/>
  <c r="AA56" i="254"/>
  <c r="Z56" i="254"/>
  <c r="Y56" i="254"/>
  <c r="X56" i="254"/>
  <c r="W56" i="254"/>
  <c r="V56" i="254"/>
  <c r="U56" i="254"/>
  <c r="T56" i="254"/>
  <c r="S56" i="254"/>
  <c r="R56" i="254"/>
  <c r="Q56" i="254"/>
  <c r="P56" i="254"/>
  <c r="O56" i="254"/>
  <c r="N56" i="254"/>
  <c r="M56" i="254"/>
  <c r="L56" i="254"/>
  <c r="K56" i="254"/>
  <c r="J56" i="254"/>
  <c r="I56" i="254"/>
  <c r="H56" i="254"/>
  <c r="G56" i="254"/>
  <c r="F56" i="254"/>
  <c r="E56" i="254"/>
  <c r="D56" i="254"/>
  <c r="C56" i="254"/>
  <c r="B56" i="254"/>
  <c r="A56" i="254"/>
  <c r="AF55" i="254"/>
  <c r="AE55" i="254"/>
  <c r="AD55" i="254"/>
  <c r="AC55" i="254"/>
  <c r="AB55" i="254"/>
  <c r="AA55" i="254"/>
  <c r="Z55" i="254"/>
  <c r="Y55" i="254"/>
  <c r="X55" i="254"/>
  <c r="W55" i="254"/>
  <c r="V55" i="254"/>
  <c r="U55" i="254"/>
  <c r="T55" i="254"/>
  <c r="S55" i="254"/>
  <c r="R55" i="254"/>
  <c r="Q55" i="254"/>
  <c r="P55" i="254"/>
  <c r="O55" i="254"/>
  <c r="N55" i="254"/>
  <c r="M55" i="254"/>
  <c r="L55" i="254"/>
  <c r="K55" i="254"/>
  <c r="J55" i="254"/>
  <c r="I55" i="254"/>
  <c r="H55" i="254"/>
  <c r="G55" i="254"/>
  <c r="F55" i="254"/>
  <c r="E55" i="254"/>
  <c r="D55" i="254"/>
  <c r="C55" i="254"/>
  <c r="B55" i="254"/>
  <c r="A55" i="254"/>
  <c r="AF54" i="254"/>
  <c r="AE54" i="254"/>
  <c r="AD54" i="254"/>
  <c r="AC54" i="254"/>
  <c r="AB54" i="254"/>
  <c r="AA54" i="254"/>
  <c r="Z54" i="254"/>
  <c r="Y54" i="254"/>
  <c r="X54" i="254"/>
  <c r="W54" i="254"/>
  <c r="V54" i="254"/>
  <c r="U54" i="254"/>
  <c r="T54" i="254"/>
  <c r="S54" i="254"/>
  <c r="R54" i="254"/>
  <c r="Q54" i="254"/>
  <c r="P54" i="254"/>
  <c r="O54" i="254"/>
  <c r="N54" i="254"/>
  <c r="M54" i="254"/>
  <c r="L54" i="254"/>
  <c r="K54" i="254"/>
  <c r="J54" i="254"/>
  <c r="I54" i="254"/>
  <c r="H54" i="254"/>
  <c r="G54" i="254"/>
  <c r="F54" i="254"/>
  <c r="E54" i="254"/>
  <c r="D54" i="254"/>
  <c r="C54" i="254"/>
  <c r="B54" i="254"/>
  <c r="A54" i="254"/>
  <c r="AF53" i="254"/>
  <c r="AE53" i="254"/>
  <c r="AD53" i="254"/>
  <c r="AC53" i="254"/>
  <c r="AB53" i="254"/>
  <c r="AA53" i="254"/>
  <c r="Z53" i="254"/>
  <c r="Y53" i="254"/>
  <c r="X53" i="254"/>
  <c r="W53" i="254"/>
  <c r="V53" i="254"/>
  <c r="U53" i="254"/>
  <c r="T53" i="254"/>
  <c r="S53" i="254"/>
  <c r="R53" i="254"/>
  <c r="Q53" i="254"/>
  <c r="P53" i="254"/>
  <c r="O53" i="254"/>
  <c r="N53" i="254"/>
  <c r="M53" i="254"/>
  <c r="L53" i="254"/>
  <c r="K53" i="254"/>
  <c r="J53" i="254"/>
  <c r="I53" i="254"/>
  <c r="H53" i="254"/>
  <c r="G53" i="254"/>
  <c r="F53" i="254"/>
  <c r="E53" i="254"/>
  <c r="D53" i="254"/>
  <c r="C53" i="254"/>
  <c r="B53" i="254"/>
  <c r="A53" i="254"/>
  <c r="AF52" i="254"/>
  <c r="AE52" i="254"/>
  <c r="AD52" i="254"/>
  <c r="AC52" i="254"/>
  <c r="AB52" i="254"/>
  <c r="AA52" i="254"/>
  <c r="Z52" i="254"/>
  <c r="Y52" i="254"/>
  <c r="X52" i="254"/>
  <c r="W52" i="254"/>
  <c r="V52" i="254"/>
  <c r="U52" i="254"/>
  <c r="T52" i="254"/>
  <c r="S52" i="254"/>
  <c r="R52" i="254"/>
  <c r="Q52" i="254"/>
  <c r="P52" i="254"/>
  <c r="O52" i="254"/>
  <c r="N52" i="254"/>
  <c r="M52" i="254"/>
  <c r="L52" i="254"/>
  <c r="K52" i="254"/>
  <c r="J52" i="254"/>
  <c r="I52" i="254"/>
  <c r="H52" i="254"/>
  <c r="G52" i="254"/>
  <c r="F52" i="254"/>
  <c r="E52" i="254"/>
  <c r="D52" i="254"/>
  <c r="C52" i="254"/>
  <c r="B52" i="254"/>
  <c r="A52" i="254"/>
  <c r="AF51" i="254"/>
  <c r="AE51" i="254"/>
  <c r="AD51" i="254"/>
  <c r="AC51" i="254"/>
  <c r="AB51" i="254"/>
  <c r="AA51" i="254"/>
  <c r="Z51" i="254"/>
  <c r="Y51" i="254"/>
  <c r="X51" i="254"/>
  <c r="W51" i="254"/>
  <c r="V51" i="254"/>
  <c r="U51" i="254"/>
  <c r="T51" i="254"/>
  <c r="S51" i="254"/>
  <c r="R51" i="254"/>
  <c r="Q51" i="254"/>
  <c r="P51" i="254"/>
  <c r="O51" i="254"/>
  <c r="N51" i="254"/>
  <c r="M51" i="254"/>
  <c r="L51" i="254"/>
  <c r="K51" i="254"/>
  <c r="J51" i="254"/>
  <c r="I51" i="254"/>
  <c r="H51" i="254"/>
  <c r="G51" i="254"/>
  <c r="F51" i="254"/>
  <c r="E51" i="254"/>
  <c r="D51" i="254"/>
  <c r="C51" i="254"/>
  <c r="B51" i="254"/>
  <c r="A51" i="254"/>
  <c r="AF50" i="254"/>
  <c r="AE50" i="254"/>
  <c r="AD50" i="254"/>
  <c r="AC50" i="254"/>
  <c r="AB50" i="254"/>
  <c r="AA50" i="254"/>
  <c r="Z50" i="254"/>
  <c r="Y50" i="254"/>
  <c r="X50" i="254"/>
  <c r="W50" i="254"/>
  <c r="V50" i="254"/>
  <c r="U50" i="254"/>
  <c r="T50" i="254"/>
  <c r="S50" i="254"/>
  <c r="R50" i="254"/>
  <c r="Q50" i="254"/>
  <c r="P50" i="254"/>
  <c r="O50" i="254"/>
  <c r="N50" i="254"/>
  <c r="M50" i="254"/>
  <c r="L50" i="254"/>
  <c r="K50" i="254"/>
  <c r="J50" i="254"/>
  <c r="I50" i="254"/>
  <c r="H50" i="254"/>
  <c r="G50" i="254"/>
  <c r="F50" i="254"/>
  <c r="E50" i="254"/>
  <c r="D50" i="254"/>
  <c r="C50" i="254"/>
  <c r="B50" i="254"/>
  <c r="A50" i="254"/>
  <c r="AF49" i="254"/>
  <c r="AE49" i="254"/>
  <c r="AD49" i="254"/>
  <c r="AC49" i="254"/>
  <c r="AB49" i="254"/>
  <c r="AA49" i="254"/>
  <c r="Z49" i="254"/>
  <c r="Y49" i="254"/>
  <c r="X49" i="254"/>
  <c r="W49" i="254"/>
  <c r="V49" i="254"/>
  <c r="U49" i="254"/>
  <c r="T49" i="254"/>
  <c r="S49" i="254"/>
  <c r="R49" i="254"/>
  <c r="Q49" i="254"/>
  <c r="P49" i="254"/>
  <c r="O49" i="254"/>
  <c r="N49" i="254"/>
  <c r="M49" i="254"/>
  <c r="L49" i="254"/>
  <c r="K49" i="254"/>
  <c r="J49" i="254"/>
  <c r="I49" i="254"/>
  <c r="H49" i="254"/>
  <c r="G49" i="254"/>
  <c r="F49" i="254"/>
  <c r="E49" i="254"/>
  <c r="D49" i="254"/>
  <c r="C49" i="254"/>
  <c r="B49" i="254"/>
  <c r="A49" i="254"/>
  <c r="AF48" i="254"/>
  <c r="AE48" i="254"/>
  <c r="AD48" i="254"/>
  <c r="AC48" i="254"/>
  <c r="AB48" i="254"/>
  <c r="AA48" i="254"/>
  <c r="Z48" i="254"/>
  <c r="Y48" i="254"/>
  <c r="X48" i="254"/>
  <c r="W48" i="254"/>
  <c r="V48" i="254"/>
  <c r="U48" i="254"/>
  <c r="T48" i="254"/>
  <c r="S48" i="254"/>
  <c r="R48" i="254"/>
  <c r="Q48" i="254"/>
  <c r="P48" i="254"/>
  <c r="O48" i="254"/>
  <c r="N48" i="254"/>
  <c r="M48" i="254"/>
  <c r="L48" i="254"/>
  <c r="K48" i="254"/>
  <c r="J48" i="254"/>
  <c r="I48" i="254"/>
  <c r="H48" i="254"/>
  <c r="G48" i="254"/>
  <c r="F48" i="254"/>
  <c r="E48" i="254"/>
  <c r="D48" i="254"/>
  <c r="C48" i="254"/>
  <c r="B48" i="254"/>
  <c r="A48" i="254"/>
  <c r="AF47" i="254"/>
  <c r="AE47" i="254"/>
  <c r="AD47" i="254"/>
  <c r="AC47" i="254"/>
  <c r="AB47" i="254"/>
  <c r="AA47" i="254"/>
  <c r="Z47" i="254"/>
  <c r="Y47" i="254"/>
  <c r="X47" i="254"/>
  <c r="W47" i="254"/>
  <c r="V47" i="254"/>
  <c r="U47" i="254"/>
  <c r="T47" i="254"/>
  <c r="S47" i="254"/>
  <c r="R47" i="254"/>
  <c r="Q47" i="254"/>
  <c r="P47" i="254"/>
  <c r="O47" i="254"/>
  <c r="N47" i="254"/>
  <c r="M47" i="254"/>
  <c r="L47" i="254"/>
  <c r="K47" i="254"/>
  <c r="J47" i="254"/>
  <c r="I47" i="254"/>
  <c r="H47" i="254"/>
  <c r="G47" i="254"/>
  <c r="F47" i="254"/>
  <c r="E47" i="254"/>
  <c r="D47" i="254"/>
  <c r="C47" i="254"/>
  <c r="B47" i="254"/>
  <c r="A47" i="254"/>
  <c r="AF46" i="254"/>
  <c r="AE46" i="254"/>
  <c r="AD46" i="254"/>
  <c r="AC46" i="254"/>
  <c r="AB46" i="254"/>
  <c r="AA46" i="254"/>
  <c r="Z46" i="254"/>
  <c r="Y46" i="254"/>
  <c r="X46" i="254"/>
  <c r="W46" i="254"/>
  <c r="V46" i="254"/>
  <c r="U46" i="254"/>
  <c r="T46" i="254"/>
  <c r="S46" i="254"/>
  <c r="R46" i="254"/>
  <c r="Q46" i="254"/>
  <c r="P46" i="254"/>
  <c r="O46" i="254"/>
  <c r="N46" i="254"/>
  <c r="M46" i="254"/>
  <c r="L46" i="254"/>
  <c r="K46" i="254"/>
  <c r="J46" i="254"/>
  <c r="I46" i="254"/>
  <c r="H46" i="254"/>
  <c r="G46" i="254"/>
  <c r="F46" i="254"/>
  <c r="E46" i="254"/>
  <c r="D46" i="254"/>
  <c r="C46" i="254"/>
  <c r="B46" i="254"/>
  <c r="A46" i="254"/>
  <c r="AF45" i="254"/>
  <c r="AE45" i="254"/>
  <c r="AD45" i="254"/>
  <c r="AC45" i="254"/>
  <c r="AB45" i="254"/>
  <c r="AA45" i="254"/>
  <c r="Z45" i="254"/>
  <c r="Y45" i="254"/>
  <c r="X45" i="254"/>
  <c r="W45" i="254"/>
  <c r="V45" i="254"/>
  <c r="U45" i="254"/>
  <c r="T45" i="254"/>
  <c r="S45" i="254"/>
  <c r="R45" i="254"/>
  <c r="Q45" i="254"/>
  <c r="P45" i="254"/>
  <c r="O45" i="254"/>
  <c r="N45" i="254"/>
  <c r="M45" i="254"/>
  <c r="L45" i="254"/>
  <c r="K45" i="254"/>
  <c r="J45" i="254"/>
  <c r="I45" i="254"/>
  <c r="H45" i="254"/>
  <c r="G45" i="254"/>
  <c r="F45" i="254"/>
  <c r="E45" i="254"/>
  <c r="D45" i="254"/>
  <c r="C45" i="254"/>
  <c r="B45" i="254"/>
  <c r="A45" i="254"/>
  <c r="AF44" i="254"/>
  <c r="AE44" i="254"/>
  <c r="AD44" i="254"/>
  <c r="AC44" i="254"/>
  <c r="AB44" i="254"/>
  <c r="AA44" i="254"/>
  <c r="Z44" i="254"/>
  <c r="Y44" i="254"/>
  <c r="X44" i="254"/>
  <c r="W44" i="254"/>
  <c r="V44" i="254"/>
  <c r="U44" i="254"/>
  <c r="T44" i="254"/>
  <c r="S44" i="254"/>
  <c r="R44" i="254"/>
  <c r="Q44" i="254"/>
  <c r="P44" i="254"/>
  <c r="O44" i="254"/>
  <c r="N44" i="254"/>
  <c r="M44" i="254"/>
  <c r="L44" i="254"/>
  <c r="K44" i="254"/>
  <c r="J44" i="254"/>
  <c r="I44" i="254"/>
  <c r="H44" i="254"/>
  <c r="G44" i="254"/>
  <c r="F44" i="254"/>
  <c r="E44" i="254"/>
  <c r="D44" i="254"/>
  <c r="C44" i="254"/>
  <c r="B44" i="254"/>
  <c r="A44" i="254"/>
  <c r="AF43" i="254"/>
  <c r="AE43" i="254"/>
  <c r="AD43" i="254"/>
  <c r="AC43" i="254"/>
  <c r="AB43" i="254"/>
  <c r="AA43" i="254"/>
  <c r="Z43" i="254"/>
  <c r="Y43" i="254"/>
  <c r="X43" i="254"/>
  <c r="W43" i="254"/>
  <c r="V43" i="254"/>
  <c r="U43" i="254"/>
  <c r="T43" i="254"/>
  <c r="S43" i="254"/>
  <c r="R43" i="254"/>
  <c r="Q43" i="254"/>
  <c r="P43" i="254"/>
  <c r="O43" i="254"/>
  <c r="N43" i="254"/>
  <c r="M43" i="254"/>
  <c r="L43" i="254"/>
  <c r="K43" i="254"/>
  <c r="J43" i="254"/>
  <c r="I43" i="254"/>
  <c r="H43" i="254"/>
  <c r="G43" i="254"/>
  <c r="F43" i="254"/>
  <c r="E43" i="254"/>
  <c r="D43" i="254"/>
  <c r="C43" i="254"/>
  <c r="B43" i="254"/>
  <c r="A43" i="254"/>
  <c r="AF42" i="254"/>
  <c r="AE42" i="254"/>
  <c r="AD42" i="254"/>
  <c r="AC42" i="254"/>
  <c r="AB42" i="254"/>
  <c r="AA42" i="254"/>
  <c r="Z42" i="254"/>
  <c r="Y42" i="254"/>
  <c r="X42" i="254"/>
  <c r="W42" i="254"/>
  <c r="V42" i="254"/>
  <c r="U42" i="254"/>
  <c r="T42" i="254"/>
  <c r="S42" i="254"/>
  <c r="R42" i="254"/>
  <c r="Q42" i="254"/>
  <c r="P42" i="254"/>
  <c r="O42" i="254"/>
  <c r="N42" i="254"/>
  <c r="M42" i="254"/>
  <c r="L42" i="254"/>
  <c r="K42" i="254"/>
  <c r="J42" i="254"/>
  <c r="I42" i="254"/>
  <c r="H42" i="254"/>
  <c r="G42" i="254"/>
  <c r="F42" i="254"/>
  <c r="E42" i="254"/>
  <c r="D42" i="254"/>
  <c r="C42" i="254"/>
  <c r="B42" i="254"/>
  <c r="A42" i="254"/>
  <c r="AF41" i="254"/>
  <c r="AE41" i="254"/>
  <c r="AD41" i="254"/>
  <c r="AC41" i="254"/>
  <c r="AB41" i="254"/>
  <c r="AA41" i="254"/>
  <c r="Z41" i="254"/>
  <c r="Y41" i="254"/>
  <c r="X41" i="254"/>
  <c r="W41" i="254"/>
  <c r="V41" i="254"/>
  <c r="U41" i="254"/>
  <c r="T41" i="254"/>
  <c r="S41" i="254"/>
  <c r="R41" i="254"/>
  <c r="Q41" i="254"/>
  <c r="P41" i="254"/>
  <c r="O41" i="254"/>
  <c r="N41" i="254"/>
  <c r="M41" i="254"/>
  <c r="L41" i="254"/>
  <c r="K41" i="254"/>
  <c r="J41" i="254"/>
  <c r="I41" i="254"/>
  <c r="H41" i="254"/>
  <c r="G41" i="254"/>
  <c r="F41" i="254"/>
  <c r="E41" i="254"/>
  <c r="D41" i="254"/>
  <c r="C41" i="254"/>
  <c r="B41" i="254"/>
  <c r="A41" i="254"/>
  <c r="AF40" i="254"/>
  <c r="AE40" i="254"/>
  <c r="AD40" i="254"/>
  <c r="AC40" i="254"/>
  <c r="AB40" i="254"/>
  <c r="AA40" i="254"/>
  <c r="Z40" i="254"/>
  <c r="Y40" i="254"/>
  <c r="X40" i="254"/>
  <c r="W40" i="254"/>
  <c r="V40" i="254"/>
  <c r="U40" i="254"/>
  <c r="T40" i="254"/>
  <c r="S40" i="254"/>
  <c r="R40" i="254"/>
  <c r="Q40" i="254"/>
  <c r="P40" i="254"/>
  <c r="O40" i="254"/>
  <c r="N40" i="254"/>
  <c r="M40" i="254"/>
  <c r="L40" i="254"/>
  <c r="K40" i="254"/>
  <c r="J40" i="254"/>
  <c r="I40" i="254"/>
  <c r="H40" i="254"/>
  <c r="G40" i="254"/>
  <c r="F40" i="254"/>
  <c r="E40" i="254"/>
  <c r="D40" i="254"/>
  <c r="C40" i="254"/>
  <c r="B40" i="254"/>
  <c r="A40" i="254"/>
  <c r="AF39" i="254"/>
  <c r="AE39" i="254"/>
  <c r="AD39" i="254"/>
  <c r="AC39" i="254"/>
  <c r="AB39" i="254"/>
  <c r="AA39" i="254"/>
  <c r="Z39" i="254"/>
  <c r="Y39" i="254"/>
  <c r="X39" i="254"/>
  <c r="W39" i="254"/>
  <c r="V39" i="254"/>
  <c r="U39" i="254"/>
  <c r="T39" i="254"/>
  <c r="S39" i="254"/>
  <c r="R39" i="254"/>
  <c r="Q39" i="254"/>
  <c r="P39" i="254"/>
  <c r="O39" i="254"/>
  <c r="N39" i="254"/>
  <c r="M39" i="254"/>
  <c r="L39" i="254"/>
  <c r="K39" i="254"/>
  <c r="J39" i="254"/>
  <c r="I39" i="254"/>
  <c r="H39" i="254"/>
  <c r="G39" i="254"/>
  <c r="F39" i="254"/>
  <c r="E39" i="254"/>
  <c r="D39" i="254"/>
  <c r="C39" i="254"/>
  <c r="B39" i="254"/>
  <c r="A39" i="254"/>
  <c r="AF38" i="254"/>
  <c r="AE38" i="254"/>
  <c r="AD38" i="254"/>
  <c r="AC38" i="254"/>
  <c r="AB38" i="254"/>
  <c r="AA38" i="254"/>
  <c r="Z38" i="254"/>
  <c r="Y38" i="254"/>
  <c r="X38" i="254"/>
  <c r="W38" i="254"/>
  <c r="V38" i="254"/>
  <c r="U38" i="254"/>
  <c r="T38" i="254"/>
  <c r="S38" i="254"/>
  <c r="R38" i="254"/>
  <c r="Q38" i="254"/>
  <c r="P38" i="254"/>
  <c r="O38" i="254"/>
  <c r="N38" i="254"/>
  <c r="M38" i="254"/>
  <c r="L38" i="254"/>
  <c r="K38" i="254"/>
  <c r="J38" i="254"/>
  <c r="I38" i="254"/>
  <c r="H38" i="254"/>
  <c r="G38" i="254"/>
  <c r="F38" i="254"/>
  <c r="E38" i="254"/>
  <c r="D38" i="254"/>
  <c r="C38" i="254"/>
  <c r="B38" i="254"/>
  <c r="A38" i="254"/>
  <c r="AF37" i="254"/>
  <c r="AE37" i="254"/>
  <c r="AD37" i="254"/>
  <c r="AC37" i="254"/>
  <c r="AB37" i="254"/>
  <c r="AA37" i="254"/>
  <c r="Z37" i="254"/>
  <c r="Y37" i="254"/>
  <c r="X37" i="254"/>
  <c r="W37" i="254"/>
  <c r="V37" i="254"/>
  <c r="U37" i="254"/>
  <c r="T37" i="254"/>
  <c r="S37" i="254"/>
  <c r="R37" i="254"/>
  <c r="Q37" i="254"/>
  <c r="P37" i="254"/>
  <c r="O37" i="254"/>
  <c r="N37" i="254"/>
  <c r="M37" i="254"/>
  <c r="L37" i="254"/>
  <c r="K37" i="254"/>
  <c r="J37" i="254"/>
  <c r="I37" i="254"/>
  <c r="H37" i="254"/>
  <c r="G37" i="254"/>
  <c r="F37" i="254"/>
  <c r="E37" i="254"/>
  <c r="D37" i="254"/>
  <c r="C37" i="254"/>
  <c r="B37" i="254"/>
  <c r="A37" i="254"/>
  <c r="AF36" i="254"/>
  <c r="AE36" i="254"/>
  <c r="AD36" i="254"/>
  <c r="AC36" i="254"/>
  <c r="AB36" i="254"/>
  <c r="AA36" i="254"/>
  <c r="Z36" i="254"/>
  <c r="Y36" i="254"/>
  <c r="X36" i="254"/>
  <c r="W36" i="254"/>
  <c r="V36" i="254"/>
  <c r="U36" i="254"/>
  <c r="T36" i="254"/>
  <c r="S36" i="254"/>
  <c r="R36" i="254"/>
  <c r="Q36" i="254"/>
  <c r="P36" i="254"/>
  <c r="O36" i="254"/>
  <c r="N36" i="254"/>
  <c r="M36" i="254"/>
  <c r="L36" i="254"/>
  <c r="K36" i="254"/>
  <c r="J36" i="254"/>
  <c r="I36" i="254"/>
  <c r="H36" i="254"/>
  <c r="G36" i="254"/>
  <c r="F36" i="254"/>
  <c r="E36" i="254"/>
  <c r="D36" i="254"/>
  <c r="C36" i="254"/>
  <c r="B36" i="254"/>
  <c r="A36" i="254"/>
  <c r="AF35" i="254"/>
  <c r="AE35" i="254"/>
  <c r="AD35" i="254"/>
  <c r="AC35" i="254"/>
  <c r="AB35" i="254"/>
  <c r="AA35" i="254"/>
  <c r="Z35" i="254"/>
  <c r="Y35" i="254"/>
  <c r="X35" i="254"/>
  <c r="W35" i="254"/>
  <c r="V35" i="254"/>
  <c r="U35" i="254"/>
  <c r="T35" i="254"/>
  <c r="S35" i="254"/>
  <c r="R35" i="254"/>
  <c r="Q35" i="254"/>
  <c r="P35" i="254"/>
  <c r="O35" i="254"/>
  <c r="N35" i="254"/>
  <c r="M35" i="254"/>
  <c r="L35" i="254"/>
  <c r="K35" i="254"/>
  <c r="J35" i="254"/>
  <c r="I35" i="254"/>
  <c r="H35" i="254"/>
  <c r="G35" i="254"/>
  <c r="F35" i="254"/>
  <c r="E35" i="254"/>
  <c r="D35" i="254"/>
  <c r="C35" i="254"/>
  <c r="B35" i="254"/>
  <c r="A35" i="254"/>
  <c r="AF34" i="254"/>
  <c r="AE34" i="254"/>
  <c r="AD34" i="254"/>
  <c r="AC34" i="254"/>
  <c r="AB34" i="254"/>
  <c r="AA34" i="254"/>
  <c r="Z34" i="254"/>
  <c r="Y34" i="254"/>
  <c r="X34" i="254"/>
  <c r="W34" i="254"/>
  <c r="V34" i="254"/>
  <c r="U34" i="254"/>
  <c r="T34" i="254"/>
  <c r="S34" i="254"/>
  <c r="R34" i="254"/>
  <c r="Q34" i="254"/>
  <c r="P34" i="254"/>
  <c r="O34" i="254"/>
  <c r="N34" i="254"/>
  <c r="M34" i="254"/>
  <c r="L34" i="254"/>
  <c r="K34" i="254"/>
  <c r="J34" i="254"/>
  <c r="I34" i="254"/>
  <c r="H34" i="254"/>
  <c r="G34" i="254"/>
  <c r="F34" i="254"/>
  <c r="E34" i="254"/>
  <c r="D34" i="254"/>
  <c r="C34" i="254"/>
  <c r="B34" i="254"/>
  <c r="A34" i="254"/>
  <c r="AF33" i="254"/>
  <c r="AE33" i="254"/>
  <c r="AD33" i="254"/>
  <c r="AC33" i="254"/>
  <c r="AB33" i="254"/>
  <c r="AA33" i="254"/>
  <c r="Z33" i="254"/>
  <c r="Y33" i="254"/>
  <c r="X33" i="254"/>
  <c r="W33" i="254"/>
  <c r="V33" i="254"/>
  <c r="U33" i="254"/>
  <c r="T33" i="254"/>
  <c r="S33" i="254"/>
  <c r="R33" i="254"/>
  <c r="Q33" i="254"/>
  <c r="P33" i="254"/>
  <c r="O33" i="254"/>
  <c r="N33" i="254"/>
  <c r="M33" i="254"/>
  <c r="L33" i="254"/>
  <c r="K33" i="254"/>
  <c r="J33" i="254"/>
  <c r="I33" i="254"/>
  <c r="H33" i="254"/>
  <c r="G33" i="254"/>
  <c r="F33" i="254"/>
  <c r="E33" i="254"/>
  <c r="D33" i="254"/>
  <c r="C33" i="254"/>
  <c r="B33" i="254"/>
  <c r="A33" i="254"/>
  <c r="AF32" i="254"/>
  <c r="AE32" i="254"/>
  <c r="AD32" i="254"/>
  <c r="AC32" i="254"/>
  <c r="AB32" i="254"/>
  <c r="AA32" i="254"/>
  <c r="Z32" i="254"/>
  <c r="Y32" i="254"/>
  <c r="X32" i="254"/>
  <c r="W32" i="254"/>
  <c r="V32" i="254"/>
  <c r="U32" i="254"/>
  <c r="T32" i="254"/>
  <c r="S32" i="254"/>
  <c r="R32" i="254"/>
  <c r="Q32" i="254"/>
  <c r="P32" i="254"/>
  <c r="O32" i="254"/>
  <c r="N32" i="254"/>
  <c r="M32" i="254"/>
  <c r="L32" i="254"/>
  <c r="K32" i="254"/>
  <c r="J32" i="254"/>
  <c r="I32" i="254"/>
  <c r="H32" i="254"/>
  <c r="G32" i="254"/>
  <c r="F32" i="254"/>
  <c r="E32" i="254"/>
  <c r="D32" i="254"/>
  <c r="C32" i="254"/>
  <c r="B32" i="254"/>
  <c r="A32" i="254"/>
  <c r="AF31" i="254"/>
  <c r="AE31" i="254"/>
  <c r="AD31" i="254"/>
  <c r="AC31" i="254"/>
  <c r="AB31" i="254"/>
  <c r="AA31" i="254"/>
  <c r="Z31" i="254"/>
  <c r="Y31" i="254"/>
  <c r="X31" i="254"/>
  <c r="W31" i="254"/>
  <c r="V31" i="254"/>
  <c r="U31" i="254"/>
  <c r="T31" i="254"/>
  <c r="S31" i="254"/>
  <c r="R31" i="254"/>
  <c r="Q31" i="254"/>
  <c r="P31" i="254"/>
  <c r="O31" i="254"/>
  <c r="N31" i="254"/>
  <c r="M31" i="254"/>
  <c r="L31" i="254"/>
  <c r="K31" i="254"/>
  <c r="J31" i="254"/>
  <c r="I31" i="254"/>
  <c r="H31" i="254"/>
  <c r="G31" i="254"/>
  <c r="F31" i="254"/>
  <c r="E31" i="254"/>
  <c r="D31" i="254"/>
  <c r="C31" i="254"/>
  <c r="B31" i="254"/>
  <c r="A31" i="254"/>
  <c r="AF30" i="254"/>
  <c r="AE30" i="254"/>
  <c r="AD30" i="254"/>
  <c r="AC30" i="254"/>
  <c r="AB30" i="254"/>
  <c r="AA30" i="254"/>
  <c r="Z30" i="254"/>
  <c r="Y30" i="254"/>
  <c r="X30" i="254"/>
  <c r="W30" i="254"/>
  <c r="V30" i="254"/>
  <c r="U30" i="254"/>
  <c r="T30" i="254"/>
  <c r="S30" i="254"/>
  <c r="R30" i="254"/>
  <c r="Q30" i="254"/>
  <c r="P30" i="254"/>
  <c r="O30" i="254"/>
  <c r="N30" i="254"/>
  <c r="M30" i="254"/>
  <c r="L30" i="254"/>
  <c r="K30" i="254"/>
  <c r="J30" i="254"/>
  <c r="I30" i="254"/>
  <c r="H30" i="254"/>
  <c r="G30" i="254"/>
  <c r="F30" i="254"/>
  <c r="E30" i="254"/>
  <c r="D30" i="254"/>
  <c r="C30" i="254"/>
  <c r="B30" i="254"/>
  <c r="A30" i="254"/>
  <c r="AF29" i="254"/>
  <c r="AE29" i="254"/>
  <c r="AD29" i="254"/>
  <c r="AC29" i="254"/>
  <c r="AB29" i="254"/>
  <c r="AA29" i="254"/>
  <c r="Z29" i="254"/>
  <c r="Y29" i="254"/>
  <c r="X29" i="254"/>
  <c r="W29" i="254"/>
  <c r="V29" i="254"/>
  <c r="U29" i="254"/>
  <c r="T29" i="254"/>
  <c r="S29" i="254"/>
  <c r="R29" i="254"/>
  <c r="Q29" i="254"/>
  <c r="P29" i="254"/>
  <c r="O29" i="254"/>
  <c r="N29" i="254"/>
  <c r="M29" i="254"/>
  <c r="L29" i="254"/>
  <c r="K29" i="254"/>
  <c r="J29" i="254"/>
  <c r="I29" i="254"/>
  <c r="H29" i="254"/>
  <c r="G29" i="254"/>
  <c r="F29" i="254"/>
  <c r="E29" i="254"/>
  <c r="D29" i="254"/>
  <c r="C29" i="254"/>
  <c r="B29" i="254"/>
  <c r="A29" i="254"/>
  <c r="AF28" i="254"/>
  <c r="AE28" i="254"/>
  <c r="AD28" i="254"/>
  <c r="AC28" i="254"/>
  <c r="AB28" i="254"/>
  <c r="AA28" i="254"/>
  <c r="Z28" i="254"/>
  <c r="Y28" i="254"/>
  <c r="X28" i="254"/>
  <c r="W28" i="254"/>
  <c r="V28" i="254"/>
  <c r="U28" i="254"/>
  <c r="T28" i="254"/>
  <c r="S28" i="254"/>
  <c r="R28" i="254"/>
  <c r="Q28" i="254"/>
  <c r="P28" i="254"/>
  <c r="O28" i="254"/>
  <c r="N28" i="254"/>
  <c r="M28" i="254"/>
  <c r="L28" i="254"/>
  <c r="K28" i="254"/>
  <c r="J28" i="254"/>
  <c r="I28" i="254"/>
  <c r="H28" i="254"/>
  <c r="G28" i="254"/>
  <c r="F28" i="254"/>
  <c r="E28" i="254"/>
  <c r="D28" i="254"/>
  <c r="C28" i="254"/>
  <c r="B28" i="254"/>
  <c r="A28" i="254"/>
  <c r="AF27" i="254"/>
  <c r="AE27" i="254"/>
  <c r="AD27" i="254"/>
  <c r="AC27" i="254"/>
  <c r="AB27" i="254"/>
  <c r="AA27" i="254"/>
  <c r="Z27" i="254"/>
  <c r="Y27" i="254"/>
  <c r="X27" i="254"/>
  <c r="W27" i="254"/>
  <c r="V27" i="254"/>
  <c r="U27" i="254"/>
  <c r="T27" i="254"/>
  <c r="S27" i="254"/>
  <c r="R27" i="254"/>
  <c r="Q27" i="254"/>
  <c r="P27" i="254"/>
  <c r="O27" i="254"/>
  <c r="N27" i="254"/>
  <c r="M27" i="254"/>
  <c r="L27" i="254"/>
  <c r="K27" i="254"/>
  <c r="J27" i="254"/>
  <c r="I27" i="254"/>
  <c r="H27" i="254"/>
  <c r="G27" i="254"/>
  <c r="F27" i="254"/>
  <c r="E27" i="254"/>
  <c r="D27" i="254"/>
  <c r="C27" i="254"/>
  <c r="B27" i="254"/>
  <c r="A27" i="254"/>
  <c r="AF26" i="254"/>
  <c r="AE26" i="254"/>
  <c r="AD26" i="254"/>
  <c r="AC26" i="254"/>
  <c r="AB26" i="254"/>
  <c r="AA26" i="254"/>
  <c r="Z26" i="254"/>
  <c r="Y26" i="254"/>
  <c r="X26" i="254"/>
  <c r="W26" i="254"/>
  <c r="V26" i="254"/>
  <c r="U26" i="254"/>
  <c r="T26" i="254"/>
  <c r="S26" i="254"/>
  <c r="R26" i="254"/>
  <c r="Q26" i="254"/>
  <c r="P26" i="254"/>
  <c r="O26" i="254"/>
  <c r="N26" i="254"/>
  <c r="M26" i="254"/>
  <c r="L26" i="254"/>
  <c r="K26" i="254"/>
  <c r="J26" i="254"/>
  <c r="I26" i="254"/>
  <c r="H26" i="254"/>
  <c r="G26" i="254"/>
  <c r="F26" i="254"/>
  <c r="E26" i="254"/>
  <c r="D26" i="254"/>
  <c r="C26" i="254"/>
  <c r="B26" i="254"/>
  <c r="A26" i="254"/>
  <c r="AF25" i="254"/>
  <c r="AE25" i="254"/>
  <c r="AD25" i="254"/>
  <c r="AC25" i="254"/>
  <c r="AB25" i="254"/>
  <c r="AA25" i="254"/>
  <c r="Z25" i="254"/>
  <c r="Y25" i="254"/>
  <c r="X25" i="254"/>
  <c r="W25" i="254"/>
  <c r="V25" i="254"/>
  <c r="U25" i="254"/>
  <c r="T25" i="254"/>
  <c r="S25" i="254"/>
  <c r="R25" i="254"/>
  <c r="Q25" i="254"/>
  <c r="P25" i="254"/>
  <c r="O25" i="254"/>
  <c r="N25" i="254"/>
  <c r="M25" i="254"/>
  <c r="L25" i="254"/>
  <c r="K25" i="254"/>
  <c r="J25" i="254"/>
  <c r="I25" i="254"/>
  <c r="H25" i="254"/>
  <c r="G25" i="254"/>
  <c r="F25" i="254"/>
  <c r="E25" i="254"/>
  <c r="D25" i="254"/>
  <c r="C25" i="254"/>
  <c r="B25" i="254"/>
  <c r="A25" i="254"/>
  <c r="AF24" i="254"/>
  <c r="AE24" i="254"/>
  <c r="AD24" i="254"/>
  <c r="AC24" i="254"/>
  <c r="AB24" i="254"/>
  <c r="AA24" i="254"/>
  <c r="Z24" i="254"/>
  <c r="Y24" i="254"/>
  <c r="X24" i="254"/>
  <c r="W24" i="254"/>
  <c r="V24" i="254"/>
  <c r="U24" i="254"/>
  <c r="T24" i="254"/>
  <c r="S24" i="254"/>
  <c r="R24" i="254"/>
  <c r="Q24" i="254"/>
  <c r="P24" i="254"/>
  <c r="O24" i="254"/>
  <c r="N24" i="254"/>
  <c r="M24" i="254"/>
  <c r="L24" i="254"/>
  <c r="K24" i="254"/>
  <c r="J24" i="254"/>
  <c r="I24" i="254"/>
  <c r="H24" i="254"/>
  <c r="G24" i="254"/>
  <c r="F24" i="254"/>
  <c r="E24" i="254"/>
  <c r="D24" i="254"/>
  <c r="C24" i="254"/>
  <c r="B24" i="254"/>
  <c r="A24" i="254"/>
  <c r="AF23" i="254"/>
  <c r="AE23" i="254"/>
  <c r="AD23" i="254"/>
  <c r="AC23" i="254"/>
  <c r="AB23" i="254"/>
  <c r="AA23" i="254"/>
  <c r="Z23" i="254"/>
  <c r="Y23" i="254"/>
  <c r="X23" i="254"/>
  <c r="W23" i="254"/>
  <c r="V23" i="254"/>
  <c r="U23" i="254"/>
  <c r="T23" i="254"/>
  <c r="S23" i="254"/>
  <c r="R23" i="254"/>
  <c r="Q23" i="254"/>
  <c r="P23" i="254"/>
  <c r="O23" i="254"/>
  <c r="N23" i="254"/>
  <c r="M23" i="254"/>
  <c r="L23" i="254"/>
  <c r="K23" i="254"/>
  <c r="J23" i="254"/>
  <c r="I23" i="254"/>
  <c r="H23" i="254"/>
  <c r="G23" i="254"/>
  <c r="F23" i="254"/>
  <c r="E23" i="254"/>
  <c r="D23" i="254"/>
  <c r="C23" i="254"/>
  <c r="B23" i="254"/>
  <c r="A23" i="254"/>
  <c r="AF22" i="254"/>
  <c r="AE22" i="254"/>
  <c r="AD22" i="254"/>
  <c r="AC22" i="254"/>
  <c r="AB22" i="254"/>
  <c r="AA22" i="254"/>
  <c r="Z22" i="254"/>
  <c r="Y22" i="254"/>
  <c r="X22" i="254"/>
  <c r="W22" i="254"/>
  <c r="V22" i="254"/>
  <c r="U22" i="254"/>
  <c r="T22" i="254"/>
  <c r="S22" i="254"/>
  <c r="R22" i="254"/>
  <c r="Q22" i="254"/>
  <c r="P22" i="254"/>
  <c r="O22" i="254"/>
  <c r="N22" i="254"/>
  <c r="M22" i="254"/>
  <c r="L22" i="254"/>
  <c r="K22" i="254"/>
  <c r="J22" i="254"/>
  <c r="I22" i="254"/>
  <c r="H22" i="254"/>
  <c r="G22" i="254"/>
  <c r="F22" i="254"/>
  <c r="E22" i="254"/>
  <c r="D22" i="254"/>
  <c r="C22" i="254"/>
  <c r="B22" i="254"/>
  <c r="A22" i="254"/>
  <c r="AF21" i="254"/>
  <c r="AE21" i="254"/>
  <c r="AD21" i="254"/>
  <c r="AC21" i="254"/>
  <c r="AB21" i="254"/>
  <c r="AA21" i="254"/>
  <c r="Z21" i="254"/>
  <c r="Y21" i="254"/>
  <c r="X21" i="254"/>
  <c r="W21" i="254"/>
  <c r="V21" i="254"/>
  <c r="U21" i="254"/>
  <c r="T21" i="254"/>
  <c r="S21" i="254"/>
  <c r="R21" i="254"/>
  <c r="Q21" i="254"/>
  <c r="P21" i="254"/>
  <c r="O21" i="254"/>
  <c r="N21" i="254"/>
  <c r="M21" i="254"/>
  <c r="L21" i="254"/>
  <c r="K21" i="254"/>
  <c r="J21" i="254"/>
  <c r="I21" i="254"/>
  <c r="H21" i="254"/>
  <c r="G21" i="254"/>
  <c r="F21" i="254"/>
  <c r="E21" i="254"/>
  <c r="D21" i="254"/>
  <c r="C21" i="254"/>
  <c r="B21" i="254"/>
  <c r="A21" i="254"/>
  <c r="AF20" i="254"/>
  <c r="AE20" i="254"/>
  <c r="AD20" i="254"/>
  <c r="AC20" i="254"/>
  <c r="AB20" i="254"/>
  <c r="AA20" i="254"/>
  <c r="Z20" i="254"/>
  <c r="Y20" i="254"/>
  <c r="X20" i="254"/>
  <c r="W20" i="254"/>
  <c r="V20" i="254"/>
  <c r="U20" i="254"/>
  <c r="T20" i="254"/>
  <c r="S20" i="254"/>
  <c r="R20" i="254"/>
  <c r="Q20" i="254"/>
  <c r="P20" i="254"/>
  <c r="O20" i="254"/>
  <c r="N20" i="254"/>
  <c r="M20" i="254"/>
  <c r="L20" i="254"/>
  <c r="K20" i="254"/>
  <c r="J20" i="254"/>
  <c r="I20" i="254"/>
  <c r="H20" i="254"/>
  <c r="G20" i="254"/>
  <c r="F20" i="254"/>
  <c r="E20" i="254"/>
  <c r="D20" i="254"/>
  <c r="C20" i="254"/>
  <c r="B20" i="254"/>
  <c r="A20" i="254"/>
  <c r="AF19" i="254"/>
  <c r="AE19" i="254"/>
  <c r="AD19" i="254"/>
  <c r="AC19" i="254"/>
  <c r="AB19" i="254"/>
  <c r="AA19" i="254"/>
  <c r="Z19" i="254"/>
  <c r="Y19" i="254"/>
  <c r="X19" i="254"/>
  <c r="W19" i="254"/>
  <c r="V19" i="254"/>
  <c r="U19" i="254"/>
  <c r="T19" i="254"/>
  <c r="S19" i="254"/>
  <c r="R19" i="254"/>
  <c r="Q19" i="254"/>
  <c r="P19" i="254"/>
  <c r="O19" i="254"/>
  <c r="N19" i="254"/>
  <c r="M19" i="254"/>
  <c r="L19" i="254"/>
  <c r="K19" i="254"/>
  <c r="J19" i="254"/>
  <c r="I19" i="254"/>
  <c r="H19" i="254"/>
  <c r="G19" i="254"/>
  <c r="F19" i="254"/>
  <c r="E19" i="254"/>
  <c r="D19" i="254"/>
  <c r="C19" i="254"/>
  <c r="B19" i="254"/>
  <c r="A19" i="254"/>
  <c r="AF18" i="254"/>
  <c r="AE18" i="254"/>
  <c r="AD18" i="254"/>
  <c r="AC18" i="254"/>
  <c r="AB18" i="254"/>
  <c r="AA18" i="254"/>
  <c r="Z18" i="254"/>
  <c r="Y18" i="254"/>
  <c r="X18" i="254"/>
  <c r="W18" i="254"/>
  <c r="V18" i="254"/>
  <c r="U18" i="254"/>
  <c r="T18" i="254"/>
  <c r="S18" i="254"/>
  <c r="R18" i="254"/>
  <c r="Q18" i="254"/>
  <c r="P18" i="254"/>
  <c r="O18" i="254"/>
  <c r="N18" i="254"/>
  <c r="M18" i="254"/>
  <c r="L18" i="254"/>
  <c r="K18" i="254"/>
  <c r="J18" i="254"/>
  <c r="I18" i="254"/>
  <c r="H18" i="254"/>
  <c r="G18" i="254"/>
  <c r="F18" i="254"/>
  <c r="E18" i="254"/>
  <c r="D18" i="254"/>
  <c r="C18" i="254"/>
  <c r="B18" i="254"/>
  <c r="A18" i="254"/>
  <c r="AF17" i="254"/>
  <c r="AE17" i="254"/>
  <c r="AD17" i="254"/>
  <c r="AC17" i="254"/>
  <c r="AB17" i="254"/>
  <c r="AA17" i="254"/>
  <c r="Z17" i="254"/>
  <c r="Y17" i="254"/>
  <c r="X17" i="254"/>
  <c r="W17" i="254"/>
  <c r="V17" i="254"/>
  <c r="U17" i="254"/>
  <c r="T17" i="254"/>
  <c r="S17" i="254"/>
  <c r="R17" i="254"/>
  <c r="Q17" i="254"/>
  <c r="P17" i="254"/>
  <c r="O17" i="254"/>
  <c r="N17" i="254"/>
  <c r="M17" i="254"/>
  <c r="L17" i="254"/>
  <c r="K17" i="254"/>
  <c r="J17" i="254"/>
  <c r="I17" i="254"/>
  <c r="H17" i="254"/>
  <c r="G17" i="254"/>
  <c r="F17" i="254"/>
  <c r="E17" i="254"/>
  <c r="D17" i="254"/>
  <c r="C17" i="254"/>
  <c r="B17" i="254"/>
  <c r="A17" i="254"/>
  <c r="AF16" i="254"/>
  <c r="AE16" i="254"/>
  <c r="AD16" i="254"/>
  <c r="AC16" i="254"/>
  <c r="AB16" i="254"/>
  <c r="AA16" i="254"/>
  <c r="Z16" i="254"/>
  <c r="Y16" i="254"/>
  <c r="X16" i="254"/>
  <c r="W16" i="254"/>
  <c r="V16" i="254"/>
  <c r="U16" i="254"/>
  <c r="T16" i="254"/>
  <c r="S16" i="254"/>
  <c r="R16" i="254"/>
  <c r="Q16" i="254"/>
  <c r="P16" i="254"/>
  <c r="O16" i="254"/>
  <c r="N16" i="254"/>
  <c r="M16" i="254"/>
  <c r="L16" i="254"/>
  <c r="K16" i="254"/>
  <c r="J16" i="254"/>
  <c r="I16" i="254"/>
  <c r="H16" i="254"/>
  <c r="G16" i="254"/>
  <c r="F16" i="254"/>
  <c r="E16" i="254"/>
  <c r="D16" i="254"/>
  <c r="C16" i="254"/>
  <c r="B16" i="254"/>
  <c r="A16" i="254"/>
  <c r="BQ4" i="254" a="1"/>
  <c r="BQ4" i="254" s="1"/>
  <c r="BP4" i="254" a="1"/>
  <c r="BP4" i="254" s="1"/>
  <c r="BO4" i="254" a="1"/>
  <c r="BO4" i="254" s="1"/>
  <c r="BN4" i="254" a="1"/>
  <c r="J14" i="254" s="1"/>
  <c r="BJ4" i="254" a="1"/>
  <c r="AE15" i="254" s="1"/>
  <c r="BD4" i="254" a="1"/>
  <c r="AX4" i="254" a="1"/>
  <c r="AR4" i="254" a="1"/>
  <c r="AL4" i="254" a="1"/>
  <c r="AH4" i="254" a="1"/>
  <c r="AB2" i="254"/>
  <c r="V2" i="254"/>
  <c r="P2" i="254"/>
  <c r="J2" i="254"/>
  <c r="S10001" i="111"/>
  <c r="S10000" i="111"/>
  <c r="S9999" i="111"/>
  <c r="S9998" i="111"/>
  <c r="S9997" i="111"/>
  <c r="S9996" i="111"/>
  <c r="S9995" i="111"/>
  <c r="S9994" i="111"/>
  <c r="S9993" i="111"/>
  <c r="S9992" i="111"/>
  <c r="S9991" i="111"/>
  <c r="S9990" i="111"/>
  <c r="S9989" i="111"/>
  <c r="S9988" i="111"/>
  <c r="S9987" i="111"/>
  <c r="S9986" i="111"/>
  <c r="S9985" i="111"/>
  <c r="S9984" i="111"/>
  <c r="S9983" i="111"/>
  <c r="S9982" i="111"/>
  <c r="S9981" i="111"/>
  <c r="S9980" i="111"/>
  <c r="S9979" i="111"/>
  <c r="S9978" i="111"/>
  <c r="S9977" i="111"/>
  <c r="S9976" i="111"/>
  <c r="S9975" i="111"/>
  <c r="S9974" i="111"/>
  <c r="S9973" i="111"/>
  <c r="S9972" i="111"/>
  <c r="S9971" i="111"/>
  <c r="S9970" i="111"/>
  <c r="S9969" i="111"/>
  <c r="S9968" i="111"/>
  <c r="S9967" i="111"/>
  <c r="S9966" i="111"/>
  <c r="S9965" i="111"/>
  <c r="S9964" i="111"/>
  <c r="S9963" i="111"/>
  <c r="S9962" i="111"/>
  <c r="S9961" i="111"/>
  <c r="S9960" i="111"/>
  <c r="S9959" i="111"/>
  <c r="S9958" i="111"/>
  <c r="S9957" i="111"/>
  <c r="S9956" i="111"/>
  <c r="S9955" i="111"/>
  <c r="S9954" i="111"/>
  <c r="S9953" i="111"/>
  <c r="S9952" i="111"/>
  <c r="S9951" i="111"/>
  <c r="S9950" i="111"/>
  <c r="S9949" i="111"/>
  <c r="S9948" i="111"/>
  <c r="S9947" i="111"/>
  <c r="S9946" i="111"/>
  <c r="S9945" i="111"/>
  <c r="S9944" i="111"/>
  <c r="S9943" i="111"/>
  <c r="S9942" i="111"/>
  <c r="S9941" i="111"/>
  <c r="S9940" i="111"/>
  <c r="S9939" i="111"/>
  <c r="S9938" i="111"/>
  <c r="S9937" i="111"/>
  <c r="S9936" i="111"/>
  <c r="S9935" i="111"/>
  <c r="S9934" i="111"/>
  <c r="S9933" i="111"/>
  <c r="S9932" i="111"/>
  <c r="S9931" i="111"/>
  <c r="S9930" i="111"/>
  <c r="S9929" i="111"/>
  <c r="S9928" i="111"/>
  <c r="S9927" i="111"/>
  <c r="S9926" i="111"/>
  <c r="S9925" i="111"/>
  <c r="S9924" i="111"/>
  <c r="S9923" i="111"/>
  <c r="S9922" i="111"/>
  <c r="S9921" i="111"/>
  <c r="S9920" i="111"/>
  <c r="S9919" i="111"/>
  <c r="S9918" i="111"/>
  <c r="S9917" i="111"/>
  <c r="S9916" i="111"/>
  <c r="S9915" i="111"/>
  <c r="S9914" i="111"/>
  <c r="S9913" i="111"/>
  <c r="S9912" i="111"/>
  <c r="S9911" i="111"/>
  <c r="S9910" i="111"/>
  <c r="S9909" i="111"/>
  <c r="S9908" i="111"/>
  <c r="S9907" i="111"/>
  <c r="S9906" i="111"/>
  <c r="S9905" i="111"/>
  <c r="S9904" i="111"/>
  <c r="S9903" i="111"/>
  <c r="S9902" i="111"/>
  <c r="S9901" i="111"/>
  <c r="S9900" i="111"/>
  <c r="S9899" i="111"/>
  <c r="S9898" i="111"/>
  <c r="S9897" i="111"/>
  <c r="S9896" i="111"/>
  <c r="S9895" i="111"/>
  <c r="S9894" i="111"/>
  <c r="S9893" i="111"/>
  <c r="S9892" i="111"/>
  <c r="S9891" i="111"/>
  <c r="S9890" i="111"/>
  <c r="S9889" i="111"/>
  <c r="S9888" i="111"/>
  <c r="S9887" i="111"/>
  <c r="S9886" i="111"/>
  <c r="S9885" i="111"/>
  <c r="S9884" i="111"/>
  <c r="S9883" i="111"/>
  <c r="S9882" i="111"/>
  <c r="S9881" i="111"/>
  <c r="S9880" i="111"/>
  <c r="S9879" i="111"/>
  <c r="S9878" i="111"/>
  <c r="S9877" i="111"/>
  <c r="S9876" i="111"/>
  <c r="S9875" i="111"/>
  <c r="S9874" i="111"/>
  <c r="S9873" i="111"/>
  <c r="S9872" i="111"/>
  <c r="S9871" i="111"/>
  <c r="S9870" i="111"/>
  <c r="S9869" i="111"/>
  <c r="S9868" i="111"/>
  <c r="S9867" i="111"/>
  <c r="S9866" i="111"/>
  <c r="S9865" i="111"/>
  <c r="S9864" i="111"/>
  <c r="S9863" i="111"/>
  <c r="S9862" i="111"/>
  <c r="S9861" i="111"/>
  <c r="S9860" i="111"/>
  <c r="S9859" i="111"/>
  <c r="S9858" i="111"/>
  <c r="S9857" i="111"/>
  <c r="S9856" i="111"/>
  <c r="S9855" i="111"/>
  <c r="S9854" i="111"/>
  <c r="S9853" i="111"/>
  <c r="S9852" i="111"/>
  <c r="S9851" i="111"/>
  <c r="S9850" i="111"/>
  <c r="S9849" i="111"/>
  <c r="S9848" i="111"/>
  <c r="S9847" i="111"/>
  <c r="S9846" i="111"/>
  <c r="S9845" i="111"/>
  <c r="S9844" i="111"/>
  <c r="S9843" i="111"/>
  <c r="S9842" i="111"/>
  <c r="S9841" i="111"/>
  <c r="S9840" i="111"/>
  <c r="S9839" i="111"/>
  <c r="S9838" i="111"/>
  <c r="S9837" i="111"/>
  <c r="S9836" i="111"/>
  <c r="S9835" i="111"/>
  <c r="S9834" i="111"/>
  <c r="S9833" i="111"/>
  <c r="S9832" i="111"/>
  <c r="S9831" i="111"/>
  <c r="S9830" i="111"/>
  <c r="S9829" i="111"/>
  <c r="S9828" i="111"/>
  <c r="S9827" i="111"/>
  <c r="S9826" i="111"/>
  <c r="S9825" i="111"/>
  <c r="S9824" i="111"/>
  <c r="S9823" i="111"/>
  <c r="S9822" i="111"/>
  <c r="S9821" i="111"/>
  <c r="S9820" i="111"/>
  <c r="S9819" i="111"/>
  <c r="S9818" i="111"/>
  <c r="S9817" i="111"/>
  <c r="S9816" i="111"/>
  <c r="S9815" i="111"/>
  <c r="S9814" i="111"/>
  <c r="S9813" i="111"/>
  <c r="S9812" i="111"/>
  <c r="S9811" i="111"/>
  <c r="S9810" i="111"/>
  <c r="S9809" i="111"/>
  <c r="S9808" i="111"/>
  <c r="S9807" i="111"/>
  <c r="S9806" i="111"/>
  <c r="S9805" i="111"/>
  <c r="S9804" i="111"/>
  <c r="S9803" i="111"/>
  <c r="S9802" i="111"/>
  <c r="S9801" i="111"/>
  <c r="S9800" i="111"/>
  <c r="S9799" i="111"/>
  <c r="S9798" i="111"/>
  <c r="S9797" i="111"/>
  <c r="S9796" i="111"/>
  <c r="S9795" i="111"/>
  <c r="S9794" i="111"/>
  <c r="S9793" i="111"/>
  <c r="S9792" i="111"/>
  <c r="S9791" i="111"/>
  <c r="S9790" i="111"/>
  <c r="S9789" i="111"/>
  <c r="S9788" i="111"/>
  <c r="S9787" i="111"/>
  <c r="S9786" i="111"/>
  <c r="S9785" i="111"/>
  <c r="S9784" i="111"/>
  <c r="S9783" i="111"/>
  <c r="S9782" i="111"/>
  <c r="S9781" i="111"/>
  <c r="S9780" i="111"/>
  <c r="S9779" i="111"/>
  <c r="S9778" i="111"/>
  <c r="S9777" i="111"/>
  <c r="S9776" i="111"/>
  <c r="S9775" i="111"/>
  <c r="S9774" i="111"/>
  <c r="S9773" i="111"/>
  <c r="S9772" i="111"/>
  <c r="S9771" i="111"/>
  <c r="S9770" i="111"/>
  <c r="S9769" i="111"/>
  <c r="S9768" i="111"/>
  <c r="S9767" i="111"/>
  <c r="S9766" i="111"/>
  <c r="S9765" i="111"/>
  <c r="S9764" i="111"/>
  <c r="S9763" i="111"/>
  <c r="S9762" i="111"/>
  <c r="S9761" i="111"/>
  <c r="S9760" i="111"/>
  <c r="S9759" i="111"/>
  <c r="S9758" i="111"/>
  <c r="S9757" i="111"/>
  <c r="S9756" i="111"/>
  <c r="S9755" i="111"/>
  <c r="S9754" i="111"/>
  <c r="S9753" i="111"/>
  <c r="S9752" i="111"/>
  <c r="S9751" i="111"/>
  <c r="S9750" i="111"/>
  <c r="S9749" i="111"/>
  <c r="S9748" i="111"/>
  <c r="S9747" i="111"/>
  <c r="S9746" i="111"/>
  <c r="S9745" i="111"/>
  <c r="S9744" i="111"/>
  <c r="S9743" i="111"/>
  <c r="S9742" i="111"/>
  <c r="S9741" i="111"/>
  <c r="S9740" i="111"/>
  <c r="S9739" i="111"/>
  <c r="S9738" i="111"/>
  <c r="S9737" i="111"/>
  <c r="S9736" i="111"/>
  <c r="S9735" i="111"/>
  <c r="S9734" i="111"/>
  <c r="S9733" i="111"/>
  <c r="S9732" i="111"/>
  <c r="S9731" i="111"/>
  <c r="S9730" i="111"/>
  <c r="S9729" i="111"/>
  <c r="S9728" i="111"/>
  <c r="S9727" i="111"/>
  <c r="S9726" i="111"/>
  <c r="S9725" i="111"/>
  <c r="S9724" i="111"/>
  <c r="S9723" i="111"/>
  <c r="S9722" i="111"/>
  <c r="S9721" i="111"/>
  <c r="S9720" i="111"/>
  <c r="S9719" i="111"/>
  <c r="S9718" i="111"/>
  <c r="S9717" i="111"/>
  <c r="S9716" i="111"/>
  <c r="S9715" i="111"/>
  <c r="S9714" i="111"/>
  <c r="S9713" i="111"/>
  <c r="S9712" i="111"/>
  <c r="S9711" i="111"/>
  <c r="S9710" i="111"/>
  <c r="S9709" i="111"/>
  <c r="S9708" i="111"/>
  <c r="S9707" i="111"/>
  <c r="S9706" i="111"/>
  <c r="S9705" i="111"/>
  <c r="S9704" i="111"/>
  <c r="S9703" i="111"/>
  <c r="S9702" i="111"/>
  <c r="S9701" i="111"/>
  <c r="S9700" i="111"/>
  <c r="S9699" i="111"/>
  <c r="S9698" i="111"/>
  <c r="S9697" i="111"/>
  <c r="S9696" i="111"/>
  <c r="S9695" i="111"/>
  <c r="S9694" i="111"/>
  <c r="S9693" i="111"/>
  <c r="S9692" i="111"/>
  <c r="S9691" i="111"/>
  <c r="S9690" i="111"/>
  <c r="S9689" i="111"/>
  <c r="S9688" i="111"/>
  <c r="S9687" i="111"/>
  <c r="S9686" i="111"/>
  <c r="S9685" i="111"/>
  <c r="S9684" i="111"/>
  <c r="S9683" i="111"/>
  <c r="S9682" i="111"/>
  <c r="S9681" i="111"/>
  <c r="S9680" i="111"/>
  <c r="S9679" i="111"/>
  <c r="S9678" i="111"/>
  <c r="S9677" i="111"/>
  <c r="S9676" i="111"/>
  <c r="S9675" i="111"/>
  <c r="S9674" i="111"/>
  <c r="S9673" i="111"/>
  <c r="S9672" i="111"/>
  <c r="S9671" i="111"/>
  <c r="S9670" i="111"/>
  <c r="S9669" i="111"/>
  <c r="S9668" i="111"/>
  <c r="S9667" i="111"/>
  <c r="S9666" i="111"/>
  <c r="S9665" i="111"/>
  <c r="S9664" i="111"/>
  <c r="S9663" i="111"/>
  <c r="S9662" i="111"/>
  <c r="S9661" i="111"/>
  <c r="S9660" i="111"/>
  <c r="S9659" i="111"/>
  <c r="S9658" i="111"/>
  <c r="S9657" i="111"/>
  <c r="S9656" i="111"/>
  <c r="S9655" i="111"/>
  <c r="S9654" i="111"/>
  <c r="S9653" i="111"/>
  <c r="S9652" i="111"/>
  <c r="S9651" i="111"/>
  <c r="S9650" i="111"/>
  <c r="S9649" i="111"/>
  <c r="S9648" i="111"/>
  <c r="S9647" i="111"/>
  <c r="S9646" i="111"/>
  <c r="S9645" i="111"/>
  <c r="S9644" i="111"/>
  <c r="S9643" i="111"/>
  <c r="S9642" i="111"/>
  <c r="S9641" i="111"/>
  <c r="S9640" i="111"/>
  <c r="S9639" i="111"/>
  <c r="S9638" i="111"/>
  <c r="S9637" i="111"/>
  <c r="S9636" i="111"/>
  <c r="S9635" i="111"/>
  <c r="S9634" i="111"/>
  <c r="S9633" i="111"/>
  <c r="S9632" i="111"/>
  <c r="S9631" i="111"/>
  <c r="S9630" i="111"/>
  <c r="S9629" i="111"/>
  <c r="S9628" i="111"/>
  <c r="S9627" i="111"/>
  <c r="S9626" i="111"/>
  <c r="S9625" i="111"/>
  <c r="S9624" i="111"/>
  <c r="S9623" i="111"/>
  <c r="S9622" i="111"/>
  <c r="S9621" i="111"/>
  <c r="S9620" i="111"/>
  <c r="S9619" i="111"/>
  <c r="S9618" i="111"/>
  <c r="S9617" i="111"/>
  <c r="S9616" i="111"/>
  <c r="S9615" i="111"/>
  <c r="S9614" i="111"/>
  <c r="S9613" i="111"/>
  <c r="S9612" i="111"/>
  <c r="S9611" i="111"/>
  <c r="S9610" i="111"/>
  <c r="S9609" i="111"/>
  <c r="S9608" i="111"/>
  <c r="S9607" i="111"/>
  <c r="S9606" i="111"/>
  <c r="S9605" i="111"/>
  <c r="S9604" i="111"/>
  <c r="S9603" i="111"/>
  <c r="S9602" i="111"/>
  <c r="S9601" i="111"/>
  <c r="S9600" i="111"/>
  <c r="S9599" i="111"/>
  <c r="S9598" i="111"/>
  <c r="S9597" i="111"/>
  <c r="S9596" i="111"/>
  <c r="S9595" i="111"/>
  <c r="S9594" i="111"/>
  <c r="S9593" i="111"/>
  <c r="S9592" i="111"/>
  <c r="S9591" i="111"/>
  <c r="S9590" i="111"/>
  <c r="S9589" i="111"/>
  <c r="S9588" i="111"/>
  <c r="S9587" i="111"/>
  <c r="S9586" i="111"/>
  <c r="S9585" i="111"/>
  <c r="S9584" i="111"/>
  <c r="S9583" i="111"/>
  <c r="S9582" i="111"/>
  <c r="S9581" i="111"/>
  <c r="S9580" i="111"/>
  <c r="S9579" i="111"/>
  <c r="S9578" i="111"/>
  <c r="S9577" i="111"/>
  <c r="S9576" i="111"/>
  <c r="S9575" i="111"/>
  <c r="S9574" i="111"/>
  <c r="S9573" i="111"/>
  <c r="S9572" i="111"/>
  <c r="S9571" i="111"/>
  <c r="S9570" i="111"/>
  <c r="S9569" i="111"/>
  <c r="S9568" i="111"/>
  <c r="S9567" i="111"/>
  <c r="S9566" i="111"/>
  <c r="S9565" i="111"/>
  <c r="S9564" i="111"/>
  <c r="S9563" i="111"/>
  <c r="S9562" i="111"/>
  <c r="S9561" i="111"/>
  <c r="S9560" i="111"/>
  <c r="S9559" i="111"/>
  <c r="S9558" i="111"/>
  <c r="S9557" i="111"/>
  <c r="S9556" i="111"/>
  <c r="S9555" i="111"/>
  <c r="S9554" i="111"/>
  <c r="S9553" i="111"/>
  <c r="S9552" i="111"/>
  <c r="S9551" i="111"/>
  <c r="S9550" i="111"/>
  <c r="S9549" i="111"/>
  <c r="S9548" i="111"/>
  <c r="S9547" i="111"/>
  <c r="S9546" i="111"/>
  <c r="S9545" i="111"/>
  <c r="S9544" i="111"/>
  <c r="S9543" i="111"/>
  <c r="S9542" i="111"/>
  <c r="S9541" i="111"/>
  <c r="S9540" i="111"/>
  <c r="S9539" i="111"/>
  <c r="S9538" i="111"/>
  <c r="S9537" i="111"/>
  <c r="S9536" i="111"/>
  <c r="S9535" i="111"/>
  <c r="S9534" i="111"/>
  <c r="S9533" i="111"/>
  <c r="S9532" i="111"/>
  <c r="S9531" i="111"/>
  <c r="S9530" i="111"/>
  <c r="S9529" i="111"/>
  <c r="S9528" i="111"/>
  <c r="S9527" i="111"/>
  <c r="S9526" i="111"/>
  <c r="S9525" i="111"/>
  <c r="S9524" i="111"/>
  <c r="S9523" i="111"/>
  <c r="S9522" i="111"/>
  <c r="S9521" i="111"/>
  <c r="S9520" i="111"/>
  <c r="S9519" i="111"/>
  <c r="S9518" i="111"/>
  <c r="S9517" i="111"/>
  <c r="S9516" i="111"/>
  <c r="S9515" i="111"/>
  <c r="S9514" i="111"/>
  <c r="S9513" i="111"/>
  <c r="S9512" i="111"/>
  <c r="S9511" i="111"/>
  <c r="S9510" i="111"/>
  <c r="S9509" i="111"/>
  <c r="S9508" i="111"/>
  <c r="S9507" i="111"/>
  <c r="S9506" i="111"/>
  <c r="S9505" i="111"/>
  <c r="S9504" i="111"/>
  <c r="S9503" i="111"/>
  <c r="S9502" i="111"/>
  <c r="S9501" i="111"/>
  <c r="S9500" i="111"/>
  <c r="S9499" i="111"/>
  <c r="S9498" i="111"/>
  <c r="S9497" i="111"/>
  <c r="S9496" i="111"/>
  <c r="S9495" i="111"/>
  <c r="S9494" i="111"/>
  <c r="S9493" i="111"/>
  <c r="S9492" i="111"/>
  <c r="S9491" i="111"/>
  <c r="S9490" i="111"/>
  <c r="S9489" i="111"/>
  <c r="S9488" i="111"/>
  <c r="S9487" i="111"/>
  <c r="S9486" i="111"/>
  <c r="S9485" i="111"/>
  <c r="S9484" i="111"/>
  <c r="S9483" i="111"/>
  <c r="S9482" i="111"/>
  <c r="S9481" i="111"/>
  <c r="S9480" i="111"/>
  <c r="S9479" i="111"/>
  <c r="S9478" i="111"/>
  <c r="S9477" i="111"/>
  <c r="S9476" i="111"/>
  <c r="S9475" i="111"/>
  <c r="S9474" i="111"/>
  <c r="S9473" i="111"/>
  <c r="S9472" i="111"/>
  <c r="S9471" i="111"/>
  <c r="S9470" i="111"/>
  <c r="S9469" i="111"/>
  <c r="S9468" i="111"/>
  <c r="S9467" i="111"/>
  <c r="S9466" i="111"/>
  <c r="S9465" i="111"/>
  <c r="S9464" i="111"/>
  <c r="S9463" i="111"/>
  <c r="S9462" i="111"/>
  <c r="S9461" i="111"/>
  <c r="S9460" i="111"/>
  <c r="S9459" i="111"/>
  <c r="S9458" i="111"/>
  <c r="S9457" i="111"/>
  <c r="S9456" i="111"/>
  <c r="S9455" i="111"/>
  <c r="S9454" i="111"/>
  <c r="S9453" i="111"/>
  <c r="S9452" i="111"/>
  <c r="S9451" i="111"/>
  <c r="S9450" i="111"/>
  <c r="S9449" i="111"/>
  <c r="S9448" i="111"/>
  <c r="S9447" i="111"/>
  <c r="S9446" i="111"/>
  <c r="S9445" i="111"/>
  <c r="S9444" i="111"/>
  <c r="S9443" i="111"/>
  <c r="S9442" i="111"/>
  <c r="S9441" i="111"/>
  <c r="S9440" i="111"/>
  <c r="S9439" i="111"/>
  <c r="S9438" i="111"/>
  <c r="S9437" i="111"/>
  <c r="S9436" i="111"/>
  <c r="S9435" i="111"/>
  <c r="S9434" i="111"/>
  <c r="S9433" i="111"/>
  <c r="S9432" i="111"/>
  <c r="S9431" i="111"/>
  <c r="S9430" i="111"/>
  <c r="S9429" i="111"/>
  <c r="S9428" i="111"/>
  <c r="S9427" i="111"/>
  <c r="S9426" i="111"/>
  <c r="S9425" i="111"/>
  <c r="S9424" i="111"/>
  <c r="S9423" i="111"/>
  <c r="S9422" i="111"/>
  <c r="S9421" i="111"/>
  <c r="S9420" i="111"/>
  <c r="S9419" i="111"/>
  <c r="S9418" i="111"/>
  <c r="S9417" i="111"/>
  <c r="S9416" i="111"/>
  <c r="S9415" i="111"/>
  <c r="S9414" i="111"/>
  <c r="S9413" i="111"/>
  <c r="S9412" i="111"/>
  <c r="S9411" i="111"/>
  <c r="S9410" i="111"/>
  <c r="S9409" i="111"/>
  <c r="S9408" i="111"/>
  <c r="S9407" i="111"/>
  <c r="S9406" i="111"/>
  <c r="S9405" i="111"/>
  <c r="S9404" i="111"/>
  <c r="S9403" i="111"/>
  <c r="S9402" i="111"/>
  <c r="S9401" i="111"/>
  <c r="S9400" i="111"/>
  <c r="S9399" i="111"/>
  <c r="S9398" i="111"/>
  <c r="S9397" i="111"/>
  <c r="S9396" i="111"/>
  <c r="S9395" i="111"/>
  <c r="S9394" i="111"/>
  <c r="S9393" i="111"/>
  <c r="S9392" i="111"/>
  <c r="S9391" i="111"/>
  <c r="S9390" i="111"/>
  <c r="S9389" i="111"/>
  <c r="S9388" i="111"/>
  <c r="S9387" i="111"/>
  <c r="S9386" i="111"/>
  <c r="S9385" i="111"/>
  <c r="S9384" i="111"/>
  <c r="S9383" i="111"/>
  <c r="S9382" i="111"/>
  <c r="S9381" i="111"/>
  <c r="S9380" i="111"/>
  <c r="S9379" i="111"/>
  <c r="S9378" i="111"/>
  <c r="S9377" i="111"/>
  <c r="S9376" i="111"/>
  <c r="S9375" i="111"/>
  <c r="S9374" i="111"/>
  <c r="S9373" i="111"/>
  <c r="S9372" i="111"/>
  <c r="S9371" i="111"/>
  <c r="S9370" i="111"/>
  <c r="S9369" i="111"/>
  <c r="S9368" i="111"/>
  <c r="S9367" i="111"/>
  <c r="S9366" i="111"/>
  <c r="S9365" i="111"/>
  <c r="S9364" i="111"/>
  <c r="S9363" i="111"/>
  <c r="S9362" i="111"/>
  <c r="S9361" i="111"/>
  <c r="S9360" i="111"/>
  <c r="S9359" i="111"/>
  <c r="S9358" i="111"/>
  <c r="S9357" i="111"/>
  <c r="S9356" i="111"/>
  <c r="S9355" i="111"/>
  <c r="S9354" i="111"/>
  <c r="S9353" i="111"/>
  <c r="S9352" i="111"/>
  <c r="S9351" i="111"/>
  <c r="S9350" i="111"/>
  <c r="S9349" i="111"/>
  <c r="S9348" i="111"/>
  <c r="S9347" i="111"/>
  <c r="S9346" i="111"/>
  <c r="S9345" i="111"/>
  <c r="S9344" i="111"/>
  <c r="S9343" i="111"/>
  <c r="S9342" i="111"/>
  <c r="S9341" i="111"/>
  <c r="S9340" i="111"/>
  <c r="S9339" i="111"/>
  <c r="S9338" i="111"/>
  <c r="S9337" i="111"/>
  <c r="S9336" i="111"/>
  <c r="S9335" i="111"/>
  <c r="S9334" i="111"/>
  <c r="S9333" i="111"/>
  <c r="S9332" i="111"/>
  <c r="S9331" i="111"/>
  <c r="S9330" i="111"/>
  <c r="S9329" i="111"/>
  <c r="S9328" i="111"/>
  <c r="S9327" i="111"/>
  <c r="S9326" i="111"/>
  <c r="S9325" i="111"/>
  <c r="S9324" i="111"/>
  <c r="S9323" i="111"/>
  <c r="S9322" i="111"/>
  <c r="S9321" i="111"/>
  <c r="S9320" i="111"/>
  <c r="S9319" i="111"/>
  <c r="S9318" i="111"/>
  <c r="S9317" i="111"/>
  <c r="S9316" i="111"/>
  <c r="S9315" i="111"/>
  <c r="S9314" i="111"/>
  <c r="S9313" i="111"/>
  <c r="S9312" i="111"/>
  <c r="S9311" i="111"/>
  <c r="S9310" i="111"/>
  <c r="S9309" i="111"/>
  <c r="S9308" i="111"/>
  <c r="S9307" i="111"/>
  <c r="S9306" i="111"/>
  <c r="S9305" i="111"/>
  <c r="S9304" i="111"/>
  <c r="S9303" i="111"/>
  <c r="S9302" i="111"/>
  <c r="S9301" i="111"/>
  <c r="S9300" i="111"/>
  <c r="S9299" i="111"/>
  <c r="S9298" i="111"/>
  <c r="S9297" i="111"/>
  <c r="S9296" i="111"/>
  <c r="S9295" i="111"/>
  <c r="S9294" i="111"/>
  <c r="S9293" i="111"/>
  <c r="S9292" i="111"/>
  <c r="S9291" i="111"/>
  <c r="S9290" i="111"/>
  <c r="S9289" i="111"/>
  <c r="S9288" i="111"/>
  <c r="S9287" i="111"/>
  <c r="S9286" i="111"/>
  <c r="S9285" i="111"/>
  <c r="S9284" i="111"/>
  <c r="S9283" i="111"/>
  <c r="S9282" i="111"/>
  <c r="S9281" i="111"/>
  <c r="S9280" i="111"/>
  <c r="S9279" i="111"/>
  <c r="S9278" i="111"/>
  <c r="S9277" i="111"/>
  <c r="S9276" i="111"/>
  <c r="S9275" i="111"/>
  <c r="S9274" i="111"/>
  <c r="S9273" i="111"/>
  <c r="S9272" i="111"/>
  <c r="S9271" i="111"/>
  <c r="S9270" i="111"/>
  <c r="S9269" i="111"/>
  <c r="S9268" i="111"/>
  <c r="S9267" i="111"/>
  <c r="S9266" i="111"/>
  <c r="S9265" i="111"/>
  <c r="S9264" i="111"/>
  <c r="S9263" i="111"/>
  <c r="S9262" i="111"/>
  <c r="S9261" i="111"/>
  <c r="S9260" i="111"/>
  <c r="S9259" i="111"/>
  <c r="S9258" i="111"/>
  <c r="S9257" i="111"/>
  <c r="S9256" i="111"/>
  <c r="S9255" i="111"/>
  <c r="S9254" i="111"/>
  <c r="S9253" i="111"/>
  <c r="S9252" i="111"/>
  <c r="S9251" i="111"/>
  <c r="S9250" i="111"/>
  <c r="S9249" i="111"/>
  <c r="S9248" i="111"/>
  <c r="S9247" i="111"/>
  <c r="S9246" i="111"/>
  <c r="S9245" i="111"/>
  <c r="S9244" i="111"/>
  <c r="S9243" i="111"/>
  <c r="S9242" i="111"/>
  <c r="S9241" i="111"/>
  <c r="S9240" i="111"/>
  <c r="S9239" i="111"/>
  <c r="S9238" i="111"/>
  <c r="S9237" i="111"/>
  <c r="S9236" i="111"/>
  <c r="S9235" i="111"/>
  <c r="S9234" i="111"/>
  <c r="S9233" i="111"/>
  <c r="S9232" i="111"/>
  <c r="S9231" i="111"/>
  <c r="S9230" i="111"/>
  <c r="S9229" i="111"/>
  <c r="S9228" i="111"/>
  <c r="S9227" i="111"/>
  <c r="S9226" i="111"/>
  <c r="S9225" i="111"/>
  <c r="S9224" i="111"/>
  <c r="S9223" i="111"/>
  <c r="S9222" i="111"/>
  <c r="S9221" i="111"/>
  <c r="S9220" i="111"/>
  <c r="S9219" i="111"/>
  <c r="S9218" i="111"/>
  <c r="S9217" i="111"/>
  <c r="S9216" i="111"/>
  <c r="S9215" i="111"/>
  <c r="S9214" i="111"/>
  <c r="S9213" i="111"/>
  <c r="S9212" i="111"/>
  <c r="S9211" i="111"/>
  <c r="S9210" i="111"/>
  <c r="S9209" i="111"/>
  <c r="S9208" i="111"/>
  <c r="S9207" i="111"/>
  <c r="S9206" i="111"/>
  <c r="S9205" i="111"/>
  <c r="S9204" i="111"/>
  <c r="S9203" i="111"/>
  <c r="S9202" i="111"/>
  <c r="S9201" i="111"/>
  <c r="S9200" i="111"/>
  <c r="S9199" i="111"/>
  <c r="S9198" i="111"/>
  <c r="S9197" i="111"/>
  <c r="S9196" i="111"/>
  <c r="S9195" i="111"/>
  <c r="S9194" i="111"/>
  <c r="S9193" i="111"/>
  <c r="S9192" i="111"/>
  <c r="S9191" i="111"/>
  <c r="S9190" i="111"/>
  <c r="S9189" i="111"/>
  <c r="S9188" i="111"/>
  <c r="S9187" i="111"/>
  <c r="S9186" i="111"/>
  <c r="S9185" i="111"/>
  <c r="S9184" i="111"/>
  <c r="S9183" i="111"/>
  <c r="S9182" i="111"/>
  <c r="S9181" i="111"/>
  <c r="S9180" i="111"/>
  <c r="S9179" i="111"/>
  <c r="S9178" i="111"/>
  <c r="S9177" i="111"/>
  <c r="S9176" i="111"/>
  <c r="S9175" i="111"/>
  <c r="S9174" i="111"/>
  <c r="S9173" i="111"/>
  <c r="S9172" i="111"/>
  <c r="S9171" i="111"/>
  <c r="S9170" i="111"/>
  <c r="S9169" i="111"/>
  <c r="S9168" i="111"/>
  <c r="S9167" i="111"/>
  <c r="S9166" i="111"/>
  <c r="S9165" i="111"/>
  <c r="S9164" i="111"/>
  <c r="S9163" i="111"/>
  <c r="S9162" i="111"/>
  <c r="S9161" i="111"/>
  <c r="S9160" i="111"/>
  <c r="S9159" i="111"/>
  <c r="S9158" i="111"/>
  <c r="S9157" i="111"/>
  <c r="S9156" i="111"/>
  <c r="S9155" i="111"/>
  <c r="S9154" i="111"/>
  <c r="S9153" i="111"/>
  <c r="S9152" i="111"/>
  <c r="S9151" i="111"/>
  <c r="S9150" i="111"/>
  <c r="S9149" i="111"/>
  <c r="S9148" i="111"/>
  <c r="S9147" i="111"/>
  <c r="S9146" i="111"/>
  <c r="S9145" i="111"/>
  <c r="S9144" i="111"/>
  <c r="S9143" i="111"/>
  <c r="S9142" i="111"/>
  <c r="S9141" i="111"/>
  <c r="S9140" i="111"/>
  <c r="S9139" i="111"/>
  <c r="S9138" i="111"/>
  <c r="S9137" i="111"/>
  <c r="S9136" i="111"/>
  <c r="S9135" i="111"/>
  <c r="S9134" i="111"/>
  <c r="S9133" i="111"/>
  <c r="S9132" i="111"/>
  <c r="S9131" i="111"/>
  <c r="S9130" i="111"/>
  <c r="S9129" i="111"/>
  <c r="S9128" i="111"/>
  <c r="S9127" i="111"/>
  <c r="S9126" i="111"/>
  <c r="S9125" i="111"/>
  <c r="S9124" i="111"/>
  <c r="S9123" i="111"/>
  <c r="S9122" i="111"/>
  <c r="S9121" i="111"/>
  <c r="S9120" i="111"/>
  <c r="S9119" i="111"/>
  <c r="S9118" i="111"/>
  <c r="S9117" i="111"/>
  <c r="S9116" i="111"/>
  <c r="S9115" i="111"/>
  <c r="S9114" i="111"/>
  <c r="S9113" i="111"/>
  <c r="S9112" i="111"/>
  <c r="S9111" i="111"/>
  <c r="S9110" i="111"/>
  <c r="S9109" i="111"/>
  <c r="S9108" i="111"/>
  <c r="S9107" i="111"/>
  <c r="S9106" i="111"/>
  <c r="S9105" i="111"/>
  <c r="S9104" i="111"/>
  <c r="S9103" i="111"/>
  <c r="S9102" i="111"/>
  <c r="S9101" i="111"/>
  <c r="S9100" i="111"/>
  <c r="S9099" i="111"/>
  <c r="S9098" i="111"/>
  <c r="S9097" i="111"/>
  <c r="S9096" i="111"/>
  <c r="S9095" i="111"/>
  <c r="S9094" i="111"/>
  <c r="S9093" i="111"/>
  <c r="S9092" i="111"/>
  <c r="S9091" i="111"/>
  <c r="S9090" i="111"/>
  <c r="S9089" i="111"/>
  <c r="S9088" i="111"/>
  <c r="S9087" i="111"/>
  <c r="S9086" i="111"/>
  <c r="S9085" i="111"/>
  <c r="S9084" i="111"/>
  <c r="S9083" i="111"/>
  <c r="S9082" i="111"/>
  <c r="S9081" i="111"/>
  <c r="S9080" i="111"/>
  <c r="S9079" i="111"/>
  <c r="S9078" i="111"/>
  <c r="S9077" i="111"/>
  <c r="S9076" i="111"/>
  <c r="S9075" i="111"/>
  <c r="S9074" i="111"/>
  <c r="S9073" i="111"/>
  <c r="S9072" i="111"/>
  <c r="S9071" i="111"/>
  <c r="S9070" i="111"/>
  <c r="S9069" i="111"/>
  <c r="S9068" i="111"/>
  <c r="S9067" i="111"/>
  <c r="S9066" i="111"/>
  <c r="S9065" i="111"/>
  <c r="S9064" i="111"/>
  <c r="S9063" i="111"/>
  <c r="S9062" i="111"/>
  <c r="S9061" i="111"/>
  <c r="S9060" i="111"/>
  <c r="S9059" i="111"/>
  <c r="S9058" i="111"/>
  <c r="S9057" i="111"/>
  <c r="S9056" i="111"/>
  <c r="S9055" i="111"/>
  <c r="S9054" i="111"/>
  <c r="S9053" i="111"/>
  <c r="S9052" i="111"/>
  <c r="S9051" i="111"/>
  <c r="S9050" i="111"/>
  <c r="S9049" i="111"/>
  <c r="S9048" i="111"/>
  <c r="S9047" i="111"/>
  <c r="S9046" i="111"/>
  <c r="S9045" i="111"/>
  <c r="S9044" i="111"/>
  <c r="S9043" i="111"/>
  <c r="S9042" i="111"/>
  <c r="S9041" i="111"/>
  <c r="S9040" i="111"/>
  <c r="S9039" i="111"/>
  <c r="S9038" i="111"/>
  <c r="S9037" i="111"/>
  <c r="S9036" i="111"/>
  <c r="S9035" i="111"/>
  <c r="S9034" i="111"/>
  <c r="S9033" i="111"/>
  <c r="S9032" i="111"/>
  <c r="S9031" i="111"/>
  <c r="S9030" i="111"/>
  <c r="S9029" i="111"/>
  <c r="S9028" i="111"/>
  <c r="S9027" i="111"/>
  <c r="S9026" i="111"/>
  <c r="S9025" i="111"/>
  <c r="S9024" i="111"/>
  <c r="S9023" i="111"/>
  <c r="S9022" i="111"/>
  <c r="S9021" i="111"/>
  <c r="S9020" i="111"/>
  <c r="S9019" i="111"/>
  <c r="S9018" i="111"/>
  <c r="S9017" i="111"/>
  <c r="S9016" i="111"/>
  <c r="S9015" i="111"/>
  <c r="S9014" i="111"/>
  <c r="S9013" i="111"/>
  <c r="S9012" i="111"/>
  <c r="S9011" i="111"/>
  <c r="S9010" i="111"/>
  <c r="S9009" i="111"/>
  <c r="S9008" i="111"/>
  <c r="S9007" i="111"/>
  <c r="S9006" i="111"/>
  <c r="S9005" i="111"/>
  <c r="S9004" i="111"/>
  <c r="S9003" i="111"/>
  <c r="S9002" i="111"/>
  <c r="S9001" i="111"/>
  <c r="S9000" i="111"/>
  <c r="S8999" i="111"/>
  <c r="S8998" i="111"/>
  <c r="S8997" i="111"/>
  <c r="S8996" i="111"/>
  <c r="S8995" i="111"/>
  <c r="S8994" i="111"/>
  <c r="S8993" i="111"/>
  <c r="S8992" i="111"/>
  <c r="S8991" i="111"/>
  <c r="S8990" i="111"/>
  <c r="S8989" i="111"/>
  <c r="S8988" i="111"/>
  <c r="S8987" i="111"/>
  <c r="S8986" i="111"/>
  <c r="S8985" i="111"/>
  <c r="S8984" i="111"/>
  <c r="S8983" i="111"/>
  <c r="S8982" i="111"/>
  <c r="S8981" i="111"/>
  <c r="S8980" i="111"/>
  <c r="S8979" i="111"/>
  <c r="S8978" i="111"/>
  <c r="S8977" i="111"/>
  <c r="S8976" i="111"/>
  <c r="S8975" i="111"/>
  <c r="S8974" i="111"/>
  <c r="S8973" i="111"/>
  <c r="S8972" i="111"/>
  <c r="S8971" i="111"/>
  <c r="S8970" i="111"/>
  <c r="S8969" i="111"/>
  <c r="S8968" i="111"/>
  <c r="S8967" i="111"/>
  <c r="S8966" i="111"/>
  <c r="S8965" i="111"/>
  <c r="S8964" i="111"/>
  <c r="S8963" i="111"/>
  <c r="S8962" i="111"/>
  <c r="S8961" i="111"/>
  <c r="S8960" i="111"/>
  <c r="S8959" i="111"/>
  <c r="S8958" i="111"/>
  <c r="S8957" i="111"/>
  <c r="S8956" i="111"/>
  <c r="S8955" i="111"/>
  <c r="S8954" i="111"/>
  <c r="S8953" i="111"/>
  <c r="S8952" i="111"/>
  <c r="S8951" i="111"/>
  <c r="S8950" i="111"/>
  <c r="S8949" i="111"/>
  <c r="S8948" i="111"/>
  <c r="S8947" i="111"/>
  <c r="S8946" i="111"/>
  <c r="S8945" i="111"/>
  <c r="S8944" i="111"/>
  <c r="S8943" i="111"/>
  <c r="S8942" i="111"/>
  <c r="S8941" i="111"/>
  <c r="S8940" i="111"/>
  <c r="S8939" i="111"/>
  <c r="S8938" i="111"/>
  <c r="S8937" i="111"/>
  <c r="S8936" i="111"/>
  <c r="S8935" i="111"/>
  <c r="S8934" i="111"/>
  <c r="S8933" i="111"/>
  <c r="S8932" i="111"/>
  <c r="S8931" i="111"/>
  <c r="S8930" i="111"/>
  <c r="S8929" i="111"/>
  <c r="S8928" i="111"/>
  <c r="S8927" i="111"/>
  <c r="S8926" i="111"/>
  <c r="S8925" i="111"/>
  <c r="S8924" i="111"/>
  <c r="S8923" i="111"/>
  <c r="S8922" i="111"/>
  <c r="S8921" i="111"/>
  <c r="S8920" i="111"/>
  <c r="S8919" i="111"/>
  <c r="S8918" i="111"/>
  <c r="S8917" i="111"/>
  <c r="S8916" i="111"/>
  <c r="S8915" i="111"/>
  <c r="S8914" i="111"/>
  <c r="S8913" i="111"/>
  <c r="S8912" i="111"/>
  <c r="S8911" i="111"/>
  <c r="S8910" i="111"/>
  <c r="S8909" i="111"/>
  <c r="S8908" i="111"/>
  <c r="S8907" i="111"/>
  <c r="S8906" i="111"/>
  <c r="S8905" i="111"/>
  <c r="S8904" i="111"/>
  <c r="S8903" i="111"/>
  <c r="S8902" i="111"/>
  <c r="S8901" i="111"/>
  <c r="S8900" i="111"/>
  <c r="S8899" i="111"/>
  <c r="S8898" i="111"/>
  <c r="S8897" i="111"/>
  <c r="S8896" i="111"/>
  <c r="S8895" i="111"/>
  <c r="S8894" i="111"/>
  <c r="S8893" i="111"/>
  <c r="S8892" i="111"/>
  <c r="S8891" i="111"/>
  <c r="S8890" i="111"/>
  <c r="S8889" i="111"/>
  <c r="S8888" i="111"/>
  <c r="S8887" i="111"/>
  <c r="S8886" i="111"/>
  <c r="S8885" i="111"/>
  <c r="S8884" i="111"/>
  <c r="S8883" i="111"/>
  <c r="S8882" i="111"/>
  <c r="S8881" i="111"/>
  <c r="S8880" i="111"/>
  <c r="S8879" i="111"/>
  <c r="S8878" i="111"/>
  <c r="S8877" i="111"/>
  <c r="S8876" i="111"/>
  <c r="S8875" i="111"/>
  <c r="S8874" i="111"/>
  <c r="S8873" i="111"/>
  <c r="S8872" i="111"/>
  <c r="S8871" i="111"/>
  <c r="S8870" i="111"/>
  <c r="S8869" i="111"/>
  <c r="S8868" i="111"/>
  <c r="S8867" i="111"/>
  <c r="S8866" i="111"/>
  <c r="S8865" i="111"/>
  <c r="S8864" i="111"/>
  <c r="S8863" i="111"/>
  <c r="S8862" i="111"/>
  <c r="S8861" i="111"/>
  <c r="S8860" i="111"/>
  <c r="S8859" i="111"/>
  <c r="S8858" i="111"/>
  <c r="S8857" i="111"/>
  <c r="S8856" i="111"/>
  <c r="S8855" i="111"/>
  <c r="S8854" i="111"/>
  <c r="S8853" i="111"/>
  <c r="S8852" i="111"/>
  <c r="S8851" i="111"/>
  <c r="S8850" i="111"/>
  <c r="S8849" i="111"/>
  <c r="S8848" i="111"/>
  <c r="S8847" i="111"/>
  <c r="S8846" i="111"/>
  <c r="S8845" i="111"/>
  <c r="S8844" i="111"/>
  <c r="S8843" i="111"/>
  <c r="S8842" i="111"/>
  <c r="S8841" i="111"/>
  <c r="S8840" i="111"/>
  <c r="S8839" i="111"/>
  <c r="S8838" i="111"/>
  <c r="S8837" i="111"/>
  <c r="S8836" i="111"/>
  <c r="S8835" i="111"/>
  <c r="S8834" i="111"/>
  <c r="S8833" i="111"/>
  <c r="S8832" i="111"/>
  <c r="S8831" i="111"/>
  <c r="S8830" i="111"/>
  <c r="S8829" i="111"/>
  <c r="S8828" i="111"/>
  <c r="S8827" i="111"/>
  <c r="S8826" i="111"/>
  <c r="S8825" i="111"/>
  <c r="S8824" i="111"/>
  <c r="S8823" i="111"/>
  <c r="S8822" i="111"/>
  <c r="S8821" i="111"/>
  <c r="S8820" i="111"/>
  <c r="S8819" i="111"/>
  <c r="S8818" i="111"/>
  <c r="S8817" i="111"/>
  <c r="S8816" i="111"/>
  <c r="S8815" i="111"/>
  <c r="S8814" i="111"/>
  <c r="S8813" i="111"/>
  <c r="S8812" i="111"/>
  <c r="S8811" i="111"/>
  <c r="S8810" i="111"/>
  <c r="S8809" i="111"/>
  <c r="S8808" i="111"/>
  <c r="S8807" i="111"/>
  <c r="S8806" i="111"/>
  <c r="S8805" i="111"/>
  <c r="S8804" i="111"/>
  <c r="S8803" i="111"/>
  <c r="S8802" i="111"/>
  <c r="S8801" i="111"/>
  <c r="S8800" i="111"/>
  <c r="S8799" i="111"/>
  <c r="S8798" i="111"/>
  <c r="S8797" i="111"/>
  <c r="S8796" i="111"/>
  <c r="S8795" i="111"/>
  <c r="S8794" i="111"/>
  <c r="S8793" i="111"/>
  <c r="S8792" i="111"/>
  <c r="S8791" i="111"/>
  <c r="S8790" i="111"/>
  <c r="S8789" i="111"/>
  <c r="S8788" i="111"/>
  <c r="S8787" i="111"/>
  <c r="S8786" i="111"/>
  <c r="S8785" i="111"/>
  <c r="S8784" i="111"/>
  <c r="S8783" i="111"/>
  <c r="S8782" i="111"/>
  <c r="S8781" i="111"/>
  <c r="S8780" i="111"/>
  <c r="S8779" i="111"/>
  <c r="S8778" i="111"/>
  <c r="S8777" i="111"/>
  <c r="S8776" i="111"/>
  <c r="S8775" i="111"/>
  <c r="S8774" i="111"/>
  <c r="S8773" i="111"/>
  <c r="S8772" i="111"/>
  <c r="S8771" i="111"/>
  <c r="S8770" i="111"/>
  <c r="S8769" i="111"/>
  <c r="S8768" i="111"/>
  <c r="S8767" i="111"/>
  <c r="S8766" i="111"/>
  <c r="S8765" i="111"/>
  <c r="S8764" i="111"/>
  <c r="S8763" i="111"/>
  <c r="S8762" i="111"/>
  <c r="S8761" i="111"/>
  <c r="S8760" i="111"/>
  <c r="S8759" i="111"/>
  <c r="S8758" i="111"/>
  <c r="S8757" i="111"/>
  <c r="S8756" i="111"/>
  <c r="S8755" i="111"/>
  <c r="S8754" i="111"/>
  <c r="S8753" i="111"/>
  <c r="S8752" i="111"/>
  <c r="S8751" i="111"/>
  <c r="S8750" i="111"/>
  <c r="S8749" i="111"/>
  <c r="S8748" i="111"/>
  <c r="S8747" i="111"/>
  <c r="S8746" i="111"/>
  <c r="S8745" i="111"/>
  <c r="S8744" i="111"/>
  <c r="S8743" i="111"/>
  <c r="S8742" i="111"/>
  <c r="S8741" i="111"/>
  <c r="S8740" i="111"/>
  <c r="S8739" i="111"/>
  <c r="S8738" i="111"/>
  <c r="S8737" i="111"/>
  <c r="S8736" i="111"/>
  <c r="S8735" i="111"/>
  <c r="S8734" i="111"/>
  <c r="S8733" i="111"/>
  <c r="S8732" i="111"/>
  <c r="S8731" i="111"/>
  <c r="S8730" i="111"/>
  <c r="S8729" i="111"/>
  <c r="S8728" i="111"/>
  <c r="S8727" i="111"/>
  <c r="S8726" i="111"/>
  <c r="S8725" i="111"/>
  <c r="S8724" i="111"/>
  <c r="S8723" i="111"/>
  <c r="S8722" i="111"/>
  <c r="S8721" i="111"/>
  <c r="S8720" i="111"/>
  <c r="S8719" i="111"/>
  <c r="S8718" i="111"/>
  <c r="S8717" i="111"/>
  <c r="S8716" i="111"/>
  <c r="S8715" i="111"/>
  <c r="S8714" i="111"/>
  <c r="S8713" i="111"/>
  <c r="S8712" i="111"/>
  <c r="S8711" i="111"/>
  <c r="S8710" i="111"/>
  <c r="S8709" i="111"/>
  <c r="S8708" i="111"/>
  <c r="S8707" i="111"/>
  <c r="S8706" i="111"/>
  <c r="S8705" i="111"/>
  <c r="S8704" i="111"/>
  <c r="S8703" i="111"/>
  <c r="S8702" i="111"/>
  <c r="S8701" i="111"/>
  <c r="S8700" i="111"/>
  <c r="S8699" i="111"/>
  <c r="S8698" i="111"/>
  <c r="S8697" i="111"/>
  <c r="S8696" i="111"/>
  <c r="S8695" i="111"/>
  <c r="S8694" i="111"/>
  <c r="S8693" i="111"/>
  <c r="S8692" i="111"/>
  <c r="S8691" i="111"/>
  <c r="S8690" i="111"/>
  <c r="S8689" i="111"/>
  <c r="S8688" i="111"/>
  <c r="S8687" i="111"/>
  <c r="S8686" i="111"/>
  <c r="S8685" i="111"/>
  <c r="S8684" i="111"/>
  <c r="S8683" i="111"/>
  <c r="S8682" i="111"/>
  <c r="S8681" i="111"/>
  <c r="S8680" i="111"/>
  <c r="S8679" i="111"/>
  <c r="S8678" i="111"/>
  <c r="S8677" i="111"/>
  <c r="S8676" i="111"/>
  <c r="S8675" i="111"/>
  <c r="S8674" i="111"/>
  <c r="S8673" i="111"/>
  <c r="S8672" i="111"/>
  <c r="S8671" i="111"/>
  <c r="S8670" i="111"/>
  <c r="S8669" i="111"/>
  <c r="S8668" i="111"/>
  <c r="S8667" i="111"/>
  <c r="S8666" i="111"/>
  <c r="S8665" i="111"/>
  <c r="S8664" i="111"/>
  <c r="S8663" i="111"/>
  <c r="S8662" i="111"/>
  <c r="S8661" i="111"/>
  <c r="S8660" i="111"/>
  <c r="S8659" i="111"/>
  <c r="S8658" i="111"/>
  <c r="S8657" i="111"/>
  <c r="S8656" i="111"/>
  <c r="S8655" i="111"/>
  <c r="S8654" i="111"/>
  <c r="S8653" i="111"/>
  <c r="S8652" i="111"/>
  <c r="S8651" i="111"/>
  <c r="S8650" i="111"/>
  <c r="S8649" i="111"/>
  <c r="S8648" i="111"/>
  <c r="S8647" i="111"/>
  <c r="S8646" i="111"/>
  <c r="S8645" i="111"/>
  <c r="S8644" i="111"/>
  <c r="S8643" i="111"/>
  <c r="S8642" i="111"/>
  <c r="S8641" i="111"/>
  <c r="S8640" i="111"/>
  <c r="S8639" i="111"/>
  <c r="S8638" i="111"/>
  <c r="S8637" i="111"/>
  <c r="S8636" i="111"/>
  <c r="S8635" i="111"/>
  <c r="S8634" i="111"/>
  <c r="S8633" i="111"/>
  <c r="S8632" i="111"/>
  <c r="S8631" i="111"/>
  <c r="S8630" i="111"/>
  <c r="S8629" i="111"/>
  <c r="S8628" i="111"/>
  <c r="S8627" i="111"/>
  <c r="S8626" i="111"/>
  <c r="S8625" i="111"/>
  <c r="S8624" i="111"/>
  <c r="S8623" i="111"/>
  <c r="S8622" i="111"/>
  <c r="S8621" i="111"/>
  <c r="S8620" i="111"/>
  <c r="S8619" i="111"/>
  <c r="S8618" i="111"/>
  <c r="S8617" i="111"/>
  <c r="S8616" i="111"/>
  <c r="S8615" i="111"/>
  <c r="S8614" i="111"/>
  <c r="S8613" i="111"/>
  <c r="S8612" i="111"/>
  <c r="S8611" i="111"/>
  <c r="S8610" i="111"/>
  <c r="S8609" i="111"/>
  <c r="S8608" i="111"/>
  <c r="S8607" i="111"/>
  <c r="S8606" i="111"/>
  <c r="S8605" i="111"/>
  <c r="S8604" i="111"/>
  <c r="S8603" i="111"/>
  <c r="S8602" i="111"/>
  <c r="S8601" i="111"/>
  <c r="S8600" i="111"/>
  <c r="S8599" i="111"/>
  <c r="S8598" i="111"/>
  <c r="S8597" i="111"/>
  <c r="S8596" i="111"/>
  <c r="S8595" i="111"/>
  <c r="S8594" i="111"/>
  <c r="S8593" i="111"/>
  <c r="S8592" i="111"/>
  <c r="S8591" i="111"/>
  <c r="S8590" i="111"/>
  <c r="S8589" i="111"/>
  <c r="S8588" i="111"/>
  <c r="S8587" i="111"/>
  <c r="S8586" i="111"/>
  <c r="S8585" i="111"/>
  <c r="S8584" i="111"/>
  <c r="S8583" i="111"/>
  <c r="S8582" i="111"/>
  <c r="S8581" i="111"/>
  <c r="S8580" i="111"/>
  <c r="S8579" i="111"/>
  <c r="S8578" i="111"/>
  <c r="S8577" i="111"/>
  <c r="S8576" i="111"/>
  <c r="S8575" i="111"/>
  <c r="S8574" i="111"/>
  <c r="S8573" i="111"/>
  <c r="S8572" i="111"/>
  <c r="S8571" i="111"/>
  <c r="S8570" i="111"/>
  <c r="S8569" i="111"/>
  <c r="S8568" i="111"/>
  <c r="S8567" i="111"/>
  <c r="S8566" i="111"/>
  <c r="S8565" i="111"/>
  <c r="S8564" i="111"/>
  <c r="S8563" i="111"/>
  <c r="S8562" i="111"/>
  <c r="S8561" i="111"/>
  <c r="S8560" i="111"/>
  <c r="S8559" i="111"/>
  <c r="S8558" i="111"/>
  <c r="S8557" i="111"/>
  <c r="S8556" i="111"/>
  <c r="S8555" i="111"/>
  <c r="S8554" i="111"/>
  <c r="S8553" i="111"/>
  <c r="S8552" i="111"/>
  <c r="S8551" i="111"/>
  <c r="S8550" i="111"/>
  <c r="S8549" i="111"/>
  <c r="S8548" i="111"/>
  <c r="S8547" i="111"/>
  <c r="S8546" i="111"/>
  <c r="S8545" i="111"/>
  <c r="S8544" i="111"/>
  <c r="S8543" i="111"/>
  <c r="S8542" i="111"/>
  <c r="S8541" i="111"/>
  <c r="S8540" i="111"/>
  <c r="S8539" i="111"/>
  <c r="S8538" i="111"/>
  <c r="S8537" i="111"/>
  <c r="S8536" i="111"/>
  <c r="S8535" i="111"/>
  <c r="S8534" i="111"/>
  <c r="S8533" i="111"/>
  <c r="S8532" i="111"/>
  <c r="S8531" i="111"/>
  <c r="S8530" i="111"/>
  <c r="S8529" i="111"/>
  <c r="S8528" i="111"/>
  <c r="S8527" i="111"/>
  <c r="S8526" i="111"/>
  <c r="S8525" i="111"/>
  <c r="S8524" i="111"/>
  <c r="S8523" i="111"/>
  <c r="S8522" i="111"/>
  <c r="S8521" i="111"/>
  <c r="S8520" i="111"/>
  <c r="S8519" i="111"/>
  <c r="S8518" i="111"/>
  <c r="S8517" i="111"/>
  <c r="S8516" i="111"/>
  <c r="S8515" i="111"/>
  <c r="S8514" i="111"/>
  <c r="S8513" i="111"/>
  <c r="S8512" i="111"/>
  <c r="S8511" i="111"/>
  <c r="S8510" i="111"/>
  <c r="S8509" i="111"/>
  <c r="S8508" i="111"/>
  <c r="S8507" i="111"/>
  <c r="S8506" i="111"/>
  <c r="S8505" i="111"/>
  <c r="S8504" i="111"/>
  <c r="S8503" i="111"/>
  <c r="S8502" i="111"/>
  <c r="S8501" i="111"/>
  <c r="S8500" i="111"/>
  <c r="S8499" i="111"/>
  <c r="S8498" i="111"/>
  <c r="S8497" i="111"/>
  <c r="S8496" i="111"/>
  <c r="S8495" i="111"/>
  <c r="S8494" i="111"/>
  <c r="S8493" i="111"/>
  <c r="S8492" i="111"/>
  <c r="S8491" i="111"/>
  <c r="S8490" i="111"/>
  <c r="S8489" i="111"/>
  <c r="S8488" i="111"/>
  <c r="S8487" i="111"/>
  <c r="S8486" i="111"/>
  <c r="S8485" i="111"/>
  <c r="S8484" i="111"/>
  <c r="S8483" i="111"/>
  <c r="S8482" i="111"/>
  <c r="S8481" i="111"/>
  <c r="S8480" i="111"/>
  <c r="S8479" i="111"/>
  <c r="S8478" i="111"/>
  <c r="S8477" i="111"/>
  <c r="S8476" i="111"/>
  <c r="S8475" i="111"/>
  <c r="S8474" i="111"/>
  <c r="S8473" i="111"/>
  <c r="S8472" i="111"/>
  <c r="S8471" i="111"/>
  <c r="S8470" i="111"/>
  <c r="S8469" i="111"/>
  <c r="S8468" i="111"/>
  <c r="S8467" i="111"/>
  <c r="S8466" i="111"/>
  <c r="S8465" i="111"/>
  <c r="S8464" i="111"/>
  <c r="S8463" i="111"/>
  <c r="S8462" i="111"/>
  <c r="S8461" i="111"/>
  <c r="S8460" i="111"/>
  <c r="S8459" i="111"/>
  <c r="S8458" i="111"/>
  <c r="S8457" i="111"/>
  <c r="S8456" i="111"/>
  <c r="S8455" i="111"/>
  <c r="S8454" i="111"/>
  <c r="S8453" i="111"/>
  <c r="S8452" i="111"/>
  <c r="S8451" i="111"/>
  <c r="S8450" i="111"/>
  <c r="S8449" i="111"/>
  <c r="S8448" i="111"/>
  <c r="S8447" i="111"/>
  <c r="S8446" i="111"/>
  <c r="S8445" i="111"/>
  <c r="S8444" i="111"/>
  <c r="S8443" i="111"/>
  <c r="S8442" i="111"/>
  <c r="S8441" i="111"/>
  <c r="S8440" i="111"/>
  <c r="S8439" i="111"/>
  <c r="S8438" i="111"/>
  <c r="S8437" i="111"/>
  <c r="S8436" i="111"/>
  <c r="S8435" i="111"/>
  <c r="S8434" i="111"/>
  <c r="S8433" i="111"/>
  <c r="S8432" i="111"/>
  <c r="S8431" i="111"/>
  <c r="S8430" i="111"/>
  <c r="S8429" i="111"/>
  <c r="S8428" i="111"/>
  <c r="S8427" i="111"/>
  <c r="S8426" i="111"/>
  <c r="S8425" i="111"/>
  <c r="S8424" i="111"/>
  <c r="S8423" i="111"/>
  <c r="S8422" i="111"/>
  <c r="S8421" i="111"/>
  <c r="S8420" i="111"/>
  <c r="S8419" i="111"/>
  <c r="S8418" i="111"/>
  <c r="S8417" i="111"/>
  <c r="S8416" i="111"/>
  <c r="S8415" i="111"/>
  <c r="S8414" i="111"/>
  <c r="S8413" i="111"/>
  <c r="S8412" i="111"/>
  <c r="S8411" i="111"/>
  <c r="S8410" i="111"/>
  <c r="S8409" i="111"/>
  <c r="S8408" i="111"/>
  <c r="S8407" i="111"/>
  <c r="S8406" i="111"/>
  <c r="S8405" i="111"/>
  <c r="S8404" i="111"/>
  <c r="S8403" i="111"/>
  <c r="S8402" i="111"/>
  <c r="S8401" i="111"/>
  <c r="S8400" i="111"/>
  <c r="S8399" i="111"/>
  <c r="S8398" i="111"/>
  <c r="S8397" i="111"/>
  <c r="S8396" i="111"/>
  <c r="S8395" i="111"/>
  <c r="S8394" i="111"/>
  <c r="S8393" i="111"/>
  <c r="S8392" i="111"/>
  <c r="S8391" i="111"/>
  <c r="S8390" i="111"/>
  <c r="S8389" i="111"/>
  <c r="S8388" i="111"/>
  <c r="S8387" i="111"/>
  <c r="S8386" i="111"/>
  <c r="S8385" i="111"/>
  <c r="S8384" i="111"/>
  <c r="S8383" i="111"/>
  <c r="S8382" i="111"/>
  <c r="S8381" i="111"/>
  <c r="S8380" i="111"/>
  <c r="S8379" i="111"/>
  <c r="S8378" i="111"/>
  <c r="S8377" i="111"/>
  <c r="S8376" i="111"/>
  <c r="S8375" i="111"/>
  <c r="S8374" i="111"/>
  <c r="S8373" i="111"/>
  <c r="S8372" i="111"/>
  <c r="S8371" i="111"/>
  <c r="S8370" i="111"/>
  <c r="S8369" i="111"/>
  <c r="S8368" i="111"/>
  <c r="S8367" i="111"/>
  <c r="S8366" i="111"/>
  <c r="S8365" i="111"/>
  <c r="S8364" i="111"/>
  <c r="S8363" i="111"/>
  <c r="S8362" i="111"/>
  <c r="S8361" i="111"/>
  <c r="S8360" i="111"/>
  <c r="S8359" i="111"/>
  <c r="S8358" i="111"/>
  <c r="S8357" i="111"/>
  <c r="S8356" i="111"/>
  <c r="S8355" i="111"/>
  <c r="S8354" i="111"/>
  <c r="S8353" i="111"/>
  <c r="S8352" i="111"/>
  <c r="S8351" i="111"/>
  <c r="S8350" i="111"/>
  <c r="S8349" i="111"/>
  <c r="S8348" i="111"/>
  <c r="S8347" i="111"/>
  <c r="S8346" i="111"/>
  <c r="S8345" i="111"/>
  <c r="S8344" i="111"/>
  <c r="S8343" i="111"/>
  <c r="S8342" i="111"/>
  <c r="S8341" i="111"/>
  <c r="S8340" i="111"/>
  <c r="S8339" i="111"/>
  <c r="S8338" i="111"/>
  <c r="S8337" i="111"/>
  <c r="S8336" i="111"/>
  <c r="S8335" i="111"/>
  <c r="S8334" i="111"/>
  <c r="S8333" i="111"/>
  <c r="S8332" i="111"/>
  <c r="S8331" i="111"/>
  <c r="S8330" i="111"/>
  <c r="S8329" i="111"/>
  <c r="S8328" i="111"/>
  <c r="S8327" i="111"/>
  <c r="S8326" i="111"/>
  <c r="S8325" i="111"/>
  <c r="S8324" i="111"/>
  <c r="S8323" i="111"/>
  <c r="S8322" i="111"/>
  <c r="S8321" i="111"/>
  <c r="S8320" i="111"/>
  <c r="S8319" i="111"/>
  <c r="S8318" i="111"/>
  <c r="S8317" i="111"/>
  <c r="S8316" i="111"/>
  <c r="S8315" i="111"/>
  <c r="S8314" i="111"/>
  <c r="S8313" i="111"/>
  <c r="S8312" i="111"/>
  <c r="S8311" i="111"/>
  <c r="S8310" i="111"/>
  <c r="S8309" i="111"/>
  <c r="S8308" i="111"/>
  <c r="S8307" i="111"/>
  <c r="S8306" i="111"/>
  <c r="S8305" i="111"/>
  <c r="S8304" i="111"/>
  <c r="S8303" i="111"/>
  <c r="S8302" i="111"/>
  <c r="S8301" i="111"/>
  <c r="S8300" i="111"/>
  <c r="S8299" i="111"/>
  <c r="S8298" i="111"/>
  <c r="S8297" i="111"/>
  <c r="S8296" i="111"/>
  <c r="S8295" i="111"/>
  <c r="S8294" i="111"/>
  <c r="S8293" i="111"/>
  <c r="S8292" i="111"/>
  <c r="S8291" i="111"/>
  <c r="S8290" i="111"/>
  <c r="S8289" i="111"/>
  <c r="S8288" i="111"/>
  <c r="S8287" i="111"/>
  <c r="S8286" i="111"/>
  <c r="S8285" i="111"/>
  <c r="S8284" i="111"/>
  <c r="S8283" i="111"/>
  <c r="S8282" i="111"/>
  <c r="S8281" i="111"/>
  <c r="S8280" i="111"/>
  <c r="S8279" i="111"/>
  <c r="S8278" i="111"/>
  <c r="S8277" i="111"/>
  <c r="S8276" i="111"/>
  <c r="S8275" i="111"/>
  <c r="S8274" i="111"/>
  <c r="S8273" i="111"/>
  <c r="S8272" i="111"/>
  <c r="S8271" i="111"/>
  <c r="S8270" i="111"/>
  <c r="S8269" i="111"/>
  <c r="S8268" i="111"/>
  <c r="S8267" i="111"/>
  <c r="S8266" i="111"/>
  <c r="S8265" i="111"/>
  <c r="S8264" i="111"/>
  <c r="S8263" i="111"/>
  <c r="S8262" i="111"/>
  <c r="S8261" i="111"/>
  <c r="S8260" i="111"/>
  <c r="S8259" i="111"/>
  <c r="S8258" i="111"/>
  <c r="S8257" i="111"/>
  <c r="S8256" i="111"/>
  <c r="S8255" i="111"/>
  <c r="S8254" i="111"/>
  <c r="S8253" i="111"/>
  <c r="S8252" i="111"/>
  <c r="S8251" i="111"/>
  <c r="S8250" i="111"/>
  <c r="S8249" i="111"/>
  <c r="S8248" i="111"/>
  <c r="S8247" i="111"/>
  <c r="S8246" i="111"/>
  <c r="S8245" i="111"/>
  <c r="S8244" i="111"/>
  <c r="S8243" i="111"/>
  <c r="S8242" i="111"/>
  <c r="S8241" i="111"/>
  <c r="S8240" i="111"/>
  <c r="S8239" i="111"/>
  <c r="S8238" i="111"/>
  <c r="S8237" i="111"/>
  <c r="S8236" i="111"/>
  <c r="S8235" i="111"/>
  <c r="S8234" i="111"/>
  <c r="S8233" i="111"/>
  <c r="S8232" i="111"/>
  <c r="S8231" i="111"/>
  <c r="S8230" i="111"/>
  <c r="S8229" i="111"/>
  <c r="S8228" i="111"/>
  <c r="S8227" i="111"/>
  <c r="S8226" i="111"/>
  <c r="S8225" i="111"/>
  <c r="S8224" i="111"/>
  <c r="S8223" i="111"/>
  <c r="S8222" i="111"/>
  <c r="S8221" i="111"/>
  <c r="S8220" i="111"/>
  <c r="S8219" i="111"/>
  <c r="S8218" i="111"/>
  <c r="S8217" i="111"/>
  <c r="S8216" i="111"/>
  <c r="S8215" i="111"/>
  <c r="S8214" i="111"/>
  <c r="S8213" i="111"/>
  <c r="S8212" i="111"/>
  <c r="S8211" i="111"/>
  <c r="S8210" i="111"/>
  <c r="S8209" i="111"/>
  <c r="S8208" i="111"/>
  <c r="S8207" i="111"/>
  <c r="S8206" i="111"/>
  <c r="S8205" i="111"/>
  <c r="S8204" i="111"/>
  <c r="S8203" i="111"/>
  <c r="S8202" i="111"/>
  <c r="S8201" i="111"/>
  <c r="S8200" i="111"/>
  <c r="S8199" i="111"/>
  <c r="S8198" i="111"/>
  <c r="S8197" i="111"/>
  <c r="S8196" i="111"/>
  <c r="S8195" i="111"/>
  <c r="S8194" i="111"/>
  <c r="S8193" i="111"/>
  <c r="S8192" i="111"/>
  <c r="S8191" i="111"/>
  <c r="S8190" i="111"/>
  <c r="S8189" i="111"/>
  <c r="S8188" i="111"/>
  <c r="S8187" i="111"/>
  <c r="S8186" i="111"/>
  <c r="S8185" i="111"/>
  <c r="S8184" i="111"/>
  <c r="S8183" i="111"/>
  <c r="S8182" i="111"/>
  <c r="S8181" i="111"/>
  <c r="S8180" i="111"/>
  <c r="S8179" i="111"/>
  <c r="S8178" i="111"/>
  <c r="S8177" i="111"/>
  <c r="S8176" i="111"/>
  <c r="S8175" i="111"/>
  <c r="S8174" i="111"/>
  <c r="S8173" i="111"/>
  <c r="S8172" i="111"/>
  <c r="S8171" i="111"/>
  <c r="S8170" i="111"/>
  <c r="S8169" i="111"/>
  <c r="S8168" i="111"/>
  <c r="S8167" i="111"/>
  <c r="S8166" i="111"/>
  <c r="S8165" i="111"/>
  <c r="S8164" i="111"/>
  <c r="S8163" i="111"/>
  <c r="S8162" i="111"/>
  <c r="S8161" i="111"/>
  <c r="S8160" i="111"/>
  <c r="S8159" i="111"/>
  <c r="S8158" i="111"/>
  <c r="S8157" i="111"/>
  <c r="S8156" i="111"/>
  <c r="S8155" i="111"/>
  <c r="S8154" i="111"/>
  <c r="S8153" i="111"/>
  <c r="S8152" i="111"/>
  <c r="S8151" i="111"/>
  <c r="S8150" i="111"/>
  <c r="S8149" i="111"/>
  <c r="S8148" i="111"/>
  <c r="S8147" i="111"/>
  <c r="S8146" i="111"/>
  <c r="S8145" i="111"/>
  <c r="S8144" i="111"/>
  <c r="S8143" i="111"/>
  <c r="S8142" i="111"/>
  <c r="S8141" i="111"/>
  <c r="S8140" i="111"/>
  <c r="S8139" i="111"/>
  <c r="S8138" i="111"/>
  <c r="S8137" i="111"/>
  <c r="S8136" i="111"/>
  <c r="S8135" i="111"/>
  <c r="S8134" i="111"/>
  <c r="S8133" i="111"/>
  <c r="S8132" i="111"/>
  <c r="S8131" i="111"/>
  <c r="S8130" i="111"/>
  <c r="S8129" i="111"/>
  <c r="S8128" i="111"/>
  <c r="S8127" i="111"/>
  <c r="S8126" i="111"/>
  <c r="S8125" i="111"/>
  <c r="S8124" i="111"/>
  <c r="S8123" i="111"/>
  <c r="S8122" i="111"/>
  <c r="S8121" i="111"/>
  <c r="S8120" i="111"/>
  <c r="S8119" i="111"/>
  <c r="S8118" i="111"/>
  <c r="S8117" i="111"/>
  <c r="S8116" i="111"/>
  <c r="S8115" i="111"/>
  <c r="S8114" i="111"/>
  <c r="S8113" i="111"/>
  <c r="S8112" i="111"/>
  <c r="S8111" i="111"/>
  <c r="S8110" i="111"/>
  <c r="S8109" i="111"/>
  <c r="S8108" i="111"/>
  <c r="S8107" i="111"/>
  <c r="S8106" i="111"/>
  <c r="S8105" i="111"/>
  <c r="S8104" i="111"/>
  <c r="S8103" i="111"/>
  <c r="S8102" i="111"/>
  <c r="S8101" i="111"/>
  <c r="S8100" i="111"/>
  <c r="S8099" i="111"/>
  <c r="S8098" i="111"/>
  <c r="S8097" i="111"/>
  <c r="S8096" i="111"/>
  <c r="S8095" i="111"/>
  <c r="S8094" i="111"/>
  <c r="S8093" i="111"/>
  <c r="S8092" i="111"/>
  <c r="S8091" i="111"/>
  <c r="S8090" i="111"/>
  <c r="S8089" i="111"/>
  <c r="S8088" i="111"/>
  <c r="S8087" i="111"/>
  <c r="S8086" i="111"/>
  <c r="S8085" i="111"/>
  <c r="S8084" i="111"/>
  <c r="S8083" i="111"/>
  <c r="S8082" i="111"/>
  <c r="S8081" i="111"/>
  <c r="S8080" i="111"/>
  <c r="S8079" i="111"/>
  <c r="S8078" i="111"/>
  <c r="S8077" i="111"/>
  <c r="S8076" i="111"/>
  <c r="S8075" i="111"/>
  <c r="S8074" i="111"/>
  <c r="S8073" i="111"/>
  <c r="S8072" i="111"/>
  <c r="S8071" i="111"/>
  <c r="S8070" i="111"/>
  <c r="S8069" i="111"/>
  <c r="S8068" i="111"/>
  <c r="S8067" i="111"/>
  <c r="S8066" i="111"/>
  <c r="S8065" i="111"/>
  <c r="S8064" i="111"/>
  <c r="S8063" i="111"/>
  <c r="S8062" i="111"/>
  <c r="S8061" i="111"/>
  <c r="S8060" i="111"/>
  <c r="S8059" i="111"/>
  <c r="S8058" i="111"/>
  <c r="S8057" i="111"/>
  <c r="S8056" i="111"/>
  <c r="S8055" i="111"/>
  <c r="S8054" i="111"/>
  <c r="S8053" i="111"/>
  <c r="S8052" i="111"/>
  <c r="S8051" i="111"/>
  <c r="S8050" i="111"/>
  <c r="S8049" i="111"/>
  <c r="S8048" i="111"/>
  <c r="S8047" i="111"/>
  <c r="S8046" i="111"/>
  <c r="S8045" i="111"/>
  <c r="S8044" i="111"/>
  <c r="S8043" i="111"/>
  <c r="S8042" i="111"/>
  <c r="S8041" i="111"/>
  <c r="S8040" i="111"/>
  <c r="S8039" i="111"/>
  <c r="S8038" i="111"/>
  <c r="S8037" i="111"/>
  <c r="S8036" i="111"/>
  <c r="S8035" i="111"/>
  <c r="S8034" i="111"/>
  <c r="S8033" i="111"/>
  <c r="S8032" i="111"/>
  <c r="S8031" i="111"/>
  <c r="S8030" i="111"/>
  <c r="S8029" i="111"/>
  <c r="S8028" i="111"/>
  <c r="S8027" i="111"/>
  <c r="S8026" i="111"/>
  <c r="S8025" i="111"/>
  <c r="S8024" i="111"/>
  <c r="S8023" i="111"/>
  <c r="S8022" i="111"/>
  <c r="S8021" i="111"/>
  <c r="S8020" i="111"/>
  <c r="S8019" i="111"/>
  <c r="S8018" i="111"/>
  <c r="S8017" i="111"/>
  <c r="S8016" i="111"/>
  <c r="S8015" i="111"/>
  <c r="S8014" i="111"/>
  <c r="S8013" i="111"/>
  <c r="S8012" i="111"/>
  <c r="S8011" i="111"/>
  <c r="S8010" i="111"/>
  <c r="S8009" i="111"/>
  <c r="S8008" i="111"/>
  <c r="S8007" i="111"/>
  <c r="S8006" i="111"/>
  <c r="S8005" i="111"/>
  <c r="S8004" i="111"/>
  <c r="S8003" i="111"/>
  <c r="S8002" i="111"/>
  <c r="S8001" i="111"/>
  <c r="S8000" i="111"/>
  <c r="S7999" i="111"/>
  <c r="S7998" i="111"/>
  <c r="S7997" i="111"/>
  <c r="S7996" i="111"/>
  <c r="S7995" i="111"/>
  <c r="S7994" i="111"/>
  <c r="S7993" i="111"/>
  <c r="S7992" i="111"/>
  <c r="S7991" i="111"/>
  <c r="S7990" i="111"/>
  <c r="S7989" i="111"/>
  <c r="S7988" i="111"/>
  <c r="S7987" i="111"/>
  <c r="S7986" i="111"/>
  <c r="S7985" i="111"/>
  <c r="S7984" i="111"/>
  <c r="S7983" i="111"/>
  <c r="S7982" i="111"/>
  <c r="S7981" i="111"/>
  <c r="S7980" i="111"/>
  <c r="S7979" i="111"/>
  <c r="S7978" i="111"/>
  <c r="S7977" i="111"/>
  <c r="S7976" i="111"/>
  <c r="S7975" i="111"/>
  <c r="S7974" i="111"/>
  <c r="S7973" i="111"/>
  <c r="S7972" i="111"/>
  <c r="S7971" i="111"/>
  <c r="S7970" i="111"/>
  <c r="S7969" i="111"/>
  <c r="S7968" i="111"/>
  <c r="S7967" i="111"/>
  <c r="S7966" i="111"/>
  <c r="S7965" i="111"/>
  <c r="S7964" i="111"/>
  <c r="S7963" i="111"/>
  <c r="S7962" i="111"/>
  <c r="S7961" i="111"/>
  <c r="S7960" i="111"/>
  <c r="S7959" i="111"/>
  <c r="S7958" i="111"/>
  <c r="S7957" i="111"/>
  <c r="S7956" i="111"/>
  <c r="S7955" i="111"/>
  <c r="S7954" i="111"/>
  <c r="S7953" i="111"/>
  <c r="S7952" i="111"/>
  <c r="S7951" i="111"/>
  <c r="S7950" i="111"/>
  <c r="S7949" i="111"/>
  <c r="S7948" i="111"/>
  <c r="S7947" i="111"/>
  <c r="S7946" i="111"/>
  <c r="S7945" i="111"/>
  <c r="S7944" i="111"/>
  <c r="S7943" i="111"/>
  <c r="S7942" i="111"/>
  <c r="S7941" i="111"/>
  <c r="S7940" i="111"/>
  <c r="S7939" i="111"/>
  <c r="S7938" i="111"/>
  <c r="S7937" i="111"/>
  <c r="S7936" i="111"/>
  <c r="S7935" i="111"/>
  <c r="S7934" i="111"/>
  <c r="S7933" i="111"/>
  <c r="S7932" i="111"/>
  <c r="S7931" i="111"/>
  <c r="S7930" i="111"/>
  <c r="S7929" i="111"/>
  <c r="S7928" i="111"/>
  <c r="S7927" i="111"/>
  <c r="S7926" i="111"/>
  <c r="S7925" i="111"/>
  <c r="S7924" i="111"/>
  <c r="S7923" i="111"/>
  <c r="S7922" i="111"/>
  <c r="S7921" i="111"/>
  <c r="S7920" i="111"/>
  <c r="S7919" i="111"/>
  <c r="S7918" i="111"/>
  <c r="S7917" i="111"/>
  <c r="S7916" i="111"/>
  <c r="S7915" i="111"/>
  <c r="S7914" i="111"/>
  <c r="S7913" i="111"/>
  <c r="S7912" i="111"/>
  <c r="S7911" i="111"/>
  <c r="S7910" i="111"/>
  <c r="S7909" i="111"/>
  <c r="S7908" i="111"/>
  <c r="S7907" i="111"/>
  <c r="S7906" i="111"/>
  <c r="S7905" i="111"/>
  <c r="S7904" i="111"/>
  <c r="S7903" i="111"/>
  <c r="S7902" i="111"/>
  <c r="S7901" i="111"/>
  <c r="S7900" i="111"/>
  <c r="S7899" i="111"/>
  <c r="S7898" i="111"/>
  <c r="S7897" i="111"/>
  <c r="S7896" i="111"/>
  <c r="S7895" i="111"/>
  <c r="S7894" i="111"/>
  <c r="S7893" i="111"/>
  <c r="S7892" i="111"/>
  <c r="S7891" i="111"/>
  <c r="S7890" i="111"/>
  <c r="S7889" i="111"/>
  <c r="S7888" i="111"/>
  <c r="S7887" i="111"/>
  <c r="S7886" i="111"/>
  <c r="S7885" i="111"/>
  <c r="S7884" i="111"/>
  <c r="S7883" i="111"/>
  <c r="S7882" i="111"/>
  <c r="S7881" i="111"/>
  <c r="S7880" i="111"/>
  <c r="S7879" i="111"/>
  <c r="S7878" i="111"/>
  <c r="S7877" i="111"/>
  <c r="S7876" i="111"/>
  <c r="S7875" i="111"/>
  <c r="S7874" i="111"/>
  <c r="S7873" i="111"/>
  <c r="S7872" i="111"/>
  <c r="S7871" i="111"/>
  <c r="S7870" i="111"/>
  <c r="S7869" i="111"/>
  <c r="S7868" i="111"/>
  <c r="S7867" i="111"/>
  <c r="S7866" i="111"/>
  <c r="S7865" i="111"/>
  <c r="S7864" i="111"/>
  <c r="S7863" i="111"/>
  <c r="S7862" i="111"/>
  <c r="S7861" i="111"/>
  <c r="S7860" i="111"/>
  <c r="S7859" i="111"/>
  <c r="S7858" i="111"/>
  <c r="S7857" i="111"/>
  <c r="S7856" i="111"/>
  <c r="S7855" i="111"/>
  <c r="S7854" i="111"/>
  <c r="S7853" i="111"/>
  <c r="S7852" i="111"/>
  <c r="S7851" i="111"/>
  <c r="S7850" i="111"/>
  <c r="S7849" i="111"/>
  <c r="S7848" i="111"/>
  <c r="S7847" i="111"/>
  <c r="S7846" i="111"/>
  <c r="S7845" i="111"/>
  <c r="S7844" i="111"/>
  <c r="S7843" i="111"/>
  <c r="S7842" i="111"/>
  <c r="S7841" i="111"/>
  <c r="S7840" i="111"/>
  <c r="S7839" i="111"/>
  <c r="S7838" i="111"/>
  <c r="S7837" i="111"/>
  <c r="S7836" i="111"/>
  <c r="S7835" i="111"/>
  <c r="S7834" i="111"/>
  <c r="S7833" i="111"/>
  <c r="S7832" i="111"/>
  <c r="S7831" i="111"/>
  <c r="S7830" i="111"/>
  <c r="S7829" i="111"/>
  <c r="S7828" i="111"/>
  <c r="S7827" i="111"/>
  <c r="S7826" i="111"/>
  <c r="S7825" i="111"/>
  <c r="S7824" i="111"/>
  <c r="S7823" i="111"/>
  <c r="S7822" i="111"/>
  <c r="S7821" i="111"/>
  <c r="S7820" i="111"/>
  <c r="S7819" i="111"/>
  <c r="S7818" i="111"/>
  <c r="S7817" i="111"/>
  <c r="S7816" i="111"/>
  <c r="S7815" i="111"/>
  <c r="S7814" i="111"/>
  <c r="S7813" i="111"/>
  <c r="S7812" i="111"/>
  <c r="S7811" i="111"/>
  <c r="S7810" i="111"/>
  <c r="S7809" i="111"/>
  <c r="S7808" i="111"/>
  <c r="S7807" i="111"/>
  <c r="S7806" i="111"/>
  <c r="S7805" i="111"/>
  <c r="S7804" i="111"/>
  <c r="S7803" i="111"/>
  <c r="S7802" i="111"/>
  <c r="S7801" i="111"/>
  <c r="S7800" i="111"/>
  <c r="S7799" i="111"/>
  <c r="S7798" i="111"/>
  <c r="S7797" i="111"/>
  <c r="S7796" i="111"/>
  <c r="S7795" i="111"/>
  <c r="S7794" i="111"/>
  <c r="S7793" i="111"/>
  <c r="S7792" i="111"/>
  <c r="S7791" i="111"/>
  <c r="S7790" i="111"/>
  <c r="S7789" i="111"/>
  <c r="S7788" i="111"/>
  <c r="S7787" i="111"/>
  <c r="S7786" i="111"/>
  <c r="S7785" i="111"/>
  <c r="S7784" i="111"/>
  <c r="S7783" i="111"/>
  <c r="S7782" i="111"/>
  <c r="S7781" i="111"/>
  <c r="S7780" i="111"/>
  <c r="S7779" i="111"/>
  <c r="S7778" i="111"/>
  <c r="S7777" i="111"/>
  <c r="S7776" i="111"/>
  <c r="S7775" i="111"/>
  <c r="S7774" i="111"/>
  <c r="S7773" i="111"/>
  <c r="S7772" i="111"/>
  <c r="S7771" i="111"/>
  <c r="S7770" i="111"/>
  <c r="S7769" i="111"/>
  <c r="S7768" i="111"/>
  <c r="S7767" i="111"/>
  <c r="S7766" i="111"/>
  <c r="S7765" i="111"/>
  <c r="S7764" i="111"/>
  <c r="S7763" i="111"/>
  <c r="S7762" i="111"/>
  <c r="S7761" i="111"/>
  <c r="S7760" i="111"/>
  <c r="S7759" i="111"/>
  <c r="S7758" i="111"/>
  <c r="S7757" i="111"/>
  <c r="S7756" i="111"/>
  <c r="S7755" i="111"/>
  <c r="S7754" i="111"/>
  <c r="S7753" i="111"/>
  <c r="S7752" i="111"/>
  <c r="S7751" i="111"/>
  <c r="S7750" i="111"/>
  <c r="S7749" i="111"/>
  <c r="S7748" i="111"/>
  <c r="S7747" i="111"/>
  <c r="S7746" i="111"/>
  <c r="S7745" i="111"/>
  <c r="S7744" i="111"/>
  <c r="S7743" i="111"/>
  <c r="S7742" i="111"/>
  <c r="S7741" i="111"/>
  <c r="S7740" i="111"/>
  <c r="S7739" i="111"/>
  <c r="S7738" i="111"/>
  <c r="S7737" i="111"/>
  <c r="S7736" i="111"/>
  <c r="S7735" i="111"/>
  <c r="S7734" i="111"/>
  <c r="S7733" i="111"/>
  <c r="S7732" i="111"/>
  <c r="S7731" i="111"/>
  <c r="S7730" i="111"/>
  <c r="S7729" i="111"/>
  <c r="S7728" i="111"/>
  <c r="S7727" i="111"/>
  <c r="S7726" i="111"/>
  <c r="S7725" i="111"/>
  <c r="S7724" i="111"/>
  <c r="S7723" i="111"/>
  <c r="S7722" i="111"/>
  <c r="S7721" i="111"/>
  <c r="S7720" i="111"/>
  <c r="S7719" i="111"/>
  <c r="S7718" i="111"/>
  <c r="S7717" i="111"/>
  <c r="S7716" i="111"/>
  <c r="S7715" i="111"/>
  <c r="S7714" i="111"/>
  <c r="S7713" i="111"/>
  <c r="S7712" i="111"/>
  <c r="S7711" i="111"/>
  <c r="S7710" i="111"/>
  <c r="S7709" i="111"/>
  <c r="S7708" i="111"/>
  <c r="S7707" i="111"/>
  <c r="S7706" i="111"/>
  <c r="S7705" i="111"/>
  <c r="S7704" i="111"/>
  <c r="S7703" i="111"/>
  <c r="S7702" i="111"/>
  <c r="S7701" i="111"/>
  <c r="S7700" i="111"/>
  <c r="S7699" i="111"/>
  <c r="S7698" i="111"/>
  <c r="S7697" i="111"/>
  <c r="S7696" i="111"/>
  <c r="S7695" i="111"/>
  <c r="S7694" i="111"/>
  <c r="S7693" i="111"/>
  <c r="S7692" i="111"/>
  <c r="S7691" i="111"/>
  <c r="S7690" i="111"/>
  <c r="S7689" i="111"/>
  <c r="S7688" i="111"/>
  <c r="S7687" i="111"/>
  <c r="S7686" i="111"/>
  <c r="S7685" i="111"/>
  <c r="S7684" i="111"/>
  <c r="S7683" i="111"/>
  <c r="S7682" i="111"/>
  <c r="S7681" i="111"/>
  <c r="S7680" i="111"/>
  <c r="S7679" i="111"/>
  <c r="S7678" i="111"/>
  <c r="S7677" i="111"/>
  <c r="S7676" i="111"/>
  <c r="S7675" i="111"/>
  <c r="S7674" i="111"/>
  <c r="S7673" i="111"/>
  <c r="S7672" i="111"/>
  <c r="S7671" i="111"/>
  <c r="S7670" i="111"/>
  <c r="S7669" i="111"/>
  <c r="S7668" i="111"/>
  <c r="S7667" i="111"/>
  <c r="S7666" i="111"/>
  <c r="S7665" i="111"/>
  <c r="S7664" i="111"/>
  <c r="S7663" i="111"/>
  <c r="S7662" i="111"/>
  <c r="S7661" i="111"/>
  <c r="S7660" i="111"/>
  <c r="S7659" i="111"/>
  <c r="S7658" i="111"/>
  <c r="S7657" i="111"/>
  <c r="S7656" i="111"/>
  <c r="S7655" i="111"/>
  <c r="S7654" i="111"/>
  <c r="S7653" i="111"/>
  <c r="S7652" i="111"/>
  <c r="S7651" i="111"/>
  <c r="S7650" i="111"/>
  <c r="S7649" i="111"/>
  <c r="S7648" i="111"/>
  <c r="S7647" i="111"/>
  <c r="S7646" i="111"/>
  <c r="S7645" i="111"/>
  <c r="S7644" i="111"/>
  <c r="S7643" i="111"/>
  <c r="S7642" i="111"/>
  <c r="S7641" i="111"/>
  <c r="S7640" i="111"/>
  <c r="S7639" i="111"/>
  <c r="S7638" i="111"/>
  <c r="S7637" i="111"/>
  <c r="S7636" i="111"/>
  <c r="S7635" i="111"/>
  <c r="S7634" i="111"/>
  <c r="S7633" i="111"/>
  <c r="S7632" i="111"/>
  <c r="S7631" i="111"/>
  <c r="S7630" i="111"/>
  <c r="S7629" i="111"/>
  <c r="S7628" i="111"/>
  <c r="S7627" i="111"/>
  <c r="S7626" i="111"/>
  <c r="S7625" i="111"/>
  <c r="S7624" i="111"/>
  <c r="S7623" i="111"/>
  <c r="S7622" i="111"/>
  <c r="S7621" i="111"/>
  <c r="S7620" i="111"/>
  <c r="S7619" i="111"/>
  <c r="S7618" i="111"/>
  <c r="S7617" i="111"/>
  <c r="S7616" i="111"/>
  <c r="S7615" i="111"/>
  <c r="S7614" i="111"/>
  <c r="S7613" i="111"/>
  <c r="S7612" i="111"/>
  <c r="S7611" i="111"/>
  <c r="S7610" i="111"/>
  <c r="S7609" i="111"/>
  <c r="S7608" i="111"/>
  <c r="S7607" i="111"/>
  <c r="S7606" i="111"/>
  <c r="S7605" i="111"/>
  <c r="S7604" i="111"/>
  <c r="S7603" i="111"/>
  <c r="S7602" i="111"/>
  <c r="S7601" i="111"/>
  <c r="S7600" i="111"/>
  <c r="S7599" i="111"/>
  <c r="S7598" i="111"/>
  <c r="S7597" i="111"/>
  <c r="S7596" i="111"/>
  <c r="S7595" i="111"/>
  <c r="S7594" i="111"/>
  <c r="S7593" i="111"/>
  <c r="S7592" i="111"/>
  <c r="S7591" i="111"/>
  <c r="S7590" i="111"/>
  <c r="S7589" i="111"/>
  <c r="S7588" i="111"/>
  <c r="S7587" i="111"/>
  <c r="S7586" i="111"/>
  <c r="S7585" i="111"/>
  <c r="S7584" i="111"/>
  <c r="S7583" i="111"/>
  <c r="S7582" i="111"/>
  <c r="S7581" i="111"/>
  <c r="S7580" i="111"/>
  <c r="S7579" i="111"/>
  <c r="S7578" i="111"/>
  <c r="S7577" i="111"/>
  <c r="S7576" i="111"/>
  <c r="S7575" i="111"/>
  <c r="S7574" i="111"/>
  <c r="S7573" i="111"/>
  <c r="S7572" i="111"/>
  <c r="S7571" i="111"/>
  <c r="S7570" i="111"/>
  <c r="S7569" i="111"/>
  <c r="S7568" i="111"/>
  <c r="S7567" i="111"/>
  <c r="S7566" i="111"/>
  <c r="S7565" i="111"/>
  <c r="S7564" i="111"/>
  <c r="S7563" i="111"/>
  <c r="S7562" i="111"/>
  <c r="S7561" i="111"/>
  <c r="S7560" i="111"/>
  <c r="S7559" i="111"/>
  <c r="S7558" i="111"/>
  <c r="S7557" i="111"/>
  <c r="S7556" i="111"/>
  <c r="S7555" i="111"/>
  <c r="S7554" i="111"/>
  <c r="S7553" i="111"/>
  <c r="S7552" i="111"/>
  <c r="S7551" i="111"/>
  <c r="S7550" i="111"/>
  <c r="S7549" i="111"/>
  <c r="S7548" i="111"/>
  <c r="S7547" i="111"/>
  <c r="S7546" i="111"/>
  <c r="S7545" i="111"/>
  <c r="S7544" i="111"/>
  <c r="S7543" i="111"/>
  <c r="S7542" i="111"/>
  <c r="S7541" i="111"/>
  <c r="S7540" i="111"/>
  <c r="S7539" i="111"/>
  <c r="S7538" i="111"/>
  <c r="S7537" i="111"/>
  <c r="S7536" i="111"/>
  <c r="S7535" i="111"/>
  <c r="S7534" i="111"/>
  <c r="S7533" i="111"/>
  <c r="S7532" i="111"/>
  <c r="S7531" i="111"/>
  <c r="S7530" i="111"/>
  <c r="S7529" i="111"/>
  <c r="S7528" i="111"/>
  <c r="S7527" i="111"/>
  <c r="S7526" i="111"/>
  <c r="S7525" i="111"/>
  <c r="S7524" i="111"/>
  <c r="S7523" i="111"/>
  <c r="S7522" i="111"/>
  <c r="S7521" i="111"/>
  <c r="S7520" i="111"/>
  <c r="S7519" i="111"/>
  <c r="S7518" i="111"/>
  <c r="S7517" i="111"/>
  <c r="S7516" i="111"/>
  <c r="S7515" i="111"/>
  <c r="S7514" i="111"/>
  <c r="S7513" i="111"/>
  <c r="S7512" i="111"/>
  <c r="S7511" i="111"/>
  <c r="S7510" i="111"/>
  <c r="S7509" i="111"/>
  <c r="S7508" i="111"/>
  <c r="S7507" i="111"/>
  <c r="S7506" i="111"/>
  <c r="S7505" i="111"/>
  <c r="S7504" i="111"/>
  <c r="S7503" i="111"/>
  <c r="S7502" i="111"/>
  <c r="S7501" i="111"/>
  <c r="S7500" i="111"/>
  <c r="S7499" i="111"/>
  <c r="S7498" i="111"/>
  <c r="S7497" i="111"/>
  <c r="S7496" i="111"/>
  <c r="S7495" i="111"/>
  <c r="S7494" i="111"/>
  <c r="S7493" i="111"/>
  <c r="S7492" i="111"/>
  <c r="S7491" i="111"/>
  <c r="S7490" i="111"/>
  <c r="S7489" i="111"/>
  <c r="S7488" i="111"/>
  <c r="S7487" i="111"/>
  <c r="S7486" i="111"/>
  <c r="S7485" i="111"/>
  <c r="S7484" i="111"/>
  <c r="S7483" i="111"/>
  <c r="S7482" i="111"/>
  <c r="S7481" i="111"/>
  <c r="S7480" i="111"/>
  <c r="S7479" i="111"/>
  <c r="S7478" i="111"/>
  <c r="S7477" i="111"/>
  <c r="S7476" i="111"/>
  <c r="S7475" i="111"/>
  <c r="S7474" i="111"/>
  <c r="S7473" i="111"/>
  <c r="S7472" i="111"/>
  <c r="S7471" i="111"/>
  <c r="S7470" i="111"/>
  <c r="S7469" i="111"/>
  <c r="S7468" i="111"/>
  <c r="S7467" i="111"/>
  <c r="S7466" i="111"/>
  <c r="S7465" i="111"/>
  <c r="S7464" i="111"/>
  <c r="S7463" i="111"/>
  <c r="S7462" i="111"/>
  <c r="S7461" i="111"/>
  <c r="S7460" i="111"/>
  <c r="S7459" i="111"/>
  <c r="S7458" i="111"/>
  <c r="S7457" i="111"/>
  <c r="S7456" i="111"/>
  <c r="S7455" i="111"/>
  <c r="S7454" i="111"/>
  <c r="S7453" i="111"/>
  <c r="S7452" i="111"/>
  <c r="S7451" i="111"/>
  <c r="S7450" i="111"/>
  <c r="S7449" i="111"/>
  <c r="S7448" i="111"/>
  <c r="S7447" i="111"/>
  <c r="S7446" i="111"/>
  <c r="S7445" i="111"/>
  <c r="S7444" i="111"/>
  <c r="S7443" i="111"/>
  <c r="S7442" i="111"/>
  <c r="S7441" i="111"/>
  <c r="S7440" i="111"/>
  <c r="S7439" i="111"/>
  <c r="S7438" i="111"/>
  <c r="S7437" i="111"/>
  <c r="S7436" i="111"/>
  <c r="S7435" i="111"/>
  <c r="S7434" i="111"/>
  <c r="S7433" i="111"/>
  <c r="S7432" i="111"/>
  <c r="S7431" i="111"/>
  <c r="S7430" i="111"/>
  <c r="S7429" i="111"/>
  <c r="S7428" i="111"/>
  <c r="S7427" i="111"/>
  <c r="S7426" i="111"/>
  <c r="S7425" i="111"/>
  <c r="S7424" i="111"/>
  <c r="S7423" i="111"/>
  <c r="S7422" i="111"/>
  <c r="S7421" i="111"/>
  <c r="S7420" i="111"/>
  <c r="S7419" i="111"/>
  <c r="S7418" i="111"/>
  <c r="S7417" i="111"/>
  <c r="S7416" i="111"/>
  <c r="S7415" i="111"/>
  <c r="S7414" i="111"/>
  <c r="S7413" i="111"/>
  <c r="S7412" i="111"/>
  <c r="S7411" i="111"/>
  <c r="S7410" i="111"/>
  <c r="S7409" i="111"/>
  <c r="S7408" i="111"/>
  <c r="S7407" i="111"/>
  <c r="S7406" i="111"/>
  <c r="S7405" i="111"/>
  <c r="S7404" i="111"/>
  <c r="S7403" i="111"/>
  <c r="S7402" i="111"/>
  <c r="S7401" i="111"/>
  <c r="S7400" i="111"/>
  <c r="S7399" i="111"/>
  <c r="S7398" i="111"/>
  <c r="S7397" i="111"/>
  <c r="S7396" i="111"/>
  <c r="S7395" i="111"/>
  <c r="S7394" i="111"/>
  <c r="S7393" i="111"/>
  <c r="S7392" i="111"/>
  <c r="S7391" i="111"/>
  <c r="S7390" i="111"/>
  <c r="S7389" i="111"/>
  <c r="S7388" i="111"/>
  <c r="S7387" i="111"/>
  <c r="S7386" i="111"/>
  <c r="S7385" i="111"/>
  <c r="S7384" i="111"/>
  <c r="S7383" i="111"/>
  <c r="S7382" i="111"/>
  <c r="S7381" i="111"/>
  <c r="S7380" i="111"/>
  <c r="S7379" i="111"/>
  <c r="S7378" i="111"/>
  <c r="S7377" i="111"/>
  <c r="S7376" i="111"/>
  <c r="S7375" i="111"/>
  <c r="S7374" i="111"/>
  <c r="S7373" i="111"/>
  <c r="S7372" i="111"/>
  <c r="S7371" i="111"/>
  <c r="S7370" i="111"/>
  <c r="S7369" i="111"/>
  <c r="S7368" i="111"/>
  <c r="S7367" i="111"/>
  <c r="S7366" i="111"/>
  <c r="S7365" i="111"/>
  <c r="S7364" i="111"/>
  <c r="S7363" i="111"/>
  <c r="S7362" i="111"/>
  <c r="S7361" i="111"/>
  <c r="S7360" i="111"/>
  <c r="S7359" i="111"/>
  <c r="S7358" i="111"/>
  <c r="S7357" i="111"/>
  <c r="S7356" i="111"/>
  <c r="S7355" i="111"/>
  <c r="S7354" i="111"/>
  <c r="S7353" i="111"/>
  <c r="S7352" i="111"/>
  <c r="S7351" i="111"/>
  <c r="S7350" i="111"/>
  <c r="S7349" i="111"/>
  <c r="S7348" i="111"/>
  <c r="S7347" i="111"/>
  <c r="S7346" i="111"/>
  <c r="S7345" i="111"/>
  <c r="S7344" i="111"/>
  <c r="S7343" i="111"/>
  <c r="S7342" i="111"/>
  <c r="S7341" i="111"/>
  <c r="S7340" i="111"/>
  <c r="S7339" i="111"/>
  <c r="S7338" i="111"/>
  <c r="S7337" i="111"/>
  <c r="S7336" i="111"/>
  <c r="S7335" i="111"/>
  <c r="S7334" i="111"/>
  <c r="S7333" i="111"/>
  <c r="S7332" i="111"/>
  <c r="S7331" i="111"/>
  <c r="S7330" i="111"/>
  <c r="S7329" i="111"/>
  <c r="S7328" i="111"/>
  <c r="S7327" i="111"/>
  <c r="S7326" i="111"/>
  <c r="S7325" i="111"/>
  <c r="S7324" i="111"/>
  <c r="S7323" i="111"/>
  <c r="S7322" i="111"/>
  <c r="S7321" i="111"/>
  <c r="S7320" i="111"/>
  <c r="S7319" i="111"/>
  <c r="S7318" i="111"/>
  <c r="S7317" i="111"/>
  <c r="S7316" i="111"/>
  <c r="S7315" i="111"/>
  <c r="S7314" i="111"/>
  <c r="S7313" i="111"/>
  <c r="S7312" i="111"/>
  <c r="S7311" i="111"/>
  <c r="S7310" i="111"/>
  <c r="S7309" i="111"/>
  <c r="S7308" i="111"/>
  <c r="S7307" i="111"/>
  <c r="S7306" i="111"/>
  <c r="S7305" i="111"/>
  <c r="S7304" i="111"/>
  <c r="S7303" i="111"/>
  <c r="S7302" i="111"/>
  <c r="S7301" i="111"/>
  <c r="S7300" i="111"/>
  <c r="S7299" i="111"/>
  <c r="S7298" i="111"/>
  <c r="S7297" i="111"/>
  <c r="S7296" i="111"/>
  <c r="S7295" i="111"/>
  <c r="S7294" i="111"/>
  <c r="S7293" i="111"/>
  <c r="S7292" i="111"/>
  <c r="S7291" i="111"/>
  <c r="S7290" i="111"/>
  <c r="S7289" i="111"/>
  <c r="S7288" i="111"/>
  <c r="S7287" i="111"/>
  <c r="S7286" i="111"/>
  <c r="S7285" i="111"/>
  <c r="S7284" i="111"/>
  <c r="S7283" i="111"/>
  <c r="S7282" i="111"/>
  <c r="S7281" i="111"/>
  <c r="S7280" i="111"/>
  <c r="S7279" i="111"/>
  <c r="S7278" i="111"/>
  <c r="S7277" i="111"/>
  <c r="S7276" i="111"/>
  <c r="S7275" i="111"/>
  <c r="S7274" i="111"/>
  <c r="S7273" i="111"/>
  <c r="S7272" i="111"/>
  <c r="S7271" i="111"/>
  <c r="S7270" i="111"/>
  <c r="S7269" i="111"/>
  <c r="S7268" i="111"/>
  <c r="S7267" i="111"/>
  <c r="S7266" i="111"/>
  <c r="S7265" i="111"/>
  <c r="S7264" i="111"/>
  <c r="S7263" i="111"/>
  <c r="S7262" i="111"/>
  <c r="S7261" i="111"/>
  <c r="S7260" i="111"/>
  <c r="S7259" i="111"/>
  <c r="S7258" i="111"/>
  <c r="S7257" i="111"/>
  <c r="S7256" i="111"/>
  <c r="S7255" i="111"/>
  <c r="S7254" i="111"/>
  <c r="S7253" i="111"/>
  <c r="S7252" i="111"/>
  <c r="S7251" i="111"/>
  <c r="S7250" i="111"/>
  <c r="S7249" i="111"/>
  <c r="S7248" i="111"/>
  <c r="S7247" i="111"/>
  <c r="S7246" i="111"/>
  <c r="S7245" i="111"/>
  <c r="S7244" i="111"/>
  <c r="S7243" i="111"/>
  <c r="S7242" i="111"/>
  <c r="S7241" i="111"/>
  <c r="S7240" i="111"/>
  <c r="S7239" i="111"/>
  <c r="S7238" i="111"/>
  <c r="S7237" i="111"/>
  <c r="S7236" i="111"/>
  <c r="S7235" i="111"/>
  <c r="S7234" i="111"/>
  <c r="S7233" i="111"/>
  <c r="S7232" i="111"/>
  <c r="S7231" i="111"/>
  <c r="S7230" i="111"/>
  <c r="S7229" i="111"/>
  <c r="S7228" i="111"/>
  <c r="S7227" i="111"/>
  <c r="S7226" i="111"/>
  <c r="S7225" i="111"/>
  <c r="S7224" i="111"/>
  <c r="S7223" i="111"/>
  <c r="S7222" i="111"/>
  <c r="S7221" i="111"/>
  <c r="S7220" i="111"/>
  <c r="S7219" i="111"/>
  <c r="S7218" i="111"/>
  <c r="S7217" i="111"/>
  <c r="S7216" i="111"/>
  <c r="S7215" i="111"/>
  <c r="S7214" i="111"/>
  <c r="S7213" i="111"/>
  <c r="S7212" i="111"/>
  <c r="S7211" i="111"/>
  <c r="S7210" i="111"/>
  <c r="S7209" i="111"/>
  <c r="S7208" i="111"/>
  <c r="S7207" i="111"/>
  <c r="S7206" i="111"/>
  <c r="S7205" i="111"/>
  <c r="S7204" i="111"/>
  <c r="S7203" i="111"/>
  <c r="S7202" i="111"/>
  <c r="S7201" i="111"/>
  <c r="S7200" i="111"/>
  <c r="S7199" i="111"/>
  <c r="S7198" i="111"/>
  <c r="S7197" i="111"/>
  <c r="S7196" i="111"/>
  <c r="S7195" i="111"/>
  <c r="S7194" i="111"/>
  <c r="S7193" i="111"/>
  <c r="S7192" i="111"/>
  <c r="S7191" i="111"/>
  <c r="S7190" i="111"/>
  <c r="S7189" i="111"/>
  <c r="S7188" i="111"/>
  <c r="S7187" i="111"/>
  <c r="S7186" i="111"/>
  <c r="S7185" i="111"/>
  <c r="S7184" i="111"/>
  <c r="S7183" i="111"/>
  <c r="S7182" i="111"/>
  <c r="S7181" i="111"/>
  <c r="S7180" i="111"/>
  <c r="S7179" i="111"/>
  <c r="S7178" i="111"/>
  <c r="S7177" i="111"/>
  <c r="S7176" i="111"/>
  <c r="S7175" i="111"/>
  <c r="S7174" i="111"/>
  <c r="S7173" i="111"/>
  <c r="S7172" i="111"/>
  <c r="S7171" i="111"/>
  <c r="S7170" i="111"/>
  <c r="S7169" i="111"/>
  <c r="S7168" i="111"/>
  <c r="S7167" i="111"/>
  <c r="S7166" i="111"/>
  <c r="S7165" i="111"/>
  <c r="S7164" i="111"/>
  <c r="S7163" i="111"/>
  <c r="S7162" i="111"/>
  <c r="S7161" i="111"/>
  <c r="S7160" i="111"/>
  <c r="S7159" i="111"/>
  <c r="S7158" i="111"/>
  <c r="S7157" i="111"/>
  <c r="S7156" i="111"/>
  <c r="S7155" i="111"/>
  <c r="S7154" i="111"/>
  <c r="S7153" i="111"/>
  <c r="S7152" i="111"/>
  <c r="S7151" i="111"/>
  <c r="S7150" i="111"/>
  <c r="S7149" i="111"/>
  <c r="S7148" i="111"/>
  <c r="S7147" i="111"/>
  <c r="S7146" i="111"/>
  <c r="S7145" i="111"/>
  <c r="S7144" i="111"/>
  <c r="S7143" i="111"/>
  <c r="S7142" i="111"/>
  <c r="S7141" i="111"/>
  <c r="S7140" i="111"/>
  <c r="S7139" i="111"/>
  <c r="S7138" i="111"/>
  <c r="S7137" i="111"/>
  <c r="S7136" i="111"/>
  <c r="S7135" i="111"/>
  <c r="S7134" i="111"/>
  <c r="S7133" i="111"/>
  <c r="S7132" i="111"/>
  <c r="S7131" i="111"/>
  <c r="S7130" i="111"/>
  <c r="S7129" i="111"/>
  <c r="S7128" i="111"/>
  <c r="S7127" i="111"/>
  <c r="S7126" i="111"/>
  <c r="S7125" i="111"/>
  <c r="S7124" i="111"/>
  <c r="S7123" i="111"/>
  <c r="S7122" i="111"/>
  <c r="S7121" i="111"/>
  <c r="S7120" i="111"/>
  <c r="S7119" i="111"/>
  <c r="S7118" i="111"/>
  <c r="S7117" i="111"/>
  <c r="S7116" i="111"/>
  <c r="S7115" i="111"/>
  <c r="S7114" i="111"/>
  <c r="S7113" i="111"/>
  <c r="S7112" i="111"/>
  <c r="S7111" i="111"/>
  <c r="S7110" i="111"/>
  <c r="S7109" i="111"/>
  <c r="S7108" i="111"/>
  <c r="S7107" i="111"/>
  <c r="S7106" i="111"/>
  <c r="S7105" i="111"/>
  <c r="S7104" i="111"/>
  <c r="S7103" i="111"/>
  <c r="S7102" i="111"/>
  <c r="S7101" i="111"/>
  <c r="S7100" i="111"/>
  <c r="S7099" i="111"/>
  <c r="S7098" i="111"/>
  <c r="S7097" i="111"/>
  <c r="S7096" i="111"/>
  <c r="S7095" i="111"/>
  <c r="S7094" i="111"/>
  <c r="S7093" i="111"/>
  <c r="S7092" i="111"/>
  <c r="S7091" i="111"/>
  <c r="S7090" i="111"/>
  <c r="S7089" i="111"/>
  <c r="S7088" i="111"/>
  <c r="S7087" i="111"/>
  <c r="S7086" i="111"/>
  <c r="S7085" i="111"/>
  <c r="S7084" i="111"/>
  <c r="S7083" i="111"/>
  <c r="S7082" i="111"/>
  <c r="S7081" i="111"/>
  <c r="S7080" i="111"/>
  <c r="S7079" i="111"/>
  <c r="S7078" i="111"/>
  <c r="S7077" i="111"/>
  <c r="S7076" i="111"/>
  <c r="S7075" i="111"/>
  <c r="S7074" i="111"/>
  <c r="S7073" i="111"/>
  <c r="S7072" i="111"/>
  <c r="S7071" i="111"/>
  <c r="S7070" i="111"/>
  <c r="S7069" i="111"/>
  <c r="S7068" i="111"/>
  <c r="S7067" i="111"/>
  <c r="S7066" i="111"/>
  <c r="S7065" i="111"/>
  <c r="S7064" i="111"/>
  <c r="S7063" i="111"/>
  <c r="S7062" i="111"/>
  <c r="S7061" i="111"/>
  <c r="S7060" i="111"/>
  <c r="S7059" i="111"/>
  <c r="S7058" i="111"/>
  <c r="S7057" i="111"/>
  <c r="S7056" i="111"/>
  <c r="S7055" i="111"/>
  <c r="S7054" i="111"/>
  <c r="S7053" i="111"/>
  <c r="S7052" i="111"/>
  <c r="S7051" i="111"/>
  <c r="S7050" i="111"/>
  <c r="S7049" i="111"/>
  <c r="S7048" i="111"/>
  <c r="S7047" i="111"/>
  <c r="S7046" i="111"/>
  <c r="S7045" i="111"/>
  <c r="S7044" i="111"/>
  <c r="S7043" i="111"/>
  <c r="S7042" i="111"/>
  <c r="S7041" i="111"/>
  <c r="S7040" i="111"/>
  <c r="S7039" i="111"/>
  <c r="S7038" i="111"/>
  <c r="S7037" i="111"/>
  <c r="S7036" i="111"/>
  <c r="S7035" i="111"/>
  <c r="S7034" i="111"/>
  <c r="S7033" i="111"/>
  <c r="S7032" i="111"/>
  <c r="S7031" i="111"/>
  <c r="S7030" i="111"/>
  <c r="S7029" i="111"/>
  <c r="S7028" i="111"/>
  <c r="S7027" i="111"/>
  <c r="S7026" i="111"/>
  <c r="S7025" i="111"/>
  <c r="S7024" i="111"/>
  <c r="S7023" i="111"/>
  <c r="S7022" i="111"/>
  <c r="S7021" i="111"/>
  <c r="S7020" i="111"/>
  <c r="S7019" i="111"/>
  <c r="S7018" i="111"/>
  <c r="S7017" i="111"/>
  <c r="S7016" i="111"/>
  <c r="S7015" i="111"/>
  <c r="S7014" i="111"/>
  <c r="S7013" i="111"/>
  <c r="S7012" i="111"/>
  <c r="S7011" i="111"/>
  <c r="S7010" i="111"/>
  <c r="S7009" i="111"/>
  <c r="S7008" i="111"/>
  <c r="S7007" i="111"/>
  <c r="S7006" i="111"/>
  <c r="S7005" i="111"/>
  <c r="S7004" i="111"/>
  <c r="S7003" i="111"/>
  <c r="S7002" i="111"/>
  <c r="S7001" i="111"/>
  <c r="S7000" i="111"/>
  <c r="S6999" i="111"/>
  <c r="S6998" i="111"/>
  <c r="S6997" i="111"/>
  <c r="S6996" i="111"/>
  <c r="S6995" i="111"/>
  <c r="S6994" i="111"/>
  <c r="S6993" i="111"/>
  <c r="S6992" i="111"/>
  <c r="S6991" i="111"/>
  <c r="S6990" i="111"/>
  <c r="S6989" i="111"/>
  <c r="S6988" i="111"/>
  <c r="S6987" i="111"/>
  <c r="S6986" i="111"/>
  <c r="S6985" i="111"/>
  <c r="S6984" i="111"/>
  <c r="S6983" i="111"/>
  <c r="S6982" i="111"/>
  <c r="S6981" i="111"/>
  <c r="S6980" i="111"/>
  <c r="S6979" i="111"/>
  <c r="S6978" i="111"/>
  <c r="S6977" i="111"/>
  <c r="S6976" i="111"/>
  <c r="S6975" i="111"/>
  <c r="S6974" i="111"/>
  <c r="S6973" i="111"/>
  <c r="S6972" i="111"/>
  <c r="S6971" i="111"/>
  <c r="S6970" i="111"/>
  <c r="S6969" i="111"/>
  <c r="S6968" i="111"/>
  <c r="S6967" i="111"/>
  <c r="S6966" i="111"/>
  <c r="S6965" i="111"/>
  <c r="S6964" i="111"/>
  <c r="S6963" i="111"/>
  <c r="S6962" i="111"/>
  <c r="S6961" i="111"/>
  <c r="S6960" i="111"/>
  <c r="S6959" i="111"/>
  <c r="S6958" i="111"/>
  <c r="S6957" i="111"/>
  <c r="S6956" i="111"/>
  <c r="S6955" i="111"/>
  <c r="S6954" i="111"/>
  <c r="S6953" i="111"/>
  <c r="S6952" i="111"/>
  <c r="S6951" i="111"/>
  <c r="S6950" i="111"/>
  <c r="S6949" i="111"/>
  <c r="S6948" i="111"/>
  <c r="S6947" i="111"/>
  <c r="S6946" i="111"/>
  <c r="S6945" i="111"/>
  <c r="S6944" i="111"/>
  <c r="S6943" i="111"/>
  <c r="S6942" i="111"/>
  <c r="S6941" i="111"/>
  <c r="S6940" i="111"/>
  <c r="S6939" i="111"/>
  <c r="S6938" i="111"/>
  <c r="S6937" i="111"/>
  <c r="S6936" i="111"/>
  <c r="S6935" i="111"/>
  <c r="S6934" i="111"/>
  <c r="S6933" i="111"/>
  <c r="S6932" i="111"/>
  <c r="S6931" i="111"/>
  <c r="S6930" i="111"/>
  <c r="S6929" i="111"/>
  <c r="S6928" i="111"/>
  <c r="S6927" i="111"/>
  <c r="S6926" i="111"/>
  <c r="S6925" i="111"/>
  <c r="S6924" i="111"/>
  <c r="S6923" i="111"/>
  <c r="S6922" i="111"/>
  <c r="S6921" i="111"/>
  <c r="S6920" i="111"/>
  <c r="S6919" i="111"/>
  <c r="S6918" i="111"/>
  <c r="S6917" i="111"/>
  <c r="S6916" i="111"/>
  <c r="S6915" i="111"/>
  <c r="S6914" i="111"/>
  <c r="S6913" i="111"/>
  <c r="S6912" i="111"/>
  <c r="S6911" i="111"/>
  <c r="S6910" i="111"/>
  <c r="S6909" i="111"/>
  <c r="S6908" i="111"/>
  <c r="S6907" i="111"/>
  <c r="S6906" i="111"/>
  <c r="S6905" i="111"/>
  <c r="S6904" i="111"/>
  <c r="S6903" i="111"/>
  <c r="S6902" i="111"/>
  <c r="S6901" i="111"/>
  <c r="S6900" i="111"/>
  <c r="S6899" i="111"/>
  <c r="S6898" i="111"/>
  <c r="S6897" i="111"/>
  <c r="S6896" i="111"/>
  <c r="S6895" i="111"/>
  <c r="S6894" i="111"/>
  <c r="S6893" i="111"/>
  <c r="S6892" i="111"/>
  <c r="S6891" i="111"/>
  <c r="S6890" i="111"/>
  <c r="S6889" i="111"/>
  <c r="S6888" i="111"/>
  <c r="S6887" i="111"/>
  <c r="S6886" i="111"/>
  <c r="S6885" i="111"/>
  <c r="S6884" i="111"/>
  <c r="S6883" i="111"/>
  <c r="S6882" i="111"/>
  <c r="S6881" i="111"/>
  <c r="S6880" i="111"/>
  <c r="S6879" i="111"/>
  <c r="S6878" i="111"/>
  <c r="S6877" i="111"/>
  <c r="S6876" i="111"/>
  <c r="S6875" i="111"/>
  <c r="S6874" i="111"/>
  <c r="S6873" i="111"/>
  <c r="S6872" i="111"/>
  <c r="S6871" i="111"/>
  <c r="S6870" i="111"/>
  <c r="S6869" i="111"/>
  <c r="S6868" i="111"/>
  <c r="S6867" i="111"/>
  <c r="S6866" i="111"/>
  <c r="S6865" i="111"/>
  <c r="S6864" i="111"/>
  <c r="S6863" i="111"/>
  <c r="S6862" i="111"/>
  <c r="S6861" i="111"/>
  <c r="S6860" i="111"/>
  <c r="S6859" i="111"/>
  <c r="S6858" i="111"/>
  <c r="S6857" i="111"/>
  <c r="S6856" i="111"/>
  <c r="S6855" i="111"/>
  <c r="S6854" i="111"/>
  <c r="S6853" i="111"/>
  <c r="S6852" i="111"/>
  <c r="S6851" i="111"/>
  <c r="S6850" i="111"/>
  <c r="S6849" i="111"/>
  <c r="S6848" i="111"/>
  <c r="S6847" i="111"/>
  <c r="S6846" i="111"/>
  <c r="S6845" i="111"/>
  <c r="S6844" i="111"/>
  <c r="S6843" i="111"/>
  <c r="S6842" i="111"/>
  <c r="S6841" i="111"/>
  <c r="S6840" i="111"/>
  <c r="S6839" i="111"/>
  <c r="S6838" i="111"/>
  <c r="S6837" i="111"/>
  <c r="S6836" i="111"/>
  <c r="S6835" i="111"/>
  <c r="S6834" i="111"/>
  <c r="S6833" i="111"/>
  <c r="S6832" i="111"/>
  <c r="S6831" i="111"/>
  <c r="S6830" i="111"/>
  <c r="S6829" i="111"/>
  <c r="S6828" i="111"/>
  <c r="S6827" i="111"/>
  <c r="S6826" i="111"/>
  <c r="S6825" i="111"/>
  <c r="S6824" i="111"/>
  <c r="S6823" i="111"/>
  <c r="S6822" i="111"/>
  <c r="S6821" i="111"/>
  <c r="S6820" i="111"/>
  <c r="S6819" i="111"/>
  <c r="S6818" i="111"/>
  <c r="S6817" i="111"/>
  <c r="S6816" i="111"/>
  <c r="S6815" i="111"/>
  <c r="S6814" i="111"/>
  <c r="S6813" i="111"/>
  <c r="S6812" i="111"/>
  <c r="S6811" i="111"/>
  <c r="S6810" i="111"/>
  <c r="S6809" i="111"/>
  <c r="S6808" i="111"/>
  <c r="S6807" i="111"/>
  <c r="S6806" i="111"/>
  <c r="S6805" i="111"/>
  <c r="S6804" i="111"/>
  <c r="S6803" i="111"/>
  <c r="S6802" i="111"/>
  <c r="S6801" i="111"/>
  <c r="S6800" i="111"/>
  <c r="S6799" i="111"/>
  <c r="S6798" i="111"/>
  <c r="S6797" i="111"/>
  <c r="S6796" i="111"/>
  <c r="S6795" i="111"/>
  <c r="S6794" i="111"/>
  <c r="S6793" i="111"/>
  <c r="S6792" i="111"/>
  <c r="S6791" i="111"/>
  <c r="S6790" i="111"/>
  <c r="S6789" i="111"/>
  <c r="S6788" i="111"/>
  <c r="S6787" i="111"/>
  <c r="S6786" i="111"/>
  <c r="S6785" i="111"/>
  <c r="S6784" i="111"/>
  <c r="S6783" i="111"/>
  <c r="S6782" i="111"/>
  <c r="S6781" i="111"/>
  <c r="S6780" i="111"/>
  <c r="S6779" i="111"/>
  <c r="S6778" i="111"/>
  <c r="S6777" i="111"/>
  <c r="S6776" i="111"/>
  <c r="S6775" i="111"/>
  <c r="S6774" i="111"/>
  <c r="S6773" i="111"/>
  <c r="S6772" i="111"/>
  <c r="S6771" i="111"/>
  <c r="S6770" i="111"/>
  <c r="S6769" i="111"/>
  <c r="S6768" i="111"/>
  <c r="S6767" i="111"/>
  <c r="S6766" i="111"/>
  <c r="S6765" i="111"/>
  <c r="S6764" i="111"/>
  <c r="S6763" i="111"/>
  <c r="S6762" i="111"/>
  <c r="S6761" i="111"/>
  <c r="S6760" i="111"/>
  <c r="S6759" i="111"/>
  <c r="S6758" i="111"/>
  <c r="S6757" i="111"/>
  <c r="S6756" i="111"/>
  <c r="S6755" i="111"/>
  <c r="S6754" i="111"/>
  <c r="S6753" i="111"/>
  <c r="S6752" i="111"/>
  <c r="S6751" i="111"/>
  <c r="S6750" i="111"/>
  <c r="S6749" i="111"/>
  <c r="S6748" i="111"/>
  <c r="S6747" i="111"/>
  <c r="S6746" i="111"/>
  <c r="S6745" i="111"/>
  <c r="S6744" i="111"/>
  <c r="S6743" i="111"/>
  <c r="S6742" i="111"/>
  <c r="S6741" i="111"/>
  <c r="S6740" i="111"/>
  <c r="S6739" i="111"/>
  <c r="S6738" i="111"/>
  <c r="S6737" i="111"/>
  <c r="S6736" i="111"/>
  <c r="S6735" i="111"/>
  <c r="S6734" i="111"/>
  <c r="S6733" i="111"/>
  <c r="S6732" i="111"/>
  <c r="S6731" i="111"/>
  <c r="S6730" i="111"/>
  <c r="S6729" i="111"/>
  <c r="S6728" i="111"/>
  <c r="S6727" i="111"/>
  <c r="S6726" i="111"/>
  <c r="S6725" i="111"/>
  <c r="S6724" i="111"/>
  <c r="S6723" i="111"/>
  <c r="S6722" i="111"/>
  <c r="S6721" i="111"/>
  <c r="S6720" i="111"/>
  <c r="S6719" i="111"/>
  <c r="S6718" i="111"/>
  <c r="S6717" i="111"/>
  <c r="S6716" i="111"/>
  <c r="S6715" i="111"/>
  <c r="S6714" i="111"/>
  <c r="S6713" i="111"/>
  <c r="S6712" i="111"/>
  <c r="S6711" i="111"/>
  <c r="S6710" i="111"/>
  <c r="S6709" i="111"/>
  <c r="S6708" i="111"/>
  <c r="S6707" i="111"/>
  <c r="S6706" i="111"/>
  <c r="S6705" i="111"/>
  <c r="S6704" i="111"/>
  <c r="S6703" i="111"/>
  <c r="S6702" i="111"/>
  <c r="S6701" i="111"/>
  <c r="S6700" i="111"/>
  <c r="S6699" i="111"/>
  <c r="S6698" i="111"/>
  <c r="S6697" i="111"/>
  <c r="S6696" i="111"/>
  <c r="S6695" i="111"/>
  <c r="S6694" i="111"/>
  <c r="S6693" i="111"/>
  <c r="S6692" i="111"/>
  <c r="S6691" i="111"/>
  <c r="S6690" i="111"/>
  <c r="S6689" i="111"/>
  <c r="S6688" i="111"/>
  <c r="S6687" i="111"/>
  <c r="S6686" i="111"/>
  <c r="S6685" i="111"/>
  <c r="S6684" i="111"/>
  <c r="S6683" i="111"/>
  <c r="S6682" i="111"/>
  <c r="S6681" i="111"/>
  <c r="S6680" i="111"/>
  <c r="S6679" i="111"/>
  <c r="S6678" i="111"/>
  <c r="S6677" i="111"/>
  <c r="S6676" i="111"/>
  <c r="S6675" i="111"/>
  <c r="S6674" i="111"/>
  <c r="S6673" i="111"/>
  <c r="S6672" i="111"/>
  <c r="S6671" i="111"/>
  <c r="S6670" i="111"/>
  <c r="S6669" i="111"/>
  <c r="S6668" i="111"/>
  <c r="S6667" i="111"/>
  <c r="S6666" i="111"/>
  <c r="S6665" i="111"/>
  <c r="S6664" i="111"/>
  <c r="S6663" i="111"/>
  <c r="S6662" i="111"/>
  <c r="S6661" i="111"/>
  <c r="S6660" i="111"/>
  <c r="S6659" i="111"/>
  <c r="S6658" i="111"/>
  <c r="S6657" i="111"/>
  <c r="S6656" i="111"/>
  <c r="S6655" i="111"/>
  <c r="S6654" i="111"/>
  <c r="S6653" i="111"/>
  <c r="S6652" i="111"/>
  <c r="S6651" i="111"/>
  <c r="S6650" i="111"/>
  <c r="S6649" i="111"/>
  <c r="S6648" i="111"/>
  <c r="S6647" i="111"/>
  <c r="S6646" i="111"/>
  <c r="S6645" i="111"/>
  <c r="S6644" i="111"/>
  <c r="S6643" i="111"/>
  <c r="S6642" i="111"/>
  <c r="S6641" i="111"/>
  <c r="S6640" i="111"/>
  <c r="S6639" i="111"/>
  <c r="S6638" i="111"/>
  <c r="S6637" i="111"/>
  <c r="S6636" i="111"/>
  <c r="S6635" i="111"/>
  <c r="S6634" i="111"/>
  <c r="S6633" i="111"/>
  <c r="S6632" i="111"/>
  <c r="S6631" i="111"/>
  <c r="S6630" i="111"/>
  <c r="S6629" i="111"/>
  <c r="S6628" i="111"/>
  <c r="S6627" i="111"/>
  <c r="S6626" i="111"/>
  <c r="S6625" i="111"/>
  <c r="S6624" i="111"/>
  <c r="S6623" i="111"/>
  <c r="S6622" i="111"/>
  <c r="S6621" i="111"/>
  <c r="S6620" i="111"/>
  <c r="S6619" i="111"/>
  <c r="S6618" i="111"/>
  <c r="S6617" i="111"/>
  <c r="S6616" i="111"/>
  <c r="S6615" i="111"/>
  <c r="S6614" i="111"/>
  <c r="S6613" i="111"/>
  <c r="S6612" i="111"/>
  <c r="S6611" i="111"/>
  <c r="S6610" i="111"/>
  <c r="S6609" i="111"/>
  <c r="S6608" i="111"/>
  <c r="S6607" i="111"/>
  <c r="S6606" i="111"/>
  <c r="S6605" i="111"/>
  <c r="S6604" i="111"/>
  <c r="S6603" i="111"/>
  <c r="S6602" i="111"/>
  <c r="S6601" i="111"/>
  <c r="S6600" i="111"/>
  <c r="S6599" i="111"/>
  <c r="S6598" i="111"/>
  <c r="S6597" i="111"/>
  <c r="S6596" i="111"/>
  <c r="S6595" i="111"/>
  <c r="S6594" i="111"/>
  <c r="S6593" i="111"/>
  <c r="S6592" i="111"/>
  <c r="S6591" i="111"/>
  <c r="S6590" i="111"/>
  <c r="S6589" i="111"/>
  <c r="S6588" i="111"/>
  <c r="S6587" i="111"/>
  <c r="S6586" i="111"/>
  <c r="S6585" i="111"/>
  <c r="S6584" i="111"/>
  <c r="S6583" i="111"/>
  <c r="S6582" i="111"/>
  <c r="S6581" i="111"/>
  <c r="S6580" i="111"/>
  <c r="S6579" i="111"/>
  <c r="S6578" i="111"/>
  <c r="S6577" i="111"/>
  <c r="S6576" i="111"/>
  <c r="S6575" i="111"/>
  <c r="S6574" i="111"/>
  <c r="S6573" i="111"/>
  <c r="S6572" i="111"/>
  <c r="S6571" i="111"/>
  <c r="S6570" i="111"/>
  <c r="S6569" i="111"/>
  <c r="S6568" i="111"/>
  <c r="S6567" i="111"/>
  <c r="S6566" i="111"/>
  <c r="S6565" i="111"/>
  <c r="S6564" i="111"/>
  <c r="S6563" i="111"/>
  <c r="S6562" i="111"/>
  <c r="S6561" i="111"/>
  <c r="S6560" i="111"/>
  <c r="S6559" i="111"/>
  <c r="S6558" i="111"/>
  <c r="S6557" i="111"/>
  <c r="S6556" i="111"/>
  <c r="S6555" i="111"/>
  <c r="S6554" i="111"/>
  <c r="S6553" i="111"/>
  <c r="S6552" i="111"/>
  <c r="S6551" i="111"/>
  <c r="S6550" i="111"/>
  <c r="S6549" i="111"/>
  <c r="S6548" i="111"/>
  <c r="S6547" i="111"/>
  <c r="S6546" i="111"/>
  <c r="S6545" i="111"/>
  <c r="S6544" i="111"/>
  <c r="S6543" i="111"/>
  <c r="S6542" i="111"/>
  <c r="S6541" i="111"/>
  <c r="S6540" i="111"/>
  <c r="S6539" i="111"/>
  <c r="S6538" i="111"/>
  <c r="S6537" i="111"/>
  <c r="S6536" i="111"/>
  <c r="S6535" i="111"/>
  <c r="S6534" i="111"/>
  <c r="S6533" i="111"/>
  <c r="S6532" i="111"/>
  <c r="S6531" i="111"/>
  <c r="S6530" i="111"/>
  <c r="S6529" i="111"/>
  <c r="S6528" i="111"/>
  <c r="S6527" i="111"/>
  <c r="S6526" i="111"/>
  <c r="S6525" i="111"/>
  <c r="S6524" i="111"/>
  <c r="S6523" i="111"/>
  <c r="S6522" i="111"/>
  <c r="S6521" i="111"/>
  <c r="S6520" i="111"/>
  <c r="S6519" i="111"/>
  <c r="S6518" i="111"/>
  <c r="S6517" i="111"/>
  <c r="S6516" i="111"/>
  <c r="S6515" i="111"/>
  <c r="S6514" i="111"/>
  <c r="S6513" i="111"/>
  <c r="S6512" i="111"/>
  <c r="S6511" i="111"/>
  <c r="S6510" i="111"/>
  <c r="S6509" i="111"/>
  <c r="S6508" i="111"/>
  <c r="S6507" i="111"/>
  <c r="S6506" i="111"/>
  <c r="S6505" i="111"/>
  <c r="S6504" i="111"/>
  <c r="S6503" i="111"/>
  <c r="S6502" i="111"/>
  <c r="S6501" i="111"/>
  <c r="S6500" i="111"/>
  <c r="S6499" i="111"/>
  <c r="S6498" i="111"/>
  <c r="S6497" i="111"/>
  <c r="S6496" i="111"/>
  <c r="S6495" i="111"/>
  <c r="S6494" i="111"/>
  <c r="S6493" i="111"/>
  <c r="S6492" i="111"/>
  <c r="S6491" i="111"/>
  <c r="S6490" i="111"/>
  <c r="S6489" i="111"/>
  <c r="S6488" i="111"/>
  <c r="S6487" i="111"/>
  <c r="S6486" i="111"/>
  <c r="S6485" i="111"/>
  <c r="S6484" i="111"/>
  <c r="S6483" i="111"/>
  <c r="S6482" i="111"/>
  <c r="S6481" i="111"/>
  <c r="S6480" i="111"/>
  <c r="S6479" i="111"/>
  <c r="S6478" i="111"/>
  <c r="S6477" i="111"/>
  <c r="S6476" i="111"/>
  <c r="S6475" i="111"/>
  <c r="S6474" i="111"/>
  <c r="S6473" i="111"/>
  <c r="S6472" i="111"/>
  <c r="S6471" i="111"/>
  <c r="S6470" i="111"/>
  <c r="S6469" i="111"/>
  <c r="S6468" i="111"/>
  <c r="S6467" i="111"/>
  <c r="S6466" i="111"/>
  <c r="S6465" i="111"/>
  <c r="S6464" i="111"/>
  <c r="S6463" i="111"/>
  <c r="S6462" i="111"/>
  <c r="S6461" i="111"/>
  <c r="S6460" i="111"/>
  <c r="S6459" i="111"/>
  <c r="S6458" i="111"/>
  <c r="S6457" i="111"/>
  <c r="S6456" i="111"/>
  <c r="S6455" i="111"/>
  <c r="S6454" i="111"/>
  <c r="S6453" i="111"/>
  <c r="S6452" i="111"/>
  <c r="S6451" i="111"/>
  <c r="S6450" i="111"/>
  <c r="S6449" i="111"/>
  <c r="S6448" i="111"/>
  <c r="S6447" i="111"/>
  <c r="S6446" i="111"/>
  <c r="S6445" i="111"/>
  <c r="S6444" i="111"/>
  <c r="S6443" i="111"/>
  <c r="S6442" i="111"/>
  <c r="S6441" i="111"/>
  <c r="S6440" i="111"/>
  <c r="S6439" i="111"/>
  <c r="S6438" i="111"/>
  <c r="S6437" i="111"/>
  <c r="S6436" i="111"/>
  <c r="S6435" i="111"/>
  <c r="S6434" i="111"/>
  <c r="S6433" i="111"/>
  <c r="S6432" i="111"/>
  <c r="S6431" i="111"/>
  <c r="S6430" i="111"/>
  <c r="S6429" i="111"/>
  <c r="S6428" i="111"/>
  <c r="S6427" i="111"/>
  <c r="S6426" i="111"/>
  <c r="S6425" i="111"/>
  <c r="S6424" i="111"/>
  <c r="S6423" i="111"/>
  <c r="S6422" i="111"/>
  <c r="S6421" i="111"/>
  <c r="S6420" i="111"/>
  <c r="S6419" i="111"/>
  <c r="S6418" i="111"/>
  <c r="S6417" i="111"/>
  <c r="S6416" i="111"/>
  <c r="S6415" i="111"/>
  <c r="S6414" i="111"/>
  <c r="S6413" i="111"/>
  <c r="S6412" i="111"/>
  <c r="S6411" i="111"/>
  <c r="S6410" i="111"/>
  <c r="S6409" i="111"/>
  <c r="S6408" i="111"/>
  <c r="S6407" i="111"/>
  <c r="S6406" i="111"/>
  <c r="S6405" i="111"/>
  <c r="S6404" i="111"/>
  <c r="S6403" i="111"/>
  <c r="S6402" i="111"/>
  <c r="S6401" i="111"/>
  <c r="S6400" i="111"/>
  <c r="S6399" i="111"/>
  <c r="S6398" i="111"/>
  <c r="S6397" i="111"/>
  <c r="S6396" i="111"/>
  <c r="S6395" i="111"/>
  <c r="S6394" i="111"/>
  <c r="S6393" i="111"/>
  <c r="S6392" i="111"/>
  <c r="S6391" i="111"/>
  <c r="S6390" i="111"/>
  <c r="S6389" i="111"/>
  <c r="S6388" i="111"/>
  <c r="S6387" i="111"/>
  <c r="S6386" i="111"/>
  <c r="S6385" i="111"/>
  <c r="S6384" i="111"/>
  <c r="S6383" i="111"/>
  <c r="S6382" i="111"/>
  <c r="S6381" i="111"/>
  <c r="S6380" i="111"/>
  <c r="S6379" i="111"/>
  <c r="S6378" i="111"/>
  <c r="S6377" i="111"/>
  <c r="S6376" i="111"/>
  <c r="S6375" i="111"/>
  <c r="S6374" i="111"/>
  <c r="S6373" i="111"/>
  <c r="S6372" i="111"/>
  <c r="S6371" i="111"/>
  <c r="S6370" i="111"/>
  <c r="S6369" i="111"/>
  <c r="S6368" i="111"/>
  <c r="S6367" i="111"/>
  <c r="S6366" i="111"/>
  <c r="S6365" i="111"/>
  <c r="S6364" i="111"/>
  <c r="S6363" i="111"/>
  <c r="S6362" i="111"/>
  <c r="S6361" i="111"/>
  <c r="S6360" i="111"/>
  <c r="S6359" i="111"/>
  <c r="S6358" i="111"/>
  <c r="S6357" i="111"/>
  <c r="S6356" i="111"/>
  <c r="S6355" i="111"/>
  <c r="S6354" i="111"/>
  <c r="S6353" i="111"/>
  <c r="S6352" i="111"/>
  <c r="S6351" i="111"/>
  <c r="S6350" i="111"/>
  <c r="S6349" i="111"/>
  <c r="S6348" i="111"/>
  <c r="S6347" i="111"/>
  <c r="S6346" i="111"/>
  <c r="S6345" i="111"/>
  <c r="S6344" i="111"/>
  <c r="S6343" i="111"/>
  <c r="S6342" i="111"/>
  <c r="S6341" i="111"/>
  <c r="S6340" i="111"/>
  <c r="S6339" i="111"/>
  <c r="S6338" i="111"/>
  <c r="S6337" i="111"/>
  <c r="S6336" i="111"/>
  <c r="S6335" i="111"/>
  <c r="S6334" i="111"/>
  <c r="S6333" i="111"/>
  <c r="S6332" i="111"/>
  <c r="S6331" i="111"/>
  <c r="S6330" i="111"/>
  <c r="S6329" i="111"/>
  <c r="S6328" i="111"/>
  <c r="S6327" i="111"/>
  <c r="S6326" i="111"/>
  <c r="S6325" i="111"/>
  <c r="S6324" i="111"/>
  <c r="S6323" i="111"/>
  <c r="S6322" i="111"/>
  <c r="S6321" i="111"/>
  <c r="S6320" i="111"/>
  <c r="S6319" i="111"/>
  <c r="S6318" i="111"/>
  <c r="S6317" i="111"/>
  <c r="S6316" i="111"/>
  <c r="S6315" i="111"/>
  <c r="S6314" i="111"/>
  <c r="S6313" i="111"/>
  <c r="S6312" i="111"/>
  <c r="S6311" i="111"/>
  <c r="S6310" i="111"/>
  <c r="S6309" i="111"/>
  <c r="S6308" i="111"/>
  <c r="S6307" i="111"/>
  <c r="S6306" i="111"/>
  <c r="S6305" i="111"/>
  <c r="S6304" i="111"/>
  <c r="S6303" i="111"/>
  <c r="S6302" i="111"/>
  <c r="S6301" i="111"/>
  <c r="S6300" i="111"/>
  <c r="S6299" i="111"/>
  <c r="S6298" i="111"/>
  <c r="S6297" i="111"/>
  <c r="S6296" i="111"/>
  <c r="S6295" i="111"/>
  <c r="S6294" i="111"/>
  <c r="S6293" i="111"/>
  <c r="S6292" i="111"/>
  <c r="S6291" i="111"/>
  <c r="S6290" i="111"/>
  <c r="S6289" i="111"/>
  <c r="S6288" i="111"/>
  <c r="S6287" i="111"/>
  <c r="S6286" i="111"/>
  <c r="S6285" i="111"/>
  <c r="S6284" i="111"/>
  <c r="S6283" i="111"/>
  <c r="S6282" i="111"/>
  <c r="S6281" i="111"/>
  <c r="S6280" i="111"/>
  <c r="S6279" i="111"/>
  <c r="S6278" i="111"/>
  <c r="S6277" i="111"/>
  <c r="S6276" i="111"/>
  <c r="S6275" i="111"/>
  <c r="S6274" i="111"/>
  <c r="S6273" i="111"/>
  <c r="S6272" i="111"/>
  <c r="S6271" i="111"/>
  <c r="S6270" i="111"/>
  <c r="S6269" i="111"/>
  <c r="S6268" i="111"/>
  <c r="S6267" i="111"/>
  <c r="S6266" i="111"/>
  <c r="S6265" i="111"/>
  <c r="S6264" i="111"/>
  <c r="S6263" i="111"/>
  <c r="S6262" i="111"/>
  <c r="S6261" i="111"/>
  <c r="S6260" i="111"/>
  <c r="S6259" i="111"/>
  <c r="S6258" i="111"/>
  <c r="S6257" i="111"/>
  <c r="S6256" i="111"/>
  <c r="S6255" i="111"/>
  <c r="S6254" i="111"/>
  <c r="S6253" i="111"/>
  <c r="S6252" i="111"/>
  <c r="S6251" i="111"/>
  <c r="S6250" i="111"/>
  <c r="S6249" i="111"/>
  <c r="S6248" i="111"/>
  <c r="S6247" i="111"/>
  <c r="S6246" i="111"/>
  <c r="S6245" i="111"/>
  <c r="S6244" i="111"/>
  <c r="S6243" i="111"/>
  <c r="S6242" i="111"/>
  <c r="S6241" i="111"/>
  <c r="S6240" i="111"/>
  <c r="S6239" i="111"/>
  <c r="S6238" i="111"/>
  <c r="S6237" i="111"/>
  <c r="S6236" i="111"/>
  <c r="S6235" i="111"/>
  <c r="S6234" i="111"/>
  <c r="S6233" i="111"/>
  <c r="S6232" i="111"/>
  <c r="S6231" i="111"/>
  <c r="S6230" i="111"/>
  <c r="S6229" i="111"/>
  <c r="S6228" i="111"/>
  <c r="S6227" i="111"/>
  <c r="S6226" i="111"/>
  <c r="S6225" i="111"/>
  <c r="S6224" i="111"/>
  <c r="S6223" i="111"/>
  <c r="S6222" i="111"/>
  <c r="S6221" i="111"/>
  <c r="S6220" i="111"/>
  <c r="S6219" i="111"/>
  <c r="S6218" i="111"/>
  <c r="S6217" i="111"/>
  <c r="S6216" i="111"/>
  <c r="S6215" i="111"/>
  <c r="S6214" i="111"/>
  <c r="S6213" i="111"/>
  <c r="S6212" i="111"/>
  <c r="S6211" i="111"/>
  <c r="S6210" i="111"/>
  <c r="S6209" i="111"/>
  <c r="S6208" i="111"/>
  <c r="S6207" i="111"/>
  <c r="S6206" i="111"/>
  <c r="S6205" i="111"/>
  <c r="S6204" i="111"/>
  <c r="S6203" i="111"/>
  <c r="S6202" i="111"/>
  <c r="S6201" i="111"/>
  <c r="S6200" i="111"/>
  <c r="S6199" i="111"/>
  <c r="S6198" i="111"/>
  <c r="S6197" i="111"/>
  <c r="S6196" i="111"/>
  <c r="S6195" i="111"/>
  <c r="S6194" i="111"/>
  <c r="S6193" i="111"/>
  <c r="S6192" i="111"/>
  <c r="S6191" i="111"/>
  <c r="S6190" i="111"/>
  <c r="S6189" i="111"/>
  <c r="S6188" i="111"/>
  <c r="S6187" i="111"/>
  <c r="S6186" i="111"/>
  <c r="S6185" i="111"/>
  <c r="S6184" i="111"/>
  <c r="S6183" i="111"/>
  <c r="S6182" i="111"/>
  <c r="S6181" i="111"/>
  <c r="S6180" i="111"/>
  <c r="S6179" i="111"/>
  <c r="S6178" i="111"/>
  <c r="S6177" i="111"/>
  <c r="S6176" i="111"/>
  <c r="S6175" i="111"/>
  <c r="S6174" i="111"/>
  <c r="S6173" i="111"/>
  <c r="S6172" i="111"/>
  <c r="S6171" i="111"/>
  <c r="S6170" i="111"/>
  <c r="S6169" i="111"/>
  <c r="S6168" i="111"/>
  <c r="S6167" i="111"/>
  <c r="S6166" i="111"/>
  <c r="S6165" i="111"/>
  <c r="S6164" i="111"/>
  <c r="S6163" i="111"/>
  <c r="S6162" i="111"/>
  <c r="S6161" i="111"/>
  <c r="S6160" i="111"/>
  <c r="S6159" i="111"/>
  <c r="S6158" i="111"/>
  <c r="S6157" i="111"/>
  <c r="S6156" i="111"/>
  <c r="S6155" i="111"/>
  <c r="S6154" i="111"/>
  <c r="S6153" i="111"/>
  <c r="S6152" i="111"/>
  <c r="S6151" i="111"/>
  <c r="S6150" i="111"/>
  <c r="S6149" i="111"/>
  <c r="S6148" i="111"/>
  <c r="S6147" i="111"/>
  <c r="S6146" i="111"/>
  <c r="S6145" i="111"/>
  <c r="S6144" i="111"/>
  <c r="S6143" i="111"/>
  <c r="S6142" i="111"/>
  <c r="S6141" i="111"/>
  <c r="S6140" i="111"/>
  <c r="S6139" i="111"/>
  <c r="S6138" i="111"/>
  <c r="S6137" i="111"/>
  <c r="S6136" i="111"/>
  <c r="S6135" i="111"/>
  <c r="S6134" i="111"/>
  <c r="S6133" i="111"/>
  <c r="S6132" i="111"/>
  <c r="S6131" i="111"/>
  <c r="S6130" i="111"/>
  <c r="S6129" i="111"/>
  <c r="S6128" i="111"/>
  <c r="S6127" i="111"/>
  <c r="S6126" i="111"/>
  <c r="S6125" i="111"/>
  <c r="S6124" i="111"/>
  <c r="S6123" i="111"/>
  <c r="S6122" i="111"/>
  <c r="S6121" i="111"/>
  <c r="S6120" i="111"/>
  <c r="S6119" i="111"/>
  <c r="S6118" i="111"/>
  <c r="S6117" i="111"/>
  <c r="S6116" i="111"/>
  <c r="S6115" i="111"/>
  <c r="S6114" i="111"/>
  <c r="S6113" i="111"/>
  <c r="S6112" i="111"/>
  <c r="S6111" i="111"/>
  <c r="S6110" i="111"/>
  <c r="S6109" i="111"/>
  <c r="S6108" i="111"/>
  <c r="S6107" i="111"/>
  <c r="S6106" i="111"/>
  <c r="S6105" i="111"/>
  <c r="S6104" i="111"/>
  <c r="S6103" i="111"/>
  <c r="S6102" i="111"/>
  <c r="S6101" i="111"/>
  <c r="S6100" i="111"/>
  <c r="S6099" i="111"/>
  <c r="S6098" i="111"/>
  <c r="S6097" i="111"/>
  <c r="S6096" i="111"/>
  <c r="S6095" i="111"/>
  <c r="S6094" i="111"/>
  <c r="S6093" i="111"/>
  <c r="S6092" i="111"/>
  <c r="S6091" i="111"/>
  <c r="S6090" i="111"/>
  <c r="S6089" i="111"/>
  <c r="S6088" i="111"/>
  <c r="S6087" i="111"/>
  <c r="S6086" i="111"/>
  <c r="S6085" i="111"/>
  <c r="S6084" i="111"/>
  <c r="S6083" i="111"/>
  <c r="S6082" i="111"/>
  <c r="S6081" i="111"/>
  <c r="S6080" i="111"/>
  <c r="S6079" i="111"/>
  <c r="S6078" i="111"/>
  <c r="S6077" i="111"/>
  <c r="S6076" i="111"/>
  <c r="S6075" i="111"/>
  <c r="S6074" i="111"/>
  <c r="S6073" i="111"/>
  <c r="S6072" i="111"/>
  <c r="S6071" i="111"/>
  <c r="S6070" i="111"/>
  <c r="S6069" i="111"/>
  <c r="S6068" i="111"/>
  <c r="S6067" i="111"/>
  <c r="S6066" i="111"/>
  <c r="S6065" i="111"/>
  <c r="S6064" i="111"/>
  <c r="S6063" i="111"/>
  <c r="S6062" i="111"/>
  <c r="S6061" i="111"/>
  <c r="S6060" i="111"/>
  <c r="S6059" i="111"/>
  <c r="S6058" i="111"/>
  <c r="S6057" i="111"/>
  <c r="S6056" i="111"/>
  <c r="S6055" i="111"/>
  <c r="S6054" i="111"/>
  <c r="S6053" i="111"/>
  <c r="S6052" i="111"/>
  <c r="S6051" i="111"/>
  <c r="S6050" i="111"/>
  <c r="S6049" i="111"/>
  <c r="S6048" i="111"/>
  <c r="S6047" i="111"/>
  <c r="S6046" i="111"/>
  <c r="S6045" i="111"/>
  <c r="S6044" i="111"/>
  <c r="S6043" i="111"/>
  <c r="S6042" i="111"/>
  <c r="S6041" i="111"/>
  <c r="S6040" i="111"/>
  <c r="S6039" i="111"/>
  <c r="S6038" i="111"/>
  <c r="S6037" i="111"/>
  <c r="S6036" i="111"/>
  <c r="S6035" i="111"/>
  <c r="S6034" i="111"/>
  <c r="S6033" i="111"/>
  <c r="S6032" i="111"/>
  <c r="S6031" i="111"/>
  <c r="S6030" i="111"/>
  <c r="S6029" i="111"/>
  <c r="S6028" i="111"/>
  <c r="S6027" i="111"/>
  <c r="S6026" i="111"/>
  <c r="S6025" i="111"/>
  <c r="S6024" i="111"/>
  <c r="S6023" i="111"/>
  <c r="S6022" i="111"/>
  <c r="S6021" i="111"/>
  <c r="S6020" i="111"/>
  <c r="S6019" i="111"/>
  <c r="S6018" i="111"/>
  <c r="S6017" i="111"/>
  <c r="S6016" i="111"/>
  <c r="S6015" i="111"/>
  <c r="S6014" i="111"/>
  <c r="S6013" i="111"/>
  <c r="S6012" i="111"/>
  <c r="S6011" i="111"/>
  <c r="S6010" i="111"/>
  <c r="S6009" i="111"/>
  <c r="S6008" i="111"/>
  <c r="S6007" i="111"/>
  <c r="S6006" i="111"/>
  <c r="S6005" i="111"/>
  <c r="S6004" i="111"/>
  <c r="S6003" i="111"/>
  <c r="S6002" i="111"/>
  <c r="S6001" i="111"/>
  <c r="S6000" i="111"/>
  <c r="S5999" i="111"/>
  <c r="S5998" i="111"/>
  <c r="S5997" i="111"/>
  <c r="S5996" i="111"/>
  <c r="S5995" i="111"/>
  <c r="S5994" i="111"/>
  <c r="S5993" i="111"/>
  <c r="S5992" i="111"/>
  <c r="S5991" i="111"/>
  <c r="S5990" i="111"/>
  <c r="S5989" i="111"/>
  <c r="S5988" i="111"/>
  <c r="S5987" i="111"/>
  <c r="S5986" i="111"/>
  <c r="S5985" i="111"/>
  <c r="S5984" i="111"/>
  <c r="S5983" i="111"/>
  <c r="S5982" i="111"/>
  <c r="S5981" i="111"/>
  <c r="S5980" i="111"/>
  <c r="S5979" i="111"/>
  <c r="S5978" i="111"/>
  <c r="S5977" i="111"/>
  <c r="S5976" i="111"/>
  <c r="S5975" i="111"/>
  <c r="S5974" i="111"/>
  <c r="S5973" i="111"/>
  <c r="S5972" i="111"/>
  <c r="S5971" i="111"/>
  <c r="S5970" i="111"/>
  <c r="S5969" i="111"/>
  <c r="S5968" i="111"/>
  <c r="S5967" i="111"/>
  <c r="S5966" i="111"/>
  <c r="S5965" i="111"/>
  <c r="S5964" i="111"/>
  <c r="S5963" i="111"/>
  <c r="S5962" i="111"/>
  <c r="S5961" i="111"/>
  <c r="S5960" i="111"/>
  <c r="S5959" i="111"/>
  <c r="S5958" i="111"/>
  <c r="S5957" i="111"/>
  <c r="S5956" i="111"/>
  <c r="S5955" i="111"/>
  <c r="S5954" i="111"/>
  <c r="S5953" i="111"/>
  <c r="S5952" i="111"/>
  <c r="S5951" i="111"/>
  <c r="S5950" i="111"/>
  <c r="S5949" i="111"/>
  <c r="S5948" i="111"/>
  <c r="S5947" i="111"/>
  <c r="S5946" i="111"/>
  <c r="S5945" i="111"/>
  <c r="S5944" i="111"/>
  <c r="S5943" i="111"/>
  <c r="S5942" i="111"/>
  <c r="S5941" i="111"/>
  <c r="S5940" i="111"/>
  <c r="S5939" i="111"/>
  <c r="S5938" i="111"/>
  <c r="S5937" i="111"/>
  <c r="S5936" i="111"/>
  <c r="S5935" i="111"/>
  <c r="S5934" i="111"/>
  <c r="S5933" i="111"/>
  <c r="S5932" i="111"/>
  <c r="S5931" i="111"/>
  <c r="S5930" i="111"/>
  <c r="S5929" i="111"/>
  <c r="S5928" i="111"/>
  <c r="S5927" i="111"/>
  <c r="S5926" i="111"/>
  <c r="S5925" i="111"/>
  <c r="S5924" i="111"/>
  <c r="S5923" i="111"/>
  <c r="S5922" i="111"/>
  <c r="S5921" i="111"/>
  <c r="S5920" i="111"/>
  <c r="S5919" i="111"/>
  <c r="S5918" i="111"/>
  <c r="S5917" i="111"/>
  <c r="S5916" i="111"/>
  <c r="S5915" i="111"/>
  <c r="S5914" i="111"/>
  <c r="S5913" i="111"/>
  <c r="S5912" i="111"/>
  <c r="S5911" i="111"/>
  <c r="S5910" i="111"/>
  <c r="S5909" i="111"/>
  <c r="S5908" i="111"/>
  <c r="S5907" i="111"/>
  <c r="S5906" i="111"/>
  <c r="S5905" i="111"/>
  <c r="S5904" i="111"/>
  <c r="S5903" i="111"/>
  <c r="S5902" i="111"/>
  <c r="S5901" i="111"/>
  <c r="S5900" i="111"/>
  <c r="S5899" i="111"/>
  <c r="S5898" i="111"/>
  <c r="S5897" i="111"/>
  <c r="S5896" i="111"/>
  <c r="S5895" i="111"/>
  <c r="S5894" i="111"/>
  <c r="S5893" i="111"/>
  <c r="S5892" i="111"/>
  <c r="S5891" i="111"/>
  <c r="S5890" i="111"/>
  <c r="S5889" i="111"/>
  <c r="S5888" i="111"/>
  <c r="S5887" i="111"/>
  <c r="S5886" i="111"/>
  <c r="S5885" i="111"/>
  <c r="S5884" i="111"/>
  <c r="S5883" i="111"/>
  <c r="S5882" i="111"/>
  <c r="S5881" i="111"/>
  <c r="S5880" i="111"/>
  <c r="S5879" i="111"/>
  <c r="S5878" i="111"/>
  <c r="S5877" i="111"/>
  <c r="S5876" i="111"/>
  <c r="S5875" i="111"/>
  <c r="S5874" i="111"/>
  <c r="S5873" i="111"/>
  <c r="S5872" i="111"/>
  <c r="S5871" i="111"/>
  <c r="S5870" i="111"/>
  <c r="S5869" i="111"/>
  <c r="S5868" i="111"/>
  <c r="S5867" i="111"/>
  <c r="S5866" i="111"/>
  <c r="S5865" i="111"/>
  <c r="S5864" i="111"/>
  <c r="S5863" i="111"/>
  <c r="S5862" i="111"/>
  <c r="S5861" i="111"/>
  <c r="S5860" i="111"/>
  <c r="S5859" i="111"/>
  <c r="S5858" i="111"/>
  <c r="S5857" i="111"/>
  <c r="S5856" i="111"/>
  <c r="S5855" i="111"/>
  <c r="S5854" i="111"/>
  <c r="S5853" i="111"/>
  <c r="S5852" i="111"/>
  <c r="S5851" i="111"/>
  <c r="S5850" i="111"/>
  <c r="S5849" i="111"/>
  <c r="S5848" i="111"/>
  <c r="S5847" i="111"/>
  <c r="S5846" i="111"/>
  <c r="S5845" i="111"/>
  <c r="S5844" i="111"/>
  <c r="S5843" i="111"/>
  <c r="S5842" i="111"/>
  <c r="S5841" i="111"/>
  <c r="S5840" i="111"/>
  <c r="S5839" i="111"/>
  <c r="S5838" i="111"/>
  <c r="S5837" i="111"/>
  <c r="S5836" i="111"/>
  <c r="S5835" i="111"/>
  <c r="S5834" i="111"/>
  <c r="S5833" i="111"/>
  <c r="S5832" i="111"/>
  <c r="S5831" i="111"/>
  <c r="S5830" i="111"/>
  <c r="S5829" i="111"/>
  <c r="S5828" i="111"/>
  <c r="S5827" i="111"/>
  <c r="S5826" i="111"/>
  <c r="S5825" i="111"/>
  <c r="S5824" i="111"/>
  <c r="S5823" i="111"/>
  <c r="S5822" i="111"/>
  <c r="S5821" i="111"/>
  <c r="S5820" i="111"/>
  <c r="S5819" i="111"/>
  <c r="S5818" i="111"/>
  <c r="S5817" i="111"/>
  <c r="S5816" i="111"/>
  <c r="S5815" i="111"/>
  <c r="S5814" i="111"/>
  <c r="S5813" i="111"/>
  <c r="S5812" i="111"/>
  <c r="S5811" i="111"/>
  <c r="S5810" i="111"/>
  <c r="S5809" i="111"/>
  <c r="S5808" i="111"/>
  <c r="S5807" i="111"/>
  <c r="S5806" i="111"/>
  <c r="S5805" i="111"/>
  <c r="S5804" i="111"/>
  <c r="S5803" i="111"/>
  <c r="S5802" i="111"/>
  <c r="S5801" i="111"/>
  <c r="S5800" i="111"/>
  <c r="S5799" i="111"/>
  <c r="S5798" i="111"/>
  <c r="S5797" i="111"/>
  <c r="S5796" i="111"/>
  <c r="S5795" i="111"/>
  <c r="S5794" i="111"/>
  <c r="S5793" i="111"/>
  <c r="S5792" i="111"/>
  <c r="S5791" i="111"/>
  <c r="S5790" i="111"/>
  <c r="S5789" i="111"/>
  <c r="S5788" i="111"/>
  <c r="S5787" i="111"/>
  <c r="S5786" i="111"/>
  <c r="S5785" i="111"/>
  <c r="S5784" i="111"/>
  <c r="S5783" i="111"/>
  <c r="S5782" i="111"/>
  <c r="S5781" i="111"/>
  <c r="S5780" i="111"/>
  <c r="S5779" i="111"/>
  <c r="S5778" i="111"/>
  <c r="S5777" i="111"/>
  <c r="S5776" i="111"/>
  <c r="S5775" i="111"/>
  <c r="S5774" i="111"/>
  <c r="S5773" i="111"/>
  <c r="S5772" i="111"/>
  <c r="S5771" i="111"/>
  <c r="S5770" i="111"/>
  <c r="S5769" i="111"/>
  <c r="S5768" i="111"/>
  <c r="S5767" i="111"/>
  <c r="S5766" i="111"/>
  <c r="S5765" i="111"/>
  <c r="S5764" i="111"/>
  <c r="S5763" i="111"/>
  <c r="S5762" i="111"/>
  <c r="S5761" i="111"/>
  <c r="S5760" i="111"/>
  <c r="S5759" i="111"/>
  <c r="S5758" i="111"/>
  <c r="S5757" i="111"/>
  <c r="S5756" i="111"/>
  <c r="S5755" i="111"/>
  <c r="S5754" i="111"/>
  <c r="S5753" i="111"/>
  <c r="S5752" i="111"/>
  <c r="S5751" i="111"/>
  <c r="S5750" i="111"/>
  <c r="S5749" i="111"/>
  <c r="S5748" i="111"/>
  <c r="S5747" i="111"/>
  <c r="S5746" i="111"/>
  <c r="S5745" i="111"/>
  <c r="S5744" i="111"/>
  <c r="S5743" i="111"/>
  <c r="S5742" i="111"/>
  <c r="S5741" i="111"/>
  <c r="S5740" i="111"/>
  <c r="S5739" i="111"/>
  <c r="S5738" i="111"/>
  <c r="S5737" i="111"/>
  <c r="S5736" i="111"/>
  <c r="S5735" i="111"/>
  <c r="S5734" i="111"/>
  <c r="S5733" i="111"/>
  <c r="S5732" i="111"/>
  <c r="S5731" i="111"/>
  <c r="S5730" i="111"/>
  <c r="S5729" i="111"/>
  <c r="S5728" i="111"/>
  <c r="S5727" i="111"/>
  <c r="S5726" i="111"/>
  <c r="S5725" i="111"/>
  <c r="S5724" i="111"/>
  <c r="S5723" i="111"/>
  <c r="S5722" i="111"/>
  <c r="S5721" i="111"/>
  <c r="S5720" i="111"/>
  <c r="S5719" i="111"/>
  <c r="S5718" i="111"/>
  <c r="S5717" i="111"/>
  <c r="S5716" i="111"/>
  <c r="S5715" i="111"/>
  <c r="S5714" i="111"/>
  <c r="S5713" i="111"/>
  <c r="S5712" i="111"/>
  <c r="S5711" i="111"/>
  <c r="S5710" i="111"/>
  <c r="S5709" i="111"/>
  <c r="S5708" i="111"/>
  <c r="S5707" i="111"/>
  <c r="S5706" i="111"/>
  <c r="S5705" i="111"/>
  <c r="S5704" i="111"/>
  <c r="S5703" i="111"/>
  <c r="S5702" i="111"/>
  <c r="S5701" i="111"/>
  <c r="S5700" i="111"/>
  <c r="S5699" i="111"/>
  <c r="S5698" i="111"/>
  <c r="S5697" i="111"/>
  <c r="S5696" i="111"/>
  <c r="S5695" i="111"/>
  <c r="S5694" i="111"/>
  <c r="S5693" i="111"/>
  <c r="S5692" i="111"/>
  <c r="S5691" i="111"/>
  <c r="S5690" i="111"/>
  <c r="S5689" i="111"/>
  <c r="S5688" i="111"/>
  <c r="S5687" i="111"/>
  <c r="S5686" i="111"/>
  <c r="S5685" i="111"/>
  <c r="S5684" i="111"/>
  <c r="S5683" i="111"/>
  <c r="S5682" i="111"/>
  <c r="S5681" i="111"/>
  <c r="S5680" i="111"/>
  <c r="S5679" i="111"/>
  <c r="S5678" i="111"/>
  <c r="S5677" i="111"/>
  <c r="S5676" i="111"/>
  <c r="S5675" i="111"/>
  <c r="S5674" i="111"/>
  <c r="S5673" i="111"/>
  <c r="S5672" i="111"/>
  <c r="S5671" i="111"/>
  <c r="S5670" i="111"/>
  <c r="S5669" i="111"/>
  <c r="S5668" i="111"/>
  <c r="S5667" i="111"/>
  <c r="S5666" i="111"/>
  <c r="S5665" i="111"/>
  <c r="S5664" i="111"/>
  <c r="S5663" i="111"/>
  <c r="S5662" i="111"/>
  <c r="S5661" i="111"/>
  <c r="S5660" i="111"/>
  <c r="S5659" i="111"/>
  <c r="S5658" i="111"/>
  <c r="S5657" i="111"/>
  <c r="S5656" i="111"/>
  <c r="S5655" i="111"/>
  <c r="S5654" i="111"/>
  <c r="S5653" i="111"/>
  <c r="S5652" i="111"/>
  <c r="S5651" i="111"/>
  <c r="S5650" i="111"/>
  <c r="S5649" i="111"/>
  <c r="S5648" i="111"/>
  <c r="S5647" i="111"/>
  <c r="S5646" i="111"/>
  <c r="S5645" i="111"/>
  <c r="S5644" i="111"/>
  <c r="S5643" i="111"/>
  <c r="S5642" i="111"/>
  <c r="S5641" i="111"/>
  <c r="S5640" i="111"/>
  <c r="S5639" i="111"/>
  <c r="S5638" i="111"/>
  <c r="S5637" i="111"/>
  <c r="S5636" i="111"/>
  <c r="S5635" i="111"/>
  <c r="S5634" i="111"/>
  <c r="S5633" i="111"/>
  <c r="S5632" i="111"/>
  <c r="S5631" i="111"/>
  <c r="S5630" i="111"/>
  <c r="S5629" i="111"/>
  <c r="S5628" i="111"/>
  <c r="S5627" i="111"/>
  <c r="S5626" i="111"/>
  <c r="S5625" i="111"/>
  <c r="S5624" i="111"/>
  <c r="S5623" i="111"/>
  <c r="S5622" i="111"/>
  <c r="S5621" i="111"/>
  <c r="S5620" i="111"/>
  <c r="S5619" i="111"/>
  <c r="S5618" i="111"/>
  <c r="S5617" i="111"/>
  <c r="S5616" i="111"/>
  <c r="S5615" i="111"/>
  <c r="S5614" i="111"/>
  <c r="S5613" i="111"/>
  <c r="S5612" i="111"/>
  <c r="S5611" i="111"/>
  <c r="S5610" i="111"/>
  <c r="S5609" i="111"/>
  <c r="S5608" i="111"/>
  <c r="S5607" i="111"/>
  <c r="S5606" i="111"/>
  <c r="S5605" i="111"/>
  <c r="S5604" i="111"/>
  <c r="S5603" i="111"/>
  <c r="S5602" i="111"/>
  <c r="S5601" i="111"/>
  <c r="S5600" i="111"/>
  <c r="S5599" i="111"/>
  <c r="S5598" i="111"/>
  <c r="S5597" i="111"/>
  <c r="S5596" i="111"/>
  <c r="S5595" i="111"/>
  <c r="S5594" i="111"/>
  <c r="S5593" i="111"/>
  <c r="S5592" i="111"/>
  <c r="S5591" i="111"/>
  <c r="S5590" i="111"/>
  <c r="S5589" i="111"/>
  <c r="S5588" i="111"/>
  <c r="S5587" i="111"/>
  <c r="S5586" i="111"/>
  <c r="S5585" i="111"/>
  <c r="S5584" i="111"/>
  <c r="S5583" i="111"/>
  <c r="S5582" i="111"/>
  <c r="S5581" i="111"/>
  <c r="S5580" i="111"/>
  <c r="S5579" i="111"/>
  <c r="S5578" i="111"/>
  <c r="S5577" i="111"/>
  <c r="S5576" i="111"/>
  <c r="S5575" i="111"/>
  <c r="S5574" i="111"/>
  <c r="S5573" i="111"/>
  <c r="S5572" i="111"/>
  <c r="S5571" i="111"/>
  <c r="S5570" i="111"/>
  <c r="S5569" i="111"/>
  <c r="S5568" i="111"/>
  <c r="S5567" i="111"/>
  <c r="S5566" i="111"/>
  <c r="S5565" i="111"/>
  <c r="S5564" i="111"/>
  <c r="S5563" i="111"/>
  <c r="S5562" i="111"/>
  <c r="S5561" i="111"/>
  <c r="S5560" i="111"/>
  <c r="S5559" i="111"/>
  <c r="S5558" i="111"/>
  <c r="S5557" i="111"/>
  <c r="S5556" i="111"/>
  <c r="S5555" i="111"/>
  <c r="S5554" i="111"/>
  <c r="S5553" i="111"/>
  <c r="S5552" i="111"/>
  <c r="S5551" i="111"/>
  <c r="S5550" i="111"/>
  <c r="S5549" i="111"/>
  <c r="S5548" i="111"/>
  <c r="S5547" i="111"/>
  <c r="S5546" i="111"/>
  <c r="S5545" i="111"/>
  <c r="S5544" i="111"/>
  <c r="S5543" i="111"/>
  <c r="S5542" i="111"/>
  <c r="S5541" i="111"/>
  <c r="S5540" i="111"/>
  <c r="S5539" i="111"/>
  <c r="S5538" i="111"/>
  <c r="S5537" i="111"/>
  <c r="S5536" i="111"/>
  <c r="S5535" i="111"/>
  <c r="S5534" i="111"/>
  <c r="S5533" i="111"/>
  <c r="S5532" i="111"/>
  <c r="S5531" i="111"/>
  <c r="S5530" i="111"/>
  <c r="S5529" i="111"/>
  <c r="S5528" i="111"/>
  <c r="S5527" i="111"/>
  <c r="S5526" i="111"/>
  <c r="S5525" i="111"/>
  <c r="S5524" i="111"/>
  <c r="S5523" i="111"/>
  <c r="S5522" i="111"/>
  <c r="S5521" i="111"/>
  <c r="S5520" i="111"/>
  <c r="S5519" i="111"/>
  <c r="S5518" i="111"/>
  <c r="S5517" i="111"/>
  <c r="S5516" i="111"/>
  <c r="S5515" i="111"/>
  <c r="S5514" i="111"/>
  <c r="S5513" i="111"/>
  <c r="S5512" i="111"/>
  <c r="S5511" i="111"/>
  <c r="S5510" i="111"/>
  <c r="S5509" i="111"/>
  <c r="S5508" i="111"/>
  <c r="S5507" i="111"/>
  <c r="S5506" i="111"/>
  <c r="S5505" i="111"/>
  <c r="S5504" i="111"/>
  <c r="S5503" i="111"/>
  <c r="S5502" i="111"/>
  <c r="S5501" i="111"/>
  <c r="S5500" i="111"/>
  <c r="S5499" i="111"/>
  <c r="S5498" i="111"/>
  <c r="S5497" i="111"/>
  <c r="S5496" i="111"/>
  <c r="S5495" i="111"/>
  <c r="S5494" i="111"/>
  <c r="S5493" i="111"/>
  <c r="S5492" i="111"/>
  <c r="S5491" i="111"/>
  <c r="S5490" i="111"/>
  <c r="S5489" i="111"/>
  <c r="S5488" i="111"/>
  <c r="S5487" i="111"/>
  <c r="S5486" i="111"/>
  <c r="S5485" i="111"/>
  <c r="S5484" i="111"/>
  <c r="S5483" i="111"/>
  <c r="S5482" i="111"/>
  <c r="S5481" i="111"/>
  <c r="S5480" i="111"/>
  <c r="S5479" i="111"/>
  <c r="S5478" i="111"/>
  <c r="S5477" i="111"/>
  <c r="S5476" i="111"/>
  <c r="S5475" i="111"/>
  <c r="S5474" i="111"/>
  <c r="S5473" i="111"/>
  <c r="S5472" i="111"/>
  <c r="S5471" i="111"/>
  <c r="S5470" i="111"/>
  <c r="S5469" i="111"/>
  <c r="S5468" i="111"/>
  <c r="S5467" i="111"/>
  <c r="S5466" i="111"/>
  <c r="S5465" i="111"/>
  <c r="S5464" i="111"/>
  <c r="S5463" i="111"/>
  <c r="S5462" i="111"/>
  <c r="S5461" i="111"/>
  <c r="S5460" i="111"/>
  <c r="S5459" i="111"/>
  <c r="S5458" i="111"/>
  <c r="S5457" i="111"/>
  <c r="S5456" i="111"/>
  <c r="S5455" i="111"/>
  <c r="S5454" i="111"/>
  <c r="S5453" i="111"/>
  <c r="S5452" i="111"/>
  <c r="S5451" i="111"/>
  <c r="S5450" i="111"/>
  <c r="S5449" i="111"/>
  <c r="S5448" i="111"/>
  <c r="S5447" i="111"/>
  <c r="S5446" i="111"/>
  <c r="S5445" i="111"/>
  <c r="S5444" i="111"/>
  <c r="S5443" i="111"/>
  <c r="S5442" i="111"/>
  <c r="S5441" i="111"/>
  <c r="S5440" i="111"/>
  <c r="S5439" i="111"/>
  <c r="S5438" i="111"/>
  <c r="S5437" i="111"/>
  <c r="S5436" i="111"/>
  <c r="S5435" i="111"/>
  <c r="S5434" i="111"/>
  <c r="S5433" i="111"/>
  <c r="S5432" i="111"/>
  <c r="S5431" i="111"/>
  <c r="S5430" i="111"/>
  <c r="S5429" i="111"/>
  <c r="S5428" i="111"/>
  <c r="S5427" i="111"/>
  <c r="S5426" i="111"/>
  <c r="S5425" i="111"/>
  <c r="S5424" i="111"/>
  <c r="S5423" i="111"/>
  <c r="S5422" i="111"/>
  <c r="S5421" i="111"/>
  <c r="S5420" i="111"/>
  <c r="S5419" i="111"/>
  <c r="S5418" i="111"/>
  <c r="S5417" i="111"/>
  <c r="S5416" i="111"/>
  <c r="S5415" i="111"/>
  <c r="S5414" i="111"/>
  <c r="S5413" i="111"/>
  <c r="S5412" i="111"/>
  <c r="S5411" i="111"/>
  <c r="S5410" i="111"/>
  <c r="S5409" i="111"/>
  <c r="S5408" i="111"/>
  <c r="S5407" i="111"/>
  <c r="S5406" i="111"/>
  <c r="S5405" i="111"/>
  <c r="S5404" i="111"/>
  <c r="S5403" i="111"/>
  <c r="S5402" i="111"/>
  <c r="S5401" i="111"/>
  <c r="S5400" i="111"/>
  <c r="S5399" i="111"/>
  <c r="S5398" i="111"/>
  <c r="S5397" i="111"/>
  <c r="S5396" i="111"/>
  <c r="S5395" i="111"/>
  <c r="S5394" i="111"/>
  <c r="S5393" i="111"/>
  <c r="S5392" i="111"/>
  <c r="S5391" i="111"/>
  <c r="S5390" i="111"/>
  <c r="S5389" i="111"/>
  <c r="S5388" i="111"/>
  <c r="S5387" i="111"/>
  <c r="S5386" i="111"/>
  <c r="S5385" i="111"/>
  <c r="S5384" i="111"/>
  <c r="S5383" i="111"/>
  <c r="S5382" i="111"/>
  <c r="S5381" i="111"/>
  <c r="S5380" i="111"/>
  <c r="S5379" i="111"/>
  <c r="S5378" i="111"/>
  <c r="S5377" i="111"/>
  <c r="S5376" i="111"/>
  <c r="S5375" i="111"/>
  <c r="S5374" i="111"/>
  <c r="S5373" i="111"/>
  <c r="S5372" i="111"/>
  <c r="S5371" i="111"/>
  <c r="S5370" i="111"/>
  <c r="S5369" i="111"/>
  <c r="S5368" i="111"/>
  <c r="S5367" i="111"/>
  <c r="S5366" i="111"/>
  <c r="S5365" i="111"/>
  <c r="S5364" i="111"/>
  <c r="S5363" i="111"/>
  <c r="S5362" i="111"/>
  <c r="S5361" i="111"/>
  <c r="S5360" i="111"/>
  <c r="S5359" i="111"/>
  <c r="S5358" i="111"/>
  <c r="S5357" i="111"/>
  <c r="S5356" i="111"/>
  <c r="S5355" i="111"/>
  <c r="S5354" i="111"/>
  <c r="S5353" i="111"/>
  <c r="S5352" i="111"/>
  <c r="S5351" i="111"/>
  <c r="S5350" i="111"/>
  <c r="S5349" i="111"/>
  <c r="S5348" i="111"/>
  <c r="S5347" i="111"/>
  <c r="S5346" i="111"/>
  <c r="S5345" i="111"/>
  <c r="S5344" i="111"/>
  <c r="S5343" i="111"/>
  <c r="S5342" i="111"/>
  <c r="S5341" i="111"/>
  <c r="S5340" i="111"/>
  <c r="S5339" i="111"/>
  <c r="S5338" i="111"/>
  <c r="S5337" i="111"/>
  <c r="S5336" i="111"/>
  <c r="S5335" i="111"/>
  <c r="S5334" i="111"/>
  <c r="S5333" i="111"/>
  <c r="S5332" i="111"/>
  <c r="S5331" i="111"/>
  <c r="S5330" i="111"/>
  <c r="S5329" i="111"/>
  <c r="S5328" i="111"/>
  <c r="S5327" i="111"/>
  <c r="S5326" i="111"/>
  <c r="S5325" i="111"/>
  <c r="S5324" i="111"/>
  <c r="S5323" i="111"/>
  <c r="S5322" i="111"/>
  <c r="S5321" i="111"/>
  <c r="S5320" i="111"/>
  <c r="S5319" i="111"/>
  <c r="S5318" i="111"/>
  <c r="S5317" i="111"/>
  <c r="S5316" i="111"/>
  <c r="S5315" i="111"/>
  <c r="S5314" i="111"/>
  <c r="S5313" i="111"/>
  <c r="S5312" i="111"/>
  <c r="S5311" i="111"/>
  <c r="S5310" i="111"/>
  <c r="S5309" i="111"/>
  <c r="S5308" i="111"/>
  <c r="S5307" i="111"/>
  <c r="S5306" i="111"/>
  <c r="S5305" i="111"/>
  <c r="S5304" i="111"/>
  <c r="S5303" i="111"/>
  <c r="S5302" i="111"/>
  <c r="S5301" i="111"/>
  <c r="S5300" i="111"/>
  <c r="S5299" i="111"/>
  <c r="S5298" i="111"/>
  <c r="S5297" i="111"/>
  <c r="S5296" i="111"/>
  <c r="S5295" i="111"/>
  <c r="S5294" i="111"/>
  <c r="S5293" i="111"/>
  <c r="S5292" i="111"/>
  <c r="S5291" i="111"/>
  <c r="S5290" i="111"/>
  <c r="S5289" i="111"/>
  <c r="S5288" i="111"/>
  <c r="S5287" i="111"/>
  <c r="S5286" i="111"/>
  <c r="S5285" i="111"/>
  <c r="S5284" i="111"/>
  <c r="S5283" i="111"/>
  <c r="S5282" i="111"/>
  <c r="S5281" i="111"/>
  <c r="S5280" i="111"/>
  <c r="S5279" i="111"/>
  <c r="S5278" i="111"/>
  <c r="S5277" i="111"/>
  <c r="S5276" i="111"/>
  <c r="S5275" i="111"/>
  <c r="S5274" i="111"/>
  <c r="S5273" i="111"/>
  <c r="S5272" i="111"/>
  <c r="S5271" i="111"/>
  <c r="S5270" i="111"/>
  <c r="S5269" i="111"/>
  <c r="S5268" i="111"/>
  <c r="S5267" i="111"/>
  <c r="S5266" i="111"/>
  <c r="S5265" i="111"/>
  <c r="S5264" i="111"/>
  <c r="S5263" i="111"/>
  <c r="S5262" i="111"/>
  <c r="S5261" i="111"/>
  <c r="S5260" i="111"/>
  <c r="S5259" i="111"/>
  <c r="S5258" i="111"/>
  <c r="S5257" i="111"/>
  <c r="S5256" i="111"/>
  <c r="S5255" i="111"/>
  <c r="S5254" i="111"/>
  <c r="S5253" i="111"/>
  <c r="S5252" i="111"/>
  <c r="S5251" i="111"/>
  <c r="S5250" i="111"/>
  <c r="S5249" i="111"/>
  <c r="S5248" i="111"/>
  <c r="S5247" i="111"/>
  <c r="S5246" i="111"/>
  <c r="S5245" i="111"/>
  <c r="S5244" i="111"/>
  <c r="S5243" i="111"/>
  <c r="S5242" i="111"/>
  <c r="S5241" i="111"/>
  <c r="S5240" i="111"/>
  <c r="S5239" i="111"/>
  <c r="S5238" i="111"/>
  <c r="S5237" i="111"/>
  <c r="S5236" i="111"/>
  <c r="S5235" i="111"/>
  <c r="S5234" i="111"/>
  <c r="S5233" i="111"/>
  <c r="S5232" i="111"/>
  <c r="S5231" i="111"/>
  <c r="S5230" i="111"/>
  <c r="S5229" i="111"/>
  <c r="S5228" i="111"/>
  <c r="S5227" i="111"/>
  <c r="S5226" i="111"/>
  <c r="S5225" i="111"/>
  <c r="S5224" i="111"/>
  <c r="S5223" i="111"/>
  <c r="S5222" i="111"/>
  <c r="S5221" i="111"/>
  <c r="S5220" i="111"/>
  <c r="S5219" i="111"/>
  <c r="S5218" i="111"/>
  <c r="S5217" i="111"/>
  <c r="S5216" i="111"/>
  <c r="S5215" i="111"/>
  <c r="S5214" i="111"/>
  <c r="S5213" i="111"/>
  <c r="S5212" i="111"/>
  <c r="S5211" i="111"/>
  <c r="S5210" i="111"/>
  <c r="S5209" i="111"/>
  <c r="S5208" i="111"/>
  <c r="S5207" i="111"/>
  <c r="S5206" i="111"/>
  <c r="S5205" i="111"/>
  <c r="S5204" i="111"/>
  <c r="S5203" i="111"/>
  <c r="S5202" i="111"/>
  <c r="S5201" i="111"/>
  <c r="S5200" i="111"/>
  <c r="S5199" i="111"/>
  <c r="S5198" i="111"/>
  <c r="S5197" i="111"/>
  <c r="S5196" i="111"/>
  <c r="S5195" i="111"/>
  <c r="S5194" i="111"/>
  <c r="S5193" i="111"/>
  <c r="S5192" i="111"/>
  <c r="S5191" i="111"/>
  <c r="S5190" i="111"/>
  <c r="S5189" i="111"/>
  <c r="S5188" i="111"/>
  <c r="S5187" i="111"/>
  <c r="S5186" i="111"/>
  <c r="S5185" i="111"/>
  <c r="S5184" i="111"/>
  <c r="S5183" i="111"/>
  <c r="S5182" i="111"/>
  <c r="S5181" i="111"/>
  <c r="S5180" i="111"/>
  <c r="S5179" i="111"/>
  <c r="S5178" i="111"/>
  <c r="S5177" i="111"/>
  <c r="S5176" i="111"/>
  <c r="S5175" i="111"/>
  <c r="S5174" i="111"/>
  <c r="S5173" i="111"/>
  <c r="S5172" i="111"/>
  <c r="S5171" i="111"/>
  <c r="S5170" i="111"/>
  <c r="S5169" i="111"/>
  <c r="S5168" i="111"/>
  <c r="S5167" i="111"/>
  <c r="S5166" i="111"/>
  <c r="S5165" i="111"/>
  <c r="S5164" i="111"/>
  <c r="S5163" i="111"/>
  <c r="S5162" i="111"/>
  <c r="S5161" i="111"/>
  <c r="S5160" i="111"/>
  <c r="S5159" i="111"/>
  <c r="S5158" i="111"/>
  <c r="S5157" i="111"/>
  <c r="S5156" i="111"/>
  <c r="S5155" i="111"/>
  <c r="S5154" i="111"/>
  <c r="S5153" i="111"/>
  <c r="S5152" i="111"/>
  <c r="S5151" i="111"/>
  <c r="S5150" i="111"/>
  <c r="S5149" i="111"/>
  <c r="S5148" i="111"/>
  <c r="S5147" i="111"/>
  <c r="S5146" i="111"/>
  <c r="S5145" i="111"/>
  <c r="S5144" i="111"/>
  <c r="S5143" i="111"/>
  <c r="S5142" i="111"/>
  <c r="S5141" i="111"/>
  <c r="S5140" i="111"/>
  <c r="S5139" i="111"/>
  <c r="S5138" i="111"/>
  <c r="S5137" i="111"/>
  <c r="S5136" i="111"/>
  <c r="S5135" i="111"/>
  <c r="S5134" i="111"/>
  <c r="S5133" i="111"/>
  <c r="S5132" i="111"/>
  <c r="S5131" i="111"/>
  <c r="S5130" i="111"/>
  <c r="S5129" i="111"/>
  <c r="S5128" i="111"/>
  <c r="S5127" i="111"/>
  <c r="S5126" i="111"/>
  <c r="S5125" i="111"/>
  <c r="S5124" i="111"/>
  <c r="S5123" i="111"/>
  <c r="S5122" i="111"/>
  <c r="S5121" i="111"/>
  <c r="S5120" i="111"/>
  <c r="S5119" i="111"/>
  <c r="S5118" i="111"/>
  <c r="S5117" i="111"/>
  <c r="S5116" i="111"/>
  <c r="S5115" i="111"/>
  <c r="S5114" i="111"/>
  <c r="S5113" i="111"/>
  <c r="S5112" i="111"/>
  <c r="S5111" i="111"/>
  <c r="S5110" i="111"/>
  <c r="S5109" i="111"/>
  <c r="S5108" i="111"/>
  <c r="S5107" i="111"/>
  <c r="S5106" i="111"/>
  <c r="S5105" i="111"/>
  <c r="S5104" i="111"/>
  <c r="S5103" i="111"/>
  <c r="S5102" i="111"/>
  <c r="S5101" i="111"/>
  <c r="S5100" i="111"/>
  <c r="S5099" i="111"/>
  <c r="S5098" i="111"/>
  <c r="S5097" i="111"/>
  <c r="S5096" i="111"/>
  <c r="S5095" i="111"/>
  <c r="S5094" i="111"/>
  <c r="S5093" i="111"/>
  <c r="S5092" i="111"/>
  <c r="S5091" i="111"/>
  <c r="S5090" i="111"/>
  <c r="S5089" i="111"/>
  <c r="S5088" i="111"/>
  <c r="S5087" i="111"/>
  <c r="S5086" i="111"/>
  <c r="S5085" i="111"/>
  <c r="S5084" i="111"/>
  <c r="S5083" i="111"/>
  <c r="S5082" i="111"/>
  <c r="S5081" i="111"/>
  <c r="S5080" i="111"/>
  <c r="S5079" i="111"/>
  <c r="S5078" i="111"/>
  <c r="S5077" i="111"/>
  <c r="S5076" i="111"/>
  <c r="S5075" i="111"/>
  <c r="S5074" i="111"/>
  <c r="S5073" i="111"/>
  <c r="S5072" i="111"/>
  <c r="S5071" i="111"/>
  <c r="S5070" i="111"/>
  <c r="S5069" i="111"/>
  <c r="S5068" i="111"/>
  <c r="S5067" i="111"/>
  <c r="S5066" i="111"/>
  <c r="S5065" i="111"/>
  <c r="S5064" i="111"/>
  <c r="S5063" i="111"/>
  <c r="S5062" i="111"/>
  <c r="S5061" i="111"/>
  <c r="S5060" i="111"/>
  <c r="S5059" i="111"/>
  <c r="S5058" i="111"/>
  <c r="S5057" i="111"/>
  <c r="S5056" i="111"/>
  <c r="S5055" i="111"/>
  <c r="S5054" i="111"/>
  <c r="S5053" i="111"/>
  <c r="S5052" i="111"/>
  <c r="S5051" i="111"/>
  <c r="S5050" i="111"/>
  <c r="S5049" i="111"/>
  <c r="S5048" i="111"/>
  <c r="S5047" i="111"/>
  <c r="S5046" i="111"/>
  <c r="S5045" i="111"/>
  <c r="S5044" i="111"/>
  <c r="S5043" i="111"/>
  <c r="S5042" i="111"/>
  <c r="S5041" i="111"/>
  <c r="S5040" i="111"/>
  <c r="S5039" i="111"/>
  <c r="S5038" i="111"/>
  <c r="S5037" i="111"/>
  <c r="S5036" i="111"/>
  <c r="S5035" i="111"/>
  <c r="S5034" i="111"/>
  <c r="S5033" i="111"/>
  <c r="S5032" i="111"/>
  <c r="S5031" i="111"/>
  <c r="S5030" i="111"/>
  <c r="S5029" i="111"/>
  <c r="S5028" i="111"/>
  <c r="S5027" i="111"/>
  <c r="S5026" i="111"/>
  <c r="S5025" i="111"/>
  <c r="S5024" i="111"/>
  <c r="S5023" i="111"/>
  <c r="S5022" i="111"/>
  <c r="S5021" i="111"/>
  <c r="S5020" i="111"/>
  <c r="S5019" i="111"/>
  <c r="S5018" i="111"/>
  <c r="S5017" i="111"/>
  <c r="S5016" i="111"/>
  <c r="S5015" i="111"/>
  <c r="S5014" i="111"/>
  <c r="S5013" i="111"/>
  <c r="S5012" i="111"/>
  <c r="S5011" i="111"/>
  <c r="S5010" i="111"/>
  <c r="S5009" i="111"/>
  <c r="S5008" i="111"/>
  <c r="S5007" i="111"/>
  <c r="S5006" i="111"/>
  <c r="S5005" i="111"/>
  <c r="S5004" i="111"/>
  <c r="S5003" i="111"/>
  <c r="S5002" i="111"/>
  <c r="S5001" i="111"/>
  <c r="S5000" i="111"/>
  <c r="S4999" i="111"/>
  <c r="S4998" i="111"/>
  <c r="S4997" i="111"/>
  <c r="S4996" i="111"/>
  <c r="S4995" i="111"/>
  <c r="S4994" i="111"/>
  <c r="S4993" i="111"/>
  <c r="S4992" i="111"/>
  <c r="S4991" i="111"/>
  <c r="S4990" i="111"/>
  <c r="S4989" i="111"/>
  <c r="S4988" i="111"/>
  <c r="S4987" i="111"/>
  <c r="S4986" i="111"/>
  <c r="S4985" i="111"/>
  <c r="S4984" i="111"/>
  <c r="S4983" i="111"/>
  <c r="S4982" i="111"/>
  <c r="S4981" i="111"/>
  <c r="S4980" i="111"/>
  <c r="S4979" i="111"/>
  <c r="S4978" i="111"/>
  <c r="S4977" i="111"/>
  <c r="S4976" i="111"/>
  <c r="S4975" i="111"/>
  <c r="S4974" i="111"/>
  <c r="S4973" i="111"/>
  <c r="S4972" i="111"/>
  <c r="S4971" i="111"/>
  <c r="S4970" i="111"/>
  <c r="S4969" i="111"/>
  <c r="S4968" i="111"/>
  <c r="S4967" i="111"/>
  <c r="S4966" i="111"/>
  <c r="S4965" i="111"/>
  <c r="S4964" i="111"/>
  <c r="S4963" i="111"/>
  <c r="S4962" i="111"/>
  <c r="S4961" i="111"/>
  <c r="S4960" i="111"/>
  <c r="S4959" i="111"/>
  <c r="S4958" i="111"/>
  <c r="S4957" i="111"/>
  <c r="S4956" i="111"/>
  <c r="S4955" i="111"/>
  <c r="S4954" i="111"/>
  <c r="S4953" i="111"/>
  <c r="S4952" i="111"/>
  <c r="S4951" i="111"/>
  <c r="S4950" i="111"/>
  <c r="S4949" i="111"/>
  <c r="S4948" i="111"/>
  <c r="S4947" i="111"/>
  <c r="S4946" i="111"/>
  <c r="S4945" i="111"/>
  <c r="S4944" i="111"/>
  <c r="S4943" i="111"/>
  <c r="S4942" i="111"/>
  <c r="S4941" i="111"/>
  <c r="S4940" i="111"/>
  <c r="S4939" i="111"/>
  <c r="S4938" i="111"/>
  <c r="S4937" i="111"/>
  <c r="S4936" i="111"/>
  <c r="S4935" i="111"/>
  <c r="S4934" i="111"/>
  <c r="S4933" i="111"/>
  <c r="S4932" i="111"/>
  <c r="S4931" i="111"/>
  <c r="S4930" i="111"/>
  <c r="S4929" i="111"/>
  <c r="S4928" i="111"/>
  <c r="S4927" i="111"/>
  <c r="S4926" i="111"/>
  <c r="S4925" i="111"/>
  <c r="S4924" i="111"/>
  <c r="S4923" i="111"/>
  <c r="S4922" i="111"/>
  <c r="S4921" i="111"/>
  <c r="S4920" i="111"/>
  <c r="S4919" i="111"/>
  <c r="S4918" i="111"/>
  <c r="S4917" i="111"/>
  <c r="S4916" i="111"/>
  <c r="S4915" i="111"/>
  <c r="S4914" i="111"/>
  <c r="S4913" i="111"/>
  <c r="S4912" i="111"/>
  <c r="S4911" i="111"/>
  <c r="S4910" i="111"/>
  <c r="S4909" i="111"/>
  <c r="S4908" i="111"/>
  <c r="S4907" i="111"/>
  <c r="S4906" i="111"/>
  <c r="S4905" i="111"/>
  <c r="S4904" i="111"/>
  <c r="S4903" i="111"/>
  <c r="S4902" i="111"/>
  <c r="S4901" i="111"/>
  <c r="S4900" i="111"/>
  <c r="S4899" i="111"/>
  <c r="S4898" i="111"/>
  <c r="S4897" i="111"/>
  <c r="S4896" i="111"/>
  <c r="S4895" i="111"/>
  <c r="S4894" i="111"/>
  <c r="S4893" i="111"/>
  <c r="S4892" i="111"/>
  <c r="S4891" i="111"/>
  <c r="S4890" i="111"/>
  <c r="S4889" i="111"/>
  <c r="S4888" i="111"/>
  <c r="S4887" i="111"/>
  <c r="S4886" i="111"/>
  <c r="S4885" i="111"/>
  <c r="S4884" i="111"/>
  <c r="S4883" i="111"/>
  <c r="S4882" i="111"/>
  <c r="S4881" i="111"/>
  <c r="S4880" i="111"/>
  <c r="S4879" i="111"/>
  <c r="S4878" i="111"/>
  <c r="S4877" i="111"/>
  <c r="S4876" i="111"/>
  <c r="S4875" i="111"/>
  <c r="S4874" i="111"/>
  <c r="S4873" i="111"/>
  <c r="S4872" i="111"/>
  <c r="S4871" i="111"/>
  <c r="S4870" i="111"/>
  <c r="S4869" i="111"/>
  <c r="S4868" i="111"/>
  <c r="S4867" i="111"/>
  <c r="S4866" i="111"/>
  <c r="S4865" i="111"/>
  <c r="S4864" i="111"/>
  <c r="S4863" i="111"/>
  <c r="S4862" i="111"/>
  <c r="S4861" i="111"/>
  <c r="S4860" i="111"/>
  <c r="S4859" i="111"/>
  <c r="S4858" i="111"/>
  <c r="S4857" i="111"/>
  <c r="S4856" i="111"/>
  <c r="S4855" i="111"/>
  <c r="S4854" i="111"/>
  <c r="S4853" i="111"/>
  <c r="S4852" i="111"/>
  <c r="S4851" i="111"/>
  <c r="S4850" i="111"/>
  <c r="S4849" i="111"/>
  <c r="S4848" i="111"/>
  <c r="S4847" i="111"/>
  <c r="S4846" i="111"/>
  <c r="S4845" i="111"/>
  <c r="S4844" i="111"/>
  <c r="S4843" i="111"/>
  <c r="S4842" i="111"/>
  <c r="S4841" i="111"/>
  <c r="S4840" i="111"/>
  <c r="S4839" i="111"/>
  <c r="S4838" i="111"/>
  <c r="S4837" i="111"/>
  <c r="S4836" i="111"/>
  <c r="S4835" i="111"/>
  <c r="S4834" i="111"/>
  <c r="S4833" i="111"/>
  <c r="S4832" i="111"/>
  <c r="S4831" i="111"/>
  <c r="S4830" i="111"/>
  <c r="S4829" i="111"/>
  <c r="S4828" i="111"/>
  <c r="S4827" i="111"/>
  <c r="S4826" i="111"/>
  <c r="S4825" i="111"/>
  <c r="S4824" i="111"/>
  <c r="S4823" i="111"/>
  <c r="S4822" i="111"/>
  <c r="S4821" i="111"/>
  <c r="S4820" i="111"/>
  <c r="S4819" i="111"/>
  <c r="S4818" i="111"/>
  <c r="S4817" i="111"/>
  <c r="S4816" i="111"/>
  <c r="S4815" i="111"/>
  <c r="S4814" i="111"/>
  <c r="S4813" i="111"/>
  <c r="S4812" i="111"/>
  <c r="S4811" i="111"/>
  <c r="S4810" i="111"/>
  <c r="S4809" i="111"/>
  <c r="S4808" i="111"/>
  <c r="S4807" i="111"/>
  <c r="S4806" i="111"/>
  <c r="S4805" i="111"/>
  <c r="S4804" i="111"/>
  <c r="S4803" i="111"/>
  <c r="S4802" i="111"/>
  <c r="S4801" i="111"/>
  <c r="S4800" i="111"/>
  <c r="S4799" i="111"/>
  <c r="S4798" i="111"/>
  <c r="S4797" i="111"/>
  <c r="S4796" i="111"/>
  <c r="S4795" i="111"/>
  <c r="S4794" i="111"/>
  <c r="S4793" i="111"/>
  <c r="S4792" i="111"/>
  <c r="S4791" i="111"/>
  <c r="S4790" i="111"/>
  <c r="S4789" i="111"/>
  <c r="S4788" i="111"/>
  <c r="S4787" i="111"/>
  <c r="S4786" i="111"/>
  <c r="S4785" i="111"/>
  <c r="S4784" i="111"/>
  <c r="S4783" i="111"/>
  <c r="S4782" i="111"/>
  <c r="S4781" i="111"/>
  <c r="S4780" i="111"/>
  <c r="S4779" i="111"/>
  <c r="S4778" i="111"/>
  <c r="S4777" i="111"/>
  <c r="S4776" i="111"/>
  <c r="S4775" i="111"/>
  <c r="S4774" i="111"/>
  <c r="S4773" i="111"/>
  <c r="S4772" i="111"/>
  <c r="S4771" i="111"/>
  <c r="S4770" i="111"/>
  <c r="S4769" i="111"/>
  <c r="S4768" i="111"/>
  <c r="S4767" i="111"/>
  <c r="S4766" i="111"/>
  <c r="S4765" i="111"/>
  <c r="S4764" i="111"/>
  <c r="S4763" i="111"/>
  <c r="S4762" i="111"/>
  <c r="S4761" i="111"/>
  <c r="S4760" i="111"/>
  <c r="S4759" i="111"/>
  <c r="S4758" i="111"/>
  <c r="S4757" i="111"/>
  <c r="S4756" i="111"/>
  <c r="S4755" i="111"/>
  <c r="S4754" i="111"/>
  <c r="S4753" i="111"/>
  <c r="S4752" i="111"/>
  <c r="S4751" i="111"/>
  <c r="S4750" i="111"/>
  <c r="S4749" i="111"/>
  <c r="S4748" i="111"/>
  <c r="S4747" i="111"/>
  <c r="S4746" i="111"/>
  <c r="S4745" i="111"/>
  <c r="S4744" i="111"/>
  <c r="S4743" i="111"/>
  <c r="S4742" i="111"/>
  <c r="S4741" i="111"/>
  <c r="S4740" i="111"/>
  <c r="S4739" i="111"/>
  <c r="S4738" i="111"/>
  <c r="S4737" i="111"/>
  <c r="S4736" i="111"/>
  <c r="S4735" i="111"/>
  <c r="S4734" i="111"/>
  <c r="S4733" i="111"/>
  <c r="S4732" i="111"/>
  <c r="S4731" i="111"/>
  <c r="S4730" i="111"/>
  <c r="S4729" i="111"/>
  <c r="S4728" i="111"/>
  <c r="S4727" i="111"/>
  <c r="S4726" i="111"/>
  <c r="S4725" i="111"/>
  <c r="S4724" i="111"/>
  <c r="S4723" i="111"/>
  <c r="S4722" i="111"/>
  <c r="S4721" i="111"/>
  <c r="S4720" i="111"/>
  <c r="S4719" i="111"/>
  <c r="S4718" i="111"/>
  <c r="S4717" i="111"/>
  <c r="S4716" i="111"/>
  <c r="S4715" i="111"/>
  <c r="S4714" i="111"/>
  <c r="S4713" i="111"/>
  <c r="S4712" i="111"/>
  <c r="S4711" i="111"/>
  <c r="S4710" i="111"/>
  <c r="S4709" i="111"/>
  <c r="S4708" i="111"/>
  <c r="S4707" i="111"/>
  <c r="S4706" i="111"/>
  <c r="S4705" i="111"/>
  <c r="S4704" i="111"/>
  <c r="S4703" i="111"/>
  <c r="S4702" i="111"/>
  <c r="S4701" i="111"/>
  <c r="S4700" i="111"/>
  <c r="S4699" i="111"/>
  <c r="S4698" i="111"/>
  <c r="S4697" i="111"/>
  <c r="S4696" i="111"/>
  <c r="S4695" i="111"/>
  <c r="S4694" i="111"/>
  <c r="S4693" i="111"/>
  <c r="S4692" i="111"/>
  <c r="S4691" i="111"/>
  <c r="S4690" i="111"/>
  <c r="S4689" i="111"/>
  <c r="S4688" i="111"/>
  <c r="S4687" i="111"/>
  <c r="S4686" i="111"/>
  <c r="S4685" i="111"/>
  <c r="S4684" i="111"/>
  <c r="S4683" i="111"/>
  <c r="S4682" i="111"/>
  <c r="S4681" i="111"/>
  <c r="S4680" i="111"/>
  <c r="S4679" i="111"/>
  <c r="S4678" i="111"/>
  <c r="S4677" i="111"/>
  <c r="S4676" i="111"/>
  <c r="S4675" i="111"/>
  <c r="S4674" i="111"/>
  <c r="S4673" i="111"/>
  <c r="S4672" i="111"/>
  <c r="S4671" i="111"/>
  <c r="S4670" i="111"/>
  <c r="S4669" i="111"/>
  <c r="S4668" i="111"/>
  <c r="S4667" i="111"/>
  <c r="S4666" i="111"/>
  <c r="S4665" i="111"/>
  <c r="S4664" i="111"/>
  <c r="S4663" i="111"/>
  <c r="S4662" i="111"/>
  <c r="S4661" i="111"/>
  <c r="S4660" i="111"/>
  <c r="S4659" i="111"/>
  <c r="S4658" i="111"/>
  <c r="S4657" i="111"/>
  <c r="S4656" i="111"/>
  <c r="S4655" i="111"/>
  <c r="S4654" i="111"/>
  <c r="S4653" i="111"/>
  <c r="S4652" i="111"/>
  <c r="S4651" i="111"/>
  <c r="S4650" i="111"/>
  <c r="S4649" i="111"/>
  <c r="S4648" i="111"/>
  <c r="S4647" i="111"/>
  <c r="S4646" i="111"/>
  <c r="S4645" i="111"/>
  <c r="S4644" i="111"/>
  <c r="S4643" i="111"/>
  <c r="S4642" i="111"/>
  <c r="S4641" i="111"/>
  <c r="S4640" i="111"/>
  <c r="S4639" i="111"/>
  <c r="S4638" i="111"/>
  <c r="S4637" i="111"/>
  <c r="S4636" i="111"/>
  <c r="S4635" i="111"/>
  <c r="S4634" i="111"/>
  <c r="S4633" i="111"/>
  <c r="S4632" i="111"/>
  <c r="S4631" i="111"/>
  <c r="S4630" i="111"/>
  <c r="S4629" i="111"/>
  <c r="S4628" i="111"/>
  <c r="S4627" i="111"/>
  <c r="S4626" i="111"/>
  <c r="S4625" i="111"/>
  <c r="S4624" i="111"/>
  <c r="S4623" i="111"/>
  <c r="S4622" i="111"/>
  <c r="S4621" i="111"/>
  <c r="S4620" i="111"/>
  <c r="S4619" i="111"/>
  <c r="S4618" i="111"/>
  <c r="S4617" i="111"/>
  <c r="S4616" i="111"/>
  <c r="S4615" i="111"/>
  <c r="S4614" i="111"/>
  <c r="S4613" i="111"/>
  <c r="S4612" i="111"/>
  <c r="S4611" i="111"/>
  <c r="S4610" i="111"/>
  <c r="S4609" i="111"/>
  <c r="S4608" i="111"/>
  <c r="S4607" i="111"/>
  <c r="S4606" i="111"/>
  <c r="S4605" i="111"/>
  <c r="S4604" i="111"/>
  <c r="S4603" i="111"/>
  <c r="S4602" i="111"/>
  <c r="S4601" i="111"/>
  <c r="S4600" i="111"/>
  <c r="S4599" i="111"/>
  <c r="S4598" i="111"/>
  <c r="S4597" i="111"/>
  <c r="S4596" i="111"/>
  <c r="S4595" i="111"/>
  <c r="S4594" i="111"/>
  <c r="S4593" i="111"/>
  <c r="S4592" i="111"/>
  <c r="S4591" i="111"/>
  <c r="S4590" i="111"/>
  <c r="S4589" i="111"/>
  <c r="S4588" i="111"/>
  <c r="S4587" i="111"/>
  <c r="S4586" i="111"/>
  <c r="S4585" i="111"/>
  <c r="S4584" i="111"/>
  <c r="S4583" i="111"/>
  <c r="S4582" i="111"/>
  <c r="S4581" i="111"/>
  <c r="S4580" i="111"/>
  <c r="S4579" i="111"/>
  <c r="S4578" i="111"/>
  <c r="S4577" i="111"/>
  <c r="S4576" i="111"/>
  <c r="S4575" i="111"/>
  <c r="S4574" i="111"/>
  <c r="S4573" i="111"/>
  <c r="S4572" i="111"/>
  <c r="S4571" i="111"/>
  <c r="S4570" i="111"/>
  <c r="S4569" i="111"/>
  <c r="S4568" i="111"/>
  <c r="S4567" i="111"/>
  <c r="S4566" i="111"/>
  <c r="S4565" i="111"/>
  <c r="S4564" i="111"/>
  <c r="S4563" i="111"/>
  <c r="S4562" i="111"/>
  <c r="S4561" i="111"/>
  <c r="S4560" i="111"/>
  <c r="S4559" i="111"/>
  <c r="S4558" i="111"/>
  <c r="S4557" i="111"/>
  <c r="S4556" i="111"/>
  <c r="S4555" i="111"/>
  <c r="S4554" i="111"/>
  <c r="S4553" i="111"/>
  <c r="S4552" i="111"/>
  <c r="S4551" i="111"/>
  <c r="S4550" i="111"/>
  <c r="S4549" i="111"/>
  <c r="S4548" i="111"/>
  <c r="S4547" i="111"/>
  <c r="S4546" i="111"/>
  <c r="S4545" i="111"/>
  <c r="S4544" i="111"/>
  <c r="S4543" i="111"/>
  <c r="S4542" i="111"/>
  <c r="S4541" i="111"/>
  <c r="S4540" i="111"/>
  <c r="S4539" i="111"/>
  <c r="S4538" i="111"/>
  <c r="S4537" i="111"/>
  <c r="S4536" i="111"/>
  <c r="S4535" i="111"/>
  <c r="S4534" i="111"/>
  <c r="S4533" i="111"/>
  <c r="S4532" i="111"/>
  <c r="S4531" i="111"/>
  <c r="S4530" i="111"/>
  <c r="S4529" i="111"/>
  <c r="S4528" i="111"/>
  <c r="S4527" i="111"/>
  <c r="S4526" i="111"/>
  <c r="S4525" i="111"/>
  <c r="S4524" i="111"/>
  <c r="S4523" i="111"/>
  <c r="S4522" i="111"/>
  <c r="S4521" i="111"/>
  <c r="S4520" i="111"/>
  <c r="S4519" i="111"/>
  <c r="S4518" i="111"/>
  <c r="S4517" i="111"/>
  <c r="S4516" i="111"/>
  <c r="S4515" i="111"/>
  <c r="S4514" i="111"/>
  <c r="S4513" i="111"/>
  <c r="S4512" i="111"/>
  <c r="S4511" i="111"/>
  <c r="S4510" i="111"/>
  <c r="S4509" i="111"/>
  <c r="S4508" i="111"/>
  <c r="S4507" i="111"/>
  <c r="S4506" i="111"/>
  <c r="S4505" i="111"/>
  <c r="S4504" i="111"/>
  <c r="S4503" i="111"/>
  <c r="S4502" i="111"/>
  <c r="S4501" i="111"/>
  <c r="S4500" i="111"/>
  <c r="S4499" i="111"/>
  <c r="S4498" i="111"/>
  <c r="S4497" i="111"/>
  <c r="S4496" i="111"/>
  <c r="S4495" i="111"/>
  <c r="S4494" i="111"/>
  <c r="S4493" i="111"/>
  <c r="S4492" i="111"/>
  <c r="S4491" i="111"/>
  <c r="S4490" i="111"/>
  <c r="S4489" i="111"/>
  <c r="S4488" i="111"/>
  <c r="S4487" i="111"/>
  <c r="S4486" i="111"/>
  <c r="S4485" i="111"/>
  <c r="S4484" i="111"/>
  <c r="S4483" i="111"/>
  <c r="S4482" i="111"/>
  <c r="S4481" i="111"/>
  <c r="S4480" i="111"/>
  <c r="S4479" i="111"/>
  <c r="S4478" i="111"/>
  <c r="S4477" i="111"/>
  <c r="S4476" i="111"/>
  <c r="S4475" i="111"/>
  <c r="S4474" i="111"/>
  <c r="S4473" i="111"/>
  <c r="S4472" i="111"/>
  <c r="S4471" i="111"/>
  <c r="S4470" i="111"/>
  <c r="S4469" i="111"/>
  <c r="S4468" i="111"/>
  <c r="S4467" i="111"/>
  <c r="S4466" i="111"/>
  <c r="S4465" i="111"/>
  <c r="S4464" i="111"/>
  <c r="S4463" i="111"/>
  <c r="S4462" i="111"/>
  <c r="S4461" i="111"/>
  <c r="S4460" i="111"/>
  <c r="S4459" i="111"/>
  <c r="S4458" i="111"/>
  <c r="S4457" i="111"/>
  <c r="S4456" i="111"/>
  <c r="S4455" i="111"/>
  <c r="S4454" i="111"/>
  <c r="S4453" i="111"/>
  <c r="S4452" i="111"/>
  <c r="S4451" i="111"/>
  <c r="S4450" i="111"/>
  <c r="S4449" i="111"/>
  <c r="S4448" i="111"/>
  <c r="S4447" i="111"/>
  <c r="S4446" i="111"/>
  <c r="S4445" i="111"/>
  <c r="S4444" i="111"/>
  <c r="S4443" i="111"/>
  <c r="S4442" i="111"/>
  <c r="S4441" i="111"/>
  <c r="S4440" i="111"/>
  <c r="S4439" i="111"/>
  <c r="S4438" i="111"/>
  <c r="S4437" i="111"/>
  <c r="S4436" i="111"/>
  <c r="S4435" i="111"/>
  <c r="S4434" i="111"/>
  <c r="S4433" i="111"/>
  <c r="S4432" i="111"/>
  <c r="S4431" i="111"/>
  <c r="S4430" i="111"/>
  <c r="S4429" i="111"/>
  <c r="S4428" i="111"/>
  <c r="S4427" i="111"/>
  <c r="S4426" i="111"/>
  <c r="S4425" i="111"/>
  <c r="S4424" i="111"/>
  <c r="S4423" i="111"/>
  <c r="S4422" i="111"/>
  <c r="S4421" i="111"/>
  <c r="S4420" i="111"/>
  <c r="S4419" i="111"/>
  <c r="S4418" i="111"/>
  <c r="S4417" i="111"/>
  <c r="S4416" i="111"/>
  <c r="S4415" i="111"/>
  <c r="S4414" i="111"/>
  <c r="S4413" i="111"/>
  <c r="S4412" i="111"/>
  <c r="S4411" i="111"/>
  <c r="S4410" i="111"/>
  <c r="S4409" i="111"/>
  <c r="S4408" i="111"/>
  <c r="S4407" i="111"/>
  <c r="S4406" i="111"/>
  <c r="S4405" i="111"/>
  <c r="S4404" i="111"/>
  <c r="S4403" i="111"/>
  <c r="S4402" i="111"/>
  <c r="S4401" i="111"/>
  <c r="S4400" i="111"/>
  <c r="S4399" i="111"/>
  <c r="S4398" i="111"/>
  <c r="S4397" i="111"/>
  <c r="S4396" i="111"/>
  <c r="S4395" i="111"/>
  <c r="S4394" i="111"/>
  <c r="S4393" i="111"/>
  <c r="S4392" i="111"/>
  <c r="S4391" i="111"/>
  <c r="S4390" i="111"/>
  <c r="S4389" i="111"/>
  <c r="S4388" i="111"/>
  <c r="S4387" i="111"/>
  <c r="S4386" i="111"/>
  <c r="S4385" i="111"/>
  <c r="S4384" i="111"/>
  <c r="S4383" i="111"/>
  <c r="S4382" i="111"/>
  <c r="S4381" i="111"/>
  <c r="S4380" i="111"/>
  <c r="S4379" i="111"/>
  <c r="S4378" i="111"/>
  <c r="S4377" i="111"/>
  <c r="S4376" i="111"/>
  <c r="S4375" i="111"/>
  <c r="S4374" i="111"/>
  <c r="S4373" i="111"/>
  <c r="S4372" i="111"/>
  <c r="S4371" i="111"/>
  <c r="S4370" i="111"/>
  <c r="S4369" i="111"/>
  <c r="S4368" i="111"/>
  <c r="S4367" i="111"/>
  <c r="S4366" i="111"/>
  <c r="S4365" i="111"/>
  <c r="S4364" i="111"/>
  <c r="S4363" i="111"/>
  <c r="S4362" i="111"/>
  <c r="S4361" i="111"/>
  <c r="S4360" i="111"/>
  <c r="S4359" i="111"/>
  <c r="S4358" i="111"/>
  <c r="S4357" i="111"/>
  <c r="S4356" i="111"/>
  <c r="S4355" i="111"/>
  <c r="S4354" i="111"/>
  <c r="S4353" i="111"/>
  <c r="S4352" i="111"/>
  <c r="S4351" i="111"/>
  <c r="S4350" i="111"/>
  <c r="S4349" i="111"/>
  <c r="S4348" i="111"/>
  <c r="S4347" i="111"/>
  <c r="S4346" i="111"/>
  <c r="S4345" i="111"/>
  <c r="S4344" i="111"/>
  <c r="S4343" i="111"/>
  <c r="S4342" i="111"/>
  <c r="S4341" i="111"/>
  <c r="S4340" i="111"/>
  <c r="S4339" i="111"/>
  <c r="S4338" i="111"/>
  <c r="S4337" i="111"/>
  <c r="S4336" i="111"/>
  <c r="S4335" i="111"/>
  <c r="S4334" i="111"/>
  <c r="S4333" i="111"/>
  <c r="S4332" i="111"/>
  <c r="S4331" i="111"/>
  <c r="S4330" i="111"/>
  <c r="S4329" i="111"/>
  <c r="S4328" i="111"/>
  <c r="S4327" i="111"/>
  <c r="S4326" i="111"/>
  <c r="S4325" i="111"/>
  <c r="S4324" i="111"/>
  <c r="S4323" i="111"/>
  <c r="S4322" i="111"/>
  <c r="S4321" i="111"/>
  <c r="S4320" i="111"/>
  <c r="S4319" i="111"/>
  <c r="S4318" i="111"/>
  <c r="S4317" i="111"/>
  <c r="S4316" i="111"/>
  <c r="S4315" i="111"/>
  <c r="S4314" i="111"/>
  <c r="S4313" i="111"/>
  <c r="S4312" i="111"/>
  <c r="S4311" i="111"/>
  <c r="S4310" i="111"/>
  <c r="S4309" i="111"/>
  <c r="S4308" i="111"/>
  <c r="S4307" i="111"/>
  <c r="S4306" i="111"/>
  <c r="S4305" i="111"/>
  <c r="S4304" i="111"/>
  <c r="S4303" i="111"/>
  <c r="S4302" i="111"/>
  <c r="S4301" i="111"/>
  <c r="S4300" i="111"/>
  <c r="S4299" i="111"/>
  <c r="S4298" i="111"/>
  <c r="S4297" i="111"/>
  <c r="S4296" i="111"/>
  <c r="S4295" i="111"/>
  <c r="S4294" i="111"/>
  <c r="S4293" i="111"/>
  <c r="S4292" i="111"/>
  <c r="S4291" i="111"/>
  <c r="S4290" i="111"/>
  <c r="S4289" i="111"/>
  <c r="S4288" i="111"/>
  <c r="S4287" i="111"/>
  <c r="S4286" i="111"/>
  <c r="S4285" i="111"/>
  <c r="S4284" i="111"/>
  <c r="S4283" i="111"/>
  <c r="S4282" i="111"/>
  <c r="S4281" i="111"/>
  <c r="S4280" i="111"/>
  <c r="S4279" i="111"/>
  <c r="S4278" i="111"/>
  <c r="S4277" i="111"/>
  <c r="S4276" i="111"/>
  <c r="S4275" i="111"/>
  <c r="S4274" i="111"/>
  <c r="S4273" i="111"/>
  <c r="S4272" i="111"/>
  <c r="S4271" i="111"/>
  <c r="S4270" i="111"/>
  <c r="S4269" i="111"/>
  <c r="S4268" i="111"/>
  <c r="S4267" i="111"/>
  <c r="S4266" i="111"/>
  <c r="S4265" i="111"/>
  <c r="S4264" i="111"/>
  <c r="S4263" i="111"/>
  <c r="S4262" i="111"/>
  <c r="S4261" i="111"/>
  <c r="S4260" i="111"/>
  <c r="S4259" i="111"/>
  <c r="S4258" i="111"/>
  <c r="S4257" i="111"/>
  <c r="S4256" i="111"/>
  <c r="S4255" i="111"/>
  <c r="S4254" i="111"/>
  <c r="S4253" i="111"/>
  <c r="S4252" i="111"/>
  <c r="S4251" i="111"/>
  <c r="S4250" i="111"/>
  <c r="S4249" i="111"/>
  <c r="S4248" i="111"/>
  <c r="S4247" i="111"/>
  <c r="S4246" i="111"/>
  <c r="S4245" i="111"/>
  <c r="S4244" i="111"/>
  <c r="S4243" i="111"/>
  <c r="S4242" i="111"/>
  <c r="S4241" i="111"/>
  <c r="S4240" i="111"/>
  <c r="S4239" i="111"/>
  <c r="S4238" i="111"/>
  <c r="S4237" i="111"/>
  <c r="S4236" i="111"/>
  <c r="S4235" i="111"/>
  <c r="S4234" i="111"/>
  <c r="S4233" i="111"/>
  <c r="S4232" i="111"/>
  <c r="S4231" i="111"/>
  <c r="S4230" i="111"/>
  <c r="S4229" i="111"/>
  <c r="S4228" i="111"/>
  <c r="S4227" i="111"/>
  <c r="S4226" i="111"/>
  <c r="S4225" i="111"/>
  <c r="S4224" i="111"/>
  <c r="S4223" i="111"/>
  <c r="S4222" i="111"/>
  <c r="S4221" i="111"/>
  <c r="S4220" i="111"/>
  <c r="S4219" i="111"/>
  <c r="S4218" i="111"/>
  <c r="S4217" i="111"/>
  <c r="S4216" i="111"/>
  <c r="S4215" i="111"/>
  <c r="S4214" i="111"/>
  <c r="S4213" i="111"/>
  <c r="S4212" i="111"/>
  <c r="S4211" i="111"/>
  <c r="S4210" i="111"/>
  <c r="S4209" i="111"/>
  <c r="S4208" i="111"/>
  <c r="S4207" i="111"/>
  <c r="S4206" i="111"/>
  <c r="S4205" i="111"/>
  <c r="S4204" i="111"/>
  <c r="S4203" i="111"/>
  <c r="S4202" i="111"/>
  <c r="S4201" i="111"/>
  <c r="S4200" i="111"/>
  <c r="S4199" i="111"/>
  <c r="S4198" i="111"/>
  <c r="S4197" i="111"/>
  <c r="S4196" i="111"/>
  <c r="S4195" i="111"/>
  <c r="S4194" i="111"/>
  <c r="S4193" i="111"/>
  <c r="S4192" i="111"/>
  <c r="S4191" i="111"/>
  <c r="S4190" i="111"/>
  <c r="S4189" i="111"/>
  <c r="S4188" i="111"/>
  <c r="S4187" i="111"/>
  <c r="S4186" i="111"/>
  <c r="S4185" i="111"/>
  <c r="S4184" i="111"/>
  <c r="S4183" i="111"/>
  <c r="S4182" i="111"/>
  <c r="S4181" i="111"/>
  <c r="S4180" i="111"/>
  <c r="S4179" i="111"/>
  <c r="S4178" i="111"/>
  <c r="S4177" i="111"/>
  <c r="S4176" i="111"/>
  <c r="S4175" i="111"/>
  <c r="S4174" i="111"/>
  <c r="S4173" i="111"/>
  <c r="S4172" i="111"/>
  <c r="S4171" i="111"/>
  <c r="S4170" i="111"/>
  <c r="S4169" i="111"/>
  <c r="S4168" i="111"/>
  <c r="S4167" i="111"/>
  <c r="S4166" i="111"/>
  <c r="S4165" i="111"/>
  <c r="S4164" i="111"/>
  <c r="S4163" i="111"/>
  <c r="S4162" i="111"/>
  <c r="S4161" i="111"/>
  <c r="S4160" i="111"/>
  <c r="S4159" i="111"/>
  <c r="S4158" i="111"/>
  <c r="S4157" i="111"/>
  <c r="S4156" i="111"/>
  <c r="S4155" i="111"/>
  <c r="S4154" i="111"/>
  <c r="S4153" i="111"/>
  <c r="S4152" i="111"/>
  <c r="S4151" i="111"/>
  <c r="S4150" i="111"/>
  <c r="S4149" i="111"/>
  <c r="S4148" i="111"/>
  <c r="S4147" i="111"/>
  <c r="S4146" i="111"/>
  <c r="S4145" i="111"/>
  <c r="S4144" i="111"/>
  <c r="S4143" i="111"/>
  <c r="S4142" i="111"/>
  <c r="S4141" i="111"/>
  <c r="S4140" i="111"/>
  <c r="S4139" i="111"/>
  <c r="S4138" i="111"/>
  <c r="S4137" i="111"/>
  <c r="S4136" i="111"/>
  <c r="S4135" i="111"/>
  <c r="S4134" i="111"/>
  <c r="S4133" i="111"/>
  <c r="S4132" i="111"/>
  <c r="S4131" i="111"/>
  <c r="S4130" i="111"/>
  <c r="S4129" i="111"/>
  <c r="S4128" i="111"/>
  <c r="S4127" i="111"/>
  <c r="S4126" i="111"/>
  <c r="S4125" i="111"/>
  <c r="S4124" i="111"/>
  <c r="S4123" i="111"/>
  <c r="S4122" i="111"/>
  <c r="S4121" i="111"/>
  <c r="S4120" i="111"/>
  <c r="S4119" i="111"/>
  <c r="S4118" i="111"/>
  <c r="S4117" i="111"/>
  <c r="S4116" i="111"/>
  <c r="S4115" i="111"/>
  <c r="S4114" i="111"/>
  <c r="S4113" i="111"/>
  <c r="S4112" i="111"/>
  <c r="S4111" i="111"/>
  <c r="S4110" i="111"/>
  <c r="S4109" i="111"/>
  <c r="S4108" i="111"/>
  <c r="S4107" i="111"/>
  <c r="S4106" i="111"/>
  <c r="S4105" i="111"/>
  <c r="S4104" i="111"/>
  <c r="S4103" i="111"/>
  <c r="S4102" i="111"/>
  <c r="S4101" i="111"/>
  <c r="S4100" i="111"/>
  <c r="S4099" i="111"/>
  <c r="S4098" i="111"/>
  <c r="S4097" i="111"/>
  <c r="S4096" i="111"/>
  <c r="S4095" i="111"/>
  <c r="S4094" i="111"/>
  <c r="S4093" i="111"/>
  <c r="S4092" i="111"/>
  <c r="S4091" i="111"/>
  <c r="S4090" i="111"/>
  <c r="S4089" i="111"/>
  <c r="S4088" i="111"/>
  <c r="S4087" i="111"/>
  <c r="S4086" i="111"/>
  <c r="S4085" i="111"/>
  <c r="S4084" i="111"/>
  <c r="S4083" i="111"/>
  <c r="S4082" i="111"/>
  <c r="S4081" i="111"/>
  <c r="S4080" i="111"/>
  <c r="S4079" i="111"/>
  <c r="S4078" i="111"/>
  <c r="S4077" i="111"/>
  <c r="S4076" i="111"/>
  <c r="S4075" i="111"/>
  <c r="S4074" i="111"/>
  <c r="S4073" i="111"/>
  <c r="S4072" i="111"/>
  <c r="S4071" i="111"/>
  <c r="S4070" i="111"/>
  <c r="S4069" i="111"/>
  <c r="S4068" i="111"/>
  <c r="S4067" i="111"/>
  <c r="S4066" i="111"/>
  <c r="S4065" i="111"/>
  <c r="S4064" i="111"/>
  <c r="S4063" i="111"/>
  <c r="S4062" i="111"/>
  <c r="S4061" i="111"/>
  <c r="S4060" i="111"/>
  <c r="S4059" i="111"/>
  <c r="S4058" i="111"/>
  <c r="S4057" i="111"/>
  <c r="S4056" i="111"/>
  <c r="S4055" i="111"/>
  <c r="S4054" i="111"/>
  <c r="S4053" i="111"/>
  <c r="S4052" i="111"/>
  <c r="S4051" i="111"/>
  <c r="S4050" i="111"/>
  <c r="S4049" i="111"/>
  <c r="S4048" i="111"/>
  <c r="S4047" i="111"/>
  <c r="S4046" i="111"/>
  <c r="S4045" i="111"/>
  <c r="S4044" i="111"/>
  <c r="S4043" i="111"/>
  <c r="S4042" i="111"/>
  <c r="S4041" i="111"/>
  <c r="S4040" i="111"/>
  <c r="S4039" i="111"/>
  <c r="S4038" i="111"/>
  <c r="S4037" i="111"/>
  <c r="S4036" i="111"/>
  <c r="S4035" i="111"/>
  <c r="S4034" i="111"/>
  <c r="S4033" i="111"/>
  <c r="S4032" i="111"/>
  <c r="S4031" i="111"/>
  <c r="S4030" i="111"/>
  <c r="S4029" i="111"/>
  <c r="S4028" i="111"/>
  <c r="S4027" i="111"/>
  <c r="S4026" i="111"/>
  <c r="S4025" i="111"/>
  <c r="S4024" i="111"/>
  <c r="S4023" i="111"/>
  <c r="S4022" i="111"/>
  <c r="S4021" i="111"/>
  <c r="S4020" i="111"/>
  <c r="S4019" i="111"/>
  <c r="S4018" i="111"/>
  <c r="S4017" i="111"/>
  <c r="S4016" i="111"/>
  <c r="S4015" i="111"/>
  <c r="S4014" i="111"/>
  <c r="S4013" i="111"/>
  <c r="S4012" i="111"/>
  <c r="S4011" i="111"/>
  <c r="S4010" i="111"/>
  <c r="S4009" i="111"/>
  <c r="S4008" i="111"/>
  <c r="S4007" i="111"/>
  <c r="S4006" i="111"/>
  <c r="S4005" i="111"/>
  <c r="S4004" i="111"/>
  <c r="S4003" i="111"/>
  <c r="S4002" i="111"/>
  <c r="S4001" i="111"/>
  <c r="S4000" i="111"/>
  <c r="S3999" i="111"/>
  <c r="S3998" i="111"/>
  <c r="S3997" i="111"/>
  <c r="S3996" i="111"/>
  <c r="S3995" i="111"/>
  <c r="S3994" i="111"/>
  <c r="S3993" i="111"/>
  <c r="S3992" i="111"/>
  <c r="S3991" i="111"/>
  <c r="S3990" i="111"/>
  <c r="S3989" i="111"/>
  <c r="S3988" i="111"/>
  <c r="S3987" i="111"/>
  <c r="S3986" i="111"/>
  <c r="S3985" i="111"/>
  <c r="S3984" i="111"/>
  <c r="S3983" i="111"/>
  <c r="S3982" i="111"/>
  <c r="S3981" i="111"/>
  <c r="S3980" i="111"/>
  <c r="S3979" i="111"/>
  <c r="S3978" i="111"/>
  <c r="S3977" i="111"/>
  <c r="S3976" i="111"/>
  <c r="S3975" i="111"/>
  <c r="S3974" i="111"/>
  <c r="S3973" i="111"/>
  <c r="S3972" i="111"/>
  <c r="S3971" i="111"/>
  <c r="S3970" i="111"/>
  <c r="S3969" i="111"/>
  <c r="S3968" i="111"/>
  <c r="S3967" i="111"/>
  <c r="S3966" i="111"/>
  <c r="S3965" i="111"/>
  <c r="S3964" i="111"/>
  <c r="S3963" i="111"/>
  <c r="S3962" i="111"/>
  <c r="S3961" i="111"/>
  <c r="S3960" i="111"/>
  <c r="S3959" i="111"/>
  <c r="S3958" i="111"/>
  <c r="S3957" i="111"/>
  <c r="S3956" i="111"/>
  <c r="S3955" i="111"/>
  <c r="S3954" i="111"/>
  <c r="S3953" i="111"/>
  <c r="S3952" i="111"/>
  <c r="S3951" i="111"/>
  <c r="S3950" i="111"/>
  <c r="S3949" i="111"/>
  <c r="S3948" i="111"/>
  <c r="S3947" i="111"/>
  <c r="S3946" i="111"/>
  <c r="S3945" i="111"/>
  <c r="S3944" i="111"/>
  <c r="S3943" i="111"/>
  <c r="S3942" i="111"/>
  <c r="S3941" i="111"/>
  <c r="S3940" i="111"/>
  <c r="S3939" i="111"/>
  <c r="S3938" i="111"/>
  <c r="S3937" i="111"/>
  <c r="S3936" i="111"/>
  <c r="S3935" i="111"/>
  <c r="S3934" i="111"/>
  <c r="S3933" i="111"/>
  <c r="S3932" i="111"/>
  <c r="S3931" i="111"/>
  <c r="S3930" i="111"/>
  <c r="S3929" i="111"/>
  <c r="S3928" i="111"/>
  <c r="S3927" i="111"/>
  <c r="S3926" i="111"/>
  <c r="S3925" i="111"/>
  <c r="S3924" i="111"/>
  <c r="S3923" i="111"/>
  <c r="S3922" i="111"/>
  <c r="S3921" i="111"/>
  <c r="S3920" i="111"/>
  <c r="S3919" i="111"/>
  <c r="S3918" i="111"/>
  <c r="S3917" i="111"/>
  <c r="S3916" i="111"/>
  <c r="S3915" i="111"/>
  <c r="S3914" i="111"/>
  <c r="S3913" i="111"/>
  <c r="S3912" i="111"/>
  <c r="S3911" i="111"/>
  <c r="S3910" i="111"/>
  <c r="S3909" i="111"/>
  <c r="S3908" i="111"/>
  <c r="S3907" i="111"/>
  <c r="S3906" i="111"/>
  <c r="S3905" i="111"/>
  <c r="S3904" i="111"/>
  <c r="S3903" i="111"/>
  <c r="S3902" i="111"/>
  <c r="S3901" i="111"/>
  <c r="S3900" i="111"/>
  <c r="S3899" i="111"/>
  <c r="S3898" i="111"/>
  <c r="S3897" i="111"/>
  <c r="S3896" i="111"/>
  <c r="S3895" i="111"/>
  <c r="S3894" i="111"/>
  <c r="S3893" i="111"/>
  <c r="S3892" i="111"/>
  <c r="S3891" i="111"/>
  <c r="S3890" i="111"/>
  <c r="S3889" i="111"/>
  <c r="S3888" i="111"/>
  <c r="S3887" i="111"/>
  <c r="S3886" i="111"/>
  <c r="S3885" i="111"/>
  <c r="S3884" i="111"/>
  <c r="S3883" i="111"/>
  <c r="S3882" i="111"/>
  <c r="S3881" i="111"/>
  <c r="S3880" i="111"/>
  <c r="S3879" i="111"/>
  <c r="S3878" i="111"/>
  <c r="S3877" i="111"/>
  <c r="S3876" i="111"/>
  <c r="S3875" i="111"/>
  <c r="S3874" i="111"/>
  <c r="S3873" i="111"/>
  <c r="S3872" i="111"/>
  <c r="S3871" i="111"/>
  <c r="S3870" i="111"/>
  <c r="S3869" i="111"/>
  <c r="S3868" i="111"/>
  <c r="S3867" i="111"/>
  <c r="S3866" i="111"/>
  <c r="S3865" i="111"/>
  <c r="S3864" i="111"/>
  <c r="S3863" i="111"/>
  <c r="S3862" i="111"/>
  <c r="S3861" i="111"/>
  <c r="S3860" i="111"/>
  <c r="S3859" i="111"/>
  <c r="S3858" i="111"/>
  <c r="S3857" i="111"/>
  <c r="S3856" i="111"/>
  <c r="S3855" i="111"/>
  <c r="S3854" i="111"/>
  <c r="S3853" i="111"/>
  <c r="S3852" i="111"/>
  <c r="S3851" i="111"/>
  <c r="S3850" i="111"/>
  <c r="S3849" i="111"/>
  <c r="S3848" i="111"/>
  <c r="S3847" i="111"/>
  <c r="S3846" i="111"/>
  <c r="S3845" i="111"/>
  <c r="S3844" i="111"/>
  <c r="S3843" i="111"/>
  <c r="S3842" i="111"/>
  <c r="S3841" i="111"/>
  <c r="S3840" i="111"/>
  <c r="S3839" i="111"/>
  <c r="S3838" i="111"/>
  <c r="S3837" i="111"/>
  <c r="S3836" i="111"/>
  <c r="S3835" i="111"/>
  <c r="S3834" i="111"/>
  <c r="S3833" i="111"/>
  <c r="S3832" i="111"/>
  <c r="S3831" i="111"/>
  <c r="S3830" i="111"/>
  <c r="S3829" i="111"/>
  <c r="S3828" i="111"/>
  <c r="S3827" i="111"/>
  <c r="S3826" i="111"/>
  <c r="S3825" i="111"/>
  <c r="S3824" i="111"/>
  <c r="S3823" i="111"/>
  <c r="S3822" i="111"/>
  <c r="S3821" i="111"/>
  <c r="S3820" i="111"/>
  <c r="S3819" i="111"/>
  <c r="S3818" i="111"/>
  <c r="S3817" i="111"/>
  <c r="S3816" i="111"/>
  <c r="S3815" i="111"/>
  <c r="S3814" i="111"/>
  <c r="S3813" i="111"/>
  <c r="S3812" i="111"/>
  <c r="S3811" i="111"/>
  <c r="S3810" i="111"/>
  <c r="S3809" i="111"/>
  <c r="S3808" i="111"/>
  <c r="S3807" i="111"/>
  <c r="S3806" i="111"/>
  <c r="S3805" i="111"/>
  <c r="S3804" i="111"/>
  <c r="S3803" i="111"/>
  <c r="S3802" i="111"/>
  <c r="S3801" i="111"/>
  <c r="S3800" i="111"/>
  <c r="S3799" i="111"/>
  <c r="S3798" i="111"/>
  <c r="S3797" i="111"/>
  <c r="S3796" i="111"/>
  <c r="S3795" i="111"/>
  <c r="S3794" i="111"/>
  <c r="S3793" i="111"/>
  <c r="S3792" i="111"/>
  <c r="S3791" i="111"/>
  <c r="S3790" i="111"/>
  <c r="S3789" i="111"/>
  <c r="S3788" i="111"/>
  <c r="S3787" i="111"/>
  <c r="S3786" i="111"/>
  <c r="S3785" i="111"/>
  <c r="S3784" i="111"/>
  <c r="S3783" i="111"/>
  <c r="S3782" i="111"/>
  <c r="S3781" i="111"/>
  <c r="S3780" i="111"/>
  <c r="S3779" i="111"/>
  <c r="S3778" i="111"/>
  <c r="S3777" i="111"/>
  <c r="S3776" i="111"/>
  <c r="S3775" i="111"/>
  <c r="S3774" i="111"/>
  <c r="S3773" i="111"/>
  <c r="S3772" i="111"/>
  <c r="S3771" i="111"/>
  <c r="S3770" i="111"/>
  <c r="S3769" i="111"/>
  <c r="S3768" i="111"/>
  <c r="S3767" i="111"/>
  <c r="S3766" i="111"/>
  <c r="S3765" i="111"/>
  <c r="S3764" i="111"/>
  <c r="S3763" i="111"/>
  <c r="S3762" i="111"/>
  <c r="S3761" i="111"/>
  <c r="S3760" i="111"/>
  <c r="S3759" i="111"/>
  <c r="S3758" i="111"/>
  <c r="S3757" i="111"/>
  <c r="S3756" i="111"/>
  <c r="S3755" i="111"/>
  <c r="S3754" i="111"/>
  <c r="S3753" i="111"/>
  <c r="S3752" i="111"/>
  <c r="S3751" i="111"/>
  <c r="S3750" i="111"/>
  <c r="S3749" i="111"/>
  <c r="S3748" i="111"/>
  <c r="S3747" i="111"/>
  <c r="S3746" i="111"/>
  <c r="S3745" i="111"/>
  <c r="S3744" i="111"/>
  <c r="S3743" i="111"/>
  <c r="S3742" i="111"/>
  <c r="S3741" i="111"/>
  <c r="S3740" i="111"/>
  <c r="S3739" i="111"/>
  <c r="S3738" i="111"/>
  <c r="S3737" i="111"/>
  <c r="S3736" i="111"/>
  <c r="S3735" i="111"/>
  <c r="S3734" i="111"/>
  <c r="S3733" i="111"/>
  <c r="S3732" i="111"/>
  <c r="S3731" i="111"/>
  <c r="S3730" i="111"/>
  <c r="S3729" i="111"/>
  <c r="S3728" i="111"/>
  <c r="S3727" i="111"/>
  <c r="S3726" i="111"/>
  <c r="S3725" i="111"/>
  <c r="S3724" i="111"/>
  <c r="S3723" i="111"/>
  <c r="S3722" i="111"/>
  <c r="S3721" i="111"/>
  <c r="S3720" i="111"/>
  <c r="S3719" i="111"/>
  <c r="S3718" i="111"/>
  <c r="S3717" i="111"/>
  <c r="S3716" i="111"/>
  <c r="S3715" i="111"/>
  <c r="S3714" i="111"/>
  <c r="S3713" i="111"/>
  <c r="S3712" i="111"/>
  <c r="S3711" i="111"/>
  <c r="S3710" i="111"/>
  <c r="S3709" i="111"/>
  <c r="S3708" i="111"/>
  <c r="S3707" i="111"/>
  <c r="S3706" i="111"/>
  <c r="S3705" i="111"/>
  <c r="S3704" i="111"/>
  <c r="S3703" i="111"/>
  <c r="S3702" i="111"/>
  <c r="S3701" i="111"/>
  <c r="S3700" i="111"/>
  <c r="S3699" i="111"/>
  <c r="S3698" i="111"/>
  <c r="S3697" i="111"/>
  <c r="S3696" i="111"/>
  <c r="S3695" i="111"/>
  <c r="S3694" i="111"/>
  <c r="S3693" i="111"/>
  <c r="S3692" i="111"/>
  <c r="S3691" i="111"/>
  <c r="S3690" i="111"/>
  <c r="S3689" i="111"/>
  <c r="S3688" i="111"/>
  <c r="S3687" i="111"/>
  <c r="S3686" i="111"/>
  <c r="S3685" i="111"/>
  <c r="S3684" i="111"/>
  <c r="S3683" i="111"/>
  <c r="S3682" i="111"/>
  <c r="S3681" i="111"/>
  <c r="S3680" i="111"/>
  <c r="S3679" i="111"/>
  <c r="S3678" i="111"/>
  <c r="S3677" i="111"/>
  <c r="S3676" i="111"/>
  <c r="S3675" i="111"/>
  <c r="S3674" i="111"/>
  <c r="S3673" i="111"/>
  <c r="S3672" i="111"/>
  <c r="S3671" i="111"/>
  <c r="S3670" i="111"/>
  <c r="S3669" i="111"/>
  <c r="S3668" i="111"/>
  <c r="S3667" i="111"/>
  <c r="S3666" i="111"/>
  <c r="S3665" i="111"/>
  <c r="S3664" i="111"/>
  <c r="S3663" i="111"/>
  <c r="S3662" i="111"/>
  <c r="S3661" i="111"/>
  <c r="S3660" i="111"/>
  <c r="S3659" i="111"/>
  <c r="S3658" i="111"/>
  <c r="S3657" i="111"/>
  <c r="S3656" i="111"/>
  <c r="S3655" i="111"/>
  <c r="S3654" i="111"/>
  <c r="S3653" i="111"/>
  <c r="S3652" i="111"/>
  <c r="S3651" i="111"/>
  <c r="S3650" i="111"/>
  <c r="S3649" i="111"/>
  <c r="S3648" i="111"/>
  <c r="S3647" i="111"/>
  <c r="S3646" i="111"/>
  <c r="S3645" i="111"/>
  <c r="S3644" i="111"/>
  <c r="S3643" i="111"/>
  <c r="S3642" i="111"/>
  <c r="S3641" i="111"/>
  <c r="S3640" i="111"/>
  <c r="S3639" i="111"/>
  <c r="S3638" i="111"/>
  <c r="S3637" i="111"/>
  <c r="S3636" i="111"/>
  <c r="S3635" i="111"/>
  <c r="S3634" i="111"/>
  <c r="S3633" i="111"/>
  <c r="S3632" i="111"/>
  <c r="S3631" i="111"/>
  <c r="S3630" i="111"/>
  <c r="S3629" i="111"/>
  <c r="S3628" i="111"/>
  <c r="S3627" i="111"/>
  <c r="S3626" i="111"/>
  <c r="S3625" i="111"/>
  <c r="S3624" i="111"/>
  <c r="S3623" i="111"/>
  <c r="S3622" i="111"/>
  <c r="S3621" i="111"/>
  <c r="S3620" i="111"/>
  <c r="S3619" i="111"/>
  <c r="S3618" i="111"/>
  <c r="S3617" i="111"/>
  <c r="S3616" i="111"/>
  <c r="S3615" i="111"/>
  <c r="S3614" i="111"/>
  <c r="S3613" i="111"/>
  <c r="S3612" i="111"/>
  <c r="S3611" i="111"/>
  <c r="S3610" i="111"/>
  <c r="S3609" i="111"/>
  <c r="S3608" i="111"/>
  <c r="S3607" i="111"/>
  <c r="S3606" i="111"/>
  <c r="S3605" i="111"/>
  <c r="S3604" i="111"/>
  <c r="S3603" i="111"/>
  <c r="S3602" i="111"/>
  <c r="S3601" i="111"/>
  <c r="S3600" i="111"/>
  <c r="S3599" i="111"/>
  <c r="S3598" i="111"/>
  <c r="S3597" i="111"/>
  <c r="S3596" i="111"/>
  <c r="S3595" i="111"/>
  <c r="S3594" i="111"/>
  <c r="S3593" i="111"/>
  <c r="S3592" i="111"/>
  <c r="S3591" i="111"/>
  <c r="S3590" i="111"/>
  <c r="S3589" i="111"/>
  <c r="S3588" i="111"/>
  <c r="S3587" i="111"/>
  <c r="S3586" i="111"/>
  <c r="S3585" i="111"/>
  <c r="S3584" i="111"/>
  <c r="S3583" i="111"/>
  <c r="S3582" i="111"/>
  <c r="S3581" i="111"/>
  <c r="S3580" i="111"/>
  <c r="S3579" i="111"/>
  <c r="S3578" i="111"/>
  <c r="S3577" i="111"/>
  <c r="S3576" i="111"/>
  <c r="S3575" i="111"/>
  <c r="S3574" i="111"/>
  <c r="S3573" i="111"/>
  <c r="S3572" i="111"/>
  <c r="S3571" i="111"/>
  <c r="S3570" i="111"/>
  <c r="S3569" i="111"/>
  <c r="S3568" i="111"/>
  <c r="S3567" i="111"/>
  <c r="S3566" i="111"/>
  <c r="S3565" i="111"/>
  <c r="S3564" i="111"/>
  <c r="S3563" i="111"/>
  <c r="S3562" i="111"/>
  <c r="S3561" i="111"/>
  <c r="S3560" i="111"/>
  <c r="S3559" i="111"/>
  <c r="S3558" i="111"/>
  <c r="S3557" i="111"/>
  <c r="S3556" i="111"/>
  <c r="S3555" i="111"/>
  <c r="S3554" i="111"/>
  <c r="S3553" i="111"/>
  <c r="S3552" i="111"/>
  <c r="S3551" i="111"/>
  <c r="S3550" i="111"/>
  <c r="S3549" i="111"/>
  <c r="S3548" i="111"/>
  <c r="S3547" i="111"/>
  <c r="S3546" i="111"/>
  <c r="S3545" i="111"/>
  <c r="S3544" i="111"/>
  <c r="S3543" i="111"/>
  <c r="S3542" i="111"/>
  <c r="S3541" i="111"/>
  <c r="S3540" i="111"/>
  <c r="S3539" i="111"/>
  <c r="S3538" i="111"/>
  <c r="S3537" i="111"/>
  <c r="S3536" i="111"/>
  <c r="S3535" i="111"/>
  <c r="S3534" i="111"/>
  <c r="S3533" i="111"/>
  <c r="S3532" i="111"/>
  <c r="S3531" i="111"/>
  <c r="S3530" i="111"/>
  <c r="S3529" i="111"/>
  <c r="S3528" i="111"/>
  <c r="S3527" i="111"/>
  <c r="S3526" i="111"/>
  <c r="S3525" i="111"/>
  <c r="S3524" i="111"/>
  <c r="S3523" i="111"/>
  <c r="S3522" i="111"/>
  <c r="S3521" i="111"/>
  <c r="S3520" i="111"/>
  <c r="S3519" i="111"/>
  <c r="S3518" i="111"/>
  <c r="S3517" i="111"/>
  <c r="S3516" i="111"/>
  <c r="S3515" i="111"/>
  <c r="S3514" i="111"/>
  <c r="S3513" i="111"/>
  <c r="S3512" i="111"/>
  <c r="S3511" i="111"/>
  <c r="S3510" i="111"/>
  <c r="S3509" i="111"/>
  <c r="S3508" i="111"/>
  <c r="S3507" i="111"/>
  <c r="S3506" i="111"/>
  <c r="S3505" i="111"/>
  <c r="S3504" i="111"/>
  <c r="S3503" i="111"/>
  <c r="S3502" i="111"/>
  <c r="S3501" i="111"/>
  <c r="S3500" i="111"/>
  <c r="S3499" i="111"/>
  <c r="S3498" i="111"/>
  <c r="S3497" i="111"/>
  <c r="S3496" i="111"/>
  <c r="S3495" i="111"/>
  <c r="S3494" i="111"/>
  <c r="S3493" i="111"/>
  <c r="S3492" i="111"/>
  <c r="S3491" i="111"/>
  <c r="S3490" i="111"/>
  <c r="S3489" i="111"/>
  <c r="S3488" i="111"/>
  <c r="S3487" i="111"/>
  <c r="S3486" i="111"/>
  <c r="S3485" i="111"/>
  <c r="S3484" i="111"/>
  <c r="S3483" i="111"/>
  <c r="S3482" i="111"/>
  <c r="S3481" i="111"/>
  <c r="S3480" i="111"/>
  <c r="S3479" i="111"/>
  <c r="S3478" i="111"/>
  <c r="S3477" i="111"/>
  <c r="S3476" i="111"/>
  <c r="S3475" i="111"/>
  <c r="S3474" i="111"/>
  <c r="S3473" i="111"/>
  <c r="S3472" i="111"/>
  <c r="S3471" i="111"/>
  <c r="S3470" i="111"/>
  <c r="S3469" i="111"/>
  <c r="S3468" i="111"/>
  <c r="S3467" i="111"/>
  <c r="S3466" i="111"/>
  <c r="S3465" i="111"/>
  <c r="S3464" i="111"/>
  <c r="S3463" i="111"/>
  <c r="S3462" i="111"/>
  <c r="S3461" i="111"/>
  <c r="S3460" i="111"/>
  <c r="S3459" i="111"/>
  <c r="S3458" i="111"/>
  <c r="S3457" i="111"/>
  <c r="S3456" i="111"/>
  <c r="S3455" i="111"/>
  <c r="S3454" i="111"/>
  <c r="S3453" i="111"/>
  <c r="S3452" i="111"/>
  <c r="S3451" i="111"/>
  <c r="S3450" i="111"/>
  <c r="S3449" i="111"/>
  <c r="S3448" i="111"/>
  <c r="S3447" i="111"/>
  <c r="S3446" i="111"/>
  <c r="S3445" i="111"/>
  <c r="S3444" i="111"/>
  <c r="S3443" i="111"/>
  <c r="S3442" i="111"/>
  <c r="S3441" i="111"/>
  <c r="S3440" i="111"/>
  <c r="S3439" i="111"/>
  <c r="S3438" i="111"/>
  <c r="S3437" i="111"/>
  <c r="S3436" i="111"/>
  <c r="S3435" i="111"/>
  <c r="S3434" i="111"/>
  <c r="S3433" i="111"/>
  <c r="S3432" i="111"/>
  <c r="S3431" i="111"/>
  <c r="S3430" i="111"/>
  <c r="S3429" i="111"/>
  <c r="S3428" i="111"/>
  <c r="S3427" i="111"/>
  <c r="S3426" i="111"/>
  <c r="S3425" i="111"/>
  <c r="S3424" i="111"/>
  <c r="S3423" i="111"/>
  <c r="S3422" i="111"/>
  <c r="S3421" i="111"/>
  <c r="S3420" i="111"/>
  <c r="S3419" i="111"/>
  <c r="S3418" i="111"/>
  <c r="S3417" i="111"/>
  <c r="S3416" i="111"/>
  <c r="S3415" i="111"/>
  <c r="S3414" i="111"/>
  <c r="S3413" i="111"/>
  <c r="S3412" i="111"/>
  <c r="S3411" i="111"/>
  <c r="S3410" i="111"/>
  <c r="S3409" i="111"/>
  <c r="S3408" i="111"/>
  <c r="S3407" i="111"/>
  <c r="S3406" i="111"/>
  <c r="S3405" i="111"/>
  <c r="S3404" i="111"/>
  <c r="S3403" i="111"/>
  <c r="S3402" i="111"/>
  <c r="S3401" i="111"/>
  <c r="S3400" i="111"/>
  <c r="S3399" i="111"/>
  <c r="S3398" i="111"/>
  <c r="S3397" i="111"/>
  <c r="S3396" i="111"/>
  <c r="S3395" i="111"/>
  <c r="S3394" i="111"/>
  <c r="S3393" i="111"/>
  <c r="S3392" i="111"/>
  <c r="S3391" i="111"/>
  <c r="S3390" i="111"/>
  <c r="S3389" i="111"/>
  <c r="S3388" i="111"/>
  <c r="S3387" i="111"/>
  <c r="S3386" i="111"/>
  <c r="S3385" i="111"/>
  <c r="S3384" i="111"/>
  <c r="S3383" i="111"/>
  <c r="S3382" i="111"/>
  <c r="S3381" i="111"/>
  <c r="S3380" i="111"/>
  <c r="S3379" i="111"/>
  <c r="S3378" i="111"/>
  <c r="S3377" i="111"/>
  <c r="S3376" i="111"/>
  <c r="S3375" i="111"/>
  <c r="S3374" i="111"/>
  <c r="S3373" i="111"/>
  <c r="S3372" i="111"/>
  <c r="S3371" i="111"/>
  <c r="S3370" i="111"/>
  <c r="S3369" i="111"/>
  <c r="S3368" i="111"/>
  <c r="S3367" i="111"/>
  <c r="S3366" i="111"/>
  <c r="S3365" i="111"/>
  <c r="S3364" i="111"/>
  <c r="S3363" i="111"/>
  <c r="S3362" i="111"/>
  <c r="S3361" i="111"/>
  <c r="S3360" i="111"/>
  <c r="S3359" i="111"/>
  <c r="S3358" i="111"/>
  <c r="S3357" i="111"/>
  <c r="S3356" i="111"/>
  <c r="S3355" i="111"/>
  <c r="S3354" i="111"/>
  <c r="S3353" i="111"/>
  <c r="S3352" i="111"/>
  <c r="S3351" i="111"/>
  <c r="S3350" i="111"/>
  <c r="S3349" i="111"/>
  <c r="S3348" i="111"/>
  <c r="S3347" i="111"/>
  <c r="S3346" i="111"/>
  <c r="S3345" i="111"/>
  <c r="S3344" i="111"/>
  <c r="S3343" i="111"/>
  <c r="S3342" i="111"/>
  <c r="S3341" i="111"/>
  <c r="S3340" i="111"/>
  <c r="S3339" i="111"/>
  <c r="S3338" i="111"/>
  <c r="S3337" i="111"/>
  <c r="S3336" i="111"/>
  <c r="S3335" i="111"/>
  <c r="S3334" i="111"/>
  <c r="S3333" i="111"/>
  <c r="S3332" i="111"/>
  <c r="S3331" i="111"/>
  <c r="S3330" i="111"/>
  <c r="S3329" i="111"/>
  <c r="S3328" i="111"/>
  <c r="S3327" i="111"/>
  <c r="S3326" i="111"/>
  <c r="S3325" i="111"/>
  <c r="S3324" i="111"/>
  <c r="S3323" i="111"/>
  <c r="S3322" i="111"/>
  <c r="S3321" i="111"/>
  <c r="S3320" i="111"/>
  <c r="S3319" i="111"/>
  <c r="S3318" i="111"/>
  <c r="S3317" i="111"/>
  <c r="S3316" i="111"/>
  <c r="S3315" i="111"/>
  <c r="S3314" i="111"/>
  <c r="S3313" i="111"/>
  <c r="S3312" i="111"/>
  <c r="S3311" i="111"/>
  <c r="S3310" i="111"/>
  <c r="S3309" i="111"/>
  <c r="S3308" i="111"/>
  <c r="S3307" i="111"/>
  <c r="S3306" i="111"/>
  <c r="S3305" i="111"/>
  <c r="S3304" i="111"/>
  <c r="S3303" i="111"/>
  <c r="S3302" i="111"/>
  <c r="S3301" i="111"/>
  <c r="S3300" i="111"/>
  <c r="S3299" i="111"/>
  <c r="S3298" i="111"/>
  <c r="S3297" i="111"/>
  <c r="S3296" i="111"/>
  <c r="S3295" i="111"/>
  <c r="S3294" i="111"/>
  <c r="S3293" i="111"/>
  <c r="S3292" i="111"/>
  <c r="S3291" i="111"/>
  <c r="S3290" i="111"/>
  <c r="S3289" i="111"/>
  <c r="S3288" i="111"/>
  <c r="S3287" i="111"/>
  <c r="S3286" i="111"/>
  <c r="S3285" i="111"/>
  <c r="S3284" i="111"/>
  <c r="S3283" i="111"/>
  <c r="S3282" i="111"/>
  <c r="S3281" i="111"/>
  <c r="S3280" i="111"/>
  <c r="S3279" i="111"/>
  <c r="S3278" i="111"/>
  <c r="S3277" i="111"/>
  <c r="S3276" i="111"/>
  <c r="S3275" i="111"/>
  <c r="S3274" i="111"/>
  <c r="S3273" i="111"/>
  <c r="S3272" i="111"/>
  <c r="S3271" i="111"/>
  <c r="S3270" i="111"/>
  <c r="S3269" i="111"/>
  <c r="S3268" i="111"/>
  <c r="S3267" i="111"/>
  <c r="S3266" i="111"/>
  <c r="S3265" i="111"/>
  <c r="S3264" i="111"/>
  <c r="S3263" i="111"/>
  <c r="S3262" i="111"/>
  <c r="S3261" i="111"/>
  <c r="S3260" i="111"/>
  <c r="S3259" i="111"/>
  <c r="S3258" i="111"/>
  <c r="S3257" i="111"/>
  <c r="S3256" i="111"/>
  <c r="S3255" i="111"/>
  <c r="S3254" i="111"/>
  <c r="S3253" i="111"/>
  <c r="S3252" i="111"/>
  <c r="S3251" i="111"/>
  <c r="S3250" i="111"/>
  <c r="S3249" i="111"/>
  <c r="S3248" i="111"/>
  <c r="S3247" i="111"/>
  <c r="S3246" i="111"/>
  <c r="S3245" i="111"/>
  <c r="S3244" i="111"/>
  <c r="S3243" i="111"/>
  <c r="S3242" i="111"/>
  <c r="S3241" i="111"/>
  <c r="S3240" i="111"/>
  <c r="S3239" i="111"/>
  <c r="S3238" i="111"/>
  <c r="S3237" i="111"/>
  <c r="S3236" i="111"/>
  <c r="S3235" i="111"/>
  <c r="S3234" i="111"/>
  <c r="S3233" i="111"/>
  <c r="S3232" i="111"/>
  <c r="S3231" i="111"/>
  <c r="S3230" i="111"/>
  <c r="S3229" i="111"/>
  <c r="S3228" i="111"/>
  <c r="S3227" i="111"/>
  <c r="S3226" i="111"/>
  <c r="S3225" i="111"/>
  <c r="S3224" i="111"/>
  <c r="S3223" i="111"/>
  <c r="S3222" i="111"/>
  <c r="S3221" i="111"/>
  <c r="S3220" i="111"/>
  <c r="S3219" i="111"/>
  <c r="S3218" i="111"/>
  <c r="S3217" i="111"/>
  <c r="S3216" i="111"/>
  <c r="S3215" i="111"/>
  <c r="S3214" i="111"/>
  <c r="S3213" i="111"/>
  <c r="S3212" i="111"/>
  <c r="S3211" i="111"/>
  <c r="S3210" i="111"/>
  <c r="S3209" i="111"/>
  <c r="S3208" i="111"/>
  <c r="S3207" i="111"/>
  <c r="S3206" i="111"/>
  <c r="S3205" i="111"/>
  <c r="S3204" i="111"/>
  <c r="S3203" i="111"/>
  <c r="S3202" i="111"/>
  <c r="S3201" i="111"/>
  <c r="S3200" i="111"/>
  <c r="S3199" i="111"/>
  <c r="S3198" i="111"/>
  <c r="S3197" i="111"/>
  <c r="S3196" i="111"/>
  <c r="S3195" i="111"/>
  <c r="S3194" i="111"/>
  <c r="S3193" i="111"/>
  <c r="S3192" i="111"/>
  <c r="S3191" i="111"/>
  <c r="S3190" i="111"/>
  <c r="S3189" i="111"/>
  <c r="S3188" i="111"/>
  <c r="S3187" i="111"/>
  <c r="S3186" i="111"/>
  <c r="S3185" i="111"/>
  <c r="S3184" i="111"/>
  <c r="S3183" i="111"/>
  <c r="S3182" i="111"/>
  <c r="S3181" i="111"/>
  <c r="S3180" i="111"/>
  <c r="S3179" i="111"/>
  <c r="S3178" i="111"/>
  <c r="S3177" i="111"/>
  <c r="S3176" i="111"/>
  <c r="S3175" i="111"/>
  <c r="S3174" i="111"/>
  <c r="S3173" i="111"/>
  <c r="S3172" i="111"/>
  <c r="S3171" i="111"/>
  <c r="S3170" i="111"/>
  <c r="S3169" i="111"/>
  <c r="S3168" i="111"/>
  <c r="S3167" i="111"/>
  <c r="S3166" i="111"/>
  <c r="S3165" i="111"/>
  <c r="S3164" i="111"/>
  <c r="S3163" i="111"/>
  <c r="S3162" i="111"/>
  <c r="S3161" i="111"/>
  <c r="S3160" i="111"/>
  <c r="S3159" i="111"/>
  <c r="S3158" i="111"/>
  <c r="S3157" i="111"/>
  <c r="S3156" i="111"/>
  <c r="S3155" i="111"/>
  <c r="S3154" i="111"/>
  <c r="S3153" i="111"/>
  <c r="S3152" i="111"/>
  <c r="S3151" i="111"/>
  <c r="S3150" i="111"/>
  <c r="S3149" i="111"/>
  <c r="S3148" i="111"/>
  <c r="S3147" i="111"/>
  <c r="S3146" i="111"/>
  <c r="S3145" i="111"/>
  <c r="S3144" i="111"/>
  <c r="S3143" i="111"/>
  <c r="S3142" i="111"/>
  <c r="S3141" i="111"/>
  <c r="S3140" i="111"/>
  <c r="S3139" i="111"/>
  <c r="S3138" i="111"/>
  <c r="S3137" i="111"/>
  <c r="S3136" i="111"/>
  <c r="S3135" i="111"/>
  <c r="S3134" i="111"/>
  <c r="S3133" i="111"/>
  <c r="S3132" i="111"/>
  <c r="S3131" i="111"/>
  <c r="S3130" i="111"/>
  <c r="S3129" i="111"/>
  <c r="S3128" i="111"/>
  <c r="S3127" i="111"/>
  <c r="S3126" i="111"/>
  <c r="S3125" i="111"/>
  <c r="S3124" i="111"/>
  <c r="S3123" i="111"/>
  <c r="S3122" i="111"/>
  <c r="S3121" i="111"/>
  <c r="S3120" i="111"/>
  <c r="S3119" i="111"/>
  <c r="S3118" i="111"/>
  <c r="S3117" i="111"/>
  <c r="S3116" i="111"/>
  <c r="S3115" i="111"/>
  <c r="S3114" i="111"/>
  <c r="S3113" i="111"/>
  <c r="S3112" i="111"/>
  <c r="S3111" i="111"/>
  <c r="S3110" i="111"/>
  <c r="S3109" i="111"/>
  <c r="S3108" i="111"/>
  <c r="S3107" i="111"/>
  <c r="S3106" i="111"/>
  <c r="S3105" i="111"/>
  <c r="S3104" i="111"/>
  <c r="S3103" i="111"/>
  <c r="S3102" i="111"/>
  <c r="S3101" i="111"/>
  <c r="S3100" i="111"/>
  <c r="S3099" i="111"/>
  <c r="S3098" i="111"/>
  <c r="S3097" i="111"/>
  <c r="S3096" i="111"/>
  <c r="S3095" i="111"/>
  <c r="S3094" i="111"/>
  <c r="S3093" i="111"/>
  <c r="S3092" i="111"/>
  <c r="S3091" i="111"/>
  <c r="S3090" i="111"/>
  <c r="S3089" i="111"/>
  <c r="S3088" i="111"/>
  <c r="S3087" i="111"/>
  <c r="S3086" i="111"/>
  <c r="S3085" i="111"/>
  <c r="S3084" i="111"/>
  <c r="S3083" i="111"/>
  <c r="S3082" i="111"/>
  <c r="S3081" i="111"/>
  <c r="S3080" i="111"/>
  <c r="S3079" i="111"/>
  <c r="S3078" i="111"/>
  <c r="S3077" i="111"/>
  <c r="S3076" i="111"/>
  <c r="S3075" i="111"/>
  <c r="S3074" i="111"/>
  <c r="S3073" i="111"/>
  <c r="S3072" i="111"/>
  <c r="S3071" i="111"/>
  <c r="S3070" i="111"/>
  <c r="S3069" i="111"/>
  <c r="S3068" i="111"/>
  <c r="S3067" i="111"/>
  <c r="S3066" i="111"/>
  <c r="S3065" i="111"/>
  <c r="S3064" i="111"/>
  <c r="S3063" i="111"/>
  <c r="S3062" i="111"/>
  <c r="S3061" i="111"/>
  <c r="S3060" i="111"/>
  <c r="S3059" i="111"/>
  <c r="S3058" i="111"/>
  <c r="S3057" i="111"/>
  <c r="S3056" i="111"/>
  <c r="S3055" i="111"/>
  <c r="S3054" i="111"/>
  <c r="S3053" i="111"/>
  <c r="S3052" i="111"/>
  <c r="S3051" i="111"/>
  <c r="S3050" i="111"/>
  <c r="S3049" i="111"/>
  <c r="S3048" i="111"/>
  <c r="S3047" i="111"/>
  <c r="S3046" i="111"/>
  <c r="S3045" i="111"/>
  <c r="S3044" i="111"/>
  <c r="S3043" i="111"/>
  <c r="S3042" i="111"/>
  <c r="S3041" i="111"/>
  <c r="S3040" i="111"/>
  <c r="S3039" i="111"/>
  <c r="S3038" i="111"/>
  <c r="S3037" i="111"/>
  <c r="S3036" i="111"/>
  <c r="S3035" i="111"/>
  <c r="S3034" i="111"/>
  <c r="S3033" i="111"/>
  <c r="S3032" i="111"/>
  <c r="S3031" i="111"/>
  <c r="S3030" i="111"/>
  <c r="S3029" i="111"/>
  <c r="S3028" i="111"/>
  <c r="S3027" i="111"/>
  <c r="S3026" i="111"/>
  <c r="S3025" i="111"/>
  <c r="S3024" i="111"/>
  <c r="S3023" i="111"/>
  <c r="S3022" i="111"/>
  <c r="S3021" i="111"/>
  <c r="S3020" i="111"/>
  <c r="S3019" i="111"/>
  <c r="S3018" i="111"/>
  <c r="S3017" i="111"/>
  <c r="S3016" i="111"/>
  <c r="S3015" i="111"/>
  <c r="S3014" i="111"/>
  <c r="S3013" i="111"/>
  <c r="S3012" i="111"/>
  <c r="S3011" i="111"/>
  <c r="S3010" i="111"/>
  <c r="S3009" i="111"/>
  <c r="S3008" i="111"/>
  <c r="S3007" i="111"/>
  <c r="S3006" i="111"/>
  <c r="S3005" i="111"/>
  <c r="S3004" i="111"/>
  <c r="S3003" i="111"/>
  <c r="S3002" i="111"/>
  <c r="S3001" i="111"/>
  <c r="S3000" i="111"/>
  <c r="S2999" i="111"/>
  <c r="S2998" i="111"/>
  <c r="S2997" i="111"/>
  <c r="S2996" i="111"/>
  <c r="S2995" i="111"/>
  <c r="S2994" i="111"/>
  <c r="S2993" i="111"/>
  <c r="S2992" i="111"/>
  <c r="S2991" i="111"/>
  <c r="S2990" i="111"/>
  <c r="S2989" i="111"/>
  <c r="S2988" i="111"/>
  <c r="S2987" i="111"/>
  <c r="S2986" i="111"/>
  <c r="S2985" i="111"/>
  <c r="S2984" i="111"/>
  <c r="S2983" i="111"/>
  <c r="S2982" i="111"/>
  <c r="S2981" i="111"/>
  <c r="S2980" i="111"/>
  <c r="S2979" i="111"/>
  <c r="S2978" i="111"/>
  <c r="S2977" i="111"/>
  <c r="S2976" i="111"/>
  <c r="S2975" i="111"/>
  <c r="S2974" i="111"/>
  <c r="S2973" i="111"/>
  <c r="S2972" i="111"/>
  <c r="S2971" i="111"/>
  <c r="S2970" i="111"/>
  <c r="S2969" i="111"/>
  <c r="S2968" i="111"/>
  <c r="S2967" i="111"/>
  <c r="S2966" i="111"/>
  <c r="S2965" i="111"/>
  <c r="S2964" i="111"/>
  <c r="S2963" i="111"/>
  <c r="S2962" i="111"/>
  <c r="S2961" i="111"/>
  <c r="S2960" i="111"/>
  <c r="S2959" i="111"/>
  <c r="S2958" i="111"/>
  <c r="S2957" i="111"/>
  <c r="S2956" i="111"/>
  <c r="S2955" i="111"/>
  <c r="S2954" i="111"/>
  <c r="S2953" i="111"/>
  <c r="S2952" i="111"/>
  <c r="S2951" i="111"/>
  <c r="S2950" i="111"/>
  <c r="S2949" i="111"/>
  <c r="S2948" i="111"/>
  <c r="S2947" i="111"/>
  <c r="S2946" i="111"/>
  <c r="S2945" i="111"/>
  <c r="S2944" i="111"/>
  <c r="S2943" i="111"/>
  <c r="S2942" i="111"/>
  <c r="S2941" i="111"/>
  <c r="S2940" i="111"/>
  <c r="S2939" i="111"/>
  <c r="S2938" i="111"/>
  <c r="S2937" i="111"/>
  <c r="S2936" i="111"/>
  <c r="S2935" i="111"/>
  <c r="S2934" i="111"/>
  <c r="S2933" i="111"/>
  <c r="S2932" i="111"/>
  <c r="S2931" i="111"/>
  <c r="S2930" i="111"/>
  <c r="S2929" i="111"/>
  <c r="S2928" i="111"/>
  <c r="S2927" i="111"/>
  <c r="S2926" i="111"/>
  <c r="S2925" i="111"/>
  <c r="S2924" i="111"/>
  <c r="S2923" i="111"/>
  <c r="S2922" i="111"/>
  <c r="S2921" i="111"/>
  <c r="S2920" i="111"/>
  <c r="S2919" i="111"/>
  <c r="S2918" i="111"/>
  <c r="S2917" i="111"/>
  <c r="S2916" i="111"/>
  <c r="S2915" i="111"/>
  <c r="S2914" i="111"/>
  <c r="S2913" i="111"/>
  <c r="S2912" i="111"/>
  <c r="S2911" i="111"/>
  <c r="S2910" i="111"/>
  <c r="S2909" i="111"/>
  <c r="S2908" i="111"/>
  <c r="S2907" i="111"/>
  <c r="S2906" i="111"/>
  <c r="S2905" i="111"/>
  <c r="S2904" i="111"/>
  <c r="S2903" i="111"/>
  <c r="S2902" i="111"/>
  <c r="S2901" i="111"/>
  <c r="S2900" i="111"/>
  <c r="S2899" i="111"/>
  <c r="S2898" i="111"/>
  <c r="S2897" i="111"/>
  <c r="S2896" i="111"/>
  <c r="S2895" i="111"/>
  <c r="S2894" i="111"/>
  <c r="S2893" i="111"/>
  <c r="S2892" i="111"/>
  <c r="S2891" i="111"/>
  <c r="S2890" i="111"/>
  <c r="S2889" i="111"/>
  <c r="S2888" i="111"/>
  <c r="S2887" i="111"/>
  <c r="S2886" i="111"/>
  <c r="S2885" i="111"/>
  <c r="S2884" i="111"/>
  <c r="S2883" i="111"/>
  <c r="S2882" i="111"/>
  <c r="S2881" i="111"/>
  <c r="S2880" i="111"/>
  <c r="S2879" i="111"/>
  <c r="S2878" i="111"/>
  <c r="S2877" i="111"/>
  <c r="S2876" i="111"/>
  <c r="S2875" i="111"/>
  <c r="S2874" i="111"/>
  <c r="S2873" i="111"/>
  <c r="S2872" i="111"/>
  <c r="S2871" i="111"/>
  <c r="S2870" i="111"/>
  <c r="S2869" i="111"/>
  <c r="S2868" i="111"/>
  <c r="S2867" i="111"/>
  <c r="S2866" i="111"/>
  <c r="S2865" i="111"/>
  <c r="S2864" i="111"/>
  <c r="S2863" i="111"/>
  <c r="S2862" i="111"/>
  <c r="S2861" i="111"/>
  <c r="S2860" i="111"/>
  <c r="S2859" i="111"/>
  <c r="S2858" i="111"/>
  <c r="S2857" i="111"/>
  <c r="S2856" i="111"/>
  <c r="S2855" i="111"/>
  <c r="S2854" i="111"/>
  <c r="S2853" i="111"/>
  <c r="S2852" i="111"/>
  <c r="S2851" i="111"/>
  <c r="S2850" i="111"/>
  <c r="S2849" i="111"/>
  <c r="S2848" i="111"/>
  <c r="S2847" i="111"/>
  <c r="S2846" i="111"/>
  <c r="S2845" i="111"/>
  <c r="S2844" i="111"/>
  <c r="S2843" i="111"/>
  <c r="S2842" i="111"/>
  <c r="S2841" i="111"/>
  <c r="S2840" i="111"/>
  <c r="S2839" i="111"/>
  <c r="S2838" i="111"/>
  <c r="S2837" i="111"/>
  <c r="S2836" i="111"/>
  <c r="S2835" i="111"/>
  <c r="S2834" i="111"/>
  <c r="S2833" i="111"/>
  <c r="S2832" i="111"/>
  <c r="S2831" i="111"/>
  <c r="S2830" i="111"/>
  <c r="S2829" i="111"/>
  <c r="S2828" i="111"/>
  <c r="S2827" i="111"/>
  <c r="S2826" i="111"/>
  <c r="S2825" i="111"/>
  <c r="S2824" i="111"/>
  <c r="S2823" i="111"/>
  <c r="S2822" i="111"/>
  <c r="S2821" i="111"/>
  <c r="S2820" i="111"/>
  <c r="S2819" i="111"/>
  <c r="S2818" i="111"/>
  <c r="S2817" i="111"/>
  <c r="S2816" i="111"/>
  <c r="S2815" i="111"/>
  <c r="S2814" i="111"/>
  <c r="S2813" i="111"/>
  <c r="S2812" i="111"/>
  <c r="S2811" i="111"/>
  <c r="S2810" i="111"/>
  <c r="S2809" i="111"/>
  <c r="S2808" i="111"/>
  <c r="S2807" i="111"/>
  <c r="S2806" i="111"/>
  <c r="S2805" i="111"/>
  <c r="S2804" i="111"/>
  <c r="S2803" i="111"/>
  <c r="S2802" i="111"/>
  <c r="S2801" i="111"/>
  <c r="S2800" i="111"/>
  <c r="S2799" i="111"/>
  <c r="S2798" i="111"/>
  <c r="S2797" i="111"/>
  <c r="S2796" i="111"/>
  <c r="S2795" i="111"/>
  <c r="S2794" i="111"/>
  <c r="S2793" i="111"/>
  <c r="S2792" i="111"/>
  <c r="S2791" i="111"/>
  <c r="S2790" i="111"/>
  <c r="S2789" i="111"/>
  <c r="S2788" i="111"/>
  <c r="S2787" i="111"/>
  <c r="S2786" i="111"/>
  <c r="S2785" i="111"/>
  <c r="S2784" i="111"/>
  <c r="S2783" i="111"/>
  <c r="S2782" i="111"/>
  <c r="S2781" i="111"/>
  <c r="S2780" i="111"/>
  <c r="S2779" i="111"/>
  <c r="S2778" i="111"/>
  <c r="S2777" i="111"/>
  <c r="S2776" i="111"/>
  <c r="S2775" i="111"/>
  <c r="S2774" i="111"/>
  <c r="S2773" i="111"/>
  <c r="S2772" i="111"/>
  <c r="S2771" i="111"/>
  <c r="S2770" i="111"/>
  <c r="S2769" i="111"/>
  <c r="S2768" i="111"/>
  <c r="S2767" i="111"/>
  <c r="S2766" i="111"/>
  <c r="S2765" i="111"/>
  <c r="S2764" i="111"/>
  <c r="S2763" i="111"/>
  <c r="S2762" i="111"/>
  <c r="S2761" i="111"/>
  <c r="S2760" i="111"/>
  <c r="S2759" i="111"/>
  <c r="S2758" i="111"/>
  <c r="S2757" i="111"/>
  <c r="S2756" i="111"/>
  <c r="S2755" i="111"/>
  <c r="S2754" i="111"/>
  <c r="S2753" i="111"/>
  <c r="S2752" i="111"/>
  <c r="S2751" i="111"/>
  <c r="S2750" i="111"/>
  <c r="S2749" i="111"/>
  <c r="S2748" i="111"/>
  <c r="S2747" i="111"/>
  <c r="S2746" i="111"/>
  <c r="S2745" i="111"/>
  <c r="S2744" i="111"/>
  <c r="S2743" i="111"/>
  <c r="S2742" i="111"/>
  <c r="S2741" i="111"/>
  <c r="S2740" i="111"/>
  <c r="S2739" i="111"/>
  <c r="S2738" i="111"/>
  <c r="S2737" i="111"/>
  <c r="S2736" i="111"/>
  <c r="S2735" i="111"/>
  <c r="S2734" i="111"/>
  <c r="S2733" i="111"/>
  <c r="S2732" i="111"/>
  <c r="S2731" i="111"/>
  <c r="S2730" i="111"/>
  <c r="S2729" i="111"/>
  <c r="S2728" i="111"/>
  <c r="S2727" i="111"/>
  <c r="S2726" i="111"/>
  <c r="S2725" i="111"/>
  <c r="S2724" i="111"/>
  <c r="S2723" i="111"/>
  <c r="S2722" i="111"/>
  <c r="S2721" i="111"/>
  <c r="S2720" i="111"/>
  <c r="S2719" i="111"/>
  <c r="S2718" i="111"/>
  <c r="S2717" i="111"/>
  <c r="S2716" i="111"/>
  <c r="S2715" i="111"/>
  <c r="S2714" i="111"/>
  <c r="S2713" i="111"/>
  <c r="S2712" i="111"/>
  <c r="S2711" i="111"/>
  <c r="S2710" i="111"/>
  <c r="S2709" i="111"/>
  <c r="S2708" i="111"/>
  <c r="S2707" i="111"/>
  <c r="S2706" i="111"/>
  <c r="S2705" i="111"/>
  <c r="S2704" i="111"/>
  <c r="S2703" i="111"/>
  <c r="S2702" i="111"/>
  <c r="S2701" i="111"/>
  <c r="S2700" i="111"/>
  <c r="S2699" i="111"/>
  <c r="S2698" i="111"/>
  <c r="S2697" i="111"/>
  <c r="S2696" i="111"/>
  <c r="S2695" i="111"/>
  <c r="S2694" i="111"/>
  <c r="S2693" i="111"/>
  <c r="S2692" i="111"/>
  <c r="S2691" i="111"/>
  <c r="S2690" i="111"/>
  <c r="S2689" i="111"/>
  <c r="S2688" i="111"/>
  <c r="S2687" i="111"/>
  <c r="S2686" i="111"/>
  <c r="S2685" i="111"/>
  <c r="S2684" i="111"/>
  <c r="S2683" i="111"/>
  <c r="S2682" i="111"/>
  <c r="S2681" i="111"/>
  <c r="S2680" i="111"/>
  <c r="S2679" i="111"/>
  <c r="S2678" i="111"/>
  <c r="S2677" i="111"/>
  <c r="S2676" i="111"/>
  <c r="S2675" i="111"/>
  <c r="S2674" i="111"/>
  <c r="S2673" i="111"/>
  <c r="S2672" i="111"/>
  <c r="S2671" i="111"/>
  <c r="S2670" i="111"/>
  <c r="S2669" i="111"/>
  <c r="S2668" i="111"/>
  <c r="S2667" i="111"/>
  <c r="S2666" i="111"/>
  <c r="S2665" i="111"/>
  <c r="S2664" i="111"/>
  <c r="S2663" i="111"/>
  <c r="S2662" i="111"/>
  <c r="S2661" i="111"/>
  <c r="S2660" i="111"/>
  <c r="S2659" i="111"/>
  <c r="S2658" i="111"/>
  <c r="S2657" i="111"/>
  <c r="S2656" i="111"/>
  <c r="S2655" i="111"/>
  <c r="S2654" i="111"/>
  <c r="S2653" i="111"/>
  <c r="S2652" i="111"/>
  <c r="S2651" i="111"/>
  <c r="S2650" i="111"/>
  <c r="S2649" i="111"/>
  <c r="S2648" i="111"/>
  <c r="S2647" i="111"/>
  <c r="S2646" i="111"/>
  <c r="S2645" i="111"/>
  <c r="S2644" i="111"/>
  <c r="S2643" i="111"/>
  <c r="S2642" i="111"/>
  <c r="S2641" i="111"/>
  <c r="S2640" i="111"/>
  <c r="S2639" i="111"/>
  <c r="S2638" i="111"/>
  <c r="S2637" i="111"/>
  <c r="S2636" i="111"/>
  <c r="S2635" i="111"/>
  <c r="S2634" i="111"/>
  <c r="S2633" i="111"/>
  <c r="S2632" i="111"/>
  <c r="S2631" i="111"/>
  <c r="S2630" i="111"/>
  <c r="S2629" i="111"/>
  <c r="S2628" i="111"/>
  <c r="S2627" i="111"/>
  <c r="S2626" i="111"/>
  <c r="S2625" i="111"/>
  <c r="S2624" i="111"/>
  <c r="S2623" i="111"/>
  <c r="S2622" i="111"/>
  <c r="S2621" i="111"/>
  <c r="S2620" i="111"/>
  <c r="S2619" i="111"/>
  <c r="S2618" i="111"/>
  <c r="S2617" i="111"/>
  <c r="S2616" i="111"/>
  <c r="S2615" i="111"/>
  <c r="S2614" i="111"/>
  <c r="S2613" i="111"/>
  <c r="S2612" i="111"/>
  <c r="S2611" i="111"/>
  <c r="S2610" i="111"/>
  <c r="S2609" i="111"/>
  <c r="S2608" i="111"/>
  <c r="S2607" i="111"/>
  <c r="S2606" i="111"/>
  <c r="S2605" i="111"/>
  <c r="S2604" i="111"/>
  <c r="S2603" i="111"/>
  <c r="S2602" i="111"/>
  <c r="S2601" i="111"/>
  <c r="S2600" i="111"/>
  <c r="S2599" i="111"/>
  <c r="S2598" i="111"/>
  <c r="S2597" i="111"/>
  <c r="S2596" i="111"/>
  <c r="S2595" i="111"/>
  <c r="S2594" i="111"/>
  <c r="S2593" i="111"/>
  <c r="S2592" i="111"/>
  <c r="S2591" i="111"/>
  <c r="S2590" i="111"/>
  <c r="S2589" i="111"/>
  <c r="S2588" i="111"/>
  <c r="S2587" i="111"/>
  <c r="S2586" i="111"/>
  <c r="S2585" i="111"/>
  <c r="S2584" i="111"/>
  <c r="S2583" i="111"/>
  <c r="S2582" i="111"/>
  <c r="S2581" i="111"/>
  <c r="S2580" i="111"/>
  <c r="S2579" i="111"/>
  <c r="S2578" i="111"/>
  <c r="S2577" i="111"/>
  <c r="S2576" i="111"/>
  <c r="S2575" i="111"/>
  <c r="S2574" i="111"/>
  <c r="S2573" i="111"/>
  <c r="S2572" i="111"/>
  <c r="S2571" i="111"/>
  <c r="S2570" i="111"/>
  <c r="S2569" i="111"/>
  <c r="S2568" i="111"/>
  <c r="S2567" i="111"/>
  <c r="S2566" i="111"/>
  <c r="S2565" i="111"/>
  <c r="S2564" i="111"/>
  <c r="S2563" i="111"/>
  <c r="S2562" i="111"/>
  <c r="S2561" i="111"/>
  <c r="S2560" i="111"/>
  <c r="S2559" i="111"/>
  <c r="S2558" i="111"/>
  <c r="S2557" i="111"/>
  <c r="S2556" i="111"/>
  <c r="S2555" i="111"/>
  <c r="S2554" i="111"/>
  <c r="S2553" i="111"/>
  <c r="S2552" i="111"/>
  <c r="S2551" i="111"/>
  <c r="S2550" i="111"/>
  <c r="S2549" i="111"/>
  <c r="S2548" i="111"/>
  <c r="S2547" i="111"/>
  <c r="S2546" i="111"/>
  <c r="S2545" i="111"/>
  <c r="S2544" i="111"/>
  <c r="S2543" i="111"/>
  <c r="S2542" i="111"/>
  <c r="S2541" i="111"/>
  <c r="S2540" i="111"/>
  <c r="S2539" i="111"/>
  <c r="S2538" i="111"/>
  <c r="S2537" i="111"/>
  <c r="S2536" i="111"/>
  <c r="S2535" i="111"/>
  <c r="S2534" i="111"/>
  <c r="S2533" i="111"/>
  <c r="S2532" i="111"/>
  <c r="S2531" i="111"/>
  <c r="S2530" i="111"/>
  <c r="S2529" i="111"/>
  <c r="S2528" i="111"/>
  <c r="S2527" i="111"/>
  <c r="S2526" i="111"/>
  <c r="S2525" i="111"/>
  <c r="S2524" i="111"/>
  <c r="S2523" i="111"/>
  <c r="S2522" i="111"/>
  <c r="S2521" i="111"/>
  <c r="S2520" i="111"/>
  <c r="S2519" i="111"/>
  <c r="S2518" i="111"/>
  <c r="S2517" i="111"/>
  <c r="S2516" i="111"/>
  <c r="S2515" i="111"/>
  <c r="S2514" i="111"/>
  <c r="S2513" i="111"/>
  <c r="S2512" i="111"/>
  <c r="S2511" i="111"/>
  <c r="S2510" i="111"/>
  <c r="S2509" i="111"/>
  <c r="S2508" i="111"/>
  <c r="S2507" i="111"/>
  <c r="S2506" i="111"/>
  <c r="S2505" i="111"/>
  <c r="S2504" i="111"/>
  <c r="S2503" i="111"/>
  <c r="S2502" i="111"/>
  <c r="S2501" i="111"/>
  <c r="S2500" i="111"/>
  <c r="S2499" i="111"/>
  <c r="S2498" i="111"/>
  <c r="S2497" i="111"/>
  <c r="S2496" i="111"/>
  <c r="S2495" i="111"/>
  <c r="S2494" i="111"/>
  <c r="S2493" i="111"/>
  <c r="S2492" i="111"/>
  <c r="S2491" i="111"/>
  <c r="S2490" i="111"/>
  <c r="S2489" i="111"/>
  <c r="S2488" i="111"/>
  <c r="S2487" i="111"/>
  <c r="S2486" i="111"/>
  <c r="S2485" i="111"/>
  <c r="S2484" i="111"/>
  <c r="S2483" i="111"/>
  <c r="S2482" i="111"/>
  <c r="S2481" i="111"/>
  <c r="S2480" i="111"/>
  <c r="S2479" i="111"/>
  <c r="S2478" i="111"/>
  <c r="S2477" i="111"/>
  <c r="S2476" i="111"/>
  <c r="S2475" i="111"/>
  <c r="S2474" i="111"/>
  <c r="S2473" i="111"/>
  <c r="S2472" i="111"/>
  <c r="S2471" i="111"/>
  <c r="S2470" i="111"/>
  <c r="S2469" i="111"/>
  <c r="S2468" i="111"/>
  <c r="S2467" i="111"/>
  <c r="S2466" i="111"/>
  <c r="S2465" i="111"/>
  <c r="S2464" i="111"/>
  <c r="S2463" i="111"/>
  <c r="S2462" i="111"/>
  <c r="S2461" i="111"/>
  <c r="S2460" i="111"/>
  <c r="S2459" i="111"/>
  <c r="S2458" i="111"/>
  <c r="S2457" i="111"/>
  <c r="S2456" i="111"/>
  <c r="S2455" i="111"/>
  <c r="S2454" i="111"/>
  <c r="S2453" i="111"/>
  <c r="S2452" i="111"/>
  <c r="S2451" i="111"/>
  <c r="S2450" i="111"/>
  <c r="S2449" i="111"/>
  <c r="S2448" i="111"/>
  <c r="S2447" i="111"/>
  <c r="S2446" i="111"/>
  <c r="S2445" i="111"/>
  <c r="S2444" i="111"/>
  <c r="S2443" i="111"/>
  <c r="S2442" i="111"/>
  <c r="S2441" i="111"/>
  <c r="S2440" i="111"/>
  <c r="S2439" i="111"/>
  <c r="S2438" i="111"/>
  <c r="S2437" i="111"/>
  <c r="S2436" i="111"/>
  <c r="S2435" i="111"/>
  <c r="S2434" i="111"/>
  <c r="S2433" i="111"/>
  <c r="S2432" i="111"/>
  <c r="S2431" i="111"/>
  <c r="S2430" i="111"/>
  <c r="S2429" i="111"/>
  <c r="S2428" i="111"/>
  <c r="S2427" i="111"/>
  <c r="S2426" i="111"/>
  <c r="S2425" i="111"/>
  <c r="S2424" i="111"/>
  <c r="S2423" i="111"/>
  <c r="S2422" i="111"/>
  <c r="S2421" i="111"/>
  <c r="S2420" i="111"/>
  <c r="S2419" i="111"/>
  <c r="S2418" i="111"/>
  <c r="S2417" i="111"/>
  <c r="S2416" i="111"/>
  <c r="S2415" i="111"/>
  <c r="S2414" i="111"/>
  <c r="S2413" i="111"/>
  <c r="S2412" i="111"/>
  <c r="S2411" i="111"/>
  <c r="S2410" i="111"/>
  <c r="S2409" i="111"/>
  <c r="S2408" i="111"/>
  <c r="S2407" i="111"/>
  <c r="S2406" i="111"/>
  <c r="S2405" i="111"/>
  <c r="S2404" i="111"/>
  <c r="S2403" i="111"/>
  <c r="S2402" i="111"/>
  <c r="S2401" i="111"/>
  <c r="S2400" i="111"/>
  <c r="S2399" i="111"/>
  <c r="S2398" i="111"/>
  <c r="S2397" i="111"/>
  <c r="S2396" i="111"/>
  <c r="S2395" i="111"/>
  <c r="S2394" i="111"/>
  <c r="S2393" i="111"/>
  <c r="S2392" i="111"/>
  <c r="S2391" i="111"/>
  <c r="S2390" i="111"/>
  <c r="S2389" i="111"/>
  <c r="S2388" i="111"/>
  <c r="S2387" i="111"/>
  <c r="S2386" i="111"/>
  <c r="S2385" i="111"/>
  <c r="S2384" i="111"/>
  <c r="S2383" i="111"/>
  <c r="S2382" i="111"/>
  <c r="S2381" i="111"/>
  <c r="S2380" i="111"/>
  <c r="S2379" i="111"/>
  <c r="S2378" i="111"/>
  <c r="S2377" i="111"/>
  <c r="S2376" i="111"/>
  <c r="S2375" i="111"/>
  <c r="S2374" i="111"/>
  <c r="S2373" i="111"/>
  <c r="S2372" i="111"/>
  <c r="S2371" i="111"/>
  <c r="S2370" i="111"/>
  <c r="S2369" i="111"/>
  <c r="S2368" i="111"/>
  <c r="S2367" i="111"/>
  <c r="S2366" i="111"/>
  <c r="S2365" i="111"/>
  <c r="S2364" i="111"/>
  <c r="S2363" i="111"/>
  <c r="S2362" i="111"/>
  <c r="S2361" i="111"/>
  <c r="S2360" i="111"/>
  <c r="S2359" i="111"/>
  <c r="S2358" i="111"/>
  <c r="S2357" i="111"/>
  <c r="S2356" i="111"/>
  <c r="S2355" i="111"/>
  <c r="S2354" i="111"/>
  <c r="S2353" i="111"/>
  <c r="S2352" i="111"/>
  <c r="S2351" i="111"/>
  <c r="S2350" i="111"/>
  <c r="S2349" i="111"/>
  <c r="S2348" i="111"/>
  <c r="S2347" i="111"/>
  <c r="S2346" i="111"/>
  <c r="S2345" i="111"/>
  <c r="S2344" i="111"/>
  <c r="S2343" i="111"/>
  <c r="S2342" i="111"/>
  <c r="S2341" i="111"/>
  <c r="S2340" i="111"/>
  <c r="S2339" i="111"/>
  <c r="S2338" i="111"/>
  <c r="S2337" i="111"/>
  <c r="S2336" i="111"/>
  <c r="S2335" i="111"/>
  <c r="S2334" i="111"/>
  <c r="S2333" i="111"/>
  <c r="S2332" i="111"/>
  <c r="S2331" i="111"/>
  <c r="S2330" i="111"/>
  <c r="S2329" i="111"/>
  <c r="S2328" i="111"/>
  <c r="S2327" i="111"/>
  <c r="S2326" i="111"/>
  <c r="S2325" i="111"/>
  <c r="S2324" i="111"/>
  <c r="S2323" i="111"/>
  <c r="S2322" i="111"/>
  <c r="S2321" i="111"/>
  <c r="S2320" i="111"/>
  <c r="S2319" i="111"/>
  <c r="S2318" i="111"/>
  <c r="S2317" i="111"/>
  <c r="S2316" i="111"/>
  <c r="S2315" i="111"/>
  <c r="S2314" i="111"/>
  <c r="S2313" i="111"/>
  <c r="S2312" i="111"/>
  <c r="S2311" i="111"/>
  <c r="S2310" i="111"/>
  <c r="S2309" i="111"/>
  <c r="S2308" i="111"/>
  <c r="S2307" i="111"/>
  <c r="S2306" i="111"/>
  <c r="S2305" i="111"/>
  <c r="S2304" i="111"/>
  <c r="S2303" i="111"/>
  <c r="S2302" i="111"/>
  <c r="S2301" i="111"/>
  <c r="S2300" i="111"/>
  <c r="S2299" i="111"/>
  <c r="S2298" i="111"/>
  <c r="S2297" i="111"/>
  <c r="S2296" i="111"/>
  <c r="S2295" i="111"/>
  <c r="S2294" i="111"/>
  <c r="S2293" i="111"/>
  <c r="S2292" i="111"/>
  <c r="S2291" i="111"/>
  <c r="S2290" i="111"/>
  <c r="S2289" i="111"/>
  <c r="S2288" i="111"/>
  <c r="S2287" i="111"/>
  <c r="S2286" i="111"/>
  <c r="S2285" i="111"/>
  <c r="S2284" i="111"/>
  <c r="S2283" i="111"/>
  <c r="S2282" i="111"/>
  <c r="S2281" i="111"/>
  <c r="S2280" i="111"/>
  <c r="S2279" i="111"/>
  <c r="S2278" i="111"/>
  <c r="S2277" i="111"/>
  <c r="S2276" i="111"/>
  <c r="S2275" i="111"/>
  <c r="S2274" i="111"/>
  <c r="S2273" i="111"/>
  <c r="S2272" i="111"/>
  <c r="S2271" i="111"/>
  <c r="S2270" i="111"/>
  <c r="S2269" i="111"/>
  <c r="S2268" i="111"/>
  <c r="S2267" i="111"/>
  <c r="S2266" i="111"/>
  <c r="S2265" i="111"/>
  <c r="S2264" i="111"/>
  <c r="S2263" i="111"/>
  <c r="S2262" i="111"/>
  <c r="S2261" i="111"/>
  <c r="S2260" i="111"/>
  <c r="S2259" i="111"/>
  <c r="S2258" i="111"/>
  <c r="S2257" i="111"/>
  <c r="S2256" i="111"/>
  <c r="S2255" i="111"/>
  <c r="S2254" i="111"/>
  <c r="S2253" i="111"/>
  <c r="S2252" i="111"/>
  <c r="S2251" i="111"/>
  <c r="S2250" i="111"/>
  <c r="S2249" i="111"/>
  <c r="S2248" i="111"/>
  <c r="S2247" i="111"/>
  <c r="S2246" i="111"/>
  <c r="S2245" i="111"/>
  <c r="S2244" i="111"/>
  <c r="S2243" i="111"/>
  <c r="S2242" i="111"/>
  <c r="S2241" i="111"/>
  <c r="S2240" i="111"/>
  <c r="S2239" i="111"/>
  <c r="S2238" i="111"/>
  <c r="S2237" i="111"/>
  <c r="S2236" i="111"/>
  <c r="S2235" i="111"/>
  <c r="S2234" i="111"/>
  <c r="S2233" i="111"/>
  <c r="S2232" i="111"/>
  <c r="S2231" i="111"/>
  <c r="S2230" i="111"/>
  <c r="S2229" i="111"/>
  <c r="S2228" i="111"/>
  <c r="S2227" i="111"/>
  <c r="S2226" i="111"/>
  <c r="S2225" i="111"/>
  <c r="S2224" i="111"/>
  <c r="S2223" i="111"/>
  <c r="S2222" i="111"/>
  <c r="S2221" i="111"/>
  <c r="S2220" i="111"/>
  <c r="S2219" i="111"/>
  <c r="S2218" i="111"/>
  <c r="S2217" i="111"/>
  <c r="S2216" i="111"/>
  <c r="S2215" i="111"/>
  <c r="S2214" i="111"/>
  <c r="S2213" i="111"/>
  <c r="S2212" i="111"/>
  <c r="S2211" i="111"/>
  <c r="S2210" i="111"/>
  <c r="S2209" i="111"/>
  <c r="S2208" i="111"/>
  <c r="S2207" i="111"/>
  <c r="S2206" i="111"/>
  <c r="S2205" i="111"/>
  <c r="S2204" i="111"/>
  <c r="S2203" i="111"/>
  <c r="S2202" i="111"/>
  <c r="S2201" i="111"/>
  <c r="S2200" i="111"/>
  <c r="S2199" i="111"/>
  <c r="S2198" i="111"/>
  <c r="S2197" i="111"/>
  <c r="S2196" i="111"/>
  <c r="S2195" i="111"/>
  <c r="S2194" i="111"/>
  <c r="S2193" i="111"/>
  <c r="S2192" i="111"/>
  <c r="S2191" i="111"/>
  <c r="S2190" i="111"/>
  <c r="S2189" i="111"/>
  <c r="S2188" i="111"/>
  <c r="S2187" i="111"/>
  <c r="S2186" i="111"/>
  <c r="S2185" i="111"/>
  <c r="S2184" i="111"/>
  <c r="S2183" i="111"/>
  <c r="S2182" i="111"/>
  <c r="S2181" i="111"/>
  <c r="S2180" i="111"/>
  <c r="S2179" i="111"/>
  <c r="S2178" i="111"/>
  <c r="S2177" i="111"/>
  <c r="S2176" i="111"/>
  <c r="S2175" i="111"/>
  <c r="S2174" i="111"/>
  <c r="S2173" i="111"/>
  <c r="S2172" i="111"/>
  <c r="S2171" i="111"/>
  <c r="S2170" i="111"/>
  <c r="S2169" i="111"/>
  <c r="S2168" i="111"/>
  <c r="S2167" i="111"/>
  <c r="S2166" i="111"/>
  <c r="S2165" i="111"/>
  <c r="S2164" i="111"/>
  <c r="S2163" i="111"/>
  <c r="S2162" i="111"/>
  <c r="S2161" i="111"/>
  <c r="S2160" i="111"/>
  <c r="S2159" i="111"/>
  <c r="S2158" i="111"/>
  <c r="S2157" i="111"/>
  <c r="S2156" i="111"/>
  <c r="S2155" i="111"/>
  <c r="S2154" i="111"/>
  <c r="S2153" i="111"/>
  <c r="S2152" i="111"/>
  <c r="S2151" i="111"/>
  <c r="S2150" i="111"/>
  <c r="S2149" i="111"/>
  <c r="S2148" i="111"/>
  <c r="S2147" i="111"/>
  <c r="S2146" i="111"/>
  <c r="S2145" i="111"/>
  <c r="S2144" i="111"/>
  <c r="S2143" i="111"/>
  <c r="S2142" i="111"/>
  <c r="S2141" i="111"/>
  <c r="S2140" i="111"/>
  <c r="S2139" i="111"/>
  <c r="S2138" i="111"/>
  <c r="S2137" i="111"/>
  <c r="S2136" i="111"/>
  <c r="S2135" i="111"/>
  <c r="S2134" i="111"/>
  <c r="S2133" i="111"/>
  <c r="S2132" i="111"/>
  <c r="S2131" i="111"/>
  <c r="S2130" i="111"/>
  <c r="S2129" i="111"/>
  <c r="S2128" i="111"/>
  <c r="S2127" i="111"/>
  <c r="S2126" i="111"/>
  <c r="S2125" i="111"/>
  <c r="S2124" i="111"/>
  <c r="S2123" i="111"/>
  <c r="S2122" i="111"/>
  <c r="S2121" i="111"/>
  <c r="S2120" i="111"/>
  <c r="S2119" i="111"/>
  <c r="S2118" i="111"/>
  <c r="S2117" i="111"/>
  <c r="S2116" i="111"/>
  <c r="S2115" i="111"/>
  <c r="S2114" i="111"/>
  <c r="S2113" i="111"/>
  <c r="S2112" i="111"/>
  <c r="S2111" i="111"/>
  <c r="S2110" i="111"/>
  <c r="S2109" i="111"/>
  <c r="S2108" i="111"/>
  <c r="S2107" i="111"/>
  <c r="S2106" i="111"/>
  <c r="S2105" i="111"/>
  <c r="S2104" i="111"/>
  <c r="S2103" i="111"/>
  <c r="S2102" i="111"/>
  <c r="S2101" i="111"/>
  <c r="S2100" i="111"/>
  <c r="S2099" i="111"/>
  <c r="S2098" i="111"/>
  <c r="S2097" i="111"/>
  <c r="S2096" i="111"/>
  <c r="S2095" i="111"/>
  <c r="S2094" i="111"/>
  <c r="S2093" i="111"/>
  <c r="S2092" i="111"/>
  <c r="S2091" i="111"/>
  <c r="S2090" i="111"/>
  <c r="S2089" i="111"/>
  <c r="S2088" i="111"/>
  <c r="S2087" i="111"/>
  <c r="S2086" i="111"/>
  <c r="S2085" i="111"/>
  <c r="S2084" i="111"/>
  <c r="S2083" i="111"/>
  <c r="S2082" i="111"/>
  <c r="S2081" i="111"/>
  <c r="S2080" i="111"/>
  <c r="S2079" i="111"/>
  <c r="S2078" i="111"/>
  <c r="S2077" i="111"/>
  <c r="S2076" i="111"/>
  <c r="S2075" i="111"/>
  <c r="S2074" i="111"/>
  <c r="S2073" i="111"/>
  <c r="S2072" i="111"/>
  <c r="S2071" i="111"/>
  <c r="S2070" i="111"/>
  <c r="S2069" i="111"/>
  <c r="S2068" i="111"/>
  <c r="S2067" i="111"/>
  <c r="S2066" i="111"/>
  <c r="S2065" i="111"/>
  <c r="S2064" i="111"/>
  <c r="S2063" i="111"/>
  <c r="S2062" i="111"/>
  <c r="S2061" i="111"/>
  <c r="S2060" i="111"/>
  <c r="S2059" i="111"/>
  <c r="S2058" i="111"/>
  <c r="S2057" i="111"/>
  <c r="S2056" i="111"/>
  <c r="S2055" i="111"/>
  <c r="S2054" i="111"/>
  <c r="S2053" i="111"/>
  <c r="S2052" i="111"/>
  <c r="S2051" i="111"/>
  <c r="S2050" i="111"/>
  <c r="S2049" i="111"/>
  <c r="S2048" i="111"/>
  <c r="S2047" i="111"/>
  <c r="S2046" i="111"/>
  <c r="S2045" i="111"/>
  <c r="S2044" i="111"/>
  <c r="S2043" i="111"/>
  <c r="S2042" i="111"/>
  <c r="S2041" i="111"/>
  <c r="S2040" i="111"/>
  <c r="S2039" i="111"/>
  <c r="S2038" i="111"/>
  <c r="S2037" i="111"/>
  <c r="S2036" i="111"/>
  <c r="S2035" i="111"/>
  <c r="S2034" i="111"/>
  <c r="S2033" i="111"/>
  <c r="S2032" i="111"/>
  <c r="S2031" i="111"/>
  <c r="S2030" i="111"/>
  <c r="S2029" i="111"/>
  <c r="S2028" i="111"/>
  <c r="S2027" i="111"/>
  <c r="S2026" i="111"/>
  <c r="S2025" i="111"/>
  <c r="S2024" i="111"/>
  <c r="S2023" i="111"/>
  <c r="S2022" i="111"/>
  <c r="S2021" i="111"/>
  <c r="S2020" i="111"/>
  <c r="S2019" i="111"/>
  <c r="S2018" i="111"/>
  <c r="S2017" i="111"/>
  <c r="S2016" i="111"/>
  <c r="S2015" i="111"/>
  <c r="S2014" i="111"/>
  <c r="S2013" i="111"/>
  <c r="S2012" i="111"/>
  <c r="S2011" i="111"/>
  <c r="S2010" i="111"/>
  <c r="S2009" i="111"/>
  <c r="S2008" i="111"/>
  <c r="S2007" i="111"/>
  <c r="S2006" i="111"/>
  <c r="S2005" i="111"/>
  <c r="S2004" i="111"/>
  <c r="S2003" i="111"/>
  <c r="S2002" i="111"/>
  <c r="S2001" i="111"/>
  <c r="S2000" i="111"/>
  <c r="S1999" i="111"/>
  <c r="S1998" i="111"/>
  <c r="S1997" i="111"/>
  <c r="S1996" i="111"/>
  <c r="S1995" i="111"/>
  <c r="S1994" i="111"/>
  <c r="S1993" i="111"/>
  <c r="S1992" i="111"/>
  <c r="S1991" i="111"/>
  <c r="S1990" i="111"/>
  <c r="S1989" i="111"/>
  <c r="S1988" i="111"/>
  <c r="S1987" i="111"/>
  <c r="S1986" i="111"/>
  <c r="S1985" i="111"/>
  <c r="S1984" i="111"/>
  <c r="S1983" i="111"/>
  <c r="S1982" i="111"/>
  <c r="S1981" i="111"/>
  <c r="S1980" i="111"/>
  <c r="S1979" i="111"/>
  <c r="S1978" i="111"/>
  <c r="S1977" i="111"/>
  <c r="S1976" i="111"/>
  <c r="S1975" i="111"/>
  <c r="S1974" i="111"/>
  <c r="S1973" i="111"/>
  <c r="S1972" i="111"/>
  <c r="S1971" i="111"/>
  <c r="S1970" i="111"/>
  <c r="S1969" i="111"/>
  <c r="S1968" i="111"/>
  <c r="S1967" i="111"/>
  <c r="S1966" i="111"/>
  <c r="S1965" i="111"/>
  <c r="S1964" i="111"/>
  <c r="S1963" i="111"/>
  <c r="S1962" i="111"/>
  <c r="S1961" i="111"/>
  <c r="S1960" i="111"/>
  <c r="S1959" i="111"/>
  <c r="S1958" i="111"/>
  <c r="S1957" i="111"/>
  <c r="S1956" i="111"/>
  <c r="S1955" i="111"/>
  <c r="S1954" i="111"/>
  <c r="S1953" i="111"/>
  <c r="S1952" i="111"/>
  <c r="S1951" i="111"/>
  <c r="S1950" i="111"/>
  <c r="S1949" i="111"/>
  <c r="S1948" i="111"/>
  <c r="S1947" i="111"/>
  <c r="S1946" i="111"/>
  <c r="S1945" i="111"/>
  <c r="S1944" i="111"/>
  <c r="S1943" i="111"/>
  <c r="S1942" i="111"/>
  <c r="S1941" i="111"/>
  <c r="S1940" i="111"/>
  <c r="S1939" i="111"/>
  <c r="S1938" i="111"/>
  <c r="S1937" i="111"/>
  <c r="S1936" i="111"/>
  <c r="S1935" i="111"/>
  <c r="S1934" i="111"/>
  <c r="S1933" i="111"/>
  <c r="S1932" i="111"/>
  <c r="S1931" i="111"/>
  <c r="S1930" i="111"/>
  <c r="S1929" i="111"/>
  <c r="S1928" i="111"/>
  <c r="S1927" i="111"/>
  <c r="S1926" i="111"/>
  <c r="S1925" i="111"/>
  <c r="S1924" i="111"/>
  <c r="S1923" i="111"/>
  <c r="S1922" i="111"/>
  <c r="S1921" i="111"/>
  <c r="S1920" i="111"/>
  <c r="S1919" i="111"/>
  <c r="S1918" i="111"/>
  <c r="S1917" i="111"/>
  <c r="S1916" i="111"/>
  <c r="S1915" i="111"/>
  <c r="S1914" i="111"/>
  <c r="S1913" i="111"/>
  <c r="S1912" i="111"/>
  <c r="S1911" i="111"/>
  <c r="S1910" i="111"/>
  <c r="S1909" i="111"/>
  <c r="S1908" i="111"/>
  <c r="S1907" i="111"/>
  <c r="S1906" i="111"/>
  <c r="S1905" i="111"/>
  <c r="S1904" i="111"/>
  <c r="S1903" i="111"/>
  <c r="S1902" i="111"/>
  <c r="S1901" i="111"/>
  <c r="S1900" i="111"/>
  <c r="S1899" i="111"/>
  <c r="S1898" i="111"/>
  <c r="S1897" i="111"/>
  <c r="S1896" i="111"/>
  <c r="S1895" i="111"/>
  <c r="S1894" i="111"/>
  <c r="S1893" i="111"/>
  <c r="S1892" i="111"/>
  <c r="S1891" i="111"/>
  <c r="S1890" i="111"/>
  <c r="S1889" i="111"/>
  <c r="S1888" i="111"/>
  <c r="S1887" i="111"/>
  <c r="S1886" i="111"/>
  <c r="S1885" i="111"/>
  <c r="S1884" i="111"/>
  <c r="S1883" i="111"/>
  <c r="S1882" i="111"/>
  <c r="S1881" i="111"/>
  <c r="S1880" i="111"/>
  <c r="S1879" i="111"/>
  <c r="S1878" i="111"/>
  <c r="S1877" i="111"/>
  <c r="S1876" i="111"/>
  <c r="S1875" i="111"/>
  <c r="S1874" i="111"/>
  <c r="S1873" i="111"/>
  <c r="S1872" i="111"/>
  <c r="S1871" i="111"/>
  <c r="S1870" i="111"/>
  <c r="S1869" i="111"/>
  <c r="S1868" i="111"/>
  <c r="S1867" i="111"/>
  <c r="S1866" i="111"/>
  <c r="S1865" i="111"/>
  <c r="S1864" i="111"/>
  <c r="S1863" i="111"/>
  <c r="S1862" i="111"/>
  <c r="S1861" i="111"/>
  <c r="S1860" i="111"/>
  <c r="S1859" i="111"/>
  <c r="S1858" i="111"/>
  <c r="S1857" i="111"/>
  <c r="S1856" i="111"/>
  <c r="S1855" i="111"/>
  <c r="S1854" i="111"/>
  <c r="S1853" i="111"/>
  <c r="S1852" i="111"/>
  <c r="S1851" i="111"/>
  <c r="S1850" i="111"/>
  <c r="S1849" i="111"/>
  <c r="S1848" i="111"/>
  <c r="S1847" i="111"/>
  <c r="S1846" i="111"/>
  <c r="S1845" i="111"/>
  <c r="S1844" i="111"/>
  <c r="S1843" i="111"/>
  <c r="S1842" i="111"/>
  <c r="S1841" i="111"/>
  <c r="S1840" i="111"/>
  <c r="S1839" i="111"/>
  <c r="S1838" i="111"/>
  <c r="S1837" i="111"/>
  <c r="S1836" i="111"/>
  <c r="S1835" i="111"/>
  <c r="S1834" i="111"/>
  <c r="S1833" i="111"/>
  <c r="S1832" i="111"/>
  <c r="S1831" i="111"/>
  <c r="S1830" i="111"/>
  <c r="S1829" i="111"/>
  <c r="S1828" i="111"/>
  <c r="S1827" i="111"/>
  <c r="S1826" i="111"/>
  <c r="S1825" i="111"/>
  <c r="S1824" i="111"/>
  <c r="S1823" i="111"/>
  <c r="S1822" i="111"/>
  <c r="S1821" i="111"/>
  <c r="S1820" i="111"/>
  <c r="S1819" i="111"/>
  <c r="S1818" i="111"/>
  <c r="S1817" i="111"/>
  <c r="S1816" i="111"/>
  <c r="S1815" i="111"/>
  <c r="S1814" i="111"/>
  <c r="S1813" i="111"/>
  <c r="S1812" i="111"/>
  <c r="S1811" i="111"/>
  <c r="S1810" i="111"/>
  <c r="S1809" i="111"/>
  <c r="S1808" i="111"/>
  <c r="S1807" i="111"/>
  <c r="S1806" i="111"/>
  <c r="S1805" i="111"/>
  <c r="S1804" i="111"/>
  <c r="S1803" i="111"/>
  <c r="S1802" i="111"/>
  <c r="S1801" i="111"/>
  <c r="S1800" i="111"/>
  <c r="S1799" i="111"/>
  <c r="S1798" i="111"/>
  <c r="S1797" i="111"/>
  <c r="S1796" i="111"/>
  <c r="S1795" i="111"/>
  <c r="S1794" i="111"/>
  <c r="S1793" i="111"/>
  <c r="S1792" i="111"/>
  <c r="S1791" i="111"/>
  <c r="S1790" i="111"/>
  <c r="S1789" i="111"/>
  <c r="S1788" i="111"/>
  <c r="S1787" i="111"/>
  <c r="S1786" i="111"/>
  <c r="S1785" i="111"/>
  <c r="S1784" i="111"/>
  <c r="S1783" i="111"/>
  <c r="S1782" i="111"/>
  <c r="S1781" i="111"/>
  <c r="S1780" i="111"/>
  <c r="S1779" i="111"/>
  <c r="S1778" i="111"/>
  <c r="S1777" i="111"/>
  <c r="S1776" i="111"/>
  <c r="S1775" i="111"/>
  <c r="S1774" i="111"/>
  <c r="S1773" i="111"/>
  <c r="S1772" i="111"/>
  <c r="S1771" i="111"/>
  <c r="S1770" i="111"/>
  <c r="S1769" i="111"/>
  <c r="S1768" i="111"/>
  <c r="S1767" i="111"/>
  <c r="S1766" i="111"/>
  <c r="S1765" i="111"/>
  <c r="S1764" i="111"/>
  <c r="S1763" i="111"/>
  <c r="S1762" i="111"/>
  <c r="S1761" i="111"/>
  <c r="S1760" i="111"/>
  <c r="S1759" i="111"/>
  <c r="S1758" i="111"/>
  <c r="S1757" i="111"/>
  <c r="S1756" i="111"/>
  <c r="S1755" i="111"/>
  <c r="S1754" i="111"/>
  <c r="S1753" i="111"/>
  <c r="S1752" i="111"/>
  <c r="S1751" i="111"/>
  <c r="S1750" i="111"/>
  <c r="S1749" i="111"/>
  <c r="S1748" i="111"/>
  <c r="S1747" i="111"/>
  <c r="S1746" i="111"/>
  <c r="S1745" i="111"/>
  <c r="S1744" i="111"/>
  <c r="S1743" i="111"/>
  <c r="S1742" i="111"/>
  <c r="S1741" i="111"/>
  <c r="S1740" i="111"/>
  <c r="S1739" i="111"/>
  <c r="S1738" i="111"/>
  <c r="S1737" i="111"/>
  <c r="S1736" i="111"/>
  <c r="S1735" i="111"/>
  <c r="S1734" i="111"/>
  <c r="S1733" i="111"/>
  <c r="S1732" i="111"/>
  <c r="S1731" i="111"/>
  <c r="S1730" i="111"/>
  <c r="S1729" i="111"/>
  <c r="S1728" i="111"/>
  <c r="S1727" i="111"/>
  <c r="S1726" i="111"/>
  <c r="S1725" i="111"/>
  <c r="S1724" i="111"/>
  <c r="S1723" i="111"/>
  <c r="S1722" i="111"/>
  <c r="S1721" i="111"/>
  <c r="S1720" i="111"/>
  <c r="S1719" i="111"/>
  <c r="S1718" i="111"/>
  <c r="S1717" i="111"/>
  <c r="S1716" i="111"/>
  <c r="S1715" i="111"/>
  <c r="S1714" i="111"/>
  <c r="S1713" i="111"/>
  <c r="S1712" i="111"/>
  <c r="S1711" i="111"/>
  <c r="S1710" i="111"/>
  <c r="S1709" i="111"/>
  <c r="S1708" i="111"/>
  <c r="S1707" i="111"/>
  <c r="S1706" i="111"/>
  <c r="S1705" i="111"/>
  <c r="S1704" i="111"/>
  <c r="S1703" i="111"/>
  <c r="S1702" i="111"/>
  <c r="S1701" i="111"/>
  <c r="S1700" i="111"/>
  <c r="S1699" i="111"/>
  <c r="S1698" i="111"/>
  <c r="S1697" i="111"/>
  <c r="S1696" i="111"/>
  <c r="S1695" i="111"/>
  <c r="S1694" i="111"/>
  <c r="S1693" i="111"/>
  <c r="S1692" i="111"/>
  <c r="S1691" i="111"/>
  <c r="S1690" i="111"/>
  <c r="S1689" i="111"/>
  <c r="S1688" i="111"/>
  <c r="S1687" i="111"/>
  <c r="S1686" i="111"/>
  <c r="S1685" i="111"/>
  <c r="S1684" i="111"/>
  <c r="S1683" i="111"/>
  <c r="S1682" i="111"/>
  <c r="S1681" i="111"/>
  <c r="S1680" i="111"/>
  <c r="S1679" i="111"/>
  <c r="S1678" i="111"/>
  <c r="S1677" i="111"/>
  <c r="S1676" i="111"/>
  <c r="S1675" i="111"/>
  <c r="S1674" i="111"/>
  <c r="S1673" i="111"/>
  <c r="S1672" i="111"/>
  <c r="S1671" i="111"/>
  <c r="S1670" i="111"/>
  <c r="S1669" i="111"/>
  <c r="S1668" i="111"/>
  <c r="S1667" i="111"/>
  <c r="S1666" i="111"/>
  <c r="S1665" i="111"/>
  <c r="S1664" i="111"/>
  <c r="S1663" i="111"/>
  <c r="S1662" i="111"/>
  <c r="S1661" i="111"/>
  <c r="S1660" i="111"/>
  <c r="S1659" i="111"/>
  <c r="S1658" i="111"/>
  <c r="S1657" i="111"/>
  <c r="S1656" i="111"/>
  <c r="S1655" i="111"/>
  <c r="S1654" i="111"/>
  <c r="S1653" i="111"/>
  <c r="S1652" i="111"/>
  <c r="S1651" i="111"/>
  <c r="S1650" i="111"/>
  <c r="S1649" i="111"/>
  <c r="S1648" i="111"/>
  <c r="S1647" i="111"/>
  <c r="S1646" i="111"/>
  <c r="S1645" i="111"/>
  <c r="S1644" i="111"/>
  <c r="S1643" i="111"/>
  <c r="S1642" i="111"/>
  <c r="S1641" i="111"/>
  <c r="S1640" i="111"/>
  <c r="S1639" i="111"/>
  <c r="S1638" i="111"/>
  <c r="S1637" i="111"/>
  <c r="S1636" i="111"/>
  <c r="S1635" i="111"/>
  <c r="S1634" i="111"/>
  <c r="S1633" i="111"/>
  <c r="S1632" i="111"/>
  <c r="S1631" i="111"/>
  <c r="S1630" i="111"/>
  <c r="S1629" i="111"/>
  <c r="S1628" i="111"/>
  <c r="S1627" i="111"/>
  <c r="S1626" i="111"/>
  <c r="S1625" i="111"/>
  <c r="S1624" i="111"/>
  <c r="S1623" i="111"/>
  <c r="S1622" i="111"/>
  <c r="S1621" i="111"/>
  <c r="S1620" i="111"/>
  <c r="S1619" i="111"/>
  <c r="S1618" i="111"/>
  <c r="S1617" i="111"/>
  <c r="S1616" i="111"/>
  <c r="S1615" i="111"/>
  <c r="S1614" i="111"/>
  <c r="S1613" i="111"/>
  <c r="S1612" i="111"/>
  <c r="S1611" i="111"/>
  <c r="S1610" i="111"/>
  <c r="S1609" i="111"/>
  <c r="S1608" i="111"/>
  <c r="S1607" i="111"/>
  <c r="S1606" i="111"/>
  <c r="S1605" i="111"/>
  <c r="S1604" i="111"/>
  <c r="S1603" i="111"/>
  <c r="S1602" i="111"/>
  <c r="S1601" i="111"/>
  <c r="S1600" i="111"/>
  <c r="S1599" i="111"/>
  <c r="S1598" i="111"/>
  <c r="S1597" i="111"/>
  <c r="S1596" i="111"/>
  <c r="S1595" i="111"/>
  <c r="S1594" i="111"/>
  <c r="S1593" i="111"/>
  <c r="S1592" i="111"/>
  <c r="S1591" i="111"/>
  <c r="S1590" i="111"/>
  <c r="S1589" i="111"/>
  <c r="S1588" i="111"/>
  <c r="S1587" i="111"/>
  <c r="S1586" i="111"/>
  <c r="S1585" i="111"/>
  <c r="S1584" i="111"/>
  <c r="S1583" i="111"/>
  <c r="S1582" i="111"/>
  <c r="S1581" i="111"/>
  <c r="S1580" i="111"/>
  <c r="S1579" i="111"/>
  <c r="S1578" i="111"/>
  <c r="S1577" i="111"/>
  <c r="S1576" i="111"/>
  <c r="S1575" i="111"/>
  <c r="S1574" i="111"/>
  <c r="S1573" i="111"/>
  <c r="S1572" i="111"/>
  <c r="S1571" i="111"/>
  <c r="S1570" i="111"/>
  <c r="S1569" i="111"/>
  <c r="S1568" i="111"/>
  <c r="S1567" i="111"/>
  <c r="S1566" i="111"/>
  <c r="S1565" i="111"/>
  <c r="S1564" i="111"/>
  <c r="S1563" i="111"/>
  <c r="S1562" i="111"/>
  <c r="S1561" i="111"/>
  <c r="S1560" i="111"/>
  <c r="S1559" i="111"/>
  <c r="S1558" i="111"/>
  <c r="S1557" i="111"/>
  <c r="S1556" i="111"/>
  <c r="S1555" i="111"/>
  <c r="S1554" i="111"/>
  <c r="S1553" i="111"/>
  <c r="S1552" i="111"/>
  <c r="S1551" i="111"/>
  <c r="S1550" i="111"/>
  <c r="S1549" i="111"/>
  <c r="S1548" i="111"/>
  <c r="S1547" i="111"/>
  <c r="S1546" i="111"/>
  <c r="S1545" i="111"/>
  <c r="S1544" i="111"/>
  <c r="S1543" i="111"/>
  <c r="S1542" i="111"/>
  <c r="S1541" i="111"/>
  <c r="S1540" i="111"/>
  <c r="S1539" i="111"/>
  <c r="S1538" i="111"/>
  <c r="S1537" i="111"/>
  <c r="S1536" i="111"/>
  <c r="S1535" i="111"/>
  <c r="S1534" i="111"/>
  <c r="S1533" i="111"/>
  <c r="S1532" i="111"/>
  <c r="S1531" i="111"/>
  <c r="S1530" i="111"/>
  <c r="S1529" i="111"/>
  <c r="S1528" i="111"/>
  <c r="S1527" i="111"/>
  <c r="S1526" i="111"/>
  <c r="S1525" i="111"/>
  <c r="S1524" i="111"/>
  <c r="S1523" i="111"/>
  <c r="S1522" i="111"/>
  <c r="S1521" i="111"/>
  <c r="S1520" i="111"/>
  <c r="S1519" i="111"/>
  <c r="S1518" i="111"/>
  <c r="S1517" i="111"/>
  <c r="S1516" i="111"/>
  <c r="S1515" i="111"/>
  <c r="S1514" i="111"/>
  <c r="S1513" i="111"/>
  <c r="S1512" i="111"/>
  <c r="S1511" i="111"/>
  <c r="S1510" i="111"/>
  <c r="S1509" i="111"/>
  <c r="S1508" i="111"/>
  <c r="S1507" i="111"/>
  <c r="S1506" i="111"/>
  <c r="S1505" i="111"/>
  <c r="S1504" i="111"/>
  <c r="S1503" i="111"/>
  <c r="S1502" i="111"/>
  <c r="S1501" i="111"/>
  <c r="S1500" i="111"/>
  <c r="S1499" i="111"/>
  <c r="S1498" i="111"/>
  <c r="S1497" i="111"/>
  <c r="S1496" i="111"/>
  <c r="S1495" i="111"/>
  <c r="S1494" i="111"/>
  <c r="S1493" i="111"/>
  <c r="S1492" i="111"/>
  <c r="S1491" i="111"/>
  <c r="S1490" i="111"/>
  <c r="S1489" i="111"/>
  <c r="S1488" i="111"/>
  <c r="S1487" i="111"/>
  <c r="S1486" i="111"/>
  <c r="S1485" i="111"/>
  <c r="S1484" i="111"/>
  <c r="S1483" i="111"/>
  <c r="S1482" i="111"/>
  <c r="S1481" i="111"/>
  <c r="S1480" i="111"/>
  <c r="S1479" i="111"/>
  <c r="S1478" i="111"/>
  <c r="S1477" i="111"/>
  <c r="S1476" i="111"/>
  <c r="S1475" i="111"/>
  <c r="S1474" i="111"/>
  <c r="S1473" i="111"/>
  <c r="S1472" i="111"/>
  <c r="S1471" i="111"/>
  <c r="S1470" i="111"/>
  <c r="S1469" i="111"/>
  <c r="S1468" i="111"/>
  <c r="S1467" i="111"/>
  <c r="S1466" i="111"/>
  <c r="S1465" i="111"/>
  <c r="S1464" i="111"/>
  <c r="S1463" i="111"/>
  <c r="S1462" i="111"/>
  <c r="S1461" i="111"/>
  <c r="S1460" i="111"/>
  <c r="S1459" i="111"/>
  <c r="S1458" i="111"/>
  <c r="S1457" i="111"/>
  <c r="S1456" i="111"/>
  <c r="S1455" i="111"/>
  <c r="S1454" i="111"/>
  <c r="S1453" i="111"/>
  <c r="S1452" i="111"/>
  <c r="S1451" i="111"/>
  <c r="S1450" i="111"/>
  <c r="S1449" i="111"/>
  <c r="S1448" i="111"/>
  <c r="S1447" i="111"/>
  <c r="S1446" i="111"/>
  <c r="S1445" i="111"/>
  <c r="S1444" i="111"/>
  <c r="S1443" i="111"/>
  <c r="S1442" i="111"/>
  <c r="S1441" i="111"/>
  <c r="S1440" i="111"/>
  <c r="S1439" i="111"/>
  <c r="S1438" i="111"/>
  <c r="S1437" i="111"/>
  <c r="S1436" i="111"/>
  <c r="S1435" i="111"/>
  <c r="S1434" i="111"/>
  <c r="S1433" i="111"/>
  <c r="S1432" i="111"/>
  <c r="S1431" i="111"/>
  <c r="S1430" i="111"/>
  <c r="S1429" i="111"/>
  <c r="S1428" i="111"/>
  <c r="S1427" i="111"/>
  <c r="S1426" i="111"/>
  <c r="S1425" i="111"/>
  <c r="S1424" i="111"/>
  <c r="S1423" i="111"/>
  <c r="S1422" i="111"/>
  <c r="S1421" i="111"/>
  <c r="S1420" i="111"/>
  <c r="S1419" i="111"/>
  <c r="S1418" i="111"/>
  <c r="S1417" i="111"/>
  <c r="S1416" i="111"/>
  <c r="S1415" i="111"/>
  <c r="S1414" i="111"/>
  <c r="S1413" i="111"/>
  <c r="S1412" i="111"/>
  <c r="S1411" i="111"/>
  <c r="S1410" i="111"/>
  <c r="S1409" i="111"/>
  <c r="S1408" i="111"/>
  <c r="S1407" i="111"/>
  <c r="S1406" i="111"/>
  <c r="S1405" i="111"/>
  <c r="S1404" i="111"/>
  <c r="S1403" i="111"/>
  <c r="S1402" i="111"/>
  <c r="S1401" i="111"/>
  <c r="S1400" i="111"/>
  <c r="S1399" i="111"/>
  <c r="S1398" i="111"/>
  <c r="S1397" i="111"/>
  <c r="S1396" i="111"/>
  <c r="S1395" i="111"/>
  <c r="S1394" i="111"/>
  <c r="S1393" i="111"/>
  <c r="S1392" i="111"/>
  <c r="S1391" i="111"/>
  <c r="S1390" i="111"/>
  <c r="S1389" i="111"/>
  <c r="S1388" i="111"/>
  <c r="S1387" i="111"/>
  <c r="S1386" i="111"/>
  <c r="S1385" i="111"/>
  <c r="S1384" i="111"/>
  <c r="S1383" i="111"/>
  <c r="S1382" i="111"/>
  <c r="S1381" i="111"/>
  <c r="S1380" i="111"/>
  <c r="S1379" i="111"/>
  <c r="S1378" i="111"/>
  <c r="S1377" i="111"/>
  <c r="S1376" i="111"/>
  <c r="S1375" i="111"/>
  <c r="S1374" i="111"/>
  <c r="S1373" i="111"/>
  <c r="S1372" i="111"/>
  <c r="S1371" i="111"/>
  <c r="S1370" i="111"/>
  <c r="S1369" i="111"/>
  <c r="S1368" i="111"/>
  <c r="S1367" i="111"/>
  <c r="S1366" i="111"/>
  <c r="S1365" i="111"/>
  <c r="S1364" i="111"/>
  <c r="S1363" i="111"/>
  <c r="S1362" i="111"/>
  <c r="S1361" i="111"/>
  <c r="S1360" i="111"/>
  <c r="S1359" i="111"/>
  <c r="S1358" i="111"/>
  <c r="S1357" i="111"/>
  <c r="S1356" i="111"/>
  <c r="S1355" i="111"/>
  <c r="S1354" i="111"/>
  <c r="S1353" i="111"/>
  <c r="S1352" i="111"/>
  <c r="S1351" i="111"/>
  <c r="S1350" i="111"/>
  <c r="S1349" i="111"/>
  <c r="S1348" i="111"/>
  <c r="S1347" i="111"/>
  <c r="S1346" i="111"/>
  <c r="S1345" i="111"/>
  <c r="S1344" i="111"/>
  <c r="S1343" i="111"/>
  <c r="S1342" i="111"/>
  <c r="S1341" i="111"/>
  <c r="S1340" i="111"/>
  <c r="S1339" i="111"/>
  <c r="S1338" i="111"/>
  <c r="S1337" i="111"/>
  <c r="S1336" i="111"/>
  <c r="S1335" i="111"/>
  <c r="S1334" i="111"/>
  <c r="S1333" i="111"/>
  <c r="S1332" i="111"/>
  <c r="S1331" i="111"/>
  <c r="S1330" i="111"/>
  <c r="S1329" i="111"/>
  <c r="S1328" i="111"/>
  <c r="S1327" i="111"/>
  <c r="S1326" i="111"/>
  <c r="S1325" i="111"/>
  <c r="S1324" i="111"/>
  <c r="S1323" i="111"/>
  <c r="S1322" i="111"/>
  <c r="S1321" i="111"/>
  <c r="S1320" i="111"/>
  <c r="S1319" i="111"/>
  <c r="S1318" i="111"/>
  <c r="S1317" i="111"/>
  <c r="S1316" i="111"/>
  <c r="S1315" i="111"/>
  <c r="S1314" i="111"/>
  <c r="S1313" i="111"/>
  <c r="S1312" i="111"/>
  <c r="S1311" i="111"/>
  <c r="S1310" i="111"/>
  <c r="S1309" i="111"/>
  <c r="S1308" i="111"/>
  <c r="S1307" i="111"/>
  <c r="S1306" i="111"/>
  <c r="S1305" i="111"/>
  <c r="S1304" i="111"/>
  <c r="S1303" i="111"/>
  <c r="S1302" i="111"/>
  <c r="S1301" i="111"/>
  <c r="S1300" i="111"/>
  <c r="S1299" i="111"/>
  <c r="S1298" i="111"/>
  <c r="S1297" i="111"/>
  <c r="S1296" i="111"/>
  <c r="S1295" i="111"/>
  <c r="S1294" i="111"/>
  <c r="S1293" i="111"/>
  <c r="S1292" i="111"/>
  <c r="S1291" i="111"/>
  <c r="S1290" i="111"/>
  <c r="S1289" i="111"/>
  <c r="S1288" i="111"/>
  <c r="S1287" i="111"/>
  <c r="S1286" i="111"/>
  <c r="S1285" i="111"/>
  <c r="S1284" i="111"/>
  <c r="S1283" i="111"/>
  <c r="S1282" i="111"/>
  <c r="S1281" i="111"/>
  <c r="S1280" i="111"/>
  <c r="S1279" i="111"/>
  <c r="S1278" i="111"/>
  <c r="S1277" i="111"/>
  <c r="S1276" i="111"/>
  <c r="S1275" i="111"/>
  <c r="S1274" i="111"/>
  <c r="S1273" i="111"/>
  <c r="S1272" i="111"/>
  <c r="S1271" i="111"/>
  <c r="S1270" i="111"/>
  <c r="S1269" i="111"/>
  <c r="S1268" i="111"/>
  <c r="S1267" i="111"/>
  <c r="S1266" i="111"/>
  <c r="S1265" i="111"/>
  <c r="S1264" i="111"/>
  <c r="S1263" i="111"/>
  <c r="S1262" i="111"/>
  <c r="S1261" i="111"/>
  <c r="S1260" i="111"/>
  <c r="S1259" i="111"/>
  <c r="S1258" i="111"/>
  <c r="S1257" i="111"/>
  <c r="S1256" i="111"/>
  <c r="S1255" i="111"/>
  <c r="S1254" i="111"/>
  <c r="S1253" i="111"/>
  <c r="S1252" i="111"/>
  <c r="S1251" i="111"/>
  <c r="S1250" i="111"/>
  <c r="S1249" i="111"/>
  <c r="S1248" i="111"/>
  <c r="S1247" i="111"/>
  <c r="S1246" i="111"/>
  <c r="S1245" i="111"/>
  <c r="S1244" i="111"/>
  <c r="S1243" i="111"/>
  <c r="S1242" i="111"/>
  <c r="S1241" i="111"/>
  <c r="S1240" i="111"/>
  <c r="S1239" i="111"/>
  <c r="S1238" i="111"/>
  <c r="S1237" i="111"/>
  <c r="S1236" i="111"/>
  <c r="S1235" i="111"/>
  <c r="S1234" i="111"/>
  <c r="S1233" i="111"/>
  <c r="S1232" i="111"/>
  <c r="S1231" i="111"/>
  <c r="S1230" i="111"/>
  <c r="S1229" i="111"/>
  <c r="S1228" i="111"/>
  <c r="S1227" i="111"/>
  <c r="S1226" i="111"/>
  <c r="S1225" i="111"/>
  <c r="S1224" i="111"/>
  <c r="S1223" i="111"/>
  <c r="S1222" i="111"/>
  <c r="S1221" i="111"/>
  <c r="S1220" i="111"/>
  <c r="S1219" i="111"/>
  <c r="S1218" i="111"/>
  <c r="S1217" i="111"/>
  <c r="S1216" i="111"/>
  <c r="S1215" i="111"/>
  <c r="S1214" i="111"/>
  <c r="S1213" i="111"/>
  <c r="S1212" i="111"/>
  <c r="S1211" i="111"/>
  <c r="S1210" i="111"/>
  <c r="S1209" i="111"/>
  <c r="S1208" i="111"/>
  <c r="S1207" i="111"/>
  <c r="S1206" i="111"/>
  <c r="S1205" i="111"/>
  <c r="S1204" i="111"/>
  <c r="S1203" i="111"/>
  <c r="S1202" i="111"/>
  <c r="S1201" i="111"/>
  <c r="S1200" i="111"/>
  <c r="S1199" i="111"/>
  <c r="S1198" i="111"/>
  <c r="S1197" i="111"/>
  <c r="S1196" i="111"/>
  <c r="S1195" i="111"/>
  <c r="S1194" i="111"/>
  <c r="S1193" i="111"/>
  <c r="S1192" i="111"/>
  <c r="S1191" i="111"/>
  <c r="S1190" i="111"/>
  <c r="S1189" i="111"/>
  <c r="S1188" i="111"/>
  <c r="S1187" i="111"/>
  <c r="S1186" i="111"/>
  <c r="S1185" i="111"/>
  <c r="S1184" i="111"/>
  <c r="S1183" i="111"/>
  <c r="S1182" i="111"/>
  <c r="S1181" i="111"/>
  <c r="S1180" i="111"/>
  <c r="S1179" i="111"/>
  <c r="S1178" i="111"/>
  <c r="S1177" i="111"/>
  <c r="S1176" i="111"/>
  <c r="S1175" i="111"/>
  <c r="S1174" i="111"/>
  <c r="S1173" i="111"/>
  <c r="S1172" i="111"/>
  <c r="S1171" i="111"/>
  <c r="S1170" i="111"/>
  <c r="S1169" i="111"/>
  <c r="S1168" i="111"/>
  <c r="S1167" i="111"/>
  <c r="S1166" i="111"/>
  <c r="S1165" i="111"/>
  <c r="S1164" i="111"/>
  <c r="S1163" i="111"/>
  <c r="S1162" i="111"/>
  <c r="S1161" i="111"/>
  <c r="S1160" i="111"/>
  <c r="S1159" i="111"/>
  <c r="S1158" i="111"/>
  <c r="S1157" i="111"/>
  <c r="S1156" i="111"/>
  <c r="S1155" i="111"/>
  <c r="S1154" i="111"/>
  <c r="S1153" i="111"/>
  <c r="S1152" i="111"/>
  <c r="S1151" i="111"/>
  <c r="S1150" i="111"/>
  <c r="S1149" i="111"/>
  <c r="S1148" i="111"/>
  <c r="S1147" i="111"/>
  <c r="S1146" i="111"/>
  <c r="S1145" i="111"/>
  <c r="S1144" i="111"/>
  <c r="S1143" i="111"/>
  <c r="S1142" i="111"/>
  <c r="S1141" i="111"/>
  <c r="S1140" i="111"/>
  <c r="S1139" i="111"/>
  <c r="S1138" i="111"/>
  <c r="S1137" i="111"/>
  <c r="S1136" i="111"/>
  <c r="S1135" i="111"/>
  <c r="S1134" i="111"/>
  <c r="S1133" i="111"/>
  <c r="S1132" i="111"/>
  <c r="S1131" i="111"/>
  <c r="S1130" i="111"/>
  <c r="S1129" i="111"/>
  <c r="S1128" i="111"/>
  <c r="S1127" i="111"/>
  <c r="S1126" i="111"/>
  <c r="S1125" i="111"/>
  <c r="S1124" i="111"/>
  <c r="S1123" i="111"/>
  <c r="S1122" i="111"/>
  <c r="S1121" i="111"/>
  <c r="S1120" i="111"/>
  <c r="S1119" i="111"/>
  <c r="S1118" i="111"/>
  <c r="S1117" i="111"/>
  <c r="S1116" i="111"/>
  <c r="S1115" i="111"/>
  <c r="S1114" i="111"/>
  <c r="S1113" i="111"/>
  <c r="S1112" i="111"/>
  <c r="S1111" i="111"/>
  <c r="S1110" i="111"/>
  <c r="S1109" i="111"/>
  <c r="S1108" i="111"/>
  <c r="S1107" i="111"/>
  <c r="S1106" i="111"/>
  <c r="S1105" i="111"/>
  <c r="S1104" i="111"/>
  <c r="S1103" i="111"/>
  <c r="S1102" i="111"/>
  <c r="S1101" i="111"/>
  <c r="S1100" i="111"/>
  <c r="S1099" i="111"/>
  <c r="S1098" i="111"/>
  <c r="S1097" i="111"/>
  <c r="S1096" i="111"/>
  <c r="S1095" i="111"/>
  <c r="S1094" i="111"/>
  <c r="S1093" i="111"/>
  <c r="S1092" i="111"/>
  <c r="S1091" i="111"/>
  <c r="S1090" i="111"/>
  <c r="S1089" i="111"/>
  <c r="S1088" i="111"/>
  <c r="S1087" i="111"/>
  <c r="S1086" i="111"/>
  <c r="S1085" i="111"/>
  <c r="S1084" i="111"/>
  <c r="S1083" i="111"/>
  <c r="S1082" i="111"/>
  <c r="S1081" i="111"/>
  <c r="S1080" i="111"/>
  <c r="S1079" i="111"/>
  <c r="S1078" i="111"/>
  <c r="S1077" i="111"/>
  <c r="S1076" i="111"/>
  <c r="S1075" i="111"/>
  <c r="S1074" i="111"/>
  <c r="S1073" i="111"/>
  <c r="S1072" i="111"/>
  <c r="S1071" i="111"/>
  <c r="S1070" i="111"/>
  <c r="S1069" i="111"/>
  <c r="S1068" i="111"/>
  <c r="S1067" i="111"/>
  <c r="S1066" i="111"/>
  <c r="S1065" i="111"/>
  <c r="S1064" i="111"/>
  <c r="S1063" i="111"/>
  <c r="S1062" i="111"/>
  <c r="S1061" i="111"/>
  <c r="S1060" i="111"/>
  <c r="S1059" i="111"/>
  <c r="S1058" i="111"/>
  <c r="S1057" i="111"/>
  <c r="S1056" i="111"/>
  <c r="S1055" i="111"/>
  <c r="S1054" i="111"/>
  <c r="S1053" i="111"/>
  <c r="S1052" i="111"/>
  <c r="S1051" i="111"/>
  <c r="S1050" i="111"/>
  <c r="S1049" i="111"/>
  <c r="S1048" i="111"/>
  <c r="S1047" i="111"/>
  <c r="S1046" i="111"/>
  <c r="S1045" i="111"/>
  <c r="S1044" i="111"/>
  <c r="S1043" i="111"/>
  <c r="S1042" i="111"/>
  <c r="S1041" i="111"/>
  <c r="S1040" i="111"/>
  <c r="S1039" i="111"/>
  <c r="S1038" i="111"/>
  <c r="S1037" i="111"/>
  <c r="S1036" i="111"/>
  <c r="S1035" i="111"/>
  <c r="S1034" i="111"/>
  <c r="S1033" i="111"/>
  <c r="S1032" i="111"/>
  <c r="S1031" i="111"/>
  <c r="S1030" i="111"/>
  <c r="S1029" i="111"/>
  <c r="S1028" i="111"/>
  <c r="S1027" i="111"/>
  <c r="S1026" i="111"/>
  <c r="S1025" i="111"/>
  <c r="S1024" i="111"/>
  <c r="S1023" i="111"/>
  <c r="S1022" i="111"/>
  <c r="S1021" i="111"/>
  <c r="S1020" i="111"/>
  <c r="S1019" i="111"/>
  <c r="S1018" i="111"/>
  <c r="S1017" i="111"/>
  <c r="S1016" i="111"/>
  <c r="S1015" i="111"/>
  <c r="S1014" i="111"/>
  <c r="S1013" i="111"/>
  <c r="S1012" i="111"/>
  <c r="S1011" i="111"/>
  <c r="S1010" i="111"/>
  <c r="S1009" i="111"/>
  <c r="S1008" i="111"/>
  <c r="S1007" i="111"/>
  <c r="S1006" i="111"/>
  <c r="S1005" i="111"/>
  <c r="S1004" i="111"/>
  <c r="S1003" i="111"/>
  <c r="S1002" i="111"/>
  <c r="S1001" i="111"/>
  <c r="S1000" i="111"/>
  <c r="S999" i="111"/>
  <c r="S998" i="111"/>
  <c r="S997" i="111"/>
  <c r="S996" i="111"/>
  <c r="S995" i="111"/>
  <c r="S994" i="111"/>
  <c r="S993" i="111"/>
  <c r="S992" i="111"/>
  <c r="S991" i="111"/>
  <c r="S990" i="111"/>
  <c r="S989" i="111"/>
  <c r="S988" i="111"/>
  <c r="S987" i="111"/>
  <c r="S986" i="111"/>
  <c r="S985" i="111"/>
  <c r="S984" i="111"/>
  <c r="S983" i="111"/>
  <c r="S982" i="111"/>
  <c r="S981" i="111"/>
  <c r="S980" i="111"/>
  <c r="S979" i="111"/>
  <c r="S978" i="111"/>
  <c r="S977" i="111"/>
  <c r="S976" i="111"/>
  <c r="S975" i="111"/>
  <c r="S974" i="111"/>
  <c r="S973" i="111"/>
  <c r="S972" i="111"/>
  <c r="S971" i="111"/>
  <c r="S970" i="111"/>
  <c r="S969" i="111"/>
  <c r="S968" i="111"/>
  <c r="S967" i="111"/>
  <c r="S966" i="111"/>
  <c r="S965" i="111"/>
  <c r="S964" i="111"/>
  <c r="S963" i="111"/>
  <c r="S962" i="111"/>
  <c r="S961" i="111"/>
  <c r="S960" i="111"/>
  <c r="S959" i="111"/>
  <c r="S958" i="111"/>
  <c r="S957" i="111"/>
  <c r="S956" i="111"/>
  <c r="S955" i="111"/>
  <c r="S954" i="111"/>
  <c r="S953" i="111"/>
  <c r="S952" i="111"/>
  <c r="S951" i="111"/>
  <c r="S950" i="111"/>
  <c r="S949" i="111"/>
  <c r="S948" i="111"/>
  <c r="S947" i="111"/>
  <c r="S946" i="111"/>
  <c r="S945" i="111"/>
  <c r="S944" i="111"/>
  <c r="S943" i="111"/>
  <c r="S942" i="111"/>
  <c r="S941" i="111"/>
  <c r="S940" i="111"/>
  <c r="S939" i="111"/>
  <c r="S938" i="111"/>
  <c r="S937" i="111"/>
  <c r="S936" i="111"/>
  <c r="S935" i="111"/>
  <c r="S934" i="111"/>
  <c r="S933" i="111"/>
  <c r="S932" i="111"/>
  <c r="S931" i="111"/>
  <c r="S930" i="111"/>
  <c r="S929" i="111"/>
  <c r="S928" i="111"/>
  <c r="S927" i="111"/>
  <c r="S926" i="111"/>
  <c r="S925" i="111"/>
  <c r="S924" i="111"/>
  <c r="S923" i="111"/>
  <c r="S922" i="111"/>
  <c r="S921" i="111"/>
  <c r="S920" i="111"/>
  <c r="S919" i="111"/>
  <c r="S918" i="111"/>
  <c r="S917" i="111"/>
  <c r="S916" i="111"/>
  <c r="S915" i="111"/>
  <c r="S914" i="111"/>
  <c r="S913" i="111"/>
  <c r="S912" i="111"/>
  <c r="S911" i="111"/>
  <c r="S910" i="111"/>
  <c r="S909" i="111"/>
  <c r="S908" i="111"/>
  <c r="S907" i="111"/>
  <c r="S906" i="111"/>
  <c r="S905" i="111"/>
  <c r="S904" i="111"/>
  <c r="S903" i="111"/>
  <c r="S902" i="111"/>
  <c r="S901" i="111"/>
  <c r="S900" i="111"/>
  <c r="S899" i="111"/>
  <c r="S898" i="111"/>
  <c r="S897" i="111"/>
  <c r="S896" i="111"/>
  <c r="S895" i="111"/>
  <c r="S894" i="111"/>
  <c r="S893" i="111"/>
  <c r="S892" i="111"/>
  <c r="S891" i="111"/>
  <c r="S890" i="111"/>
  <c r="S889" i="111"/>
  <c r="S888" i="111"/>
  <c r="S887" i="111"/>
  <c r="S886" i="111"/>
  <c r="S885" i="111"/>
  <c r="S884" i="111"/>
  <c r="S883" i="111"/>
  <c r="S882" i="111"/>
  <c r="S881" i="111"/>
  <c r="S880" i="111"/>
  <c r="S879" i="111"/>
  <c r="S878" i="111"/>
  <c r="S877" i="111"/>
  <c r="S876" i="111"/>
  <c r="S875" i="111"/>
  <c r="S874" i="111"/>
  <c r="S873" i="111"/>
  <c r="S872" i="111"/>
  <c r="S871" i="111"/>
  <c r="S870" i="111"/>
  <c r="S869" i="111"/>
  <c r="S868" i="111"/>
  <c r="S867" i="111"/>
  <c r="S866" i="111"/>
  <c r="S865" i="111"/>
  <c r="S864" i="111"/>
  <c r="S863" i="111"/>
  <c r="S862" i="111"/>
  <c r="S861" i="111"/>
  <c r="S860" i="111"/>
  <c r="S859" i="111"/>
  <c r="S858" i="111"/>
  <c r="S857" i="111"/>
  <c r="S856" i="111"/>
  <c r="S855" i="111"/>
  <c r="S854" i="111"/>
  <c r="S853" i="111"/>
  <c r="S852" i="111"/>
  <c r="S851" i="111"/>
  <c r="S850" i="111"/>
  <c r="S849" i="111"/>
  <c r="S848" i="111"/>
  <c r="S847" i="111"/>
  <c r="S846" i="111"/>
  <c r="S845" i="111"/>
  <c r="S844" i="111"/>
  <c r="S843" i="111"/>
  <c r="S842" i="111"/>
  <c r="S841" i="111"/>
  <c r="S840" i="111"/>
  <c r="S839" i="111"/>
  <c r="S838" i="111"/>
  <c r="S837" i="111"/>
  <c r="S836" i="111"/>
  <c r="S835" i="111"/>
  <c r="S834" i="111"/>
  <c r="S833" i="111"/>
  <c r="S832" i="111"/>
  <c r="S831" i="111"/>
  <c r="S830" i="111"/>
  <c r="S829" i="111"/>
  <c r="S828" i="111"/>
  <c r="S827" i="111"/>
  <c r="S826" i="111"/>
  <c r="S825" i="111"/>
  <c r="S824" i="111"/>
  <c r="S823" i="111"/>
  <c r="S822" i="111"/>
  <c r="S821" i="111"/>
  <c r="S820" i="111"/>
  <c r="S819" i="111"/>
  <c r="S818" i="111"/>
  <c r="S817" i="111"/>
  <c r="S816" i="111"/>
  <c r="S815" i="111"/>
  <c r="S814" i="111"/>
  <c r="S813" i="111"/>
  <c r="S812" i="111"/>
  <c r="S811" i="111"/>
  <c r="S810" i="111"/>
  <c r="S809" i="111"/>
  <c r="S808" i="111"/>
  <c r="S807" i="111"/>
  <c r="S806" i="111"/>
  <c r="S805" i="111"/>
  <c r="S804" i="111"/>
  <c r="S803" i="111"/>
  <c r="S802" i="111"/>
  <c r="S801" i="111"/>
  <c r="S800" i="111"/>
  <c r="S799" i="111"/>
  <c r="S798" i="111"/>
  <c r="S797" i="111"/>
  <c r="S796" i="111"/>
  <c r="S795" i="111"/>
  <c r="S794" i="111"/>
  <c r="S793" i="111"/>
  <c r="S792" i="111"/>
  <c r="S791" i="111"/>
  <c r="S790" i="111"/>
  <c r="S789" i="111"/>
  <c r="S788" i="111"/>
  <c r="S787" i="111"/>
  <c r="S786" i="111"/>
  <c r="S785" i="111"/>
  <c r="S784" i="111"/>
  <c r="S783" i="111"/>
  <c r="S782" i="111"/>
  <c r="S781" i="111"/>
  <c r="S780" i="111"/>
  <c r="S779" i="111"/>
  <c r="S778" i="111"/>
  <c r="S777" i="111"/>
  <c r="S776" i="111"/>
  <c r="S775" i="111"/>
  <c r="S774" i="111"/>
  <c r="S773" i="111"/>
  <c r="S772" i="111"/>
  <c r="S771" i="111"/>
  <c r="S770" i="111"/>
  <c r="S769" i="111"/>
  <c r="S768" i="111"/>
  <c r="S767" i="111"/>
  <c r="S766" i="111"/>
  <c r="S765" i="111"/>
  <c r="S764" i="111"/>
  <c r="S763" i="111"/>
  <c r="S762" i="111"/>
  <c r="S761" i="111"/>
  <c r="S760" i="111"/>
  <c r="S759" i="111"/>
  <c r="S758" i="111"/>
  <c r="S757" i="111"/>
  <c r="S756" i="111"/>
  <c r="S755" i="111"/>
  <c r="S754" i="111"/>
  <c r="S753" i="111"/>
  <c r="S752" i="111"/>
  <c r="S751" i="111"/>
  <c r="S750" i="111"/>
  <c r="S749" i="111"/>
  <c r="S748" i="111"/>
  <c r="S747" i="111"/>
  <c r="S746" i="111"/>
  <c r="S745" i="111"/>
  <c r="S744" i="111"/>
  <c r="S743" i="111"/>
  <c r="S742" i="111"/>
  <c r="S741" i="111"/>
  <c r="S740" i="111"/>
  <c r="S739" i="111"/>
  <c r="S738" i="111"/>
  <c r="S737" i="111"/>
  <c r="S736" i="111"/>
  <c r="S735" i="111"/>
  <c r="S734" i="111"/>
  <c r="S733" i="111"/>
  <c r="S732" i="111"/>
  <c r="S731" i="111"/>
  <c r="S730" i="111"/>
  <c r="S729" i="111"/>
  <c r="S728" i="111"/>
  <c r="S727" i="111"/>
  <c r="S726" i="111"/>
  <c r="S725" i="111"/>
  <c r="S724" i="111"/>
  <c r="S723" i="111"/>
  <c r="S722" i="111"/>
  <c r="S721" i="111"/>
  <c r="S720" i="111"/>
  <c r="S719" i="111"/>
  <c r="S718" i="111"/>
  <c r="S717" i="111"/>
  <c r="S716" i="111"/>
  <c r="S715" i="111"/>
  <c r="S714" i="111"/>
  <c r="S713" i="111"/>
  <c r="S712" i="111"/>
  <c r="S711" i="111"/>
  <c r="S710" i="111"/>
  <c r="S709" i="111"/>
  <c r="S708" i="111"/>
  <c r="S707" i="111"/>
  <c r="S706" i="111"/>
  <c r="S705" i="111"/>
  <c r="S704" i="111"/>
  <c r="S703" i="111"/>
  <c r="S702" i="111"/>
  <c r="S701" i="111"/>
  <c r="S700" i="111"/>
  <c r="S699" i="111"/>
  <c r="S698" i="111"/>
  <c r="S697" i="111"/>
  <c r="S696" i="111"/>
  <c r="S695" i="111"/>
  <c r="S694" i="111"/>
  <c r="S693" i="111"/>
  <c r="S692" i="111"/>
  <c r="S691" i="111"/>
  <c r="S690" i="111"/>
  <c r="S689" i="111"/>
  <c r="S688" i="111"/>
  <c r="S687" i="111"/>
  <c r="S686" i="111"/>
  <c r="S685" i="111"/>
  <c r="S684" i="111"/>
  <c r="S683" i="111"/>
  <c r="S682" i="111"/>
  <c r="S681" i="111"/>
  <c r="S680" i="111"/>
  <c r="S679" i="111"/>
  <c r="S678" i="111"/>
  <c r="S677" i="111"/>
  <c r="S676" i="111"/>
  <c r="S675" i="111"/>
  <c r="S674" i="111"/>
  <c r="S673" i="111"/>
  <c r="S672" i="111"/>
  <c r="S671" i="111"/>
  <c r="S670" i="111"/>
  <c r="S669" i="111"/>
  <c r="S668" i="111"/>
  <c r="S667" i="111"/>
  <c r="S666" i="111"/>
  <c r="S665" i="111"/>
  <c r="S664" i="111"/>
  <c r="S663" i="111"/>
  <c r="S662" i="111"/>
  <c r="S661" i="111"/>
  <c r="S660" i="111"/>
  <c r="S659" i="111"/>
  <c r="S658" i="111"/>
  <c r="S657" i="111"/>
  <c r="S656" i="111"/>
  <c r="S655" i="111"/>
  <c r="S654" i="111"/>
  <c r="S653" i="111"/>
  <c r="S652" i="111"/>
  <c r="S651" i="111"/>
  <c r="S650" i="111"/>
  <c r="S649" i="111"/>
  <c r="S648" i="111"/>
  <c r="S647" i="111"/>
  <c r="S646" i="111"/>
  <c r="S645" i="111"/>
  <c r="S644" i="111"/>
  <c r="S643" i="111"/>
  <c r="S642" i="111"/>
  <c r="S641" i="111"/>
  <c r="S640" i="111"/>
  <c r="S639" i="111"/>
  <c r="S638" i="111"/>
  <c r="S637" i="111"/>
  <c r="S636" i="111"/>
  <c r="S635" i="111"/>
  <c r="S634" i="111"/>
  <c r="S633" i="111"/>
  <c r="S632" i="111"/>
  <c r="S631" i="111"/>
  <c r="S630" i="111"/>
  <c r="S629" i="111"/>
  <c r="S628" i="111"/>
  <c r="S627" i="111"/>
  <c r="S626" i="111"/>
  <c r="S625" i="111"/>
  <c r="S624" i="111"/>
  <c r="S623" i="111"/>
  <c r="S622" i="111"/>
  <c r="S621" i="111"/>
  <c r="S620" i="111"/>
  <c r="S619" i="111"/>
  <c r="S618" i="111"/>
  <c r="S617" i="111"/>
  <c r="S616" i="111"/>
  <c r="S615" i="111"/>
  <c r="S614" i="111"/>
  <c r="S613" i="111"/>
  <c r="S612" i="111"/>
  <c r="S611" i="111"/>
  <c r="S610" i="111"/>
  <c r="S609" i="111"/>
  <c r="S608" i="111"/>
  <c r="S607" i="111"/>
  <c r="S606" i="111"/>
  <c r="S605" i="111"/>
  <c r="S604" i="111"/>
  <c r="S603" i="111"/>
  <c r="S602" i="111"/>
  <c r="S601" i="111"/>
  <c r="S600" i="111"/>
  <c r="S599" i="111"/>
  <c r="S598" i="111"/>
  <c r="S597" i="111"/>
  <c r="S596" i="111"/>
  <c r="S595" i="111"/>
  <c r="S594" i="111"/>
  <c r="S593" i="111"/>
  <c r="S592" i="111"/>
  <c r="S591" i="111"/>
  <c r="S590" i="111"/>
  <c r="S589" i="111"/>
  <c r="S588" i="111"/>
  <c r="S587" i="111"/>
  <c r="S586" i="111"/>
  <c r="S585" i="111"/>
  <c r="S584" i="111"/>
  <c r="S583" i="111"/>
  <c r="S582" i="111"/>
  <c r="S581" i="111"/>
  <c r="S580" i="111"/>
  <c r="S579" i="111"/>
  <c r="S578" i="111"/>
  <c r="S577" i="111"/>
  <c r="S576" i="111"/>
  <c r="S575" i="111"/>
  <c r="S574" i="111"/>
  <c r="S573" i="111"/>
  <c r="S572" i="111"/>
  <c r="S571" i="111"/>
  <c r="S570" i="111"/>
  <c r="S569" i="111"/>
  <c r="S568" i="111"/>
  <c r="S567" i="111"/>
  <c r="S566" i="111"/>
  <c r="S565" i="111"/>
  <c r="S564" i="111"/>
  <c r="S563" i="111"/>
  <c r="S562" i="111"/>
  <c r="S561" i="111"/>
  <c r="S560" i="111"/>
  <c r="S559" i="111"/>
  <c r="S558" i="111"/>
  <c r="S557" i="111"/>
  <c r="S556" i="111"/>
  <c r="S555" i="111"/>
  <c r="S554" i="111"/>
  <c r="S553" i="111"/>
  <c r="S552" i="111"/>
  <c r="S551" i="111"/>
  <c r="S550" i="111"/>
  <c r="S549" i="111"/>
  <c r="S548" i="111"/>
  <c r="S547" i="111"/>
  <c r="S546" i="111"/>
  <c r="S545" i="111"/>
  <c r="S544" i="111"/>
  <c r="S543" i="111"/>
  <c r="S542" i="111"/>
  <c r="S541" i="111"/>
  <c r="S540" i="111"/>
  <c r="S539" i="111"/>
  <c r="S538" i="111"/>
  <c r="S537" i="111"/>
  <c r="S536" i="111"/>
  <c r="S535" i="111"/>
  <c r="S534" i="111"/>
  <c r="S533" i="111"/>
  <c r="S532" i="111"/>
  <c r="S531" i="111"/>
  <c r="S530" i="111"/>
  <c r="S529" i="111"/>
  <c r="S528" i="111"/>
  <c r="S527" i="111"/>
  <c r="S526" i="111"/>
  <c r="S525" i="111"/>
  <c r="S524" i="111"/>
  <c r="S523" i="111"/>
  <c r="S522" i="111"/>
  <c r="S521" i="111"/>
  <c r="S520" i="111"/>
  <c r="S519" i="111"/>
  <c r="S518" i="111"/>
  <c r="S517" i="111"/>
  <c r="S516" i="111"/>
  <c r="S515" i="111"/>
  <c r="S514" i="111"/>
  <c r="S513" i="111"/>
  <c r="S512" i="111"/>
  <c r="S511" i="111"/>
  <c r="S510" i="111"/>
  <c r="S509" i="111"/>
  <c r="S508" i="111"/>
  <c r="S507" i="111"/>
  <c r="S506" i="111"/>
  <c r="S505" i="111"/>
  <c r="S504" i="111"/>
  <c r="S503" i="111"/>
  <c r="S502" i="111"/>
  <c r="S501" i="111"/>
  <c r="S500" i="111"/>
  <c r="S499" i="111"/>
  <c r="S498" i="111"/>
  <c r="S497" i="111"/>
  <c r="S496" i="111"/>
  <c r="S495" i="111"/>
  <c r="S494" i="111"/>
  <c r="S493" i="111"/>
  <c r="S492" i="111"/>
  <c r="S491" i="111"/>
  <c r="S490" i="111"/>
  <c r="S489" i="111"/>
  <c r="S488" i="111"/>
  <c r="S487" i="111"/>
  <c r="S486" i="111"/>
  <c r="S485" i="111"/>
  <c r="S484" i="111"/>
  <c r="S483" i="111"/>
  <c r="S482" i="111"/>
  <c r="S481" i="111"/>
  <c r="S480" i="111"/>
  <c r="S479" i="111"/>
  <c r="S478" i="111"/>
  <c r="S477" i="111"/>
  <c r="S476" i="111"/>
  <c r="S475" i="111"/>
  <c r="S474" i="111"/>
  <c r="S473" i="111"/>
  <c r="S472" i="111"/>
  <c r="S471" i="111"/>
  <c r="S470" i="111"/>
  <c r="S469" i="111"/>
  <c r="S468" i="111"/>
  <c r="S467" i="111"/>
  <c r="S466" i="111"/>
  <c r="S465" i="111"/>
  <c r="S464" i="111"/>
  <c r="S463" i="111"/>
  <c r="S462" i="111"/>
  <c r="S461" i="111"/>
  <c r="S460" i="111"/>
  <c r="S459" i="111"/>
  <c r="S458" i="111"/>
  <c r="S457" i="111"/>
  <c r="S456" i="111"/>
  <c r="S455" i="111"/>
  <c r="S454" i="111"/>
  <c r="S453" i="111"/>
  <c r="S452" i="111"/>
  <c r="S451" i="111"/>
  <c r="S450" i="111"/>
  <c r="S449" i="111"/>
  <c r="S448" i="111"/>
  <c r="S447" i="111"/>
  <c r="S446" i="111"/>
  <c r="S445" i="111"/>
  <c r="S444" i="111"/>
  <c r="S443" i="111"/>
  <c r="S442" i="111"/>
  <c r="S441" i="111"/>
  <c r="S440" i="111"/>
  <c r="S439" i="111"/>
  <c r="S438" i="111"/>
  <c r="S437" i="111"/>
  <c r="S436" i="111"/>
  <c r="S435" i="111"/>
  <c r="S434" i="111"/>
  <c r="S433" i="111"/>
  <c r="S432" i="111"/>
  <c r="S431" i="111"/>
  <c r="S430" i="111"/>
  <c r="S429" i="111"/>
  <c r="S428" i="111"/>
  <c r="S427" i="111"/>
  <c r="S426" i="111"/>
  <c r="S425" i="111"/>
  <c r="S424" i="111"/>
  <c r="S423" i="111"/>
  <c r="S422" i="111"/>
  <c r="S421" i="111"/>
  <c r="S420" i="111"/>
  <c r="S419" i="111"/>
  <c r="S418" i="111"/>
  <c r="S417" i="111"/>
  <c r="S416" i="111"/>
  <c r="S415" i="111"/>
  <c r="S414" i="111"/>
  <c r="S413" i="111"/>
  <c r="S412" i="111"/>
  <c r="S411" i="111"/>
  <c r="S410" i="111"/>
  <c r="S409" i="111"/>
  <c r="S408" i="111"/>
  <c r="S407" i="111"/>
  <c r="S406" i="111"/>
  <c r="S405" i="111"/>
  <c r="S404" i="111"/>
  <c r="S403" i="111"/>
  <c r="S402" i="111"/>
  <c r="S401" i="111"/>
  <c r="S400" i="111"/>
  <c r="S399" i="111"/>
  <c r="S398" i="111"/>
  <c r="S397" i="111"/>
  <c r="S396" i="111"/>
  <c r="S395" i="111"/>
  <c r="S394" i="111"/>
  <c r="S393" i="111"/>
  <c r="S392" i="111"/>
  <c r="S391" i="111"/>
  <c r="S390" i="111"/>
  <c r="S389" i="111"/>
  <c r="S388" i="111"/>
  <c r="S387" i="111"/>
  <c r="S386" i="111"/>
  <c r="S385" i="111"/>
  <c r="S384" i="111"/>
  <c r="S383" i="111"/>
  <c r="S382" i="111"/>
  <c r="S381" i="111"/>
  <c r="S380" i="111"/>
  <c r="S379" i="111"/>
  <c r="S378" i="111"/>
  <c r="S377" i="111"/>
  <c r="S376" i="111"/>
  <c r="S375" i="111"/>
  <c r="S374" i="111"/>
  <c r="S373" i="111"/>
  <c r="S372" i="111"/>
  <c r="S371" i="111"/>
  <c r="S370" i="111"/>
  <c r="S369" i="111"/>
  <c r="S368" i="111"/>
  <c r="S367" i="111"/>
  <c r="S366" i="111"/>
  <c r="S365" i="111"/>
  <c r="S364" i="111"/>
  <c r="S363" i="111"/>
  <c r="S362" i="111"/>
  <c r="S361" i="111"/>
  <c r="S360" i="111"/>
  <c r="S359" i="111"/>
  <c r="S358" i="111"/>
  <c r="S357" i="111"/>
  <c r="S356" i="111"/>
  <c r="S355" i="111"/>
  <c r="S354" i="111"/>
  <c r="S353" i="111"/>
  <c r="S352" i="111"/>
  <c r="S351" i="111"/>
  <c r="S350" i="111"/>
  <c r="S349" i="111"/>
  <c r="S348" i="111"/>
  <c r="S347" i="111"/>
  <c r="S346" i="111"/>
  <c r="S345" i="111"/>
  <c r="S344" i="111"/>
  <c r="S343" i="111"/>
  <c r="S342" i="111"/>
  <c r="S341" i="111"/>
  <c r="S340" i="111"/>
  <c r="S339" i="111"/>
  <c r="S338" i="111"/>
  <c r="S337" i="111"/>
  <c r="S336" i="111"/>
  <c r="S335" i="111"/>
  <c r="S334" i="111"/>
  <c r="S333" i="111"/>
  <c r="S332" i="111"/>
  <c r="S331" i="111"/>
  <c r="S330" i="111"/>
  <c r="S329" i="111"/>
  <c r="S328" i="111"/>
  <c r="S327" i="111"/>
  <c r="S326" i="111"/>
  <c r="S325" i="111"/>
  <c r="S324" i="111"/>
  <c r="S323" i="111"/>
  <c r="S322" i="111"/>
  <c r="S321" i="111"/>
  <c r="S320" i="111"/>
  <c r="S319" i="111"/>
  <c r="S318" i="111"/>
  <c r="S317" i="111"/>
  <c r="S316" i="111"/>
  <c r="S315" i="111"/>
  <c r="S314" i="111"/>
  <c r="S313" i="111"/>
  <c r="S312" i="111"/>
  <c r="S311" i="111"/>
  <c r="S310" i="111"/>
  <c r="S309" i="111"/>
  <c r="S308" i="111"/>
  <c r="S307" i="111"/>
  <c r="S306" i="111"/>
  <c r="S305" i="111"/>
  <c r="S304" i="111"/>
  <c r="S303" i="111"/>
  <c r="S302" i="111"/>
  <c r="S301" i="111"/>
  <c r="S300" i="111"/>
  <c r="S299" i="111"/>
  <c r="S298" i="111"/>
  <c r="S297" i="111"/>
  <c r="S296" i="111"/>
  <c r="S295" i="111"/>
  <c r="S294" i="111"/>
  <c r="S293" i="111"/>
  <c r="S292" i="111"/>
  <c r="S291" i="111"/>
  <c r="S290" i="111"/>
  <c r="S289" i="111"/>
  <c r="S288" i="111"/>
  <c r="S287" i="111"/>
  <c r="S286" i="111"/>
  <c r="S285" i="111"/>
  <c r="S284" i="111"/>
  <c r="S283" i="111"/>
  <c r="S282" i="111"/>
  <c r="S281" i="111"/>
  <c r="S280" i="111"/>
  <c r="S279" i="111"/>
  <c r="S278" i="111"/>
  <c r="S277" i="111"/>
  <c r="S276" i="111"/>
  <c r="S275" i="111"/>
  <c r="S274" i="111"/>
  <c r="S273" i="111"/>
  <c r="S272" i="111"/>
  <c r="S271" i="111"/>
  <c r="S270" i="111"/>
  <c r="S269" i="111"/>
  <c r="S268" i="111"/>
  <c r="S267" i="111"/>
  <c r="S266" i="111"/>
  <c r="S265" i="111"/>
  <c r="S264" i="111"/>
  <c r="S263" i="111"/>
  <c r="S262" i="111"/>
  <c r="S261" i="111"/>
  <c r="S260" i="111"/>
  <c r="S259" i="111"/>
  <c r="S258" i="111"/>
  <c r="S257" i="111"/>
  <c r="S256" i="111"/>
  <c r="S255" i="111"/>
  <c r="S254" i="111"/>
  <c r="S253" i="111"/>
  <c r="S252" i="111"/>
  <c r="S251" i="111"/>
  <c r="S250" i="111"/>
  <c r="S249" i="111"/>
  <c r="S248" i="111"/>
  <c r="S247" i="111"/>
  <c r="S246" i="111"/>
  <c r="S245" i="111"/>
  <c r="S244" i="111"/>
  <c r="S243" i="111"/>
  <c r="S242" i="111"/>
  <c r="S241" i="111"/>
  <c r="S240" i="111"/>
  <c r="S239" i="111"/>
  <c r="S238" i="111"/>
  <c r="S237" i="111"/>
  <c r="S236" i="111"/>
  <c r="S235" i="111"/>
  <c r="S234" i="111"/>
  <c r="S233" i="111"/>
  <c r="S232" i="111"/>
  <c r="S231" i="111"/>
  <c r="S230" i="111"/>
  <c r="S229" i="111"/>
  <c r="S228" i="111"/>
  <c r="S227" i="111"/>
  <c r="S226" i="111"/>
  <c r="S225" i="111"/>
  <c r="S224" i="111"/>
  <c r="S223" i="111"/>
  <c r="S222" i="111"/>
  <c r="S221" i="111"/>
  <c r="S220" i="111"/>
  <c r="S219" i="111"/>
  <c r="S218" i="111"/>
  <c r="S217" i="111"/>
  <c r="S216" i="111"/>
  <c r="S215" i="111"/>
  <c r="S214" i="111"/>
  <c r="S213" i="111"/>
  <c r="S212" i="111"/>
  <c r="S211" i="111"/>
  <c r="S210" i="111"/>
  <c r="S209" i="111"/>
  <c r="S208" i="111"/>
  <c r="S207" i="111"/>
  <c r="S206" i="111"/>
  <c r="S205" i="111"/>
  <c r="S204" i="111"/>
  <c r="S203" i="111"/>
  <c r="S202" i="111"/>
  <c r="S201" i="111"/>
  <c r="S200" i="111"/>
  <c r="S199" i="111"/>
  <c r="S198" i="111"/>
  <c r="S197" i="111"/>
  <c r="S196" i="111"/>
  <c r="S195" i="111"/>
  <c r="S194" i="111"/>
  <c r="S193" i="111"/>
  <c r="S192" i="111"/>
  <c r="S191" i="111"/>
  <c r="S190" i="111"/>
  <c r="S189" i="111"/>
  <c r="S188" i="111"/>
  <c r="S187" i="111"/>
  <c r="S186" i="111"/>
  <c r="S185" i="111"/>
  <c r="S184" i="111"/>
  <c r="S183" i="111"/>
  <c r="S182" i="111"/>
  <c r="S181" i="111"/>
  <c r="S180" i="111"/>
  <c r="S179" i="111"/>
  <c r="S178" i="111"/>
  <c r="S177" i="111"/>
  <c r="S176" i="111"/>
  <c r="S175" i="111"/>
  <c r="S174" i="111"/>
  <c r="S173" i="111"/>
  <c r="S172" i="111"/>
  <c r="S171" i="111"/>
  <c r="S170" i="111"/>
  <c r="S169" i="111"/>
  <c r="S168" i="111"/>
  <c r="S167" i="111"/>
  <c r="S166" i="111"/>
  <c r="S165" i="111"/>
  <c r="S164" i="111"/>
  <c r="S163" i="111"/>
  <c r="S162" i="111"/>
  <c r="S161" i="111"/>
  <c r="S160" i="111"/>
  <c r="S159" i="111"/>
  <c r="S158" i="111"/>
  <c r="S157" i="111"/>
  <c r="S156" i="111"/>
  <c r="S155" i="111"/>
  <c r="S154" i="111"/>
  <c r="S153" i="111"/>
  <c r="S152" i="111"/>
  <c r="S151" i="111"/>
  <c r="S150" i="111"/>
  <c r="S149" i="111"/>
  <c r="S148" i="111"/>
  <c r="S147" i="111"/>
  <c r="S146" i="111"/>
  <c r="S145" i="111"/>
  <c r="S144" i="111"/>
  <c r="S143" i="111"/>
  <c r="S142" i="111"/>
  <c r="S141" i="111"/>
  <c r="S140" i="111"/>
  <c r="S139" i="111"/>
  <c r="S138" i="111"/>
  <c r="S137" i="111"/>
  <c r="S136" i="111"/>
  <c r="S135" i="111"/>
  <c r="S134" i="111"/>
  <c r="S133" i="111"/>
  <c r="S132" i="111"/>
  <c r="S131" i="111"/>
  <c r="S130" i="111"/>
  <c r="S129" i="111"/>
  <c r="S128" i="111"/>
  <c r="S127" i="111"/>
  <c r="S126" i="111"/>
  <c r="S125" i="111"/>
  <c r="S124" i="111"/>
  <c r="S123" i="111"/>
  <c r="S122" i="111"/>
  <c r="S121" i="111"/>
  <c r="S120" i="111"/>
  <c r="S119" i="111"/>
  <c r="S118" i="111"/>
  <c r="S117" i="111"/>
  <c r="S116" i="111"/>
  <c r="S115" i="111"/>
  <c r="S114" i="111"/>
  <c r="S113" i="111"/>
  <c r="S112" i="111"/>
  <c r="S111" i="111"/>
  <c r="S110" i="111"/>
  <c r="S109" i="111"/>
  <c r="S108" i="111"/>
  <c r="S107" i="111"/>
  <c r="S106" i="111"/>
  <c r="S105" i="111"/>
  <c r="S104" i="111"/>
  <c r="S103" i="111"/>
  <c r="S102" i="111"/>
  <c r="S101" i="111"/>
  <c r="S100" i="111"/>
  <c r="S99" i="111"/>
  <c r="S98" i="111"/>
  <c r="S97" i="111"/>
  <c r="S96" i="111"/>
  <c r="S95" i="111"/>
  <c r="S94" i="111"/>
  <c r="S93" i="111"/>
  <c r="S92" i="111"/>
  <c r="S91" i="111"/>
  <c r="S90" i="111"/>
  <c r="S89" i="111"/>
  <c r="S88" i="111"/>
  <c r="S87" i="111"/>
  <c r="S86" i="111"/>
  <c r="S85" i="111"/>
  <c r="S84" i="111"/>
  <c r="S83" i="111"/>
  <c r="S82" i="111"/>
  <c r="S81" i="111"/>
  <c r="S80" i="111"/>
  <c r="S79" i="111"/>
  <c r="S78" i="111"/>
  <c r="S77" i="111"/>
  <c r="S76" i="111"/>
  <c r="S75" i="111"/>
  <c r="S74" i="111"/>
  <c r="S73" i="111"/>
  <c r="S72" i="111"/>
  <c r="S71" i="111"/>
  <c r="S70" i="111"/>
  <c r="S69" i="111"/>
  <c r="S68" i="111"/>
  <c r="S67" i="111"/>
  <c r="S66" i="111"/>
  <c r="S65" i="111"/>
  <c r="S64" i="111"/>
  <c r="S63" i="111"/>
  <c r="S62" i="111"/>
  <c r="S61" i="111"/>
  <c r="S60" i="111"/>
  <c r="S59" i="111"/>
  <c r="S58" i="111"/>
  <c r="S57" i="111"/>
  <c r="S56" i="111"/>
  <c r="S55" i="111"/>
  <c r="S54" i="111"/>
  <c r="S53" i="111"/>
  <c r="S52" i="111"/>
  <c r="S51" i="111"/>
  <c r="S50" i="111"/>
  <c r="S49" i="111"/>
  <c r="S48" i="111"/>
  <c r="S47" i="111"/>
  <c r="S46" i="111"/>
  <c r="S45" i="111"/>
  <c r="S44" i="111"/>
  <c r="S43" i="111"/>
  <c r="S42" i="111"/>
  <c r="S41" i="111"/>
  <c r="S40" i="111"/>
  <c r="S39" i="111"/>
  <c r="S38" i="111"/>
  <c r="S37" i="111"/>
  <c r="S36" i="111"/>
  <c r="S35" i="111"/>
  <c r="S34" i="111"/>
  <c r="S33" i="111"/>
  <c r="AD32" i="111"/>
  <c r="AC32" i="111"/>
  <c r="AA32" i="111"/>
  <c r="Z32" i="111"/>
  <c r="S32" i="111"/>
  <c r="AD31" i="111"/>
  <c r="AC31" i="111"/>
  <c r="AA31" i="111"/>
  <c r="Z31" i="111"/>
  <c r="S31" i="111"/>
  <c r="AD30" i="111"/>
  <c r="AC30" i="111"/>
  <c r="AA30" i="111"/>
  <c r="Z30" i="111"/>
  <c r="S30" i="111"/>
  <c r="AD29" i="111"/>
  <c r="AC29" i="111"/>
  <c r="AA29" i="111"/>
  <c r="Z29" i="111"/>
  <c r="S29" i="111"/>
  <c r="AD28" i="111"/>
  <c r="AC28" i="111"/>
  <c r="AA28" i="111"/>
  <c r="Z28" i="111"/>
  <c r="S28" i="111"/>
  <c r="AD27" i="111"/>
  <c r="AC27" i="111"/>
  <c r="AA27" i="111"/>
  <c r="Z27" i="111"/>
  <c r="S27" i="111"/>
  <c r="AD26" i="111"/>
  <c r="AC26" i="111"/>
  <c r="AA26" i="111"/>
  <c r="Z26" i="111"/>
  <c r="S26" i="111"/>
  <c r="AD25" i="111"/>
  <c r="AC25" i="111"/>
  <c r="AA25" i="111"/>
  <c r="Z25" i="111"/>
  <c r="S25" i="111"/>
  <c r="AD24" i="111"/>
  <c r="AC24" i="111"/>
  <c r="AA24" i="111"/>
  <c r="Z24" i="111"/>
  <c r="S24" i="111"/>
  <c r="AD23" i="111"/>
  <c r="AC23" i="111"/>
  <c r="AA23" i="111"/>
  <c r="Z23" i="111"/>
  <c r="S23" i="111"/>
  <c r="AD22" i="111"/>
  <c r="AC22" i="111"/>
  <c r="AA22" i="111"/>
  <c r="Z22" i="111"/>
  <c r="S22" i="111"/>
  <c r="AD21" i="111"/>
  <c r="AC21" i="111"/>
  <c r="AA21" i="111"/>
  <c r="Z21" i="111"/>
  <c r="S21" i="111"/>
  <c r="AD20" i="111"/>
  <c r="AC20" i="111"/>
  <c r="AA20" i="111"/>
  <c r="Z20" i="111"/>
  <c r="S20" i="111"/>
  <c r="AD19" i="111"/>
  <c r="AC19" i="111"/>
  <c r="AA19" i="111"/>
  <c r="Z19" i="111"/>
  <c r="S19" i="111"/>
  <c r="AD18" i="111"/>
  <c r="AC18" i="111"/>
  <c r="AA18" i="111"/>
  <c r="Z18" i="111"/>
  <c r="S18" i="111"/>
  <c r="AD17" i="111"/>
  <c r="AC17" i="111"/>
  <c r="AA17" i="111"/>
  <c r="Z17" i="111"/>
  <c r="S17" i="111"/>
  <c r="AD16" i="111"/>
  <c r="AC16" i="111"/>
  <c r="AA16" i="111"/>
  <c r="Z16" i="111"/>
  <c r="S16" i="111"/>
  <c r="AD15" i="111"/>
  <c r="AC15" i="111"/>
  <c r="AA15" i="111"/>
  <c r="Z15" i="111"/>
  <c r="S15" i="111"/>
  <c r="AD14" i="111"/>
  <c r="AC14" i="111"/>
  <c r="AA14" i="111"/>
  <c r="Z14" i="111"/>
  <c r="S14" i="111"/>
  <c r="S13" i="111"/>
  <c r="S12" i="111"/>
  <c r="S11" i="111"/>
  <c r="U10" i="111" a="1"/>
  <c r="S10" i="111"/>
  <c r="S9" i="111"/>
  <c r="T8" i="111"/>
  <c r="S8" i="111"/>
  <c r="T7" i="111"/>
  <c r="S7" i="111"/>
  <c r="S6" i="111"/>
  <c r="S5" i="111"/>
  <c r="AB4" i="111"/>
  <c r="S4" i="111"/>
  <c r="S3" i="111"/>
  <c r="C3" i="111"/>
  <c r="DO137" i="6"/>
  <c r="DM137" i="6"/>
  <c r="DO136" i="6"/>
  <c r="DM136" i="6"/>
  <c r="DO135" i="6"/>
  <c r="DM135" i="6"/>
  <c r="DO134" i="6"/>
  <c r="DM134" i="6"/>
  <c r="DO133" i="6"/>
  <c r="DM133" i="6"/>
  <c r="DO132" i="6"/>
  <c r="DM132" i="6"/>
  <c r="DO131" i="6"/>
  <c r="DM131" i="6"/>
  <c r="DO130" i="6"/>
  <c r="DM130" i="6"/>
  <c r="DO129" i="6"/>
  <c r="DM129" i="6"/>
  <c r="DO128" i="6"/>
  <c r="DM128" i="6"/>
  <c r="DO127" i="6"/>
  <c r="DM127" i="6"/>
  <c r="DO126" i="6"/>
  <c r="DM126" i="6"/>
  <c r="DO125" i="6"/>
  <c r="DM125" i="6"/>
  <c r="DO124" i="6"/>
  <c r="DM124" i="6"/>
  <c r="DO123" i="6"/>
  <c r="DM123" i="6"/>
  <c r="DO122" i="6"/>
  <c r="DM122" i="6"/>
  <c r="DO121" i="6"/>
  <c r="DM121" i="6"/>
  <c r="DO120" i="6"/>
  <c r="DM120" i="6"/>
  <c r="DO119" i="6"/>
  <c r="DM119" i="6"/>
  <c r="DO118" i="6"/>
  <c r="DM118" i="6"/>
  <c r="DO117" i="6"/>
  <c r="DM117" i="6"/>
  <c r="DO116" i="6"/>
  <c r="DM116" i="6"/>
  <c r="DO115" i="6"/>
  <c r="DM115" i="6"/>
  <c r="DO114" i="6"/>
  <c r="DM114" i="6"/>
  <c r="DO113" i="6"/>
  <c r="DM113" i="6"/>
  <c r="DO112" i="6"/>
  <c r="DM112" i="6"/>
  <c r="DO111" i="6"/>
  <c r="DM111" i="6"/>
  <c r="DO110" i="6"/>
  <c r="DM110" i="6"/>
  <c r="DO109" i="6"/>
  <c r="DM109" i="6"/>
  <c r="DO108" i="6"/>
  <c r="DM108" i="6"/>
  <c r="DO107" i="6"/>
  <c r="DM107" i="6"/>
  <c r="DO106" i="6"/>
  <c r="DM106" i="6"/>
  <c r="H97" i="6"/>
  <c r="B97" i="6"/>
  <c r="H96" i="6"/>
  <c r="B96" i="6"/>
  <c r="H95" i="6"/>
  <c r="B95" i="6"/>
  <c r="H94" i="6"/>
  <c r="B94" i="6"/>
  <c r="H93" i="6"/>
  <c r="B93" i="6"/>
  <c r="H92" i="6"/>
  <c r="B92" i="6"/>
  <c r="H91" i="6"/>
  <c r="B91" i="6"/>
  <c r="H90" i="6"/>
  <c r="B90" i="6"/>
  <c r="CV52" i="6" s="1"/>
  <c r="H73" i="6"/>
  <c r="H72" i="6"/>
  <c r="H71" i="6"/>
  <c r="J70" i="6"/>
  <c r="I70" i="6"/>
  <c r="H70" i="6"/>
  <c r="J69" i="6"/>
  <c r="H69" i="6"/>
  <c r="I68" i="6"/>
  <c r="I67" i="6"/>
  <c r="I66" i="6"/>
  <c r="I65" i="6"/>
  <c r="I64" i="6"/>
  <c r="I63" i="6"/>
  <c r="I62" i="6"/>
  <c r="I61" i="6"/>
  <c r="I60" i="6"/>
  <c r="I59" i="6"/>
  <c r="I58" i="6"/>
  <c r="I57" i="6"/>
  <c r="I56" i="6"/>
  <c r="I55" i="6"/>
  <c r="GK54" i="6"/>
  <c r="I54" i="6"/>
  <c r="GK53" i="6"/>
  <c r="I53" i="6"/>
  <c r="GK52" i="6"/>
  <c r="H52" i="6"/>
  <c r="GK51" i="6"/>
  <c r="H51" i="6"/>
  <c r="GK50" i="6"/>
  <c r="H50" i="6"/>
  <c r="GK49" i="6"/>
  <c r="H49" i="6"/>
  <c r="GK48" i="6"/>
  <c r="H48" i="6"/>
  <c r="GK47" i="6"/>
  <c r="H47" i="6"/>
  <c r="GK46" i="6"/>
  <c r="H46" i="6"/>
  <c r="GK45" i="6"/>
  <c r="H45" i="6"/>
  <c r="GK44" i="6"/>
  <c r="H44" i="6"/>
  <c r="GK43" i="6"/>
  <c r="H43" i="6"/>
  <c r="GK42" i="6"/>
  <c r="H42" i="6"/>
  <c r="GK41" i="6"/>
  <c r="H41" i="6"/>
  <c r="GK40" i="6"/>
  <c r="H40" i="6"/>
  <c r="GK39" i="6"/>
  <c r="H39" i="6"/>
  <c r="GK38" i="6"/>
  <c r="H38" i="6"/>
  <c r="GK37" i="6"/>
  <c r="H37" i="6"/>
  <c r="GK36" i="6"/>
  <c r="I36" i="6"/>
  <c r="GK35" i="6"/>
  <c r="I35" i="6"/>
  <c r="GK34" i="6"/>
  <c r="I34" i="6"/>
  <c r="GK33" i="6"/>
  <c r="I33" i="6"/>
  <c r="GK32" i="6"/>
  <c r="I32" i="6"/>
  <c r="GK31" i="6"/>
  <c r="I31" i="6"/>
  <c r="GK30" i="6"/>
  <c r="I30" i="6"/>
  <c r="GK29" i="6"/>
  <c r="I29" i="6"/>
  <c r="GK28" i="6"/>
  <c r="I28" i="6"/>
  <c r="GK27" i="6"/>
  <c r="I27" i="6"/>
  <c r="GK26" i="6"/>
  <c r="I26" i="6"/>
  <c r="GK25" i="6"/>
  <c r="I25" i="6"/>
  <c r="GK24" i="6"/>
  <c r="I24" i="6"/>
  <c r="GK23" i="6"/>
  <c r="I23" i="6"/>
  <c r="I22" i="6"/>
  <c r="GK21" i="6"/>
  <c r="I21" i="6"/>
  <c r="GK20" i="6"/>
  <c r="H20" i="6"/>
  <c r="GK19" i="6"/>
  <c r="L22" i="6"/>
  <c r="H19" i="6"/>
  <c r="GK18" i="6"/>
  <c r="H18" i="6"/>
  <c r="GK17" i="6"/>
  <c r="L20" i="6"/>
  <c r="H17" i="6"/>
  <c r="GK16" i="6"/>
  <c r="H16" i="6"/>
  <c r="GK15" i="6"/>
  <c r="L18" i="6"/>
  <c r="H15" i="6"/>
  <c r="GK14" i="6"/>
  <c r="H14" i="6"/>
  <c r="GK13" i="6"/>
  <c r="H13" i="6"/>
  <c r="GK12" i="6"/>
  <c r="H12" i="6"/>
  <c r="GK11" i="6"/>
  <c r="H11" i="6"/>
  <c r="GK10" i="6"/>
  <c r="H10" i="6"/>
  <c r="GK9" i="6"/>
  <c r="H9" i="6"/>
  <c r="GK8" i="6"/>
  <c r="H8" i="6"/>
  <c r="GK7" i="6"/>
  <c r="H7" i="6"/>
  <c r="GK6" i="6"/>
  <c r="H6" i="6"/>
  <c r="H5" i="6"/>
  <c r="M3" i="6"/>
  <c r="Z132" i="6" s="1"/>
  <c r="R14" i="78"/>
  <c r="O14" i="78"/>
  <c r="N14" i="78"/>
  <c r="M14" i="78"/>
  <c r="L14" i="78"/>
  <c r="R13" i="78"/>
  <c r="O13" i="78"/>
  <c r="N13" i="78"/>
  <c r="M13" i="78"/>
  <c r="L13" i="78"/>
  <c r="R12" i="78"/>
  <c r="O12" i="78"/>
  <c r="N12" i="78"/>
  <c r="M12" i="78"/>
  <c r="L12" i="78"/>
  <c r="R11" i="78"/>
  <c r="O11" i="78"/>
  <c r="N11" i="78"/>
  <c r="M11" i="78"/>
  <c r="L11" i="78"/>
  <c r="R10" i="78"/>
  <c r="I10" i="78"/>
  <c r="H10" i="78"/>
  <c r="D10" i="78"/>
  <c r="C10" i="78"/>
  <c r="R9" i="78"/>
  <c r="I9" i="78"/>
  <c r="H9" i="78"/>
  <c r="D9" i="78"/>
  <c r="C9" i="78"/>
  <c r="R8" i="78"/>
  <c r="I8" i="78"/>
  <c r="H8" i="78"/>
  <c r="D8" i="78"/>
  <c r="C8" i="78"/>
  <c r="R7" i="78"/>
  <c r="I7" i="78"/>
  <c r="H7" i="78"/>
  <c r="D7" i="78"/>
  <c r="C7" i="78"/>
  <c r="I5" i="78"/>
  <c r="D5" i="78"/>
  <c r="R4" i="78"/>
  <c r="J4" i="78"/>
  <c r="E4" i="78"/>
  <c r="HO3" i="73"/>
  <c r="HJ3" i="73"/>
  <c r="HE3" i="73"/>
  <c r="GZ3" i="73"/>
  <c r="GU3" i="73"/>
  <c r="GP3" i="73"/>
  <c r="GK3" i="73"/>
  <c r="GF3" i="73"/>
  <c r="GA3" i="73"/>
  <c r="FV3" i="73"/>
  <c r="FQ3" i="73"/>
  <c r="FL3" i="73"/>
  <c r="FG3" i="73"/>
  <c r="FB3" i="73"/>
  <c r="EW3" i="73"/>
  <c r="ER3" i="73"/>
  <c r="EM3" i="73"/>
  <c r="EH3" i="73"/>
  <c r="EC3" i="73"/>
  <c r="DX3" i="73"/>
  <c r="DS3" i="73" a="1"/>
  <c r="DS3" i="73" s="1"/>
  <c r="DN3" i="73"/>
  <c r="DI3" i="73"/>
  <c r="DD3" i="73"/>
  <c r="CY3" i="73"/>
  <c r="CT3" i="73"/>
  <c r="CO3" i="73"/>
  <c r="CJ3" i="73"/>
  <c r="CE3" i="73" a="1"/>
  <c r="CE3" i="73" s="1"/>
  <c r="BZ3" i="73"/>
  <c r="BU3" i="73"/>
  <c r="BP3" i="73"/>
  <c r="BK3" i="73"/>
  <c r="BF3" i="73"/>
  <c r="BA3" i="73"/>
  <c r="AV3" i="73"/>
  <c r="AQ3" i="73" a="1"/>
  <c r="AQ3" i="73" s="1"/>
  <c r="AL3" i="73"/>
  <c r="AG3" i="73"/>
  <c r="AB3" i="73"/>
  <c r="W3" i="73"/>
  <c r="R3" i="73"/>
  <c r="M3" i="73"/>
  <c r="H3" i="73"/>
  <c r="C3" i="73" a="1"/>
  <c r="C3" i="73" s="1"/>
  <c r="BD28" i="520"/>
  <c r="BB28" i="520"/>
  <c r="BA28" i="520" a="1"/>
  <c r="BA28" i="520" s="1"/>
  <c r="BD27" i="520"/>
  <c r="BB27" i="520"/>
  <c r="BA27" i="520" a="1"/>
  <c r="BA27" i="520" s="1"/>
  <c r="BD26" i="520"/>
  <c r="BB26" i="520"/>
  <c r="BA26" i="520" a="1"/>
  <c r="BA26" i="520" s="1"/>
  <c r="BD25" i="520"/>
  <c r="BB25" i="520"/>
  <c r="BA25" i="520" a="1"/>
  <c r="BA25" i="520" s="1"/>
  <c r="BD24" i="520"/>
  <c r="BB24" i="520"/>
  <c r="BA24" i="520" a="1"/>
  <c r="BA24" i="520" s="1"/>
  <c r="BD23" i="520"/>
  <c r="BB23" i="520"/>
  <c r="BA23" i="520" a="1"/>
  <c r="BA23" i="520" s="1"/>
  <c r="BD22" i="520"/>
  <c r="BB22" i="520"/>
  <c r="BA22" i="520" a="1"/>
  <c r="BA22" i="520" s="1"/>
  <c r="BD21" i="520"/>
  <c r="BB21" i="520"/>
  <c r="BA21" i="520" a="1"/>
  <c r="BA21" i="520" s="1"/>
  <c r="BD20" i="520"/>
  <c r="BB20" i="520"/>
  <c r="BA20" i="520" a="1"/>
  <c r="BA20" i="520" s="1"/>
  <c r="BD19" i="520"/>
  <c r="BB19" i="520"/>
  <c r="BA19" i="520" a="1"/>
  <c r="BA19" i="520" s="1"/>
  <c r="BD18" i="520"/>
  <c r="BB18" i="520"/>
  <c r="BA18" i="520" a="1"/>
  <c r="BA18" i="520" s="1"/>
  <c r="BD17" i="520"/>
  <c r="BB17" i="520"/>
  <c r="BA17" i="520" a="1"/>
  <c r="BA17" i="520" s="1"/>
  <c r="BD16" i="520"/>
  <c r="BB16" i="520"/>
  <c r="BA16" i="520" a="1"/>
  <c r="BA16" i="520" s="1"/>
  <c r="BD15" i="520"/>
  <c r="BB15" i="520"/>
  <c r="BA15" i="520" a="1"/>
  <c r="BA15" i="520" s="1"/>
  <c r="BD14" i="520"/>
  <c r="BB14" i="520"/>
  <c r="BA14" i="520" a="1"/>
  <c r="BA14" i="520" s="1"/>
  <c r="BD13" i="520"/>
  <c r="BB13" i="520"/>
  <c r="BA13" i="520" a="1"/>
  <c r="BA13" i="520" s="1"/>
  <c r="BD11" i="520"/>
  <c r="BB11" i="520"/>
  <c r="BA11" i="520" a="1"/>
  <c r="BA11" i="520" s="1"/>
  <c r="BD10" i="520"/>
  <c r="BB10" i="520"/>
  <c r="BA10" i="520" a="1"/>
  <c r="BA10" i="520" s="1"/>
  <c r="BD9" i="520"/>
  <c r="BB9" i="520"/>
  <c r="BA9" i="520" a="1"/>
  <c r="BA9" i="520" s="1"/>
  <c r="BD8" i="520"/>
  <c r="BB8" i="520"/>
  <c r="BA8" i="520" a="1"/>
  <c r="BA8" i="520" s="1"/>
  <c r="BD7" i="520"/>
  <c r="BB7" i="520"/>
  <c r="BA7" i="520" a="1"/>
  <c r="BA7" i="520" s="1"/>
  <c r="BD6" i="520"/>
  <c r="BB6" i="520"/>
  <c r="BA6" i="520" a="1"/>
  <c r="BA6" i="520" s="1"/>
  <c r="BD5" i="520"/>
  <c r="BB5" i="520"/>
  <c r="BA5" i="520" a="1"/>
  <c r="BA5" i="520" s="1"/>
  <c r="VK2" i="520"/>
  <c r="VG2" i="520"/>
  <c r="VC2" i="520"/>
  <c r="UY2" i="520"/>
  <c r="UI2" i="520"/>
  <c r="TS2" i="520"/>
  <c r="TC2" i="520"/>
  <c r="SM2" i="520"/>
  <c r="RW2" i="520"/>
  <c r="RG2" i="520"/>
  <c r="QQ2" i="520"/>
  <c r="QA2" i="520"/>
  <c r="PK2" i="520"/>
  <c r="OU2" i="520"/>
  <c r="OE2" i="520"/>
  <c r="NO2" i="520"/>
  <c r="MY2" i="520"/>
  <c r="MI2" i="520"/>
  <c r="LS2" i="520"/>
  <c r="LC2" i="520"/>
  <c r="KM2" i="520"/>
  <c r="JW2" i="520"/>
  <c r="JG2" i="520"/>
  <c r="IQ2" i="520"/>
  <c r="IA2" i="520"/>
  <c r="HK2" i="520"/>
  <c r="GU2" i="520"/>
  <c r="GE2" i="520"/>
  <c r="BE1" i="520"/>
  <c r="BD1" i="520"/>
  <c r="BC1" i="520"/>
  <c r="AK1" i="520"/>
  <c r="AC1" i="520"/>
  <c r="U1" i="520"/>
  <c r="M1" i="520"/>
  <c r="D1" i="520"/>
  <c r="HT3" i="74"/>
  <c r="HS3" i="74"/>
  <c r="HM3" i="74"/>
  <c r="HL3" i="74"/>
  <c r="HF3" i="74"/>
  <c r="HE3" i="74"/>
  <c r="GY3" i="74"/>
  <c r="GX3" i="74"/>
  <c r="GR3" i="74"/>
  <c r="GQ3" i="74"/>
  <c r="GK3" i="74"/>
  <c r="GJ3" i="74"/>
  <c r="GD3" i="74"/>
  <c r="GC3" i="74"/>
  <c r="FW3" i="74"/>
  <c r="FV3" i="74"/>
  <c r="FP3" i="74"/>
  <c r="FO3" i="74"/>
  <c r="FI3" i="74"/>
  <c r="FH3" i="74"/>
  <c r="FB3" i="74"/>
  <c r="FA3" i="74"/>
  <c r="EU3" i="74"/>
  <c r="ET3" i="74"/>
  <c r="EN3" i="74"/>
  <c r="EM3" i="74"/>
  <c r="EG3" i="74"/>
  <c r="EF3" i="74"/>
  <c r="DZ3" i="74"/>
  <c r="DY3" i="74"/>
  <c r="DS3" i="74"/>
  <c r="DR3" i="74"/>
  <c r="DL3" i="74"/>
  <c r="DK3" i="74"/>
  <c r="DE3" i="74"/>
  <c r="DD3" i="74"/>
  <c r="CX3" i="74"/>
  <c r="CW3" i="74"/>
  <c r="CQ3" i="74"/>
  <c r="CP3" i="74"/>
  <c r="CJ3" i="74"/>
  <c r="CI3" i="74"/>
  <c r="CC3" i="74"/>
  <c r="CB3" i="74"/>
  <c r="BV3" i="74"/>
  <c r="BU3" i="74"/>
  <c r="BO3" i="74"/>
  <c r="BN3" i="74"/>
  <c r="BH3" i="74"/>
  <c r="BG3" i="74"/>
  <c r="BA3" i="74"/>
  <c r="AZ3" i="74"/>
  <c r="AT3" i="74"/>
  <c r="AS3" i="74"/>
  <c r="AM3" i="74"/>
  <c r="AL3" i="74"/>
  <c r="AF3" i="74"/>
  <c r="AE3" i="74"/>
  <c r="Y3" i="74"/>
  <c r="X3" i="74"/>
  <c r="R3" i="74"/>
  <c r="Q3" i="74"/>
  <c r="K3" i="74"/>
  <c r="J3" i="74"/>
  <c r="D3" i="74"/>
  <c r="C3" i="74"/>
  <c r="AG49" i="8"/>
  <c r="AF49" i="8"/>
  <c r="AE49" i="8"/>
  <c r="AD49" i="8"/>
  <c r="AC49" i="8"/>
  <c r="AB49" i="8"/>
  <c r="AG48" i="8"/>
  <c r="AF48" i="8"/>
  <c r="AE48" i="8"/>
  <c r="AD48" i="8"/>
  <c r="AC48" i="8"/>
  <c r="AB48" i="8"/>
  <c r="AG47" i="8"/>
  <c r="AF47" i="8"/>
  <c r="AE47" i="8"/>
  <c r="AD47" i="8"/>
  <c r="AC47" i="8"/>
  <c r="AB47" i="8"/>
  <c r="AG46" i="8"/>
  <c r="AF46" i="8"/>
  <c r="AE46" i="8"/>
  <c r="AD46" i="8"/>
  <c r="AC46" i="8"/>
  <c r="AB46" i="8"/>
  <c r="AG45" i="8"/>
  <c r="AF45" i="8"/>
  <c r="AE45" i="8"/>
  <c r="AD45" i="8"/>
  <c r="AC45" i="8"/>
  <c r="AB45" i="8"/>
  <c r="AG44" i="8"/>
  <c r="AF44" i="8"/>
  <c r="AE44" i="8"/>
  <c r="AD44" i="8"/>
  <c r="AC44" i="8"/>
  <c r="AB44" i="8"/>
  <c r="AG43" i="8"/>
  <c r="AF43" i="8"/>
  <c r="AE43" i="8"/>
  <c r="AD43" i="8"/>
  <c r="AC43" i="8"/>
  <c r="AB43" i="8"/>
  <c r="AG42" i="8"/>
  <c r="AF42" i="8"/>
  <c r="AE42" i="8"/>
  <c r="AD42" i="8"/>
  <c r="AC42" i="8"/>
  <c r="AB42" i="8"/>
  <c r="AG41" i="8"/>
  <c r="AF41" i="8"/>
  <c r="AE41" i="8"/>
  <c r="AD41" i="8"/>
  <c r="AC41" i="8"/>
  <c r="AB41" i="8"/>
  <c r="AG40" i="8"/>
  <c r="AF40" i="8"/>
  <c r="AE40" i="8"/>
  <c r="AD40" i="8"/>
  <c r="AC40" i="8"/>
  <c r="AB40" i="8"/>
  <c r="AG39" i="8"/>
  <c r="AF39" i="8"/>
  <c r="AE39" i="8"/>
  <c r="AD39" i="8"/>
  <c r="AC39" i="8"/>
  <c r="AB39" i="8"/>
  <c r="AG38" i="8"/>
  <c r="AF38" i="8"/>
  <c r="AE38" i="8"/>
  <c r="AD38" i="8"/>
  <c r="AC38" i="8"/>
  <c r="AB38" i="8"/>
  <c r="AG37" i="8"/>
  <c r="AF37" i="8"/>
  <c r="AE37" i="8"/>
  <c r="AD37" i="8"/>
  <c r="AC37" i="8"/>
  <c r="AB37" i="8"/>
  <c r="AG36" i="8"/>
  <c r="AF36" i="8"/>
  <c r="AE36" i="8"/>
  <c r="AD36" i="8"/>
  <c r="AC36" i="8"/>
  <c r="AB36" i="8"/>
  <c r="AG35" i="8"/>
  <c r="AF35" i="8"/>
  <c r="AE35" i="8"/>
  <c r="AD35" i="8"/>
  <c r="AC35" i="8"/>
  <c r="AB35" i="8"/>
  <c r="AG34" i="8"/>
  <c r="AF34" i="8"/>
  <c r="AE34" i="8"/>
  <c r="AD34" i="8"/>
  <c r="AC34" i="8"/>
  <c r="AB34" i="8"/>
  <c r="AG33" i="8"/>
  <c r="AF33" i="8"/>
  <c r="AE33" i="8"/>
  <c r="AD33" i="8"/>
  <c r="AC33" i="8"/>
  <c r="AB33" i="8"/>
  <c r="AG32" i="8"/>
  <c r="AF32" i="8"/>
  <c r="AE32" i="8"/>
  <c r="AD32" i="8"/>
  <c r="AC32" i="8"/>
  <c r="AB32" i="8"/>
  <c r="AG31" i="8"/>
  <c r="AF31" i="8"/>
  <c r="AE31" i="8"/>
  <c r="AD31" i="8"/>
  <c r="AC31" i="8"/>
  <c r="AB31" i="8"/>
  <c r="AG30" i="8"/>
  <c r="AF30" i="8"/>
  <c r="AE30" i="8"/>
  <c r="AD30" i="8"/>
  <c r="AC30" i="8"/>
  <c r="AB30" i="8"/>
  <c r="AG29" i="8"/>
  <c r="AF29" i="8"/>
  <c r="AE29" i="8"/>
  <c r="AD29" i="8"/>
  <c r="AC29" i="8"/>
  <c r="AB29" i="8"/>
  <c r="AG28" i="8"/>
  <c r="AF28" i="8"/>
  <c r="AE28" i="8"/>
  <c r="AD28" i="8"/>
  <c r="AC28" i="8"/>
  <c r="AB28" i="8"/>
  <c r="AG27" i="8"/>
  <c r="AF27" i="8"/>
  <c r="AE27" i="8"/>
  <c r="AD27" i="8"/>
  <c r="AC27" i="8"/>
  <c r="AB27" i="8"/>
  <c r="AG26" i="8"/>
  <c r="AF26" i="8"/>
  <c r="AE26" i="8"/>
  <c r="AD26" i="8"/>
  <c r="AC26" i="8"/>
  <c r="AB26" i="8"/>
  <c r="AG25" i="8"/>
  <c r="AF25" i="8"/>
  <c r="AE25" i="8"/>
  <c r="AD25" i="8"/>
  <c r="AC25" i="8"/>
  <c r="AB25" i="8"/>
  <c r="AG24" i="8"/>
  <c r="AF24" i="8"/>
  <c r="AE24" i="8"/>
  <c r="AD24" i="8"/>
  <c r="AC24" i="8"/>
  <c r="AB24" i="8"/>
  <c r="AG23" i="8"/>
  <c r="AF23" i="8"/>
  <c r="AE23" i="8"/>
  <c r="AD23" i="8"/>
  <c r="AC23" i="8"/>
  <c r="AB23" i="8"/>
  <c r="AG22" i="8"/>
  <c r="AF22" i="8"/>
  <c r="AE22" i="8"/>
  <c r="AD22" i="8"/>
  <c r="AC22" i="8"/>
  <c r="AB22" i="8"/>
  <c r="AG21" i="8"/>
  <c r="AF21" i="8"/>
  <c r="AE21" i="8"/>
  <c r="AD21" i="8"/>
  <c r="AC21" i="8"/>
  <c r="AB21" i="8"/>
  <c r="AG20" i="8"/>
  <c r="AF20" i="8"/>
  <c r="AE20" i="8"/>
  <c r="AD20" i="8"/>
  <c r="AC20" i="8"/>
  <c r="AB20" i="8"/>
  <c r="AG19" i="8"/>
  <c r="AF19" i="8"/>
  <c r="AE19" i="8"/>
  <c r="AD19" i="8"/>
  <c r="AC19" i="8"/>
  <c r="AB19" i="8"/>
  <c r="AG18" i="8"/>
  <c r="AF18" i="8"/>
  <c r="AE18" i="8"/>
  <c r="AD18" i="8"/>
  <c r="AC18" i="8"/>
  <c r="AB18" i="8"/>
  <c r="AG17" i="8"/>
  <c r="AF17" i="8"/>
  <c r="AE17" i="8"/>
  <c r="AD17" i="8"/>
  <c r="AC17" i="8"/>
  <c r="AB17" i="8"/>
  <c r="AG16" i="8"/>
  <c r="AF16" i="8"/>
  <c r="AE16" i="8"/>
  <c r="AD16" i="8"/>
  <c r="AC16" i="8"/>
  <c r="AB16" i="8"/>
  <c r="AG15" i="8"/>
  <c r="AF15" i="8"/>
  <c r="AE15" i="8"/>
  <c r="AD15" i="8"/>
  <c r="AC15" i="8"/>
  <c r="AB15" i="8"/>
  <c r="AG14" i="8"/>
  <c r="AF14" i="8"/>
  <c r="AE14" i="8"/>
  <c r="AD14" i="8"/>
  <c r="AC14" i="8"/>
  <c r="AB14" i="8"/>
  <c r="AG13" i="8"/>
  <c r="AF13" i="8"/>
  <c r="AE13" i="8"/>
  <c r="AD13" i="8"/>
  <c r="AC13" i="8"/>
  <c r="AB13" i="8"/>
  <c r="AG12" i="8"/>
  <c r="AF12" i="8"/>
  <c r="AE12" i="8"/>
  <c r="AD12" i="8"/>
  <c r="AC12" i="8"/>
  <c r="AB12" i="8"/>
  <c r="AG11" i="8"/>
  <c r="AF11" i="8"/>
  <c r="AD11" i="8"/>
  <c r="AE11" i="8" s="1"/>
  <c r="AC11" i="8"/>
  <c r="AB11" i="8"/>
  <c r="AG10" i="8"/>
  <c r="AF10" i="8"/>
  <c r="AE10" i="8"/>
  <c r="AD10" i="8"/>
  <c r="AC10" i="8"/>
  <c r="AB10" i="8"/>
  <c r="AG9" i="8"/>
  <c r="AF9" i="8"/>
  <c r="AE9" i="8"/>
  <c r="AD9" i="8"/>
  <c r="AC9" i="8"/>
  <c r="AB9" i="8"/>
  <c r="AG8" i="8"/>
  <c r="AF8" i="8"/>
  <c r="AD8" i="8"/>
  <c r="AC8" i="8"/>
  <c r="AB8" i="8"/>
  <c r="AG7" i="8"/>
  <c r="AF7" i="8"/>
  <c r="AD7" i="8"/>
  <c r="AC7" i="8"/>
  <c r="AB7" i="8"/>
  <c r="AQ6" i="8"/>
  <c r="AG6" i="8"/>
  <c r="AF6" i="8"/>
  <c r="AD6" i="8"/>
  <c r="AC6" i="8"/>
  <c r="AB6" i="8"/>
  <c r="X3" i="8"/>
  <c r="AZ71" i="1"/>
  <c r="BD71" i="1" s="1"/>
  <c r="AY71" i="1"/>
  <c r="BC71" i="1" s="1"/>
  <c r="AX71" i="1"/>
  <c r="BB71" i="1" s="1"/>
  <c r="AW71" i="1"/>
  <c r="BA71" i="1" s="1"/>
  <c r="AM71" i="1"/>
  <c r="K71" i="1"/>
  <c r="S71" i="1" s="1"/>
  <c r="AZ70" i="1"/>
  <c r="BD70" i="1" s="1"/>
  <c r="AY70" i="1"/>
  <c r="BC70" i="1" s="1"/>
  <c r="AX70" i="1"/>
  <c r="BB70" i="1" s="1"/>
  <c r="AW70" i="1"/>
  <c r="BA70" i="1" s="1"/>
  <c r="AM70" i="1"/>
  <c r="K70" i="1"/>
  <c r="S70" i="1" s="1"/>
  <c r="AZ69" i="1"/>
  <c r="BD69" i="1" s="1"/>
  <c r="AY69" i="1"/>
  <c r="BC69" i="1" s="1"/>
  <c r="AX69" i="1"/>
  <c r="BB69" i="1" s="1"/>
  <c r="AW69" i="1"/>
  <c r="BA69" i="1" s="1"/>
  <c r="AM69" i="1"/>
  <c r="K69" i="1"/>
  <c r="S69" i="1" s="1"/>
  <c r="AZ68" i="1"/>
  <c r="BD68" i="1" s="1"/>
  <c r="AY68" i="1"/>
  <c r="BC68" i="1" s="1"/>
  <c r="AX68" i="1"/>
  <c r="BB68" i="1" s="1"/>
  <c r="AW68" i="1"/>
  <c r="BA68" i="1" s="1"/>
  <c r="AM68" i="1"/>
  <c r="K68" i="1"/>
  <c r="P68" i="1" s="1"/>
  <c r="AZ67" i="1"/>
  <c r="BD67" i="1" s="1"/>
  <c r="AY67" i="1"/>
  <c r="BC67" i="1" s="1"/>
  <c r="AX67" i="1"/>
  <c r="BB67" i="1" s="1"/>
  <c r="AW67" i="1"/>
  <c r="BA67" i="1" s="1"/>
  <c r="AM67" i="1"/>
  <c r="K67" i="1"/>
  <c r="S67" i="1" s="1"/>
  <c r="AZ66" i="1"/>
  <c r="BD66" i="1" s="1"/>
  <c r="AY66" i="1"/>
  <c r="BC66" i="1" s="1"/>
  <c r="AX66" i="1"/>
  <c r="BB66" i="1" s="1"/>
  <c r="AW66" i="1"/>
  <c r="BA66" i="1" s="1"/>
  <c r="AM66" i="1"/>
  <c r="K66" i="1"/>
  <c r="Q66" i="1" s="1" a="1"/>
  <c r="Q66" i="1" s="1"/>
  <c r="AZ65" i="1"/>
  <c r="BD65" i="1" s="1"/>
  <c r="AY65" i="1"/>
  <c r="BC65" i="1" s="1"/>
  <c r="AX65" i="1"/>
  <c r="BB65" i="1" s="1"/>
  <c r="AW65" i="1"/>
  <c r="BA65" i="1" s="1"/>
  <c r="AM65" i="1"/>
  <c r="K65" i="1"/>
  <c r="M65" i="1" s="1"/>
  <c r="AZ64" i="1"/>
  <c r="BD64" i="1" s="1"/>
  <c r="AY64" i="1"/>
  <c r="BC64" i="1" s="1"/>
  <c r="AX64" i="1"/>
  <c r="BB64" i="1" s="1"/>
  <c r="AW64" i="1"/>
  <c r="BA64" i="1" s="1"/>
  <c r="AM64" i="1"/>
  <c r="K64" i="1"/>
  <c r="S64" i="1" s="1"/>
  <c r="AZ63" i="1"/>
  <c r="BD63" i="1" s="1"/>
  <c r="AY63" i="1"/>
  <c r="BC63" i="1" s="1"/>
  <c r="AX63" i="1"/>
  <c r="BB63" i="1" s="1"/>
  <c r="AW63" i="1"/>
  <c r="BA63" i="1" s="1"/>
  <c r="AM63" i="1"/>
  <c r="K63" i="1"/>
  <c r="M63" i="1" s="1"/>
  <c r="AZ62" i="1"/>
  <c r="BD62" i="1" s="1"/>
  <c r="AY62" i="1"/>
  <c r="BC62" i="1" s="1"/>
  <c r="AX62" i="1"/>
  <c r="BB62" i="1" s="1"/>
  <c r="AW62" i="1"/>
  <c r="BA62" i="1" s="1"/>
  <c r="AM62" i="1"/>
  <c r="K62" i="1"/>
  <c r="P62" i="1" s="1"/>
  <c r="AZ61" i="1"/>
  <c r="BD61" i="1" s="1"/>
  <c r="AY61" i="1"/>
  <c r="BC61" i="1" s="1"/>
  <c r="AX61" i="1"/>
  <c r="BB61" i="1" s="1"/>
  <c r="AW61" i="1"/>
  <c r="BA61" i="1" s="1"/>
  <c r="AM61" i="1"/>
  <c r="K61" i="1"/>
  <c r="S61" i="1" s="1"/>
  <c r="AZ60" i="1"/>
  <c r="BD60" i="1" s="1"/>
  <c r="AY60" i="1"/>
  <c r="BC60" i="1" s="1"/>
  <c r="AX60" i="1"/>
  <c r="BB60" i="1" s="1"/>
  <c r="AW60" i="1"/>
  <c r="BA60" i="1" s="1"/>
  <c r="AM60" i="1"/>
  <c r="K60" i="1"/>
  <c r="S60" i="1" s="1"/>
  <c r="AZ59" i="1"/>
  <c r="BD59" i="1" s="1"/>
  <c r="AY59" i="1"/>
  <c r="BC59" i="1" s="1"/>
  <c r="AX59" i="1"/>
  <c r="BB59" i="1" s="1"/>
  <c r="AW59" i="1"/>
  <c r="BA59" i="1" s="1"/>
  <c r="AM59" i="1"/>
  <c r="K59" i="1"/>
  <c r="M59" i="1" s="1"/>
  <c r="AZ58" i="1"/>
  <c r="BD58" i="1" s="1"/>
  <c r="AY58" i="1"/>
  <c r="BC58" i="1" s="1"/>
  <c r="AX58" i="1"/>
  <c r="BB58" i="1" s="1"/>
  <c r="AW58" i="1"/>
  <c r="BA58" i="1" s="1"/>
  <c r="AM58" i="1"/>
  <c r="K58" i="1"/>
  <c r="S58" i="1" s="1"/>
  <c r="AZ57" i="1"/>
  <c r="BD57" i="1" s="1"/>
  <c r="AY57" i="1"/>
  <c r="BC57" i="1" s="1"/>
  <c r="AX57" i="1"/>
  <c r="BB57" i="1" s="1"/>
  <c r="AW57" i="1"/>
  <c r="BA57" i="1" s="1"/>
  <c r="BE57" i="1"/>
  <c r="K57" i="1"/>
  <c r="S57" i="1" s="1"/>
  <c r="K56" i="1"/>
  <c r="P56" i="1" s="1"/>
  <c r="K55" i="1"/>
  <c r="K54" i="1"/>
  <c r="S54" i="1" s="1"/>
  <c r="K53" i="1"/>
  <c r="Q53" i="1" s="1" a="1"/>
  <c r="Q53" i="1" s="1"/>
  <c r="C47" i="1"/>
  <c r="C46" i="1"/>
  <c r="AW44" i="1"/>
  <c r="BD42" i="1"/>
  <c r="BC42" i="1"/>
  <c r="BB42" i="1"/>
  <c r="BA42" i="1"/>
  <c r="AW42" i="1"/>
  <c r="BD41" i="1"/>
  <c r="BC41" i="1"/>
  <c r="BB41" i="1"/>
  <c r="BA41" i="1"/>
  <c r="AW41" i="1"/>
  <c r="M36" i="1"/>
  <c r="H34" i="1"/>
  <c r="M33" i="1"/>
  <c r="H33" i="1"/>
  <c r="M32" i="1"/>
  <c r="M31" i="1" a="1"/>
  <c r="M31" i="1" s="1"/>
  <c r="M27" i="1" a="1"/>
  <c r="M27" i="1" s="1"/>
  <c r="M26" i="1"/>
  <c r="M23" i="1"/>
  <c r="A23" i="1"/>
  <c r="C23" i="1" s="1"/>
  <c r="M22" i="1" a="1"/>
  <c r="M22" i="1" s="1"/>
  <c r="M18" i="1"/>
  <c r="M16" i="1"/>
  <c r="U10" i="1"/>
  <c r="K10" i="1"/>
  <c r="AS7" i="1"/>
  <c r="AO7" i="1"/>
  <c r="W7" i="1"/>
  <c r="Q7" i="1"/>
  <c r="M7" i="1"/>
  <c r="AO6" i="1"/>
  <c r="W6" i="1"/>
  <c r="M6" i="1"/>
  <c r="AO5" i="1"/>
  <c r="W5" i="1"/>
  <c r="M5" i="1"/>
  <c r="AO4" i="1"/>
  <c r="W4" i="1"/>
  <c r="M4" i="1"/>
  <c r="AO3" i="1"/>
  <c r="W3" i="1"/>
  <c r="M3" i="1"/>
  <c r="AS2" i="1"/>
  <c r="AO2" i="1"/>
  <c r="W2" i="1"/>
  <c r="Q2" i="1"/>
  <c r="M2" i="1"/>
  <c r="G2" i="1"/>
  <c r="B3" i="392" a="1"/>
  <c r="B3" i="392" s="1"/>
  <c r="C3" i="392" s="1"/>
  <c r="C2" i="392"/>
  <c r="E22" i="373"/>
  <c r="E21" i="373"/>
  <c r="O13" i="373"/>
  <c r="O12" i="373"/>
  <c r="O11" i="373"/>
  <c r="AR18" i="1" s="1"/>
  <c r="O10" i="373"/>
  <c r="O4" i="373" a="1"/>
  <c r="O4" i="373" s="1"/>
  <c r="A4" i="373"/>
  <c r="A3" i="373"/>
  <c r="A2" i="373"/>
  <c r="AW20" i="520" a="1"/>
  <c r="AW17" i="520" a="1"/>
  <c r="AW21" i="520" a="1"/>
  <c r="AV14" i="520" a="1"/>
  <c r="AW9" i="520" a="1"/>
  <c r="AV21" i="520" a="1"/>
  <c r="AW10" i="520" a="1"/>
  <c r="AV11" i="520" a="1"/>
  <c r="AW26" i="520" a="1"/>
  <c r="AV13" i="520" a="1"/>
  <c r="AW8" i="520" a="1"/>
  <c r="AW19" i="520" a="1"/>
  <c r="AW23" i="520" a="1"/>
  <c r="AW5" i="520" a="1"/>
  <c r="AW11" i="520" a="1"/>
  <c r="AV18" i="520" a="1"/>
  <c r="AW15" i="520" a="1"/>
  <c r="AW16" i="520" a="1"/>
  <c r="AW13" i="520" a="1"/>
  <c r="AV7" i="520" a="1"/>
  <c r="AW24" i="520" a="1"/>
  <c r="AW4" i="520" a="1"/>
  <c r="AW7" i="520" a="1"/>
  <c r="AV28" i="520" a="1"/>
  <c r="AV17" i="520" a="1"/>
  <c r="AW14" i="520" a="1"/>
  <c r="AW6" i="520" a="1"/>
  <c r="AV8" i="520" a="1"/>
  <c r="AV4" i="520" a="1"/>
  <c r="AV25" i="520" a="1"/>
  <c r="AV16" i="520" a="1"/>
  <c r="AV6" i="520" a="1"/>
  <c r="AV27" i="520" a="1"/>
  <c r="AV5" i="520" a="1"/>
  <c r="AV15" i="520" a="1"/>
  <c r="AW28" i="520" a="1"/>
  <c r="AW27" i="520" a="1"/>
  <c r="AV20" i="520" a="1"/>
  <c r="AV9" i="520" a="1"/>
  <c r="AW22" i="520" a="1"/>
  <c r="AV23" i="520" a="1"/>
  <c r="AV22" i="520" a="1"/>
  <c r="AV24" i="520" a="1"/>
  <c r="AW25" i="520" a="1"/>
  <c r="AW18" i="520" a="1"/>
  <c r="AV19" i="520" a="1"/>
  <c r="AV26" i="520" a="1"/>
  <c r="AS65" i="1" l="1" a="1"/>
  <c r="AS65" i="1" s="1"/>
  <c r="AU65" i="1" a="1"/>
  <c r="AU65" i="1" s="1"/>
  <c r="AT65" i="1" a="1"/>
  <c r="AT65" i="1" s="1"/>
  <c r="BF63" i="1"/>
  <c r="AU63" i="1" a="1"/>
  <c r="AU63" i="1" s="1"/>
  <c r="AT63" i="1" a="1"/>
  <c r="AT63" i="1" s="1"/>
  <c r="BF61" i="1"/>
  <c r="AU61" i="1" a="1"/>
  <c r="AU61" i="1" s="1"/>
  <c r="AT61" i="1" a="1"/>
  <c r="AT61" i="1" s="1"/>
  <c r="AP59" i="1"/>
  <c r="AU59" i="1" a="1"/>
  <c r="AU59" i="1" s="1"/>
  <c r="AT59" i="1" a="1"/>
  <c r="AT59" i="1" s="1"/>
  <c r="BF64" i="1"/>
  <c r="AT64" i="1" a="1"/>
  <c r="AT64" i="1" s="1"/>
  <c r="AU64" i="1" a="1"/>
  <c r="AU64" i="1" s="1"/>
  <c r="AT62" i="1" a="1"/>
  <c r="AT62" i="1" s="1"/>
  <c r="AU62" i="1" a="1"/>
  <c r="AU62" i="1" s="1"/>
  <c r="AP60" i="1"/>
  <c r="AU60" i="1" a="1"/>
  <c r="AU60" i="1" s="1"/>
  <c r="AT60" i="1" a="1"/>
  <c r="AT60" i="1" s="1"/>
  <c r="AS58" i="1" a="1"/>
  <c r="AS58" i="1" s="1"/>
  <c r="AU58" i="1" a="1"/>
  <c r="AU58" i="1" s="1"/>
  <c r="AT58" i="1" a="1"/>
  <c r="AT58" i="1" s="1"/>
  <c r="BE70" i="1"/>
  <c r="AT70" i="1" a="1"/>
  <c r="AT70" i="1" s="1"/>
  <c r="AU70" i="1" a="1"/>
  <c r="AU70" i="1" s="1"/>
  <c r="BF68" i="1"/>
  <c r="AU68" i="1" a="1"/>
  <c r="AU68" i="1" s="1"/>
  <c r="AT68" i="1" a="1"/>
  <c r="AT68" i="1" s="1"/>
  <c r="AS66" i="1" a="1"/>
  <c r="AS66" i="1" s="1"/>
  <c r="AU66" i="1" a="1"/>
  <c r="AU66" i="1" s="1"/>
  <c r="AT66" i="1" a="1"/>
  <c r="AT66" i="1" s="1"/>
  <c r="BF71" i="1"/>
  <c r="AU71" i="1" a="1"/>
  <c r="AU71" i="1" s="1"/>
  <c r="AT71" i="1" a="1"/>
  <c r="AT71" i="1" s="1"/>
  <c r="AR69" i="1"/>
  <c r="AU69" i="1" a="1"/>
  <c r="AU69" i="1" s="1"/>
  <c r="AT69" i="1" a="1"/>
  <c r="AT69" i="1" s="1"/>
  <c r="AP67" i="1"/>
  <c r="AU67" i="1" a="1"/>
  <c r="AU67" i="1" s="1"/>
  <c r="AT67" i="1" a="1"/>
  <c r="AT67" i="1" s="1"/>
  <c r="BE18" i="520" a="1"/>
  <c r="BE18" i="520" s="1"/>
  <c r="UY5" i="520"/>
  <c r="UY13" i="520"/>
  <c r="UY19" i="520"/>
  <c r="UY25" i="520"/>
  <c r="UY9" i="520"/>
  <c r="UY15" i="520"/>
  <c r="UY23" i="520"/>
  <c r="UZ5" i="520"/>
  <c r="UZ7" i="520"/>
  <c r="UZ9" i="520"/>
  <c r="UZ11" i="520"/>
  <c r="UZ13" i="520"/>
  <c r="UZ15" i="520"/>
  <c r="UZ17" i="520"/>
  <c r="UZ19" i="520"/>
  <c r="UZ21" i="520"/>
  <c r="UZ23" i="520"/>
  <c r="UZ25" i="520"/>
  <c r="UZ27" i="520"/>
  <c r="VA5" i="520"/>
  <c r="VA7" i="520"/>
  <c r="VA9" i="520"/>
  <c r="VA11" i="520"/>
  <c r="VA13" i="520"/>
  <c r="VA15" i="520"/>
  <c r="VA17" i="520"/>
  <c r="VA19" i="520"/>
  <c r="VA23" i="520"/>
  <c r="VA25" i="520"/>
  <c r="VA27" i="520"/>
  <c r="UY10" i="520"/>
  <c r="UY16" i="520"/>
  <c r="UY22" i="520"/>
  <c r="UY26" i="520"/>
  <c r="VA21" i="520"/>
  <c r="VB5" i="520"/>
  <c r="VB7" i="520"/>
  <c r="VB9" i="520"/>
  <c r="VB11" i="520"/>
  <c r="VB13" i="520"/>
  <c r="VB15" i="520"/>
  <c r="VB17" i="520"/>
  <c r="VB19" i="520"/>
  <c r="VB21" i="520"/>
  <c r="VB23" i="520"/>
  <c r="VB25" i="520"/>
  <c r="VB27" i="520"/>
  <c r="UY8" i="520"/>
  <c r="UY12" i="520"/>
  <c r="UY18" i="520"/>
  <c r="UY24" i="520"/>
  <c r="UY6" i="520"/>
  <c r="UY14" i="520"/>
  <c r="UY20" i="520"/>
  <c r="UY28" i="520"/>
  <c r="UZ6" i="520"/>
  <c r="UZ8" i="520"/>
  <c r="UZ10" i="520"/>
  <c r="UZ12" i="520"/>
  <c r="UZ14" i="520"/>
  <c r="UZ16" i="520"/>
  <c r="UZ18" i="520"/>
  <c r="UZ20" i="520"/>
  <c r="UZ22" i="520"/>
  <c r="UZ24" i="520"/>
  <c r="UZ26" i="520"/>
  <c r="UZ28" i="520"/>
  <c r="VA6" i="520"/>
  <c r="VA8" i="520"/>
  <c r="VA10" i="520"/>
  <c r="VA12" i="520"/>
  <c r="VA14" i="520"/>
  <c r="VA16" i="520"/>
  <c r="VA18" i="520"/>
  <c r="VA20" i="520"/>
  <c r="VA22" i="520"/>
  <c r="VA24" i="520"/>
  <c r="VA26" i="520"/>
  <c r="VA28" i="520"/>
  <c r="VB6" i="520"/>
  <c r="VB8" i="520"/>
  <c r="VB10" i="520"/>
  <c r="VB12" i="520"/>
  <c r="VB14" i="520"/>
  <c r="VB16" i="520"/>
  <c r="VB18" i="520"/>
  <c r="VB20" i="520"/>
  <c r="VB22" i="520"/>
  <c r="VB24" i="520"/>
  <c r="VB26" i="520"/>
  <c r="VB28" i="520"/>
  <c r="UY7" i="520"/>
  <c r="UY11" i="520"/>
  <c r="UY17" i="520"/>
  <c r="UY21" i="520"/>
  <c r="UY27" i="520"/>
  <c r="VC6" i="520"/>
  <c r="VC8" i="520"/>
  <c r="VC10" i="520"/>
  <c r="VC12" i="520"/>
  <c r="VC14" i="520"/>
  <c r="VC16" i="520"/>
  <c r="VC18" i="520"/>
  <c r="VC20" i="520"/>
  <c r="VC22" i="520"/>
  <c r="VC24" i="520"/>
  <c r="VC26" i="520"/>
  <c r="VC28" i="520"/>
  <c r="VD6" i="520"/>
  <c r="VD8" i="520"/>
  <c r="VD10" i="520"/>
  <c r="VD12" i="520"/>
  <c r="VD14" i="520"/>
  <c r="VD16" i="520"/>
  <c r="VD18" i="520"/>
  <c r="VD20" i="520"/>
  <c r="VD22" i="520"/>
  <c r="VD24" i="520"/>
  <c r="VD26" i="520"/>
  <c r="VD28" i="520"/>
  <c r="VE6" i="520"/>
  <c r="VE8" i="520"/>
  <c r="VE10" i="520"/>
  <c r="VE12" i="520"/>
  <c r="VE14" i="520"/>
  <c r="VE16" i="520"/>
  <c r="VE18" i="520"/>
  <c r="VE20" i="520"/>
  <c r="VE22" i="520"/>
  <c r="VE24" i="520"/>
  <c r="VE26" i="520"/>
  <c r="VE28" i="520"/>
  <c r="VF10" i="520"/>
  <c r="VF14" i="520"/>
  <c r="VF18" i="520"/>
  <c r="VF24" i="520"/>
  <c r="VF28" i="520"/>
  <c r="VF20" i="520"/>
  <c r="VF6" i="520"/>
  <c r="VF8" i="520"/>
  <c r="VF12" i="520"/>
  <c r="VF16" i="520"/>
  <c r="VF22" i="520"/>
  <c r="VF26" i="520"/>
  <c r="VD5" i="520"/>
  <c r="VD11" i="520"/>
  <c r="VD15" i="520"/>
  <c r="VD17" i="520"/>
  <c r="VD21" i="520"/>
  <c r="VD25" i="520"/>
  <c r="VE7" i="520"/>
  <c r="VE11" i="520"/>
  <c r="VE13" i="520"/>
  <c r="VE17" i="520"/>
  <c r="VE19" i="520"/>
  <c r="VE23" i="520"/>
  <c r="VF7" i="520"/>
  <c r="VF11" i="520"/>
  <c r="VF13" i="520"/>
  <c r="VF19" i="520"/>
  <c r="VF21" i="520"/>
  <c r="VF25" i="520"/>
  <c r="VC5" i="520"/>
  <c r="VC7" i="520"/>
  <c r="VC9" i="520"/>
  <c r="VC11" i="520"/>
  <c r="VC13" i="520"/>
  <c r="VC15" i="520"/>
  <c r="VC17" i="520"/>
  <c r="VC19" i="520"/>
  <c r="VC21" i="520"/>
  <c r="VC23" i="520"/>
  <c r="VC25" i="520"/>
  <c r="VC27" i="520"/>
  <c r="VD7" i="520"/>
  <c r="VD9" i="520"/>
  <c r="VD13" i="520"/>
  <c r="VD19" i="520"/>
  <c r="VD23" i="520"/>
  <c r="VD27" i="520"/>
  <c r="VE9" i="520"/>
  <c r="VE15" i="520"/>
  <c r="VE21" i="520"/>
  <c r="VE27" i="520"/>
  <c r="VF9" i="520"/>
  <c r="VF17" i="520"/>
  <c r="VF23" i="520"/>
  <c r="VF15" i="520"/>
  <c r="VE5" i="520"/>
  <c r="VE25" i="520"/>
  <c r="VF27" i="520"/>
  <c r="VF5" i="520"/>
  <c r="BE19" i="520" a="1"/>
  <c r="BE19" i="520" s="1"/>
  <c r="BF12" i="520" a="1"/>
  <c r="BF12" i="520" s="1"/>
  <c r="BC4" i="520" a="1"/>
  <c r="BC4" i="520" s="1"/>
  <c r="AJ16" i="1" s="1" a="1"/>
  <c r="AJ16" i="1" s="1"/>
  <c r="BF4" i="520" a="1"/>
  <c r="BF4" i="520" s="1"/>
  <c r="BC12" i="520" a="1"/>
  <c r="BC12" i="520" s="1"/>
  <c r="BE4" i="520" a="1"/>
  <c r="BE4" i="520" s="1"/>
  <c r="BE12" i="520" a="1"/>
  <c r="BE12" i="520" s="1"/>
  <c r="BE13" i="520" a="1"/>
  <c r="BE13" i="520" s="1"/>
  <c r="BE7" i="520" a="1"/>
  <c r="BE7" i="520" s="1"/>
  <c r="BE24" i="520" a="1"/>
  <c r="BE24" i="520" s="1"/>
  <c r="BE14" i="520" a="1"/>
  <c r="BE14" i="520" s="1"/>
  <c r="BE8" i="520" a="1"/>
  <c r="BE8" i="520" s="1"/>
  <c r="BE25" i="520" a="1"/>
  <c r="BE25" i="520" s="1"/>
  <c r="BE20" i="520" a="1"/>
  <c r="BE20" i="520" s="1"/>
  <c r="BE15" i="520" a="1"/>
  <c r="BE15" i="520" s="1"/>
  <c r="BE9" i="520" a="1"/>
  <c r="BE9" i="520" s="1"/>
  <c r="BE26" i="520" a="1"/>
  <c r="BE26" i="520" s="1"/>
  <c r="BE21" i="520" a="1"/>
  <c r="BE21" i="520" s="1"/>
  <c r="BE16" i="520" a="1"/>
  <c r="BE16" i="520" s="1"/>
  <c r="BE10" i="520" a="1"/>
  <c r="BE10" i="520" s="1"/>
  <c r="BE27" i="520" a="1"/>
  <c r="BE27" i="520" s="1"/>
  <c r="BE5" i="520" a="1"/>
  <c r="BE5" i="520" s="1"/>
  <c r="BE22" i="520" a="1"/>
  <c r="BE22" i="520" s="1"/>
  <c r="BE17" i="520" a="1"/>
  <c r="BE17" i="520" s="1"/>
  <c r="BE11" i="520" a="1"/>
  <c r="BE11" i="520" s="1"/>
  <c r="BE28" i="520" a="1"/>
  <c r="BE28" i="520" s="1"/>
  <c r="BE6" i="520" a="1"/>
  <c r="BE6" i="520" s="1"/>
  <c r="BE23" i="520" a="1"/>
  <c r="BE23" i="520" s="1"/>
  <c r="VH25" i="520"/>
  <c r="VI25" i="520"/>
  <c r="VJ25" i="520"/>
  <c r="VK25" i="520"/>
  <c r="VL25" i="520"/>
  <c r="VM25" i="520"/>
  <c r="VN25" i="520"/>
  <c r="VG25" i="520"/>
  <c r="VG18" i="520"/>
  <c r="VH18" i="520"/>
  <c r="VK18" i="520"/>
  <c r="VI18" i="520"/>
  <c r="VJ18" i="520"/>
  <c r="VL18" i="520"/>
  <c r="VM18" i="520"/>
  <c r="VN18" i="520"/>
  <c r="VH22" i="520"/>
  <c r="VI22" i="520"/>
  <c r="VJ22" i="520"/>
  <c r="VK22" i="520"/>
  <c r="VL22" i="520"/>
  <c r="VM22" i="520"/>
  <c r="VN22" i="520"/>
  <c r="VG22" i="520"/>
  <c r="VH26" i="520"/>
  <c r="VI26" i="520"/>
  <c r="VJ26" i="520"/>
  <c r="VK26" i="520"/>
  <c r="VL26" i="520"/>
  <c r="VM26" i="520"/>
  <c r="VN26" i="520"/>
  <c r="VG26" i="520"/>
  <c r="VH17" i="520"/>
  <c r="VI17" i="520"/>
  <c r="VK17" i="520"/>
  <c r="VJ17" i="520"/>
  <c r="VL17" i="520"/>
  <c r="VM17" i="520"/>
  <c r="VN17" i="520"/>
  <c r="VG17" i="520"/>
  <c r="VG12" i="520"/>
  <c r="VH12" i="520"/>
  <c r="VI12" i="520"/>
  <c r="VJ12" i="520"/>
  <c r="VK12" i="520"/>
  <c r="VL12" i="520"/>
  <c r="VM12" i="520"/>
  <c r="VN12" i="520"/>
  <c r="VG19" i="520"/>
  <c r="VH19" i="520"/>
  <c r="VI19" i="520"/>
  <c r="VJ19" i="520"/>
  <c r="VK19" i="520"/>
  <c r="VL19" i="520"/>
  <c r="VM19" i="520"/>
  <c r="VN19" i="520"/>
  <c r="VG23" i="520"/>
  <c r="VH23" i="520"/>
  <c r="VI23" i="520"/>
  <c r="VK23" i="520"/>
  <c r="VJ23" i="520"/>
  <c r="VL23" i="520"/>
  <c r="VM23" i="520"/>
  <c r="VN23" i="520"/>
  <c r="VG27" i="520"/>
  <c r="VH27" i="520"/>
  <c r="VK27" i="520"/>
  <c r="VI27" i="520"/>
  <c r="VJ27" i="520"/>
  <c r="VL27" i="520"/>
  <c r="VM27" i="520"/>
  <c r="VN27" i="520"/>
  <c r="VH21" i="520"/>
  <c r="VK21" i="520"/>
  <c r="VI21" i="520"/>
  <c r="VJ21" i="520"/>
  <c r="VL21" i="520"/>
  <c r="VM21" i="520"/>
  <c r="VN21" i="520"/>
  <c r="VG21" i="520"/>
  <c r="VG16" i="520"/>
  <c r="VH16" i="520"/>
  <c r="VI16" i="520"/>
  <c r="VJ16" i="520"/>
  <c r="VK16" i="520"/>
  <c r="VL16" i="520"/>
  <c r="VM16" i="520"/>
  <c r="VN16" i="520"/>
  <c r="VG20" i="520"/>
  <c r="VH20" i="520"/>
  <c r="VI20" i="520"/>
  <c r="VJ20" i="520"/>
  <c r="VK20" i="520"/>
  <c r="VL20" i="520"/>
  <c r="VM20" i="520"/>
  <c r="VN20" i="520"/>
  <c r="VH24" i="520"/>
  <c r="VK24" i="520"/>
  <c r="VI24" i="520"/>
  <c r="VJ24" i="520"/>
  <c r="VL24" i="520"/>
  <c r="VM24" i="520"/>
  <c r="VN24" i="520"/>
  <c r="VG24" i="520"/>
  <c r="VH28" i="520"/>
  <c r="VI28" i="520"/>
  <c r="VK28" i="520"/>
  <c r="VJ28" i="520"/>
  <c r="VL28" i="520"/>
  <c r="VM28" i="520"/>
  <c r="VN28" i="520"/>
  <c r="VG28" i="520"/>
  <c r="BF20" i="520" a="1"/>
  <c r="BF20" i="520" s="1"/>
  <c r="BC20" i="520" a="1"/>
  <c r="BC20" i="520" s="1"/>
  <c r="BC13" i="520" a="1"/>
  <c r="BC13" i="520" s="1"/>
  <c r="BF13" i="520" a="1"/>
  <c r="BF13" i="520" s="1"/>
  <c r="BC7" i="520" a="1"/>
  <c r="BC7" i="520" s="1"/>
  <c r="BF7" i="520" a="1"/>
  <c r="BF7" i="520" s="1"/>
  <c r="BC6" i="520" a="1"/>
  <c r="BC6" i="520" s="1"/>
  <c r="BF6" i="520" a="1"/>
  <c r="BF6" i="520" s="1"/>
  <c r="BF26" i="520" a="1"/>
  <c r="BF26" i="520" s="1"/>
  <c r="BC26" i="520" a="1"/>
  <c r="BC26" i="520" s="1"/>
  <c r="BC17" i="520" a="1"/>
  <c r="BC17" i="520" s="1"/>
  <c r="BF17" i="520" a="1"/>
  <c r="BF17" i="520" s="1"/>
  <c r="BF14" i="520" a="1"/>
  <c r="BF14" i="520" s="1"/>
  <c r="BC14" i="520" a="1"/>
  <c r="BC14" i="520" s="1"/>
  <c r="BF10" i="520" a="1"/>
  <c r="BF10" i="520" s="1"/>
  <c r="BC10" i="520" a="1"/>
  <c r="BC10" i="520" s="1"/>
  <c r="BF21" i="520" a="1"/>
  <c r="BF21" i="520" s="1"/>
  <c r="BC21" i="520" a="1"/>
  <c r="BC21" i="520" s="1"/>
  <c r="BF25" i="520" a="1"/>
  <c r="BF25" i="520" s="1"/>
  <c r="BC25" i="520" a="1"/>
  <c r="BC25" i="520" s="1"/>
  <c r="BC18" i="520" a="1"/>
  <c r="BC18" i="520" s="1"/>
  <c r="BF18" i="520" a="1"/>
  <c r="BF18" i="520" s="1"/>
  <c r="BF22" i="520" a="1"/>
  <c r="BF22" i="520" s="1"/>
  <c r="BC22" i="520" a="1"/>
  <c r="BC22" i="520" s="1"/>
  <c r="BF8" i="520" a="1"/>
  <c r="BF8" i="520" s="1"/>
  <c r="BC8" i="520" a="1"/>
  <c r="BC8" i="520" s="1"/>
  <c r="BF15" i="520" a="1"/>
  <c r="BF15" i="520" s="1"/>
  <c r="BC15" i="520" a="1"/>
  <c r="BC15" i="520" s="1"/>
  <c r="BC19" i="520" a="1"/>
  <c r="BC19" i="520" s="1"/>
  <c r="BF19" i="520" a="1"/>
  <c r="BF19" i="520" s="1"/>
  <c r="BF23" i="520" a="1"/>
  <c r="BF23" i="520" s="1"/>
  <c r="BC23" i="520" a="1"/>
  <c r="BC23" i="520" s="1"/>
  <c r="BF27" i="520" a="1"/>
  <c r="BF27" i="520" s="1"/>
  <c r="BC27" i="520" a="1"/>
  <c r="BC27" i="520" s="1"/>
  <c r="BF9" i="520" a="1"/>
  <c r="BF9" i="520" s="1"/>
  <c r="BC9" i="520" a="1"/>
  <c r="BC9" i="520" s="1"/>
  <c r="BC16" i="520" a="1"/>
  <c r="BC16" i="520" s="1"/>
  <c r="BF16" i="520" a="1"/>
  <c r="BF16" i="520" s="1"/>
  <c r="BF24" i="520" a="1"/>
  <c r="BF24" i="520" s="1"/>
  <c r="BC24" i="520" a="1"/>
  <c r="BC24" i="520" s="1"/>
  <c r="BF28" i="520" a="1"/>
  <c r="BF28" i="520" s="1"/>
  <c r="BC28" i="520" a="1"/>
  <c r="BC28" i="520" s="1"/>
  <c r="BC5" i="520" a="1"/>
  <c r="BC5" i="520" s="1"/>
  <c r="BF5" i="520" a="1"/>
  <c r="BF5" i="520" s="1"/>
  <c r="BF11" i="520" a="1"/>
  <c r="BF11" i="520" s="1"/>
  <c r="BC11" i="520" a="1"/>
  <c r="BC11" i="520" s="1"/>
  <c r="AM49" i="1"/>
  <c r="AM50" i="1"/>
  <c r="AU7" i="8"/>
  <c r="AW7" i="8" s="1"/>
  <c r="AZ7" i="8"/>
  <c r="BB7" i="8" s="1"/>
  <c r="AU11" i="8"/>
  <c r="AW11" i="8" s="1"/>
  <c r="AZ21" i="8"/>
  <c r="BB21" i="8" s="1"/>
  <c r="AU21" i="8"/>
  <c r="AV21" i="8" s="1"/>
  <c r="AU8" i="8"/>
  <c r="AW8" i="8" s="1"/>
  <c r="AU10" i="8"/>
  <c r="AW10" i="8" s="1"/>
  <c r="AZ6" i="8"/>
  <c r="BB6" i="8" s="1"/>
  <c r="AZ8" i="8"/>
  <c r="BA8" i="8" s="1"/>
  <c r="AZ11" i="8"/>
  <c r="BA11" i="8" s="1"/>
  <c r="AU6" i="8"/>
  <c r="AV6" i="8" s="1"/>
  <c r="AZ10" i="8"/>
  <c r="BA10" i="8" s="1"/>
  <c r="BE38" i="8"/>
  <c r="BC32" i="8"/>
  <c r="BC33" i="8"/>
  <c r="BD38" i="8"/>
  <c r="BE33" i="8"/>
  <c r="BE34" i="8"/>
  <c r="BC39" i="8"/>
  <c r="BC38" i="8"/>
  <c r="BD33" i="8"/>
  <c r="BE39" i="8"/>
  <c r="BC34" i="8"/>
  <c r="BD35" i="8"/>
  <c r="BE35" i="8"/>
  <c r="BC37" i="8"/>
  <c r="BD32" i="8"/>
  <c r="BD39" i="8"/>
  <c r="BD34" i="8"/>
  <c r="BC35" i="8"/>
  <c r="BE32" i="8"/>
  <c r="BE37" i="8"/>
  <c r="BE36" i="8"/>
  <c r="BC36" i="8"/>
  <c r="BD37" i="8"/>
  <c r="BD36" i="8"/>
  <c r="BE45" i="8"/>
  <c r="BC45" i="8"/>
  <c r="BD45" i="8"/>
  <c r="AZ9" i="8"/>
  <c r="BA9" i="8" s="1"/>
  <c r="AW18" i="8"/>
  <c r="AU18" i="8"/>
  <c r="AV18" i="8" s="1"/>
  <c r="AU13" i="8"/>
  <c r="AV13" i="8" s="1"/>
  <c r="AU15" i="8"/>
  <c r="AW15" i="8" s="1"/>
  <c r="AZ13" i="8"/>
  <c r="BB13" i="8" s="1"/>
  <c r="AZ16" i="8"/>
  <c r="BB16" i="8" s="1"/>
  <c r="AZ23" i="8"/>
  <c r="BA23" i="8" s="1"/>
  <c r="AZ19" i="8"/>
  <c r="BB19" i="8" s="1"/>
  <c r="AZ14" i="8"/>
  <c r="BB14" i="8" s="1"/>
  <c r="AU16" i="8"/>
  <c r="AW16" i="8" s="1"/>
  <c r="AZ15" i="8"/>
  <c r="BB15" i="8" s="1"/>
  <c r="AU22" i="8"/>
  <c r="AV22" i="8" s="1"/>
  <c r="AZ18" i="8"/>
  <c r="BA18" i="8" s="1"/>
  <c r="AU12" i="8"/>
  <c r="AW12" i="8" s="1"/>
  <c r="AU14" i="8"/>
  <c r="AW14" i="8" s="1"/>
  <c r="AZ17" i="8"/>
  <c r="BB17" i="8" s="1"/>
  <c r="AU23" i="8"/>
  <c r="AW23" i="8" s="1"/>
  <c r="AU19" i="8"/>
  <c r="AW19" i="8" s="1"/>
  <c r="AZ22" i="8"/>
  <c r="BB22" i="8" s="1"/>
  <c r="AZ20" i="8"/>
  <c r="BB20" i="8" s="1"/>
  <c r="AZ12" i="8"/>
  <c r="BB12" i="8" s="1"/>
  <c r="AU9" i="8"/>
  <c r="AW9" i="8" s="1"/>
  <c r="AU17" i="8"/>
  <c r="AW17" i="8" s="1"/>
  <c r="AU20" i="8"/>
  <c r="AV20" i="8" s="1"/>
  <c r="AU66" i="8"/>
  <c r="AW66" i="8" s="1"/>
  <c r="AU70" i="8"/>
  <c r="AW70" i="8" s="1"/>
  <c r="AZ67" i="8"/>
  <c r="BB67" i="8" s="1"/>
  <c r="AZ70" i="8"/>
  <c r="BB70" i="8" s="1"/>
  <c r="AU69" i="8"/>
  <c r="AV69" i="8" s="1"/>
  <c r="AU67" i="8"/>
  <c r="AW67" i="8" s="1"/>
  <c r="AZ66" i="8"/>
  <c r="BB66" i="8" s="1"/>
  <c r="AZ69" i="8"/>
  <c r="BB69" i="8" s="1"/>
  <c r="BD11" i="8"/>
  <c r="BE6" i="8"/>
  <c r="BE7" i="8"/>
  <c r="BC11" i="8"/>
  <c r="BD7" i="8"/>
  <c r="BC6" i="8"/>
  <c r="BC7" i="8"/>
  <c r="BD8" i="8"/>
  <c r="BC21" i="8"/>
  <c r="BE11" i="8"/>
  <c r="BD6" i="8"/>
  <c r="BE8" i="8"/>
  <c r="BD21" i="8"/>
  <c r="BC8" i="8"/>
  <c r="BD10" i="8"/>
  <c r="BE10" i="8"/>
  <c r="BC10" i="8"/>
  <c r="BE21" i="8"/>
  <c r="AZ57" i="8"/>
  <c r="BA57" i="8" s="1"/>
  <c r="AZ51" i="8"/>
  <c r="BB51" i="8" s="1"/>
  <c r="AZ56" i="8"/>
  <c r="BA56" i="8" s="1"/>
  <c r="AU53" i="8"/>
  <c r="AW53" i="8" s="1"/>
  <c r="AU52" i="8"/>
  <c r="AV52" i="8" s="1"/>
  <c r="AU58" i="8"/>
  <c r="AW58" i="8" s="1"/>
  <c r="AZ53" i="8"/>
  <c r="BB53" i="8" s="1"/>
  <c r="AU51" i="8"/>
  <c r="AV51" i="8" s="1"/>
  <c r="AZ58" i="8"/>
  <c r="BA58" i="8" s="1"/>
  <c r="AU55" i="8"/>
  <c r="AW55" i="8" s="1"/>
  <c r="AZ54" i="8"/>
  <c r="BA54" i="8" s="1"/>
  <c r="AZ55" i="8"/>
  <c r="BB55" i="8" s="1"/>
  <c r="AU54" i="8"/>
  <c r="AV54" i="8" s="1"/>
  <c r="AZ52" i="8"/>
  <c r="BB52" i="8" s="1"/>
  <c r="AU56" i="8"/>
  <c r="AV56" i="8" s="1"/>
  <c r="AU57" i="8"/>
  <c r="AW57" i="8" s="1"/>
  <c r="BE22" i="8"/>
  <c r="BC16" i="8"/>
  <c r="BD23" i="8"/>
  <c r="BC23" i="8"/>
  <c r="BD13" i="8"/>
  <c r="BE23" i="8"/>
  <c r="BC22" i="8"/>
  <c r="BD17" i="8"/>
  <c r="BE12" i="8"/>
  <c r="BC17" i="8"/>
  <c r="BD18" i="8"/>
  <c r="BE18" i="8"/>
  <c r="BE19" i="8"/>
  <c r="BC13" i="8"/>
  <c r="BD16" i="8"/>
  <c r="BD22" i="8"/>
  <c r="BE17" i="8"/>
  <c r="BD12" i="8"/>
  <c r="BC12" i="8"/>
  <c r="BE13" i="8"/>
  <c r="BC18" i="8"/>
  <c r="BC9" i="8"/>
  <c r="BE15" i="8"/>
  <c r="BD15" i="8"/>
  <c r="BE20" i="8"/>
  <c r="BE14" i="8"/>
  <c r="BD14" i="8"/>
  <c r="BE9" i="8"/>
  <c r="BC20" i="8"/>
  <c r="BE16" i="8"/>
  <c r="BC14" i="8"/>
  <c r="BC19" i="8"/>
  <c r="BC15" i="8"/>
  <c r="BD20" i="8"/>
  <c r="BD9" i="8"/>
  <c r="BD19" i="8"/>
  <c r="AZ25" i="8"/>
  <c r="BB25" i="8" s="1"/>
  <c r="AU60" i="8"/>
  <c r="AW60" i="8" s="1"/>
  <c r="AZ41" i="8"/>
  <c r="BB41" i="8" s="1"/>
  <c r="AU50" i="8"/>
  <c r="AV50" i="8" s="1"/>
  <c r="AU49" i="8"/>
  <c r="AV49" i="8" s="1"/>
  <c r="AZ40" i="8"/>
  <c r="BA40" i="8" s="1"/>
  <c r="AZ30" i="8"/>
  <c r="BB30" i="8" s="1"/>
  <c r="AU44" i="8"/>
  <c r="AZ48" i="8"/>
  <c r="BB48" i="8" s="1"/>
  <c r="AZ26" i="8"/>
  <c r="BB26" i="8" s="1"/>
  <c r="AV44" i="8"/>
  <c r="AU47" i="8"/>
  <c r="AV47" i="8" s="1"/>
  <c r="AU28" i="8"/>
  <c r="AV28" i="8" s="1"/>
  <c r="AZ50" i="8"/>
  <c r="BB50" i="8" s="1"/>
  <c r="AU26" i="8"/>
  <c r="AV26" i="8" s="1"/>
  <c r="AZ29" i="8"/>
  <c r="BB29" i="8" s="1"/>
  <c r="AU30" i="8"/>
  <c r="AW30" i="8" s="1"/>
  <c r="AZ42" i="8"/>
  <c r="BB42" i="8" s="1"/>
  <c r="AZ31" i="8"/>
  <c r="BA31" i="8" s="1"/>
  <c r="AU25" i="8"/>
  <c r="AV25" i="8" s="1"/>
  <c r="AU48" i="8"/>
  <c r="AV48" i="8" s="1"/>
  <c r="AU24" i="8"/>
  <c r="AV24" i="8" s="1"/>
  <c r="AZ44" i="8"/>
  <c r="BA44" i="8" s="1"/>
  <c r="AU27" i="8"/>
  <c r="AV27" i="8" s="1"/>
  <c r="AU40" i="8"/>
  <c r="AW40" i="8" s="1"/>
  <c r="AU42" i="8"/>
  <c r="AW42" i="8" s="1"/>
  <c r="AW44" i="8"/>
  <c r="AU63" i="8"/>
  <c r="AW63" i="8" s="1"/>
  <c r="AZ49" i="8"/>
  <c r="BB49" i="8" s="1"/>
  <c r="AZ63" i="8"/>
  <c r="BB63" i="8" s="1"/>
  <c r="AU46" i="8"/>
  <c r="AV46" i="8" s="1"/>
  <c r="AZ47" i="8"/>
  <c r="BB47" i="8" s="1"/>
  <c r="AU29" i="8"/>
  <c r="AW29" i="8" s="1"/>
  <c r="AZ43" i="8"/>
  <c r="BB43" i="8" s="1"/>
  <c r="AZ46" i="8"/>
  <c r="BA46" i="8" s="1"/>
  <c r="AU41" i="8"/>
  <c r="AW41" i="8" s="1"/>
  <c r="AZ60" i="8"/>
  <c r="BB60" i="8" s="1"/>
  <c r="AZ24" i="8"/>
  <c r="BB24" i="8" s="1"/>
  <c r="AZ28" i="8"/>
  <c r="BA28" i="8" s="1"/>
  <c r="AZ27" i="8"/>
  <c r="BA27" i="8" s="1"/>
  <c r="AU43" i="8"/>
  <c r="AV43" i="8" s="1"/>
  <c r="AU31" i="8"/>
  <c r="AV31" i="8" s="1"/>
  <c r="BE70" i="8"/>
  <c r="BE66" i="8"/>
  <c r="BD66" i="8"/>
  <c r="BD67" i="8"/>
  <c r="BD70" i="8"/>
  <c r="BC70" i="8"/>
  <c r="BC66" i="8"/>
  <c r="BE67" i="8"/>
  <c r="BC69" i="8"/>
  <c r="BC67" i="8"/>
  <c r="BE69" i="8"/>
  <c r="BD69" i="8"/>
  <c r="AZ64" i="8"/>
  <c r="BB64" i="8" s="1"/>
  <c r="AU64" i="8"/>
  <c r="AV64" i="8" s="1"/>
  <c r="AU59" i="8"/>
  <c r="AV59" i="8" s="1"/>
  <c r="AZ62" i="8"/>
  <c r="BB62" i="8" s="1"/>
  <c r="AZ61" i="8"/>
  <c r="BB61" i="8" s="1"/>
  <c r="AU68" i="8"/>
  <c r="AV68" i="8" s="1"/>
  <c r="AU61" i="8"/>
  <c r="AW61" i="8" s="1"/>
  <c r="AZ65" i="8"/>
  <c r="BA65" i="8" s="1"/>
  <c r="AU65" i="8"/>
  <c r="AW65" i="8" s="1"/>
  <c r="AZ68" i="8"/>
  <c r="BA68" i="8" s="1"/>
  <c r="AZ59" i="8"/>
  <c r="BA59" i="8" s="1"/>
  <c r="AU62" i="8"/>
  <c r="AW62" i="8" s="1"/>
  <c r="BE54" i="8"/>
  <c r="BE55" i="8"/>
  <c r="BD55" i="8"/>
  <c r="BE56" i="8"/>
  <c r="BD54" i="8"/>
  <c r="BD51" i="8"/>
  <c r="BC54" i="8"/>
  <c r="BC56" i="8"/>
  <c r="BD56" i="8"/>
  <c r="BE51" i="8"/>
  <c r="BC53" i="8"/>
  <c r="BC55" i="8"/>
  <c r="BC51" i="8"/>
  <c r="BD53" i="8"/>
  <c r="BE57" i="8"/>
  <c r="BE52" i="8"/>
  <c r="BC52" i="8"/>
  <c r="BE53" i="8"/>
  <c r="BD52" i="8"/>
  <c r="BE58" i="8"/>
  <c r="BD58" i="8"/>
  <c r="BC58" i="8"/>
  <c r="BC57" i="8"/>
  <c r="BD57" i="8"/>
  <c r="BC48" i="8"/>
  <c r="BD43" i="8"/>
  <c r="BD27" i="8"/>
  <c r="BD60" i="8"/>
  <c r="BD28" i="8"/>
  <c r="BE50" i="8"/>
  <c r="BE46" i="8"/>
  <c r="BC40" i="8"/>
  <c r="BE49" i="8"/>
  <c r="BC43" i="8"/>
  <c r="BD44" i="8"/>
  <c r="BC44" i="8"/>
  <c r="BE24" i="8"/>
  <c r="BE60" i="8"/>
  <c r="BD49" i="8"/>
  <c r="BE44" i="8"/>
  <c r="BE28" i="8"/>
  <c r="BC49" i="8"/>
  <c r="BC60" i="8"/>
  <c r="BD50" i="8"/>
  <c r="BE40" i="8"/>
  <c r="BD29" i="8"/>
  <c r="BD40" i="8"/>
  <c r="BC29" i="8"/>
  <c r="BD24" i="8"/>
  <c r="BD48" i="8"/>
  <c r="BE43" i="8"/>
  <c r="BE27" i="8"/>
  <c r="BC27" i="8"/>
  <c r="BC28" i="8"/>
  <c r="BE29" i="8"/>
  <c r="BC50" i="8"/>
  <c r="BC46" i="8"/>
  <c r="BC31" i="8"/>
  <c r="BE30" i="8"/>
  <c r="BC26" i="8"/>
  <c r="BE42" i="8"/>
  <c r="BE63" i="8"/>
  <c r="BC47" i="8"/>
  <c r="BD25" i="8"/>
  <c r="BD63" i="8"/>
  <c r="BE48" i="8"/>
  <c r="BE41" i="8"/>
  <c r="BD41" i="8"/>
  <c r="BD42" i="8"/>
  <c r="BC63" i="8"/>
  <c r="BC42" i="8"/>
  <c r="BC41" i="8"/>
  <c r="BE25" i="8"/>
  <c r="BE47" i="8"/>
  <c r="BD30" i="8"/>
  <c r="BD26" i="8"/>
  <c r="BC24" i="8"/>
  <c r="BD47" i="8"/>
  <c r="BC30" i="8"/>
  <c r="BE31" i="8"/>
  <c r="BD46" i="8"/>
  <c r="BD31" i="8"/>
  <c r="BC25" i="8"/>
  <c r="BE26" i="8"/>
  <c r="AU38" i="8"/>
  <c r="AW38" i="8" s="1"/>
  <c r="AU34" i="8"/>
  <c r="AW34" i="8" s="1"/>
  <c r="AU35" i="8"/>
  <c r="AW35" i="8" s="1"/>
  <c r="AU39" i="8"/>
  <c r="AW39" i="8" s="1"/>
  <c r="AU37" i="8"/>
  <c r="AW37" i="8" s="1"/>
  <c r="AZ35" i="8"/>
  <c r="BB35" i="8" s="1"/>
  <c r="AZ34" i="8"/>
  <c r="BA34" i="8" s="1"/>
  <c r="AZ39" i="8"/>
  <c r="BB39" i="8" s="1"/>
  <c r="AZ33" i="8"/>
  <c r="BB33" i="8" s="1"/>
  <c r="AZ37" i="8"/>
  <c r="BB37" i="8" s="1"/>
  <c r="AZ38" i="8"/>
  <c r="BA38" i="8" s="1"/>
  <c r="AU32" i="8"/>
  <c r="AV32" i="8" s="1"/>
  <c r="AU36" i="8"/>
  <c r="AW36" i="8" s="1"/>
  <c r="AU33" i="8"/>
  <c r="AW33" i="8" s="1"/>
  <c r="AZ36" i="8"/>
  <c r="BB36" i="8" s="1"/>
  <c r="AZ32" i="8"/>
  <c r="BB32" i="8" s="1"/>
  <c r="AU45" i="8"/>
  <c r="AW45" i="8" s="1"/>
  <c r="AZ45" i="8"/>
  <c r="BA45" i="8" s="1"/>
  <c r="BC64" i="8"/>
  <c r="BD59" i="8"/>
  <c r="BE61" i="8"/>
  <c r="BE65" i="8"/>
  <c r="BC59" i="8"/>
  <c r="BD65" i="8"/>
  <c r="BC65" i="8"/>
  <c r="BE62" i="8"/>
  <c r="BC61" i="8"/>
  <c r="BD64" i="8"/>
  <c r="BE59" i="8"/>
  <c r="BD61" i="8"/>
  <c r="BC62" i="8"/>
  <c r="BE68" i="8"/>
  <c r="BD68" i="8"/>
  <c r="BC68" i="8"/>
  <c r="BD62" i="8"/>
  <c r="BE64" i="8"/>
  <c r="Q2" i="528"/>
  <c r="A2" i="528" s="1" a="1"/>
  <c r="A2" i="528" s="1"/>
  <c r="O2" i="526" s="1" a="1"/>
  <c r="O2" i="526" s="1"/>
  <c r="Z11" i="111"/>
  <c r="K49" i="1"/>
  <c r="K48" i="1"/>
  <c r="M48" i="1" s="1"/>
  <c r="K47" i="1"/>
  <c r="M47" i="1" s="1"/>
  <c r="K46" i="1"/>
  <c r="M46" i="1" s="1"/>
  <c r="K45" i="1"/>
  <c r="K44" i="1"/>
  <c r="M44" i="1" s="1"/>
  <c r="K52" i="1"/>
  <c r="M52" i="1" s="1"/>
  <c r="K51" i="1"/>
  <c r="M51" i="1" s="1"/>
  <c r="K50" i="1"/>
  <c r="Z7" i="111"/>
  <c r="VD4" i="520"/>
  <c r="D14" i="254"/>
  <c r="D15" i="254"/>
  <c r="C15" i="254"/>
  <c r="B15" i="254"/>
  <c r="A15" i="254"/>
  <c r="E14" i="254"/>
  <c r="F15" i="254"/>
  <c r="E15" i="254"/>
  <c r="I14" i="254"/>
  <c r="AW54" i="1"/>
  <c r="BA54" i="1" s="1"/>
  <c r="G14" i="254"/>
  <c r="AW53" i="1"/>
  <c r="BA53" i="1" s="1"/>
  <c r="K14" i="254"/>
  <c r="AX54" i="1"/>
  <c r="BB54" i="1" s="1"/>
  <c r="O13" i="254"/>
  <c r="AX55" i="1"/>
  <c r="BB55" i="1" s="1"/>
  <c r="L15" i="254"/>
  <c r="O15" i="254"/>
  <c r="V15" i="254"/>
  <c r="U15" i="254"/>
  <c r="AY56" i="1"/>
  <c r="BC56" i="1" s="1"/>
  <c r="T15" i="254"/>
  <c r="X14" i="254"/>
  <c r="Y14" i="254"/>
  <c r="Z12" i="254"/>
  <c r="AZ55" i="1"/>
  <c r="BD55" i="1" s="1"/>
  <c r="Y12" i="254"/>
  <c r="M15" i="254"/>
  <c r="Z14" i="254"/>
  <c r="L14" i="254"/>
  <c r="G15" i="254"/>
  <c r="W15" i="254"/>
  <c r="I13" i="254"/>
  <c r="P15" i="254"/>
  <c r="AZ54" i="1"/>
  <c r="BD54" i="1" s="1"/>
  <c r="M14" i="254"/>
  <c r="H15" i="254"/>
  <c r="X15" i="254"/>
  <c r="BF55" i="1"/>
  <c r="N14" i="254"/>
  <c r="I15" i="254"/>
  <c r="Y15" i="254"/>
  <c r="O14" i="254"/>
  <c r="J15" i="254"/>
  <c r="Z15" i="254"/>
  <c r="I12" i="254"/>
  <c r="P14" i="254"/>
  <c r="K15" i="254"/>
  <c r="AA15" i="254"/>
  <c r="AW55" i="1"/>
  <c r="BA55" i="1" s="1"/>
  <c r="AY55" i="1"/>
  <c r="BC55" i="1" s="1"/>
  <c r="N15" i="254"/>
  <c r="AA14" i="254"/>
  <c r="Y13" i="254"/>
  <c r="AB14" i="254"/>
  <c r="AF15" i="254"/>
  <c r="AW56" i="1"/>
  <c r="BA56" i="1" s="1"/>
  <c r="Z13" i="254"/>
  <c r="Q15" i="254"/>
  <c r="AX56" i="1"/>
  <c r="BB56" i="1" s="1"/>
  <c r="AA13" i="254"/>
  <c r="R15" i="254"/>
  <c r="AB13" i="254"/>
  <c r="S15" i="254"/>
  <c r="AZ56" i="1"/>
  <c r="BD56" i="1" s="1"/>
  <c r="W14" i="254"/>
  <c r="AB15" i="254"/>
  <c r="AC15" i="254"/>
  <c r="AD15" i="254"/>
  <c r="AC14" i="254"/>
  <c r="AF14" i="254"/>
  <c r="AF13" i="254"/>
  <c r="AE14" i="254"/>
  <c r="AE13" i="254"/>
  <c r="M13" i="254"/>
  <c r="L13" i="254"/>
  <c r="K13" i="254"/>
  <c r="P13" i="254"/>
  <c r="N13" i="254"/>
  <c r="U14" i="254"/>
  <c r="AR54" i="1"/>
  <c r="T14" i="254"/>
  <c r="S14" i="254"/>
  <c r="R14" i="254"/>
  <c r="Q14" i="254"/>
  <c r="AY54" i="1"/>
  <c r="BC54" i="1" s="1"/>
  <c r="AC13" i="254"/>
  <c r="AD13" i="254"/>
  <c r="AD14" i="254"/>
  <c r="F14" i="254"/>
  <c r="V14" i="254"/>
  <c r="H14" i="254"/>
  <c r="E13" i="254"/>
  <c r="A14" i="254"/>
  <c r="B14" i="254"/>
  <c r="C14" i="254"/>
  <c r="B13" i="254"/>
  <c r="A13" i="254"/>
  <c r="D13" i="254"/>
  <c r="C13" i="254"/>
  <c r="H12" i="254"/>
  <c r="H13" i="254"/>
  <c r="G13" i="254"/>
  <c r="F13" i="254"/>
  <c r="R13" i="254"/>
  <c r="Q13" i="254"/>
  <c r="V13" i="254"/>
  <c r="X13" i="254"/>
  <c r="W13" i="254"/>
  <c r="BN4" i="254"/>
  <c r="H4" i="254" s="1"/>
  <c r="J13" i="254"/>
  <c r="S13" i="254"/>
  <c r="J12" i="254"/>
  <c r="T13" i="254"/>
  <c r="U13" i="254"/>
  <c r="B9" i="254"/>
  <c r="A12" i="254"/>
  <c r="O4" i="254"/>
  <c r="K12" i="254"/>
  <c r="T10" i="254"/>
  <c r="Q12" i="254"/>
  <c r="V12" i="254"/>
  <c r="U12" i="254"/>
  <c r="T12" i="254"/>
  <c r="S12" i="254"/>
  <c r="AY53" i="1"/>
  <c r="BC53" i="1" s="1"/>
  <c r="AA12" i="254"/>
  <c r="X12" i="254"/>
  <c r="W12" i="254"/>
  <c r="AD9" i="254"/>
  <c r="AF12" i="254"/>
  <c r="AE12" i="254"/>
  <c r="AC12" i="254"/>
  <c r="AB12" i="254"/>
  <c r="M12" i="254"/>
  <c r="AD12" i="254"/>
  <c r="B12" i="254"/>
  <c r="R12" i="254"/>
  <c r="N12" i="254"/>
  <c r="AX53" i="1"/>
  <c r="BB53" i="1" s="1"/>
  <c r="C12" i="254"/>
  <c r="L12" i="254"/>
  <c r="BF53" i="1"/>
  <c r="P12" i="254"/>
  <c r="AZ53" i="1"/>
  <c r="BD53" i="1" s="1"/>
  <c r="D12" i="254"/>
  <c r="E12" i="254"/>
  <c r="O12" i="254"/>
  <c r="F12" i="254"/>
  <c r="G12" i="254"/>
  <c r="AD11" i="254"/>
  <c r="AE11" i="254"/>
  <c r="AF11" i="254"/>
  <c r="AC11" i="254"/>
  <c r="J11" i="254"/>
  <c r="Z8" i="254"/>
  <c r="AZ52" i="1"/>
  <c r="BD52" i="1" s="1"/>
  <c r="Y11" i="254"/>
  <c r="Z11" i="254"/>
  <c r="AA11" i="254"/>
  <c r="AB11" i="254"/>
  <c r="AY52" i="1"/>
  <c r="BC52" i="1" s="1"/>
  <c r="S11" i="254"/>
  <c r="K11" i="254"/>
  <c r="L11" i="254"/>
  <c r="AX52" i="1"/>
  <c r="BB52" i="1" s="1"/>
  <c r="M11" i="254"/>
  <c r="N11" i="254"/>
  <c r="O11" i="254"/>
  <c r="P11" i="254"/>
  <c r="AW49" i="1"/>
  <c r="BA49" i="1" s="1"/>
  <c r="Q11" i="254"/>
  <c r="R11" i="254"/>
  <c r="T11" i="254"/>
  <c r="U11" i="254"/>
  <c r="V11" i="254"/>
  <c r="W11" i="254"/>
  <c r="X11" i="254"/>
  <c r="R69" i="1"/>
  <c r="AW48" i="1"/>
  <c r="BA48" i="1" s="1"/>
  <c r="AW50" i="1"/>
  <c r="BA50" i="1" s="1"/>
  <c r="AW51" i="1"/>
  <c r="BA51" i="1" s="1"/>
  <c r="AW45" i="1"/>
  <c r="BA45" i="1" s="1"/>
  <c r="AW52" i="1"/>
  <c r="BA52" i="1" s="1"/>
  <c r="AW46" i="1"/>
  <c r="BA46" i="1" s="1"/>
  <c r="AW47" i="1"/>
  <c r="BA47" i="1" s="1"/>
  <c r="E11" i="254"/>
  <c r="F11" i="254"/>
  <c r="G11" i="254"/>
  <c r="I11" i="254"/>
  <c r="H11" i="254"/>
  <c r="A11" i="254"/>
  <c r="B11" i="254"/>
  <c r="C11" i="254"/>
  <c r="D11" i="254"/>
  <c r="Z9" i="254"/>
  <c r="Z6" i="111"/>
  <c r="Z12" i="111"/>
  <c r="Z13" i="111"/>
  <c r="Z8" i="111"/>
  <c r="Z9" i="111"/>
  <c r="U10" i="111"/>
  <c r="Z10" i="111"/>
  <c r="Z5" i="111"/>
  <c r="AQ60" i="1"/>
  <c r="M69" i="1"/>
  <c r="AS64" i="1" a="1"/>
  <c r="AS64" i="1" s="1"/>
  <c r="S63" i="1"/>
  <c r="BF66" i="1"/>
  <c r="AS61" i="1" a="1"/>
  <c r="AS61" i="1" s="1"/>
  <c r="O63" i="1" a="1"/>
  <c r="O63" i="1" s="1"/>
  <c r="R63" i="1"/>
  <c r="R62" i="1"/>
  <c r="S56" i="1"/>
  <c r="S62" i="1"/>
  <c r="AQ62" i="1"/>
  <c r="AR64" i="1"/>
  <c r="AR70" i="1"/>
  <c r="AP70" i="1"/>
  <c r="AS63" i="1" a="1"/>
  <c r="AS63" i="1" s="1"/>
  <c r="AS70" i="1" a="1"/>
  <c r="AS70" i="1" s="1"/>
  <c r="BE71" i="1"/>
  <c r="AQ67" i="1"/>
  <c r="BF70" i="1"/>
  <c r="BE65" i="1"/>
  <c r="AQ69" i="1"/>
  <c r="O71" i="1" a="1"/>
  <c r="O71" i="1" s="1"/>
  <c r="Q68" i="1" a="1"/>
  <c r="Q68" i="1" s="1"/>
  <c r="AP71" i="1"/>
  <c r="AQ59" i="1"/>
  <c r="M57" i="1"/>
  <c r="O57" i="1" a="1"/>
  <c r="O57" i="1" s="1"/>
  <c r="P57" i="1"/>
  <c r="Q57" i="1" a="1"/>
  <c r="Q57" i="1" s="1"/>
  <c r="BE58" i="1"/>
  <c r="R57" i="1"/>
  <c r="BF58" i="1"/>
  <c r="AR61" i="1"/>
  <c r="S68" i="1"/>
  <c r="AR71" i="1"/>
  <c r="AS71" i="1" a="1"/>
  <c r="AS71" i="1" s="1"/>
  <c r="M70" i="1"/>
  <c r="BF57" i="1"/>
  <c r="Q62" i="1" a="1"/>
  <c r="Q62" i="1" s="1"/>
  <c r="AP64" i="1"/>
  <c r="AR67" i="1"/>
  <c r="AP57" i="1"/>
  <c r="AR57" i="1"/>
  <c r="AR60" i="1"/>
  <c r="AS57" i="1" a="1"/>
  <c r="AS57" i="1" s="1"/>
  <c r="AS60" i="1" a="1"/>
  <c r="AS60" i="1" s="1"/>
  <c r="AQ64" i="1"/>
  <c r="Q56" i="1" a="1"/>
  <c r="Q56" i="1" s="1"/>
  <c r="AP61" i="1"/>
  <c r="AP63" i="1"/>
  <c r="R56" i="1"/>
  <c r="AQ61" i="1"/>
  <c r="AR63" i="1"/>
  <c r="AS67" i="1" a="1"/>
  <c r="AS67" i="1" s="1"/>
  <c r="O69" i="1" a="1"/>
  <c r="O69" i="1" s="1"/>
  <c r="P71" i="1"/>
  <c r="P69" i="1"/>
  <c r="Q71" i="1" a="1"/>
  <c r="Q71" i="1" s="1"/>
  <c r="BE67" i="1"/>
  <c r="Q69" i="1" a="1"/>
  <c r="Q69" i="1" s="1"/>
  <c r="BE63" i="1"/>
  <c r="BF67" i="1"/>
  <c r="BE61" i="1"/>
  <c r="P63" i="1"/>
  <c r="BE60" i="1"/>
  <c r="Q63" i="1" a="1"/>
  <c r="Q63" i="1" s="1"/>
  <c r="BE66" i="1"/>
  <c r="R68" i="1"/>
  <c r="AQ70" i="1"/>
  <c r="AQ71" i="1"/>
  <c r="BF60" i="1"/>
  <c r="P58" i="1"/>
  <c r="M60" i="1"/>
  <c r="P65" i="1"/>
  <c r="M66" i="1"/>
  <c r="AP68" i="1"/>
  <c r="BE69" i="1"/>
  <c r="Q58" i="1" a="1"/>
  <c r="Q58" i="1" s="1"/>
  <c r="O60" i="1" a="1"/>
  <c r="O60" i="1" s="1"/>
  <c r="Q65" i="1" a="1"/>
  <c r="Q65" i="1" s="1"/>
  <c r="O66" i="1" a="1"/>
  <c r="O66" i="1" s="1"/>
  <c r="AR68" i="1"/>
  <c r="BF69" i="1"/>
  <c r="R65" i="1"/>
  <c r="P66" i="1"/>
  <c r="AS68" i="1" a="1"/>
  <c r="AS68" i="1" s="1"/>
  <c r="R51" i="1"/>
  <c r="Q51" i="1" s="1" a="1"/>
  <c r="Q51" i="1" s="1"/>
  <c r="R60" i="1"/>
  <c r="R66" i="1"/>
  <c r="AP69" i="1"/>
  <c r="O70" i="1" a="1"/>
  <c r="O70" i="1" s="1"/>
  <c r="O54" i="1" a="1"/>
  <c r="O54" i="1" s="1"/>
  <c r="S66" i="1"/>
  <c r="Q67" i="1" a="1"/>
  <c r="Q67" i="1" s="1"/>
  <c r="AQ68" i="1"/>
  <c r="P70" i="1"/>
  <c r="AP58" i="1"/>
  <c r="AS69" i="1" a="1"/>
  <c r="AS69" i="1" s="1"/>
  <c r="R70" i="1"/>
  <c r="AP55" i="1"/>
  <c r="M58" i="1"/>
  <c r="O58" i="1" a="1"/>
  <c r="O58" i="1" s="1"/>
  <c r="O65" i="1" a="1"/>
  <c r="O65" i="1" s="1"/>
  <c r="R58" i="1"/>
  <c r="P60" i="1"/>
  <c r="M53" i="1"/>
  <c r="Q60" i="1" a="1"/>
  <c r="Q60" i="1" s="1"/>
  <c r="S65" i="1"/>
  <c r="O53" i="1" a="1"/>
  <c r="O53" i="1" s="1"/>
  <c r="M54" i="1"/>
  <c r="BE55" i="1"/>
  <c r="Q70" i="1" a="1"/>
  <c r="Q70" i="1" s="1"/>
  <c r="R53" i="1"/>
  <c r="Q54" i="1" a="1"/>
  <c r="Q54" i="1" s="1"/>
  <c r="M56" i="1"/>
  <c r="S53" i="1"/>
  <c r="R54" i="1"/>
  <c r="O56" i="1" a="1"/>
  <c r="O56" i="1" s="1"/>
  <c r="AR58" i="1"/>
  <c r="O62" i="1" a="1"/>
  <c r="O62" i="1" s="1"/>
  <c r="AP66" i="1"/>
  <c r="M68" i="1"/>
  <c r="AR55" i="1"/>
  <c r="AQ66" i="1"/>
  <c r="AS55" i="1" a="1"/>
  <c r="AS55" i="1" s="1"/>
  <c r="P53" i="1"/>
  <c r="P54" i="1"/>
  <c r="R61" i="1"/>
  <c r="AQ58" i="1"/>
  <c r="M62" i="1"/>
  <c r="AR66" i="1"/>
  <c r="O68" i="1" a="1"/>
  <c r="O68" i="1" s="1"/>
  <c r="BE68" i="1"/>
  <c r="M71" i="1"/>
  <c r="AQ65" i="1"/>
  <c r="VE4" i="520"/>
  <c r="VF4" i="520"/>
  <c r="UY4" i="520"/>
  <c r="VA4" i="520"/>
  <c r="VB4" i="520"/>
  <c r="UZ4" i="520"/>
  <c r="VC4" i="520"/>
  <c r="R50" i="1"/>
  <c r="Q50" i="1" s="1" a="1"/>
  <c r="Q50" i="1" s="1"/>
  <c r="R47" i="1"/>
  <c r="Q47" i="1" s="1" a="1"/>
  <c r="Q47" i="1" s="1"/>
  <c r="P47" i="1"/>
  <c r="O47" i="1" s="1" a="1"/>
  <c r="O47" i="1" s="1"/>
  <c r="P45" i="1"/>
  <c r="O45" i="1" s="1" a="1"/>
  <c r="O45" i="1" s="1"/>
  <c r="R52" i="1"/>
  <c r="Q52" i="1" s="1" a="1"/>
  <c r="Q52" i="1" s="1"/>
  <c r="P52" i="1"/>
  <c r="O52" i="1" s="1" a="1"/>
  <c r="O52" i="1" s="1"/>
  <c r="R46" i="1"/>
  <c r="Q46" i="1" s="1" a="1"/>
  <c r="Q46" i="1" s="1"/>
  <c r="R48" i="1"/>
  <c r="Q48" i="1" s="1" a="1"/>
  <c r="Q48" i="1" s="1"/>
  <c r="P50" i="1"/>
  <c r="O50" i="1" s="1" a="1"/>
  <c r="O50" i="1" s="1"/>
  <c r="R45" i="1"/>
  <c r="Q45" i="1" s="1" a="1"/>
  <c r="Q45" i="1" s="1"/>
  <c r="BP51" i="6"/>
  <c r="CF52" i="6"/>
  <c r="CV42" i="6"/>
  <c r="AJ48" i="6"/>
  <c r="T48" i="6" s="1"/>
  <c r="AJ38" i="6"/>
  <c r="CF49" i="6"/>
  <c r="CF44" i="6"/>
  <c r="BP43" i="6"/>
  <c r="AJ49" i="6"/>
  <c r="AJ50" i="6"/>
  <c r="AJ40" i="6"/>
  <c r="CF40" i="6"/>
  <c r="DL45" i="6"/>
  <c r="DL51" i="6"/>
  <c r="AJ41" i="6"/>
  <c r="T41" i="6" s="1"/>
  <c r="CF41" i="6"/>
  <c r="AJ42" i="6"/>
  <c r="T42" i="6" s="1"/>
  <c r="BP42" i="6"/>
  <c r="BP40" i="6"/>
  <c r="DL46" i="6"/>
  <c r="DL40" i="6"/>
  <c r="CF43" i="6"/>
  <c r="BP50" i="6"/>
  <c r="CV43" i="6"/>
  <c r="AJ47" i="6"/>
  <c r="CF50" i="6"/>
  <c r="DL43" i="6"/>
  <c r="BP47" i="6"/>
  <c r="CV50" i="6"/>
  <c r="BP41" i="6"/>
  <c r="CF38" i="6"/>
  <c r="CV44" i="6"/>
  <c r="BP48" i="6"/>
  <c r="CF51" i="6"/>
  <c r="DL38" i="6"/>
  <c r="DL44" i="6"/>
  <c r="CV51" i="6"/>
  <c r="AJ39" i="6"/>
  <c r="CF42" i="6"/>
  <c r="CV45" i="6"/>
  <c r="BP49" i="6"/>
  <c r="CV59" i="6"/>
  <c r="DL42" i="6"/>
  <c r="CV49" i="6"/>
  <c r="DL68" i="6"/>
  <c r="BP57" i="6"/>
  <c r="AJ78" i="6"/>
  <c r="T78" i="6" s="1"/>
  <c r="H44" i="1" a="1"/>
  <c r="H44" i="1" s="1"/>
  <c r="CV41" i="6"/>
  <c r="DL50" i="6"/>
  <c r="CF39" i="6"/>
  <c r="DL41" i="6"/>
  <c r="BP46" i="6"/>
  <c r="CV48" i="6"/>
  <c r="AJ53" i="6"/>
  <c r="CF48" i="6"/>
  <c r="CV39" i="6"/>
  <c r="AJ44" i="6"/>
  <c r="T44" i="6" s="1"/>
  <c r="CF46" i="6"/>
  <c r="DL48" i="6"/>
  <c r="BP53" i="6"/>
  <c r="AJ46" i="6"/>
  <c r="CV70" i="6"/>
  <c r="DL39" i="6"/>
  <c r="BP44" i="6"/>
  <c r="CV46" i="6"/>
  <c r="AJ51" i="6"/>
  <c r="T51" i="6" s="1"/>
  <c r="CF53" i="6"/>
  <c r="CV53" i="6"/>
  <c r="CF75" i="6"/>
  <c r="DL53" i="6"/>
  <c r="AJ64" i="6"/>
  <c r="T64" i="6" s="1"/>
  <c r="DL80" i="6"/>
  <c r="DL88" i="6"/>
  <c r="BP38" i="6"/>
  <c r="CV40" i="6"/>
  <c r="AJ45" i="6"/>
  <c r="CF47" i="6"/>
  <c r="DL49" i="6"/>
  <c r="BP45" i="6"/>
  <c r="CV47" i="6"/>
  <c r="AJ52" i="6"/>
  <c r="T52" i="6" s="1"/>
  <c r="CV38" i="6"/>
  <c r="AJ43" i="6"/>
  <c r="T43" i="6" s="1"/>
  <c r="CF45" i="6"/>
  <c r="DL47" i="6"/>
  <c r="BP52" i="6"/>
  <c r="DL52" i="6"/>
  <c r="BP39" i="6"/>
  <c r="AE7" i="8"/>
  <c r="AE8" i="8"/>
  <c r="AA5" i="254"/>
  <c r="AZ48" i="1"/>
  <c r="BD48" i="1" s="1"/>
  <c r="AC5" i="254"/>
  <c r="AE5" i="254"/>
  <c r="T6" i="254"/>
  <c r="Y6" i="254"/>
  <c r="R7" i="254"/>
  <c r="W7" i="254"/>
  <c r="N7" i="254"/>
  <c r="AD8" i="254"/>
  <c r="AB9" i="254"/>
  <c r="BD4" i="254"/>
  <c r="W4" i="254" s="1"/>
  <c r="X10" i="254"/>
  <c r="Z10" i="254"/>
  <c r="AZ45" i="1"/>
  <c r="BD45" i="1" s="1"/>
  <c r="AD10" i="254"/>
  <c r="A6" i="254"/>
  <c r="B6" i="254"/>
  <c r="C6" i="254"/>
  <c r="AZ46" i="1"/>
  <c r="BD46" i="1" s="1"/>
  <c r="AZ49" i="1"/>
  <c r="BD49" i="1" s="1"/>
  <c r="L4" i="254"/>
  <c r="AB4" i="254"/>
  <c r="X5" i="254"/>
  <c r="Q6" i="254"/>
  <c r="O7" i="254"/>
  <c r="K8" i="254"/>
  <c r="AA8" i="254"/>
  <c r="W9" i="254"/>
  <c r="U10" i="254"/>
  <c r="M10" i="254"/>
  <c r="Z6" i="254"/>
  <c r="X7" i="254"/>
  <c r="Y7" i="254"/>
  <c r="AX46" i="1"/>
  <c r="BB46" i="1" s="1"/>
  <c r="M4" i="254"/>
  <c r="V10" i="254"/>
  <c r="AX45" i="1"/>
  <c r="BB45" i="1" s="1"/>
  <c r="Y5" i="254"/>
  <c r="R6" i="254"/>
  <c r="P7" i="254"/>
  <c r="L8" i="254"/>
  <c r="AB8" i="254"/>
  <c r="X9" i="254"/>
  <c r="AY45" i="1"/>
  <c r="BC45" i="1" s="1"/>
  <c r="N4" i="254"/>
  <c r="H10" i="254"/>
  <c r="Z5" i="254"/>
  <c r="S6" i="254"/>
  <c r="Q7" i="254"/>
  <c r="M8" i="254"/>
  <c r="AC8" i="254"/>
  <c r="Y9" i="254"/>
  <c r="W10" i="254"/>
  <c r="K5" i="254"/>
  <c r="N8" i="254"/>
  <c r="P4" i="254"/>
  <c r="AR4" i="254"/>
  <c r="K4" i="254" s="1"/>
  <c r="L5" i="254"/>
  <c r="AB5" i="254"/>
  <c r="U6" i="254"/>
  <c r="S7" i="254"/>
  <c r="O8" i="254"/>
  <c r="K9" i="254"/>
  <c r="AA9" i="254"/>
  <c r="Y10" i="254"/>
  <c r="M5" i="254"/>
  <c r="V6" i="254"/>
  <c r="T7" i="254"/>
  <c r="P8" i="254"/>
  <c r="L9" i="254"/>
  <c r="AY48" i="1"/>
  <c r="BC48" i="1" s="1"/>
  <c r="R4" i="254"/>
  <c r="AX4" i="254"/>
  <c r="Q4" i="254" s="1"/>
  <c r="N5" i="254"/>
  <c r="W6" i="254"/>
  <c r="U7" i="254"/>
  <c r="Q8" i="254"/>
  <c r="M9" i="254"/>
  <c r="K10" i="254"/>
  <c r="AA10" i="254"/>
  <c r="S4" i="254"/>
  <c r="O5" i="254"/>
  <c r="X6" i="254"/>
  <c r="V7" i="254"/>
  <c r="R8" i="254"/>
  <c r="N9" i="254"/>
  <c r="L10" i="254"/>
  <c r="AB10" i="254"/>
  <c r="AX48" i="1"/>
  <c r="BB48" i="1" s="1"/>
  <c r="T4" i="254"/>
  <c r="S8" i="254"/>
  <c r="O9" i="254"/>
  <c r="U4" i="254"/>
  <c r="Q5" i="254"/>
  <c r="N10" i="254"/>
  <c r="AZ51" i="1"/>
  <c r="BD51" i="1" s="1"/>
  <c r="BJ4" i="254"/>
  <c r="AC4" i="254" s="1"/>
  <c r="K6" i="254"/>
  <c r="AA6" i="254"/>
  <c r="Q9" i="254"/>
  <c r="AZ47" i="1"/>
  <c r="BD47" i="1" s="1"/>
  <c r="L6" i="254"/>
  <c r="AB6" i="254"/>
  <c r="Z7" i="254"/>
  <c r="V8" i="254"/>
  <c r="R9" i="254"/>
  <c r="AY46" i="1"/>
  <c r="BC46" i="1" s="1"/>
  <c r="AZ50" i="1"/>
  <c r="BD50" i="1" s="1"/>
  <c r="X4" i="254"/>
  <c r="T5" i="254"/>
  <c r="M6" i="254"/>
  <c r="K7" i="254"/>
  <c r="AA7" i="254"/>
  <c r="W8" i="254"/>
  <c r="S9" i="254"/>
  <c r="Q10" i="254"/>
  <c r="AX47" i="1"/>
  <c r="BB47" i="1" s="1"/>
  <c r="AY51" i="1"/>
  <c r="BC51" i="1" s="1"/>
  <c r="T8" i="254"/>
  <c r="Y4" i="254"/>
  <c r="U5" i="254"/>
  <c r="N6" i="254"/>
  <c r="L7" i="254"/>
  <c r="AB7" i="254"/>
  <c r="X8" i="254"/>
  <c r="T9" i="254"/>
  <c r="R10" i="254"/>
  <c r="AX51" i="1"/>
  <c r="BB51" i="1" s="1"/>
  <c r="P5" i="254"/>
  <c r="P9" i="254"/>
  <c r="AY47" i="1"/>
  <c r="BC47" i="1" s="1"/>
  <c r="AX50" i="1"/>
  <c r="BB50" i="1" s="1"/>
  <c r="V4" i="254"/>
  <c r="R5" i="254"/>
  <c r="O10" i="254"/>
  <c r="AY50" i="1"/>
  <c r="BC50" i="1" s="1"/>
  <c r="P10" i="254"/>
  <c r="AX49" i="1"/>
  <c r="BB49" i="1" s="1"/>
  <c r="Z4" i="254"/>
  <c r="V5" i="254"/>
  <c r="O6" i="254"/>
  <c r="M7" i="254"/>
  <c r="AD7" i="254"/>
  <c r="Y8" i="254"/>
  <c r="U9" i="254"/>
  <c r="S10" i="254"/>
  <c r="U8" i="254"/>
  <c r="S5" i="254"/>
  <c r="AY49" i="1"/>
  <c r="BC49" i="1" s="1"/>
  <c r="AA4" i="254"/>
  <c r="W5" i="254"/>
  <c r="P6" i="254"/>
  <c r="AF7" i="254"/>
  <c r="V9" i="254"/>
  <c r="AE9" i="254"/>
  <c r="AF9" i="254"/>
  <c r="AC7" i="254"/>
  <c r="AD5" i="254"/>
  <c r="AE7" i="254"/>
  <c r="AC10" i="254"/>
  <c r="AF5" i="254"/>
  <c r="AE10" i="254"/>
  <c r="AF10" i="254"/>
  <c r="AF8" i="254"/>
  <c r="AE6" i="8"/>
  <c r="AD4" i="254"/>
  <c r="AC6" i="254"/>
  <c r="AE8" i="254"/>
  <c r="AE4" i="254"/>
  <c r="AD6" i="254"/>
  <c r="AF4" i="254"/>
  <c r="AE6" i="254"/>
  <c r="AC9" i="254"/>
  <c r="AF6" i="254"/>
  <c r="AJ102" i="6"/>
  <c r="T102" i="6" s="1"/>
  <c r="CV104" i="6"/>
  <c r="DL104" i="6"/>
  <c r="CV88" i="6"/>
  <c r="CF66" i="6"/>
  <c r="CF83" i="6"/>
  <c r="CF99" i="6"/>
  <c r="AJ86" i="6"/>
  <c r="T86" i="6" s="1"/>
  <c r="AJ55" i="6"/>
  <c r="T55" i="6" s="1"/>
  <c r="CF57" i="6"/>
  <c r="DL59" i="6"/>
  <c r="BP64" i="6"/>
  <c r="CV66" i="6"/>
  <c r="DL70" i="6"/>
  <c r="CV75" i="6"/>
  <c r="BP78" i="6"/>
  <c r="CV83" i="6"/>
  <c r="BP86" i="6"/>
  <c r="CV99" i="6"/>
  <c r="BP102" i="6"/>
  <c r="BP55" i="6"/>
  <c r="CV57" i="6"/>
  <c r="AJ62" i="6"/>
  <c r="T62" i="6" s="1"/>
  <c r="CF64" i="6"/>
  <c r="DL66" i="6"/>
  <c r="AJ73" i="6"/>
  <c r="T73" i="6" s="1"/>
  <c r="DL75" i="6"/>
  <c r="CF78" i="6"/>
  <c r="AJ81" i="6"/>
  <c r="T81" i="6" s="1"/>
  <c r="DL83" i="6"/>
  <c r="CF86" i="6"/>
  <c r="AJ89" i="6"/>
  <c r="T89" i="6" s="1"/>
  <c r="AJ91" i="6"/>
  <c r="T91" i="6" s="1"/>
  <c r="AJ93" i="6"/>
  <c r="AJ95" i="6"/>
  <c r="T95" i="6" s="1"/>
  <c r="AJ97" i="6"/>
  <c r="T97" i="6" s="1"/>
  <c r="DL99" i="6"/>
  <c r="CF102" i="6"/>
  <c r="AJ105" i="6"/>
  <c r="T105" i="6" s="1"/>
  <c r="CF55" i="6"/>
  <c r="DL57" i="6"/>
  <c r="BP62" i="6"/>
  <c r="CV64" i="6"/>
  <c r="BP73" i="6"/>
  <c r="CV78" i="6"/>
  <c r="BP81" i="6"/>
  <c r="CV86" i="6"/>
  <c r="BP89" i="6"/>
  <c r="BP91" i="6"/>
  <c r="BP93" i="6"/>
  <c r="BP95" i="6"/>
  <c r="BP97" i="6"/>
  <c r="CV102" i="6"/>
  <c r="BP105" i="6"/>
  <c r="CV55" i="6"/>
  <c r="AJ60" i="6"/>
  <c r="T60" i="6" s="1"/>
  <c r="CF62" i="6"/>
  <c r="DL64" i="6"/>
  <c r="AJ69" i="6"/>
  <c r="AJ71" i="6"/>
  <c r="T71" i="6" s="1"/>
  <c r="CF73" i="6"/>
  <c r="AJ76" i="6"/>
  <c r="T76" i="6" s="1"/>
  <c r="DL78" i="6"/>
  <c r="CF81" i="6"/>
  <c r="AJ84" i="6"/>
  <c r="T84" i="6" s="1"/>
  <c r="DL86" i="6"/>
  <c r="CF89" i="6"/>
  <c r="CF91" i="6"/>
  <c r="CF93" i="6"/>
  <c r="CF95" i="6"/>
  <c r="CF97" i="6"/>
  <c r="AJ100" i="6"/>
  <c r="T100" i="6" s="1"/>
  <c r="DL102" i="6"/>
  <c r="CF105" i="6"/>
  <c r="DL55" i="6"/>
  <c r="BP60" i="6"/>
  <c r="CV62" i="6"/>
  <c r="AJ67" i="6"/>
  <c r="BP69" i="6"/>
  <c r="BP71" i="6"/>
  <c r="CV73" i="6"/>
  <c r="BP76" i="6"/>
  <c r="CV81" i="6"/>
  <c r="BP84" i="6"/>
  <c r="CV89" i="6"/>
  <c r="CV91" i="6"/>
  <c r="CV93" i="6"/>
  <c r="CV95" i="6"/>
  <c r="CV97" i="6"/>
  <c r="BP100" i="6"/>
  <c r="CV105" i="6"/>
  <c r="AJ58" i="6"/>
  <c r="T58" i="6" s="1"/>
  <c r="CF60" i="6"/>
  <c r="DL62" i="6"/>
  <c r="BP67" i="6"/>
  <c r="CF69" i="6"/>
  <c r="CF71" i="6"/>
  <c r="DL73" i="6"/>
  <c r="CF76" i="6"/>
  <c r="AJ79" i="6"/>
  <c r="T79" i="6" s="1"/>
  <c r="DL81" i="6"/>
  <c r="CF84" i="6"/>
  <c r="AJ87" i="6"/>
  <c r="T87" i="6" s="1"/>
  <c r="DL89" i="6"/>
  <c r="DL91" i="6"/>
  <c r="DL93" i="6"/>
  <c r="DL95" i="6"/>
  <c r="DL97" i="6"/>
  <c r="CF100" i="6"/>
  <c r="AJ103" i="6"/>
  <c r="T103" i="6" s="1"/>
  <c r="DL105" i="6"/>
  <c r="BP58" i="6"/>
  <c r="CV60" i="6"/>
  <c r="AJ65" i="6"/>
  <c r="T65" i="6" s="1"/>
  <c r="CF67" i="6"/>
  <c r="CV69" i="6"/>
  <c r="CV71" i="6"/>
  <c r="CV76" i="6"/>
  <c r="BP79" i="6"/>
  <c r="CV84" i="6"/>
  <c r="BP87" i="6"/>
  <c r="CV100" i="6"/>
  <c r="BP103" i="6"/>
  <c r="AJ56" i="6"/>
  <c r="T56" i="6" s="1"/>
  <c r="CF58" i="6"/>
  <c r="DL60" i="6"/>
  <c r="BP65" i="6"/>
  <c r="CV67" i="6"/>
  <c r="DL69" i="6"/>
  <c r="DL71" i="6"/>
  <c r="AJ74" i="6"/>
  <c r="T74" i="6" s="1"/>
  <c r="DL76" i="6"/>
  <c r="CF79" i="6"/>
  <c r="AJ82" i="6"/>
  <c r="T82" i="6" s="1"/>
  <c r="DL84" i="6"/>
  <c r="CF87" i="6"/>
  <c r="AJ98" i="6"/>
  <c r="T98" i="6" s="1"/>
  <c r="DL100" i="6"/>
  <c r="CF103" i="6"/>
  <c r="AJ54" i="6"/>
  <c r="T54" i="6" s="1"/>
  <c r="BP56" i="6"/>
  <c r="CV58" i="6"/>
  <c r="AJ63" i="6"/>
  <c r="T63" i="6" s="1"/>
  <c r="CF65" i="6"/>
  <c r="DL67" i="6"/>
  <c r="BP74" i="6"/>
  <c r="CV79" i="6"/>
  <c r="BP82" i="6"/>
  <c r="CV87" i="6"/>
  <c r="BP98" i="6"/>
  <c r="CV103" i="6"/>
  <c r="BP54" i="6"/>
  <c r="CF56" i="6"/>
  <c r="DL58" i="6"/>
  <c r="BP63" i="6"/>
  <c r="CV65" i="6"/>
  <c r="CF74" i="6"/>
  <c r="AJ77" i="6"/>
  <c r="T77" i="6" s="1"/>
  <c r="DL79" i="6"/>
  <c r="CF82" i="6"/>
  <c r="AJ85" i="6"/>
  <c r="T85" i="6" s="1"/>
  <c r="DL87" i="6"/>
  <c r="AJ90" i="6"/>
  <c r="T90" i="6" s="1"/>
  <c r="AJ92" i="6"/>
  <c r="T92" i="6" s="1"/>
  <c r="AJ94" i="6"/>
  <c r="T94" i="6" s="1"/>
  <c r="AJ96" i="6"/>
  <c r="T96" i="6" s="1"/>
  <c r="CF98" i="6"/>
  <c r="AJ101" i="6"/>
  <c r="T101" i="6" s="1"/>
  <c r="DL103" i="6"/>
  <c r="CF54" i="6"/>
  <c r="CV56" i="6"/>
  <c r="AJ61" i="6"/>
  <c r="T61" i="6" s="1"/>
  <c r="CF63" i="6"/>
  <c r="DL65" i="6"/>
  <c r="AJ72" i="6"/>
  <c r="T72" i="6" s="1"/>
  <c r="CV74" i="6"/>
  <c r="BP77" i="6"/>
  <c r="CV82" i="6"/>
  <c r="BP85" i="6"/>
  <c r="BP90" i="6"/>
  <c r="BP92" i="6"/>
  <c r="BP94" i="6"/>
  <c r="BP96" i="6"/>
  <c r="CV98" i="6"/>
  <c r="BP101" i="6"/>
  <c r="CV54" i="6"/>
  <c r="DL56" i="6"/>
  <c r="BP61" i="6"/>
  <c r="CV63" i="6"/>
  <c r="AJ68" i="6"/>
  <c r="T68" i="6" s="1"/>
  <c r="BP72" i="6"/>
  <c r="DL74" i="6"/>
  <c r="CF77" i="6"/>
  <c r="AJ80" i="6"/>
  <c r="DL82" i="6"/>
  <c r="CF85" i="6"/>
  <c r="AJ88" i="6"/>
  <c r="T88" i="6" s="1"/>
  <c r="CF90" i="6"/>
  <c r="CF92" i="6"/>
  <c r="CF94" i="6"/>
  <c r="CF96" i="6"/>
  <c r="DL98" i="6"/>
  <c r="CF101" i="6"/>
  <c r="AJ104" i="6"/>
  <c r="T104" i="6" s="1"/>
  <c r="DL54" i="6"/>
  <c r="AJ59" i="6"/>
  <c r="CF61" i="6"/>
  <c r="DL63" i="6"/>
  <c r="BP68" i="6"/>
  <c r="AJ70" i="6"/>
  <c r="T70" i="6" s="1"/>
  <c r="CF72" i="6"/>
  <c r="CV77" i="6"/>
  <c r="BP80" i="6"/>
  <c r="CV85" i="6"/>
  <c r="BP88" i="6"/>
  <c r="CV90" i="6"/>
  <c r="CV92" i="6"/>
  <c r="CV94" i="6"/>
  <c r="CV96" i="6"/>
  <c r="CV101" i="6"/>
  <c r="BP104" i="6"/>
  <c r="BP59" i="6"/>
  <c r="CV61" i="6"/>
  <c r="AJ66" i="6"/>
  <c r="T66" i="6" s="1"/>
  <c r="CF68" i="6"/>
  <c r="BP70" i="6"/>
  <c r="CV72" i="6"/>
  <c r="AJ75" i="6"/>
  <c r="T75" i="6" s="1"/>
  <c r="DL77" i="6"/>
  <c r="CF80" i="6"/>
  <c r="AJ83" i="6"/>
  <c r="T83" i="6" s="1"/>
  <c r="DL85" i="6"/>
  <c r="CF88" i="6"/>
  <c r="DL90" i="6"/>
  <c r="DL92" i="6"/>
  <c r="DL94" i="6"/>
  <c r="DL96" i="6"/>
  <c r="AJ99" i="6"/>
  <c r="T99" i="6" s="1"/>
  <c r="DL101" i="6"/>
  <c r="CF104" i="6"/>
  <c r="AJ57" i="6"/>
  <c r="T57" i="6" s="1"/>
  <c r="CF59" i="6"/>
  <c r="DL61" i="6"/>
  <c r="BP66" i="6"/>
  <c r="CV68" i="6"/>
  <c r="CF70" i="6"/>
  <c r="DL72" i="6"/>
  <c r="BP75" i="6"/>
  <c r="CV80" i="6"/>
  <c r="BP83" i="6"/>
  <c r="BP99" i="6"/>
  <c r="C9" i="254"/>
  <c r="D9" i="254"/>
  <c r="A5" i="254"/>
  <c r="C8" i="254"/>
  <c r="AM47" i="1"/>
  <c r="B5" i="254"/>
  <c r="D8" i="254"/>
  <c r="AM46" i="1"/>
  <c r="C5" i="254"/>
  <c r="A10" i="254"/>
  <c r="D6" i="254"/>
  <c r="AH4" i="254"/>
  <c r="D5" i="254"/>
  <c r="B10" i="254"/>
  <c r="B4" i="254"/>
  <c r="A7" i="254"/>
  <c r="C10" i="254"/>
  <c r="C4" i="254"/>
  <c r="B7" i="254"/>
  <c r="D10" i="254"/>
  <c r="AM48" i="1"/>
  <c r="A8" i="254"/>
  <c r="B8" i="254"/>
  <c r="BF50" i="1"/>
  <c r="D4" i="254"/>
  <c r="C7" i="254"/>
  <c r="D7" i="254"/>
  <c r="A9" i="254"/>
  <c r="I6" i="254"/>
  <c r="I9" i="254"/>
  <c r="I5" i="254"/>
  <c r="I8" i="254"/>
  <c r="I7" i="254"/>
  <c r="I10" i="254"/>
  <c r="J5" i="254"/>
  <c r="J6" i="254"/>
  <c r="J7" i="254"/>
  <c r="J8" i="254"/>
  <c r="J9" i="254"/>
  <c r="J10" i="254"/>
  <c r="AL4" i="254"/>
  <c r="E4" i="254" s="1"/>
  <c r="F4" i="254"/>
  <c r="G4" i="254"/>
  <c r="I4" i="254"/>
  <c r="E5" i="254"/>
  <c r="E6" i="254"/>
  <c r="E7" i="254"/>
  <c r="E8" i="254"/>
  <c r="E9" i="254"/>
  <c r="E10" i="254"/>
  <c r="F5" i="254"/>
  <c r="F6" i="254"/>
  <c r="F7" i="254"/>
  <c r="F8" i="254"/>
  <c r="F9" i="254"/>
  <c r="F10" i="254"/>
  <c r="G5" i="254"/>
  <c r="G6" i="254"/>
  <c r="G7" i="254"/>
  <c r="G8" i="254"/>
  <c r="G9" i="254"/>
  <c r="G10" i="254"/>
  <c r="H5" i="254"/>
  <c r="H6" i="254"/>
  <c r="H7" i="254"/>
  <c r="H8" i="254"/>
  <c r="H9" i="254"/>
  <c r="AV11" i="520"/>
  <c r="AV6" i="520"/>
  <c r="AW6" i="520"/>
  <c r="AW9" i="520"/>
  <c r="AV16" i="520"/>
  <c r="AW7" i="520"/>
  <c r="AV8" i="520"/>
  <c r="AW10" i="520"/>
  <c r="AW8" i="520"/>
  <c r="AW16" i="520"/>
  <c r="AW11" i="520"/>
  <c r="AV9" i="520"/>
  <c r="AV13" i="520"/>
  <c r="AW13" i="520"/>
  <c r="AV14" i="520"/>
  <c r="AW14" i="520"/>
  <c r="AV15" i="520"/>
  <c r="AW15" i="520"/>
  <c r="AV19" i="520"/>
  <c r="AV17" i="520"/>
  <c r="AW17" i="520"/>
  <c r="AV18" i="520"/>
  <c r="AW18" i="520"/>
  <c r="AV23" i="520"/>
  <c r="AV22" i="520"/>
  <c r="AV24" i="520"/>
  <c r="AW21" i="520"/>
  <c r="AW23" i="520"/>
  <c r="AW22" i="520"/>
  <c r="AW19" i="520"/>
  <c r="AV20" i="520"/>
  <c r="AW20" i="520"/>
  <c r="AV28" i="520"/>
  <c r="AW24" i="520"/>
  <c r="AW26" i="520"/>
  <c r="AV25" i="520"/>
  <c r="AW25" i="520"/>
  <c r="AV21" i="520"/>
  <c r="AV26" i="520"/>
  <c r="AV27" i="520"/>
  <c r="AW27" i="520"/>
  <c r="AW28" i="520"/>
  <c r="AW4" i="520"/>
  <c r="AV4" i="520"/>
  <c r="AV7" i="520"/>
  <c r="AV5" i="520"/>
  <c r="AW5" i="520"/>
  <c r="H41" i="1" a="1"/>
  <c r="H41" i="1" s="1"/>
  <c r="H40" i="1" a="1"/>
  <c r="H40" i="1" s="1"/>
  <c r="H43" i="1" a="1"/>
  <c r="H43" i="1" s="1"/>
  <c r="M28" i="1" s="1"/>
  <c r="R49" i="1"/>
  <c r="Q49" i="1" s="1" a="1"/>
  <c r="Q49" i="1" s="1"/>
  <c r="P49" i="1"/>
  <c r="M49" i="1"/>
  <c r="Q55" i="1" a="1"/>
  <c r="Q55" i="1" s="1"/>
  <c r="P55" i="1"/>
  <c r="O55" i="1" a="1"/>
  <c r="O55" i="1" s="1"/>
  <c r="R55" i="1"/>
  <c r="S59" i="1"/>
  <c r="R59" i="1"/>
  <c r="Q59" i="1" a="1"/>
  <c r="Q59" i="1" s="1"/>
  <c r="P59" i="1"/>
  <c r="BF56" i="1"/>
  <c r="AR56" i="1"/>
  <c r="AS56" i="1" a="1"/>
  <c r="AS56" i="1" s="1"/>
  <c r="AP56" i="1"/>
  <c r="O59" i="1" a="1"/>
  <c r="O59" i="1" s="1"/>
  <c r="R44" i="1"/>
  <c r="Q44" i="1" s="1" a="1"/>
  <c r="Q44" i="1" s="1"/>
  <c r="P44" i="1"/>
  <c r="O44" i="1" s="1" a="1"/>
  <c r="O44" i="1" s="1"/>
  <c r="AQ57" i="1"/>
  <c r="S55" i="1"/>
  <c r="BE56" i="1"/>
  <c r="AQ63" i="1"/>
  <c r="M55" i="1"/>
  <c r="BE59" i="1"/>
  <c r="AS59" i="1" a="1"/>
  <c r="AS59" i="1" s="1"/>
  <c r="BF59" i="1"/>
  <c r="AR59" i="1"/>
  <c r="AS62" i="1" a="1"/>
  <c r="AS62" i="1" s="1"/>
  <c r="AP62" i="1"/>
  <c r="BF62" i="1"/>
  <c r="AR62" i="1"/>
  <c r="BE62" i="1"/>
  <c r="R67" i="1"/>
  <c r="P67" i="1"/>
  <c r="O67" i="1" a="1"/>
  <c r="O67" i="1" s="1"/>
  <c r="M67" i="1"/>
  <c r="P46" i="1"/>
  <c r="O46" i="1" s="1" a="1"/>
  <c r="O46" i="1" s="1"/>
  <c r="Q64" i="1" a="1"/>
  <c r="Q64" i="1" s="1"/>
  <c r="P64" i="1"/>
  <c r="O64" i="1" a="1"/>
  <c r="O64" i="1" s="1"/>
  <c r="M64" i="1"/>
  <c r="Q61" i="1" a="1"/>
  <c r="Q61" i="1" s="1"/>
  <c r="P61" i="1"/>
  <c r="M61" i="1"/>
  <c r="BE64" i="1"/>
  <c r="O61" i="1" a="1"/>
  <c r="O61" i="1" s="1"/>
  <c r="R64" i="1"/>
  <c r="M45" i="1"/>
  <c r="M50" i="1"/>
  <c r="AP53" i="1"/>
  <c r="AP65" i="1"/>
  <c r="R71" i="1"/>
  <c r="BE53" i="1"/>
  <c r="AR53" i="1"/>
  <c r="AR65" i="1"/>
  <c r="BF65" i="1"/>
  <c r="N6" i="6"/>
  <c r="M6" i="6" s="1"/>
  <c r="Z8" i="6"/>
  <c r="AA10" i="6"/>
  <c r="V12" i="6"/>
  <c r="V15" i="6"/>
  <c r="P44" i="6"/>
  <c r="Y12" i="6"/>
  <c r="X15" i="6"/>
  <c r="Z12" i="6"/>
  <c r="Y15" i="6"/>
  <c r="S29" i="6"/>
  <c r="AA132" i="6"/>
  <c r="AA12" i="6"/>
  <c r="Z15" i="6"/>
  <c r="S17" i="6"/>
  <c r="T25" i="6"/>
  <c r="R14" i="6"/>
  <c r="T17" i="6"/>
  <c r="N7" i="6"/>
  <c r="S14" i="6"/>
  <c r="W17" i="6"/>
  <c r="Z85" i="6"/>
  <c r="W9" i="6"/>
  <c r="W11" i="6"/>
  <c r="V14" i="6"/>
  <c r="X17" i="6"/>
  <c r="W19" i="6"/>
  <c r="U35" i="6"/>
  <c r="Z7" i="6"/>
  <c r="Y9" i="6"/>
  <c r="X11" i="6"/>
  <c r="W14" i="6"/>
  <c r="Y17" i="6"/>
  <c r="X19" i="6"/>
  <c r="AA26" i="6"/>
  <c r="U5" i="6"/>
  <c r="AA7" i="6"/>
  <c r="AA9" i="6"/>
  <c r="Z11" i="6"/>
  <c r="AA14" i="6"/>
  <c r="V5" i="6"/>
  <c r="AA11" i="6"/>
  <c r="S13" i="6"/>
  <c r="U16" i="6"/>
  <c r="Z55" i="6"/>
  <c r="W5" i="6"/>
  <c r="U13" i="6"/>
  <c r="V16" i="6"/>
  <c r="T22" i="6"/>
  <c r="X64" i="6"/>
  <c r="Y5" i="6"/>
  <c r="W13" i="6"/>
  <c r="Y16" i="6"/>
  <c r="AA5" i="6"/>
  <c r="Y13" i="6"/>
  <c r="Z16" i="6"/>
  <c r="Y32" i="6"/>
  <c r="Z13" i="6"/>
  <c r="U18" i="6"/>
  <c r="P20" i="6"/>
  <c r="N8" i="6"/>
  <c r="V10" i="6"/>
  <c r="AA13" i="6"/>
  <c r="Y18" i="6"/>
  <c r="AA20" i="6"/>
  <c r="N28" i="6"/>
  <c r="AA6" i="6"/>
  <c r="Y8" i="6"/>
  <c r="W10" i="6"/>
  <c r="U12" i="6"/>
  <c r="R15" i="6"/>
  <c r="AA18" i="6"/>
  <c r="R58" i="6"/>
  <c r="R22" i="6"/>
  <c r="AA23" i="6"/>
  <c r="N25" i="6"/>
  <c r="X26" i="6"/>
  <c r="S32" i="6"/>
  <c r="AA33" i="6"/>
  <c r="S45" i="6"/>
  <c r="U50" i="6"/>
  <c r="R51" i="6"/>
  <c r="U55" i="6"/>
  <c r="Q64" i="6"/>
  <c r="R71" i="6"/>
  <c r="AA105" i="6"/>
  <c r="X128" i="6"/>
  <c r="X132" i="6"/>
  <c r="N21" i="6"/>
  <c r="S22" i="6"/>
  <c r="Y26" i="6"/>
  <c r="R29" i="6"/>
  <c r="T32" i="6"/>
  <c r="P35" i="6"/>
  <c r="X38" i="6"/>
  <c r="AA45" i="6"/>
  <c r="V50" i="6"/>
  <c r="X55" i="6"/>
  <c r="V71" i="6"/>
  <c r="V90" i="6"/>
  <c r="N103" i="6"/>
  <c r="V112" i="6"/>
  <c r="X120" i="6"/>
  <c r="P124" i="6"/>
  <c r="AA128" i="6"/>
  <c r="W137" i="6"/>
  <c r="Y136" i="6"/>
  <c r="AA135" i="6"/>
  <c r="Q132" i="6"/>
  <c r="S131" i="6"/>
  <c r="U130" i="6"/>
  <c r="W129" i="6"/>
  <c r="Y128" i="6"/>
  <c r="AA127" i="6"/>
  <c r="Q124" i="6"/>
  <c r="S123" i="6"/>
  <c r="U122" i="6"/>
  <c r="W121" i="6"/>
  <c r="Y120" i="6"/>
  <c r="AA119" i="6"/>
  <c r="Q116" i="6"/>
  <c r="S115" i="6"/>
  <c r="U114" i="6"/>
  <c r="W113" i="6"/>
  <c r="Y112" i="6"/>
  <c r="AA111" i="6"/>
  <c r="Q108" i="6"/>
  <c r="S107" i="6"/>
  <c r="U106" i="6"/>
  <c r="Z105" i="6"/>
  <c r="Y102" i="6"/>
  <c r="AA96" i="6"/>
  <c r="Q93" i="6"/>
  <c r="S92" i="6"/>
  <c r="U91" i="6"/>
  <c r="U137" i="6"/>
  <c r="W136" i="6"/>
  <c r="Y135" i="6"/>
  <c r="AA134" i="6"/>
  <c r="Q131" i="6"/>
  <c r="S130" i="6"/>
  <c r="U129" i="6"/>
  <c r="W128" i="6"/>
  <c r="Y127" i="6"/>
  <c r="AA126" i="6"/>
  <c r="Q123" i="6"/>
  <c r="S122" i="6"/>
  <c r="U121" i="6"/>
  <c r="W120" i="6"/>
  <c r="Y119" i="6"/>
  <c r="AA118" i="6"/>
  <c r="Q115" i="6"/>
  <c r="S114" i="6"/>
  <c r="U113" i="6"/>
  <c r="W112" i="6"/>
  <c r="Y111" i="6"/>
  <c r="AA110" i="6"/>
  <c r="Q107" i="6"/>
  <c r="S106" i="6"/>
  <c r="X105" i="6"/>
  <c r="R103" i="6"/>
  <c r="W102" i="6"/>
  <c r="AA95" i="6"/>
  <c r="Q92" i="6"/>
  <c r="S91" i="6"/>
  <c r="U90" i="6"/>
  <c r="S137" i="6"/>
  <c r="U136" i="6"/>
  <c r="W135" i="6"/>
  <c r="Y134" i="6"/>
  <c r="AA133" i="6"/>
  <c r="Q130" i="6"/>
  <c r="S129" i="6"/>
  <c r="U128" i="6"/>
  <c r="W127" i="6"/>
  <c r="Y126" i="6"/>
  <c r="AA125" i="6"/>
  <c r="Q122" i="6"/>
  <c r="S121" i="6"/>
  <c r="U120" i="6"/>
  <c r="W119" i="6"/>
  <c r="Y118" i="6"/>
  <c r="AA117" i="6"/>
  <c r="Q114" i="6"/>
  <c r="S113" i="6"/>
  <c r="U112" i="6"/>
  <c r="W111" i="6"/>
  <c r="Y110" i="6"/>
  <c r="AA109" i="6"/>
  <c r="Q106" i="6"/>
  <c r="V105" i="6"/>
  <c r="AA104" i="6"/>
  <c r="P103" i="6"/>
  <c r="U102" i="6"/>
  <c r="U101" i="6"/>
  <c r="U100" i="6"/>
  <c r="U99" i="6"/>
  <c r="U98" i="6"/>
  <c r="U97" i="6"/>
  <c r="AA94" i="6"/>
  <c r="Q91" i="6"/>
  <c r="S90" i="6"/>
  <c r="U89" i="6"/>
  <c r="U88" i="6"/>
  <c r="U87" i="6"/>
  <c r="U86" i="6"/>
  <c r="U85" i="6"/>
  <c r="U84" i="6"/>
  <c r="U83" i="6"/>
  <c r="U82" i="6"/>
  <c r="U81" i="6"/>
  <c r="U80" i="6"/>
  <c r="Q136" i="6"/>
  <c r="S135" i="6"/>
  <c r="U134" i="6"/>
  <c r="W133" i="6"/>
  <c r="Y132" i="6"/>
  <c r="AA131" i="6"/>
  <c r="Q128" i="6"/>
  <c r="S127" i="6"/>
  <c r="U126" i="6"/>
  <c r="W125" i="6"/>
  <c r="Y124" i="6"/>
  <c r="AA123" i="6"/>
  <c r="Q120" i="6"/>
  <c r="S119" i="6"/>
  <c r="U118" i="6"/>
  <c r="W117" i="6"/>
  <c r="Y116" i="6"/>
  <c r="AA115" i="6"/>
  <c r="Q112" i="6"/>
  <c r="S111" i="6"/>
  <c r="U110" i="6"/>
  <c r="W109" i="6"/>
  <c r="Y108" i="6"/>
  <c r="AA107" i="6"/>
  <c r="R105" i="6"/>
  <c r="W104" i="6"/>
  <c r="Q102" i="6"/>
  <c r="Q101" i="6"/>
  <c r="Q100" i="6"/>
  <c r="Q135" i="6"/>
  <c r="S134" i="6"/>
  <c r="U133" i="6"/>
  <c r="W132" i="6"/>
  <c r="Y131" i="6"/>
  <c r="AA130" i="6"/>
  <c r="Q127" i="6"/>
  <c r="S126" i="6"/>
  <c r="U125" i="6"/>
  <c r="W124" i="6"/>
  <c r="Y123" i="6"/>
  <c r="AA122" i="6"/>
  <c r="Q119" i="6"/>
  <c r="S118" i="6"/>
  <c r="U117" i="6"/>
  <c r="W116" i="6"/>
  <c r="Y115" i="6"/>
  <c r="AA114" i="6"/>
  <c r="Q111" i="6"/>
  <c r="S110" i="6"/>
  <c r="U109" i="6"/>
  <c r="W108" i="6"/>
  <c r="Y107" i="6"/>
  <c r="AA106" i="6"/>
  <c r="P105" i="6"/>
  <c r="U104" i="6"/>
  <c r="Z103" i="6"/>
  <c r="Q96" i="6"/>
  <c r="S95" i="6"/>
  <c r="U94" i="6"/>
  <c r="AA91" i="6"/>
  <c r="AA137" i="6"/>
  <c r="V136" i="6"/>
  <c r="P135" i="6"/>
  <c r="N134" i="6"/>
  <c r="W131" i="6"/>
  <c r="T130" i="6"/>
  <c r="P129" i="6"/>
  <c r="X126" i="6"/>
  <c r="T125" i="6"/>
  <c r="R124" i="6"/>
  <c r="AA121" i="6"/>
  <c r="V120" i="6"/>
  <c r="P119" i="6"/>
  <c r="N118" i="6"/>
  <c r="W115" i="6"/>
  <c r="T114" i="6"/>
  <c r="P113" i="6"/>
  <c r="X110" i="6"/>
  <c r="T109" i="6"/>
  <c r="R108" i="6"/>
  <c r="AA97" i="6"/>
  <c r="S96" i="6"/>
  <c r="N95" i="6"/>
  <c r="R92" i="6"/>
  <c r="AA90" i="6"/>
  <c r="AA87" i="6"/>
  <c r="R86" i="6"/>
  <c r="X84" i="6"/>
  <c r="P83" i="6"/>
  <c r="AA79" i="6"/>
  <c r="V77" i="6"/>
  <c r="U76" i="6"/>
  <c r="U75" i="6"/>
  <c r="U74" i="6"/>
  <c r="U73" i="6"/>
  <c r="V72" i="6"/>
  <c r="X70" i="6"/>
  <c r="Q68" i="6"/>
  <c r="T67" i="6"/>
  <c r="Z65" i="6"/>
  <c r="P63" i="6"/>
  <c r="S62" i="6"/>
  <c r="V61" i="6"/>
  <c r="R57" i="6"/>
  <c r="R137" i="6"/>
  <c r="X133" i="6"/>
  <c r="T132" i="6"/>
  <c r="N131" i="6"/>
  <c r="Z128" i="6"/>
  <c r="T127" i="6"/>
  <c r="P126" i="6"/>
  <c r="Z123" i="6"/>
  <c r="W122" i="6"/>
  <c r="R121" i="6"/>
  <c r="X117" i="6"/>
  <c r="T116" i="6"/>
  <c r="N115" i="6"/>
  <c r="Z112" i="6"/>
  <c r="T111" i="6"/>
  <c r="P110" i="6"/>
  <c r="Z107" i="6"/>
  <c r="W106" i="6"/>
  <c r="U105" i="6"/>
  <c r="V104" i="6"/>
  <c r="W103" i="6"/>
  <c r="X102" i="6"/>
  <c r="X100" i="6"/>
  <c r="AA98" i="6"/>
  <c r="R97" i="6"/>
  <c r="Z95" i="6"/>
  <c r="R93" i="6"/>
  <c r="R90" i="6"/>
  <c r="AA88" i="6"/>
  <c r="R87" i="6"/>
  <c r="X85" i="6"/>
  <c r="P84" i="6"/>
  <c r="AA80" i="6"/>
  <c r="S79" i="6"/>
  <c r="Q78" i="6"/>
  <c r="P77" i="6"/>
  <c r="P72" i="6"/>
  <c r="Q71" i="6"/>
  <c r="R70" i="6"/>
  <c r="AA68" i="6"/>
  <c r="N67" i="6"/>
  <c r="Q66" i="6"/>
  <c r="Z63" i="6"/>
  <c r="P61" i="6"/>
  <c r="S60" i="6"/>
  <c r="V59" i="6"/>
  <c r="AA136" i="6"/>
  <c r="U135" i="6"/>
  <c r="Q134" i="6"/>
  <c r="N133" i="6"/>
  <c r="X130" i="6"/>
  <c r="T129" i="6"/>
  <c r="N128" i="6"/>
  <c r="Y125" i="6"/>
  <c r="U124" i="6"/>
  <c r="P123" i="6"/>
  <c r="AA120" i="6"/>
  <c r="U119" i="6"/>
  <c r="Q118" i="6"/>
  <c r="N117" i="6"/>
  <c r="X114" i="6"/>
  <c r="T113" i="6"/>
  <c r="N112" i="6"/>
  <c r="Y109" i="6"/>
  <c r="U108" i="6"/>
  <c r="P107" i="6"/>
  <c r="Z101" i="6"/>
  <c r="Z99" i="6"/>
  <c r="Q98" i="6"/>
  <c r="V96" i="6"/>
  <c r="Q95" i="6"/>
  <c r="N94" i="6"/>
  <c r="V92" i="6"/>
  <c r="Z89" i="6"/>
  <c r="Q88" i="6"/>
  <c r="V86" i="6"/>
  <c r="N85" i="6"/>
  <c r="S83" i="6"/>
  <c r="Z81" i="6"/>
  <c r="Q80" i="6"/>
  <c r="Z78" i="6"/>
  <c r="X76" i="6"/>
  <c r="X75" i="6"/>
  <c r="X74" i="6"/>
  <c r="X73" i="6"/>
  <c r="Z71" i="6"/>
  <c r="AA70" i="6"/>
  <c r="P69" i="6"/>
  <c r="Z66" i="6"/>
  <c r="P64" i="6"/>
  <c r="S63" i="6"/>
  <c r="V62" i="6"/>
  <c r="Y137" i="6"/>
  <c r="N136" i="6"/>
  <c r="X134" i="6"/>
  <c r="Q133" i="6"/>
  <c r="R130" i="6"/>
  <c r="U127" i="6"/>
  <c r="N126" i="6"/>
  <c r="Z124" i="6"/>
  <c r="N123" i="6"/>
  <c r="R120" i="6"/>
  <c r="S117" i="6"/>
  <c r="W114" i="6"/>
  <c r="N113" i="6"/>
  <c r="X111" i="6"/>
  <c r="Q110" i="6"/>
  <c r="T107" i="6"/>
  <c r="S100" i="6"/>
  <c r="S97" i="6"/>
  <c r="R95" i="6"/>
  <c r="U93" i="6"/>
  <c r="P91" i="6"/>
  <c r="Q89" i="6"/>
  <c r="Z88" i="6"/>
  <c r="S84" i="6"/>
  <c r="V81" i="6"/>
  <c r="P79" i="6"/>
  <c r="S77" i="6"/>
  <c r="N76" i="6"/>
  <c r="AA74" i="6"/>
  <c r="Q72" i="6"/>
  <c r="Z67" i="6"/>
  <c r="X65" i="6"/>
  <c r="V64" i="6"/>
  <c r="P62" i="6"/>
  <c r="Z59" i="6"/>
  <c r="Z57" i="6"/>
  <c r="S54" i="6"/>
  <c r="U53" i="6"/>
  <c r="X137" i="6"/>
  <c r="W134" i="6"/>
  <c r="P133" i="6"/>
  <c r="Z131" i="6"/>
  <c r="P130" i="6"/>
  <c r="R127" i="6"/>
  <c r="X124" i="6"/>
  <c r="Z121" i="6"/>
  <c r="P120" i="6"/>
  <c r="Z118" i="6"/>
  <c r="R117" i="6"/>
  <c r="V114" i="6"/>
  <c r="V111" i="6"/>
  <c r="AA108" i="6"/>
  <c r="R107" i="6"/>
  <c r="R100" i="6"/>
  <c r="AA99" i="6"/>
  <c r="Q97" i="6"/>
  <c r="P95" i="6"/>
  <c r="T93" i="6"/>
  <c r="N91" i="6"/>
  <c r="P89" i="6"/>
  <c r="X88" i="6"/>
  <c r="S86" i="6"/>
  <c r="R84" i="6"/>
  <c r="AA83" i="6"/>
  <c r="S81" i="6"/>
  <c r="N79" i="6"/>
  <c r="AA78" i="6"/>
  <c r="R77" i="6"/>
  <c r="Z74" i="6"/>
  <c r="V73" i="6"/>
  <c r="Z70" i="6"/>
  <c r="AA69" i="6"/>
  <c r="Z68" i="6"/>
  <c r="X66" i="6"/>
  <c r="U64" i="6"/>
  <c r="R63" i="6"/>
  <c r="AA60" i="6"/>
  <c r="X58" i="6"/>
  <c r="AA56" i="6"/>
  <c r="N55" i="6"/>
  <c r="R54" i="6"/>
  <c r="Q137" i="6"/>
  <c r="Z135" i="6"/>
  <c r="R134" i="6"/>
  <c r="U131" i="6"/>
  <c r="V128" i="6"/>
  <c r="N127" i="6"/>
  <c r="Z125" i="6"/>
  <c r="S124" i="6"/>
  <c r="V121" i="6"/>
  <c r="V118" i="6"/>
  <c r="X115" i="6"/>
  <c r="AA112" i="6"/>
  <c r="P111" i="6"/>
  <c r="V108" i="6"/>
  <c r="AA103" i="6"/>
  <c r="Z102" i="6"/>
  <c r="S99" i="6"/>
  <c r="X96" i="6"/>
  <c r="Z94" i="6"/>
  <c r="N93" i="6"/>
  <c r="X92" i="6"/>
  <c r="S88" i="6"/>
  <c r="N86" i="6"/>
  <c r="V83" i="6"/>
  <c r="P81" i="6"/>
  <c r="X80" i="6"/>
  <c r="V78" i="6"/>
  <c r="Z75" i="6"/>
  <c r="V74" i="6"/>
  <c r="R73" i="6"/>
  <c r="V70" i="6"/>
  <c r="X69" i="6"/>
  <c r="U67" i="6"/>
  <c r="S65" i="6"/>
  <c r="R64" i="6"/>
  <c r="N63" i="6"/>
  <c r="AA61" i="6"/>
  <c r="U59" i="6"/>
  <c r="U58" i="6"/>
  <c r="V57" i="6"/>
  <c r="X56" i="6"/>
  <c r="AA55" i="6"/>
  <c r="Q53" i="6"/>
  <c r="R135" i="6"/>
  <c r="V132" i="6"/>
  <c r="Z129" i="6"/>
  <c r="P128" i="6"/>
  <c r="R125" i="6"/>
  <c r="V122" i="6"/>
  <c r="N121" i="6"/>
  <c r="V119" i="6"/>
  <c r="Z116" i="6"/>
  <c r="R115" i="6"/>
  <c r="S112" i="6"/>
  <c r="V109" i="6"/>
  <c r="N108" i="6"/>
  <c r="Y106" i="6"/>
  <c r="W105" i="6"/>
  <c r="U103" i="6"/>
  <c r="R102" i="6"/>
  <c r="AA101" i="6"/>
  <c r="N99" i="6"/>
  <c r="V98" i="6"/>
  <c r="P96" i="6"/>
  <c r="P92" i="6"/>
  <c r="Q90" i="6"/>
  <c r="V87" i="6"/>
  <c r="N83" i="6"/>
  <c r="Z82" i="6"/>
  <c r="R80" i="6"/>
  <c r="R78" i="6"/>
  <c r="Q74" i="6"/>
  <c r="AA72" i="6"/>
  <c r="Q70" i="6"/>
  <c r="S69" i="6"/>
  <c r="R68" i="6"/>
  <c r="P67" i="6"/>
  <c r="Z62" i="6"/>
  <c r="U61" i="6"/>
  <c r="R60" i="6"/>
  <c r="Q59" i="6"/>
  <c r="Q58" i="6"/>
  <c r="Q57" i="6"/>
  <c r="AA54" i="6"/>
  <c r="U132" i="6"/>
  <c r="Y129" i="6"/>
  <c r="Z126" i="6"/>
  <c r="Q125" i="6"/>
  <c r="T122" i="6"/>
  <c r="T119" i="6"/>
  <c r="X116" i="6"/>
  <c r="P115" i="6"/>
  <c r="AA113" i="6"/>
  <c r="R112" i="6"/>
  <c r="S109" i="6"/>
  <c r="X106" i="6"/>
  <c r="S104" i="6"/>
  <c r="S103" i="6"/>
  <c r="P102" i="6"/>
  <c r="X101" i="6"/>
  <c r="S94" i="6"/>
  <c r="N92" i="6"/>
  <c r="P90" i="6"/>
  <c r="S85" i="6"/>
  <c r="X82" i="6"/>
  <c r="P80" i="6"/>
  <c r="Z79" i="6"/>
  <c r="P78" i="6"/>
  <c r="S75" i="6"/>
  <c r="P74" i="6"/>
  <c r="Z72" i="6"/>
  <c r="R136" i="6"/>
  <c r="S133" i="6"/>
  <c r="W130" i="6"/>
  <c r="N129" i="6"/>
  <c r="X127" i="6"/>
  <c r="Q126" i="6"/>
  <c r="T123" i="6"/>
  <c r="T120" i="6"/>
  <c r="V117" i="6"/>
  <c r="P116" i="6"/>
  <c r="Z114" i="6"/>
  <c r="R113" i="6"/>
  <c r="T110" i="6"/>
  <c r="V107" i="6"/>
  <c r="N101" i="6"/>
  <c r="V100" i="6"/>
  <c r="V97" i="6"/>
  <c r="U95" i="6"/>
  <c r="X93" i="6"/>
  <c r="S89" i="6"/>
  <c r="Z86" i="6"/>
  <c r="V84" i="6"/>
  <c r="P82" i="6"/>
  <c r="AA81" i="6"/>
  <c r="R79" i="6"/>
  <c r="U77" i="6"/>
  <c r="Q76" i="6"/>
  <c r="P136" i="6"/>
  <c r="R132" i="6"/>
  <c r="V130" i="6"/>
  <c r="T128" i="6"/>
  <c r="T126" i="6"/>
  <c r="T124" i="6"/>
  <c r="X122" i="6"/>
  <c r="Z120" i="6"/>
  <c r="X118" i="6"/>
  <c r="AA116" i="6"/>
  <c r="X112" i="6"/>
  <c r="S105" i="6"/>
  <c r="N104" i="6"/>
  <c r="X99" i="6"/>
  <c r="X98" i="6"/>
  <c r="X97" i="6"/>
  <c r="U96" i="6"/>
  <c r="X95" i="6"/>
  <c r="V85" i="6"/>
  <c r="Z84" i="6"/>
  <c r="Z83" i="6"/>
  <c r="V82" i="6"/>
  <c r="X81" i="6"/>
  <c r="S80" i="6"/>
  <c r="U79" i="6"/>
  <c r="S74" i="6"/>
  <c r="P71" i="6"/>
  <c r="R66" i="6"/>
  <c r="S64" i="6"/>
  <c r="Q60" i="6"/>
  <c r="S58" i="6"/>
  <c r="V55" i="6"/>
  <c r="Q54" i="6"/>
  <c r="N52" i="6"/>
  <c r="P51" i="6"/>
  <c r="R50" i="6"/>
  <c r="T49" i="6"/>
  <c r="V48" i="6"/>
  <c r="X47" i="6"/>
  <c r="Z46" i="6"/>
  <c r="N44" i="6"/>
  <c r="P43" i="6"/>
  <c r="R42" i="6"/>
  <c r="P132" i="6"/>
  <c r="S128" i="6"/>
  <c r="R126" i="6"/>
  <c r="N132" i="6"/>
  <c r="N130" i="6"/>
  <c r="R128" i="6"/>
  <c r="N124" i="6"/>
  <c r="P122" i="6"/>
  <c r="S120" i="6"/>
  <c r="T118" i="6"/>
  <c r="U116" i="6"/>
  <c r="R114" i="6"/>
  <c r="T112" i="6"/>
  <c r="W110" i="6"/>
  <c r="Z108" i="6"/>
  <c r="Z106" i="6"/>
  <c r="V101" i="6"/>
  <c r="Z100" i="6"/>
  <c r="R99" i="6"/>
  <c r="R98" i="6"/>
  <c r="P97" i="6"/>
  <c r="R96" i="6"/>
  <c r="V95" i="6"/>
  <c r="Q85" i="6"/>
  <c r="Q84" i="6"/>
  <c r="R82" i="6"/>
  <c r="Q81" i="6"/>
  <c r="Q79" i="6"/>
  <c r="U78" i="6"/>
  <c r="AA77" i="6"/>
  <c r="N74" i="6"/>
  <c r="Z73" i="6"/>
  <c r="N71" i="6"/>
  <c r="U69" i="6"/>
  <c r="N66" i="6"/>
  <c r="Q62" i="6"/>
  <c r="Z61" i="6"/>
  <c r="P58" i="6"/>
  <c r="N54" i="6"/>
  <c r="N51" i="6"/>
  <c r="P50" i="6"/>
  <c r="R49" i="6"/>
  <c r="V47" i="6"/>
  <c r="X46" i="6"/>
  <c r="Z45" i="6"/>
  <c r="N43" i="6"/>
  <c r="P42" i="6"/>
  <c r="R41" i="6"/>
  <c r="N120" i="6"/>
  <c r="R118" i="6"/>
  <c r="S116" i="6"/>
  <c r="P114" i="6"/>
  <c r="P112" i="6"/>
  <c r="V110" i="6"/>
  <c r="X108" i="6"/>
  <c r="V106" i="6"/>
  <c r="N105" i="6"/>
  <c r="AA102" i="6"/>
  <c r="S101" i="6"/>
  <c r="Q99" i="6"/>
  <c r="P98" i="6"/>
  <c r="N97" i="6"/>
  <c r="N96" i="6"/>
  <c r="P85" i="6"/>
  <c r="N84" i="6"/>
  <c r="R83" i="6"/>
  <c r="Q82" i="6"/>
  <c r="N81" i="6"/>
  <c r="Z77" i="6"/>
  <c r="T69" i="6"/>
  <c r="AA67" i="6"/>
  <c r="N64" i="6"/>
  <c r="AA63" i="6"/>
  <c r="N62" i="6"/>
  <c r="X61" i="6"/>
  <c r="N60" i="6"/>
  <c r="AA59" i="6"/>
  <c r="N58" i="6"/>
  <c r="S55" i="6"/>
  <c r="AA52" i="6"/>
  <c r="Q49" i="6"/>
  <c r="S48" i="6"/>
  <c r="U47" i="6"/>
  <c r="AA44" i="6"/>
  <c r="Q41" i="6"/>
  <c r="Z137" i="6"/>
  <c r="X135" i="6"/>
  <c r="Z133" i="6"/>
  <c r="N122" i="6"/>
  <c r="P118" i="6"/>
  <c r="R116" i="6"/>
  <c r="N114" i="6"/>
  <c r="R110" i="6"/>
  <c r="T108" i="6"/>
  <c r="T106" i="6"/>
  <c r="V102" i="6"/>
  <c r="R101" i="6"/>
  <c r="P100" i="6"/>
  <c r="P99" i="6"/>
  <c r="N98" i="6"/>
  <c r="Q83" i="6"/>
  <c r="N82" i="6"/>
  <c r="S78" i="6"/>
  <c r="X77" i="6"/>
  <c r="R69" i="6"/>
  <c r="X67" i="6"/>
  <c r="AA65" i="6"/>
  <c r="X59" i="6"/>
  <c r="V56" i="6"/>
  <c r="R55" i="6"/>
  <c r="AA53" i="6"/>
  <c r="Z52" i="6"/>
  <c r="N50" i="6"/>
  <c r="P49" i="6"/>
  <c r="R48" i="6"/>
  <c r="T47" i="6"/>
  <c r="V46" i="6"/>
  <c r="X45" i="6"/>
  <c r="Z44" i="6"/>
  <c r="N42" i="6"/>
  <c r="P41" i="6"/>
  <c r="R40" i="6"/>
  <c r="V137" i="6"/>
  <c r="V135" i="6"/>
  <c r="Y133" i="6"/>
  <c r="N116" i="6"/>
  <c r="N110" i="6"/>
  <c r="S108" i="6"/>
  <c r="R106" i="6"/>
  <c r="P101" i="6"/>
  <c r="N100" i="6"/>
  <c r="X94" i="6"/>
  <c r="N78" i="6"/>
  <c r="AA76" i="6"/>
  <c r="S73" i="6"/>
  <c r="Q69" i="6"/>
  <c r="V67" i="6"/>
  <c r="X63" i="6"/>
  <c r="U56" i="6"/>
  <c r="Q55" i="6"/>
  <c r="Z53" i="6"/>
  <c r="AA51" i="6"/>
  <c r="Q48" i="6"/>
  <c r="S47" i="6"/>
  <c r="U46" i="6"/>
  <c r="AA43" i="6"/>
  <c r="Q40" i="6"/>
  <c r="S39" i="6"/>
  <c r="U38" i="6"/>
  <c r="W37" i="6"/>
  <c r="Y36" i="6"/>
  <c r="AA35" i="6"/>
  <c r="Q32" i="6"/>
  <c r="S31" i="6"/>
  <c r="U30" i="6"/>
  <c r="T137" i="6"/>
  <c r="T135" i="6"/>
  <c r="V133" i="6"/>
  <c r="X131" i="6"/>
  <c r="AA129" i="6"/>
  <c r="Z127" i="6"/>
  <c r="X125" i="6"/>
  <c r="X123" i="6"/>
  <c r="P108" i="6"/>
  <c r="P106" i="6"/>
  <c r="S102" i="6"/>
  <c r="V94" i="6"/>
  <c r="AA93" i="6"/>
  <c r="AA92" i="6"/>
  <c r="Z76" i="6"/>
  <c r="Q73" i="6"/>
  <c r="X72" i="6"/>
  <c r="U70" i="6"/>
  <c r="S67" i="6"/>
  <c r="V65" i="6"/>
  <c r="S61" i="6"/>
  <c r="T59" i="6"/>
  <c r="AA57" i="6"/>
  <c r="S56" i="6"/>
  <c r="P55" i="6"/>
  <c r="X52" i="6"/>
  <c r="Z51" i="6"/>
  <c r="N49" i="6"/>
  <c r="P48" i="6"/>
  <c r="R47" i="6"/>
  <c r="T46" i="6"/>
  <c r="V45" i="6"/>
  <c r="X44" i="6"/>
  <c r="Z43" i="6"/>
  <c r="N41" i="6"/>
  <c r="P137" i="6"/>
  <c r="N135" i="6"/>
  <c r="T133" i="6"/>
  <c r="V131" i="6"/>
  <c r="X129" i="6"/>
  <c r="V127" i="6"/>
  <c r="V125" i="6"/>
  <c r="W123" i="6"/>
  <c r="Z119" i="6"/>
  <c r="N106" i="6"/>
  <c r="Y103" i="6"/>
  <c r="N102" i="6"/>
  <c r="R94" i="6"/>
  <c r="Z93" i="6"/>
  <c r="Z92" i="6"/>
  <c r="Z91" i="6"/>
  <c r="Q77" i="6"/>
  <c r="V76" i="6"/>
  <c r="P73" i="6"/>
  <c r="N69" i="6"/>
  <c r="R67" i="6"/>
  <c r="U65" i="6"/>
  <c r="V63" i="6"/>
  <c r="R61" i="6"/>
  <c r="S59" i="6"/>
  <c r="X57" i="6"/>
  <c r="R56" i="6"/>
  <c r="X53" i="6"/>
  <c r="AA50" i="6"/>
  <c r="Q47" i="6"/>
  <c r="S46" i="6"/>
  <c r="U45" i="6"/>
  <c r="AA42" i="6"/>
  <c r="Q39" i="6"/>
  <c r="S38" i="6"/>
  <c r="U37" i="6"/>
  <c r="W36" i="6"/>
  <c r="Y35" i="6"/>
  <c r="N137" i="6"/>
  <c r="R133" i="6"/>
  <c r="T131" i="6"/>
  <c r="V129" i="6"/>
  <c r="P127" i="6"/>
  <c r="S125" i="6"/>
  <c r="V123" i="6"/>
  <c r="Y121" i="6"/>
  <c r="X119" i="6"/>
  <c r="Z117" i="6"/>
  <c r="Z113" i="6"/>
  <c r="Z111" i="6"/>
  <c r="X103" i="6"/>
  <c r="Q94" i="6"/>
  <c r="V93" i="6"/>
  <c r="X91" i="6"/>
  <c r="N77" i="6"/>
  <c r="AA75" i="6"/>
  <c r="N73" i="6"/>
  <c r="U72" i="6"/>
  <c r="S70" i="6"/>
  <c r="Q67" i="6"/>
  <c r="R65" i="6"/>
  <c r="U63" i="6"/>
  <c r="Q61" i="6"/>
  <c r="R59" i="6"/>
  <c r="Q56" i="6"/>
  <c r="V52" i="6"/>
  <c r="X51" i="6"/>
  <c r="Z50" i="6"/>
  <c r="N48" i="6"/>
  <c r="P47" i="6"/>
  <c r="R46" i="6"/>
  <c r="T45" i="6"/>
  <c r="V44" i="6"/>
  <c r="X43" i="6"/>
  <c r="Z42" i="6"/>
  <c r="N40" i="6"/>
  <c r="P131" i="6"/>
  <c r="Q129" i="6"/>
  <c r="N125" i="6"/>
  <c r="R123" i="6"/>
  <c r="T121" i="6"/>
  <c r="T117" i="6"/>
  <c r="V115" i="6"/>
  <c r="X113" i="6"/>
  <c r="R111" i="6"/>
  <c r="X109" i="6"/>
  <c r="X107" i="6"/>
  <c r="Z104" i="6"/>
  <c r="Q103" i="6"/>
  <c r="P93" i="6"/>
  <c r="V91" i="6"/>
  <c r="Z90" i="6"/>
  <c r="Z87" i="6"/>
  <c r="R76" i="6"/>
  <c r="S72" i="6"/>
  <c r="AA71" i="6"/>
  <c r="P65" i="6"/>
  <c r="N61" i="6"/>
  <c r="N59" i="6"/>
  <c r="T53" i="6"/>
  <c r="V51" i="6"/>
  <c r="X50" i="6"/>
  <c r="Z49" i="6"/>
  <c r="N47" i="6"/>
  <c r="P46" i="6"/>
  <c r="R45" i="6"/>
  <c r="V43" i="6"/>
  <c r="X42" i="6"/>
  <c r="Z41" i="6"/>
  <c r="Q121" i="6"/>
  <c r="N119" i="6"/>
  <c r="Q117" i="6"/>
  <c r="U115" i="6"/>
  <c r="V113" i="6"/>
  <c r="R109" i="6"/>
  <c r="W107" i="6"/>
  <c r="Y104" i="6"/>
  <c r="R91" i="6"/>
  <c r="X90" i="6"/>
  <c r="AA89" i="6"/>
  <c r="V88" i="6"/>
  <c r="X87" i="6"/>
  <c r="P76" i="6"/>
  <c r="V75" i="6"/>
  <c r="R72" i="6"/>
  <c r="X71" i="6"/>
  <c r="N70" i="6"/>
  <c r="X68" i="6"/>
  <c r="N65" i="6"/>
  <c r="AA64" i="6"/>
  <c r="AA62" i="6"/>
  <c r="Z60" i="6"/>
  <c r="AA58" i="6"/>
  <c r="S57" i="6"/>
  <c r="N56" i="6"/>
  <c r="X54" i="6"/>
  <c r="S53" i="6"/>
  <c r="S52" i="6"/>
  <c r="U51" i="6"/>
  <c r="AA48" i="6"/>
  <c r="Q45" i="6"/>
  <c r="S44" i="6"/>
  <c r="U43" i="6"/>
  <c r="Z136" i="6"/>
  <c r="Y130" i="6"/>
  <c r="U123" i="6"/>
  <c r="Q113" i="6"/>
  <c r="S87" i="6"/>
  <c r="R81" i="6"/>
  <c r="S76" i="6"/>
  <c r="Q65" i="6"/>
  <c r="S50" i="6"/>
  <c r="V49" i="6"/>
  <c r="AA40" i="6"/>
  <c r="V38" i="6"/>
  <c r="T37" i="6"/>
  <c r="T36" i="6"/>
  <c r="T35" i="6"/>
  <c r="V34" i="6"/>
  <c r="W33" i="6"/>
  <c r="X32" i="6"/>
  <c r="Y31" i="6"/>
  <c r="Z30" i="6"/>
  <c r="AA29" i="6"/>
  <c r="Q26" i="6"/>
  <c r="S25" i="6"/>
  <c r="U24" i="6"/>
  <c r="W23" i="6"/>
  <c r="X22" i="6"/>
  <c r="X136" i="6"/>
  <c r="W126" i="6"/>
  <c r="V116" i="6"/>
  <c r="X104" i="6"/>
  <c r="N90" i="6"/>
  <c r="Q87" i="6"/>
  <c r="AA66" i="6"/>
  <c r="P60" i="6"/>
  <c r="Q50" i="6"/>
  <c r="U49" i="6"/>
  <c r="X48" i="6"/>
  <c r="AA47" i="6"/>
  <c r="S41" i="6"/>
  <c r="Z40" i="6"/>
  <c r="V39" i="6"/>
  <c r="T38" i="6"/>
  <c r="S37" i="6"/>
  <c r="S36" i="6"/>
  <c r="S35" i="6"/>
  <c r="U34" i="6"/>
  <c r="V33" i="6"/>
  <c r="W32" i="6"/>
  <c r="X31" i="6"/>
  <c r="Y30" i="6"/>
  <c r="Z29" i="6"/>
  <c r="N27" i="6"/>
  <c r="P26" i="6"/>
  <c r="R25" i="6"/>
  <c r="T24" i="6"/>
  <c r="V23" i="6"/>
  <c r="W22" i="6"/>
  <c r="AA21" i="6"/>
  <c r="S19" i="6"/>
  <c r="X18" i="6"/>
  <c r="Q16" i="6"/>
  <c r="U15" i="6"/>
  <c r="Z14" i="6"/>
  <c r="N13" i="6"/>
  <c r="R12" i="6"/>
  <c r="V11" i="6"/>
  <c r="Z10" i="6"/>
  <c r="N9" i="6"/>
  <c r="R8" i="6"/>
  <c r="V7" i="6"/>
  <c r="Z6" i="6"/>
  <c r="Z5" i="6"/>
  <c r="T136" i="6"/>
  <c r="V126" i="6"/>
  <c r="Z109" i="6"/>
  <c r="R104" i="6"/>
  <c r="P94" i="6"/>
  <c r="P87" i="6"/>
  <c r="AA84" i="6"/>
  <c r="AA73" i="6"/>
  <c r="V66" i="6"/>
  <c r="S49" i="6"/>
  <c r="Z47" i="6"/>
  <c r="U39" i="6"/>
  <c r="R38" i="6"/>
  <c r="R37" i="6"/>
  <c r="R36" i="6"/>
  <c r="R35" i="6"/>
  <c r="T34" i="6"/>
  <c r="U33" i="6"/>
  <c r="V32" i="6"/>
  <c r="W31" i="6"/>
  <c r="X30" i="6"/>
  <c r="Y29" i="6"/>
  <c r="AA28" i="6"/>
  <c r="Q25" i="6"/>
  <c r="S24" i="6"/>
  <c r="U23" i="6"/>
  <c r="V22" i="6"/>
  <c r="Z21" i="6"/>
  <c r="N20" i="6"/>
  <c r="R19" i="6"/>
  <c r="W18" i="6"/>
  <c r="AA17" i="6"/>
  <c r="P16" i="6"/>
  <c r="T15" i="6"/>
  <c r="Y14" i="6"/>
  <c r="S136" i="6"/>
  <c r="R119" i="6"/>
  <c r="Q109" i="6"/>
  <c r="Q104" i="6"/>
  <c r="N87" i="6"/>
  <c r="X79" i="6"/>
  <c r="U66" i="6"/>
  <c r="U48" i="6"/>
  <c r="AA46" i="6"/>
  <c r="X40" i="6"/>
  <c r="T39" i="6"/>
  <c r="Q38" i="6"/>
  <c r="Q37" i="6"/>
  <c r="Q36" i="6"/>
  <c r="Q35" i="6"/>
  <c r="S34" i="6"/>
  <c r="T33" i="6"/>
  <c r="U32" i="6"/>
  <c r="V31" i="6"/>
  <c r="W30" i="6"/>
  <c r="X29" i="6"/>
  <c r="Z28" i="6"/>
  <c r="N26" i="6"/>
  <c r="P25" i="6"/>
  <c r="R24" i="6"/>
  <c r="T23" i="6"/>
  <c r="U22" i="6"/>
  <c r="Y21" i="6"/>
  <c r="Q19" i="6"/>
  <c r="V18" i="6"/>
  <c r="Z17" i="6"/>
  <c r="S15" i="6"/>
  <c r="X14" i="6"/>
  <c r="P12" i="6"/>
  <c r="T11" i="6"/>
  <c r="X10" i="6"/>
  <c r="P8" i="6"/>
  <c r="T7" i="6"/>
  <c r="X6" i="6"/>
  <c r="X5" i="6"/>
  <c r="S132" i="6"/>
  <c r="U92" i="6"/>
  <c r="P88" i="6"/>
  <c r="S68" i="6"/>
  <c r="U62" i="6"/>
  <c r="V53" i="6"/>
  <c r="U52" i="6"/>
  <c r="Q44" i="6"/>
  <c r="T40" i="6"/>
  <c r="N39" i="6"/>
  <c r="P33" i="6"/>
  <c r="P32" i="6"/>
  <c r="Q31" i="6"/>
  <c r="R30" i="6"/>
  <c r="T29" i="6"/>
  <c r="V28" i="6"/>
  <c r="X27" i="6"/>
  <c r="Z26" i="6"/>
  <c r="N24" i="6"/>
  <c r="P23" i="6"/>
  <c r="Q22" i="6"/>
  <c r="U21" i="6"/>
  <c r="Y20" i="6"/>
  <c r="R18" i="6"/>
  <c r="V17" i="6"/>
  <c r="AA16" i="6"/>
  <c r="T14" i="6"/>
  <c r="X13" i="6"/>
  <c r="P11" i="6"/>
  <c r="T10" i="6"/>
  <c r="X9" i="6"/>
  <c r="P7" i="6"/>
  <c r="T6" i="6"/>
  <c r="T5" i="6"/>
  <c r="Z134" i="6"/>
  <c r="AA124" i="6"/>
  <c r="X121" i="6"/>
  <c r="Q105" i="6"/>
  <c r="X89" i="6"/>
  <c r="R85" i="6"/>
  <c r="T80" i="6"/>
  <c r="R75" i="6"/>
  <c r="U71" i="6"/>
  <c r="P70" i="6"/>
  <c r="V69" i="6"/>
  <c r="Z56" i="6"/>
  <c r="P52" i="6"/>
  <c r="R43" i="6"/>
  <c r="N31" i="6"/>
  <c r="Q29" i="6"/>
  <c r="S28" i="6"/>
  <c r="U27" i="6"/>
  <c r="W26" i="6"/>
  <c r="Y25" i="6"/>
  <c r="AA24" i="6"/>
  <c r="N22" i="6"/>
  <c r="R21" i="6"/>
  <c r="V20" i="6"/>
  <c r="Z19" i="6"/>
  <c r="V134" i="6"/>
  <c r="R131" i="6"/>
  <c r="V124" i="6"/>
  <c r="P121" i="6"/>
  <c r="Y114" i="6"/>
  <c r="V103" i="6"/>
  <c r="V89" i="6"/>
  <c r="AA86" i="6"/>
  <c r="N80" i="6"/>
  <c r="Q75" i="6"/>
  <c r="S71" i="6"/>
  <c r="Z64" i="6"/>
  <c r="V58" i="6"/>
  <c r="N57" i="6"/>
  <c r="P56" i="6"/>
  <c r="P54" i="6"/>
  <c r="N53" i="6"/>
  <c r="S51" i="6"/>
  <c r="Q43" i="6"/>
  <c r="V42" i="6"/>
  <c r="AA41" i="6"/>
  <c r="AA38" i="6"/>
  <c r="AA37" i="6"/>
  <c r="AA36" i="6"/>
  <c r="Z35" i="6"/>
  <c r="AA34" i="6"/>
  <c r="N30" i="6"/>
  <c r="P29" i="6"/>
  <c r="R28" i="6"/>
  <c r="T27" i="6"/>
  <c r="V26" i="6"/>
  <c r="X25" i="6"/>
  <c r="Z24" i="6"/>
  <c r="Q21" i="6"/>
  <c r="U20" i="6"/>
  <c r="Y19" i="6"/>
  <c r="N18" i="6"/>
  <c r="R17" i="6"/>
  <c r="W16" i="6"/>
  <c r="AA15" i="6"/>
  <c r="P14" i="6"/>
  <c r="T13" i="6"/>
  <c r="X12" i="6"/>
  <c r="P10" i="6"/>
  <c r="T9" i="6"/>
  <c r="X8" i="6"/>
  <c r="P6" i="6"/>
  <c r="P5" i="6"/>
  <c r="Q6" i="6"/>
  <c r="Q7" i="6"/>
  <c r="Q20" i="6"/>
  <c r="P21" i="6"/>
  <c r="Y22" i="6"/>
  <c r="U25" i="6"/>
  <c r="U29" i="6"/>
  <c r="Z32" i="6"/>
  <c r="V35" i="6"/>
  <c r="N37" i="6"/>
  <c r="Z38" i="6"/>
  <c r="R44" i="6"/>
  <c r="X49" i="6"/>
  <c r="U54" i="6"/>
  <c r="AA85" i="6"/>
  <c r="N109" i="6"/>
  <c r="R6" i="6"/>
  <c r="R7" i="6"/>
  <c r="Q8" i="6"/>
  <c r="P9" i="6"/>
  <c r="N10" i="6"/>
  <c r="N11" i="6"/>
  <c r="N19" i="6"/>
  <c r="R20" i="6"/>
  <c r="S21" i="6"/>
  <c r="Z22" i="6"/>
  <c r="V25" i="6"/>
  <c r="P28" i="6"/>
  <c r="V29" i="6"/>
  <c r="P31" i="6"/>
  <c r="AA32" i="6"/>
  <c r="N34" i="6"/>
  <c r="W35" i="6"/>
  <c r="P39" i="6"/>
  <c r="U44" i="6"/>
  <c r="AA49" i="6"/>
  <c r="V54" i="6"/>
  <c r="Z58" i="6"/>
  <c r="V79" i="6"/>
  <c r="X83" i="6"/>
  <c r="Z97" i="6"/>
  <c r="V99" i="6"/>
  <c r="P109" i="6"/>
  <c r="P117" i="6"/>
  <c r="N5" i="6"/>
  <c r="S6" i="6"/>
  <c r="S7" i="6"/>
  <c r="S8" i="6"/>
  <c r="Q9" i="6"/>
  <c r="N12" i="6"/>
  <c r="S20" i="6"/>
  <c r="T21" i="6"/>
  <c r="AA22" i="6"/>
  <c r="W25" i="6"/>
  <c r="Q28" i="6"/>
  <c r="W29" i="6"/>
  <c r="R31" i="6"/>
  <c r="P34" i="6"/>
  <c r="X35" i="6"/>
  <c r="P37" i="6"/>
  <c r="R39" i="6"/>
  <c r="S43" i="6"/>
  <c r="Z54" i="6"/>
  <c r="N75" i="6"/>
  <c r="Y113" i="6"/>
  <c r="Y117" i="6"/>
  <c r="P125" i="6"/>
  <c r="R129" i="6"/>
  <c r="O5" i="6"/>
  <c r="U6" i="6"/>
  <c r="U7" i="6"/>
  <c r="T8" i="6"/>
  <c r="R9" i="6"/>
  <c r="Q10" i="6"/>
  <c r="Q11" i="6"/>
  <c r="N16" i="6"/>
  <c r="N17" i="6"/>
  <c r="P18" i="6"/>
  <c r="P19" i="6"/>
  <c r="T20" i="6"/>
  <c r="V21" i="6"/>
  <c r="P24" i="6"/>
  <c r="Z25" i="6"/>
  <c r="P27" i="6"/>
  <c r="T28" i="6"/>
  <c r="T31" i="6"/>
  <c r="Q34" i="6"/>
  <c r="V37" i="6"/>
  <c r="X39" i="6"/>
  <c r="P40" i="6"/>
  <c r="Q42" i="6"/>
  <c r="Z48" i="6"/>
  <c r="P66" i="6"/>
  <c r="P75" i="6"/>
  <c r="N89" i="6"/>
  <c r="Q5" i="6"/>
  <c r="V6" i="6"/>
  <c r="W7" i="6"/>
  <c r="U8" i="6"/>
  <c r="S9" i="6"/>
  <c r="R10" i="6"/>
  <c r="R11" i="6"/>
  <c r="Q12" i="6"/>
  <c r="P13" i="6"/>
  <c r="N14" i="6"/>
  <c r="N15" i="6"/>
  <c r="R16" i="6"/>
  <c r="Q18" i="6"/>
  <c r="T19" i="6"/>
  <c r="W20" i="6"/>
  <c r="W21" i="6"/>
  <c r="Q24" i="6"/>
  <c r="AA25" i="6"/>
  <c r="Q27" i="6"/>
  <c r="U28" i="6"/>
  <c r="U31" i="6"/>
  <c r="R34" i="6"/>
  <c r="X37" i="6"/>
  <c r="S40" i="6"/>
  <c r="S42" i="6"/>
  <c r="U60" i="6"/>
  <c r="Q63" i="6"/>
  <c r="S66" i="6"/>
  <c r="R89" i="6"/>
  <c r="R5" i="6"/>
  <c r="W6" i="6"/>
  <c r="X7" i="6"/>
  <c r="V8" i="6"/>
  <c r="U9" i="6"/>
  <c r="S10" i="6"/>
  <c r="S11" i="6"/>
  <c r="S12" i="6"/>
  <c r="Q13" i="6"/>
  <c r="P15" i="6"/>
  <c r="S16" i="6"/>
  <c r="P17" i="6"/>
  <c r="S18" i="6"/>
  <c r="U19" i="6"/>
  <c r="X20" i="6"/>
  <c r="X21" i="6"/>
  <c r="N23" i="6"/>
  <c r="V24" i="6"/>
  <c r="R27" i="6"/>
  <c r="W28" i="6"/>
  <c r="Z31" i="6"/>
  <c r="W34" i="6"/>
  <c r="Y37" i="6"/>
  <c r="Z39" i="6"/>
  <c r="U40" i="6"/>
  <c r="U41" i="6"/>
  <c r="P53" i="6"/>
  <c r="P57" i="6"/>
  <c r="V60" i="6"/>
  <c r="P104" i="6"/>
  <c r="Z110" i="6"/>
  <c r="R122" i="6"/>
  <c r="S5" i="6"/>
  <c r="Y6" i="6"/>
  <c r="Y7" i="6"/>
  <c r="W8" i="6"/>
  <c r="V9" i="6"/>
  <c r="U10" i="6"/>
  <c r="U11" i="6"/>
  <c r="T12" i="6"/>
  <c r="R13" i="6"/>
  <c r="Q14" i="6"/>
  <c r="Q15" i="6"/>
  <c r="T16" i="6"/>
  <c r="Q17" i="6"/>
  <c r="T18" i="6"/>
  <c r="V19" i="6"/>
  <c r="Z20" i="6"/>
  <c r="W24" i="6"/>
  <c r="S27" i="6"/>
  <c r="X28" i="6"/>
  <c r="AA31" i="6"/>
  <c r="N33" i="6"/>
  <c r="X34" i="6"/>
  <c r="N36" i="6"/>
  <c r="Z37" i="6"/>
  <c r="AA39" i="6"/>
  <c r="V40" i="6"/>
  <c r="V41" i="6"/>
  <c r="U42" i="6"/>
  <c r="R53" i="6"/>
  <c r="U57" i="6"/>
  <c r="X60" i="6"/>
  <c r="Z69" i="6"/>
  <c r="W118" i="6"/>
  <c r="Y122" i="6"/>
  <c r="Z130" i="6"/>
  <c r="P134" i="6"/>
  <c r="Q23" i="6"/>
  <c r="X24" i="6"/>
  <c r="V27" i="6"/>
  <c r="Y28" i="6"/>
  <c r="P30" i="6"/>
  <c r="Q33" i="6"/>
  <c r="Y34" i="6"/>
  <c r="N72" i="6"/>
  <c r="Z122" i="6"/>
  <c r="T134" i="6"/>
  <c r="R23" i="6"/>
  <c r="Y24" i="6"/>
  <c r="W27" i="6"/>
  <c r="Q30" i="6"/>
  <c r="R33" i="6"/>
  <c r="Z34" i="6"/>
  <c r="P36" i="6"/>
  <c r="X41" i="6"/>
  <c r="R62" i="6"/>
  <c r="X78" i="6"/>
  <c r="V80" i="6"/>
  <c r="Z96" i="6"/>
  <c r="N107" i="6"/>
  <c r="AA8" i="6"/>
  <c r="Z9" i="6"/>
  <c r="Y10" i="6"/>
  <c r="Y11" i="6"/>
  <c r="W12" i="6"/>
  <c r="V13" i="6"/>
  <c r="U14" i="6"/>
  <c r="W15" i="6"/>
  <c r="X16" i="6"/>
  <c r="U17" i="6"/>
  <c r="Z18" i="6"/>
  <c r="AA19" i="6"/>
  <c r="S23" i="6"/>
  <c r="R26" i="6"/>
  <c r="Y27" i="6"/>
  <c r="S30" i="6"/>
  <c r="S33" i="6"/>
  <c r="U36" i="6"/>
  <c r="N46" i="6"/>
  <c r="N68" i="6"/>
  <c r="R74" i="6"/>
  <c r="Z80" i="6"/>
  <c r="S82" i="6"/>
  <c r="S98" i="6"/>
  <c r="AA100" i="6"/>
  <c r="U107" i="6"/>
  <c r="N111" i="6"/>
  <c r="T115" i="6"/>
  <c r="X23" i="6"/>
  <c r="S26" i="6"/>
  <c r="Z27" i="6"/>
  <c r="T30" i="6"/>
  <c r="N32" i="6"/>
  <c r="X33" i="6"/>
  <c r="V36" i="6"/>
  <c r="N38" i="6"/>
  <c r="Q46" i="6"/>
  <c r="Q52" i="6"/>
  <c r="P59" i="6"/>
  <c r="X62" i="6"/>
  <c r="P68" i="6"/>
  <c r="AA82" i="6"/>
  <c r="P86" i="6"/>
  <c r="N88" i="6"/>
  <c r="S93" i="6"/>
  <c r="Z98" i="6"/>
  <c r="U111" i="6"/>
  <c r="Z115" i="6"/>
  <c r="Y23" i="6"/>
  <c r="T26" i="6"/>
  <c r="AA27" i="6"/>
  <c r="V30" i="6"/>
  <c r="Y33" i="6"/>
  <c r="X36" i="6"/>
  <c r="N45" i="6"/>
  <c r="R52" i="6"/>
  <c r="U68" i="6"/>
  <c r="Q86" i="6"/>
  <c r="R88" i="6"/>
  <c r="P22" i="6"/>
  <c r="Z23" i="6"/>
  <c r="U26" i="6"/>
  <c r="N29" i="6"/>
  <c r="AA30" i="6"/>
  <c r="R32" i="6"/>
  <c r="Z33" i="6"/>
  <c r="N35" i="6"/>
  <c r="Z36" i="6"/>
  <c r="P38" i="6"/>
  <c r="P45" i="6"/>
  <c r="T50" i="6"/>
  <c r="Q51" i="6"/>
  <c r="V68" i="6"/>
  <c r="X86" i="6"/>
  <c r="Y105" i="6"/>
  <c r="A2" i="529" a="1"/>
  <c r="A2" i="529" s="1"/>
  <c r="R66" i="107" a="1"/>
  <c r="R66" i="107" s="1"/>
  <c r="R66" i="2" a="1"/>
  <c r="R66" i="2" s="1"/>
  <c r="R82" i="2" a="1"/>
  <c r="R82" i="2" s="1"/>
  <c r="R82" i="107" a="1"/>
  <c r="R82" i="107" s="1"/>
  <c r="AY18" i="520" a="1"/>
  <c r="AX18" i="520" a="1"/>
  <c r="AY13" i="520" a="1"/>
  <c r="AY8" i="520" a="1"/>
  <c r="AY16" i="520" a="1"/>
  <c r="AX17" i="520" a="1"/>
  <c r="AX23" i="520" a="1"/>
  <c r="AX10" i="520" a="1"/>
  <c r="AX19" i="520" a="1"/>
  <c r="AY17" i="520" a="1"/>
  <c r="AY23" i="520" a="1"/>
  <c r="AY10" i="520" a="1"/>
  <c r="AX7" i="520" a="1"/>
  <c r="AX25" i="520" a="1"/>
  <c r="AX27" i="520" a="1"/>
  <c r="AY7" i="520" a="1"/>
  <c r="AY27" i="520" a="1"/>
  <c r="AX11" i="520" a="1"/>
  <c r="AY25" i="520" a="1"/>
  <c r="AX20" i="520" a="1"/>
  <c r="AX4" i="520" a="1"/>
  <c r="AY24" i="520" a="1"/>
  <c r="AX15" i="520" a="1"/>
  <c r="AX28" i="520" a="1"/>
  <c r="AY14" i="520" a="1"/>
  <c r="AX22" i="520" a="1"/>
  <c r="AY6" i="520" a="1"/>
  <c r="AX16" i="520" a="1"/>
  <c r="AY11" i="520" a="1"/>
  <c r="AY4" i="520" a="1"/>
  <c r="AX24" i="520" a="1"/>
  <c r="AY15" i="520" a="1"/>
  <c r="AY28" i="520" a="1"/>
  <c r="AY9" i="520" a="1"/>
  <c r="AX6" i="520" a="1"/>
  <c r="AX13" i="520" a="1"/>
  <c r="AY19" i="520" a="1"/>
  <c r="AX5" i="520" a="1"/>
  <c r="AY5" i="520" a="1"/>
  <c r="AY21" i="520" a="1"/>
  <c r="AY22" i="520" a="1"/>
  <c r="AX8" i="520" a="1"/>
  <c r="AY20" i="520" a="1"/>
  <c r="AX12" i="520" a="1"/>
  <c r="AX14" i="520" a="1"/>
  <c r="AX21" i="520" a="1"/>
  <c r="AY12" i="520" a="1"/>
  <c r="AX26" i="520" a="1"/>
  <c r="AY26" i="520" a="1"/>
  <c r="AX9" i="520" a="1"/>
  <c r="AX18" i="520" l="1"/>
  <c r="AY18" i="520"/>
  <c r="AQ54" i="1"/>
  <c r="AP47" i="1"/>
  <c r="AT47" i="1" a="1"/>
  <c r="AT47" i="1" s="1"/>
  <c r="AU47" i="1" a="1"/>
  <c r="AU47" i="1" s="1"/>
  <c r="AQ55" i="1"/>
  <c r="AU50" i="1" a="1"/>
  <c r="AU50" i="1" s="1"/>
  <c r="AT50" i="1" a="1"/>
  <c r="AT50" i="1" s="1"/>
  <c r="BF49" i="1"/>
  <c r="AU49" i="1" a="1"/>
  <c r="AU49" i="1" s="1"/>
  <c r="AT49" i="1" a="1"/>
  <c r="AT49" i="1" s="1"/>
  <c r="BF48" i="1"/>
  <c r="AT48" i="1" a="1"/>
  <c r="AT48" i="1" s="1"/>
  <c r="AU48" i="1" a="1"/>
  <c r="AU48" i="1" s="1"/>
  <c r="AT46" i="1" a="1"/>
  <c r="AT46" i="1" s="1"/>
  <c r="AU46" i="1" a="1"/>
  <c r="AU46" i="1" s="1"/>
  <c r="BN27" i="520"/>
  <c r="BM27" i="520"/>
  <c r="BL27" i="520"/>
  <c r="GJ27" i="520" s="1"/>
  <c r="BK27" i="520"/>
  <c r="GI27" i="520" s="1"/>
  <c r="BJ27" i="520"/>
  <c r="GH27" i="520" s="1"/>
  <c r="BI27" i="520"/>
  <c r="BH27" i="520"/>
  <c r="BG27" i="520"/>
  <c r="GE27" i="520" s="1"/>
  <c r="BV27" i="520"/>
  <c r="GT27" i="520" s="1"/>
  <c r="BU27" i="520"/>
  <c r="GS27" i="520" s="1"/>
  <c r="BT27" i="520"/>
  <c r="GR27" i="520" s="1"/>
  <c r="BS27" i="520"/>
  <c r="GQ27" i="520" s="1"/>
  <c r="BR27" i="520"/>
  <c r="GP27" i="520" s="1"/>
  <c r="BQ27" i="520"/>
  <c r="GO27" i="520" s="1"/>
  <c r="BP27" i="520"/>
  <c r="GN27" i="520" s="1"/>
  <c r="CF27" i="520"/>
  <c r="HD27" i="520" s="1"/>
  <c r="BO27" i="520"/>
  <c r="CL27" i="520"/>
  <c r="CK27" i="520"/>
  <c r="HI27" i="520" s="1"/>
  <c r="CJ27" i="520"/>
  <c r="CI27" i="520"/>
  <c r="HG27" i="520" s="1"/>
  <c r="CH27" i="520"/>
  <c r="CX27" i="520"/>
  <c r="CG27" i="520"/>
  <c r="HE27" i="520" s="1"/>
  <c r="CW27" i="520"/>
  <c r="HU27" i="520" s="1"/>
  <c r="CE27" i="520"/>
  <c r="CD27" i="520"/>
  <c r="HB27" i="520" s="1"/>
  <c r="CC27" i="520"/>
  <c r="HA27" i="520" s="1"/>
  <c r="CT27" i="520"/>
  <c r="HR27" i="520" s="1"/>
  <c r="CB27" i="520"/>
  <c r="GZ27" i="520" s="1"/>
  <c r="CS27" i="520"/>
  <c r="HQ27" i="520" s="1"/>
  <c r="CA27" i="520"/>
  <c r="GY27" i="520" s="1"/>
  <c r="BZ27" i="520"/>
  <c r="GX27" i="520" s="1"/>
  <c r="BY27" i="520"/>
  <c r="BW27" i="520"/>
  <c r="GU27" i="520" s="1"/>
  <c r="DA27" i="520"/>
  <c r="HY27" i="520" s="1"/>
  <c r="CZ27" i="520"/>
  <c r="HX27" i="520" s="1"/>
  <c r="DR27" i="520"/>
  <c r="BX27" i="520"/>
  <c r="CY27" i="520"/>
  <c r="HW27" i="520" s="1"/>
  <c r="CV27" i="520"/>
  <c r="HT27" i="520" s="1"/>
  <c r="CU27" i="520"/>
  <c r="DO27" i="520"/>
  <c r="IM27" i="520" s="1"/>
  <c r="CR27" i="520"/>
  <c r="HP27" i="520" s="1"/>
  <c r="CQ27" i="520"/>
  <c r="HO27" i="520" s="1"/>
  <c r="DM27" i="520"/>
  <c r="IK27" i="520" s="1"/>
  <c r="CP27" i="520"/>
  <c r="HN27" i="520" s="1"/>
  <c r="CO27" i="520"/>
  <c r="HM27" i="520" s="1"/>
  <c r="DK27" i="520"/>
  <c r="II27" i="520" s="1"/>
  <c r="CN27" i="520"/>
  <c r="DJ27" i="520"/>
  <c r="IH27" i="520" s="1"/>
  <c r="CM27" i="520"/>
  <c r="HK27" i="520" s="1"/>
  <c r="DH27" i="520"/>
  <c r="IF27" i="520" s="1"/>
  <c r="DG27" i="520"/>
  <c r="DB27" i="520"/>
  <c r="DD27" i="520"/>
  <c r="IB27" i="520" s="1"/>
  <c r="DQ27" i="520"/>
  <c r="IO27" i="520" s="1"/>
  <c r="DP27" i="520"/>
  <c r="DN27" i="520"/>
  <c r="IL27" i="520" s="1"/>
  <c r="DL27" i="520"/>
  <c r="IJ27" i="520" s="1"/>
  <c r="DI27" i="520"/>
  <c r="IG27" i="520" s="1"/>
  <c r="DF27" i="520"/>
  <c r="ID27" i="520" s="1"/>
  <c r="DE27" i="520"/>
  <c r="IC27" i="520" s="1"/>
  <c r="DC27" i="520"/>
  <c r="IA27" i="520" s="1"/>
  <c r="BN26" i="520"/>
  <c r="GL26" i="520" s="1"/>
  <c r="BM26" i="520"/>
  <c r="BL26" i="520"/>
  <c r="BK26" i="520"/>
  <c r="GI26" i="520" s="1"/>
  <c r="BJ26" i="520"/>
  <c r="GH26" i="520" s="1"/>
  <c r="BI26" i="520"/>
  <c r="BH26" i="520"/>
  <c r="BG26" i="520"/>
  <c r="GE26" i="520" s="1"/>
  <c r="BV26" i="520"/>
  <c r="GT26" i="520" s="1"/>
  <c r="BU26" i="520"/>
  <c r="GS26" i="520" s="1"/>
  <c r="BT26" i="520"/>
  <c r="GR26" i="520" s="1"/>
  <c r="BS26" i="520"/>
  <c r="GQ26" i="520" s="1"/>
  <c r="BR26" i="520"/>
  <c r="GP26" i="520" s="1"/>
  <c r="BQ26" i="520"/>
  <c r="GO26" i="520" s="1"/>
  <c r="BP26" i="520"/>
  <c r="GN26" i="520" s="1"/>
  <c r="CF26" i="520"/>
  <c r="HD26" i="520" s="1"/>
  <c r="BO26" i="520"/>
  <c r="GM26" i="520" s="1"/>
  <c r="CJ26" i="520"/>
  <c r="CI26" i="520"/>
  <c r="CH26" i="520"/>
  <c r="HF26" i="520" s="1"/>
  <c r="CG26" i="520"/>
  <c r="HE26" i="520" s="1"/>
  <c r="CE26" i="520"/>
  <c r="CD26" i="520"/>
  <c r="CW26" i="520"/>
  <c r="HU26" i="520" s="1"/>
  <c r="CC26" i="520"/>
  <c r="HA26" i="520" s="1"/>
  <c r="CB26" i="520"/>
  <c r="GZ26" i="520" s="1"/>
  <c r="CA26" i="520"/>
  <c r="GY26" i="520" s="1"/>
  <c r="CT26" i="520"/>
  <c r="HR26" i="520" s="1"/>
  <c r="BZ26" i="520"/>
  <c r="GX26" i="520" s="1"/>
  <c r="CS26" i="520"/>
  <c r="HQ26" i="520" s="1"/>
  <c r="BY26" i="520"/>
  <c r="GW26" i="520" s="1"/>
  <c r="BX26" i="520"/>
  <c r="GV26" i="520" s="1"/>
  <c r="BW26" i="520"/>
  <c r="GU26" i="520" s="1"/>
  <c r="CL26" i="520"/>
  <c r="CP26" i="520"/>
  <c r="HN26" i="520" s="1"/>
  <c r="CO26" i="520"/>
  <c r="HM26" i="520" s="1"/>
  <c r="DR26" i="520"/>
  <c r="IP26" i="520" s="1"/>
  <c r="CN26" i="520"/>
  <c r="CM26" i="520"/>
  <c r="DO26" i="520"/>
  <c r="CK26" i="520"/>
  <c r="HI26" i="520" s="1"/>
  <c r="DM26" i="520"/>
  <c r="DB26" i="520"/>
  <c r="HZ26" i="520" s="1"/>
  <c r="DA26" i="520"/>
  <c r="HY26" i="520" s="1"/>
  <c r="DK26" i="520"/>
  <c r="II26" i="520" s="1"/>
  <c r="CZ26" i="520"/>
  <c r="HX26" i="520" s="1"/>
  <c r="DJ26" i="520"/>
  <c r="IH26" i="520" s="1"/>
  <c r="CY26" i="520"/>
  <c r="HW26" i="520" s="1"/>
  <c r="CX26" i="520"/>
  <c r="HV26" i="520" s="1"/>
  <c r="DH26" i="520"/>
  <c r="CV26" i="520"/>
  <c r="HT26" i="520" s="1"/>
  <c r="CR26" i="520"/>
  <c r="HP26" i="520" s="1"/>
  <c r="CQ26" i="520"/>
  <c r="HO26" i="520" s="1"/>
  <c r="DD26" i="520"/>
  <c r="DQ26" i="520"/>
  <c r="DP26" i="520"/>
  <c r="IN26" i="520" s="1"/>
  <c r="DN26" i="520"/>
  <c r="IL26" i="520" s="1"/>
  <c r="DL26" i="520"/>
  <c r="IJ26" i="520" s="1"/>
  <c r="DI26" i="520"/>
  <c r="IG26" i="520" s="1"/>
  <c r="DG26" i="520"/>
  <c r="IE26" i="520" s="1"/>
  <c r="DF26" i="520"/>
  <c r="ID26" i="520" s="1"/>
  <c r="DE26" i="520"/>
  <c r="IC26" i="520" s="1"/>
  <c r="DC26" i="520"/>
  <c r="IA26" i="520" s="1"/>
  <c r="CU26" i="520"/>
  <c r="HS26" i="520" s="1"/>
  <c r="BP8" i="520"/>
  <c r="GN8" i="520" s="1"/>
  <c r="BR8" i="520"/>
  <c r="CL8" i="520"/>
  <c r="HJ8" i="520" s="1"/>
  <c r="BQ8" i="520"/>
  <c r="GO8" i="520" s="1"/>
  <c r="BO8" i="520"/>
  <c r="GM8" i="520" s="1"/>
  <c r="BN8" i="520"/>
  <c r="BM8" i="520"/>
  <c r="CH8" i="520"/>
  <c r="BL8" i="520"/>
  <c r="CG8" i="520"/>
  <c r="BK8" i="520"/>
  <c r="GI8" i="520" s="1"/>
  <c r="CF8" i="520"/>
  <c r="HD8" i="520" s="1"/>
  <c r="BJ8" i="520"/>
  <c r="GH8" i="520" s="1"/>
  <c r="BI8" i="520"/>
  <c r="GG8" i="520" s="1"/>
  <c r="CD8" i="520"/>
  <c r="HB8" i="520" s="1"/>
  <c r="BH8" i="520"/>
  <c r="GF8" i="520" s="1"/>
  <c r="CC8" i="520"/>
  <c r="BG8" i="520"/>
  <c r="BV8" i="520"/>
  <c r="GT8" i="520" s="1"/>
  <c r="BT8" i="520"/>
  <c r="GR8" i="520" s="1"/>
  <c r="BX8" i="520"/>
  <c r="BS8" i="520"/>
  <c r="BY8" i="520"/>
  <c r="BW8" i="520"/>
  <c r="GU8" i="520" s="1"/>
  <c r="DB8" i="520"/>
  <c r="HZ8" i="520" s="1"/>
  <c r="CY8" i="520"/>
  <c r="CW8" i="520"/>
  <c r="HU8" i="520" s="1"/>
  <c r="CU8" i="520"/>
  <c r="HS8" i="520" s="1"/>
  <c r="CK8" i="520"/>
  <c r="HI8" i="520" s="1"/>
  <c r="CT8" i="520"/>
  <c r="HR8" i="520" s="1"/>
  <c r="CJ8" i="520"/>
  <c r="HH8" i="520" s="1"/>
  <c r="CI8" i="520"/>
  <c r="HG8" i="520" s="1"/>
  <c r="CR8" i="520"/>
  <c r="HP8" i="520" s="1"/>
  <c r="CE8" i="520"/>
  <c r="CQ8" i="520"/>
  <c r="HO8" i="520" s="1"/>
  <c r="BU8" i="520"/>
  <c r="GS8" i="520" s="1"/>
  <c r="CA8" i="520"/>
  <c r="GY8" i="520" s="1"/>
  <c r="BZ8" i="520"/>
  <c r="CN8" i="520"/>
  <c r="DH8" i="520"/>
  <c r="IF8" i="520" s="1"/>
  <c r="DG8" i="520"/>
  <c r="DF8" i="520"/>
  <c r="ID8" i="520" s="1"/>
  <c r="DE8" i="520"/>
  <c r="IC8" i="520" s="1"/>
  <c r="DA8" i="520"/>
  <c r="HY8" i="520" s="1"/>
  <c r="DD8" i="520"/>
  <c r="IB8" i="520" s="1"/>
  <c r="CB8" i="520"/>
  <c r="GZ8" i="520" s="1"/>
  <c r="CZ8" i="520"/>
  <c r="HX8" i="520" s="1"/>
  <c r="DC8" i="520"/>
  <c r="IA8" i="520" s="1"/>
  <c r="CX8" i="520"/>
  <c r="HV8" i="520" s="1"/>
  <c r="DR8" i="520"/>
  <c r="IP8" i="520" s="1"/>
  <c r="CV8" i="520"/>
  <c r="HT8" i="520" s="1"/>
  <c r="DQ8" i="520"/>
  <c r="IO8" i="520" s="1"/>
  <c r="CS8" i="520"/>
  <c r="HQ8" i="520" s="1"/>
  <c r="DP8" i="520"/>
  <c r="IN8" i="520" s="1"/>
  <c r="CP8" i="520"/>
  <c r="HN8" i="520" s="1"/>
  <c r="DO8" i="520"/>
  <c r="IM8" i="520" s="1"/>
  <c r="CO8" i="520"/>
  <c r="HM8" i="520" s="1"/>
  <c r="DN8" i="520"/>
  <c r="IL8" i="520" s="1"/>
  <c r="CM8" i="520"/>
  <c r="HK8" i="520" s="1"/>
  <c r="DM8" i="520"/>
  <c r="IK8" i="520" s="1"/>
  <c r="DL8" i="520"/>
  <c r="IJ8" i="520" s="1"/>
  <c r="DK8" i="520"/>
  <c r="II8" i="520" s="1"/>
  <c r="DJ8" i="520"/>
  <c r="IH8" i="520" s="1"/>
  <c r="DI8" i="520"/>
  <c r="IG8" i="520" s="1"/>
  <c r="BN21" i="520"/>
  <c r="GL21" i="520" s="1"/>
  <c r="BM21" i="520"/>
  <c r="GK21" i="520" s="1"/>
  <c r="BL21" i="520"/>
  <c r="GJ21" i="520" s="1"/>
  <c r="BK21" i="520"/>
  <c r="GI21" i="520" s="1"/>
  <c r="BJ21" i="520"/>
  <c r="GH21" i="520" s="1"/>
  <c r="BI21" i="520"/>
  <c r="GG21" i="520" s="1"/>
  <c r="BH21" i="520"/>
  <c r="BG21" i="520"/>
  <c r="BV21" i="520"/>
  <c r="GT21" i="520" s="1"/>
  <c r="BU21" i="520"/>
  <c r="GS21" i="520" s="1"/>
  <c r="BT21" i="520"/>
  <c r="GR21" i="520" s="1"/>
  <c r="BS21" i="520"/>
  <c r="GQ21" i="520" s="1"/>
  <c r="BR21" i="520"/>
  <c r="GP21" i="520" s="1"/>
  <c r="BQ21" i="520"/>
  <c r="GO21" i="520" s="1"/>
  <c r="BP21" i="520"/>
  <c r="GN21" i="520" s="1"/>
  <c r="CF21" i="520"/>
  <c r="HD21" i="520" s="1"/>
  <c r="BO21" i="520"/>
  <c r="GM21" i="520" s="1"/>
  <c r="BY21" i="520"/>
  <c r="GW21" i="520" s="1"/>
  <c r="BX21" i="520"/>
  <c r="GV21" i="520" s="1"/>
  <c r="BW21" i="520"/>
  <c r="GU21" i="520" s="1"/>
  <c r="CL21" i="520"/>
  <c r="HJ21" i="520" s="1"/>
  <c r="CK21" i="520"/>
  <c r="CW21" i="520"/>
  <c r="HU21" i="520" s="1"/>
  <c r="CJ21" i="520"/>
  <c r="HH21" i="520" s="1"/>
  <c r="CI21" i="520"/>
  <c r="HG21" i="520" s="1"/>
  <c r="CH21" i="520"/>
  <c r="HF21" i="520" s="1"/>
  <c r="CG21" i="520"/>
  <c r="HE21" i="520" s="1"/>
  <c r="CD21" i="520"/>
  <c r="HB21" i="520" s="1"/>
  <c r="CC21" i="520"/>
  <c r="HA21" i="520" s="1"/>
  <c r="CA21" i="520"/>
  <c r="GY21" i="520" s="1"/>
  <c r="CP21" i="520"/>
  <c r="HN21" i="520" s="1"/>
  <c r="CO21" i="520"/>
  <c r="HM21" i="520" s="1"/>
  <c r="DR21" i="520"/>
  <c r="IP21" i="520" s="1"/>
  <c r="CN21" i="520"/>
  <c r="HL21" i="520" s="1"/>
  <c r="CM21" i="520"/>
  <c r="HK21" i="520" s="1"/>
  <c r="DO21" i="520"/>
  <c r="IM21" i="520" s="1"/>
  <c r="DA21" i="520"/>
  <c r="HY21" i="520" s="1"/>
  <c r="DM21" i="520"/>
  <c r="CE21" i="520"/>
  <c r="HC21" i="520" s="1"/>
  <c r="CY21" i="520"/>
  <c r="HW21" i="520" s="1"/>
  <c r="CB21" i="520"/>
  <c r="GZ21" i="520" s="1"/>
  <c r="CX21" i="520"/>
  <c r="HV21" i="520" s="1"/>
  <c r="BZ21" i="520"/>
  <c r="GX21" i="520" s="1"/>
  <c r="CV21" i="520"/>
  <c r="HT21" i="520" s="1"/>
  <c r="CU21" i="520"/>
  <c r="HS21" i="520" s="1"/>
  <c r="CT21" i="520"/>
  <c r="HR21" i="520" s="1"/>
  <c r="CQ21" i="520"/>
  <c r="HO21" i="520" s="1"/>
  <c r="DN21" i="520"/>
  <c r="IL21" i="520" s="1"/>
  <c r="DL21" i="520"/>
  <c r="IJ21" i="520" s="1"/>
  <c r="DK21" i="520"/>
  <c r="II21" i="520" s="1"/>
  <c r="DJ21" i="520"/>
  <c r="IH21" i="520" s="1"/>
  <c r="DI21" i="520"/>
  <c r="DH21" i="520"/>
  <c r="IF21" i="520" s="1"/>
  <c r="DG21" i="520"/>
  <c r="DF21" i="520"/>
  <c r="ID21" i="520" s="1"/>
  <c r="DE21" i="520"/>
  <c r="IC21" i="520" s="1"/>
  <c r="DD21" i="520"/>
  <c r="IB21" i="520" s="1"/>
  <c r="DC21" i="520"/>
  <c r="IA21" i="520" s="1"/>
  <c r="DB21" i="520"/>
  <c r="HZ21" i="520" s="1"/>
  <c r="CZ21" i="520"/>
  <c r="HX21" i="520" s="1"/>
  <c r="CS21" i="520"/>
  <c r="HQ21" i="520" s="1"/>
  <c r="DQ21" i="520"/>
  <c r="IO21" i="520" s="1"/>
  <c r="CR21" i="520"/>
  <c r="HP21" i="520" s="1"/>
  <c r="DP21" i="520"/>
  <c r="IN21" i="520" s="1"/>
  <c r="BN18" i="520"/>
  <c r="GL18" i="520" s="1"/>
  <c r="BM18" i="520"/>
  <c r="GK18" i="520" s="1"/>
  <c r="BL18" i="520"/>
  <c r="GJ18" i="520" s="1"/>
  <c r="BK18" i="520"/>
  <c r="GI18" i="520" s="1"/>
  <c r="BJ18" i="520"/>
  <c r="GH18" i="520" s="1"/>
  <c r="BI18" i="520"/>
  <c r="BH18" i="520"/>
  <c r="GF18" i="520" s="1"/>
  <c r="BG18" i="520"/>
  <c r="GE18" i="520" s="1"/>
  <c r="BV18" i="520"/>
  <c r="GT18" i="520" s="1"/>
  <c r="BU18" i="520"/>
  <c r="GS18" i="520" s="1"/>
  <c r="BT18" i="520"/>
  <c r="GR18" i="520" s="1"/>
  <c r="BS18" i="520"/>
  <c r="GQ18" i="520" s="1"/>
  <c r="BR18" i="520"/>
  <c r="GP18" i="520" s="1"/>
  <c r="BQ18" i="520"/>
  <c r="GO18" i="520" s="1"/>
  <c r="BP18" i="520"/>
  <c r="GN18" i="520" s="1"/>
  <c r="CF18" i="520"/>
  <c r="HD18" i="520" s="1"/>
  <c r="BO18" i="520"/>
  <c r="GM18" i="520" s="1"/>
  <c r="CJ18" i="520"/>
  <c r="HH18" i="520" s="1"/>
  <c r="CG18" i="520"/>
  <c r="HE18" i="520" s="1"/>
  <c r="CE18" i="520"/>
  <c r="HC18" i="520" s="1"/>
  <c r="CD18" i="520"/>
  <c r="HB18" i="520" s="1"/>
  <c r="CC18" i="520"/>
  <c r="HA18" i="520" s="1"/>
  <c r="CA18" i="520"/>
  <c r="BZ18" i="520"/>
  <c r="GX18" i="520" s="1"/>
  <c r="BX18" i="520"/>
  <c r="GV18" i="520" s="1"/>
  <c r="BW18" i="520"/>
  <c r="CL18" i="520"/>
  <c r="HJ18" i="520" s="1"/>
  <c r="CK18" i="520"/>
  <c r="HI18" i="520" s="1"/>
  <c r="CI18" i="520"/>
  <c r="HG18" i="520" s="1"/>
  <c r="DB18" i="520"/>
  <c r="HZ18" i="520" s="1"/>
  <c r="CH18" i="520"/>
  <c r="HF18" i="520" s="1"/>
  <c r="CB18" i="520"/>
  <c r="GZ18" i="520" s="1"/>
  <c r="CZ18" i="520"/>
  <c r="HX18" i="520" s="1"/>
  <c r="BY18" i="520"/>
  <c r="GW18" i="520" s="1"/>
  <c r="CY18" i="520"/>
  <c r="HW18" i="520" s="1"/>
  <c r="CW18" i="520"/>
  <c r="HU18" i="520" s="1"/>
  <c r="CU18" i="520"/>
  <c r="HS18" i="520" s="1"/>
  <c r="CT18" i="520"/>
  <c r="HR18" i="520" s="1"/>
  <c r="CR18" i="520"/>
  <c r="HP18" i="520" s="1"/>
  <c r="CQ18" i="520"/>
  <c r="HO18" i="520" s="1"/>
  <c r="CN18" i="520"/>
  <c r="HL18" i="520" s="1"/>
  <c r="DH18" i="520"/>
  <c r="IF18" i="520" s="1"/>
  <c r="DG18" i="520"/>
  <c r="IE18" i="520" s="1"/>
  <c r="DF18" i="520"/>
  <c r="ID18" i="520" s="1"/>
  <c r="DE18" i="520"/>
  <c r="IC18" i="520" s="1"/>
  <c r="DD18" i="520"/>
  <c r="IB18" i="520" s="1"/>
  <c r="DC18" i="520"/>
  <c r="IA18" i="520" s="1"/>
  <c r="DR18" i="520"/>
  <c r="IP18" i="520" s="1"/>
  <c r="DQ18" i="520"/>
  <c r="IO18" i="520" s="1"/>
  <c r="DP18" i="520"/>
  <c r="IN18" i="520" s="1"/>
  <c r="DA18" i="520"/>
  <c r="HY18" i="520" s="1"/>
  <c r="DO18" i="520"/>
  <c r="IM18" i="520" s="1"/>
  <c r="CX18" i="520"/>
  <c r="HV18" i="520" s="1"/>
  <c r="DN18" i="520"/>
  <c r="CV18" i="520"/>
  <c r="HT18" i="520" s="1"/>
  <c r="DM18" i="520"/>
  <c r="IK18" i="520" s="1"/>
  <c r="CS18" i="520"/>
  <c r="HQ18" i="520" s="1"/>
  <c r="DL18" i="520"/>
  <c r="IJ18" i="520" s="1"/>
  <c r="CP18" i="520"/>
  <c r="HN18" i="520" s="1"/>
  <c r="DK18" i="520"/>
  <c r="II18" i="520" s="1"/>
  <c r="CO18" i="520"/>
  <c r="HM18" i="520" s="1"/>
  <c r="DJ18" i="520"/>
  <c r="IH18" i="520" s="1"/>
  <c r="CM18" i="520"/>
  <c r="HK18" i="520" s="1"/>
  <c r="DI18" i="520"/>
  <c r="IG18" i="520" s="1"/>
  <c r="BP11" i="520"/>
  <c r="GN11" i="520" s="1"/>
  <c r="BG11" i="520"/>
  <c r="GE11" i="520" s="1"/>
  <c r="CL11" i="520"/>
  <c r="HJ11" i="520" s="1"/>
  <c r="BV11" i="520"/>
  <c r="BU11" i="520"/>
  <c r="GS11" i="520" s="1"/>
  <c r="BT11" i="520"/>
  <c r="GR11" i="520" s="1"/>
  <c r="CH11" i="520"/>
  <c r="HF11" i="520" s="1"/>
  <c r="BS11" i="520"/>
  <c r="GQ11" i="520" s="1"/>
  <c r="CG11" i="520"/>
  <c r="HE11" i="520" s="1"/>
  <c r="BR11" i="520"/>
  <c r="GP11" i="520" s="1"/>
  <c r="CF11" i="520"/>
  <c r="HD11" i="520" s="1"/>
  <c r="BQ11" i="520"/>
  <c r="GO11" i="520" s="1"/>
  <c r="BO11" i="520"/>
  <c r="GM11" i="520" s="1"/>
  <c r="CD11" i="520"/>
  <c r="HB11" i="520" s="1"/>
  <c r="BN11" i="520"/>
  <c r="GL11" i="520" s="1"/>
  <c r="CC11" i="520"/>
  <c r="HA11" i="520" s="1"/>
  <c r="BM11" i="520"/>
  <c r="GK11" i="520" s="1"/>
  <c r="BL11" i="520"/>
  <c r="BK11" i="520"/>
  <c r="GI11" i="520" s="1"/>
  <c r="BI11" i="520"/>
  <c r="GG11" i="520" s="1"/>
  <c r="BX11" i="520"/>
  <c r="GV11" i="520" s="1"/>
  <c r="BH11" i="520"/>
  <c r="GF11" i="520" s="1"/>
  <c r="DB11" i="520"/>
  <c r="HZ11" i="520" s="1"/>
  <c r="CK11" i="520"/>
  <c r="HI11" i="520" s="1"/>
  <c r="CJ11" i="520"/>
  <c r="HH11" i="520" s="1"/>
  <c r="CY11" i="520"/>
  <c r="HW11" i="520" s="1"/>
  <c r="CI11" i="520"/>
  <c r="HG11" i="520" s="1"/>
  <c r="CE11" i="520"/>
  <c r="HC11" i="520" s="1"/>
  <c r="CW11" i="520"/>
  <c r="HU11" i="520" s="1"/>
  <c r="CB11" i="520"/>
  <c r="GZ11" i="520" s="1"/>
  <c r="CA11" i="520"/>
  <c r="GY11" i="520" s="1"/>
  <c r="CU11" i="520"/>
  <c r="HS11" i="520" s="1"/>
  <c r="BJ11" i="520"/>
  <c r="GH11" i="520" s="1"/>
  <c r="BZ11" i="520"/>
  <c r="GX11" i="520" s="1"/>
  <c r="CT11" i="520"/>
  <c r="HR11" i="520" s="1"/>
  <c r="BY11" i="520"/>
  <c r="GW11" i="520" s="1"/>
  <c r="BW11" i="520"/>
  <c r="GU11" i="520" s="1"/>
  <c r="CR11" i="520"/>
  <c r="CQ11" i="520"/>
  <c r="CN11" i="520"/>
  <c r="HL11" i="520" s="1"/>
  <c r="DH11" i="520"/>
  <c r="IF11" i="520" s="1"/>
  <c r="DG11" i="520"/>
  <c r="IE11" i="520" s="1"/>
  <c r="DF11" i="520"/>
  <c r="ID11" i="520" s="1"/>
  <c r="DE11" i="520"/>
  <c r="IC11" i="520" s="1"/>
  <c r="DA11" i="520"/>
  <c r="HY11" i="520" s="1"/>
  <c r="DD11" i="520"/>
  <c r="IB11" i="520" s="1"/>
  <c r="CZ11" i="520"/>
  <c r="HX11" i="520" s="1"/>
  <c r="DC11" i="520"/>
  <c r="IA11" i="520" s="1"/>
  <c r="CX11" i="520"/>
  <c r="HV11" i="520" s="1"/>
  <c r="DR11" i="520"/>
  <c r="CV11" i="520"/>
  <c r="HT11" i="520" s="1"/>
  <c r="DQ11" i="520"/>
  <c r="IO11" i="520" s="1"/>
  <c r="CS11" i="520"/>
  <c r="HQ11" i="520" s="1"/>
  <c r="DP11" i="520"/>
  <c r="IN11" i="520" s="1"/>
  <c r="CP11" i="520"/>
  <c r="DO11" i="520"/>
  <c r="IM11" i="520" s="1"/>
  <c r="CO11" i="520"/>
  <c r="HM11" i="520" s="1"/>
  <c r="DN11" i="520"/>
  <c r="IL11" i="520" s="1"/>
  <c r="CM11" i="520"/>
  <c r="HK11" i="520" s="1"/>
  <c r="DM11" i="520"/>
  <c r="IK11" i="520" s="1"/>
  <c r="DL11" i="520"/>
  <c r="IJ11" i="520" s="1"/>
  <c r="DK11" i="520"/>
  <c r="II11" i="520" s="1"/>
  <c r="DJ11" i="520"/>
  <c r="IH11" i="520" s="1"/>
  <c r="DI11" i="520"/>
  <c r="IG11" i="520" s="1"/>
  <c r="BN16" i="520"/>
  <c r="GL16" i="520" s="1"/>
  <c r="BM16" i="520"/>
  <c r="BL16" i="520"/>
  <c r="GJ16" i="520" s="1"/>
  <c r="BK16" i="520"/>
  <c r="GI16" i="520" s="1"/>
  <c r="BJ16" i="520"/>
  <c r="GH16" i="520" s="1"/>
  <c r="BI16" i="520"/>
  <c r="BH16" i="520"/>
  <c r="GF16" i="520" s="1"/>
  <c r="BG16" i="520"/>
  <c r="GE16" i="520" s="1"/>
  <c r="BV16" i="520"/>
  <c r="GT16" i="520" s="1"/>
  <c r="BU16" i="520"/>
  <c r="GS16" i="520" s="1"/>
  <c r="BT16" i="520"/>
  <c r="GR16" i="520" s="1"/>
  <c r="BS16" i="520"/>
  <c r="GQ16" i="520" s="1"/>
  <c r="BR16" i="520"/>
  <c r="GP16" i="520" s="1"/>
  <c r="BQ16" i="520"/>
  <c r="GO16" i="520" s="1"/>
  <c r="BP16" i="520"/>
  <c r="GN16" i="520" s="1"/>
  <c r="CF16" i="520"/>
  <c r="HD16" i="520" s="1"/>
  <c r="BO16" i="520"/>
  <c r="GM16" i="520" s="1"/>
  <c r="CE16" i="520"/>
  <c r="HC16" i="520" s="1"/>
  <c r="CB16" i="520"/>
  <c r="GZ16" i="520" s="1"/>
  <c r="CA16" i="520"/>
  <c r="GY16" i="520" s="1"/>
  <c r="BZ16" i="520"/>
  <c r="GX16" i="520" s="1"/>
  <c r="BY16" i="520"/>
  <c r="BW16" i="520"/>
  <c r="CK16" i="520"/>
  <c r="HI16" i="520" s="1"/>
  <c r="CJ16" i="520"/>
  <c r="HH16" i="520" s="1"/>
  <c r="CH16" i="520"/>
  <c r="HF16" i="520" s="1"/>
  <c r="DB16" i="520"/>
  <c r="HZ16" i="520" s="1"/>
  <c r="CZ16" i="520"/>
  <c r="HX16" i="520" s="1"/>
  <c r="CY16" i="520"/>
  <c r="HW16" i="520" s="1"/>
  <c r="CL16" i="520"/>
  <c r="HJ16" i="520" s="1"/>
  <c r="CW16" i="520"/>
  <c r="HU16" i="520" s="1"/>
  <c r="CI16" i="520"/>
  <c r="HG16" i="520" s="1"/>
  <c r="CG16" i="520"/>
  <c r="HE16" i="520" s="1"/>
  <c r="CU16" i="520"/>
  <c r="HS16" i="520" s="1"/>
  <c r="CD16" i="520"/>
  <c r="HB16" i="520" s="1"/>
  <c r="CT16" i="520"/>
  <c r="HR16" i="520" s="1"/>
  <c r="CC16" i="520"/>
  <c r="HA16" i="520" s="1"/>
  <c r="BX16" i="520"/>
  <c r="CR16" i="520"/>
  <c r="CQ16" i="520"/>
  <c r="HO16" i="520" s="1"/>
  <c r="CN16" i="520"/>
  <c r="HL16" i="520" s="1"/>
  <c r="DH16" i="520"/>
  <c r="IF16" i="520" s="1"/>
  <c r="DG16" i="520"/>
  <c r="IE16" i="520" s="1"/>
  <c r="DF16" i="520"/>
  <c r="ID16" i="520" s="1"/>
  <c r="DE16" i="520"/>
  <c r="IC16" i="520" s="1"/>
  <c r="DD16" i="520"/>
  <c r="IB16" i="520" s="1"/>
  <c r="DA16" i="520"/>
  <c r="HY16" i="520" s="1"/>
  <c r="DC16" i="520"/>
  <c r="IA16" i="520" s="1"/>
  <c r="CX16" i="520"/>
  <c r="DR16" i="520"/>
  <c r="IP16" i="520" s="1"/>
  <c r="CV16" i="520"/>
  <c r="HT16" i="520" s="1"/>
  <c r="DQ16" i="520"/>
  <c r="IO16" i="520" s="1"/>
  <c r="CS16" i="520"/>
  <c r="HQ16" i="520" s="1"/>
  <c r="DP16" i="520"/>
  <c r="IN16" i="520" s="1"/>
  <c r="CP16" i="520"/>
  <c r="HN16" i="520" s="1"/>
  <c r="DO16" i="520"/>
  <c r="IM16" i="520" s="1"/>
  <c r="CO16" i="520"/>
  <c r="HM16" i="520" s="1"/>
  <c r="DN16" i="520"/>
  <c r="IL16" i="520" s="1"/>
  <c r="CM16" i="520"/>
  <c r="HK16" i="520" s="1"/>
  <c r="DM16" i="520"/>
  <c r="IK16" i="520" s="1"/>
  <c r="DL16" i="520"/>
  <c r="IJ16" i="520" s="1"/>
  <c r="DK16" i="520"/>
  <c r="II16" i="520" s="1"/>
  <c r="DJ16" i="520"/>
  <c r="IH16" i="520" s="1"/>
  <c r="DI16" i="520"/>
  <c r="IG16" i="520" s="1"/>
  <c r="BN25" i="520"/>
  <c r="GL25" i="520" s="1"/>
  <c r="BM25" i="520"/>
  <c r="GK25" i="520" s="1"/>
  <c r="BL25" i="520"/>
  <c r="GJ25" i="520" s="1"/>
  <c r="BK25" i="520"/>
  <c r="GI25" i="520" s="1"/>
  <c r="BJ25" i="520"/>
  <c r="GH25" i="520" s="1"/>
  <c r="BI25" i="520"/>
  <c r="GG25" i="520" s="1"/>
  <c r="BH25" i="520"/>
  <c r="GF25" i="520" s="1"/>
  <c r="BG25" i="520"/>
  <c r="GE25" i="520" s="1"/>
  <c r="BV25" i="520"/>
  <c r="GT25" i="520" s="1"/>
  <c r="BU25" i="520"/>
  <c r="GS25" i="520" s="1"/>
  <c r="BT25" i="520"/>
  <c r="GR25" i="520" s="1"/>
  <c r="BS25" i="520"/>
  <c r="GQ25" i="520" s="1"/>
  <c r="BR25" i="520"/>
  <c r="GP25" i="520" s="1"/>
  <c r="BQ25" i="520"/>
  <c r="GO25" i="520" s="1"/>
  <c r="BP25" i="520"/>
  <c r="GN25" i="520" s="1"/>
  <c r="CF25" i="520"/>
  <c r="HD25" i="520" s="1"/>
  <c r="BO25" i="520"/>
  <c r="GM25" i="520" s="1"/>
  <c r="CH25" i="520"/>
  <c r="HF25" i="520" s="1"/>
  <c r="CG25" i="520"/>
  <c r="HE25" i="520" s="1"/>
  <c r="CE25" i="520"/>
  <c r="HC25" i="520" s="1"/>
  <c r="CD25" i="520"/>
  <c r="HB25" i="520" s="1"/>
  <c r="CC25" i="520"/>
  <c r="HA25" i="520" s="1"/>
  <c r="CB25" i="520"/>
  <c r="GZ25" i="520" s="1"/>
  <c r="CW25" i="520"/>
  <c r="HU25" i="520" s="1"/>
  <c r="CA25" i="520"/>
  <c r="GY25" i="520" s="1"/>
  <c r="BZ25" i="520"/>
  <c r="GX25" i="520" s="1"/>
  <c r="BY25" i="520"/>
  <c r="GW25" i="520" s="1"/>
  <c r="CT25" i="520"/>
  <c r="HR25" i="520" s="1"/>
  <c r="BX25" i="520"/>
  <c r="GV25" i="520" s="1"/>
  <c r="CS25" i="520"/>
  <c r="HQ25" i="520" s="1"/>
  <c r="BW25" i="520"/>
  <c r="GU25" i="520" s="1"/>
  <c r="CL25" i="520"/>
  <c r="HJ25" i="520" s="1"/>
  <c r="CJ25" i="520"/>
  <c r="HH25" i="520" s="1"/>
  <c r="DB25" i="520"/>
  <c r="HZ25" i="520" s="1"/>
  <c r="DR25" i="520"/>
  <c r="IP25" i="520" s="1"/>
  <c r="DA25" i="520"/>
  <c r="HY25" i="520" s="1"/>
  <c r="CZ25" i="520"/>
  <c r="HX25" i="520" s="1"/>
  <c r="CY25" i="520"/>
  <c r="HW25" i="520" s="1"/>
  <c r="DO25" i="520"/>
  <c r="CX25" i="520"/>
  <c r="HV25" i="520" s="1"/>
  <c r="CV25" i="520"/>
  <c r="HT25" i="520" s="1"/>
  <c r="DM25" i="520"/>
  <c r="IK25" i="520" s="1"/>
  <c r="CU25" i="520"/>
  <c r="HS25" i="520" s="1"/>
  <c r="CK25" i="520"/>
  <c r="HI25" i="520" s="1"/>
  <c r="CR25" i="520"/>
  <c r="HP25" i="520" s="1"/>
  <c r="CI25" i="520"/>
  <c r="HG25" i="520" s="1"/>
  <c r="CQ25" i="520"/>
  <c r="HO25" i="520" s="1"/>
  <c r="CP25" i="520"/>
  <c r="HN25" i="520" s="1"/>
  <c r="CO25" i="520"/>
  <c r="HM25" i="520" s="1"/>
  <c r="CN25" i="520"/>
  <c r="DD25" i="520"/>
  <c r="IB25" i="520" s="1"/>
  <c r="CM25" i="520"/>
  <c r="HK25" i="520" s="1"/>
  <c r="DH25" i="520"/>
  <c r="IF25" i="520" s="1"/>
  <c r="DG25" i="520"/>
  <c r="IE25" i="520" s="1"/>
  <c r="DF25" i="520"/>
  <c r="ID25" i="520" s="1"/>
  <c r="DE25" i="520"/>
  <c r="IC25" i="520" s="1"/>
  <c r="DC25" i="520"/>
  <c r="IA25" i="520" s="1"/>
  <c r="DQ25" i="520"/>
  <c r="IO25" i="520" s="1"/>
  <c r="DP25" i="520"/>
  <c r="IN25" i="520" s="1"/>
  <c r="DN25" i="520"/>
  <c r="IL25" i="520" s="1"/>
  <c r="DL25" i="520"/>
  <c r="IJ25" i="520" s="1"/>
  <c r="DK25" i="520"/>
  <c r="II25" i="520" s="1"/>
  <c r="DJ25" i="520"/>
  <c r="IH25" i="520" s="1"/>
  <c r="DI25" i="520"/>
  <c r="IG25" i="520" s="1"/>
  <c r="BN17" i="520"/>
  <c r="GL17" i="520" s="1"/>
  <c r="BM17" i="520"/>
  <c r="GK17" i="520" s="1"/>
  <c r="BL17" i="520"/>
  <c r="GJ17" i="520" s="1"/>
  <c r="BK17" i="520"/>
  <c r="GI17" i="520" s="1"/>
  <c r="BJ17" i="520"/>
  <c r="GH17" i="520" s="1"/>
  <c r="BI17" i="520"/>
  <c r="GG17" i="520" s="1"/>
  <c r="BH17" i="520"/>
  <c r="GF17" i="520" s="1"/>
  <c r="BG17" i="520"/>
  <c r="GE17" i="520" s="1"/>
  <c r="BV17" i="520"/>
  <c r="GT17" i="520" s="1"/>
  <c r="BU17" i="520"/>
  <c r="GS17" i="520" s="1"/>
  <c r="BT17" i="520"/>
  <c r="GR17" i="520" s="1"/>
  <c r="BS17" i="520"/>
  <c r="GQ17" i="520" s="1"/>
  <c r="BR17" i="520"/>
  <c r="GP17" i="520" s="1"/>
  <c r="BQ17" i="520"/>
  <c r="GO17" i="520" s="1"/>
  <c r="BP17" i="520"/>
  <c r="GN17" i="520" s="1"/>
  <c r="CF17" i="520"/>
  <c r="HD17" i="520" s="1"/>
  <c r="BO17" i="520"/>
  <c r="GM17" i="520" s="1"/>
  <c r="CH17" i="520"/>
  <c r="HF17" i="520" s="1"/>
  <c r="CD17" i="520"/>
  <c r="HB17" i="520" s="1"/>
  <c r="CC17" i="520"/>
  <c r="HA17" i="520" s="1"/>
  <c r="CB17" i="520"/>
  <c r="GZ17" i="520" s="1"/>
  <c r="CA17" i="520"/>
  <c r="GY17" i="520" s="1"/>
  <c r="BY17" i="520"/>
  <c r="GW17" i="520" s="1"/>
  <c r="BX17" i="520"/>
  <c r="GV17" i="520" s="1"/>
  <c r="CL17" i="520"/>
  <c r="HJ17" i="520" s="1"/>
  <c r="CJ17" i="520"/>
  <c r="HH17" i="520" s="1"/>
  <c r="BW17" i="520"/>
  <c r="GU17" i="520" s="1"/>
  <c r="DB17" i="520"/>
  <c r="HZ17" i="520" s="1"/>
  <c r="CZ17" i="520"/>
  <c r="HX17" i="520" s="1"/>
  <c r="CY17" i="520"/>
  <c r="HW17" i="520" s="1"/>
  <c r="CW17" i="520"/>
  <c r="HU17" i="520" s="1"/>
  <c r="CU17" i="520"/>
  <c r="HS17" i="520" s="1"/>
  <c r="CT17" i="520"/>
  <c r="HR17" i="520" s="1"/>
  <c r="CK17" i="520"/>
  <c r="HI17" i="520" s="1"/>
  <c r="CR17" i="520"/>
  <c r="HP17" i="520" s="1"/>
  <c r="CI17" i="520"/>
  <c r="HG17" i="520" s="1"/>
  <c r="CQ17" i="520"/>
  <c r="HO17" i="520" s="1"/>
  <c r="CG17" i="520"/>
  <c r="CE17" i="520"/>
  <c r="BZ17" i="520"/>
  <c r="GX17" i="520" s="1"/>
  <c r="CN17" i="520"/>
  <c r="HL17" i="520" s="1"/>
  <c r="DH17" i="520"/>
  <c r="IF17" i="520" s="1"/>
  <c r="DG17" i="520"/>
  <c r="IE17" i="520" s="1"/>
  <c r="DF17" i="520"/>
  <c r="ID17" i="520" s="1"/>
  <c r="DE17" i="520"/>
  <c r="IC17" i="520" s="1"/>
  <c r="DD17" i="520"/>
  <c r="IB17" i="520" s="1"/>
  <c r="DC17" i="520"/>
  <c r="IA17" i="520" s="1"/>
  <c r="DR17" i="520"/>
  <c r="IP17" i="520" s="1"/>
  <c r="DA17" i="520"/>
  <c r="HY17" i="520" s="1"/>
  <c r="DQ17" i="520"/>
  <c r="IO17" i="520" s="1"/>
  <c r="CX17" i="520"/>
  <c r="HV17" i="520" s="1"/>
  <c r="DP17" i="520"/>
  <c r="IN17" i="520" s="1"/>
  <c r="CV17" i="520"/>
  <c r="HT17" i="520" s="1"/>
  <c r="DO17" i="520"/>
  <c r="CS17" i="520"/>
  <c r="HQ17" i="520" s="1"/>
  <c r="DN17" i="520"/>
  <c r="IL17" i="520" s="1"/>
  <c r="CP17" i="520"/>
  <c r="HN17" i="520" s="1"/>
  <c r="DM17" i="520"/>
  <c r="IK17" i="520" s="1"/>
  <c r="CO17" i="520"/>
  <c r="HM17" i="520" s="1"/>
  <c r="DL17" i="520"/>
  <c r="IJ17" i="520" s="1"/>
  <c r="CM17" i="520"/>
  <c r="HK17" i="520" s="1"/>
  <c r="DK17" i="520"/>
  <c r="II17" i="520" s="1"/>
  <c r="DJ17" i="520"/>
  <c r="IH17" i="520" s="1"/>
  <c r="DI17" i="520"/>
  <c r="IG17" i="520" s="1"/>
  <c r="DZ18" i="520"/>
  <c r="DY18" i="520"/>
  <c r="DX18" i="520"/>
  <c r="DW18" i="520"/>
  <c r="DV18" i="520"/>
  <c r="DU18" i="520"/>
  <c r="DT18" i="520"/>
  <c r="DS18" i="520"/>
  <c r="EH18" i="520"/>
  <c r="EG18" i="520"/>
  <c r="EF18" i="520"/>
  <c r="EE18" i="520"/>
  <c r="ED18" i="520"/>
  <c r="EC18" i="520"/>
  <c r="EB18" i="520"/>
  <c r="ER18" i="520"/>
  <c r="EA18" i="520"/>
  <c r="EW18" i="520"/>
  <c r="ET18" i="520"/>
  <c r="ES18" i="520"/>
  <c r="EQ18" i="520"/>
  <c r="EP18" i="520"/>
  <c r="EN18" i="520"/>
  <c r="EM18" i="520"/>
  <c r="EK18" i="520"/>
  <c r="EJ18" i="520"/>
  <c r="FN18" i="520"/>
  <c r="FL18" i="520"/>
  <c r="FK18" i="520"/>
  <c r="FI18" i="520"/>
  <c r="FG18" i="520"/>
  <c r="FF18" i="520"/>
  <c r="EX18" i="520"/>
  <c r="EV18" i="520"/>
  <c r="FD18" i="520"/>
  <c r="EU18" i="520"/>
  <c r="FC18" i="520"/>
  <c r="EO18" i="520"/>
  <c r="EL18" i="520"/>
  <c r="EI18" i="520"/>
  <c r="EZ18" i="520"/>
  <c r="FT18" i="520"/>
  <c r="FS18" i="520"/>
  <c r="FM18" i="520"/>
  <c r="FR18" i="520"/>
  <c r="FJ18" i="520"/>
  <c r="FQ18" i="520"/>
  <c r="FH18" i="520"/>
  <c r="FP18" i="520"/>
  <c r="FE18" i="520"/>
  <c r="FO18" i="520"/>
  <c r="FB18" i="520"/>
  <c r="GD18" i="520"/>
  <c r="FA18" i="520"/>
  <c r="GC18" i="520"/>
  <c r="EY18" i="520"/>
  <c r="GB18" i="520"/>
  <c r="GA18" i="520"/>
  <c r="FZ18" i="520"/>
  <c r="FY18" i="520"/>
  <c r="FX18" i="520"/>
  <c r="FW18" i="520"/>
  <c r="FV18" i="520"/>
  <c r="FU18" i="520"/>
  <c r="BN28" i="520"/>
  <c r="GL28" i="520" s="1"/>
  <c r="BM28" i="520"/>
  <c r="GK28" i="520" s="1"/>
  <c r="BL28" i="520"/>
  <c r="GJ28" i="520" s="1"/>
  <c r="BK28" i="520"/>
  <c r="GI28" i="520" s="1"/>
  <c r="BJ28" i="520"/>
  <c r="GH28" i="520" s="1"/>
  <c r="BI28" i="520"/>
  <c r="BH28" i="520"/>
  <c r="GF28" i="520" s="1"/>
  <c r="BG28" i="520"/>
  <c r="GE28" i="520" s="1"/>
  <c r="BV28" i="520"/>
  <c r="GT28" i="520" s="1"/>
  <c r="BU28" i="520"/>
  <c r="GS28" i="520" s="1"/>
  <c r="BT28" i="520"/>
  <c r="GR28" i="520" s="1"/>
  <c r="BS28" i="520"/>
  <c r="GQ28" i="520" s="1"/>
  <c r="BR28" i="520"/>
  <c r="GP28" i="520" s="1"/>
  <c r="BQ28" i="520"/>
  <c r="GO28" i="520" s="1"/>
  <c r="BP28" i="520"/>
  <c r="GN28" i="520" s="1"/>
  <c r="CF28" i="520"/>
  <c r="HD28" i="520" s="1"/>
  <c r="BO28" i="520"/>
  <c r="GM28" i="520" s="1"/>
  <c r="BW28" i="520"/>
  <c r="GU28" i="520" s="1"/>
  <c r="CL28" i="520"/>
  <c r="HJ28" i="520" s="1"/>
  <c r="CK28" i="520"/>
  <c r="HI28" i="520" s="1"/>
  <c r="CJ28" i="520"/>
  <c r="HH28" i="520" s="1"/>
  <c r="CX28" i="520"/>
  <c r="HV28" i="520" s="1"/>
  <c r="CI28" i="520"/>
  <c r="HG28" i="520" s="1"/>
  <c r="CW28" i="520"/>
  <c r="HU28" i="520" s="1"/>
  <c r="CH28" i="520"/>
  <c r="HF28" i="520" s="1"/>
  <c r="CG28" i="520"/>
  <c r="HE28" i="520" s="1"/>
  <c r="CE28" i="520"/>
  <c r="HC28" i="520" s="1"/>
  <c r="CT28" i="520"/>
  <c r="HR28" i="520" s="1"/>
  <c r="CD28" i="520"/>
  <c r="HB28" i="520" s="1"/>
  <c r="CS28" i="520"/>
  <c r="HQ28" i="520" s="1"/>
  <c r="CC28" i="520"/>
  <c r="HA28" i="520" s="1"/>
  <c r="CB28" i="520"/>
  <c r="GZ28" i="520" s="1"/>
  <c r="CA28" i="520"/>
  <c r="GY28" i="520" s="1"/>
  <c r="BY28" i="520"/>
  <c r="GW28" i="520" s="1"/>
  <c r="CO28" i="520"/>
  <c r="HM28" i="520" s="1"/>
  <c r="CN28" i="520"/>
  <c r="HL28" i="520" s="1"/>
  <c r="DR28" i="520"/>
  <c r="IP28" i="520" s="1"/>
  <c r="CM28" i="520"/>
  <c r="HK28" i="520" s="1"/>
  <c r="DO28" i="520"/>
  <c r="DM28" i="520"/>
  <c r="IK28" i="520" s="1"/>
  <c r="DB28" i="520"/>
  <c r="HZ28" i="520" s="1"/>
  <c r="DA28" i="520"/>
  <c r="HY28" i="520" s="1"/>
  <c r="DK28" i="520"/>
  <c r="II28" i="520" s="1"/>
  <c r="CZ28" i="520"/>
  <c r="HX28" i="520" s="1"/>
  <c r="DJ28" i="520"/>
  <c r="IH28" i="520" s="1"/>
  <c r="CY28" i="520"/>
  <c r="HW28" i="520" s="1"/>
  <c r="CV28" i="520"/>
  <c r="HT28" i="520" s="1"/>
  <c r="DH28" i="520"/>
  <c r="IF28" i="520" s="1"/>
  <c r="CU28" i="520"/>
  <c r="HS28" i="520" s="1"/>
  <c r="DG28" i="520"/>
  <c r="IE28" i="520" s="1"/>
  <c r="BZ28" i="520"/>
  <c r="GX28" i="520" s="1"/>
  <c r="CQ28" i="520"/>
  <c r="HO28" i="520" s="1"/>
  <c r="BX28" i="520"/>
  <c r="GV28" i="520" s="1"/>
  <c r="CP28" i="520"/>
  <c r="HN28" i="520" s="1"/>
  <c r="DD28" i="520"/>
  <c r="IB28" i="520" s="1"/>
  <c r="DQ28" i="520"/>
  <c r="IO28" i="520" s="1"/>
  <c r="DP28" i="520"/>
  <c r="IN28" i="520" s="1"/>
  <c r="DN28" i="520"/>
  <c r="IL28" i="520" s="1"/>
  <c r="DL28" i="520"/>
  <c r="IJ28" i="520" s="1"/>
  <c r="DI28" i="520"/>
  <c r="IG28" i="520" s="1"/>
  <c r="DF28" i="520"/>
  <c r="ID28" i="520" s="1"/>
  <c r="DE28" i="520"/>
  <c r="IC28" i="520" s="1"/>
  <c r="CR28" i="520"/>
  <c r="HP28" i="520" s="1"/>
  <c r="DC28" i="520"/>
  <c r="IA28" i="520" s="1"/>
  <c r="BN19" i="520"/>
  <c r="GL19" i="520" s="1"/>
  <c r="BM19" i="520"/>
  <c r="BL19" i="520"/>
  <c r="GJ19" i="520" s="1"/>
  <c r="BK19" i="520"/>
  <c r="GI19" i="520" s="1"/>
  <c r="BJ19" i="520"/>
  <c r="GH19" i="520" s="1"/>
  <c r="BI19" i="520"/>
  <c r="BH19" i="520"/>
  <c r="BG19" i="520"/>
  <c r="GE19" i="520" s="1"/>
  <c r="BV19" i="520"/>
  <c r="GT19" i="520" s="1"/>
  <c r="BU19" i="520"/>
  <c r="GS19" i="520" s="1"/>
  <c r="BT19" i="520"/>
  <c r="GR19" i="520" s="1"/>
  <c r="BS19" i="520"/>
  <c r="GQ19" i="520" s="1"/>
  <c r="BR19" i="520"/>
  <c r="GP19" i="520" s="1"/>
  <c r="BQ19" i="520"/>
  <c r="GO19" i="520" s="1"/>
  <c r="BP19" i="520"/>
  <c r="GN19" i="520" s="1"/>
  <c r="CF19" i="520"/>
  <c r="HD19" i="520" s="1"/>
  <c r="BO19" i="520"/>
  <c r="GM19" i="520" s="1"/>
  <c r="CL19" i="520"/>
  <c r="HJ19" i="520" s="1"/>
  <c r="CK19" i="520"/>
  <c r="HI19" i="520" s="1"/>
  <c r="CI19" i="520"/>
  <c r="HG19" i="520" s="1"/>
  <c r="CH19" i="520"/>
  <c r="HF19" i="520" s="1"/>
  <c r="CG19" i="520"/>
  <c r="HE19" i="520" s="1"/>
  <c r="CE19" i="520"/>
  <c r="HC19" i="520" s="1"/>
  <c r="CC19" i="520"/>
  <c r="HA19" i="520" s="1"/>
  <c r="CB19" i="520"/>
  <c r="GZ19" i="520" s="1"/>
  <c r="BZ19" i="520"/>
  <c r="GX19" i="520" s="1"/>
  <c r="BY19" i="520"/>
  <c r="GW19" i="520" s="1"/>
  <c r="BW19" i="520"/>
  <c r="GU19" i="520" s="1"/>
  <c r="CM19" i="520"/>
  <c r="HK19" i="520" s="1"/>
  <c r="DB19" i="520"/>
  <c r="HZ19" i="520" s="1"/>
  <c r="DA19" i="520"/>
  <c r="HY19" i="520" s="1"/>
  <c r="CZ19" i="520"/>
  <c r="HX19" i="520" s="1"/>
  <c r="CY19" i="520"/>
  <c r="HW19" i="520" s="1"/>
  <c r="CJ19" i="520"/>
  <c r="HH19" i="520" s="1"/>
  <c r="CW19" i="520"/>
  <c r="HU19" i="520" s="1"/>
  <c r="CD19" i="520"/>
  <c r="HB19" i="520" s="1"/>
  <c r="CA19" i="520"/>
  <c r="GY19" i="520" s="1"/>
  <c r="CU19" i="520"/>
  <c r="HS19" i="520" s="1"/>
  <c r="BX19" i="520"/>
  <c r="GV19" i="520" s="1"/>
  <c r="CT19" i="520"/>
  <c r="HR19" i="520" s="1"/>
  <c r="CR19" i="520"/>
  <c r="HP19" i="520" s="1"/>
  <c r="CQ19" i="520"/>
  <c r="HO19" i="520" s="1"/>
  <c r="CN19" i="520"/>
  <c r="HL19" i="520" s="1"/>
  <c r="CP19" i="520"/>
  <c r="HN19" i="520" s="1"/>
  <c r="DH19" i="520"/>
  <c r="IF19" i="520" s="1"/>
  <c r="CO19" i="520"/>
  <c r="HM19" i="520" s="1"/>
  <c r="DG19" i="520"/>
  <c r="IE19" i="520" s="1"/>
  <c r="DF19" i="520"/>
  <c r="ID19" i="520" s="1"/>
  <c r="DE19" i="520"/>
  <c r="IC19" i="520" s="1"/>
  <c r="DD19" i="520"/>
  <c r="IB19" i="520" s="1"/>
  <c r="DC19" i="520"/>
  <c r="IA19" i="520" s="1"/>
  <c r="DR19" i="520"/>
  <c r="IP19" i="520" s="1"/>
  <c r="DQ19" i="520"/>
  <c r="IO19" i="520" s="1"/>
  <c r="DP19" i="520"/>
  <c r="IN19" i="520" s="1"/>
  <c r="DO19" i="520"/>
  <c r="IM19" i="520" s="1"/>
  <c r="DN19" i="520"/>
  <c r="IL19" i="520" s="1"/>
  <c r="DM19" i="520"/>
  <c r="IK19" i="520" s="1"/>
  <c r="DL19" i="520"/>
  <c r="IJ19" i="520" s="1"/>
  <c r="CX19" i="520"/>
  <c r="HV19" i="520" s="1"/>
  <c r="DK19" i="520"/>
  <c r="II19" i="520" s="1"/>
  <c r="CV19" i="520"/>
  <c r="HT19" i="520" s="1"/>
  <c r="DJ19" i="520"/>
  <c r="IH19" i="520" s="1"/>
  <c r="CS19" i="520"/>
  <c r="HQ19" i="520" s="1"/>
  <c r="DI19" i="520"/>
  <c r="IG19" i="520" s="1"/>
  <c r="BP6" i="520"/>
  <c r="GN6" i="520" s="1"/>
  <c r="BM6" i="520"/>
  <c r="GK6" i="520" s="1"/>
  <c r="CL6" i="520"/>
  <c r="HJ6" i="520" s="1"/>
  <c r="BL6" i="520"/>
  <c r="GJ6" i="520" s="1"/>
  <c r="BK6" i="520"/>
  <c r="GI6" i="520" s="1"/>
  <c r="BJ6" i="520"/>
  <c r="GH6" i="520" s="1"/>
  <c r="BI6" i="520"/>
  <c r="GG6" i="520" s="1"/>
  <c r="CH6" i="520"/>
  <c r="HF6" i="520" s="1"/>
  <c r="BH6" i="520"/>
  <c r="GF6" i="520" s="1"/>
  <c r="CG6" i="520"/>
  <c r="HE6" i="520" s="1"/>
  <c r="BG6" i="520"/>
  <c r="GE6" i="520" s="1"/>
  <c r="CF6" i="520"/>
  <c r="HD6" i="520" s="1"/>
  <c r="BV6" i="520"/>
  <c r="GT6" i="520" s="1"/>
  <c r="CD6" i="520"/>
  <c r="HB6" i="520" s="1"/>
  <c r="BU6" i="520"/>
  <c r="GS6" i="520" s="1"/>
  <c r="CC6" i="520"/>
  <c r="HA6" i="520" s="1"/>
  <c r="BT6" i="520"/>
  <c r="GR6" i="520" s="1"/>
  <c r="BS6" i="520"/>
  <c r="GQ6" i="520" s="1"/>
  <c r="BR6" i="520"/>
  <c r="GP6" i="520" s="1"/>
  <c r="BO6" i="520"/>
  <c r="GM6" i="520" s="1"/>
  <c r="BX6" i="520"/>
  <c r="GV6" i="520" s="1"/>
  <c r="CE6" i="520"/>
  <c r="HC6" i="520" s="1"/>
  <c r="CB6" i="520"/>
  <c r="GZ6" i="520" s="1"/>
  <c r="DB6" i="520"/>
  <c r="HZ6" i="520" s="1"/>
  <c r="BQ6" i="520"/>
  <c r="GO6" i="520" s="1"/>
  <c r="CA6" i="520"/>
  <c r="GY6" i="520" s="1"/>
  <c r="BN6" i="520"/>
  <c r="GL6" i="520" s="1"/>
  <c r="BZ6" i="520"/>
  <c r="GX6" i="520" s="1"/>
  <c r="BY6" i="520"/>
  <c r="GW6" i="520" s="1"/>
  <c r="CY6" i="520"/>
  <c r="HW6" i="520" s="1"/>
  <c r="BW6" i="520"/>
  <c r="GU6" i="520" s="1"/>
  <c r="CW6" i="520"/>
  <c r="HU6" i="520" s="1"/>
  <c r="CU6" i="520"/>
  <c r="HS6" i="520" s="1"/>
  <c r="CT6" i="520"/>
  <c r="HR6" i="520" s="1"/>
  <c r="CR6" i="520"/>
  <c r="HP6" i="520" s="1"/>
  <c r="CQ6" i="520"/>
  <c r="HO6" i="520" s="1"/>
  <c r="CJ6" i="520"/>
  <c r="HH6" i="520" s="1"/>
  <c r="CI6" i="520"/>
  <c r="HG6" i="520" s="1"/>
  <c r="CN6" i="520"/>
  <c r="DH6" i="520"/>
  <c r="IF6" i="520" s="1"/>
  <c r="DG6" i="520"/>
  <c r="IE6" i="520" s="1"/>
  <c r="DF6" i="520"/>
  <c r="ID6" i="520" s="1"/>
  <c r="DE6" i="520"/>
  <c r="IC6" i="520" s="1"/>
  <c r="DA6" i="520"/>
  <c r="HY6" i="520" s="1"/>
  <c r="DD6" i="520"/>
  <c r="IB6" i="520" s="1"/>
  <c r="CZ6" i="520"/>
  <c r="HX6" i="520" s="1"/>
  <c r="DC6" i="520"/>
  <c r="IA6" i="520" s="1"/>
  <c r="CX6" i="520"/>
  <c r="HV6" i="520" s="1"/>
  <c r="DR6" i="520"/>
  <c r="IP6" i="520" s="1"/>
  <c r="CK6" i="520"/>
  <c r="HI6" i="520" s="1"/>
  <c r="CV6" i="520"/>
  <c r="HT6" i="520" s="1"/>
  <c r="DQ6" i="520"/>
  <c r="IO6" i="520" s="1"/>
  <c r="CS6" i="520"/>
  <c r="HQ6" i="520" s="1"/>
  <c r="DP6" i="520"/>
  <c r="CP6" i="520"/>
  <c r="DO6" i="520"/>
  <c r="IM6" i="520" s="1"/>
  <c r="CO6" i="520"/>
  <c r="HM6" i="520" s="1"/>
  <c r="DN6" i="520"/>
  <c r="IL6" i="520" s="1"/>
  <c r="CM6" i="520"/>
  <c r="HK6" i="520" s="1"/>
  <c r="DM6" i="520"/>
  <c r="IK6" i="520" s="1"/>
  <c r="DL6" i="520"/>
  <c r="IJ6" i="520" s="1"/>
  <c r="DK6" i="520"/>
  <c r="II6" i="520" s="1"/>
  <c r="DJ6" i="520"/>
  <c r="IH6" i="520" s="1"/>
  <c r="DI6" i="520"/>
  <c r="IG6" i="520" s="1"/>
  <c r="BN20" i="520"/>
  <c r="GL20" i="520" s="1"/>
  <c r="BM20" i="520"/>
  <c r="GK20" i="520" s="1"/>
  <c r="BL20" i="520"/>
  <c r="GJ20" i="520" s="1"/>
  <c r="BK20" i="520"/>
  <c r="GI20" i="520" s="1"/>
  <c r="BJ20" i="520"/>
  <c r="GH20" i="520" s="1"/>
  <c r="BI20" i="520"/>
  <c r="GG20" i="520" s="1"/>
  <c r="BH20" i="520"/>
  <c r="GF20" i="520" s="1"/>
  <c r="BG20" i="520"/>
  <c r="GE20" i="520" s="1"/>
  <c r="BV20" i="520"/>
  <c r="GT20" i="520" s="1"/>
  <c r="BU20" i="520"/>
  <c r="GS20" i="520" s="1"/>
  <c r="BT20" i="520"/>
  <c r="GR20" i="520" s="1"/>
  <c r="BS20" i="520"/>
  <c r="GQ20" i="520" s="1"/>
  <c r="BR20" i="520"/>
  <c r="GP20" i="520" s="1"/>
  <c r="BQ20" i="520"/>
  <c r="GO20" i="520" s="1"/>
  <c r="BP20" i="520"/>
  <c r="GN20" i="520" s="1"/>
  <c r="CF20" i="520"/>
  <c r="HD20" i="520" s="1"/>
  <c r="BO20" i="520"/>
  <c r="GM20" i="520" s="1"/>
  <c r="BW20" i="520"/>
  <c r="GU20" i="520" s="1"/>
  <c r="CL20" i="520"/>
  <c r="HJ20" i="520" s="1"/>
  <c r="CK20" i="520"/>
  <c r="HI20" i="520" s="1"/>
  <c r="CJ20" i="520"/>
  <c r="HH20" i="520" s="1"/>
  <c r="CI20" i="520"/>
  <c r="HG20" i="520" s="1"/>
  <c r="CW20" i="520"/>
  <c r="HU20" i="520" s="1"/>
  <c r="CH20" i="520"/>
  <c r="HF20" i="520" s="1"/>
  <c r="CG20" i="520"/>
  <c r="HE20" i="520" s="1"/>
  <c r="CE20" i="520"/>
  <c r="HC20" i="520" s="1"/>
  <c r="CD20" i="520"/>
  <c r="HB20" i="520" s="1"/>
  <c r="CB20" i="520"/>
  <c r="GZ20" i="520" s="1"/>
  <c r="CA20" i="520"/>
  <c r="GY20" i="520" s="1"/>
  <c r="BY20" i="520"/>
  <c r="GW20" i="520" s="1"/>
  <c r="BX20" i="520"/>
  <c r="GV20" i="520" s="1"/>
  <c r="CN20" i="520"/>
  <c r="HL20" i="520" s="1"/>
  <c r="CM20" i="520"/>
  <c r="HK20" i="520" s="1"/>
  <c r="DB20" i="520"/>
  <c r="HZ20" i="520" s="1"/>
  <c r="DA20" i="520"/>
  <c r="HY20" i="520" s="1"/>
  <c r="DO20" i="520"/>
  <c r="IM20" i="520" s="1"/>
  <c r="CY20" i="520"/>
  <c r="HW20" i="520" s="1"/>
  <c r="DM20" i="520"/>
  <c r="IK20" i="520" s="1"/>
  <c r="CV20" i="520"/>
  <c r="HT20" i="520" s="1"/>
  <c r="CU20" i="520"/>
  <c r="HS20" i="520" s="1"/>
  <c r="CT20" i="520"/>
  <c r="HR20" i="520" s="1"/>
  <c r="CS20" i="520"/>
  <c r="HQ20" i="520" s="1"/>
  <c r="CR20" i="520"/>
  <c r="HP20" i="520" s="1"/>
  <c r="CC20" i="520"/>
  <c r="HA20" i="520" s="1"/>
  <c r="BZ20" i="520"/>
  <c r="GX20" i="520" s="1"/>
  <c r="CO20" i="520"/>
  <c r="HM20" i="520" s="1"/>
  <c r="DH20" i="520"/>
  <c r="IF20" i="520" s="1"/>
  <c r="DG20" i="520"/>
  <c r="IE20" i="520" s="1"/>
  <c r="DF20" i="520"/>
  <c r="ID20" i="520" s="1"/>
  <c r="DE20" i="520"/>
  <c r="IC20" i="520" s="1"/>
  <c r="CZ20" i="520"/>
  <c r="HX20" i="520" s="1"/>
  <c r="DD20" i="520"/>
  <c r="IB20" i="520" s="1"/>
  <c r="CX20" i="520"/>
  <c r="HV20" i="520" s="1"/>
  <c r="DC20" i="520"/>
  <c r="IA20" i="520" s="1"/>
  <c r="CQ20" i="520"/>
  <c r="HO20" i="520" s="1"/>
  <c r="CP20" i="520"/>
  <c r="HN20" i="520" s="1"/>
  <c r="DR20" i="520"/>
  <c r="IP20" i="520" s="1"/>
  <c r="DQ20" i="520"/>
  <c r="IO20" i="520" s="1"/>
  <c r="DP20" i="520"/>
  <c r="IN20" i="520" s="1"/>
  <c r="DN20" i="520"/>
  <c r="IL20" i="520" s="1"/>
  <c r="DL20" i="520"/>
  <c r="IJ20" i="520" s="1"/>
  <c r="DK20" i="520"/>
  <c r="II20" i="520" s="1"/>
  <c r="DJ20" i="520"/>
  <c r="IH20" i="520" s="1"/>
  <c r="DI20" i="520"/>
  <c r="IG20" i="520" s="1"/>
  <c r="BP7" i="520"/>
  <c r="GN7" i="520" s="1"/>
  <c r="BO7" i="520"/>
  <c r="GM7" i="520" s="1"/>
  <c r="CL7" i="520"/>
  <c r="HJ7" i="520" s="1"/>
  <c r="BN7" i="520"/>
  <c r="GL7" i="520" s="1"/>
  <c r="BM7" i="520"/>
  <c r="GK7" i="520" s="1"/>
  <c r="BL7" i="520"/>
  <c r="GJ7" i="520" s="1"/>
  <c r="BK7" i="520"/>
  <c r="GI7" i="520" s="1"/>
  <c r="CH7" i="520"/>
  <c r="HF7" i="520" s="1"/>
  <c r="BJ7" i="520"/>
  <c r="GH7" i="520" s="1"/>
  <c r="CG7" i="520"/>
  <c r="HE7" i="520" s="1"/>
  <c r="BI7" i="520"/>
  <c r="GG7" i="520" s="1"/>
  <c r="CF7" i="520"/>
  <c r="HD7" i="520" s="1"/>
  <c r="BH7" i="520"/>
  <c r="GF7" i="520" s="1"/>
  <c r="BG7" i="520"/>
  <c r="GE7" i="520" s="1"/>
  <c r="CD7" i="520"/>
  <c r="HB7" i="520" s="1"/>
  <c r="CC7" i="520"/>
  <c r="HA7" i="520" s="1"/>
  <c r="BV7" i="520"/>
  <c r="GT7" i="520" s="1"/>
  <c r="BU7" i="520"/>
  <c r="GS7" i="520" s="1"/>
  <c r="BT7" i="520"/>
  <c r="GR7" i="520" s="1"/>
  <c r="BR7" i="520"/>
  <c r="GP7" i="520" s="1"/>
  <c r="BX7" i="520"/>
  <c r="GV7" i="520" s="1"/>
  <c r="BQ7" i="520"/>
  <c r="GO7" i="520" s="1"/>
  <c r="BS7" i="520"/>
  <c r="GQ7" i="520" s="1"/>
  <c r="CA7" i="520"/>
  <c r="GY7" i="520" s="1"/>
  <c r="BZ7" i="520"/>
  <c r="GX7" i="520" s="1"/>
  <c r="DB7" i="520"/>
  <c r="HZ7" i="520" s="1"/>
  <c r="BY7" i="520"/>
  <c r="GW7" i="520" s="1"/>
  <c r="BW7" i="520"/>
  <c r="CY7" i="520"/>
  <c r="HW7" i="520" s="1"/>
  <c r="CW7" i="520"/>
  <c r="HU7" i="520" s="1"/>
  <c r="CU7" i="520"/>
  <c r="HS7" i="520" s="1"/>
  <c r="CT7" i="520"/>
  <c r="HR7" i="520" s="1"/>
  <c r="CK7" i="520"/>
  <c r="HI7" i="520" s="1"/>
  <c r="CR7" i="520"/>
  <c r="HP7" i="520" s="1"/>
  <c r="CJ7" i="520"/>
  <c r="HH7" i="520" s="1"/>
  <c r="CQ7" i="520"/>
  <c r="HO7" i="520" s="1"/>
  <c r="CE7" i="520"/>
  <c r="HC7" i="520" s="1"/>
  <c r="CB7" i="520"/>
  <c r="GZ7" i="520" s="1"/>
  <c r="CN7" i="520"/>
  <c r="HL7" i="520" s="1"/>
  <c r="DH7" i="520"/>
  <c r="IF7" i="520" s="1"/>
  <c r="DG7" i="520"/>
  <c r="IE7" i="520" s="1"/>
  <c r="DF7" i="520"/>
  <c r="ID7" i="520" s="1"/>
  <c r="DE7" i="520"/>
  <c r="IC7" i="520" s="1"/>
  <c r="DA7" i="520"/>
  <c r="HY7" i="520" s="1"/>
  <c r="DD7" i="520"/>
  <c r="IB7" i="520" s="1"/>
  <c r="CZ7" i="520"/>
  <c r="HX7" i="520" s="1"/>
  <c r="DC7" i="520"/>
  <c r="IA7" i="520" s="1"/>
  <c r="CI7" i="520"/>
  <c r="HG7" i="520" s="1"/>
  <c r="CX7" i="520"/>
  <c r="HV7" i="520" s="1"/>
  <c r="DR7" i="520"/>
  <c r="IP7" i="520" s="1"/>
  <c r="CV7" i="520"/>
  <c r="HT7" i="520" s="1"/>
  <c r="DQ7" i="520"/>
  <c r="IO7" i="520" s="1"/>
  <c r="CS7" i="520"/>
  <c r="HQ7" i="520" s="1"/>
  <c r="DP7" i="520"/>
  <c r="IN7" i="520" s="1"/>
  <c r="CP7" i="520"/>
  <c r="HN7" i="520" s="1"/>
  <c r="DO7" i="520"/>
  <c r="IM7" i="520" s="1"/>
  <c r="CO7" i="520"/>
  <c r="HM7" i="520" s="1"/>
  <c r="DN7" i="520"/>
  <c r="IL7" i="520" s="1"/>
  <c r="CM7" i="520"/>
  <c r="HK7" i="520" s="1"/>
  <c r="DM7" i="520"/>
  <c r="IK7" i="520" s="1"/>
  <c r="DL7" i="520"/>
  <c r="IJ7" i="520" s="1"/>
  <c r="DK7" i="520"/>
  <c r="II7" i="520" s="1"/>
  <c r="DJ7" i="520"/>
  <c r="IH7" i="520" s="1"/>
  <c r="DI7" i="520"/>
  <c r="IG7" i="520" s="1"/>
  <c r="BN13" i="520"/>
  <c r="GL13" i="520" s="1"/>
  <c r="BM13" i="520"/>
  <c r="GK13" i="520" s="1"/>
  <c r="BL13" i="520"/>
  <c r="GJ13" i="520" s="1"/>
  <c r="BK13" i="520"/>
  <c r="GI13" i="520" s="1"/>
  <c r="BS13" i="520"/>
  <c r="GQ13" i="520" s="1"/>
  <c r="BQ13" i="520"/>
  <c r="GO13" i="520" s="1"/>
  <c r="BP13" i="520"/>
  <c r="GN13" i="520" s="1"/>
  <c r="CF13" i="520"/>
  <c r="HD13" i="520" s="1"/>
  <c r="BO13" i="520"/>
  <c r="GM13" i="520" s="1"/>
  <c r="BR13" i="520"/>
  <c r="GP13" i="520" s="1"/>
  <c r="BY13" i="520"/>
  <c r="GW13" i="520" s="1"/>
  <c r="BJ13" i="520"/>
  <c r="GH13" i="520" s="1"/>
  <c r="BI13" i="520"/>
  <c r="GG13" i="520" s="1"/>
  <c r="BH13" i="520"/>
  <c r="GF13" i="520" s="1"/>
  <c r="BG13" i="520"/>
  <c r="GE13" i="520" s="1"/>
  <c r="CL13" i="520"/>
  <c r="HJ13" i="520" s="1"/>
  <c r="CK13" i="520"/>
  <c r="HI13" i="520" s="1"/>
  <c r="CJ13" i="520"/>
  <c r="HH13" i="520" s="1"/>
  <c r="CH13" i="520"/>
  <c r="HF13" i="520" s="1"/>
  <c r="CG13" i="520"/>
  <c r="HE13" i="520" s="1"/>
  <c r="BU13" i="520"/>
  <c r="GS13" i="520" s="1"/>
  <c r="CA13" i="520"/>
  <c r="GY13" i="520" s="1"/>
  <c r="BT13" i="520"/>
  <c r="GR13" i="520" s="1"/>
  <c r="DB13" i="520"/>
  <c r="HZ13" i="520" s="1"/>
  <c r="CI13" i="520"/>
  <c r="HG13" i="520" s="1"/>
  <c r="CE13" i="520"/>
  <c r="HC13" i="520" s="1"/>
  <c r="CD13" i="520"/>
  <c r="HB13" i="520" s="1"/>
  <c r="CY13" i="520"/>
  <c r="HW13" i="520" s="1"/>
  <c r="BV13" i="520"/>
  <c r="GT13" i="520" s="1"/>
  <c r="CC13" i="520"/>
  <c r="HA13" i="520" s="1"/>
  <c r="CB13" i="520"/>
  <c r="GZ13" i="520" s="1"/>
  <c r="CW13" i="520"/>
  <c r="HU13" i="520" s="1"/>
  <c r="BZ13" i="520"/>
  <c r="GX13" i="520" s="1"/>
  <c r="BX13" i="520"/>
  <c r="GV13" i="520" s="1"/>
  <c r="CU13" i="520"/>
  <c r="HS13" i="520" s="1"/>
  <c r="BW13" i="520"/>
  <c r="GU13" i="520" s="1"/>
  <c r="CT13" i="520"/>
  <c r="HR13" i="520" s="1"/>
  <c r="CR13" i="520"/>
  <c r="HP13" i="520" s="1"/>
  <c r="CQ13" i="520"/>
  <c r="HO13" i="520" s="1"/>
  <c r="CN13" i="520"/>
  <c r="HL13" i="520" s="1"/>
  <c r="DH13" i="520"/>
  <c r="IF13" i="520" s="1"/>
  <c r="DG13" i="520"/>
  <c r="IE13" i="520" s="1"/>
  <c r="DF13" i="520"/>
  <c r="ID13" i="520" s="1"/>
  <c r="DE13" i="520"/>
  <c r="IC13" i="520" s="1"/>
  <c r="DA13" i="520"/>
  <c r="HY13" i="520" s="1"/>
  <c r="DD13" i="520"/>
  <c r="IB13" i="520" s="1"/>
  <c r="CZ13" i="520"/>
  <c r="HX13" i="520" s="1"/>
  <c r="DC13" i="520"/>
  <c r="IA13" i="520" s="1"/>
  <c r="CX13" i="520"/>
  <c r="HV13" i="520" s="1"/>
  <c r="DR13" i="520"/>
  <c r="IP13" i="520" s="1"/>
  <c r="CV13" i="520"/>
  <c r="HT13" i="520" s="1"/>
  <c r="DQ13" i="520"/>
  <c r="IO13" i="520" s="1"/>
  <c r="CS13" i="520"/>
  <c r="HQ13" i="520" s="1"/>
  <c r="DP13" i="520"/>
  <c r="IN13" i="520" s="1"/>
  <c r="CP13" i="520"/>
  <c r="HN13" i="520" s="1"/>
  <c r="DO13" i="520"/>
  <c r="IM13" i="520" s="1"/>
  <c r="CO13" i="520"/>
  <c r="HM13" i="520" s="1"/>
  <c r="DN13" i="520"/>
  <c r="IL13" i="520" s="1"/>
  <c r="CM13" i="520"/>
  <c r="HK13" i="520" s="1"/>
  <c r="DM13" i="520"/>
  <c r="IK13" i="520" s="1"/>
  <c r="DL13" i="520"/>
  <c r="IJ13" i="520" s="1"/>
  <c r="DK13" i="520"/>
  <c r="II13" i="520" s="1"/>
  <c r="DJ13" i="520"/>
  <c r="IH13" i="520" s="1"/>
  <c r="DI13" i="520"/>
  <c r="IG13" i="520" s="1"/>
  <c r="BN15" i="520"/>
  <c r="GL15" i="520" s="1"/>
  <c r="BM15" i="520"/>
  <c r="GK15" i="520" s="1"/>
  <c r="BL15" i="520"/>
  <c r="GJ15" i="520" s="1"/>
  <c r="BK15" i="520"/>
  <c r="GI15" i="520" s="1"/>
  <c r="BJ15" i="520"/>
  <c r="GH15" i="520" s="1"/>
  <c r="BI15" i="520"/>
  <c r="GG15" i="520" s="1"/>
  <c r="BH15" i="520"/>
  <c r="GF15" i="520" s="1"/>
  <c r="BG15" i="520"/>
  <c r="GE15" i="520" s="1"/>
  <c r="BV15" i="520"/>
  <c r="GT15" i="520" s="1"/>
  <c r="BU15" i="520"/>
  <c r="GS15" i="520" s="1"/>
  <c r="BT15" i="520"/>
  <c r="GR15" i="520" s="1"/>
  <c r="BS15" i="520"/>
  <c r="GQ15" i="520" s="1"/>
  <c r="BR15" i="520"/>
  <c r="GP15" i="520" s="1"/>
  <c r="BQ15" i="520"/>
  <c r="GO15" i="520" s="1"/>
  <c r="BP15" i="520"/>
  <c r="GN15" i="520" s="1"/>
  <c r="CF15" i="520"/>
  <c r="HD15" i="520" s="1"/>
  <c r="BO15" i="520"/>
  <c r="GM15" i="520" s="1"/>
  <c r="CC15" i="520"/>
  <c r="HA15" i="520" s="1"/>
  <c r="BZ15" i="520"/>
  <c r="GX15" i="520" s="1"/>
  <c r="BY15" i="520"/>
  <c r="GW15" i="520" s="1"/>
  <c r="BX15" i="520"/>
  <c r="GV15" i="520" s="1"/>
  <c r="BW15" i="520"/>
  <c r="GU15" i="520" s="1"/>
  <c r="CL15" i="520"/>
  <c r="HJ15" i="520" s="1"/>
  <c r="CK15" i="520"/>
  <c r="HI15" i="520" s="1"/>
  <c r="CH15" i="520"/>
  <c r="HF15" i="520" s="1"/>
  <c r="CE15" i="520"/>
  <c r="HC15" i="520" s="1"/>
  <c r="DB15" i="520"/>
  <c r="HZ15" i="520" s="1"/>
  <c r="CJ15" i="520"/>
  <c r="HH15" i="520" s="1"/>
  <c r="CI15" i="520"/>
  <c r="HG15" i="520" s="1"/>
  <c r="CY15" i="520"/>
  <c r="HW15" i="520" s="1"/>
  <c r="CG15" i="520"/>
  <c r="HE15" i="520" s="1"/>
  <c r="CD15" i="520"/>
  <c r="HB15" i="520" s="1"/>
  <c r="CW15" i="520"/>
  <c r="HU15" i="520" s="1"/>
  <c r="CB15" i="520"/>
  <c r="GZ15" i="520" s="1"/>
  <c r="CA15" i="520"/>
  <c r="GY15" i="520" s="1"/>
  <c r="CU15" i="520"/>
  <c r="HS15" i="520" s="1"/>
  <c r="CT15" i="520"/>
  <c r="HR15" i="520" s="1"/>
  <c r="CR15" i="520"/>
  <c r="HP15" i="520" s="1"/>
  <c r="CQ15" i="520"/>
  <c r="HO15" i="520" s="1"/>
  <c r="CN15" i="520"/>
  <c r="HL15" i="520" s="1"/>
  <c r="DH15" i="520"/>
  <c r="IF15" i="520" s="1"/>
  <c r="DG15" i="520"/>
  <c r="IE15" i="520" s="1"/>
  <c r="DF15" i="520"/>
  <c r="ID15" i="520" s="1"/>
  <c r="DE15" i="520"/>
  <c r="IC15" i="520" s="1"/>
  <c r="DA15" i="520"/>
  <c r="HY15" i="520" s="1"/>
  <c r="DD15" i="520"/>
  <c r="IB15" i="520" s="1"/>
  <c r="CZ15" i="520"/>
  <c r="HX15" i="520" s="1"/>
  <c r="DC15" i="520"/>
  <c r="IA15" i="520" s="1"/>
  <c r="CX15" i="520"/>
  <c r="HV15" i="520" s="1"/>
  <c r="DR15" i="520"/>
  <c r="IP15" i="520" s="1"/>
  <c r="CV15" i="520"/>
  <c r="HT15" i="520" s="1"/>
  <c r="DQ15" i="520"/>
  <c r="IO15" i="520" s="1"/>
  <c r="CS15" i="520"/>
  <c r="HQ15" i="520" s="1"/>
  <c r="DP15" i="520"/>
  <c r="IN15" i="520" s="1"/>
  <c r="CP15" i="520"/>
  <c r="HN15" i="520" s="1"/>
  <c r="DO15" i="520"/>
  <c r="IM15" i="520" s="1"/>
  <c r="CO15" i="520"/>
  <c r="HM15" i="520" s="1"/>
  <c r="DN15" i="520"/>
  <c r="IL15" i="520" s="1"/>
  <c r="CM15" i="520"/>
  <c r="HK15" i="520" s="1"/>
  <c r="DM15" i="520"/>
  <c r="IK15" i="520" s="1"/>
  <c r="DL15" i="520"/>
  <c r="IJ15" i="520" s="1"/>
  <c r="DK15" i="520"/>
  <c r="II15" i="520" s="1"/>
  <c r="DJ15" i="520"/>
  <c r="IH15" i="520" s="1"/>
  <c r="DI15" i="520"/>
  <c r="IG15" i="520" s="1"/>
  <c r="BN14" i="520"/>
  <c r="GL14" i="520" s="1"/>
  <c r="BM14" i="520"/>
  <c r="GK14" i="520" s="1"/>
  <c r="BL14" i="520"/>
  <c r="GJ14" i="520" s="1"/>
  <c r="BK14" i="520"/>
  <c r="GI14" i="520" s="1"/>
  <c r="BJ14" i="520"/>
  <c r="GH14" i="520" s="1"/>
  <c r="BI14" i="520"/>
  <c r="GG14" i="520" s="1"/>
  <c r="BH14" i="520"/>
  <c r="GF14" i="520" s="1"/>
  <c r="BG14" i="520"/>
  <c r="GE14" i="520" s="1"/>
  <c r="BV14" i="520"/>
  <c r="GT14" i="520" s="1"/>
  <c r="BU14" i="520"/>
  <c r="GS14" i="520" s="1"/>
  <c r="BT14" i="520"/>
  <c r="GR14" i="520" s="1"/>
  <c r="BS14" i="520"/>
  <c r="GQ14" i="520" s="1"/>
  <c r="BR14" i="520"/>
  <c r="GP14" i="520" s="1"/>
  <c r="BQ14" i="520"/>
  <c r="GO14" i="520" s="1"/>
  <c r="BP14" i="520"/>
  <c r="GN14" i="520" s="1"/>
  <c r="CF14" i="520"/>
  <c r="HD14" i="520" s="1"/>
  <c r="BO14" i="520"/>
  <c r="GM14" i="520" s="1"/>
  <c r="CA14" i="520"/>
  <c r="GY14" i="520" s="1"/>
  <c r="BW14" i="520"/>
  <c r="GU14" i="520" s="1"/>
  <c r="CL14" i="520"/>
  <c r="HJ14" i="520" s="1"/>
  <c r="CJ14" i="520"/>
  <c r="HH14" i="520" s="1"/>
  <c r="CI14" i="520"/>
  <c r="HG14" i="520" s="1"/>
  <c r="CE14" i="520"/>
  <c r="HC14" i="520" s="1"/>
  <c r="CC14" i="520"/>
  <c r="HA14" i="520" s="1"/>
  <c r="CK14" i="520"/>
  <c r="HI14" i="520" s="1"/>
  <c r="DB14" i="520"/>
  <c r="HZ14" i="520" s="1"/>
  <c r="CH14" i="520"/>
  <c r="HF14" i="520" s="1"/>
  <c r="CG14" i="520"/>
  <c r="HE14" i="520" s="1"/>
  <c r="CD14" i="520"/>
  <c r="HB14" i="520" s="1"/>
  <c r="CY14" i="520"/>
  <c r="HW14" i="520" s="1"/>
  <c r="CB14" i="520"/>
  <c r="GZ14" i="520" s="1"/>
  <c r="BZ14" i="520"/>
  <c r="GX14" i="520" s="1"/>
  <c r="CW14" i="520"/>
  <c r="HU14" i="520" s="1"/>
  <c r="BY14" i="520"/>
  <c r="GW14" i="520" s="1"/>
  <c r="BX14" i="520"/>
  <c r="GV14" i="520" s="1"/>
  <c r="CU14" i="520"/>
  <c r="HS14" i="520" s="1"/>
  <c r="CT14" i="520"/>
  <c r="HR14" i="520" s="1"/>
  <c r="CR14" i="520"/>
  <c r="HP14" i="520" s="1"/>
  <c r="CQ14" i="520"/>
  <c r="HO14" i="520" s="1"/>
  <c r="CN14" i="520"/>
  <c r="HL14" i="520" s="1"/>
  <c r="DH14" i="520"/>
  <c r="IF14" i="520" s="1"/>
  <c r="DG14" i="520"/>
  <c r="IE14" i="520" s="1"/>
  <c r="DF14" i="520"/>
  <c r="ID14" i="520" s="1"/>
  <c r="DE14" i="520"/>
  <c r="IC14" i="520" s="1"/>
  <c r="DA14" i="520"/>
  <c r="HY14" i="520" s="1"/>
  <c r="DD14" i="520"/>
  <c r="IB14" i="520" s="1"/>
  <c r="CZ14" i="520"/>
  <c r="HX14" i="520" s="1"/>
  <c r="DC14" i="520"/>
  <c r="IA14" i="520" s="1"/>
  <c r="CX14" i="520"/>
  <c r="HV14" i="520" s="1"/>
  <c r="DR14" i="520"/>
  <c r="CV14" i="520"/>
  <c r="HT14" i="520" s="1"/>
  <c r="DQ14" i="520"/>
  <c r="IO14" i="520" s="1"/>
  <c r="CS14" i="520"/>
  <c r="HQ14" i="520" s="1"/>
  <c r="DP14" i="520"/>
  <c r="IN14" i="520" s="1"/>
  <c r="CP14" i="520"/>
  <c r="HN14" i="520" s="1"/>
  <c r="DO14" i="520"/>
  <c r="IM14" i="520" s="1"/>
  <c r="CO14" i="520"/>
  <c r="HM14" i="520" s="1"/>
  <c r="DN14" i="520"/>
  <c r="IL14" i="520" s="1"/>
  <c r="CM14" i="520"/>
  <c r="HK14" i="520" s="1"/>
  <c r="DM14" i="520"/>
  <c r="IK14" i="520" s="1"/>
  <c r="DL14" i="520"/>
  <c r="IJ14" i="520" s="1"/>
  <c r="DK14" i="520"/>
  <c r="II14" i="520" s="1"/>
  <c r="DJ14" i="520"/>
  <c r="IH14" i="520" s="1"/>
  <c r="DI14" i="520"/>
  <c r="IG14" i="520" s="1"/>
  <c r="BP5" i="520"/>
  <c r="GN5" i="520" s="1"/>
  <c r="BK5" i="520"/>
  <c r="GI5" i="520" s="1"/>
  <c r="CL5" i="520"/>
  <c r="HJ5" i="520" s="1"/>
  <c r="BJ5" i="520"/>
  <c r="GH5" i="520" s="1"/>
  <c r="BI5" i="520"/>
  <c r="GG5" i="520" s="1"/>
  <c r="BH5" i="520"/>
  <c r="GF5" i="520" s="1"/>
  <c r="BG5" i="520"/>
  <c r="GE5" i="520" s="1"/>
  <c r="CH5" i="520"/>
  <c r="HF5" i="520" s="1"/>
  <c r="CG5" i="520"/>
  <c r="HE5" i="520" s="1"/>
  <c r="BV5" i="520"/>
  <c r="GT5" i="520" s="1"/>
  <c r="CF5" i="520"/>
  <c r="HD5" i="520" s="1"/>
  <c r="BU5" i="520"/>
  <c r="GS5" i="520" s="1"/>
  <c r="BT5" i="520"/>
  <c r="GR5" i="520" s="1"/>
  <c r="CD5" i="520"/>
  <c r="HB5" i="520" s="1"/>
  <c r="BS5" i="520"/>
  <c r="GQ5" i="520" s="1"/>
  <c r="CC5" i="520"/>
  <c r="HA5" i="520" s="1"/>
  <c r="BR5" i="520"/>
  <c r="GP5" i="520" s="1"/>
  <c r="BQ5" i="520"/>
  <c r="GO5" i="520" s="1"/>
  <c r="BO5" i="520"/>
  <c r="GM5" i="520" s="1"/>
  <c r="BM5" i="520"/>
  <c r="GK5" i="520" s="1"/>
  <c r="BX5" i="520"/>
  <c r="GV5" i="520" s="1"/>
  <c r="CJ5" i="520"/>
  <c r="HH5" i="520" s="1"/>
  <c r="CI5" i="520"/>
  <c r="HG5" i="520" s="1"/>
  <c r="DB5" i="520"/>
  <c r="HZ5" i="520" s="1"/>
  <c r="CE5" i="520"/>
  <c r="HC5" i="520" s="1"/>
  <c r="CB5" i="520"/>
  <c r="GZ5" i="520" s="1"/>
  <c r="CA5" i="520"/>
  <c r="GY5" i="520" s="1"/>
  <c r="CY5" i="520"/>
  <c r="HW5" i="520" s="1"/>
  <c r="BZ5" i="520"/>
  <c r="GX5" i="520" s="1"/>
  <c r="BN5" i="520"/>
  <c r="GL5" i="520" s="1"/>
  <c r="BY5" i="520"/>
  <c r="GW5" i="520" s="1"/>
  <c r="CW5" i="520"/>
  <c r="HU5" i="520" s="1"/>
  <c r="BL5" i="520"/>
  <c r="GJ5" i="520" s="1"/>
  <c r="BW5" i="520"/>
  <c r="GU5" i="520" s="1"/>
  <c r="CU5" i="520"/>
  <c r="HS5" i="520" s="1"/>
  <c r="CT5" i="520"/>
  <c r="HR5" i="520" s="1"/>
  <c r="CR5" i="520"/>
  <c r="HP5" i="520" s="1"/>
  <c r="CQ5" i="520"/>
  <c r="HO5" i="520" s="1"/>
  <c r="CK5" i="520"/>
  <c r="HI5" i="520" s="1"/>
  <c r="CN5" i="520"/>
  <c r="HL5" i="520" s="1"/>
  <c r="DH5" i="520"/>
  <c r="IF5" i="520" s="1"/>
  <c r="DG5" i="520"/>
  <c r="IE5" i="520" s="1"/>
  <c r="DF5" i="520"/>
  <c r="ID5" i="520" s="1"/>
  <c r="DE5" i="520"/>
  <c r="IC5" i="520" s="1"/>
  <c r="DA5" i="520"/>
  <c r="HY5" i="520" s="1"/>
  <c r="DD5" i="520"/>
  <c r="IB5" i="520" s="1"/>
  <c r="CZ5" i="520"/>
  <c r="HX5" i="520" s="1"/>
  <c r="DC5" i="520"/>
  <c r="IA5" i="520" s="1"/>
  <c r="CX5" i="520"/>
  <c r="HV5" i="520" s="1"/>
  <c r="DR5" i="520"/>
  <c r="IP5" i="520" s="1"/>
  <c r="CV5" i="520"/>
  <c r="HT5" i="520" s="1"/>
  <c r="DQ5" i="520"/>
  <c r="IO5" i="520" s="1"/>
  <c r="CS5" i="520"/>
  <c r="HQ5" i="520" s="1"/>
  <c r="DP5" i="520"/>
  <c r="IN5" i="520" s="1"/>
  <c r="CP5" i="520"/>
  <c r="HN5" i="520" s="1"/>
  <c r="DO5" i="520"/>
  <c r="IM5" i="520" s="1"/>
  <c r="CO5" i="520"/>
  <c r="HM5" i="520" s="1"/>
  <c r="DN5" i="520"/>
  <c r="IL5" i="520" s="1"/>
  <c r="CM5" i="520"/>
  <c r="HK5" i="520" s="1"/>
  <c r="DM5" i="520"/>
  <c r="IK5" i="520" s="1"/>
  <c r="DL5" i="520"/>
  <c r="IJ5" i="520" s="1"/>
  <c r="DK5" i="520"/>
  <c r="II5" i="520" s="1"/>
  <c r="DJ5" i="520"/>
  <c r="IH5" i="520" s="1"/>
  <c r="DI5" i="520"/>
  <c r="IG5" i="520" s="1"/>
  <c r="BP4" i="520"/>
  <c r="GN4" i="520" s="1"/>
  <c r="BI4" i="520"/>
  <c r="GG4" i="520" s="1"/>
  <c r="BH4" i="520"/>
  <c r="GF4" i="520" s="1"/>
  <c r="BG4" i="520"/>
  <c r="GE4" i="520" s="1"/>
  <c r="BV4" i="520"/>
  <c r="GT4" i="520" s="1"/>
  <c r="CH4" i="520"/>
  <c r="HF4" i="520" s="1"/>
  <c r="BU4" i="520"/>
  <c r="GS4" i="520" s="1"/>
  <c r="CG4" i="520"/>
  <c r="HE4" i="520" s="1"/>
  <c r="BT4" i="520"/>
  <c r="GR4" i="520" s="1"/>
  <c r="CF4" i="520"/>
  <c r="HD4" i="520" s="1"/>
  <c r="BS4" i="520"/>
  <c r="GQ4" i="520" s="1"/>
  <c r="BR4" i="520"/>
  <c r="GP4" i="520" s="1"/>
  <c r="CD4" i="520"/>
  <c r="HB4" i="520" s="1"/>
  <c r="BQ4" i="520"/>
  <c r="GO4" i="520" s="1"/>
  <c r="CC4" i="520"/>
  <c r="HA4" i="520" s="1"/>
  <c r="BO4" i="520"/>
  <c r="GM4" i="520" s="1"/>
  <c r="BN4" i="520"/>
  <c r="GL4" i="520" s="1"/>
  <c r="BM4" i="520"/>
  <c r="GK4" i="520" s="1"/>
  <c r="BK4" i="520"/>
  <c r="GI4" i="520" s="1"/>
  <c r="BX4" i="520"/>
  <c r="GV4" i="520" s="1"/>
  <c r="DB4" i="520"/>
  <c r="HZ4" i="520" s="1"/>
  <c r="CL4" i="520"/>
  <c r="HJ4" i="520" s="1"/>
  <c r="CK4" i="520"/>
  <c r="HI4" i="520" s="1"/>
  <c r="CJ4" i="520"/>
  <c r="HH4" i="520" s="1"/>
  <c r="CY4" i="520"/>
  <c r="HW4" i="520" s="1"/>
  <c r="CI4" i="520"/>
  <c r="HG4" i="520" s="1"/>
  <c r="CE4" i="520"/>
  <c r="HC4" i="520" s="1"/>
  <c r="CW4" i="520"/>
  <c r="HU4" i="520" s="1"/>
  <c r="CB4" i="520"/>
  <c r="GZ4" i="520" s="1"/>
  <c r="CA4" i="520"/>
  <c r="GY4" i="520" s="1"/>
  <c r="CU4" i="520"/>
  <c r="HS4" i="520" s="1"/>
  <c r="BZ4" i="520"/>
  <c r="GX4" i="520" s="1"/>
  <c r="CT4" i="520"/>
  <c r="HR4" i="520" s="1"/>
  <c r="BL4" i="520"/>
  <c r="GJ4" i="520" s="1"/>
  <c r="BY4" i="520"/>
  <c r="GW4" i="520" s="1"/>
  <c r="BJ4" i="520"/>
  <c r="GH4" i="520" s="1"/>
  <c r="BW4" i="520"/>
  <c r="GU4" i="520" s="1"/>
  <c r="CR4" i="520"/>
  <c r="HP4" i="520" s="1"/>
  <c r="CQ4" i="520"/>
  <c r="HO4" i="520" s="1"/>
  <c r="CN4" i="520"/>
  <c r="HL4" i="520" s="1"/>
  <c r="DH4" i="520"/>
  <c r="IF4" i="520" s="1"/>
  <c r="DG4" i="520"/>
  <c r="IE4" i="520" s="1"/>
  <c r="DF4" i="520"/>
  <c r="ID4" i="520" s="1"/>
  <c r="DE4" i="520"/>
  <c r="IC4" i="520" s="1"/>
  <c r="DA4" i="520"/>
  <c r="HY4" i="520" s="1"/>
  <c r="DD4" i="520"/>
  <c r="IB4" i="520" s="1"/>
  <c r="CZ4" i="520"/>
  <c r="HX4" i="520" s="1"/>
  <c r="DC4" i="520"/>
  <c r="IA4" i="520" s="1"/>
  <c r="CX4" i="520"/>
  <c r="HV4" i="520" s="1"/>
  <c r="DR4" i="520"/>
  <c r="IP4" i="520" s="1"/>
  <c r="CV4" i="520"/>
  <c r="HT4" i="520" s="1"/>
  <c r="DQ4" i="520"/>
  <c r="IO4" i="520" s="1"/>
  <c r="CS4" i="520"/>
  <c r="HQ4" i="520" s="1"/>
  <c r="DP4" i="520"/>
  <c r="IN4" i="520" s="1"/>
  <c r="CP4" i="520"/>
  <c r="HN4" i="520" s="1"/>
  <c r="DO4" i="520"/>
  <c r="IM4" i="520" s="1"/>
  <c r="CO4" i="520"/>
  <c r="HM4" i="520" s="1"/>
  <c r="DN4" i="520"/>
  <c r="IL4" i="520" s="1"/>
  <c r="CM4" i="520"/>
  <c r="HK4" i="520" s="1"/>
  <c r="DM4" i="520"/>
  <c r="IK4" i="520" s="1"/>
  <c r="DL4" i="520"/>
  <c r="IJ4" i="520" s="1"/>
  <c r="DK4" i="520"/>
  <c r="II4" i="520" s="1"/>
  <c r="DJ4" i="520"/>
  <c r="IH4" i="520" s="1"/>
  <c r="DI4" i="520"/>
  <c r="IG4" i="520" s="1"/>
  <c r="BP9" i="520"/>
  <c r="GN9" i="520" s="1"/>
  <c r="BT9" i="520"/>
  <c r="GR9" i="520" s="1"/>
  <c r="CL9" i="520"/>
  <c r="HJ9" i="520" s="1"/>
  <c r="BS9" i="520"/>
  <c r="GQ9" i="520" s="1"/>
  <c r="BR9" i="520"/>
  <c r="GP9" i="520" s="1"/>
  <c r="BQ9" i="520"/>
  <c r="GO9" i="520" s="1"/>
  <c r="BO9" i="520"/>
  <c r="GM9" i="520" s="1"/>
  <c r="CH9" i="520"/>
  <c r="HF9" i="520" s="1"/>
  <c r="BN9" i="520"/>
  <c r="GL9" i="520" s="1"/>
  <c r="CG9" i="520"/>
  <c r="HE9" i="520" s="1"/>
  <c r="BM9" i="520"/>
  <c r="GK9" i="520" s="1"/>
  <c r="CF9" i="520"/>
  <c r="HD9" i="520" s="1"/>
  <c r="BL9" i="520"/>
  <c r="GJ9" i="520" s="1"/>
  <c r="BK9" i="520"/>
  <c r="GI9" i="520" s="1"/>
  <c r="CD9" i="520"/>
  <c r="HB9" i="520" s="1"/>
  <c r="BJ9" i="520"/>
  <c r="GH9" i="520" s="1"/>
  <c r="CC9" i="520"/>
  <c r="HA9" i="520" s="1"/>
  <c r="BI9" i="520"/>
  <c r="GG9" i="520" s="1"/>
  <c r="BH9" i="520"/>
  <c r="GF9" i="520" s="1"/>
  <c r="BG9" i="520"/>
  <c r="GE9" i="520" s="1"/>
  <c r="BV9" i="520"/>
  <c r="GT9" i="520" s="1"/>
  <c r="BX9" i="520"/>
  <c r="GV9" i="520" s="1"/>
  <c r="BU9" i="520"/>
  <c r="GS9" i="520" s="1"/>
  <c r="DB9" i="520"/>
  <c r="HZ9" i="520" s="1"/>
  <c r="CY9" i="520"/>
  <c r="HW9" i="520" s="1"/>
  <c r="CW9" i="520"/>
  <c r="HU9" i="520" s="1"/>
  <c r="CK9" i="520"/>
  <c r="HI9" i="520" s="1"/>
  <c r="CJ9" i="520"/>
  <c r="HH9" i="520" s="1"/>
  <c r="CU9" i="520"/>
  <c r="HS9" i="520" s="1"/>
  <c r="CI9" i="520"/>
  <c r="HG9" i="520" s="1"/>
  <c r="CT9" i="520"/>
  <c r="HR9" i="520" s="1"/>
  <c r="CE9" i="520"/>
  <c r="HC9" i="520" s="1"/>
  <c r="CB9" i="520"/>
  <c r="GZ9" i="520" s="1"/>
  <c r="CR9" i="520"/>
  <c r="HP9" i="520" s="1"/>
  <c r="CA9" i="520"/>
  <c r="GY9" i="520" s="1"/>
  <c r="CQ9" i="520"/>
  <c r="HO9" i="520" s="1"/>
  <c r="BZ9" i="520"/>
  <c r="GX9" i="520" s="1"/>
  <c r="BY9" i="520"/>
  <c r="GW9" i="520" s="1"/>
  <c r="BW9" i="520"/>
  <c r="GU9" i="520" s="1"/>
  <c r="CN9" i="520"/>
  <c r="HL9" i="520" s="1"/>
  <c r="DH9" i="520"/>
  <c r="IF9" i="520" s="1"/>
  <c r="DG9" i="520"/>
  <c r="IE9" i="520" s="1"/>
  <c r="DF9" i="520"/>
  <c r="ID9" i="520" s="1"/>
  <c r="DE9" i="520"/>
  <c r="IC9" i="520" s="1"/>
  <c r="DA9" i="520"/>
  <c r="HY9" i="520" s="1"/>
  <c r="DD9" i="520"/>
  <c r="IB9" i="520" s="1"/>
  <c r="CZ9" i="520"/>
  <c r="HX9" i="520" s="1"/>
  <c r="DC9" i="520"/>
  <c r="IA9" i="520" s="1"/>
  <c r="CX9" i="520"/>
  <c r="HV9" i="520" s="1"/>
  <c r="DR9" i="520"/>
  <c r="IP9" i="520" s="1"/>
  <c r="CV9" i="520"/>
  <c r="HT9" i="520" s="1"/>
  <c r="DQ9" i="520"/>
  <c r="IO9" i="520" s="1"/>
  <c r="CS9" i="520"/>
  <c r="HQ9" i="520" s="1"/>
  <c r="DP9" i="520"/>
  <c r="IN9" i="520" s="1"/>
  <c r="CP9" i="520"/>
  <c r="HN9" i="520" s="1"/>
  <c r="DO9" i="520"/>
  <c r="IM9" i="520" s="1"/>
  <c r="CO9" i="520"/>
  <c r="HM9" i="520" s="1"/>
  <c r="DN9" i="520"/>
  <c r="IL9" i="520" s="1"/>
  <c r="CM9" i="520"/>
  <c r="HK9" i="520" s="1"/>
  <c r="DM9" i="520"/>
  <c r="IK9" i="520" s="1"/>
  <c r="DL9" i="520"/>
  <c r="IJ9" i="520" s="1"/>
  <c r="DK9" i="520"/>
  <c r="II9" i="520" s="1"/>
  <c r="DJ9" i="520"/>
  <c r="IH9" i="520" s="1"/>
  <c r="DI9" i="520"/>
  <c r="IG9" i="520" s="1"/>
  <c r="BN24" i="520"/>
  <c r="GL24" i="520" s="1"/>
  <c r="BM24" i="520"/>
  <c r="GK24" i="520" s="1"/>
  <c r="BL24" i="520"/>
  <c r="GJ24" i="520" s="1"/>
  <c r="BK24" i="520"/>
  <c r="GI24" i="520" s="1"/>
  <c r="BJ24" i="520"/>
  <c r="GH24" i="520" s="1"/>
  <c r="BI24" i="520"/>
  <c r="GG24" i="520" s="1"/>
  <c r="BH24" i="520"/>
  <c r="GF24" i="520" s="1"/>
  <c r="BG24" i="520"/>
  <c r="GE24" i="520" s="1"/>
  <c r="BV24" i="520"/>
  <c r="GT24" i="520" s="1"/>
  <c r="BU24" i="520"/>
  <c r="GS24" i="520" s="1"/>
  <c r="BT24" i="520"/>
  <c r="GR24" i="520" s="1"/>
  <c r="BS24" i="520"/>
  <c r="GQ24" i="520" s="1"/>
  <c r="BR24" i="520"/>
  <c r="GP24" i="520" s="1"/>
  <c r="BQ24" i="520"/>
  <c r="GO24" i="520" s="1"/>
  <c r="BP24" i="520"/>
  <c r="GN24" i="520" s="1"/>
  <c r="CF24" i="520"/>
  <c r="HD24" i="520" s="1"/>
  <c r="BO24" i="520"/>
  <c r="GM24" i="520" s="1"/>
  <c r="CE24" i="520"/>
  <c r="HC24" i="520" s="1"/>
  <c r="CD24" i="520"/>
  <c r="HB24" i="520" s="1"/>
  <c r="CC24" i="520"/>
  <c r="HA24" i="520" s="1"/>
  <c r="CB24" i="520"/>
  <c r="GZ24" i="520" s="1"/>
  <c r="CA24" i="520"/>
  <c r="GY24" i="520" s="1"/>
  <c r="BZ24" i="520"/>
  <c r="GX24" i="520" s="1"/>
  <c r="CW24" i="520"/>
  <c r="HU24" i="520" s="1"/>
  <c r="BY24" i="520"/>
  <c r="GW24" i="520" s="1"/>
  <c r="BX24" i="520"/>
  <c r="GV24" i="520" s="1"/>
  <c r="BW24" i="520"/>
  <c r="GU24" i="520" s="1"/>
  <c r="CS24" i="520"/>
  <c r="HQ24" i="520" s="1"/>
  <c r="CL24" i="520"/>
  <c r="HJ24" i="520" s="1"/>
  <c r="CK24" i="520"/>
  <c r="HI24" i="520" s="1"/>
  <c r="CJ24" i="520"/>
  <c r="HH24" i="520" s="1"/>
  <c r="CH24" i="520"/>
  <c r="HF24" i="520" s="1"/>
  <c r="CX24" i="520"/>
  <c r="HV24" i="520" s="1"/>
  <c r="CV24" i="520"/>
  <c r="HT24" i="520" s="1"/>
  <c r="DR24" i="520"/>
  <c r="IP24" i="520" s="1"/>
  <c r="CU24" i="520"/>
  <c r="HS24" i="520" s="1"/>
  <c r="CT24" i="520"/>
  <c r="HR24" i="520" s="1"/>
  <c r="CR24" i="520"/>
  <c r="HP24" i="520" s="1"/>
  <c r="DO24" i="520"/>
  <c r="IM24" i="520" s="1"/>
  <c r="CQ24" i="520"/>
  <c r="HO24" i="520" s="1"/>
  <c r="CP24" i="520"/>
  <c r="HN24" i="520" s="1"/>
  <c r="DM24" i="520"/>
  <c r="IK24" i="520" s="1"/>
  <c r="CO24" i="520"/>
  <c r="HM24" i="520" s="1"/>
  <c r="CN24" i="520"/>
  <c r="HL24" i="520" s="1"/>
  <c r="CM24" i="520"/>
  <c r="HK24" i="520" s="1"/>
  <c r="CI24" i="520"/>
  <c r="HG24" i="520" s="1"/>
  <c r="DB24" i="520"/>
  <c r="HZ24" i="520" s="1"/>
  <c r="CG24" i="520"/>
  <c r="HE24" i="520" s="1"/>
  <c r="CZ24" i="520"/>
  <c r="HX24" i="520" s="1"/>
  <c r="CY24" i="520"/>
  <c r="HW24" i="520" s="1"/>
  <c r="DD24" i="520"/>
  <c r="IB24" i="520" s="1"/>
  <c r="DA24" i="520"/>
  <c r="HY24" i="520" s="1"/>
  <c r="DQ24" i="520"/>
  <c r="IO24" i="520" s="1"/>
  <c r="DP24" i="520"/>
  <c r="DN24" i="520"/>
  <c r="IL24" i="520" s="1"/>
  <c r="DL24" i="520"/>
  <c r="IJ24" i="520" s="1"/>
  <c r="DK24" i="520"/>
  <c r="II24" i="520" s="1"/>
  <c r="DJ24" i="520"/>
  <c r="IH24" i="520" s="1"/>
  <c r="DI24" i="520"/>
  <c r="IG24" i="520" s="1"/>
  <c r="DH24" i="520"/>
  <c r="IF24" i="520" s="1"/>
  <c r="DG24" i="520"/>
  <c r="IE24" i="520" s="1"/>
  <c r="DF24" i="520"/>
  <c r="ID24" i="520" s="1"/>
  <c r="DE24" i="520"/>
  <c r="IC24" i="520" s="1"/>
  <c r="DC24" i="520"/>
  <c r="IA24" i="520" s="1"/>
  <c r="BN22" i="520"/>
  <c r="GL22" i="520" s="1"/>
  <c r="BM22" i="520"/>
  <c r="GK22" i="520" s="1"/>
  <c r="BL22" i="520"/>
  <c r="GJ22" i="520" s="1"/>
  <c r="BK22" i="520"/>
  <c r="GI22" i="520" s="1"/>
  <c r="BJ22" i="520"/>
  <c r="GH22" i="520" s="1"/>
  <c r="BI22" i="520"/>
  <c r="GG22" i="520" s="1"/>
  <c r="BH22" i="520"/>
  <c r="GF22" i="520" s="1"/>
  <c r="BG22" i="520"/>
  <c r="GE22" i="520" s="1"/>
  <c r="BV22" i="520"/>
  <c r="GT22" i="520" s="1"/>
  <c r="BU22" i="520"/>
  <c r="GS22" i="520" s="1"/>
  <c r="BT22" i="520"/>
  <c r="GR22" i="520" s="1"/>
  <c r="BS22" i="520"/>
  <c r="GQ22" i="520" s="1"/>
  <c r="BR22" i="520"/>
  <c r="GP22" i="520" s="1"/>
  <c r="BQ22" i="520"/>
  <c r="GO22" i="520" s="1"/>
  <c r="BP22" i="520"/>
  <c r="GN22" i="520" s="1"/>
  <c r="CF22" i="520"/>
  <c r="HD22" i="520" s="1"/>
  <c r="BO22" i="520"/>
  <c r="GM22" i="520" s="1"/>
  <c r="CA22" i="520"/>
  <c r="GY22" i="520" s="1"/>
  <c r="BZ22" i="520"/>
  <c r="GX22" i="520" s="1"/>
  <c r="BY22" i="520"/>
  <c r="GW22" i="520" s="1"/>
  <c r="BX22" i="520"/>
  <c r="GV22" i="520" s="1"/>
  <c r="BW22" i="520"/>
  <c r="GU22" i="520" s="1"/>
  <c r="CW22" i="520"/>
  <c r="HU22" i="520" s="1"/>
  <c r="CL22" i="520"/>
  <c r="HJ22" i="520" s="1"/>
  <c r="CK22" i="520"/>
  <c r="HI22" i="520" s="1"/>
  <c r="CJ22" i="520"/>
  <c r="HH22" i="520" s="1"/>
  <c r="CI22" i="520"/>
  <c r="HG22" i="520" s="1"/>
  <c r="CH22" i="520"/>
  <c r="HF22" i="520" s="1"/>
  <c r="CG22" i="520"/>
  <c r="HE22" i="520" s="1"/>
  <c r="CE22" i="520"/>
  <c r="HC22" i="520" s="1"/>
  <c r="CC22" i="520"/>
  <c r="HA22" i="520" s="1"/>
  <c r="CR22" i="520"/>
  <c r="HP22" i="520" s="1"/>
  <c r="CQ22" i="520"/>
  <c r="HO22" i="520" s="1"/>
  <c r="DR22" i="520"/>
  <c r="IP22" i="520" s="1"/>
  <c r="CP22" i="520"/>
  <c r="HN22" i="520" s="1"/>
  <c r="CO22" i="520"/>
  <c r="HM22" i="520" s="1"/>
  <c r="CD22" i="520"/>
  <c r="HB22" i="520" s="1"/>
  <c r="CN22" i="520"/>
  <c r="HL22" i="520" s="1"/>
  <c r="DO22" i="520"/>
  <c r="IM22" i="520" s="1"/>
  <c r="CB22" i="520"/>
  <c r="GZ22" i="520" s="1"/>
  <c r="DM22" i="520"/>
  <c r="IK22" i="520" s="1"/>
  <c r="DB22" i="520"/>
  <c r="HZ22" i="520" s="1"/>
  <c r="DA22" i="520"/>
  <c r="HY22" i="520" s="1"/>
  <c r="CZ22" i="520"/>
  <c r="HX22" i="520" s="1"/>
  <c r="CY22" i="520"/>
  <c r="HW22" i="520" s="1"/>
  <c r="CX22" i="520"/>
  <c r="HV22" i="520" s="1"/>
  <c r="CV22" i="520"/>
  <c r="HT22" i="520" s="1"/>
  <c r="CS22" i="520"/>
  <c r="HQ22" i="520" s="1"/>
  <c r="DC22" i="520"/>
  <c r="IA22" i="520" s="1"/>
  <c r="DQ22" i="520"/>
  <c r="IO22" i="520" s="1"/>
  <c r="DP22" i="520"/>
  <c r="IN22" i="520" s="1"/>
  <c r="CU22" i="520"/>
  <c r="HS22" i="520" s="1"/>
  <c r="DN22" i="520"/>
  <c r="IL22" i="520" s="1"/>
  <c r="CT22" i="520"/>
  <c r="HR22" i="520" s="1"/>
  <c r="DL22" i="520"/>
  <c r="IJ22" i="520" s="1"/>
  <c r="CM22" i="520"/>
  <c r="HK22" i="520" s="1"/>
  <c r="DK22" i="520"/>
  <c r="II22" i="520" s="1"/>
  <c r="DJ22" i="520"/>
  <c r="IH22" i="520" s="1"/>
  <c r="DI22" i="520"/>
  <c r="IG22" i="520" s="1"/>
  <c r="DH22" i="520"/>
  <c r="IF22" i="520" s="1"/>
  <c r="DG22" i="520"/>
  <c r="IE22" i="520" s="1"/>
  <c r="DF22" i="520"/>
  <c r="ID22" i="520" s="1"/>
  <c r="DE22" i="520"/>
  <c r="IC22" i="520" s="1"/>
  <c r="DD22" i="520"/>
  <c r="IB22" i="520" s="1"/>
  <c r="BN23" i="520"/>
  <c r="GL23" i="520" s="1"/>
  <c r="BM23" i="520"/>
  <c r="GK23" i="520" s="1"/>
  <c r="BL23" i="520"/>
  <c r="GJ23" i="520" s="1"/>
  <c r="BK23" i="520"/>
  <c r="GI23" i="520" s="1"/>
  <c r="BJ23" i="520"/>
  <c r="GH23" i="520" s="1"/>
  <c r="BI23" i="520"/>
  <c r="BH23" i="520"/>
  <c r="GF23" i="520" s="1"/>
  <c r="BG23" i="520"/>
  <c r="GE23" i="520" s="1"/>
  <c r="BV23" i="520"/>
  <c r="GT23" i="520" s="1"/>
  <c r="BU23" i="520"/>
  <c r="GS23" i="520" s="1"/>
  <c r="BT23" i="520"/>
  <c r="GR23" i="520" s="1"/>
  <c r="BS23" i="520"/>
  <c r="GQ23" i="520" s="1"/>
  <c r="BR23" i="520"/>
  <c r="GP23" i="520" s="1"/>
  <c r="BQ23" i="520"/>
  <c r="GO23" i="520" s="1"/>
  <c r="BP23" i="520"/>
  <c r="GN23" i="520" s="1"/>
  <c r="CF23" i="520"/>
  <c r="HD23" i="520" s="1"/>
  <c r="BO23" i="520"/>
  <c r="GM23" i="520" s="1"/>
  <c r="CC23" i="520"/>
  <c r="HA23" i="520" s="1"/>
  <c r="CB23" i="520"/>
  <c r="GZ23" i="520" s="1"/>
  <c r="CA23" i="520"/>
  <c r="GY23" i="520" s="1"/>
  <c r="BZ23" i="520"/>
  <c r="GX23" i="520" s="1"/>
  <c r="BY23" i="520"/>
  <c r="GW23" i="520" s="1"/>
  <c r="BX23" i="520"/>
  <c r="GV23" i="520" s="1"/>
  <c r="CW23" i="520"/>
  <c r="HU23" i="520" s="1"/>
  <c r="BW23" i="520"/>
  <c r="GU23" i="520" s="1"/>
  <c r="CL23" i="520"/>
  <c r="HJ23" i="520" s="1"/>
  <c r="CK23" i="520"/>
  <c r="HI23" i="520" s="1"/>
  <c r="CJ23" i="520"/>
  <c r="HH23" i="520" s="1"/>
  <c r="CI23" i="520"/>
  <c r="HG23" i="520" s="1"/>
  <c r="CH23" i="520"/>
  <c r="HF23" i="520" s="1"/>
  <c r="CE23" i="520"/>
  <c r="HC23" i="520" s="1"/>
  <c r="CG23" i="520"/>
  <c r="HE23" i="520" s="1"/>
  <c r="CT23" i="520"/>
  <c r="HR23" i="520" s="1"/>
  <c r="CD23" i="520"/>
  <c r="HB23" i="520" s="1"/>
  <c r="CS23" i="520"/>
  <c r="HQ23" i="520" s="1"/>
  <c r="DR23" i="520"/>
  <c r="IP23" i="520" s="1"/>
  <c r="CR23" i="520"/>
  <c r="HP23" i="520" s="1"/>
  <c r="CQ23" i="520"/>
  <c r="HO23" i="520" s="1"/>
  <c r="CP23" i="520"/>
  <c r="HN23" i="520" s="1"/>
  <c r="DO23" i="520"/>
  <c r="IM23" i="520" s="1"/>
  <c r="CO23" i="520"/>
  <c r="HM23" i="520" s="1"/>
  <c r="CN23" i="520"/>
  <c r="HL23" i="520" s="1"/>
  <c r="DM23" i="520"/>
  <c r="IK23" i="520" s="1"/>
  <c r="CM23" i="520"/>
  <c r="HK23" i="520" s="1"/>
  <c r="DB23" i="520"/>
  <c r="HZ23" i="520" s="1"/>
  <c r="DA23" i="520"/>
  <c r="HY23" i="520" s="1"/>
  <c r="CZ23" i="520"/>
  <c r="HX23" i="520" s="1"/>
  <c r="CY23" i="520"/>
  <c r="HW23" i="520" s="1"/>
  <c r="CV23" i="520"/>
  <c r="HT23" i="520" s="1"/>
  <c r="CU23" i="520"/>
  <c r="HS23" i="520" s="1"/>
  <c r="DI23" i="520"/>
  <c r="IG23" i="520" s="1"/>
  <c r="DH23" i="520"/>
  <c r="IF23" i="520" s="1"/>
  <c r="DG23" i="520"/>
  <c r="IE23" i="520" s="1"/>
  <c r="CX23" i="520"/>
  <c r="HV23" i="520" s="1"/>
  <c r="DF23" i="520"/>
  <c r="ID23" i="520" s="1"/>
  <c r="DE23" i="520"/>
  <c r="IC23" i="520" s="1"/>
  <c r="DD23" i="520"/>
  <c r="IB23" i="520" s="1"/>
  <c r="DC23" i="520"/>
  <c r="IA23" i="520" s="1"/>
  <c r="DQ23" i="520"/>
  <c r="IO23" i="520" s="1"/>
  <c r="DP23" i="520"/>
  <c r="IN23" i="520" s="1"/>
  <c r="DN23" i="520"/>
  <c r="IL23" i="520" s="1"/>
  <c r="DL23" i="520"/>
  <c r="IJ23" i="520" s="1"/>
  <c r="DK23" i="520"/>
  <c r="II23" i="520" s="1"/>
  <c r="DJ23" i="520"/>
  <c r="IH23" i="520" s="1"/>
  <c r="BP10" i="520"/>
  <c r="GN10" i="520" s="1"/>
  <c r="CC10" i="520"/>
  <c r="HA10" i="520" s="1"/>
  <c r="BV10" i="520"/>
  <c r="GT10" i="520" s="1"/>
  <c r="BK10" i="520"/>
  <c r="GI10" i="520" s="1"/>
  <c r="BH10" i="520"/>
  <c r="GF10" i="520" s="1"/>
  <c r="DR10" i="520"/>
  <c r="IP10" i="520" s="1"/>
  <c r="BO10" i="520"/>
  <c r="GM10" i="520" s="1"/>
  <c r="DM10" i="520"/>
  <c r="IK10" i="520" s="1"/>
  <c r="DL10" i="520"/>
  <c r="IJ10" i="520" s="1"/>
  <c r="CL10" i="520"/>
  <c r="HJ10" i="520" s="1"/>
  <c r="BJ10" i="520"/>
  <c r="GH10" i="520" s="1"/>
  <c r="BZ10" i="520"/>
  <c r="GX10" i="520" s="1"/>
  <c r="CV10" i="520"/>
  <c r="HT10" i="520" s="1"/>
  <c r="DP10" i="520"/>
  <c r="IN10" i="520" s="1"/>
  <c r="BU10" i="520"/>
  <c r="GS10" i="520" s="1"/>
  <c r="BI10" i="520"/>
  <c r="GG10" i="520" s="1"/>
  <c r="CR10" i="520"/>
  <c r="HP10" i="520" s="1"/>
  <c r="DQ10" i="520"/>
  <c r="IO10" i="520" s="1"/>
  <c r="BS10" i="520"/>
  <c r="GQ10" i="520" s="1"/>
  <c r="CI10" i="520"/>
  <c r="HG10" i="520" s="1"/>
  <c r="BT10" i="520"/>
  <c r="GR10" i="520" s="1"/>
  <c r="BG10" i="520"/>
  <c r="GE10" i="520" s="1"/>
  <c r="BY10" i="520"/>
  <c r="GW10" i="520" s="1"/>
  <c r="CS10" i="520"/>
  <c r="HQ10" i="520" s="1"/>
  <c r="BX10" i="520"/>
  <c r="GV10" i="520" s="1"/>
  <c r="CF10" i="520"/>
  <c r="HD10" i="520" s="1"/>
  <c r="CQ10" i="520"/>
  <c r="HO10" i="520" s="1"/>
  <c r="CM10" i="520"/>
  <c r="HK10" i="520" s="1"/>
  <c r="BR10" i="520"/>
  <c r="GP10" i="520" s="1"/>
  <c r="DB10" i="520"/>
  <c r="HZ10" i="520" s="1"/>
  <c r="BW10" i="520"/>
  <c r="GU10" i="520" s="1"/>
  <c r="CP10" i="520"/>
  <c r="HN10" i="520" s="1"/>
  <c r="DF10" i="520"/>
  <c r="ID10" i="520" s="1"/>
  <c r="DE10" i="520"/>
  <c r="IC10" i="520" s="1"/>
  <c r="CH10" i="520"/>
  <c r="HF10" i="520" s="1"/>
  <c r="CY10" i="520"/>
  <c r="HW10" i="520" s="1"/>
  <c r="CN10" i="520"/>
  <c r="HL10" i="520" s="1"/>
  <c r="DO10" i="520"/>
  <c r="IM10" i="520" s="1"/>
  <c r="DH10" i="520"/>
  <c r="IF10" i="520" s="1"/>
  <c r="CW10" i="520"/>
  <c r="HU10" i="520" s="1"/>
  <c r="CX10" i="520"/>
  <c r="HV10" i="520" s="1"/>
  <c r="BQ10" i="520"/>
  <c r="GO10" i="520" s="1"/>
  <c r="CK10" i="520"/>
  <c r="HI10" i="520" s="1"/>
  <c r="CO10" i="520"/>
  <c r="HM10" i="520" s="1"/>
  <c r="CG10" i="520"/>
  <c r="HE10" i="520" s="1"/>
  <c r="CJ10" i="520"/>
  <c r="HH10" i="520" s="1"/>
  <c r="DG10" i="520"/>
  <c r="IE10" i="520" s="1"/>
  <c r="DN10" i="520"/>
  <c r="IL10" i="520" s="1"/>
  <c r="CA10" i="520"/>
  <c r="GY10" i="520" s="1"/>
  <c r="BN10" i="520"/>
  <c r="GL10" i="520" s="1"/>
  <c r="CE10" i="520"/>
  <c r="HC10" i="520" s="1"/>
  <c r="DA10" i="520"/>
  <c r="HY10" i="520" s="1"/>
  <c r="BM10" i="520"/>
  <c r="GK10" i="520" s="1"/>
  <c r="CU10" i="520"/>
  <c r="HS10" i="520" s="1"/>
  <c r="DD10" i="520"/>
  <c r="IB10" i="520" s="1"/>
  <c r="DK10" i="520"/>
  <c r="II10" i="520" s="1"/>
  <c r="DJ10" i="520"/>
  <c r="IH10" i="520" s="1"/>
  <c r="CD10" i="520"/>
  <c r="HB10" i="520" s="1"/>
  <c r="CB10" i="520"/>
  <c r="GZ10" i="520" s="1"/>
  <c r="CZ10" i="520"/>
  <c r="HX10" i="520" s="1"/>
  <c r="BL10" i="520"/>
  <c r="GJ10" i="520" s="1"/>
  <c r="CT10" i="520"/>
  <c r="HR10" i="520" s="1"/>
  <c r="DC10" i="520"/>
  <c r="IA10" i="520" s="1"/>
  <c r="DI10" i="520"/>
  <c r="IG10" i="520" s="1"/>
  <c r="AY19" i="520"/>
  <c r="AX19" i="520"/>
  <c r="IP12" i="520"/>
  <c r="HG12" i="520"/>
  <c r="HF12" i="520"/>
  <c r="GI12" i="520"/>
  <c r="HT12" i="520"/>
  <c r="HU12" i="520"/>
  <c r="GZ12" i="520"/>
  <c r="IL12" i="520"/>
  <c r="II12" i="520"/>
  <c r="HP12" i="520"/>
  <c r="IO12" i="520"/>
  <c r="HH12" i="520"/>
  <c r="GG12" i="520"/>
  <c r="HS12" i="520"/>
  <c r="IG12" i="520"/>
  <c r="GK12" i="520"/>
  <c r="HJ12" i="520"/>
  <c r="HI12" i="520"/>
  <c r="GL12" i="520"/>
  <c r="IF12" i="520"/>
  <c r="IB12" i="520"/>
  <c r="IK12" i="520"/>
  <c r="HA12" i="520"/>
  <c r="GP12" i="520"/>
  <c r="GV12" i="520"/>
  <c r="GX12" i="520"/>
  <c r="HX12" i="520"/>
  <c r="HL12" i="520"/>
  <c r="GR12" i="520"/>
  <c r="GF12" i="520"/>
  <c r="HB12" i="520"/>
  <c r="HO12" i="520"/>
  <c r="GH12" i="520"/>
  <c r="GS12" i="520"/>
  <c r="GW12" i="520"/>
  <c r="HE12" i="520"/>
  <c r="HW12" i="520"/>
  <c r="IN12" i="520"/>
  <c r="HY12" i="520"/>
  <c r="HR12" i="520"/>
  <c r="GN12" i="520"/>
  <c r="IM12" i="520"/>
  <c r="GQ12" i="520"/>
  <c r="HN12" i="520"/>
  <c r="HV12" i="520"/>
  <c r="GJ12" i="520"/>
  <c r="GO12" i="520"/>
  <c r="HQ12" i="520"/>
  <c r="HZ12" i="520"/>
  <c r="GY12" i="520"/>
  <c r="IA12" i="520"/>
  <c r="GT12" i="520"/>
  <c r="IE12" i="520"/>
  <c r="ID12" i="520"/>
  <c r="IC12" i="520"/>
  <c r="GE12" i="520"/>
  <c r="HC12" i="520"/>
  <c r="GM12" i="520"/>
  <c r="IJ12" i="520"/>
  <c r="IH12" i="520"/>
  <c r="HD12" i="520"/>
  <c r="GU12" i="520"/>
  <c r="HK12" i="520"/>
  <c r="HM12" i="520"/>
  <c r="AY27" i="520"/>
  <c r="AX27" i="520"/>
  <c r="AY10" i="520"/>
  <c r="AX10" i="520"/>
  <c r="AY16" i="520"/>
  <c r="AX16" i="520"/>
  <c r="AY26" i="520"/>
  <c r="AX26" i="520"/>
  <c r="AY21" i="520"/>
  <c r="AX21" i="520"/>
  <c r="AY9" i="520"/>
  <c r="AX9" i="520"/>
  <c r="AY15" i="520"/>
  <c r="AX15" i="520"/>
  <c r="AY20" i="520"/>
  <c r="AX20" i="520"/>
  <c r="AY25" i="520"/>
  <c r="AX25" i="520"/>
  <c r="AY23" i="520"/>
  <c r="AX23" i="520"/>
  <c r="AY8" i="520"/>
  <c r="AX8" i="520"/>
  <c r="AY6" i="520"/>
  <c r="AX6" i="520"/>
  <c r="AY14" i="520"/>
  <c r="AX14" i="520"/>
  <c r="AX28" i="520"/>
  <c r="AY28" i="520"/>
  <c r="AX24" i="520"/>
  <c r="AY24" i="520"/>
  <c r="AY11" i="520"/>
  <c r="AX11" i="520"/>
  <c r="AY7" i="520"/>
  <c r="AX7" i="520"/>
  <c r="AY17" i="520"/>
  <c r="AX17" i="520"/>
  <c r="AY13" i="520"/>
  <c r="AX13" i="520"/>
  <c r="AY22" i="520"/>
  <c r="AX22" i="520"/>
  <c r="AY12" i="520"/>
  <c r="AX12" i="520"/>
  <c r="AY5" i="520"/>
  <c r="AX5" i="520"/>
  <c r="AY4" i="520"/>
  <c r="AX4" i="520"/>
  <c r="AZ8" i="520"/>
  <c r="AZ6" i="520"/>
  <c r="AZ7" i="520"/>
  <c r="AZ5" i="520"/>
  <c r="AZ4" i="520"/>
  <c r="AW49" i="8"/>
  <c r="J4" i="254"/>
  <c r="GV8" i="520"/>
  <c r="GU16" i="520"/>
  <c r="GU18" i="520"/>
  <c r="GU7" i="520"/>
  <c r="GG28" i="520"/>
  <c r="IM28" i="520"/>
  <c r="GJ11" i="520"/>
  <c r="GT11" i="520"/>
  <c r="HN11" i="520"/>
  <c r="HO11" i="520"/>
  <c r="HP11" i="520"/>
  <c r="IP11" i="520"/>
  <c r="HS27" i="520"/>
  <c r="GK27" i="520"/>
  <c r="GL27" i="520"/>
  <c r="GM27" i="520"/>
  <c r="HC27" i="520"/>
  <c r="HZ27" i="520"/>
  <c r="HH27" i="520"/>
  <c r="HL27" i="520"/>
  <c r="HJ27" i="520"/>
  <c r="GF27" i="520"/>
  <c r="GV27" i="520"/>
  <c r="HV27" i="520"/>
  <c r="GW27" i="520"/>
  <c r="IP27" i="520"/>
  <c r="GG27" i="520"/>
  <c r="HF27" i="520"/>
  <c r="IE27" i="520"/>
  <c r="IN27" i="520"/>
  <c r="GG23" i="520"/>
  <c r="HL25" i="520"/>
  <c r="IM25" i="520"/>
  <c r="IN24" i="520"/>
  <c r="GJ26" i="520"/>
  <c r="GK26" i="520"/>
  <c r="HB26" i="520"/>
  <c r="HC26" i="520"/>
  <c r="HG26" i="520"/>
  <c r="HH26" i="520"/>
  <c r="HK26" i="520"/>
  <c r="HL26" i="520"/>
  <c r="HJ26" i="520"/>
  <c r="GF26" i="520"/>
  <c r="GG26" i="520"/>
  <c r="IF26" i="520"/>
  <c r="IM26" i="520"/>
  <c r="IK26" i="520"/>
  <c r="IO26" i="520"/>
  <c r="IB26" i="520"/>
  <c r="GJ8" i="520"/>
  <c r="GK8" i="520"/>
  <c r="HA8" i="520"/>
  <c r="GL8" i="520"/>
  <c r="HC8" i="520"/>
  <c r="HE8" i="520"/>
  <c r="GQ8" i="520"/>
  <c r="HL8" i="520"/>
  <c r="GE8" i="520"/>
  <c r="GP8" i="520"/>
  <c r="HW8" i="520"/>
  <c r="GW8" i="520"/>
  <c r="GX8" i="520"/>
  <c r="HF8" i="520"/>
  <c r="IE8" i="520"/>
  <c r="BA22" i="8"/>
  <c r="HI21" i="520"/>
  <c r="GE21" i="520"/>
  <c r="GF21" i="520"/>
  <c r="IE21" i="520"/>
  <c r="IG21" i="520"/>
  <c r="IK21" i="520"/>
  <c r="GG18" i="520"/>
  <c r="GY18" i="520"/>
  <c r="IL18" i="520"/>
  <c r="GG16" i="520"/>
  <c r="GK16" i="520"/>
  <c r="HV16" i="520"/>
  <c r="GV16" i="520"/>
  <c r="HP16" i="520"/>
  <c r="GW16" i="520"/>
  <c r="HC17" i="520"/>
  <c r="HE17" i="520"/>
  <c r="IM17" i="520"/>
  <c r="GG19" i="520"/>
  <c r="GK19" i="520"/>
  <c r="GF19" i="520"/>
  <c r="HL6" i="520"/>
  <c r="HN6" i="520"/>
  <c r="IN6" i="520"/>
  <c r="IP14" i="520"/>
  <c r="BB34" i="8"/>
  <c r="BA51" i="8"/>
  <c r="BA62" i="8"/>
  <c r="BA13" i="8"/>
  <c r="AV19" i="8"/>
  <c r="AV58" i="8"/>
  <c r="AW50" i="8"/>
  <c r="AV38" i="8"/>
  <c r="BA32" i="8"/>
  <c r="BA19" i="8"/>
  <c r="BA50" i="8"/>
  <c r="BA67" i="8"/>
  <c r="AW69" i="8"/>
  <c r="AV30" i="8"/>
  <c r="BA49" i="8"/>
  <c r="BA70" i="8"/>
  <c r="AW52" i="8"/>
  <c r="BB57" i="8"/>
  <c r="BB44" i="8"/>
  <c r="AV62" i="8"/>
  <c r="BB59" i="8"/>
  <c r="BA48" i="8"/>
  <c r="AV29" i="8"/>
  <c r="AW26" i="8"/>
  <c r="BA30" i="8"/>
  <c r="AV70" i="8"/>
  <c r="BB23" i="8"/>
  <c r="BA35" i="8"/>
  <c r="AW59" i="8"/>
  <c r="BB40" i="8"/>
  <c r="BA52" i="8"/>
  <c r="BB31" i="8"/>
  <c r="BB56" i="8"/>
  <c r="AW48" i="8"/>
  <c r="AV53" i="8"/>
  <c r="AV65" i="8"/>
  <c r="AW64" i="8"/>
  <c r="BB8" i="8"/>
  <c r="BB68" i="8"/>
  <c r="BA26" i="8"/>
  <c r="BA53" i="8"/>
  <c r="AV7" i="8"/>
  <c r="BB38" i="8"/>
  <c r="AW51" i="8"/>
  <c r="BB28" i="8"/>
  <c r="BA24" i="8"/>
  <c r="AW22" i="8"/>
  <c r="AW46" i="8"/>
  <c r="AW27" i="8"/>
  <c r="BA25" i="8"/>
  <c r="BA14" i="8"/>
  <c r="AV57" i="8"/>
  <c r="AW24" i="8"/>
  <c r="BB46" i="8"/>
  <c r="AV45" i="8"/>
  <c r="AW47" i="8"/>
  <c r="BA15" i="8"/>
  <c r="AW32" i="8"/>
  <c r="BA29" i="8"/>
  <c r="BB27" i="8"/>
  <c r="AW13" i="8"/>
  <c r="AV16" i="8"/>
  <c r="AV11" i="8"/>
  <c r="BB9" i="8"/>
  <c r="BB18" i="8"/>
  <c r="BB10" i="8"/>
  <c r="AV63" i="8"/>
  <c r="BA7" i="8"/>
  <c r="AW43" i="8"/>
  <c r="BA12" i="8"/>
  <c r="P48" i="1"/>
  <c r="S48" i="1" s="1"/>
  <c r="AD9" i="111" s="1"/>
  <c r="P51" i="1"/>
  <c r="O51" i="1" s="1" a="1"/>
  <c r="O51" i="1" s="1"/>
  <c r="AV61" i="8"/>
  <c r="BA37" i="8"/>
  <c r="AW31" i="8"/>
  <c r="BA66" i="8"/>
  <c r="AV8" i="8"/>
  <c r="AW68" i="8"/>
  <c r="AV60" i="8"/>
  <c r="AV34" i="8"/>
  <c r="AW28" i="8"/>
  <c r="AV12" i="8"/>
  <c r="AV36" i="8"/>
  <c r="BA36" i="8"/>
  <c r="AV41" i="8"/>
  <c r="AV40" i="8"/>
  <c r="AV35" i="8"/>
  <c r="AV39" i="8"/>
  <c r="BA61" i="8"/>
  <c r="BA60" i="8"/>
  <c r="BA47" i="8"/>
  <c r="BB58" i="8"/>
  <c r="AV55" i="8"/>
  <c r="BA20" i="8"/>
  <c r="AV15" i="8"/>
  <c r="AV10" i="8"/>
  <c r="BA33" i="8"/>
  <c r="BB65" i="8"/>
  <c r="BA42" i="8"/>
  <c r="BA63" i="8"/>
  <c r="BA69" i="8"/>
  <c r="AW21" i="8"/>
  <c r="BA43" i="8"/>
  <c r="BA41" i="8"/>
  <c r="AW54" i="8"/>
  <c r="AV67" i="8"/>
  <c r="AV9" i="8"/>
  <c r="AW6" i="8"/>
  <c r="BA6" i="8"/>
  <c r="AW25" i="8"/>
  <c r="BA16" i="8"/>
  <c r="AW56" i="8"/>
  <c r="AW20" i="8"/>
  <c r="BB11" i="8"/>
  <c r="BB45" i="8"/>
  <c r="AV42" i="8"/>
  <c r="BA17" i="8"/>
  <c r="AV33" i="8"/>
  <c r="BA64" i="8"/>
  <c r="BA55" i="8"/>
  <c r="AV37" i="8"/>
  <c r="AV66" i="8"/>
  <c r="AV23" i="8"/>
  <c r="BA39" i="8"/>
  <c r="BB54" i="8"/>
  <c r="AV17" i="8"/>
  <c r="AV14" i="8"/>
  <c r="BA21" i="8"/>
  <c r="AQ53" i="1"/>
  <c r="S51" i="1"/>
  <c r="AD12" i="111" s="1"/>
  <c r="AQ56" i="1"/>
  <c r="AP54" i="1"/>
  <c r="BE54" i="1"/>
  <c r="BF54" i="1"/>
  <c r="AS54" i="1" a="1"/>
  <c r="AS54" i="1" s="1"/>
  <c r="AS53" i="1" a="1"/>
  <c r="AS53" i="1" s="1"/>
  <c r="AQ52" i="1"/>
  <c r="AC12" i="111"/>
  <c r="AA12" i="111" s="1"/>
  <c r="M29" i="1"/>
  <c r="AS52" i="1" a="1"/>
  <c r="AS52" i="1" s="1"/>
  <c r="BF52" i="1"/>
  <c r="AR52" i="1"/>
  <c r="AP52" i="1"/>
  <c r="BE52" i="1"/>
  <c r="Z4" i="111"/>
  <c r="K43" i="1"/>
  <c r="DO86" i="6"/>
  <c r="AQ48" i="1"/>
  <c r="CY51" i="6"/>
  <c r="DQ38" i="6"/>
  <c r="DO68" i="6"/>
  <c r="CK39" i="6"/>
  <c r="CK42" i="6"/>
  <c r="DQ59" i="6"/>
  <c r="W74" i="6"/>
  <c r="W88" i="6"/>
  <c r="CK88" i="6"/>
  <c r="Y45" i="6"/>
  <c r="CK52" i="6"/>
  <c r="CI55" i="6"/>
  <c r="W59" i="6"/>
  <c r="Y50" i="6"/>
  <c r="CY81" i="6"/>
  <c r="CK51" i="6"/>
  <c r="CY44" i="6"/>
  <c r="DQ52" i="6"/>
  <c r="CK84" i="6"/>
  <c r="DQ57" i="6"/>
  <c r="CK91" i="6"/>
  <c r="DA96" i="6"/>
  <c r="Y58" i="6"/>
  <c r="DQ68" i="6"/>
  <c r="DO89" i="6"/>
  <c r="CI92" i="6"/>
  <c r="CI80" i="6"/>
  <c r="CI57" i="6"/>
  <c r="Y94" i="6"/>
  <c r="W71" i="6"/>
  <c r="DA90" i="6"/>
  <c r="CY91" i="6"/>
  <c r="Y98" i="6"/>
  <c r="W54" i="6"/>
  <c r="DA73" i="6"/>
  <c r="CY38" i="6"/>
  <c r="CI82" i="6"/>
  <c r="DQ55" i="6"/>
  <c r="CK43" i="6"/>
  <c r="Y52" i="6"/>
  <c r="DA91" i="6"/>
  <c r="DQ51" i="6"/>
  <c r="W61" i="6"/>
  <c r="Y87" i="6"/>
  <c r="CY50" i="6"/>
  <c r="DQ58" i="6"/>
  <c r="W42" i="6"/>
  <c r="CI44" i="6"/>
  <c r="DA45" i="6"/>
  <c r="DQ77" i="6"/>
  <c r="DQ92" i="6"/>
  <c r="DQ48" i="6"/>
  <c r="CY68" i="6"/>
  <c r="W64" i="6"/>
  <c r="DQ47" i="6"/>
  <c r="DO47" i="6"/>
  <c r="CI56" i="6"/>
  <c r="CY74" i="6"/>
  <c r="CY101" i="6"/>
  <c r="Y75" i="6"/>
  <c r="DA79" i="6"/>
  <c r="W47" i="6"/>
  <c r="DA80" i="6"/>
  <c r="W85" i="6"/>
  <c r="DQ94" i="6"/>
  <c r="DQ65" i="6"/>
  <c r="CI75" i="6"/>
  <c r="DA77" i="6"/>
  <c r="DA82" i="6"/>
  <c r="Y101" i="6"/>
  <c r="CI97" i="6"/>
  <c r="W55" i="6"/>
  <c r="Y41" i="6"/>
  <c r="CI60" i="6"/>
  <c r="CK82" i="6"/>
  <c r="DO49" i="6"/>
  <c r="S50" i="1"/>
  <c r="AD11" i="111" s="1"/>
  <c r="Y38" i="6"/>
  <c r="CY43" i="6"/>
  <c r="Y49" i="6"/>
  <c r="Y43" i="6"/>
  <c r="CK101" i="6"/>
  <c r="DO88" i="6"/>
  <c r="DQ39" i="6"/>
  <c r="CI45" i="6"/>
  <c r="Y66" i="6"/>
  <c r="DO66" i="6"/>
  <c r="Y82" i="6"/>
  <c r="W46" i="6"/>
  <c r="DA50" i="6"/>
  <c r="Y60" i="6"/>
  <c r="CI62" i="6"/>
  <c r="DQ45" i="6"/>
  <c r="W77" i="6"/>
  <c r="CK86" i="6"/>
  <c r="DQ95" i="6"/>
  <c r="W82" i="6"/>
  <c r="DA88" i="6"/>
  <c r="W95" i="6"/>
  <c r="DA40" i="6"/>
  <c r="DQ64" i="6"/>
  <c r="DO53" i="6"/>
  <c r="CI41" i="6"/>
  <c r="Y88" i="6"/>
  <c r="DA51" i="6"/>
  <c r="CI52" i="6"/>
  <c r="CY65" i="6"/>
  <c r="DO61" i="6"/>
  <c r="Y54" i="6"/>
  <c r="DQ79" i="6"/>
  <c r="CY47" i="6"/>
  <c r="Y59" i="6"/>
  <c r="DQ91" i="6"/>
  <c r="DQ80" i="6"/>
  <c r="W87" i="6"/>
  <c r="CY89" i="6"/>
  <c r="Y96" i="6"/>
  <c r="Y67" i="6"/>
  <c r="CI83" i="6"/>
  <c r="DA89" i="6"/>
  <c r="CI51" i="6"/>
  <c r="DA55" i="6"/>
  <c r="DA53" i="6"/>
  <c r="W66" i="6"/>
  <c r="DO63" i="6"/>
  <c r="DQ63" i="6"/>
  <c r="CK56" i="6"/>
  <c r="DQ67" i="6"/>
  <c r="CK48" i="6"/>
  <c r="CY60" i="6"/>
  <c r="DQ85" i="6"/>
  <c r="CI89" i="6"/>
  <c r="Y90" i="6"/>
  <c r="DQ97" i="6"/>
  <c r="CI91" i="6"/>
  <c r="W97" i="6"/>
  <c r="CI50" i="6"/>
  <c r="CY42" i="6"/>
  <c r="W79" i="6"/>
  <c r="CI81" i="6"/>
  <c r="CI79" i="6"/>
  <c r="Y68" i="6"/>
  <c r="DQ81" i="6"/>
  <c r="Y91" i="6"/>
  <c r="Y93" i="6"/>
  <c r="Y89" i="6"/>
  <c r="CK97" i="6"/>
  <c r="W96" i="6"/>
  <c r="DO96" i="6"/>
  <c r="DQ40" i="6"/>
  <c r="CK94" i="6"/>
  <c r="CY66" i="6"/>
  <c r="Y56" i="6"/>
  <c r="CI43" i="6"/>
  <c r="DA38" i="6"/>
  <c r="Y85" i="6"/>
  <c r="DQ82" i="6"/>
  <c r="DQ83" i="6"/>
  <c r="CI48" i="6"/>
  <c r="CI54" i="6"/>
  <c r="W91" i="6"/>
  <c r="W98" i="6"/>
  <c r="W65" i="6"/>
  <c r="DA97" i="6"/>
  <c r="CI71" i="6"/>
  <c r="DO62" i="6"/>
  <c r="DO93" i="6"/>
  <c r="DQ90" i="6"/>
  <c r="W40" i="6"/>
  <c r="CY76" i="6"/>
  <c r="W45" i="6"/>
  <c r="Y46" i="6"/>
  <c r="CY94" i="6"/>
  <c r="W86" i="6"/>
  <c r="CY96" i="6"/>
  <c r="CY84" i="6"/>
  <c r="CK85" i="6"/>
  <c r="Y42" i="6"/>
  <c r="DA92" i="6"/>
  <c r="CK99" i="6"/>
  <c r="DO55" i="6"/>
  <c r="CK53" i="6"/>
  <c r="DO67" i="6"/>
  <c r="CK80" i="6"/>
  <c r="DQ99" i="6"/>
  <c r="DA98" i="6"/>
  <c r="DA48" i="6"/>
  <c r="Y83" i="6"/>
  <c r="CK83" i="6"/>
  <c r="DO50" i="6"/>
  <c r="CY54" i="6"/>
  <c r="CI96" i="6"/>
  <c r="CK96" i="6"/>
  <c r="CY98" i="6"/>
  <c r="CK89" i="6"/>
  <c r="W51" i="6"/>
  <c r="DO69" i="6"/>
  <c r="CK93" i="6"/>
  <c r="Y100" i="6"/>
  <c r="CY56" i="6"/>
  <c r="DO94" i="6"/>
  <c r="W90" i="6"/>
  <c r="DO84" i="6"/>
  <c r="CY100" i="6"/>
  <c r="CI63" i="6"/>
  <c r="DO48" i="6"/>
  <c r="CY85" i="6"/>
  <c r="CY40" i="6"/>
  <c r="DQ54" i="6"/>
  <c r="DO91" i="6"/>
  <c r="CY93" i="6"/>
  <c r="CK54" i="6"/>
  <c r="CI98" i="6"/>
  <c r="CY99" i="6"/>
  <c r="DQ98" i="6"/>
  <c r="DQ44" i="6"/>
  <c r="Y57" i="6"/>
  <c r="W53" i="6"/>
  <c r="CK58" i="6"/>
  <c r="Y61" i="6"/>
  <c r="DO85" i="6"/>
  <c r="DA95" i="6"/>
  <c r="W60" i="6"/>
  <c r="Y51" i="6"/>
  <c r="CY71" i="6"/>
  <c r="CK95" i="6"/>
  <c r="CK62" i="6"/>
  <c r="CY92" i="6"/>
  <c r="CY41" i="6"/>
  <c r="DQ62" i="6"/>
  <c r="W48" i="6"/>
  <c r="W99" i="6"/>
  <c r="W73" i="6"/>
  <c r="CK100" i="6"/>
  <c r="CI99" i="6"/>
  <c r="CI39" i="6"/>
  <c r="CY46" i="6"/>
  <c r="CI58" i="6"/>
  <c r="DQ88" i="6"/>
  <c r="W101" i="6"/>
  <c r="DO54" i="6"/>
  <c r="CY59" i="6"/>
  <c r="DA65" i="6"/>
  <c r="Y71" i="6"/>
  <c r="CY83" i="6"/>
  <c r="DO100" i="6"/>
  <c r="DO83" i="6"/>
  <c r="W93" i="6"/>
  <c r="W62" i="6"/>
  <c r="DA61" i="6"/>
  <c r="DA64" i="6"/>
  <c r="CY64" i="6"/>
  <c r="CK65" i="6"/>
  <c r="DO76" i="6"/>
  <c r="Y99" i="6"/>
  <c r="CK75" i="6"/>
  <c r="CY79" i="6"/>
  <c r="W41" i="6"/>
  <c r="DA63" i="6"/>
  <c r="CI77" i="6"/>
  <c r="W44" i="6"/>
  <c r="DQ87" i="6"/>
  <c r="Y39" i="6"/>
  <c r="DA59" i="6"/>
  <c r="DA101" i="6"/>
  <c r="CK61" i="6"/>
  <c r="DQ60" i="6"/>
  <c r="CK63" i="6"/>
  <c r="CI64" i="6"/>
  <c r="CY75" i="6"/>
  <c r="DO74" i="6"/>
  <c r="CI66" i="6"/>
  <c r="W72" i="6"/>
  <c r="DQ53" i="6"/>
  <c r="DA57" i="6"/>
  <c r="CI61" i="6"/>
  <c r="DO42" i="6"/>
  <c r="CK57" i="6"/>
  <c r="CY39" i="6"/>
  <c r="CK81" i="6"/>
  <c r="CI94" i="6"/>
  <c r="Y70" i="6"/>
  <c r="DO40" i="6"/>
  <c r="DA99" i="6"/>
  <c r="CI90" i="6"/>
  <c r="DA60" i="6"/>
  <c r="DQ100" i="6"/>
  <c r="CI74" i="6"/>
  <c r="DO64" i="6"/>
  <c r="W70" i="6"/>
  <c r="CK64" i="6"/>
  <c r="CK71" i="6"/>
  <c r="CI85" i="6"/>
  <c r="CI38" i="6"/>
  <c r="CY52" i="6"/>
  <c r="CY57" i="6"/>
  <c r="DO39" i="6"/>
  <c r="DA39" i="6"/>
  <c r="W94" i="6"/>
  <c r="W52" i="6"/>
  <c r="W38" i="6"/>
  <c r="CI49" i="6"/>
  <c r="W78" i="6"/>
  <c r="W39" i="6"/>
  <c r="CK38" i="6"/>
  <c r="W100" i="6"/>
  <c r="W84" i="6"/>
  <c r="Y40" i="6"/>
  <c r="DA44" i="6"/>
  <c r="CY97" i="6"/>
  <c r="CK47" i="6"/>
  <c r="CY62" i="6"/>
  <c r="CK92" i="6"/>
  <c r="DQ73" i="6"/>
  <c r="DA66" i="6"/>
  <c r="CK72" i="6"/>
  <c r="DQ86" i="6"/>
  <c r="DO95" i="6"/>
  <c r="DO87" i="6"/>
  <c r="AC13" i="111"/>
  <c r="AA13" i="111" s="1"/>
  <c r="M24" i="1"/>
  <c r="DO101" i="6"/>
  <c r="DO82" i="6"/>
  <c r="DA87" i="6"/>
  <c r="DA78" i="6"/>
  <c r="Y92" i="6"/>
  <c r="CK59" i="6"/>
  <c r="Y79" i="6"/>
  <c r="W80" i="6"/>
  <c r="DO59" i="6"/>
  <c r="Y95" i="6"/>
  <c r="CK87" i="6"/>
  <c r="Y77" i="6"/>
  <c r="CK49" i="6"/>
  <c r="Y65" i="6"/>
  <c r="CY90" i="6"/>
  <c r="DA46" i="6"/>
  <c r="DA69" i="6"/>
  <c r="CK90" i="6"/>
  <c r="DQ78" i="6"/>
  <c r="CY80" i="6"/>
  <c r="DA52" i="6"/>
  <c r="CY78" i="6"/>
  <c r="DQ50" i="6"/>
  <c r="CI78" i="6"/>
  <c r="DQ49" i="6"/>
  <c r="CK77" i="6"/>
  <c r="DA42" i="6"/>
  <c r="DO75" i="6"/>
  <c r="DA72" i="6"/>
  <c r="CK40" i="6"/>
  <c r="W56" i="6"/>
  <c r="DA54" i="6"/>
  <c r="W81" i="6"/>
  <c r="CI93" i="6"/>
  <c r="DO99" i="6"/>
  <c r="DO80" i="6"/>
  <c r="DA85" i="6"/>
  <c r="CI95" i="6"/>
  <c r="CY72" i="6"/>
  <c r="CI100" i="6"/>
  <c r="DO72" i="6"/>
  <c r="W92" i="6"/>
  <c r="DO57" i="6"/>
  <c r="DQ75" i="6"/>
  <c r="CK69" i="6"/>
  <c r="W89" i="6"/>
  <c r="CY82" i="6"/>
  <c r="DA75" i="6"/>
  <c r="DQ46" i="6"/>
  <c r="CK60" i="6"/>
  <c r="CY87" i="6"/>
  <c r="W43" i="6"/>
  <c r="W57" i="6"/>
  <c r="CI86" i="6"/>
  <c r="W50" i="6"/>
  <c r="DO73" i="6"/>
  <c r="CY45" i="6"/>
  <c r="W49" i="6"/>
  <c r="CY73" i="6"/>
  <c r="Y48" i="6"/>
  <c r="Y47" i="6"/>
  <c r="Y74" i="6"/>
  <c r="CK68" i="6"/>
  <c r="CI70" i="6"/>
  <c r="Y63" i="6"/>
  <c r="DQ66" i="6"/>
  <c r="DO38" i="6"/>
  <c r="CY61" i="6"/>
  <c r="Y64" i="6"/>
  <c r="DQ72" i="6"/>
  <c r="DO97" i="6"/>
  <c r="DO78" i="6"/>
  <c r="DA83" i="6"/>
  <c r="DO92" i="6"/>
  <c r="W69" i="6"/>
  <c r="W83" i="6"/>
  <c r="Y97" i="6"/>
  <c r="DQ84" i="6"/>
  <c r="DQ74" i="6"/>
  <c r="CK73" i="6"/>
  <c r="Y84" i="6"/>
  <c r="Y78" i="6"/>
  <c r="CI68" i="6"/>
  <c r="Y44" i="6"/>
  <c r="CY55" i="6"/>
  <c r="Y76" i="6"/>
  <c r="CI40" i="6"/>
  <c r="CK55" i="6"/>
  <c r="CI47" i="6"/>
  <c r="CI69" i="6"/>
  <c r="CI46" i="6"/>
  <c r="CY67" i="6"/>
  <c r="CK45" i="6"/>
  <c r="CK44" i="6"/>
  <c r="CY63" i="6"/>
  <c r="DA100" i="6"/>
  <c r="DA81" i="6"/>
  <c r="DQ101" i="6"/>
  <c r="CY95" i="6"/>
  <c r="Y80" i="6"/>
  <c r="CI101" i="6"/>
  <c r="CI72" i="6"/>
  <c r="CK66" i="6"/>
  <c r="DO90" i="6"/>
  <c r="W63" i="6"/>
  <c r="CK78" i="6"/>
  <c r="CI76" i="6"/>
  <c r="CK41" i="6"/>
  <c r="Y53" i="6"/>
  <c r="Y72" i="6"/>
  <c r="CY88" i="6"/>
  <c r="CY69" i="6"/>
  <c r="DO44" i="6"/>
  <c r="DQ61" i="6"/>
  <c r="DA67" i="6"/>
  <c r="DO43" i="6"/>
  <c r="DO65" i="6"/>
  <c r="DQ42" i="6"/>
  <c r="CK67" i="6"/>
  <c r="DQ41" i="6"/>
  <c r="CI59" i="6"/>
  <c r="DQ69" i="6"/>
  <c r="CY53" i="6"/>
  <c r="CI53" i="6"/>
  <c r="CY49" i="6"/>
  <c r="DO46" i="6"/>
  <c r="DA47" i="6"/>
  <c r="DA43" i="6"/>
  <c r="Y81" i="6"/>
  <c r="DA68" i="6"/>
  <c r="DA41" i="6"/>
  <c r="CK50" i="6"/>
  <c r="DO60" i="6"/>
  <c r="CI65" i="6"/>
  <c r="W58" i="6"/>
  <c r="CY58" i="6"/>
  <c r="Y62" i="6"/>
  <c r="CI67" i="6"/>
  <c r="CY70" i="6"/>
  <c r="W68" i="6"/>
  <c r="DO70" i="6"/>
  <c r="DQ43" i="6"/>
  <c r="DQ70" i="6"/>
  <c r="DA56" i="6"/>
  <c r="CY86" i="6"/>
  <c r="CI88" i="6"/>
  <c r="DQ96" i="6"/>
  <c r="DA74" i="6"/>
  <c r="Y55" i="6"/>
  <c r="W75" i="6"/>
  <c r="DQ56" i="6"/>
  <c r="DQ71" i="6"/>
  <c r="CK98" i="6"/>
  <c r="CI84" i="6"/>
  <c r="DA71" i="6"/>
  <c r="DA93" i="6"/>
  <c r="DA84" i="6"/>
  <c r="DO79" i="6"/>
  <c r="DO98" i="6"/>
  <c r="Y86" i="6"/>
  <c r="Y73" i="6"/>
  <c r="DA49" i="6"/>
  <c r="CI42" i="6"/>
  <c r="DA76" i="6"/>
  <c r="Y69" i="6"/>
  <c r="DO71" i="6"/>
  <c r="W67" i="6"/>
  <c r="DA70" i="6"/>
  <c r="DO41" i="6"/>
  <c r="DQ76" i="6"/>
  <c r="CI73" i="6"/>
  <c r="DO51" i="6"/>
  <c r="CK46" i="6"/>
  <c r="CK74" i="6"/>
  <c r="DO52" i="6"/>
  <c r="CI87" i="6"/>
  <c r="DO45" i="6"/>
  <c r="DQ89" i="6"/>
  <c r="DA62" i="6"/>
  <c r="CY48" i="6"/>
  <c r="CK76" i="6"/>
  <c r="DA94" i="6"/>
  <c r="CK70" i="6"/>
  <c r="W76" i="6"/>
  <c r="DO56" i="6"/>
  <c r="CK79" i="6"/>
  <c r="DO58" i="6"/>
  <c r="DQ93" i="6"/>
  <c r="DO77" i="6"/>
  <c r="DA58" i="6"/>
  <c r="CY77" i="6"/>
  <c r="DA86" i="6"/>
  <c r="DO81" i="6"/>
  <c r="AC8" i="111"/>
  <c r="AA8" i="111" s="1"/>
  <c r="AC11" i="111"/>
  <c r="AA11" i="111" s="1"/>
  <c r="S45" i="1"/>
  <c r="AD6" i="111" s="1"/>
  <c r="S52" i="1"/>
  <c r="AD13" i="111" s="1"/>
  <c r="S47" i="1"/>
  <c r="AD8" i="111" s="1"/>
  <c r="AC6" i="111"/>
  <c r="AA6" i="111" s="1"/>
  <c r="AJ2" i="8"/>
  <c r="BE47" i="1"/>
  <c r="AC10" i="111"/>
  <c r="AI2" i="8"/>
  <c r="AQ51" i="1"/>
  <c r="AQ45" i="1"/>
  <c r="AS48" i="1" a="1"/>
  <c r="AS48" i="1" s="1"/>
  <c r="AP48" i="1"/>
  <c r="AP50" i="1"/>
  <c r="AP49" i="1"/>
  <c r="AR48" i="1"/>
  <c r="AQ47" i="1"/>
  <c r="BE48" i="1"/>
  <c r="AQ49" i="1"/>
  <c r="AS47" i="1" a="1"/>
  <c r="AS47" i="1" s="1"/>
  <c r="AS50" i="1" a="1"/>
  <c r="AS50" i="1" s="1"/>
  <c r="AQ50" i="1"/>
  <c r="AQ46" i="1"/>
  <c r="BF47" i="1"/>
  <c r="BF46" i="1"/>
  <c r="AR47" i="1"/>
  <c r="AS46" i="1" a="1"/>
  <c r="AS46" i="1" s="1"/>
  <c r="AR46" i="1"/>
  <c r="AR49" i="1"/>
  <c r="AP46" i="1"/>
  <c r="BE46" i="1"/>
  <c r="BE50" i="1"/>
  <c r="AR50" i="1"/>
  <c r="AM45" i="1"/>
  <c r="A4" i="254"/>
  <c r="AP51" i="1"/>
  <c r="AR51" i="1"/>
  <c r="BE49" i="1"/>
  <c r="BF51" i="1"/>
  <c r="BE51" i="1"/>
  <c r="AS49" i="1" a="1"/>
  <c r="AS49" i="1" s="1"/>
  <c r="AS51" i="1" a="1"/>
  <c r="AS51" i="1" s="1"/>
  <c r="O1" i="6" a="1"/>
  <c r="O1" i="6" s="1"/>
  <c r="M7" i="6"/>
  <c r="M8" i="6" s="1"/>
  <c r="M9" i="6" s="1"/>
  <c r="M10" i="6" s="1"/>
  <c r="M11" i="6" s="1"/>
  <c r="M12" i="6" s="1"/>
  <c r="M13" i="6" s="1"/>
  <c r="M14" i="6" s="1"/>
  <c r="M15" i="6" s="1"/>
  <c r="M16" i="6" s="1"/>
  <c r="M17" i="6" s="1"/>
  <c r="M18" i="6" s="1"/>
  <c r="M19" i="6" s="1"/>
  <c r="M20" i="6" s="1"/>
  <c r="M21" i="6" s="1"/>
  <c r="M22" i="6" s="1"/>
  <c r="M23" i="6" s="1"/>
  <c r="M24" i="6" s="1"/>
  <c r="M25" i="6" s="1"/>
  <c r="M26" i="6" s="1"/>
  <c r="M27" i="6" s="1"/>
  <c r="M28" i="6" s="1"/>
  <c r="M29" i="6" s="1"/>
  <c r="M30" i="6" s="1"/>
  <c r="M31" i="6" s="1"/>
  <c r="M32" i="6" s="1"/>
  <c r="M33" i="6" s="1"/>
  <c r="M34" i="6" s="1"/>
  <c r="M35" i="6" s="1"/>
  <c r="M36" i="6" s="1"/>
  <c r="M37" i="6" s="1"/>
  <c r="M38" i="6" s="1"/>
  <c r="M39" i="6" s="1"/>
  <c r="M40" i="6" s="1"/>
  <c r="M41" i="6" s="1"/>
  <c r="M42" i="6" s="1"/>
  <c r="M43" i="6" s="1"/>
  <c r="M44" i="6" s="1"/>
  <c r="M45" i="6" s="1"/>
  <c r="M46" i="6" s="1"/>
  <c r="M47" i="6" s="1"/>
  <c r="M48" i="6" s="1"/>
  <c r="M49" i="6" s="1"/>
  <c r="M50" i="6" s="1"/>
  <c r="M51" i="6" s="1"/>
  <c r="M52" i="6" s="1"/>
  <c r="M53" i="6" s="1"/>
  <c r="M54" i="6" s="1"/>
  <c r="M55" i="6" s="1"/>
  <c r="M56" i="6" s="1"/>
  <c r="M57" i="6" s="1"/>
  <c r="M58" i="6" s="1"/>
  <c r="M59" i="6" s="1"/>
  <c r="M60" i="6" s="1"/>
  <c r="M61" i="6" s="1"/>
  <c r="M62" i="6" s="1"/>
  <c r="M63" i="6" s="1"/>
  <c r="M64" i="6" s="1"/>
  <c r="M65" i="6" s="1"/>
  <c r="M66" i="6" s="1"/>
  <c r="M67" i="6" s="1"/>
  <c r="M68" i="6" s="1"/>
  <c r="M69" i="6" s="1"/>
  <c r="M70" i="6" s="1"/>
  <c r="M71" i="6" s="1"/>
  <c r="M72" i="6" s="1"/>
  <c r="M73" i="6" s="1"/>
  <c r="M74" i="6" s="1"/>
  <c r="M75" i="6" s="1"/>
  <c r="M76" i="6" s="1"/>
  <c r="M77" i="6" s="1"/>
  <c r="M78" i="6" s="1"/>
  <c r="M79" i="6" s="1"/>
  <c r="M80" i="6" s="1"/>
  <c r="M81" i="6" s="1"/>
  <c r="M82" i="6" s="1"/>
  <c r="M83" i="6" s="1"/>
  <c r="M84" i="6" s="1"/>
  <c r="M85" i="6" s="1"/>
  <c r="M86" i="6" s="1"/>
  <c r="M87" i="6" s="1"/>
  <c r="M88" i="6" s="1"/>
  <c r="M89" i="6" s="1"/>
  <c r="M90" i="6" s="1"/>
  <c r="M91" i="6" s="1"/>
  <c r="M92" i="6" s="1"/>
  <c r="M93" i="6" s="1"/>
  <c r="M94" i="6" s="1"/>
  <c r="M95" i="6" s="1"/>
  <c r="M96" i="6" s="1"/>
  <c r="M97" i="6" s="1"/>
  <c r="M98" i="6" s="1"/>
  <c r="M99" i="6" s="1"/>
  <c r="M100" i="6" s="1"/>
  <c r="M101" i="6" s="1"/>
  <c r="M102" i="6" s="1"/>
  <c r="M103" i="6" s="1"/>
  <c r="M104" i="6" s="1"/>
  <c r="M105" i="6" s="1"/>
  <c r="M106" i="6" s="1"/>
  <c r="M107" i="6" s="1"/>
  <c r="M108" i="6" s="1"/>
  <c r="M109" i="6" s="1"/>
  <c r="M110" i="6" s="1"/>
  <c r="M111" i="6" s="1"/>
  <c r="M112" i="6" s="1"/>
  <c r="M113" i="6" s="1"/>
  <c r="M114" i="6" s="1"/>
  <c r="M115" i="6" s="1"/>
  <c r="M116" i="6" s="1"/>
  <c r="M117" i="6" s="1"/>
  <c r="M118" i="6" s="1"/>
  <c r="M119" i="6" s="1"/>
  <c r="M120" i="6" s="1"/>
  <c r="M121" i="6" s="1"/>
  <c r="M122" i="6" s="1"/>
  <c r="M123" i="6" s="1"/>
  <c r="M124" i="6" s="1"/>
  <c r="M125" i="6" s="1"/>
  <c r="M126" i="6" s="1"/>
  <c r="M127" i="6" s="1"/>
  <c r="M128" i="6" s="1"/>
  <c r="M129" i="6" s="1"/>
  <c r="M130" i="6" s="1"/>
  <c r="M131" i="6" s="1"/>
  <c r="M132" i="6" s="1"/>
  <c r="M133" i="6" s="1"/>
  <c r="M134" i="6" s="1"/>
  <c r="M135" i="6" s="1"/>
  <c r="M136" i="6" s="1"/>
  <c r="M137" i="6" s="1"/>
  <c r="Q31" i="1"/>
  <c r="E24" i="373" s="1"/>
  <c r="AC7" i="111"/>
  <c r="AA7" i="111" s="1"/>
  <c r="S46" i="1"/>
  <c r="AD7" i="111" s="1"/>
  <c r="AI47" i="1"/>
  <c r="AC5" i="111"/>
  <c r="AA5" i="111" s="1"/>
  <c r="O49" i="1" a="1"/>
  <c r="O49" i="1" s="1"/>
  <c r="Q32" i="1"/>
  <c r="E31" i="373" s="1"/>
  <c r="S49" i="1"/>
  <c r="AD10" i="111" s="1"/>
  <c r="S44" i="1"/>
  <c r="AD5" i="111" s="1"/>
  <c r="I2" i="527" a="1"/>
  <c r="I2" i="527" s="1"/>
  <c r="G2" i="527" a="1"/>
  <c r="G2" i="527" s="1"/>
  <c r="F2" i="527" a="1"/>
  <c r="F2" i="527" s="1"/>
  <c r="E2" i="527" a="1"/>
  <c r="E2" i="527" s="1"/>
  <c r="D2" i="527" a="1"/>
  <c r="D2" i="527" s="1"/>
  <c r="C2" i="527" a="1"/>
  <c r="C2" i="527" s="1"/>
  <c r="B2" i="527" a="1"/>
  <c r="B2" i="527" s="1"/>
  <c r="A2" i="527" a="1"/>
  <c r="A2" i="527" s="1"/>
  <c r="L2" i="527" a="1"/>
  <c r="L2" i="527" s="1"/>
  <c r="J2" i="527" a="1"/>
  <c r="J2" i="527" s="1"/>
  <c r="H2" i="527" a="1"/>
  <c r="H2" i="527" s="1"/>
  <c r="K2" i="527" a="1"/>
  <c r="K2" i="527" s="1"/>
  <c r="H2" i="526" a="1"/>
  <c r="H2" i="526" s="1"/>
  <c r="G2" i="526" a="1"/>
  <c r="G2" i="526" s="1"/>
  <c r="A2" i="526" a="1"/>
  <c r="A2" i="526" s="1"/>
  <c r="J2" i="526" a="1"/>
  <c r="J2" i="526" s="1"/>
  <c r="I2" i="526" a="1"/>
  <c r="I2" i="526" s="1"/>
  <c r="B2" i="526" a="1"/>
  <c r="B2" i="526" s="1"/>
  <c r="K2" i="526" a="1"/>
  <c r="K2" i="526" s="1"/>
  <c r="C2" i="526" a="1"/>
  <c r="C2" i="526" s="1"/>
  <c r="L2" i="526" a="1"/>
  <c r="L2" i="526" s="1"/>
  <c r="D2" i="526" a="1"/>
  <c r="D2" i="526" s="1"/>
  <c r="M2" i="526" a="1"/>
  <c r="M2" i="526" s="1"/>
  <c r="E2" i="526" a="1"/>
  <c r="E2" i="526" s="1"/>
  <c r="N2" i="526" a="1"/>
  <c r="N2" i="526" s="1"/>
  <c r="F2" i="526" a="1"/>
  <c r="F2" i="526" s="1"/>
  <c r="C37" i="1"/>
  <c r="C39" i="1" s="1"/>
  <c r="C38" i="1" s="1"/>
  <c r="C36" i="1"/>
  <c r="EB7" i="520" l="1"/>
  <c r="EC7" i="520"/>
  <c r="EX7" i="520"/>
  <c r="EA7" i="520"/>
  <c r="DZ7" i="520"/>
  <c r="DY7" i="520"/>
  <c r="DX7" i="520"/>
  <c r="ET7" i="520"/>
  <c r="DW7" i="520"/>
  <c r="ES7" i="520"/>
  <c r="DV7" i="520"/>
  <c r="ER7" i="520"/>
  <c r="DU7" i="520"/>
  <c r="DT7" i="520"/>
  <c r="EP7" i="520"/>
  <c r="DS7" i="520"/>
  <c r="EO7" i="520"/>
  <c r="EH7" i="520"/>
  <c r="EG7" i="520"/>
  <c r="EE7" i="520"/>
  <c r="EJ7" i="520"/>
  <c r="ED7" i="520"/>
  <c r="FN7" i="520"/>
  <c r="EW7" i="520"/>
  <c r="EV7" i="520"/>
  <c r="EU7" i="520"/>
  <c r="FK7" i="520"/>
  <c r="EQ7" i="520"/>
  <c r="EN7" i="520"/>
  <c r="FI7" i="520"/>
  <c r="EM7" i="520"/>
  <c r="EL7" i="520"/>
  <c r="FG7" i="520"/>
  <c r="EK7" i="520"/>
  <c r="FF7" i="520"/>
  <c r="EI7" i="520"/>
  <c r="FD7" i="520"/>
  <c r="FC7" i="520"/>
  <c r="EF7" i="520"/>
  <c r="EZ7" i="520"/>
  <c r="FE7" i="520"/>
  <c r="FT7" i="520"/>
  <c r="FB7" i="520"/>
  <c r="FS7" i="520"/>
  <c r="FA7" i="520"/>
  <c r="FR7" i="520"/>
  <c r="EY7" i="520"/>
  <c r="FQ7" i="520"/>
  <c r="FP7" i="520"/>
  <c r="FO7" i="520"/>
  <c r="GD7" i="520"/>
  <c r="GC7" i="520"/>
  <c r="GB7" i="520"/>
  <c r="GA7" i="520"/>
  <c r="FZ7" i="520"/>
  <c r="FY7" i="520"/>
  <c r="FM7" i="520"/>
  <c r="FX7" i="520"/>
  <c r="FL7" i="520"/>
  <c r="FW7" i="520"/>
  <c r="FJ7" i="520"/>
  <c r="FV7" i="520"/>
  <c r="FH7" i="520"/>
  <c r="FU7" i="520"/>
  <c r="DZ25" i="520"/>
  <c r="DY25" i="520"/>
  <c r="DX25" i="520"/>
  <c r="DW25" i="520"/>
  <c r="DV25" i="520"/>
  <c r="DU25" i="520"/>
  <c r="DT25" i="520"/>
  <c r="DS25" i="520"/>
  <c r="EH25" i="520"/>
  <c r="EG25" i="520"/>
  <c r="EF25" i="520"/>
  <c r="EE25" i="520"/>
  <c r="ED25" i="520"/>
  <c r="EC25" i="520"/>
  <c r="EB25" i="520"/>
  <c r="ER25" i="520"/>
  <c r="EA25" i="520"/>
  <c r="EU25" i="520"/>
  <c r="ET25" i="520"/>
  <c r="ES25" i="520"/>
  <c r="EQ25" i="520"/>
  <c r="EP25" i="520"/>
  <c r="EO25" i="520"/>
  <c r="FI25" i="520"/>
  <c r="EN25" i="520"/>
  <c r="EM25" i="520"/>
  <c r="EL25" i="520"/>
  <c r="FF25" i="520"/>
  <c r="EK25" i="520"/>
  <c r="FE25" i="520"/>
  <c r="EJ25" i="520"/>
  <c r="EI25" i="520"/>
  <c r="EW25" i="520"/>
  <c r="EY25" i="520"/>
  <c r="GD25" i="520"/>
  <c r="FN25" i="520"/>
  <c r="GA25" i="520"/>
  <c r="FM25" i="520"/>
  <c r="EX25" i="520"/>
  <c r="FL25" i="520"/>
  <c r="FY25" i="520"/>
  <c r="EV25" i="520"/>
  <c r="FK25" i="520"/>
  <c r="FJ25" i="520"/>
  <c r="FH25" i="520"/>
  <c r="FG25" i="520"/>
  <c r="FD25" i="520"/>
  <c r="FT25" i="520"/>
  <c r="FC25" i="520"/>
  <c r="FA25" i="520"/>
  <c r="EZ25" i="520"/>
  <c r="FP25" i="520"/>
  <c r="FZ25" i="520"/>
  <c r="FX25" i="520"/>
  <c r="FW25" i="520"/>
  <c r="FV25" i="520"/>
  <c r="FU25" i="520"/>
  <c r="FS25" i="520"/>
  <c r="FR25" i="520"/>
  <c r="FQ25" i="520"/>
  <c r="FO25" i="520"/>
  <c r="GC25" i="520"/>
  <c r="FB25" i="520"/>
  <c r="GB25" i="520"/>
  <c r="DZ27" i="520"/>
  <c r="DY27" i="520"/>
  <c r="DX27" i="520"/>
  <c r="DW27" i="520"/>
  <c r="DV27" i="520"/>
  <c r="DU27" i="520"/>
  <c r="DT27" i="520"/>
  <c r="DS27" i="520"/>
  <c r="EH27" i="520"/>
  <c r="EG27" i="520"/>
  <c r="EF27" i="520"/>
  <c r="EE27" i="520"/>
  <c r="ED27" i="520"/>
  <c r="EC27" i="520"/>
  <c r="EB27" i="520"/>
  <c r="ER27" i="520"/>
  <c r="EA27" i="520"/>
  <c r="EX27" i="520"/>
  <c r="EW27" i="520"/>
  <c r="EV27" i="520"/>
  <c r="EU27" i="520"/>
  <c r="FJ27" i="520"/>
  <c r="ET27" i="520"/>
  <c r="FI27" i="520"/>
  <c r="ES27" i="520"/>
  <c r="EQ27" i="520"/>
  <c r="EP27" i="520"/>
  <c r="FF27" i="520"/>
  <c r="EO27" i="520"/>
  <c r="FE27" i="520"/>
  <c r="EN27" i="520"/>
  <c r="EM27" i="520"/>
  <c r="EL27" i="520"/>
  <c r="EJ27" i="520"/>
  <c r="EK27" i="520"/>
  <c r="EI27" i="520"/>
  <c r="GD27" i="520"/>
  <c r="FN27" i="520"/>
  <c r="FM27" i="520"/>
  <c r="GA27" i="520"/>
  <c r="FL27" i="520"/>
  <c r="FK27" i="520"/>
  <c r="FY27" i="520"/>
  <c r="FH27" i="520"/>
  <c r="FG27" i="520"/>
  <c r="FW27" i="520"/>
  <c r="FD27" i="520"/>
  <c r="FV27" i="520"/>
  <c r="FC27" i="520"/>
  <c r="FB27" i="520"/>
  <c r="FT27" i="520"/>
  <c r="FA27" i="520"/>
  <c r="FS27" i="520"/>
  <c r="EY27" i="520"/>
  <c r="FP27" i="520"/>
  <c r="FU27" i="520"/>
  <c r="FR27" i="520"/>
  <c r="FQ27" i="520"/>
  <c r="FO27" i="520"/>
  <c r="EZ27" i="520"/>
  <c r="GC27" i="520"/>
  <c r="GB27" i="520"/>
  <c r="FZ27" i="520"/>
  <c r="FX27" i="520"/>
  <c r="EB11" i="520"/>
  <c r="ER11" i="520"/>
  <c r="DT11" i="520"/>
  <c r="DS11" i="520"/>
  <c r="EH11" i="520"/>
  <c r="EG11" i="520"/>
  <c r="EU11" i="520"/>
  <c r="EF11" i="520"/>
  <c r="ET11" i="520"/>
  <c r="EE11" i="520"/>
  <c r="ES11" i="520"/>
  <c r="ED11" i="520"/>
  <c r="EC11" i="520"/>
  <c r="EP11" i="520"/>
  <c r="EA11" i="520"/>
  <c r="EO11" i="520"/>
  <c r="DZ11" i="520"/>
  <c r="DY11" i="520"/>
  <c r="DX11" i="520"/>
  <c r="DV11" i="520"/>
  <c r="EJ11" i="520"/>
  <c r="DU11" i="520"/>
  <c r="EL11" i="520"/>
  <c r="EK11" i="520"/>
  <c r="FN11" i="520"/>
  <c r="EI11" i="520"/>
  <c r="FK11" i="520"/>
  <c r="FI11" i="520"/>
  <c r="DW11" i="520"/>
  <c r="FG11" i="520"/>
  <c r="FF11" i="520"/>
  <c r="EX11" i="520"/>
  <c r="EW11" i="520"/>
  <c r="FD11" i="520"/>
  <c r="EV11" i="520"/>
  <c r="FC11" i="520"/>
  <c r="EQ11" i="520"/>
  <c r="EN11" i="520"/>
  <c r="EM11" i="520"/>
  <c r="EZ11" i="520"/>
  <c r="FE11" i="520"/>
  <c r="FT11" i="520"/>
  <c r="FB11" i="520"/>
  <c r="FS11" i="520"/>
  <c r="FA11" i="520"/>
  <c r="FR11" i="520"/>
  <c r="EY11" i="520"/>
  <c r="FQ11" i="520"/>
  <c r="FP11" i="520"/>
  <c r="FO11" i="520"/>
  <c r="GD11" i="520"/>
  <c r="GC11" i="520"/>
  <c r="GB11" i="520"/>
  <c r="GA11" i="520"/>
  <c r="FZ11" i="520"/>
  <c r="FY11" i="520"/>
  <c r="FM11" i="520"/>
  <c r="FX11" i="520"/>
  <c r="FL11" i="520"/>
  <c r="FW11" i="520"/>
  <c r="FJ11" i="520"/>
  <c r="FV11" i="520"/>
  <c r="FH11" i="520"/>
  <c r="FU11" i="520"/>
  <c r="DZ20" i="520"/>
  <c r="DY20" i="520"/>
  <c r="DX20" i="520"/>
  <c r="DW20" i="520"/>
  <c r="DV20" i="520"/>
  <c r="DU20" i="520"/>
  <c r="DT20" i="520"/>
  <c r="DS20" i="520"/>
  <c r="EH20" i="520"/>
  <c r="EG20" i="520"/>
  <c r="EF20" i="520"/>
  <c r="EE20" i="520"/>
  <c r="ED20" i="520"/>
  <c r="EC20" i="520"/>
  <c r="EB20" i="520"/>
  <c r="ER20" i="520"/>
  <c r="EA20" i="520"/>
  <c r="EJ20" i="520"/>
  <c r="EI20" i="520"/>
  <c r="EX20" i="520"/>
  <c r="EW20" i="520"/>
  <c r="EV20" i="520"/>
  <c r="FI20" i="520"/>
  <c r="EU20" i="520"/>
  <c r="ET20" i="520"/>
  <c r="ES20" i="520"/>
  <c r="EQ20" i="520"/>
  <c r="EO20" i="520"/>
  <c r="EN20" i="520"/>
  <c r="EL20" i="520"/>
  <c r="FA20" i="520"/>
  <c r="EZ20" i="520"/>
  <c r="GD20" i="520"/>
  <c r="EY20" i="520"/>
  <c r="FN20" i="520"/>
  <c r="GA20" i="520"/>
  <c r="FL20" i="520"/>
  <c r="FY20" i="520"/>
  <c r="FJ20" i="520"/>
  <c r="FH20" i="520"/>
  <c r="FG20" i="520"/>
  <c r="EP20" i="520"/>
  <c r="FF20" i="520"/>
  <c r="EM20" i="520"/>
  <c r="FE20" i="520"/>
  <c r="EK20" i="520"/>
  <c r="FB20" i="520"/>
  <c r="FM20" i="520"/>
  <c r="FV20" i="520"/>
  <c r="FK20" i="520"/>
  <c r="FU20" i="520"/>
  <c r="FD20" i="520"/>
  <c r="FT20" i="520"/>
  <c r="FC20" i="520"/>
  <c r="FS20" i="520"/>
  <c r="FR20" i="520"/>
  <c r="FQ20" i="520"/>
  <c r="FP20" i="520"/>
  <c r="FO20" i="520"/>
  <c r="GC20" i="520"/>
  <c r="GB20" i="520"/>
  <c r="FZ20" i="520"/>
  <c r="FX20" i="520"/>
  <c r="FW20" i="520"/>
  <c r="DZ19" i="520"/>
  <c r="DY19" i="520"/>
  <c r="DX19" i="520"/>
  <c r="DW19" i="520"/>
  <c r="DV19" i="520"/>
  <c r="DU19" i="520"/>
  <c r="DT19" i="520"/>
  <c r="DS19" i="520"/>
  <c r="EH19" i="520"/>
  <c r="EG19" i="520"/>
  <c r="EF19" i="520"/>
  <c r="EE19" i="520"/>
  <c r="ED19" i="520"/>
  <c r="EC19" i="520"/>
  <c r="EB19" i="520"/>
  <c r="ER19" i="520"/>
  <c r="EA19" i="520"/>
  <c r="EX19" i="520"/>
  <c r="EV19" i="520"/>
  <c r="EU19" i="520"/>
  <c r="ET19" i="520"/>
  <c r="FI19" i="520"/>
  <c r="ES19" i="520"/>
  <c r="EP19" i="520"/>
  <c r="EO19" i="520"/>
  <c r="EM19" i="520"/>
  <c r="EL19" i="520"/>
  <c r="EJ19" i="520"/>
  <c r="EY19" i="520"/>
  <c r="EW19" i="520"/>
  <c r="EQ19" i="520"/>
  <c r="FN19" i="520"/>
  <c r="EN19" i="520"/>
  <c r="FM19" i="520"/>
  <c r="EK19" i="520"/>
  <c r="FL19" i="520"/>
  <c r="EI19" i="520"/>
  <c r="FJ19" i="520"/>
  <c r="FG19" i="520"/>
  <c r="FF19" i="520"/>
  <c r="FD19" i="520"/>
  <c r="FC19" i="520"/>
  <c r="EZ19" i="520"/>
  <c r="FT19" i="520"/>
  <c r="FS19" i="520"/>
  <c r="FR19" i="520"/>
  <c r="FQ19" i="520"/>
  <c r="FP19" i="520"/>
  <c r="FO19" i="520"/>
  <c r="GD19" i="520"/>
  <c r="GC19" i="520"/>
  <c r="FK19" i="520"/>
  <c r="GB19" i="520"/>
  <c r="FH19" i="520"/>
  <c r="GA19" i="520"/>
  <c r="FE19" i="520"/>
  <c r="FZ19" i="520"/>
  <c r="FB19" i="520"/>
  <c r="FY19" i="520"/>
  <c r="FA19" i="520"/>
  <c r="FX19" i="520"/>
  <c r="FW19" i="520"/>
  <c r="FV19" i="520"/>
  <c r="FU19" i="520"/>
  <c r="AS45" i="1" a="1"/>
  <c r="AS45" i="1" s="1"/>
  <c r="AU45" i="1" a="1"/>
  <c r="AU45" i="1" s="1"/>
  <c r="AT45" i="1" a="1"/>
  <c r="AT45" i="1" s="1"/>
  <c r="EB4" i="520"/>
  <c r="DV4" i="520"/>
  <c r="DU4" i="520"/>
  <c r="DT4" i="520"/>
  <c r="DS4" i="520"/>
  <c r="ET4" i="520"/>
  <c r="EH4" i="520"/>
  <c r="ES4" i="520"/>
  <c r="EG4" i="520"/>
  <c r="ER4" i="520"/>
  <c r="EF4" i="520"/>
  <c r="EE4" i="520"/>
  <c r="EP4" i="520"/>
  <c r="ED4" i="520"/>
  <c r="EO4" i="520"/>
  <c r="EC4" i="520"/>
  <c r="EA4" i="520"/>
  <c r="DZ4" i="520"/>
  <c r="DX4" i="520"/>
  <c r="EJ4" i="520"/>
  <c r="EK4" i="520"/>
  <c r="EI4" i="520"/>
  <c r="FN4" i="520"/>
  <c r="FK4" i="520"/>
  <c r="FI4" i="520"/>
  <c r="DY4" i="520"/>
  <c r="EX4" i="520"/>
  <c r="FG4" i="520"/>
  <c r="DW4" i="520"/>
  <c r="EW4" i="520"/>
  <c r="FF4" i="520"/>
  <c r="EV4" i="520"/>
  <c r="EU4" i="520"/>
  <c r="FD4" i="520"/>
  <c r="EQ4" i="520"/>
  <c r="FC4" i="520"/>
  <c r="EM4" i="520"/>
  <c r="EL4" i="520"/>
  <c r="EZ4" i="520"/>
  <c r="FE4" i="520"/>
  <c r="FT4" i="520"/>
  <c r="FB4" i="520"/>
  <c r="FS4" i="520"/>
  <c r="FA4" i="520"/>
  <c r="FR4" i="520"/>
  <c r="EY4" i="520"/>
  <c r="FQ4" i="520"/>
  <c r="FP4" i="520"/>
  <c r="FO4" i="520"/>
  <c r="GD4" i="520"/>
  <c r="GC4" i="520"/>
  <c r="GB4" i="520"/>
  <c r="EN4" i="520"/>
  <c r="GA4" i="520"/>
  <c r="FZ4" i="520"/>
  <c r="FY4" i="520"/>
  <c r="FM4" i="520"/>
  <c r="FX4" i="520"/>
  <c r="FL4" i="520"/>
  <c r="FW4" i="520"/>
  <c r="FJ4" i="520"/>
  <c r="FV4" i="520"/>
  <c r="FH4" i="520"/>
  <c r="FU4" i="520"/>
  <c r="DZ15" i="520"/>
  <c r="DY15" i="520"/>
  <c r="DX15" i="520"/>
  <c r="DW15" i="520"/>
  <c r="DV15" i="520"/>
  <c r="DU15" i="520"/>
  <c r="DT15" i="520"/>
  <c r="DS15" i="520"/>
  <c r="EH15" i="520"/>
  <c r="EG15" i="520"/>
  <c r="EF15" i="520"/>
  <c r="EE15" i="520"/>
  <c r="ED15" i="520"/>
  <c r="EC15" i="520"/>
  <c r="EB15" i="520"/>
  <c r="ER15" i="520"/>
  <c r="EA15" i="520"/>
  <c r="EP15" i="520"/>
  <c r="EM15" i="520"/>
  <c r="EL15" i="520"/>
  <c r="EK15" i="520"/>
  <c r="EJ15" i="520"/>
  <c r="EX15" i="520"/>
  <c r="EU15" i="520"/>
  <c r="ES15" i="520"/>
  <c r="EO15" i="520"/>
  <c r="EN15" i="520"/>
  <c r="FN15" i="520"/>
  <c r="EI15" i="520"/>
  <c r="FK15" i="520"/>
  <c r="FI15" i="520"/>
  <c r="FG15" i="520"/>
  <c r="FF15" i="520"/>
  <c r="FD15" i="520"/>
  <c r="EW15" i="520"/>
  <c r="FC15" i="520"/>
  <c r="EV15" i="520"/>
  <c r="ET15" i="520"/>
  <c r="EQ15" i="520"/>
  <c r="EZ15" i="520"/>
  <c r="FE15" i="520"/>
  <c r="FT15" i="520"/>
  <c r="FB15" i="520"/>
  <c r="FS15" i="520"/>
  <c r="FA15" i="520"/>
  <c r="FR15" i="520"/>
  <c r="EY15" i="520"/>
  <c r="FQ15" i="520"/>
  <c r="FP15" i="520"/>
  <c r="FO15" i="520"/>
  <c r="GD15" i="520"/>
  <c r="GC15" i="520"/>
  <c r="GB15" i="520"/>
  <c r="GA15" i="520"/>
  <c r="FZ15" i="520"/>
  <c r="FY15" i="520"/>
  <c r="FM15" i="520"/>
  <c r="FX15" i="520"/>
  <c r="FL15" i="520"/>
  <c r="FW15" i="520"/>
  <c r="FJ15" i="520"/>
  <c r="FV15" i="520"/>
  <c r="FH15" i="520"/>
  <c r="FU15" i="520"/>
  <c r="DZ24" i="520"/>
  <c r="DY24" i="520"/>
  <c r="DX24" i="520"/>
  <c r="DW24" i="520"/>
  <c r="DV24" i="520"/>
  <c r="DU24" i="520"/>
  <c r="DT24" i="520"/>
  <c r="DS24" i="520"/>
  <c r="EH24" i="520"/>
  <c r="EG24" i="520"/>
  <c r="EF24" i="520"/>
  <c r="EE24" i="520"/>
  <c r="ED24" i="520"/>
  <c r="EC24" i="520"/>
  <c r="EB24" i="520"/>
  <c r="ER24" i="520"/>
  <c r="EA24" i="520"/>
  <c r="ES24" i="520"/>
  <c r="EQ24" i="520"/>
  <c r="EP24" i="520"/>
  <c r="EO24" i="520"/>
  <c r="EN24" i="520"/>
  <c r="EM24" i="520"/>
  <c r="FI24" i="520"/>
  <c r="EL24" i="520"/>
  <c r="EK24" i="520"/>
  <c r="EJ24" i="520"/>
  <c r="EI24" i="520"/>
  <c r="FE24" i="520"/>
  <c r="EX24" i="520"/>
  <c r="EW24" i="520"/>
  <c r="EU24" i="520"/>
  <c r="FL24" i="520"/>
  <c r="FK24" i="520"/>
  <c r="GD24" i="520"/>
  <c r="FJ24" i="520"/>
  <c r="FH24" i="520"/>
  <c r="FG24" i="520"/>
  <c r="GA24" i="520"/>
  <c r="FF24" i="520"/>
  <c r="FD24" i="520"/>
  <c r="FY24" i="520"/>
  <c r="FC24" i="520"/>
  <c r="FB24" i="520"/>
  <c r="FA24" i="520"/>
  <c r="EV24" i="520"/>
  <c r="EZ24" i="520"/>
  <c r="ET24" i="520"/>
  <c r="EY24" i="520"/>
  <c r="FN24" i="520"/>
  <c r="FM24" i="520"/>
  <c r="FP24" i="520"/>
  <c r="FO24" i="520"/>
  <c r="GC24" i="520"/>
  <c r="GB24" i="520"/>
  <c r="FZ24" i="520"/>
  <c r="FX24" i="520"/>
  <c r="FW24" i="520"/>
  <c r="FV24" i="520"/>
  <c r="FU24" i="520"/>
  <c r="FT24" i="520"/>
  <c r="FS24" i="520"/>
  <c r="FR24" i="520"/>
  <c r="FQ24" i="520"/>
  <c r="EB5" i="520"/>
  <c r="DX5" i="520"/>
  <c r="EX5" i="520"/>
  <c r="DW5" i="520"/>
  <c r="DV5" i="520"/>
  <c r="DU5" i="520"/>
  <c r="DT5" i="520"/>
  <c r="ET5" i="520"/>
  <c r="DS5" i="520"/>
  <c r="ES5" i="520"/>
  <c r="ER5" i="520"/>
  <c r="EH5" i="520"/>
  <c r="EG5" i="520"/>
  <c r="EP5" i="520"/>
  <c r="EF5" i="520"/>
  <c r="EO5" i="520"/>
  <c r="EE5" i="520"/>
  <c r="ED5" i="520"/>
  <c r="EC5" i="520"/>
  <c r="DZ5" i="520"/>
  <c r="EJ5" i="520"/>
  <c r="FN5" i="520"/>
  <c r="EA5" i="520"/>
  <c r="FK5" i="520"/>
  <c r="DY5" i="520"/>
  <c r="EW5" i="520"/>
  <c r="FI5" i="520"/>
  <c r="EV5" i="520"/>
  <c r="EU5" i="520"/>
  <c r="FG5" i="520"/>
  <c r="EQ5" i="520"/>
  <c r="FF5" i="520"/>
  <c r="EN5" i="520"/>
  <c r="EM5" i="520"/>
  <c r="FD5" i="520"/>
  <c r="EL5" i="520"/>
  <c r="FC5" i="520"/>
  <c r="EI5" i="520"/>
  <c r="EZ5" i="520"/>
  <c r="FE5" i="520"/>
  <c r="FT5" i="520"/>
  <c r="FB5" i="520"/>
  <c r="FS5" i="520"/>
  <c r="FA5" i="520"/>
  <c r="FR5" i="520"/>
  <c r="EY5" i="520"/>
  <c r="FQ5" i="520"/>
  <c r="FP5" i="520"/>
  <c r="FO5" i="520"/>
  <c r="GD5" i="520"/>
  <c r="GC5" i="520"/>
  <c r="EK5" i="520"/>
  <c r="GB5" i="520"/>
  <c r="GA5" i="520"/>
  <c r="FZ5" i="520"/>
  <c r="FY5" i="520"/>
  <c r="FM5" i="520"/>
  <c r="FX5" i="520"/>
  <c r="FL5" i="520"/>
  <c r="FW5" i="520"/>
  <c r="FJ5" i="520"/>
  <c r="FV5" i="520"/>
  <c r="FH5" i="520"/>
  <c r="FU5" i="520"/>
  <c r="EB9" i="520"/>
  <c r="EG9" i="520"/>
  <c r="EX9" i="520"/>
  <c r="EF9" i="520"/>
  <c r="EE9" i="520"/>
  <c r="ED9" i="520"/>
  <c r="EC9" i="520"/>
  <c r="ET9" i="520"/>
  <c r="EA9" i="520"/>
  <c r="ES9" i="520"/>
  <c r="DZ9" i="520"/>
  <c r="ER9" i="520"/>
  <c r="DY9" i="520"/>
  <c r="DX9" i="520"/>
  <c r="EP9" i="520"/>
  <c r="DW9" i="520"/>
  <c r="EO9" i="520"/>
  <c r="DV9" i="520"/>
  <c r="DU9" i="520"/>
  <c r="DT9" i="520"/>
  <c r="EJ9" i="520"/>
  <c r="EH9" i="520"/>
  <c r="EU9" i="520"/>
  <c r="EQ9" i="520"/>
  <c r="FN9" i="520"/>
  <c r="EN9" i="520"/>
  <c r="EM9" i="520"/>
  <c r="EL9" i="520"/>
  <c r="FK9" i="520"/>
  <c r="EK9" i="520"/>
  <c r="EI9" i="520"/>
  <c r="FI9" i="520"/>
  <c r="FG9" i="520"/>
  <c r="FF9" i="520"/>
  <c r="FD9" i="520"/>
  <c r="DS9" i="520"/>
  <c r="FC9" i="520"/>
  <c r="EW9" i="520"/>
  <c r="EV9" i="520"/>
  <c r="EZ9" i="520"/>
  <c r="FE9" i="520"/>
  <c r="FT9" i="520"/>
  <c r="FB9" i="520"/>
  <c r="FS9" i="520"/>
  <c r="FA9" i="520"/>
  <c r="FR9" i="520"/>
  <c r="EY9" i="520"/>
  <c r="FQ9" i="520"/>
  <c r="FP9" i="520"/>
  <c r="FO9" i="520"/>
  <c r="GD9" i="520"/>
  <c r="GC9" i="520"/>
  <c r="GB9" i="520"/>
  <c r="GA9" i="520"/>
  <c r="FZ9" i="520"/>
  <c r="FY9" i="520"/>
  <c r="FM9" i="520"/>
  <c r="FX9" i="520"/>
  <c r="FL9" i="520"/>
  <c r="FW9" i="520"/>
  <c r="FJ9" i="520"/>
  <c r="FV9" i="520"/>
  <c r="FH9" i="520"/>
  <c r="FU9" i="520"/>
  <c r="DZ28" i="520"/>
  <c r="DY28" i="520"/>
  <c r="DX28" i="520"/>
  <c r="DW28" i="520"/>
  <c r="DV28" i="520"/>
  <c r="DU28" i="520"/>
  <c r="DT28" i="520"/>
  <c r="DS28" i="520"/>
  <c r="EH28" i="520"/>
  <c r="EG28" i="520"/>
  <c r="EF28" i="520"/>
  <c r="EE28" i="520"/>
  <c r="ED28" i="520"/>
  <c r="EC28" i="520"/>
  <c r="EB28" i="520"/>
  <c r="ER28" i="520"/>
  <c r="EA28" i="520"/>
  <c r="EJ28" i="520"/>
  <c r="EI28" i="520"/>
  <c r="EX28" i="520"/>
  <c r="EW28" i="520"/>
  <c r="FJ28" i="520"/>
  <c r="EV28" i="520"/>
  <c r="FI28" i="520"/>
  <c r="EU28" i="520"/>
  <c r="ET28" i="520"/>
  <c r="ES28" i="520"/>
  <c r="FF28" i="520"/>
  <c r="EQ28" i="520"/>
  <c r="FE28" i="520"/>
  <c r="EP28" i="520"/>
  <c r="EO28" i="520"/>
  <c r="EN28" i="520"/>
  <c r="EL28" i="520"/>
  <c r="EZ28" i="520"/>
  <c r="FH28" i="520"/>
  <c r="FG28" i="520"/>
  <c r="GD28" i="520"/>
  <c r="FD28" i="520"/>
  <c r="FC28" i="520"/>
  <c r="FB28" i="520"/>
  <c r="GA28" i="520"/>
  <c r="FA28" i="520"/>
  <c r="EY28" i="520"/>
  <c r="FY28" i="520"/>
  <c r="FW28" i="520"/>
  <c r="FV28" i="520"/>
  <c r="FT28" i="520"/>
  <c r="EM28" i="520"/>
  <c r="FN28" i="520"/>
  <c r="FS28" i="520"/>
  <c r="EK28" i="520"/>
  <c r="FL28" i="520"/>
  <c r="FK28" i="520"/>
  <c r="FP28" i="520"/>
  <c r="FU28" i="520"/>
  <c r="FR28" i="520"/>
  <c r="FQ28" i="520"/>
  <c r="FO28" i="520"/>
  <c r="FM28" i="520"/>
  <c r="GC28" i="520"/>
  <c r="GB28" i="520"/>
  <c r="FZ28" i="520"/>
  <c r="FX28" i="520"/>
  <c r="EB12" i="520"/>
  <c r="IZ12" i="520" s="1"/>
  <c r="ER12" i="520"/>
  <c r="DV12" i="520"/>
  <c r="EJ12" i="520"/>
  <c r="DU12" i="520"/>
  <c r="DT12" i="520"/>
  <c r="DS12" i="520"/>
  <c r="IQ12" i="520" s="1"/>
  <c r="EW12" i="520"/>
  <c r="EH12" i="520"/>
  <c r="EV12" i="520"/>
  <c r="EG12" i="520"/>
  <c r="JE12" i="520" s="1"/>
  <c r="EU12" i="520"/>
  <c r="JS12" i="520" s="1"/>
  <c r="EF12" i="520"/>
  <c r="JD12" i="520" s="1"/>
  <c r="EE12" i="520"/>
  <c r="JC12" i="520" s="1"/>
  <c r="ES12" i="520"/>
  <c r="JQ12" i="520" s="1"/>
  <c r="ED12" i="520"/>
  <c r="JB12" i="520" s="1"/>
  <c r="EQ12" i="520"/>
  <c r="JO12" i="520" s="1"/>
  <c r="EC12" i="520"/>
  <c r="EA12" i="520"/>
  <c r="IY12" i="520" s="1"/>
  <c r="DZ12" i="520"/>
  <c r="DX12" i="520"/>
  <c r="EL12" i="520"/>
  <c r="DW12" i="520"/>
  <c r="EK12" i="520"/>
  <c r="EI12" i="520"/>
  <c r="FN12" i="520"/>
  <c r="FK12" i="520"/>
  <c r="KI12" i="520" s="1"/>
  <c r="DY12" i="520"/>
  <c r="IW12" i="520" s="1"/>
  <c r="FI12" i="520"/>
  <c r="KG12" i="520" s="1"/>
  <c r="FG12" i="520"/>
  <c r="KE12" i="520" s="1"/>
  <c r="FF12" i="520"/>
  <c r="KD12" i="520" s="1"/>
  <c r="EX12" i="520"/>
  <c r="ET12" i="520"/>
  <c r="JR12" i="520" s="1"/>
  <c r="FD12" i="520"/>
  <c r="EP12" i="520"/>
  <c r="FC12" i="520"/>
  <c r="EO12" i="520"/>
  <c r="EN12" i="520"/>
  <c r="JL12" i="520" s="1"/>
  <c r="EM12" i="520"/>
  <c r="EZ12" i="520"/>
  <c r="JX12" i="520" s="1"/>
  <c r="FE12" i="520"/>
  <c r="FT12" i="520"/>
  <c r="KR12" i="520" s="1"/>
  <c r="FB12" i="520"/>
  <c r="JZ12" i="520" s="1"/>
  <c r="FS12" i="520"/>
  <c r="KQ12" i="520" s="1"/>
  <c r="FA12" i="520"/>
  <c r="JY12" i="520" s="1"/>
  <c r="FR12" i="520"/>
  <c r="KP12" i="520" s="1"/>
  <c r="EY12" i="520"/>
  <c r="JW12" i="520" s="1"/>
  <c r="FQ12" i="520"/>
  <c r="FP12" i="520"/>
  <c r="KN12" i="520" s="1"/>
  <c r="FO12" i="520"/>
  <c r="GD12" i="520"/>
  <c r="GC12" i="520"/>
  <c r="GB12" i="520"/>
  <c r="GA12" i="520"/>
  <c r="FZ12" i="520"/>
  <c r="KX12" i="520" s="1"/>
  <c r="FY12" i="520"/>
  <c r="FM12" i="520"/>
  <c r="FX12" i="520"/>
  <c r="FL12" i="520"/>
  <c r="KJ12" i="520" s="1"/>
  <c r="FW12" i="520"/>
  <c r="KU12" i="520" s="1"/>
  <c r="FJ12" i="520"/>
  <c r="KH12" i="520" s="1"/>
  <c r="FV12" i="520"/>
  <c r="KT12" i="520" s="1"/>
  <c r="FH12" i="520"/>
  <c r="KF12" i="520" s="1"/>
  <c r="FU12" i="520"/>
  <c r="DZ14" i="520"/>
  <c r="DY14" i="520"/>
  <c r="DX14" i="520"/>
  <c r="DW14" i="520"/>
  <c r="DV14" i="520"/>
  <c r="DU14" i="520"/>
  <c r="DT14" i="520"/>
  <c r="DS14" i="520"/>
  <c r="EH14" i="520"/>
  <c r="EG14" i="520"/>
  <c r="EF14" i="520"/>
  <c r="EE14" i="520"/>
  <c r="ED14" i="520"/>
  <c r="EC14" i="520"/>
  <c r="EB14" i="520"/>
  <c r="ER14" i="520"/>
  <c r="EA14" i="520"/>
  <c r="EN14" i="520"/>
  <c r="EJ14" i="520"/>
  <c r="EI14" i="520"/>
  <c r="EW14" i="520"/>
  <c r="EV14" i="520"/>
  <c r="ES14" i="520"/>
  <c r="EP14" i="520"/>
  <c r="EK14" i="520"/>
  <c r="FN14" i="520"/>
  <c r="FK14" i="520"/>
  <c r="FI14" i="520"/>
  <c r="FG14" i="520"/>
  <c r="EX14" i="520"/>
  <c r="FF14" i="520"/>
  <c r="EU14" i="520"/>
  <c r="ET14" i="520"/>
  <c r="FD14" i="520"/>
  <c r="EQ14" i="520"/>
  <c r="FC14" i="520"/>
  <c r="EO14" i="520"/>
  <c r="EM14" i="520"/>
  <c r="EL14" i="520"/>
  <c r="EZ14" i="520"/>
  <c r="FE14" i="520"/>
  <c r="FT14" i="520"/>
  <c r="FB14" i="520"/>
  <c r="FS14" i="520"/>
  <c r="FA14" i="520"/>
  <c r="FR14" i="520"/>
  <c r="EY14" i="520"/>
  <c r="FQ14" i="520"/>
  <c r="FP14" i="520"/>
  <c r="FO14" i="520"/>
  <c r="GD14" i="520"/>
  <c r="GC14" i="520"/>
  <c r="GB14" i="520"/>
  <c r="GA14" i="520"/>
  <c r="FZ14" i="520"/>
  <c r="FY14" i="520"/>
  <c r="FM14" i="520"/>
  <c r="FX14" i="520"/>
  <c r="FL14" i="520"/>
  <c r="FW14" i="520"/>
  <c r="FJ14" i="520"/>
  <c r="FV14" i="520"/>
  <c r="FH14" i="520"/>
  <c r="FU14" i="520"/>
  <c r="DZ21" i="520"/>
  <c r="DY21" i="520"/>
  <c r="DX21" i="520"/>
  <c r="DW21" i="520"/>
  <c r="DV21" i="520"/>
  <c r="DU21" i="520"/>
  <c r="DT21" i="520"/>
  <c r="DS21" i="520"/>
  <c r="EH21" i="520"/>
  <c r="EG21" i="520"/>
  <c r="EF21" i="520"/>
  <c r="EE21" i="520"/>
  <c r="ED21" i="520"/>
  <c r="EC21" i="520"/>
  <c r="EB21" i="520"/>
  <c r="ER21" i="520"/>
  <c r="EA21" i="520"/>
  <c r="EL21" i="520"/>
  <c r="EK21" i="520"/>
  <c r="EJ21" i="520"/>
  <c r="EI21" i="520"/>
  <c r="EX21" i="520"/>
  <c r="FI21" i="520"/>
  <c r="EW21" i="520"/>
  <c r="EV21" i="520"/>
  <c r="EU21" i="520"/>
  <c r="ET21" i="520"/>
  <c r="ES21" i="520"/>
  <c r="EQ21" i="520"/>
  <c r="EP21" i="520"/>
  <c r="EN21" i="520"/>
  <c r="FC21" i="520"/>
  <c r="FB21" i="520"/>
  <c r="GD21" i="520"/>
  <c r="FA21" i="520"/>
  <c r="EZ21" i="520"/>
  <c r="EY21" i="520"/>
  <c r="GA21" i="520"/>
  <c r="EO21" i="520"/>
  <c r="FN21" i="520"/>
  <c r="FY21" i="520"/>
  <c r="EM21" i="520"/>
  <c r="FL21" i="520"/>
  <c r="FK21" i="520"/>
  <c r="FJ21" i="520"/>
  <c r="FH21" i="520"/>
  <c r="FG21" i="520"/>
  <c r="FD21" i="520"/>
  <c r="GC21" i="520"/>
  <c r="GB21" i="520"/>
  <c r="FZ21" i="520"/>
  <c r="FX21" i="520"/>
  <c r="FW21" i="520"/>
  <c r="FV21" i="520"/>
  <c r="FU21" i="520"/>
  <c r="FT21" i="520"/>
  <c r="FM21" i="520"/>
  <c r="FS21" i="520"/>
  <c r="FF21" i="520"/>
  <c r="FR21" i="520"/>
  <c r="FE21" i="520"/>
  <c r="FQ21" i="520"/>
  <c r="FP21" i="520"/>
  <c r="FO21" i="520"/>
  <c r="DZ22" i="520"/>
  <c r="DY22" i="520"/>
  <c r="DX22" i="520"/>
  <c r="DW22" i="520"/>
  <c r="DV22" i="520"/>
  <c r="DU22" i="520"/>
  <c r="DT22" i="520"/>
  <c r="DS22" i="520"/>
  <c r="EH22" i="520"/>
  <c r="EG22" i="520"/>
  <c r="EF22" i="520"/>
  <c r="EE22" i="520"/>
  <c r="ED22" i="520"/>
  <c r="EC22" i="520"/>
  <c r="EB22" i="520"/>
  <c r="ER22" i="520"/>
  <c r="EA22" i="520"/>
  <c r="EN22" i="520"/>
  <c r="EM22" i="520"/>
  <c r="EL22" i="520"/>
  <c r="EK22" i="520"/>
  <c r="EJ22" i="520"/>
  <c r="EI22" i="520"/>
  <c r="FI22" i="520"/>
  <c r="EX22" i="520"/>
  <c r="EW22" i="520"/>
  <c r="EV22" i="520"/>
  <c r="EU22" i="520"/>
  <c r="ET22" i="520"/>
  <c r="ES22" i="520"/>
  <c r="EP22" i="520"/>
  <c r="FE22" i="520"/>
  <c r="FD22" i="520"/>
  <c r="GD22" i="520"/>
  <c r="EQ22" i="520"/>
  <c r="FC22" i="520"/>
  <c r="EO22" i="520"/>
  <c r="FB22" i="520"/>
  <c r="FA22" i="520"/>
  <c r="GA22" i="520"/>
  <c r="EZ22" i="520"/>
  <c r="EY22" i="520"/>
  <c r="FY22" i="520"/>
  <c r="FN22" i="520"/>
  <c r="FM22" i="520"/>
  <c r="FL22" i="520"/>
  <c r="FK22" i="520"/>
  <c r="FJ22" i="520"/>
  <c r="FF22" i="520"/>
  <c r="FR22" i="520"/>
  <c r="FQ22" i="520"/>
  <c r="FP22" i="520"/>
  <c r="FO22" i="520"/>
  <c r="FH22" i="520"/>
  <c r="FG22" i="520"/>
  <c r="GC22" i="520"/>
  <c r="GB22" i="520"/>
  <c r="FZ22" i="520"/>
  <c r="FX22" i="520"/>
  <c r="FW22" i="520"/>
  <c r="FV22" i="520"/>
  <c r="FU22" i="520"/>
  <c r="FT22" i="520"/>
  <c r="FS22" i="520"/>
  <c r="EB6" i="520"/>
  <c r="DZ6" i="520"/>
  <c r="EX6" i="520"/>
  <c r="DY6" i="520"/>
  <c r="DX6" i="520"/>
  <c r="DW6" i="520"/>
  <c r="DV6" i="520"/>
  <c r="ET6" i="520"/>
  <c r="DU6" i="520"/>
  <c r="ES6" i="520"/>
  <c r="DT6" i="520"/>
  <c r="ER6" i="520"/>
  <c r="DS6" i="520"/>
  <c r="EP6" i="520"/>
  <c r="EH6" i="520"/>
  <c r="EO6" i="520"/>
  <c r="EG6" i="520"/>
  <c r="EF6" i="520"/>
  <c r="EE6" i="520"/>
  <c r="EC6" i="520"/>
  <c r="EJ6" i="520"/>
  <c r="EA6" i="520"/>
  <c r="ED6" i="520"/>
  <c r="FN6" i="520"/>
  <c r="EW6" i="520"/>
  <c r="FK6" i="520"/>
  <c r="EV6" i="520"/>
  <c r="EU6" i="520"/>
  <c r="FI6" i="520"/>
  <c r="EQ6" i="520"/>
  <c r="EN6" i="520"/>
  <c r="FG6" i="520"/>
  <c r="EM6" i="520"/>
  <c r="FF6" i="520"/>
  <c r="EL6" i="520"/>
  <c r="EK6" i="520"/>
  <c r="FD6" i="520"/>
  <c r="EI6" i="520"/>
  <c r="FC6" i="520"/>
  <c r="EZ6" i="520"/>
  <c r="FE6" i="520"/>
  <c r="FT6" i="520"/>
  <c r="FB6" i="520"/>
  <c r="FS6" i="520"/>
  <c r="FA6" i="520"/>
  <c r="FR6" i="520"/>
  <c r="EY6" i="520"/>
  <c r="FQ6" i="520"/>
  <c r="FP6" i="520"/>
  <c r="FO6" i="520"/>
  <c r="GD6" i="520"/>
  <c r="GC6" i="520"/>
  <c r="GB6" i="520"/>
  <c r="GA6" i="520"/>
  <c r="FZ6" i="520"/>
  <c r="FY6" i="520"/>
  <c r="FM6" i="520"/>
  <c r="FX6" i="520"/>
  <c r="FL6" i="520"/>
  <c r="FW6" i="520"/>
  <c r="FJ6" i="520"/>
  <c r="FV6" i="520"/>
  <c r="FH6" i="520"/>
  <c r="FU6" i="520"/>
  <c r="DZ26" i="520"/>
  <c r="DY26" i="520"/>
  <c r="DX26" i="520"/>
  <c r="DW26" i="520"/>
  <c r="DV26" i="520"/>
  <c r="DU26" i="520"/>
  <c r="DT26" i="520"/>
  <c r="DS26" i="520"/>
  <c r="EH26" i="520"/>
  <c r="EG26" i="520"/>
  <c r="EF26" i="520"/>
  <c r="EE26" i="520"/>
  <c r="ED26" i="520"/>
  <c r="EC26" i="520"/>
  <c r="EB26" i="520"/>
  <c r="ER26" i="520"/>
  <c r="EA26" i="520"/>
  <c r="EW26" i="520"/>
  <c r="EV26" i="520"/>
  <c r="EU26" i="520"/>
  <c r="ET26" i="520"/>
  <c r="ES26" i="520"/>
  <c r="FJ26" i="520"/>
  <c r="EQ26" i="520"/>
  <c r="FI26" i="520"/>
  <c r="EP26" i="520"/>
  <c r="EO26" i="520"/>
  <c r="EN26" i="520"/>
  <c r="FF26" i="520"/>
  <c r="EM26" i="520"/>
  <c r="FE26" i="520"/>
  <c r="EL26" i="520"/>
  <c r="EK26" i="520"/>
  <c r="EJ26" i="520"/>
  <c r="FG26" i="520"/>
  <c r="FD26" i="520"/>
  <c r="GD26" i="520"/>
  <c r="FC26" i="520"/>
  <c r="EX26" i="520"/>
  <c r="FB26" i="520"/>
  <c r="EI26" i="520"/>
  <c r="FA26" i="520"/>
  <c r="GA26" i="520"/>
  <c r="EZ26" i="520"/>
  <c r="EY26" i="520"/>
  <c r="FY26" i="520"/>
  <c r="FW26" i="520"/>
  <c r="FV26" i="520"/>
  <c r="FN26" i="520"/>
  <c r="FT26" i="520"/>
  <c r="FM26" i="520"/>
  <c r="FK26" i="520"/>
  <c r="FH26" i="520"/>
  <c r="FP26" i="520"/>
  <c r="FU26" i="520"/>
  <c r="FS26" i="520"/>
  <c r="FR26" i="520"/>
  <c r="FQ26" i="520"/>
  <c r="FO26" i="520"/>
  <c r="GC26" i="520"/>
  <c r="FL26" i="520"/>
  <c r="GB26" i="520"/>
  <c r="FZ26" i="520"/>
  <c r="FX26" i="520"/>
  <c r="DZ13" i="520"/>
  <c r="DY13" i="520"/>
  <c r="DX13" i="520"/>
  <c r="DW13" i="520"/>
  <c r="EE13" i="520"/>
  <c r="EC13" i="520"/>
  <c r="EB13" i="520"/>
  <c r="ER13" i="520"/>
  <c r="EA13" i="520"/>
  <c r="EL13" i="520"/>
  <c r="EH13" i="520"/>
  <c r="EX13" i="520"/>
  <c r="EG13" i="520"/>
  <c r="EW13" i="520"/>
  <c r="EF13" i="520"/>
  <c r="ED13" i="520"/>
  <c r="EU13" i="520"/>
  <c r="DV13" i="520"/>
  <c r="ET13" i="520"/>
  <c r="DU13" i="520"/>
  <c r="DT13" i="520"/>
  <c r="DS13" i="520"/>
  <c r="EN13" i="520"/>
  <c r="EJ13" i="520"/>
  <c r="EI13" i="520"/>
  <c r="FN13" i="520"/>
  <c r="FK13" i="520"/>
  <c r="FI13" i="520"/>
  <c r="FG13" i="520"/>
  <c r="EV13" i="520"/>
  <c r="FF13" i="520"/>
  <c r="ES13" i="520"/>
  <c r="EQ13" i="520"/>
  <c r="FD13" i="520"/>
  <c r="EP13" i="520"/>
  <c r="FC13" i="520"/>
  <c r="EO13" i="520"/>
  <c r="EM13" i="520"/>
  <c r="EK13" i="520"/>
  <c r="EZ13" i="520"/>
  <c r="FE13" i="520"/>
  <c r="FT13" i="520"/>
  <c r="FB13" i="520"/>
  <c r="FS13" i="520"/>
  <c r="FA13" i="520"/>
  <c r="FR13" i="520"/>
  <c r="EY13" i="520"/>
  <c r="FQ13" i="520"/>
  <c r="FP13" i="520"/>
  <c r="FO13" i="520"/>
  <c r="GD13" i="520"/>
  <c r="GC13" i="520"/>
  <c r="GB13" i="520"/>
  <c r="GA13" i="520"/>
  <c r="FZ13" i="520"/>
  <c r="FY13" i="520"/>
  <c r="FM13" i="520"/>
  <c r="FX13" i="520"/>
  <c r="FL13" i="520"/>
  <c r="FW13" i="520"/>
  <c r="FJ13" i="520"/>
  <c r="FV13" i="520"/>
  <c r="FH13" i="520"/>
  <c r="FU13" i="520"/>
  <c r="EB8" i="520"/>
  <c r="EE8" i="520"/>
  <c r="EX8" i="520"/>
  <c r="ED8" i="520"/>
  <c r="EC8" i="520"/>
  <c r="EA8" i="520"/>
  <c r="IY8" i="520" s="1"/>
  <c r="DZ8" i="520"/>
  <c r="ET8" i="520"/>
  <c r="DY8" i="520"/>
  <c r="ES8" i="520"/>
  <c r="DX8" i="520"/>
  <c r="ER8" i="520"/>
  <c r="DW8" i="520"/>
  <c r="DV8" i="520"/>
  <c r="EP8" i="520"/>
  <c r="DU8" i="520"/>
  <c r="EO8" i="520"/>
  <c r="DT8" i="520"/>
  <c r="DS8" i="520"/>
  <c r="EG8" i="520"/>
  <c r="EJ8" i="520"/>
  <c r="EF8" i="520"/>
  <c r="EW8" i="520"/>
  <c r="EV8" i="520"/>
  <c r="FN8" i="520"/>
  <c r="EU8" i="520"/>
  <c r="EQ8" i="520"/>
  <c r="EN8" i="520"/>
  <c r="FK8" i="520"/>
  <c r="EM8" i="520"/>
  <c r="EL8" i="520"/>
  <c r="FI8" i="520"/>
  <c r="EK8" i="520"/>
  <c r="EI8" i="520"/>
  <c r="FG8" i="520"/>
  <c r="FF8" i="520"/>
  <c r="FD8" i="520"/>
  <c r="FC8" i="520"/>
  <c r="EH8" i="520"/>
  <c r="EZ8" i="520"/>
  <c r="FE8" i="520"/>
  <c r="FT8" i="520"/>
  <c r="FB8" i="520"/>
  <c r="FS8" i="520"/>
  <c r="FA8" i="520"/>
  <c r="FR8" i="520"/>
  <c r="EY8" i="520"/>
  <c r="FQ8" i="520"/>
  <c r="FP8" i="520"/>
  <c r="FO8" i="520"/>
  <c r="GD8" i="520"/>
  <c r="GC8" i="520"/>
  <c r="GB8" i="520"/>
  <c r="GA8" i="520"/>
  <c r="FZ8" i="520"/>
  <c r="FY8" i="520"/>
  <c r="FM8" i="520"/>
  <c r="FX8" i="520"/>
  <c r="FL8" i="520"/>
  <c r="FW8" i="520"/>
  <c r="FJ8" i="520"/>
  <c r="FV8" i="520"/>
  <c r="FH8" i="520"/>
  <c r="FU8" i="520"/>
  <c r="DZ16" i="520"/>
  <c r="DY16" i="520"/>
  <c r="DX16" i="520"/>
  <c r="DW16" i="520"/>
  <c r="DV16" i="520"/>
  <c r="DU16" i="520"/>
  <c r="DT16" i="520"/>
  <c r="DS16" i="520"/>
  <c r="EH16" i="520"/>
  <c r="EG16" i="520"/>
  <c r="EF16" i="520"/>
  <c r="EE16" i="520"/>
  <c r="ED16" i="520"/>
  <c r="EC16" i="520"/>
  <c r="EB16" i="520"/>
  <c r="ER16" i="520"/>
  <c r="EA16" i="520"/>
  <c r="ES16" i="520"/>
  <c r="EO16" i="520"/>
  <c r="EN16" i="520"/>
  <c r="EM16" i="520"/>
  <c r="EL16" i="520"/>
  <c r="EJ16" i="520"/>
  <c r="EI16" i="520"/>
  <c r="EX16" i="520"/>
  <c r="EW16" i="520"/>
  <c r="EU16" i="520"/>
  <c r="EV16" i="520"/>
  <c r="FN16" i="520"/>
  <c r="ET16" i="520"/>
  <c r="EQ16" i="520"/>
  <c r="FL16" i="520"/>
  <c r="EP16" i="520"/>
  <c r="FK16" i="520"/>
  <c r="EK16" i="520"/>
  <c r="FI16" i="520"/>
  <c r="FG16" i="520"/>
  <c r="FF16" i="520"/>
  <c r="FD16" i="520"/>
  <c r="FC16" i="520"/>
  <c r="EZ16" i="520"/>
  <c r="FH16" i="520"/>
  <c r="FT16" i="520"/>
  <c r="FE16" i="520"/>
  <c r="FS16" i="520"/>
  <c r="FB16" i="520"/>
  <c r="FR16" i="520"/>
  <c r="FA16" i="520"/>
  <c r="FQ16" i="520"/>
  <c r="EY16" i="520"/>
  <c r="FP16" i="520"/>
  <c r="FO16" i="520"/>
  <c r="GD16" i="520"/>
  <c r="GC16" i="520"/>
  <c r="GB16" i="520"/>
  <c r="GA16" i="520"/>
  <c r="FZ16" i="520"/>
  <c r="FY16" i="520"/>
  <c r="FX16" i="520"/>
  <c r="FW16" i="520"/>
  <c r="FM16" i="520"/>
  <c r="FV16" i="520"/>
  <c r="FJ16" i="520"/>
  <c r="FU16" i="520"/>
  <c r="DZ17" i="520"/>
  <c r="DY17" i="520"/>
  <c r="DX17" i="520"/>
  <c r="DW17" i="520"/>
  <c r="DV17" i="520"/>
  <c r="DU17" i="520"/>
  <c r="DT17" i="520"/>
  <c r="DS17" i="520"/>
  <c r="EH17" i="520"/>
  <c r="EG17" i="520"/>
  <c r="EF17" i="520"/>
  <c r="EE17" i="520"/>
  <c r="ED17" i="520"/>
  <c r="EC17" i="520"/>
  <c r="EB17" i="520"/>
  <c r="ER17" i="520"/>
  <c r="EA17" i="520"/>
  <c r="EU17" i="520"/>
  <c r="EQ17" i="520"/>
  <c r="EP17" i="520"/>
  <c r="EO17" i="520"/>
  <c r="EN17" i="520"/>
  <c r="EL17" i="520"/>
  <c r="EK17" i="520"/>
  <c r="EI17" i="520"/>
  <c r="EW17" i="520"/>
  <c r="FN17" i="520"/>
  <c r="FL17" i="520"/>
  <c r="FK17" i="520"/>
  <c r="EX17" i="520"/>
  <c r="EV17" i="520"/>
  <c r="FI17" i="520"/>
  <c r="ET17" i="520"/>
  <c r="ES17" i="520"/>
  <c r="FG17" i="520"/>
  <c r="EM17" i="520"/>
  <c r="FF17" i="520"/>
  <c r="EJ17" i="520"/>
  <c r="FD17" i="520"/>
  <c r="FC17" i="520"/>
  <c r="EZ17" i="520"/>
  <c r="FM17" i="520"/>
  <c r="FT17" i="520"/>
  <c r="FJ17" i="520"/>
  <c r="FS17" i="520"/>
  <c r="FH17" i="520"/>
  <c r="FR17" i="520"/>
  <c r="FE17" i="520"/>
  <c r="FQ17" i="520"/>
  <c r="FB17" i="520"/>
  <c r="FP17" i="520"/>
  <c r="FA17" i="520"/>
  <c r="FO17" i="520"/>
  <c r="EY17" i="520"/>
  <c r="GD17" i="520"/>
  <c r="GC17" i="520"/>
  <c r="GB17" i="520"/>
  <c r="GA17" i="520"/>
  <c r="FZ17" i="520"/>
  <c r="FY17" i="520"/>
  <c r="FX17" i="520"/>
  <c r="FW17" i="520"/>
  <c r="FV17" i="520"/>
  <c r="FU17" i="520"/>
  <c r="DZ23" i="520"/>
  <c r="DY23" i="520"/>
  <c r="DX23" i="520"/>
  <c r="DW23" i="520"/>
  <c r="DV23" i="520"/>
  <c r="DU23" i="520"/>
  <c r="DT23" i="520"/>
  <c r="DS23" i="520"/>
  <c r="EH23" i="520"/>
  <c r="EG23" i="520"/>
  <c r="EF23" i="520"/>
  <c r="EE23" i="520"/>
  <c r="ED23" i="520"/>
  <c r="EC23" i="520"/>
  <c r="EB23" i="520"/>
  <c r="ER23" i="520"/>
  <c r="EA23" i="520"/>
  <c r="EP23" i="520"/>
  <c r="EO23" i="520"/>
  <c r="EN23" i="520"/>
  <c r="EM23" i="520"/>
  <c r="EL23" i="520"/>
  <c r="EK23" i="520"/>
  <c r="FI23" i="520"/>
  <c r="EJ23" i="520"/>
  <c r="EI23" i="520"/>
  <c r="EX23" i="520"/>
  <c r="EW23" i="520"/>
  <c r="EV23" i="520"/>
  <c r="EU23" i="520"/>
  <c r="ES23" i="520"/>
  <c r="FG23" i="520"/>
  <c r="FF23" i="520"/>
  <c r="GD23" i="520"/>
  <c r="FE23" i="520"/>
  <c r="FD23" i="520"/>
  <c r="FC23" i="520"/>
  <c r="GA23" i="520"/>
  <c r="FB23" i="520"/>
  <c r="FA23" i="520"/>
  <c r="FY23" i="520"/>
  <c r="EZ23" i="520"/>
  <c r="EY23" i="520"/>
  <c r="FN23" i="520"/>
  <c r="FM23" i="520"/>
  <c r="FL23" i="520"/>
  <c r="ET23" i="520"/>
  <c r="FJ23" i="520"/>
  <c r="EQ23" i="520"/>
  <c r="FH23" i="520"/>
  <c r="FX23" i="520"/>
  <c r="FW23" i="520"/>
  <c r="FK23" i="520"/>
  <c r="FV23" i="520"/>
  <c r="FU23" i="520"/>
  <c r="FT23" i="520"/>
  <c r="FS23" i="520"/>
  <c r="FR23" i="520"/>
  <c r="FQ23" i="520"/>
  <c r="FP23" i="520"/>
  <c r="FO23" i="520"/>
  <c r="GC23" i="520"/>
  <c r="GB23" i="520"/>
  <c r="FZ23" i="520"/>
  <c r="EB10" i="520"/>
  <c r="EX10" i="520"/>
  <c r="EH10" i="520"/>
  <c r="EG10" i="520"/>
  <c r="EF10" i="520"/>
  <c r="EE10" i="520"/>
  <c r="ET10" i="520"/>
  <c r="ED10" i="520"/>
  <c r="ES10" i="520"/>
  <c r="EC10" i="520"/>
  <c r="ER10" i="520"/>
  <c r="EA10" i="520"/>
  <c r="DZ10" i="520"/>
  <c r="EP10" i="520"/>
  <c r="DY10" i="520"/>
  <c r="EO10" i="520"/>
  <c r="DX10" i="520"/>
  <c r="DW10" i="520"/>
  <c r="DV10" i="520"/>
  <c r="DT10" i="520"/>
  <c r="EJ10" i="520"/>
  <c r="DS10" i="520"/>
  <c r="EN10" i="520"/>
  <c r="EM10" i="520"/>
  <c r="FN10" i="520"/>
  <c r="EL10" i="520"/>
  <c r="EK10" i="520"/>
  <c r="EI10" i="520"/>
  <c r="FK10" i="520"/>
  <c r="FI10" i="520"/>
  <c r="FG10" i="520"/>
  <c r="FF10" i="520"/>
  <c r="DU10" i="520"/>
  <c r="FD10" i="520"/>
  <c r="EW10" i="520"/>
  <c r="FC10" i="520"/>
  <c r="EV10" i="520"/>
  <c r="EU10" i="520"/>
  <c r="EQ10" i="520"/>
  <c r="EZ10" i="520"/>
  <c r="FE10" i="520"/>
  <c r="FT10" i="520"/>
  <c r="FB10" i="520"/>
  <c r="FS10" i="520"/>
  <c r="FA10" i="520"/>
  <c r="FR10" i="520"/>
  <c r="EY10" i="520"/>
  <c r="FQ10" i="520"/>
  <c r="FP10" i="520"/>
  <c r="FO10" i="520"/>
  <c r="GD10" i="520"/>
  <c r="GC10" i="520"/>
  <c r="GB10" i="520"/>
  <c r="GA10" i="520"/>
  <c r="FZ10" i="520"/>
  <c r="FY10" i="520"/>
  <c r="FM10" i="520"/>
  <c r="FX10" i="520"/>
  <c r="FL10" i="520"/>
  <c r="FW10" i="520"/>
  <c r="FJ10" i="520"/>
  <c r="FV10" i="520"/>
  <c r="FH10" i="520"/>
  <c r="FU10" i="520"/>
  <c r="RI12" i="520"/>
  <c r="MK12" i="520"/>
  <c r="RM12" i="520"/>
  <c r="MO12" i="520"/>
  <c r="MM12" i="520"/>
  <c r="RK12" i="520"/>
  <c r="QG12" i="520"/>
  <c r="LI12" i="520"/>
  <c r="MI12" i="520"/>
  <c r="RG12" i="520"/>
  <c r="QK12" i="520"/>
  <c r="LM12" i="520"/>
  <c r="QX12" i="520"/>
  <c r="LZ12" i="520"/>
  <c r="SC12" i="520"/>
  <c r="NE12" i="520"/>
  <c r="LS12" i="520"/>
  <c r="QQ12" i="520"/>
  <c r="QF12" i="520"/>
  <c r="LH12" i="520"/>
  <c r="QB12" i="520"/>
  <c r="LD12" i="520"/>
  <c r="MQ12" i="520"/>
  <c r="RO12" i="520"/>
  <c r="MB12" i="520"/>
  <c r="QZ12" i="520"/>
  <c r="RR12" i="520"/>
  <c r="MT12" i="520"/>
  <c r="QN12" i="520"/>
  <c r="LP12" i="520"/>
  <c r="QC12" i="520"/>
  <c r="LE12" i="520"/>
  <c r="SD12" i="520"/>
  <c r="NF12" i="520"/>
  <c r="RJ12" i="520"/>
  <c r="ML12" i="520"/>
  <c r="RH12" i="520"/>
  <c r="MJ12" i="520"/>
  <c r="RD12" i="520"/>
  <c r="MF12" i="520"/>
  <c r="SF12" i="520"/>
  <c r="NH12" i="520"/>
  <c r="QM12" i="520"/>
  <c r="LO12" i="520"/>
  <c r="MV12" i="520"/>
  <c r="RT12" i="520"/>
  <c r="SK12" i="520"/>
  <c r="NM12" i="520"/>
  <c r="LK12" i="520"/>
  <c r="QI12" i="520"/>
  <c r="NK12" i="520"/>
  <c r="SI12" i="520"/>
  <c r="QT12" i="520"/>
  <c r="LV12" i="520"/>
  <c r="RL12" i="520"/>
  <c r="MN12" i="520"/>
  <c r="MA12" i="520"/>
  <c r="QY12" i="520"/>
  <c r="LL12" i="520"/>
  <c r="QJ12" i="520"/>
  <c r="LT12" i="520"/>
  <c r="QR12" i="520"/>
  <c r="NG12" i="520"/>
  <c r="SE12" i="520"/>
  <c r="QA12" i="520"/>
  <c r="LC12" i="520"/>
  <c r="RN12" i="520"/>
  <c r="MP12" i="520"/>
  <c r="LN12" i="520"/>
  <c r="QL12" i="520"/>
  <c r="NJ12" i="520"/>
  <c r="SH12" i="520"/>
  <c r="RY12" i="520"/>
  <c r="NA12" i="520"/>
  <c r="RU12" i="520"/>
  <c r="MW12" i="520"/>
  <c r="QW12" i="520"/>
  <c r="LY12" i="520"/>
  <c r="LX12" i="520"/>
  <c r="QV12" i="520"/>
  <c r="NB12" i="520"/>
  <c r="RZ12" i="520"/>
  <c r="NL12" i="520"/>
  <c r="SJ12" i="520"/>
  <c r="NI12" i="520"/>
  <c r="SG12" i="520"/>
  <c r="RQ12" i="520"/>
  <c r="MS12" i="520"/>
  <c r="NC12" i="520"/>
  <c r="SA12" i="520"/>
  <c r="RS12" i="520"/>
  <c r="MU12" i="520"/>
  <c r="RX12" i="520"/>
  <c r="MZ12" i="520"/>
  <c r="RP12" i="520"/>
  <c r="MR12" i="520"/>
  <c r="QP12" i="520"/>
  <c r="LR12" i="520"/>
  <c r="RA12" i="520"/>
  <c r="MC12" i="520"/>
  <c r="ND12" i="520"/>
  <c r="SB12" i="520"/>
  <c r="QE12" i="520"/>
  <c r="LG12" i="520"/>
  <c r="MY12" i="520"/>
  <c r="RW12" i="520"/>
  <c r="LU12" i="520"/>
  <c r="QS12" i="520"/>
  <c r="QH12" i="520"/>
  <c r="LJ12" i="520"/>
  <c r="RB12" i="520"/>
  <c r="MD12" i="520"/>
  <c r="QU12" i="520"/>
  <c r="LW12" i="520"/>
  <c r="LQ12" i="520"/>
  <c r="QO12" i="520"/>
  <c r="MG12" i="520"/>
  <c r="RE12" i="520"/>
  <c r="RC12" i="520"/>
  <c r="ME12" i="520"/>
  <c r="MX12" i="520"/>
  <c r="RV12" i="520"/>
  <c r="LF12" i="520"/>
  <c r="QD12" i="520"/>
  <c r="MH12" i="520"/>
  <c r="RF12" i="520"/>
  <c r="SL12" i="520"/>
  <c r="NN12" i="520"/>
  <c r="RM5" i="520"/>
  <c r="MO5" i="520"/>
  <c r="QP5" i="520"/>
  <c r="LR5" i="520"/>
  <c r="RR5" i="520"/>
  <c r="MT5" i="520"/>
  <c r="QC5" i="520"/>
  <c r="LE5" i="520"/>
  <c r="RX20" i="520"/>
  <c r="MZ20" i="520"/>
  <c r="QB20" i="520"/>
  <c r="LD20" i="520"/>
  <c r="QK20" i="520"/>
  <c r="LM20" i="520"/>
  <c r="QC20" i="520"/>
  <c r="LE20" i="520"/>
  <c r="RZ14" i="520"/>
  <c r="NB14" i="520"/>
  <c r="LC14" i="520"/>
  <c r="QA14" i="520"/>
  <c r="QJ14" i="520"/>
  <c r="LL14" i="520"/>
  <c r="QC14" i="520"/>
  <c r="LE14" i="520"/>
  <c r="NF6" i="520"/>
  <c r="SD6" i="520"/>
  <c r="MH6" i="520"/>
  <c r="RF6" i="520"/>
  <c r="RR6" i="520"/>
  <c r="MT6" i="520"/>
  <c r="QC6" i="520"/>
  <c r="LE6" i="520"/>
  <c r="MS19" i="520"/>
  <c r="RQ19" i="520"/>
  <c r="RJ19" i="520"/>
  <c r="ML19" i="520"/>
  <c r="LM19" i="520"/>
  <c r="QK19" i="520"/>
  <c r="QC19" i="520"/>
  <c r="LE19" i="520"/>
  <c r="RX17" i="520"/>
  <c r="MZ17" i="520"/>
  <c r="QQ17" i="520"/>
  <c r="LS17" i="520"/>
  <c r="QJ17" i="520"/>
  <c r="LL17" i="520"/>
  <c r="QC17" i="520"/>
  <c r="LE17" i="520"/>
  <c r="RX16" i="520"/>
  <c r="MZ16" i="520"/>
  <c r="QQ16" i="520"/>
  <c r="LS16" i="520"/>
  <c r="LL16" i="520"/>
  <c r="QJ16" i="520"/>
  <c r="QC16" i="520"/>
  <c r="LE16" i="520"/>
  <c r="RS18" i="520"/>
  <c r="MU18" i="520"/>
  <c r="QQ18" i="520"/>
  <c r="LS18" i="520"/>
  <c r="QJ18" i="520"/>
  <c r="LL18" i="520"/>
  <c r="QC18" i="520"/>
  <c r="LE18" i="520"/>
  <c r="RB21" i="520"/>
  <c r="MD21" i="520"/>
  <c r="QB21" i="520"/>
  <c r="LD21" i="520"/>
  <c r="QK21" i="520"/>
  <c r="LM21" i="520"/>
  <c r="QC21" i="520"/>
  <c r="LE21" i="520"/>
  <c r="MW8" i="520"/>
  <c r="RU8" i="520"/>
  <c r="QA8" i="520"/>
  <c r="LC8" i="520"/>
  <c r="QZ8" i="520"/>
  <c r="MB8" i="520"/>
  <c r="QE8" i="520"/>
  <c r="LG8" i="520"/>
  <c r="RT26" i="520"/>
  <c r="MV26" i="520"/>
  <c r="QT26" i="520"/>
  <c r="LV26" i="520"/>
  <c r="RV26" i="520"/>
  <c r="MX26" i="520"/>
  <c r="QU26" i="520"/>
  <c r="LW26" i="520"/>
  <c r="RQ24" i="520"/>
  <c r="MS24" i="520"/>
  <c r="RK24" i="520"/>
  <c r="MM24" i="520"/>
  <c r="RC24" i="520"/>
  <c r="ME24" i="520"/>
  <c r="QE24" i="520"/>
  <c r="LG24" i="520"/>
  <c r="SB25" i="520"/>
  <c r="ND25" i="520"/>
  <c r="RK25" i="520"/>
  <c r="MM25" i="520"/>
  <c r="RC25" i="520"/>
  <c r="ME25" i="520"/>
  <c r="QE25" i="520"/>
  <c r="LG25" i="520"/>
  <c r="RQ10" i="520"/>
  <c r="MS10" i="520"/>
  <c r="QA10" i="520"/>
  <c r="LC10" i="520"/>
  <c r="RZ10" i="520"/>
  <c r="NB10" i="520"/>
  <c r="QJ10" i="520"/>
  <c r="LL10" i="520"/>
  <c r="RY23" i="520"/>
  <c r="NA23" i="520"/>
  <c r="RK23" i="520"/>
  <c r="MM23" i="520"/>
  <c r="RC23" i="520"/>
  <c r="ME23" i="520"/>
  <c r="LG23" i="520"/>
  <c r="QE23" i="520"/>
  <c r="RB27" i="520"/>
  <c r="MD27" i="520"/>
  <c r="SH27" i="520"/>
  <c r="NJ27" i="520"/>
  <c r="QN27" i="520"/>
  <c r="LP27" i="520"/>
  <c r="QU27" i="520"/>
  <c r="LW27" i="520"/>
  <c r="RM22" i="520"/>
  <c r="MO22" i="520"/>
  <c r="RK22" i="520"/>
  <c r="MM22" i="520"/>
  <c r="RC22" i="520"/>
  <c r="ME22" i="520"/>
  <c r="LG22" i="520"/>
  <c r="QE22" i="520"/>
  <c r="SK9" i="520"/>
  <c r="NM9" i="520"/>
  <c r="QA9" i="520"/>
  <c r="LC9" i="520"/>
  <c r="QZ9" i="520"/>
  <c r="MB9" i="520"/>
  <c r="LG9" i="520"/>
  <c r="QE9" i="520"/>
  <c r="NI4" i="520"/>
  <c r="SG4" i="520"/>
  <c r="LY4" i="520"/>
  <c r="QW4" i="520"/>
  <c r="QT4" i="520"/>
  <c r="LV4" i="520"/>
  <c r="QG4" i="520"/>
  <c r="LI4" i="520"/>
  <c r="RT15" i="520"/>
  <c r="MV15" i="520"/>
  <c r="RJ15" i="520"/>
  <c r="ML15" i="520"/>
  <c r="QK15" i="520"/>
  <c r="LM15" i="520"/>
  <c r="QE15" i="520"/>
  <c r="LG15" i="520"/>
  <c r="SA13" i="520"/>
  <c r="NC13" i="520"/>
  <c r="LC13" i="520"/>
  <c r="QA13" i="520"/>
  <c r="MB13" i="520"/>
  <c r="QZ13" i="520"/>
  <c r="QE13" i="520"/>
  <c r="LG13" i="520"/>
  <c r="NI7" i="520"/>
  <c r="SG7" i="520"/>
  <c r="QA7" i="520"/>
  <c r="LC7" i="520"/>
  <c r="QZ7" i="520"/>
  <c r="MB7" i="520"/>
  <c r="QE7" i="520"/>
  <c r="LG7" i="520"/>
  <c r="NL11" i="520"/>
  <c r="SJ11" i="520"/>
  <c r="QA11" i="520"/>
  <c r="LC11" i="520"/>
  <c r="QZ11" i="520"/>
  <c r="MB11" i="520"/>
  <c r="QE11" i="520"/>
  <c r="LG11" i="520"/>
  <c r="RA28" i="520"/>
  <c r="MC28" i="520"/>
  <c r="SJ28" i="520"/>
  <c r="NL28" i="520"/>
  <c r="RD28" i="520"/>
  <c r="MF28" i="520"/>
  <c r="QU28" i="520"/>
  <c r="LW28" i="520"/>
  <c r="NL5" i="520"/>
  <c r="SJ5" i="520"/>
  <c r="RL5" i="520"/>
  <c r="MN5" i="520"/>
  <c r="NA5" i="520"/>
  <c r="RY5" i="520"/>
  <c r="MA5" i="520"/>
  <c r="QY5" i="520"/>
  <c r="SA20" i="520"/>
  <c r="NC20" i="520"/>
  <c r="RW20" i="520"/>
  <c r="MY20" i="520"/>
  <c r="RJ20" i="520"/>
  <c r="ML20" i="520"/>
  <c r="QJ20" i="520"/>
  <c r="LL20" i="520"/>
  <c r="RM14" i="520"/>
  <c r="MO14" i="520"/>
  <c r="RX14" i="520"/>
  <c r="MZ14" i="520"/>
  <c r="RI14" i="520"/>
  <c r="MK14" i="520"/>
  <c r="RR14" i="520"/>
  <c r="MT14" i="520"/>
  <c r="SH6" i="520"/>
  <c r="NJ6" i="520"/>
  <c r="SC6" i="520"/>
  <c r="NE6" i="520"/>
  <c r="LR6" i="520"/>
  <c r="QP6" i="520"/>
  <c r="QY6" i="520"/>
  <c r="MA6" i="520"/>
  <c r="NI19" i="520"/>
  <c r="SG19" i="520"/>
  <c r="SB19" i="520"/>
  <c r="ND19" i="520"/>
  <c r="LS19" i="520"/>
  <c r="QQ19" i="520"/>
  <c r="LL19" i="520"/>
  <c r="QJ19" i="520"/>
  <c r="SI17" i="520"/>
  <c r="NK17" i="520"/>
  <c r="LV17" i="520"/>
  <c r="QT17" i="520"/>
  <c r="QA17" i="520"/>
  <c r="LC17" i="520"/>
  <c r="RR17" i="520"/>
  <c r="MT17" i="520"/>
  <c r="SJ16" i="520"/>
  <c r="NL16" i="520"/>
  <c r="RW16" i="520"/>
  <c r="MY16" i="520"/>
  <c r="QA16" i="520"/>
  <c r="LC16" i="520"/>
  <c r="RR16" i="520"/>
  <c r="MT16" i="520"/>
  <c r="SI18" i="520"/>
  <c r="NK18" i="520"/>
  <c r="QL18" i="520"/>
  <c r="LN18" i="520"/>
  <c r="QA18" i="520"/>
  <c r="LC18" i="520"/>
  <c r="RR18" i="520"/>
  <c r="MT18" i="520"/>
  <c r="RT21" i="520"/>
  <c r="MV21" i="520"/>
  <c r="QZ21" i="520"/>
  <c r="MB21" i="520"/>
  <c r="RJ21" i="520"/>
  <c r="ML21" i="520"/>
  <c r="QJ21" i="520"/>
  <c r="LL21" i="520"/>
  <c r="SG8" i="520"/>
  <c r="NI8" i="520"/>
  <c r="RI8" i="520"/>
  <c r="MK8" i="520"/>
  <c r="QJ8" i="520"/>
  <c r="LL8" i="520"/>
  <c r="QC8" i="520"/>
  <c r="LE8" i="520"/>
  <c r="RS26" i="520"/>
  <c r="MU26" i="520"/>
  <c r="RK26" i="520"/>
  <c r="MM26" i="520"/>
  <c r="RC26" i="520"/>
  <c r="ME26" i="520"/>
  <c r="QE26" i="520"/>
  <c r="LG26" i="520"/>
  <c r="SC24" i="520"/>
  <c r="NE24" i="520"/>
  <c r="LT24" i="520"/>
  <c r="QR24" i="520"/>
  <c r="LO24" i="520"/>
  <c r="QM24" i="520"/>
  <c r="LE24" i="520"/>
  <c r="QC24" i="520"/>
  <c r="QS25" i="520"/>
  <c r="LU25" i="520"/>
  <c r="LT25" i="520"/>
  <c r="QR25" i="520"/>
  <c r="QM25" i="520"/>
  <c r="LO25" i="520"/>
  <c r="QC25" i="520"/>
  <c r="LE25" i="520"/>
  <c r="RM10" i="520"/>
  <c r="MO10" i="520"/>
  <c r="RY10" i="520"/>
  <c r="NA10" i="520"/>
  <c r="QV10" i="520"/>
  <c r="LX10" i="520"/>
  <c r="LE10" i="520"/>
  <c r="QC10" i="520"/>
  <c r="RT23" i="520"/>
  <c r="MV23" i="520"/>
  <c r="QR23" i="520"/>
  <c r="LT23" i="520"/>
  <c r="QM23" i="520"/>
  <c r="LO23" i="520"/>
  <c r="QC23" i="520"/>
  <c r="LE23" i="520"/>
  <c r="QC27" i="520"/>
  <c r="LE27" i="520"/>
  <c r="RN27" i="520"/>
  <c r="MP27" i="520"/>
  <c r="RV27" i="520"/>
  <c r="MX27" i="520"/>
  <c r="QE27" i="520"/>
  <c r="LG27" i="520"/>
  <c r="QT22" i="520"/>
  <c r="LV22" i="520"/>
  <c r="QR22" i="520"/>
  <c r="LT22" i="520"/>
  <c r="QM22" i="520"/>
  <c r="LO22" i="520"/>
  <c r="QC22" i="520"/>
  <c r="LE22" i="520"/>
  <c r="NL9" i="520"/>
  <c r="SJ9" i="520"/>
  <c r="RI9" i="520"/>
  <c r="MK9" i="520"/>
  <c r="LL9" i="520"/>
  <c r="QJ9" i="520"/>
  <c r="LE9" i="520"/>
  <c r="QC9" i="520"/>
  <c r="SI4" i="520"/>
  <c r="NK4" i="520"/>
  <c r="RR4" i="520"/>
  <c r="MT4" i="520"/>
  <c r="QP4" i="520"/>
  <c r="LR4" i="520"/>
  <c r="QF4" i="520"/>
  <c r="LH4" i="520"/>
  <c r="RY15" i="520"/>
  <c r="NA15" i="520"/>
  <c r="LS15" i="520"/>
  <c r="QQ15" i="520"/>
  <c r="QJ15" i="520"/>
  <c r="LL15" i="520"/>
  <c r="QC15" i="520"/>
  <c r="LE15" i="520"/>
  <c r="RB13" i="520"/>
  <c r="MD13" i="520"/>
  <c r="RI13" i="520"/>
  <c r="MK13" i="520"/>
  <c r="LL13" i="520"/>
  <c r="QJ13" i="520"/>
  <c r="QC13" i="520"/>
  <c r="LE13" i="520"/>
  <c r="RB7" i="520"/>
  <c r="MD7" i="520"/>
  <c r="RI7" i="520"/>
  <c r="MK7" i="520"/>
  <c r="QJ7" i="520"/>
  <c r="LL7" i="520"/>
  <c r="QC7" i="520"/>
  <c r="LE7" i="520"/>
  <c r="RU11" i="520"/>
  <c r="MW11" i="520"/>
  <c r="RI11" i="520"/>
  <c r="MK11" i="520"/>
  <c r="QJ11" i="520"/>
  <c r="LL11" i="520"/>
  <c r="QC11" i="520"/>
  <c r="LE11" i="520"/>
  <c r="QD28" i="520"/>
  <c r="LF28" i="520"/>
  <c r="RP28" i="520"/>
  <c r="MR28" i="520"/>
  <c r="QN28" i="520"/>
  <c r="LP28" i="520"/>
  <c r="QE28" i="520"/>
  <c r="LG28" i="520"/>
  <c r="QT5" i="520"/>
  <c r="LV5" i="520"/>
  <c r="SL5" i="520"/>
  <c r="NN5" i="520"/>
  <c r="MJ5" i="520"/>
  <c r="RH5" i="520"/>
  <c r="QI5" i="520"/>
  <c r="LK5" i="520"/>
  <c r="SJ20" i="520"/>
  <c r="NL20" i="520"/>
  <c r="RB20" i="520"/>
  <c r="MD20" i="520"/>
  <c r="QQ20" i="520"/>
  <c r="LS20" i="520"/>
  <c r="RR20" i="520"/>
  <c r="MT20" i="520"/>
  <c r="SG14" i="520"/>
  <c r="NI14" i="520"/>
  <c r="RW14" i="520"/>
  <c r="MY14" i="520"/>
  <c r="RF14" i="520"/>
  <c r="MH14" i="520"/>
  <c r="QY14" i="520"/>
  <c r="MA14" i="520"/>
  <c r="RW6" i="520"/>
  <c r="MY6" i="520"/>
  <c r="RM6" i="520"/>
  <c r="MO6" i="520"/>
  <c r="RY6" i="520"/>
  <c r="NA6" i="520"/>
  <c r="QI6" i="520"/>
  <c r="LK6" i="520"/>
  <c r="MB19" i="520"/>
  <c r="QZ19" i="520"/>
  <c r="RM19" i="520"/>
  <c r="MO19" i="520"/>
  <c r="LC19" i="520"/>
  <c r="QA19" i="520"/>
  <c r="MT19" i="520"/>
  <c r="RR19" i="520"/>
  <c r="SG17" i="520"/>
  <c r="NI17" i="520"/>
  <c r="RW17" i="520"/>
  <c r="MY17" i="520"/>
  <c r="RI17" i="520"/>
  <c r="MK17" i="520"/>
  <c r="QY17" i="520"/>
  <c r="MA17" i="520"/>
  <c r="QS16" i="520"/>
  <c r="LU16" i="520"/>
  <c r="NN16" i="520"/>
  <c r="SL16" i="520"/>
  <c r="MK16" i="520"/>
  <c r="RI16" i="520"/>
  <c r="MA16" i="520"/>
  <c r="QY16" i="520"/>
  <c r="SG18" i="520"/>
  <c r="NI18" i="520"/>
  <c r="SA18" i="520"/>
  <c r="NC18" i="520"/>
  <c r="RI18" i="520"/>
  <c r="MK18" i="520"/>
  <c r="QY18" i="520"/>
  <c r="MA18" i="520"/>
  <c r="RA21" i="520"/>
  <c r="MC21" i="520"/>
  <c r="SA21" i="520"/>
  <c r="NC21" i="520"/>
  <c r="QQ21" i="520"/>
  <c r="LS21" i="520"/>
  <c r="RR21" i="520"/>
  <c r="MT21" i="520"/>
  <c r="SC8" i="520"/>
  <c r="NE8" i="520"/>
  <c r="RT8" i="520"/>
  <c r="MV8" i="520"/>
  <c r="RF8" i="520"/>
  <c r="MH8" i="520"/>
  <c r="RR8" i="520"/>
  <c r="MT8" i="520"/>
  <c r="SC26" i="520"/>
  <c r="NE26" i="520"/>
  <c r="SB26" i="520"/>
  <c r="ND26" i="520"/>
  <c r="QR26" i="520"/>
  <c r="LT26" i="520"/>
  <c r="LO26" i="520"/>
  <c r="QM26" i="520"/>
  <c r="SA24" i="520"/>
  <c r="NC24" i="520"/>
  <c r="MP24" i="520"/>
  <c r="RN24" i="520"/>
  <c r="QB24" i="520"/>
  <c r="LD24" i="520"/>
  <c r="LM24" i="520"/>
  <c r="QK24" i="520"/>
  <c r="SI25" i="520"/>
  <c r="NK25" i="520"/>
  <c r="RZ25" i="520"/>
  <c r="NB25" i="520"/>
  <c r="QB25" i="520"/>
  <c r="LD25" i="520"/>
  <c r="QK25" i="520"/>
  <c r="LM25" i="520"/>
  <c r="QK10" i="520"/>
  <c r="LM10" i="520"/>
  <c r="SL10" i="520"/>
  <c r="NN10" i="520"/>
  <c r="QT10" i="520"/>
  <c r="LV10" i="520"/>
  <c r="RC10" i="520"/>
  <c r="ME10" i="520"/>
  <c r="NI23" i="520"/>
  <c r="SG23" i="520"/>
  <c r="RS23" i="520"/>
  <c r="MU23" i="520"/>
  <c r="QB23" i="520"/>
  <c r="LD23" i="520"/>
  <c r="QK23" i="520"/>
  <c r="LM23" i="520"/>
  <c r="SK27" i="520"/>
  <c r="NM27" i="520"/>
  <c r="QD27" i="520"/>
  <c r="LF27" i="520"/>
  <c r="RK27" i="520"/>
  <c r="MM27" i="520"/>
  <c r="RC27" i="520"/>
  <c r="ME27" i="520"/>
  <c r="SI22" i="520"/>
  <c r="NK22" i="520"/>
  <c r="SC22" i="520"/>
  <c r="NE22" i="520"/>
  <c r="QB22" i="520"/>
  <c r="LD22" i="520"/>
  <c r="QK22" i="520"/>
  <c r="LM22" i="520"/>
  <c r="SD9" i="520"/>
  <c r="NF9" i="520"/>
  <c r="RL9" i="520"/>
  <c r="MN9" i="520"/>
  <c r="RF9" i="520"/>
  <c r="MH9" i="520"/>
  <c r="RR9" i="520"/>
  <c r="MT9" i="520"/>
  <c r="RG4" i="520"/>
  <c r="MI4" i="520"/>
  <c r="NL4" i="520"/>
  <c r="SJ4" i="520"/>
  <c r="RE4" i="520"/>
  <c r="MG4" i="520"/>
  <c r="QO4" i="520"/>
  <c r="LQ4" i="520"/>
  <c r="SG15" i="520"/>
  <c r="NI15" i="520"/>
  <c r="RS15" i="520"/>
  <c r="MU15" i="520"/>
  <c r="QA15" i="520"/>
  <c r="LC15" i="520"/>
  <c r="RR15" i="520"/>
  <c r="MT15" i="520"/>
  <c r="SI13" i="520"/>
  <c r="NK13" i="520"/>
  <c r="RX13" i="520"/>
  <c r="MZ13" i="520"/>
  <c r="RF13" i="520"/>
  <c r="MH13" i="520"/>
  <c r="RR13" i="520"/>
  <c r="MT13" i="520"/>
  <c r="RX7" i="520"/>
  <c r="MZ7" i="520"/>
  <c r="SF7" i="520"/>
  <c r="NH7" i="520"/>
  <c r="RF7" i="520"/>
  <c r="MH7" i="520"/>
  <c r="RR7" i="520"/>
  <c r="MT7" i="520"/>
  <c r="RW11" i="520"/>
  <c r="MY11" i="520"/>
  <c r="SI11" i="520"/>
  <c r="NK11" i="520"/>
  <c r="RF11" i="520"/>
  <c r="MH11" i="520"/>
  <c r="RR11" i="520"/>
  <c r="MT11" i="520"/>
  <c r="SG28" i="520"/>
  <c r="NI28" i="520"/>
  <c r="RR28" i="520"/>
  <c r="MT28" i="520"/>
  <c r="SH28" i="520"/>
  <c r="NJ28" i="520"/>
  <c r="RV28" i="520"/>
  <c r="MX28" i="520"/>
  <c r="NK5" i="520"/>
  <c r="SI5" i="520"/>
  <c r="NM5" i="520"/>
  <c r="SK5" i="520"/>
  <c r="RE5" i="520"/>
  <c r="MG5" i="520"/>
  <c r="RQ5" i="520"/>
  <c r="MS5" i="520"/>
  <c r="MS20" i="520"/>
  <c r="RQ20" i="520"/>
  <c r="SL20" i="520"/>
  <c r="NN20" i="520"/>
  <c r="QA20" i="520"/>
  <c r="LC20" i="520"/>
  <c r="MA20" i="520"/>
  <c r="QY20" i="520"/>
  <c r="SI14" i="520"/>
  <c r="NK14" i="520"/>
  <c r="SL14" i="520"/>
  <c r="NN14" i="520"/>
  <c r="QP14" i="520"/>
  <c r="LR14" i="520"/>
  <c r="QI14" i="520"/>
  <c r="LK14" i="520"/>
  <c r="QS6" i="520"/>
  <c r="LU6" i="520"/>
  <c r="NB6" i="520"/>
  <c r="RZ6" i="520"/>
  <c r="MJ6" i="520"/>
  <c r="RH6" i="520"/>
  <c r="RQ6" i="520"/>
  <c r="MS6" i="520"/>
  <c r="NK19" i="520"/>
  <c r="SI19" i="520"/>
  <c r="RZ19" i="520"/>
  <c r="NB19" i="520"/>
  <c r="RI19" i="520"/>
  <c r="MK19" i="520"/>
  <c r="QY19" i="520"/>
  <c r="MA19" i="520"/>
  <c r="RL17" i="520"/>
  <c r="MN17" i="520"/>
  <c r="LU17" i="520"/>
  <c r="QS17" i="520"/>
  <c r="RF17" i="520"/>
  <c r="MH17" i="520"/>
  <c r="QI17" i="520"/>
  <c r="LK17" i="520"/>
  <c r="SG16" i="520"/>
  <c r="NI16" i="520"/>
  <c r="RB16" i="520"/>
  <c r="MD16" i="520"/>
  <c r="RF16" i="520"/>
  <c r="MH16" i="520"/>
  <c r="LK16" i="520"/>
  <c r="QI16" i="520"/>
  <c r="SF18" i="520"/>
  <c r="NH18" i="520"/>
  <c r="QS18" i="520"/>
  <c r="LU18" i="520"/>
  <c r="RF18" i="520"/>
  <c r="MH18" i="520"/>
  <c r="QI18" i="520"/>
  <c r="LK18" i="520"/>
  <c r="SK21" i="520"/>
  <c r="NM21" i="520"/>
  <c r="RZ21" i="520"/>
  <c r="NB21" i="520"/>
  <c r="QA21" i="520"/>
  <c r="LC21" i="520"/>
  <c r="QY21" i="520"/>
  <c r="MA21" i="520"/>
  <c r="SA8" i="520"/>
  <c r="NC8" i="520"/>
  <c r="SF8" i="520"/>
  <c r="NH8" i="520"/>
  <c r="QP8" i="520"/>
  <c r="LR8" i="520"/>
  <c r="QY8" i="520"/>
  <c r="MA8" i="520"/>
  <c r="RN26" i="520"/>
  <c r="MP26" i="520"/>
  <c r="RQ26" i="520"/>
  <c r="MS26" i="520"/>
  <c r="QB26" i="520"/>
  <c r="LD26" i="520"/>
  <c r="QK26" i="520"/>
  <c r="LM26" i="520"/>
  <c r="MY24" i="520"/>
  <c r="RW24" i="520"/>
  <c r="SB24" i="520"/>
  <c r="ND24" i="520"/>
  <c r="RJ24" i="520"/>
  <c r="ML24" i="520"/>
  <c r="QJ24" i="520"/>
  <c r="LL24" i="520"/>
  <c r="RM25" i="520"/>
  <c r="MO25" i="520"/>
  <c r="RY25" i="520"/>
  <c r="NA25" i="520"/>
  <c r="RJ25" i="520"/>
  <c r="ML25" i="520"/>
  <c r="QJ25" i="520"/>
  <c r="LL25" i="520"/>
  <c r="QZ10" i="520"/>
  <c r="MB10" i="520"/>
  <c r="QI10" i="520"/>
  <c r="LK10" i="520"/>
  <c r="SE10" i="520"/>
  <c r="NG10" i="520"/>
  <c r="RL10" i="520"/>
  <c r="MN10" i="520"/>
  <c r="QD23" i="520"/>
  <c r="LF23" i="520"/>
  <c r="RQ23" i="520"/>
  <c r="MS23" i="520"/>
  <c r="RJ23" i="520"/>
  <c r="ML23" i="520"/>
  <c r="QJ23" i="520"/>
  <c r="LL23" i="520"/>
  <c r="SJ27" i="520"/>
  <c r="NL27" i="520"/>
  <c r="RZ27" i="520"/>
  <c r="NB27" i="520"/>
  <c r="QR27" i="520"/>
  <c r="LT27" i="520"/>
  <c r="QM27" i="520"/>
  <c r="LO27" i="520"/>
  <c r="SG22" i="520"/>
  <c r="NI22" i="520"/>
  <c r="RL22" i="520"/>
  <c r="MN22" i="520"/>
  <c r="RJ22" i="520"/>
  <c r="ML22" i="520"/>
  <c r="QJ22" i="520"/>
  <c r="LL22" i="520"/>
  <c r="ND9" i="520"/>
  <c r="SB9" i="520"/>
  <c r="SI9" i="520"/>
  <c r="NK9" i="520"/>
  <c r="QP9" i="520"/>
  <c r="LR9" i="520"/>
  <c r="MA9" i="520"/>
  <c r="QY9" i="520"/>
  <c r="RX4" i="520"/>
  <c r="MZ4" i="520"/>
  <c r="RH4" i="520"/>
  <c r="MJ4" i="520"/>
  <c r="QE4" i="520"/>
  <c r="LG4" i="520"/>
  <c r="QN4" i="520"/>
  <c r="LP4" i="520"/>
  <c r="QZ15" i="520"/>
  <c r="MB15" i="520"/>
  <c r="RX15" i="520"/>
  <c r="MZ15" i="520"/>
  <c r="MK15" i="520"/>
  <c r="RI15" i="520"/>
  <c r="QY15" i="520"/>
  <c r="MA15" i="520"/>
  <c r="SH13" i="520"/>
  <c r="NJ13" i="520"/>
  <c r="MY13" i="520"/>
  <c r="RW13" i="520"/>
  <c r="QP13" i="520"/>
  <c r="LR13" i="520"/>
  <c r="QY13" i="520"/>
  <c r="MA13" i="520"/>
  <c r="RS7" i="520"/>
  <c r="MU7" i="520"/>
  <c r="LV7" i="520"/>
  <c r="QT7" i="520"/>
  <c r="QP7" i="520"/>
  <c r="LR7" i="520"/>
  <c r="QY7" i="520"/>
  <c r="MA7" i="520"/>
  <c r="QT11" i="520"/>
  <c r="LV11" i="520"/>
  <c r="RT11" i="520"/>
  <c r="MV11" i="520"/>
  <c r="QP11" i="520"/>
  <c r="LR11" i="520"/>
  <c r="QY11" i="520"/>
  <c r="MA11" i="520"/>
  <c r="SC28" i="520"/>
  <c r="NE28" i="520"/>
  <c r="QZ28" i="520"/>
  <c r="MB28" i="520"/>
  <c r="RK28" i="520"/>
  <c r="MM28" i="520"/>
  <c r="RC28" i="520"/>
  <c r="ME28" i="520"/>
  <c r="LU5" i="520"/>
  <c r="QS5" i="520"/>
  <c r="RB5" i="520"/>
  <c r="MD5" i="520"/>
  <c r="QO5" i="520"/>
  <c r="LQ5" i="520"/>
  <c r="QX5" i="520"/>
  <c r="LZ5" i="520"/>
  <c r="NI20" i="520"/>
  <c r="SG20" i="520"/>
  <c r="RU20" i="520"/>
  <c r="MW20" i="520"/>
  <c r="RI20" i="520"/>
  <c r="MK20" i="520"/>
  <c r="QI20" i="520"/>
  <c r="LK20" i="520"/>
  <c r="SF14" i="520"/>
  <c r="NH14" i="520"/>
  <c r="RU14" i="520"/>
  <c r="MW14" i="520"/>
  <c r="RY14" i="520"/>
  <c r="NA14" i="520"/>
  <c r="RQ14" i="520"/>
  <c r="MS14" i="520"/>
  <c r="LN6" i="520"/>
  <c r="QL6" i="520"/>
  <c r="RX6" i="520"/>
  <c r="MZ6" i="520"/>
  <c r="RE6" i="520"/>
  <c r="MG6" i="520"/>
  <c r="QX6" i="520"/>
  <c r="LZ6" i="520"/>
  <c r="NH19" i="520"/>
  <c r="SF19" i="520"/>
  <c r="LN19" i="520"/>
  <c r="QL19" i="520"/>
  <c r="RF19" i="520"/>
  <c r="MH19" i="520"/>
  <c r="QI19" i="520"/>
  <c r="LK19" i="520"/>
  <c r="SA17" i="520"/>
  <c r="NC17" i="520"/>
  <c r="SL17" i="520"/>
  <c r="NN17" i="520"/>
  <c r="QP17" i="520"/>
  <c r="LR17" i="520"/>
  <c r="RQ17" i="520"/>
  <c r="MS17" i="520"/>
  <c r="NH16" i="520"/>
  <c r="SF16" i="520"/>
  <c r="SK16" i="520"/>
  <c r="NM16" i="520"/>
  <c r="LR16" i="520"/>
  <c r="QP16" i="520"/>
  <c r="RQ16" i="520"/>
  <c r="MS16" i="520"/>
  <c r="SE18" i="520"/>
  <c r="NG18" i="520"/>
  <c r="RW18" i="520"/>
  <c r="MY18" i="520"/>
  <c r="QP18" i="520"/>
  <c r="LR18" i="520"/>
  <c r="RQ18" i="520"/>
  <c r="MS18" i="520"/>
  <c r="SG21" i="520"/>
  <c r="NI21" i="520"/>
  <c r="RS21" i="520"/>
  <c r="MU21" i="520"/>
  <c r="RI21" i="520"/>
  <c r="MK21" i="520"/>
  <c r="QI21" i="520"/>
  <c r="LK21" i="520"/>
  <c r="SD8" i="520"/>
  <c r="NF8" i="520"/>
  <c r="RS8" i="520"/>
  <c r="MU8" i="520"/>
  <c r="RY8" i="520"/>
  <c r="NA8" i="520"/>
  <c r="QI8" i="520"/>
  <c r="LK8" i="520"/>
  <c r="MZ26" i="520"/>
  <c r="RX26" i="520"/>
  <c r="RZ26" i="520"/>
  <c r="NB26" i="520"/>
  <c r="RJ26" i="520"/>
  <c r="ML26" i="520"/>
  <c r="QJ26" i="520"/>
  <c r="LL26" i="520"/>
  <c r="SJ24" i="520"/>
  <c r="NL24" i="520"/>
  <c r="MO24" i="520"/>
  <c r="RM24" i="520"/>
  <c r="QQ24" i="520"/>
  <c r="LS24" i="520"/>
  <c r="RR24" i="520"/>
  <c r="MT24" i="520"/>
  <c r="SG25" i="520"/>
  <c r="NI25" i="520"/>
  <c r="RU25" i="520"/>
  <c r="MW25" i="520"/>
  <c r="LS25" i="520"/>
  <c r="QQ25" i="520"/>
  <c r="RR25" i="520"/>
  <c r="MT25" i="520"/>
  <c r="RI10" i="520"/>
  <c r="MK10" i="520"/>
  <c r="SH10" i="520"/>
  <c r="NJ10" i="520"/>
  <c r="RG10" i="520"/>
  <c r="MI10" i="520"/>
  <c r="LD10" i="520"/>
  <c r="QB10" i="520"/>
  <c r="SI23" i="520"/>
  <c r="NK23" i="520"/>
  <c r="RW23" i="520"/>
  <c r="MY23" i="520"/>
  <c r="QQ23" i="520"/>
  <c r="LS23" i="520"/>
  <c r="RR23" i="520"/>
  <c r="MT23" i="520"/>
  <c r="SG27" i="520"/>
  <c r="NI27" i="520"/>
  <c r="RY27" i="520"/>
  <c r="NA27" i="520"/>
  <c r="QB27" i="520"/>
  <c r="LD27" i="520"/>
  <c r="QK27" i="520"/>
  <c r="LM27" i="520"/>
  <c r="RS22" i="520"/>
  <c r="MU22" i="520"/>
  <c r="QS22" i="520"/>
  <c r="LU22" i="520"/>
  <c r="QQ22" i="520"/>
  <c r="LS22" i="520"/>
  <c r="RR22" i="520"/>
  <c r="MT22" i="520"/>
  <c r="NC9" i="520"/>
  <c r="SA9" i="520"/>
  <c r="SH9" i="520"/>
  <c r="NJ9" i="520"/>
  <c r="RY9" i="520"/>
  <c r="NA9" i="520"/>
  <c r="QI9" i="520"/>
  <c r="LK9" i="520"/>
  <c r="RZ4" i="520"/>
  <c r="NB4" i="520"/>
  <c r="RI4" i="520"/>
  <c r="MK4" i="520"/>
  <c r="RS4" i="520"/>
  <c r="MU4" i="520"/>
  <c r="QM4" i="520"/>
  <c r="LO4" i="520"/>
  <c r="QD15" i="520"/>
  <c r="LF15" i="520"/>
  <c r="RM15" i="520"/>
  <c r="MO15" i="520"/>
  <c r="RF15" i="520"/>
  <c r="MH15" i="520"/>
  <c r="QI15" i="520"/>
  <c r="LK15" i="520"/>
  <c r="NH13" i="520"/>
  <c r="SF13" i="520"/>
  <c r="QT13" i="520"/>
  <c r="LV13" i="520"/>
  <c r="RY13" i="520"/>
  <c r="NA13" i="520"/>
  <c r="QI13" i="520"/>
  <c r="LK13" i="520"/>
  <c r="QD7" i="520"/>
  <c r="LF7" i="520"/>
  <c r="SE7" i="520"/>
  <c r="NG7" i="520"/>
  <c r="RY7" i="520"/>
  <c r="NA7" i="520"/>
  <c r="QI7" i="520"/>
  <c r="LK7" i="520"/>
  <c r="SD11" i="520"/>
  <c r="NF11" i="520"/>
  <c r="SH11" i="520"/>
  <c r="NJ11" i="520"/>
  <c r="RY11" i="520"/>
  <c r="NA11" i="520"/>
  <c r="QI11" i="520"/>
  <c r="LK11" i="520"/>
  <c r="SF28" i="520"/>
  <c r="NH28" i="520"/>
  <c r="QC28" i="520"/>
  <c r="LE28" i="520"/>
  <c r="QR28" i="520"/>
  <c r="LT28" i="520"/>
  <c r="QM28" i="520"/>
  <c r="LO28" i="520"/>
  <c r="NJ5" i="520"/>
  <c r="SH5" i="520"/>
  <c r="SB5" i="520"/>
  <c r="ND5" i="520"/>
  <c r="RG5" i="520"/>
  <c r="MI5" i="520"/>
  <c r="QH5" i="520"/>
  <c r="LJ5" i="520"/>
  <c r="RL20" i="520"/>
  <c r="MN20" i="520"/>
  <c r="MC20" i="520"/>
  <c r="RA20" i="520"/>
  <c r="RF20" i="520"/>
  <c r="MH20" i="520"/>
  <c r="QX20" i="520"/>
  <c r="LZ20" i="520"/>
  <c r="QL14" i="520"/>
  <c r="LN14" i="520"/>
  <c r="SK14" i="520"/>
  <c r="NM14" i="520"/>
  <c r="RH14" i="520"/>
  <c r="MJ14" i="520"/>
  <c r="QX14" i="520"/>
  <c r="LZ14" i="520"/>
  <c r="SL6" i="520"/>
  <c r="NN6" i="520"/>
  <c r="RB6" i="520"/>
  <c r="MD6" i="520"/>
  <c r="LQ6" i="520"/>
  <c r="QO6" i="520"/>
  <c r="QH6" i="520"/>
  <c r="LJ6" i="520"/>
  <c r="MW19" i="520"/>
  <c r="RU19" i="520"/>
  <c r="RY19" i="520"/>
  <c r="NA19" i="520"/>
  <c r="QP19" i="520"/>
  <c r="LR19" i="520"/>
  <c r="LZ19" i="520"/>
  <c r="QX19" i="520"/>
  <c r="SJ17" i="520"/>
  <c r="NL17" i="520"/>
  <c r="QL17" i="520"/>
  <c r="LN17" i="520"/>
  <c r="RH17" i="520"/>
  <c r="MJ17" i="520"/>
  <c r="QX17" i="520"/>
  <c r="LZ17" i="520"/>
  <c r="RU16" i="520"/>
  <c r="MW16" i="520"/>
  <c r="MB16" i="520"/>
  <c r="QZ16" i="520"/>
  <c r="MJ16" i="520"/>
  <c r="RH16" i="520"/>
  <c r="QX16" i="520"/>
  <c r="LZ16" i="520"/>
  <c r="SD18" i="520"/>
  <c r="NF18" i="520"/>
  <c r="RM18" i="520"/>
  <c r="MO18" i="520"/>
  <c r="RH18" i="520"/>
  <c r="MJ18" i="520"/>
  <c r="QX18" i="520"/>
  <c r="LZ18" i="520"/>
  <c r="SF21" i="520"/>
  <c r="NH21" i="520"/>
  <c r="RY21" i="520"/>
  <c r="NA21" i="520"/>
  <c r="RF21" i="520"/>
  <c r="MH21" i="520"/>
  <c r="QX21" i="520"/>
  <c r="LZ21" i="520"/>
  <c r="RZ8" i="520"/>
  <c r="NB8" i="520"/>
  <c r="SE8" i="520"/>
  <c r="NG8" i="520"/>
  <c r="RH8" i="520"/>
  <c r="MJ8" i="520"/>
  <c r="RQ8" i="520"/>
  <c r="MS8" i="520"/>
  <c r="SK26" i="520"/>
  <c r="NM26" i="520"/>
  <c r="RM26" i="520"/>
  <c r="MO26" i="520"/>
  <c r="LS26" i="520"/>
  <c r="QQ26" i="520"/>
  <c r="RR26" i="520"/>
  <c r="MT26" i="520"/>
  <c r="QD24" i="520"/>
  <c r="LF24" i="520"/>
  <c r="RA24" i="520"/>
  <c r="MC24" i="520"/>
  <c r="QA24" i="520"/>
  <c r="LC24" i="520"/>
  <c r="QY24" i="520"/>
  <c r="MA24" i="520"/>
  <c r="SF25" i="520"/>
  <c r="NH25" i="520"/>
  <c r="RT25" i="520"/>
  <c r="MV25" i="520"/>
  <c r="LC25" i="520"/>
  <c r="QA25" i="520"/>
  <c r="QY25" i="520"/>
  <c r="MA25" i="520"/>
  <c r="SF10" i="520"/>
  <c r="NH10" i="520"/>
  <c r="QU10" i="520"/>
  <c r="LW10" i="520"/>
  <c r="RP10" i="520"/>
  <c r="MR10" i="520"/>
  <c r="QM10" i="520"/>
  <c r="LO10" i="520"/>
  <c r="QT23" i="520"/>
  <c r="LV23" i="520"/>
  <c r="NN23" i="520"/>
  <c r="SL23" i="520"/>
  <c r="QA23" i="520"/>
  <c r="LC23" i="520"/>
  <c r="QY23" i="520"/>
  <c r="MA23" i="520"/>
  <c r="RM27" i="520"/>
  <c r="MO27" i="520"/>
  <c r="RA27" i="520"/>
  <c r="MC27" i="520"/>
  <c r="RJ27" i="520"/>
  <c r="ML27" i="520"/>
  <c r="QJ27" i="520"/>
  <c r="LL27" i="520"/>
  <c r="RB22" i="520"/>
  <c r="MD22" i="520"/>
  <c r="SB22" i="520"/>
  <c r="ND22" i="520"/>
  <c r="QA22" i="520"/>
  <c r="LC22" i="520"/>
  <c r="QY22" i="520"/>
  <c r="MA22" i="520"/>
  <c r="SL9" i="520"/>
  <c r="NN9" i="520"/>
  <c r="NI9" i="520"/>
  <c r="SG9" i="520"/>
  <c r="RH9" i="520"/>
  <c r="MJ9" i="520"/>
  <c r="RQ9" i="520"/>
  <c r="MS9" i="520"/>
  <c r="RO4" i="520"/>
  <c r="MQ4" i="520"/>
  <c r="SL4" i="520"/>
  <c r="NN4" i="520"/>
  <c r="RF4" i="520"/>
  <c r="MH4" i="520"/>
  <c r="QX4" i="520"/>
  <c r="LZ4" i="520"/>
  <c r="RU15" i="520"/>
  <c r="MW15" i="520"/>
  <c r="RW15" i="520"/>
  <c r="MY15" i="520"/>
  <c r="QP15" i="520"/>
  <c r="LR15" i="520"/>
  <c r="RQ15" i="520"/>
  <c r="MS15" i="520"/>
  <c r="MW13" i="520"/>
  <c r="RU13" i="520"/>
  <c r="RZ13" i="520"/>
  <c r="NB13" i="520"/>
  <c r="RH13" i="520"/>
  <c r="MJ13" i="520"/>
  <c r="RQ13" i="520"/>
  <c r="MS13" i="520"/>
  <c r="SA7" i="520"/>
  <c r="NC7" i="520"/>
  <c r="QS7" i="520"/>
  <c r="LU7" i="520"/>
  <c r="RH7" i="520"/>
  <c r="MJ7" i="520"/>
  <c r="RQ7" i="520"/>
  <c r="MS7" i="520"/>
  <c r="SF11" i="520"/>
  <c r="NH11" i="520"/>
  <c r="RS11" i="520"/>
  <c r="MU11" i="520"/>
  <c r="RH11" i="520"/>
  <c r="MJ11" i="520"/>
  <c r="RQ11" i="520"/>
  <c r="MS11" i="520"/>
  <c r="RU28" i="520"/>
  <c r="MW28" i="520"/>
  <c r="SB28" i="520"/>
  <c r="ND28" i="520"/>
  <c r="QB28" i="520"/>
  <c r="LD28" i="520"/>
  <c r="QK28" i="520"/>
  <c r="LM28" i="520"/>
  <c r="NE5" i="520"/>
  <c r="SC5" i="520"/>
  <c r="MM5" i="520"/>
  <c r="RK5" i="520"/>
  <c r="RD5" i="520"/>
  <c r="MF5" i="520"/>
  <c r="RP5" i="520"/>
  <c r="MR5" i="520"/>
  <c r="SF20" i="520"/>
  <c r="NH20" i="520"/>
  <c r="RT20" i="520"/>
  <c r="MV20" i="520"/>
  <c r="QP20" i="520"/>
  <c r="LR20" i="520"/>
  <c r="QH20" i="520"/>
  <c r="LJ20" i="520"/>
  <c r="QD14" i="520"/>
  <c r="LF14" i="520"/>
  <c r="RT14" i="520"/>
  <c r="MV14" i="520"/>
  <c r="RE14" i="520"/>
  <c r="MG14" i="520"/>
  <c r="QH14" i="520"/>
  <c r="LJ14" i="520"/>
  <c r="QD6" i="520"/>
  <c r="LF6" i="520"/>
  <c r="QT6" i="520"/>
  <c r="LV6" i="520"/>
  <c r="MI6" i="520"/>
  <c r="RG6" i="520"/>
  <c r="RP6" i="520"/>
  <c r="MR6" i="520"/>
  <c r="QT19" i="520"/>
  <c r="LV19" i="520"/>
  <c r="QD19" i="520"/>
  <c r="LF19" i="520"/>
  <c r="MJ19" i="520"/>
  <c r="RH19" i="520"/>
  <c r="LJ19" i="520"/>
  <c r="QH19" i="520"/>
  <c r="RS17" i="520"/>
  <c r="MU17" i="520"/>
  <c r="SK17" i="520"/>
  <c r="NM17" i="520"/>
  <c r="RE17" i="520"/>
  <c r="MG17" i="520"/>
  <c r="LJ17" i="520"/>
  <c r="QH17" i="520"/>
  <c r="RT16" i="520"/>
  <c r="MV16" i="520"/>
  <c r="NC16" i="520"/>
  <c r="SA16" i="520"/>
  <c r="RE16" i="520"/>
  <c r="MG16" i="520"/>
  <c r="LJ16" i="520"/>
  <c r="QH16" i="520"/>
  <c r="RB18" i="520"/>
  <c r="MD18" i="520"/>
  <c r="QD18" i="520"/>
  <c r="LF18" i="520"/>
  <c r="RE18" i="520"/>
  <c r="MG18" i="520"/>
  <c r="QH18" i="520"/>
  <c r="LJ18" i="520"/>
  <c r="SJ21" i="520"/>
  <c r="NL21" i="520"/>
  <c r="RQ21" i="520"/>
  <c r="MS21" i="520"/>
  <c r="QP21" i="520"/>
  <c r="LR21" i="520"/>
  <c r="QH21" i="520"/>
  <c r="LJ21" i="520"/>
  <c r="RX8" i="520"/>
  <c r="MZ8" i="520"/>
  <c r="RM8" i="520"/>
  <c r="MO8" i="520"/>
  <c r="RE8" i="520"/>
  <c r="MG8" i="520"/>
  <c r="QX8" i="520"/>
  <c r="LZ8" i="520"/>
  <c r="QZ26" i="520"/>
  <c r="MB26" i="520"/>
  <c r="RY26" i="520"/>
  <c r="NA26" i="520"/>
  <c r="QA26" i="520"/>
  <c r="LC26" i="520"/>
  <c r="QY26" i="520"/>
  <c r="MA26" i="520"/>
  <c r="SG24" i="520"/>
  <c r="NI24" i="520"/>
  <c r="RL24" i="520"/>
  <c r="MN24" i="520"/>
  <c r="RI24" i="520"/>
  <c r="MK24" i="520"/>
  <c r="QI24" i="520"/>
  <c r="LK24" i="520"/>
  <c r="RB25" i="520"/>
  <c r="MD25" i="520"/>
  <c r="SL25" i="520"/>
  <c r="NN25" i="520"/>
  <c r="RI25" i="520"/>
  <c r="MK25" i="520"/>
  <c r="QI25" i="520"/>
  <c r="LK25" i="520"/>
  <c r="SJ10" i="520"/>
  <c r="NL10" i="520"/>
  <c r="NE10" i="520"/>
  <c r="SC10" i="520"/>
  <c r="QP10" i="520"/>
  <c r="LR10" i="520"/>
  <c r="QF10" i="520"/>
  <c r="LH10" i="520"/>
  <c r="SF23" i="520"/>
  <c r="NH23" i="520"/>
  <c r="RN23" i="520"/>
  <c r="MP23" i="520"/>
  <c r="RI23" i="520"/>
  <c r="MK23" i="520"/>
  <c r="QI23" i="520"/>
  <c r="LK23" i="520"/>
  <c r="SA27" i="520"/>
  <c r="NC27" i="520"/>
  <c r="QZ27" i="520"/>
  <c r="MB27" i="520"/>
  <c r="QQ27" i="520"/>
  <c r="LS27" i="520"/>
  <c r="QY27" i="520"/>
  <c r="MA27" i="520"/>
  <c r="SJ22" i="520"/>
  <c r="NL22" i="520"/>
  <c r="RZ22" i="520"/>
  <c r="NB22" i="520"/>
  <c r="RI22" i="520"/>
  <c r="MK22" i="520"/>
  <c r="QI22" i="520"/>
  <c r="LK22" i="520"/>
  <c r="NB9" i="520"/>
  <c r="RZ9" i="520"/>
  <c r="QL9" i="520"/>
  <c r="LN9" i="520"/>
  <c r="RE9" i="520"/>
  <c r="MG9" i="520"/>
  <c r="QX9" i="520"/>
  <c r="LZ9" i="520"/>
  <c r="LX4" i="520"/>
  <c r="QV4" i="520"/>
  <c r="RJ4" i="520"/>
  <c r="ML4" i="520"/>
  <c r="QD4" i="520"/>
  <c r="LF4" i="520"/>
  <c r="QL4" i="520"/>
  <c r="LN4" i="520"/>
  <c r="SF15" i="520"/>
  <c r="NH15" i="520"/>
  <c r="RL15" i="520"/>
  <c r="MN15" i="520"/>
  <c r="RH15" i="520"/>
  <c r="MJ15" i="520"/>
  <c r="QX15" i="520"/>
  <c r="LZ15" i="520"/>
  <c r="SE13" i="520"/>
  <c r="NG13" i="520"/>
  <c r="LU13" i="520"/>
  <c r="QS13" i="520"/>
  <c r="RE13" i="520"/>
  <c r="MG13" i="520"/>
  <c r="QX13" i="520"/>
  <c r="LZ13" i="520"/>
  <c r="MW7" i="520"/>
  <c r="RU7" i="520"/>
  <c r="NF7" i="520"/>
  <c r="SD7" i="520"/>
  <c r="RE7" i="520"/>
  <c r="MG7" i="520"/>
  <c r="LZ7" i="520"/>
  <c r="QX7" i="520"/>
  <c r="NE11" i="520"/>
  <c r="SC11" i="520"/>
  <c r="RM11" i="520"/>
  <c r="MO11" i="520"/>
  <c r="RE11" i="520"/>
  <c r="MG11" i="520"/>
  <c r="QX11" i="520"/>
  <c r="LZ11" i="520"/>
  <c r="QS28" i="520"/>
  <c r="LU28" i="520"/>
  <c r="RQ28" i="520"/>
  <c r="MS28" i="520"/>
  <c r="RJ28" i="520"/>
  <c r="ML28" i="520"/>
  <c r="QJ28" i="520"/>
  <c r="LL28" i="520"/>
  <c r="NI5" i="520"/>
  <c r="SG5" i="520"/>
  <c r="LT5" i="520"/>
  <c r="QR5" i="520"/>
  <c r="QN5" i="520"/>
  <c r="LP5" i="520"/>
  <c r="LY5" i="520"/>
  <c r="QW5" i="520"/>
  <c r="SK20" i="520"/>
  <c r="NM20" i="520"/>
  <c r="QZ20" i="520"/>
  <c r="MB20" i="520"/>
  <c r="RH20" i="520"/>
  <c r="MJ20" i="520"/>
  <c r="RP20" i="520"/>
  <c r="MR20" i="520"/>
  <c r="SE14" i="520"/>
  <c r="NG14" i="520"/>
  <c r="SJ14" i="520"/>
  <c r="NL14" i="520"/>
  <c r="LQ14" i="520"/>
  <c r="QO14" i="520"/>
  <c r="RP14" i="520"/>
  <c r="MR14" i="520"/>
  <c r="SK6" i="520"/>
  <c r="NM6" i="520"/>
  <c r="SB6" i="520"/>
  <c r="ND6" i="520"/>
  <c r="RD6" i="520"/>
  <c r="MF6" i="520"/>
  <c r="QW6" i="520"/>
  <c r="LY6" i="520"/>
  <c r="MV19" i="520"/>
  <c r="RT19" i="520"/>
  <c r="MZ19" i="520"/>
  <c r="RX19" i="520"/>
  <c r="MG19" i="520"/>
  <c r="RE19" i="520"/>
  <c r="MR19" i="520"/>
  <c r="RP19" i="520"/>
  <c r="SF17" i="520"/>
  <c r="NH17" i="520"/>
  <c r="RU17" i="520"/>
  <c r="MW17" i="520"/>
  <c r="QO17" i="520"/>
  <c r="LQ17" i="520"/>
  <c r="RP17" i="520"/>
  <c r="MR17" i="520"/>
  <c r="SE16" i="520"/>
  <c r="NG16" i="520"/>
  <c r="QT16" i="520"/>
  <c r="LV16" i="520"/>
  <c r="QO16" i="520"/>
  <c r="LQ16" i="520"/>
  <c r="RP16" i="520"/>
  <c r="MR16" i="520"/>
  <c r="SC18" i="520"/>
  <c r="NE18" i="520"/>
  <c r="NN18" i="520"/>
  <c r="SL18" i="520"/>
  <c r="QO18" i="520"/>
  <c r="LQ18" i="520"/>
  <c r="RP18" i="520"/>
  <c r="MR18" i="520"/>
  <c r="SE21" i="520"/>
  <c r="NG21" i="520"/>
  <c r="QT21" i="520"/>
  <c r="LV21" i="520"/>
  <c r="RH21" i="520"/>
  <c r="MJ21" i="520"/>
  <c r="RP21" i="520"/>
  <c r="MR21" i="520"/>
  <c r="MY8" i="520"/>
  <c r="RW8" i="520"/>
  <c r="RL8" i="520"/>
  <c r="MN8" i="520"/>
  <c r="LQ8" i="520"/>
  <c r="QO8" i="520"/>
  <c r="QH8" i="520"/>
  <c r="LJ8" i="520"/>
  <c r="QS26" i="520"/>
  <c r="LU26" i="520"/>
  <c r="RL26" i="520"/>
  <c r="MN26" i="520"/>
  <c r="RI26" i="520"/>
  <c r="MK26" i="520"/>
  <c r="QI26" i="520"/>
  <c r="LK26" i="520"/>
  <c r="RU24" i="520"/>
  <c r="MW24" i="520"/>
  <c r="RZ24" i="520"/>
  <c r="NB24" i="520"/>
  <c r="RF24" i="520"/>
  <c r="MH24" i="520"/>
  <c r="QX24" i="520"/>
  <c r="LZ24" i="520"/>
  <c r="SA25" i="520"/>
  <c r="NC25" i="520"/>
  <c r="RS25" i="520"/>
  <c r="MU25" i="520"/>
  <c r="RF25" i="520"/>
  <c r="MH25" i="520"/>
  <c r="QX25" i="520"/>
  <c r="LZ25" i="520"/>
  <c r="RF10" i="520"/>
  <c r="MH10" i="520"/>
  <c r="RT10" i="520"/>
  <c r="MV10" i="520"/>
  <c r="SA10" i="520"/>
  <c r="NC10" i="520"/>
  <c r="QR10" i="520"/>
  <c r="LT10" i="520"/>
  <c r="SA23" i="520"/>
  <c r="NC23" i="520"/>
  <c r="RB23" i="520"/>
  <c r="MD23" i="520"/>
  <c r="RF23" i="520"/>
  <c r="MH23" i="520"/>
  <c r="QX23" i="520"/>
  <c r="LZ23" i="520"/>
  <c r="RQ27" i="520"/>
  <c r="MS27" i="520"/>
  <c r="RU27" i="520"/>
  <c r="MW27" i="520"/>
  <c r="QA27" i="520"/>
  <c r="LC27" i="520"/>
  <c r="QI27" i="520"/>
  <c r="LK27" i="520"/>
  <c r="SF22" i="520"/>
  <c r="NH22" i="520"/>
  <c r="RY22" i="520"/>
  <c r="NA22" i="520"/>
  <c r="RF22" i="520"/>
  <c r="MH22" i="520"/>
  <c r="QX22" i="520"/>
  <c r="LZ22" i="520"/>
  <c r="MZ9" i="520"/>
  <c r="RX9" i="520"/>
  <c r="SF9" i="520"/>
  <c r="NH9" i="520"/>
  <c r="QO9" i="520"/>
  <c r="LQ9" i="520"/>
  <c r="QH9" i="520"/>
  <c r="LJ9" i="520"/>
  <c r="ND4" i="520"/>
  <c r="SB4" i="520"/>
  <c r="RW4" i="520"/>
  <c r="MY4" i="520"/>
  <c r="RT4" i="520"/>
  <c r="MV4" i="520"/>
  <c r="MA4" i="520"/>
  <c r="QY4" i="520"/>
  <c r="QT15" i="520"/>
  <c r="LV15" i="520"/>
  <c r="SA15" i="520"/>
  <c r="NC15" i="520"/>
  <c r="RE15" i="520"/>
  <c r="MG15" i="520"/>
  <c r="QH15" i="520"/>
  <c r="LJ15" i="520"/>
  <c r="RT13" i="520"/>
  <c r="MV13" i="520"/>
  <c r="SL13" i="520"/>
  <c r="NN13" i="520"/>
  <c r="QO13" i="520"/>
  <c r="LQ13" i="520"/>
  <c r="QH13" i="520"/>
  <c r="LJ13" i="520"/>
  <c r="MY7" i="520"/>
  <c r="RW7" i="520"/>
  <c r="RZ7" i="520"/>
  <c r="NB7" i="520"/>
  <c r="LQ7" i="520"/>
  <c r="QO7" i="520"/>
  <c r="QH7" i="520"/>
  <c r="LJ7" i="520"/>
  <c r="SB11" i="520"/>
  <c r="ND11" i="520"/>
  <c r="RB11" i="520"/>
  <c r="MD11" i="520"/>
  <c r="QO11" i="520"/>
  <c r="LQ11" i="520"/>
  <c r="QH11" i="520"/>
  <c r="LJ11" i="520"/>
  <c r="SE28" i="520"/>
  <c r="NG28" i="520"/>
  <c r="QT28" i="520"/>
  <c r="LV28" i="520"/>
  <c r="QQ28" i="520"/>
  <c r="LS28" i="520"/>
  <c r="QY28" i="520"/>
  <c r="MA28" i="520"/>
  <c r="QL5" i="520"/>
  <c r="LN5" i="520"/>
  <c r="QB5" i="520"/>
  <c r="LD5" i="520"/>
  <c r="RW5" i="520"/>
  <c r="MY5" i="520"/>
  <c r="QG5" i="520"/>
  <c r="LI5" i="520"/>
  <c r="SE20" i="520"/>
  <c r="NG20" i="520"/>
  <c r="RS20" i="520"/>
  <c r="MU20" i="520"/>
  <c r="RE20" i="520"/>
  <c r="MG20" i="520"/>
  <c r="QW20" i="520"/>
  <c r="LY20" i="520"/>
  <c r="SD14" i="520"/>
  <c r="NF14" i="520"/>
  <c r="RS14" i="520"/>
  <c r="MU14" i="520"/>
  <c r="RG14" i="520"/>
  <c r="MI14" i="520"/>
  <c r="QW14" i="520"/>
  <c r="LY14" i="520"/>
  <c r="RU6" i="520"/>
  <c r="MW6" i="520"/>
  <c r="RK6" i="520"/>
  <c r="MM6" i="520"/>
  <c r="QN6" i="520"/>
  <c r="LP6" i="520"/>
  <c r="QG6" i="520"/>
  <c r="LI6" i="520"/>
  <c r="LU19" i="520"/>
  <c r="QS19" i="520"/>
  <c r="MY19" i="520"/>
  <c r="RW19" i="520"/>
  <c r="LQ19" i="520"/>
  <c r="QO19" i="520"/>
  <c r="LY19" i="520"/>
  <c r="QW19" i="520"/>
  <c r="SE17" i="520"/>
  <c r="NG17" i="520"/>
  <c r="QD17" i="520"/>
  <c r="LF17" i="520"/>
  <c r="RG17" i="520"/>
  <c r="MI17" i="520"/>
  <c r="QW17" i="520"/>
  <c r="LY17" i="520"/>
  <c r="SD16" i="520"/>
  <c r="NF16" i="520"/>
  <c r="QL16" i="520"/>
  <c r="LN16" i="520"/>
  <c r="RG16" i="520"/>
  <c r="MI16" i="520"/>
  <c r="QW16" i="520"/>
  <c r="LY16" i="520"/>
  <c r="QZ18" i="520"/>
  <c r="MB18" i="520"/>
  <c r="RL18" i="520"/>
  <c r="MN18" i="520"/>
  <c r="RG18" i="520"/>
  <c r="MI18" i="520"/>
  <c r="QW18" i="520"/>
  <c r="LY18" i="520"/>
  <c r="RW21" i="520"/>
  <c r="MY21" i="520"/>
  <c r="RX21" i="520"/>
  <c r="MZ21" i="520"/>
  <c r="RE21" i="520"/>
  <c r="MG21" i="520"/>
  <c r="QW21" i="520"/>
  <c r="LY21" i="520"/>
  <c r="NN8" i="520"/>
  <c r="SL8" i="520"/>
  <c r="QL8" i="520"/>
  <c r="LN8" i="520"/>
  <c r="RG8" i="520"/>
  <c r="MI8" i="520"/>
  <c r="RP8" i="520"/>
  <c r="MR8" i="520"/>
  <c r="MY26" i="520"/>
  <c r="RW26" i="520"/>
  <c r="QL26" i="520"/>
  <c r="LN26" i="520"/>
  <c r="RF26" i="520"/>
  <c r="MH26" i="520"/>
  <c r="QX26" i="520"/>
  <c r="LZ26" i="520"/>
  <c r="SK24" i="520"/>
  <c r="NM24" i="520"/>
  <c r="NA24" i="520"/>
  <c r="RY24" i="520"/>
  <c r="QP24" i="520"/>
  <c r="LR24" i="520"/>
  <c r="QH24" i="520"/>
  <c r="LJ24" i="520"/>
  <c r="RW25" i="520"/>
  <c r="MY25" i="520"/>
  <c r="QL25" i="520"/>
  <c r="LN25" i="520"/>
  <c r="QP25" i="520"/>
  <c r="LR25" i="520"/>
  <c r="QH25" i="520"/>
  <c r="LJ25" i="520"/>
  <c r="RR10" i="520"/>
  <c r="MT10" i="520"/>
  <c r="SB10" i="520"/>
  <c r="ND10" i="520"/>
  <c r="SD10" i="520"/>
  <c r="NF10" i="520"/>
  <c r="RX10" i="520"/>
  <c r="MZ10" i="520"/>
  <c r="RX23" i="520"/>
  <c r="MZ23" i="520"/>
  <c r="RM23" i="520"/>
  <c r="MO23" i="520"/>
  <c r="QP23" i="520"/>
  <c r="LR23" i="520"/>
  <c r="QH23" i="520"/>
  <c r="LJ23" i="520"/>
  <c r="SF27" i="520"/>
  <c r="NH27" i="520"/>
  <c r="QT27" i="520"/>
  <c r="LV27" i="520"/>
  <c r="RI27" i="520"/>
  <c r="MK27" i="520"/>
  <c r="QX27" i="520"/>
  <c r="LZ27" i="520"/>
  <c r="RQ22" i="520"/>
  <c r="MS22" i="520"/>
  <c r="RX22" i="520"/>
  <c r="MZ22" i="520"/>
  <c r="QP22" i="520"/>
  <c r="LR22" i="520"/>
  <c r="QH22" i="520"/>
  <c r="LJ22" i="520"/>
  <c r="RB9" i="520"/>
  <c r="MD9" i="520"/>
  <c r="QD9" i="520"/>
  <c r="LF9" i="520"/>
  <c r="RG9" i="520"/>
  <c r="MI9" i="520"/>
  <c r="RP9" i="520"/>
  <c r="MR9" i="520"/>
  <c r="RQ4" i="520"/>
  <c r="MS4" i="520"/>
  <c r="RK4" i="520"/>
  <c r="MM4" i="520"/>
  <c r="LU4" i="520"/>
  <c r="QS4" i="520"/>
  <c r="LM4" i="520"/>
  <c r="QK4" i="520"/>
  <c r="QS15" i="520"/>
  <c r="LU15" i="520"/>
  <c r="SL15" i="520"/>
  <c r="NN15" i="520"/>
  <c r="QO15" i="520"/>
  <c r="LQ15" i="520"/>
  <c r="RP15" i="520"/>
  <c r="MR15" i="520"/>
  <c r="SD13" i="520"/>
  <c r="NF13" i="520"/>
  <c r="NM13" i="520"/>
  <c r="SK13" i="520"/>
  <c r="RG13" i="520"/>
  <c r="MI13" i="520"/>
  <c r="MR13" i="520"/>
  <c r="RP13" i="520"/>
  <c r="RM7" i="520"/>
  <c r="MO7" i="520"/>
  <c r="RT7" i="520"/>
  <c r="MV7" i="520"/>
  <c r="RG7" i="520"/>
  <c r="MI7" i="520"/>
  <c r="RP7" i="520"/>
  <c r="MR7" i="520"/>
  <c r="SG11" i="520"/>
  <c r="NI11" i="520"/>
  <c r="RL11" i="520"/>
  <c r="MN11" i="520"/>
  <c r="RG11" i="520"/>
  <c r="MI11" i="520"/>
  <c r="RP11" i="520"/>
  <c r="MR11" i="520"/>
  <c r="RT28" i="520"/>
  <c r="MV28" i="520"/>
  <c r="RZ28" i="520"/>
  <c r="NB28" i="520"/>
  <c r="QA28" i="520"/>
  <c r="LC28" i="520"/>
  <c r="QI28" i="520"/>
  <c r="LK28" i="520"/>
  <c r="NG5" i="520"/>
  <c r="SE5" i="520"/>
  <c r="SA5" i="520"/>
  <c r="NC5" i="520"/>
  <c r="RV5" i="520"/>
  <c r="MX5" i="520"/>
  <c r="NH5" i="520"/>
  <c r="SF5" i="520"/>
  <c r="SD20" i="520"/>
  <c r="NF20" i="520"/>
  <c r="QT20" i="520"/>
  <c r="LV20" i="520"/>
  <c r="QO20" i="520"/>
  <c r="LQ20" i="520"/>
  <c r="QG20" i="520"/>
  <c r="LI20" i="520"/>
  <c r="RB14" i="520"/>
  <c r="MD14" i="520"/>
  <c r="SH14" i="520"/>
  <c r="NJ14" i="520"/>
  <c r="RD14" i="520"/>
  <c r="MF14" i="520"/>
  <c r="QG14" i="520"/>
  <c r="LI14" i="520"/>
  <c r="SJ6" i="520"/>
  <c r="NL6" i="520"/>
  <c r="QR6" i="520"/>
  <c r="LT6" i="520"/>
  <c r="RV6" i="520"/>
  <c r="MX6" i="520"/>
  <c r="NH6" i="520"/>
  <c r="SF6" i="520"/>
  <c r="NC19" i="520"/>
  <c r="SA19" i="520"/>
  <c r="SL19" i="520"/>
  <c r="NN19" i="520"/>
  <c r="MI19" i="520"/>
  <c r="RG19" i="520"/>
  <c r="LI19" i="520"/>
  <c r="QG19" i="520"/>
  <c r="SD17" i="520"/>
  <c r="NF17" i="520"/>
  <c r="RT17" i="520"/>
  <c r="MV17" i="520"/>
  <c r="RD17" i="520"/>
  <c r="MF17" i="520"/>
  <c r="QG17" i="520"/>
  <c r="LI17" i="520"/>
  <c r="RS16" i="520"/>
  <c r="MU16" i="520"/>
  <c r="SI16" i="520"/>
  <c r="NK16" i="520"/>
  <c r="RD16" i="520"/>
  <c r="MF16" i="520"/>
  <c r="QG16" i="520"/>
  <c r="LI16" i="520"/>
  <c r="SB18" i="520"/>
  <c r="ND18" i="520"/>
  <c r="SK18" i="520"/>
  <c r="NM18" i="520"/>
  <c r="RD18" i="520"/>
  <c r="MF18" i="520"/>
  <c r="QG18" i="520"/>
  <c r="LI18" i="520"/>
  <c r="SI21" i="520"/>
  <c r="NK21" i="520"/>
  <c r="RM21" i="520"/>
  <c r="MO21" i="520"/>
  <c r="QO21" i="520"/>
  <c r="LQ21" i="520"/>
  <c r="QG21" i="520"/>
  <c r="LI21" i="520"/>
  <c r="RB8" i="520"/>
  <c r="MD8" i="520"/>
  <c r="QD8" i="520"/>
  <c r="LF8" i="520"/>
  <c r="RD8" i="520"/>
  <c r="MF8" i="520"/>
  <c r="QW8" i="520"/>
  <c r="LY8" i="520"/>
  <c r="SG26" i="520"/>
  <c r="NI26" i="520"/>
  <c r="QD26" i="520"/>
  <c r="LF26" i="520"/>
  <c r="QP26" i="520"/>
  <c r="LR26" i="520"/>
  <c r="QH26" i="520"/>
  <c r="LJ26" i="520"/>
  <c r="SF24" i="520"/>
  <c r="NH24" i="520"/>
  <c r="QZ24" i="520"/>
  <c r="MB24" i="520"/>
  <c r="RH24" i="520"/>
  <c r="MJ24" i="520"/>
  <c r="RP24" i="520"/>
  <c r="MR24" i="520"/>
  <c r="RA25" i="520"/>
  <c r="MC25" i="520"/>
  <c r="RX25" i="520"/>
  <c r="MZ25" i="520"/>
  <c r="RH25" i="520"/>
  <c r="MJ25" i="520"/>
  <c r="RP25" i="520"/>
  <c r="MR25" i="520"/>
  <c r="QY10" i="520"/>
  <c r="MA10" i="520"/>
  <c r="RE10" i="520"/>
  <c r="MG10" i="520"/>
  <c r="MF10" i="520"/>
  <c r="RD10" i="520"/>
  <c r="RJ10" i="520"/>
  <c r="ML10" i="520"/>
  <c r="SJ23" i="520"/>
  <c r="NL23" i="520"/>
  <c r="RA23" i="520"/>
  <c r="MC23" i="520"/>
  <c r="RH23" i="520"/>
  <c r="MJ23" i="520"/>
  <c r="RP23" i="520"/>
  <c r="MR23" i="520"/>
  <c r="RL27" i="520"/>
  <c r="MN27" i="520"/>
  <c r="SL27" i="520"/>
  <c r="NN27" i="520"/>
  <c r="RF27" i="520"/>
  <c r="MH27" i="520"/>
  <c r="QH27" i="520"/>
  <c r="LJ27" i="520"/>
  <c r="RA22" i="520"/>
  <c r="MC22" i="520"/>
  <c r="RW22" i="520"/>
  <c r="MY22" i="520"/>
  <c r="RH22" i="520"/>
  <c r="MJ22" i="520"/>
  <c r="RP22" i="520"/>
  <c r="MR22" i="520"/>
  <c r="RW9" i="520"/>
  <c r="MY9" i="520"/>
  <c r="NG9" i="520"/>
  <c r="SE9" i="520"/>
  <c r="RD9" i="520"/>
  <c r="MF9" i="520"/>
  <c r="QW9" i="520"/>
  <c r="LY9" i="520"/>
  <c r="RC4" i="520"/>
  <c r="ME4" i="520"/>
  <c r="RL4" i="520"/>
  <c r="MN4" i="520"/>
  <c r="QC4" i="520"/>
  <c r="LE4" i="520"/>
  <c r="QZ4" i="520"/>
  <c r="MB4" i="520"/>
  <c r="SJ15" i="520"/>
  <c r="NL15" i="520"/>
  <c r="SK15" i="520"/>
  <c r="NM15" i="520"/>
  <c r="RG15" i="520"/>
  <c r="MI15" i="520"/>
  <c r="QW15" i="520"/>
  <c r="LY15" i="520"/>
  <c r="RS13" i="520"/>
  <c r="MU13" i="520"/>
  <c r="SJ13" i="520"/>
  <c r="NL13" i="520"/>
  <c r="RD13" i="520"/>
  <c r="MF13" i="520"/>
  <c r="QW13" i="520"/>
  <c r="LY13" i="520"/>
  <c r="RL7" i="520"/>
  <c r="MN7" i="520"/>
  <c r="QL7" i="520"/>
  <c r="LN7" i="520"/>
  <c r="RD7" i="520"/>
  <c r="MF7" i="520"/>
  <c r="QW7" i="520"/>
  <c r="LY7" i="520"/>
  <c r="SA11" i="520"/>
  <c r="NC11" i="520"/>
  <c r="SE11" i="520"/>
  <c r="NG11" i="520"/>
  <c r="RD11" i="520"/>
  <c r="MF11" i="520"/>
  <c r="QW11" i="520"/>
  <c r="LY11" i="520"/>
  <c r="RB28" i="520"/>
  <c r="MD28" i="520"/>
  <c r="RN28" i="520"/>
  <c r="MP28" i="520"/>
  <c r="RI28" i="520"/>
  <c r="MK28" i="520"/>
  <c r="QX28" i="520"/>
  <c r="LZ28" i="520"/>
  <c r="QD5" i="520"/>
  <c r="LF5" i="520"/>
  <c r="RJ5" i="520"/>
  <c r="ML5" i="520"/>
  <c r="RC5" i="520"/>
  <c r="ME5" i="520"/>
  <c r="RO5" i="520"/>
  <c r="MQ5" i="520"/>
  <c r="SC20" i="520"/>
  <c r="NE20" i="520"/>
  <c r="NK20" i="520"/>
  <c r="SI20" i="520"/>
  <c r="RG20" i="520"/>
  <c r="MI20" i="520"/>
  <c r="MQ20" i="520"/>
  <c r="RO20" i="520"/>
  <c r="SC14" i="520"/>
  <c r="NE14" i="520"/>
  <c r="RL14" i="520"/>
  <c r="MN14" i="520"/>
  <c r="QN14" i="520"/>
  <c r="LP14" i="520"/>
  <c r="RO14" i="520"/>
  <c r="MQ14" i="520"/>
  <c r="RT6" i="520"/>
  <c r="MV6" i="520"/>
  <c r="QB6" i="520"/>
  <c r="LD6" i="520"/>
  <c r="RC6" i="520"/>
  <c r="ME6" i="520"/>
  <c r="RO6" i="520"/>
  <c r="MQ6" i="520"/>
  <c r="RL19" i="520"/>
  <c r="MN19" i="520"/>
  <c r="NM19" i="520"/>
  <c r="SK19" i="520"/>
  <c r="MF19" i="520"/>
  <c r="RD19" i="520"/>
  <c r="RO19" i="520"/>
  <c r="MQ19" i="520"/>
  <c r="SC17" i="520"/>
  <c r="NE17" i="520"/>
  <c r="SH17" i="520"/>
  <c r="NJ17" i="520"/>
  <c r="QN17" i="520"/>
  <c r="LP17" i="520"/>
  <c r="MQ17" i="520"/>
  <c r="RO17" i="520"/>
  <c r="SC16" i="520"/>
  <c r="NE16" i="520"/>
  <c r="LF16" i="520"/>
  <c r="QD16" i="520"/>
  <c r="QN16" i="520"/>
  <c r="LP16" i="520"/>
  <c r="RO16" i="520"/>
  <c r="MQ16" i="520"/>
  <c r="QT18" i="520"/>
  <c r="LV18" i="520"/>
  <c r="SJ18" i="520"/>
  <c r="NL18" i="520"/>
  <c r="QN18" i="520"/>
  <c r="LP18" i="520"/>
  <c r="RO18" i="520"/>
  <c r="MQ18" i="520"/>
  <c r="SD21" i="520"/>
  <c r="NF21" i="520"/>
  <c r="QS21" i="520"/>
  <c r="LU21" i="520"/>
  <c r="RG21" i="520"/>
  <c r="MI21" i="520"/>
  <c r="RO21" i="520"/>
  <c r="MQ21" i="520"/>
  <c r="SJ8" i="520"/>
  <c r="NL8" i="520"/>
  <c r="SB8" i="520"/>
  <c r="ND8" i="520"/>
  <c r="QN8" i="520"/>
  <c r="LP8" i="520"/>
  <c r="QG8" i="520"/>
  <c r="LI8" i="520"/>
  <c r="SF26" i="520"/>
  <c r="NH26" i="520"/>
  <c r="QC26" i="520"/>
  <c r="LE26" i="520"/>
  <c r="MJ26" i="520"/>
  <c r="RH26" i="520"/>
  <c r="RP26" i="520"/>
  <c r="MR26" i="520"/>
  <c r="RT24" i="520"/>
  <c r="MV24" i="520"/>
  <c r="MZ24" i="520"/>
  <c r="RX24" i="520"/>
  <c r="RE24" i="520"/>
  <c r="MG24" i="520"/>
  <c r="QW24" i="520"/>
  <c r="LY24" i="520"/>
  <c r="SK25" i="520"/>
  <c r="NM25" i="520"/>
  <c r="RQ25" i="520"/>
  <c r="MS25" i="520"/>
  <c r="RE25" i="520"/>
  <c r="MG25" i="520"/>
  <c r="QW25" i="520"/>
  <c r="LY25" i="520"/>
  <c r="LI10" i="520"/>
  <c r="QG10" i="520"/>
  <c r="QX10" i="520"/>
  <c r="LZ10" i="520"/>
  <c r="LY10" i="520"/>
  <c r="QW10" i="520"/>
  <c r="RA10" i="520"/>
  <c r="MC10" i="520"/>
  <c r="SE23" i="520"/>
  <c r="NG23" i="520"/>
  <c r="RL23" i="520"/>
  <c r="MN23" i="520"/>
  <c r="RE23" i="520"/>
  <c r="MG23" i="520"/>
  <c r="QW23" i="520"/>
  <c r="LY23" i="520"/>
  <c r="SC27" i="520"/>
  <c r="NE27" i="520"/>
  <c r="RT27" i="520"/>
  <c r="MV27" i="520"/>
  <c r="QP27" i="520"/>
  <c r="LR27" i="520"/>
  <c r="RP27" i="520"/>
  <c r="MR27" i="520"/>
  <c r="QL22" i="520"/>
  <c r="LN22" i="520"/>
  <c r="SL22" i="520"/>
  <c r="NN22" i="520"/>
  <c r="RE22" i="520"/>
  <c r="MG22" i="520"/>
  <c r="QW22" i="520"/>
  <c r="LY22" i="520"/>
  <c r="RU9" i="520"/>
  <c r="MW9" i="520"/>
  <c r="SC9" i="520"/>
  <c r="NE9" i="520"/>
  <c r="QN9" i="520"/>
  <c r="LP9" i="520"/>
  <c r="LI9" i="520"/>
  <c r="QG9" i="520"/>
  <c r="NA4" i="520"/>
  <c r="RY4" i="520"/>
  <c r="RM4" i="520"/>
  <c r="MO4" i="520"/>
  <c r="RU4" i="520"/>
  <c r="MW4" i="520"/>
  <c r="QJ4" i="520"/>
  <c r="LL4" i="520"/>
  <c r="SI15" i="520"/>
  <c r="NK15" i="520"/>
  <c r="SH15" i="520"/>
  <c r="NJ15" i="520"/>
  <c r="RD15" i="520"/>
  <c r="MF15" i="520"/>
  <c r="QG15" i="520"/>
  <c r="LI15" i="520"/>
  <c r="NE13" i="520"/>
  <c r="SC13" i="520"/>
  <c r="SG13" i="520"/>
  <c r="NI13" i="520"/>
  <c r="QN13" i="520"/>
  <c r="LP13" i="520"/>
  <c r="QG13" i="520"/>
  <c r="LI13" i="520"/>
  <c r="SJ7" i="520"/>
  <c r="NL7" i="520"/>
  <c r="SB7" i="520"/>
  <c r="ND7" i="520"/>
  <c r="QN7" i="520"/>
  <c r="LP7" i="520"/>
  <c r="QG7" i="520"/>
  <c r="LI7" i="520"/>
  <c r="RZ11" i="520"/>
  <c r="NB11" i="520"/>
  <c r="QS11" i="520"/>
  <c r="LU11" i="520"/>
  <c r="QN11" i="520"/>
  <c r="LP11" i="520"/>
  <c r="QG11" i="520"/>
  <c r="LI11" i="520"/>
  <c r="QL28" i="520"/>
  <c r="LN28" i="520"/>
  <c r="RY28" i="520"/>
  <c r="NA28" i="520"/>
  <c r="RF28" i="520"/>
  <c r="MH28" i="520"/>
  <c r="QH28" i="520"/>
  <c r="LJ28" i="520"/>
  <c r="NF5" i="520"/>
  <c r="SD5" i="520"/>
  <c r="QQ5" i="520"/>
  <c r="LS5" i="520"/>
  <c r="QM5" i="520"/>
  <c r="LO5" i="520"/>
  <c r="LX5" i="520"/>
  <c r="QV5" i="520"/>
  <c r="SB20" i="520"/>
  <c r="ND20" i="520"/>
  <c r="QS20" i="520"/>
  <c r="LU20" i="520"/>
  <c r="RD20" i="520"/>
  <c r="MF20" i="520"/>
  <c r="QV20" i="520"/>
  <c r="LX20" i="520"/>
  <c r="QZ14" i="520"/>
  <c r="MB14" i="520"/>
  <c r="RK14" i="520"/>
  <c r="MM14" i="520"/>
  <c r="RV14" i="520"/>
  <c r="MX14" i="520"/>
  <c r="QV14" i="520"/>
  <c r="LX14" i="520"/>
  <c r="SI6" i="520"/>
  <c r="NK6" i="520"/>
  <c r="SA6" i="520"/>
  <c r="NC6" i="520"/>
  <c r="LO6" i="520"/>
  <c r="QM6" i="520"/>
  <c r="QV6" i="520"/>
  <c r="LX6" i="520"/>
  <c r="NL19" i="520"/>
  <c r="SJ19" i="520"/>
  <c r="NJ19" i="520"/>
  <c r="SH19" i="520"/>
  <c r="LP19" i="520"/>
  <c r="QN19" i="520"/>
  <c r="QV19" i="520"/>
  <c r="LX19" i="520"/>
  <c r="SB17" i="520"/>
  <c r="ND17" i="520"/>
  <c r="RM17" i="520"/>
  <c r="MO17" i="520"/>
  <c r="MX17" i="520"/>
  <c r="RV17" i="520"/>
  <c r="QV17" i="520"/>
  <c r="LX17" i="520"/>
  <c r="RM16" i="520"/>
  <c r="MO16" i="520"/>
  <c r="SH16" i="520"/>
  <c r="NJ16" i="520"/>
  <c r="MX16" i="520"/>
  <c r="RV16" i="520"/>
  <c r="QV16" i="520"/>
  <c r="LX16" i="520"/>
  <c r="RU18" i="520"/>
  <c r="MW18" i="520"/>
  <c r="SH18" i="520"/>
  <c r="NJ18" i="520"/>
  <c r="RV18" i="520"/>
  <c r="MX18" i="520"/>
  <c r="QV18" i="520"/>
  <c r="LX18" i="520"/>
  <c r="QL21" i="520"/>
  <c r="LN21" i="520"/>
  <c r="RL21" i="520"/>
  <c r="MN21" i="520"/>
  <c r="RD21" i="520"/>
  <c r="MF21" i="520"/>
  <c r="QV21" i="520"/>
  <c r="LX21" i="520"/>
  <c r="QT8" i="520"/>
  <c r="LV8" i="520"/>
  <c r="RK8" i="520"/>
  <c r="MM8" i="520"/>
  <c r="RV8" i="520"/>
  <c r="MX8" i="520"/>
  <c r="RO8" i="520"/>
  <c r="MQ8" i="520"/>
  <c r="SI26" i="520"/>
  <c r="NK26" i="520"/>
  <c r="SL26" i="520"/>
  <c r="NN26" i="520"/>
  <c r="RE26" i="520"/>
  <c r="MG26" i="520"/>
  <c r="QW26" i="520"/>
  <c r="LY26" i="520"/>
  <c r="SE24" i="520"/>
  <c r="NG24" i="520"/>
  <c r="QT24" i="520"/>
  <c r="LV24" i="520"/>
  <c r="QO24" i="520"/>
  <c r="LQ24" i="520"/>
  <c r="QG24" i="520"/>
  <c r="LI24" i="520"/>
  <c r="SE25" i="520"/>
  <c r="NG25" i="520"/>
  <c r="QD25" i="520"/>
  <c r="LF25" i="520"/>
  <c r="QO25" i="520"/>
  <c r="LQ25" i="520"/>
  <c r="QG25" i="520"/>
  <c r="LI25" i="520"/>
  <c r="QL10" i="520"/>
  <c r="LN10" i="520"/>
  <c r="RS10" i="520"/>
  <c r="MU10" i="520"/>
  <c r="QN10" i="520"/>
  <c r="LP10" i="520"/>
  <c r="RN10" i="520"/>
  <c r="MP10" i="520"/>
  <c r="SD23" i="520"/>
  <c r="NF23" i="520"/>
  <c r="QZ23" i="520"/>
  <c r="MB23" i="520"/>
  <c r="QO23" i="520"/>
  <c r="LQ23" i="520"/>
  <c r="QG23" i="520"/>
  <c r="LI23" i="520"/>
  <c r="RX27" i="520"/>
  <c r="MZ27" i="520"/>
  <c r="QS27" i="520"/>
  <c r="LU27" i="520"/>
  <c r="RH27" i="520"/>
  <c r="MJ27" i="520"/>
  <c r="QW27" i="520"/>
  <c r="LY27" i="520"/>
  <c r="RN22" i="520"/>
  <c r="MP22" i="520"/>
  <c r="SK22" i="520"/>
  <c r="NM22" i="520"/>
  <c r="QO22" i="520"/>
  <c r="LQ22" i="520"/>
  <c r="QG22" i="520"/>
  <c r="LI22" i="520"/>
  <c r="QT9" i="520"/>
  <c r="LV9" i="520"/>
  <c r="MM9" i="520"/>
  <c r="RK9" i="520"/>
  <c r="RV9" i="520"/>
  <c r="MX9" i="520"/>
  <c r="RO9" i="520"/>
  <c r="MQ9" i="520"/>
  <c r="NE4" i="520"/>
  <c r="SC4" i="520"/>
  <c r="LW4" i="520"/>
  <c r="QU4" i="520"/>
  <c r="LT4" i="520"/>
  <c r="QR4" i="520"/>
  <c r="RN4" i="520"/>
  <c r="MP4" i="520"/>
  <c r="SE15" i="520"/>
  <c r="NG15" i="520"/>
  <c r="RB15" i="520"/>
  <c r="MD15" i="520"/>
  <c r="QN15" i="520"/>
  <c r="LP15" i="520"/>
  <c r="RO15" i="520"/>
  <c r="MQ15" i="520"/>
  <c r="RM13" i="520"/>
  <c r="MO13" i="520"/>
  <c r="RK13" i="520"/>
  <c r="MM13" i="520"/>
  <c r="RV13" i="520"/>
  <c r="MX13" i="520"/>
  <c r="RO13" i="520"/>
  <c r="MQ13" i="520"/>
  <c r="SC7" i="520"/>
  <c r="NE7" i="520"/>
  <c r="RK7" i="520"/>
  <c r="MM7" i="520"/>
  <c r="RV7" i="520"/>
  <c r="MX7" i="520"/>
  <c r="RO7" i="520"/>
  <c r="MQ7" i="520"/>
  <c r="RX11" i="520"/>
  <c r="MZ11" i="520"/>
  <c r="RK11" i="520"/>
  <c r="MM11" i="520"/>
  <c r="RV11" i="520"/>
  <c r="MX11" i="520"/>
  <c r="RO11" i="520"/>
  <c r="MQ11" i="520"/>
  <c r="RW28" i="520"/>
  <c r="MY28" i="520"/>
  <c r="RM28" i="520"/>
  <c r="MO28" i="520"/>
  <c r="QP28" i="520"/>
  <c r="LR28" i="520"/>
  <c r="QW28" i="520"/>
  <c r="LY28" i="520"/>
  <c r="RX5" i="520"/>
  <c r="MZ5" i="520"/>
  <c r="QA5" i="520"/>
  <c r="LC5" i="520"/>
  <c r="MC5" i="520"/>
  <c r="RA5" i="520"/>
  <c r="QF5" i="520"/>
  <c r="LH5" i="520"/>
  <c r="QL20" i="520"/>
  <c r="LN20" i="520"/>
  <c r="SH20" i="520"/>
  <c r="NJ20" i="520"/>
  <c r="QN20" i="520"/>
  <c r="LP20" i="520"/>
  <c r="QF20" i="520"/>
  <c r="LH20" i="520"/>
  <c r="SB14" i="520"/>
  <c r="ND14" i="520"/>
  <c r="QR14" i="520"/>
  <c r="LT14" i="520"/>
  <c r="RC14" i="520"/>
  <c r="ME14" i="520"/>
  <c r="QF14" i="520"/>
  <c r="LH14" i="520"/>
  <c r="RS6" i="520"/>
  <c r="MU6" i="520"/>
  <c r="ML6" i="520"/>
  <c r="RJ6" i="520"/>
  <c r="RA6" i="520"/>
  <c r="MC6" i="520"/>
  <c r="QF6" i="520"/>
  <c r="LH6" i="520"/>
  <c r="SE19" i="520"/>
  <c r="NG19" i="520"/>
  <c r="MD19" i="520"/>
  <c r="RB19" i="520"/>
  <c r="RV19" i="520"/>
  <c r="MX19" i="520"/>
  <c r="QF19" i="520"/>
  <c r="LH19" i="520"/>
  <c r="RB17" i="520"/>
  <c r="MD17" i="520"/>
  <c r="RK17" i="520"/>
  <c r="MM17" i="520"/>
  <c r="RC17" i="520"/>
  <c r="ME17" i="520"/>
  <c r="QF17" i="520"/>
  <c r="LH17" i="520"/>
  <c r="SB16" i="520"/>
  <c r="ND16" i="520"/>
  <c r="RK16" i="520"/>
  <c r="MM16" i="520"/>
  <c r="RC16" i="520"/>
  <c r="ME16" i="520"/>
  <c r="LH16" i="520"/>
  <c r="QF16" i="520"/>
  <c r="RZ18" i="520"/>
  <c r="NB18" i="520"/>
  <c r="RK18" i="520"/>
  <c r="MM18" i="520"/>
  <c r="RC18" i="520"/>
  <c r="ME18" i="520"/>
  <c r="QF18" i="520"/>
  <c r="LH18" i="520"/>
  <c r="SC21" i="520"/>
  <c r="NE21" i="520"/>
  <c r="SL21" i="520"/>
  <c r="NN21" i="520"/>
  <c r="QN21" i="520"/>
  <c r="LP21" i="520"/>
  <c r="QF21" i="520"/>
  <c r="LH21" i="520"/>
  <c r="SK8" i="520"/>
  <c r="NM8" i="520"/>
  <c r="QR8" i="520"/>
  <c r="LT8" i="520"/>
  <c r="RC8" i="520"/>
  <c r="ME8" i="520"/>
  <c r="QV8" i="520"/>
  <c r="LX8" i="520"/>
  <c r="RU26" i="520"/>
  <c r="MW26" i="520"/>
  <c r="SA26" i="520"/>
  <c r="NC26" i="520"/>
  <c r="QO26" i="520"/>
  <c r="LQ26" i="520"/>
  <c r="QG26" i="520"/>
  <c r="LI26" i="520"/>
  <c r="MU24" i="520"/>
  <c r="RS24" i="520"/>
  <c r="QS24" i="520"/>
  <c r="LU24" i="520"/>
  <c r="RG24" i="520"/>
  <c r="MI24" i="520"/>
  <c r="MQ24" i="520"/>
  <c r="RO24" i="520"/>
  <c r="SD25" i="520"/>
  <c r="NF25" i="520"/>
  <c r="RN25" i="520"/>
  <c r="MP25" i="520"/>
  <c r="MI25" i="520"/>
  <c r="RG25" i="520"/>
  <c r="RO25" i="520"/>
  <c r="MQ25" i="520"/>
  <c r="SI10" i="520"/>
  <c r="NK10" i="520"/>
  <c r="SG10" i="520"/>
  <c r="NI10" i="520"/>
  <c r="QS10" i="520"/>
  <c r="LU10" i="520"/>
  <c r="QQ10" i="520"/>
  <c r="LS10" i="520"/>
  <c r="SC23" i="520"/>
  <c r="NE23" i="520"/>
  <c r="SK23" i="520"/>
  <c r="NM23" i="520"/>
  <c r="RG23" i="520"/>
  <c r="MI23" i="520"/>
  <c r="RO23" i="520"/>
  <c r="MQ23" i="520"/>
  <c r="SE27" i="520"/>
  <c r="NG27" i="520"/>
  <c r="RS27" i="520"/>
  <c r="MU27" i="520"/>
  <c r="RE27" i="520"/>
  <c r="MG27" i="520"/>
  <c r="QG27" i="520"/>
  <c r="LI27" i="520"/>
  <c r="QZ22" i="520"/>
  <c r="MB22" i="520"/>
  <c r="SA22" i="520"/>
  <c r="NC22" i="520"/>
  <c r="RG22" i="520"/>
  <c r="MI22" i="520"/>
  <c r="RO22" i="520"/>
  <c r="MQ22" i="520"/>
  <c r="MV9" i="520"/>
  <c r="RT9" i="520"/>
  <c r="QR9" i="520"/>
  <c r="LT9" i="520"/>
  <c r="ME9" i="520"/>
  <c r="RC9" i="520"/>
  <c r="QV9" i="520"/>
  <c r="LX9" i="520"/>
  <c r="RD4" i="520"/>
  <c r="MF4" i="520"/>
  <c r="SF4" i="520"/>
  <c r="NH4" i="520"/>
  <c r="QB4" i="520"/>
  <c r="LD4" i="520"/>
  <c r="MC4" i="520"/>
  <c r="RA4" i="520"/>
  <c r="SD15" i="520"/>
  <c r="NF15" i="520"/>
  <c r="QL15" i="520"/>
  <c r="LN15" i="520"/>
  <c r="RV15" i="520"/>
  <c r="MX15" i="520"/>
  <c r="QV15" i="520"/>
  <c r="LX15" i="520"/>
  <c r="QL13" i="520"/>
  <c r="LN13" i="520"/>
  <c r="LT13" i="520"/>
  <c r="QR13" i="520"/>
  <c r="RC13" i="520"/>
  <c r="ME13" i="520"/>
  <c r="QV13" i="520"/>
  <c r="LX13" i="520"/>
  <c r="SL7" i="520"/>
  <c r="NN7" i="520"/>
  <c r="QR7" i="520"/>
  <c r="LT7" i="520"/>
  <c r="RC7" i="520"/>
  <c r="ME7" i="520"/>
  <c r="QV7" i="520"/>
  <c r="LX7" i="520"/>
  <c r="QL11" i="520"/>
  <c r="LN11" i="520"/>
  <c r="QR11" i="520"/>
  <c r="LT11" i="520"/>
  <c r="RC11" i="520"/>
  <c r="ME11" i="520"/>
  <c r="QV11" i="520"/>
  <c r="LX11" i="520"/>
  <c r="SK28" i="520"/>
  <c r="NM28" i="520"/>
  <c r="RX28" i="520"/>
  <c r="MZ28" i="520"/>
  <c r="RH28" i="520"/>
  <c r="MJ28" i="520"/>
  <c r="QG28" i="520"/>
  <c r="LI28" i="520"/>
  <c r="RU5" i="520"/>
  <c r="MW5" i="520"/>
  <c r="RZ5" i="520"/>
  <c r="NB5" i="520"/>
  <c r="QK5" i="520"/>
  <c r="LM5" i="520"/>
  <c r="RN5" i="520"/>
  <c r="MP5" i="520"/>
  <c r="QD20" i="520"/>
  <c r="LF20" i="520"/>
  <c r="RM20" i="520"/>
  <c r="MO20" i="520"/>
  <c r="RV20" i="520"/>
  <c r="MX20" i="520"/>
  <c r="RN20" i="520"/>
  <c r="MP20" i="520"/>
  <c r="QT14" i="520"/>
  <c r="LV14" i="520"/>
  <c r="LD14" i="520"/>
  <c r="QB14" i="520"/>
  <c r="QM14" i="520"/>
  <c r="LO14" i="520"/>
  <c r="RN14" i="520"/>
  <c r="MP14" i="520"/>
  <c r="RL6" i="520"/>
  <c r="MN6" i="520"/>
  <c r="LS6" i="520"/>
  <c r="QQ6" i="520"/>
  <c r="LM6" i="520"/>
  <c r="QK6" i="520"/>
  <c r="RN6" i="520"/>
  <c r="MP6" i="520"/>
  <c r="SD19" i="520"/>
  <c r="NF19" i="520"/>
  <c r="RK19" i="520"/>
  <c r="MM19" i="520"/>
  <c r="ME19" i="520"/>
  <c r="RC19" i="520"/>
  <c r="MP19" i="520"/>
  <c r="RN19" i="520"/>
  <c r="RZ17" i="520"/>
  <c r="NB17" i="520"/>
  <c r="QR17" i="520"/>
  <c r="LT17" i="520"/>
  <c r="QM17" i="520"/>
  <c r="LO17" i="520"/>
  <c r="MP17" i="520"/>
  <c r="RN17" i="520"/>
  <c r="RL16" i="520"/>
  <c r="MN16" i="520"/>
  <c r="QR16" i="520"/>
  <c r="LT16" i="520"/>
  <c r="QM16" i="520"/>
  <c r="LO16" i="520"/>
  <c r="RN16" i="520"/>
  <c r="MP16" i="520"/>
  <c r="RY18" i="520"/>
  <c r="NA18" i="520"/>
  <c r="QR18" i="520"/>
  <c r="LT18" i="520"/>
  <c r="QM18" i="520"/>
  <c r="LO18" i="520"/>
  <c r="RN18" i="520"/>
  <c r="MP18" i="520"/>
  <c r="QD21" i="520"/>
  <c r="LF21" i="520"/>
  <c r="SH21" i="520"/>
  <c r="NJ21" i="520"/>
  <c r="RV21" i="520"/>
  <c r="MX21" i="520"/>
  <c r="RN21" i="520"/>
  <c r="MP21" i="520"/>
  <c r="SI8" i="520"/>
  <c r="NK8" i="520"/>
  <c r="QB8" i="520"/>
  <c r="LD8" i="520"/>
  <c r="QM8" i="520"/>
  <c r="LO8" i="520"/>
  <c r="QF8" i="520"/>
  <c r="LH8" i="520"/>
  <c r="SJ26" i="520"/>
  <c r="NL26" i="520"/>
  <c r="RB26" i="520"/>
  <c r="MD26" i="520"/>
  <c r="RG26" i="520"/>
  <c r="MI26" i="520"/>
  <c r="RO26" i="520"/>
  <c r="MQ26" i="520"/>
  <c r="RB24" i="520"/>
  <c r="MD24" i="520"/>
  <c r="NN24" i="520"/>
  <c r="SL24" i="520"/>
  <c r="RD24" i="520"/>
  <c r="MF24" i="520"/>
  <c r="QV24" i="520"/>
  <c r="LX24" i="520"/>
  <c r="QZ25" i="520"/>
  <c r="MB25" i="520"/>
  <c r="SJ25" i="520"/>
  <c r="NL25" i="520"/>
  <c r="RD25" i="520"/>
  <c r="MF25" i="520"/>
  <c r="QV25" i="520"/>
  <c r="LX25" i="520"/>
  <c r="RB10" i="520"/>
  <c r="MD10" i="520"/>
  <c r="QO10" i="520"/>
  <c r="LQ10" i="520"/>
  <c r="RV10" i="520"/>
  <c r="MX10" i="520"/>
  <c r="RU10" i="520"/>
  <c r="MW10" i="520"/>
  <c r="SB23" i="520"/>
  <c r="ND23" i="520"/>
  <c r="SH23" i="520"/>
  <c r="NJ23" i="520"/>
  <c r="RD23" i="520"/>
  <c r="MF23" i="520"/>
  <c r="QV23" i="520"/>
  <c r="LX23" i="520"/>
  <c r="SD27" i="520"/>
  <c r="NF27" i="520"/>
  <c r="RR27" i="520"/>
  <c r="MT27" i="520"/>
  <c r="QO27" i="520"/>
  <c r="LQ27" i="520"/>
  <c r="RO27" i="520"/>
  <c r="MQ27" i="520"/>
  <c r="QD22" i="520"/>
  <c r="LF22" i="520"/>
  <c r="RU22" i="520"/>
  <c r="MW22" i="520"/>
  <c r="RD22" i="520"/>
  <c r="MF22" i="520"/>
  <c r="QV22" i="520"/>
  <c r="LX22" i="520"/>
  <c r="QS9" i="520"/>
  <c r="LU9" i="520"/>
  <c r="QB9" i="520"/>
  <c r="LD9" i="520"/>
  <c r="LO9" i="520"/>
  <c r="QM9" i="520"/>
  <c r="QF9" i="520"/>
  <c r="LH9" i="520"/>
  <c r="SH4" i="520"/>
  <c r="NJ4" i="520"/>
  <c r="SK4" i="520"/>
  <c r="NM4" i="520"/>
  <c r="RV4" i="520"/>
  <c r="MX4" i="520"/>
  <c r="QI4" i="520"/>
  <c r="LK4" i="520"/>
  <c r="SC15" i="520"/>
  <c r="NE15" i="520"/>
  <c r="RK15" i="520"/>
  <c r="MM15" i="520"/>
  <c r="RC15" i="520"/>
  <c r="ME15" i="520"/>
  <c r="QF15" i="520"/>
  <c r="LH15" i="520"/>
  <c r="SB13" i="520"/>
  <c r="ND13" i="520"/>
  <c r="LD13" i="520"/>
  <c r="QB13" i="520"/>
  <c r="QM13" i="520"/>
  <c r="LO13" i="520"/>
  <c r="LH13" i="520"/>
  <c r="QF13" i="520"/>
  <c r="SK7" i="520"/>
  <c r="NM7" i="520"/>
  <c r="QB7" i="520"/>
  <c r="LD7" i="520"/>
  <c r="QM7" i="520"/>
  <c r="LO7" i="520"/>
  <c r="QF7" i="520"/>
  <c r="LH7" i="520"/>
  <c r="SL11" i="520"/>
  <c r="NN11" i="520"/>
  <c r="QB11" i="520"/>
  <c r="LD11" i="520"/>
  <c r="QM11" i="520"/>
  <c r="LO11" i="520"/>
  <c r="QF11" i="520"/>
  <c r="LH11" i="520"/>
  <c r="SI28" i="520"/>
  <c r="NK28" i="520"/>
  <c r="RL28" i="520"/>
  <c r="MN28" i="520"/>
  <c r="RE28" i="520"/>
  <c r="MG28" i="520"/>
  <c r="RO28" i="520"/>
  <c r="MQ28" i="520"/>
  <c r="MV5" i="520"/>
  <c r="RT5" i="520"/>
  <c r="RI5" i="520"/>
  <c r="MK5" i="520"/>
  <c r="QZ5" i="520"/>
  <c r="MB5" i="520"/>
  <c r="LW5" i="520"/>
  <c r="QU5" i="520"/>
  <c r="RZ20" i="520"/>
  <c r="NB20" i="520"/>
  <c r="MM20" i="520"/>
  <c r="RK20" i="520"/>
  <c r="RC20" i="520"/>
  <c r="ME20" i="520"/>
  <c r="QU20" i="520"/>
  <c r="LW20" i="520"/>
  <c r="SA14" i="520"/>
  <c r="NC14" i="520"/>
  <c r="RJ14" i="520"/>
  <c r="ML14" i="520"/>
  <c r="RA14" i="520"/>
  <c r="MC14" i="520"/>
  <c r="QU14" i="520"/>
  <c r="LW14" i="520"/>
  <c r="SG6" i="520"/>
  <c r="NI6" i="520"/>
  <c r="QA6" i="520"/>
  <c r="LC6" i="520"/>
  <c r="QZ6" i="520"/>
  <c r="MB6" i="520"/>
  <c r="QU6" i="520"/>
  <c r="LW6" i="520"/>
  <c r="MU19" i="520"/>
  <c r="RS19" i="520"/>
  <c r="LT19" i="520"/>
  <c r="QR19" i="520"/>
  <c r="LO19" i="520"/>
  <c r="QM19" i="520"/>
  <c r="QU19" i="520"/>
  <c r="LW19" i="520"/>
  <c r="NA17" i="520"/>
  <c r="RY17" i="520"/>
  <c r="QB17" i="520"/>
  <c r="LD17" i="520"/>
  <c r="RA17" i="520"/>
  <c r="MC17" i="520"/>
  <c r="QU17" i="520"/>
  <c r="LW17" i="520"/>
  <c r="NB16" i="520"/>
  <c r="RZ16" i="520"/>
  <c r="QB16" i="520"/>
  <c r="LD16" i="520"/>
  <c r="MC16" i="520"/>
  <c r="RA16" i="520"/>
  <c r="LW16" i="520"/>
  <c r="QU16" i="520"/>
  <c r="RT18" i="520"/>
  <c r="MV18" i="520"/>
  <c r="QB18" i="520"/>
  <c r="LD18" i="520"/>
  <c r="RA18" i="520"/>
  <c r="MC18" i="520"/>
  <c r="QU18" i="520"/>
  <c r="LW18" i="520"/>
  <c r="SB21" i="520"/>
  <c r="ND21" i="520"/>
  <c r="RK21" i="520"/>
  <c r="MM21" i="520"/>
  <c r="RC21" i="520"/>
  <c r="ME21" i="520"/>
  <c r="QU21" i="520"/>
  <c r="LW21" i="520"/>
  <c r="QS8" i="520"/>
  <c r="LU8" i="520"/>
  <c r="RJ8" i="520"/>
  <c r="ML8" i="520"/>
  <c r="RA8" i="520"/>
  <c r="MC8" i="520"/>
  <c r="RN8" i="520"/>
  <c r="MP8" i="520"/>
  <c r="SE26" i="520"/>
  <c r="NG26" i="520"/>
  <c r="RA26" i="520"/>
  <c r="MC26" i="520"/>
  <c r="RD26" i="520"/>
  <c r="MF26" i="520"/>
  <c r="QV26" i="520"/>
  <c r="LX26" i="520"/>
  <c r="SI24" i="520"/>
  <c r="NK24" i="520"/>
  <c r="QL24" i="520"/>
  <c r="LN24" i="520"/>
  <c r="QN24" i="520"/>
  <c r="LP24" i="520"/>
  <c r="QF24" i="520"/>
  <c r="LH24" i="520"/>
  <c r="SC25" i="520"/>
  <c r="NE25" i="520"/>
  <c r="SH25" i="520"/>
  <c r="NJ25" i="520"/>
  <c r="QN25" i="520"/>
  <c r="LP25" i="520"/>
  <c r="QF25" i="520"/>
  <c r="LH25" i="520"/>
  <c r="QD10" i="520"/>
  <c r="LF10" i="520"/>
  <c r="QH10" i="520"/>
  <c r="LJ10" i="520"/>
  <c r="RO10" i="520"/>
  <c r="MQ10" i="520"/>
  <c r="LG10" i="520"/>
  <c r="QE10" i="520"/>
  <c r="RZ23" i="520"/>
  <c r="NB23" i="520"/>
  <c r="QS23" i="520"/>
  <c r="LU23" i="520"/>
  <c r="QN23" i="520"/>
  <c r="LP23" i="520"/>
  <c r="QF23" i="520"/>
  <c r="LH23" i="520"/>
  <c r="SB27" i="520"/>
  <c r="ND27" i="520"/>
  <c r="RW27" i="520"/>
  <c r="MY27" i="520"/>
  <c r="RG27" i="520"/>
  <c r="MI27" i="520"/>
  <c r="QV27" i="520"/>
  <c r="LX27" i="520"/>
  <c r="SE22" i="520"/>
  <c r="NG22" i="520"/>
  <c r="SH22" i="520"/>
  <c r="NJ22" i="520"/>
  <c r="QN22" i="520"/>
  <c r="LP22" i="520"/>
  <c r="QF22" i="520"/>
  <c r="LH22" i="520"/>
  <c r="RM9" i="520"/>
  <c r="MO9" i="520"/>
  <c r="RJ9" i="520"/>
  <c r="ML9" i="520"/>
  <c r="MC9" i="520"/>
  <c r="RA9" i="520"/>
  <c r="RN9" i="520"/>
  <c r="MP9" i="520"/>
  <c r="SD4" i="520"/>
  <c r="NF4" i="520"/>
  <c r="NC4" i="520"/>
  <c r="SA4" i="520"/>
  <c r="QQ4" i="520"/>
  <c r="LS4" i="520"/>
  <c r="RB4" i="520"/>
  <c r="MD4" i="520"/>
  <c r="SB15" i="520"/>
  <c r="ND15" i="520"/>
  <c r="QR15" i="520"/>
  <c r="LT15" i="520"/>
  <c r="QM15" i="520"/>
  <c r="LO15" i="520"/>
  <c r="RN15" i="520"/>
  <c r="MP15" i="520"/>
  <c r="RL13" i="520"/>
  <c r="MN13" i="520"/>
  <c r="RJ13" i="520"/>
  <c r="ML13" i="520"/>
  <c r="RA13" i="520"/>
  <c r="MC13" i="520"/>
  <c r="RN13" i="520"/>
  <c r="MP13" i="520"/>
  <c r="SI7" i="520"/>
  <c r="NK7" i="520"/>
  <c r="RJ7" i="520"/>
  <c r="ML7" i="520"/>
  <c r="RA7" i="520"/>
  <c r="MC7" i="520"/>
  <c r="RN7" i="520"/>
  <c r="MP7" i="520"/>
  <c r="QD11" i="520"/>
  <c r="LF11" i="520"/>
  <c r="RJ11" i="520"/>
  <c r="ML11" i="520"/>
  <c r="RA11" i="520"/>
  <c r="MC11" i="520"/>
  <c r="RN11" i="520"/>
  <c r="MP11" i="520"/>
  <c r="SD28" i="520"/>
  <c r="NF28" i="520"/>
  <c r="SA28" i="520"/>
  <c r="NC28" i="520"/>
  <c r="QO28" i="520"/>
  <c r="LQ28" i="520"/>
  <c r="QV28" i="520"/>
  <c r="LX28" i="520"/>
  <c r="RS5" i="520"/>
  <c r="MU5" i="520"/>
  <c r="RF5" i="520"/>
  <c r="MH5" i="520"/>
  <c r="QJ5" i="520"/>
  <c r="LL5" i="520"/>
  <c r="QE5" i="520"/>
  <c r="LG5" i="520"/>
  <c r="RY20" i="520"/>
  <c r="NA20" i="520"/>
  <c r="QR20" i="520"/>
  <c r="LT20" i="520"/>
  <c r="LO20" i="520"/>
  <c r="QM20" i="520"/>
  <c r="QE20" i="520"/>
  <c r="LG20" i="520"/>
  <c r="QS14" i="520"/>
  <c r="LU14" i="520"/>
  <c r="LS14" i="520"/>
  <c r="QQ14" i="520"/>
  <c r="QK14" i="520"/>
  <c r="LM14" i="520"/>
  <c r="QE14" i="520"/>
  <c r="LG14" i="520"/>
  <c r="NG6" i="520"/>
  <c r="SE6" i="520"/>
  <c r="MK6" i="520"/>
  <c r="RI6" i="520"/>
  <c r="QJ6" i="520"/>
  <c r="LL6" i="520"/>
  <c r="QE6" i="520"/>
  <c r="LG6" i="520"/>
  <c r="SC19" i="520"/>
  <c r="NE19" i="520"/>
  <c r="LD19" i="520"/>
  <c r="QB19" i="520"/>
  <c r="MC19" i="520"/>
  <c r="RA19" i="520"/>
  <c r="LG19" i="520"/>
  <c r="QE19" i="520"/>
  <c r="QZ17" i="520"/>
  <c r="MB17" i="520"/>
  <c r="RJ17" i="520"/>
  <c r="ML17" i="520"/>
  <c r="QK17" i="520"/>
  <c r="LM17" i="520"/>
  <c r="QE17" i="520"/>
  <c r="LG17" i="520"/>
  <c r="RY16" i="520"/>
  <c r="NA16" i="520"/>
  <c r="RJ16" i="520"/>
  <c r="ML16" i="520"/>
  <c r="LM16" i="520"/>
  <c r="QK16" i="520"/>
  <c r="LG16" i="520"/>
  <c r="QE16" i="520"/>
  <c r="RX18" i="520"/>
  <c r="MZ18" i="520"/>
  <c r="RJ18" i="520"/>
  <c r="ML18" i="520"/>
  <c r="QK18" i="520"/>
  <c r="LM18" i="520"/>
  <c r="QE18" i="520"/>
  <c r="LG18" i="520"/>
  <c r="RU21" i="520"/>
  <c r="MW21" i="520"/>
  <c r="QR21" i="520"/>
  <c r="LT21" i="520"/>
  <c r="QM21" i="520"/>
  <c r="LO21" i="520"/>
  <c r="LG21" i="520"/>
  <c r="QE21" i="520"/>
  <c r="SH8" i="520"/>
  <c r="NJ8" i="520"/>
  <c r="QQ8" i="520"/>
  <c r="LS8" i="520"/>
  <c r="QK8" i="520"/>
  <c r="LM8" i="520"/>
  <c r="QU8" i="520"/>
  <c r="LW8" i="520"/>
  <c r="SD26" i="520"/>
  <c r="NF26" i="520"/>
  <c r="SH26" i="520"/>
  <c r="NJ26" i="520"/>
  <c r="QN26" i="520"/>
  <c r="LP26" i="520"/>
  <c r="QF26" i="520"/>
  <c r="LH26" i="520"/>
  <c r="NF24" i="520"/>
  <c r="SD24" i="520"/>
  <c r="SH24" i="520"/>
  <c r="NJ24" i="520"/>
  <c r="MX24" i="520"/>
  <c r="RV24" i="520"/>
  <c r="QU24" i="520"/>
  <c r="LW24" i="520"/>
  <c r="QT25" i="520"/>
  <c r="LV25" i="520"/>
  <c r="RL25" i="520"/>
  <c r="MN25" i="520"/>
  <c r="RV25" i="520"/>
  <c r="MX25" i="520"/>
  <c r="QU25" i="520"/>
  <c r="LW25" i="520"/>
  <c r="MJ10" i="520"/>
  <c r="RH10" i="520"/>
  <c r="RW10" i="520"/>
  <c r="MY10" i="520"/>
  <c r="RK10" i="520"/>
  <c r="MM10" i="520"/>
  <c r="SK10" i="520"/>
  <c r="NM10" i="520"/>
  <c r="RU23" i="520"/>
  <c r="MW23" i="520"/>
  <c r="QL23" i="520"/>
  <c r="LN23" i="520"/>
  <c r="RV23" i="520"/>
  <c r="MX23" i="520"/>
  <c r="QU23" i="520"/>
  <c r="LW23" i="520"/>
  <c r="QL27" i="520"/>
  <c r="LN27" i="520"/>
  <c r="SI27" i="520"/>
  <c r="NK27" i="520"/>
  <c r="RD27" i="520"/>
  <c r="MF27" i="520"/>
  <c r="QF27" i="520"/>
  <c r="LH27" i="520"/>
  <c r="SD22" i="520"/>
  <c r="NF22" i="520"/>
  <c r="RT22" i="520"/>
  <c r="MV22" i="520"/>
  <c r="RV22" i="520"/>
  <c r="MX22" i="520"/>
  <c r="LW22" i="520"/>
  <c r="QU22" i="520"/>
  <c r="RS9" i="520"/>
  <c r="MU9" i="520"/>
  <c r="QQ9" i="520"/>
  <c r="LS9" i="520"/>
  <c r="LM9" i="520"/>
  <c r="QK9" i="520"/>
  <c r="QU9" i="520"/>
  <c r="LW9" i="520"/>
  <c r="NG4" i="520"/>
  <c r="SE4" i="520"/>
  <c r="RP4" i="520"/>
  <c r="MR4" i="520"/>
  <c r="QA4" i="520"/>
  <c r="LC4" i="520"/>
  <c r="QH4" i="520"/>
  <c r="LJ4" i="520"/>
  <c r="RZ15" i="520"/>
  <c r="NB15" i="520"/>
  <c r="LD15" i="520"/>
  <c r="QB15" i="520"/>
  <c r="RA15" i="520"/>
  <c r="MC15" i="520"/>
  <c r="QU15" i="520"/>
  <c r="LW15" i="520"/>
  <c r="QD13" i="520"/>
  <c r="LF13" i="520"/>
  <c r="QQ13" i="520"/>
  <c r="LS13" i="520"/>
  <c r="QK13" i="520"/>
  <c r="LM13" i="520"/>
  <c r="QU13" i="520"/>
  <c r="LW13" i="520"/>
  <c r="SH7" i="520"/>
  <c r="NJ7" i="520"/>
  <c r="LS7" i="520"/>
  <c r="QQ7" i="520"/>
  <c r="QK7" i="520"/>
  <c r="LM7" i="520"/>
  <c r="QU7" i="520"/>
  <c r="LW7" i="520"/>
  <c r="SK11" i="520"/>
  <c r="NM11" i="520"/>
  <c r="QQ11" i="520"/>
  <c r="LS11" i="520"/>
  <c r="QK11" i="520"/>
  <c r="LM11" i="520"/>
  <c r="QU11" i="520"/>
  <c r="LW11" i="520"/>
  <c r="RS28" i="520"/>
  <c r="MU28" i="520"/>
  <c r="SL28" i="520"/>
  <c r="NN28" i="520"/>
  <c r="RG28" i="520"/>
  <c r="MI28" i="520"/>
  <c r="QF28" i="520"/>
  <c r="LH28" i="520"/>
  <c r="VG11" i="520"/>
  <c r="VH11" i="520"/>
  <c r="VI11" i="520"/>
  <c r="VJ11" i="520"/>
  <c r="VK11" i="520"/>
  <c r="VL11" i="520"/>
  <c r="VM11" i="520"/>
  <c r="VN11" i="520"/>
  <c r="VG7" i="520"/>
  <c r="VH7" i="520"/>
  <c r="VI7" i="520"/>
  <c r="VJ7" i="520"/>
  <c r="VK7" i="520"/>
  <c r="VL7" i="520"/>
  <c r="VM7" i="520"/>
  <c r="VN7" i="520"/>
  <c r="VG9" i="520"/>
  <c r="VH9" i="520"/>
  <c r="VI9" i="520"/>
  <c r="VJ9" i="520"/>
  <c r="VK9" i="520"/>
  <c r="VL9" i="520"/>
  <c r="VM9" i="520"/>
  <c r="VN9" i="520"/>
  <c r="VG10" i="520"/>
  <c r="VH10" i="520"/>
  <c r="VI10" i="520"/>
  <c r="VJ10" i="520"/>
  <c r="VK10" i="520"/>
  <c r="VL10" i="520"/>
  <c r="VM10" i="520"/>
  <c r="VN10" i="520"/>
  <c r="VG6" i="520"/>
  <c r="VH6" i="520"/>
  <c r="VI6" i="520"/>
  <c r="VJ6" i="520"/>
  <c r="VK6" i="520"/>
  <c r="VL6" i="520"/>
  <c r="VM6" i="520"/>
  <c r="VN6" i="520"/>
  <c r="VG8" i="520"/>
  <c r="VH8" i="520"/>
  <c r="VI8" i="520"/>
  <c r="VJ8" i="520"/>
  <c r="VK8" i="520"/>
  <c r="VL8" i="520"/>
  <c r="VM8" i="520"/>
  <c r="VN8" i="520"/>
  <c r="VG14" i="520"/>
  <c r="VH14" i="520"/>
  <c r="VI14" i="520"/>
  <c r="VJ14" i="520"/>
  <c r="VK14" i="520"/>
  <c r="VL14" i="520"/>
  <c r="VM14" i="520"/>
  <c r="VN14" i="520"/>
  <c r="VH15" i="520"/>
  <c r="VI15" i="520"/>
  <c r="VJ15" i="520"/>
  <c r="VK15" i="520"/>
  <c r="VL15" i="520"/>
  <c r="VM15" i="520"/>
  <c r="VN15" i="520"/>
  <c r="VG15" i="520"/>
  <c r="VG13" i="520"/>
  <c r="VH13" i="520"/>
  <c r="VI13" i="520"/>
  <c r="VJ13" i="520"/>
  <c r="VK13" i="520"/>
  <c r="VL13" i="520"/>
  <c r="VM13" i="520"/>
  <c r="VN13" i="520"/>
  <c r="VJ5" i="520"/>
  <c r="VL5" i="520"/>
  <c r="VH5" i="520"/>
  <c r="VG5" i="520"/>
  <c r="VK5" i="520"/>
  <c r="VN5" i="520"/>
  <c r="VI5" i="520"/>
  <c r="VM5" i="520"/>
  <c r="JN12" i="520"/>
  <c r="IX12" i="520"/>
  <c r="JP12" i="520"/>
  <c r="KY12" i="520"/>
  <c r="JA12" i="520"/>
  <c r="JT12" i="520"/>
  <c r="KK12" i="520"/>
  <c r="JU12" i="520"/>
  <c r="KL12" i="520"/>
  <c r="JV12" i="520"/>
  <c r="JF12" i="520"/>
  <c r="JG12" i="520"/>
  <c r="JH12" i="520"/>
  <c r="IR12" i="520"/>
  <c r="JI12" i="520"/>
  <c r="IT12" i="520"/>
  <c r="JK12" i="520"/>
  <c r="KB12" i="520"/>
  <c r="IU12" i="520"/>
  <c r="KW12" i="520"/>
  <c r="IV12" i="520"/>
  <c r="KS12" i="520"/>
  <c r="KA12" i="520"/>
  <c r="KC12" i="520"/>
  <c r="KV12" i="520"/>
  <c r="IS12" i="520"/>
  <c r="KZ12" i="520"/>
  <c r="LA12" i="520"/>
  <c r="LB12" i="520"/>
  <c r="JJ12" i="520"/>
  <c r="KM12" i="520"/>
  <c r="JM12" i="520"/>
  <c r="KO12" i="520"/>
  <c r="VN4" i="520"/>
  <c r="VM4" i="520"/>
  <c r="VL4" i="520"/>
  <c r="VK4" i="520"/>
  <c r="VJ4" i="520"/>
  <c r="VI4" i="520"/>
  <c r="VH4" i="520"/>
  <c r="VG4" i="520"/>
  <c r="AC9" i="111"/>
  <c r="O48" i="1" a="1"/>
  <c r="O48" i="1" s="1"/>
  <c r="AA9" i="111" s="1"/>
  <c r="M43" i="1"/>
  <c r="P43" i="1"/>
  <c r="R43" i="1"/>
  <c r="Q43" i="1" s="1" a="1"/>
  <c r="Q43" i="1" s="1"/>
  <c r="AA10" i="111"/>
  <c r="R32" i="1"/>
  <c r="E32" i="373" s="1"/>
  <c r="R31" i="1"/>
  <c r="E25" i="373" s="1"/>
  <c r="S31" i="1"/>
  <c r="E28" i="373" s="1"/>
  <c r="BF45" i="1"/>
  <c r="BE45" i="1"/>
  <c r="AP45" i="1"/>
  <c r="AR45" i="1"/>
  <c r="S32" i="1"/>
  <c r="E33" i="373" s="1"/>
  <c r="M34" i="1" a="1"/>
  <c r="M34" i="1" s="1"/>
  <c r="H46" i="1"/>
  <c r="UX12" i="520" l="1"/>
  <c r="PZ12" i="520"/>
  <c r="US12" i="520"/>
  <c r="PU12" i="520"/>
  <c r="OT12" i="520"/>
  <c r="TR12" i="520"/>
  <c r="UT12" i="520"/>
  <c r="PV12" i="520"/>
  <c r="UC12" i="520"/>
  <c r="PE12" i="520"/>
  <c r="UN12" i="520"/>
  <c r="PP12" i="520"/>
  <c r="PJ12" i="520"/>
  <c r="UH12" i="520"/>
  <c r="SQ12" i="520"/>
  <c r="NS12" i="520"/>
  <c r="ON12" i="520"/>
  <c r="TL12" i="520"/>
  <c r="UV12" i="520"/>
  <c r="PX12" i="520"/>
  <c r="TX12" i="520"/>
  <c r="OZ12" i="520"/>
  <c r="OS12" i="520"/>
  <c r="TQ12" i="520"/>
  <c r="NW12" i="520"/>
  <c r="SU12" i="520"/>
  <c r="SR12" i="520"/>
  <c r="NT12" i="520"/>
  <c r="UF12" i="520"/>
  <c r="PH12" i="520"/>
  <c r="TG12" i="520"/>
  <c r="OI12" i="520"/>
  <c r="SZ12" i="520"/>
  <c r="OB12" i="520"/>
  <c r="UB12" i="520"/>
  <c r="PD12" i="520"/>
  <c r="NR12" i="520"/>
  <c r="SP12" i="520"/>
  <c r="UG12" i="520"/>
  <c r="PI12" i="520"/>
  <c r="OM12" i="520"/>
  <c r="TK12" i="520"/>
  <c r="OC12" i="520"/>
  <c r="TA12" i="520"/>
  <c r="TP12" i="520"/>
  <c r="OR12" i="520"/>
  <c r="PN12" i="520"/>
  <c r="UL12" i="520"/>
  <c r="SO12" i="520"/>
  <c r="NQ12" i="520"/>
  <c r="OX12" i="520"/>
  <c r="TV12" i="520"/>
  <c r="ST12" i="520"/>
  <c r="NV12" i="520"/>
  <c r="UR12" i="520"/>
  <c r="PT12" i="520"/>
  <c r="TE12" i="520"/>
  <c r="OG12" i="520"/>
  <c r="SY12" i="520"/>
  <c r="OA12" i="520"/>
  <c r="PC12" i="520"/>
  <c r="UA12" i="520"/>
  <c r="NX12" i="520"/>
  <c r="SV12" i="520"/>
  <c r="UW12" i="520"/>
  <c r="PY12" i="520"/>
  <c r="PO12" i="520"/>
  <c r="UM12" i="520"/>
  <c r="TZ12" i="520"/>
  <c r="PB12" i="520"/>
  <c r="SN12" i="520"/>
  <c r="NP12" i="520"/>
  <c r="TO12" i="520"/>
  <c r="OQ12" i="520"/>
  <c r="TJ12" i="520"/>
  <c r="OL12" i="520"/>
  <c r="PS12" i="520"/>
  <c r="UQ12" i="520"/>
  <c r="TU12" i="520"/>
  <c r="OW12" i="520"/>
  <c r="SX12" i="520"/>
  <c r="NZ12" i="520"/>
  <c r="SS12" i="520"/>
  <c r="NU12" i="520"/>
  <c r="OU12" i="520"/>
  <c r="TS12" i="520"/>
  <c r="UK12" i="520"/>
  <c r="PM12" i="520"/>
  <c r="TN12" i="520"/>
  <c r="OP12" i="520"/>
  <c r="TY12" i="520"/>
  <c r="PA12" i="520"/>
  <c r="NO12" i="520"/>
  <c r="SM12" i="520"/>
  <c r="OH12" i="520"/>
  <c r="TF12" i="520"/>
  <c r="TD12" i="520"/>
  <c r="OF12" i="520"/>
  <c r="NW8" i="520"/>
  <c r="SU8" i="520"/>
  <c r="UJ12" i="520"/>
  <c r="PL12" i="520"/>
  <c r="UE12" i="520"/>
  <c r="PG12" i="520"/>
  <c r="SW12" i="520"/>
  <c r="NY12" i="520"/>
  <c r="TI12" i="520"/>
  <c r="OK12" i="520"/>
  <c r="UP12" i="520"/>
  <c r="PR12" i="520"/>
  <c r="TT12" i="520"/>
  <c r="OV12" i="520"/>
  <c r="UU12" i="520"/>
  <c r="PW12" i="520"/>
  <c r="PK12" i="520"/>
  <c r="UI12" i="520"/>
  <c r="OE12" i="520"/>
  <c r="TC12" i="520"/>
  <c r="TW12" i="520"/>
  <c r="OY12" i="520"/>
  <c r="UD12" i="520"/>
  <c r="PF12" i="520"/>
  <c r="TH12" i="520"/>
  <c r="OJ12" i="520"/>
  <c r="UO12" i="520"/>
  <c r="PQ12" i="520"/>
  <c r="OD12" i="520"/>
  <c r="TB12" i="520"/>
  <c r="TM12" i="520"/>
  <c r="OO12" i="520"/>
  <c r="IS8" i="520"/>
  <c r="KT8" i="520"/>
  <c r="JI8" i="520"/>
  <c r="IR8" i="520"/>
  <c r="KK8" i="520"/>
  <c r="JT8" i="520"/>
  <c r="KF8" i="520"/>
  <c r="JO8" i="520"/>
  <c r="KU8" i="520"/>
  <c r="JZ8" i="520"/>
  <c r="LB8" i="520"/>
  <c r="KW8" i="520"/>
  <c r="KJ8" i="520"/>
  <c r="JY8" i="520"/>
  <c r="JC8" i="520"/>
  <c r="IX8" i="520"/>
  <c r="KQ8" i="520"/>
  <c r="JH8" i="520"/>
  <c r="JS8" i="520"/>
  <c r="KE8" i="520"/>
  <c r="KC8" i="520"/>
  <c r="IQ8" i="520"/>
  <c r="JB8" i="520"/>
  <c r="JN8" i="520"/>
  <c r="KZ8" i="520"/>
  <c r="JX8" i="520"/>
  <c r="JR8" i="520"/>
  <c r="IW8" i="520"/>
  <c r="JL8" i="520"/>
  <c r="KS8" i="520"/>
  <c r="JG8" i="520"/>
  <c r="JA8" i="520"/>
  <c r="KA8" i="520"/>
  <c r="KI8" i="520"/>
  <c r="JF8" i="520"/>
  <c r="KY8" i="520"/>
  <c r="JJ8" i="520"/>
  <c r="KV8" i="520"/>
  <c r="JW8" i="520"/>
  <c r="KH8" i="520"/>
  <c r="KO8" i="520"/>
  <c r="KR8" i="520"/>
  <c r="JV8" i="520"/>
  <c r="JQ8" i="520"/>
  <c r="KP8" i="520"/>
  <c r="KD8" i="520"/>
  <c r="JE8" i="520"/>
  <c r="IZ8" i="520"/>
  <c r="KN8" i="520"/>
  <c r="JM8" i="520"/>
  <c r="KM8" i="520"/>
  <c r="KX8" i="520"/>
  <c r="LA8" i="520"/>
  <c r="KB8" i="520"/>
  <c r="KL8" i="520"/>
  <c r="KG8" i="520"/>
  <c r="IV8" i="520"/>
  <c r="JK8" i="520"/>
  <c r="JU8" i="520"/>
  <c r="JP8" i="520"/>
  <c r="IU8" i="520"/>
  <c r="IT8" i="520"/>
  <c r="JD8" i="520"/>
  <c r="IW25" i="520"/>
  <c r="JN25" i="520"/>
  <c r="IX25" i="520"/>
  <c r="JO25" i="520"/>
  <c r="KF25" i="520"/>
  <c r="IY25" i="520"/>
  <c r="JP25" i="520"/>
  <c r="KG25" i="520"/>
  <c r="IZ25" i="520"/>
  <c r="JQ25" i="520"/>
  <c r="KH25" i="520"/>
  <c r="JA25" i="520"/>
  <c r="JB25" i="520"/>
  <c r="JC25" i="520"/>
  <c r="JT25" i="520"/>
  <c r="KK25" i="520"/>
  <c r="JD25" i="520"/>
  <c r="JU25" i="520"/>
  <c r="KL25" i="520"/>
  <c r="JE25" i="520"/>
  <c r="JV25" i="520"/>
  <c r="JF25" i="520"/>
  <c r="JG25" i="520"/>
  <c r="IQ25" i="520"/>
  <c r="JH25" i="520"/>
  <c r="IR25" i="520"/>
  <c r="JI25" i="520"/>
  <c r="IT25" i="520"/>
  <c r="JK25" i="520"/>
  <c r="KV25" i="520"/>
  <c r="KW25" i="520"/>
  <c r="KZ25" i="520"/>
  <c r="JX25" i="520"/>
  <c r="LA25" i="520"/>
  <c r="KX25" i="520"/>
  <c r="JW25" i="520"/>
  <c r="KY25" i="520"/>
  <c r="IS25" i="520"/>
  <c r="JJ25" i="520"/>
  <c r="JY25" i="520"/>
  <c r="LB25" i="520"/>
  <c r="KE25" i="520"/>
  <c r="KT25" i="520"/>
  <c r="IU25" i="520"/>
  <c r="JL25" i="520"/>
  <c r="JZ25" i="520"/>
  <c r="KM25" i="520"/>
  <c r="KU25" i="520"/>
  <c r="IV25" i="520"/>
  <c r="JM25" i="520"/>
  <c r="KA25" i="520"/>
  <c r="KN25" i="520"/>
  <c r="JR25" i="520"/>
  <c r="KB25" i="520"/>
  <c r="KO25" i="520"/>
  <c r="JS25" i="520"/>
  <c r="KC25" i="520"/>
  <c r="KP25" i="520"/>
  <c r="KR25" i="520"/>
  <c r="KD25" i="520"/>
  <c r="KQ25" i="520"/>
  <c r="KJ25" i="520"/>
  <c r="KI25" i="520"/>
  <c r="KS25" i="520"/>
  <c r="IW27" i="520"/>
  <c r="JN27" i="520"/>
  <c r="IX27" i="520"/>
  <c r="JO27" i="520"/>
  <c r="KF27" i="520"/>
  <c r="IY27" i="520"/>
  <c r="JP27" i="520"/>
  <c r="KG27" i="520"/>
  <c r="IZ27" i="520"/>
  <c r="JQ27" i="520"/>
  <c r="KH27" i="520"/>
  <c r="JA27" i="520"/>
  <c r="JB27" i="520"/>
  <c r="JC27" i="520"/>
  <c r="JT27" i="520"/>
  <c r="KK27" i="520"/>
  <c r="JD27" i="520"/>
  <c r="JU27" i="520"/>
  <c r="KL27" i="520"/>
  <c r="JE27" i="520"/>
  <c r="JV27" i="520"/>
  <c r="JF27" i="520"/>
  <c r="JG27" i="520"/>
  <c r="IQ27" i="520"/>
  <c r="JH27" i="520"/>
  <c r="IR27" i="520"/>
  <c r="JI27" i="520"/>
  <c r="IT27" i="520"/>
  <c r="JK27" i="520"/>
  <c r="JJ27" i="520"/>
  <c r="KC27" i="520"/>
  <c r="KV27" i="520"/>
  <c r="JL27" i="520"/>
  <c r="KD27" i="520"/>
  <c r="KW27" i="520"/>
  <c r="JM27" i="520"/>
  <c r="KE27" i="520"/>
  <c r="KX27" i="520"/>
  <c r="JS27" i="520"/>
  <c r="KZ27" i="520"/>
  <c r="JR27" i="520"/>
  <c r="KI27" i="520"/>
  <c r="KY27" i="520"/>
  <c r="KJ27" i="520"/>
  <c r="LA27" i="520"/>
  <c r="LB27" i="520"/>
  <c r="KM27" i="520"/>
  <c r="KN27" i="520"/>
  <c r="JY27" i="520"/>
  <c r="KR27" i="520"/>
  <c r="KA27" i="520"/>
  <c r="KU27" i="520"/>
  <c r="KO27" i="520"/>
  <c r="KT27" i="520"/>
  <c r="JW27" i="520"/>
  <c r="KP27" i="520"/>
  <c r="KB27" i="520"/>
  <c r="JX27" i="520"/>
  <c r="KQ27" i="520"/>
  <c r="IS27" i="520"/>
  <c r="IU27" i="520"/>
  <c r="JZ27" i="520"/>
  <c r="KS27" i="520"/>
  <c r="IV27" i="520"/>
  <c r="IW28" i="520"/>
  <c r="JN28" i="520"/>
  <c r="IX28" i="520"/>
  <c r="JO28" i="520"/>
  <c r="KF28" i="520"/>
  <c r="IY28" i="520"/>
  <c r="JP28" i="520"/>
  <c r="KG28" i="520"/>
  <c r="IZ28" i="520"/>
  <c r="JQ28" i="520"/>
  <c r="KH28" i="520"/>
  <c r="JA28" i="520"/>
  <c r="JB28" i="520"/>
  <c r="JC28" i="520"/>
  <c r="JT28" i="520"/>
  <c r="KK28" i="520"/>
  <c r="JD28" i="520"/>
  <c r="JU28" i="520"/>
  <c r="KL28" i="520"/>
  <c r="JE28" i="520"/>
  <c r="JV28" i="520"/>
  <c r="JF28" i="520"/>
  <c r="JG28" i="520"/>
  <c r="IQ28" i="520"/>
  <c r="JH28" i="520"/>
  <c r="IR28" i="520"/>
  <c r="JI28" i="520"/>
  <c r="IT28" i="520"/>
  <c r="JK28" i="520"/>
  <c r="IU28" i="520"/>
  <c r="KV28" i="520"/>
  <c r="KU28" i="520"/>
  <c r="IV28" i="520"/>
  <c r="KW28" i="520"/>
  <c r="LA28" i="520"/>
  <c r="KX28" i="520"/>
  <c r="KY28" i="520"/>
  <c r="KZ28" i="520"/>
  <c r="IS28" i="520"/>
  <c r="JJ28" i="520"/>
  <c r="JW28" i="520"/>
  <c r="JL28" i="520"/>
  <c r="JX28" i="520"/>
  <c r="LB28" i="520"/>
  <c r="KO28" i="520"/>
  <c r="JM28" i="520"/>
  <c r="JY28" i="520"/>
  <c r="KM28" i="520"/>
  <c r="KN28" i="520"/>
  <c r="KT28" i="520"/>
  <c r="KJ28" i="520"/>
  <c r="JR28" i="520"/>
  <c r="JZ28" i="520"/>
  <c r="JS28" i="520"/>
  <c r="KA28" i="520"/>
  <c r="KB28" i="520"/>
  <c r="KP28" i="520"/>
  <c r="KD28" i="520"/>
  <c r="KI28" i="520"/>
  <c r="KC28" i="520"/>
  <c r="KQ28" i="520"/>
  <c r="KR28" i="520"/>
  <c r="KE28" i="520"/>
  <c r="KS28" i="520"/>
  <c r="IW6" i="520"/>
  <c r="JN6" i="520"/>
  <c r="KE6" i="520"/>
  <c r="IX6" i="520"/>
  <c r="JO6" i="520"/>
  <c r="KF6" i="520"/>
  <c r="KW6" i="520"/>
  <c r="IY6" i="520"/>
  <c r="JP6" i="520"/>
  <c r="KG6" i="520"/>
  <c r="KX6" i="520"/>
  <c r="IZ6" i="520"/>
  <c r="JQ6" i="520"/>
  <c r="KH6" i="520"/>
  <c r="KY6" i="520"/>
  <c r="JA6" i="520"/>
  <c r="JR6" i="520"/>
  <c r="JB6" i="520"/>
  <c r="JS6" i="520"/>
  <c r="JC6" i="520"/>
  <c r="JT6" i="520"/>
  <c r="KK6" i="520"/>
  <c r="LB6" i="520"/>
  <c r="JD6" i="520"/>
  <c r="JU6" i="520"/>
  <c r="KL6" i="520"/>
  <c r="KM6" i="520"/>
  <c r="JE6" i="520"/>
  <c r="JV6" i="520"/>
  <c r="JW6" i="520"/>
  <c r="JF6" i="520"/>
  <c r="JG6" i="520"/>
  <c r="JX6" i="520"/>
  <c r="IQ6" i="520"/>
  <c r="JH6" i="520"/>
  <c r="JY6" i="520"/>
  <c r="IR6" i="520"/>
  <c r="JI6" i="520"/>
  <c r="JZ6" i="520"/>
  <c r="IT6" i="520"/>
  <c r="JK6" i="520"/>
  <c r="KB6" i="520"/>
  <c r="LA6" i="520"/>
  <c r="KA6" i="520"/>
  <c r="KC6" i="520"/>
  <c r="KD6" i="520"/>
  <c r="KN6" i="520"/>
  <c r="KI6" i="520"/>
  <c r="KO6" i="520"/>
  <c r="JJ6" i="520"/>
  <c r="KJ6" i="520"/>
  <c r="KP6" i="520"/>
  <c r="IV6" i="520"/>
  <c r="JL6" i="520"/>
  <c r="KQ6" i="520"/>
  <c r="JM6" i="520"/>
  <c r="KR6" i="520"/>
  <c r="KS6" i="520"/>
  <c r="KT6" i="520"/>
  <c r="IS6" i="520"/>
  <c r="KU6" i="520"/>
  <c r="IU6" i="520"/>
  <c r="KV6" i="520"/>
  <c r="KZ6" i="520"/>
  <c r="IW13" i="520"/>
  <c r="JN13" i="520"/>
  <c r="KE13" i="520"/>
  <c r="IX13" i="520"/>
  <c r="JO13" i="520"/>
  <c r="KF13" i="520"/>
  <c r="IY13" i="520"/>
  <c r="JP13" i="520"/>
  <c r="KG13" i="520"/>
  <c r="KX13" i="520"/>
  <c r="IZ13" i="520"/>
  <c r="JQ13" i="520"/>
  <c r="KH13" i="520"/>
  <c r="JA13" i="520"/>
  <c r="JR13" i="520"/>
  <c r="JB13" i="520"/>
  <c r="JS13" i="520"/>
  <c r="JC13" i="520"/>
  <c r="JT13" i="520"/>
  <c r="KK13" i="520"/>
  <c r="JD13" i="520"/>
  <c r="JU13" i="520"/>
  <c r="KL13" i="520"/>
  <c r="JE13" i="520"/>
  <c r="JV13" i="520"/>
  <c r="JW13" i="520"/>
  <c r="JF13" i="520"/>
  <c r="JG13" i="520"/>
  <c r="JX13" i="520"/>
  <c r="IQ13" i="520"/>
  <c r="JH13" i="520"/>
  <c r="JY13" i="520"/>
  <c r="IR13" i="520"/>
  <c r="JI13" i="520"/>
  <c r="JZ13" i="520"/>
  <c r="IT13" i="520"/>
  <c r="JK13" i="520"/>
  <c r="KB13" i="520"/>
  <c r="KT13" i="520"/>
  <c r="KS13" i="520"/>
  <c r="KU13" i="520"/>
  <c r="IS13" i="520"/>
  <c r="KV13" i="520"/>
  <c r="IV13" i="520"/>
  <c r="IU13" i="520"/>
  <c r="KW13" i="520"/>
  <c r="KY13" i="520"/>
  <c r="KZ13" i="520"/>
  <c r="LA13" i="520"/>
  <c r="JM13" i="520"/>
  <c r="KA13" i="520"/>
  <c r="LB13" i="520"/>
  <c r="KC13" i="520"/>
  <c r="KD13" i="520"/>
  <c r="KM13" i="520"/>
  <c r="KI13" i="520"/>
  <c r="KN13" i="520"/>
  <c r="KP13" i="520"/>
  <c r="KJ13" i="520"/>
  <c r="KO13" i="520"/>
  <c r="JJ13" i="520"/>
  <c r="KQ13" i="520"/>
  <c r="JL13" i="520"/>
  <c r="KR13" i="520"/>
  <c r="IW21" i="520"/>
  <c r="JN21" i="520"/>
  <c r="IX21" i="520"/>
  <c r="JO21" i="520"/>
  <c r="KF21" i="520"/>
  <c r="IY21" i="520"/>
  <c r="JP21" i="520"/>
  <c r="KG21" i="520"/>
  <c r="IZ21" i="520"/>
  <c r="JQ21" i="520"/>
  <c r="KH21" i="520"/>
  <c r="JA21" i="520"/>
  <c r="JR21" i="520"/>
  <c r="JB21" i="520"/>
  <c r="JS21" i="520"/>
  <c r="JC21" i="520"/>
  <c r="JT21" i="520"/>
  <c r="KK21" i="520"/>
  <c r="JD21" i="520"/>
  <c r="JU21" i="520"/>
  <c r="KL21" i="520"/>
  <c r="JE21" i="520"/>
  <c r="JV21" i="520"/>
  <c r="JF21" i="520"/>
  <c r="JG21" i="520"/>
  <c r="IQ21" i="520"/>
  <c r="JH21" i="520"/>
  <c r="JY21" i="520"/>
  <c r="IR21" i="520"/>
  <c r="JI21" i="520"/>
  <c r="IT21" i="520"/>
  <c r="JK21" i="520"/>
  <c r="KB21" i="520"/>
  <c r="KC21" i="520"/>
  <c r="KV21" i="520"/>
  <c r="LA21" i="520"/>
  <c r="KA21" i="520"/>
  <c r="KD21" i="520"/>
  <c r="KW21" i="520"/>
  <c r="KE21" i="520"/>
  <c r="KX21" i="520"/>
  <c r="KT21" i="520"/>
  <c r="KI21" i="520"/>
  <c r="KY21" i="520"/>
  <c r="KJ21" i="520"/>
  <c r="KZ21" i="520"/>
  <c r="JJ21" i="520"/>
  <c r="JL21" i="520"/>
  <c r="LB21" i="520"/>
  <c r="JZ21" i="520"/>
  <c r="JM21" i="520"/>
  <c r="KM21" i="520"/>
  <c r="JW21" i="520"/>
  <c r="KR21" i="520"/>
  <c r="KN21" i="520"/>
  <c r="KO21" i="520"/>
  <c r="IS21" i="520"/>
  <c r="KP21" i="520"/>
  <c r="IU21" i="520"/>
  <c r="KQ21" i="520"/>
  <c r="IV21" i="520"/>
  <c r="KU21" i="520"/>
  <c r="JX21" i="520"/>
  <c r="KS21" i="520"/>
  <c r="IW16" i="520"/>
  <c r="JN16" i="520"/>
  <c r="KE16" i="520"/>
  <c r="IX16" i="520"/>
  <c r="JO16" i="520"/>
  <c r="KF16" i="520"/>
  <c r="IY16" i="520"/>
  <c r="JP16" i="520"/>
  <c r="KG16" i="520"/>
  <c r="IZ16" i="520"/>
  <c r="JQ16" i="520"/>
  <c r="KH16" i="520"/>
  <c r="JA16" i="520"/>
  <c r="JR16" i="520"/>
  <c r="JB16" i="520"/>
  <c r="JS16" i="520"/>
  <c r="JC16" i="520"/>
  <c r="JT16" i="520"/>
  <c r="KK16" i="520"/>
  <c r="JD16" i="520"/>
  <c r="JU16" i="520"/>
  <c r="KL16" i="520"/>
  <c r="JE16" i="520"/>
  <c r="JV16" i="520"/>
  <c r="JF16" i="520"/>
  <c r="JG16" i="520"/>
  <c r="JX16" i="520"/>
  <c r="IQ16" i="520"/>
  <c r="JH16" i="520"/>
  <c r="JY16" i="520"/>
  <c r="IR16" i="520"/>
  <c r="JI16" i="520"/>
  <c r="JZ16" i="520"/>
  <c r="IT16" i="520"/>
  <c r="JK16" i="520"/>
  <c r="KB16" i="520"/>
  <c r="KV16" i="520"/>
  <c r="KZ16" i="520"/>
  <c r="KW16" i="520"/>
  <c r="KX16" i="520"/>
  <c r="LA16" i="520"/>
  <c r="KU16" i="520"/>
  <c r="KY16" i="520"/>
  <c r="JJ16" i="520"/>
  <c r="LB16" i="520"/>
  <c r="KR16" i="520"/>
  <c r="JL16" i="520"/>
  <c r="JW16" i="520"/>
  <c r="KM16" i="520"/>
  <c r="JM16" i="520"/>
  <c r="KA16" i="520"/>
  <c r="KN16" i="520"/>
  <c r="KC16" i="520"/>
  <c r="KO16" i="520"/>
  <c r="KT16" i="520"/>
  <c r="KD16" i="520"/>
  <c r="KP16" i="520"/>
  <c r="IS16" i="520"/>
  <c r="KI16" i="520"/>
  <c r="KQ16" i="520"/>
  <c r="IU16" i="520"/>
  <c r="KJ16" i="520"/>
  <c r="IV16" i="520"/>
  <c r="KS16" i="520"/>
  <c r="IW22" i="520"/>
  <c r="JN22" i="520"/>
  <c r="IX22" i="520"/>
  <c r="JO22" i="520"/>
  <c r="KF22" i="520"/>
  <c r="IY22" i="520"/>
  <c r="JP22" i="520"/>
  <c r="KG22" i="520"/>
  <c r="IZ22" i="520"/>
  <c r="JQ22" i="520"/>
  <c r="KH22" i="520"/>
  <c r="JA22" i="520"/>
  <c r="JR22" i="520"/>
  <c r="JB22" i="520"/>
  <c r="JC22" i="520"/>
  <c r="JT22" i="520"/>
  <c r="KK22" i="520"/>
  <c r="JD22" i="520"/>
  <c r="JU22" i="520"/>
  <c r="KL22" i="520"/>
  <c r="JE22" i="520"/>
  <c r="JV22" i="520"/>
  <c r="JF22" i="520"/>
  <c r="JG22" i="520"/>
  <c r="IQ22" i="520"/>
  <c r="JH22" i="520"/>
  <c r="JY22" i="520"/>
  <c r="IR22" i="520"/>
  <c r="JI22" i="520"/>
  <c r="IT22" i="520"/>
  <c r="JK22" i="520"/>
  <c r="KB22" i="520"/>
  <c r="KV22" i="520"/>
  <c r="KW22" i="520"/>
  <c r="KX22" i="520"/>
  <c r="KZ22" i="520"/>
  <c r="IV22" i="520"/>
  <c r="KY22" i="520"/>
  <c r="KT22" i="520"/>
  <c r="KU22" i="520"/>
  <c r="JW22" i="520"/>
  <c r="LA22" i="520"/>
  <c r="JX22" i="520"/>
  <c r="LB22" i="520"/>
  <c r="KR22" i="520"/>
  <c r="JZ22" i="520"/>
  <c r="KM22" i="520"/>
  <c r="JJ22" i="520"/>
  <c r="KA22" i="520"/>
  <c r="KN22" i="520"/>
  <c r="JL22" i="520"/>
  <c r="KC22" i="520"/>
  <c r="KO22" i="520"/>
  <c r="JM22" i="520"/>
  <c r="KD22" i="520"/>
  <c r="KP22" i="520"/>
  <c r="JS22" i="520"/>
  <c r="KE22" i="520"/>
  <c r="KQ22" i="520"/>
  <c r="KI22" i="520"/>
  <c r="IS22" i="520"/>
  <c r="KJ22" i="520"/>
  <c r="KS22" i="520"/>
  <c r="IU22" i="520"/>
  <c r="IW7" i="520"/>
  <c r="JN7" i="520"/>
  <c r="KE7" i="520"/>
  <c r="IX7" i="520"/>
  <c r="JO7" i="520"/>
  <c r="KF7" i="520"/>
  <c r="KW7" i="520"/>
  <c r="IY7" i="520"/>
  <c r="JP7" i="520"/>
  <c r="KG7" i="520"/>
  <c r="KX7" i="520"/>
  <c r="IZ7" i="520"/>
  <c r="JQ7" i="520"/>
  <c r="KH7" i="520"/>
  <c r="KY7" i="520"/>
  <c r="JA7" i="520"/>
  <c r="JR7" i="520"/>
  <c r="JB7" i="520"/>
  <c r="JS7" i="520"/>
  <c r="JC7" i="520"/>
  <c r="JT7" i="520"/>
  <c r="KK7" i="520"/>
  <c r="LB7" i="520"/>
  <c r="JD7" i="520"/>
  <c r="JU7" i="520"/>
  <c r="KL7" i="520"/>
  <c r="KM7" i="520"/>
  <c r="JE7" i="520"/>
  <c r="JV7" i="520"/>
  <c r="JW7" i="520"/>
  <c r="JF7" i="520"/>
  <c r="JG7" i="520"/>
  <c r="JX7" i="520"/>
  <c r="IQ7" i="520"/>
  <c r="JH7" i="520"/>
  <c r="JY7" i="520"/>
  <c r="IR7" i="520"/>
  <c r="JI7" i="520"/>
  <c r="JZ7" i="520"/>
  <c r="IT7" i="520"/>
  <c r="JK7" i="520"/>
  <c r="KB7" i="520"/>
  <c r="IS7" i="520"/>
  <c r="IU7" i="520"/>
  <c r="KN7" i="520"/>
  <c r="IV7" i="520"/>
  <c r="KO7" i="520"/>
  <c r="KR7" i="520"/>
  <c r="KP7" i="520"/>
  <c r="KQ7" i="520"/>
  <c r="KS7" i="520"/>
  <c r="KT7" i="520"/>
  <c r="KU7" i="520"/>
  <c r="KA7" i="520"/>
  <c r="KV7" i="520"/>
  <c r="KC7" i="520"/>
  <c r="KZ7" i="520"/>
  <c r="KI7" i="520"/>
  <c r="JJ7" i="520"/>
  <c r="KD7" i="520"/>
  <c r="LA7" i="520"/>
  <c r="JL7" i="520"/>
  <c r="JM7" i="520"/>
  <c r="KJ7" i="520"/>
  <c r="IW17" i="520"/>
  <c r="JN17" i="520"/>
  <c r="KE17" i="520"/>
  <c r="IX17" i="520"/>
  <c r="JO17" i="520"/>
  <c r="KF17" i="520"/>
  <c r="IY17" i="520"/>
  <c r="JP17" i="520"/>
  <c r="KG17" i="520"/>
  <c r="IZ17" i="520"/>
  <c r="JQ17" i="520"/>
  <c r="KH17" i="520"/>
  <c r="JA17" i="520"/>
  <c r="JR17" i="520"/>
  <c r="JB17" i="520"/>
  <c r="JS17" i="520"/>
  <c r="JC17" i="520"/>
  <c r="JT17" i="520"/>
  <c r="KK17" i="520"/>
  <c r="JD17" i="520"/>
  <c r="JU17" i="520"/>
  <c r="KL17" i="520"/>
  <c r="JE17" i="520"/>
  <c r="JV17" i="520"/>
  <c r="JF17" i="520"/>
  <c r="JG17" i="520"/>
  <c r="JX17" i="520"/>
  <c r="IQ17" i="520"/>
  <c r="JH17" i="520"/>
  <c r="JY17" i="520"/>
  <c r="IR17" i="520"/>
  <c r="JI17" i="520"/>
  <c r="JZ17" i="520"/>
  <c r="IT17" i="520"/>
  <c r="JK17" i="520"/>
  <c r="KB17" i="520"/>
  <c r="IV17" i="520"/>
  <c r="KD17" i="520"/>
  <c r="KV17" i="520"/>
  <c r="LA17" i="520"/>
  <c r="KT17" i="520"/>
  <c r="KI17" i="520"/>
  <c r="KW17" i="520"/>
  <c r="KC17" i="520"/>
  <c r="KJ17" i="520"/>
  <c r="KX17" i="520"/>
  <c r="KY17" i="520"/>
  <c r="KZ17" i="520"/>
  <c r="LB17" i="520"/>
  <c r="KM17" i="520"/>
  <c r="KN17" i="520"/>
  <c r="KR17" i="520"/>
  <c r="JJ17" i="520"/>
  <c r="KO17" i="520"/>
  <c r="KA17" i="520"/>
  <c r="KU17" i="520"/>
  <c r="JL17" i="520"/>
  <c r="KP17" i="520"/>
  <c r="IU17" i="520"/>
  <c r="JM17" i="520"/>
  <c r="KQ17" i="520"/>
  <c r="JW17" i="520"/>
  <c r="KS17" i="520"/>
  <c r="IS17" i="520"/>
  <c r="IW14" i="520"/>
  <c r="JN14" i="520"/>
  <c r="KE14" i="520"/>
  <c r="IX14" i="520"/>
  <c r="JO14" i="520"/>
  <c r="KF14" i="520"/>
  <c r="IY14" i="520"/>
  <c r="JP14" i="520"/>
  <c r="KG14" i="520"/>
  <c r="KX14" i="520"/>
  <c r="IZ14" i="520"/>
  <c r="JQ14" i="520"/>
  <c r="KH14" i="520"/>
  <c r="JA14" i="520"/>
  <c r="JR14" i="520"/>
  <c r="JB14" i="520"/>
  <c r="JS14" i="520"/>
  <c r="JC14" i="520"/>
  <c r="JT14" i="520"/>
  <c r="KK14" i="520"/>
  <c r="JD14" i="520"/>
  <c r="JU14" i="520"/>
  <c r="KL14" i="520"/>
  <c r="JE14" i="520"/>
  <c r="JV14" i="520"/>
  <c r="JW14" i="520"/>
  <c r="JF14" i="520"/>
  <c r="JG14" i="520"/>
  <c r="JX14" i="520"/>
  <c r="IQ14" i="520"/>
  <c r="JH14" i="520"/>
  <c r="JY14" i="520"/>
  <c r="IR14" i="520"/>
  <c r="JI14" i="520"/>
  <c r="JZ14" i="520"/>
  <c r="IT14" i="520"/>
  <c r="JK14" i="520"/>
  <c r="KB14" i="520"/>
  <c r="JJ14" i="520"/>
  <c r="KJ14" i="520"/>
  <c r="KU14" i="520"/>
  <c r="JL14" i="520"/>
  <c r="KV14" i="520"/>
  <c r="LA14" i="520"/>
  <c r="JM14" i="520"/>
  <c r="KW14" i="520"/>
  <c r="KZ14" i="520"/>
  <c r="KY14" i="520"/>
  <c r="IS14" i="520"/>
  <c r="IU14" i="520"/>
  <c r="LB14" i="520"/>
  <c r="KS14" i="520"/>
  <c r="IV14" i="520"/>
  <c r="KI14" i="520"/>
  <c r="KT14" i="520"/>
  <c r="KM14" i="520"/>
  <c r="KN14" i="520"/>
  <c r="KQ14" i="520"/>
  <c r="KO14" i="520"/>
  <c r="KP14" i="520"/>
  <c r="KA14" i="520"/>
  <c r="KD14" i="520"/>
  <c r="KC14" i="520"/>
  <c r="KR14" i="520"/>
  <c r="IW10" i="520"/>
  <c r="JN10" i="520"/>
  <c r="KE10" i="520"/>
  <c r="IX10" i="520"/>
  <c r="JO10" i="520"/>
  <c r="KF10" i="520"/>
  <c r="KW10" i="520"/>
  <c r="IY10" i="520"/>
  <c r="JP10" i="520"/>
  <c r="KG10" i="520"/>
  <c r="KX10" i="520"/>
  <c r="IZ10" i="520"/>
  <c r="JQ10" i="520"/>
  <c r="KH10" i="520"/>
  <c r="KY10" i="520"/>
  <c r="JA10" i="520"/>
  <c r="JR10" i="520"/>
  <c r="JB10" i="520"/>
  <c r="JS10" i="520"/>
  <c r="JC10" i="520"/>
  <c r="JT10" i="520"/>
  <c r="KK10" i="520"/>
  <c r="JD10" i="520"/>
  <c r="JU10" i="520"/>
  <c r="KL10" i="520"/>
  <c r="KM10" i="520"/>
  <c r="JE10" i="520"/>
  <c r="JV10" i="520"/>
  <c r="JW10" i="520"/>
  <c r="JF10" i="520"/>
  <c r="JG10" i="520"/>
  <c r="JX10" i="520"/>
  <c r="IQ10" i="520"/>
  <c r="JH10" i="520"/>
  <c r="JY10" i="520"/>
  <c r="IR10" i="520"/>
  <c r="JI10" i="520"/>
  <c r="JZ10" i="520"/>
  <c r="IT10" i="520"/>
  <c r="JK10" i="520"/>
  <c r="KB10" i="520"/>
  <c r="JJ10" i="520"/>
  <c r="KO10" i="520"/>
  <c r="KN10" i="520"/>
  <c r="KP10" i="520"/>
  <c r="JL10" i="520"/>
  <c r="JM10" i="520"/>
  <c r="KQ10" i="520"/>
  <c r="KR10" i="520"/>
  <c r="KZ10" i="520"/>
  <c r="KA10" i="520"/>
  <c r="KS10" i="520"/>
  <c r="IS10" i="520"/>
  <c r="KC10" i="520"/>
  <c r="KT10" i="520"/>
  <c r="KJ10" i="520"/>
  <c r="IU10" i="520"/>
  <c r="KD10" i="520"/>
  <c r="KU10" i="520"/>
  <c r="IV10" i="520"/>
  <c r="KI10" i="520"/>
  <c r="KV10" i="520"/>
  <c r="LB10" i="520"/>
  <c r="LA10" i="520"/>
  <c r="IW20" i="520"/>
  <c r="JN20" i="520"/>
  <c r="IX20" i="520"/>
  <c r="JO20" i="520"/>
  <c r="KF20" i="520"/>
  <c r="IY20" i="520"/>
  <c r="JP20" i="520"/>
  <c r="KG20" i="520"/>
  <c r="IZ20" i="520"/>
  <c r="JQ20" i="520"/>
  <c r="KH20" i="520"/>
  <c r="JA20" i="520"/>
  <c r="JR20" i="520"/>
  <c r="JB20" i="520"/>
  <c r="JS20" i="520"/>
  <c r="JC20" i="520"/>
  <c r="JT20" i="520"/>
  <c r="KK20" i="520"/>
  <c r="JD20" i="520"/>
  <c r="JU20" i="520"/>
  <c r="KL20" i="520"/>
  <c r="JE20" i="520"/>
  <c r="JV20" i="520"/>
  <c r="JF20" i="520"/>
  <c r="JG20" i="520"/>
  <c r="IQ20" i="520"/>
  <c r="JH20" i="520"/>
  <c r="JY20" i="520"/>
  <c r="IR20" i="520"/>
  <c r="JI20" i="520"/>
  <c r="IT20" i="520"/>
  <c r="JK20" i="520"/>
  <c r="KB20" i="520"/>
  <c r="KV20" i="520"/>
  <c r="JX20" i="520"/>
  <c r="KZ20" i="520"/>
  <c r="KW20" i="520"/>
  <c r="KU20" i="520"/>
  <c r="JJ20" i="520"/>
  <c r="KX20" i="520"/>
  <c r="LA20" i="520"/>
  <c r="JL20" i="520"/>
  <c r="JW20" i="520"/>
  <c r="KY20" i="520"/>
  <c r="JZ20" i="520"/>
  <c r="JM20" i="520"/>
  <c r="KA20" i="520"/>
  <c r="LB20" i="520"/>
  <c r="IS20" i="520"/>
  <c r="KC20" i="520"/>
  <c r="KM20" i="520"/>
  <c r="KT20" i="520"/>
  <c r="IU20" i="520"/>
  <c r="KD20" i="520"/>
  <c r="KN20" i="520"/>
  <c r="IV20" i="520"/>
  <c r="KE20" i="520"/>
  <c r="KO20" i="520"/>
  <c r="KR20" i="520"/>
  <c r="KI20" i="520"/>
  <c r="KP20" i="520"/>
  <c r="KJ20" i="520"/>
  <c r="KQ20" i="520"/>
  <c r="KS20" i="520"/>
  <c r="IW15" i="520"/>
  <c r="JN15" i="520"/>
  <c r="KE15" i="520"/>
  <c r="IX15" i="520"/>
  <c r="JO15" i="520"/>
  <c r="KF15" i="520"/>
  <c r="IY15" i="520"/>
  <c r="JP15" i="520"/>
  <c r="KG15" i="520"/>
  <c r="IZ15" i="520"/>
  <c r="JQ15" i="520"/>
  <c r="KH15" i="520"/>
  <c r="JA15" i="520"/>
  <c r="JR15" i="520"/>
  <c r="JB15" i="520"/>
  <c r="JS15" i="520"/>
  <c r="JC15" i="520"/>
  <c r="JT15" i="520"/>
  <c r="KK15" i="520"/>
  <c r="JD15" i="520"/>
  <c r="JU15" i="520"/>
  <c r="KL15" i="520"/>
  <c r="JE15" i="520"/>
  <c r="JV15" i="520"/>
  <c r="JF15" i="520"/>
  <c r="JG15" i="520"/>
  <c r="JX15" i="520"/>
  <c r="IQ15" i="520"/>
  <c r="JH15" i="520"/>
  <c r="JY15" i="520"/>
  <c r="IR15" i="520"/>
  <c r="JI15" i="520"/>
  <c r="JZ15" i="520"/>
  <c r="IT15" i="520"/>
  <c r="JK15" i="520"/>
  <c r="KB15" i="520"/>
  <c r="KV15" i="520"/>
  <c r="KI15" i="520"/>
  <c r="JW15" i="520"/>
  <c r="KW15" i="520"/>
  <c r="KD15" i="520"/>
  <c r="KZ15" i="520"/>
  <c r="KA15" i="520"/>
  <c r="KX15" i="520"/>
  <c r="JL15" i="520"/>
  <c r="JJ15" i="520"/>
  <c r="KC15" i="520"/>
  <c r="KY15" i="520"/>
  <c r="LA15" i="520"/>
  <c r="JM15" i="520"/>
  <c r="KJ15" i="520"/>
  <c r="LB15" i="520"/>
  <c r="KU15" i="520"/>
  <c r="KM15" i="520"/>
  <c r="KR15" i="520"/>
  <c r="IS15" i="520"/>
  <c r="KN15" i="520"/>
  <c r="IU15" i="520"/>
  <c r="KO15" i="520"/>
  <c r="IV15" i="520"/>
  <c r="KP15" i="520"/>
  <c r="KT15" i="520"/>
  <c r="KQ15" i="520"/>
  <c r="KS15" i="520"/>
  <c r="IW11" i="520"/>
  <c r="JN11" i="520"/>
  <c r="KE11" i="520"/>
  <c r="IX11" i="520"/>
  <c r="JO11" i="520"/>
  <c r="KF11" i="520"/>
  <c r="KW11" i="520"/>
  <c r="IY11" i="520"/>
  <c r="JP11" i="520"/>
  <c r="KG11" i="520"/>
  <c r="KX11" i="520"/>
  <c r="IZ11" i="520"/>
  <c r="JQ11" i="520"/>
  <c r="KH11" i="520"/>
  <c r="KY11" i="520"/>
  <c r="JA11" i="520"/>
  <c r="JR11" i="520"/>
  <c r="JB11" i="520"/>
  <c r="JS11" i="520"/>
  <c r="JC11" i="520"/>
  <c r="JT11" i="520"/>
  <c r="KK11" i="520"/>
  <c r="JD11" i="520"/>
  <c r="JU11" i="520"/>
  <c r="KL11" i="520"/>
  <c r="KM11" i="520"/>
  <c r="JE11" i="520"/>
  <c r="JV11" i="520"/>
  <c r="JW11" i="520"/>
  <c r="JF11" i="520"/>
  <c r="JG11" i="520"/>
  <c r="JX11" i="520"/>
  <c r="IQ11" i="520"/>
  <c r="JH11" i="520"/>
  <c r="JY11" i="520"/>
  <c r="IR11" i="520"/>
  <c r="JI11" i="520"/>
  <c r="JZ11" i="520"/>
  <c r="IT11" i="520"/>
  <c r="JK11" i="520"/>
  <c r="KB11" i="520"/>
  <c r="KI11" i="520"/>
  <c r="KO11" i="520"/>
  <c r="KJ11" i="520"/>
  <c r="KP11" i="520"/>
  <c r="KQ11" i="520"/>
  <c r="KS11" i="520"/>
  <c r="KT11" i="520"/>
  <c r="KR11" i="520"/>
  <c r="KU11" i="520"/>
  <c r="JJ11" i="520"/>
  <c r="KV11" i="520"/>
  <c r="JL11" i="520"/>
  <c r="KZ11" i="520"/>
  <c r="KC11" i="520"/>
  <c r="JM11" i="520"/>
  <c r="LA11" i="520"/>
  <c r="KD11" i="520"/>
  <c r="LB11" i="520"/>
  <c r="IS11" i="520"/>
  <c r="KN11" i="520"/>
  <c r="IU11" i="520"/>
  <c r="KA11" i="520"/>
  <c r="IV11" i="520"/>
  <c r="IW23" i="520"/>
  <c r="JN23" i="520"/>
  <c r="IX23" i="520"/>
  <c r="JO23" i="520"/>
  <c r="KF23" i="520"/>
  <c r="IY23" i="520"/>
  <c r="JP23" i="520"/>
  <c r="KG23" i="520"/>
  <c r="IZ23" i="520"/>
  <c r="JQ23" i="520"/>
  <c r="KH23" i="520"/>
  <c r="JA23" i="520"/>
  <c r="JB23" i="520"/>
  <c r="JC23" i="520"/>
  <c r="JT23" i="520"/>
  <c r="KK23" i="520"/>
  <c r="JD23" i="520"/>
  <c r="JU23" i="520"/>
  <c r="KL23" i="520"/>
  <c r="JE23" i="520"/>
  <c r="JV23" i="520"/>
  <c r="JF23" i="520"/>
  <c r="JG23" i="520"/>
  <c r="IQ23" i="520"/>
  <c r="JH23" i="520"/>
  <c r="IR23" i="520"/>
  <c r="JI23" i="520"/>
  <c r="IT23" i="520"/>
  <c r="JK23" i="520"/>
  <c r="IS23" i="520"/>
  <c r="JS23" i="520"/>
  <c r="JY23" i="520"/>
  <c r="KV23" i="520"/>
  <c r="IU23" i="520"/>
  <c r="JZ23" i="520"/>
  <c r="KW23" i="520"/>
  <c r="KC23" i="520"/>
  <c r="KT23" i="520"/>
  <c r="IV23" i="520"/>
  <c r="KA23" i="520"/>
  <c r="KX23" i="520"/>
  <c r="KD23" i="520"/>
  <c r="KB23" i="520"/>
  <c r="KY23" i="520"/>
  <c r="LA23" i="520"/>
  <c r="JX23" i="520"/>
  <c r="KZ23" i="520"/>
  <c r="KU23" i="520"/>
  <c r="KE23" i="520"/>
  <c r="LB23" i="520"/>
  <c r="JJ23" i="520"/>
  <c r="KI23" i="520"/>
  <c r="KM23" i="520"/>
  <c r="KJ23" i="520"/>
  <c r="KN23" i="520"/>
  <c r="KO23" i="520"/>
  <c r="KP23" i="520"/>
  <c r="KQ23" i="520"/>
  <c r="KR23" i="520"/>
  <c r="JR23" i="520"/>
  <c r="JL23" i="520"/>
  <c r="KS23" i="520"/>
  <c r="JM23" i="520"/>
  <c r="JW23" i="520"/>
  <c r="IW5" i="520"/>
  <c r="JN5" i="520"/>
  <c r="KE5" i="520"/>
  <c r="IX5" i="520"/>
  <c r="JO5" i="520"/>
  <c r="KF5" i="520"/>
  <c r="KW5" i="520"/>
  <c r="IY5" i="520"/>
  <c r="JP5" i="520"/>
  <c r="KG5" i="520"/>
  <c r="KX5" i="520"/>
  <c r="IZ5" i="520"/>
  <c r="JQ5" i="520"/>
  <c r="KH5" i="520"/>
  <c r="KY5" i="520"/>
  <c r="JA5" i="520"/>
  <c r="JR5" i="520"/>
  <c r="JB5" i="520"/>
  <c r="JS5" i="520"/>
  <c r="JC5" i="520"/>
  <c r="JT5" i="520"/>
  <c r="KK5" i="520"/>
  <c r="LB5" i="520"/>
  <c r="JD5" i="520"/>
  <c r="JU5" i="520"/>
  <c r="KL5" i="520"/>
  <c r="KM5" i="520"/>
  <c r="JE5" i="520"/>
  <c r="JV5" i="520"/>
  <c r="JW5" i="520"/>
  <c r="JF5" i="520"/>
  <c r="JG5" i="520"/>
  <c r="JX5" i="520"/>
  <c r="IQ5" i="520"/>
  <c r="JH5" i="520"/>
  <c r="JY5" i="520"/>
  <c r="IR5" i="520"/>
  <c r="JI5" i="520"/>
  <c r="JZ5" i="520"/>
  <c r="IT5" i="520"/>
  <c r="JK5" i="520"/>
  <c r="KB5" i="520"/>
  <c r="KC5" i="520"/>
  <c r="KS5" i="520"/>
  <c r="KD5" i="520"/>
  <c r="KT5" i="520"/>
  <c r="KI5" i="520"/>
  <c r="KU5" i="520"/>
  <c r="KZ5" i="520"/>
  <c r="KJ5" i="520"/>
  <c r="KV5" i="520"/>
  <c r="LA5" i="520"/>
  <c r="JJ5" i="520"/>
  <c r="JL5" i="520"/>
  <c r="KQ5" i="520"/>
  <c r="JM5" i="520"/>
  <c r="KA5" i="520"/>
  <c r="KO5" i="520"/>
  <c r="KR5" i="520"/>
  <c r="IS5" i="520"/>
  <c r="IU5" i="520"/>
  <c r="KN5" i="520"/>
  <c r="IV5" i="520"/>
  <c r="KP5" i="520"/>
  <c r="IW9" i="520"/>
  <c r="JN9" i="520"/>
  <c r="KE9" i="520"/>
  <c r="IX9" i="520"/>
  <c r="JO9" i="520"/>
  <c r="KF9" i="520"/>
  <c r="KW9" i="520"/>
  <c r="IY9" i="520"/>
  <c r="JP9" i="520"/>
  <c r="KG9" i="520"/>
  <c r="KX9" i="520"/>
  <c r="IZ9" i="520"/>
  <c r="JQ9" i="520"/>
  <c r="KH9" i="520"/>
  <c r="KY9" i="520"/>
  <c r="JA9" i="520"/>
  <c r="JR9" i="520"/>
  <c r="JB9" i="520"/>
  <c r="JS9" i="520"/>
  <c r="JC9" i="520"/>
  <c r="JT9" i="520"/>
  <c r="KK9" i="520"/>
  <c r="JD9" i="520"/>
  <c r="JU9" i="520"/>
  <c r="KL9" i="520"/>
  <c r="KM9" i="520"/>
  <c r="JE9" i="520"/>
  <c r="JV9" i="520"/>
  <c r="JW9" i="520"/>
  <c r="JF9" i="520"/>
  <c r="JG9" i="520"/>
  <c r="JX9" i="520"/>
  <c r="IQ9" i="520"/>
  <c r="JH9" i="520"/>
  <c r="JY9" i="520"/>
  <c r="IR9" i="520"/>
  <c r="JI9" i="520"/>
  <c r="JZ9" i="520"/>
  <c r="IT9" i="520"/>
  <c r="JK9" i="520"/>
  <c r="KB9" i="520"/>
  <c r="KZ9" i="520"/>
  <c r="JJ9" i="520"/>
  <c r="LA9" i="520"/>
  <c r="JL9" i="520"/>
  <c r="LB9" i="520"/>
  <c r="KC9" i="520"/>
  <c r="JM9" i="520"/>
  <c r="KA9" i="520"/>
  <c r="KD9" i="520"/>
  <c r="IS9" i="520"/>
  <c r="KI9" i="520"/>
  <c r="KS9" i="520"/>
  <c r="IU9" i="520"/>
  <c r="KJ9" i="520"/>
  <c r="KN9" i="520"/>
  <c r="IV9" i="520"/>
  <c r="KO9" i="520"/>
  <c r="KU9" i="520"/>
  <c r="KV9" i="520"/>
  <c r="KP9" i="520"/>
  <c r="KQ9" i="520"/>
  <c r="KR9" i="520"/>
  <c r="KT9" i="520"/>
  <c r="IZ4" i="520"/>
  <c r="JO4" i="520"/>
  <c r="IY4" i="520"/>
  <c r="JN4" i="520"/>
  <c r="KC4" i="520"/>
  <c r="IX4" i="520"/>
  <c r="JM4" i="520"/>
  <c r="KB4" i="520"/>
  <c r="IW4" i="520"/>
  <c r="JL4" i="520"/>
  <c r="KA4" i="520"/>
  <c r="IV4" i="520"/>
  <c r="IU4" i="520"/>
  <c r="IT4" i="520"/>
  <c r="JI4" i="520"/>
  <c r="JX4" i="520"/>
  <c r="IS4" i="520"/>
  <c r="JH4" i="520"/>
  <c r="IR4" i="520"/>
  <c r="JV4" i="520"/>
  <c r="JF4" i="520"/>
  <c r="JU4" i="520"/>
  <c r="JE4" i="520"/>
  <c r="JT4" i="520"/>
  <c r="JC4" i="520"/>
  <c r="JR4" i="520"/>
  <c r="KL4" i="520"/>
  <c r="KS4" i="520"/>
  <c r="KG4" i="520"/>
  <c r="KK4" i="520"/>
  <c r="KR4" i="520"/>
  <c r="KH4" i="520"/>
  <c r="KO4" i="520"/>
  <c r="JD4" i="520"/>
  <c r="KJ4" i="520"/>
  <c r="KQ4" i="520"/>
  <c r="KN4" i="520"/>
  <c r="KT4" i="520"/>
  <c r="JB4" i="520"/>
  <c r="KI4" i="520"/>
  <c r="KP4" i="520"/>
  <c r="JA4" i="520"/>
  <c r="KF4" i="520"/>
  <c r="KM4" i="520"/>
  <c r="JG4" i="520"/>
  <c r="KW4" i="520"/>
  <c r="KE4" i="520"/>
  <c r="LB4" i="520"/>
  <c r="JW4" i="520"/>
  <c r="KD4" i="520"/>
  <c r="LA4" i="520"/>
  <c r="KZ4" i="520"/>
  <c r="JZ4" i="520"/>
  <c r="IQ4" i="520"/>
  <c r="JS4" i="520"/>
  <c r="JY4" i="520"/>
  <c r="KY4" i="520"/>
  <c r="JJ4" i="520"/>
  <c r="JQ4" i="520"/>
  <c r="KX4" i="520"/>
  <c r="JP4" i="520"/>
  <c r="KU4" i="520"/>
  <c r="JK4" i="520"/>
  <c r="KV4" i="520"/>
  <c r="IW26" i="520"/>
  <c r="JN26" i="520"/>
  <c r="IX26" i="520"/>
  <c r="JO26" i="520"/>
  <c r="KF26" i="520"/>
  <c r="IY26" i="520"/>
  <c r="JP26" i="520"/>
  <c r="KG26" i="520"/>
  <c r="IZ26" i="520"/>
  <c r="JQ26" i="520"/>
  <c r="KH26" i="520"/>
  <c r="JA26" i="520"/>
  <c r="JB26" i="520"/>
  <c r="JC26" i="520"/>
  <c r="JT26" i="520"/>
  <c r="KK26" i="520"/>
  <c r="JD26" i="520"/>
  <c r="JU26" i="520"/>
  <c r="KL26" i="520"/>
  <c r="JE26" i="520"/>
  <c r="JV26" i="520"/>
  <c r="JF26" i="520"/>
  <c r="JG26" i="520"/>
  <c r="IQ26" i="520"/>
  <c r="JH26" i="520"/>
  <c r="IR26" i="520"/>
  <c r="JI26" i="520"/>
  <c r="IT26" i="520"/>
  <c r="JK26" i="520"/>
  <c r="JX26" i="520"/>
  <c r="KV26" i="520"/>
  <c r="KZ26" i="520"/>
  <c r="JS26" i="520"/>
  <c r="JY26" i="520"/>
  <c r="KW26" i="520"/>
  <c r="JZ26" i="520"/>
  <c r="KX26" i="520"/>
  <c r="LA26" i="520"/>
  <c r="KA26" i="520"/>
  <c r="KY26" i="520"/>
  <c r="KC26" i="520"/>
  <c r="KB26" i="520"/>
  <c r="KD26" i="520"/>
  <c r="LB26" i="520"/>
  <c r="JW26" i="520"/>
  <c r="KU26" i="520"/>
  <c r="KE26" i="520"/>
  <c r="KM26" i="520"/>
  <c r="KO26" i="520"/>
  <c r="KI26" i="520"/>
  <c r="KN26" i="520"/>
  <c r="JL26" i="520"/>
  <c r="IS26" i="520"/>
  <c r="KJ26" i="520"/>
  <c r="KR26" i="520"/>
  <c r="IU26" i="520"/>
  <c r="KP26" i="520"/>
  <c r="KT26" i="520"/>
  <c r="IV26" i="520"/>
  <c r="JJ26" i="520"/>
  <c r="KQ26" i="520"/>
  <c r="JM26" i="520"/>
  <c r="KS26" i="520"/>
  <c r="JR26" i="520"/>
  <c r="IW19" i="520"/>
  <c r="JN19" i="520"/>
  <c r="IX19" i="520"/>
  <c r="JO19" i="520"/>
  <c r="KF19" i="520"/>
  <c r="IY19" i="520"/>
  <c r="JP19" i="520"/>
  <c r="KG19" i="520"/>
  <c r="IZ19" i="520"/>
  <c r="JQ19" i="520"/>
  <c r="KH19" i="520"/>
  <c r="JA19" i="520"/>
  <c r="JR19" i="520"/>
  <c r="JB19" i="520"/>
  <c r="JS19" i="520"/>
  <c r="JC19" i="520"/>
  <c r="JT19" i="520"/>
  <c r="KK19" i="520"/>
  <c r="JD19" i="520"/>
  <c r="JU19" i="520"/>
  <c r="KL19" i="520"/>
  <c r="JE19" i="520"/>
  <c r="JV19" i="520"/>
  <c r="JF19" i="520"/>
  <c r="JG19" i="520"/>
  <c r="JX19" i="520"/>
  <c r="IQ19" i="520"/>
  <c r="JH19" i="520"/>
  <c r="JY19" i="520"/>
  <c r="IR19" i="520"/>
  <c r="JI19" i="520"/>
  <c r="IT19" i="520"/>
  <c r="JK19" i="520"/>
  <c r="KB19" i="520"/>
  <c r="JL19" i="520"/>
  <c r="KE19" i="520"/>
  <c r="KV19" i="520"/>
  <c r="JM19" i="520"/>
  <c r="KI19" i="520"/>
  <c r="KW19" i="520"/>
  <c r="KZ19" i="520"/>
  <c r="LA19" i="520"/>
  <c r="KJ19" i="520"/>
  <c r="KX19" i="520"/>
  <c r="KY19" i="520"/>
  <c r="JJ19" i="520"/>
  <c r="IS19" i="520"/>
  <c r="IU19" i="520"/>
  <c r="IV19" i="520"/>
  <c r="LB19" i="520"/>
  <c r="JZ19" i="520"/>
  <c r="KM19" i="520"/>
  <c r="KC19" i="520"/>
  <c r="KN19" i="520"/>
  <c r="KO19" i="520"/>
  <c r="KP19" i="520"/>
  <c r="KR19" i="520"/>
  <c r="JW19" i="520"/>
  <c r="KQ19" i="520"/>
  <c r="KT19" i="520"/>
  <c r="KD19" i="520"/>
  <c r="KA19" i="520"/>
  <c r="KS19" i="520"/>
  <c r="KU19" i="520"/>
  <c r="IW24" i="520"/>
  <c r="JN24" i="520"/>
  <c r="IX24" i="520"/>
  <c r="JO24" i="520"/>
  <c r="KF24" i="520"/>
  <c r="IY24" i="520"/>
  <c r="JP24" i="520"/>
  <c r="KG24" i="520"/>
  <c r="IZ24" i="520"/>
  <c r="JQ24" i="520"/>
  <c r="KH24" i="520"/>
  <c r="JA24" i="520"/>
  <c r="JB24" i="520"/>
  <c r="JC24" i="520"/>
  <c r="JT24" i="520"/>
  <c r="KK24" i="520"/>
  <c r="JD24" i="520"/>
  <c r="JU24" i="520"/>
  <c r="KL24" i="520"/>
  <c r="JE24" i="520"/>
  <c r="JV24" i="520"/>
  <c r="JF24" i="520"/>
  <c r="JG24" i="520"/>
  <c r="IQ24" i="520"/>
  <c r="JH24" i="520"/>
  <c r="IR24" i="520"/>
  <c r="JI24" i="520"/>
  <c r="IT24" i="520"/>
  <c r="JK24" i="520"/>
  <c r="KD24" i="520"/>
  <c r="KV24" i="520"/>
  <c r="JJ24" i="520"/>
  <c r="KE24" i="520"/>
  <c r="KW24" i="520"/>
  <c r="JL24" i="520"/>
  <c r="KI24" i="520"/>
  <c r="KX24" i="520"/>
  <c r="JR24" i="520"/>
  <c r="KC24" i="520"/>
  <c r="IS24" i="520"/>
  <c r="JM24" i="520"/>
  <c r="KJ24" i="520"/>
  <c r="KY24" i="520"/>
  <c r="KZ24" i="520"/>
  <c r="IU24" i="520"/>
  <c r="LA24" i="520"/>
  <c r="IV24" i="520"/>
  <c r="JS24" i="520"/>
  <c r="KU24" i="520"/>
  <c r="LB24" i="520"/>
  <c r="KM24" i="520"/>
  <c r="KN24" i="520"/>
  <c r="JZ24" i="520"/>
  <c r="KR24" i="520"/>
  <c r="JW24" i="520"/>
  <c r="KO24" i="520"/>
  <c r="JX24" i="520"/>
  <c r="KP24" i="520"/>
  <c r="JY24" i="520"/>
  <c r="KQ24" i="520"/>
  <c r="KA24" i="520"/>
  <c r="KS24" i="520"/>
  <c r="KB24" i="520"/>
  <c r="KT24" i="520"/>
  <c r="IW18" i="520"/>
  <c r="JN18" i="520"/>
  <c r="IX18" i="520"/>
  <c r="JO18" i="520"/>
  <c r="KF18" i="520"/>
  <c r="IY18" i="520"/>
  <c r="JP18" i="520"/>
  <c r="KG18" i="520"/>
  <c r="IZ18" i="520"/>
  <c r="JQ18" i="520"/>
  <c r="KH18" i="520"/>
  <c r="JA18" i="520"/>
  <c r="JR18" i="520"/>
  <c r="JB18" i="520"/>
  <c r="JS18" i="520"/>
  <c r="JC18" i="520"/>
  <c r="JT18" i="520"/>
  <c r="KK18" i="520"/>
  <c r="JD18" i="520"/>
  <c r="JU18" i="520"/>
  <c r="KL18" i="520"/>
  <c r="JE18" i="520"/>
  <c r="JV18" i="520"/>
  <c r="JF18" i="520"/>
  <c r="JG18" i="520"/>
  <c r="JX18" i="520"/>
  <c r="IQ18" i="520"/>
  <c r="JH18" i="520"/>
  <c r="JY18" i="520"/>
  <c r="IR18" i="520"/>
  <c r="JI18" i="520"/>
  <c r="IT18" i="520"/>
  <c r="JK18" i="520"/>
  <c r="KB18" i="520"/>
  <c r="KV18" i="520"/>
  <c r="IS18" i="520"/>
  <c r="KW18" i="520"/>
  <c r="KA18" i="520"/>
  <c r="IU18" i="520"/>
  <c r="KX18" i="520"/>
  <c r="JZ18" i="520"/>
  <c r="KZ18" i="520"/>
  <c r="IV18" i="520"/>
  <c r="JW18" i="520"/>
  <c r="KY18" i="520"/>
  <c r="LA18" i="520"/>
  <c r="KC18" i="520"/>
  <c r="LB18" i="520"/>
  <c r="KD18" i="520"/>
  <c r="KM18" i="520"/>
  <c r="JJ18" i="520"/>
  <c r="KE18" i="520"/>
  <c r="KN18" i="520"/>
  <c r="KT18" i="520"/>
  <c r="KI18" i="520"/>
  <c r="KO18" i="520"/>
  <c r="KJ18" i="520"/>
  <c r="KP18" i="520"/>
  <c r="KU18" i="520"/>
  <c r="KQ18" i="520"/>
  <c r="KR18" i="520"/>
  <c r="JL18" i="520"/>
  <c r="KS18" i="520"/>
  <c r="JM18" i="520"/>
  <c r="S43" i="1"/>
  <c r="AD4" i="111" s="1"/>
  <c r="Q38" i="1"/>
  <c r="O43" i="1" a="1"/>
  <c r="O43" i="1" s="1"/>
  <c r="AC4" i="111"/>
  <c r="BA31" i="1"/>
  <c r="E83" i="6"/>
  <c r="E77" i="6"/>
  <c r="E87" i="6"/>
  <c r="E81" i="6"/>
  <c r="E75" i="6"/>
  <c r="E85" i="6"/>
  <c r="E74" i="6"/>
  <c r="E84" i="6"/>
  <c r="E78" i="6"/>
  <c r="E88" i="6"/>
  <c r="E82" i="6"/>
  <c r="E76" i="6"/>
  <c r="E86" i="6"/>
  <c r="E80" i="6"/>
  <c r="E79" i="6"/>
  <c r="E89" i="6"/>
  <c r="M35" i="1"/>
  <c r="H47" i="1" a="1"/>
  <c r="H47" i="1" s="1"/>
  <c r="UO18" i="520" l="1"/>
  <c r="PQ18" i="520"/>
  <c r="TY18" i="520"/>
  <c r="PA18" i="520"/>
  <c r="TE18" i="520"/>
  <c r="OG18" i="520"/>
  <c r="TO18" i="520"/>
  <c r="OQ18" i="520"/>
  <c r="TX24" i="520"/>
  <c r="OZ24" i="520"/>
  <c r="SR24" i="520"/>
  <c r="NT24" i="520"/>
  <c r="UR24" i="520"/>
  <c r="PT24" i="520"/>
  <c r="TP24" i="520"/>
  <c r="OR24" i="520"/>
  <c r="UO19" i="520"/>
  <c r="PQ19" i="520"/>
  <c r="SO19" i="520"/>
  <c r="NQ19" i="520"/>
  <c r="TE19" i="520"/>
  <c r="OG19" i="520"/>
  <c r="OQ19" i="520"/>
  <c r="TO19" i="520"/>
  <c r="UO26" i="520"/>
  <c r="PQ26" i="520"/>
  <c r="UA26" i="520"/>
  <c r="PC26" i="520"/>
  <c r="UR26" i="520"/>
  <c r="PT26" i="520"/>
  <c r="TP26" i="520"/>
  <c r="OR26" i="520"/>
  <c r="TG4" i="520"/>
  <c r="OI4" i="520"/>
  <c r="PC4" i="520"/>
  <c r="UA4" i="520"/>
  <c r="UN4" i="520"/>
  <c r="PP4" i="520"/>
  <c r="TE4" i="520"/>
  <c r="OG4" i="520"/>
  <c r="UN9" i="520"/>
  <c r="PP9" i="520"/>
  <c r="TY9" i="520"/>
  <c r="PA9" i="520"/>
  <c r="TC9" i="520"/>
  <c r="OE9" i="520"/>
  <c r="UU9" i="520"/>
  <c r="PW9" i="520"/>
  <c r="SR5" i="520"/>
  <c r="NT5" i="520"/>
  <c r="UE5" i="520"/>
  <c r="PG5" i="520"/>
  <c r="OD5" i="520"/>
  <c r="TB5" i="520"/>
  <c r="UU5" i="520"/>
  <c r="PW5" i="520"/>
  <c r="OK23" i="520"/>
  <c r="TI23" i="520"/>
  <c r="UV23" i="520"/>
  <c r="PX23" i="520"/>
  <c r="TO23" i="520"/>
  <c r="OQ23" i="520"/>
  <c r="TP23" i="520"/>
  <c r="OR23" i="520"/>
  <c r="TW11" i="520"/>
  <c r="OY11" i="520"/>
  <c r="UO11" i="520"/>
  <c r="PQ11" i="520"/>
  <c r="TC11" i="520"/>
  <c r="OE11" i="520"/>
  <c r="UU11" i="520"/>
  <c r="PW11" i="520"/>
  <c r="UM15" i="520"/>
  <c r="PO15" i="520"/>
  <c r="TY15" i="520"/>
  <c r="PA15" i="520"/>
  <c r="SN15" i="520"/>
  <c r="NP15" i="520"/>
  <c r="SX15" i="520"/>
  <c r="NZ15" i="520"/>
  <c r="UM20" i="520"/>
  <c r="PO20" i="520"/>
  <c r="OY20" i="520"/>
  <c r="TW20" i="520"/>
  <c r="SP20" i="520"/>
  <c r="NR20" i="520"/>
  <c r="OQ20" i="520"/>
  <c r="TO20" i="520"/>
  <c r="UX10" i="520"/>
  <c r="PZ10" i="520"/>
  <c r="TI10" i="520"/>
  <c r="OK10" i="520"/>
  <c r="TC10" i="520"/>
  <c r="OE10" i="520"/>
  <c r="UU10" i="520"/>
  <c r="PW10" i="520"/>
  <c r="TY14" i="520"/>
  <c r="PA14" i="520"/>
  <c r="UV14" i="520"/>
  <c r="PX14" i="520"/>
  <c r="TD14" i="520"/>
  <c r="OF14" i="520"/>
  <c r="TN14" i="520"/>
  <c r="OP14" i="520"/>
  <c r="UO17" i="520"/>
  <c r="PQ17" i="520"/>
  <c r="UU17" i="520"/>
  <c r="PW17" i="520"/>
  <c r="SN17" i="520"/>
  <c r="NP17" i="520"/>
  <c r="SX17" i="520"/>
  <c r="NZ17" i="520"/>
  <c r="TI7" i="520"/>
  <c r="OK7" i="520"/>
  <c r="UK7" i="520"/>
  <c r="PM7" i="520"/>
  <c r="TB7" i="520"/>
  <c r="OD7" i="520"/>
  <c r="UU7" i="520"/>
  <c r="PW7" i="520"/>
  <c r="UO22" i="520"/>
  <c r="PQ22" i="520"/>
  <c r="UI22" i="520"/>
  <c r="PK22" i="520"/>
  <c r="OI22" i="520"/>
  <c r="TG22" i="520"/>
  <c r="SY22" i="520"/>
  <c r="OA22" i="520"/>
  <c r="NT16" i="520"/>
  <c r="SR16" i="520"/>
  <c r="OJ16" i="520"/>
  <c r="TH16" i="520"/>
  <c r="NP16" i="520"/>
  <c r="SN16" i="520"/>
  <c r="SX16" i="520"/>
  <c r="NZ16" i="520"/>
  <c r="TT21" i="520"/>
  <c r="OV21" i="520"/>
  <c r="TF21" i="520"/>
  <c r="OH21" i="520"/>
  <c r="SP21" i="520"/>
  <c r="NR21" i="520"/>
  <c r="TO21" i="520"/>
  <c r="OQ21" i="520"/>
  <c r="TH13" i="520"/>
  <c r="OJ13" i="520"/>
  <c r="UU13" i="520"/>
  <c r="PW13" i="520"/>
  <c r="TD13" i="520"/>
  <c r="OF13" i="520"/>
  <c r="TN13" i="520"/>
  <c r="OP13" i="520"/>
  <c r="UR6" i="520"/>
  <c r="PT6" i="520"/>
  <c r="UJ6" i="520"/>
  <c r="PL6" i="520"/>
  <c r="TB6" i="520"/>
  <c r="OD6" i="520"/>
  <c r="PW6" i="520"/>
  <c r="UU6" i="520"/>
  <c r="UA28" i="520"/>
  <c r="PC28" i="520"/>
  <c r="TU28" i="520"/>
  <c r="OW28" i="520"/>
  <c r="UR28" i="520"/>
  <c r="PT28" i="520"/>
  <c r="TP28" i="520"/>
  <c r="OR28" i="520"/>
  <c r="UO27" i="520"/>
  <c r="PQ27" i="520"/>
  <c r="UI27" i="520"/>
  <c r="PK27" i="520"/>
  <c r="TY27" i="520"/>
  <c r="PA27" i="520"/>
  <c r="TP27" i="520"/>
  <c r="OR27" i="520"/>
  <c r="UE25" i="520"/>
  <c r="PG25" i="520"/>
  <c r="UI25" i="520"/>
  <c r="PK25" i="520"/>
  <c r="US25" i="520"/>
  <c r="PU25" i="520"/>
  <c r="TP25" i="520"/>
  <c r="OR25" i="520"/>
  <c r="SP8" i="520"/>
  <c r="NR8" i="520"/>
  <c r="TZ8" i="520"/>
  <c r="PB8" i="520"/>
  <c r="PQ8" i="520"/>
  <c r="UO8" i="520"/>
  <c r="OW8" i="520"/>
  <c r="TU8" i="520"/>
  <c r="TH18" i="520"/>
  <c r="OJ18" i="520"/>
  <c r="UW18" i="520"/>
  <c r="PY18" i="520"/>
  <c r="SN18" i="520"/>
  <c r="NP18" i="520"/>
  <c r="SX18" i="520"/>
  <c r="NZ18" i="520"/>
  <c r="UO24" i="520"/>
  <c r="PQ24" i="520"/>
  <c r="UW24" i="520"/>
  <c r="PY24" i="520"/>
  <c r="TZ24" i="520"/>
  <c r="PB24" i="520"/>
  <c r="OA24" i="520"/>
  <c r="SY24" i="520"/>
  <c r="TW19" i="520"/>
  <c r="OY19" i="520"/>
  <c r="TF19" i="520"/>
  <c r="OH19" i="520"/>
  <c r="NP19" i="520"/>
  <c r="SN19" i="520"/>
  <c r="NZ19" i="520"/>
  <c r="SX19" i="520"/>
  <c r="TI26" i="520"/>
  <c r="OK26" i="520"/>
  <c r="UQ26" i="520"/>
  <c r="PS26" i="520"/>
  <c r="TT26" i="520"/>
  <c r="OV26" i="520"/>
  <c r="SY26" i="520"/>
  <c r="OA26" i="520"/>
  <c r="PS4" i="520"/>
  <c r="UQ4" i="520"/>
  <c r="US4" i="520"/>
  <c r="PU4" i="520"/>
  <c r="UG4" i="520"/>
  <c r="PI4" i="520"/>
  <c r="SP4" i="520"/>
  <c r="NR4" i="520"/>
  <c r="UM9" i="520"/>
  <c r="PO9" i="520"/>
  <c r="UX9" i="520"/>
  <c r="PZ9" i="520"/>
  <c r="TB9" i="520"/>
  <c r="OD9" i="520"/>
  <c r="UD9" i="520"/>
  <c r="PF9" i="520"/>
  <c r="UJ5" i="520"/>
  <c r="PL5" i="520"/>
  <c r="UP5" i="520"/>
  <c r="PR5" i="520"/>
  <c r="OU5" i="520"/>
  <c r="TS5" i="520"/>
  <c r="UD5" i="520"/>
  <c r="PF5" i="520"/>
  <c r="UO23" i="520"/>
  <c r="PQ23" i="520"/>
  <c r="TT23" i="520"/>
  <c r="OV23" i="520"/>
  <c r="NQ23" i="520"/>
  <c r="SO23" i="520"/>
  <c r="SY23" i="520"/>
  <c r="OA23" i="520"/>
  <c r="NS11" i="520"/>
  <c r="SQ11" i="520"/>
  <c r="UM11" i="520"/>
  <c r="PO11" i="520"/>
  <c r="TB11" i="520"/>
  <c r="OD11" i="520"/>
  <c r="UD11" i="520"/>
  <c r="PF11" i="520"/>
  <c r="UP15" i="520"/>
  <c r="PR15" i="520"/>
  <c r="TF15" i="520"/>
  <c r="OH15" i="520"/>
  <c r="OW15" i="520"/>
  <c r="TU15" i="520"/>
  <c r="TN15" i="520"/>
  <c r="OP15" i="520"/>
  <c r="UF20" i="520"/>
  <c r="PH20" i="520"/>
  <c r="TI20" i="520"/>
  <c r="OK20" i="520"/>
  <c r="TE20" i="520"/>
  <c r="OG20" i="520"/>
  <c r="SX20" i="520"/>
  <c r="NZ20" i="520"/>
  <c r="UR10" i="520"/>
  <c r="PT10" i="520"/>
  <c r="TH10" i="520"/>
  <c r="OJ10" i="520"/>
  <c r="TB10" i="520"/>
  <c r="OD10" i="520"/>
  <c r="UD10" i="520"/>
  <c r="PF10" i="520"/>
  <c r="TZ14" i="520"/>
  <c r="PB14" i="520"/>
  <c r="US14" i="520"/>
  <c r="PU14" i="520"/>
  <c r="SM14" i="520"/>
  <c r="NO14" i="520"/>
  <c r="SW14" i="520"/>
  <c r="NY14" i="520"/>
  <c r="TS17" i="520"/>
  <c r="OU17" i="520"/>
  <c r="UT17" i="520"/>
  <c r="PV17" i="520"/>
  <c r="TU17" i="520"/>
  <c r="OW17" i="520"/>
  <c r="TN17" i="520"/>
  <c r="OP17" i="520"/>
  <c r="TH7" i="520"/>
  <c r="OJ7" i="520"/>
  <c r="SR7" i="520"/>
  <c r="NT7" i="520"/>
  <c r="TS7" i="520"/>
  <c r="OU7" i="520"/>
  <c r="UD7" i="520"/>
  <c r="PF7" i="520"/>
  <c r="UF22" i="520"/>
  <c r="PH22" i="520"/>
  <c r="TV22" i="520"/>
  <c r="OX22" i="520"/>
  <c r="SP22" i="520"/>
  <c r="NR22" i="520"/>
  <c r="SX22" i="520"/>
  <c r="NZ22" i="520"/>
  <c r="UF16" i="520"/>
  <c r="PH16" i="520"/>
  <c r="PP16" i="520"/>
  <c r="UN16" i="520"/>
  <c r="TU16" i="520"/>
  <c r="OW16" i="520"/>
  <c r="TN16" i="520"/>
  <c r="OP16" i="520"/>
  <c r="UQ21" i="520"/>
  <c r="PS21" i="520"/>
  <c r="UV21" i="520"/>
  <c r="PX21" i="520"/>
  <c r="TE21" i="520"/>
  <c r="OG21" i="520"/>
  <c r="SX21" i="520"/>
  <c r="NZ21" i="520"/>
  <c r="UM13" i="520"/>
  <c r="PO13" i="520"/>
  <c r="US13" i="520"/>
  <c r="PU13" i="520"/>
  <c r="SM13" i="520"/>
  <c r="NO13" i="520"/>
  <c r="SW13" i="520"/>
  <c r="NY13" i="520"/>
  <c r="SQ6" i="520"/>
  <c r="NS6" i="520"/>
  <c r="TZ6" i="520"/>
  <c r="PB6" i="520"/>
  <c r="OU6" i="520"/>
  <c r="TS6" i="520"/>
  <c r="PF6" i="520"/>
  <c r="UD6" i="520"/>
  <c r="UN28" i="520"/>
  <c r="PP28" i="520"/>
  <c r="TI28" i="520"/>
  <c r="OK28" i="520"/>
  <c r="SQ28" i="520"/>
  <c r="NS28" i="520"/>
  <c r="SY28" i="520"/>
  <c r="OA28" i="520"/>
  <c r="TV27" i="520"/>
  <c r="OX27" i="520"/>
  <c r="UX27" i="520"/>
  <c r="PZ27" i="520"/>
  <c r="TF27" i="520"/>
  <c r="OH27" i="520"/>
  <c r="SY27" i="520"/>
  <c r="OA27" i="520"/>
  <c r="UF25" i="520"/>
  <c r="PH25" i="520"/>
  <c r="TV25" i="520"/>
  <c r="OX25" i="520"/>
  <c r="UR25" i="520"/>
  <c r="PT25" i="520"/>
  <c r="SY25" i="520"/>
  <c r="OA25" i="520"/>
  <c r="NS8" i="520"/>
  <c r="SQ8" i="520"/>
  <c r="UL8" i="520"/>
  <c r="PN8" i="520"/>
  <c r="OJ8" i="520"/>
  <c r="TH8" i="520"/>
  <c r="PH8" i="520"/>
  <c r="UF8" i="520"/>
  <c r="UN18" i="520"/>
  <c r="PP18" i="520"/>
  <c r="UU18" i="520"/>
  <c r="PW18" i="520"/>
  <c r="TU18" i="520"/>
  <c r="OW18" i="520"/>
  <c r="TN18" i="520"/>
  <c r="OP18" i="520"/>
  <c r="TW24" i="520"/>
  <c r="OY24" i="520"/>
  <c r="SQ24" i="520"/>
  <c r="NS24" i="520"/>
  <c r="TG24" i="520"/>
  <c r="OI24" i="520"/>
  <c r="SX24" i="520"/>
  <c r="NZ24" i="520"/>
  <c r="TZ19" i="520"/>
  <c r="PB19" i="520"/>
  <c r="UU19" i="520"/>
  <c r="PW19" i="520"/>
  <c r="TU19" i="520"/>
  <c r="OW19" i="520"/>
  <c r="OP19" i="520"/>
  <c r="TN19" i="520"/>
  <c r="UM26" i="520"/>
  <c r="PO26" i="520"/>
  <c r="TS26" i="520"/>
  <c r="OU26" i="520"/>
  <c r="TG26" i="520"/>
  <c r="OI26" i="520"/>
  <c r="SX26" i="520"/>
  <c r="NZ26" i="520"/>
  <c r="TL4" i="520"/>
  <c r="ON4" i="520"/>
  <c r="TC4" i="520"/>
  <c r="OE4" i="520"/>
  <c r="PE4" i="520"/>
  <c r="UC4" i="520"/>
  <c r="SQ4" i="520"/>
  <c r="NS4" i="520"/>
  <c r="UL9" i="520"/>
  <c r="PN9" i="520"/>
  <c r="OJ9" i="520"/>
  <c r="TH9" i="520"/>
  <c r="TS9" i="520"/>
  <c r="OU9" i="520"/>
  <c r="TM9" i="520"/>
  <c r="OO9" i="520"/>
  <c r="SQ5" i="520"/>
  <c r="NS5" i="520"/>
  <c r="TZ5" i="520"/>
  <c r="PB5" i="520"/>
  <c r="OT5" i="520"/>
  <c r="TR5" i="520"/>
  <c r="TM5" i="520"/>
  <c r="OO5" i="520"/>
  <c r="OJ23" i="520"/>
  <c r="TH23" i="520"/>
  <c r="UW23" i="520"/>
  <c r="PY23" i="520"/>
  <c r="TG23" i="520"/>
  <c r="OI23" i="520"/>
  <c r="SX23" i="520"/>
  <c r="NZ23" i="520"/>
  <c r="UJ11" i="520"/>
  <c r="PL11" i="520"/>
  <c r="UL11" i="520"/>
  <c r="PN11" i="520"/>
  <c r="TS11" i="520"/>
  <c r="OU11" i="520"/>
  <c r="TM11" i="520"/>
  <c r="OO11" i="520"/>
  <c r="UL15" i="520"/>
  <c r="PN15" i="520"/>
  <c r="TH15" i="520"/>
  <c r="OJ15" i="520"/>
  <c r="TD15" i="520"/>
  <c r="OF15" i="520"/>
  <c r="SW15" i="520"/>
  <c r="NY15" i="520"/>
  <c r="UL20" i="520"/>
  <c r="PN20" i="520"/>
  <c r="TV20" i="520"/>
  <c r="OX20" i="520"/>
  <c r="SN20" i="520"/>
  <c r="NP20" i="520"/>
  <c r="TN20" i="520"/>
  <c r="OP20" i="520"/>
  <c r="UE10" i="520"/>
  <c r="PG10" i="520"/>
  <c r="UL10" i="520"/>
  <c r="PN10" i="520"/>
  <c r="TS10" i="520"/>
  <c r="OU10" i="520"/>
  <c r="TM10" i="520"/>
  <c r="OO10" i="520"/>
  <c r="TW14" i="520"/>
  <c r="OY14" i="520"/>
  <c r="OK14" i="520"/>
  <c r="TI14" i="520"/>
  <c r="OV14" i="520"/>
  <c r="TT14" i="520"/>
  <c r="UD14" i="520"/>
  <c r="PF14" i="520"/>
  <c r="UM17" i="520"/>
  <c r="PO17" i="520"/>
  <c r="UF17" i="520"/>
  <c r="PH17" i="520"/>
  <c r="TD17" i="520"/>
  <c r="OF17" i="520"/>
  <c r="SW17" i="520"/>
  <c r="NY17" i="520"/>
  <c r="PY7" i="520"/>
  <c r="UW7" i="520"/>
  <c r="UJ7" i="520"/>
  <c r="PL7" i="520"/>
  <c r="TR7" i="520"/>
  <c r="OT7" i="520"/>
  <c r="TM7" i="520"/>
  <c r="OO7" i="520"/>
  <c r="SO22" i="520"/>
  <c r="NQ22" i="520"/>
  <c r="UN22" i="520"/>
  <c r="PP22" i="520"/>
  <c r="TE22" i="520"/>
  <c r="OG22" i="520"/>
  <c r="TN22" i="520"/>
  <c r="OP22" i="520"/>
  <c r="SQ16" i="520"/>
  <c r="NS16" i="520"/>
  <c r="PZ16" i="520"/>
  <c r="UX16" i="520"/>
  <c r="OF16" i="520"/>
  <c r="TD16" i="520"/>
  <c r="SW16" i="520"/>
  <c r="NY16" i="520"/>
  <c r="SR21" i="520"/>
  <c r="NT21" i="520"/>
  <c r="UF21" i="520"/>
  <c r="PH21" i="520"/>
  <c r="SN21" i="520"/>
  <c r="NP21" i="520"/>
  <c r="TN21" i="520"/>
  <c r="OP21" i="520"/>
  <c r="TF13" i="520"/>
  <c r="OH13" i="520"/>
  <c r="SQ13" i="520"/>
  <c r="NS13" i="520"/>
  <c r="OV13" i="520"/>
  <c r="TT13" i="520"/>
  <c r="UD13" i="520"/>
  <c r="PF13" i="520"/>
  <c r="UQ6" i="520"/>
  <c r="PS6" i="520"/>
  <c r="TY6" i="520"/>
  <c r="PA6" i="520"/>
  <c r="OT6" i="520"/>
  <c r="TR6" i="520"/>
  <c r="TM6" i="520"/>
  <c r="OO6" i="520"/>
  <c r="UM28" i="520"/>
  <c r="PO28" i="520"/>
  <c r="UK28" i="520"/>
  <c r="PM28" i="520"/>
  <c r="TG28" i="520"/>
  <c r="OI28" i="520"/>
  <c r="SX28" i="520"/>
  <c r="NZ28" i="520"/>
  <c r="SQ27" i="520"/>
  <c r="NS27" i="520"/>
  <c r="UW27" i="520"/>
  <c r="PY27" i="520"/>
  <c r="TG27" i="520"/>
  <c r="OI27" i="520"/>
  <c r="SX27" i="520"/>
  <c r="NZ27" i="520"/>
  <c r="UM25" i="520"/>
  <c r="PO25" i="520"/>
  <c r="TH25" i="520"/>
  <c r="OJ25" i="520"/>
  <c r="TG25" i="520"/>
  <c r="OI25" i="520"/>
  <c r="SX25" i="520"/>
  <c r="NZ25" i="520"/>
  <c r="ON8" i="520"/>
  <c r="TL8" i="520"/>
  <c r="TM8" i="520"/>
  <c r="OO8" i="520"/>
  <c r="NU8" i="520"/>
  <c r="SS8" i="520"/>
  <c r="US8" i="520"/>
  <c r="PU8" i="520"/>
  <c r="UM18" i="520"/>
  <c r="PO18" i="520"/>
  <c r="TS18" i="520"/>
  <c r="OU18" i="520"/>
  <c r="TD18" i="520"/>
  <c r="OF18" i="520"/>
  <c r="SW18" i="520"/>
  <c r="NY18" i="520"/>
  <c r="UM24" i="520"/>
  <c r="PO24" i="520"/>
  <c r="UV24" i="520"/>
  <c r="PX24" i="520"/>
  <c r="SP24" i="520"/>
  <c r="NR24" i="520"/>
  <c r="NY24" i="520"/>
  <c r="SW24" i="520"/>
  <c r="UP19" i="520"/>
  <c r="PR19" i="520"/>
  <c r="PV19" i="520"/>
  <c r="UT19" i="520"/>
  <c r="OF19" i="520"/>
  <c r="TD19" i="520"/>
  <c r="NY19" i="520"/>
  <c r="SW19" i="520"/>
  <c r="TF26" i="520"/>
  <c r="OH26" i="520"/>
  <c r="UX26" i="520"/>
  <c r="PZ26" i="520"/>
  <c r="SP26" i="520"/>
  <c r="NR26" i="520"/>
  <c r="SW26" i="520"/>
  <c r="NY26" i="520"/>
  <c r="UT4" i="520"/>
  <c r="PV4" i="520"/>
  <c r="UI4" i="520"/>
  <c r="PK4" i="520"/>
  <c r="PQ4" i="520"/>
  <c r="UO4" i="520"/>
  <c r="NT4" i="520"/>
  <c r="SR4" i="520"/>
  <c r="UR9" i="520"/>
  <c r="PT9" i="520"/>
  <c r="UW9" i="520"/>
  <c r="PY9" i="520"/>
  <c r="TR9" i="520"/>
  <c r="OT9" i="520"/>
  <c r="SV9" i="520"/>
  <c r="NX9" i="520"/>
  <c r="SO5" i="520"/>
  <c r="NQ5" i="520"/>
  <c r="UO5" i="520"/>
  <c r="PQ5" i="520"/>
  <c r="OC5" i="520"/>
  <c r="TA5" i="520"/>
  <c r="NX5" i="520"/>
  <c r="SV5" i="520"/>
  <c r="TN23" i="520"/>
  <c r="OP23" i="520"/>
  <c r="UU23" i="520"/>
  <c r="PW23" i="520"/>
  <c r="NR23" i="520"/>
  <c r="SP23" i="520"/>
  <c r="SW23" i="520"/>
  <c r="NY23" i="520"/>
  <c r="SO11" i="520"/>
  <c r="NQ11" i="520"/>
  <c r="UF11" i="520"/>
  <c r="PH11" i="520"/>
  <c r="TR11" i="520"/>
  <c r="OT11" i="520"/>
  <c r="SV11" i="520"/>
  <c r="NX11" i="520"/>
  <c r="SR15" i="520"/>
  <c r="NT15" i="520"/>
  <c r="UT15" i="520"/>
  <c r="PV15" i="520"/>
  <c r="SM15" i="520"/>
  <c r="NO15" i="520"/>
  <c r="UD15" i="520"/>
  <c r="PF15" i="520"/>
  <c r="UE20" i="520"/>
  <c r="PG20" i="520"/>
  <c r="UU20" i="520"/>
  <c r="PW20" i="520"/>
  <c r="TU20" i="520"/>
  <c r="OW20" i="520"/>
  <c r="SW20" i="520"/>
  <c r="NY20" i="520"/>
  <c r="SR10" i="520"/>
  <c r="NT10" i="520"/>
  <c r="UJ10" i="520"/>
  <c r="PL10" i="520"/>
  <c r="TR10" i="520"/>
  <c r="OT10" i="520"/>
  <c r="SV10" i="520"/>
  <c r="NX10" i="520"/>
  <c r="UL14" i="520"/>
  <c r="PN14" i="520"/>
  <c r="UW14" i="520"/>
  <c r="PY14" i="520"/>
  <c r="OE14" i="520"/>
  <c r="TC14" i="520"/>
  <c r="TM14" i="520"/>
  <c r="OO14" i="520"/>
  <c r="TI17" i="520"/>
  <c r="OK17" i="520"/>
  <c r="TY17" i="520"/>
  <c r="PA17" i="520"/>
  <c r="SM17" i="520"/>
  <c r="NO17" i="520"/>
  <c r="UD17" i="520"/>
  <c r="PF17" i="520"/>
  <c r="TZ7" i="520"/>
  <c r="PB7" i="520"/>
  <c r="SQ7" i="520"/>
  <c r="NS7" i="520"/>
  <c r="OC7" i="520"/>
  <c r="TA7" i="520"/>
  <c r="SV7" i="520"/>
  <c r="NX7" i="520"/>
  <c r="UE22" i="520"/>
  <c r="PG22" i="520"/>
  <c r="UX22" i="520"/>
  <c r="PZ22" i="520"/>
  <c r="SN22" i="520"/>
  <c r="NP22" i="520"/>
  <c r="SW22" i="520"/>
  <c r="NY22" i="520"/>
  <c r="PO16" i="520"/>
  <c r="UM16" i="520"/>
  <c r="OH16" i="520"/>
  <c r="TF16" i="520"/>
  <c r="SM16" i="520"/>
  <c r="NO16" i="520"/>
  <c r="UD16" i="520"/>
  <c r="PF16" i="520"/>
  <c r="UM21" i="520"/>
  <c r="PO21" i="520"/>
  <c r="UU21" i="520"/>
  <c r="PW21" i="520"/>
  <c r="TU21" i="520"/>
  <c r="OW21" i="520"/>
  <c r="SW21" i="520"/>
  <c r="NY21" i="520"/>
  <c r="UK13" i="520"/>
  <c r="PM13" i="520"/>
  <c r="SR13" i="520"/>
  <c r="NT13" i="520"/>
  <c r="OE13" i="520"/>
  <c r="TC13" i="520"/>
  <c r="TM13" i="520"/>
  <c r="OO13" i="520"/>
  <c r="SO6" i="520"/>
  <c r="NQ6" i="520"/>
  <c r="TW6" i="520"/>
  <c r="OY6" i="520"/>
  <c r="OC6" i="520"/>
  <c r="TA6" i="520"/>
  <c r="SV6" i="520"/>
  <c r="NX6" i="520"/>
  <c r="TY28" i="520"/>
  <c r="PA28" i="520"/>
  <c r="UX28" i="520"/>
  <c r="PZ28" i="520"/>
  <c r="SP28" i="520"/>
  <c r="NR28" i="520"/>
  <c r="SW28" i="520"/>
  <c r="NY28" i="520"/>
  <c r="SO27" i="520"/>
  <c r="NQ27" i="520"/>
  <c r="UF27" i="520"/>
  <c r="PH27" i="520"/>
  <c r="SP27" i="520"/>
  <c r="NR27" i="520"/>
  <c r="SW27" i="520"/>
  <c r="NY27" i="520"/>
  <c r="TZ25" i="520"/>
  <c r="PB25" i="520"/>
  <c r="SQ25" i="520"/>
  <c r="NS25" i="520"/>
  <c r="SP25" i="520"/>
  <c r="NR25" i="520"/>
  <c r="SW25" i="520"/>
  <c r="NY25" i="520"/>
  <c r="TQ8" i="520"/>
  <c r="OS8" i="520"/>
  <c r="OT8" i="520"/>
  <c r="TR8" i="520"/>
  <c r="TN8" i="520"/>
  <c r="OP8" i="520"/>
  <c r="PZ8" i="520"/>
  <c r="UX8" i="520"/>
  <c r="PS18" i="520"/>
  <c r="UQ18" i="520"/>
  <c r="SR18" i="520"/>
  <c r="NT18" i="520"/>
  <c r="SM18" i="520"/>
  <c r="NO18" i="520"/>
  <c r="UD18" i="520"/>
  <c r="PF18" i="520"/>
  <c r="TU24" i="520"/>
  <c r="OW24" i="520"/>
  <c r="PW24" i="520"/>
  <c r="UU24" i="520"/>
  <c r="TE24" i="520"/>
  <c r="OG24" i="520"/>
  <c r="UD24" i="520"/>
  <c r="PF24" i="520"/>
  <c r="UM19" i="520"/>
  <c r="PO19" i="520"/>
  <c r="PH19" i="520"/>
  <c r="UF19" i="520"/>
  <c r="NO19" i="520"/>
  <c r="SM19" i="520"/>
  <c r="PF19" i="520"/>
  <c r="UD19" i="520"/>
  <c r="SR26" i="520"/>
  <c r="NT26" i="520"/>
  <c r="TZ26" i="520"/>
  <c r="PB26" i="520"/>
  <c r="TE26" i="520"/>
  <c r="OG26" i="520"/>
  <c r="UD26" i="520"/>
  <c r="PF26" i="520"/>
  <c r="OO4" i="520"/>
  <c r="TM4" i="520"/>
  <c r="UB4" i="520"/>
  <c r="PD4" i="520"/>
  <c r="UH4" i="520"/>
  <c r="PJ4" i="520"/>
  <c r="OY4" i="520"/>
  <c r="TW4" i="520"/>
  <c r="UQ9" i="520"/>
  <c r="PS9" i="520"/>
  <c r="TF9" i="520"/>
  <c r="OH9" i="520"/>
  <c r="TA9" i="520"/>
  <c r="OC9" i="520"/>
  <c r="UT9" i="520"/>
  <c r="PV9" i="520"/>
  <c r="UN5" i="520"/>
  <c r="PP5" i="520"/>
  <c r="TY5" i="520"/>
  <c r="PA5" i="520"/>
  <c r="PK5" i="520"/>
  <c r="UI5" i="520"/>
  <c r="UT5" i="520"/>
  <c r="PV5" i="520"/>
  <c r="UN23" i="520"/>
  <c r="PP23" i="520"/>
  <c r="OZ23" i="520"/>
  <c r="TX23" i="520"/>
  <c r="OG23" i="520"/>
  <c r="TE23" i="520"/>
  <c r="UD23" i="520"/>
  <c r="PF23" i="520"/>
  <c r="UX11" i="520"/>
  <c r="PZ11" i="520"/>
  <c r="UK11" i="520"/>
  <c r="PM11" i="520"/>
  <c r="TA11" i="520"/>
  <c r="OC11" i="520"/>
  <c r="UT11" i="520"/>
  <c r="PV11" i="520"/>
  <c r="UK15" i="520"/>
  <c r="PM15" i="520"/>
  <c r="TW15" i="520"/>
  <c r="OY15" i="520"/>
  <c r="TT15" i="520"/>
  <c r="OV15" i="520"/>
  <c r="TM15" i="520"/>
  <c r="OO15" i="520"/>
  <c r="UN20" i="520"/>
  <c r="PP20" i="520"/>
  <c r="TS20" i="520"/>
  <c r="OU20" i="520"/>
  <c r="TD20" i="520"/>
  <c r="OF20" i="520"/>
  <c r="UD20" i="520"/>
  <c r="PF20" i="520"/>
  <c r="UQ10" i="520"/>
  <c r="PS10" i="520"/>
  <c r="UK10" i="520"/>
  <c r="PM10" i="520"/>
  <c r="TA10" i="520"/>
  <c r="OC10" i="520"/>
  <c r="UT10" i="520"/>
  <c r="PV10" i="520"/>
  <c r="UK14" i="520"/>
  <c r="PM14" i="520"/>
  <c r="UR14" i="520"/>
  <c r="PT14" i="520"/>
  <c r="TB14" i="520"/>
  <c r="OD14" i="520"/>
  <c r="SV14" i="520"/>
  <c r="NX14" i="520"/>
  <c r="SQ17" i="520"/>
  <c r="NS17" i="520"/>
  <c r="US17" i="520"/>
  <c r="PU17" i="520"/>
  <c r="TT17" i="520"/>
  <c r="OV17" i="520"/>
  <c r="TM17" i="520"/>
  <c r="OO17" i="520"/>
  <c r="TF7" i="520"/>
  <c r="OH7" i="520"/>
  <c r="SO7" i="520"/>
  <c r="NQ7" i="520"/>
  <c r="UI7" i="520"/>
  <c r="PK7" i="520"/>
  <c r="UT7" i="520"/>
  <c r="PV7" i="520"/>
  <c r="UM22" i="520"/>
  <c r="PO22" i="520"/>
  <c r="TT22" i="520"/>
  <c r="OV22" i="520"/>
  <c r="TU22" i="520"/>
  <c r="OW22" i="520"/>
  <c r="UD22" i="520"/>
  <c r="PF22" i="520"/>
  <c r="UE16" i="520"/>
  <c r="PG16" i="520"/>
  <c r="UU16" i="520"/>
  <c r="PW16" i="520"/>
  <c r="TT16" i="520"/>
  <c r="OV16" i="520"/>
  <c r="TM16" i="520"/>
  <c r="OO16" i="520"/>
  <c r="SQ21" i="520"/>
  <c r="NS21" i="520"/>
  <c r="UE21" i="520"/>
  <c r="PG21" i="520"/>
  <c r="TD21" i="520"/>
  <c r="OF21" i="520"/>
  <c r="UD21" i="520"/>
  <c r="PF21" i="520"/>
  <c r="UF13" i="520"/>
  <c r="PH13" i="520"/>
  <c r="PT13" i="520"/>
  <c r="UR13" i="520"/>
  <c r="TB13" i="520"/>
  <c r="OD13" i="520"/>
  <c r="SV13" i="520"/>
  <c r="NX13" i="520"/>
  <c r="UP6" i="520"/>
  <c r="PR6" i="520"/>
  <c r="PY6" i="520"/>
  <c r="UW6" i="520"/>
  <c r="PK6" i="520"/>
  <c r="UI6" i="520"/>
  <c r="UT6" i="520"/>
  <c r="PV6" i="520"/>
  <c r="UE28" i="520"/>
  <c r="PG28" i="520"/>
  <c r="TT28" i="520"/>
  <c r="OV28" i="520"/>
  <c r="TE28" i="520"/>
  <c r="OG28" i="520"/>
  <c r="UD28" i="520"/>
  <c r="PF28" i="520"/>
  <c r="UM27" i="520"/>
  <c r="PO27" i="520"/>
  <c r="UU27" i="520"/>
  <c r="PW27" i="520"/>
  <c r="TE27" i="520"/>
  <c r="OG27" i="520"/>
  <c r="UD27" i="520"/>
  <c r="PF27" i="520"/>
  <c r="UN25" i="520"/>
  <c r="PP25" i="520"/>
  <c r="UP25" i="520"/>
  <c r="PR25" i="520"/>
  <c r="TE25" i="520"/>
  <c r="OG25" i="520"/>
  <c r="UD25" i="520"/>
  <c r="PF25" i="520"/>
  <c r="OI8" i="520"/>
  <c r="TG8" i="520"/>
  <c r="PP8" i="520"/>
  <c r="UN8" i="520"/>
  <c r="OV8" i="520"/>
  <c r="TT8" i="520"/>
  <c r="OX8" i="520"/>
  <c r="TV8" i="520"/>
  <c r="PN18" i="520"/>
  <c r="UL18" i="520"/>
  <c r="UV18" i="520"/>
  <c r="PX18" i="520"/>
  <c r="TT18" i="520"/>
  <c r="OV18" i="520"/>
  <c r="TM18" i="520"/>
  <c r="OO18" i="520"/>
  <c r="UL24" i="520"/>
  <c r="PN24" i="520"/>
  <c r="UF24" i="520"/>
  <c r="PH24" i="520"/>
  <c r="SN24" i="520"/>
  <c r="NP24" i="520"/>
  <c r="TM24" i="520"/>
  <c r="OO24" i="520"/>
  <c r="OU19" i="520"/>
  <c r="TS19" i="520"/>
  <c r="UW19" i="520"/>
  <c r="PY19" i="520"/>
  <c r="OV19" i="520"/>
  <c r="TT19" i="520"/>
  <c r="OO19" i="520"/>
  <c r="TM19" i="520"/>
  <c r="UP26" i="520"/>
  <c r="PR26" i="520"/>
  <c r="TX26" i="520"/>
  <c r="OZ26" i="520"/>
  <c r="NP26" i="520"/>
  <c r="SN26" i="520"/>
  <c r="TM26" i="520"/>
  <c r="OO26" i="520"/>
  <c r="TF4" i="520"/>
  <c r="OH4" i="520"/>
  <c r="SW4" i="520"/>
  <c r="NY4" i="520"/>
  <c r="TN4" i="520"/>
  <c r="OP4" i="520"/>
  <c r="OJ4" i="520"/>
  <c r="TH4" i="520"/>
  <c r="PM9" i="520"/>
  <c r="UK9" i="520"/>
  <c r="UV9" i="520"/>
  <c r="PX9" i="520"/>
  <c r="UI9" i="520"/>
  <c r="PK9" i="520"/>
  <c r="UC9" i="520"/>
  <c r="PE9" i="520"/>
  <c r="UK5" i="520"/>
  <c r="PM5" i="520"/>
  <c r="TX5" i="520"/>
  <c r="OZ5" i="520"/>
  <c r="PJ5" i="520"/>
  <c r="UH5" i="520"/>
  <c r="UC5" i="520"/>
  <c r="PE5" i="520"/>
  <c r="PO23" i="520"/>
  <c r="UM23" i="520"/>
  <c r="TZ23" i="520"/>
  <c r="PB23" i="520"/>
  <c r="NP23" i="520"/>
  <c r="SN23" i="520"/>
  <c r="TM23" i="520"/>
  <c r="OO23" i="520"/>
  <c r="TZ11" i="520"/>
  <c r="PB11" i="520"/>
  <c r="UE11" i="520"/>
  <c r="PG11" i="520"/>
  <c r="UI11" i="520"/>
  <c r="PK11" i="520"/>
  <c r="UC11" i="520"/>
  <c r="PE11" i="520"/>
  <c r="SQ15" i="520"/>
  <c r="NS15" i="520"/>
  <c r="UV15" i="520"/>
  <c r="PX15" i="520"/>
  <c r="TC15" i="520"/>
  <c r="OE15" i="520"/>
  <c r="SV15" i="520"/>
  <c r="NX15" i="520"/>
  <c r="UK20" i="520"/>
  <c r="PM20" i="520"/>
  <c r="TH20" i="520"/>
  <c r="OJ20" i="520"/>
  <c r="SM20" i="520"/>
  <c r="NO20" i="520"/>
  <c r="TM20" i="520"/>
  <c r="OO20" i="520"/>
  <c r="TZ10" i="520"/>
  <c r="PB10" i="520"/>
  <c r="TF10" i="520"/>
  <c r="OH10" i="520"/>
  <c r="UI10" i="520"/>
  <c r="PK10" i="520"/>
  <c r="UC10" i="520"/>
  <c r="PE10" i="520"/>
  <c r="UM14" i="520"/>
  <c r="PO14" i="520"/>
  <c r="TH14" i="520"/>
  <c r="OJ14" i="520"/>
  <c r="TS14" i="520"/>
  <c r="OU14" i="520"/>
  <c r="UT14" i="520"/>
  <c r="PV14" i="520"/>
  <c r="UL17" i="520"/>
  <c r="PN17" i="520"/>
  <c r="UE17" i="520"/>
  <c r="PG17" i="520"/>
  <c r="TC17" i="520"/>
  <c r="OE17" i="520"/>
  <c r="SV17" i="520"/>
  <c r="NX17" i="520"/>
  <c r="UE7" i="520"/>
  <c r="PG7" i="520"/>
  <c r="TX7" i="520"/>
  <c r="OZ7" i="520"/>
  <c r="UH7" i="520"/>
  <c r="PJ7" i="520"/>
  <c r="UC7" i="520"/>
  <c r="PE7" i="520"/>
  <c r="UA22" i="520"/>
  <c r="PC22" i="520"/>
  <c r="UW22" i="520"/>
  <c r="PY22" i="520"/>
  <c r="TD22" i="520"/>
  <c r="OF22" i="520"/>
  <c r="TM22" i="520"/>
  <c r="OO22" i="520"/>
  <c r="NQ16" i="520"/>
  <c r="SO16" i="520"/>
  <c r="PS16" i="520"/>
  <c r="UQ16" i="520"/>
  <c r="TC16" i="520"/>
  <c r="OE16" i="520"/>
  <c r="SV16" i="520"/>
  <c r="NX16" i="520"/>
  <c r="UL21" i="520"/>
  <c r="PN21" i="520"/>
  <c r="UP21" i="520"/>
  <c r="PR21" i="520"/>
  <c r="SM21" i="520"/>
  <c r="NO21" i="520"/>
  <c r="TM21" i="520"/>
  <c r="OO21" i="520"/>
  <c r="UL13" i="520"/>
  <c r="PN13" i="520"/>
  <c r="NQ13" i="520"/>
  <c r="SO13" i="520"/>
  <c r="TS13" i="520"/>
  <c r="OU13" i="520"/>
  <c r="UT13" i="520"/>
  <c r="PV13" i="520"/>
  <c r="UO6" i="520"/>
  <c r="PQ6" i="520"/>
  <c r="TX6" i="520"/>
  <c r="OZ6" i="520"/>
  <c r="UH6" i="520"/>
  <c r="PJ6" i="520"/>
  <c r="PE6" i="520"/>
  <c r="UC6" i="520"/>
  <c r="TZ28" i="520"/>
  <c r="PB28" i="520"/>
  <c r="TH28" i="520"/>
  <c r="OJ28" i="520"/>
  <c r="SN28" i="520"/>
  <c r="NP28" i="520"/>
  <c r="TM28" i="520"/>
  <c r="OO28" i="520"/>
  <c r="TT27" i="520"/>
  <c r="OV27" i="520"/>
  <c r="UE27" i="520"/>
  <c r="PG27" i="520"/>
  <c r="SN27" i="520"/>
  <c r="NP27" i="520"/>
  <c r="TM27" i="520"/>
  <c r="OO27" i="520"/>
  <c r="UL25" i="520"/>
  <c r="PN25" i="520"/>
  <c r="UA25" i="520"/>
  <c r="PC25" i="520"/>
  <c r="SN25" i="520"/>
  <c r="NP25" i="520"/>
  <c r="TM25" i="520"/>
  <c r="OO25" i="520"/>
  <c r="NT8" i="520"/>
  <c r="SR8" i="520"/>
  <c r="PM8" i="520"/>
  <c r="UK8" i="520"/>
  <c r="UV8" i="520"/>
  <c r="PX8" i="520"/>
  <c r="UQ8" i="520"/>
  <c r="PS8" i="520"/>
  <c r="UF18" i="520"/>
  <c r="PH18" i="520"/>
  <c r="OX18" i="520"/>
  <c r="TV18" i="520"/>
  <c r="TC18" i="520"/>
  <c r="OE18" i="520"/>
  <c r="SV18" i="520"/>
  <c r="NX18" i="520"/>
  <c r="TT24" i="520"/>
  <c r="OV24" i="520"/>
  <c r="TI24" i="520"/>
  <c r="OK24" i="520"/>
  <c r="OF24" i="520"/>
  <c r="TD24" i="520"/>
  <c r="SV24" i="520"/>
  <c r="NX24" i="520"/>
  <c r="UN19" i="520"/>
  <c r="PP19" i="520"/>
  <c r="UV19" i="520"/>
  <c r="PX19" i="520"/>
  <c r="OE19" i="520"/>
  <c r="TC19" i="520"/>
  <c r="NX19" i="520"/>
  <c r="SV19" i="520"/>
  <c r="UL26" i="520"/>
  <c r="PN26" i="520"/>
  <c r="TY26" i="520"/>
  <c r="PA26" i="520"/>
  <c r="TD26" i="520"/>
  <c r="OF26" i="520"/>
  <c r="SV26" i="520"/>
  <c r="NX26" i="520"/>
  <c r="UU4" i="520"/>
  <c r="PW4" i="520"/>
  <c r="UL4" i="520"/>
  <c r="PN4" i="520"/>
  <c r="SY4" i="520"/>
  <c r="OA4" i="520"/>
  <c r="SS4" i="520"/>
  <c r="NU4" i="520"/>
  <c r="NT9" i="520"/>
  <c r="SR9" i="520"/>
  <c r="TX9" i="520"/>
  <c r="OZ9" i="520"/>
  <c r="UH9" i="520"/>
  <c r="PJ9" i="520"/>
  <c r="TL9" i="520"/>
  <c r="ON9" i="520"/>
  <c r="TW5" i="520"/>
  <c r="OY5" i="520"/>
  <c r="TG5" i="520"/>
  <c r="OI5" i="520"/>
  <c r="OS5" i="520"/>
  <c r="TQ5" i="520"/>
  <c r="TL5" i="520"/>
  <c r="ON5" i="520"/>
  <c r="UL23" i="520"/>
  <c r="PN23" i="520"/>
  <c r="UT23" i="520"/>
  <c r="PV23" i="520"/>
  <c r="OF23" i="520"/>
  <c r="TD23" i="520"/>
  <c r="SV23" i="520"/>
  <c r="NX23" i="520"/>
  <c r="UW11" i="520"/>
  <c r="PY11" i="520"/>
  <c r="TX11" i="520"/>
  <c r="OZ11" i="520"/>
  <c r="UH11" i="520"/>
  <c r="PJ11" i="520"/>
  <c r="TL11" i="520"/>
  <c r="ON11" i="520"/>
  <c r="UJ15" i="520"/>
  <c r="PL15" i="520"/>
  <c r="TZ15" i="520"/>
  <c r="PB15" i="520"/>
  <c r="TB15" i="520"/>
  <c r="OD15" i="520"/>
  <c r="UC15" i="520"/>
  <c r="PE15" i="520"/>
  <c r="UA20" i="520"/>
  <c r="PC20" i="520"/>
  <c r="UW20" i="520"/>
  <c r="PY20" i="520"/>
  <c r="TC20" i="520"/>
  <c r="OE20" i="520"/>
  <c r="SV20" i="520"/>
  <c r="NX20" i="520"/>
  <c r="SQ10" i="520"/>
  <c r="NS10" i="520"/>
  <c r="TX10" i="520"/>
  <c r="OZ10" i="520"/>
  <c r="UH10" i="520"/>
  <c r="PJ10" i="520"/>
  <c r="TL10" i="520"/>
  <c r="ON10" i="520"/>
  <c r="UJ14" i="520"/>
  <c r="PL14" i="520"/>
  <c r="UQ14" i="520"/>
  <c r="PS14" i="520"/>
  <c r="TR14" i="520"/>
  <c r="OT14" i="520"/>
  <c r="UC14" i="520"/>
  <c r="PE14" i="520"/>
  <c r="TH17" i="520"/>
  <c r="OJ17" i="520"/>
  <c r="UP17" i="520"/>
  <c r="PR17" i="520"/>
  <c r="OD17" i="520"/>
  <c r="TB17" i="520"/>
  <c r="UC17" i="520"/>
  <c r="PE17" i="520"/>
  <c r="UV7" i="520"/>
  <c r="PX7" i="520"/>
  <c r="TG7" i="520"/>
  <c r="OI7" i="520"/>
  <c r="TQ7" i="520"/>
  <c r="OS7" i="520"/>
  <c r="TL7" i="520"/>
  <c r="ON7" i="520"/>
  <c r="TO22" i="520"/>
  <c r="OQ22" i="520"/>
  <c r="TS22" i="520"/>
  <c r="OU22" i="520"/>
  <c r="SM22" i="520"/>
  <c r="NO22" i="520"/>
  <c r="SV22" i="520"/>
  <c r="NX22" i="520"/>
  <c r="PN16" i="520"/>
  <c r="UL16" i="520"/>
  <c r="UW16" i="520"/>
  <c r="PY16" i="520"/>
  <c r="TB16" i="520"/>
  <c r="OD16" i="520"/>
  <c r="UC16" i="520"/>
  <c r="PE16" i="520"/>
  <c r="SO21" i="520"/>
  <c r="NQ21" i="520"/>
  <c r="UT21" i="520"/>
  <c r="PV21" i="520"/>
  <c r="TC21" i="520"/>
  <c r="OE21" i="520"/>
  <c r="SV21" i="520"/>
  <c r="NX21" i="520"/>
  <c r="UJ13" i="520"/>
  <c r="PL13" i="520"/>
  <c r="UQ13" i="520"/>
  <c r="PS13" i="520"/>
  <c r="TR13" i="520"/>
  <c r="OT13" i="520"/>
  <c r="UC13" i="520"/>
  <c r="PE13" i="520"/>
  <c r="UN6" i="520"/>
  <c r="PP6" i="520"/>
  <c r="TG6" i="520"/>
  <c r="OI6" i="520"/>
  <c r="TQ6" i="520"/>
  <c r="OS6" i="520"/>
  <c r="TL6" i="520"/>
  <c r="ON6" i="520"/>
  <c r="UL28" i="520"/>
  <c r="PN28" i="520"/>
  <c r="TS28" i="520"/>
  <c r="OU28" i="520"/>
  <c r="TD28" i="520"/>
  <c r="OF28" i="520"/>
  <c r="SV28" i="520"/>
  <c r="NX28" i="520"/>
  <c r="TX27" i="520"/>
  <c r="OZ27" i="520"/>
  <c r="TN27" i="520"/>
  <c r="OP27" i="520"/>
  <c r="TD27" i="520"/>
  <c r="OF27" i="520"/>
  <c r="SV27" i="520"/>
  <c r="NX27" i="520"/>
  <c r="TY25" i="520"/>
  <c r="PA25" i="520"/>
  <c r="UX25" i="520"/>
  <c r="PZ25" i="520"/>
  <c r="TD25" i="520"/>
  <c r="OF25" i="520"/>
  <c r="SV25" i="520"/>
  <c r="NX25" i="520"/>
  <c r="PE8" i="520"/>
  <c r="UC8" i="520"/>
  <c r="PF8" i="520"/>
  <c r="UD8" i="520"/>
  <c r="TJ8" i="520"/>
  <c r="OL8" i="520"/>
  <c r="TK8" i="520"/>
  <c r="OM8" i="520"/>
  <c r="UK18" i="520"/>
  <c r="PM18" i="520"/>
  <c r="UT18" i="520"/>
  <c r="PV18" i="520"/>
  <c r="TB18" i="520"/>
  <c r="OD18" i="520"/>
  <c r="UC18" i="520"/>
  <c r="PE18" i="520"/>
  <c r="UK24" i="520"/>
  <c r="PM24" i="520"/>
  <c r="NQ24" i="520"/>
  <c r="SO24" i="520"/>
  <c r="SM24" i="520"/>
  <c r="NO24" i="520"/>
  <c r="PE24" i="520"/>
  <c r="UC24" i="520"/>
  <c r="UL19" i="520"/>
  <c r="PN19" i="520"/>
  <c r="US19" i="520"/>
  <c r="PU19" i="520"/>
  <c r="OD19" i="520"/>
  <c r="TB19" i="520"/>
  <c r="UC19" i="520"/>
  <c r="PE19" i="520"/>
  <c r="SQ26" i="520"/>
  <c r="NS26" i="520"/>
  <c r="UU26" i="520"/>
  <c r="PW26" i="520"/>
  <c r="SM26" i="520"/>
  <c r="NO26" i="520"/>
  <c r="UC26" i="520"/>
  <c r="PE26" i="520"/>
  <c r="OW4" i="520"/>
  <c r="TU4" i="520"/>
  <c r="UE4" i="520"/>
  <c r="PG4" i="520"/>
  <c r="TP4" i="520"/>
  <c r="OR4" i="520"/>
  <c r="TX4" i="520"/>
  <c r="OZ4" i="520"/>
  <c r="UJ9" i="520"/>
  <c r="PL9" i="520"/>
  <c r="OI9" i="520"/>
  <c r="TG9" i="520"/>
  <c r="TQ9" i="520"/>
  <c r="OS9" i="520"/>
  <c r="NW9" i="520"/>
  <c r="SU9" i="520"/>
  <c r="TI5" i="520"/>
  <c r="OK5" i="520"/>
  <c r="NR5" i="520"/>
  <c r="SP5" i="520"/>
  <c r="OB5" i="520"/>
  <c r="SZ5" i="520"/>
  <c r="SU5" i="520"/>
  <c r="NW5" i="520"/>
  <c r="UK23" i="520"/>
  <c r="PM23" i="520"/>
  <c r="OY23" i="520"/>
  <c r="TW23" i="520"/>
  <c r="NO23" i="520"/>
  <c r="SM23" i="520"/>
  <c r="UC23" i="520"/>
  <c r="PE23" i="520"/>
  <c r="OK11" i="520"/>
  <c r="TI11" i="520"/>
  <c r="TG11" i="520"/>
  <c r="OI11" i="520"/>
  <c r="TQ11" i="520"/>
  <c r="OS11" i="520"/>
  <c r="SU11" i="520"/>
  <c r="NW11" i="520"/>
  <c r="SO15" i="520"/>
  <c r="NQ15" i="520"/>
  <c r="US15" i="520"/>
  <c r="PU15" i="520"/>
  <c r="TR15" i="520"/>
  <c r="OT15" i="520"/>
  <c r="TL15" i="520"/>
  <c r="ON15" i="520"/>
  <c r="SR20" i="520"/>
  <c r="NT20" i="520"/>
  <c r="UT20" i="520"/>
  <c r="PV20" i="520"/>
  <c r="TB20" i="520"/>
  <c r="OD20" i="520"/>
  <c r="UC20" i="520"/>
  <c r="PE20" i="520"/>
  <c r="UF10" i="520"/>
  <c r="PH10" i="520"/>
  <c r="TG10" i="520"/>
  <c r="OI10" i="520"/>
  <c r="TQ10" i="520"/>
  <c r="OS10" i="520"/>
  <c r="SU10" i="520"/>
  <c r="NW10" i="520"/>
  <c r="UI14" i="520"/>
  <c r="PK14" i="520"/>
  <c r="UF14" i="520"/>
  <c r="PH14" i="520"/>
  <c r="OC14" i="520"/>
  <c r="TA14" i="520"/>
  <c r="TL14" i="520"/>
  <c r="ON14" i="520"/>
  <c r="UQ17" i="520"/>
  <c r="PS17" i="520"/>
  <c r="UW17" i="520"/>
  <c r="PY17" i="520"/>
  <c r="TR17" i="520"/>
  <c r="OT17" i="520"/>
  <c r="TL17" i="520"/>
  <c r="ON17" i="520"/>
  <c r="TY7" i="520"/>
  <c r="PA7" i="520"/>
  <c r="SP7" i="520"/>
  <c r="NR7" i="520"/>
  <c r="SZ7" i="520"/>
  <c r="OB7" i="520"/>
  <c r="SU7" i="520"/>
  <c r="NW7" i="520"/>
  <c r="UL22" i="520"/>
  <c r="PN22" i="520"/>
  <c r="UQ22" i="520"/>
  <c r="PS22" i="520"/>
  <c r="TC22" i="520"/>
  <c r="OE22" i="520"/>
  <c r="UC22" i="520"/>
  <c r="PE22" i="520"/>
  <c r="PB16" i="520"/>
  <c r="TZ16" i="520"/>
  <c r="UT16" i="520"/>
  <c r="PV16" i="520"/>
  <c r="TR16" i="520"/>
  <c r="OT16" i="520"/>
  <c r="TL16" i="520"/>
  <c r="ON16" i="520"/>
  <c r="UK21" i="520"/>
  <c r="PM21" i="520"/>
  <c r="UA21" i="520"/>
  <c r="PC21" i="520"/>
  <c r="TB21" i="520"/>
  <c r="OD21" i="520"/>
  <c r="UC21" i="520"/>
  <c r="PE21" i="520"/>
  <c r="UE13" i="520"/>
  <c r="PG13" i="520"/>
  <c r="UO13" i="520"/>
  <c r="PQ13" i="520"/>
  <c r="OC13" i="520"/>
  <c r="TA13" i="520"/>
  <c r="ON13" i="520"/>
  <c r="TL13" i="520"/>
  <c r="TI6" i="520"/>
  <c r="OK6" i="520"/>
  <c r="SP6" i="520"/>
  <c r="NR6" i="520"/>
  <c r="SZ6" i="520"/>
  <c r="OB6" i="520"/>
  <c r="SU6" i="520"/>
  <c r="NW6" i="520"/>
  <c r="TX28" i="520"/>
  <c r="OZ28" i="520"/>
  <c r="TF28" i="520"/>
  <c r="OH28" i="520"/>
  <c r="SM28" i="520"/>
  <c r="NO28" i="520"/>
  <c r="UC28" i="520"/>
  <c r="PE28" i="520"/>
  <c r="UL27" i="520"/>
  <c r="PN27" i="520"/>
  <c r="UV27" i="520"/>
  <c r="PX27" i="520"/>
  <c r="SM27" i="520"/>
  <c r="NO27" i="520"/>
  <c r="UC27" i="520"/>
  <c r="PE27" i="520"/>
  <c r="TO25" i="520"/>
  <c r="OQ25" i="520"/>
  <c r="TU25" i="520"/>
  <c r="OW25" i="520"/>
  <c r="SM25" i="520"/>
  <c r="NO25" i="520"/>
  <c r="UC25" i="520"/>
  <c r="PE25" i="520"/>
  <c r="PJ8" i="520"/>
  <c r="UH8" i="520"/>
  <c r="TS8" i="520"/>
  <c r="OU8" i="520"/>
  <c r="NZ8" i="520"/>
  <c r="SX8" i="520"/>
  <c r="PD8" i="520"/>
  <c r="UB8" i="520"/>
  <c r="UE18" i="520"/>
  <c r="PG18" i="520"/>
  <c r="SQ18" i="520"/>
  <c r="NS18" i="520"/>
  <c r="OT18" i="520"/>
  <c r="TR18" i="520"/>
  <c r="TL18" i="520"/>
  <c r="ON18" i="520"/>
  <c r="OU24" i="520"/>
  <c r="TS24" i="520"/>
  <c r="TY24" i="520"/>
  <c r="PA24" i="520"/>
  <c r="OE24" i="520"/>
  <c r="TC24" i="520"/>
  <c r="TL24" i="520"/>
  <c r="ON24" i="520"/>
  <c r="PM19" i="520"/>
  <c r="UK19" i="520"/>
  <c r="PG19" i="520"/>
  <c r="UE19" i="520"/>
  <c r="TR19" i="520"/>
  <c r="OT19" i="520"/>
  <c r="TL19" i="520"/>
  <c r="ON19" i="520"/>
  <c r="UN26" i="520"/>
  <c r="PP26" i="520"/>
  <c r="TW26" i="520"/>
  <c r="OY26" i="520"/>
  <c r="TC26" i="520"/>
  <c r="OE26" i="520"/>
  <c r="TL26" i="520"/>
  <c r="ON26" i="520"/>
  <c r="TO4" i="520"/>
  <c r="OQ4" i="520"/>
  <c r="SX4" i="520"/>
  <c r="NZ4" i="520"/>
  <c r="TA4" i="520"/>
  <c r="OC4" i="520"/>
  <c r="OK4" i="520"/>
  <c r="TI4" i="520"/>
  <c r="UF9" i="520"/>
  <c r="PH9" i="520"/>
  <c r="SP9" i="520"/>
  <c r="NR9" i="520"/>
  <c r="OB9" i="520"/>
  <c r="SZ9" i="520"/>
  <c r="US9" i="520"/>
  <c r="PU9" i="520"/>
  <c r="UM5" i="520"/>
  <c r="PO5" i="520"/>
  <c r="OX5" i="520"/>
  <c r="TV5" i="520"/>
  <c r="PZ5" i="520"/>
  <c r="UX5" i="520"/>
  <c r="US5" i="520"/>
  <c r="PU5" i="520"/>
  <c r="UJ23" i="520"/>
  <c r="PL23" i="520"/>
  <c r="NT23" i="520"/>
  <c r="SR23" i="520"/>
  <c r="OE23" i="520"/>
  <c r="TC23" i="520"/>
  <c r="TL23" i="520"/>
  <c r="ON23" i="520"/>
  <c r="TY11" i="520"/>
  <c r="PA11" i="520"/>
  <c r="SP11" i="520"/>
  <c r="NR11" i="520"/>
  <c r="SZ11" i="520"/>
  <c r="OB11" i="520"/>
  <c r="US11" i="520"/>
  <c r="PU11" i="520"/>
  <c r="UN15" i="520"/>
  <c r="PP15" i="520"/>
  <c r="TS15" i="520"/>
  <c r="OU15" i="520"/>
  <c r="TA15" i="520"/>
  <c r="OC15" i="520"/>
  <c r="SU15" i="520"/>
  <c r="NW15" i="520"/>
  <c r="UJ20" i="520"/>
  <c r="PL20" i="520"/>
  <c r="TF20" i="520"/>
  <c r="OH20" i="520"/>
  <c r="TR20" i="520"/>
  <c r="OT20" i="520"/>
  <c r="TL20" i="520"/>
  <c r="ON20" i="520"/>
  <c r="UP10" i="520"/>
  <c r="PR10" i="520"/>
  <c r="SP10" i="520"/>
  <c r="NR10" i="520"/>
  <c r="SZ10" i="520"/>
  <c r="OB10" i="520"/>
  <c r="US10" i="520"/>
  <c r="PU10" i="520"/>
  <c r="UP14" i="520"/>
  <c r="PR14" i="520"/>
  <c r="TF14" i="520"/>
  <c r="OH14" i="520"/>
  <c r="UH14" i="520"/>
  <c r="PJ14" i="520"/>
  <c r="SU14" i="520"/>
  <c r="NW14" i="520"/>
  <c r="TW17" i="520"/>
  <c r="OY17" i="520"/>
  <c r="UR17" i="520"/>
  <c r="PT17" i="520"/>
  <c r="TA17" i="520"/>
  <c r="OC17" i="520"/>
  <c r="NW17" i="520"/>
  <c r="SU17" i="520"/>
  <c r="UR7" i="520"/>
  <c r="PT7" i="520"/>
  <c r="TV7" i="520"/>
  <c r="OX7" i="520"/>
  <c r="UX7" i="520"/>
  <c r="PZ7" i="520"/>
  <c r="US7" i="520"/>
  <c r="PU7" i="520"/>
  <c r="TZ22" i="520"/>
  <c r="PB22" i="520"/>
  <c r="UP22" i="520"/>
  <c r="PR22" i="520"/>
  <c r="TB22" i="520"/>
  <c r="OD22" i="520"/>
  <c r="TL22" i="520"/>
  <c r="ON22" i="520"/>
  <c r="PR16" i="520"/>
  <c r="UP16" i="520"/>
  <c r="US16" i="520"/>
  <c r="PU16" i="520"/>
  <c r="TA16" i="520"/>
  <c r="OC16" i="520"/>
  <c r="SU16" i="520"/>
  <c r="NW16" i="520"/>
  <c r="UJ21" i="520"/>
  <c r="PL21" i="520"/>
  <c r="US21" i="520"/>
  <c r="PU21" i="520"/>
  <c r="TR21" i="520"/>
  <c r="OT21" i="520"/>
  <c r="TL21" i="520"/>
  <c r="ON21" i="520"/>
  <c r="UI13" i="520"/>
  <c r="PK13" i="520"/>
  <c r="UP13" i="520"/>
  <c r="PR13" i="520"/>
  <c r="UH13" i="520"/>
  <c r="PJ13" i="520"/>
  <c r="SU13" i="520"/>
  <c r="NW13" i="520"/>
  <c r="UM6" i="520"/>
  <c r="PO6" i="520"/>
  <c r="OX6" i="520"/>
  <c r="TV6" i="520"/>
  <c r="UX6" i="520"/>
  <c r="PZ6" i="520"/>
  <c r="US6" i="520"/>
  <c r="PU6" i="520"/>
  <c r="TW28" i="520"/>
  <c r="OY28" i="520"/>
  <c r="SO28" i="520"/>
  <c r="NQ28" i="520"/>
  <c r="TC28" i="520"/>
  <c r="OE28" i="520"/>
  <c r="TL28" i="520"/>
  <c r="ON28" i="520"/>
  <c r="TS27" i="520"/>
  <c r="OU27" i="520"/>
  <c r="TO27" i="520"/>
  <c r="OQ27" i="520"/>
  <c r="TC27" i="520"/>
  <c r="OE27" i="520"/>
  <c r="TL27" i="520"/>
  <c r="ON27" i="520"/>
  <c r="UK25" i="520"/>
  <c r="PM25" i="520"/>
  <c r="TF25" i="520"/>
  <c r="OH25" i="520"/>
  <c r="TC25" i="520"/>
  <c r="OE25" i="520"/>
  <c r="TL25" i="520"/>
  <c r="ON25" i="520"/>
  <c r="OZ8" i="520"/>
  <c r="TX8" i="520"/>
  <c r="PT8" i="520"/>
  <c r="UR8" i="520"/>
  <c r="SM8" i="520"/>
  <c r="NO8" i="520"/>
  <c r="OR8" i="520"/>
  <c r="TP8" i="520"/>
  <c r="UP18" i="520"/>
  <c r="PR18" i="520"/>
  <c r="TW18" i="520"/>
  <c r="OY18" i="520"/>
  <c r="TA18" i="520"/>
  <c r="OC18" i="520"/>
  <c r="SU18" i="520"/>
  <c r="NW18" i="520"/>
  <c r="UN24" i="520"/>
  <c r="PP24" i="520"/>
  <c r="TN24" i="520"/>
  <c r="OP24" i="520"/>
  <c r="TB24" i="520"/>
  <c r="OD24" i="520"/>
  <c r="SU24" i="520"/>
  <c r="NW24" i="520"/>
  <c r="PL19" i="520"/>
  <c r="UJ19" i="520"/>
  <c r="TI19" i="520"/>
  <c r="OK19" i="520"/>
  <c r="OC19" i="520"/>
  <c r="TA19" i="520"/>
  <c r="SU19" i="520"/>
  <c r="NW19" i="520"/>
  <c r="UF26" i="520"/>
  <c r="PH26" i="520"/>
  <c r="UW26" i="520"/>
  <c r="PY26" i="520"/>
  <c r="TB26" i="520"/>
  <c r="OD26" i="520"/>
  <c r="SU26" i="520"/>
  <c r="NW26" i="520"/>
  <c r="SM4" i="520"/>
  <c r="NO4" i="520"/>
  <c r="UP4" i="520"/>
  <c r="PR4" i="520"/>
  <c r="TQ4" i="520"/>
  <c r="OS4" i="520"/>
  <c r="ST4" i="520"/>
  <c r="NV4" i="520"/>
  <c r="SQ9" i="520"/>
  <c r="NS9" i="520"/>
  <c r="TV9" i="520"/>
  <c r="OX9" i="520"/>
  <c r="UG9" i="520"/>
  <c r="PI9" i="520"/>
  <c r="UB9" i="520"/>
  <c r="PD9" i="520"/>
  <c r="TH5" i="520"/>
  <c r="OJ5" i="520"/>
  <c r="TE5" i="520"/>
  <c r="OG5" i="520"/>
  <c r="PI5" i="520"/>
  <c r="UG5" i="520"/>
  <c r="PD5" i="520"/>
  <c r="UB5" i="520"/>
  <c r="UF23" i="520"/>
  <c r="PH23" i="520"/>
  <c r="PR23" i="520"/>
  <c r="UP23" i="520"/>
  <c r="OD23" i="520"/>
  <c r="TB23" i="520"/>
  <c r="NW23" i="520"/>
  <c r="SU23" i="520"/>
  <c r="UV11" i="520"/>
  <c r="PX11" i="520"/>
  <c r="TV11" i="520"/>
  <c r="OX11" i="520"/>
  <c r="UG11" i="520"/>
  <c r="PI11" i="520"/>
  <c r="UB11" i="520"/>
  <c r="PD11" i="520"/>
  <c r="UI15" i="520"/>
  <c r="PK15" i="520"/>
  <c r="UE15" i="520"/>
  <c r="PG15" i="520"/>
  <c r="UH15" i="520"/>
  <c r="PJ15" i="520"/>
  <c r="UB15" i="520"/>
  <c r="PD15" i="520"/>
  <c r="PB20" i="520"/>
  <c r="TZ20" i="520"/>
  <c r="UQ20" i="520"/>
  <c r="PS20" i="520"/>
  <c r="TA20" i="520"/>
  <c r="OC20" i="520"/>
  <c r="SU20" i="520"/>
  <c r="NW20" i="520"/>
  <c r="PA10" i="520"/>
  <c r="TY10" i="520"/>
  <c r="TV10" i="520"/>
  <c r="OX10" i="520"/>
  <c r="UG10" i="520"/>
  <c r="PI10" i="520"/>
  <c r="UB10" i="520"/>
  <c r="PD10" i="520"/>
  <c r="UE14" i="520"/>
  <c r="PG14" i="520"/>
  <c r="TX14" i="520"/>
  <c r="OZ14" i="520"/>
  <c r="TQ14" i="520"/>
  <c r="OS14" i="520"/>
  <c r="UB14" i="520"/>
  <c r="PD14" i="520"/>
  <c r="PM17" i="520"/>
  <c r="UK17" i="520"/>
  <c r="TZ17" i="520"/>
  <c r="PB17" i="520"/>
  <c r="UH17" i="520"/>
  <c r="PJ17" i="520"/>
  <c r="UB17" i="520"/>
  <c r="PD17" i="520"/>
  <c r="TW7" i="520"/>
  <c r="OY7" i="520"/>
  <c r="TE7" i="520"/>
  <c r="OG7" i="520"/>
  <c r="UG7" i="520"/>
  <c r="PI7" i="520"/>
  <c r="UB7" i="520"/>
  <c r="PD7" i="520"/>
  <c r="TI22" i="520"/>
  <c r="OK22" i="520"/>
  <c r="UU22" i="520"/>
  <c r="PW22" i="520"/>
  <c r="TR22" i="520"/>
  <c r="OT22" i="520"/>
  <c r="SU22" i="520"/>
  <c r="NW22" i="520"/>
  <c r="UK16" i="520"/>
  <c r="PM16" i="520"/>
  <c r="UV16" i="520"/>
  <c r="PX16" i="520"/>
  <c r="UH16" i="520"/>
  <c r="PJ16" i="520"/>
  <c r="UB16" i="520"/>
  <c r="PD16" i="520"/>
  <c r="UN21" i="520"/>
  <c r="PP21" i="520"/>
  <c r="TZ21" i="520"/>
  <c r="PB21" i="520"/>
  <c r="TA21" i="520"/>
  <c r="OC21" i="520"/>
  <c r="SU21" i="520"/>
  <c r="NW21" i="520"/>
  <c r="TZ13" i="520"/>
  <c r="PB13" i="520"/>
  <c r="TX13" i="520"/>
  <c r="OZ13" i="520"/>
  <c r="OS13" i="520"/>
  <c r="TQ13" i="520"/>
  <c r="UB13" i="520"/>
  <c r="PD13" i="520"/>
  <c r="TH6" i="520"/>
  <c r="OJ6" i="520"/>
  <c r="TE6" i="520"/>
  <c r="OG6" i="520"/>
  <c r="PI6" i="520"/>
  <c r="UG6" i="520"/>
  <c r="UB6" i="520"/>
  <c r="PD6" i="520"/>
  <c r="TO28" i="520"/>
  <c r="OQ28" i="520"/>
  <c r="UV28" i="520"/>
  <c r="PX28" i="520"/>
  <c r="TB28" i="520"/>
  <c r="OD28" i="520"/>
  <c r="SU28" i="520"/>
  <c r="NW28" i="520"/>
  <c r="UP27" i="520"/>
  <c r="PR27" i="520"/>
  <c r="UT27" i="520"/>
  <c r="PV27" i="520"/>
  <c r="TB27" i="520"/>
  <c r="OD27" i="520"/>
  <c r="SU27" i="520"/>
  <c r="NW27" i="520"/>
  <c r="TX25" i="520"/>
  <c r="OZ25" i="520"/>
  <c r="SO25" i="520"/>
  <c r="NQ25" i="520"/>
  <c r="TB25" i="520"/>
  <c r="OD25" i="520"/>
  <c r="SU25" i="520"/>
  <c r="NW25" i="520"/>
  <c r="UW8" i="520"/>
  <c r="PY8" i="520"/>
  <c r="TF8" i="520"/>
  <c r="OH8" i="520"/>
  <c r="PA8" i="520"/>
  <c r="TY8" i="520"/>
  <c r="UG8" i="520"/>
  <c r="PI8" i="520"/>
  <c r="UJ18" i="520"/>
  <c r="PL18" i="520"/>
  <c r="US18" i="520"/>
  <c r="PU18" i="520"/>
  <c r="PJ18" i="520"/>
  <c r="UH18" i="520"/>
  <c r="UB18" i="520"/>
  <c r="PD18" i="520"/>
  <c r="TV24" i="520"/>
  <c r="OX24" i="520"/>
  <c r="UT24" i="520"/>
  <c r="PV24" i="520"/>
  <c r="TR24" i="520"/>
  <c r="OT24" i="520"/>
  <c r="UB24" i="520"/>
  <c r="PD24" i="520"/>
  <c r="TY19" i="520"/>
  <c r="PA19" i="520"/>
  <c r="UR19" i="520"/>
  <c r="PT19" i="520"/>
  <c r="PJ19" i="520"/>
  <c r="UH19" i="520"/>
  <c r="UB19" i="520"/>
  <c r="PD19" i="520"/>
  <c r="SO26" i="520"/>
  <c r="NQ26" i="520"/>
  <c r="UT26" i="520"/>
  <c r="PV26" i="520"/>
  <c r="TR26" i="520"/>
  <c r="OT26" i="520"/>
  <c r="UB26" i="520"/>
  <c r="PD26" i="520"/>
  <c r="TV4" i="520"/>
  <c r="OX4" i="520"/>
  <c r="UJ4" i="520"/>
  <c r="PL4" i="520"/>
  <c r="TB4" i="520"/>
  <c r="OD4" i="520"/>
  <c r="PA4" i="520"/>
  <c r="TY4" i="520"/>
  <c r="UO9" i="520"/>
  <c r="PQ9" i="520"/>
  <c r="OG9" i="520"/>
  <c r="TE9" i="520"/>
  <c r="TP9" i="520"/>
  <c r="OR9" i="520"/>
  <c r="TK9" i="520"/>
  <c r="OM9" i="520"/>
  <c r="OH5" i="520"/>
  <c r="TF5" i="520"/>
  <c r="SN5" i="520"/>
  <c r="NP5" i="520"/>
  <c r="OR5" i="520"/>
  <c r="TP5" i="520"/>
  <c r="TK5" i="520"/>
  <c r="OM5" i="520"/>
  <c r="UI23" i="520"/>
  <c r="PK23" i="520"/>
  <c r="PA23" i="520"/>
  <c r="TY23" i="520"/>
  <c r="TR23" i="520"/>
  <c r="OT23" i="520"/>
  <c r="UB23" i="520"/>
  <c r="PD23" i="520"/>
  <c r="TH11" i="520"/>
  <c r="OJ11" i="520"/>
  <c r="TE11" i="520"/>
  <c r="OG11" i="520"/>
  <c r="TP11" i="520"/>
  <c r="OR11" i="520"/>
  <c r="TK11" i="520"/>
  <c r="OM11" i="520"/>
  <c r="UQ15" i="520"/>
  <c r="PS15" i="520"/>
  <c r="UR15" i="520"/>
  <c r="PT15" i="520"/>
  <c r="TQ15" i="520"/>
  <c r="OS15" i="520"/>
  <c r="TK15" i="520"/>
  <c r="OM15" i="520"/>
  <c r="NS20" i="520"/>
  <c r="SQ20" i="520"/>
  <c r="US20" i="520"/>
  <c r="PU20" i="520"/>
  <c r="UH20" i="520"/>
  <c r="PJ20" i="520"/>
  <c r="UB20" i="520"/>
  <c r="PD20" i="520"/>
  <c r="SO10" i="520"/>
  <c r="NQ10" i="520"/>
  <c r="TE10" i="520"/>
  <c r="OG10" i="520"/>
  <c r="TP10" i="520"/>
  <c r="OR10" i="520"/>
  <c r="TK10" i="520"/>
  <c r="OM10" i="520"/>
  <c r="SR14" i="520"/>
  <c r="NT14" i="520"/>
  <c r="TG14" i="520"/>
  <c r="OI14" i="520"/>
  <c r="SZ14" i="520"/>
  <c r="OB14" i="520"/>
  <c r="TK14" i="520"/>
  <c r="OM14" i="520"/>
  <c r="OH17" i="520"/>
  <c r="TF17" i="520"/>
  <c r="SR17" i="520"/>
  <c r="NT17" i="520"/>
  <c r="TQ17" i="520"/>
  <c r="OS17" i="520"/>
  <c r="OM17" i="520"/>
  <c r="TK17" i="520"/>
  <c r="UQ7" i="520"/>
  <c r="PS7" i="520"/>
  <c r="SN7" i="520"/>
  <c r="NP7" i="520"/>
  <c r="TP7" i="520"/>
  <c r="OR7" i="520"/>
  <c r="TK7" i="520"/>
  <c r="OM7" i="520"/>
  <c r="UK22" i="520"/>
  <c r="PM22" i="520"/>
  <c r="SR22" i="520"/>
  <c r="NT22" i="520"/>
  <c r="TA22" i="520"/>
  <c r="OC22" i="520"/>
  <c r="UB22" i="520"/>
  <c r="PD22" i="520"/>
  <c r="TY16" i="520"/>
  <c r="PA16" i="520"/>
  <c r="UR16" i="520"/>
  <c r="PT16" i="520"/>
  <c r="TQ16" i="520"/>
  <c r="OS16" i="520"/>
  <c r="OM16" i="520"/>
  <c r="TK16" i="520"/>
  <c r="TS21" i="520"/>
  <c r="OU21" i="520"/>
  <c r="TW21" i="520"/>
  <c r="OY21" i="520"/>
  <c r="UH21" i="520"/>
  <c r="PJ21" i="520"/>
  <c r="UB21" i="520"/>
  <c r="PD21" i="520"/>
  <c r="TY13" i="520"/>
  <c r="PA13" i="520"/>
  <c r="TG13" i="520"/>
  <c r="OI13" i="520"/>
  <c r="SZ13" i="520"/>
  <c r="OB13" i="520"/>
  <c r="TK13" i="520"/>
  <c r="OM13" i="520"/>
  <c r="SR6" i="520"/>
  <c r="NT6" i="520"/>
  <c r="SN6" i="520"/>
  <c r="NP6" i="520"/>
  <c r="TP6" i="520"/>
  <c r="OR6" i="520"/>
  <c r="TK6" i="520"/>
  <c r="OM6" i="520"/>
  <c r="TV28" i="520"/>
  <c r="OX28" i="520"/>
  <c r="UU28" i="520"/>
  <c r="PW28" i="520"/>
  <c r="TR28" i="520"/>
  <c r="OT28" i="520"/>
  <c r="UB28" i="520"/>
  <c r="PD28" i="520"/>
  <c r="UK27" i="520"/>
  <c r="PM27" i="520"/>
  <c r="UA27" i="520"/>
  <c r="PC27" i="520"/>
  <c r="TR27" i="520"/>
  <c r="OT27" i="520"/>
  <c r="UB27" i="520"/>
  <c r="PD27" i="520"/>
  <c r="TN25" i="520"/>
  <c r="OP25" i="520"/>
  <c r="UU25" i="520"/>
  <c r="PW25" i="520"/>
  <c r="TR25" i="520"/>
  <c r="OT25" i="520"/>
  <c r="UB25" i="520"/>
  <c r="PD25" i="520"/>
  <c r="PV8" i="520"/>
  <c r="UT8" i="520"/>
  <c r="PW8" i="520"/>
  <c r="UU8" i="520"/>
  <c r="UA8" i="520"/>
  <c r="PC8" i="520"/>
  <c r="NP8" i="520"/>
  <c r="SN8" i="520"/>
  <c r="PC18" i="520"/>
  <c r="UA18" i="520"/>
  <c r="NQ18" i="520"/>
  <c r="SO18" i="520"/>
  <c r="TQ18" i="520"/>
  <c r="OS18" i="520"/>
  <c r="OM18" i="520"/>
  <c r="TK18" i="520"/>
  <c r="UJ24" i="520"/>
  <c r="PL24" i="520"/>
  <c r="UE24" i="520"/>
  <c r="PG24" i="520"/>
  <c r="TA24" i="520"/>
  <c r="OC24" i="520"/>
  <c r="TK24" i="520"/>
  <c r="OM24" i="520"/>
  <c r="UI19" i="520"/>
  <c r="PK19" i="520"/>
  <c r="PC19" i="520"/>
  <c r="UA19" i="520"/>
  <c r="OS19" i="520"/>
  <c r="TQ19" i="520"/>
  <c r="TK19" i="520"/>
  <c r="OM19" i="520"/>
  <c r="TH26" i="520"/>
  <c r="OJ26" i="520"/>
  <c r="TV26" i="520"/>
  <c r="OX26" i="520"/>
  <c r="TA26" i="520"/>
  <c r="OC26" i="520"/>
  <c r="TK26" i="520"/>
  <c r="OM26" i="520"/>
  <c r="UV4" i="520"/>
  <c r="PX4" i="520"/>
  <c r="UM4" i="520"/>
  <c r="PO4" i="520"/>
  <c r="TR4" i="520"/>
  <c r="OT4" i="520"/>
  <c r="TJ4" i="520"/>
  <c r="OL4" i="520"/>
  <c r="UE9" i="520"/>
  <c r="PG9" i="520"/>
  <c r="NP9" i="520"/>
  <c r="SN9" i="520"/>
  <c r="OA9" i="520"/>
  <c r="SY9" i="520"/>
  <c r="ST9" i="520"/>
  <c r="NV9" i="520"/>
  <c r="UW5" i="520"/>
  <c r="PY5" i="520"/>
  <c r="TU5" i="520"/>
  <c r="OW5" i="520"/>
  <c r="OA5" i="520"/>
  <c r="SY5" i="520"/>
  <c r="ST5" i="520"/>
  <c r="NV5" i="520"/>
  <c r="UE23" i="520"/>
  <c r="PG23" i="520"/>
  <c r="PU23" i="520"/>
  <c r="US23" i="520"/>
  <c r="TA23" i="520"/>
  <c r="OC23" i="520"/>
  <c r="TK23" i="520"/>
  <c r="OM23" i="520"/>
  <c r="UR11" i="520"/>
  <c r="PT11" i="520"/>
  <c r="NP11" i="520"/>
  <c r="SN11" i="520"/>
  <c r="SY11" i="520"/>
  <c r="OA11" i="520"/>
  <c r="ST11" i="520"/>
  <c r="NV11" i="520"/>
  <c r="UX15" i="520"/>
  <c r="PZ15" i="520"/>
  <c r="TX15" i="520"/>
  <c r="OZ15" i="520"/>
  <c r="SZ15" i="520"/>
  <c r="OB15" i="520"/>
  <c r="ST15" i="520"/>
  <c r="NV15" i="520"/>
  <c r="UP20" i="520"/>
  <c r="PR20" i="520"/>
  <c r="UV20" i="520"/>
  <c r="PX20" i="520"/>
  <c r="TQ20" i="520"/>
  <c r="OS20" i="520"/>
  <c r="OM20" i="520"/>
  <c r="TK20" i="520"/>
  <c r="PQ10" i="520"/>
  <c r="UO10" i="520"/>
  <c r="SN10" i="520"/>
  <c r="NP10" i="520"/>
  <c r="SY10" i="520"/>
  <c r="OA10" i="520"/>
  <c r="ST10" i="520"/>
  <c r="NV10" i="520"/>
  <c r="UO14" i="520"/>
  <c r="PQ14" i="520"/>
  <c r="SP14" i="520"/>
  <c r="NR14" i="520"/>
  <c r="UG14" i="520"/>
  <c r="PI14" i="520"/>
  <c r="ST14" i="520"/>
  <c r="NV14" i="520"/>
  <c r="UN17" i="520"/>
  <c r="PP17" i="520"/>
  <c r="TX17" i="520"/>
  <c r="OZ17" i="520"/>
  <c r="SZ17" i="520"/>
  <c r="OB17" i="520"/>
  <c r="NV17" i="520"/>
  <c r="ST17" i="520"/>
  <c r="UP7" i="520"/>
  <c r="PR7" i="520"/>
  <c r="TU7" i="520"/>
  <c r="OW7" i="520"/>
  <c r="SY7" i="520"/>
  <c r="OA7" i="520"/>
  <c r="ST7" i="520"/>
  <c r="NV7" i="520"/>
  <c r="TY22" i="520"/>
  <c r="PA22" i="520"/>
  <c r="UV22" i="520"/>
  <c r="PX22" i="520"/>
  <c r="UH22" i="520"/>
  <c r="PJ22" i="520"/>
  <c r="TK22" i="520"/>
  <c r="OM22" i="520"/>
  <c r="UJ16" i="520"/>
  <c r="PL16" i="520"/>
  <c r="TX16" i="520"/>
  <c r="OZ16" i="520"/>
  <c r="SZ16" i="520"/>
  <c r="OB16" i="520"/>
  <c r="ST16" i="520"/>
  <c r="NV16" i="520"/>
  <c r="UI21" i="520"/>
  <c r="PK21" i="520"/>
  <c r="UW21" i="520"/>
  <c r="PY21" i="520"/>
  <c r="TQ21" i="520"/>
  <c r="OS21" i="520"/>
  <c r="TK21" i="520"/>
  <c r="OM21" i="520"/>
  <c r="UX13" i="520"/>
  <c r="PZ13" i="520"/>
  <c r="SP13" i="520"/>
  <c r="NR13" i="520"/>
  <c r="PI13" i="520"/>
  <c r="UG13" i="520"/>
  <c r="ST13" i="520"/>
  <c r="NV13" i="520"/>
  <c r="UL6" i="520"/>
  <c r="PN6" i="520"/>
  <c r="TU6" i="520"/>
  <c r="OW6" i="520"/>
  <c r="OA6" i="520"/>
  <c r="SY6" i="520"/>
  <c r="ST6" i="520"/>
  <c r="NV6" i="520"/>
  <c r="TN28" i="520"/>
  <c r="OP28" i="520"/>
  <c r="UT28" i="520"/>
  <c r="PV28" i="520"/>
  <c r="TA28" i="520"/>
  <c r="OC28" i="520"/>
  <c r="TK28" i="520"/>
  <c r="OM28" i="520"/>
  <c r="UQ27" i="520"/>
  <c r="PS27" i="520"/>
  <c r="TI27" i="520"/>
  <c r="OK27" i="520"/>
  <c r="TA27" i="520"/>
  <c r="OC27" i="520"/>
  <c r="TK27" i="520"/>
  <c r="OM27" i="520"/>
  <c r="UJ25" i="520"/>
  <c r="PL25" i="520"/>
  <c r="TS25" i="520"/>
  <c r="OU25" i="520"/>
  <c r="TA25" i="520"/>
  <c r="OC25" i="520"/>
  <c r="TK25" i="520"/>
  <c r="OM25" i="520"/>
  <c r="UI8" i="520"/>
  <c r="PK8" i="520"/>
  <c r="OD8" i="520"/>
  <c r="TB8" i="520"/>
  <c r="OQ8" i="520"/>
  <c r="TO8" i="520"/>
  <c r="OG8" i="520"/>
  <c r="TE8" i="520"/>
  <c r="OH18" i="520"/>
  <c r="TF18" i="520"/>
  <c r="UR18" i="520"/>
  <c r="PT18" i="520"/>
  <c r="SZ18" i="520"/>
  <c r="OB18" i="520"/>
  <c r="ST18" i="520"/>
  <c r="NV18" i="520"/>
  <c r="UI24" i="520"/>
  <c r="PK24" i="520"/>
  <c r="TH24" i="520"/>
  <c r="OJ24" i="520"/>
  <c r="UH24" i="520"/>
  <c r="PJ24" i="520"/>
  <c r="NV24" i="520"/>
  <c r="ST24" i="520"/>
  <c r="TV19" i="520"/>
  <c r="OX19" i="520"/>
  <c r="TH19" i="520"/>
  <c r="OJ19" i="520"/>
  <c r="OB19" i="520"/>
  <c r="SZ19" i="520"/>
  <c r="ST19" i="520"/>
  <c r="NV19" i="520"/>
  <c r="UJ26" i="520"/>
  <c r="PL26" i="520"/>
  <c r="US26" i="520"/>
  <c r="PU26" i="520"/>
  <c r="UH26" i="520"/>
  <c r="PJ26" i="520"/>
  <c r="ST26" i="520"/>
  <c r="NV26" i="520"/>
  <c r="UW4" i="520"/>
  <c r="PY4" i="520"/>
  <c r="UF4" i="520"/>
  <c r="PH4" i="520"/>
  <c r="NP4" i="520"/>
  <c r="SN4" i="520"/>
  <c r="SU4" i="520"/>
  <c r="NW4" i="520"/>
  <c r="NQ9" i="520"/>
  <c r="SO9" i="520"/>
  <c r="TU9" i="520"/>
  <c r="OW9" i="520"/>
  <c r="TO9" i="520"/>
  <c r="OQ9" i="520"/>
  <c r="UA9" i="520"/>
  <c r="PC9" i="520"/>
  <c r="UR5" i="520"/>
  <c r="PT5" i="520"/>
  <c r="TD5" i="520"/>
  <c r="OF5" i="520"/>
  <c r="OQ5" i="520"/>
  <c r="TO5" i="520"/>
  <c r="UA5" i="520"/>
  <c r="PC5" i="520"/>
  <c r="OH23" i="520"/>
  <c r="TF23" i="520"/>
  <c r="OX23" i="520"/>
  <c r="TV23" i="520"/>
  <c r="UH23" i="520"/>
  <c r="PJ23" i="520"/>
  <c r="ST23" i="520"/>
  <c r="NV23" i="520"/>
  <c r="TF11" i="520"/>
  <c r="OH11" i="520"/>
  <c r="TU11" i="520"/>
  <c r="OW11" i="520"/>
  <c r="TO11" i="520"/>
  <c r="OQ11" i="520"/>
  <c r="UA11" i="520"/>
  <c r="PC11" i="520"/>
  <c r="UF15" i="520"/>
  <c r="PH15" i="520"/>
  <c r="TG15" i="520"/>
  <c r="OI15" i="520"/>
  <c r="UG15" i="520"/>
  <c r="PI15" i="520"/>
  <c r="UA15" i="520"/>
  <c r="PC15" i="520"/>
  <c r="UI20" i="520"/>
  <c r="PK20" i="520"/>
  <c r="TT20" i="520"/>
  <c r="OV20" i="520"/>
  <c r="SZ20" i="520"/>
  <c r="OB20" i="520"/>
  <c r="ST20" i="520"/>
  <c r="NV20" i="520"/>
  <c r="OY10" i="520"/>
  <c r="TW10" i="520"/>
  <c r="TU10" i="520"/>
  <c r="OW10" i="520"/>
  <c r="TO10" i="520"/>
  <c r="OQ10" i="520"/>
  <c r="UA10" i="520"/>
  <c r="PC10" i="520"/>
  <c r="UX14" i="520"/>
  <c r="PZ14" i="520"/>
  <c r="TV14" i="520"/>
  <c r="OX14" i="520"/>
  <c r="TP14" i="520"/>
  <c r="OR14" i="520"/>
  <c r="UA14" i="520"/>
  <c r="PC14" i="520"/>
  <c r="UJ17" i="520"/>
  <c r="PL17" i="520"/>
  <c r="TG17" i="520"/>
  <c r="OI17" i="520"/>
  <c r="UG17" i="520"/>
  <c r="PI17" i="520"/>
  <c r="UA17" i="520"/>
  <c r="PC17" i="520"/>
  <c r="UO7" i="520"/>
  <c r="PQ7" i="520"/>
  <c r="TD7" i="520"/>
  <c r="OF7" i="520"/>
  <c r="TO7" i="520"/>
  <c r="OQ7" i="520"/>
  <c r="UA7" i="520"/>
  <c r="PC7" i="520"/>
  <c r="TH22" i="520"/>
  <c r="OJ22" i="520"/>
  <c r="UT22" i="520"/>
  <c r="PV22" i="520"/>
  <c r="TQ22" i="520"/>
  <c r="OS22" i="520"/>
  <c r="ST22" i="520"/>
  <c r="NV22" i="520"/>
  <c r="TW16" i="520"/>
  <c r="OY16" i="520"/>
  <c r="OI16" i="520"/>
  <c r="TG16" i="520"/>
  <c r="UG16" i="520"/>
  <c r="PI16" i="520"/>
  <c r="UA16" i="520"/>
  <c r="PC16" i="520"/>
  <c r="TI21" i="520"/>
  <c r="OK21" i="520"/>
  <c r="UR21" i="520"/>
  <c r="PT21" i="520"/>
  <c r="SZ21" i="520"/>
  <c r="OB21" i="520"/>
  <c r="ST21" i="520"/>
  <c r="NV21" i="520"/>
  <c r="TW13" i="520"/>
  <c r="OY13" i="520"/>
  <c r="TV13" i="520"/>
  <c r="OX13" i="520"/>
  <c r="TP13" i="520"/>
  <c r="OR13" i="520"/>
  <c r="UA13" i="520"/>
  <c r="PC13" i="520"/>
  <c r="UF6" i="520"/>
  <c r="PH6" i="520"/>
  <c r="TD6" i="520"/>
  <c r="OF6" i="520"/>
  <c r="TO6" i="520"/>
  <c r="OQ6" i="520"/>
  <c r="PC6" i="520"/>
  <c r="UA6" i="520"/>
  <c r="UF28" i="520"/>
  <c r="PH28" i="520"/>
  <c r="UW28" i="520"/>
  <c r="PY28" i="520"/>
  <c r="UH28" i="520"/>
  <c r="PJ28" i="520"/>
  <c r="ST28" i="520"/>
  <c r="NV28" i="520"/>
  <c r="TW27" i="520"/>
  <c r="OY27" i="520"/>
  <c r="US27" i="520"/>
  <c r="PU27" i="520"/>
  <c r="UH27" i="520"/>
  <c r="PJ27" i="520"/>
  <c r="ST27" i="520"/>
  <c r="NV27" i="520"/>
  <c r="TW25" i="520"/>
  <c r="OY25" i="520"/>
  <c r="UT25" i="520"/>
  <c r="PV25" i="520"/>
  <c r="UH25" i="520"/>
  <c r="PJ25" i="520"/>
  <c r="ST25" i="520"/>
  <c r="NV25" i="520"/>
  <c r="OK8" i="520"/>
  <c r="TI8" i="520"/>
  <c r="UE8" i="520"/>
  <c r="PG8" i="520"/>
  <c r="OF8" i="520"/>
  <c r="TD8" i="520"/>
  <c r="UP8" i="520"/>
  <c r="PR8" i="520"/>
  <c r="UI18" i="520"/>
  <c r="PK18" i="520"/>
  <c r="TX18" i="520"/>
  <c r="OZ18" i="520"/>
  <c r="UG18" i="520"/>
  <c r="PI18" i="520"/>
  <c r="TJ18" i="520"/>
  <c r="OL18" i="520"/>
  <c r="UX24" i="520"/>
  <c r="PZ24" i="520"/>
  <c r="PU24" i="520"/>
  <c r="US24" i="520"/>
  <c r="TQ24" i="520"/>
  <c r="OS24" i="520"/>
  <c r="TJ24" i="520"/>
  <c r="OL24" i="520"/>
  <c r="PZ19" i="520"/>
  <c r="UX19" i="520"/>
  <c r="TX19" i="520"/>
  <c r="OZ19" i="520"/>
  <c r="UG19" i="520"/>
  <c r="PI19" i="520"/>
  <c r="OL19" i="520"/>
  <c r="TJ19" i="520"/>
  <c r="UE26" i="520"/>
  <c r="PG26" i="520"/>
  <c r="TU26" i="520"/>
  <c r="OW26" i="520"/>
  <c r="TQ26" i="520"/>
  <c r="OS26" i="520"/>
  <c r="TJ26" i="520"/>
  <c r="OL26" i="520"/>
  <c r="TZ4" i="520"/>
  <c r="PB4" i="520"/>
  <c r="SZ4" i="520"/>
  <c r="OB4" i="520"/>
  <c r="TD4" i="520"/>
  <c r="OF4" i="520"/>
  <c r="OM4" i="520"/>
  <c r="TK4" i="520"/>
  <c r="TZ9" i="520"/>
  <c r="PB9" i="520"/>
  <c r="OF9" i="520"/>
  <c r="TD9" i="520"/>
  <c r="SX9" i="520"/>
  <c r="NZ9" i="520"/>
  <c r="TJ9" i="520"/>
  <c r="OL9" i="520"/>
  <c r="PH5" i="520"/>
  <c r="UF5" i="520"/>
  <c r="NO5" i="520"/>
  <c r="SM5" i="520"/>
  <c r="NZ5" i="520"/>
  <c r="SX5" i="520"/>
  <c r="OL5" i="520"/>
  <c r="TJ5" i="520"/>
  <c r="PZ23" i="520"/>
  <c r="UX23" i="520"/>
  <c r="SQ23" i="520"/>
  <c r="NS23" i="520"/>
  <c r="TQ23" i="520"/>
  <c r="OS23" i="520"/>
  <c r="TJ23" i="520"/>
  <c r="OL23" i="520"/>
  <c r="UQ11" i="520"/>
  <c r="PS11" i="520"/>
  <c r="TD11" i="520"/>
  <c r="OF11" i="520"/>
  <c r="SX11" i="520"/>
  <c r="NZ11" i="520"/>
  <c r="TJ11" i="520"/>
  <c r="OL11" i="520"/>
  <c r="OK15" i="520"/>
  <c r="TI15" i="520"/>
  <c r="SP15" i="520"/>
  <c r="NR15" i="520"/>
  <c r="TP15" i="520"/>
  <c r="OR15" i="520"/>
  <c r="TJ15" i="520"/>
  <c r="OL15" i="520"/>
  <c r="TY20" i="520"/>
  <c r="PA20" i="520"/>
  <c r="UR20" i="520"/>
  <c r="PT20" i="520"/>
  <c r="UG20" i="520"/>
  <c r="PI20" i="520"/>
  <c r="OL20" i="520"/>
  <c r="TJ20" i="520"/>
  <c r="PX10" i="520"/>
  <c r="UV10" i="520"/>
  <c r="TD10" i="520"/>
  <c r="OF10" i="520"/>
  <c r="SX10" i="520"/>
  <c r="NZ10" i="520"/>
  <c r="TJ10" i="520"/>
  <c r="OL10" i="520"/>
  <c r="SQ14" i="520"/>
  <c r="NS14" i="520"/>
  <c r="OG14" i="520"/>
  <c r="TE14" i="520"/>
  <c r="SY14" i="520"/>
  <c r="OA14" i="520"/>
  <c r="TJ14" i="520"/>
  <c r="OL14" i="520"/>
  <c r="UI17" i="520"/>
  <c r="PK17" i="520"/>
  <c r="NR17" i="520"/>
  <c r="SP17" i="520"/>
  <c r="TP17" i="520"/>
  <c r="OR17" i="520"/>
  <c r="OL17" i="520"/>
  <c r="TJ17" i="520"/>
  <c r="UM7" i="520"/>
  <c r="PO7" i="520"/>
  <c r="SM7" i="520"/>
  <c r="NO7" i="520"/>
  <c r="SX7" i="520"/>
  <c r="NZ7" i="520"/>
  <c r="TJ7" i="520"/>
  <c r="OL7" i="520"/>
  <c r="UJ22" i="520"/>
  <c r="PL22" i="520"/>
  <c r="US22" i="520"/>
  <c r="PU22" i="520"/>
  <c r="SZ22" i="520"/>
  <c r="OB22" i="520"/>
  <c r="TJ22" i="520"/>
  <c r="OL22" i="520"/>
  <c r="TI16" i="520"/>
  <c r="OK16" i="520"/>
  <c r="NR16" i="520"/>
  <c r="SP16" i="520"/>
  <c r="TP16" i="520"/>
  <c r="OR16" i="520"/>
  <c r="OL16" i="520"/>
  <c r="TJ16" i="520"/>
  <c r="TV21" i="520"/>
  <c r="OX21" i="520"/>
  <c r="TY21" i="520"/>
  <c r="PA21" i="520"/>
  <c r="UG21" i="520"/>
  <c r="PI21" i="520"/>
  <c r="TJ21" i="520"/>
  <c r="OL21" i="520"/>
  <c r="OK13" i="520"/>
  <c r="TI13" i="520"/>
  <c r="OG13" i="520"/>
  <c r="TE13" i="520"/>
  <c r="SY13" i="520"/>
  <c r="OA13" i="520"/>
  <c r="TJ13" i="520"/>
  <c r="OL13" i="520"/>
  <c r="TF6" i="520"/>
  <c r="OH6" i="520"/>
  <c r="SM6" i="520"/>
  <c r="NO6" i="520"/>
  <c r="NZ6" i="520"/>
  <c r="SX6" i="520"/>
  <c r="TJ6" i="520"/>
  <c r="OL6" i="520"/>
  <c r="UP28" i="520"/>
  <c r="PR28" i="520"/>
  <c r="US28" i="520"/>
  <c r="PU28" i="520"/>
  <c r="TQ28" i="520"/>
  <c r="OS28" i="520"/>
  <c r="TJ28" i="520"/>
  <c r="OL28" i="520"/>
  <c r="UN27" i="520"/>
  <c r="PP27" i="520"/>
  <c r="TZ27" i="520"/>
  <c r="PB27" i="520"/>
  <c r="TQ27" i="520"/>
  <c r="OS27" i="520"/>
  <c r="TJ27" i="520"/>
  <c r="OL27" i="520"/>
  <c r="TI25" i="520"/>
  <c r="OK25" i="520"/>
  <c r="UW25" i="520"/>
  <c r="PY25" i="520"/>
  <c r="TQ25" i="520"/>
  <c r="OS25" i="520"/>
  <c r="TJ25" i="520"/>
  <c r="OL25" i="520"/>
  <c r="PL8" i="520"/>
  <c r="UJ8" i="520"/>
  <c r="OY8" i="520"/>
  <c r="TW8" i="520"/>
  <c r="PO8" i="520"/>
  <c r="UM8" i="520"/>
  <c r="NQ8" i="520"/>
  <c r="SO8" i="520"/>
  <c r="TZ18" i="520"/>
  <c r="PB18" i="520"/>
  <c r="TG18" i="520"/>
  <c r="OI18" i="520"/>
  <c r="TP18" i="520"/>
  <c r="OR18" i="520"/>
  <c r="SS18" i="520"/>
  <c r="NU18" i="520"/>
  <c r="UQ24" i="520"/>
  <c r="PS24" i="520"/>
  <c r="UA24" i="520"/>
  <c r="PC24" i="520"/>
  <c r="SZ24" i="520"/>
  <c r="OB24" i="520"/>
  <c r="NU24" i="520"/>
  <c r="SS24" i="520"/>
  <c r="SR19" i="520"/>
  <c r="NT19" i="520"/>
  <c r="TG19" i="520"/>
  <c r="OI19" i="520"/>
  <c r="OR19" i="520"/>
  <c r="TP19" i="520"/>
  <c r="NU19" i="520"/>
  <c r="SS19" i="520"/>
  <c r="UK26" i="520"/>
  <c r="PM26" i="520"/>
  <c r="TO26" i="520"/>
  <c r="OQ26" i="520"/>
  <c r="SZ26" i="520"/>
  <c r="OB26" i="520"/>
  <c r="SS26" i="520"/>
  <c r="NU26" i="520"/>
  <c r="TS4" i="520"/>
  <c r="OU4" i="520"/>
  <c r="UK4" i="520"/>
  <c r="PM4" i="520"/>
  <c r="NQ4" i="520"/>
  <c r="SO4" i="520"/>
  <c r="SV4" i="520"/>
  <c r="NX4" i="520"/>
  <c r="OY9" i="520"/>
  <c r="TW9" i="520"/>
  <c r="SM9" i="520"/>
  <c r="NO9" i="520"/>
  <c r="TN9" i="520"/>
  <c r="OP9" i="520"/>
  <c r="SS9" i="520"/>
  <c r="NU9" i="520"/>
  <c r="UV5" i="520"/>
  <c r="PX5" i="520"/>
  <c r="TT5" i="520"/>
  <c r="OV5" i="520"/>
  <c r="OP5" i="520"/>
  <c r="TN5" i="520"/>
  <c r="NU5" i="520"/>
  <c r="SS5" i="520"/>
  <c r="PC23" i="520"/>
  <c r="UA23" i="520"/>
  <c r="UR23" i="520"/>
  <c r="PT23" i="520"/>
  <c r="SZ23" i="520"/>
  <c r="OB23" i="520"/>
  <c r="NU23" i="520"/>
  <c r="SS23" i="520"/>
  <c r="UN11" i="520"/>
  <c r="PP11" i="520"/>
  <c r="SM11" i="520"/>
  <c r="NO11" i="520"/>
  <c r="TN11" i="520"/>
  <c r="OP11" i="520"/>
  <c r="SS11" i="520"/>
  <c r="NU11" i="520"/>
  <c r="PY15" i="520"/>
  <c r="UW15" i="520"/>
  <c r="TV15" i="520"/>
  <c r="OX15" i="520"/>
  <c r="SY15" i="520"/>
  <c r="OA15" i="520"/>
  <c r="SS15" i="520"/>
  <c r="NU15" i="520"/>
  <c r="SO20" i="520"/>
  <c r="NQ20" i="520"/>
  <c r="TX20" i="520"/>
  <c r="OZ20" i="520"/>
  <c r="TP20" i="520"/>
  <c r="OR20" i="520"/>
  <c r="SS20" i="520"/>
  <c r="NU20" i="520"/>
  <c r="UN10" i="520"/>
  <c r="PP10" i="520"/>
  <c r="SM10" i="520"/>
  <c r="NO10" i="520"/>
  <c r="TN10" i="520"/>
  <c r="OP10" i="520"/>
  <c r="SS10" i="520"/>
  <c r="NU10" i="520"/>
  <c r="SO14" i="520"/>
  <c r="NQ14" i="520"/>
  <c r="NP14" i="520"/>
  <c r="SN14" i="520"/>
  <c r="TO14" i="520"/>
  <c r="OQ14" i="520"/>
  <c r="SS14" i="520"/>
  <c r="NU14" i="520"/>
  <c r="PZ17" i="520"/>
  <c r="UX17" i="520"/>
  <c r="TV17" i="520"/>
  <c r="OX17" i="520"/>
  <c r="SY17" i="520"/>
  <c r="OA17" i="520"/>
  <c r="SS17" i="520"/>
  <c r="NU17" i="520"/>
  <c r="UL7" i="520"/>
  <c r="PN7" i="520"/>
  <c r="TT7" i="520"/>
  <c r="OV7" i="520"/>
  <c r="TN7" i="520"/>
  <c r="OP7" i="520"/>
  <c r="SS7" i="520"/>
  <c r="NU7" i="520"/>
  <c r="TW22" i="520"/>
  <c r="OY22" i="520"/>
  <c r="UR22" i="520"/>
  <c r="PT22" i="520"/>
  <c r="UG22" i="520"/>
  <c r="PI22" i="520"/>
  <c r="SS22" i="520"/>
  <c r="NU22" i="520"/>
  <c r="UI16" i="520"/>
  <c r="PK16" i="520"/>
  <c r="TV16" i="520"/>
  <c r="OX16" i="520"/>
  <c r="SY16" i="520"/>
  <c r="OA16" i="520"/>
  <c r="SS16" i="520"/>
  <c r="NU16" i="520"/>
  <c r="UX21" i="520"/>
  <c r="PZ21" i="520"/>
  <c r="TX21" i="520"/>
  <c r="OZ21" i="520"/>
  <c r="TP21" i="520"/>
  <c r="OR21" i="520"/>
  <c r="SS21" i="520"/>
  <c r="NU21" i="520"/>
  <c r="UW13" i="520"/>
  <c r="PY13" i="520"/>
  <c r="NP13" i="520"/>
  <c r="SN13" i="520"/>
  <c r="TO13" i="520"/>
  <c r="OQ13" i="520"/>
  <c r="SS13" i="520"/>
  <c r="NU13" i="520"/>
  <c r="PM6" i="520"/>
  <c r="UK6" i="520"/>
  <c r="TT6" i="520"/>
  <c r="OV6" i="520"/>
  <c r="TN6" i="520"/>
  <c r="OP6" i="520"/>
  <c r="SS6" i="520"/>
  <c r="NU6" i="520"/>
  <c r="UJ28" i="520"/>
  <c r="PL28" i="520"/>
  <c r="SR28" i="520"/>
  <c r="NT28" i="520"/>
  <c r="SZ28" i="520"/>
  <c r="OB28" i="520"/>
  <c r="SS28" i="520"/>
  <c r="NU28" i="520"/>
  <c r="TU27" i="520"/>
  <c r="OW27" i="520"/>
  <c r="TH27" i="520"/>
  <c r="OJ27" i="520"/>
  <c r="SZ27" i="520"/>
  <c r="OB27" i="520"/>
  <c r="SS27" i="520"/>
  <c r="NU27" i="520"/>
  <c r="SR25" i="520"/>
  <c r="NT25" i="520"/>
  <c r="TT25" i="520"/>
  <c r="OV25" i="520"/>
  <c r="SZ25" i="520"/>
  <c r="OB25" i="520"/>
  <c r="SS25" i="520"/>
  <c r="NU25" i="520"/>
  <c r="NX8" i="520"/>
  <c r="SV8" i="520"/>
  <c r="SW8" i="520"/>
  <c r="NY8" i="520"/>
  <c r="ST8" i="520"/>
  <c r="NV8" i="520"/>
  <c r="TI18" i="520"/>
  <c r="OK18" i="520"/>
  <c r="PZ18" i="520"/>
  <c r="UX18" i="520"/>
  <c r="SP18" i="520"/>
  <c r="NR18" i="520"/>
  <c r="SY18" i="520"/>
  <c r="OA18" i="520"/>
  <c r="UP24" i="520"/>
  <c r="PR24" i="520"/>
  <c r="TO24" i="520"/>
  <c r="OQ24" i="520"/>
  <c r="TF24" i="520"/>
  <c r="OH24" i="520"/>
  <c r="UG24" i="520"/>
  <c r="PI24" i="520"/>
  <c r="UQ19" i="520"/>
  <c r="PS19" i="520"/>
  <c r="SQ19" i="520"/>
  <c r="NS19" i="520"/>
  <c r="SP19" i="520"/>
  <c r="NR19" i="520"/>
  <c r="OA19" i="520"/>
  <c r="SY19" i="520"/>
  <c r="TN26" i="520"/>
  <c r="OP26" i="520"/>
  <c r="UI26" i="520"/>
  <c r="PK26" i="520"/>
  <c r="UV26" i="520"/>
  <c r="PX26" i="520"/>
  <c r="UG26" i="520"/>
  <c r="PI26" i="520"/>
  <c r="UR4" i="520"/>
  <c r="PT4" i="520"/>
  <c r="UX4" i="520"/>
  <c r="PZ4" i="520"/>
  <c r="UD4" i="520"/>
  <c r="PF4" i="520"/>
  <c r="OV4" i="520"/>
  <c r="TT4" i="520"/>
  <c r="UP9" i="520"/>
  <c r="PR9" i="520"/>
  <c r="TI9" i="520"/>
  <c r="OK9" i="520"/>
  <c r="TT9" i="520"/>
  <c r="OV9" i="520"/>
  <c r="SW9" i="520"/>
  <c r="NY9" i="520"/>
  <c r="PN5" i="520"/>
  <c r="UL5" i="520"/>
  <c r="UQ5" i="520"/>
  <c r="PS5" i="520"/>
  <c r="OE5" i="520"/>
  <c r="TC5" i="520"/>
  <c r="SW5" i="520"/>
  <c r="NY5" i="520"/>
  <c r="OU23" i="520"/>
  <c r="TS23" i="520"/>
  <c r="PS23" i="520"/>
  <c r="UQ23" i="520"/>
  <c r="TU23" i="520"/>
  <c r="OW23" i="520"/>
  <c r="UG23" i="520"/>
  <c r="PI23" i="520"/>
  <c r="SR11" i="520"/>
  <c r="NT11" i="520"/>
  <c r="UP11" i="520"/>
  <c r="PR11" i="520"/>
  <c r="TT11" i="520"/>
  <c r="OV11" i="520"/>
  <c r="SW11" i="520"/>
  <c r="NY11" i="520"/>
  <c r="UO15" i="520"/>
  <c r="PQ15" i="520"/>
  <c r="UU15" i="520"/>
  <c r="PW15" i="520"/>
  <c r="TE15" i="520"/>
  <c r="OG15" i="520"/>
  <c r="TO15" i="520"/>
  <c r="OQ15" i="520"/>
  <c r="UO20" i="520"/>
  <c r="PQ20" i="520"/>
  <c r="UX20" i="520"/>
  <c r="PZ20" i="520"/>
  <c r="OI20" i="520"/>
  <c r="TG20" i="520"/>
  <c r="OA20" i="520"/>
  <c r="SY20" i="520"/>
  <c r="UW10" i="520"/>
  <c r="PY10" i="520"/>
  <c r="UM10" i="520"/>
  <c r="PO10" i="520"/>
  <c r="TT10" i="520"/>
  <c r="OV10" i="520"/>
  <c r="SW10" i="520"/>
  <c r="NY10" i="520"/>
  <c r="UN14" i="520"/>
  <c r="PP14" i="520"/>
  <c r="UU14" i="520"/>
  <c r="PW14" i="520"/>
  <c r="OW14" i="520"/>
  <c r="TU14" i="520"/>
  <c r="SX14" i="520"/>
  <c r="NZ14" i="520"/>
  <c r="SO17" i="520"/>
  <c r="NQ17" i="520"/>
  <c r="UV17" i="520"/>
  <c r="PX17" i="520"/>
  <c r="OG17" i="520"/>
  <c r="TE17" i="520"/>
  <c r="TO17" i="520"/>
  <c r="OQ17" i="520"/>
  <c r="UF7" i="520"/>
  <c r="PH7" i="520"/>
  <c r="UN7" i="520"/>
  <c r="PP7" i="520"/>
  <c r="TC7" i="520"/>
  <c r="OE7" i="520"/>
  <c r="SW7" i="520"/>
  <c r="NY7" i="520"/>
  <c r="NS22" i="520"/>
  <c r="SQ22" i="520"/>
  <c r="TF22" i="520"/>
  <c r="OH22" i="520"/>
  <c r="TX22" i="520"/>
  <c r="OZ22" i="520"/>
  <c r="TP22" i="520"/>
  <c r="OR22" i="520"/>
  <c r="UO16" i="520"/>
  <c r="PQ16" i="520"/>
  <c r="TS16" i="520"/>
  <c r="OU16" i="520"/>
  <c r="OG16" i="520"/>
  <c r="TE16" i="520"/>
  <c r="TO16" i="520"/>
  <c r="OQ16" i="520"/>
  <c r="UO21" i="520"/>
  <c r="PQ21" i="520"/>
  <c r="TH21" i="520"/>
  <c r="OJ21" i="520"/>
  <c r="TG21" i="520"/>
  <c r="OI21" i="520"/>
  <c r="SY21" i="520"/>
  <c r="OA21" i="520"/>
  <c r="UN13" i="520"/>
  <c r="PP13" i="520"/>
  <c r="UV13" i="520"/>
  <c r="PX13" i="520"/>
  <c r="OW13" i="520"/>
  <c r="TU13" i="520"/>
  <c r="SX13" i="520"/>
  <c r="NZ13" i="520"/>
  <c r="UV6" i="520"/>
  <c r="PX6" i="520"/>
  <c r="PG6" i="520"/>
  <c r="UE6" i="520"/>
  <c r="OE6" i="520"/>
  <c r="TC6" i="520"/>
  <c r="NY6" i="520"/>
  <c r="SW6" i="520"/>
  <c r="UO28" i="520"/>
  <c r="PQ28" i="520"/>
  <c r="UI28" i="520"/>
  <c r="PK28" i="520"/>
  <c r="UQ28" i="520"/>
  <c r="PS28" i="520"/>
  <c r="UG28" i="520"/>
  <c r="PI28" i="520"/>
  <c r="SR27" i="520"/>
  <c r="NT27" i="520"/>
  <c r="UJ27" i="520"/>
  <c r="PL27" i="520"/>
  <c r="UR27" i="520"/>
  <c r="PT27" i="520"/>
  <c r="UG27" i="520"/>
  <c r="PI27" i="520"/>
  <c r="UO25" i="520"/>
  <c r="PQ25" i="520"/>
  <c r="UQ25" i="520"/>
  <c r="PS25" i="520"/>
  <c r="UV25" i="520"/>
  <c r="PX25" i="520"/>
  <c r="UG25" i="520"/>
  <c r="PI25" i="520"/>
  <c r="OB8" i="520"/>
  <c r="SZ8" i="520"/>
  <c r="TA8" i="520"/>
  <c r="OC8" i="520"/>
  <c r="OE8" i="520"/>
  <c r="TC8" i="520"/>
  <c r="OA8" i="520"/>
  <c r="SY8" i="520"/>
  <c r="AA4" i="111"/>
  <c r="F88" i="6"/>
  <c r="D78" i="6"/>
  <c r="D88" i="6"/>
  <c r="F82" i="6"/>
  <c r="D82" i="6"/>
  <c r="F76" i="6"/>
  <c r="F86" i="6"/>
  <c r="D76" i="6"/>
  <c r="D86" i="6"/>
  <c r="F80" i="6"/>
  <c r="D80" i="6"/>
  <c r="F74" i="6"/>
  <c r="D85" i="6"/>
  <c r="F79" i="6"/>
  <c r="F89" i="6"/>
  <c r="D79" i="6"/>
  <c r="D89" i="6"/>
  <c r="F83" i="6"/>
  <c r="D83" i="6"/>
  <c r="F77" i="6"/>
  <c r="F87" i="6"/>
  <c r="D77" i="6"/>
  <c r="D87" i="6"/>
  <c r="F81" i="6"/>
  <c r="D81" i="6"/>
  <c r="F75" i="6"/>
  <c r="F85" i="6"/>
  <c r="D75" i="6"/>
  <c r="F84" i="6"/>
  <c r="D74" i="6"/>
  <c r="D84" i="6"/>
  <c r="F78" i="6"/>
  <c r="BA32" i="1"/>
  <c r="BA34" i="1" s="1"/>
  <c r="BA33" i="1"/>
  <c r="BA35" i="1" s="1"/>
  <c r="S33" i="1" l="1"/>
  <c r="E36" i="373" s="1"/>
  <c r="Q33" i="1"/>
  <c r="E26" i="373" s="1"/>
  <c r="R33" i="1"/>
  <c r="E27" i="373" s="1"/>
  <c r="AM15" i="1"/>
  <c r="AR15" i="1"/>
  <c r="E23" i="37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S. Girgis</author>
  </authors>
  <commentList>
    <comment ref="B2" authorId="0" shapeId="0" xr:uid="{D3AFC8AF-1BB7-4D8B-A94C-893BE0D75040}">
      <text>
        <r>
          <rPr>
            <sz val="9"/>
            <color indexed="81"/>
            <rFont val="Tahoma"/>
            <family val="2"/>
          </rPr>
          <t>Use the drop down to update the company between NB+C and TKK.</t>
        </r>
      </text>
    </comment>
    <comment ref="A9" authorId="0" shapeId="0" xr:uid="{306269EB-CC8D-4320-8E00-2320BA1706F1}">
      <text>
        <r>
          <rPr>
            <b/>
            <sz val="9"/>
            <color indexed="81"/>
            <rFont val="Tahoma"/>
            <family val="2"/>
          </rPr>
          <t>Buttons (from Left to Right)</t>
        </r>
        <r>
          <rPr>
            <sz val="9"/>
            <color indexed="81"/>
            <rFont val="Tahoma"/>
            <family val="2"/>
          </rPr>
          <t xml:space="preserve">
PDF:
Prints Code Tab and Placement Diagrams to PDF
Support Ticket Email:
Click this button to submit an email request for any issues encountered using this tool.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Iannicelli</author>
  </authors>
  <commentList>
    <comment ref="AB5" authorId="0" shapeId="0" xr:uid="{759D3B13-B829-42C1-95F6-B6105B2FCD9D}">
      <text>
        <r>
          <rPr>
            <sz val="9"/>
            <color indexed="81"/>
            <rFont val="Tahoma"/>
            <family val="2"/>
          </rPr>
          <t>Projected width normal to wind direction</t>
        </r>
      </text>
    </comment>
    <comment ref="AM5" authorId="0" shapeId="0" xr:uid="{7AD9285D-F918-4031-94C4-E02C941BD572}">
      <text>
        <r>
          <rPr>
            <sz val="9"/>
            <color indexed="81"/>
            <rFont val="Tahoma"/>
            <family val="2"/>
          </rPr>
          <t>Projected width normal to wind direction</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<sst xmlns="http://schemas.openxmlformats.org/spreadsheetml/2006/main" count="4701" uniqueCount="1804">
  <si>
    <t>B</t>
  </si>
  <si>
    <t>2009 International Building Code</t>
  </si>
  <si>
    <t>ASCE 7-05</t>
  </si>
  <si>
    <t>ANSI/TIA-222-G</t>
  </si>
  <si>
    <t>8601 Six Forks Road, Suite 540, Raleigh, NC 27615</t>
  </si>
  <si>
    <t>Network Building + Consulting, LLC</t>
  </si>
  <si>
    <t>Force Coefficients, Ca</t>
  </si>
  <si>
    <t>2012 International Building Code</t>
  </si>
  <si>
    <t>ASCE 7-10</t>
  </si>
  <si>
    <t>ANSI/TIA-222-H</t>
  </si>
  <si>
    <t>120 Eastshore Drive, Suite 300, Glen Allen, VA 23059</t>
  </si>
  <si>
    <t>Other (Overwrite)</t>
  </si>
  <si>
    <t>Aspect Ratio</t>
  </si>
  <si>
    <t>Ca Coefficients</t>
  </si>
  <si>
    <t>2015 International Building Code</t>
  </si>
  <si>
    <t>ASCE 7-16</t>
  </si>
  <si>
    <t>ANSI/TIA-222-I</t>
  </si>
  <si>
    <t>6095 Marshalee Dr, Suite 300, Elkridge, MD 21075</t>
  </si>
  <si>
    <t>Flat</t>
  </si>
  <si>
    <t>Round</t>
  </si>
  <si>
    <t>2018 International Building Code</t>
  </si>
  <si>
    <t>ASCE 7-22</t>
  </si>
  <si>
    <t>1777 Sentry Parkway W, Veva 17, Suite 400, Blue Bell, PA 19422</t>
  </si>
  <si>
    <t>2021 International Building Code</t>
  </si>
  <si>
    <t>2024 International Building Code</t>
  </si>
  <si>
    <t>NB+C Engineering Services, LLC</t>
  </si>
  <si>
    <t>C:\Users\mgirgis\OneDrive - Network Building &amp; Consulting, LLC\Desktop\SDS PRP Files\10004405 - SITX023893_SDS Info.prp</t>
  </si>
  <si>
    <t>Filepaths</t>
  </si>
  <si>
    <t>Appurtenances</t>
  </si>
  <si>
    <t>Z:\~Engineering Standards Library\STRUCTURAL\Analysis_Tower\tnxTower\DBASE\MISCL\APPURT</t>
  </si>
  <si>
    <t>Dishes</t>
  </si>
  <si>
    <t>Z:\~Engineering Standards Library\STRUCTURAL\Analysis_Tower\tnxTower\DBASE\MISCL\DISH</t>
  </si>
  <si>
    <t>Feed Lines</t>
  </si>
  <si>
    <t>Z:\~Engineering Standards Library\STRUCTURAL\Analysis_Tower\tnxTower\DBASE\MISCL\FEEDLINE</t>
  </si>
  <si>
    <t>Shapes</t>
  </si>
  <si>
    <t>Z:\~Engineering Standards Library\STRUCTURAL\Analysis_Procedural\NB+C Database</t>
  </si>
  <si>
    <t>NB+C</t>
  </si>
  <si>
    <t>TKK</t>
  </si>
  <si>
    <r>
      <t>Maintenance Wind Speed, V</t>
    </r>
    <r>
      <rPr>
        <sz val="8"/>
        <color theme="1"/>
        <rFont val="Calibri"/>
        <family val="2"/>
      </rPr>
      <t>ₘ</t>
    </r>
  </si>
  <si>
    <r>
      <t>Service Wind Speed, V</t>
    </r>
    <r>
      <rPr>
        <sz val="8"/>
        <color theme="1"/>
        <rFont val="Calibri"/>
        <family val="2"/>
      </rPr>
      <t>ₛ</t>
    </r>
  </si>
  <si>
    <t>Revisions</t>
  </si>
  <si>
    <t>Previous Revision</t>
  </si>
  <si>
    <t>Current Revision</t>
  </si>
  <si>
    <t>Revision</t>
  </si>
  <si>
    <t>Date Updated</t>
  </si>
  <si>
    <t>By</t>
  </si>
  <si>
    <t>Notes</t>
  </si>
  <si>
    <t>2.4.1</t>
  </si>
  <si>
    <t>-</t>
  </si>
  <si>
    <t>MSG</t>
  </si>
  <si>
    <t>3.0.0</t>
  </si>
  <si>
    <t>3.0.1</t>
  </si>
  <si>
    <t>3.0.2</t>
  </si>
  <si>
    <t>3.0.3</t>
  </si>
  <si>
    <t>3.0.4</t>
  </si>
  <si>
    <t>3.0.5</t>
  </si>
  <si>
    <t>3.0.6</t>
  </si>
  <si>
    <t>MSG / MLS</t>
  </si>
  <si>
    <t>3.0.7</t>
  </si>
  <si>
    <t>3.0.8</t>
  </si>
  <si>
    <t>3.0.9</t>
  </si>
  <si>
    <t>3.0.10</t>
  </si>
  <si>
    <t>3.0.11</t>
  </si>
  <si>
    <t>3.0.12</t>
  </si>
  <si>
    <t>3.0.13</t>
  </si>
  <si>
    <t>3.1.0</t>
  </si>
  <si>
    <t>3.1.1</t>
  </si>
  <si>
    <t>3.1.2</t>
  </si>
  <si>
    <t>3.2.0</t>
  </si>
  <si>
    <t>NB+C Project Number:</t>
  </si>
  <si>
    <t>NB+C ES Project Number:</t>
  </si>
  <si>
    <t>Client:</t>
  </si>
  <si>
    <t>Carrier:</t>
  </si>
  <si>
    <t>Carrier Site Name:</t>
  </si>
  <si>
    <t>Carrier Site Number:</t>
  </si>
  <si>
    <t>Carrier Project:</t>
  </si>
  <si>
    <t>Structural Mount Analysis</t>
  </si>
  <si>
    <t>Placement Diagrams</t>
  </si>
  <si>
    <t>Yes</t>
  </si>
  <si>
    <t>Code Parameters</t>
  </si>
  <si>
    <t>Structure Data</t>
  </si>
  <si>
    <t>Analysis Criteria</t>
  </si>
  <si>
    <t>RISA-3D Model Information</t>
  </si>
  <si>
    <t>Elevation View - Alpha</t>
  </si>
  <si>
    <t>Plan View</t>
  </si>
  <si>
    <t>Placement Diagram Settings</t>
  </si>
  <si>
    <t>Options</t>
  </si>
  <si>
    <t>Criteria and Parameters</t>
  </si>
  <si>
    <t>Structure Information</t>
  </si>
  <si>
    <t>Factors and Calculations</t>
  </si>
  <si>
    <t>RISA-3D Information</t>
  </si>
  <si>
    <t>Placement Diagram</t>
  </si>
  <si>
    <t>Codes and Standards</t>
  </si>
  <si>
    <t>Supported Structure</t>
  </si>
  <si>
    <t>General</t>
  </si>
  <si>
    <t>Information per Imported RISA-3D Model</t>
  </si>
  <si>
    <t>International Building Code</t>
  </si>
  <si>
    <t>Centerline</t>
  </si>
  <si>
    <r>
      <t>Rooftop Wind Speed-Up Factor, K</t>
    </r>
    <r>
      <rPr>
        <vertAlign val="subscript"/>
        <sz val="9"/>
        <rFont val="Calibri"/>
        <family val="2"/>
        <scheme val="minor"/>
      </rPr>
      <t>s</t>
    </r>
  </si>
  <si>
    <t>Unit Length</t>
  </si>
  <si>
    <t>ASCE Standard</t>
  </si>
  <si>
    <t>Type</t>
  </si>
  <si>
    <r>
      <t>Wind Direction Probability, K</t>
    </r>
    <r>
      <rPr>
        <vertAlign val="subscript"/>
        <sz val="9"/>
        <rFont val="Calibri"/>
        <family val="2"/>
        <scheme val="minor"/>
      </rPr>
      <t>d</t>
    </r>
  </si>
  <si>
    <t>Unit Force</t>
  </si>
  <si>
    <t>Proposed</t>
  </si>
  <si>
    <t>Existing</t>
  </si>
  <si>
    <t>TIA Standard</t>
  </si>
  <si>
    <t>Number of Sectors</t>
  </si>
  <si>
    <r>
      <t>Ground Elevation Factor, K</t>
    </r>
    <r>
      <rPr>
        <vertAlign val="subscript"/>
        <sz val="9"/>
        <rFont val="Calibri"/>
        <family val="2"/>
        <scheme val="minor"/>
      </rPr>
      <t>e</t>
    </r>
  </si>
  <si>
    <t>Unit Linear Force</t>
  </si>
  <si>
    <t>Chart Height</t>
  </si>
  <si>
    <t>Chart Width</t>
  </si>
  <si>
    <t>Top Buffer</t>
  </si>
  <si>
    <t>Left Buffer</t>
  </si>
  <si>
    <t>Design Methodology</t>
  </si>
  <si>
    <t>TIA</t>
  </si>
  <si>
    <t>Number of Sectors Modeled</t>
  </si>
  <si>
    <r>
      <t>Gust Factor, G</t>
    </r>
    <r>
      <rPr>
        <vertAlign val="subscript"/>
        <sz val="9"/>
        <rFont val="Calibri"/>
        <family val="2"/>
        <scheme val="minor"/>
      </rPr>
      <t>H</t>
    </r>
  </si>
  <si>
    <t>Unit Moment</t>
  </si>
  <si>
    <t>Wind Loading Hazard Data</t>
  </si>
  <si>
    <t>Condition</t>
  </si>
  <si>
    <r>
      <t>Shielding Factor, K</t>
    </r>
    <r>
      <rPr>
        <vertAlign val="subscript"/>
        <sz val="9"/>
        <rFont val="Calibri"/>
        <family val="2"/>
        <scheme val="minor"/>
      </rPr>
      <t>a</t>
    </r>
  </si>
  <si>
    <t>Unit Area Load</t>
  </si>
  <si>
    <t>Risk Category</t>
  </si>
  <si>
    <t>II</t>
  </si>
  <si>
    <t>Mount Reference Node Label</t>
  </si>
  <si>
    <t>Wind Calculations</t>
  </si>
  <si>
    <t>Model Axes</t>
  </si>
  <si>
    <t>Wind Speed, V</t>
  </si>
  <si>
    <t>Supporting Structure</t>
  </si>
  <si>
    <r>
      <t>Velocity Pressure, K</t>
    </r>
    <r>
      <rPr>
        <vertAlign val="subscript"/>
        <sz val="9"/>
        <rFont val="Calibri"/>
        <family val="2"/>
        <scheme val="minor"/>
      </rPr>
      <t xml:space="preserve">z </t>
    </r>
  </si>
  <si>
    <t>Steel Design Code</t>
  </si>
  <si>
    <t>Height</t>
  </si>
  <si>
    <r>
      <t>Importance Factor, I</t>
    </r>
    <r>
      <rPr>
        <vertAlign val="subscript"/>
        <sz val="9"/>
        <rFont val="Calibri"/>
        <family val="2"/>
        <scheme val="minor"/>
      </rPr>
      <t>wind</t>
    </r>
  </si>
  <si>
    <t>RISA-3D Version</t>
  </si>
  <si>
    <t>Exposure Category</t>
  </si>
  <si>
    <t>C</t>
  </si>
  <si>
    <r>
      <t>Reduced Wind Pressure, q</t>
    </r>
    <r>
      <rPr>
        <vertAlign val="subscript"/>
        <sz val="9"/>
        <rFont val="Calibri"/>
        <family val="2"/>
        <scheme val="minor"/>
      </rPr>
      <t>z</t>
    </r>
    <r>
      <rPr>
        <sz val="9"/>
        <rFont val="Calibri"/>
        <family val="2"/>
        <scheme val="minor"/>
      </rPr>
      <t>*K</t>
    </r>
    <r>
      <rPr>
        <vertAlign val="subscript"/>
        <sz val="9"/>
        <rFont val="Calibri"/>
        <family val="2"/>
        <scheme val="minor"/>
      </rPr>
      <t>a</t>
    </r>
    <r>
      <rPr>
        <sz val="9"/>
        <rFont val="Calibri"/>
        <family val="2"/>
        <scheme val="minor"/>
      </rPr>
      <t>*K</t>
    </r>
    <r>
      <rPr>
        <vertAlign val="subscript"/>
        <sz val="9"/>
        <rFont val="Calibri"/>
        <family val="2"/>
        <scheme val="minor"/>
      </rPr>
      <t>es</t>
    </r>
  </si>
  <si>
    <t>Filepath</t>
  </si>
  <si>
    <t>Hurricane Prone Region?</t>
  </si>
  <si>
    <t>Structure on Supporting Structure?</t>
  </si>
  <si>
    <t>Ice Calculations</t>
  </si>
  <si>
    <r>
      <t>Ground Elevation, z</t>
    </r>
    <r>
      <rPr>
        <vertAlign val="subscript"/>
        <sz val="9"/>
        <color theme="1"/>
        <rFont val="Calibri"/>
        <family val="2"/>
        <scheme val="minor"/>
      </rPr>
      <t>s</t>
    </r>
  </si>
  <si>
    <t>Rooftop</t>
  </si>
  <si>
    <r>
      <t>Height Escalation Factor, K</t>
    </r>
    <r>
      <rPr>
        <vertAlign val="subscript"/>
        <sz val="9"/>
        <rFont val="Calibri"/>
        <family val="2"/>
        <scheme val="minor"/>
      </rPr>
      <t>iz</t>
    </r>
  </si>
  <si>
    <t>Topographic Method</t>
  </si>
  <si>
    <t>N/A</t>
  </si>
  <si>
    <t>Consider Rooftop Wind Speed-Up?</t>
  </si>
  <si>
    <r>
      <t>Importance Factor, I</t>
    </r>
    <r>
      <rPr>
        <vertAlign val="subscript"/>
        <sz val="9"/>
        <rFont val="Calibri"/>
        <family val="2"/>
        <scheme val="minor"/>
      </rPr>
      <t>ice</t>
    </r>
  </si>
  <si>
    <t>Structure EPA &amp; Weight</t>
  </si>
  <si>
    <r>
      <t>Topographic Factor, K</t>
    </r>
    <r>
      <rPr>
        <vertAlign val="subscript"/>
        <sz val="9"/>
        <color theme="1"/>
        <rFont val="Calibri"/>
        <family val="2"/>
        <scheme val="minor"/>
      </rPr>
      <t>zt</t>
    </r>
  </si>
  <si>
    <t>Height Above Roof</t>
  </si>
  <si>
    <r>
      <t>Ice Wind Pressure, q</t>
    </r>
    <r>
      <rPr>
        <vertAlign val="subscript"/>
        <sz val="9"/>
        <rFont val="Calibri"/>
        <family val="2"/>
        <scheme val="minor"/>
      </rPr>
      <t>iz</t>
    </r>
    <r>
      <rPr>
        <sz val="9"/>
        <rFont val="Calibri"/>
        <family val="2"/>
        <scheme val="minor"/>
      </rPr>
      <t>*K</t>
    </r>
    <r>
      <rPr>
        <vertAlign val="subscript"/>
        <sz val="9"/>
        <rFont val="Calibri"/>
        <family val="2"/>
        <scheme val="minor"/>
      </rPr>
      <t>a</t>
    </r>
    <r>
      <rPr>
        <sz val="9"/>
        <rFont val="Calibri"/>
        <family val="2"/>
        <scheme val="minor"/>
      </rPr>
      <t>*K</t>
    </r>
    <r>
      <rPr>
        <vertAlign val="subscript"/>
        <sz val="9"/>
        <rFont val="Calibri"/>
        <family val="2"/>
        <scheme val="minor"/>
      </rPr>
      <t>es</t>
    </r>
  </si>
  <si>
    <t>X</t>
  </si>
  <si>
    <t>Z</t>
  </si>
  <si>
    <t>Ice Loading Hazard Data</t>
  </si>
  <si>
    <t>Parapet Height</t>
  </si>
  <si>
    <r>
      <t>Escalated Ice Thickness, t</t>
    </r>
    <r>
      <rPr>
        <vertAlign val="subscript"/>
        <sz val="9"/>
        <rFont val="Calibri"/>
        <family val="2"/>
        <scheme val="minor"/>
      </rPr>
      <t>iz</t>
    </r>
    <r>
      <rPr>
        <sz val="9"/>
        <rFont val="Calibri"/>
        <family val="2"/>
        <scheme val="minor"/>
      </rPr>
      <t>*K</t>
    </r>
    <r>
      <rPr>
        <vertAlign val="subscript"/>
        <sz val="9"/>
        <rFont val="Calibri"/>
        <family val="2"/>
        <scheme val="minor"/>
      </rPr>
      <t>es</t>
    </r>
  </si>
  <si>
    <t>EPA &amp; Weight Summary</t>
  </si>
  <si>
    <r>
      <t>Ice Wind Speed, V</t>
    </r>
    <r>
      <rPr>
        <vertAlign val="subscript"/>
        <sz val="9"/>
        <color theme="1"/>
        <rFont val="Calibri"/>
        <family val="2"/>
        <scheme val="minor"/>
      </rPr>
      <t>ice</t>
    </r>
  </si>
  <si>
    <t>Horizontal Distance</t>
  </si>
  <si>
    <t>Seismic Calculations</t>
  </si>
  <si>
    <t>Ice Thickness</t>
  </si>
  <si>
    <t>0.0 Inch</t>
  </si>
  <si>
    <t>0.5 Inch</t>
  </si>
  <si>
    <t>1.0 Inch</t>
  </si>
  <si>
    <r>
      <t>Ice Thickness, t</t>
    </r>
    <r>
      <rPr>
        <vertAlign val="subscript"/>
        <sz val="9"/>
        <color theme="1"/>
        <rFont val="Calibri"/>
        <family val="2"/>
        <scheme val="minor"/>
      </rPr>
      <t>i</t>
    </r>
  </si>
  <si>
    <t>Windward Face Width</t>
  </si>
  <si>
    <r>
      <t>Importance Factor, I</t>
    </r>
    <r>
      <rPr>
        <vertAlign val="subscript"/>
        <sz val="9"/>
        <color theme="1"/>
        <rFont val="Calibri"/>
        <family val="2"/>
        <scheme val="minor"/>
      </rPr>
      <t>earthquake</t>
    </r>
  </si>
  <si>
    <t>Front</t>
  </si>
  <si>
    <t>Y</t>
  </si>
  <si>
    <t>D</t>
  </si>
  <si>
    <t>Seismic Loading Hazard Data</t>
  </si>
  <si>
    <t>Windward Face Height</t>
  </si>
  <si>
    <t>Reduction Factor, ρ</t>
  </si>
  <si>
    <t>Side</t>
  </si>
  <si>
    <t>Appurtenance Tip (ft)</t>
  </si>
  <si>
    <r>
      <t>0.2-Second Period, S</t>
    </r>
    <r>
      <rPr>
        <vertAlign val="subscript"/>
        <sz val="9"/>
        <color theme="1"/>
        <rFont val="Calibri"/>
        <family val="2"/>
        <scheme val="minor"/>
      </rPr>
      <t>S</t>
    </r>
  </si>
  <si>
    <r>
      <t>H</t>
    </r>
    <r>
      <rPr>
        <vertAlign val="subscript"/>
        <sz val="9"/>
        <rFont val="Calibri"/>
        <family val="2"/>
        <scheme val="minor"/>
      </rPr>
      <t>1</t>
    </r>
  </si>
  <si>
    <t>Response Modification Factor, R</t>
  </si>
  <si>
    <t>Weight</t>
  </si>
  <si>
    <t>RISA-3D Model Max (ft)</t>
  </si>
  <si>
    <r>
      <t>1-Second Period, S</t>
    </r>
    <r>
      <rPr>
        <vertAlign val="subscript"/>
        <sz val="9"/>
        <color theme="1"/>
        <rFont val="Calibri"/>
        <family val="2"/>
        <scheme val="minor"/>
      </rPr>
      <t>1</t>
    </r>
  </si>
  <si>
    <r>
      <t>H</t>
    </r>
    <r>
      <rPr>
        <vertAlign val="subscript"/>
        <sz val="9"/>
        <rFont val="Calibri"/>
        <family val="2"/>
        <scheme val="minor"/>
      </rPr>
      <t>2</t>
    </r>
  </si>
  <si>
    <r>
      <t>Seismic Response Coefficient, C</t>
    </r>
    <r>
      <rPr>
        <vertAlign val="subscript"/>
        <sz val="9"/>
        <color theme="1"/>
        <rFont val="Calibri"/>
        <family val="2"/>
        <scheme val="minor"/>
      </rPr>
      <t>S</t>
    </r>
  </si>
  <si>
    <t>* Structure EPAs do not include shielding factors in calculations</t>
  </si>
  <si>
    <t>RISA-3D Model Min (ft)</t>
  </si>
  <si>
    <t>Site Class</t>
  </si>
  <si>
    <t>D - Default (see Section 11.4.3)</t>
  </si>
  <si>
    <r>
      <t>C</t>
    </r>
    <r>
      <rPr>
        <vertAlign val="subscript"/>
        <sz val="9"/>
        <color theme="1"/>
        <rFont val="Calibri"/>
        <family val="2"/>
        <scheme val="minor"/>
      </rPr>
      <t>S</t>
    </r>
    <r>
      <rPr>
        <sz val="9"/>
        <color theme="1"/>
        <rFont val="Calibri"/>
        <family val="2"/>
        <scheme val="minor"/>
      </rPr>
      <t>*Amplification Factor</t>
    </r>
  </si>
  <si>
    <t>** Structure EPAs &amp; weights should only be used in lieu of manufacturer or more accurate data</t>
  </si>
  <si>
    <t>Maximum Elevation (ft)</t>
  </si>
  <si>
    <r>
      <t>Maximum 0.2-Second Period, S</t>
    </r>
    <r>
      <rPr>
        <vertAlign val="subscript"/>
        <sz val="9"/>
        <color theme="1"/>
        <rFont val="Calibri"/>
        <family val="2"/>
        <scheme val="minor"/>
      </rPr>
      <t>MS</t>
    </r>
  </si>
  <si>
    <t>Forces Summary</t>
  </si>
  <si>
    <r>
      <t>Amplification Factor, A</t>
    </r>
    <r>
      <rPr>
        <vertAlign val="subscript"/>
        <sz val="9"/>
        <color theme="1"/>
        <rFont val="Calibri"/>
        <family val="2"/>
        <scheme val="minor"/>
      </rPr>
      <t>S</t>
    </r>
  </si>
  <si>
    <t>*** Structure EPAs &amp; weights only include members modeled in RISA-3D.</t>
  </si>
  <si>
    <t>Minimum Elevation (ft)</t>
  </si>
  <si>
    <r>
      <t>Maximum 1-Second Period, S</t>
    </r>
    <r>
      <rPr>
        <vertAlign val="subscript"/>
        <sz val="9"/>
        <color theme="1"/>
        <rFont val="Calibri"/>
        <family val="2"/>
        <scheme val="minor"/>
      </rPr>
      <t>M1</t>
    </r>
  </si>
  <si>
    <t>Geometry</t>
  </si>
  <si>
    <r>
      <t>Design 0.2-Second Period, S</t>
    </r>
    <r>
      <rPr>
        <vertAlign val="subscript"/>
        <sz val="9"/>
        <color theme="1"/>
        <rFont val="Calibri"/>
        <family val="2"/>
        <scheme val="minor"/>
      </rPr>
      <t>DS</t>
    </r>
  </si>
  <si>
    <t>Results - Envelope Solution</t>
  </si>
  <si>
    <t>*    View from front of mount</t>
  </si>
  <si>
    <t>*    View from top of mount</t>
  </si>
  <si>
    <t>Main Horizontal Top</t>
  </si>
  <si>
    <r>
      <t>Design 1-Second Period, S</t>
    </r>
    <r>
      <rPr>
        <vertAlign val="subscript"/>
        <sz val="9"/>
        <color theme="1"/>
        <rFont val="Calibri"/>
        <family val="2"/>
        <scheme val="minor"/>
      </rPr>
      <t>D1</t>
    </r>
  </si>
  <si>
    <t>Wind Pressure and Maintenance Wind Pressure</t>
  </si>
  <si>
    <t>**   Mount pipe positions and edge distances are shown from right to left</t>
  </si>
  <si>
    <t>Main Horizontal Bottom</t>
  </si>
  <si>
    <t>EXAMPLE MOUNT</t>
  </si>
  <si>
    <t>Maintenance Loading &amp; Additional Loading</t>
  </si>
  <si>
    <r>
      <t>Wind Pressure, q</t>
    </r>
    <r>
      <rPr>
        <vertAlign val="subscript"/>
        <sz val="9"/>
        <rFont val="Calibri"/>
        <family val="2"/>
        <scheme val="minor"/>
      </rPr>
      <t>z</t>
    </r>
  </si>
  <si>
    <t>Capacity Summary</t>
  </si>
  <si>
    <t>Maintenance Load, Lm</t>
  </si>
  <si>
    <r>
      <t>Maintenance Wind Pressure, q</t>
    </r>
    <r>
      <rPr>
        <vertAlign val="subscript"/>
        <sz val="9"/>
        <rFont val="Calibri"/>
        <family val="2"/>
        <scheme val="minor"/>
      </rPr>
      <t>mz</t>
    </r>
  </si>
  <si>
    <t>Section Set</t>
  </si>
  <si>
    <t>Shape</t>
  </si>
  <si>
    <t>Bending 
Critical Member</t>
  </si>
  <si>
    <t>Bending 
Capacity %</t>
  </si>
  <si>
    <t>Shear 
Critical Member</t>
  </si>
  <si>
    <t>Shear 
Capacity %</t>
  </si>
  <si>
    <t>Pass / Fail</t>
  </si>
  <si>
    <t>Loading Summary</t>
  </si>
  <si>
    <t>Maintenance Load, Lv</t>
  </si>
  <si>
    <t>Ice Wind Pressure and Escalated Ice Thickness</t>
  </si>
  <si>
    <t>Area Loading Dead</t>
  </si>
  <si>
    <r>
      <t>Ice Wind Pressure, q</t>
    </r>
    <r>
      <rPr>
        <vertAlign val="subscript"/>
        <sz val="9"/>
        <rFont val="Calibri"/>
        <family val="2"/>
        <scheme val="minor"/>
      </rPr>
      <t>iz</t>
    </r>
  </si>
  <si>
    <t>Loading Table</t>
  </si>
  <si>
    <t>α</t>
  </si>
  <si>
    <t>β</t>
  </si>
  <si>
    <t>γ</t>
  </si>
  <si>
    <t>δ</t>
  </si>
  <si>
    <t>Area Loading Ice</t>
  </si>
  <si>
    <r>
      <t>Escalated Ice Thickness, t</t>
    </r>
    <r>
      <rPr>
        <vertAlign val="subscript"/>
        <sz val="9"/>
        <rFont val="Calibri"/>
        <family val="2"/>
        <scheme val="minor"/>
      </rPr>
      <t>iz</t>
    </r>
  </si>
  <si>
    <t>Appurtenance</t>
  </si>
  <si>
    <t>Elevation (ft)</t>
  </si>
  <si>
    <t>Positions</t>
  </si>
  <si>
    <t>Azimuths (°)</t>
  </si>
  <si>
    <t>Edge Distance (in)</t>
  </si>
  <si>
    <t>Front Force (lbs)</t>
  </si>
  <si>
    <t>Side Force (lbs)</t>
  </si>
  <si>
    <t>Position Spacing (Distance from Right Edge of Mount)</t>
  </si>
  <si>
    <t>Annex S Load Modification Factors</t>
  </si>
  <si>
    <t>Seismic Effects</t>
  </si>
  <si>
    <r>
      <t>Load Modification Factor Wind, K</t>
    </r>
    <r>
      <rPr>
        <vertAlign val="subscript"/>
        <sz val="9"/>
        <rFont val="Calibri"/>
        <family val="2"/>
        <scheme val="minor"/>
      </rPr>
      <t>es</t>
    </r>
  </si>
  <si>
    <r>
      <t>Vertical Seismic Effect, E</t>
    </r>
    <r>
      <rPr>
        <vertAlign val="subscript"/>
        <sz val="9"/>
        <color theme="1"/>
        <rFont val="Calibri"/>
        <family val="2"/>
        <scheme val="minor"/>
      </rPr>
      <t>v</t>
    </r>
  </si>
  <si>
    <r>
      <t>Load Modification Factor Ice, K</t>
    </r>
    <r>
      <rPr>
        <vertAlign val="subscript"/>
        <sz val="9"/>
        <rFont val="Calibri"/>
        <family val="2"/>
        <scheme val="minor"/>
      </rPr>
      <t>es</t>
    </r>
  </si>
  <si>
    <r>
      <t>Horizontal Seismic Effect, E</t>
    </r>
    <r>
      <rPr>
        <vertAlign val="subscript"/>
        <sz val="9"/>
        <color theme="1"/>
        <rFont val="Calibri"/>
        <family val="2"/>
        <scheme val="minor"/>
      </rPr>
      <t>h</t>
    </r>
  </si>
  <si>
    <t>Import RISA-3D Model</t>
  </si>
  <si>
    <t>RISA-3D Members</t>
  </si>
  <si>
    <t>RISA-3D Member By Joint Number</t>
  </si>
  <si>
    <t>RISA-3D Member Joints</t>
  </si>
  <si>
    <t>RISA-3D Member Joint Coordinates</t>
  </si>
  <si>
    <t>RISA-3D Section Sets</t>
  </si>
  <si>
    <t>Unistrut Properties</t>
  </si>
  <si>
    <t>Member EPAs (ft^2)</t>
  </si>
  <si>
    <t>Member Label</t>
  </si>
  <si>
    <t>Label</t>
  </si>
  <si>
    <t>I Joint Row</t>
  </si>
  <si>
    <t>J Joint Row</t>
  </si>
  <si>
    <t>K Joint Row</t>
  </si>
  <si>
    <t>i</t>
  </si>
  <si>
    <t>j</t>
  </si>
  <si>
    <t>k</t>
  </si>
  <si>
    <t>I Joint</t>
  </si>
  <si>
    <t>J Joint</t>
  </si>
  <si>
    <t>Length (in)</t>
  </si>
  <si>
    <t>Azimuth
(°)</t>
  </si>
  <si>
    <t>Row Number</t>
  </si>
  <si>
    <t>Design List</t>
  </si>
  <si>
    <t>Profile</t>
  </si>
  <si>
    <t>Projected Width (in)</t>
  </si>
  <si>
    <t>Projected Depth (in)</t>
  </si>
  <si>
    <t>Thickness
(in)</t>
  </si>
  <si>
    <r>
      <t>r</t>
    </r>
    <r>
      <rPr>
        <vertAlign val="subscript"/>
        <sz val="8"/>
        <rFont val="Calibri"/>
        <family val="2"/>
        <scheme val="minor"/>
      </rPr>
      <t>S</t>
    </r>
    <r>
      <rPr>
        <sz val="8"/>
        <rFont val="Calibri"/>
        <family val="2"/>
        <scheme val="minor"/>
      </rPr>
      <t xml:space="preserve"> (HSS Only)</t>
    </r>
  </si>
  <si>
    <t>Dc (in)</t>
  </si>
  <si>
    <t>Area (in^2)</t>
  </si>
  <si>
    <t>P1000</t>
  </si>
  <si>
    <t>Unistrut</t>
  </si>
  <si>
    <t>CS</t>
  </si>
  <si>
    <t>N33</t>
  </si>
  <si>
    <t>N22</t>
  </si>
  <si>
    <t>N18</t>
  </si>
  <si>
    <t>N20</t>
  </si>
  <si>
    <t>N19</t>
  </si>
  <si>
    <t>N30</t>
  </si>
  <si>
    <t>N32</t>
  </si>
  <si>
    <t>N31</t>
  </si>
  <si>
    <t>N42</t>
  </si>
  <si>
    <t>N43</t>
  </si>
  <si>
    <t>N44</t>
  </si>
  <si>
    <t>N45</t>
  </si>
  <si>
    <t>Distributed Loads</t>
  </si>
  <si>
    <t>Ice Dead Load</t>
  </si>
  <si>
    <t>Direction</t>
  </si>
  <si>
    <t>Starting Location (%)</t>
  </si>
  <si>
    <t>Ending Location (%)</t>
  </si>
  <si>
    <t>Alpha Sector</t>
  </si>
  <si>
    <t>Alpha Appurtenance Locations</t>
  </si>
  <si>
    <t>Beta 
Sector</t>
  </si>
  <si>
    <t>Beta Appurtenance Locations</t>
  </si>
  <si>
    <t>Gamma Sector</t>
  </si>
  <si>
    <t>Gamma Appurtenance Locations</t>
  </si>
  <si>
    <t>Delta 
Sector</t>
  </si>
  <si>
    <t>Delta Appurtenance Locations</t>
  </si>
  <si>
    <t>Appurtenance Dimensions</t>
  </si>
  <si>
    <t>Brackets</t>
  </si>
  <si>
    <t>Name</t>
  </si>
  <si>
    <t>Azimuth (°)</t>
  </si>
  <si>
    <t>Vertical Offset (in)</t>
  </si>
  <si>
    <t>Front Shield</t>
  </si>
  <si>
    <t>Side Shield</t>
  </si>
  <si>
    <t>Quantity</t>
  </si>
  <si>
    <t>Position Top</t>
  </si>
  <si>
    <t>Location Top (in)</t>
  </si>
  <si>
    <t>Position Btm</t>
  </si>
  <si>
    <t>Location Btm (in)</t>
  </si>
  <si>
    <t>Location Top (%)</t>
  </si>
  <si>
    <t>Location Btm (%)</t>
  </si>
  <si>
    <t>Height (in)</t>
  </si>
  <si>
    <t>Width (in)</t>
  </si>
  <si>
    <t>Depth (in)</t>
  </si>
  <si>
    <t>Weight (lbs)</t>
  </si>
  <si>
    <t>Location (%)</t>
  </si>
  <si>
    <t>Point Loads</t>
  </si>
  <si>
    <t>Dead Load</t>
  </si>
  <si>
    <t>Seismic Vertical</t>
  </si>
  <si>
    <t>Maintenance and Area Loads</t>
  </si>
  <si>
    <t>Member Area Loads - Dead</t>
  </si>
  <si>
    <t>Location[%]</t>
  </si>
  <si>
    <t>Node A</t>
  </si>
  <si>
    <t>Node B</t>
  </si>
  <si>
    <t>Node C</t>
  </si>
  <si>
    <t>Node D</t>
  </si>
  <si>
    <t>Distribution</t>
  </si>
  <si>
    <t>Magnitude[ksf]</t>
  </si>
  <si>
    <t>Lm</t>
  </si>
  <si>
    <t>Two Way</t>
  </si>
  <si>
    <t>Lv</t>
  </si>
  <si>
    <t>Area Loads</t>
  </si>
  <si>
    <t>Dead</t>
  </si>
  <si>
    <t>Ice Dead</t>
  </si>
  <si>
    <t>Loading Direction</t>
  </si>
  <si>
    <t>Magnitiude
(ksf)</t>
  </si>
  <si>
    <t>Basic Load Cases (BLC)</t>
  </si>
  <si>
    <t>Load Combinations (LC)</t>
  </si>
  <si>
    <t>Wind, Ice, Seismic, and Maintenance</t>
  </si>
  <si>
    <t>TIA MA</t>
  </si>
  <si>
    <t>TIA SA</t>
  </si>
  <si>
    <t>ASCE 7 LRFD</t>
  </si>
  <si>
    <t>ASCE 7 ASD</t>
  </si>
  <si>
    <t>IBC LRFD</t>
  </si>
  <si>
    <t>IBC ASD</t>
  </si>
  <si>
    <t>ASCE 7 LRFD Load Combinations</t>
  </si>
  <si>
    <t>ASCE 7 ASD Load Combinations</t>
  </si>
  <si>
    <t>IBC LRFD Load Combinations</t>
  </si>
  <si>
    <t>IBC ASD Load Combinations</t>
  </si>
  <si>
    <t>#</t>
  </si>
  <si>
    <t>BLC Description</t>
  </si>
  <si>
    <t>Category</t>
  </si>
  <si>
    <t>X Gravity</t>
  </si>
  <si>
    <t>Y Gravity</t>
  </si>
  <si>
    <t>Z Gravity</t>
  </si>
  <si>
    <t>Joint</t>
  </si>
  <si>
    <t>Point</t>
  </si>
  <si>
    <t xml:space="preserve">Distributed </t>
  </si>
  <si>
    <t>Area (Member)</t>
  </si>
  <si>
    <t>Surface (Plate/Wall)</t>
  </si>
  <si>
    <t>Description</t>
  </si>
  <si>
    <t>Solve</t>
  </si>
  <si>
    <t>Pdelta</t>
  </si>
  <si>
    <t>SRSS</t>
  </si>
  <si>
    <t>BLC</t>
  </si>
  <si>
    <t>Factor</t>
  </si>
  <si>
    <t>Wind_Antennas (0 deg)</t>
  </si>
  <si>
    <t>WL</t>
  </si>
  <si>
    <t>1.4D</t>
  </si>
  <si>
    <t>1.0D</t>
  </si>
  <si>
    <t>Dead Only</t>
  </si>
  <si>
    <t>Wind_Antennas (30 deg)</t>
  </si>
  <si>
    <t>1.2D + 1.6L + 0.5(Lr or S or R)</t>
  </si>
  <si>
    <t>D + L</t>
  </si>
  <si>
    <t>1.2D + 1.0W + 1.0G</t>
  </si>
  <si>
    <t>1.2 Dead+1.0 Wind 0 deg - No Ice+1.0 Guy</t>
  </si>
  <si>
    <t>Wind_Antennas (45 deg)</t>
  </si>
  <si>
    <t>D + (Lr or S or R)</t>
  </si>
  <si>
    <t>1.2 Dead+1.0 Wind 30 deg - No Ice+1.0 Guy</t>
  </si>
  <si>
    <t>Wind_Antennas (60 deg)</t>
  </si>
  <si>
    <t>D + 0.75L + 0.75(Lr or S or R)</t>
  </si>
  <si>
    <t>1.2 Dead+1.0 Wind 60 deg - No Ice+1.0 Guy</t>
  </si>
  <si>
    <t>Wind_Antennas (90 deg)</t>
  </si>
  <si>
    <t>D + 0.6W</t>
  </si>
  <si>
    <t>1.2 Dead+1.0 Wind 90 deg - No Ice+1.0 Guy</t>
  </si>
  <si>
    <t>Wind_Antennas (120 deg)</t>
  </si>
  <si>
    <t>D + 0.75L + 0.75(0.6W) + 0.75(Lr or S or R)</t>
  </si>
  <si>
    <t>1.2 Dead+1.0 Wind 120 deg - No Ice+1.0 Guy</t>
  </si>
  <si>
    <t>Wind_Antennas (135 deg)</t>
  </si>
  <si>
    <t>0.6D + 0.6W</t>
  </si>
  <si>
    <t>1.2 Dead+1.0 Wind 150 deg - No Ice+1.0 Guy</t>
  </si>
  <si>
    <t>Wind_Antennas (150 deg)</t>
  </si>
  <si>
    <t>1.2 Dead+1.0 Wind 180 deg - No Ice+1.0 Guy</t>
  </si>
  <si>
    <t>Wind_Antennas (180 deg)</t>
  </si>
  <si>
    <t>1.2 Dead+1.0 Wind 210 deg - No Ice+1.0 Guy</t>
  </si>
  <si>
    <t>Wind_Antennas (210 deg)</t>
  </si>
  <si>
    <t>1.2 Dead+1.0 Wind 240 deg - No Ice+1.0 Guy</t>
  </si>
  <si>
    <t>Wind_Antennas (225 deg)</t>
  </si>
  <si>
    <t>1.2 Dead+1.0 Wind 270 deg - No Ice+1.0 Guy</t>
  </si>
  <si>
    <t>Wind_Antennas (240 deg)</t>
  </si>
  <si>
    <t>1.2 Dead+1.0 Wind 300 deg - No Ice+1.0 Guy</t>
  </si>
  <si>
    <t>Wind_Antennas (270 deg)</t>
  </si>
  <si>
    <t>1.2 Dead+1.0 Wind 330 deg - No Ice+1.0 Guy</t>
  </si>
  <si>
    <t>Wind_Antennas (300 deg)</t>
  </si>
  <si>
    <t>Wind_Antennas (315 deg)</t>
  </si>
  <si>
    <t>Wind_Antennas (330 deg)</t>
  </si>
  <si>
    <t>Wind_Members (0 deg)</t>
  </si>
  <si>
    <t>Wind_Members (30 deg)</t>
  </si>
  <si>
    <t>1.2D + 1.6(Lr or S or R) + (L or 0.5W)</t>
  </si>
  <si>
    <t>1.2D + 1.0Di + 1.0T + 1.0G</t>
  </si>
  <si>
    <t>1.2 Dead+1.0 Ice+1.0 Temp+Guy</t>
  </si>
  <si>
    <t>Wind_Members (45 deg)</t>
  </si>
  <si>
    <t>1.2D + 1.0W + 1.0Di + 1.0T + 1.0G</t>
  </si>
  <si>
    <t>1.2 Dead+1.0 Wind 0 deg+1.0 Ice+1.0 Temp+1.0 Guy</t>
  </si>
  <si>
    <t>Wind_Members (60 deg)</t>
  </si>
  <si>
    <t>1.2 Dead+1.0 Wind 30 deg+1.0 Ice+1.0 Temp+1.0 Guy</t>
  </si>
  <si>
    <t>Wind_Members (90 deg)</t>
  </si>
  <si>
    <t>1.2 Dead+1.0 Wind 60 deg+1.0 Ice+1.0 Temp+1.0 Guy</t>
  </si>
  <si>
    <t>Wind_Members (120 deg)</t>
  </si>
  <si>
    <t>1.2 Dead+1.0 Wind 90 deg+1.0 Ice+1.0 Temp+1.0 Guy</t>
  </si>
  <si>
    <t>Wind_Members (135 deg)</t>
  </si>
  <si>
    <t>1.2 Dead+1.0 Wind 120 deg+1.0 Ice+1.0 Temp+1.0 Guy</t>
  </si>
  <si>
    <t>Wind_Members (150 deg)</t>
  </si>
  <si>
    <t>1.2 Dead+1.0 Wind 150 deg+1.0 Ice+1.0 Temp+1.0 Guy</t>
  </si>
  <si>
    <t>Wind_Members (180 deg)</t>
  </si>
  <si>
    <t>1.2 Dead+1.0 Wind 180 deg+1.0 Ice+1.0 Temp+1.0 Guy</t>
  </si>
  <si>
    <t>Wind_Members (210 deg)</t>
  </si>
  <si>
    <t>1.2 Dead+1.0 Wind 210 deg+1.0 Ice+1.0 Temp+1.0 Guy</t>
  </si>
  <si>
    <t>Wind_Members (225 deg)</t>
  </si>
  <si>
    <t>1.2 Dead+1.0 Wind 240 deg+1.0 Ice+1.0 Temp+1.0 Guy</t>
  </si>
  <si>
    <t>Wind_Members (240 deg)</t>
  </si>
  <si>
    <t>1.2 Dead+1.0 Wind 270 deg+1.0 Ice+1.0 Temp+1.0 Guy</t>
  </si>
  <si>
    <t>Wind_Members (270 deg)</t>
  </si>
  <si>
    <t>1.2 Dead+1.0 Wind 300 deg+1.0 Ice+1.0 Temp+1.0 Guy</t>
  </si>
  <si>
    <t>Wind_Members (300 deg)</t>
  </si>
  <si>
    <t>1.2 Dead+1.0 Wind 330 deg+1.0 Ice+1.0 Temp+1.0 Guy</t>
  </si>
  <si>
    <t>Wind_Members (315 deg)</t>
  </si>
  <si>
    <t>Wind_Members (330 deg)</t>
  </si>
  <si>
    <t>IceWind_Antenna (0 deg)</t>
  </si>
  <si>
    <t>SL</t>
  </si>
  <si>
    <t>IceWind_Antenna (30 deg)</t>
  </si>
  <si>
    <t>1.2D + 1.0W + L + 0.5(Lr or S or R)</t>
  </si>
  <si>
    <t>IceWind_Antenna (45 deg)</t>
  </si>
  <si>
    <t>D + Ws + G</t>
  </si>
  <si>
    <t>Dead+Wind 0 deg - Service+Guy</t>
  </si>
  <si>
    <t>IceWind_Antenna (60 deg)</t>
  </si>
  <si>
    <t>Dead+Wind 30 deg - Service+Guy</t>
  </si>
  <si>
    <t>IceWind_Antenna (90 deg)</t>
  </si>
  <si>
    <t>Dead+Wind 60 deg - Service+Guy</t>
  </si>
  <si>
    <t>IceWind_Antenna (120 deg)</t>
  </si>
  <si>
    <t>Dead+Wind 90 deg - Service+Guy</t>
  </si>
  <si>
    <t>IceWind_Antenna (135 deg)</t>
  </si>
  <si>
    <t>Dead+Wind 120 deg - Service+Guy</t>
  </si>
  <si>
    <t>IceWind_Antenna (150 deg)</t>
  </si>
  <si>
    <t>Dead+Wind 150 deg - Service+Guy</t>
  </si>
  <si>
    <t>IceWind_Antenna (180 deg)</t>
  </si>
  <si>
    <t>Dead+Wind 180 deg - Service+Guy</t>
  </si>
  <si>
    <t>IceWind_Antenna (210 deg)</t>
  </si>
  <si>
    <t>Dead+Wind 210 deg - Service+Guy</t>
  </si>
  <si>
    <t>IceWind_Antenna (225 deg)</t>
  </si>
  <si>
    <t>Dead+Wind 240 deg - Service+Guy</t>
  </si>
  <si>
    <t>IceWind_Antenna (240 deg)</t>
  </si>
  <si>
    <t>Dead+Wind 270 deg - Service+Guy</t>
  </si>
  <si>
    <t>IceWind_Antenna (270 deg)</t>
  </si>
  <si>
    <t>Dead+Wind 300 deg - Service+Guy</t>
  </si>
  <si>
    <t>IceWind_Antenna (300 deg)</t>
  </si>
  <si>
    <t>Dead+Wind 330 deg - Service+Guy</t>
  </si>
  <si>
    <t>IceWind_Antenna (315 deg)</t>
  </si>
  <si>
    <t>IceWind_Antenna (330 deg)</t>
  </si>
  <si>
    <t>IceWind_Members (0 deg)</t>
  </si>
  <si>
    <t>IceWind_Members (30 deg)</t>
  </si>
  <si>
    <t>0.9D + 1.0W</t>
  </si>
  <si>
    <t>IceWind_Members (45 deg)</t>
  </si>
  <si>
    <t>IceWind_Members (60 deg)</t>
  </si>
  <si>
    <t>IceWind_Members (90 deg)</t>
  </si>
  <si>
    <t>IceWind_Members (120 deg)</t>
  </si>
  <si>
    <t>IceWind_Members (135 deg)</t>
  </si>
  <si>
    <t>IceWind_Members (150 deg)</t>
  </si>
  <si>
    <t>IceWind_Members (180 deg)</t>
  </si>
  <si>
    <t>IceWind_Members (210 deg)</t>
  </si>
  <si>
    <t>IceWind_Members (225 deg)</t>
  </si>
  <si>
    <t>IceWind_Members (240 deg)</t>
  </si>
  <si>
    <t>IceWind_Members (270 deg)</t>
  </si>
  <si>
    <t>IceWind_Members (300 deg)</t>
  </si>
  <si>
    <t>IceWind_Members (315 deg)</t>
  </si>
  <si>
    <t>IceWind_Members (330 deg)</t>
  </si>
  <si>
    <t>DL</t>
  </si>
  <si>
    <t>1.2D + 1.6L + 0.2Di + 0.5S</t>
  </si>
  <si>
    <t>SeismicEv_Antennas</t>
  </si>
  <si>
    <t>EL</t>
  </si>
  <si>
    <t>SeismicEh_Antennas (0 deg)</t>
  </si>
  <si>
    <t>SeismicEh_Antennas (90 deg)</t>
  </si>
  <si>
    <t xml:space="preserve">SeismicEh_Members (0 deg) </t>
  </si>
  <si>
    <t xml:space="preserve">SeismicEh_Members (30 deg) </t>
  </si>
  <si>
    <t>SeismicEh_Members (45 deg)</t>
  </si>
  <si>
    <t xml:space="preserve">SeismicEh_Members (60 deg) </t>
  </si>
  <si>
    <t xml:space="preserve">SeismicEh_Members (90 deg) </t>
  </si>
  <si>
    <t xml:space="preserve">SeismicEh_Members (120 deg) </t>
  </si>
  <si>
    <t>SeismicEh_Members (135 deg)</t>
  </si>
  <si>
    <t xml:space="preserve">SeismicEh_Members (150 deg) </t>
  </si>
  <si>
    <t xml:space="preserve">SeismicEh_Members (180 deg) </t>
  </si>
  <si>
    <t xml:space="preserve">SeismicEh_Members (210 deg) </t>
  </si>
  <si>
    <t>SeismicEh_Members (225 deg)</t>
  </si>
  <si>
    <t xml:space="preserve">SeismicEh_Members (240 deg) </t>
  </si>
  <si>
    <t xml:space="preserve">SeismicEh_Members (270 deg) </t>
  </si>
  <si>
    <t>1.2D + L + Di + Wi + 0.5S</t>
  </si>
  <si>
    <t xml:space="preserve">SeismicEh_Members (300 deg) </t>
  </si>
  <si>
    <t>SeismicEh_Members (315 deg)</t>
  </si>
  <si>
    <t xml:space="preserve">SeismicEh_Members (330 deg) </t>
  </si>
  <si>
    <t>OL1</t>
  </si>
  <si>
    <t>OL2</t>
  </si>
  <si>
    <t>OL3</t>
  </si>
  <si>
    <t>OL4</t>
  </si>
  <si>
    <t>OL5</t>
  </si>
  <si>
    <t>OL6</t>
  </si>
  <si>
    <t>OL7</t>
  </si>
  <si>
    <t>OL8</t>
  </si>
  <si>
    <t>1.2D + 1.5Lv_1</t>
  </si>
  <si>
    <t>D + 1.25Lv_1</t>
  </si>
  <si>
    <t>0.9D + Di + Wi</t>
  </si>
  <si>
    <t>1.2D + 1.5Lv_2</t>
  </si>
  <si>
    <t>D + 1.25Lv_2</t>
  </si>
  <si>
    <t>1.2D + 1.5Lv_3</t>
  </si>
  <si>
    <t>D + 1.25Lv_3</t>
  </si>
  <si>
    <t>1.2D + 1.5Lv_4</t>
  </si>
  <si>
    <t>D + 1.25Lv_4</t>
  </si>
  <si>
    <t>1.2D + Di</t>
  </si>
  <si>
    <t>1.2D + Ev + Eh + L + 0.2S</t>
  </si>
  <si>
    <t>Envelope Design Results</t>
  </si>
  <si>
    <t>Capacity Summary for Crown Castle MA Reports (copy into report)</t>
  </si>
  <si>
    <t>Member</t>
  </si>
  <si>
    <t>Code Check</t>
  </si>
  <si>
    <t>Loc[in]</t>
  </si>
  <si>
    <t>LC</t>
  </si>
  <si>
    <t>Shear Check</t>
  </si>
  <si>
    <t>Dir</t>
  </si>
  <si>
    <t>phi*Pnc [k]</t>
  </si>
  <si>
    <t>phi*Pnt [k]</t>
  </si>
  <si>
    <t>phi*Mn y-y [k-ft]</t>
  </si>
  <si>
    <t>phi*Mn z-z [k-ft]</t>
  </si>
  <si>
    <t>Cb</t>
  </si>
  <si>
    <t>Eqn</t>
  </si>
  <si>
    <t>Connection Check</t>
  </si>
  <si>
    <t>Component</t>
  </si>
  <si>
    <t>Critical Member</t>
  </si>
  <si>
    <t>Centerline (ft)</t>
  </si>
  <si>
    <t>% Capacity</t>
  </si>
  <si>
    <t>Connection</t>
  </si>
  <si>
    <t>Bolts</t>
  </si>
  <si>
    <t>Plate</t>
  </si>
  <si>
    <t>Welds</t>
  </si>
  <si>
    <t>Max Bending</t>
  </si>
  <si>
    <t>Max Shear</t>
  </si>
  <si>
    <t>Azimuth</t>
  </si>
  <si>
    <t>Alpha</t>
  </si>
  <si>
    <t>Beta</t>
  </si>
  <si>
    <t>Gamma</t>
  </si>
  <si>
    <t>Delta</t>
  </si>
  <si>
    <t>Height / Diameter (in)</t>
  </si>
  <si>
    <t>Height /
Diameter (in)</t>
  </si>
  <si>
    <t>Table 2-1: Risk Categorization of Structures</t>
  </si>
  <si>
    <t>Table 2-2: Wind Direction Probability Factor</t>
  </si>
  <si>
    <t xml:space="preserve">Dish Force Factors (Annex C) </t>
  </si>
  <si>
    <t>N</t>
  </si>
  <si>
    <t>T</t>
  </si>
  <si>
    <t>Site Soil Class</t>
  </si>
  <si>
    <t>Use or Description of Structure</t>
  </si>
  <si>
    <t>Structure Type</t>
  </si>
  <si>
    <r>
      <t>Wind Direction Probability Factor, K</t>
    </r>
    <r>
      <rPr>
        <b/>
        <vertAlign val="subscript"/>
        <sz val="10"/>
        <color theme="1"/>
        <rFont val="Calibri"/>
        <family val="2"/>
        <scheme val="minor"/>
      </rPr>
      <t>d</t>
    </r>
  </si>
  <si>
    <t>Wind Angle θ (Deg.)</t>
  </si>
  <si>
    <t>Dish</t>
  </si>
  <si>
    <t>Radome</t>
  </si>
  <si>
    <t>Shroud</t>
  </si>
  <si>
    <t>Grid</t>
  </si>
  <si>
    <t>A - Hard Rock</t>
  </si>
  <si>
    <t>Ca</t>
  </si>
  <si>
    <t>Structures that due to use or location represent a low risk to human life and/or damage to surrounding facilities in the event of failure.
Structures in this category are used for services that are optional and/or where an extensive delay in returning the services would be acceptable such as: redundant wireless antennas; low-power radio access nodes (small cell); single-appurtenance supporting structures that allow for rapid repair or replacement, residential wireless and conventional 2-way radio communications; television, radio and scanner reception; wireless cable; amateur and CB radio communications.</t>
  </si>
  <si>
    <t>I</t>
  </si>
  <si>
    <r>
      <t>C</t>
    </r>
    <r>
      <rPr>
        <b/>
        <vertAlign val="subscript"/>
        <sz val="10"/>
        <color theme="1"/>
        <rFont val="Calibri"/>
        <family val="2"/>
        <scheme val="minor"/>
      </rPr>
      <t>A</t>
    </r>
  </si>
  <si>
    <r>
      <t>C</t>
    </r>
    <r>
      <rPr>
        <b/>
        <vertAlign val="subscript"/>
        <sz val="10"/>
        <color theme="1"/>
        <rFont val="Calibri"/>
        <family val="2"/>
        <scheme val="minor"/>
      </rPr>
      <t>S</t>
    </r>
  </si>
  <si>
    <r>
      <t>C</t>
    </r>
    <r>
      <rPr>
        <b/>
        <vertAlign val="subscript"/>
        <sz val="10"/>
        <color theme="1"/>
        <rFont val="Calibri"/>
        <family val="2"/>
        <scheme val="minor"/>
      </rPr>
      <t>M</t>
    </r>
  </si>
  <si>
    <t>B - Rock</t>
  </si>
  <si>
    <t>Latticed structures with triangular, square or rectangular cross sections</t>
  </si>
  <si>
    <t>B - Estimated (see Section 11.4.3)</t>
  </si>
  <si>
    <t>C - Very Dense Soil and Soft Rock</t>
  </si>
  <si>
    <t>Round (1)</t>
  </si>
  <si>
    <t>All other latticed structures with other than triangular, square or rectangular cross sections</t>
  </si>
  <si>
    <t>D - Stiff Soil</t>
  </si>
  <si>
    <t>Round (2)</t>
  </si>
  <si>
    <t>Tubular pole structures supporting exposed appurtenances and for the strength design of appurtenances</t>
  </si>
  <si>
    <t>E - Soft Clay Soil</t>
  </si>
  <si>
    <t>F - Site Response Analysis</t>
  </si>
  <si>
    <t>Tubular pole structures supporting antennas enclosed within a cylindrical shroud, with or without a flag or tubular structures which do not support appurtenances</t>
  </si>
  <si>
    <t>Structures that due to use or location represent a moderate risk to human life and/or damage to surrounding facilities in the event of failure.
Structures in this category are used primarily for redundant services (i.e. services that may be provided by other means) such as: commercial wireless communications (cellular, PCS, 3G, LTE, 4G, 5G, etc.); television and radio broadcasting; community access television (CATV); microwave communications; non-hardened sites that support antennas or equipment that may be used for redundant communications by police and fire departments, first responders, etc. during emergencies and small wind turbines. This category applies to all  structures except those identified in Risk Categories I, III, and IV.</t>
  </si>
  <si>
    <t>Table 2-3: Importance Factors</t>
  </si>
  <si>
    <t>Force Coefficients for Square and Rectangular HSS, Ca</t>
  </si>
  <si>
    <t>Earthquake</t>
  </si>
  <si>
    <t>Wind 
(ASCE 7-05)</t>
  </si>
  <si>
    <t>Flat (1)</t>
  </si>
  <si>
    <t>Flat (2)</t>
  </si>
  <si>
    <t>III</t>
  </si>
  <si>
    <t>Flat (3)</t>
  </si>
  <si>
    <t>IV</t>
  </si>
  <si>
    <t>Note: Ice and earthquake loads do not apply to Risk Category I structures.</t>
  </si>
  <si>
    <t>Table 2-4: Exposure Category Coefficients</t>
  </si>
  <si>
    <r>
      <t>z</t>
    </r>
    <r>
      <rPr>
        <b/>
        <vertAlign val="subscript"/>
        <sz val="10"/>
        <color theme="1"/>
        <rFont val="Calibri"/>
        <family val="2"/>
        <scheme val="minor"/>
      </rPr>
      <t>g</t>
    </r>
  </si>
  <si>
    <t>a'</t>
  </si>
  <si>
    <r>
      <t>K</t>
    </r>
    <r>
      <rPr>
        <b/>
        <vertAlign val="subscript"/>
        <sz val="10"/>
        <color theme="1"/>
        <rFont val="Calibri"/>
        <family val="2"/>
        <scheme val="minor"/>
      </rPr>
      <t>zmin</t>
    </r>
  </si>
  <si>
    <r>
      <t>K</t>
    </r>
    <r>
      <rPr>
        <b/>
        <vertAlign val="subscript"/>
        <sz val="10"/>
        <color theme="1"/>
        <rFont val="Calibri"/>
        <family val="2"/>
        <scheme val="minor"/>
      </rPr>
      <t>c</t>
    </r>
  </si>
  <si>
    <t>Imperial</t>
  </si>
  <si>
    <t>SI</t>
  </si>
  <si>
    <t>Structures that due to use or location represent a substantial risk to human life and/or damage to surrounding facilities in the event of failure.
Structures with the potential to cause mass disruption (loss of power, transportation, water, etc.) of day-to-day civilian life in the event of failure.
Structures in this category are used for communications across nonredundant and hardened networks such as: civil or national defense; rescue or disaster operations; military and navigation facilities.</t>
  </si>
  <si>
    <t>Table 2-5: Topographic Category Coefficients</t>
  </si>
  <si>
    <t>Topographic Category</t>
  </si>
  <si>
    <r>
      <t>K</t>
    </r>
    <r>
      <rPr>
        <b/>
        <vertAlign val="subscript"/>
        <sz val="10"/>
        <color theme="1"/>
        <rFont val="Calibri"/>
        <family val="2"/>
        <scheme val="minor"/>
      </rPr>
      <t>t</t>
    </r>
  </si>
  <si>
    <t>f</t>
  </si>
  <si>
    <t>Structures that due to use or location represent a substantial hazard to the community in the event of failure. 
Structures in this category are those that in the event of failure would threaten the functionality or integrity of facilities that are designated as Risk Category IV facilities.</t>
  </si>
  <si>
    <t>Table 2-6: Ground Elevation Factor</t>
  </si>
  <si>
    <r>
      <t>Ground Elevation, z</t>
    </r>
    <r>
      <rPr>
        <b/>
        <vertAlign val="subscript"/>
        <sz val="10"/>
        <color theme="1"/>
        <rFont val="Calibri"/>
        <family val="2"/>
        <scheme val="minor"/>
      </rPr>
      <t>s</t>
    </r>
  </si>
  <si>
    <r>
      <t>Ground Elevation Face, K</t>
    </r>
    <r>
      <rPr>
        <b/>
        <vertAlign val="subscript"/>
        <sz val="10"/>
        <color theme="1"/>
        <rFont val="Calibri"/>
        <family val="2"/>
        <scheme val="minor"/>
      </rPr>
      <t>e</t>
    </r>
  </si>
  <si>
    <t>Feet</t>
  </si>
  <si>
    <t>Meters</t>
  </si>
  <si>
    <t>&lt; 0</t>
  </si>
  <si>
    <t>&gt; 6000</t>
  </si>
  <si>
    <t>&gt; 1829</t>
  </si>
  <si>
    <t>See Note 2</t>
  </si>
  <si>
    <r>
      <t>Notes:
    1. z</t>
    </r>
    <r>
      <rPr>
        <vertAlign val="subscript"/>
        <sz val="10"/>
        <color theme="1"/>
        <rFont val="Calibri"/>
        <family val="2"/>
        <scheme val="minor"/>
      </rPr>
      <t>s</t>
    </r>
    <r>
      <rPr>
        <sz val="10"/>
        <color theme="1"/>
        <rFont val="Calibri"/>
        <family val="2"/>
        <scheme val="minor"/>
      </rPr>
      <t xml:space="preserve"> = mean elevation of base of structure above sea level (negative below sea level).
    2. The factor K</t>
    </r>
    <r>
      <rPr>
        <vertAlign val="subscript"/>
        <sz val="10"/>
        <color theme="1"/>
        <rFont val="Calibri"/>
        <family val="2"/>
        <scheme val="minor"/>
      </rPr>
      <t>e</t>
    </r>
    <r>
      <rPr>
        <sz val="10"/>
        <color theme="1"/>
        <rFont val="Calibri"/>
        <family val="2"/>
        <scheme val="minor"/>
      </rPr>
      <t xml:space="preserve"> shall be deteremined from the table using interpolation.
    3. K</t>
    </r>
    <r>
      <rPr>
        <vertAlign val="subscript"/>
        <sz val="10"/>
        <color theme="1"/>
        <rFont val="Calibri"/>
        <family val="2"/>
        <scheme val="minor"/>
      </rPr>
      <t>e</t>
    </r>
    <r>
      <rPr>
        <sz val="10"/>
        <color theme="1"/>
        <rFont val="Calibri"/>
        <family val="2"/>
        <scheme val="minor"/>
      </rPr>
      <t xml:space="preserve"> is permitted to be equal to 1.0 for any ground elevation.</t>
    </r>
  </si>
  <si>
    <t>Table 2-7: Wind Direction Factors</t>
  </si>
  <si>
    <t>Tower Cross Section</t>
  </si>
  <si>
    <t>Square</t>
  </si>
  <si>
    <t>Triangular</t>
  </si>
  <si>
    <t>Wind Direction</t>
  </si>
  <si>
    <t>Normal</t>
  </si>
  <si>
    <t>45º</t>
  </si>
  <si>
    <t>60º</t>
  </si>
  <si>
    <r>
      <t>D</t>
    </r>
    <r>
      <rPr>
        <vertAlign val="subscript"/>
        <sz val="10"/>
        <color theme="1"/>
        <rFont val="Calibri"/>
        <family val="2"/>
        <scheme val="minor"/>
      </rPr>
      <t>f</t>
    </r>
  </si>
  <si>
    <t>1 + 0.75ε (1.2 max)</t>
  </si>
  <si>
    <r>
      <t>D</t>
    </r>
    <r>
      <rPr>
        <vertAlign val="subscript"/>
        <sz val="10"/>
        <color theme="1"/>
        <rFont val="Calibri"/>
        <family val="2"/>
        <scheme val="minor"/>
      </rPr>
      <t>r</t>
    </r>
  </si>
  <si>
    <t>Wind directions measured from a line normal to the face of the structure</t>
  </si>
  <si>
    <r>
      <t>Table 2-11: Short-Period Site Coefficient, F</t>
    </r>
    <r>
      <rPr>
        <b/>
        <vertAlign val="subscript"/>
        <sz val="10"/>
        <color theme="1"/>
        <rFont val="Calibri"/>
        <family val="2"/>
        <scheme val="minor"/>
      </rPr>
      <t>a</t>
    </r>
  </si>
  <si>
    <t>Ss</t>
  </si>
  <si>
    <r>
      <t>Spectral Response Acceleration Parameter 
at Short Periods, (S</t>
    </r>
    <r>
      <rPr>
        <b/>
        <vertAlign val="subscript"/>
        <sz val="10"/>
        <color theme="1"/>
        <rFont val="Calibri"/>
        <family val="2"/>
        <scheme val="minor"/>
      </rPr>
      <t>S</t>
    </r>
    <r>
      <rPr>
        <b/>
        <sz val="10"/>
        <color theme="1"/>
        <rFont val="Calibri"/>
        <family val="2"/>
        <scheme val="minor"/>
      </rPr>
      <t>)</t>
    </r>
  </si>
  <si>
    <r>
      <t>F</t>
    </r>
    <r>
      <rPr>
        <b/>
        <vertAlign val="subscript"/>
        <sz val="10"/>
        <color theme="1"/>
        <rFont val="Calibri"/>
        <family val="2"/>
        <scheme val="minor"/>
      </rPr>
      <t>a</t>
    </r>
  </si>
  <si>
    <t>A</t>
  </si>
  <si>
    <t>Interpolation</t>
  </si>
  <si>
    <t>E</t>
  </si>
  <si>
    <t>Note 1</t>
  </si>
  <si>
    <t>F</t>
  </si>
  <si>
    <r>
      <t xml:space="preserve">Notes:
    1. Site-specific procedures required in accordance with 2.7.4.1.
    2. Linear interpolation is allowed between values shown.
</t>
    </r>
    <r>
      <rPr>
        <b/>
        <sz val="10"/>
        <color theme="1"/>
        <rFont val="Calibri"/>
        <family val="2"/>
        <scheme val="minor"/>
      </rPr>
      <t xml:space="preserve">    *The minimum value of F</t>
    </r>
    <r>
      <rPr>
        <b/>
        <vertAlign val="subscript"/>
        <sz val="10"/>
        <color theme="1"/>
        <rFont val="Calibri"/>
        <family val="2"/>
        <scheme val="minor"/>
      </rPr>
      <t>a</t>
    </r>
    <r>
      <rPr>
        <b/>
        <sz val="10"/>
        <color theme="1"/>
        <rFont val="Calibri"/>
        <family val="2"/>
        <scheme val="minor"/>
      </rPr>
      <t xml:space="preserve"> shall be equal to 1.2 when Site Class D is considered as a default Site Class, and is not based on geotechnical data from the site.</t>
    </r>
  </si>
  <si>
    <r>
      <t>Table 2-12: Long-Period Site Coefficient, F</t>
    </r>
    <r>
      <rPr>
        <b/>
        <vertAlign val="subscript"/>
        <sz val="10"/>
        <color theme="1"/>
        <rFont val="Calibri"/>
        <family val="2"/>
        <scheme val="minor"/>
      </rPr>
      <t>v</t>
    </r>
  </si>
  <si>
    <t>S1</t>
  </si>
  <si>
    <r>
      <t>F</t>
    </r>
    <r>
      <rPr>
        <b/>
        <vertAlign val="subscript"/>
        <sz val="10"/>
        <color theme="1"/>
        <rFont val="Calibri"/>
        <family val="2"/>
        <scheme val="minor"/>
      </rPr>
      <t>v</t>
    </r>
  </si>
  <si>
    <t>Notes:
    1. Site-specific procedures required in accordance with 2.7.4.1.
    2. Linear interpolation is allowed between values shown.</t>
  </si>
  <si>
    <t>BC</t>
  </si>
  <si>
    <t>Table 2-5: Ground Elevation Factor</t>
  </si>
  <si>
    <t>±90º</t>
  </si>
  <si>
    <t xml:space="preserve">Number of Load Combinations = </t>
  </si>
  <si>
    <t>Member I/J Orientation</t>
  </si>
  <si>
    <t>Ant. Tip (ft)</t>
  </si>
  <si>
    <t>Top</t>
  </si>
  <si>
    <t>Btm</t>
  </si>
  <si>
    <t>Point Loads - Maintenance Lm</t>
  </si>
  <si>
    <t>Point Loads - Maintenance Lv</t>
  </si>
  <si>
    <t>Maintenance  Lm_1</t>
  </si>
  <si>
    <t>Maintenance  Lm_2</t>
  </si>
  <si>
    <t>Maintenance  Lm_3</t>
  </si>
  <si>
    <t>Maintenance  Lv_1</t>
  </si>
  <si>
    <t>Maintenance  Lv_2</t>
  </si>
  <si>
    <t>Load Counts</t>
  </si>
  <si>
    <t>New Value</t>
  </si>
  <si>
    <t>Member and Appurtenance Offset Scales</t>
  </si>
  <si>
    <t>Display Sectors</t>
  </si>
  <si>
    <t>Use Carrier Colors</t>
  </si>
  <si>
    <t>Maintenance  Lv_3</t>
  </si>
  <si>
    <t>Maximum Appurtenance Wind Loading Summary</t>
  </si>
  <si>
    <t>Appurtenance CaAa and Wind Loads</t>
  </si>
  <si>
    <t>Area Calculation</t>
  </si>
  <si>
    <t>Maximum Appurtenance Ice Wind Loading Summary</t>
  </si>
  <si>
    <t>Appurtenance Ice CaAa and Ice Wind Loads</t>
  </si>
  <si>
    <t>Convert</t>
  </si>
  <si>
    <t>0</t>
  </si>
  <si>
    <t>30</t>
  </si>
  <si>
    <t>45</t>
  </si>
  <si>
    <t>60</t>
  </si>
  <si>
    <t>90</t>
  </si>
  <si>
    <t>120</t>
  </si>
  <si>
    <t>135</t>
  </si>
  <si>
    <t>150</t>
  </si>
  <si>
    <t>Offsets (in)</t>
  </si>
  <si>
    <t>Shielding</t>
  </si>
  <si>
    <t>CaAa (ft^2) and Weight (lbf)</t>
  </si>
  <si>
    <t>Pressure (psf) and Ice Thickness (in) Calculations</t>
  </si>
  <si>
    <t>Alpha CaAa (ft^2)</t>
  </si>
  <si>
    <t>Beta CaAa (ft^2)</t>
  </si>
  <si>
    <t>Gamma CaAa (ft^2)</t>
  </si>
  <si>
    <t>Delta CaAa (ft^2)</t>
  </si>
  <si>
    <t>Alpha Ice CaAa (ft^2)</t>
  </si>
  <si>
    <t>Beta Ice CaAa (ft^2)</t>
  </si>
  <si>
    <t>Gamma Ice CaAa (ft^2)</t>
  </si>
  <si>
    <t>Delta Ice CaAa (ft^2)</t>
  </si>
  <si>
    <t>Manufacturer</t>
  </si>
  <si>
    <t>Model</t>
  </si>
  <si>
    <t>Vertical Offset</t>
  </si>
  <si>
    <t>Lateral Offset</t>
  </si>
  <si>
    <t>Horizontal Offset</t>
  </si>
  <si>
    <t>Weight (lbf)</t>
  </si>
  <si>
    <t>Front CaAa</t>
  </si>
  <si>
    <t>Side CaAa</t>
  </si>
  <si>
    <t>Ice Front CaAa</t>
  </si>
  <si>
    <t>Ice Side CaAa</t>
  </si>
  <si>
    <t>Ice Weight</t>
  </si>
  <si>
    <t>Kz</t>
  </si>
  <si>
    <t>Kd</t>
  </si>
  <si>
    <t>qz</t>
  </si>
  <si>
    <t>Kiz</t>
  </si>
  <si>
    <t>tiz</t>
  </si>
  <si>
    <t>qiz</t>
  </si>
  <si>
    <t>Alpha 0</t>
  </si>
  <si>
    <t>Alpha 30</t>
  </si>
  <si>
    <t>Alpha 45</t>
  </si>
  <si>
    <t>Alpha 60</t>
  </si>
  <si>
    <t>Alpha 90</t>
  </si>
  <si>
    <t>Alpha 120</t>
  </si>
  <si>
    <t>Alpha 135</t>
  </si>
  <si>
    <t>Alpha 150</t>
  </si>
  <si>
    <t>Alpha 180</t>
  </si>
  <si>
    <t>Alpha 210</t>
  </si>
  <si>
    <t>Alpha 225</t>
  </si>
  <si>
    <t>Alpha 240</t>
  </si>
  <si>
    <t>Alpha 270</t>
  </si>
  <si>
    <t>Alpha 300</t>
  </si>
  <si>
    <t>Alpha 315</t>
  </si>
  <si>
    <t>Alpha 330</t>
  </si>
  <si>
    <t>Beta 0</t>
  </si>
  <si>
    <t>Beta 30</t>
  </si>
  <si>
    <t>Beta 45</t>
  </si>
  <si>
    <t>Beta 60</t>
  </si>
  <si>
    <t>Beta 90</t>
  </si>
  <si>
    <t>Beta 120</t>
  </si>
  <si>
    <t>Beta 135</t>
  </si>
  <si>
    <t>Beta 150</t>
  </si>
  <si>
    <t>Beta 180</t>
  </si>
  <si>
    <t>Beta 210</t>
  </si>
  <si>
    <t>Beta 225</t>
  </si>
  <si>
    <t>Beta 240</t>
  </si>
  <si>
    <t>Beta 270</t>
  </si>
  <si>
    <t>Beta 300</t>
  </si>
  <si>
    <t>Beta 315</t>
  </si>
  <si>
    <t>Beta 330</t>
  </si>
  <si>
    <t>Gamma 0</t>
  </si>
  <si>
    <t>Gamma 30</t>
  </si>
  <si>
    <t>Gamma 45</t>
  </si>
  <si>
    <t>Gamma 60</t>
  </si>
  <si>
    <t>Gamma 90</t>
  </si>
  <si>
    <t>Gamma 120</t>
  </si>
  <si>
    <t>Gamma 135</t>
  </si>
  <si>
    <t>Gamma 150</t>
  </si>
  <si>
    <t>Gamma 180</t>
  </si>
  <si>
    <t>Gamma 210</t>
  </si>
  <si>
    <t>Gamma 225</t>
  </si>
  <si>
    <t>Gamma 240</t>
  </si>
  <si>
    <t>Gamma 270</t>
  </si>
  <si>
    <t>Gamma 300</t>
  </si>
  <si>
    <t>Gamma 315</t>
  </si>
  <si>
    <t>Gamma 330</t>
  </si>
  <si>
    <t>Delta 0</t>
  </si>
  <si>
    <t>Delta 30</t>
  </si>
  <si>
    <t>Delta 45</t>
  </si>
  <si>
    <t>Delta 60</t>
  </si>
  <si>
    <t>Delta 90</t>
  </si>
  <si>
    <t>Delta 120</t>
  </si>
  <si>
    <t>Delta 135</t>
  </si>
  <si>
    <t>Delta 150</t>
  </si>
  <si>
    <t>Delta 180</t>
  </si>
  <si>
    <t>Delta 210</t>
  </si>
  <si>
    <t>Delta 225</t>
  </si>
  <si>
    <t>Delta 240</t>
  </si>
  <si>
    <t>Delta 270</t>
  </si>
  <si>
    <t>Delta 300</t>
  </si>
  <si>
    <t>Delta 315</t>
  </si>
  <si>
    <t>Delta 330</t>
  </si>
  <si>
    <t>Alpha Ice 0</t>
  </si>
  <si>
    <t>Alpha Ice 30</t>
  </si>
  <si>
    <t>Alpha Ice 45</t>
  </si>
  <si>
    <t>Alpha Ice 60</t>
  </si>
  <si>
    <t>Alpha Ice 90</t>
  </si>
  <si>
    <t>Alpha Ice 120</t>
  </si>
  <si>
    <t>Alpha Ice 135</t>
  </si>
  <si>
    <t>Alpha Ice 150</t>
  </si>
  <si>
    <t>Alpha Ice 180</t>
  </si>
  <si>
    <t>Alpha Ice 210</t>
  </si>
  <si>
    <t>Alpha Ice 225</t>
  </si>
  <si>
    <t>Alpha Ice 240</t>
  </si>
  <si>
    <t>Alpha Ice 270</t>
  </si>
  <si>
    <t>Alpha Ice 300</t>
  </si>
  <si>
    <t>Alpha Ice 315</t>
  </si>
  <si>
    <t>Alpha Ice 330</t>
  </si>
  <si>
    <t>Beta Ice 0</t>
  </si>
  <si>
    <t>Beta Ice 30</t>
  </si>
  <si>
    <t>Beta Ice 45</t>
  </si>
  <si>
    <t>Beta Ice 60</t>
  </si>
  <si>
    <t>Beta Ice 90</t>
  </si>
  <si>
    <t>Beta Ice 120</t>
  </si>
  <si>
    <t>Beta Ice 135</t>
  </si>
  <si>
    <t>Beta Ice 150</t>
  </si>
  <si>
    <t>Beta Ice 180</t>
  </si>
  <si>
    <t>Beta Ice 210</t>
  </si>
  <si>
    <t>Beta Ice 225</t>
  </si>
  <si>
    <t>Beta Ice 240</t>
  </si>
  <si>
    <t>Beta Ice 270</t>
  </si>
  <si>
    <t>Beta Ice 300</t>
  </si>
  <si>
    <t>Beta Ice 315</t>
  </si>
  <si>
    <t>Beta Ice 330</t>
  </si>
  <si>
    <t>Gamma Ice 0</t>
  </si>
  <si>
    <t>Gamma Ice 30</t>
  </si>
  <si>
    <t>Gamma Ice 45</t>
  </si>
  <si>
    <t>Gamma Ice 60</t>
  </si>
  <si>
    <t>Gamma Ice 90</t>
  </si>
  <si>
    <t>Gamma Ice 120</t>
  </si>
  <si>
    <t>Gamma Ice 135</t>
  </si>
  <si>
    <t>Gamma Ice 150</t>
  </si>
  <si>
    <t>Gamma Ice 180</t>
  </si>
  <si>
    <t>Gamma Ice 210</t>
  </si>
  <si>
    <t>Gamma Ice 225</t>
  </si>
  <si>
    <t>Gamma Ice 240</t>
  </si>
  <si>
    <t>Gamma Ice 270</t>
  </si>
  <si>
    <t>Gamma Ice 300</t>
  </si>
  <si>
    <t>Gamma Ice 315</t>
  </si>
  <si>
    <t>Gamma Ice 330</t>
  </si>
  <si>
    <t>Delta Ice 0</t>
  </si>
  <si>
    <t>Delta Ice 30</t>
  </si>
  <si>
    <t>Delta Ice 45</t>
  </si>
  <si>
    <t>Delta Ice 60</t>
  </si>
  <si>
    <t>Delta Ice 90</t>
  </si>
  <si>
    <t>Delta Ice 120</t>
  </si>
  <si>
    <t>Delta Ice 135</t>
  </si>
  <si>
    <t>Delta Ice 150</t>
  </si>
  <si>
    <t>Delta Ice 180</t>
  </si>
  <si>
    <t>Delta Ice 210</t>
  </si>
  <si>
    <t>Delta Ice 225</t>
  </si>
  <si>
    <t>Delta Ice 240</t>
  </si>
  <si>
    <t>Delta Ice 270</t>
  </si>
  <si>
    <t>Delta Ice 300</t>
  </si>
  <si>
    <t>Delta Ice 315</t>
  </si>
  <si>
    <t>Delta Ice 330</t>
  </si>
  <si>
    <t>Alpha Fa 0</t>
  </si>
  <si>
    <t>Alpha Fa 30</t>
  </si>
  <si>
    <t>Alpha Fa 45</t>
  </si>
  <si>
    <t>Alpha Fa 60</t>
  </si>
  <si>
    <t>Alpha Fa 90</t>
  </si>
  <si>
    <t>Alpha Fa 120</t>
  </si>
  <si>
    <t>Alpha Fa 135</t>
  </si>
  <si>
    <t>Alpha Fa 150</t>
  </si>
  <si>
    <t>Alpha Fa 180</t>
  </si>
  <si>
    <t>Alpha Fa 210</t>
  </si>
  <si>
    <t>Alpha Fa 225</t>
  </si>
  <si>
    <t>Alpha Fa 240</t>
  </si>
  <si>
    <t>Alpha Fa 270</t>
  </si>
  <si>
    <t>Alpha Fa 300</t>
  </si>
  <si>
    <t>Alpha Fa 315</t>
  </si>
  <si>
    <t>Alpha Fa 330</t>
  </si>
  <si>
    <t>Beta Fa 0</t>
  </si>
  <si>
    <t>Beta Fa 30</t>
  </si>
  <si>
    <t>Beta Fa 45</t>
  </si>
  <si>
    <t>Beta Fa 60</t>
  </si>
  <si>
    <t>Beta Fa 90</t>
  </si>
  <si>
    <t>Beta Fa 120</t>
  </si>
  <si>
    <t>Beta Fa 135</t>
  </si>
  <si>
    <t>Beta Fa 150</t>
  </si>
  <si>
    <t>Beta Fa 180</t>
  </si>
  <si>
    <t>Beta Fa 210</t>
  </si>
  <si>
    <t>Beta Fa 225</t>
  </si>
  <si>
    <t>Beta Fa 240</t>
  </si>
  <si>
    <t>Beta Fa 270</t>
  </si>
  <si>
    <t>Beta Fa 300</t>
  </si>
  <si>
    <t>Beta Fa 315</t>
  </si>
  <si>
    <t>Beta Fa 330</t>
  </si>
  <si>
    <t>Gamma Fa 0</t>
  </si>
  <si>
    <t>Gamma Fa 30</t>
  </si>
  <si>
    <t>Gamma Fa 45</t>
  </si>
  <si>
    <t>Gamma Fa 60</t>
  </si>
  <si>
    <t>Gamma Fa 90</t>
  </si>
  <si>
    <t>Gamma Fa 120</t>
  </si>
  <si>
    <t>Gamma Fa 135</t>
  </si>
  <si>
    <t>Gamma Fa 150</t>
  </si>
  <si>
    <t>Gamma Fa 180</t>
  </si>
  <si>
    <t>Gamma Fa 210</t>
  </si>
  <si>
    <t>Gamma Fa 225</t>
  </si>
  <si>
    <t>Gamma Fa 240</t>
  </si>
  <si>
    <t>Gamma Fa 270</t>
  </si>
  <si>
    <t>Gamma Fa 300</t>
  </si>
  <si>
    <t>Gamma Fa 315</t>
  </si>
  <si>
    <t>Gamma Fa 330</t>
  </si>
  <si>
    <t>Delta Fa 0</t>
  </si>
  <si>
    <t>Delta Fa 30</t>
  </si>
  <si>
    <t>Delta Fa 45</t>
  </si>
  <si>
    <t>Delta Fa 60</t>
  </si>
  <si>
    <t>Delta Fa 90</t>
  </si>
  <si>
    <t>Delta Fa 120</t>
  </si>
  <si>
    <t>Delta Fa 135</t>
  </si>
  <si>
    <t>Delta Fa 150</t>
  </si>
  <si>
    <t>Delta Fa 180</t>
  </si>
  <si>
    <t>Delta Fa 210</t>
  </si>
  <si>
    <t>Delta Fa 225</t>
  </si>
  <si>
    <t>Delta Fa 240</t>
  </si>
  <si>
    <t>Delta Fa 270</t>
  </si>
  <si>
    <t>Delta Fa 300</t>
  </si>
  <si>
    <t>Delta Fa 315</t>
  </si>
  <si>
    <t>Delta Fa 330</t>
  </si>
  <si>
    <t>Alpha Fai 0</t>
  </si>
  <si>
    <t>Alpha Fai 30</t>
  </si>
  <si>
    <t>Alpha Fai 45</t>
  </si>
  <si>
    <t>Alpha Fai 60</t>
  </si>
  <si>
    <t>Alpha Fai 90</t>
  </si>
  <si>
    <t>Alpha Fai 120</t>
  </si>
  <si>
    <t>Alpha Fai 135</t>
  </si>
  <si>
    <t>Alpha Fai 150</t>
  </si>
  <si>
    <t>Alpha Fai 180</t>
  </si>
  <si>
    <t>Alpha Fai 210</t>
  </si>
  <si>
    <t>Alpha Fai 225</t>
  </si>
  <si>
    <t>Alpha Fai 240</t>
  </si>
  <si>
    <t>Alpha Fai 270</t>
  </si>
  <si>
    <t>Alpha Fai 300</t>
  </si>
  <si>
    <t>Alpha Fai 315</t>
  </si>
  <si>
    <t>Alpha Fai 330</t>
  </si>
  <si>
    <t>Beta Fai 0</t>
  </si>
  <si>
    <t>Beta Fai 30</t>
  </si>
  <si>
    <t>Beta Fai 45</t>
  </si>
  <si>
    <t>Beta Fai 60</t>
  </si>
  <si>
    <t>Beta Fai 90</t>
  </si>
  <si>
    <t>Beta Fai 120</t>
  </si>
  <si>
    <t>Beta Fai 135</t>
  </si>
  <si>
    <t>Beta Fai 150</t>
  </si>
  <si>
    <t>Beta Fai 180</t>
  </si>
  <si>
    <t>Beta Fai 210</t>
  </si>
  <si>
    <t>Beta Fai 225</t>
  </si>
  <si>
    <t>Beta Fai 240</t>
  </si>
  <si>
    <t>Beta Fai 270</t>
  </si>
  <si>
    <t>Beta Fai 300</t>
  </si>
  <si>
    <t>Beta Fai 315</t>
  </si>
  <si>
    <t>Beta Fai 330</t>
  </si>
  <si>
    <t>Gamma Fai 0</t>
  </si>
  <si>
    <t>Gamma Fai 30</t>
  </si>
  <si>
    <t>Gamma Fai 45</t>
  </si>
  <si>
    <t>Gamma Fai 60</t>
  </si>
  <si>
    <t>Gamma Fai 90</t>
  </si>
  <si>
    <t>Gamma Fai 120</t>
  </si>
  <si>
    <t>Gamma Fai 135</t>
  </si>
  <si>
    <t>Gamma Fai 150</t>
  </si>
  <si>
    <t>Gamma Fai 180</t>
  </si>
  <si>
    <t>Gamma Fai 210</t>
  </si>
  <si>
    <t>Gamma Fai 225</t>
  </si>
  <si>
    <t>Gamma Fai 240</t>
  </si>
  <si>
    <t>Gamma Fai 270</t>
  </si>
  <si>
    <t>Gamma Fai 300</t>
  </si>
  <si>
    <t>Gamma Fai 315</t>
  </si>
  <si>
    <t>Gamma Fai 330</t>
  </si>
  <si>
    <t>Delta Fai 0</t>
  </si>
  <si>
    <t>Delta Fai 30</t>
  </si>
  <si>
    <t>Delta Fai 45</t>
  </si>
  <si>
    <t>Delta Fai 60</t>
  </si>
  <si>
    <t>Delta Fai 90</t>
  </si>
  <si>
    <t>Delta Fai 120</t>
  </si>
  <si>
    <t>Delta Fai 135</t>
  </si>
  <si>
    <t>Delta Fai 150</t>
  </si>
  <si>
    <t>Delta Fai 180</t>
  </si>
  <si>
    <t>Delta Fai 210</t>
  </si>
  <si>
    <t>Delta Fai 225</t>
  </si>
  <si>
    <t>Delta Fai 240</t>
  </si>
  <si>
    <t>Delta Fai 270</t>
  </si>
  <si>
    <t>Delta Fai 300</t>
  </si>
  <si>
    <t>Delta Fai 315</t>
  </si>
  <si>
    <t>Delta Fai 330</t>
  </si>
  <si>
    <t>Alpha Mx 0</t>
  </si>
  <si>
    <t>Alpha Mx 30</t>
  </si>
  <si>
    <t>Alpha Mx 45</t>
  </si>
  <si>
    <t>Alpha Mx 60</t>
  </si>
  <si>
    <t>Alpha Mx 90</t>
  </si>
  <si>
    <t>Alpha Mx 120</t>
  </si>
  <si>
    <t>Alpha Mx 135</t>
  </si>
  <si>
    <t>Alpha Mx 150</t>
  </si>
  <si>
    <t>Alpha Mx 180</t>
  </si>
  <si>
    <t>Alpha Mx 210</t>
  </si>
  <si>
    <t>Alpha Mx 225</t>
  </si>
  <si>
    <t>Alpha Mx 240</t>
  </si>
  <si>
    <t>Alpha Mx 270</t>
  </si>
  <si>
    <t>Alpha Mx 300</t>
  </si>
  <si>
    <t>Alpha Mx 315</t>
  </si>
  <si>
    <t>Alpha Mx 330</t>
  </si>
  <si>
    <t>Beta Mx 0</t>
  </si>
  <si>
    <t>Beta Mx 30</t>
  </si>
  <si>
    <t>Beta Mx 45</t>
  </si>
  <si>
    <t>Beta Mx 60</t>
  </si>
  <si>
    <t>Beta Mx 90</t>
  </si>
  <si>
    <t>Beta Mx 120</t>
  </si>
  <si>
    <t>Beta Mx 135</t>
  </si>
  <si>
    <t>Beta Mx 150</t>
  </si>
  <si>
    <t>Beta Mx 180</t>
  </si>
  <si>
    <t>Beta Mx 210</t>
  </si>
  <si>
    <t>Beta Mx 225</t>
  </si>
  <si>
    <t>Beta Mx 240</t>
  </si>
  <si>
    <t>Beta Mx 270</t>
  </si>
  <si>
    <t>Beta Mx 300</t>
  </si>
  <si>
    <t>Beta Mx 315</t>
  </si>
  <si>
    <t>Beta Mx 330</t>
  </si>
  <si>
    <t>Gamma Mx 0</t>
  </si>
  <si>
    <t>Gamma Mx 30</t>
  </si>
  <si>
    <t>Gamma Mx 45</t>
  </si>
  <si>
    <t>Gamma Mx 60</t>
  </si>
  <si>
    <t>Gamma Mx 90</t>
  </si>
  <si>
    <t>Gamma Mx 120</t>
  </si>
  <si>
    <t>Gamma Mx 135</t>
  </si>
  <si>
    <t>Gamma Mx 150</t>
  </si>
  <si>
    <t>Gamma Mx 180</t>
  </si>
  <si>
    <t>Gamma Mx 210</t>
  </si>
  <si>
    <t>Gamma Mx 225</t>
  </si>
  <si>
    <t>Gamma Mx 240</t>
  </si>
  <si>
    <t>Gamma Mx 270</t>
  </si>
  <si>
    <t>Gamma Mx 300</t>
  </si>
  <si>
    <t>Gamma Mx 315</t>
  </si>
  <si>
    <t>Gamma Mx 330</t>
  </si>
  <si>
    <t>Delta Mx 0</t>
  </si>
  <si>
    <t>Delta Mx 30</t>
  </si>
  <si>
    <t>Delta Mx 45</t>
  </si>
  <si>
    <t>Delta Mx 60</t>
  </si>
  <si>
    <t>Delta Mx 90</t>
  </si>
  <si>
    <t>Delta Mx 120</t>
  </si>
  <si>
    <t>Delta Mx 135</t>
  </si>
  <si>
    <t>Delta Mx 150</t>
  </si>
  <si>
    <t>Delta Mx 180</t>
  </si>
  <si>
    <t>Delta Mx 210</t>
  </si>
  <si>
    <t>Delta Mx 225</t>
  </si>
  <si>
    <t>Delta Mx 240</t>
  </si>
  <si>
    <t>Delta Mx 270</t>
  </si>
  <si>
    <t>Delta Mx 300</t>
  </si>
  <si>
    <t>Delta Mx 315</t>
  </si>
  <si>
    <t>Delta Mx 330</t>
  </si>
  <si>
    <t>Alpha Mxi 0</t>
  </si>
  <si>
    <t>Alpha Mxi 30</t>
  </si>
  <si>
    <t>Alpha Mxi 45</t>
  </si>
  <si>
    <t>Alpha Mxi 60</t>
  </si>
  <si>
    <t>Alpha Mxi 90</t>
  </si>
  <si>
    <t>Alpha Mxi 120</t>
  </si>
  <si>
    <t>Alpha Mxi 135</t>
  </si>
  <si>
    <t>Alpha Mxi 150</t>
  </si>
  <si>
    <t>Alpha Mxi 180</t>
  </si>
  <si>
    <t>Alpha Mxi 210</t>
  </si>
  <si>
    <t>Alpha Mxi 225</t>
  </si>
  <si>
    <t>Alpha Mxi 240</t>
  </si>
  <si>
    <t>Alpha Mxi 270</t>
  </si>
  <si>
    <t>Alpha Mxi 300</t>
  </si>
  <si>
    <t>Alpha Mxi 315</t>
  </si>
  <si>
    <t>Alpha Mxi 330</t>
  </si>
  <si>
    <t>Beta Mxi 0</t>
  </si>
  <si>
    <t>Beta Mxi 30</t>
  </si>
  <si>
    <t>Beta Mxi 45</t>
  </si>
  <si>
    <t>Beta Mxi 60</t>
  </si>
  <si>
    <t>Beta Mxi 90</t>
  </si>
  <si>
    <t>Beta Mxi 120</t>
  </si>
  <si>
    <t>Beta Mxi 135</t>
  </si>
  <si>
    <t>Beta Mxi 150</t>
  </si>
  <si>
    <t>Beta Mxi 180</t>
  </si>
  <si>
    <t>Beta Mxi 210</t>
  </si>
  <si>
    <t>Beta Mxi 225</t>
  </si>
  <si>
    <t>Beta Mxi 240</t>
  </si>
  <si>
    <t>Beta Mxi 270</t>
  </si>
  <si>
    <t>Beta Mxi 300</t>
  </si>
  <si>
    <t>Beta Mxi 315</t>
  </si>
  <si>
    <t>Beta Mxi 330</t>
  </si>
  <si>
    <t>Gamma Mxi 0</t>
  </si>
  <si>
    <t>Gamma Mxi 30</t>
  </si>
  <si>
    <t>Gamma Mxi 45</t>
  </si>
  <si>
    <t>Gamma Mxi 60</t>
  </si>
  <si>
    <t>Gamma Mxi 90</t>
  </si>
  <si>
    <t>Gamma Mxi 120</t>
  </si>
  <si>
    <t>Gamma Mxi 135</t>
  </si>
  <si>
    <t>Gamma Mxi 150</t>
  </si>
  <si>
    <t>Gamma Mxi 180</t>
  </si>
  <si>
    <t>Gamma Mxi 210</t>
  </si>
  <si>
    <t>Gamma Mxi 225</t>
  </si>
  <si>
    <t>Gamma Mxi 240</t>
  </si>
  <si>
    <t>Gamma Mxi 270</t>
  </si>
  <si>
    <t>Gamma Mxi 300</t>
  </si>
  <si>
    <t>Gamma Mxi 315</t>
  </si>
  <si>
    <t>Gamma Mxi 330</t>
  </si>
  <si>
    <t>Delta Mxi 0</t>
  </si>
  <si>
    <t>Delta Mxi 30</t>
  </si>
  <si>
    <t>Delta Mxi 45</t>
  </si>
  <si>
    <t>Delta Mxi 60</t>
  </si>
  <si>
    <t>Delta Mxi 90</t>
  </si>
  <si>
    <t>Delta Mxi 120</t>
  </si>
  <si>
    <t>Delta Mxi 135</t>
  </si>
  <si>
    <t>Delta Mxi 150</t>
  </si>
  <si>
    <t>Delta Mxi 180</t>
  </si>
  <si>
    <t>Delta Mxi 210</t>
  </si>
  <si>
    <t>Delta Mxi 225</t>
  </si>
  <si>
    <t>Delta Mxi 240</t>
  </si>
  <si>
    <t>Delta Mxi 270</t>
  </si>
  <si>
    <t>Delta Mxi 300</t>
  </si>
  <si>
    <t>Delta Mxi 315</t>
  </si>
  <si>
    <t>Delta Mxi 330</t>
  </si>
  <si>
    <t>Alpha Mz 0</t>
  </si>
  <si>
    <t>Alpha Mz 30</t>
  </si>
  <si>
    <t>Alpha Mz 45</t>
  </si>
  <si>
    <t>Alpha Mz 60</t>
  </si>
  <si>
    <t>Alpha Mz 90</t>
  </si>
  <si>
    <t>Alpha Mz 120</t>
  </si>
  <si>
    <t>Alpha Mz 135</t>
  </si>
  <si>
    <t>Alpha Mz 150</t>
  </si>
  <si>
    <t>Alpha Mz 180</t>
  </si>
  <si>
    <t>Alpha Mz 210</t>
  </si>
  <si>
    <t>Alpha Mz 225</t>
  </si>
  <si>
    <t>Alpha Mz 240</t>
  </si>
  <si>
    <t>Alpha Mz 270</t>
  </si>
  <si>
    <t>Alpha Mz 300</t>
  </si>
  <si>
    <t>Alpha Mz 315</t>
  </si>
  <si>
    <t>Alpha Mz 330</t>
  </si>
  <si>
    <t>Beta Mz 0</t>
  </si>
  <si>
    <t>Beta Mz 30</t>
  </si>
  <si>
    <t>Beta Mz 45</t>
  </si>
  <si>
    <t>Beta Mz 60</t>
  </si>
  <si>
    <t>Beta Mz 90</t>
  </si>
  <si>
    <t>Beta Mz 120</t>
  </si>
  <si>
    <t>Beta Mz 135</t>
  </si>
  <si>
    <t>Beta Mz 150</t>
  </si>
  <si>
    <t>Beta Mz 180</t>
  </si>
  <si>
    <t>Beta Mz 210</t>
  </si>
  <si>
    <t>Beta Mz 225</t>
  </si>
  <si>
    <t>Beta Mz 240</t>
  </si>
  <si>
    <t>Beta Mz 270</t>
  </si>
  <si>
    <t>Beta Mz 300</t>
  </si>
  <si>
    <t>Beta Mz 315</t>
  </si>
  <si>
    <t>Beta Mz 330</t>
  </si>
  <si>
    <t>Gamma Mz 0</t>
  </si>
  <si>
    <t>Gamma Mz 30</t>
  </si>
  <si>
    <t>Gamma Mz 45</t>
  </si>
  <si>
    <t>Gamma Mz 60</t>
  </si>
  <si>
    <t>Gamma Mz 90</t>
  </si>
  <si>
    <t>Gamma Mz 120</t>
  </si>
  <si>
    <t>Gamma Mz 135</t>
  </si>
  <si>
    <t>Gamma Mz 150</t>
  </si>
  <si>
    <t>Gamma Mz 180</t>
  </si>
  <si>
    <t>Gamma Mz 210</t>
  </si>
  <si>
    <t>Gamma Mz 225</t>
  </si>
  <si>
    <t>Gamma Mz 240</t>
  </si>
  <si>
    <t>Gamma Mz 270</t>
  </si>
  <si>
    <t>Gamma Mz 300</t>
  </si>
  <si>
    <t>Gamma Mz 315</t>
  </si>
  <si>
    <t>Gamma Mz 330</t>
  </si>
  <si>
    <t>Delta Mz 0</t>
  </si>
  <si>
    <t>Delta Mz 30</t>
  </si>
  <si>
    <t>Delta Mz 45</t>
  </si>
  <si>
    <t>Delta Mz 60</t>
  </si>
  <si>
    <t>Delta Mz 90</t>
  </si>
  <si>
    <t>Delta Mz 120</t>
  </si>
  <si>
    <t>Delta Mz 135</t>
  </si>
  <si>
    <t>Delta Mz 150</t>
  </si>
  <si>
    <t>Delta Mz 180</t>
  </si>
  <si>
    <t>Delta Mz 210</t>
  </si>
  <si>
    <t>Delta Mz 225</t>
  </si>
  <si>
    <t>Delta Mz 240</t>
  </si>
  <si>
    <t>Delta Mz 270</t>
  </si>
  <si>
    <t>Delta Mz 300</t>
  </si>
  <si>
    <t>Delta Mz 315</t>
  </si>
  <si>
    <t>Delta Mz 330</t>
  </si>
  <si>
    <t>Alpha Mzi 0</t>
  </si>
  <si>
    <t>Alpha Mzi 30</t>
  </si>
  <si>
    <t>Alpha Mzi 45</t>
  </si>
  <si>
    <t>Alpha Mzi 60</t>
  </si>
  <si>
    <t>Alpha Mzi 90</t>
  </si>
  <si>
    <t>Alpha Mzi 120</t>
  </si>
  <si>
    <t>Alpha Mzi 135</t>
  </si>
  <si>
    <t>Alpha Mzi 150</t>
  </si>
  <si>
    <t>Alpha Mzi 180</t>
  </si>
  <si>
    <t>Alpha Mzi 210</t>
  </si>
  <si>
    <t>Alpha Mzi 225</t>
  </si>
  <si>
    <t>Alpha Mzi 240</t>
  </si>
  <si>
    <t>Alpha Mzi 270</t>
  </si>
  <si>
    <t>Alpha Mzi 300</t>
  </si>
  <si>
    <t>Alpha Mzi 315</t>
  </si>
  <si>
    <t>Alpha Mzi 330</t>
  </si>
  <si>
    <t>Beta Mzi 0</t>
  </si>
  <si>
    <t>Beta Mzi 30</t>
  </si>
  <si>
    <t>Beta Mzi 45</t>
  </si>
  <si>
    <t>Beta Mzi 60</t>
  </si>
  <si>
    <t>Beta Mzi 90</t>
  </si>
  <si>
    <t>Beta Mzi 120</t>
  </si>
  <si>
    <t>Beta Mzi 135</t>
  </si>
  <si>
    <t>Beta Mzi 150</t>
  </si>
  <si>
    <t>Beta Mzi 180</t>
  </si>
  <si>
    <t>Beta Mzi 210</t>
  </si>
  <si>
    <t>Beta Mzi 225</t>
  </si>
  <si>
    <t>Beta Mzi 240</t>
  </si>
  <si>
    <t>Beta Mzi 270</t>
  </si>
  <si>
    <t>Beta Mzi 300</t>
  </si>
  <si>
    <t>Beta Mzi 315</t>
  </si>
  <si>
    <t>Beta Mzi 330</t>
  </si>
  <si>
    <t>Gamma Mzi 0</t>
  </si>
  <si>
    <t>Gamma Mzi 30</t>
  </si>
  <si>
    <t>Gamma Mzi 45</t>
  </si>
  <si>
    <t>Gamma Mzi 60</t>
  </si>
  <si>
    <t>Gamma Mzi 90</t>
  </si>
  <si>
    <t>Gamma Mzi 120</t>
  </si>
  <si>
    <t>Gamma Mzi 135</t>
  </si>
  <si>
    <t>Gamma Mzi 150</t>
  </si>
  <si>
    <t>Gamma Mzi 180</t>
  </si>
  <si>
    <t>Gamma Mzi 210</t>
  </si>
  <si>
    <t>Gamma Mzi 225</t>
  </si>
  <si>
    <t>Gamma Mzi 240</t>
  </si>
  <si>
    <t>Gamma Mzi 270</t>
  </si>
  <si>
    <t>Gamma Mzi 300</t>
  </si>
  <si>
    <t>Gamma Mzi 315</t>
  </si>
  <si>
    <t>Gamma Mzi 330</t>
  </si>
  <si>
    <t>Delta Mzi 0</t>
  </si>
  <si>
    <t>Delta Mzi 30</t>
  </si>
  <si>
    <t>Delta Mzi 45</t>
  </si>
  <si>
    <t>Delta Mzi 60</t>
  </si>
  <si>
    <t>Delta Mzi 90</t>
  </si>
  <si>
    <t>Delta Mzi 120</t>
  </si>
  <si>
    <t>Delta Mzi 135</t>
  </si>
  <si>
    <t>Delta Mzi 150</t>
  </si>
  <si>
    <t>Delta Mzi 180</t>
  </si>
  <si>
    <t>Delta Mzi 210</t>
  </si>
  <si>
    <t>Delta Mzi 225</t>
  </si>
  <si>
    <t>Delta Mzi 240</t>
  </si>
  <si>
    <t>Delta Mzi 270</t>
  </si>
  <si>
    <t>Delta Mzi 300</t>
  </si>
  <si>
    <t>Delta Mzi 315</t>
  </si>
  <si>
    <t>Delta Mzi 330</t>
  </si>
  <si>
    <t>Alpha Dead</t>
  </si>
  <si>
    <t>Beta Dead</t>
  </si>
  <si>
    <t>Gamma Dead</t>
  </si>
  <si>
    <t>Delta Dead</t>
  </si>
  <si>
    <t>Alpha Moment</t>
  </si>
  <si>
    <t>Beta Moment</t>
  </si>
  <si>
    <t>Gamma Moment</t>
  </si>
  <si>
    <t>Delta Moment</t>
  </si>
  <si>
    <t>Alpha Dead Ice</t>
  </si>
  <si>
    <t>Beta Dead Ice</t>
  </si>
  <si>
    <t>Gamma Dead Ice</t>
  </si>
  <si>
    <t>Delta Dead Ice</t>
  </si>
  <si>
    <t>Alpha Ice Moment</t>
  </si>
  <si>
    <t>Beta Ice Moment</t>
  </si>
  <si>
    <t>Gamma Ice Moment</t>
  </si>
  <si>
    <t>Delta Ice Moment</t>
  </si>
  <si>
    <t>MA</t>
  </si>
  <si>
    <t>CFD</t>
  </si>
  <si>
    <t>CCI</t>
  </si>
  <si>
    <t>Databases</t>
  </si>
  <si>
    <t>Z:\~Engineering Standards Library\STRUCTURAL\Analysis_Tower\tnxTower\CFD Updates\Vendor Version Appurtenances\20250925</t>
  </si>
  <si>
    <t>300 Unicorn Park Drive, Suite 0501, Woburn, MA 01801</t>
  </si>
  <si>
    <t>Wind 0°</t>
  </si>
  <si>
    <t>Wind 30°</t>
  </si>
  <si>
    <t>Wind 45°</t>
  </si>
  <si>
    <t>Wind 60°</t>
  </si>
  <si>
    <t>Wind 90°</t>
  </si>
  <si>
    <t>Wind 120°</t>
  </si>
  <si>
    <t>Wind 135°</t>
  </si>
  <si>
    <t>Wind 150°</t>
  </si>
  <si>
    <t>Wind 180°</t>
  </si>
  <si>
    <t>Wind 210°</t>
  </si>
  <si>
    <t>Wind 225°</t>
  </si>
  <si>
    <t>Wind 240°</t>
  </si>
  <si>
    <t>Wind 270°</t>
  </si>
  <si>
    <t>Wind 300°</t>
  </si>
  <si>
    <t>Wind 315°</t>
  </si>
  <si>
    <t>Wind 330°</t>
  </si>
  <si>
    <t>Ice Wind 0°</t>
  </si>
  <si>
    <t>Ice Wind 30°</t>
  </si>
  <si>
    <t>Ice Wind 45°</t>
  </si>
  <si>
    <t>Ice Wind 60°</t>
  </si>
  <si>
    <t>Ice Wind 90°</t>
  </si>
  <si>
    <t>Ice Wind 120°</t>
  </si>
  <si>
    <t>Ice Wind 135°</t>
  </si>
  <si>
    <t>Ice Wind 150°</t>
  </si>
  <si>
    <t>Ice Wind 180°</t>
  </si>
  <si>
    <t>Ice Wind 210°</t>
  </si>
  <si>
    <t>Ice Wind 225°</t>
  </si>
  <si>
    <t>Ice Wind 240°</t>
  </si>
  <si>
    <t>Ice Wind 270°</t>
  </si>
  <si>
    <t>Ice Wind 300°</t>
  </si>
  <si>
    <t>Ice Wind 315°</t>
  </si>
  <si>
    <t>Ice Wind 330°</t>
  </si>
  <si>
    <t>Seismic 0°</t>
  </si>
  <si>
    <t>Seismic 90°</t>
  </si>
  <si>
    <t>database</t>
  </si>
  <si>
    <t>USName</t>
  </si>
  <si>
    <t>SIName</t>
  </si>
  <si>
    <t>type</t>
  </si>
  <si>
    <t>cciCode</t>
  </si>
  <si>
    <t>count</t>
  </si>
  <si>
    <t>endHeight</t>
  </si>
  <si>
    <t>selfWeight</t>
  </si>
  <si>
    <t>widthOrDiameter</t>
  </si>
  <si>
    <t>height</t>
  </si>
  <si>
    <t>depth</t>
  </si>
  <si>
    <t>width</t>
  </si>
  <si>
    <t>face</t>
  </si>
  <si>
    <t>startHeight</t>
  </si>
  <si>
    <t>offsetType</t>
  </si>
  <si>
    <t>horizontalOffset</t>
  </si>
  <si>
    <t>verticalOffset</t>
  </si>
  <si>
    <t>ALCATEL LUCENT</t>
  </si>
  <si>
    <t>3JR52703AAAA</t>
  </si>
  <si>
    <t>Flat Panel</t>
  </si>
  <si>
    <t>P</t>
  </si>
  <si>
    <t>From Leg</t>
  </si>
  <si>
    <t>heightAboveBase</t>
  </si>
  <si>
    <t>outsideDiameter</t>
  </si>
  <si>
    <t>Export Structure?</t>
  </si>
  <si>
    <t>tnxTower Label US</t>
  </si>
  <si>
    <t>tnxTower Label SI</t>
  </si>
  <si>
    <t>RISA-3D Model tnxTower Export</t>
  </si>
  <si>
    <t>front 0</t>
  </si>
  <si>
    <t>front 1/2</t>
  </si>
  <si>
    <t>weight 0</t>
  </si>
  <si>
    <t>weight 1/2</t>
  </si>
  <si>
    <t>front 1</t>
  </si>
  <si>
    <t>front 2</t>
  </si>
  <si>
    <t>front 4</t>
  </si>
  <si>
    <t>side 0</t>
  </si>
  <si>
    <t>side 1/2</t>
  </si>
  <si>
    <t>side 1</t>
  </si>
  <si>
    <t>side 2</t>
  </si>
  <si>
    <t>side 4</t>
  </si>
  <si>
    <t>weight 1</t>
  </si>
  <si>
    <t>weight 2</t>
  </si>
  <si>
    <t>weight 4</t>
  </si>
  <si>
    <t>length</t>
  </si>
  <si>
    <t>mount pipe</t>
  </si>
  <si>
    <t>weight</t>
  </si>
  <si>
    <t>14.5 ft Platform_Existing_68.77 ft^2_20250905</t>
  </si>
  <si>
    <t>4.42 m Platform_Existing_6.39 ft^2_20250905</t>
  </si>
  <si>
    <t>3.2.1</t>
  </si>
  <si>
    <t>• Corrected issue with conversion factor on dish loads</t>
  </si>
  <si>
    <t>3.2.2</t>
  </si>
  <si>
    <t>• Corrected an issue where sector labels on the placement diagram were in the incorrect order.
     • Sector labels now include the mount azimuth.</t>
  </si>
  <si>
    <t>• Fixed spelling error in Glen Allen office address
• Removed unused functionality from Import Project Data function
• Updated Submit Ticket prompt for more clarity
• Fixed issue with rooftop H1 and H2 values being set to 100 ft instead of formulas per TIA-222-H</t>
  </si>
  <si>
    <t>• Fixed an issue the Dc calculations for the distributed loads. One wind direction referenced the incorrect value.
• Corrected an issue with mount EPA calculations. Units were not correctly converting for 90° and 120° EPAs.</t>
  </si>
  <si>
    <t>• Updated moment direction from Mx to My for moment produced by vertical point loads</t>
  </si>
  <si>
    <t>• Updated dish load conversion factor. Previously, dish force and moment calculations only used the dish diameter in inches instead of converting to match the model units.
• Fixed an issue where dishes stopped displaying in the placement diagrams.</t>
  </si>
  <si>
    <t>• Added extra Results Summary table for Crown Castle Mount Analysis Reports for simple copying and pasting.</t>
  </si>
  <si>
    <t>• Fixed an issue where the CaAa calculations were referencing a fixed cell</t>
  </si>
  <si>
    <t>• Fixed an issue where the ice wind pressure calculation included the incorrect Kz
• Updated the Factors and Calculations section formatting</t>
  </si>
  <si>
    <t>• Fixed typo in unit references</t>
  </si>
  <si>
    <t>• Corrected an issue where the calculated moment load for the vertical seismic effect on alpha sector did not properly convert the load.
• Corrected an issue where dish loads were not calculated.
• Added Wide Flange, W-Tee, and Channel references to the Section Sets table.</t>
  </si>
  <si>
    <t>• Corrected an issue where the Discrete Loads and Dish Loads windows would not open if the model consisted of a single non-rigid link member. The reference was updated to account for the 6th row instead of the 5th row.
• Corrected an issue where the moment for seismic loads was not correctly converting the horizontal offsets.
• Corrected an issue where the Mount Azimuth was not considered in the force calculations.
• Updated Placement Diagrams to show shading on members.
• Updated percent location referenced for Discrete Loads to the Bracket Quantity column instead of the Appurtenance Type column.
• Updated Add Appurtenance and Add Dish Button colors.</t>
  </si>
  <si>
    <t>3.0.0.0 Beta</t>
  </si>
  <si>
    <t>• Beta release of version 3.0.0.</t>
  </si>
  <si>
    <t>2.4.0</t>
  </si>
  <si>
    <t>2.3.0</t>
  </si>
  <si>
    <t>2.2.2</t>
  </si>
  <si>
    <t>2.2.1</t>
  </si>
  <si>
    <t>2.2.0</t>
  </si>
  <si>
    <t>2.1.0</t>
  </si>
  <si>
    <t>2.0.3</t>
  </si>
  <si>
    <t>2.0.2</t>
  </si>
  <si>
    <t>2.0.1</t>
  </si>
  <si>
    <t>2.0.0</t>
  </si>
  <si>
    <t>MLS</t>
  </si>
  <si>
    <t>NWS</t>
  </si>
  <si>
    <t>JPI</t>
  </si>
  <si>
    <t>• changed Kiz name to "ice thickness height escalation factor"; updated deflections formulas on Mount &amp; Loading tab to pull corresponding values from the Deflections tab, updated Krup's title</t>
  </si>
  <si>
    <t>• Updated azimuth calculations to allow for custom azimuths per sector or appurtenance
• Updated export function to Save As to allow for custom naming
• Added Maintenance Loads into export loads functions
• Grouped calculation and export function into a single button press
• Relocated RISA-3D model import function to dedicated tab
• Relocated calculated loads to dedicated tabs
• Added information table on the Mount &amp; Loading tab to view various parameters that were set in the RISA-3D model (Units, Code, and RISA-3D version)
• Updated capacity table to include Section Sets, corresponding member shapes, and the controlling (Critical) member for each Section Set
• Minor formatting updates</t>
  </si>
  <si>
    <t>• Updated ice wind load distributed load calculation to use escalated ice thickness, updated certain Raycap models to "TME" from "Round" (3315, 1064, 6627 models)</t>
  </si>
  <si>
    <t>• Updated MOD Scope tab
• Minor updates to formatting</t>
  </si>
  <si>
    <t>• Added note about Beta/Gamma area projections, fixed H1 calculation for rooftop speedup factor</t>
  </si>
  <si>
    <t>• Updated Add Equipment form to display equipment dimensions in search box
• Updated Add Equipment form to input equipment dimensions into table (VLOOKUP equations have been removed)
• Added Update Database form for adding new appurtenances (includes CFD options)
• Updated VBA formula that prevented some users from calculating distributed loads
• Minor updates to formatting and corrected various formatting and spelling errors</t>
  </si>
  <si>
    <t xml:space="preserve">• Updated new Glen Allen Address </t>
  </si>
  <si>
    <t>• Updated Database (to include updated CFD info)</t>
  </si>
  <si>
    <t>• Fixed Locations of Dish Loads on Dish Tab
• Fixed Locations of Non-Antenna Seismic Point Loads</t>
  </si>
  <si>
    <t>• Fixed Minor Bugs
• Fixed Locations of Seismic Point Loads when being calculated to "Load Tables" tab</t>
  </si>
  <si>
    <t>• Release revised template to Structural Department</t>
  </si>
  <si>
    <t>1.3.1</t>
  </si>
  <si>
    <t>1.3.0</t>
  </si>
  <si>
    <t>1.2.2</t>
  </si>
  <si>
    <t>1.2.1</t>
  </si>
  <si>
    <t>1.2.0</t>
  </si>
  <si>
    <t>1.1.0</t>
  </si>
  <si>
    <t>1.0.1</t>
  </si>
  <si>
    <t>1.0.0</t>
  </si>
  <si>
    <t>• Fixed a bug on the All Loads tab that caused Front Wind Loads to miss some loads when large numbers of appurtenances are input.
• Increased the number of possible point loads (as calculated on the All Loads tab from 48 to 96.
• Fixed typos on Mount and Loading tab (seismic parameters, ice wind speed parameters)</t>
  </si>
  <si>
    <t>• Made alterations to BLCs &amp; LCs in 'Risa 3D' tab in order to better capture the Rev H maintenance load analysis requirements
• Updated Raleigh office address</t>
  </si>
  <si>
    <t>• Updated formula for maximum tilt calculation (Deflections Tab).  Added a user note.</t>
  </si>
  <si>
    <t>• Revise Max Deflections Table to expand formula range to accommodate additional LC scenarios.</t>
  </si>
  <si>
    <t>• Revised *ICE* and *SEISMIC* Load Combinations to include corrrect BLC
• Revised BLC Formatting
• Removed BLC 15
• Update Blue Bell Address
• Revised equations for calculating Ice Dead Loads and Ice Wind Loads</t>
  </si>
  <si>
    <t>• Fixed formula in Distibuted Side Ice Wind BLC to have consitant force direction
• Revised distribtued loads on Mount Pipes to remove sheilding effect</t>
  </si>
  <si>
    <t>• Revised a few formulas on the Appurtenance Tab that outputed an error when "Round" was selected for antenna Type
• Revised formulas in Appurtenance Table on "Mount &amp; Loadinging" tab to not be "blank" if the manufacturer was "blank".</t>
  </si>
  <si>
    <t>• Released spreadsheet to Structural Dept.</t>
  </si>
  <si>
    <t>Maintenance  Lm_4</t>
  </si>
  <si>
    <t>Maintenance  Lv_4</t>
  </si>
  <si>
    <t>1.2D + 1.0W + 1.0Dg  | 0 deg</t>
  </si>
  <si>
    <t>D + 0.6W  | 0 deg</t>
  </si>
  <si>
    <t>1.2D + 1.0Di + 1.0Wi  | 0 deg</t>
  </si>
  <si>
    <t>0.9D + 1.0W + 1.0Dg  | 0 deg</t>
  </si>
  <si>
    <t>D + 0.7Di + 0.7Wi  | 0 deg</t>
  </si>
  <si>
    <t>1.2D + 1.5Lm_1 + 1.0Wm  | 0 deg</t>
  </si>
  <si>
    <t>1.2D + 1.0Wi + 1.0Di + 1.0T + 1.0Dg  | 0 deg</t>
  </si>
  <si>
    <t>D + 1.25Lm_1 + 0.6Wm  | 0 deg</t>
  </si>
  <si>
    <t>1.2D + 1.5Lm_2 + 1.0Wm  | 0 deg</t>
  </si>
  <si>
    <t>D + Ws + Dg  | 0 deg</t>
  </si>
  <si>
    <t>D + 1.25Lm_2 + 0.6Wm  | 0 deg</t>
  </si>
  <si>
    <t>1.2D + 1.5Lm_3 + 1.0Wm  | 0 deg</t>
  </si>
  <si>
    <t>1.2D + 1.0Ev +1.0Eh + 1.0Dg  | 0 deg</t>
  </si>
  <si>
    <t>D + 1.25Lm_3 + 0.6Wm  | 0 deg</t>
  </si>
  <si>
    <t>1.2D + 1.5Lm_4 + 1.0Wm  | 0 deg</t>
  </si>
  <si>
    <t>0.9D - 1.0Ev + 1.0Eh + 1.0Dg  | 0 deg</t>
  </si>
  <si>
    <t>D + 1.25Lm_4 + 0.6Wm  | 0 deg</t>
  </si>
  <si>
    <t>1.2D + 1.0Ev +1.0Eh  | 0 deg</t>
  </si>
  <si>
    <t>1.0D + 0.7Ev + 0.7Eh  | 0 deg</t>
  </si>
  <si>
    <t>1.0D + 0.7E + 0.7Eh  | 0 deg</t>
  </si>
  <si>
    <t>1.0D + Ev/1.4 + Eh/1.4   | 0 deg</t>
  </si>
  <si>
    <t>0.9D - 1.0Ev + 1.0Eh  | 0 deg</t>
  </si>
  <si>
    <t>0.6D - 0.7Ev + 0.7Eh  | 0 deg</t>
  </si>
  <si>
    <t>0.6D - Ev/1.4  + Eh/1.4   | 0 deg</t>
  </si>
  <si>
    <t>1.2D + 1.0W + 1.0Dg  | 120 deg</t>
  </si>
  <si>
    <t>D + 0.6W  | 120 deg</t>
  </si>
  <si>
    <t>1.2D + 1.0W + 1.0Dg  | 135 deg</t>
  </si>
  <si>
    <t>D + 0.6W  | 135 deg</t>
  </si>
  <si>
    <t>1.2D + 1.0W + 1.0Dg  | 150 deg</t>
  </si>
  <si>
    <t>D + 0.6W  | 150 deg</t>
  </si>
  <si>
    <t>1.2D + 1.0W + 1.0Dg  | 180 deg</t>
  </si>
  <si>
    <t>D + 0.6W  | 180 deg</t>
  </si>
  <si>
    <t>1.2D + 1.0Di + 1.0Wi  | 120 deg</t>
  </si>
  <si>
    <t>0.9D + 1.0W + 1.0Dg  | 120 deg</t>
  </si>
  <si>
    <t>D + 0.7Di + 0.7Wi  | 120 deg</t>
  </si>
  <si>
    <t>1.2D + 1.0Di + 1.0Wi  | 135 deg</t>
  </si>
  <si>
    <t>0.9D + 1.0W + 1.0Dg  | 135 deg</t>
  </si>
  <si>
    <t>D + 0.7Di + 0.7Wi  | 135 deg</t>
  </si>
  <si>
    <t>1.2D + 1.0Di + 1.0Wi  | 150 deg</t>
  </si>
  <si>
    <t>0.9D + 1.0W + 1.0Dg  | 150 deg</t>
  </si>
  <si>
    <t>D + 0.7Di + 0.7Wi  | 150 deg</t>
  </si>
  <si>
    <t>1.2D + 1.0Di + 1.0Wi  | 180 deg</t>
  </si>
  <si>
    <t>0.9D + 1.0W + 1.0Dg  | 180 deg</t>
  </si>
  <si>
    <t>D + 0.7Di + 0.7Wi  | 180 deg</t>
  </si>
  <si>
    <t>1.2D + 1.5Lm_1 + 1.0Wm  | 120 deg</t>
  </si>
  <si>
    <t>1.2D + 1.0Wi + 1.0Di + 1.0T + 1.0Dg  | 120 deg</t>
  </si>
  <si>
    <t>D + 1.25Lm_1 + 0.6Wm  | 120 deg</t>
  </si>
  <si>
    <t>1.2D + 1.5Lm_1 + 1.0Wm  | 135 deg</t>
  </si>
  <si>
    <t>1.2D + 1.0Wi + 1.0Di + 1.0T + 1.0Dg  | 135 deg</t>
  </si>
  <si>
    <t>D + 1.25Lm_1 + 0.6Wm  | 135 deg</t>
  </si>
  <si>
    <t>1.2D + 1.5Lm_1 + 1.0Wm  | 150 deg</t>
  </si>
  <si>
    <t>1.2D + 1.0Wi + 1.0Di + 1.0T + 1.0Dg  | 150 deg</t>
  </si>
  <si>
    <t>D + 1.25Lm_1 + 0.6Wm  | 150 deg</t>
  </si>
  <si>
    <t>1.2D + 1.5Lm_1 + 1.0Wm  | 180 deg</t>
  </si>
  <si>
    <t>1.2D + 1.0Wi + 1.0Di + 1.0T + 1.0Dg  | 180 deg</t>
  </si>
  <si>
    <t>D + 1.25Lm_1 + 0.6Wm  | 180 deg</t>
  </si>
  <si>
    <t>1.2D + 1.5Lm_2 + 1.0Wm  | 120 deg</t>
  </si>
  <si>
    <t>D + Ws + Dg  | 120 deg</t>
  </si>
  <si>
    <t>D + 1.25Lm_2 + 0.6Wm  | 120 deg</t>
  </si>
  <si>
    <t>1.2D + 1.5Lm_2 + 1.0Wm  | 135 deg</t>
  </si>
  <si>
    <t>D + Ws + Dg  | 135 deg</t>
  </si>
  <si>
    <t>D + 1.25Lm_2 + 0.6Wm  | 135 deg</t>
  </si>
  <si>
    <t>1.2D + 1.5Lm_2 + 1.0Wm  | 150 deg</t>
  </si>
  <si>
    <t>D + Ws + Dg  | 150 deg</t>
  </si>
  <si>
    <t>D + 1.25Lm_2 + 0.6Wm  | 150 deg</t>
  </si>
  <si>
    <t>1.2D + 1.5Lm_2 + 1.0Wm  | 180 deg</t>
  </si>
  <si>
    <t>D + Ws + Dg  | 180 deg</t>
  </si>
  <si>
    <t>D + 1.25Lm_2 + 0.6Wm  | 180 deg</t>
  </si>
  <si>
    <t>1.2D + 1.5Lm_3 + 1.0Wm  | 120 deg</t>
  </si>
  <si>
    <t>1.2D + 1.0Ev +1.0Eh + 1.0Dg  | 120 deg</t>
  </si>
  <si>
    <t>D + 1.25Lm_3 + 0.6Wm  | 120 deg</t>
  </si>
  <si>
    <t>1.2D + 1.5Lm_3 + 1.0Wm  | 135 deg</t>
  </si>
  <si>
    <t>1.2D + 1.0Ev +1.0Eh + 1.0Dg  | 135 deg</t>
  </si>
  <si>
    <t>D + 1.25Lm_3 + 0.6Wm  | 135 deg</t>
  </si>
  <si>
    <t>1.2D + 1.5Lm_3 + 1.0Wm  | 150 deg</t>
  </si>
  <si>
    <t>1.2D + 1.0Ev +1.0Eh + 1.0Dg  | 150 deg</t>
  </si>
  <si>
    <t>D + 1.25Lm_3 + 0.6Wm  | 150 deg</t>
  </si>
  <si>
    <t>1.2D + 1.5Lm_3 + 1.0Wm  | 180 deg</t>
  </si>
  <si>
    <t>1.2D + 1.0Ev +1.0Eh + 1.0Dg  | 180 deg</t>
  </si>
  <si>
    <t>D + 1.25Lm_3 + 0.6Wm  | 180 deg</t>
  </si>
  <si>
    <t>1.2D + 1.5Lm_4 + 1.0Wm  | 120 deg</t>
  </si>
  <si>
    <t>0.9D - 1.0Ev + 1.0Eh + 1.0Dg  | 120 deg</t>
  </si>
  <si>
    <t>D + 1.25Lm_4 + 0.6Wm  | 120 deg</t>
  </si>
  <si>
    <t>1.2D + 1.5Lm_4 + 1.0Wm  | 135 deg</t>
  </si>
  <si>
    <t>0.9D - 1.0Ev + 1.0Eh + 1.0Dg  | 135 deg</t>
  </si>
  <si>
    <t>D + 1.25Lm_4 + 0.6Wm  | 135 deg</t>
  </si>
  <si>
    <t>1.2D + 1.5Lm_4 + 1.0Wm  | 150 deg</t>
  </si>
  <si>
    <t>0.9D - 1.0Ev + 1.0Eh + 1.0Dg  | 150 deg</t>
  </si>
  <si>
    <t>D + 1.25Lm_4 + 0.6Wm  | 150 deg</t>
  </si>
  <si>
    <t>1.2D + 1.5Lm_4 + 1.0Wm  | 180 deg</t>
  </si>
  <si>
    <t>0.9D - 1.0Ev + 1.0Eh + 1.0Dg  | 180 deg</t>
  </si>
  <si>
    <t>D + 1.25Lm_4 + 0.6Wm  | 180 deg</t>
  </si>
  <si>
    <t>1.2D + 1.0Ev +1.0Eh  | 120 deg</t>
  </si>
  <si>
    <t>1.0D + 0.7Ev + 0.7Eh  | 120 deg</t>
  </si>
  <si>
    <t>1.0D + 0.7E + 0.7Eh  | 120 deg</t>
  </si>
  <si>
    <t>1.0D + Ev/1.4 + Eh/1.4   | 120 deg</t>
  </si>
  <si>
    <t>1.2D + 1.0Ev +1.0Eh  | 135 deg</t>
  </si>
  <si>
    <t>1.0D + 0.7Ev + 0.7Eh  | 135 deg</t>
  </si>
  <si>
    <t>1.0D + 0.7E + 0.7Eh  | 135 deg</t>
  </si>
  <si>
    <t>1.0D + Ev/1.4 + Eh/1.4   | 135 deg</t>
  </si>
  <si>
    <t>1.2D + 1.0Ev +1.0Eh  | 150 deg</t>
  </si>
  <si>
    <t>1.0D + 0.7Ev + 0.7Eh  | 150 deg</t>
  </si>
  <si>
    <t>1.0D + 0.7E + 0.7Eh  | 150 deg</t>
  </si>
  <si>
    <t>1.0D + Ev/1.4 + Eh/1.4   | 150 deg</t>
  </si>
  <si>
    <t>1.2D + 1.0Ev +1.0Eh  | 180 deg</t>
  </si>
  <si>
    <t>1.0D + 0.7Ev + 0.7Eh  | 180 deg</t>
  </si>
  <si>
    <t>1.0D + 0.7E + 0.7Eh  | 180 deg</t>
  </si>
  <si>
    <t>1.0D + Ev/1.4 + Eh/1.4   | 180 deg</t>
  </si>
  <si>
    <t>0.9D - 1.0Ev + 1.0Eh  | 120 deg</t>
  </si>
  <si>
    <t>0.6D - 0.7Ev + 0.7Eh  | 120 deg</t>
  </si>
  <si>
    <t>0.6D - Ev/1.4  + Eh/1.4   | 120 deg</t>
  </si>
  <si>
    <t>0.9D - 1.0Ev + 1.0Eh  | 135 deg</t>
  </si>
  <si>
    <t>0.6D - 0.7Ev + 0.7Eh  | 135 deg</t>
  </si>
  <si>
    <t>0.6D - Ev/1.4  + Eh/1.4   | 135 deg</t>
  </si>
  <si>
    <t>0.9D - 1.0Ev + 1.0Eh  | 150 deg</t>
  </si>
  <si>
    <t>0.6D - 0.7Ev + 0.7Eh  | 150 deg</t>
  </si>
  <si>
    <t>0.6D - Ev/1.4  + Eh/1.4   | 150 deg</t>
  </si>
  <si>
    <t>0.9D - 1.0Ev + 1.0Eh  | 180 deg</t>
  </si>
  <si>
    <t>0.6D - 0.7Ev + 0.7Eh  | 180 deg</t>
  </si>
  <si>
    <t>0.6D - Ev/1.4  + Eh/1.4   | 180 deg</t>
  </si>
  <si>
    <t>1.2D + 1.0W + 1.0Dg  | 210 deg</t>
  </si>
  <si>
    <t>D + 0.6W  | 210 deg</t>
  </si>
  <si>
    <t>1.2D + 1.0W + 1.0Dg  | 225 deg</t>
  </si>
  <si>
    <t>D + 0.6W  | 225 deg</t>
  </si>
  <si>
    <t>1.2D + 1.0W + 1.0Dg  | 240 deg</t>
  </si>
  <si>
    <t>D + 0.6W  | 240 deg</t>
  </si>
  <si>
    <t>1.2D + 1.0W + 1.0Dg  | 270 deg</t>
  </si>
  <si>
    <t>D + 0.6W  | 270 deg</t>
  </si>
  <si>
    <t>1.2D + 1.0Di + 1.0Wi  | 210 deg</t>
  </si>
  <si>
    <t>0.9D + 1.0W + 1.0Dg  | 210 deg</t>
  </si>
  <si>
    <t>D + 0.7Di + 0.7Wi  | 210 deg</t>
  </si>
  <si>
    <t>1.2D + 1.0Di + 1.0Wi  | 225 deg</t>
  </si>
  <si>
    <t>0.9D + 1.0W + 1.0Dg  | 225 deg</t>
  </si>
  <si>
    <t>D + 0.7Di + 0.7Wi  | 225 deg</t>
  </si>
  <si>
    <t>1.2D + 1.0Di + 1.0Wi  | 240 deg</t>
  </si>
  <si>
    <t>0.9D + 1.0W + 1.0Dg  | 240 deg</t>
  </si>
  <si>
    <t>D + 0.7Di + 0.7Wi  | 240 deg</t>
  </si>
  <si>
    <t>1.2D + 1.0Di + 1.0Wi  | 270 deg</t>
  </si>
  <si>
    <t>0.9D + 1.0W + 1.0Dg  | 270 deg</t>
  </si>
  <si>
    <t>D + 0.7Di + 0.7Wi  | 270 deg</t>
  </si>
  <si>
    <t>1.2D + 1.5Lm_1 + 1.0Wm  | 210 deg</t>
  </si>
  <si>
    <t>1.2D + 1.0Wi + 1.0Di + 1.0T + 1.0Dg  | 210 deg</t>
  </si>
  <si>
    <t>D + 1.25Lm_1 + 0.6Wm  | 210 deg</t>
  </si>
  <si>
    <t>1.2D + 1.5Lm_1 + 1.0Wm  | 225 deg</t>
  </si>
  <si>
    <t>1.2D + 1.0Wi + 1.0Di + 1.0T + 1.0Dg  | 225 deg</t>
  </si>
  <si>
    <t>D + 1.25Lm_1 + 0.6Wm  | 225 deg</t>
  </si>
  <si>
    <t>1.2D + 1.5Lm_1 + 1.0Wm  | 240 deg</t>
  </si>
  <si>
    <t>1.2D + 1.0Wi + 1.0Di + 1.0T + 1.0Dg  | 240 deg</t>
  </si>
  <si>
    <t>D + 1.25Lm_1 + 0.6Wm  | 240 deg</t>
  </si>
  <si>
    <t>1.2D + 1.5Lm_1 + 1.0Wm  | 270 deg</t>
  </si>
  <si>
    <t>1.2D + 1.0Wi + 1.0Di + 1.0T + 1.0Dg  | 270 deg</t>
  </si>
  <si>
    <t>D + 1.25Lm_1 + 0.6Wm  | 270 deg</t>
  </si>
  <si>
    <t>1.2D + 1.5Lm_2 + 1.0Wm  | 210 deg</t>
  </si>
  <si>
    <t>D + Ws + Dg  | 210 deg</t>
  </si>
  <si>
    <t>D + 1.25Lm_2 + 0.6Wm  | 210 deg</t>
  </si>
  <si>
    <t>1.2D + 1.5Lm_2 + 1.0Wm  | 225 deg</t>
  </si>
  <si>
    <t>D + Ws + Dg  | 225 deg</t>
  </si>
  <si>
    <t>D + 1.25Lm_2 + 0.6Wm  | 225 deg</t>
  </si>
  <si>
    <t>1.2D + 1.5Lm_2 + 1.0Wm  | 240 deg</t>
  </si>
  <si>
    <t>D + Ws + Dg  | 240 deg</t>
  </si>
  <si>
    <t>D + 1.25Lm_2 + 0.6Wm  | 240 deg</t>
  </si>
  <si>
    <t>1.2D + 1.5Lm_2 + 1.0Wm  | 270 deg</t>
  </si>
  <si>
    <t>D + Ws + Dg  | 270 deg</t>
  </si>
  <si>
    <t>D + 1.25Lm_2 + 0.6Wm  | 270 deg</t>
  </si>
  <si>
    <t>1.2D + 1.5Lm_3 + 1.0Wm  | 210 deg</t>
  </si>
  <si>
    <t>1.2D + 1.0Ev +1.0Eh + 1.0Dg  | 210 deg</t>
  </si>
  <si>
    <t>D + 1.25Lm_3 + 0.6Wm  | 210 deg</t>
  </si>
  <si>
    <t>1.2D + 1.5Lm_3 + 1.0Wm  | 225 deg</t>
  </si>
  <si>
    <t>1.2D + 1.0Ev +1.0Eh + 1.0Dg  | 225 deg</t>
  </si>
  <si>
    <t>D + 1.25Lm_3 + 0.6Wm  | 225 deg</t>
  </si>
  <si>
    <t>1.2D + 1.5Lm_3 + 1.0Wm  | 240 deg</t>
  </si>
  <si>
    <t>1.2D + 1.0Ev +1.0Eh + 1.0Dg  | 240 deg</t>
  </si>
  <si>
    <t>D + 1.25Lm_3 + 0.6Wm  | 240 deg</t>
  </si>
  <si>
    <t>1.2D + 1.5Lm_3 + 1.0Wm  | 270 deg</t>
  </si>
  <si>
    <t>1.2D + 1.0Ev +1.0Eh + 1.0Dg  | 270 deg</t>
  </si>
  <si>
    <t>D + 1.25Lm_3 + 0.6Wm  | 270 deg</t>
  </si>
  <si>
    <t>1.2D + 1.5Lm_4 + 1.0Wm  | 210 deg</t>
  </si>
  <si>
    <t>0.9D - 1.0Ev + 1.0Eh + 1.0Dg  | 210 deg</t>
  </si>
  <si>
    <t>D + 1.25Lm_4 + 0.6Wm  | 210 deg</t>
  </si>
  <si>
    <t>1.2D + 1.5Lm_4 + 1.0Wm  | 225 deg</t>
  </si>
  <si>
    <t>0.9D - 1.0Ev + 1.0Eh + 1.0Dg  | 225 deg</t>
  </si>
  <si>
    <t>D + 1.25Lm_4 + 0.6Wm  | 225 deg</t>
  </si>
  <si>
    <t>1.2D + 1.5Lm_4 + 1.0Wm  | 240 deg</t>
  </si>
  <si>
    <t>0.9D - 1.0Ev + 1.0Eh + 1.0Dg  | 240 deg</t>
  </si>
  <si>
    <t>D + 1.25Lm_4 + 0.6Wm  | 240 deg</t>
  </si>
  <si>
    <t>1.2D + 1.5Lm_4 + 1.0Wm  | 270 deg</t>
  </si>
  <si>
    <t>0.9D - 1.0Ev + 1.0Eh + 1.0Dg  | 270 deg</t>
  </si>
  <si>
    <t>D + 1.25Lm_4 + 0.6Wm  | 270 deg</t>
  </si>
  <si>
    <t>1.2D + 1.0Ev +1.0Eh  | 210 deg</t>
  </si>
  <si>
    <t>1.0D + 0.7Ev + 0.7Eh  | 210 deg</t>
  </si>
  <si>
    <t>1.0D + 0.7E + 0.7Eh  | 210 deg</t>
  </si>
  <si>
    <t>1.0D + Ev/1.4 + Eh/1.4   | 210 deg</t>
  </si>
  <si>
    <t>1.2D + 1.0Ev +1.0Eh  | 225 deg</t>
  </si>
  <si>
    <t>1.0D + 0.7Ev + 0.7Eh  | 225 deg</t>
  </si>
  <si>
    <t>1.0D + 0.7E + 0.7Eh  | 225 deg</t>
  </si>
  <si>
    <t>1.0D + Ev/1.4 + Eh/1.4   | 225 deg</t>
  </si>
  <si>
    <t>1.2D + 1.0Ev +1.0Eh  | 240 deg</t>
  </si>
  <si>
    <t>1.0D + 0.7Ev + 0.7Eh  | 240 deg</t>
  </si>
  <si>
    <t>1.0D + 0.7E + 0.7Eh  | 240 deg</t>
  </si>
  <si>
    <t>1.0D + Ev/1.4 + Eh/1.4   | 240 deg</t>
  </si>
  <si>
    <t>1.2D + 1.0Ev +1.0Eh  | 270 deg</t>
  </si>
  <si>
    <t>1.0D + 0.7Ev + 0.7Eh  | 270 deg</t>
  </si>
  <si>
    <t>1.0D + 0.7E + 0.7Eh  | 270 deg</t>
  </si>
  <si>
    <t>1.0D + Ev/1.4 + Eh/1.4   | 270 deg</t>
  </si>
  <si>
    <t>0.9D - 1.0Ev + 1.0Eh  | 210 deg</t>
  </si>
  <si>
    <t>0.6D - 0.7Ev + 0.7Eh  | 210 deg</t>
  </si>
  <si>
    <t>0.6D - Ev/1.4  + Eh/1.4   | 210 deg</t>
  </si>
  <si>
    <t>0.9D - 1.0Ev + 1.0Eh  | 225 deg</t>
  </si>
  <si>
    <t>0.6D - 0.7Ev + 0.7Eh  | 225 deg</t>
  </si>
  <si>
    <t>0.6D - Ev/1.4  + Eh/1.4   | 225 deg</t>
  </si>
  <si>
    <t>0.9D - 1.0Ev + 1.0Eh  | 240 deg</t>
  </si>
  <si>
    <t>0.6D - 0.7Ev + 0.7Eh  | 240 deg</t>
  </si>
  <si>
    <t>0.6D - Ev/1.4  + Eh/1.4   | 240 deg</t>
  </si>
  <si>
    <t>0.9D - 1.0Ev + 1.0Eh  | 270 deg</t>
  </si>
  <si>
    <t>0.6D - 0.7Ev + 0.7Eh  | 270 deg</t>
  </si>
  <si>
    <t>0.6D - Ev/1.4  + Eh/1.4   | 270 deg</t>
  </si>
  <si>
    <t>1.2D + 1.0W + 1.0Dg  | 30 deg</t>
  </si>
  <si>
    <t>D + 0.6W  | 30 deg</t>
  </si>
  <si>
    <t>1.2D + 1.0W + 1.0Dg  | 300 deg</t>
  </si>
  <si>
    <t>D + 0.6W  | 300 deg</t>
  </si>
  <si>
    <t>1.2D + 1.0W + 1.0Dg  | 315 deg</t>
  </si>
  <si>
    <t>D + 0.6W  | 315 deg</t>
  </si>
  <si>
    <t>1.2D + 1.0W + 1.0Dg  | 330 deg</t>
  </si>
  <si>
    <t>D + 0.6W  | 330 deg</t>
  </si>
  <si>
    <t>1.2D + 1.0Di + 1.0Wi  | 30 deg</t>
  </si>
  <si>
    <t>0.9D + 1.0W + 1.0Dg  | 30 deg</t>
  </si>
  <si>
    <t>D + 0.7Di + 0.7Wi  | 30 deg</t>
  </si>
  <si>
    <t>1.2D + 1.0Di + 1.0Wi  | 300 deg</t>
  </si>
  <si>
    <t>0.9D + 1.0W + 1.0Dg  | 300 deg</t>
  </si>
  <si>
    <t>D + 0.7Di + 0.7Wi  | 300 deg</t>
  </si>
  <si>
    <t>1.2D + 1.0Di + 1.0Wi  | 315 deg</t>
  </si>
  <si>
    <t>0.9D + 1.0W + 1.0Dg  | 315 deg</t>
  </si>
  <si>
    <t>D + 0.7Di + 0.7Wi  | 315 deg</t>
  </si>
  <si>
    <t>1.2D + 1.0Di + 1.0Wi  | 330 deg</t>
  </si>
  <si>
    <t>0.9D + 1.0W + 1.0Dg  | 330 deg</t>
  </si>
  <si>
    <t>D + 0.7Di + 0.7Wi  | 330 deg</t>
  </si>
  <si>
    <t>1.2D + 1.5Lm_1 + 1.0Wm  | 30 deg</t>
  </si>
  <si>
    <t>1.2D + 1.0Wi + 1.0Di + 1.0T + 1.0Dg  | 30 deg</t>
  </si>
  <si>
    <t>D + 1.25Lm_1 + 0.6Wm  | 30 deg</t>
  </si>
  <si>
    <t>1.2D + 1.5Lm_1 + 1.0Wm  | 300 deg</t>
  </si>
  <si>
    <t>1.2D + 1.0Wi + 1.0Di + 1.0T + 1.0Dg  | 300 deg</t>
  </si>
  <si>
    <t>D + 1.25Lm_1 + 0.6Wm  | 300 deg</t>
  </si>
  <si>
    <t>1.2D + 1.5Lm_1 + 1.0Wm  | 315 deg</t>
  </si>
  <si>
    <t>1.2D + 1.0Wi + 1.0Di + 1.0T + 1.0Dg  | 315 deg</t>
  </si>
  <si>
    <t>D + 1.25Lm_1 + 0.6Wm  | 315 deg</t>
  </si>
  <si>
    <t>1.2D + 1.5Lm_1 + 1.0Wm  | 330 deg</t>
  </si>
  <si>
    <t>1.2D + 1.0Wi + 1.0Di + 1.0T + 1.0Dg  | 330 deg</t>
  </si>
  <si>
    <t>D + 1.25Lm_1 + 0.6Wm  | 330 deg</t>
  </si>
  <si>
    <t>1.2D + 1.5Lm_2 + 1.0Wm  | 30 deg</t>
  </si>
  <si>
    <t>D + Ws + Dg  | 30 deg</t>
  </si>
  <si>
    <t>D + 1.25Lm_2 + 0.6Wm  | 30 deg</t>
  </si>
  <si>
    <t>1.2D + 1.5Lm_2 + 1.0Wm  | 300 deg</t>
  </si>
  <si>
    <t>D + Ws + Dg  | 300 deg</t>
  </si>
  <si>
    <t>D + 1.25Lm_2 + 0.6Wm  | 300 deg</t>
  </si>
  <si>
    <t>1.2D + 1.5Lm_2 + 1.0Wm  | 315 deg</t>
  </si>
  <si>
    <t>D + Ws + Dg  | 315 deg</t>
  </si>
  <si>
    <t>D + 1.25Lm_2 + 0.6Wm  | 315 deg</t>
  </si>
  <si>
    <t>1.2D + 1.5Lm_2 + 1.0Wm  | 330 deg</t>
  </si>
  <si>
    <t>D + Ws + Dg  | 330 deg</t>
  </si>
  <si>
    <t>D + 1.25Lm_2 + 0.6Wm  | 330 deg</t>
  </si>
  <si>
    <t>1.2D + 1.5Lm_3 + 1.0Wm  | 30 deg</t>
  </si>
  <si>
    <t>1.2D + 1.0Ev +1.0Eh + 1.0Dg  | 30 deg</t>
  </si>
  <si>
    <t>D + 1.25Lm_3 + 0.6Wm  | 30 deg</t>
  </si>
  <si>
    <t>1.2D + 1.5Lm_3 + 1.0Wm  | 300 deg</t>
  </si>
  <si>
    <t>1.2D + 1.0Ev +1.0Eh + 1.0Dg  | 300 deg</t>
  </si>
  <si>
    <t>D + 1.25Lm_3 + 0.6Wm  | 300 deg</t>
  </si>
  <si>
    <t>1.2D + 1.5Lm_3 + 1.0Wm  | 315 deg</t>
  </si>
  <si>
    <t>1.2D + 1.0Ev +1.0Eh + 1.0Dg  | 315 deg</t>
  </si>
  <si>
    <t>D + 1.25Lm_3 + 0.6Wm  | 315 deg</t>
  </si>
  <si>
    <t>1.2D + 1.5Lm_3 + 1.0Wm  | 330 deg</t>
  </si>
  <si>
    <t>1.2D + 1.0Ev +1.0Eh + 1.0Dg  | 330 deg</t>
  </si>
  <si>
    <t>D + 1.25Lm_3 + 0.6Wm  | 330 deg</t>
  </si>
  <si>
    <t>1.2D + 1.5Lm_4 + 1.0Wm  | 30 deg</t>
  </si>
  <si>
    <t>0.9D - 1.0Ev + 1.0Eh + 1.0Dg  | 30 deg</t>
  </si>
  <si>
    <t>D + 1.25Lm_4 + 0.6Wm  | 30 deg</t>
  </si>
  <si>
    <t>1.2D + 1.5Lm_4 + 1.0Wm  | 300 deg</t>
  </si>
  <si>
    <t>0.9D - 1.0Ev + 1.0Eh + 1.0Dg  | 300 deg</t>
  </si>
  <si>
    <t>D + 1.25Lm_4 + 0.6Wm  | 300 deg</t>
  </si>
  <si>
    <t>1.2D + 1.5Lm_4 + 1.0Wm  | 315 deg</t>
  </si>
  <si>
    <t>0.9D - 1.0Ev + 1.0Eh + 1.0Dg  | 315 deg</t>
  </si>
  <si>
    <t>D + 1.25Lm_4 + 0.6Wm  | 315 deg</t>
  </si>
  <si>
    <t>1.2D + 1.5Lm_4 + 1.0Wm  | 330 deg</t>
  </si>
  <si>
    <t>0.9D - 1.0Ev + 1.0Eh + 1.0Dg  | 330 deg</t>
  </si>
  <si>
    <t>D + 1.25Lm_4 + 0.6Wm  | 330 deg</t>
  </si>
  <si>
    <t>1.2D + 1.0Ev +1.0Eh  | 30 deg</t>
  </si>
  <si>
    <t>1.0D + 0.7Ev + 0.7Eh  | 30 deg</t>
  </si>
  <si>
    <t>1.0D + 0.7E + 0.7Eh  | 30 deg</t>
  </si>
  <si>
    <t>1.0D + Ev/1.4 + Eh/1.4   | 30 deg</t>
  </si>
  <si>
    <t>1.2D + 1.0Ev +1.0Eh  | 300 deg</t>
  </si>
  <si>
    <t>1.0D + 0.7Ev + 0.7Eh  | 300 deg</t>
  </si>
  <si>
    <t>1.0D + 0.7E + 0.7Eh  | 300 deg</t>
  </si>
  <si>
    <t>1.0D + Ev/1.4 + Eh/1.4   | 300 deg</t>
  </si>
  <si>
    <t>1.2D + 1.0Ev +1.0Eh  | 315 deg</t>
  </si>
  <si>
    <t>1.0D + 0.7Ev + 0.7Eh  | 315 deg</t>
  </si>
  <si>
    <t>1.0D + 0.7E + 0.7Eh  | 315 deg</t>
  </si>
  <si>
    <t>1.0D + Ev/1.4 + Eh/1.4   | 315 deg</t>
  </si>
  <si>
    <t>1.2D + 1.0Ev +1.0Eh  | 330 deg</t>
  </si>
  <si>
    <t>1.0D + 0.7Ev + 0.7Eh  | 330 deg</t>
  </si>
  <si>
    <t>1.0D + 0.7E + 0.7Eh  | 330 deg</t>
  </si>
  <si>
    <t>1.0D + Ev/1.4 + Eh/1.4   | 330 deg</t>
  </si>
  <si>
    <t>0.9D - 1.0Ev + 1.0Eh  | 30 deg</t>
  </si>
  <si>
    <t>0.6D - 0.7Ev + 0.7Eh  | 30 deg</t>
  </si>
  <si>
    <t>0.6D - Ev/1.4  + Eh/1.4   | 30 deg</t>
  </si>
  <si>
    <t>0.9D - 1.0Ev + 1.0Eh  | 300 deg</t>
  </si>
  <si>
    <t>0.6D - 0.7Ev + 0.7Eh  | 300 deg</t>
  </si>
  <si>
    <t>0.6D - Ev/1.4  + Eh/1.4   | 300 deg</t>
  </si>
  <si>
    <t>0.9D - 1.0Ev + 1.0Eh  | 315 deg</t>
  </si>
  <si>
    <t>0.6D - 0.7Ev + 0.7Eh  | 315 deg</t>
  </si>
  <si>
    <t>0.6D - Ev/1.4  + Eh/1.4   | 315 deg</t>
  </si>
  <si>
    <t>0.9D - 1.0Ev + 1.0Eh  | 330 deg</t>
  </si>
  <si>
    <t>0.6D - 0.7Ev + 0.7Eh  | 330 deg</t>
  </si>
  <si>
    <t>0.6D - Ev/1.4  + Eh/1.4   | 330 deg</t>
  </si>
  <si>
    <t>1.2D + 1.0W + 1.0Dg  | 45 deg</t>
  </si>
  <si>
    <t>D + 0.6W  | 45 deg</t>
  </si>
  <si>
    <t>1.2D + 1.0Di + 1.0Wi  | 45 deg</t>
  </si>
  <si>
    <t>0.9D + 1.0W + 1.0Dg  | 45 deg</t>
  </si>
  <si>
    <t>D + 0.7Di + 0.7Wi  | 45 deg</t>
  </si>
  <si>
    <t>1.2D + 1.5Lm_1 + 1.0Wm  | 45 deg</t>
  </si>
  <si>
    <t>1.2D + 1.0Wi + 1.0Di + 1.0T + 1.0Dg  | 45 deg</t>
  </si>
  <si>
    <t>D + 1.25Lm_1 + 0.6Wm  | 45 deg</t>
  </si>
  <si>
    <t>1.2D + 1.5Lm_2 + 1.0Wm  | 45 deg</t>
  </si>
  <si>
    <t>D + Ws + Dg  | 45 deg</t>
  </si>
  <si>
    <t>D + 1.25Lm_2 + 0.6Wm  | 45 deg</t>
  </si>
  <si>
    <t>1.2D + 1.5Lm_3 + 1.0Wm  | 45 deg</t>
  </si>
  <si>
    <t>1.2D + 1.0Ev +1.0Eh + 1.0Dg  | 45 deg</t>
  </si>
  <si>
    <t>D + 1.25Lm_3 + 0.6Wm  | 45 deg</t>
  </si>
  <si>
    <t>1.2D + 1.5Lm_4 + 1.0Wm  | 45 deg</t>
  </si>
  <si>
    <t>0.9D - 1.0Ev + 1.0Eh + 1.0Dg  | 45 deg</t>
  </si>
  <si>
    <t>D + 1.25Lm_4 + 0.6Wm  | 45 deg</t>
  </si>
  <si>
    <t>1.2D + 1.0Ev +1.0Eh  | 45 deg</t>
  </si>
  <si>
    <t>1.0D + 0.7Ev + 0.7Eh  | 45 deg</t>
  </si>
  <si>
    <t>1.0D + 0.7E + 0.7Eh  | 45 deg</t>
  </si>
  <si>
    <t>1.0D + Ev/1.4 + Eh/1.4   | 45 deg</t>
  </si>
  <si>
    <t>0.9D - 1.0Ev + 1.0Eh  | 45 deg</t>
  </si>
  <si>
    <t>0.6D - 0.7Ev + 0.7Eh  | 45 deg</t>
  </si>
  <si>
    <t>0.6D - Ev/1.4  + Eh/1.4   | 45 deg</t>
  </si>
  <si>
    <t>1.2D + 1.0W + 1.0Dg  | 60 deg</t>
  </si>
  <si>
    <t>D + 0.6W  | 60 deg</t>
  </si>
  <si>
    <t>1.2D + 1.0Di + 1.0Wi  | 60 deg</t>
  </si>
  <si>
    <t>0.9D + 1.0W + 1.0Dg  | 60 deg</t>
  </si>
  <si>
    <t>D + 0.7Di + 0.7Wi  | 60 deg</t>
  </si>
  <si>
    <t>1.2D + 1.5Lm_1 + 1.0Wm  | 60 deg</t>
  </si>
  <si>
    <t>1.2D + 1.0Wi + 1.0Di + 1.0T + 1.0Dg  | 60 deg</t>
  </si>
  <si>
    <t>D + 1.25Lm_1 + 0.6Wm  | 60 deg</t>
  </si>
  <si>
    <t>1.2D + 1.5Lm_2 + 1.0Wm  | 60 deg</t>
  </si>
  <si>
    <t>D + Ws + Dg  | 60 deg</t>
  </si>
  <si>
    <t>D + 1.25Lm_2 + 0.6Wm  | 60 deg</t>
  </si>
  <si>
    <t>1.2D + 1.5Lm_3 + 1.0Wm  | 60 deg</t>
  </si>
  <si>
    <t>1.2D + 1.0Ev +1.0Eh + 1.0Dg  | 60 deg</t>
  </si>
  <si>
    <t>D + 1.25Lm_3 + 0.6Wm  | 60 deg</t>
  </si>
  <si>
    <t>1.2D + 1.5Lm_4 + 1.0Wm  | 60 deg</t>
  </si>
  <si>
    <t>0.9D - 1.0Ev + 1.0Eh + 1.0Dg  | 60 deg</t>
  </si>
  <si>
    <t>D + 1.25Lm_4 + 0.6Wm  | 60 deg</t>
  </si>
  <si>
    <t>1.2D + 1.0Ev +1.0Eh  | 60 deg</t>
  </si>
  <si>
    <t>1.0D + 0.7Ev + 0.7Eh  | 60 deg</t>
  </si>
  <si>
    <t>1.0D + 0.7E + 0.7Eh  | 60 deg</t>
  </si>
  <si>
    <t>1.0D + Ev/1.4 + Eh/1.4   | 60 deg</t>
  </si>
  <si>
    <t>0.9D - 1.0Ev + 1.0Eh  | 60 deg</t>
  </si>
  <si>
    <t>0.6D - 0.7Ev + 0.7Eh  | 60 deg</t>
  </si>
  <si>
    <t>0.6D - Ev/1.4  + Eh/1.4   | 60 deg</t>
  </si>
  <si>
    <t>1.2D + 1.0W + 1.0Dg  | 90 deg</t>
  </si>
  <si>
    <t>D + 0.6W  | 90 deg</t>
  </si>
  <si>
    <t>1.2D + 1.0Di + 1.0Wi  | 90 deg</t>
  </si>
  <si>
    <t>0.9D + 1.0W + 1.0Dg  | 90 deg</t>
  </si>
  <si>
    <t>D + 0.7Di + 0.7Wi  | 90 deg</t>
  </si>
  <si>
    <t>1.2D + 1.5Lm_1 + 1.0Wm  | 90 deg</t>
  </si>
  <si>
    <t>1.2D + 1.0Wi + 1.0Di + 1.0T + 1.0Dg  | 90 deg</t>
  </si>
  <si>
    <t>D + 1.25Lm_1 + 0.6Wm  | 90 deg</t>
  </si>
  <si>
    <t>1.2D + 1.5Lm_2 + 1.0Wm  | 90 deg</t>
  </si>
  <si>
    <t>D + Ws + Dg  | 90 deg</t>
  </si>
  <si>
    <t>D + 1.25Lm_2 + 0.6Wm  | 90 deg</t>
  </si>
  <si>
    <t>1.2D + 1.5Lm_3 + 1.0Wm  | 90 deg</t>
  </si>
  <si>
    <t>1.2D + 1.0Ev +1.0Eh + 1.0Dg  | 90 deg</t>
  </si>
  <si>
    <t>D + 1.25Lm_3 + 0.6Wm  | 90 deg</t>
  </si>
  <si>
    <t>1.2D + 1.5Lm_4 + 1.0Wm  | 90 deg</t>
  </si>
  <si>
    <t>0.9D - 1.0Ev + 1.0Eh + 1.0Dg  | 90 deg</t>
  </si>
  <si>
    <t>D + 1.25Lm_4 + 0.6Wm  | 90 deg</t>
  </si>
  <si>
    <t>1.2D + 1.0Ev +1.0Eh  | 90 deg</t>
  </si>
  <si>
    <t>1.0D + 0.7Ev + 0.7Eh  | 90 deg</t>
  </si>
  <si>
    <t>1.0D + 0.7E + 0.7Eh  | 90 deg</t>
  </si>
  <si>
    <t>1.0D + Ev/1.4 + Eh/1.4   | 90 deg</t>
  </si>
  <si>
    <t>0.9D - 1.0Ev + 1.0Eh  | 90 deg</t>
  </si>
  <si>
    <t>0.6D - 0.7Ev + 0.7Eh  | 90 deg</t>
  </si>
  <si>
    <t>0.6D - Ev/1.4  + Eh/1.4   | 90 deg</t>
  </si>
  <si>
    <t>Elevation View</t>
  </si>
  <si>
    <t>Scale</t>
  </si>
  <si>
    <t>Chart Dimensions</t>
  </si>
  <si>
    <t>Width</t>
  </si>
  <si>
    <t>Modeled Members</t>
  </si>
  <si>
    <t>Vertical Envelope Dimensions</t>
  </si>
  <si>
    <t>i+</t>
  </si>
  <si>
    <t>• Minor formatting updates
     • Updated colors to be more accurate to current NB+C standards.
     • Added TKK logo.
• Updated Placement Diagrams sheet.
     • Deprecated Placement Diagrams sheet and relocated the placement diagrams to Code sheet.
     • Placement diagrams now include vertical envelope.
     • Dishes on plan view are now rectangles due to issues with semi-circles generating in the correct position. The bounding box for a semi-circle is the same bounding box for circle. Additionally, the rotation for a semi-circle was 
          more complicated, which resulted in the dishes being generated in inaccurate positions.
• Updated Discrete Loads and Dish Loads sheets.
     • Updated dasheetase to directly reference the .arc files on the Z Drive. Data is now streamlined and more efficient.
     • Updated and simplified user interface for both the discrete loads and dish loads dasheetase inputs.
• Renamed Aggregate sheet to Filter. Simplified data referenced in Filter sheet.
• Fixed issue where wood schedules did not write properly when certain or multiple wood schedules were included in the Wall Panel (Fasteners) sheet.
• Quantity of appurtenance brackets has been included. This should resolve issues with single attachment antennas (e.g., small cell antennas).
     • Point load and moment load calculations are now based on the number of brackets. Previously, if an appurtenance was designated as "Antenna", then two attachment points were automatically calculated. Currently, the calculations 
          are only set for 1 or 2 attachment points.</t>
  </si>
  <si>
    <t>• Fixed an issue where single member RISA-3D models would cause issues when selecting a member in the Appurtenance and Dish dasheetases.
     • Changed from a dynamic array to a fixed array to resolve the issue.</t>
  </si>
  <si>
    <t>• Updated dish load conversion factor. The dish load conversion factors were not correctly converting loads to match the RISA-3D model.
• Refreshed/Updated appurtenance dasheetase</t>
  </si>
  <si>
    <t>• Fixed an issue with the Refresh Dasheetase button in the Dish Dasheetase form
• Added Filepaths button to the Dish Dasheetase form</t>
  </si>
  <si>
    <t>• Updated dasheetase source to Z drive</t>
  </si>
  <si>
    <t>• Added prompt for calculating/re-calculating the appurtenance and model loading. Loads no longer have to be re-calculated when generating a new RISA-3D model.
• Added alternative Load Combinations to reflect TIA, ASCE 7, and IBC LCs. More LCs via various codes and standards will be added later.
     • Options have been added for the Solve and PDelta columns in the Load Combinations table. Currently, this is automatically applied, but can be adjusted manually.
• Added display settings for placement diagrams
     • The Carrier Colors option is now a checkbox to the right of the diagrams. The prompt for the Carrier Colors option has been removed.
     • Added various options for the placement diagram scaling for mounts that appear too "zoomed in/out".
     • Added options for member and appurtenance scaling for appurtenances or mount pipes that overlap with other members and appurtenances.
     • Added option to include sector labels on the Plan View.
• Added Site Name to pre-select file name when saving the newly generated RISA-3D model, which includes the removal of incompatible file name characters.
• Updated references and removed the automatic save feature when generating a new RISA-3D model.
     • Updated the company referenced used in the generated RISA-3D model. Now, the company will display as "NB+C ES" or "TKK Engineering", depending on the company selected. This also removes the semicolon that was added at the 
          end of the company name.
     • Reverted the engineer name back to "NB+C Engineer" for simplicity.
• Added an automatic calculation of the mount pipe/position location on the mount face. This is a work in progress. Therefore, all locations should be verified.
• Updated Maintenance Loads
     • Decoupled Maintenance Loads Lm and Lv to allow for "unbalanced" options. The number of maintenance loads no longer need to match between Lm and Lv.
     • Maintenance Loads will now be grouped together by type in the BLCs.
• Added Figure 2-2 from TIA-222-H+ for reference. Please see the TIA-222, Fig. 2-2 sheet.</t>
  </si>
  <si>
    <t>• Fixed issue with record counter when dishes are considered.
     • Since dishes have specified calculations per Annex Q of TIA-222, Dead and Ice Dead loads will result in fewer calculated loads than an antenna or TME. This resulted in an error when exporting the calculated loading tables because the immediately adjacent column, Seismic in the Point Loads sheet, had more loads than the Dead and Ice Dead columns.</t>
  </si>
  <si>
    <t>• Updated various calculations
   • Fixed unit conversion calculations. Conversion factors were incorrectly doubling the conversion.
   • Fixed distributed load calculations. There was an error in correctly calculating member EPA.
   • Fixed point load calculations. 0° and 90° calculations were backwards.
   • Implemented ANSI/TIA-222-I wind calculations
• Updated RISA-3D model import function
   • Added message after import stating parameters used in RISA-3D model
   • Added Aluminum and Cold Formed members (partial)
   • Added RISA-3D model EPA calculations
   • Added warnings for missing member data
• Updated appurtenance dasheetase UI
   • Added option for automatically calculating top and bottom connections and automatically added typical offset values.
   • Added option to search for an appurtenance
   • Added front and side wind force calculations to the Dimensions table on the Discrete Loads sheet
• Updated RISA-3D model generation
   • Fixed an issue where a new RISA-3D model could not generate if the Project Information window in RISA-3D had not been filled out prior to import. Users no longer need to input the Project Information.
   • Added warnings/stops if required information is missing throughout the tool
• Updated various formatting and inputs
   • Removed buttons at the top of each sheet due to redundancy and to avoid any issues
• Updated placement diagrams
   • Diagrams should create more consistently
   • Added additional loading information, such as loads and spacing
• Added import project data function (work in progress)
   • Project data files can be created from SiteTracker Reports, which can be used to import project information
• Added flat file import function
   • Envelope solution is acceptable, however, it is recommended to use a batch solution with envelope
• Added import previous mount analysis tool function
   • Only available for v3+ of the mount analysis tool</t>
  </si>
  <si>
    <t>Semi-Circle Dish</t>
  </si>
  <si>
    <t>Display Centerline</t>
  </si>
  <si>
    <t>3.3.0</t>
  </si>
  <si>
    <t>• Updated formatting
     • Updated colors to NB+C blue in the Code sheet.
• Updated default save name when generating a new RISA-3D model to include the Site Name (with illegal characters removed) and the analysis standard used (e.g., TIA_MA, ASCE 7-16_ASD, etc.)
• Added appurtenance CaAa table to the Code sheet.
• Updated the Discrete Loads sheet to incorporate the Dish Loads sheet.
     • The Dish Loads sheet has been removed. However, the database menu has been relocated and incorporated into the Discrete Loads sheet. Functionality should otherwise remain the same.
• Updated Point Load calculations.
     • Previously used a simple but excessive way to calculate point loads. Points loads VBA has been simplified.
     • Point load calculations are now performed within the Discrete Loads sheet instead of VBA for easier review.
• Added import and export functionality for appurtenance loading.
     • Added function to create tnxTower loading file and import a tnxTower loading file (Schema file typically acquired from Crown Castle, but these can be created for use with this tool, tnxTower, and other tools).
     • Added function to import data from an RFDS using the RFDS PDF Parser tool.
• Added a few additional options for the placement diagram settings, as well as re-organizing the settings.
• Added option to select which wind directions should be considered in the analysis. All wind directions are selected by default.</t>
  </si>
  <si>
    <t>MSG
RP
JW</t>
  </si>
  <si>
    <t>Ice Wind Press.</t>
  </si>
  <si>
    <t>Wind Press.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</si>
</sst>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8">
    <numFmt numFmtId="43" formatCode="_(* #,##0.00_);_(* \(#,##0.00\);_(* &quot;-&quot;??_);_(@_)"/>
    <numFmt numFmtId="164" formatCode="[$-409]mmmm\ d\,\ yyyy;@"/>
    <numFmt numFmtId="165" formatCode="General&quot; mph&quot;"/>
    <numFmt numFmtId="166" formatCode="General&quot; in&quot;"/>
    <numFmt numFmtId="167" formatCode="General&quot; (g)&quot;"/>
    <numFmt numFmtId="168" formatCode="General&quot; ft&quot;"/>
    <numFmt numFmtId="169" formatCode="0.000"/>
    <numFmt numFmtId="170" formatCode="0.0"/>
    <numFmt numFmtId="171" formatCode="#,###&quot; ft&quot;"/>
    <numFmt numFmtId="172" formatCode="#,###&quot; m&quot;"/>
    <numFmt numFmtId="173" formatCode="0.0000"/>
    <numFmt numFmtId="174" formatCode="0.00&quot; psf&quot;"/>
    <numFmt numFmtId="175" formatCode="General&quot;*&quot;"/>
    <numFmt numFmtId="176" formatCode="&quot;S1 = &quot;General"/>
    <numFmt numFmtId="177" formatCode="&quot;S1 ≥ &quot;General"/>
    <numFmt numFmtId="178" formatCode="&quot;Ss = &quot;General"/>
    <numFmt numFmtId="179" formatCode="&quot;Ss ≥ &quot;General"/>
    <numFmt numFmtId="180" formatCode="0.00&quot; in&quot;"/>
    <numFmt numFmtId="181" formatCode="0.0%"/>
    <numFmt numFmtId="182" formatCode="General&quot; lbf&quot;"/>
    <numFmt numFmtId="183" formatCode="General&quot; g&quot;"/>
    <numFmt numFmtId="184" formatCode="0.000&quot; g&quot;"/>
    <numFmt numFmtId="185" formatCode="0.00\ \f\t\²"/>
    <numFmt numFmtId="186" formatCode="General&quot; psf&quot;"/>
    <numFmt numFmtId="187" formatCode="General&quot;°&quot;"/>
    <numFmt numFmtId="188" formatCode="##,##0.00&quot; lbf&quot;"/>
    <numFmt numFmtId="189" formatCode="0.00&quot; ft²&quot;"/>
    <numFmt numFmtId="190" formatCode="0.00&quot; lbf&quot;"/>
  </numFmts>
  <fonts count="72" x14ac:knownFonts="1">
    <font>
      <sz val="10"/>
      <color theme="1"/>
      <name val="Arial"/>
      <family val="2"/>
    </font>
    <font>
      <sz val="8"/>
      <color theme="1"/>
      <name val="Calibri"/>
      <family val="2"/>
    </font>
    <font>
      <sz val="8"/>
      <color theme="1"/>
      <name val="Calibri"/>
      <family val="2"/>
    </font>
    <font>
      <sz val="10"/>
      <color theme="1"/>
      <name val="Calibri"/>
      <family val="2"/>
    </font>
    <font>
      <sz val="11"/>
      <color theme="1"/>
      <name val="Calibri"/>
      <family val="2"/>
      <scheme val="minor"/>
    </font>
    <font>
      <sz val="10"/>
      <name val="Arial"/>
      <family val="2"/>
    </font>
    <font>
      <sz val="8"/>
      <name val="Arial"/>
      <family val="2"/>
    </font>
    <font>
      <sz val="9"/>
      <color indexed="81"/>
      <name val="Tahoma"/>
      <family val="2"/>
    </font>
    <font>
      <sz val="10"/>
      <color theme="1"/>
      <name val="Calibri"/>
      <family val="2"/>
      <scheme val="minor"/>
    </font>
    <font>
      <b/>
      <sz val="10"/>
      <color rgb="FFF48221"/>
      <name val="Calibri"/>
      <family val="2"/>
      <scheme val="minor"/>
    </font>
    <font>
      <b/>
      <sz val="9"/>
      <color rgb="FFF48221"/>
      <name val="Calibri"/>
      <family val="2"/>
      <scheme val="minor"/>
    </font>
    <font>
      <sz val="10"/>
      <name val="Calibri"/>
      <family val="2"/>
      <scheme val="minor"/>
    </font>
    <font>
      <sz val="9"/>
      <name val="Calibri"/>
      <family val="2"/>
      <scheme val="minor"/>
    </font>
    <font>
      <b/>
      <sz val="22"/>
      <color theme="4"/>
      <name val="Calibri"/>
      <family val="2"/>
      <scheme val="minor"/>
    </font>
    <font>
      <b/>
      <sz val="10"/>
      <color theme="0"/>
      <name val="Calibri"/>
      <family val="2"/>
      <scheme val="minor"/>
    </font>
    <font>
      <b/>
      <sz val="9"/>
      <name val="Calibri"/>
      <family val="2"/>
      <scheme val="minor"/>
    </font>
    <font>
      <sz val="9"/>
      <color theme="1"/>
      <name val="Calibri"/>
      <family val="2"/>
      <scheme val="minor"/>
    </font>
    <font>
      <b/>
      <sz val="9"/>
      <color theme="1"/>
      <name val="Calibri"/>
      <family val="2"/>
      <scheme val="minor"/>
    </font>
    <font>
      <sz val="8"/>
      <color theme="1"/>
      <name val="Calibri"/>
      <family val="2"/>
      <scheme val="minor"/>
    </font>
    <font>
      <b/>
      <sz val="10"/>
      <name val="Calibri"/>
      <family val="2"/>
      <scheme val="minor"/>
    </font>
    <font>
      <sz val="8"/>
      <name val="Calibri"/>
      <family val="2"/>
      <scheme val="minor"/>
    </font>
    <font>
      <b/>
      <sz val="8"/>
      <name val="Calibri"/>
      <family val="2"/>
      <scheme val="minor"/>
    </font>
    <font>
      <b/>
      <sz val="12"/>
      <color theme="1" tint="0.249977111117893"/>
      <name val="Calibri"/>
      <family val="2"/>
      <scheme val="minor"/>
    </font>
    <font>
      <b/>
      <i/>
      <sz val="12"/>
      <color rgb="FFF48221"/>
      <name val="Calibri"/>
      <family val="2"/>
      <scheme val="minor"/>
    </font>
    <font>
      <b/>
      <sz val="12"/>
      <color rgb="FFF48221"/>
      <name val="Calibri"/>
      <family val="2"/>
      <scheme val="minor"/>
    </font>
    <font>
      <sz val="12"/>
      <color theme="1"/>
      <name val="Calibri"/>
      <family val="2"/>
      <scheme val="minor"/>
    </font>
    <font>
      <b/>
      <sz val="12"/>
      <color theme="4"/>
      <name val="Calibri"/>
      <family val="2"/>
      <scheme val="minor"/>
    </font>
    <font>
      <b/>
      <sz val="12"/>
      <name val="Calibri"/>
      <family val="2"/>
      <scheme val="minor"/>
    </font>
    <font>
      <b/>
      <sz val="8"/>
      <color theme="1"/>
      <name val="Calibri"/>
      <family val="2"/>
      <scheme val="minor"/>
    </font>
    <font>
      <b/>
      <i/>
      <sz val="8"/>
      <color theme="1"/>
      <name val="Calibri"/>
      <family val="2"/>
      <scheme val="minor"/>
    </font>
    <font>
      <vertAlign val="subscript"/>
      <sz val="8"/>
      <name val="Calibri"/>
      <family val="2"/>
      <scheme val="minor"/>
    </font>
    <font>
      <b/>
      <sz val="16"/>
      <color theme="1"/>
      <name val="Calibri"/>
      <family val="2"/>
      <scheme val="minor"/>
    </font>
    <font>
      <sz val="16"/>
      <color theme="1"/>
      <name val="Calibri"/>
      <family val="2"/>
      <scheme val="minor"/>
    </font>
    <font>
      <vertAlign val="subscript"/>
      <sz val="10"/>
      <color theme="1"/>
      <name val="Calibri"/>
      <family val="2"/>
      <scheme val="minor"/>
    </font>
    <font>
      <b/>
      <sz val="10"/>
      <color theme="1"/>
      <name val="Calibri"/>
      <family val="2"/>
      <scheme val="minor"/>
    </font>
    <font>
      <sz val="9"/>
      <color theme="1" tint="0.34998626667073579"/>
      <name val="Calibri"/>
      <family val="2"/>
      <scheme val="minor"/>
    </font>
    <font>
      <sz val="22"/>
      <color theme="1"/>
      <name val="Calibri"/>
      <family val="2"/>
      <scheme val="minor"/>
    </font>
    <font>
      <b/>
      <vertAlign val="subscript"/>
      <sz val="10"/>
      <color theme="1"/>
      <name val="Calibri"/>
      <family val="2"/>
      <scheme val="minor"/>
    </font>
    <font>
      <sz val="10"/>
      <color theme="8"/>
      <name val="Calibri"/>
      <family val="2"/>
      <scheme val="minor"/>
    </font>
    <font>
      <b/>
      <sz val="11"/>
      <color theme="1"/>
      <name val="Calibri"/>
      <family val="2"/>
      <scheme val="minor"/>
    </font>
    <font>
      <i/>
      <sz val="8"/>
      <color theme="1"/>
      <name val="Calibri"/>
      <family val="2"/>
      <scheme val="minor"/>
    </font>
    <font>
      <i/>
      <sz val="8"/>
      <name val="Calibri"/>
      <family val="2"/>
      <scheme val="minor"/>
    </font>
    <font>
      <i/>
      <sz val="9"/>
      <color theme="1" tint="0.34998626667073579"/>
      <name val="Calibri"/>
      <family val="2"/>
      <scheme val="minor"/>
    </font>
    <font>
      <sz val="8"/>
      <color theme="0"/>
      <name val="Calibri"/>
      <family val="2"/>
      <scheme val="minor"/>
    </font>
    <font>
      <i/>
      <sz val="9"/>
      <color theme="1"/>
      <name val="Calibri"/>
      <family val="2"/>
      <scheme val="minor"/>
    </font>
    <font>
      <b/>
      <sz val="9"/>
      <name val="Calibri"/>
      <family val="2"/>
    </font>
    <font>
      <b/>
      <sz val="9"/>
      <color indexed="81"/>
      <name val="Tahoma"/>
      <family val="2"/>
    </font>
    <font>
      <b/>
      <sz val="16"/>
      <color rgb="FFC00000"/>
      <name val="Calibri"/>
      <family val="2"/>
      <scheme val="minor"/>
    </font>
    <font>
      <b/>
      <sz val="10"/>
      <color theme="0"/>
      <name val="Arial"/>
      <family val="2"/>
    </font>
    <font>
      <b/>
      <sz val="10"/>
      <color rgb="FF000000"/>
      <name val="Arial"/>
      <family val="2"/>
    </font>
    <font>
      <b/>
      <sz val="8"/>
      <color theme="1"/>
      <name val="Calibri"/>
      <family val="2"/>
    </font>
    <font>
      <b/>
      <sz val="9"/>
      <color theme="0"/>
      <name val="Calibri"/>
      <family val="2"/>
      <scheme val="minor"/>
    </font>
    <font>
      <vertAlign val="subscript"/>
      <sz val="9"/>
      <name val="Calibri"/>
      <family val="2"/>
      <scheme val="minor"/>
    </font>
    <font>
      <vertAlign val="subscript"/>
      <sz val="9"/>
      <color theme="1"/>
      <name val="Calibri"/>
      <family val="2"/>
      <scheme val="minor"/>
    </font>
    <font>
      <b/>
      <sz val="8"/>
      <color theme="8"/>
      <name val="Calibri"/>
      <family val="2"/>
      <scheme val="minor"/>
    </font>
    <font>
      <b/>
      <sz val="8"/>
      <color rgb="FFF48221"/>
      <name val="Calibri"/>
      <family val="2"/>
      <scheme val="minor"/>
    </font>
    <font>
      <b/>
      <sz val="8"/>
      <color theme="0"/>
      <name val="Calibri"/>
      <family val="2"/>
      <scheme val="minor"/>
    </font>
    <font>
      <sz val="9"/>
      <color theme="1"/>
      <name val="Arial"/>
      <family val="2"/>
    </font>
    <font>
      <sz val="9"/>
      <color theme="0" tint="-4.9989318521683403E-2"/>
      <name val="Calibri"/>
      <family val="2"/>
      <scheme val="minor"/>
    </font>
    <font>
      <b/>
      <u/>
      <sz val="8"/>
      <color theme="0"/>
      <name val="Calibri"/>
      <family val="2"/>
      <scheme val="minor"/>
    </font>
    <font>
      <sz val="10"/>
      <color theme="1"/>
      <name val="Arial"/>
      <family val="2"/>
    </font>
    <font>
      <sz val="9"/>
      <color theme="0"/>
      <name val="Calibri"/>
      <family val="2"/>
      <scheme val="minor"/>
    </font>
    <font>
      <b/>
      <sz val="10"/>
      <color rgb="FF000000"/>
      <name val="Segoe UI"/>
      <family val="2"/>
    </font>
    <font>
      <b/>
      <sz val="9"/>
      <color rgb="FF000000"/>
      <name val="Segoe UI"/>
      <family val="2"/>
    </font>
    <font>
      <i/>
      <sz val="9"/>
      <color theme="3"/>
      <name val="Calibri"/>
      <family val="2"/>
      <scheme val="minor"/>
    </font>
    <font>
      <b/>
      <sz val="9"/>
      <color theme="8"/>
      <name val="Calibri"/>
      <family val="2"/>
      <scheme val="minor"/>
    </font>
    <font>
      <sz val="9"/>
      <color theme="8"/>
      <name val="Calibri"/>
      <family val="2"/>
      <scheme val="minor"/>
    </font>
    <font>
      <b/>
      <sz val="20"/>
      <color theme="4"/>
      <name val="Calibri"/>
      <family val="2"/>
      <scheme val="minor"/>
    </font>
    <font>
      <b/>
      <sz val="8"/>
      <color rgb="FF000000"/>
      <name val="Segoe UI"/>
      <family val="2"/>
    </font>
    <font>
      <b/>
      <sz val="8"/>
      <color theme="4"/>
      <name val="Calibri"/>
      <family val="2"/>
      <scheme val="minor"/>
    </font>
    <font>
      <b/>
      <sz val="8"/>
      <color indexed="8"/>
      <name val="Calibri"/>
      <family val="2"/>
      <scheme val="minor"/>
    </font>
    <font>
      <b/>
      <sz val="16"/>
      <color rgb="FF009900"/>
      <name val="Calibri"/>
      <family val="2"/>
      <scheme val="minor"/>
    </font>
  </fonts>
  <fills count="31">
    <fill>
      <patternFill patternType="none"/>
    </fill>
    <fill>
      <patternFill patternType="gray125"/>
    </fill>
    <fill>
      <patternFill patternType="solid">
        <fgColor theme="4"/>
        <bgColor indexed="64"/>
      </patternFill>
    </fill>
    <fill>
      <patternFill patternType="solid">
        <fgColor theme="5"/>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F0F0F0"/>
        <bgColor indexed="64"/>
      </patternFill>
    </fill>
    <fill>
      <patternFill patternType="solid">
        <fgColor theme="1"/>
        <bgColor indexed="64"/>
      </patternFill>
    </fill>
    <fill>
      <patternFill patternType="solid">
        <fgColor rgb="FF00B0F0"/>
        <bgColor indexed="64"/>
      </patternFill>
    </fill>
    <fill>
      <patternFill patternType="solid">
        <fgColor rgb="FF4FD1FF"/>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C00000"/>
        <bgColor indexed="64"/>
      </patternFill>
    </fill>
    <fill>
      <patternFill patternType="solid">
        <fgColor rgb="FFF6BB00"/>
        <bgColor indexed="64"/>
      </patternFill>
    </fill>
    <fill>
      <patternFill patternType="solid">
        <fgColor theme="9"/>
        <bgColor indexed="64"/>
      </patternFill>
    </fill>
    <fill>
      <patternFill patternType="solid">
        <fgColor theme="7"/>
        <bgColor indexed="64"/>
      </patternFill>
    </fill>
    <fill>
      <patternFill patternType="solid">
        <fgColor rgb="FF553092"/>
        <bgColor indexed="64"/>
      </patternFill>
    </fill>
    <fill>
      <patternFill patternType="solid">
        <fgColor rgb="FFEBEBEB"/>
        <bgColor indexed="64"/>
      </patternFill>
    </fill>
    <fill>
      <patternFill patternType="solid">
        <fgColor theme="3" tint="0.79998168889431442"/>
        <bgColor indexed="64"/>
      </patternFill>
    </fill>
    <fill>
      <patternFill patternType="solid">
        <fgColor rgb="FFE6E6E6"/>
        <bgColor indexed="64"/>
      </patternFill>
    </fill>
    <fill>
      <patternFill patternType="solid">
        <fgColor theme="9" tint="-0.749992370372631"/>
        <bgColor indexed="64"/>
      </patternFill>
    </fill>
    <fill>
      <patternFill patternType="solid">
        <fgColor theme="3"/>
        <bgColor indexed="64"/>
      </patternFill>
    </fill>
    <fill>
      <patternFill patternType="solid">
        <fgColor theme="8"/>
        <bgColor indexed="64"/>
      </patternFill>
    </fill>
    <fill>
      <patternFill patternType="solid">
        <fgColor theme="2"/>
        <bgColor indexed="64"/>
      </patternFill>
    </fill>
    <fill>
      <patternFill patternType="solid">
        <fgColor theme="7"/>
        <bgColor theme="0" tint="-0.14999847407452621"/>
      </patternFill>
    </fill>
    <fill>
      <patternFill patternType="solid">
        <fgColor theme="8" tint="0.79998168889431442"/>
        <bgColor indexed="64"/>
      </patternFill>
    </fill>
    <fill>
      <patternFill patternType="solid">
        <fgColor rgb="FFD9D9D9"/>
        <bgColor indexed="64"/>
      </patternFill>
    </fill>
  </fills>
  <borders count="66">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style="thin">
        <color auto="1"/>
      </right>
      <top/>
      <bottom/>
      <diagonal/>
    </border>
    <border>
      <left style="thin">
        <color auto="1"/>
      </left>
      <right style="thin">
        <color auto="1"/>
      </right>
      <top style="thin">
        <color auto="1"/>
      </top>
      <bottom style="double">
        <color indexed="64"/>
      </bottom>
      <diagonal/>
    </border>
    <border>
      <left style="thin">
        <color auto="1"/>
      </left>
      <right style="thin">
        <color auto="1"/>
      </right>
      <top style="double">
        <color indexed="64"/>
      </top>
      <bottom style="thin">
        <color auto="1"/>
      </bottom>
      <diagonal/>
    </border>
    <border>
      <left/>
      <right/>
      <top style="medium">
        <color indexed="64"/>
      </top>
      <bottom/>
      <diagonal/>
    </border>
    <border>
      <left/>
      <right/>
      <top/>
      <bottom style="medium">
        <color rgb="FF313C42"/>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top/>
      <bottom style="medium">
        <color indexed="64"/>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indexed="64"/>
      </left>
      <right/>
      <top style="thin">
        <color indexed="64"/>
      </top>
      <bottom style="double">
        <color indexed="64"/>
      </bottom>
      <diagonal/>
    </border>
    <border>
      <left/>
      <right/>
      <top/>
      <bottom style="medium">
        <color theme="8"/>
      </bottom>
      <diagonal/>
    </border>
    <border>
      <left style="thin">
        <color rgb="FF000000"/>
      </left>
      <right style="thin">
        <color rgb="FF000000"/>
      </right>
      <top style="thin">
        <color rgb="FF000000"/>
      </top>
      <bottom style="thin">
        <color rgb="FF000000"/>
      </bottom>
      <diagonal/>
    </border>
    <border>
      <left style="medium">
        <color theme="4"/>
      </left>
      <right/>
      <top style="medium">
        <color theme="4"/>
      </top>
      <bottom/>
      <diagonal/>
    </border>
    <border>
      <left/>
      <right/>
      <top style="medium">
        <color theme="4"/>
      </top>
      <bottom/>
      <diagonal/>
    </border>
    <border>
      <left/>
      <right style="medium">
        <color theme="4"/>
      </right>
      <top style="medium">
        <color theme="4"/>
      </top>
      <bottom/>
      <diagonal/>
    </border>
    <border>
      <left style="medium">
        <color theme="4"/>
      </left>
      <right/>
      <top/>
      <bottom/>
      <diagonal/>
    </border>
    <border>
      <left/>
      <right style="medium">
        <color theme="4"/>
      </right>
      <top/>
      <bottom/>
      <diagonal/>
    </border>
    <border>
      <left style="medium">
        <color theme="4"/>
      </left>
      <right/>
      <top/>
      <bottom style="medium">
        <color theme="4"/>
      </bottom>
      <diagonal/>
    </border>
    <border>
      <left/>
      <right/>
      <top/>
      <bottom style="medium">
        <color theme="4"/>
      </bottom>
      <diagonal/>
    </border>
    <border>
      <left/>
      <right style="medium">
        <color theme="4"/>
      </right>
      <top/>
      <bottom style="medium">
        <color theme="4"/>
      </bottom>
      <diagonal/>
    </border>
    <border>
      <left/>
      <right/>
      <top style="thin">
        <color indexed="64"/>
      </top>
      <bottom style="medium">
        <color indexed="64"/>
      </bottom>
      <diagonal/>
    </border>
  </borders>
  <cellStyleXfs count="9">
    <xf numFmtId="0" fontId="0" fillId="0" borderId="0"/>
    <xf numFmtId="0" fontId="4" fillId="0" borderId="0"/>
    <xf numFmtId="0" fontId="5" fillId="0" borderId="0"/>
    <xf numFmtId="0" fontId="4" fillId="4" borderId="1">
      <alignment horizontal="center" vertical="center"/>
      <protection locked="0"/>
    </xf>
    <xf numFmtId="0" fontId="4" fillId="5" borderId="0">
      <alignment horizontal="center" vertical="center"/>
    </xf>
    <xf numFmtId="0" fontId="5" fillId="0" borderId="0"/>
    <xf numFmtId="0" fontId="3" fillId="0" borderId="0"/>
    <xf numFmtId="43" fontId="60" fillId="0" borderId="0" applyFont="0" applyFill="0" applyBorder="0" applyAlignment="0" applyProtection="0"/>
    <xf numFmtId="0" fontId="8" fillId="0" borderId="0"/>
  </cellStyleXfs>
  <cellXfs count="608">
    <xf numFmtId="0" fontId="0" fillId="0" borderId="0" xfId="0"/>
    <xf numFmtId="0" fontId="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left" vertical="center"/>
    </xf>
    <xf numFmtId="0" fontId="23" fillId="0" borderId="0" xfId="0" applyFont="1" applyAlignment="1">
      <alignment horizontal="center" vertical="center"/>
    </xf>
    <xf numFmtId="0" fontId="23" fillId="10" borderId="0" xfId="0" applyFont="1" applyFill="1" applyAlignment="1">
      <alignment horizontal="center" vertical="center"/>
    </xf>
    <xf numFmtId="0" fontId="24" fillId="0" borderId="0" xfId="0" applyFont="1" applyAlignment="1">
      <alignment horizontal="center" vertical="center"/>
    </xf>
    <xf numFmtId="0" fontId="23" fillId="10" borderId="47" xfId="0" applyFont="1" applyFill="1" applyBorder="1" applyAlignment="1">
      <alignment horizontal="left" vertical="center"/>
    </xf>
    <xf numFmtId="0" fontId="25" fillId="0" borderId="0" xfId="0" applyFont="1"/>
    <xf numFmtId="0" fontId="18" fillId="10" borderId="46" xfId="0" applyFont="1" applyFill="1" applyBorder="1" applyAlignment="1">
      <alignment horizontal="center" vertical="center"/>
    </xf>
    <xf numFmtId="0" fontId="18" fillId="10" borderId="0" xfId="0" applyFont="1" applyFill="1" applyAlignment="1">
      <alignment horizontal="center" vertical="center"/>
    </xf>
    <xf numFmtId="0" fontId="18" fillId="0" borderId="0" xfId="0" applyFont="1"/>
    <xf numFmtId="0" fontId="18" fillId="0" borderId="41" xfId="0" applyFont="1" applyBorder="1" applyAlignment="1">
      <alignment horizontal="center" vertical="center" wrapText="1"/>
    </xf>
    <xf numFmtId="0" fontId="18" fillId="0" borderId="51" xfId="0" applyFont="1" applyBorder="1" applyAlignment="1">
      <alignment horizontal="center" vertical="center" wrapText="1"/>
    </xf>
    <xf numFmtId="169" fontId="18" fillId="0" borderId="51" xfId="0" applyNumberFormat="1" applyFont="1" applyBorder="1" applyAlignment="1">
      <alignment horizontal="center" vertical="center" wrapText="1"/>
    </xf>
    <xf numFmtId="181" fontId="18" fillId="0" borderId="51" xfId="0" applyNumberFormat="1" applyFont="1" applyBorder="1" applyAlignment="1">
      <alignment horizontal="center" vertical="center" wrapText="1"/>
    </xf>
    <xf numFmtId="173" fontId="18" fillId="0" borderId="51" xfId="0" applyNumberFormat="1" applyFont="1" applyBorder="1" applyAlignment="1">
      <alignment horizontal="center" vertical="center" wrapText="1"/>
    </xf>
    <xf numFmtId="0" fontId="18" fillId="10" borderId="51" xfId="0" applyFont="1" applyFill="1" applyBorder="1" applyAlignment="1">
      <alignment horizontal="center" vertical="center"/>
    </xf>
    <xf numFmtId="173" fontId="18" fillId="0" borderId="42" xfId="0" applyNumberFormat="1" applyFont="1" applyBorder="1" applyAlignment="1">
      <alignment horizontal="center" vertical="center" wrapText="1"/>
    </xf>
    <xf numFmtId="0" fontId="18" fillId="10" borderId="0" xfId="0" applyFont="1" applyFill="1"/>
    <xf numFmtId="0" fontId="18" fillId="0" borderId="0" xfId="0" applyFont="1" applyAlignment="1">
      <alignment horizontal="center"/>
    </xf>
    <xf numFmtId="173" fontId="18" fillId="0" borderId="0" xfId="0" applyNumberFormat="1" applyFont="1" applyAlignment="1">
      <alignment horizontal="center"/>
    </xf>
    <xf numFmtId="0" fontId="18" fillId="10" borderId="0" xfId="0" applyFont="1" applyFill="1" applyAlignment="1">
      <alignment horizontal="center"/>
    </xf>
    <xf numFmtId="0" fontId="22" fillId="0" borderId="33" xfId="0" applyFont="1" applyBorder="1" applyAlignment="1">
      <alignment horizontal="left" vertical="center"/>
    </xf>
    <xf numFmtId="0" fontId="23" fillId="0" borderId="46" xfId="0" applyFont="1" applyBorder="1" applyAlignment="1">
      <alignment horizontal="center" vertical="center"/>
    </xf>
    <xf numFmtId="0" fontId="23" fillId="0" borderId="34" xfId="0" applyFont="1" applyBorder="1" applyAlignment="1">
      <alignment horizontal="center" vertical="center"/>
    </xf>
    <xf numFmtId="0" fontId="25" fillId="10" borderId="0" xfId="0" applyFont="1" applyFill="1" applyAlignment="1">
      <alignment horizontal="center"/>
    </xf>
    <xf numFmtId="0" fontId="23" fillId="0" borderId="33" xfId="0" applyFont="1" applyBorder="1" applyAlignment="1">
      <alignment horizontal="center" vertical="center"/>
    </xf>
    <xf numFmtId="0" fontId="25" fillId="0" borderId="33" xfId="0" applyFont="1" applyBorder="1" applyAlignment="1">
      <alignment horizontal="center"/>
    </xf>
    <xf numFmtId="0" fontId="25" fillId="0" borderId="46" xfId="0" applyFont="1" applyBorder="1" applyAlignment="1">
      <alignment horizontal="center"/>
    </xf>
    <xf numFmtId="0" fontId="25" fillId="0" borderId="34" xfId="0" applyFont="1" applyBorder="1" applyAlignment="1">
      <alignment horizontal="center"/>
    </xf>
    <xf numFmtId="0" fontId="22" fillId="0" borderId="33" xfId="0" applyFont="1" applyBorder="1" applyAlignment="1">
      <alignment horizontal="center" vertical="center"/>
    </xf>
    <xf numFmtId="0" fontId="26" fillId="0" borderId="34" xfId="0" applyFont="1" applyBorder="1" applyAlignment="1">
      <alignment horizontal="center"/>
    </xf>
    <xf numFmtId="0" fontId="25" fillId="0" borderId="0" xfId="0" applyFont="1" applyAlignment="1">
      <alignment horizontal="center"/>
    </xf>
    <xf numFmtId="181" fontId="18" fillId="0" borderId="42" xfId="0" applyNumberFormat="1" applyFont="1" applyBorder="1" applyAlignment="1">
      <alignment horizontal="center" vertical="center" wrapText="1"/>
    </xf>
    <xf numFmtId="0" fontId="18" fillId="0" borderId="38" xfId="0" applyFont="1" applyBorder="1" applyAlignment="1">
      <alignment horizontal="center"/>
    </xf>
    <xf numFmtId="0" fontId="18" fillId="0" borderId="39" xfId="0" applyFont="1" applyBorder="1" applyAlignment="1">
      <alignment horizontal="center"/>
    </xf>
    <xf numFmtId="0" fontId="23" fillId="0" borderId="46" xfId="0" applyFont="1" applyBorder="1" applyAlignment="1">
      <alignment horizontal="left" vertical="center"/>
    </xf>
    <xf numFmtId="0" fontId="23" fillId="0" borderId="46" xfId="0" quotePrefix="1" applyFont="1" applyBorder="1" applyAlignment="1">
      <alignment horizontal="left" vertical="center"/>
    </xf>
    <xf numFmtId="0" fontId="23" fillId="0" borderId="34" xfId="0" quotePrefix="1" applyFont="1" applyBorder="1" applyAlignment="1">
      <alignment horizontal="left" vertical="center"/>
    </xf>
    <xf numFmtId="0" fontId="23" fillId="10" borderId="0" xfId="0" applyFont="1" applyFill="1" applyAlignment="1">
      <alignment horizontal="left" vertical="center"/>
    </xf>
    <xf numFmtId="0" fontId="23" fillId="0" borderId="33" xfId="0" applyFont="1" applyBorder="1" applyAlignment="1">
      <alignment horizontal="left" vertical="center"/>
    </xf>
    <xf numFmtId="0" fontId="23" fillId="0" borderId="34" xfId="0" applyFont="1" applyBorder="1" applyAlignment="1">
      <alignment horizontal="left" vertical="center"/>
    </xf>
    <xf numFmtId="169" fontId="23" fillId="0" borderId="46" xfId="0" applyNumberFormat="1" applyFont="1" applyBorder="1" applyAlignment="1">
      <alignment horizontal="left" vertical="center"/>
    </xf>
    <xf numFmtId="181" fontId="23" fillId="0" borderId="34" xfId="0" applyNumberFormat="1" applyFont="1" applyBorder="1" applyAlignment="1">
      <alignment horizontal="left" vertical="center"/>
    </xf>
    <xf numFmtId="0" fontId="27" fillId="0" borderId="33" xfId="0" applyFont="1" applyBorder="1" applyAlignment="1">
      <alignment horizontal="left" vertical="center"/>
    </xf>
    <xf numFmtId="0" fontId="24" fillId="0" borderId="34" xfId="0" applyFont="1" applyBorder="1" applyAlignment="1">
      <alignment horizontal="left" vertical="center"/>
    </xf>
    <xf numFmtId="0" fontId="25" fillId="0" borderId="0" xfId="0" applyFont="1" applyAlignment="1">
      <alignment horizontal="left"/>
    </xf>
    <xf numFmtId="169" fontId="18" fillId="0" borderId="41" xfId="0" applyNumberFormat="1" applyFont="1" applyBorder="1" applyAlignment="1">
      <alignment horizontal="center" vertical="center" wrapText="1"/>
    </xf>
    <xf numFmtId="0" fontId="18" fillId="0" borderId="38" xfId="0" applyFont="1" applyBorder="1" applyAlignment="1" applyProtection="1">
      <alignment horizontal="center"/>
      <protection locked="0"/>
    </xf>
    <xf numFmtId="0" fontId="18" fillId="0" borderId="0" xfId="0" applyFont="1" applyAlignment="1" applyProtection="1">
      <alignment horizontal="center"/>
      <protection locked="0"/>
    </xf>
    <xf numFmtId="169" fontId="18" fillId="0" borderId="0" xfId="0" applyNumberFormat="1" applyFont="1" applyAlignment="1" applyProtection="1">
      <alignment horizontal="center"/>
      <protection locked="0"/>
    </xf>
    <xf numFmtId="181" fontId="18" fillId="0" borderId="39" xfId="0" applyNumberFormat="1" applyFont="1" applyBorder="1" applyAlignment="1" applyProtection="1">
      <alignment horizontal="center"/>
      <protection locked="0"/>
    </xf>
    <xf numFmtId="0" fontId="18" fillId="10" borderId="0" xfId="0" applyFont="1" applyFill="1" applyAlignment="1" applyProtection="1">
      <alignment horizontal="center"/>
      <protection locked="0"/>
    </xf>
    <xf numFmtId="0" fontId="18" fillId="0" borderId="39" xfId="0" applyFont="1" applyBorder="1" applyAlignment="1" applyProtection="1">
      <alignment horizontal="center"/>
      <protection locked="0"/>
    </xf>
    <xf numFmtId="0" fontId="28" fillId="9" borderId="4" xfId="0" applyFont="1" applyFill="1" applyBorder="1" applyAlignment="1">
      <alignment horizontal="left" vertical="center"/>
    </xf>
    <xf numFmtId="0" fontId="28" fillId="9" borderId="6" xfId="0" applyFont="1" applyFill="1" applyBorder="1" applyAlignment="1">
      <alignment horizontal="center" vertical="center"/>
    </xf>
    <xf numFmtId="0" fontId="8" fillId="0" borderId="0" xfId="0" applyFont="1" applyAlignment="1">
      <alignment horizontal="center" vertical="center"/>
    </xf>
    <xf numFmtId="0" fontId="28" fillId="9" borderId="1" xfId="0" applyFont="1" applyFill="1" applyBorder="1" applyAlignment="1">
      <alignment horizontal="left" vertical="center"/>
    </xf>
    <xf numFmtId="0" fontId="28" fillId="9" borderId="1" xfId="0" applyFont="1" applyFill="1" applyBorder="1" applyAlignment="1">
      <alignment horizontal="center" vertical="center"/>
    </xf>
    <xf numFmtId="0" fontId="28" fillId="9" borderId="5" xfId="0" applyFont="1" applyFill="1" applyBorder="1" applyAlignment="1">
      <alignment horizontal="center" vertical="center"/>
    </xf>
    <xf numFmtId="0" fontId="29" fillId="9" borderId="6" xfId="0" applyFont="1" applyFill="1" applyBorder="1" applyAlignment="1">
      <alignment horizontal="center" vertical="center"/>
    </xf>
    <xf numFmtId="0" fontId="29" fillId="9" borderId="5" xfId="0" applyFont="1" applyFill="1" applyBorder="1" applyAlignment="1" applyProtection="1">
      <alignment horizontal="center" vertical="center"/>
      <protection locked="0"/>
    </xf>
    <xf numFmtId="0" fontId="20" fillId="9" borderId="11" xfId="0" applyFont="1" applyFill="1" applyBorder="1" applyAlignment="1">
      <alignment horizontal="center" vertical="center"/>
    </xf>
    <xf numFmtId="0" fontId="20" fillId="9" borderId="1" xfId="0" applyFont="1" applyFill="1" applyBorder="1" applyAlignment="1">
      <alignment horizontal="center" vertical="center"/>
    </xf>
    <xf numFmtId="0" fontId="20" fillId="9" borderId="11" xfId="0" applyFont="1" applyFill="1" applyBorder="1" applyAlignment="1">
      <alignment horizontal="center" vertical="center" wrapText="1"/>
    </xf>
    <xf numFmtId="0" fontId="20" fillId="9" borderId="1" xfId="0" applyFont="1" applyFill="1" applyBorder="1" applyAlignment="1">
      <alignment horizontal="center" vertical="center" wrapText="1"/>
    </xf>
    <xf numFmtId="0" fontId="32" fillId="0" borderId="0" xfId="0" applyFont="1" applyAlignment="1">
      <alignment vertical="center"/>
    </xf>
    <xf numFmtId="0" fontId="16" fillId="0" borderId="38" xfId="0" applyFont="1" applyBorder="1" applyAlignment="1">
      <alignment horizontal="center" vertical="center"/>
    </xf>
    <xf numFmtId="0" fontId="16" fillId="0" borderId="0" xfId="0" applyFont="1" applyAlignment="1">
      <alignment horizontal="center" vertical="center"/>
    </xf>
    <xf numFmtId="181" fontId="16" fillId="0" borderId="0" xfId="0" applyNumberFormat="1" applyFont="1" applyAlignment="1">
      <alignment horizontal="center" vertical="center"/>
    </xf>
    <xf numFmtId="1" fontId="16" fillId="0" borderId="0" xfId="0" applyNumberFormat="1" applyFont="1" applyAlignment="1">
      <alignment horizontal="center" vertical="center"/>
    </xf>
    <xf numFmtId="0" fontId="16" fillId="0" borderId="0" xfId="0" applyFont="1"/>
    <xf numFmtId="0" fontId="17" fillId="9" borderId="4" xfId="0" applyFont="1" applyFill="1" applyBorder="1" applyAlignment="1">
      <alignment vertical="center"/>
    </xf>
    <xf numFmtId="0" fontId="17" fillId="9" borderId="6" xfId="0" applyFont="1" applyFill="1" applyBorder="1" applyAlignment="1">
      <alignment vertical="center"/>
    </xf>
    <xf numFmtId="0" fontId="17" fillId="9" borderId="5" xfId="0" applyFont="1" applyFill="1" applyBorder="1" applyAlignment="1">
      <alignment vertical="center"/>
    </xf>
    <xf numFmtId="0" fontId="16" fillId="0" borderId="1" xfId="0" applyFont="1" applyBorder="1" applyAlignment="1" applyProtection="1">
      <alignment horizontal="center" vertical="center"/>
      <protection locked="0"/>
    </xf>
    <xf numFmtId="0" fontId="12" fillId="7" borderId="1" xfId="0" applyFont="1" applyFill="1" applyBorder="1" applyAlignment="1" applyProtection="1">
      <alignment horizontal="center" vertical="center"/>
      <protection hidden="1"/>
    </xf>
    <xf numFmtId="0" fontId="16" fillId="0" borderId="33" xfId="0" applyFont="1" applyBorder="1" applyAlignment="1">
      <alignment horizontal="center" vertical="center"/>
    </xf>
    <xf numFmtId="0" fontId="16" fillId="0" borderId="46" xfId="0" applyFont="1" applyBorder="1" applyAlignment="1">
      <alignment horizontal="center" vertical="center"/>
    </xf>
    <xf numFmtId="0" fontId="8" fillId="0" borderId="1" xfId="0" applyFont="1" applyBorder="1" applyAlignment="1">
      <alignment horizontal="center" vertical="center"/>
    </xf>
    <xf numFmtId="0" fontId="36" fillId="0" borderId="0" xfId="0" applyFont="1" applyAlignment="1">
      <alignment vertical="center"/>
    </xf>
    <xf numFmtId="0" fontId="34" fillId="0" borderId="1" xfId="0" applyFont="1" applyBorder="1" applyAlignment="1">
      <alignment horizontal="center" vertical="center"/>
    </xf>
    <xf numFmtId="0" fontId="34" fillId="0" borderId="0" xfId="0" applyFont="1" applyAlignment="1">
      <alignment horizontal="center" vertical="center"/>
    </xf>
    <xf numFmtId="0" fontId="34" fillId="0" borderId="26" xfId="0" applyFont="1" applyBorder="1" applyAlignment="1">
      <alignment horizontal="center" vertical="center"/>
    </xf>
    <xf numFmtId="0" fontId="34" fillId="0" borderId="27" xfId="0" applyFont="1" applyBorder="1" applyAlignment="1">
      <alignment horizontal="center" vertical="center"/>
    </xf>
    <xf numFmtId="0" fontId="34" fillId="0" borderId="28" xfId="0" applyFont="1" applyBorder="1" applyAlignment="1">
      <alignment horizontal="center" vertical="center"/>
    </xf>
    <xf numFmtId="0" fontId="34" fillId="0" borderId="0" xfId="0" applyFont="1" applyAlignment="1">
      <alignment horizontal="center" vertical="center" wrapText="1"/>
    </xf>
    <xf numFmtId="0" fontId="34" fillId="0" borderId="32" xfId="0" applyFont="1" applyBorder="1" applyAlignment="1">
      <alignment horizontal="center" vertical="center"/>
    </xf>
    <xf numFmtId="173" fontId="8" fillId="0" borderId="33" xfId="0" applyNumberFormat="1" applyFont="1" applyBorder="1" applyAlignment="1">
      <alignment horizontal="center" vertical="center"/>
    </xf>
    <xf numFmtId="173" fontId="8" fillId="0" borderId="34" xfId="0" applyNumberFormat="1" applyFont="1" applyBorder="1" applyAlignment="1">
      <alignment horizontal="center" vertical="center"/>
    </xf>
    <xf numFmtId="0" fontId="34" fillId="0" borderId="23" xfId="0" applyFont="1" applyBorder="1" applyAlignment="1">
      <alignment horizontal="center" vertical="center"/>
    </xf>
    <xf numFmtId="0" fontId="34" fillId="0" borderId="24" xfId="0" applyFont="1" applyBorder="1" applyAlignment="1">
      <alignment horizontal="center" vertical="center"/>
    </xf>
    <xf numFmtId="0" fontId="34" fillId="0" borderId="25" xfId="0" applyFont="1" applyBorder="1" applyAlignment="1">
      <alignment horizontal="center" vertical="center"/>
    </xf>
    <xf numFmtId="173" fontId="8" fillId="0" borderId="38" xfId="0" applyNumberFormat="1" applyFont="1" applyBorder="1" applyAlignment="1">
      <alignment horizontal="center" vertical="center"/>
    </xf>
    <xf numFmtId="173" fontId="8" fillId="0" borderId="39" xfId="0" applyNumberFormat="1" applyFont="1" applyBorder="1" applyAlignment="1">
      <alignment horizontal="center" vertical="center"/>
    </xf>
    <xf numFmtId="0" fontId="34" fillId="0" borderId="40" xfId="0" applyFont="1" applyBorder="1" applyAlignment="1">
      <alignment horizontal="center" vertical="center"/>
    </xf>
    <xf numFmtId="173" fontId="8" fillId="0" borderId="41" xfId="0" applyNumberFormat="1" applyFont="1" applyBorder="1" applyAlignment="1">
      <alignment horizontal="center" vertical="center"/>
    </xf>
    <xf numFmtId="173" fontId="8" fillId="0" borderId="42" xfId="0" applyNumberFormat="1" applyFont="1" applyBorder="1" applyAlignment="1">
      <alignment horizontal="center" vertical="center"/>
    </xf>
    <xf numFmtId="2" fontId="8" fillId="0" borderId="0" xfId="0" applyNumberFormat="1" applyFont="1" applyAlignment="1">
      <alignment horizontal="center" vertical="center"/>
    </xf>
    <xf numFmtId="0" fontId="34" fillId="0" borderId="1" xfId="0" applyFont="1" applyBorder="1" applyAlignment="1">
      <alignment horizontal="center" vertical="center" wrapText="1"/>
    </xf>
    <xf numFmtId="2" fontId="8" fillId="0" borderId="1" xfId="0" applyNumberFormat="1" applyFont="1" applyBorder="1" applyAlignment="1">
      <alignment horizontal="center" vertical="center"/>
    </xf>
    <xf numFmtId="0" fontId="8" fillId="0" borderId="10" xfId="0" applyFont="1" applyBorder="1" applyAlignment="1">
      <alignment horizontal="center" vertical="center"/>
    </xf>
    <xf numFmtId="2" fontId="8" fillId="0" borderId="10" xfId="0" applyNumberFormat="1" applyFont="1" applyBorder="1" applyAlignment="1">
      <alignment horizontal="center" vertical="center"/>
    </xf>
    <xf numFmtId="171" fontId="8" fillId="0" borderId="1" xfId="0" applyNumberFormat="1" applyFont="1" applyBorder="1" applyAlignment="1">
      <alignment horizontal="center" vertical="center"/>
    </xf>
    <xf numFmtId="172" fontId="8" fillId="0" borderId="1" xfId="0" applyNumberFormat="1" applyFont="1" applyBorder="1" applyAlignment="1">
      <alignment horizontal="center" vertical="center"/>
    </xf>
    <xf numFmtId="170" fontId="8" fillId="0" borderId="1" xfId="0" applyNumberFormat="1" applyFont="1" applyBorder="1" applyAlignment="1">
      <alignment horizontal="center" vertical="center"/>
    </xf>
    <xf numFmtId="0" fontId="8" fillId="0" borderId="0" xfId="0" applyFont="1" applyAlignment="1">
      <alignment horizontal="left" vertical="top" wrapText="1"/>
    </xf>
    <xf numFmtId="170" fontId="8" fillId="0" borderId="0" xfId="0" applyNumberFormat="1" applyFont="1" applyAlignment="1">
      <alignment horizontal="center" vertical="center"/>
    </xf>
    <xf numFmtId="169" fontId="34" fillId="0" borderId="1" xfId="0" applyNumberFormat="1" applyFont="1" applyBorder="1" applyAlignment="1">
      <alignment horizontal="center" vertical="center"/>
    </xf>
    <xf numFmtId="178" fontId="34" fillId="0" borderId="1" xfId="0" applyNumberFormat="1" applyFont="1" applyBorder="1" applyAlignment="1">
      <alignment horizontal="center" vertical="center"/>
    </xf>
    <xf numFmtId="179" fontId="34" fillId="0" borderId="1" xfId="0" applyNumberFormat="1" applyFont="1" applyBorder="1" applyAlignment="1">
      <alignment horizontal="center" vertical="center"/>
    </xf>
    <xf numFmtId="169" fontId="8" fillId="0" borderId="1" xfId="0" applyNumberFormat="1" applyFont="1" applyBorder="1" applyAlignment="1">
      <alignment horizontal="center" vertical="center"/>
    </xf>
    <xf numFmtId="175" fontId="34" fillId="0" borderId="1" xfId="0" applyNumberFormat="1" applyFont="1" applyBorder="1" applyAlignment="1">
      <alignment horizontal="center" vertical="center"/>
    </xf>
    <xf numFmtId="176" fontId="8" fillId="0" borderId="0" xfId="0" applyNumberFormat="1" applyFont="1" applyAlignment="1">
      <alignment horizontal="center" vertical="center"/>
    </xf>
    <xf numFmtId="176" fontId="34" fillId="0" borderId="1" xfId="0" applyNumberFormat="1" applyFont="1" applyBorder="1" applyAlignment="1">
      <alignment horizontal="center" vertical="center"/>
    </xf>
    <xf numFmtId="177" fontId="34" fillId="0" borderId="1" xfId="0" applyNumberFormat="1" applyFont="1" applyBorder="1" applyAlignment="1">
      <alignment horizontal="center" vertical="center"/>
    </xf>
    <xf numFmtId="169" fontId="8" fillId="0" borderId="0" xfId="0" applyNumberFormat="1" applyFont="1" applyAlignment="1">
      <alignment horizontal="center" vertical="center"/>
    </xf>
    <xf numFmtId="181" fontId="8" fillId="0" borderId="0" xfId="0" applyNumberFormat="1" applyFont="1" applyAlignment="1">
      <alignment horizontal="center" vertical="center"/>
    </xf>
    <xf numFmtId="173" fontId="8" fillId="18" borderId="30" xfId="0" applyNumberFormat="1" applyFont="1" applyFill="1" applyBorder="1" applyAlignment="1">
      <alignment horizontal="center" vertical="center"/>
    </xf>
    <xf numFmtId="173" fontId="8" fillId="18" borderId="11" xfId="0" applyNumberFormat="1" applyFont="1" applyFill="1" applyBorder="1" applyAlignment="1">
      <alignment horizontal="center" vertical="center"/>
    </xf>
    <xf numFmtId="173" fontId="8" fillId="18" borderId="31" xfId="0" applyNumberFormat="1" applyFont="1" applyFill="1" applyBorder="1" applyAlignment="1">
      <alignment horizontal="center" vertical="center"/>
    </xf>
    <xf numFmtId="173" fontId="8" fillId="18" borderId="36" xfId="0" applyNumberFormat="1" applyFont="1" applyFill="1" applyBorder="1" applyAlignment="1">
      <alignment horizontal="center" vertical="center"/>
    </xf>
    <xf numFmtId="173" fontId="8" fillId="18" borderId="1" xfId="0" applyNumberFormat="1" applyFont="1" applyFill="1" applyBorder="1" applyAlignment="1">
      <alignment horizontal="center" vertical="center"/>
    </xf>
    <xf numFmtId="173" fontId="8" fillId="18" borderId="37" xfId="0" applyNumberFormat="1" applyFont="1" applyFill="1" applyBorder="1" applyAlignment="1">
      <alignment horizontal="center" vertical="center"/>
    </xf>
    <xf numFmtId="173" fontId="8" fillId="19" borderId="36" xfId="0" applyNumberFormat="1" applyFont="1" applyFill="1" applyBorder="1" applyAlignment="1">
      <alignment horizontal="center" vertical="center"/>
    </xf>
    <xf numFmtId="173" fontId="8" fillId="19" borderId="1" xfId="0" applyNumberFormat="1" applyFont="1" applyFill="1" applyBorder="1" applyAlignment="1">
      <alignment horizontal="center" vertical="center"/>
    </xf>
    <xf numFmtId="173" fontId="8" fillId="19" borderId="37" xfId="0" applyNumberFormat="1" applyFont="1" applyFill="1" applyBorder="1" applyAlignment="1">
      <alignment horizontal="center" vertical="center"/>
    </xf>
    <xf numFmtId="173" fontId="38" fillId="0" borderId="36" xfId="0" applyNumberFormat="1" applyFont="1" applyBorder="1" applyAlignment="1">
      <alignment horizontal="center" vertical="center"/>
    </xf>
    <xf numFmtId="173" fontId="38" fillId="0" borderId="1" xfId="0" applyNumberFormat="1" applyFont="1" applyBorder="1" applyAlignment="1">
      <alignment horizontal="center" vertical="center"/>
    </xf>
    <xf numFmtId="173" fontId="38" fillId="0" borderId="37" xfId="0" applyNumberFormat="1" applyFont="1" applyBorder="1" applyAlignment="1">
      <alignment horizontal="center" vertical="center"/>
    </xf>
    <xf numFmtId="173" fontId="38" fillId="0" borderId="23" xfId="0" applyNumberFormat="1" applyFont="1" applyBorder="1" applyAlignment="1">
      <alignment horizontal="center" vertical="center"/>
    </xf>
    <xf numFmtId="173" fontId="38" fillId="0" borderId="24" xfId="0" applyNumberFormat="1" applyFont="1" applyBorder="1" applyAlignment="1">
      <alignment horizontal="center" vertical="center"/>
    </xf>
    <xf numFmtId="173" fontId="38" fillId="0" borderId="25" xfId="0" applyNumberFormat="1" applyFont="1" applyBorder="1" applyAlignment="1">
      <alignment horizontal="center" vertical="center"/>
    </xf>
    <xf numFmtId="2" fontId="8" fillId="18" borderId="29" xfId="0" applyNumberFormat="1" applyFont="1" applyFill="1" applyBorder="1" applyAlignment="1">
      <alignment horizontal="center" vertical="center"/>
    </xf>
    <xf numFmtId="2" fontId="38" fillId="0" borderId="35" xfId="0" applyNumberFormat="1" applyFont="1" applyBorder="1" applyAlignment="1">
      <alignment horizontal="center" vertical="center"/>
    </xf>
    <xf numFmtId="2" fontId="8" fillId="18" borderId="35" xfId="0" applyNumberFormat="1" applyFont="1" applyFill="1" applyBorder="1" applyAlignment="1">
      <alignment horizontal="center" vertical="center"/>
    </xf>
    <xf numFmtId="2" fontId="8" fillId="19" borderId="35" xfId="0" applyNumberFormat="1" applyFont="1" applyFill="1" applyBorder="1" applyAlignment="1">
      <alignment horizontal="center" vertical="center"/>
    </xf>
    <xf numFmtId="2" fontId="38" fillId="0" borderId="22" xfId="0" applyNumberFormat="1" applyFont="1" applyBorder="1" applyAlignment="1">
      <alignment horizontal="center" vertical="center"/>
    </xf>
    <xf numFmtId="181" fontId="16" fillId="0" borderId="1" xfId="0" applyNumberFormat="1" applyFont="1" applyBorder="1" applyAlignment="1">
      <alignment horizontal="center" vertical="center"/>
    </xf>
    <xf numFmtId="0" fontId="16" fillId="0" borderId="1" xfId="0" applyFont="1" applyBorder="1" applyAlignment="1">
      <alignment horizontal="center" vertical="center"/>
    </xf>
    <xf numFmtId="181" fontId="16" fillId="18" borderId="1" xfId="0" applyNumberFormat="1" applyFont="1" applyFill="1" applyBorder="1" applyAlignment="1" applyProtection="1">
      <alignment horizontal="center" vertical="center"/>
      <protection locked="0"/>
    </xf>
    <xf numFmtId="0" fontId="16" fillId="0" borderId="0" xfId="0" quotePrefix="1" applyFont="1" applyAlignment="1">
      <alignment horizontal="center" vertical="center"/>
    </xf>
    <xf numFmtId="0" fontId="39" fillId="0" borderId="0" xfId="0" applyFont="1" applyAlignment="1">
      <alignment horizontal="center" vertical="center"/>
    </xf>
    <xf numFmtId="0" fontId="34" fillId="0" borderId="11" xfId="0" applyFont="1" applyBorder="1" applyAlignment="1">
      <alignment horizontal="center" vertical="center"/>
    </xf>
    <xf numFmtId="0" fontId="28" fillId="0" borderId="0" xfId="0" applyFont="1"/>
    <xf numFmtId="0" fontId="34" fillId="16" borderId="1" xfId="0" applyFont="1" applyFill="1" applyBorder="1" applyAlignment="1">
      <alignment horizontal="center" vertical="center"/>
    </xf>
    <xf numFmtId="0" fontId="34" fillId="16" borderId="1" xfId="0" applyFont="1" applyFill="1" applyBorder="1" applyAlignment="1">
      <alignment horizontal="center" vertical="center" wrapText="1"/>
    </xf>
    <xf numFmtId="0" fontId="8" fillId="16" borderId="1" xfId="0" applyFont="1" applyFill="1" applyBorder="1" applyAlignment="1">
      <alignment horizontal="center" vertical="center"/>
    </xf>
    <xf numFmtId="2" fontId="8" fillId="16" borderId="1" xfId="0" applyNumberFormat="1" applyFont="1" applyFill="1" applyBorder="1" applyAlignment="1">
      <alignment horizontal="center" vertical="center"/>
    </xf>
    <xf numFmtId="0" fontId="8" fillId="16" borderId="0" xfId="0" applyFont="1" applyFill="1" applyAlignment="1">
      <alignment horizontal="center" vertical="center"/>
    </xf>
    <xf numFmtId="169" fontId="34" fillId="16" borderId="1" xfId="0" applyNumberFormat="1" applyFont="1" applyFill="1" applyBorder="1" applyAlignment="1">
      <alignment horizontal="center" vertical="center"/>
    </xf>
    <xf numFmtId="178" fontId="34" fillId="16" borderId="1" xfId="0" applyNumberFormat="1" applyFont="1" applyFill="1" applyBorder="1" applyAlignment="1">
      <alignment horizontal="center" vertical="center"/>
    </xf>
    <xf numFmtId="179" fontId="34" fillId="16" borderId="1" xfId="0" applyNumberFormat="1" applyFont="1" applyFill="1" applyBorder="1" applyAlignment="1">
      <alignment horizontal="center" vertical="center"/>
    </xf>
    <xf numFmtId="170" fontId="8" fillId="16" borderId="1" xfId="0" applyNumberFormat="1" applyFont="1" applyFill="1" applyBorder="1" applyAlignment="1">
      <alignment horizontal="center" vertical="center"/>
    </xf>
    <xf numFmtId="169" fontId="8" fillId="16" borderId="1" xfId="0" applyNumberFormat="1" applyFont="1" applyFill="1" applyBorder="1" applyAlignment="1">
      <alignment horizontal="center" vertical="center"/>
    </xf>
    <xf numFmtId="175" fontId="34" fillId="16" borderId="1" xfId="0" applyNumberFormat="1" applyFont="1" applyFill="1" applyBorder="1" applyAlignment="1">
      <alignment horizontal="center" vertical="center"/>
    </xf>
    <xf numFmtId="176" fontId="34" fillId="16" borderId="1" xfId="0" applyNumberFormat="1" applyFont="1" applyFill="1" applyBorder="1" applyAlignment="1">
      <alignment horizontal="center" vertical="center"/>
    </xf>
    <xf numFmtId="177" fontId="34" fillId="16" borderId="1" xfId="0" applyNumberFormat="1" applyFont="1" applyFill="1" applyBorder="1" applyAlignment="1">
      <alignment horizontal="center" vertical="center"/>
    </xf>
    <xf numFmtId="0" fontId="18" fillId="0" borderId="0" xfId="0" quotePrefix="1" applyFont="1" applyAlignment="1">
      <alignment horizontal="center" vertical="center" wrapText="1"/>
    </xf>
    <xf numFmtId="176" fontId="8" fillId="16" borderId="0" xfId="0" applyNumberFormat="1" applyFont="1" applyFill="1" applyAlignment="1">
      <alignment horizontal="center" vertical="center"/>
    </xf>
    <xf numFmtId="169" fontId="8" fillId="16" borderId="0" xfId="0" applyNumberFormat="1" applyFont="1" applyFill="1" applyAlignment="1">
      <alignment horizontal="center" vertical="center"/>
    </xf>
    <xf numFmtId="169" fontId="18" fillId="0" borderId="0" xfId="0" applyNumberFormat="1" applyFont="1" applyAlignment="1">
      <alignment horizontal="center"/>
    </xf>
    <xf numFmtId="181" fontId="18" fillId="0" borderId="0" xfId="0" applyNumberFormat="1" applyFont="1" applyAlignment="1">
      <alignment horizontal="center"/>
    </xf>
    <xf numFmtId="181" fontId="18" fillId="0" borderId="39" xfId="0" applyNumberFormat="1" applyFont="1" applyBorder="1" applyAlignment="1">
      <alignment horizontal="center"/>
    </xf>
    <xf numFmtId="0" fontId="20" fillId="6" borderId="4" xfId="4" applyFont="1" applyFill="1" applyBorder="1">
      <alignment horizontal="center" vertical="center"/>
    </xf>
    <xf numFmtId="0" fontId="21" fillId="7" borderId="1" xfId="0" applyFont="1" applyFill="1" applyBorder="1" applyAlignment="1">
      <alignment horizontal="center" vertical="center"/>
    </xf>
    <xf numFmtId="0" fontId="21" fillId="7" borderId="1" xfId="0" applyFont="1" applyFill="1" applyBorder="1" applyAlignment="1">
      <alignment horizontal="center" vertical="center" wrapText="1"/>
    </xf>
    <xf numFmtId="0" fontId="20" fillId="6" borderId="2" xfId="4" applyFont="1" applyFill="1" applyBorder="1">
      <alignment horizontal="center" vertical="center"/>
    </xf>
    <xf numFmtId="0" fontId="21" fillId="7" borderId="11" xfId="0" applyFont="1" applyFill="1" applyBorder="1" applyAlignment="1">
      <alignment horizontal="center" vertical="center"/>
    </xf>
    <xf numFmtId="0" fontId="18" fillId="0" borderId="1" xfId="0" applyFont="1" applyBorder="1" applyAlignment="1">
      <alignment horizontal="center" vertical="center"/>
    </xf>
    <xf numFmtId="0" fontId="20" fillId="0" borderId="1" xfId="4" applyFont="1" applyFill="1" applyBorder="1">
      <alignment horizontal="center" vertical="center"/>
    </xf>
    <xf numFmtId="0" fontId="20" fillId="6" borderId="54" xfId="4" applyFont="1" applyFill="1" applyBorder="1">
      <alignment horizontal="center" vertical="center"/>
    </xf>
    <xf numFmtId="0" fontId="18" fillId="0" borderId="44" xfId="0" applyFont="1" applyBorder="1" applyAlignment="1">
      <alignment horizontal="center" vertical="center"/>
    </xf>
    <xf numFmtId="0" fontId="18" fillId="8" borderId="1" xfId="0" applyFont="1" applyFill="1" applyBorder="1" applyAlignment="1">
      <alignment horizontal="center" vertical="center"/>
    </xf>
    <xf numFmtId="0" fontId="18" fillId="8" borderId="11" xfId="0" applyFont="1" applyFill="1" applyBorder="1" applyAlignment="1">
      <alignment horizontal="center" vertical="center"/>
    </xf>
    <xf numFmtId="0" fontId="20" fillId="6" borderId="1" xfId="4" applyFont="1" applyFill="1" applyBorder="1">
      <alignment horizontal="center" vertical="center"/>
    </xf>
    <xf numFmtId="0" fontId="20" fillId="6" borderId="44" xfId="4" applyFont="1" applyFill="1" applyBorder="1">
      <alignment horizontal="center" vertical="center"/>
    </xf>
    <xf numFmtId="0" fontId="20" fillId="6" borderId="11" xfId="4" applyFont="1" applyFill="1" applyBorder="1">
      <alignment horizontal="center" vertical="center"/>
    </xf>
    <xf numFmtId="169" fontId="18" fillId="6" borderId="11" xfId="0" applyNumberFormat="1" applyFont="1" applyFill="1" applyBorder="1" applyAlignment="1">
      <alignment horizontal="center" vertical="center"/>
    </xf>
    <xf numFmtId="169" fontId="18" fillId="7" borderId="1" xfId="0" applyNumberFormat="1" applyFont="1" applyFill="1" applyBorder="1" applyAlignment="1">
      <alignment horizontal="center" vertical="center"/>
    </xf>
    <xf numFmtId="169" fontId="18" fillId="6" borderId="1" xfId="0" applyNumberFormat="1" applyFont="1" applyFill="1" applyBorder="1" applyAlignment="1">
      <alignment horizontal="center" vertical="center"/>
    </xf>
    <xf numFmtId="169" fontId="18" fillId="7" borderId="44" xfId="0" applyNumberFormat="1" applyFont="1" applyFill="1" applyBorder="1" applyAlignment="1">
      <alignment horizontal="center" vertical="center"/>
    </xf>
    <xf numFmtId="0" fontId="18" fillId="8" borderId="45" xfId="0" applyFont="1" applyFill="1" applyBorder="1" applyAlignment="1">
      <alignment horizontal="center" vertical="center"/>
    </xf>
    <xf numFmtId="0" fontId="18" fillId="0" borderId="0" xfId="0" applyFont="1" applyAlignment="1">
      <alignment horizontal="left" vertical="center"/>
    </xf>
    <xf numFmtId="0" fontId="20" fillId="0" borderId="1" xfId="4" applyFont="1" applyFill="1" applyBorder="1" applyAlignment="1">
      <alignment horizontal="left" vertical="center" indent="1"/>
    </xf>
    <xf numFmtId="0" fontId="18" fillId="8" borderId="1" xfId="0" applyFont="1" applyFill="1" applyBorder="1" applyAlignment="1">
      <alignment horizontal="left" vertical="center" indent="1"/>
    </xf>
    <xf numFmtId="0" fontId="16" fillId="0" borderId="0" xfId="0" applyFont="1" applyAlignment="1">
      <alignment horizontal="center" vertical="center" wrapText="1"/>
    </xf>
    <xf numFmtId="0" fontId="34" fillId="0" borderId="0" xfId="0" applyFont="1" applyAlignment="1">
      <alignment vertical="center"/>
    </xf>
    <xf numFmtId="0" fontId="40" fillId="0" borderId="0" xfId="0" applyFont="1" applyAlignment="1" applyProtection="1">
      <alignment horizontal="center" vertical="center"/>
      <protection locked="0"/>
    </xf>
    <xf numFmtId="0" fontId="41" fillId="0" borderId="0" xfId="0" applyFont="1" applyAlignment="1" applyProtection="1">
      <alignment horizontal="center" vertical="center"/>
      <protection locked="0"/>
    </xf>
    <xf numFmtId="0" fontId="12" fillId="0" borderId="1" xfId="0" applyFont="1" applyBorder="1" applyAlignment="1" applyProtection="1">
      <alignment horizontal="center" vertical="center"/>
      <protection locked="0"/>
    </xf>
    <xf numFmtId="0" fontId="35" fillId="0" borderId="1" xfId="0" applyFont="1" applyBorder="1" applyAlignment="1" applyProtection="1">
      <alignment horizontal="center" vertical="center"/>
      <protection locked="0"/>
    </xf>
    <xf numFmtId="9" fontId="12"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6" fillId="0" borderId="44" xfId="0" applyFont="1" applyBorder="1" applyAlignment="1" applyProtection="1">
      <alignment horizontal="center" vertical="center"/>
      <protection locked="0"/>
    </xf>
    <xf numFmtId="0" fontId="12" fillId="0" borderId="11" xfId="0" applyFont="1" applyBorder="1" applyAlignment="1" applyProtection="1">
      <alignment horizontal="center" vertical="center"/>
      <protection locked="0"/>
    </xf>
    <xf numFmtId="0" fontId="35" fillId="0" borderId="11" xfId="0" applyFont="1" applyBorder="1" applyAlignment="1" applyProtection="1">
      <alignment horizontal="center" vertical="center"/>
      <protection locked="0"/>
    </xf>
    <xf numFmtId="9" fontId="12" fillId="0" borderId="11" xfId="0" applyNumberFormat="1" applyFont="1" applyBorder="1" applyAlignment="1">
      <alignment horizontal="center" vertical="center"/>
    </xf>
    <xf numFmtId="0" fontId="42" fillId="0" borderId="1" xfId="0" applyFont="1" applyBorder="1" applyAlignment="1">
      <alignment horizontal="center" vertical="center"/>
    </xf>
    <xf numFmtId="0" fontId="42" fillId="0" borderId="1" xfId="0" applyFont="1" applyBorder="1" applyAlignment="1" applyProtection="1">
      <alignment horizontal="center" vertical="center"/>
      <protection locked="0"/>
    </xf>
    <xf numFmtId="0" fontId="42" fillId="0" borderId="44" xfId="0" applyFont="1" applyBorder="1" applyAlignment="1">
      <alignment horizontal="center" vertical="center"/>
    </xf>
    <xf numFmtId="0" fontId="42" fillId="0" borderId="11" xfId="0" applyFont="1" applyBorder="1" applyAlignment="1">
      <alignment horizontal="center" vertical="center"/>
    </xf>
    <xf numFmtId="0" fontId="42" fillId="0" borderId="11" xfId="0" applyFont="1" applyBorder="1" applyAlignment="1" applyProtection="1">
      <alignment horizontal="center" vertical="center"/>
      <protection locked="0"/>
    </xf>
    <xf numFmtId="173" fontId="42" fillId="0" borderId="1" xfId="0" applyNumberFormat="1" applyFont="1" applyBorder="1" applyAlignment="1">
      <alignment horizontal="center" vertical="center"/>
    </xf>
    <xf numFmtId="173" fontId="42" fillId="0" borderId="44" xfId="0" applyNumberFormat="1" applyFont="1" applyBorder="1" applyAlignment="1">
      <alignment horizontal="center" vertical="center"/>
    </xf>
    <xf numFmtId="173" fontId="42" fillId="0" borderId="11" xfId="0" applyNumberFormat="1" applyFont="1" applyBorder="1" applyAlignment="1">
      <alignment horizontal="center" vertical="center"/>
    </xf>
    <xf numFmtId="0" fontId="40" fillId="0" borderId="0" xfId="0" applyFont="1" applyAlignment="1">
      <alignment horizontal="center" vertical="center"/>
    </xf>
    <xf numFmtId="0" fontId="43" fillId="0" borderId="0" xfId="0" applyFont="1" applyAlignment="1">
      <alignment horizontal="center" vertical="center"/>
    </xf>
    <xf numFmtId="2" fontId="18" fillId="0" borderId="0" xfId="0" applyNumberFormat="1" applyFont="1" applyAlignment="1">
      <alignment horizontal="center" vertical="center"/>
    </xf>
    <xf numFmtId="0" fontId="44" fillId="22" borderId="0" xfId="0" applyFont="1" applyFill="1" applyAlignment="1">
      <alignment horizontal="center" vertical="center"/>
    </xf>
    <xf numFmtId="181" fontId="44" fillId="0" borderId="0" xfId="0" applyNumberFormat="1" applyFont="1" applyAlignment="1">
      <alignment horizontal="center" vertical="center"/>
    </xf>
    <xf numFmtId="0" fontId="40" fillId="22" borderId="1" xfId="0" applyFont="1" applyFill="1" applyBorder="1" applyAlignment="1" applyProtection="1">
      <alignment horizontal="center" vertical="center"/>
      <protection locked="0"/>
    </xf>
    <xf numFmtId="0" fontId="41" fillId="22" borderId="1" xfId="0" applyFont="1" applyFill="1" applyBorder="1" applyAlignment="1" applyProtection="1">
      <alignment horizontal="center" vertical="center"/>
      <protection locked="0"/>
    </xf>
    <xf numFmtId="0" fontId="41" fillId="22" borderId="1" xfId="0" quotePrefix="1" applyFont="1" applyFill="1" applyBorder="1" applyAlignment="1" applyProtection="1">
      <alignment horizontal="center" vertical="center"/>
      <protection locked="0"/>
    </xf>
    <xf numFmtId="0" fontId="15" fillId="0" borderId="1" xfId="0" applyFont="1" applyBorder="1" applyAlignment="1">
      <alignment horizontal="center" vertical="center"/>
    </xf>
    <xf numFmtId="0" fontId="45" fillId="0" borderId="1" xfId="0" applyFont="1" applyBorder="1" applyAlignment="1">
      <alignment horizontal="center" vertical="center"/>
    </xf>
    <xf numFmtId="0" fontId="16" fillId="0" borderId="4" xfId="0" applyFont="1" applyBorder="1" applyAlignment="1">
      <alignment horizontal="center" vertical="center"/>
    </xf>
    <xf numFmtId="0" fontId="8" fillId="0" borderId="0" xfId="0" applyFont="1" applyAlignment="1">
      <alignment vertical="center" wrapText="1"/>
    </xf>
    <xf numFmtId="0" fontId="0" fillId="0" borderId="0" xfId="0" applyAlignment="1">
      <alignment horizontal="left"/>
    </xf>
    <xf numFmtId="0" fontId="0" fillId="0" borderId="1" xfId="0" applyBorder="1" applyAlignment="1">
      <alignment horizontal="center" vertical="center"/>
    </xf>
    <xf numFmtId="181" fontId="0" fillId="0" borderId="1" xfId="0" applyNumberFormat="1" applyBorder="1" applyAlignment="1">
      <alignment horizontal="center" vertical="center"/>
    </xf>
    <xf numFmtId="170" fontId="0" fillId="0" borderId="1" xfId="0" applyNumberFormat="1" applyBorder="1" applyAlignment="1">
      <alignment horizontal="center" vertical="center"/>
    </xf>
    <xf numFmtId="0" fontId="18" fillId="0" borderId="0" xfId="0" applyFont="1" applyAlignment="1">
      <alignment vertical="center"/>
    </xf>
    <xf numFmtId="0" fontId="50" fillId="22" borderId="1" xfId="0" applyFont="1" applyFill="1" applyBorder="1" applyAlignment="1">
      <alignment horizontal="center" vertical="center"/>
    </xf>
    <xf numFmtId="0" fontId="36" fillId="0" borderId="55" xfId="0" applyFont="1" applyBorder="1" applyAlignment="1">
      <alignment vertical="center"/>
    </xf>
    <xf numFmtId="0" fontId="13" fillId="0" borderId="55" xfId="0" applyFont="1" applyBorder="1" applyAlignment="1">
      <alignment vertical="center"/>
    </xf>
    <xf numFmtId="0" fontId="17" fillId="21" borderId="1" xfId="0" applyFont="1" applyFill="1" applyBorder="1" applyAlignment="1">
      <alignment horizontal="center" vertical="center"/>
    </xf>
    <xf numFmtId="2" fontId="40" fillId="0" borderId="0" xfId="0" applyNumberFormat="1" applyFont="1" applyAlignment="1">
      <alignment horizontal="center" vertical="center"/>
    </xf>
    <xf numFmtId="2" fontId="41" fillId="0" borderId="0" xfId="0" applyNumberFormat="1" applyFont="1" applyAlignment="1" applyProtection="1">
      <alignment horizontal="center" vertical="center"/>
      <protection locked="0"/>
    </xf>
    <xf numFmtId="2" fontId="41" fillId="0" borderId="0" xfId="0" quotePrefix="1" applyNumberFormat="1" applyFont="1" applyAlignment="1" applyProtection="1">
      <alignment horizontal="center" vertical="center"/>
      <protection locked="0"/>
    </xf>
    <xf numFmtId="0" fontId="56" fillId="11" borderId="0" xfId="0" applyFont="1" applyFill="1" applyAlignment="1">
      <alignment horizontal="center" vertical="center" wrapText="1"/>
    </xf>
    <xf numFmtId="0" fontId="56" fillId="15" borderId="0" xfId="0" applyFont="1" applyFill="1" applyAlignment="1">
      <alignment horizontal="center" vertical="center"/>
    </xf>
    <xf numFmtId="0" fontId="56" fillId="17" borderId="0" xfId="0" applyFont="1" applyFill="1" applyAlignment="1">
      <alignment horizontal="center" vertical="center"/>
    </xf>
    <xf numFmtId="0" fontId="56" fillId="16" borderId="0" xfId="0" applyFont="1" applyFill="1" applyAlignment="1">
      <alignment horizontal="center" vertical="center"/>
    </xf>
    <xf numFmtId="0" fontId="56" fillId="0" borderId="0" xfId="0" applyFont="1" applyAlignment="1">
      <alignment horizontal="center" vertical="center" wrapText="1"/>
    </xf>
    <xf numFmtId="0" fontId="21" fillId="3" borderId="0" xfId="0" applyFont="1" applyFill="1" applyAlignment="1">
      <alignment horizontal="center" vertical="center" wrapText="1"/>
    </xf>
    <xf numFmtId="0" fontId="21" fillId="0" borderId="0" xfId="0" applyFont="1" applyAlignment="1">
      <alignment horizontal="center" vertical="center" wrapText="1"/>
    </xf>
    <xf numFmtId="0" fontId="57" fillId="0" borderId="0" xfId="0" applyFont="1"/>
    <xf numFmtId="14" fontId="16" fillId="0" borderId="0" xfId="0" applyNumberFormat="1" applyFont="1" applyAlignment="1">
      <alignment horizontal="center" vertical="center"/>
    </xf>
    <xf numFmtId="49" fontId="16" fillId="0" borderId="0" xfId="0" applyNumberFormat="1" applyFont="1" applyAlignment="1">
      <alignment horizontal="center" vertical="center"/>
    </xf>
    <xf numFmtId="0" fontId="16" fillId="0" borderId="0" xfId="0" applyFont="1" applyAlignment="1">
      <alignment horizontal="left" vertical="center"/>
    </xf>
    <xf numFmtId="0" fontId="58" fillId="0" borderId="0" xfId="0" applyFont="1"/>
    <xf numFmtId="0" fontId="61" fillId="0" borderId="0" xfId="0" applyFont="1" applyAlignment="1">
      <alignment horizontal="center" vertical="center"/>
    </xf>
    <xf numFmtId="0" fontId="16" fillId="0" borderId="0" xfId="0" applyFont="1" applyAlignment="1">
      <alignment vertical="center"/>
    </xf>
    <xf numFmtId="0" fontId="8" fillId="0" borderId="0" xfId="0" applyFont="1" applyAlignment="1">
      <alignment horizontal="left" vertical="center"/>
    </xf>
    <xf numFmtId="0" fontId="2" fillId="0" borderId="1" xfId="0" applyFont="1" applyBorder="1" applyAlignment="1">
      <alignment horizontal="center" vertical="center"/>
    </xf>
    <xf numFmtId="0" fontId="2" fillId="0" borderId="44" xfId="0" applyFont="1" applyBorder="1" applyAlignment="1">
      <alignment horizontal="center" vertical="center"/>
    </xf>
    <xf numFmtId="0" fontId="2" fillId="8" borderId="11" xfId="0" applyFont="1" applyFill="1" applyBorder="1" applyAlignment="1">
      <alignment horizontal="center" vertical="center"/>
    </xf>
    <xf numFmtId="0" fontId="2" fillId="8" borderId="1" xfId="0" applyFont="1" applyFill="1" applyBorder="1" applyAlignment="1">
      <alignment horizontal="center" vertical="center"/>
    </xf>
    <xf numFmtId="169" fontId="2" fillId="6" borderId="11" xfId="0" applyNumberFormat="1" applyFont="1" applyFill="1" applyBorder="1" applyAlignment="1">
      <alignment horizontal="center" vertical="center"/>
    </xf>
    <xf numFmtId="169" fontId="2" fillId="7" borderId="1" xfId="0" applyNumberFormat="1" applyFont="1" applyFill="1" applyBorder="1" applyAlignment="1">
      <alignment horizontal="center" vertical="center"/>
    </xf>
    <xf numFmtId="169" fontId="2" fillId="6" borderId="1" xfId="0" applyNumberFormat="1" applyFont="1" applyFill="1" applyBorder="1" applyAlignment="1">
      <alignment horizontal="center" vertical="center"/>
    </xf>
    <xf numFmtId="169" fontId="2" fillId="7" borderId="44" xfId="0" applyNumberFormat="1" applyFont="1" applyFill="1" applyBorder="1" applyAlignment="1">
      <alignment horizontal="center" vertical="center"/>
    </xf>
    <xf numFmtId="0" fontId="2" fillId="8" borderId="45" xfId="0" applyFont="1" applyFill="1" applyBorder="1" applyAlignment="1">
      <alignment horizontal="center" vertical="center"/>
    </xf>
    <xf numFmtId="169" fontId="2" fillId="8" borderId="11" xfId="0" applyNumberFormat="1" applyFont="1" applyFill="1" applyBorder="1" applyAlignment="1">
      <alignment horizontal="center" vertical="center"/>
    </xf>
    <xf numFmtId="169" fontId="2" fillId="0" borderId="1" xfId="0" applyNumberFormat="1" applyFont="1" applyBorder="1" applyAlignment="1">
      <alignment horizontal="center" vertical="center"/>
    </xf>
    <xf numFmtId="169" fontId="2" fillId="8" borderId="1" xfId="0" applyNumberFormat="1" applyFont="1" applyFill="1" applyBorder="1" applyAlignment="1">
      <alignment horizontal="center" vertical="center"/>
    </xf>
    <xf numFmtId="169" fontId="2" fillId="0" borderId="44" xfId="0" applyNumberFormat="1" applyFont="1" applyBorder="1" applyAlignment="1">
      <alignment horizontal="center" vertical="center"/>
    </xf>
    <xf numFmtId="0" fontId="28" fillId="0" borderId="0" xfId="0" applyFont="1" applyAlignment="1">
      <alignment horizontal="right" vertical="center"/>
    </xf>
    <xf numFmtId="0" fontId="28" fillId="0" borderId="0" xfId="0" applyFont="1" applyAlignment="1">
      <alignment horizontal="center" vertical="center"/>
    </xf>
    <xf numFmtId="170" fontId="16" fillId="0" borderId="1" xfId="0" applyNumberFormat="1" applyFont="1" applyBorder="1" applyAlignment="1">
      <alignment horizontal="center" vertical="center"/>
    </xf>
    <xf numFmtId="0" fontId="17" fillId="0" borderId="1" xfId="0" applyFont="1" applyBorder="1" applyAlignment="1">
      <alignment horizontal="center" vertical="center" wrapText="1"/>
    </xf>
    <xf numFmtId="0" fontId="18" fillId="0" borderId="0" xfId="0" quotePrefix="1" applyFont="1" applyAlignment="1">
      <alignment horizontal="center" vertical="center"/>
    </xf>
    <xf numFmtId="0" fontId="34" fillId="13" borderId="0" xfId="0" applyFont="1" applyFill="1" applyAlignment="1">
      <alignment vertical="center" wrapText="1"/>
    </xf>
    <xf numFmtId="0" fontId="16" fillId="0" borderId="0" xfId="0" applyFont="1" applyAlignment="1">
      <alignment horizontal="center" vertical="center" shrinkToFit="1"/>
    </xf>
    <xf numFmtId="0" fontId="8" fillId="0" borderId="57" xfId="0" applyFont="1" applyBorder="1" applyAlignment="1">
      <alignment vertical="center"/>
    </xf>
    <xf numFmtId="0" fontId="8" fillId="0" borderId="58" xfId="0" applyFont="1" applyBorder="1" applyAlignment="1">
      <alignment vertical="center"/>
    </xf>
    <xf numFmtId="39" fontId="65" fillId="0" borderId="60" xfId="0" applyNumberFormat="1" applyFont="1" applyBorder="1" applyAlignment="1">
      <alignment horizontal="right" vertical="center"/>
    </xf>
    <xf numFmtId="0" fontId="65" fillId="0" borderId="60" xfId="1" applyFont="1" applyBorder="1" applyAlignment="1">
      <alignment horizontal="right" vertical="center"/>
    </xf>
    <xf numFmtId="0" fontId="65" fillId="0" borderId="60" xfId="2" applyFont="1" applyBorder="1" applyAlignment="1">
      <alignment horizontal="right" vertical="center"/>
    </xf>
    <xf numFmtId="0" fontId="66" fillId="0" borderId="62" xfId="2" applyFont="1" applyBorder="1" applyAlignment="1">
      <alignment horizontal="center" vertical="center"/>
    </xf>
    <xf numFmtId="0" fontId="66" fillId="0" borderId="63" xfId="2" applyFont="1" applyBorder="1" applyAlignment="1">
      <alignment horizontal="center" vertical="center"/>
    </xf>
    <xf numFmtId="22" fontId="16" fillId="0" borderId="46" xfId="0" applyNumberFormat="1" applyFont="1" applyBorder="1" applyAlignment="1">
      <alignment horizontal="left"/>
    </xf>
    <xf numFmtId="0" fontId="17" fillId="0" borderId="0" xfId="0" applyFont="1" applyAlignment="1">
      <alignment horizontal="center" vertical="center"/>
    </xf>
    <xf numFmtId="0" fontId="12" fillId="0" borderId="0" xfId="0" applyFont="1" applyAlignment="1">
      <alignment horizontal="center" vertical="center"/>
    </xf>
    <xf numFmtId="2" fontId="18" fillId="0" borderId="0" xfId="0" quotePrefix="1" applyNumberFormat="1" applyFont="1" applyAlignment="1">
      <alignment horizontal="center" vertical="center"/>
    </xf>
    <xf numFmtId="2" fontId="18" fillId="0" borderId="0" xfId="0" quotePrefix="1" applyNumberFormat="1" applyFont="1" applyAlignment="1">
      <alignment horizontal="center" vertical="center" wrapText="1"/>
    </xf>
    <xf numFmtId="0" fontId="69" fillId="0" borderId="46" xfId="0" applyFont="1" applyBorder="1" applyAlignment="1">
      <alignment horizontal="center"/>
    </xf>
    <xf numFmtId="0" fontId="70" fillId="0" borderId="0" xfId="8" applyFont="1"/>
    <xf numFmtId="0" fontId="18" fillId="0" borderId="0" xfId="8" applyFont="1"/>
    <xf numFmtId="0" fontId="28" fillId="0" borderId="0" xfId="8" applyFont="1"/>
    <xf numFmtId="0" fontId="8" fillId="0" borderId="0" xfId="8"/>
    <xf numFmtId="0" fontId="50" fillId="0" borderId="0" xfId="8" applyFont="1"/>
    <xf numFmtId="0" fontId="20" fillId="0" borderId="0" xfId="8" applyFont="1" applyAlignment="1">
      <alignment horizontal="left" vertical="center" shrinkToFit="1"/>
    </xf>
    <xf numFmtId="0" fontId="20" fillId="0" borderId="0" xfId="8" applyFont="1" applyAlignment="1">
      <alignment shrinkToFit="1"/>
    </xf>
    <xf numFmtId="0" fontId="18" fillId="0" borderId="0" xfId="0" applyFont="1" applyAlignment="1">
      <alignment horizontal="left"/>
    </xf>
    <xf numFmtId="0" fontId="18" fillId="0" borderId="0" xfId="0" applyFont="1" applyAlignment="1">
      <alignment vertical="top"/>
    </xf>
    <xf numFmtId="0" fontId="18" fillId="0" borderId="0" xfId="0" quotePrefix="1" applyFont="1"/>
    <xf numFmtId="0" fontId="18" fillId="0" borderId="0" xfId="8" quotePrefix="1" applyFont="1"/>
    <xf numFmtId="0" fontId="18" fillId="0" borderId="0" xfId="8" quotePrefix="1" applyFont="1" applyAlignment="1">
      <alignment wrapText="1"/>
    </xf>
    <xf numFmtId="0" fontId="18" fillId="0" borderId="38" xfId="0" applyFont="1" applyBorder="1" applyAlignment="1">
      <alignment horizontal="center" vertical="center"/>
    </xf>
    <xf numFmtId="0" fontId="18" fillId="0" borderId="0" xfId="0" applyFont="1" applyAlignment="1">
      <alignment horizontal="center" vertical="center" shrinkToFit="1"/>
    </xf>
    <xf numFmtId="181" fontId="18" fillId="0" borderId="0" xfId="0" applyNumberFormat="1" applyFont="1" applyAlignment="1">
      <alignment horizontal="center" vertical="center"/>
    </xf>
    <xf numFmtId="1" fontId="18" fillId="0" borderId="0" xfId="0" applyNumberFormat="1" applyFont="1" applyAlignment="1">
      <alignment horizontal="center" vertical="center"/>
    </xf>
    <xf numFmtId="12" fontId="18" fillId="0" borderId="0" xfId="0" applyNumberFormat="1" applyFont="1" applyAlignment="1">
      <alignment horizontal="center" vertical="center"/>
    </xf>
    <xf numFmtId="0" fontId="16" fillId="0" borderId="1" xfId="0" applyFont="1" applyBorder="1" applyAlignment="1">
      <alignment horizontal="center" vertical="center"/>
      <extLst>
        <ext xmlns:xfpb="http://schemas.microsoft.com/office/spreadsheetml/2022/featurepropertybag" uri="{C7286773-470A-42A8-94C5-96B5CB345126}">
          <xfpb:xfComplement i="0"/>
        </ext>
      </extLst>
    </xf>
    <xf numFmtId="185" fontId="16" fillId="0" borderId="0" xfId="0" applyNumberFormat="1" applyFont="1" applyAlignment="1">
      <alignment horizontal="center" vertical="center" shrinkToFit="1"/>
    </xf>
    <xf numFmtId="185" fontId="16" fillId="0" borderId="0" xfId="0" applyNumberFormat="1" applyFont="1" applyAlignment="1">
      <alignment horizontal="center" vertical="center"/>
    </xf>
    <xf numFmtId="0" fontId="12" fillId="0" borderId="51" xfId="0" applyFont="1" applyBorder="1" applyAlignment="1">
      <alignment horizontal="center" vertical="center" shrinkToFit="1"/>
    </xf>
    <xf numFmtId="0" fontId="8" fillId="0" borderId="0" xfId="0" applyFont="1" applyAlignment="1">
      <alignment horizontal="center" vertical="center" textRotation="180"/>
    </xf>
    <xf numFmtId="170" fontId="16" fillId="0" borderId="0" xfId="0" applyNumberFormat="1" applyFont="1" applyAlignment="1">
      <alignment horizontal="center" vertical="center"/>
    </xf>
    <xf numFmtId="170" fontId="16" fillId="0" borderId="0" xfId="0" applyNumberFormat="1" applyFont="1" applyAlignment="1">
      <alignment horizontal="center" vertical="center" wrapText="1"/>
    </xf>
    <xf numFmtId="0" fontId="15" fillId="3" borderId="51" xfId="0" applyFont="1" applyFill="1" applyBorder="1" applyAlignment="1">
      <alignment horizontal="center" vertical="center" wrapText="1"/>
    </xf>
    <xf numFmtId="1" fontId="15" fillId="3" borderId="51" xfId="0" applyNumberFormat="1" applyFont="1" applyFill="1" applyBorder="1" applyAlignment="1">
      <alignment horizontal="center" vertical="center" wrapText="1"/>
    </xf>
    <xf numFmtId="0" fontId="21" fillId="3" borderId="51" xfId="0" applyFont="1" applyFill="1" applyBorder="1" applyAlignment="1">
      <alignment horizontal="center" vertical="center" wrapText="1"/>
    </xf>
    <xf numFmtId="0" fontId="51" fillId="11" borderId="65" xfId="0" applyFont="1" applyFill="1" applyBorder="1" applyAlignment="1">
      <alignment horizontal="center" vertical="center" wrapText="1"/>
    </xf>
    <xf numFmtId="187" fontId="51" fillId="11" borderId="65" xfId="0" applyNumberFormat="1" applyFont="1" applyFill="1" applyBorder="1" applyAlignment="1">
      <alignment horizontal="left" vertical="center" wrapText="1"/>
    </xf>
    <xf numFmtId="0" fontId="51" fillId="15" borderId="65" xfId="0" applyFont="1" applyFill="1" applyBorder="1" applyAlignment="1">
      <alignment horizontal="center" vertical="center"/>
    </xf>
    <xf numFmtId="187" fontId="51" fillId="15" borderId="65" xfId="0" applyNumberFormat="1" applyFont="1" applyFill="1" applyBorder="1" applyAlignment="1">
      <alignment horizontal="left" vertical="center" wrapText="1"/>
    </xf>
    <xf numFmtId="0" fontId="51" fillId="24" borderId="65" xfId="0" applyFont="1" applyFill="1" applyBorder="1" applyAlignment="1">
      <alignment horizontal="center" vertical="center"/>
    </xf>
    <xf numFmtId="187" fontId="51" fillId="24" borderId="65" xfId="0" applyNumberFormat="1" applyFont="1" applyFill="1" applyBorder="1" applyAlignment="1">
      <alignment horizontal="left" vertical="center" wrapText="1"/>
    </xf>
    <xf numFmtId="0" fontId="51" fillId="16" borderId="65" xfId="0" applyFont="1" applyFill="1" applyBorder="1" applyAlignment="1">
      <alignment horizontal="center" vertical="center"/>
    </xf>
    <xf numFmtId="187" fontId="51" fillId="16" borderId="65" xfId="0" applyNumberFormat="1" applyFont="1" applyFill="1" applyBorder="1" applyAlignment="1">
      <alignment horizontal="left" vertical="center" wrapText="1"/>
    </xf>
    <xf numFmtId="0" fontId="51" fillId="25" borderId="56" xfId="0" applyFont="1" applyFill="1" applyBorder="1" applyAlignment="1">
      <alignment horizontal="center" vertical="center"/>
    </xf>
    <xf numFmtId="0" fontId="17" fillId="27" borderId="51" xfId="0" applyFont="1" applyFill="1" applyBorder="1" applyAlignment="1">
      <alignment horizontal="center" vertical="center"/>
    </xf>
    <xf numFmtId="0" fontId="17" fillId="27" borderId="51" xfId="0" applyFont="1" applyFill="1" applyBorder="1" applyAlignment="1">
      <alignment horizontal="center" vertical="center" wrapText="1"/>
    </xf>
    <xf numFmtId="187" fontId="17" fillId="27" borderId="51" xfId="0" applyNumberFormat="1" applyFont="1" applyFill="1" applyBorder="1" applyAlignment="1">
      <alignment horizontal="center" vertical="center" wrapText="1"/>
    </xf>
    <xf numFmtId="0" fontId="16" fillId="19" borderId="0" xfId="0" applyFont="1" applyFill="1" applyAlignment="1">
      <alignment horizontal="center" vertical="center"/>
    </xf>
    <xf numFmtId="0" fontId="8" fillId="19" borderId="51" xfId="0" applyFont="1" applyFill="1" applyBorder="1" applyAlignment="1">
      <alignment horizontal="center" vertical="center"/>
    </xf>
    <xf numFmtId="188" fontId="16" fillId="19" borderId="51" xfId="0" applyNumberFormat="1" applyFont="1" applyFill="1" applyBorder="1" applyAlignment="1">
      <alignment horizontal="center" vertical="center" shrinkToFit="1"/>
    </xf>
    <xf numFmtId="185" fontId="16" fillId="19" borderId="0" xfId="0" applyNumberFormat="1" applyFont="1" applyFill="1" applyAlignment="1">
      <alignment horizontal="center" vertical="center" shrinkToFit="1"/>
    </xf>
    <xf numFmtId="185" fontId="16" fillId="19" borderId="0" xfId="0" applyNumberFormat="1" applyFont="1" applyFill="1" applyAlignment="1">
      <alignment horizontal="center" vertical="center"/>
    </xf>
    <xf numFmtId="181" fontId="16" fillId="19" borderId="0" xfId="0" applyNumberFormat="1" applyFont="1" applyFill="1" applyAlignment="1">
      <alignment horizontal="center" vertical="center"/>
    </xf>
    <xf numFmtId="0" fontId="16" fillId="19" borderId="51" xfId="0" applyFont="1" applyFill="1" applyBorder="1" applyAlignment="1">
      <alignment horizontal="center" vertical="center"/>
    </xf>
    <xf numFmtId="181" fontId="16" fillId="19" borderId="51" xfId="0" applyNumberFormat="1" applyFont="1" applyFill="1" applyBorder="1" applyAlignment="1">
      <alignment horizontal="center" vertical="center"/>
    </xf>
    <xf numFmtId="2" fontId="16" fillId="19" borderId="51" xfId="0" applyNumberFormat="1" applyFont="1" applyFill="1" applyBorder="1" applyAlignment="1">
      <alignment horizontal="center" vertical="center" shrinkToFit="1"/>
    </xf>
    <xf numFmtId="170" fontId="16" fillId="28" borderId="0" xfId="0" applyNumberFormat="1" applyFont="1" applyFill="1" applyAlignment="1">
      <alignment horizontal="center" vertical="center"/>
    </xf>
    <xf numFmtId="0" fontId="16" fillId="28" borderId="0" xfId="0" applyFont="1" applyFill="1" applyAlignment="1">
      <alignment horizontal="center" vertical="center"/>
    </xf>
    <xf numFmtId="0" fontId="16" fillId="28" borderId="0" xfId="0" applyFont="1" applyFill="1" applyAlignment="1">
      <alignment horizontal="center" vertical="center" wrapText="1"/>
    </xf>
    <xf numFmtId="170" fontId="16" fillId="28" borderId="0" xfId="0" applyNumberFormat="1" applyFont="1" applyFill="1" applyAlignment="1">
      <alignment horizontal="center" vertical="center" wrapText="1"/>
    </xf>
    <xf numFmtId="170" fontId="16" fillId="28" borderId="51" xfId="0" applyNumberFormat="1" applyFont="1" applyFill="1" applyBorder="1" applyAlignment="1">
      <alignment horizontal="center" vertical="center"/>
    </xf>
    <xf numFmtId="0" fontId="16" fillId="28" borderId="51" xfId="0" applyFont="1" applyFill="1" applyBorder="1" applyAlignment="1">
      <alignment horizontal="center" vertical="center"/>
    </xf>
    <xf numFmtId="0" fontId="16" fillId="28" borderId="51" xfId="0" applyFont="1" applyFill="1" applyBorder="1" applyAlignment="1">
      <alignment horizontal="center" vertical="center" wrapText="1"/>
    </xf>
    <xf numFmtId="170" fontId="16" fillId="28" borderId="51" xfId="0" applyNumberFormat="1" applyFont="1" applyFill="1" applyBorder="1" applyAlignment="1">
      <alignment horizontal="center" vertical="center" wrapText="1"/>
    </xf>
    <xf numFmtId="0" fontId="16" fillId="19" borderId="1" xfId="0" applyFont="1" applyFill="1" applyBorder="1" applyAlignment="1">
      <alignment horizontal="center" vertical="center"/>
      <extLst>
        <ext xmlns:xfpb="http://schemas.microsoft.com/office/spreadsheetml/2022/featurepropertybag" uri="{C7286773-470A-42A8-94C5-96B5CB345126}">
          <xfpb:xfComplement i="0"/>
        </ext>
      </extLst>
    </xf>
    <xf numFmtId="0" fontId="16" fillId="19" borderId="1" xfId="0" applyFont="1" applyFill="1" applyBorder="1" applyAlignment="1">
      <alignment horizontal="center" vertical="center"/>
    </xf>
    <xf numFmtId="2" fontId="18" fillId="29" borderId="0" xfId="0" quotePrefix="1" applyNumberFormat="1" applyFont="1" applyFill="1" applyAlignment="1">
      <alignment horizontal="center" vertical="center" wrapText="1"/>
    </xf>
    <xf numFmtId="2" fontId="18" fillId="30" borderId="0" xfId="0" quotePrefix="1" applyNumberFormat="1" applyFont="1" applyFill="1" applyAlignment="1">
      <alignment horizontal="center" vertical="center"/>
    </xf>
    <xf numFmtId="2" fontId="16" fillId="19" borderId="0" xfId="0" applyNumberFormat="1" applyFont="1" applyFill="1" applyAlignment="1">
      <alignment horizontal="center" vertical="center" shrinkToFit="1"/>
    </xf>
    <xf numFmtId="2" fontId="16" fillId="0" borderId="0" xfId="0" applyNumberFormat="1" applyFont="1" applyAlignment="1">
      <alignment horizontal="center" vertical="center" shrinkToFit="1"/>
    </xf>
    <xf numFmtId="189" fontId="16" fillId="19" borderId="0" xfId="0" applyNumberFormat="1" applyFont="1" applyFill="1" applyAlignment="1">
      <alignment horizontal="center" vertical="center" shrinkToFit="1"/>
    </xf>
    <xf numFmtId="189" fontId="16" fillId="0" borderId="0" xfId="0" applyNumberFormat="1" applyFont="1" applyAlignment="1">
      <alignment horizontal="center" vertical="center" shrinkToFit="1"/>
    </xf>
    <xf numFmtId="0" fontId="4" fillId="0" borderId="57" xfId="1" applyBorder="1" applyAlignment="1">
      <alignment vertical="center"/>
    </xf>
    <xf numFmtId="0" fontId="4" fillId="0" borderId="58" xfId="1" applyBorder="1" applyAlignment="1">
      <alignment vertical="center"/>
    </xf>
    <xf numFmtId="0" fontId="4" fillId="0" borderId="58" xfId="1" applyBorder="1" applyAlignment="1">
      <alignment horizontal="right" vertical="center"/>
    </xf>
    <xf numFmtId="0" fontId="4" fillId="0" borderId="59" xfId="1" applyBorder="1" applyAlignment="1">
      <alignment vertical="center"/>
    </xf>
    <xf numFmtId="39" fontId="9" fillId="0" borderId="60" xfId="0" applyNumberFormat="1" applyFont="1" applyBorder="1" applyAlignment="1">
      <alignment horizontal="right" vertical="center"/>
    </xf>
    <xf numFmtId="39" fontId="55" fillId="0" borderId="0" xfId="0" applyNumberFormat="1" applyFont="1" applyAlignment="1">
      <alignment horizontal="right" vertical="center"/>
    </xf>
    <xf numFmtId="0" fontId="9" fillId="0" borderId="60" xfId="1" applyFont="1" applyBorder="1" applyAlignment="1">
      <alignment horizontal="right" vertical="center"/>
    </xf>
    <xf numFmtId="0" fontId="55" fillId="0" borderId="0" xfId="1" applyFont="1" applyAlignment="1">
      <alignment horizontal="right" vertical="center"/>
    </xf>
    <xf numFmtId="0" fontId="9" fillId="0" borderId="60" xfId="2" applyFont="1" applyBorder="1" applyAlignment="1">
      <alignment horizontal="right" vertical="center"/>
    </xf>
    <xf numFmtId="0" fontId="55" fillId="0" borderId="0" xfId="2" applyFont="1" applyAlignment="1">
      <alignment horizontal="right" vertical="center"/>
    </xf>
    <xf numFmtId="164" fontId="11" fillId="0" borderId="61" xfId="2" applyNumberFormat="1" applyFont="1" applyBorder="1" applyAlignment="1" applyProtection="1">
      <alignment horizontal="center" vertical="center"/>
      <protection locked="0"/>
    </xf>
    <xf numFmtId="0" fontId="11" fillId="0" borderId="62" xfId="2" applyFont="1" applyBorder="1" applyAlignment="1">
      <alignment horizontal="center" vertical="center"/>
    </xf>
    <xf numFmtId="0" fontId="11" fillId="0" borderId="63" xfId="2" applyFont="1" applyBorder="1" applyAlignment="1">
      <alignment horizontal="center" vertical="center"/>
    </xf>
    <xf numFmtId="0" fontId="11" fillId="0" borderId="64" xfId="2" applyFont="1" applyBorder="1" applyAlignment="1">
      <alignment vertical="center"/>
    </xf>
    <xf numFmtId="0" fontId="66" fillId="0" borderId="0" xfId="0" applyFont="1" applyAlignment="1">
      <alignment vertical="center"/>
    </xf>
    <xf numFmtId="0" fontId="4" fillId="0" borderId="58" xfId="1" applyBorder="1" applyAlignment="1">
      <alignment horizontal="center" vertical="center"/>
    </xf>
    <xf numFmtId="39" fontId="10" fillId="0" borderId="0" xfId="0" applyNumberFormat="1" applyFont="1" applyAlignment="1">
      <alignment horizontal="center" vertical="center"/>
    </xf>
    <xf numFmtId="39" fontId="10" fillId="0" borderId="0" xfId="0" applyNumberFormat="1" applyFont="1" applyAlignment="1">
      <alignment vertical="center"/>
    </xf>
    <xf numFmtId="39" fontId="10" fillId="0" borderId="0" xfId="0" applyNumberFormat="1" applyFont="1" applyAlignment="1" applyProtection="1">
      <alignment vertical="center"/>
      <protection locked="0"/>
    </xf>
    <xf numFmtId="189" fontId="16" fillId="19" borderId="51" xfId="0" applyNumberFormat="1" applyFont="1" applyFill="1" applyBorder="1" applyAlignment="1">
      <alignment horizontal="center" vertical="center" shrinkToFit="1"/>
    </xf>
    <xf numFmtId="174" fontId="16" fillId="19" borderId="0" xfId="0" applyNumberFormat="1" applyFont="1" applyFill="1" applyAlignment="1">
      <alignment horizontal="center" vertical="center" shrinkToFit="1"/>
    </xf>
    <xf numFmtId="174" fontId="16" fillId="0" borderId="0" xfId="0" applyNumberFormat="1" applyFont="1" applyAlignment="1">
      <alignment horizontal="center" vertical="center" shrinkToFit="1"/>
    </xf>
    <xf numFmtId="174" fontId="16" fillId="19" borderId="51" xfId="0" applyNumberFormat="1" applyFont="1" applyFill="1" applyBorder="1" applyAlignment="1">
      <alignment horizontal="center" vertical="center" shrinkToFit="1"/>
    </xf>
    <xf numFmtId="190" fontId="16" fillId="19" borderId="0" xfId="7" applyNumberFormat="1" applyFont="1" applyFill="1" applyBorder="1" applyAlignment="1">
      <alignment horizontal="center" vertical="center" shrinkToFit="1"/>
    </xf>
    <xf numFmtId="190" fontId="16" fillId="0" borderId="0" xfId="7" applyNumberFormat="1" applyFont="1" applyBorder="1" applyAlignment="1">
      <alignment horizontal="center" vertical="center" shrinkToFit="1"/>
    </xf>
    <xf numFmtId="190" fontId="16" fillId="19" borderId="51" xfId="7" applyNumberFormat="1" applyFont="1" applyFill="1" applyBorder="1" applyAlignment="1">
      <alignment horizontal="center" vertical="center" shrinkToFit="1"/>
    </xf>
    <xf numFmtId="0" fontId="16" fillId="0" borderId="51" xfId="0" applyFont="1" applyBorder="1" applyAlignment="1">
      <alignment horizontal="center" vertical="center"/>
    </xf>
    <xf numFmtId="0" fontId="17" fillId="3" borderId="0" xfId="0" applyFont="1" applyFill="1" applyAlignment="1">
      <alignment horizontal="center" vertical="center"/>
    </xf>
    <xf numFmtId="0" fontId="15" fillId="0" borderId="51" xfId="0" applyFont="1" applyBorder="1" applyAlignment="1">
      <alignment horizontal="center" vertical="center"/>
    </xf>
    <xf numFmtId="14" fontId="15" fillId="0" borderId="51" xfId="0" applyNumberFormat="1" applyFont="1" applyBorder="1" applyAlignment="1">
      <alignment horizontal="center" vertical="center"/>
    </xf>
    <xf numFmtId="0" fontId="15" fillId="0" borderId="51" xfId="0" applyFont="1" applyBorder="1" applyAlignment="1">
      <alignment horizontal="left" vertical="center"/>
    </xf>
    <xf numFmtId="14" fontId="16" fillId="0" borderId="51" xfId="0" applyNumberFormat="1" applyFont="1" applyBorder="1" applyAlignment="1">
      <alignment horizontal="center" vertical="center"/>
    </xf>
    <xf numFmtId="49" fontId="16" fillId="0" borderId="51" xfId="0" applyNumberFormat="1" applyFont="1" applyBorder="1" applyAlignment="1">
      <alignment horizontal="center" vertical="center"/>
    </xf>
    <xf numFmtId="0" fontId="16" fillId="0" borderId="0" xfId="0" applyFont="1" applyAlignment="1">
      <alignment horizontal="left" vertical="center" wrapText="1" indent="1"/>
    </xf>
    <xf numFmtId="0" fontId="16" fillId="0" borderId="0" xfId="0" quotePrefix="1" applyFont="1" applyAlignment="1">
      <alignment horizontal="left" vertical="center" wrapText="1" indent="1"/>
    </xf>
    <xf numFmtId="0" fontId="16" fillId="0" borderId="0" xfId="0" applyFont="1" applyAlignment="1">
      <alignment horizontal="left" vertical="center" indent="1"/>
    </xf>
    <xf numFmtId="0" fontId="16" fillId="0" borderId="51" xfId="0" applyFont="1" applyBorder="1" applyAlignment="1">
      <alignment horizontal="left" vertical="center" indent="1"/>
    </xf>
    <xf numFmtId="0" fontId="50" fillId="22" borderId="1" xfId="0" applyFont="1" applyFill="1" applyBorder="1" applyAlignment="1">
      <alignment horizontal="center" vertical="center"/>
    </xf>
    <xf numFmtId="0" fontId="50" fillId="22" borderId="1" xfId="0" applyFont="1" applyFill="1" applyBorder="1" applyAlignment="1">
      <alignment horizontal="center" vertical="center" wrapText="1"/>
    </xf>
    <xf numFmtId="0" fontId="50" fillId="22" borderId="4" xfId="0" applyFont="1" applyFill="1" applyBorder="1" applyAlignment="1">
      <alignment horizontal="center" vertical="center"/>
    </xf>
    <xf numFmtId="0" fontId="50" fillId="22" borderId="5" xfId="0" applyFont="1" applyFill="1" applyBorder="1" applyAlignment="1">
      <alignment horizontal="center" vertical="center"/>
    </xf>
    <xf numFmtId="0" fontId="51" fillId="2" borderId="65" xfId="0" applyFont="1" applyFill="1" applyBorder="1" applyAlignment="1">
      <alignment horizontal="center" vertical="center"/>
    </xf>
    <xf numFmtId="0" fontId="17" fillId="3" borderId="0" xfId="0" applyFont="1" applyFill="1" applyAlignment="1">
      <alignment horizontal="center" vertical="center"/>
    </xf>
    <xf numFmtId="49" fontId="16" fillId="0" borderId="0" xfId="0" applyNumberFormat="1" applyFont="1" applyAlignment="1">
      <alignment horizontal="center" vertical="center" shrinkToFit="1"/>
    </xf>
    <xf numFmtId="0" fontId="16" fillId="0" borderId="4" xfId="0" applyFont="1" applyBorder="1" applyAlignment="1">
      <alignment horizontal="center" vertical="center"/>
    </xf>
    <xf numFmtId="0" fontId="16" fillId="0" borderId="6" xfId="0" applyFont="1" applyBorder="1" applyAlignment="1">
      <alignment horizontal="center" vertical="center"/>
    </xf>
    <xf numFmtId="0" fontId="16" fillId="0" borderId="5" xfId="0" applyFont="1" applyBorder="1" applyAlignment="1">
      <alignment horizontal="center" vertical="center"/>
    </xf>
    <xf numFmtId="0" fontId="31" fillId="0" borderId="0" xfId="0" applyFont="1" applyAlignment="1">
      <alignment horizontal="left" vertical="top"/>
    </xf>
    <xf numFmtId="0" fontId="16" fillId="19" borderId="0" xfId="0" applyFont="1" applyFill="1" applyAlignment="1">
      <alignment horizontal="center" vertical="center"/>
    </xf>
    <xf numFmtId="0" fontId="12" fillId="19" borderId="51" xfId="0" applyFont="1" applyFill="1" applyBorder="1" applyAlignment="1">
      <alignment horizontal="center" vertical="center" shrinkToFit="1"/>
    </xf>
    <xf numFmtId="0" fontId="16" fillId="0" borderId="0" xfId="0" applyFont="1" applyAlignment="1">
      <alignment horizontal="center" vertical="center"/>
    </xf>
    <xf numFmtId="182" fontId="12" fillId="0" borderId="0" xfId="0" applyNumberFormat="1" applyFont="1" applyAlignment="1">
      <alignment horizontal="center" vertical="center"/>
    </xf>
    <xf numFmtId="182" fontId="12" fillId="19" borderId="0" xfId="0" applyNumberFormat="1" applyFont="1" applyFill="1" applyAlignment="1">
      <alignment horizontal="center" vertical="center"/>
    </xf>
    <xf numFmtId="0" fontId="15" fillId="27" borderId="51" xfId="0" applyFont="1" applyFill="1" applyBorder="1" applyAlignment="1">
      <alignment horizontal="center" vertical="center"/>
    </xf>
    <xf numFmtId="0" fontId="51" fillId="26" borderId="65" xfId="0" applyFont="1" applyFill="1" applyBorder="1" applyAlignment="1">
      <alignment horizontal="center" vertical="center"/>
    </xf>
    <xf numFmtId="169" fontId="12" fillId="19" borderId="0" xfId="0" applyNumberFormat="1" applyFont="1" applyFill="1" applyAlignment="1">
      <alignment horizontal="center" vertical="center" shrinkToFit="1"/>
    </xf>
    <xf numFmtId="0" fontId="12" fillId="19" borderId="0" xfId="0" applyFont="1" applyFill="1" applyAlignment="1">
      <alignment horizontal="center" vertical="center" shrinkToFit="1"/>
    </xf>
    <xf numFmtId="0" fontId="17" fillId="27" borderId="0" xfId="0" applyFont="1" applyFill="1" applyAlignment="1">
      <alignment horizontal="center" vertical="center" wrapText="1"/>
    </xf>
    <xf numFmtId="0" fontId="17" fillId="27" borderId="51" xfId="0" applyFont="1" applyFill="1" applyBorder="1" applyAlignment="1">
      <alignment horizontal="center" vertical="center" wrapText="1"/>
    </xf>
    <xf numFmtId="0" fontId="12" fillId="0" borderId="51" xfId="0" applyFont="1" applyBorder="1" applyAlignment="1">
      <alignment horizontal="center" vertical="center"/>
    </xf>
    <xf numFmtId="174" fontId="12" fillId="0" borderId="51" xfId="3" applyNumberFormat="1" applyFont="1" applyFill="1" applyBorder="1">
      <alignment horizontal="center" vertical="center"/>
      <protection locked="0"/>
    </xf>
    <xf numFmtId="0" fontId="12" fillId="0" borderId="0" xfId="0" applyFont="1" applyAlignment="1">
      <alignment horizontal="center" vertical="center" shrinkToFit="1"/>
    </xf>
    <xf numFmtId="0" fontId="16" fillId="0" borderId="51" xfId="0" applyFont="1" applyBorder="1" applyAlignment="1">
      <alignment horizontal="center" vertical="center"/>
    </xf>
    <xf numFmtId="184" fontId="12" fillId="19" borderId="51" xfId="0" applyNumberFormat="1" applyFont="1" applyFill="1" applyBorder="1" applyAlignment="1">
      <alignment horizontal="center" vertical="center" shrinkToFit="1"/>
    </xf>
    <xf numFmtId="183" fontId="12" fillId="19" borderId="0" xfId="0" applyNumberFormat="1" applyFont="1" applyFill="1" applyAlignment="1">
      <alignment horizontal="center" vertical="center" shrinkToFit="1"/>
    </xf>
    <xf numFmtId="183" fontId="12" fillId="0" borderId="0" xfId="0" applyNumberFormat="1" applyFont="1" applyAlignment="1">
      <alignment horizontal="center" vertical="center" shrinkToFit="1"/>
    </xf>
    <xf numFmtId="167" fontId="12" fillId="19" borderId="0" xfId="0" applyNumberFormat="1" applyFont="1" applyFill="1" applyAlignment="1">
      <alignment horizontal="center" vertical="center" shrinkToFit="1"/>
    </xf>
    <xf numFmtId="0" fontId="16" fillId="19" borderId="51" xfId="0" applyFont="1" applyFill="1" applyBorder="1" applyAlignment="1">
      <alignment horizontal="center" vertical="center"/>
    </xf>
    <xf numFmtId="0" fontId="8" fillId="0" borderId="0" xfId="0" applyFont="1" applyAlignment="1">
      <alignment horizontal="left" vertical="center"/>
    </xf>
    <xf numFmtId="169" fontId="12" fillId="0" borderId="0" xfId="0" applyNumberFormat="1" applyFont="1" applyAlignment="1">
      <alignment horizontal="center" vertical="center" shrinkToFit="1"/>
    </xf>
    <xf numFmtId="0" fontId="12" fillId="0" borderId="51" xfId="0" applyFont="1" applyBorder="1" applyAlignment="1">
      <alignment horizontal="center" vertical="center" shrinkToFit="1"/>
    </xf>
    <xf numFmtId="165" fontId="12" fillId="0" borderId="0" xfId="0" applyNumberFormat="1" applyFont="1" applyAlignment="1">
      <alignment horizontal="center" vertical="center" shrinkToFit="1"/>
    </xf>
    <xf numFmtId="165" fontId="12" fillId="19" borderId="0" xfId="0" applyNumberFormat="1" applyFont="1" applyFill="1" applyAlignment="1">
      <alignment horizontal="center" vertical="center" shrinkToFit="1"/>
    </xf>
    <xf numFmtId="168" fontId="12" fillId="19" borderId="0" xfId="0" applyNumberFormat="1" applyFont="1" applyFill="1" applyAlignment="1">
      <alignment horizontal="center" vertical="center" shrinkToFit="1"/>
    </xf>
    <xf numFmtId="49" fontId="54" fillId="0" borderId="0" xfId="0" applyNumberFormat="1" applyFont="1" applyAlignment="1">
      <alignment horizontal="center" vertical="center"/>
    </xf>
    <xf numFmtId="0" fontId="13" fillId="0" borderId="55" xfId="0" applyFont="1" applyBorder="1" applyAlignment="1">
      <alignment horizontal="center" vertical="center"/>
    </xf>
    <xf numFmtId="164" fontId="54" fillId="0" borderId="0" xfId="2" applyNumberFormat="1" applyFont="1" applyAlignment="1" applyProtection="1">
      <alignment horizontal="right" vertical="center" indent="1"/>
      <protection locked="0"/>
    </xf>
    <xf numFmtId="164" fontId="54" fillId="0" borderId="61" xfId="2" applyNumberFormat="1" applyFont="1" applyBorder="1" applyAlignment="1" applyProtection="1">
      <alignment horizontal="right" vertical="center" indent="1"/>
      <protection locked="0"/>
    </xf>
    <xf numFmtId="0" fontId="54" fillId="0" borderId="0" xfId="0" applyFont="1" applyAlignment="1">
      <alignment horizontal="center" vertical="center"/>
    </xf>
    <xf numFmtId="0" fontId="4" fillId="0" borderId="0" xfId="1" applyAlignment="1">
      <alignment horizontal="right" vertical="center" indent="1"/>
    </xf>
    <xf numFmtId="0" fontId="4" fillId="0" borderId="61" xfId="1" applyBorder="1" applyAlignment="1">
      <alignment horizontal="right" vertical="center" indent="1"/>
    </xf>
    <xf numFmtId="0" fontId="12" fillId="19" borderId="0" xfId="0" applyFont="1" applyFill="1" applyAlignment="1">
      <alignment horizontal="center" vertical="center"/>
    </xf>
    <xf numFmtId="168" fontId="12" fillId="0" borderId="0" xfId="0" applyNumberFormat="1" applyFont="1" applyAlignment="1">
      <alignment horizontal="center" vertical="center" shrinkToFit="1"/>
    </xf>
    <xf numFmtId="184" fontId="12" fillId="0" borderId="0" xfId="0" applyNumberFormat="1" applyFont="1" applyAlignment="1">
      <alignment horizontal="center" vertical="center" shrinkToFit="1"/>
    </xf>
    <xf numFmtId="168" fontId="12" fillId="0" borderId="51" xfId="0" applyNumberFormat="1" applyFont="1" applyBorder="1" applyAlignment="1">
      <alignment horizontal="center" vertical="center" shrinkToFit="1"/>
    </xf>
    <xf numFmtId="166" fontId="12" fillId="0" borderId="51" xfId="0" applyNumberFormat="1" applyFont="1" applyBorder="1" applyAlignment="1">
      <alignment horizontal="center" vertical="center" shrinkToFit="1"/>
    </xf>
    <xf numFmtId="174" fontId="12" fillId="19" borderId="0" xfId="3" applyNumberFormat="1" applyFont="1" applyFill="1" applyBorder="1">
      <alignment horizontal="center" vertical="center"/>
      <protection locked="0"/>
    </xf>
    <xf numFmtId="184" fontId="12" fillId="19" borderId="0" xfId="0" applyNumberFormat="1" applyFont="1" applyFill="1" applyAlignment="1">
      <alignment horizontal="center" vertical="center" shrinkToFit="1"/>
    </xf>
    <xf numFmtId="169" fontId="12" fillId="0" borderId="51" xfId="0" applyNumberFormat="1" applyFont="1" applyBorder="1" applyAlignment="1">
      <alignment horizontal="center" vertical="center" shrinkToFit="1"/>
    </xf>
    <xf numFmtId="169" fontId="12" fillId="19" borderId="51" xfId="0" applyNumberFormat="1" applyFont="1" applyFill="1" applyBorder="1" applyAlignment="1">
      <alignment horizontal="center" vertical="center" shrinkToFit="1"/>
    </xf>
    <xf numFmtId="2" fontId="12" fillId="19" borderId="0" xfId="0" applyNumberFormat="1" applyFont="1" applyFill="1" applyAlignment="1">
      <alignment horizontal="center" vertical="center" shrinkToFit="1"/>
    </xf>
    <xf numFmtId="186" fontId="12" fillId="19" borderId="0" xfId="0" applyNumberFormat="1" applyFont="1" applyFill="1" applyAlignment="1">
      <alignment horizontal="center" vertical="center" shrinkToFit="1"/>
    </xf>
    <xf numFmtId="0" fontId="34" fillId="0" borderId="0" xfId="0" applyFont="1" applyAlignment="1">
      <alignment horizontal="left" vertical="center"/>
    </xf>
    <xf numFmtId="186" fontId="12" fillId="0" borderId="51" xfId="0" applyNumberFormat="1" applyFont="1" applyBorder="1" applyAlignment="1">
      <alignment horizontal="center" vertical="center" shrinkToFit="1"/>
    </xf>
    <xf numFmtId="169" fontId="12" fillId="19" borderId="0" xfId="3" applyNumberFormat="1" applyFont="1" applyFill="1" applyBorder="1">
      <alignment horizontal="center" vertical="center"/>
      <protection locked="0"/>
    </xf>
    <xf numFmtId="169" fontId="12" fillId="0" borderId="51" xfId="3" applyNumberFormat="1" applyFont="1" applyFill="1" applyBorder="1">
      <alignment horizontal="center" vertical="center"/>
      <protection locked="0"/>
    </xf>
    <xf numFmtId="2" fontId="12" fillId="0" borderId="51" xfId="0" applyNumberFormat="1" applyFont="1" applyBorder="1" applyAlignment="1">
      <alignment horizontal="center" vertical="center" shrinkToFit="1"/>
    </xf>
    <xf numFmtId="180" fontId="12" fillId="0" borderId="51" xfId="3" applyNumberFormat="1" applyFont="1" applyFill="1" applyBorder="1">
      <alignment horizontal="center" vertical="center"/>
      <protection locked="0"/>
    </xf>
    <xf numFmtId="0" fontId="71" fillId="0" borderId="0" xfId="0" applyFont="1" applyAlignment="1">
      <alignment horizontal="center" vertical="top"/>
    </xf>
    <xf numFmtId="0" fontId="51" fillId="26" borderId="1" xfId="0" applyFont="1" applyFill="1" applyBorder="1" applyAlignment="1">
      <alignment horizontal="center" vertical="center"/>
    </xf>
    <xf numFmtId="0" fontId="15" fillId="27" borderId="1" xfId="0" applyFont="1" applyFill="1" applyBorder="1" applyAlignment="1">
      <alignment horizontal="center" vertical="center"/>
    </xf>
    <xf numFmtId="0" fontId="15" fillId="27" borderId="4" xfId="0" applyFont="1" applyFill="1" applyBorder="1" applyAlignment="1">
      <alignment horizontal="center" vertical="center"/>
    </xf>
    <xf numFmtId="0" fontId="15" fillId="27" borderId="6" xfId="0" applyFont="1" applyFill="1" applyBorder="1" applyAlignment="1">
      <alignment horizontal="center" vertical="center"/>
    </xf>
    <xf numFmtId="0" fontId="15" fillId="27" borderId="5" xfId="0" applyFont="1" applyFill="1" applyBorder="1" applyAlignment="1">
      <alignment horizontal="center" vertical="center"/>
    </xf>
    <xf numFmtId="0" fontId="8" fillId="0" borderId="0" xfId="0" applyFont="1" applyAlignment="1">
      <alignment horizontal="center" vertical="center"/>
    </xf>
    <xf numFmtId="0" fontId="8" fillId="0" borderId="9" xfId="0" applyFont="1" applyBorder="1" applyAlignment="1">
      <alignment horizontal="center" vertical="center"/>
    </xf>
    <xf numFmtId="0" fontId="16" fillId="0" borderId="0" xfId="0" applyFont="1" applyAlignment="1" applyProtection="1">
      <alignment horizontal="center" vertical="center"/>
      <protection locked="0"/>
    </xf>
    <xf numFmtId="0" fontId="16" fillId="0" borderId="51" xfId="0" applyFont="1" applyBorder="1" applyAlignment="1" applyProtection="1">
      <alignment horizontal="center" vertical="center"/>
      <protection locked="0"/>
    </xf>
    <xf numFmtId="0" fontId="17" fillId="0" borderId="0" xfId="0" applyFont="1" applyAlignment="1" applyProtection="1">
      <alignment horizontal="left" vertical="center" wrapText="1"/>
      <protection locked="0"/>
    </xf>
    <xf numFmtId="0" fontId="17" fillId="0" borderId="0" xfId="0" applyFont="1" applyAlignment="1" applyProtection="1">
      <alignment horizontal="left" vertical="center"/>
      <protection locked="0"/>
    </xf>
    <xf numFmtId="0" fontId="17" fillId="0" borderId="51" xfId="0" applyFont="1" applyBorder="1" applyAlignment="1" applyProtection="1">
      <alignment horizontal="left" vertical="center"/>
      <protection locked="0"/>
    </xf>
    <xf numFmtId="0" fontId="47" fillId="0" borderId="1" xfId="0" applyFont="1" applyBorder="1" applyAlignment="1">
      <alignment horizontal="center" vertical="center"/>
    </xf>
    <xf numFmtId="0" fontId="16" fillId="0" borderId="1" xfId="0" applyFont="1" applyBorder="1" applyAlignment="1">
      <alignment horizontal="center" vertical="center"/>
    </xf>
    <xf numFmtId="170" fontId="16" fillId="0" borderId="1" xfId="0" applyNumberFormat="1" applyFont="1" applyBorder="1" applyAlignment="1">
      <alignment horizontal="center" vertical="center"/>
    </xf>
    <xf numFmtId="0" fontId="15" fillId="0" borderId="4" xfId="0" applyFont="1" applyBorder="1" applyAlignment="1">
      <alignment horizontal="center" vertical="center"/>
    </xf>
    <xf numFmtId="0" fontId="15" fillId="0" borderId="5" xfId="0" applyFont="1" applyBorder="1" applyAlignment="1">
      <alignment horizontal="center" vertical="center"/>
    </xf>
    <xf numFmtId="2" fontId="64" fillId="0" borderId="4" xfId="7" applyNumberFormat="1" applyFont="1" applyFill="1" applyBorder="1" applyAlignment="1">
      <alignment horizontal="center" vertical="center"/>
    </xf>
    <xf numFmtId="2" fontId="64" fillId="0" borderId="5" xfId="7" applyNumberFormat="1" applyFont="1" applyFill="1" applyBorder="1" applyAlignment="1">
      <alignment horizontal="center" vertical="center"/>
    </xf>
    <xf numFmtId="0" fontId="16" fillId="0" borderId="0" xfId="0" applyFont="1" applyAlignment="1">
      <alignment horizontal="center" vertical="center" shrinkToFit="1"/>
    </xf>
    <xf numFmtId="0" fontId="16" fillId="28" borderId="0" xfId="0" applyFont="1" applyFill="1" applyAlignment="1">
      <alignment horizontal="center" vertical="center" shrinkToFit="1"/>
    </xf>
    <xf numFmtId="0" fontId="15" fillId="0" borderId="1" xfId="0" applyFont="1" applyBorder="1" applyAlignment="1">
      <alignment horizontal="center" vertical="center"/>
    </xf>
    <xf numFmtId="0" fontId="16" fillId="28" borderId="51" xfId="0" applyFont="1" applyFill="1" applyBorder="1" applyAlignment="1">
      <alignment horizontal="center" vertical="center" shrinkToFit="1"/>
    </xf>
    <xf numFmtId="0" fontId="17" fillId="27" borderId="1" xfId="0" applyFont="1" applyFill="1" applyBorder="1" applyAlignment="1">
      <alignment horizontal="center" vertical="center" wrapText="1"/>
    </xf>
    <xf numFmtId="0" fontId="17" fillId="27" borderId="51" xfId="0" applyFont="1" applyFill="1" applyBorder="1" applyAlignment="1">
      <alignment horizontal="center" vertical="center"/>
    </xf>
    <xf numFmtId="0" fontId="16" fillId="19" borderId="4" xfId="0" applyFont="1" applyFill="1" applyBorder="1" applyAlignment="1">
      <alignment horizontal="center" vertical="center"/>
    </xf>
    <xf numFmtId="0" fontId="16" fillId="19" borderId="6" xfId="0" applyFont="1" applyFill="1" applyBorder="1" applyAlignment="1">
      <alignment horizontal="center" vertical="center"/>
    </xf>
    <xf numFmtId="0" fontId="16" fillId="19" borderId="5" xfId="0" applyFont="1" applyFill="1" applyBorder="1" applyAlignment="1">
      <alignment horizontal="center" vertical="center"/>
    </xf>
    <xf numFmtId="0" fontId="16" fillId="19" borderId="4" xfId="7" applyNumberFormat="1" applyFont="1" applyFill="1" applyBorder="1" applyAlignment="1">
      <alignment horizontal="center" vertical="center"/>
    </xf>
    <xf numFmtId="0" fontId="16" fillId="19" borderId="5" xfId="7" applyNumberFormat="1" applyFont="1" applyFill="1" applyBorder="1" applyAlignment="1">
      <alignment horizontal="center" vertical="center"/>
    </xf>
    <xf numFmtId="0" fontId="65" fillId="0" borderId="0" xfId="0" applyFont="1" applyAlignment="1">
      <alignment horizontal="left" vertical="center" indent="10"/>
    </xf>
    <xf numFmtId="0" fontId="67" fillId="0" borderId="55" xfId="0" applyFont="1" applyBorder="1" applyAlignment="1">
      <alignment horizontal="center" vertical="center"/>
    </xf>
    <xf numFmtId="49" fontId="16" fillId="19" borderId="0" xfId="0" applyNumberFormat="1" applyFont="1" applyFill="1" applyAlignment="1">
      <alignment horizontal="center" vertical="center" shrinkToFit="1"/>
    </xf>
    <xf numFmtId="0" fontId="16" fillId="19" borderId="0" xfId="0" applyFont="1" applyFill="1" applyAlignment="1">
      <alignment horizontal="center" vertical="center" shrinkToFit="1"/>
    </xf>
    <xf numFmtId="0" fontId="17" fillId="0" borderId="1" xfId="0" applyFont="1" applyBorder="1" applyAlignment="1">
      <alignment horizontal="center" vertical="center"/>
    </xf>
    <xf numFmtId="49" fontId="16" fillId="19" borderId="51" xfId="0" applyNumberFormat="1" applyFont="1" applyFill="1" applyBorder="1" applyAlignment="1">
      <alignment horizontal="center" vertical="center" shrinkToFit="1"/>
    </xf>
    <xf numFmtId="0" fontId="4" fillId="0" borderId="0" xfId="1" applyAlignment="1">
      <alignment horizontal="right" vertical="center"/>
    </xf>
    <xf numFmtId="0" fontId="4" fillId="0" borderId="61" xfId="1" applyBorder="1" applyAlignment="1">
      <alignment horizontal="right" vertical="center"/>
    </xf>
    <xf numFmtId="0" fontId="28" fillId="9" borderId="1" xfId="0" applyFont="1" applyFill="1" applyBorder="1" applyAlignment="1">
      <alignment horizontal="left" vertical="center"/>
    </xf>
    <xf numFmtId="0" fontId="28" fillId="9" borderId="4" xfId="0" applyFont="1" applyFill="1" applyBorder="1" applyAlignment="1">
      <alignment horizontal="left" vertical="center"/>
    </xf>
    <xf numFmtId="0" fontId="28" fillId="9" borderId="6" xfId="0" applyFont="1" applyFill="1" applyBorder="1" applyAlignment="1">
      <alignment horizontal="left" vertical="center"/>
    </xf>
    <xf numFmtId="0" fontId="28" fillId="9" borderId="5" xfId="0" applyFont="1" applyFill="1" applyBorder="1" applyAlignment="1">
      <alignment horizontal="left" vertical="center"/>
    </xf>
    <xf numFmtId="0" fontId="29" fillId="9" borderId="6" xfId="0" applyFont="1" applyFill="1" applyBorder="1" applyAlignment="1">
      <alignment horizontal="center" vertical="center"/>
    </xf>
    <xf numFmtId="0" fontId="29" fillId="9" borderId="5" xfId="0" applyFont="1" applyFill="1" applyBorder="1" applyAlignment="1">
      <alignment horizontal="center" vertical="center"/>
    </xf>
    <xf numFmtId="0" fontId="59" fillId="26" borderId="0" xfId="0" applyFont="1" applyFill="1" applyAlignment="1">
      <alignment horizontal="center" vertical="center"/>
    </xf>
    <xf numFmtId="0" fontId="14" fillId="2" borderId="1" xfId="0" applyFont="1" applyFill="1" applyBorder="1" applyAlignment="1">
      <alignment horizontal="center" vertical="center" wrapText="1"/>
    </xf>
    <xf numFmtId="0" fontId="21" fillId="0" borderId="48" xfId="0" applyFont="1" applyBorder="1" applyAlignment="1">
      <alignment horizontal="center" vertical="center"/>
    </xf>
    <xf numFmtId="0" fontId="21" fillId="0" borderId="49" xfId="0" applyFont="1" applyBorder="1" applyAlignment="1">
      <alignment horizontal="center" vertical="center"/>
    </xf>
    <xf numFmtId="0" fontId="21" fillId="0" borderId="50" xfId="0" applyFont="1" applyBorder="1" applyAlignment="1">
      <alignment horizontal="center" vertical="center"/>
    </xf>
    <xf numFmtId="0" fontId="21" fillId="12" borderId="48" xfId="0" applyFont="1" applyFill="1" applyBorder="1" applyAlignment="1">
      <alignment horizontal="center" vertical="center"/>
    </xf>
    <xf numFmtId="0" fontId="21" fillId="12" borderId="49" xfId="0" applyFont="1" applyFill="1" applyBorder="1" applyAlignment="1">
      <alignment horizontal="center" vertical="center"/>
    </xf>
    <xf numFmtId="0" fontId="21" fillId="12" borderId="50" xfId="0" applyFont="1" applyFill="1" applyBorder="1" applyAlignment="1">
      <alignment horizontal="center" vertical="center"/>
    </xf>
    <xf numFmtId="0" fontId="51" fillId="15" borderId="9" xfId="0" applyFont="1" applyFill="1" applyBorder="1" applyAlignment="1">
      <alignment horizontal="center" vertical="center" wrapText="1"/>
    </xf>
    <xf numFmtId="0" fontId="51" fillId="2" borderId="65" xfId="0" applyFont="1" applyFill="1" applyBorder="1" applyAlignment="1">
      <alignment horizontal="center" vertical="center" wrapText="1"/>
    </xf>
    <xf numFmtId="0" fontId="51" fillId="25" borderId="65" xfId="0" applyFont="1" applyFill="1" applyBorder="1" applyAlignment="1">
      <alignment horizontal="center" vertical="center" wrapText="1"/>
    </xf>
    <xf numFmtId="0" fontId="51" fillId="2" borderId="9" xfId="0" applyFont="1" applyFill="1" applyBorder="1" applyAlignment="1">
      <alignment horizontal="center" vertical="center" wrapText="1"/>
    </xf>
    <xf numFmtId="0" fontId="51" fillId="11" borderId="9" xfId="0" applyFont="1" applyFill="1" applyBorder="1" applyAlignment="1">
      <alignment horizontal="center" vertical="center" wrapText="1"/>
    </xf>
    <xf numFmtId="0" fontId="51" fillId="24" borderId="9" xfId="0" applyFont="1" applyFill="1" applyBorder="1" applyAlignment="1">
      <alignment horizontal="center" vertical="center" wrapText="1"/>
    </xf>
    <xf numFmtId="0" fontId="51" fillId="16" borderId="9" xfId="0" applyFont="1" applyFill="1" applyBorder="1" applyAlignment="1">
      <alignment horizontal="center" vertical="center" wrapText="1"/>
    </xf>
    <xf numFmtId="0" fontId="51" fillId="25" borderId="9" xfId="0" applyFont="1" applyFill="1" applyBorder="1" applyAlignment="1">
      <alignment horizontal="center" vertical="center" wrapText="1"/>
    </xf>
    <xf numFmtId="169" fontId="21" fillId="0" borderId="49" xfId="0" applyNumberFormat="1" applyFont="1" applyBorder="1" applyAlignment="1">
      <alignment horizontal="center" vertical="center"/>
    </xf>
    <xf numFmtId="0" fontId="21" fillId="13" borderId="48" xfId="0" applyFont="1" applyFill="1" applyBorder="1" applyAlignment="1">
      <alignment horizontal="center" vertical="center"/>
    </xf>
    <xf numFmtId="0" fontId="21" fillId="13" borderId="49" xfId="0" applyFont="1" applyFill="1" applyBorder="1" applyAlignment="1">
      <alignment horizontal="center" vertical="center"/>
    </xf>
    <xf numFmtId="169" fontId="21" fillId="13" borderId="49" xfId="0" applyNumberFormat="1" applyFont="1" applyFill="1" applyBorder="1" applyAlignment="1">
      <alignment horizontal="center" vertical="center"/>
    </xf>
    <xf numFmtId="181" fontId="21" fillId="13" borderId="50" xfId="0" applyNumberFormat="1" applyFont="1" applyFill="1" applyBorder="1" applyAlignment="1">
      <alignment horizontal="center" vertical="center"/>
    </xf>
    <xf numFmtId="181" fontId="21" fillId="0" borderId="50" xfId="0" applyNumberFormat="1" applyFont="1" applyBorder="1" applyAlignment="1">
      <alignment horizontal="center" vertical="center"/>
    </xf>
    <xf numFmtId="169" fontId="21" fillId="12" borderId="49" xfId="0" applyNumberFormat="1" applyFont="1" applyFill="1" applyBorder="1" applyAlignment="1">
      <alignment horizontal="center" vertical="center"/>
    </xf>
    <xf numFmtId="181" fontId="21" fillId="12" borderId="50" xfId="0" applyNumberFormat="1" applyFont="1" applyFill="1" applyBorder="1" applyAlignment="1">
      <alignment horizontal="center" vertical="center"/>
    </xf>
    <xf numFmtId="0" fontId="21" fillId="14" borderId="19" xfId="0" applyFont="1" applyFill="1" applyBorder="1" applyAlignment="1">
      <alignment horizontal="center" vertical="center"/>
    </xf>
    <xf numFmtId="0" fontId="21" fillId="14" borderId="20" xfId="0" applyFont="1" applyFill="1" applyBorder="1" applyAlignment="1">
      <alignment horizontal="center" vertical="center"/>
    </xf>
    <xf numFmtId="169" fontId="21" fillId="14" borderId="20" xfId="0" applyNumberFormat="1" applyFont="1" applyFill="1" applyBorder="1" applyAlignment="1">
      <alignment horizontal="center" vertical="center"/>
    </xf>
    <xf numFmtId="181" fontId="21" fillId="14" borderId="21" xfId="0" applyNumberFormat="1" applyFont="1" applyFill="1" applyBorder="1" applyAlignment="1">
      <alignment horizontal="center" vertical="center"/>
    </xf>
    <xf numFmtId="0" fontId="51" fillId="2" borderId="1" xfId="0" applyFont="1" applyFill="1" applyBorder="1" applyAlignment="1">
      <alignment horizontal="center" vertical="center" wrapText="1"/>
    </xf>
    <xf numFmtId="0" fontId="12" fillId="9" borderId="1" xfId="0" applyFont="1" applyFill="1" applyBorder="1" applyAlignment="1">
      <alignment horizontal="center" vertical="center" wrapText="1"/>
    </xf>
    <xf numFmtId="0" fontId="12" fillId="9" borderId="1" xfId="0" applyFont="1" applyFill="1" applyBorder="1" applyAlignment="1">
      <alignment horizontal="center" vertical="center"/>
    </xf>
    <xf numFmtId="0" fontId="16" fillId="0" borderId="13" xfId="0" applyFont="1" applyBorder="1" applyAlignment="1">
      <alignment horizontal="center" vertical="center" textRotation="90"/>
    </xf>
    <xf numFmtId="0" fontId="21" fillId="0" borderId="52" xfId="0" applyFont="1" applyBorder="1" applyAlignment="1">
      <alignment horizontal="center" vertical="center"/>
    </xf>
    <xf numFmtId="0" fontId="21" fillId="12" borderId="53" xfId="0" applyFont="1" applyFill="1" applyBorder="1" applyAlignment="1">
      <alignment horizontal="center" vertical="center"/>
    </xf>
    <xf numFmtId="0" fontId="19" fillId="27" borderId="1" xfId="0" applyFont="1" applyFill="1" applyBorder="1" applyAlignment="1">
      <alignment horizontal="center" vertical="center" wrapText="1"/>
    </xf>
    <xf numFmtId="0" fontId="14" fillId="20" borderId="1" xfId="0" applyFont="1" applyFill="1" applyBorder="1" applyAlignment="1">
      <alignment horizontal="center" vertical="center" wrapText="1"/>
    </xf>
    <xf numFmtId="0" fontId="19" fillId="7" borderId="1" xfId="0" applyFont="1" applyFill="1" applyBorder="1" applyAlignment="1" applyProtection="1">
      <alignment horizontal="center" vertical="center"/>
      <protection hidden="1"/>
    </xf>
    <xf numFmtId="0" fontId="48" fillId="2" borderId="4" xfId="0" applyFont="1" applyFill="1" applyBorder="1" applyAlignment="1">
      <alignment horizontal="center" vertical="center"/>
    </xf>
    <xf numFmtId="0" fontId="48" fillId="2" borderId="6" xfId="0" applyFont="1" applyFill="1" applyBorder="1" applyAlignment="1">
      <alignment horizontal="center" vertical="center"/>
    </xf>
    <xf numFmtId="0" fontId="48" fillId="2" borderId="5" xfId="0" applyFont="1" applyFill="1" applyBorder="1" applyAlignment="1">
      <alignment horizontal="center" vertical="center"/>
    </xf>
    <xf numFmtId="0" fontId="49" fillId="23" borderId="10" xfId="0" applyFont="1" applyFill="1" applyBorder="1" applyAlignment="1">
      <alignment horizontal="center" vertical="center" wrapText="1"/>
    </xf>
    <xf numFmtId="0" fontId="49" fillId="23" borderId="11" xfId="0" applyFont="1" applyFill="1" applyBorder="1" applyAlignment="1">
      <alignment horizontal="center" vertical="center" wrapText="1"/>
    </xf>
    <xf numFmtId="0" fontId="56" fillId="17" borderId="0" xfId="0" applyFont="1" applyFill="1" applyAlignment="1">
      <alignment horizontal="center" vertical="center"/>
    </xf>
    <xf numFmtId="0" fontId="56" fillId="2" borderId="0" xfId="0" applyFont="1" applyFill="1" applyAlignment="1">
      <alignment horizontal="center" vertical="center" wrapText="1"/>
    </xf>
    <xf numFmtId="0" fontId="56" fillId="16" borderId="0" xfId="0" applyFont="1" applyFill="1" applyAlignment="1">
      <alignment horizontal="center" vertical="center"/>
    </xf>
    <xf numFmtId="0" fontId="56" fillId="11" borderId="0" xfId="0" applyFont="1" applyFill="1" applyAlignment="1">
      <alignment horizontal="center" vertical="center" wrapText="1"/>
    </xf>
    <xf numFmtId="0" fontId="56" fillId="15" borderId="0" xfId="0" applyFont="1" applyFill="1" applyAlignment="1">
      <alignment horizontal="center" vertical="center"/>
    </xf>
    <xf numFmtId="0" fontId="34" fillId="0" borderId="1" xfId="0" applyFont="1" applyBorder="1" applyAlignment="1">
      <alignment horizontal="center" vertical="center"/>
    </xf>
    <xf numFmtId="0" fontId="34" fillId="0" borderId="4" xfId="0" applyFont="1" applyBorder="1" applyAlignment="1">
      <alignment horizontal="center" vertical="center"/>
    </xf>
    <xf numFmtId="0" fontId="34" fillId="0" borderId="6" xfId="0" applyFont="1" applyBorder="1" applyAlignment="1">
      <alignment horizontal="center" vertical="center"/>
    </xf>
    <xf numFmtId="0" fontId="34" fillId="0" borderId="5" xfId="0" applyFont="1" applyBorder="1" applyAlignment="1">
      <alignment horizontal="center" vertical="center"/>
    </xf>
    <xf numFmtId="0" fontId="34" fillId="0" borderId="1" xfId="0" applyFont="1" applyBorder="1" applyAlignment="1">
      <alignment horizontal="center" vertical="center" wrapText="1"/>
    </xf>
    <xf numFmtId="0" fontId="8" fillId="0" borderId="1" xfId="0" applyFont="1" applyBorder="1" applyAlignment="1">
      <alignment horizontal="left" vertical="top" wrapText="1"/>
    </xf>
    <xf numFmtId="0" fontId="34" fillId="0" borderId="1" xfId="0" applyFont="1" applyBorder="1" applyAlignment="1">
      <alignment horizontal="center"/>
    </xf>
    <xf numFmtId="0" fontId="17" fillId="0" borderId="43" xfId="0" applyFont="1" applyBorder="1" applyAlignment="1">
      <alignment horizontal="center" vertical="center" wrapText="1"/>
    </xf>
    <xf numFmtId="0" fontId="17" fillId="0" borderId="11" xfId="0" applyFont="1" applyBorder="1" applyAlignment="1">
      <alignment horizontal="center" vertical="center" wrapText="1"/>
    </xf>
    <xf numFmtId="0" fontId="8" fillId="0" borderId="1" xfId="0" applyFont="1" applyBorder="1" applyAlignment="1">
      <alignment horizontal="center" vertical="center"/>
    </xf>
    <xf numFmtId="0" fontId="34" fillId="0" borderId="43" xfId="0" applyFont="1" applyBorder="1" applyAlignment="1">
      <alignment horizontal="center" vertical="center" wrapText="1"/>
    </xf>
    <xf numFmtId="0" fontId="34" fillId="0" borderId="11" xfId="0" applyFont="1" applyBorder="1" applyAlignment="1">
      <alignment horizontal="center" vertical="center" wrapText="1"/>
    </xf>
    <xf numFmtId="0" fontId="8" fillId="0" borderId="8" xfId="0" applyFont="1" applyBorder="1" applyAlignment="1">
      <alignment horizontal="center" vertical="center"/>
    </xf>
    <xf numFmtId="0" fontId="8" fillId="0" borderId="12" xfId="0" applyFont="1" applyBorder="1" applyAlignment="1">
      <alignment horizontal="center" vertical="center"/>
    </xf>
    <xf numFmtId="0" fontId="8" fillId="0" borderId="2" xfId="0" applyFont="1" applyBorder="1" applyAlignment="1">
      <alignment horizontal="center" vertical="center"/>
    </xf>
    <xf numFmtId="0" fontId="8" fillId="0" borderId="3" xfId="0" applyFont="1" applyBorder="1" applyAlignment="1">
      <alignment horizontal="center" vertical="center"/>
    </xf>
    <xf numFmtId="0" fontId="34" fillId="0" borderId="15" xfId="0" applyFont="1" applyBorder="1" applyAlignment="1">
      <alignment horizontal="center" vertical="center" wrapText="1"/>
    </xf>
    <xf numFmtId="0" fontId="34" fillId="0" borderId="16" xfId="0" applyFont="1" applyBorder="1" applyAlignment="1">
      <alignment horizontal="center" vertical="center" wrapText="1"/>
    </xf>
    <xf numFmtId="0" fontId="34" fillId="0" borderId="17" xfId="0" applyFont="1" applyBorder="1" applyAlignment="1">
      <alignment horizontal="center" vertical="center" wrapText="1"/>
    </xf>
    <xf numFmtId="0" fontId="34" fillId="0" borderId="18"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21" xfId="0" applyFont="1" applyBorder="1" applyAlignment="1">
      <alignment horizontal="center" vertical="center" wrapText="1"/>
    </xf>
    <xf numFmtId="2" fontId="8" fillId="0" borderId="4" xfId="0" applyNumberFormat="1" applyFont="1" applyBorder="1" applyAlignment="1">
      <alignment horizontal="center" vertical="center"/>
    </xf>
    <xf numFmtId="2" fontId="8" fillId="0" borderId="6" xfId="0" applyNumberFormat="1" applyFont="1" applyBorder="1" applyAlignment="1">
      <alignment horizontal="center" vertical="center"/>
    </xf>
    <xf numFmtId="2" fontId="8" fillId="0" borderId="5" xfId="0" applyNumberFormat="1" applyFont="1" applyBorder="1" applyAlignment="1">
      <alignment horizontal="center" vertical="center"/>
    </xf>
    <xf numFmtId="0" fontId="8" fillId="0" borderId="4" xfId="0" applyFont="1" applyBorder="1" applyAlignment="1">
      <alignment horizontal="center" vertical="center"/>
    </xf>
    <xf numFmtId="0" fontId="8" fillId="0" borderId="6" xfId="0" applyFont="1" applyBorder="1" applyAlignment="1">
      <alignment horizontal="center" vertical="center"/>
    </xf>
    <xf numFmtId="0" fontId="8" fillId="0" borderId="5" xfId="0" applyFont="1" applyBorder="1" applyAlignment="1">
      <alignment horizontal="center" vertical="center"/>
    </xf>
    <xf numFmtId="0" fontId="34" fillId="0" borderId="8" xfId="0" applyFont="1" applyBorder="1" applyAlignment="1">
      <alignment horizontal="center" vertical="center"/>
    </xf>
    <xf numFmtId="0" fontId="34" fillId="0" borderId="9" xfId="0" applyFont="1" applyBorder="1" applyAlignment="1">
      <alignment horizontal="center" vertical="center"/>
    </xf>
    <xf numFmtId="0" fontId="34" fillId="0" borderId="12" xfId="0" applyFont="1" applyBorder="1" applyAlignment="1">
      <alignment horizontal="center" vertical="center"/>
    </xf>
    <xf numFmtId="0" fontId="34" fillId="0" borderId="2" xfId="0" applyFont="1" applyBorder="1" applyAlignment="1">
      <alignment horizontal="center" vertical="center"/>
    </xf>
    <xf numFmtId="0" fontId="34" fillId="0" borderId="14" xfId="0" applyFont="1" applyBorder="1" applyAlignment="1">
      <alignment horizontal="center" vertical="center"/>
    </xf>
    <xf numFmtId="0" fontId="34" fillId="0" borderId="3" xfId="0" applyFont="1" applyBorder="1" applyAlignment="1">
      <alignment horizontal="center" vertical="center"/>
    </xf>
    <xf numFmtId="0" fontId="34" fillId="0" borderId="43" xfId="0" applyFont="1" applyBorder="1" applyAlignment="1">
      <alignment horizontal="center" vertical="center"/>
    </xf>
    <xf numFmtId="0" fontId="34" fillId="0" borderId="11" xfId="0" applyFont="1" applyBorder="1" applyAlignment="1">
      <alignment horizontal="center" vertical="center"/>
    </xf>
    <xf numFmtId="0" fontId="8" fillId="0" borderId="8" xfId="0" applyFont="1" applyBorder="1" applyAlignment="1">
      <alignment horizontal="left" vertical="center" wrapText="1"/>
    </xf>
    <xf numFmtId="0" fontId="8" fillId="0" borderId="9" xfId="0" applyFont="1" applyBorder="1" applyAlignment="1">
      <alignment horizontal="left" vertical="center" wrapText="1"/>
    </xf>
    <xf numFmtId="0" fontId="8" fillId="0" borderId="12" xfId="0" applyFont="1" applyBorder="1" applyAlignment="1">
      <alignment horizontal="left" vertical="center" wrapText="1"/>
    </xf>
    <xf numFmtId="0" fontId="8" fillId="0" borderId="7" xfId="0" applyFont="1" applyBorder="1" applyAlignment="1">
      <alignment horizontal="left" vertical="center" wrapText="1"/>
    </xf>
    <xf numFmtId="0" fontId="8" fillId="0" borderId="0" xfId="0" applyFont="1" applyAlignment="1">
      <alignment horizontal="left" vertical="center" wrapText="1"/>
    </xf>
    <xf numFmtId="0" fontId="8" fillId="0" borderId="13" xfId="0" applyFont="1" applyBorder="1" applyAlignment="1">
      <alignment horizontal="left" vertical="center" wrapText="1"/>
    </xf>
    <xf numFmtId="0" fontId="8" fillId="0" borderId="2" xfId="0" applyFont="1" applyBorder="1" applyAlignment="1">
      <alignment horizontal="left" vertical="center" wrapText="1"/>
    </xf>
    <xf numFmtId="0" fontId="8" fillId="0" borderId="14" xfId="0" applyFont="1" applyBorder="1" applyAlignment="1">
      <alignment horizontal="left" vertical="center" wrapText="1"/>
    </xf>
    <xf numFmtId="0" fontId="8" fillId="0" borderId="3" xfId="0" applyFont="1" applyBorder="1" applyAlignment="1">
      <alignment horizontal="left" vertical="center" wrapText="1"/>
    </xf>
    <xf numFmtId="0" fontId="34" fillId="0" borderId="8" xfId="0" applyFont="1" applyBorder="1" applyAlignment="1">
      <alignment horizontal="center" vertical="center" wrapText="1"/>
    </xf>
    <xf numFmtId="0" fontId="34" fillId="0" borderId="12" xfId="0" applyFont="1" applyBorder="1" applyAlignment="1">
      <alignment horizontal="center" vertical="center" wrapText="1"/>
    </xf>
    <xf numFmtId="0" fontId="34" fillId="0" borderId="2" xfId="0" applyFont="1" applyBorder="1" applyAlignment="1">
      <alignment horizontal="center" vertical="center" wrapText="1"/>
    </xf>
    <xf numFmtId="0" fontId="34" fillId="0" borderId="3" xfId="0" applyFont="1" applyBorder="1" applyAlignment="1">
      <alignment horizontal="center" vertical="center" wrapText="1"/>
    </xf>
    <xf numFmtId="2" fontId="8" fillId="0" borderId="8" xfId="0" applyNumberFormat="1" applyFont="1" applyBorder="1" applyAlignment="1">
      <alignment horizontal="center" vertical="center"/>
    </xf>
    <xf numFmtId="2" fontId="8" fillId="0" borderId="12" xfId="0" applyNumberFormat="1" applyFont="1" applyBorder="1" applyAlignment="1">
      <alignment horizontal="center" vertical="center"/>
    </xf>
    <xf numFmtId="2" fontId="8" fillId="0" borderId="7" xfId="0" applyNumberFormat="1" applyFont="1" applyBorder="1" applyAlignment="1">
      <alignment horizontal="center" vertical="center"/>
    </xf>
    <xf numFmtId="2" fontId="8" fillId="0" borderId="13" xfId="0" applyNumberFormat="1" applyFont="1" applyBorder="1" applyAlignment="1">
      <alignment horizontal="center" vertical="center"/>
    </xf>
    <xf numFmtId="2" fontId="8" fillId="0" borderId="2" xfId="0" applyNumberFormat="1" applyFont="1" applyBorder="1" applyAlignment="1">
      <alignment horizontal="center" vertical="center"/>
    </xf>
    <xf numFmtId="2" fontId="8" fillId="0" borderId="3" xfId="0" applyNumberFormat="1" applyFont="1" applyBorder="1" applyAlignment="1">
      <alignment horizontal="center" vertical="center"/>
    </xf>
    <xf numFmtId="0" fontId="8" fillId="0" borderId="8" xfId="0" applyFont="1" applyBorder="1" applyAlignment="1">
      <alignment horizontal="left" vertical="top" wrapText="1"/>
    </xf>
    <xf numFmtId="0" fontId="8" fillId="0" borderId="9" xfId="0" applyFont="1" applyBorder="1" applyAlignment="1">
      <alignment horizontal="left" vertical="top" wrapText="1"/>
    </xf>
    <xf numFmtId="0" fontId="8" fillId="0" borderId="12" xfId="0" applyFont="1" applyBorder="1" applyAlignment="1">
      <alignment horizontal="left" vertical="top" wrapText="1"/>
    </xf>
    <xf numFmtId="0" fontId="8" fillId="0" borderId="7" xfId="0" applyFont="1" applyBorder="1" applyAlignment="1">
      <alignment horizontal="left" vertical="top" wrapText="1"/>
    </xf>
    <xf numFmtId="0" fontId="8" fillId="0" borderId="0" xfId="0" applyFont="1" applyAlignment="1">
      <alignment horizontal="left" vertical="top" wrapText="1"/>
    </xf>
    <xf numFmtId="0" fontId="8" fillId="0" borderId="13" xfId="0" applyFont="1" applyBorder="1" applyAlignment="1">
      <alignment horizontal="left" vertical="top" wrapText="1"/>
    </xf>
    <xf numFmtId="0" fontId="8" fillId="0" borderId="2" xfId="0" applyFont="1" applyBorder="1" applyAlignment="1">
      <alignment horizontal="left" vertical="top" wrapText="1"/>
    </xf>
    <xf numFmtId="0" fontId="8" fillId="0" borderId="14" xfId="0" applyFont="1" applyBorder="1" applyAlignment="1">
      <alignment horizontal="left" vertical="top" wrapText="1"/>
    </xf>
    <xf numFmtId="0" fontId="8" fillId="0" borderId="3" xfId="0" applyFont="1" applyBorder="1" applyAlignment="1">
      <alignment horizontal="left" vertical="top" wrapText="1"/>
    </xf>
    <xf numFmtId="0" fontId="34" fillId="16" borderId="1" xfId="0" applyFont="1" applyFill="1" applyBorder="1" applyAlignment="1">
      <alignment horizontal="center" vertical="center"/>
    </xf>
    <xf numFmtId="0" fontId="34" fillId="16" borderId="1" xfId="0" applyFont="1" applyFill="1" applyBorder="1" applyAlignment="1">
      <alignment horizontal="center" vertical="center" wrapText="1"/>
    </xf>
    <xf numFmtId="0" fontId="34" fillId="16" borderId="1" xfId="0" applyFont="1" applyFill="1" applyBorder="1" applyAlignment="1">
      <alignment horizontal="center"/>
    </xf>
    <xf numFmtId="0" fontId="8" fillId="16" borderId="1" xfId="0" applyFont="1" applyFill="1" applyBorder="1" applyAlignment="1">
      <alignment horizontal="left" vertical="top" wrapText="1"/>
    </xf>
    <xf numFmtId="0" fontId="8" fillId="0" borderId="1" xfId="0" applyFont="1" applyBorder="1" applyAlignment="1">
      <alignment horizontal="left" vertical="center"/>
    </xf>
    <xf numFmtId="0" fontId="8" fillId="16" borderId="1" xfId="0" applyFont="1" applyFill="1" applyBorder="1" applyAlignment="1">
      <alignment horizontal="center" vertical="center"/>
    </xf>
    <xf numFmtId="0" fontId="34" fillId="16" borderId="4" xfId="0" applyFont="1" applyFill="1" applyBorder="1" applyAlignment="1">
      <alignment horizontal="center" vertical="center" wrapText="1"/>
    </xf>
    <xf numFmtId="0" fontId="34" fillId="16" borderId="5" xfId="0" applyFont="1" applyFill="1" applyBorder="1" applyAlignment="1">
      <alignment horizontal="center" vertical="center" wrapText="1"/>
    </xf>
    <xf numFmtId="0" fontId="0" fillId="0" borderId="0" xfId="0" applyAlignment="1">
      <alignment horizontal="center"/>
    </xf>
  </cellXfs>
  <cellStyles count="9">
    <cellStyle name="Calc'd/Constant" xfId="3" xr:uid="{F1ECD098-7831-4E64-9044-2E8456202581}"/>
    <cellStyle name="Comma" xfId="7" builtinId="3"/>
    <cellStyle name="Normal" xfId="0" builtinId="0"/>
    <cellStyle name="Normal 2" xfId="2" xr:uid="{BCCDDC8B-20E2-4C71-9730-5236C1C03599}"/>
    <cellStyle name="Normal 2 2" xfId="5" xr:uid="{B716E0E9-BFA1-4B08-B816-78E951FAA0B5}"/>
    <cellStyle name="Normal 3" xfId="6" xr:uid="{FC3819B9-195C-44C5-B7F3-774B9B6639BB}"/>
    <cellStyle name="Normal 4" xfId="1" xr:uid="{E6700897-5971-4E93-81AA-2745FE47DCB6}"/>
    <cellStyle name="Normal 5" xfId="4" xr:uid="{685CC221-61E8-4404-A300-14897436F16E}"/>
    <cellStyle name="Normal 6" xfId="8" xr:uid="{43233666-0644-470A-8374-3AD2A15A48EF}"/>
  </cellStyles>
  <dxfs count="726">
    <dxf>
      <font>
        <b/>
        <i val="0"/>
      </font>
    </dxf>
    <dxf>
      <font>
        <b val="0"/>
        <i/>
        <color theme="3"/>
      </font>
    </dxf>
    <dxf>
      <font>
        <b/>
        <i val="0"/>
      </font>
    </dxf>
    <dxf>
      <font>
        <b val="0"/>
        <i/>
        <color theme="3"/>
      </font>
    </dxf>
    <dxf>
      <font>
        <b/>
        <i val="0"/>
      </font>
    </dxf>
    <dxf>
      <font>
        <b val="0"/>
        <i/>
        <color theme="3"/>
      </font>
    </dxf>
    <dxf>
      <font>
        <b/>
        <i val="0"/>
      </font>
    </dxf>
    <dxf>
      <font>
        <b val="0"/>
        <i/>
        <color theme="3"/>
      </font>
    </dxf>
    <dxf>
      <font>
        <b/>
        <i val="0"/>
      </font>
    </dxf>
    <dxf>
      <font>
        <b val="0"/>
        <i/>
        <color theme="3"/>
      </font>
    </dxf>
    <dxf>
      <font>
        <b/>
        <i val="0"/>
      </font>
    </dxf>
    <dxf>
      <font>
        <b val="0"/>
        <i/>
        <color theme="3"/>
      </font>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dxf>
    <dxf>
      <border outline="0">
        <left style="medium">
          <color indexed="64"/>
        </left>
        <right style="medium">
          <color indexed="64"/>
        </right>
        <top style="thin">
          <color indexed="64"/>
        </top>
        <bottom style="medium">
          <color indexed="64"/>
        </bottom>
      </border>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style="thin">
          <color auto="1"/>
        </left>
        <right style="thin">
          <color auto="1"/>
        </right>
        <top/>
        <bottom/>
      </border>
    </dxf>
    <dxf>
      <font>
        <b/>
        <i val="0"/>
      </font>
    </dxf>
    <dxf>
      <font>
        <b/>
        <i val="0"/>
      </font>
    </dxf>
    <dxf>
      <font>
        <b/>
        <i val="0"/>
      </font>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rgb="FFD9D9D9"/>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border outline="0">
        <top style="medium">
          <color indexed="64"/>
        </top>
      </border>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fill>
        <patternFill patternType="solid">
          <fgColor indexed="64"/>
          <bgColor theme="8"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border outline="0">
        <top style="medium">
          <color indexed="64"/>
        </top>
      </border>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2" formatCode="0.00"/>
      <alignment horizontal="center" vertical="center" textRotation="0" wrapText="1" indent="0" justifyLastLine="0" shrinkToFit="0" readingOrder="0"/>
    </dxf>
    <dxf>
      <border outline="0">
        <top style="medium">
          <color indexed="64"/>
        </top>
      </border>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1"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alibri"/>
        <family val="2"/>
        <scheme val="minor"/>
      </font>
      <numFmt numFmtId="181" formatCode="0.0%"/>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81" formatCode="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alibri"/>
        <family val="2"/>
        <scheme val="minor"/>
      </font>
      <numFmt numFmtId="181" formatCode="0.0%"/>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81" formatCode="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alibri"/>
        <family val="2"/>
        <scheme val="minor"/>
      </font>
      <numFmt numFmtId="181" formatCode="0.0%"/>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81" formatCode="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theme="1"/>
        <name val="Calibri"/>
        <family val="2"/>
        <scheme val="minor"/>
      </font>
      <numFmt numFmtId="181" formatCode="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81" formatCode="0.0%"/>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8"/>
        <color auto="1"/>
        <name val="Calibri"/>
        <family val="2"/>
        <scheme val="minor"/>
      </font>
      <fill>
        <patternFill patternType="solid">
          <fgColor indexed="64"/>
          <bgColor theme="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solid">
          <fgColor auto="1"/>
          <bgColor theme="9"/>
        </patternFill>
      </fill>
    </dxf>
    <dxf>
      <fill>
        <patternFill patternType="solid">
          <fgColor auto="1"/>
          <bgColor theme="9"/>
        </patternFill>
      </fill>
    </dxf>
    <dxf>
      <fill>
        <patternFill patternType="solid">
          <fgColor auto="1"/>
          <bgColor theme="9"/>
        </patternFill>
      </fill>
    </dxf>
    <dxf>
      <fill>
        <patternFill patternType="solid">
          <fgColor auto="1"/>
          <bgColor theme="9"/>
        </patternFill>
      </fill>
    </dxf>
    <dxf>
      <font>
        <b/>
        <i val="0"/>
        <color theme="4"/>
      </font>
      <fill>
        <patternFill>
          <bgColor theme="9"/>
        </patternFill>
      </fill>
    </dxf>
    <dxf>
      <font>
        <b/>
        <i val="0"/>
        <color theme="4"/>
      </font>
      <fill>
        <patternFill>
          <bgColor theme="9"/>
        </patternFill>
      </fill>
    </dxf>
    <dxf>
      <font>
        <b/>
        <i val="0"/>
      </font>
      <fill>
        <patternFill>
          <bgColor rgb="FFD9D9D9"/>
        </patternFill>
      </fill>
    </dxf>
    <dxf>
      <fill>
        <patternFill>
          <bgColor theme="9"/>
        </patternFill>
      </fill>
    </dxf>
    <dxf>
      <font>
        <color theme="0"/>
      </font>
      <fill>
        <patternFill>
          <bgColor theme="0"/>
        </patternFill>
      </fill>
    </dxf>
    <dxf>
      <font>
        <b/>
        <i val="0"/>
      </font>
    </dxf>
    <dxf>
      <font>
        <b/>
        <i val="0"/>
        <color rgb="FFC00000"/>
      </font>
      <fill>
        <patternFill patternType="none">
          <bgColor auto="1"/>
        </patternFill>
      </fill>
    </dxf>
    <dxf>
      <font>
        <color theme="0"/>
      </font>
      <fill>
        <patternFill>
          <bgColor theme="0"/>
        </patternFill>
      </fill>
      <border>
        <left/>
        <right/>
        <bottom/>
        <vertical/>
        <horizontal/>
      </border>
    </dxf>
    <dxf>
      <font>
        <color theme="0"/>
      </font>
      <fill>
        <patternFill>
          <bgColor theme="0"/>
        </patternFill>
      </fill>
      <border>
        <left/>
        <right/>
        <bottom/>
      </border>
    </dxf>
    <dxf>
      <font>
        <strike val="0"/>
        <outline val="0"/>
        <shadow val="0"/>
        <u val="none"/>
        <vertAlign val="baseline"/>
        <sz val="9"/>
      </font>
      <fill>
        <patternFill patternType="none">
          <fgColor indexed="64"/>
          <bgColor auto="1"/>
        </patternFill>
      </fill>
      <alignment horizontal="left" vertical="center" textRotation="0" relativeIndent="1"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9" formatCode="m/d/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font>
      <fill>
        <patternFill patternType="none">
          <fgColor indexed="64"/>
          <bgColor auto="1"/>
        </patternFill>
      </fill>
    </dxf>
    <dxf>
      <border outline="0">
        <top style="thin">
          <color auto="1"/>
        </top>
      </border>
    </dxf>
    <dxf>
      <font>
        <strike val="0"/>
        <outline val="0"/>
        <shadow val="0"/>
        <u val="none"/>
        <vertAlign val="baseline"/>
        <sz val="9"/>
      </font>
      <fill>
        <patternFill patternType="none">
          <fgColor indexed="64"/>
          <bgColor auto="1"/>
        </patternFill>
      </fill>
    </dxf>
    <dxf>
      <border>
        <bottom style="medium">
          <color indexed="64"/>
        </bottom>
      </border>
    </dxf>
    <dxf>
      <font>
        <strike val="0"/>
        <outline val="0"/>
        <shadow val="0"/>
        <u val="none"/>
        <vertAlign val="baseline"/>
        <sz val="9"/>
      </font>
      <fill>
        <patternFill patternType="none">
          <fgColor indexed="64"/>
          <bgColor auto="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patternType="solid">
          <fgColor theme="0" tint="-0.14996795556505021"/>
          <bgColor theme="8" tint="0.79998168889431442"/>
        </patternFill>
      </fill>
    </dxf>
    <dxf>
      <fill>
        <patternFill patternType="solid">
          <fgColor theme="0" tint="-0.14996795556505021"/>
          <bgColor theme="8" tint="0.79998168889431442"/>
        </patternFill>
      </fill>
    </dxf>
    <dxf>
      <font>
        <color auto="1"/>
      </font>
      <fill>
        <patternFill patternType="solid">
          <fgColor theme="5"/>
          <bgColor theme="5"/>
        </patternFill>
      </fill>
    </dxf>
    <dxf>
      <font>
        <color auto="1"/>
      </font>
      <fill>
        <patternFill patternType="solid">
          <fgColor theme="5"/>
          <bgColor theme="5"/>
        </patternFill>
      </fill>
    </dxf>
    <dxf>
      <border>
        <top style="double">
          <color theme="1"/>
        </top>
      </border>
    </dxf>
    <dxf>
      <font>
        <color auto="1"/>
      </font>
      <fill>
        <patternFill patternType="solid">
          <fgColor theme="5"/>
          <bgColor theme="5"/>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NB+C_Table" pivot="0" count="7" xr9:uid="{86447B54-FB63-41D8-8866-9139D60C11AD}">
      <tableStyleElement type="wholeTable" dxfId="725"/>
      <tableStyleElement type="headerRow" dxfId="724"/>
      <tableStyleElement type="totalRow" dxfId="723"/>
      <tableStyleElement type="firstColumn" dxfId="722"/>
      <tableStyleElement type="lastColumn" dxfId="721"/>
      <tableStyleElement type="firstRowStripe" dxfId="720"/>
      <tableStyleElement type="firstColumnStripe" dxfId="719"/>
    </tableStyle>
  </tableStyles>
  <colors>
    <mruColors>
      <color rgb="FFD9D9D9"/>
      <color rgb="FFDDDEDF"/>
      <color rgb="FF00FFFF"/>
      <color rgb="FF553092"/>
      <color rgb="FFFFCCCC"/>
      <color rgb="FFEBEBEB"/>
      <color rgb="FF4FD1FF"/>
      <color rgb="FF009900"/>
      <color rgb="FF99FFCC"/>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ustomXml" Target="../customXml/item1.xml"/><Relationship Id="rId21" Type="http://schemas.openxmlformats.org/officeDocument/2006/relationships/worksheet" Target="worksheets/sheet21.xml"/><Relationship Id="rId34" Type="http://schemas.microsoft.com/office/2017/06/relationships/rdRichValue" Target="richData/rdrichvalue.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microsoft.com/office/2022/11/relationships/FeaturePropertyBag" Target="featurePropertyBag/featurePropertyBag.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tyles" Target="styles.xml"/><Relationship Id="rId35" Type="http://schemas.microsoft.com/office/2017/06/relationships/rdRichValueStructure" Target="richData/rdrichvaluestructur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22/10/relationships/richValueRel" Target="richData/richValueRel.xml"/><Relationship Id="rId38"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5.gif"/><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svg"/><Relationship Id="rId5" Type="http://schemas.openxmlformats.org/officeDocument/2006/relationships/image" Target="../media/image13.png"/><Relationship Id="rId4" Type="http://schemas.openxmlformats.org/officeDocument/2006/relationships/image" Target="../media/image12.sv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8.png"/><Relationship Id="rId7" Type="http://schemas.openxmlformats.org/officeDocument/2006/relationships/image" Target="../media/image15.gif"/><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21.svg"/><Relationship Id="rId5" Type="http://schemas.openxmlformats.org/officeDocument/2006/relationships/image" Target="../media/image20.png"/><Relationship Id="rId10" Type="http://schemas.openxmlformats.org/officeDocument/2006/relationships/image" Target="../media/image24.png"/><Relationship Id="rId4" Type="http://schemas.openxmlformats.org/officeDocument/2006/relationships/image" Target="../media/image19.svg"/><Relationship Id="rId9" Type="http://schemas.openxmlformats.org/officeDocument/2006/relationships/image" Target="../media/image23.svg"/></Relationships>
</file>

<file path=xl/drawings/_rels/drawing4.xml.rels><?xml version="1.0" encoding="UTF-8" standalone="yes"?>
<Relationships xmlns="http://schemas.openxmlformats.org/package/2006/relationships"><Relationship Id="rId1" Type="http://schemas.openxmlformats.org/officeDocument/2006/relationships/image" Target="../media/image15.gif"/></Relationships>
</file>

<file path=xl/drawings/_rels/drawing5.xml.rels><?xml version="1.0" encoding="UTF-8" standalone="yes"?>
<Relationships xmlns="http://schemas.openxmlformats.org/package/2006/relationships"><Relationship Id="rId3" Type="http://schemas.openxmlformats.org/officeDocument/2006/relationships/image" Target="../media/image15.gif"/><Relationship Id="rId2" Type="http://schemas.microsoft.com/office/2007/relationships/hdphoto" Target="../media/hdphoto1.wdp"/><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8</xdr:row>
      <xdr:rowOff>57150</xdr:rowOff>
    </xdr:from>
    <xdr:to>
      <xdr:col>0</xdr:col>
      <xdr:colOff>409575</xdr:colOff>
      <xdr:row>9</xdr:row>
      <xdr:rowOff>152400</xdr:rowOff>
    </xdr:to>
    <xdr:pic macro="[0]!PrintPDF">
      <xdr:nvPicPr>
        <xdr:cNvPr id="3" name="Picture 2" descr="PDF Split and Merge - Garr-8">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581150"/>
          <a:ext cx="285750" cy="28575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0</xdr:col>
      <xdr:colOff>923925</xdr:colOff>
      <xdr:row>8</xdr:row>
      <xdr:rowOff>95250</xdr:rowOff>
    </xdr:from>
    <xdr:to>
      <xdr:col>1</xdr:col>
      <xdr:colOff>123063</xdr:colOff>
      <xdr:row>9</xdr:row>
      <xdr:rowOff>151638</xdr:rowOff>
    </xdr:to>
    <xdr:pic macro="[0]!MAT_Support">
      <xdr:nvPicPr>
        <xdr:cNvPr id="10" name="Graphic 9" descr="Email with solid fill">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23925" y="1619250"/>
          <a:ext cx="246888" cy="246888"/>
        </a:xfrm>
        <a:prstGeom prst="rect">
          <a:avLst/>
        </a:prstGeom>
      </xdr:spPr>
    </xdr:pic>
    <xdr:clientData fPrintsWithSheet="0"/>
  </xdr:twoCellAnchor>
  <xdr:twoCellAnchor editAs="oneCell">
    <xdr:from>
      <xdr:col>0</xdr:col>
      <xdr:colOff>0</xdr:colOff>
      <xdr:row>9</xdr:row>
      <xdr:rowOff>171448</xdr:rowOff>
    </xdr:from>
    <xdr:to>
      <xdr:col>0</xdr:col>
      <xdr:colOff>548640</xdr:colOff>
      <xdr:row>9</xdr:row>
      <xdr:rowOff>308608</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0" y="1885948"/>
          <a:ext cx="548640" cy="13716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lstStyle/>
        <a:p>
          <a:pPr algn="ctr"/>
          <a:r>
            <a:rPr lang="en-US" sz="700" b="0">
              <a:solidFill>
                <a:schemeClr val="bg1"/>
              </a:solidFill>
            </a:rPr>
            <a:t>Create</a:t>
          </a:r>
          <a:r>
            <a:rPr lang="en-US" sz="700" b="0" baseline="0">
              <a:solidFill>
                <a:schemeClr val="bg1"/>
              </a:solidFill>
            </a:rPr>
            <a:t> PDF</a:t>
          </a:r>
          <a:endParaRPr lang="en-US" sz="700" b="0">
            <a:solidFill>
              <a:schemeClr val="bg1"/>
            </a:solidFill>
          </a:endParaRPr>
        </a:p>
      </xdr:txBody>
    </xdr:sp>
    <xdr:clientData fPrintsWithSheet="0"/>
  </xdr:twoCellAnchor>
  <xdr:twoCellAnchor editAs="oneCell">
    <xdr:from>
      <xdr:col>0</xdr:col>
      <xdr:colOff>628650</xdr:colOff>
      <xdr:row>9</xdr:row>
      <xdr:rowOff>171448</xdr:rowOff>
    </xdr:from>
    <xdr:to>
      <xdr:col>1</xdr:col>
      <xdr:colOff>403860</xdr:colOff>
      <xdr:row>9</xdr:row>
      <xdr:rowOff>308608</xdr:rowOff>
    </xdr:to>
    <xdr:sp macro="" textlink="">
      <xdr:nvSpPr>
        <xdr:cNvPr id="16" name="Rectangle: Rounded Corners 15">
          <a:extLst>
            <a:ext uri="{FF2B5EF4-FFF2-40B4-BE49-F238E27FC236}">
              <a16:creationId xmlns:a16="http://schemas.microsoft.com/office/drawing/2014/main" id="{00000000-0008-0000-0500-000010000000}"/>
            </a:ext>
          </a:extLst>
        </xdr:cNvPr>
        <xdr:cNvSpPr/>
      </xdr:nvSpPr>
      <xdr:spPr>
        <a:xfrm>
          <a:off x="628650" y="1885948"/>
          <a:ext cx="822960" cy="13716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lstStyle/>
        <a:p>
          <a:pPr algn="ctr"/>
          <a:r>
            <a:rPr lang="en-US" sz="700" b="0" baseline="0">
              <a:solidFill>
                <a:schemeClr val="bg1"/>
              </a:solidFill>
            </a:rPr>
            <a:t>Submit Ticket</a:t>
          </a:r>
          <a:endParaRPr lang="en-US" sz="700" b="0">
            <a:solidFill>
              <a:schemeClr val="bg1"/>
            </a:solidFill>
          </a:endParaRPr>
        </a:p>
      </xdr:txBody>
    </xdr:sp>
    <xdr:clientData fPrintsWithSheet="0"/>
  </xdr:twoCellAnchor>
  <mc:AlternateContent xmlns:mc="http://schemas.openxmlformats.org/markup-compatibility/2006">
    <mc:Choice xmlns:a14="http://schemas.microsoft.com/office/drawing/2010/main" Requires="a14">
      <xdr:twoCellAnchor>
        <xdr:from>
          <xdr:col>4</xdr:col>
          <xdr:colOff>485775</xdr:colOff>
          <xdr:row>0</xdr:row>
          <xdr:rowOff>180975</xdr:rowOff>
        </xdr:from>
        <xdr:to>
          <xdr:col>5</xdr:col>
          <xdr:colOff>885825</xdr:colOff>
          <xdr:row>3</xdr:row>
          <xdr:rowOff>0</xdr:rowOff>
        </xdr:to>
        <xdr:sp macro="" textlink="">
          <xdr:nvSpPr>
            <xdr:cNvPr id="2058" name="ButtonID"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Button Identification</a:t>
              </a:r>
            </a:p>
          </xdr:txBody>
        </xdr:sp>
        <xdr:clientData fPrintsWithSheet="0"/>
      </xdr:twoCellAnchor>
    </mc:Choice>
    <mc:Fallback/>
  </mc:AlternateContent>
  <xdr:twoCellAnchor>
    <xdr:from>
      <xdr:col>38</xdr:col>
      <xdr:colOff>0</xdr:colOff>
      <xdr:row>0</xdr:row>
      <xdr:rowOff>0</xdr:rowOff>
    </xdr:from>
    <xdr:to>
      <xdr:col>38</xdr:col>
      <xdr:colOff>1</xdr:colOff>
      <xdr:row>0</xdr:row>
      <xdr:rowOff>1</xdr:rowOff>
    </xdr:to>
    <xdr:sp macro="" textlink="">
      <xdr:nvSpPr>
        <xdr:cNvPr id="12" name="Freeform: Shape 11">
          <a:extLst>
            <a:ext uri="{FF2B5EF4-FFF2-40B4-BE49-F238E27FC236}">
              <a16:creationId xmlns:a16="http://schemas.microsoft.com/office/drawing/2014/main" id="{2328D4FB-0516-4ABF-88C1-D524D30098F7}"/>
            </a:ext>
          </a:extLst>
        </xdr:cNvPr>
        <xdr:cNvSpPr>
          <a:spLocks noChangeAspect="1"/>
        </xdr:cNvSpPr>
      </xdr:nvSpPr>
      <xdr:spPr>
        <a:xfrm>
          <a:off x="0" y="0"/>
          <a:ext cx="1" cy="1"/>
        </a:xfrm>
        <a:custGeom>
          <a:avLst/>
          <a:gdLst/>
          <a:ahLst/>
          <a:cxnLst/>
          <a:rect l="0" t="0" r="0" b="0"/>
          <a:pathLst>
            <a:path w="1" h="1">
              <a:moveTo>
                <a:pt x="0" y="0"/>
              </a:move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lnTo>
                <a:pt x="0" y="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59</xdr:col>
      <xdr:colOff>104775</xdr:colOff>
      <xdr:row>51</xdr:row>
      <xdr:rowOff>123825</xdr:rowOff>
    </xdr:from>
    <xdr:to>
      <xdr:col>59</xdr:col>
      <xdr:colOff>104775</xdr:colOff>
      <xdr:row>64</xdr:row>
      <xdr:rowOff>24765</xdr:rowOff>
    </xdr:to>
    <xdr:cxnSp macro="">
      <xdr:nvCxnSpPr>
        <xdr:cNvPr id="18" name="Straight Connector 17">
          <a:extLst>
            <a:ext uri="{FF2B5EF4-FFF2-40B4-BE49-F238E27FC236}">
              <a16:creationId xmlns:a16="http://schemas.microsoft.com/office/drawing/2014/main" id="{B227D6A9-24B9-4EE6-84E2-677BC8FD6ECC}"/>
            </a:ext>
          </a:extLst>
        </xdr:cNvPr>
        <xdr:cNvCxnSpPr/>
      </xdr:nvCxnSpPr>
      <xdr:spPr>
        <a:xfrm>
          <a:off x="4486275" y="9982200"/>
          <a:ext cx="0" cy="237744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676275</xdr:colOff>
      <xdr:row>58</xdr:row>
      <xdr:rowOff>0</xdr:rowOff>
    </xdr:from>
    <xdr:to>
      <xdr:col>63</xdr:col>
      <xdr:colOff>676275</xdr:colOff>
      <xdr:row>70</xdr:row>
      <xdr:rowOff>91440</xdr:rowOff>
    </xdr:to>
    <xdr:cxnSp macro="">
      <xdr:nvCxnSpPr>
        <xdr:cNvPr id="19" name="Straight Connector 18">
          <a:extLst>
            <a:ext uri="{FF2B5EF4-FFF2-40B4-BE49-F238E27FC236}">
              <a16:creationId xmlns:a16="http://schemas.microsoft.com/office/drawing/2014/main" id="{AA41C585-ADCC-4819-98E0-BA80724659FD}"/>
            </a:ext>
          </a:extLst>
        </xdr:cNvPr>
        <xdr:cNvCxnSpPr/>
      </xdr:nvCxnSpPr>
      <xdr:spPr>
        <a:xfrm>
          <a:off x="5476875" y="11191875"/>
          <a:ext cx="0" cy="237744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190500</xdr:colOff>
      <xdr:row>55</xdr:row>
      <xdr:rowOff>66675</xdr:rowOff>
    </xdr:from>
    <xdr:to>
      <xdr:col>59</xdr:col>
      <xdr:colOff>190500</xdr:colOff>
      <xdr:row>57</xdr:row>
      <xdr:rowOff>142875</xdr:rowOff>
    </xdr:to>
    <xdr:cxnSp macro="">
      <xdr:nvCxnSpPr>
        <xdr:cNvPr id="20" name="Straight Connector 19">
          <a:extLst>
            <a:ext uri="{FF2B5EF4-FFF2-40B4-BE49-F238E27FC236}">
              <a16:creationId xmlns:a16="http://schemas.microsoft.com/office/drawing/2014/main" id="{BB417AFD-B348-4545-9C83-71BCA4CAEF40}"/>
            </a:ext>
          </a:extLst>
        </xdr:cNvPr>
        <xdr:cNvCxnSpPr/>
      </xdr:nvCxnSpPr>
      <xdr:spPr>
        <a:xfrm>
          <a:off x="4572000" y="10687050"/>
          <a:ext cx="0" cy="45720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38100</xdr:colOff>
      <xdr:row>57</xdr:row>
      <xdr:rowOff>47625</xdr:rowOff>
    </xdr:from>
    <xdr:to>
      <xdr:col>61</xdr:col>
      <xdr:colOff>38100</xdr:colOff>
      <xdr:row>61</xdr:row>
      <xdr:rowOff>17145</xdr:rowOff>
    </xdr:to>
    <xdr:cxnSp macro="">
      <xdr:nvCxnSpPr>
        <xdr:cNvPr id="21" name="Straight Connector 20">
          <a:extLst>
            <a:ext uri="{FF2B5EF4-FFF2-40B4-BE49-F238E27FC236}">
              <a16:creationId xmlns:a16="http://schemas.microsoft.com/office/drawing/2014/main" id="{69E6C39A-D249-4655-9C72-432B0408A1D5}"/>
            </a:ext>
          </a:extLst>
        </xdr:cNvPr>
        <xdr:cNvCxnSpPr/>
      </xdr:nvCxnSpPr>
      <xdr:spPr>
        <a:xfrm>
          <a:off x="4857750" y="11049000"/>
          <a:ext cx="0" cy="73152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276225</xdr:colOff>
      <xdr:row>59</xdr:row>
      <xdr:rowOff>19050</xdr:rowOff>
    </xdr:from>
    <xdr:to>
      <xdr:col>62</xdr:col>
      <xdr:colOff>276225</xdr:colOff>
      <xdr:row>64</xdr:row>
      <xdr:rowOff>72390</xdr:rowOff>
    </xdr:to>
    <xdr:cxnSp macro="">
      <xdr:nvCxnSpPr>
        <xdr:cNvPr id="22" name="Straight Connector 21">
          <a:extLst>
            <a:ext uri="{FF2B5EF4-FFF2-40B4-BE49-F238E27FC236}">
              <a16:creationId xmlns:a16="http://schemas.microsoft.com/office/drawing/2014/main" id="{4F4F0EC0-3AD9-4A01-A1C1-BC297A4C966E}"/>
            </a:ext>
          </a:extLst>
        </xdr:cNvPr>
        <xdr:cNvCxnSpPr/>
      </xdr:nvCxnSpPr>
      <xdr:spPr>
        <a:xfrm>
          <a:off x="5257800" y="11401425"/>
          <a:ext cx="0" cy="100584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514350</xdr:colOff>
      <xdr:row>60</xdr:row>
      <xdr:rowOff>180975</xdr:rowOff>
    </xdr:from>
    <xdr:to>
      <xdr:col>63</xdr:col>
      <xdr:colOff>514350</xdr:colOff>
      <xdr:row>67</xdr:row>
      <xdr:rowOff>127635</xdr:rowOff>
    </xdr:to>
    <xdr:cxnSp macro="">
      <xdr:nvCxnSpPr>
        <xdr:cNvPr id="23" name="Straight Connector 22">
          <a:extLst>
            <a:ext uri="{FF2B5EF4-FFF2-40B4-BE49-F238E27FC236}">
              <a16:creationId xmlns:a16="http://schemas.microsoft.com/office/drawing/2014/main" id="{FF7CBA6E-CA34-47F1-9B98-05484C4876DE}"/>
            </a:ext>
          </a:extLst>
        </xdr:cNvPr>
        <xdr:cNvCxnSpPr/>
      </xdr:nvCxnSpPr>
      <xdr:spPr>
        <a:xfrm>
          <a:off x="5476875" y="11753850"/>
          <a:ext cx="0" cy="128016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28575</xdr:colOff>
      <xdr:row>60</xdr:row>
      <xdr:rowOff>38100</xdr:rowOff>
    </xdr:from>
    <xdr:to>
      <xdr:col>63</xdr:col>
      <xdr:colOff>685800</xdr:colOff>
      <xdr:row>64</xdr:row>
      <xdr:rowOff>76200</xdr:rowOff>
    </xdr:to>
    <xdr:cxnSp macro="">
      <xdr:nvCxnSpPr>
        <xdr:cNvPr id="24" name="Straight Arrow Connector 23">
          <a:extLst>
            <a:ext uri="{FF2B5EF4-FFF2-40B4-BE49-F238E27FC236}">
              <a16:creationId xmlns:a16="http://schemas.microsoft.com/office/drawing/2014/main" id="{DFBD80DC-B986-4359-983A-56416BDBEAA6}"/>
            </a:ext>
          </a:extLst>
        </xdr:cNvPr>
        <xdr:cNvCxnSpPr/>
      </xdr:nvCxnSpPr>
      <xdr:spPr>
        <a:xfrm flipH="1" flipV="1">
          <a:off x="4848225" y="11610975"/>
          <a:ext cx="628650" cy="800100"/>
        </a:xfrm>
        <a:prstGeom prst="straightConnector1">
          <a:avLst/>
        </a:prstGeom>
        <a:ln w="19050" cap="flat" cmpd="sng" algn="ctr">
          <a:solidFill>
            <a:schemeClr val="accent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59</xdr:col>
      <xdr:colOff>190500</xdr:colOff>
      <xdr:row>57</xdr:row>
      <xdr:rowOff>28575</xdr:rowOff>
    </xdr:from>
    <xdr:to>
      <xdr:col>63</xdr:col>
      <xdr:colOff>685800</xdr:colOff>
      <xdr:row>63</xdr:row>
      <xdr:rowOff>9525</xdr:rowOff>
    </xdr:to>
    <xdr:cxnSp macro="">
      <xdr:nvCxnSpPr>
        <xdr:cNvPr id="25" name="Straight Arrow Connector 24">
          <a:extLst>
            <a:ext uri="{FF2B5EF4-FFF2-40B4-BE49-F238E27FC236}">
              <a16:creationId xmlns:a16="http://schemas.microsoft.com/office/drawing/2014/main" id="{648E76A4-FEAD-480C-86CA-F17AEF64A047}"/>
            </a:ext>
          </a:extLst>
        </xdr:cNvPr>
        <xdr:cNvCxnSpPr/>
      </xdr:nvCxnSpPr>
      <xdr:spPr>
        <a:xfrm flipH="1" flipV="1">
          <a:off x="4572000" y="11029950"/>
          <a:ext cx="904875" cy="1123950"/>
        </a:xfrm>
        <a:prstGeom prst="straightConnector1">
          <a:avLst/>
        </a:prstGeom>
        <a:ln w="19050" cap="flat" cmpd="sng" algn="ctr">
          <a:solidFill>
            <a:schemeClr val="accent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59</xdr:col>
      <xdr:colOff>114300</xdr:colOff>
      <xdr:row>63</xdr:row>
      <xdr:rowOff>104775</xdr:rowOff>
    </xdr:from>
    <xdr:to>
      <xdr:col>63</xdr:col>
      <xdr:colOff>676275</xdr:colOff>
      <xdr:row>69</xdr:row>
      <xdr:rowOff>95250</xdr:rowOff>
    </xdr:to>
    <xdr:cxnSp macro="">
      <xdr:nvCxnSpPr>
        <xdr:cNvPr id="26" name="Straight Arrow Connector 25">
          <a:extLst>
            <a:ext uri="{FF2B5EF4-FFF2-40B4-BE49-F238E27FC236}">
              <a16:creationId xmlns:a16="http://schemas.microsoft.com/office/drawing/2014/main" id="{A5069F3B-B079-4F0F-B19E-A3EAE7B18B82}"/>
            </a:ext>
          </a:extLst>
        </xdr:cNvPr>
        <xdr:cNvCxnSpPr/>
      </xdr:nvCxnSpPr>
      <xdr:spPr>
        <a:xfrm>
          <a:off x="4495800" y="12249150"/>
          <a:ext cx="981075" cy="1133475"/>
        </a:xfrm>
        <a:prstGeom prst="straightConnector1">
          <a:avLst/>
        </a:prstGeom>
        <a:ln w="19050" cap="flat" cmpd="sng" algn="ctr">
          <a:solidFill>
            <a:schemeClr val="accent1"/>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63</xdr:col>
      <xdr:colOff>685800</xdr:colOff>
      <xdr:row>57</xdr:row>
      <xdr:rowOff>171450</xdr:rowOff>
    </xdr:from>
    <xdr:to>
      <xdr:col>64</xdr:col>
      <xdr:colOff>219075</xdr:colOff>
      <xdr:row>59</xdr:row>
      <xdr:rowOff>161925</xdr:rowOff>
    </xdr:to>
    <xdr:cxnSp macro="">
      <xdr:nvCxnSpPr>
        <xdr:cNvPr id="27" name="Straight Connector 26">
          <a:extLst>
            <a:ext uri="{FF2B5EF4-FFF2-40B4-BE49-F238E27FC236}">
              <a16:creationId xmlns:a16="http://schemas.microsoft.com/office/drawing/2014/main" id="{5655926B-1EED-450A-8424-A57E313F2AEA}"/>
            </a:ext>
          </a:extLst>
        </xdr:cNvPr>
        <xdr:cNvCxnSpPr/>
      </xdr:nvCxnSpPr>
      <xdr:spPr>
        <a:xfrm>
          <a:off x="5476875" y="11172825"/>
          <a:ext cx="219075" cy="371475"/>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twoCellAnchor>
    <xdr:from>
      <xdr:col>63</xdr:col>
      <xdr:colOff>676275</xdr:colOff>
      <xdr:row>52</xdr:row>
      <xdr:rowOff>180975</xdr:rowOff>
    </xdr:from>
    <xdr:to>
      <xdr:col>64</xdr:col>
      <xdr:colOff>209550</xdr:colOff>
      <xdr:row>54</xdr:row>
      <xdr:rowOff>171450</xdr:rowOff>
    </xdr:to>
    <xdr:cxnSp macro="">
      <xdr:nvCxnSpPr>
        <xdr:cNvPr id="28" name="Straight Connector 27">
          <a:extLst>
            <a:ext uri="{FF2B5EF4-FFF2-40B4-BE49-F238E27FC236}">
              <a16:creationId xmlns:a16="http://schemas.microsoft.com/office/drawing/2014/main" id="{ACB85AF1-2772-42C3-940C-CEA265F71085}"/>
            </a:ext>
          </a:extLst>
        </xdr:cNvPr>
        <xdr:cNvCxnSpPr/>
      </xdr:nvCxnSpPr>
      <xdr:spPr>
        <a:xfrm>
          <a:off x="5476875" y="10229850"/>
          <a:ext cx="209550" cy="371475"/>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twoCellAnchor>
    <xdr:from>
      <xdr:col>63</xdr:col>
      <xdr:colOff>971550</xdr:colOff>
      <xdr:row>53</xdr:row>
      <xdr:rowOff>152400</xdr:rowOff>
    </xdr:from>
    <xdr:to>
      <xdr:col>63</xdr:col>
      <xdr:colOff>981075</xdr:colOff>
      <xdr:row>58</xdr:row>
      <xdr:rowOff>161925</xdr:rowOff>
    </xdr:to>
    <xdr:cxnSp macro="">
      <xdr:nvCxnSpPr>
        <xdr:cNvPr id="29" name="Straight Arrow Connector 28">
          <a:extLst>
            <a:ext uri="{FF2B5EF4-FFF2-40B4-BE49-F238E27FC236}">
              <a16:creationId xmlns:a16="http://schemas.microsoft.com/office/drawing/2014/main" id="{131DC900-272D-4358-BAC6-E2B430F09457}"/>
            </a:ext>
          </a:extLst>
        </xdr:cNvPr>
        <xdr:cNvCxnSpPr/>
      </xdr:nvCxnSpPr>
      <xdr:spPr>
        <a:xfrm>
          <a:off x="5476875" y="10391775"/>
          <a:ext cx="0" cy="962025"/>
        </a:xfrm>
        <a:prstGeom prst="straightConnector1">
          <a:avLst/>
        </a:prstGeom>
        <a:ln w="19050" cap="flat" cmpd="sng" algn="ctr">
          <a:solidFill>
            <a:schemeClr val="accent1"/>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63</xdr:col>
      <xdr:colOff>504825</xdr:colOff>
      <xdr:row>55</xdr:row>
      <xdr:rowOff>104776</xdr:rowOff>
    </xdr:from>
    <xdr:to>
      <xdr:col>64</xdr:col>
      <xdr:colOff>352425</xdr:colOff>
      <xdr:row>56</xdr:row>
      <xdr:rowOff>161926</xdr:rowOff>
    </xdr:to>
    <xdr:sp macro="" textlink="">
      <xdr:nvSpPr>
        <xdr:cNvPr id="30" name="Rectangle: Rounded Corners 29">
          <a:extLst>
            <a:ext uri="{FF2B5EF4-FFF2-40B4-BE49-F238E27FC236}">
              <a16:creationId xmlns:a16="http://schemas.microsoft.com/office/drawing/2014/main" id="{051F6D5A-7CE4-486F-BD86-DF561B519528}"/>
            </a:ext>
          </a:extLst>
        </xdr:cNvPr>
        <xdr:cNvSpPr/>
      </xdr:nvSpPr>
      <xdr:spPr>
        <a:xfrm rot="1816883">
          <a:off x="5476875" y="10725151"/>
          <a:ext cx="219075" cy="247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ctr"/>
          <a:r>
            <a:rPr lang="en-US" sz="1000"/>
            <a:t>Rail Spacing</a:t>
          </a:r>
        </a:p>
      </xdr:txBody>
    </xdr:sp>
    <xdr:clientData/>
  </xdr:twoCellAnchor>
  <xdr:twoCellAnchor>
    <xdr:from>
      <xdr:col>60</xdr:col>
      <xdr:colOff>314325</xdr:colOff>
      <xdr:row>65</xdr:row>
      <xdr:rowOff>161924</xdr:rowOff>
    </xdr:from>
    <xdr:to>
      <xdr:col>63</xdr:col>
      <xdr:colOff>104775</xdr:colOff>
      <xdr:row>67</xdr:row>
      <xdr:rowOff>28574</xdr:rowOff>
    </xdr:to>
    <xdr:sp macro="" textlink="">
      <xdr:nvSpPr>
        <xdr:cNvPr id="31" name="Rectangle: Rounded Corners 30">
          <a:extLst>
            <a:ext uri="{FF2B5EF4-FFF2-40B4-BE49-F238E27FC236}">
              <a16:creationId xmlns:a16="http://schemas.microsoft.com/office/drawing/2014/main" id="{4412E923-BE39-4FE8-855D-4C5FADBAAD45}"/>
            </a:ext>
          </a:extLst>
        </xdr:cNvPr>
        <xdr:cNvSpPr/>
      </xdr:nvSpPr>
      <xdr:spPr>
        <a:xfrm rot="1722505">
          <a:off x="4819650" y="12687299"/>
          <a:ext cx="542925" cy="247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ctr"/>
          <a:r>
            <a:rPr lang="en-US" sz="1000"/>
            <a:t>Face Width</a:t>
          </a:r>
        </a:p>
      </xdr:txBody>
    </xdr:sp>
    <xdr:clientData/>
  </xdr:twoCellAnchor>
  <xdr:twoCellAnchor>
    <xdr:from>
      <xdr:col>63</xdr:col>
      <xdr:colOff>735462</xdr:colOff>
      <xdr:row>67</xdr:row>
      <xdr:rowOff>104775</xdr:rowOff>
    </xdr:from>
    <xdr:to>
      <xdr:col>64</xdr:col>
      <xdr:colOff>102738</xdr:colOff>
      <xdr:row>68</xdr:row>
      <xdr:rowOff>161925</xdr:rowOff>
    </xdr:to>
    <xdr:sp macro="" textlink="">
      <xdr:nvSpPr>
        <xdr:cNvPr id="32" name="Rectangle: Rounded Corners 31">
          <a:extLst>
            <a:ext uri="{FF2B5EF4-FFF2-40B4-BE49-F238E27FC236}">
              <a16:creationId xmlns:a16="http://schemas.microsoft.com/office/drawing/2014/main" id="{AEA38831-DE2D-48C6-B442-F21F7533DB2B}"/>
            </a:ext>
          </a:extLst>
        </xdr:cNvPr>
        <xdr:cNvSpPr/>
      </xdr:nvSpPr>
      <xdr:spPr>
        <a:xfrm rot="1722505">
          <a:off x="5478912" y="13011150"/>
          <a:ext cx="100701" cy="247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ctr"/>
          <a:r>
            <a:rPr lang="en-US" sz="1000"/>
            <a:t>D</a:t>
          </a:r>
          <a:r>
            <a:rPr lang="el-GR" sz="1000"/>
            <a:t>α</a:t>
          </a:r>
          <a:r>
            <a:rPr lang="en-US" sz="1000"/>
            <a:t>1</a:t>
          </a:r>
        </a:p>
      </xdr:txBody>
    </xdr:sp>
    <xdr:clientData/>
  </xdr:twoCellAnchor>
  <xdr:twoCellAnchor>
    <xdr:from>
      <xdr:col>61</xdr:col>
      <xdr:colOff>154436</xdr:colOff>
      <xdr:row>60</xdr:row>
      <xdr:rowOff>104774</xdr:rowOff>
    </xdr:from>
    <xdr:to>
      <xdr:col>62</xdr:col>
      <xdr:colOff>226562</xdr:colOff>
      <xdr:row>61</xdr:row>
      <xdr:rowOff>161924</xdr:rowOff>
    </xdr:to>
    <xdr:sp macro="" textlink="">
      <xdr:nvSpPr>
        <xdr:cNvPr id="33" name="Rectangle: Rounded Corners 32">
          <a:extLst>
            <a:ext uri="{FF2B5EF4-FFF2-40B4-BE49-F238E27FC236}">
              <a16:creationId xmlns:a16="http://schemas.microsoft.com/office/drawing/2014/main" id="{FAF3B5C3-36C6-46E2-8AC7-2DA32CF524E4}"/>
            </a:ext>
          </a:extLst>
        </xdr:cNvPr>
        <xdr:cNvSpPr/>
      </xdr:nvSpPr>
      <xdr:spPr>
        <a:xfrm rot="1722505">
          <a:off x="4974086" y="11677649"/>
          <a:ext cx="281676" cy="247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ctr"/>
          <a:r>
            <a:rPr lang="en-US" sz="1000"/>
            <a:t>D</a:t>
          </a:r>
          <a:r>
            <a:rPr lang="el-GR" sz="1000"/>
            <a:t>α</a:t>
          </a:r>
          <a:r>
            <a:rPr lang="en-US" sz="1000"/>
            <a:t>3</a:t>
          </a:r>
        </a:p>
      </xdr:txBody>
    </xdr:sp>
    <xdr:clientData/>
  </xdr:twoCellAnchor>
  <xdr:twoCellAnchor>
    <xdr:from>
      <xdr:col>59</xdr:col>
      <xdr:colOff>297313</xdr:colOff>
      <xdr:row>57</xdr:row>
      <xdr:rowOff>85723</xdr:rowOff>
    </xdr:from>
    <xdr:to>
      <xdr:col>60</xdr:col>
      <xdr:colOff>369439</xdr:colOff>
      <xdr:row>58</xdr:row>
      <xdr:rowOff>142873</xdr:rowOff>
    </xdr:to>
    <xdr:sp macro="" textlink="">
      <xdr:nvSpPr>
        <xdr:cNvPr id="34" name="Rectangle: Rounded Corners 33">
          <a:extLst>
            <a:ext uri="{FF2B5EF4-FFF2-40B4-BE49-F238E27FC236}">
              <a16:creationId xmlns:a16="http://schemas.microsoft.com/office/drawing/2014/main" id="{2BA2BB21-733D-464E-9FDC-0DDCCA7C29A3}"/>
            </a:ext>
          </a:extLst>
        </xdr:cNvPr>
        <xdr:cNvSpPr/>
      </xdr:nvSpPr>
      <xdr:spPr>
        <a:xfrm rot="1722505">
          <a:off x="4602613" y="11087098"/>
          <a:ext cx="215001" cy="247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ctr"/>
          <a:r>
            <a:rPr lang="en-US" sz="1000"/>
            <a:t>D</a:t>
          </a:r>
          <a:r>
            <a:rPr lang="el-GR" sz="1000"/>
            <a:t>α</a:t>
          </a:r>
          <a:r>
            <a:rPr lang="en-US" sz="1000"/>
            <a:t>4</a:t>
          </a:r>
        </a:p>
      </xdr:txBody>
    </xdr:sp>
    <xdr:clientData/>
  </xdr:twoCellAnchor>
  <xdr:twoCellAnchor>
    <xdr:from>
      <xdr:col>63</xdr:col>
      <xdr:colOff>504825</xdr:colOff>
      <xdr:row>67</xdr:row>
      <xdr:rowOff>9525</xdr:rowOff>
    </xdr:from>
    <xdr:to>
      <xdr:col>63</xdr:col>
      <xdr:colOff>695325</xdr:colOff>
      <xdr:row>67</xdr:row>
      <xdr:rowOff>104775</xdr:rowOff>
    </xdr:to>
    <xdr:cxnSp macro="">
      <xdr:nvCxnSpPr>
        <xdr:cNvPr id="36" name="Straight Arrow Connector 35">
          <a:extLst>
            <a:ext uri="{FF2B5EF4-FFF2-40B4-BE49-F238E27FC236}">
              <a16:creationId xmlns:a16="http://schemas.microsoft.com/office/drawing/2014/main" id="{CBC79ED0-741D-4DED-B08A-C9EA80E5A324}"/>
            </a:ext>
          </a:extLst>
        </xdr:cNvPr>
        <xdr:cNvCxnSpPr/>
      </xdr:nvCxnSpPr>
      <xdr:spPr>
        <a:xfrm flipH="1" flipV="1">
          <a:off x="5476875" y="12915900"/>
          <a:ext cx="0" cy="95250"/>
        </a:xfrm>
        <a:prstGeom prst="straightConnector1">
          <a:avLst/>
        </a:prstGeom>
        <a:ln w="19050" cap="flat" cmpd="sng" algn="ctr">
          <a:solidFill>
            <a:schemeClr val="accent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62</xdr:col>
      <xdr:colOff>285750</xdr:colOff>
      <xdr:row>63</xdr:row>
      <xdr:rowOff>133350</xdr:rowOff>
    </xdr:from>
    <xdr:to>
      <xdr:col>63</xdr:col>
      <xdr:colOff>676275</xdr:colOff>
      <xdr:row>66</xdr:row>
      <xdr:rowOff>57150</xdr:rowOff>
    </xdr:to>
    <xdr:cxnSp macro="">
      <xdr:nvCxnSpPr>
        <xdr:cNvPr id="37" name="Straight Arrow Connector 36">
          <a:extLst>
            <a:ext uri="{FF2B5EF4-FFF2-40B4-BE49-F238E27FC236}">
              <a16:creationId xmlns:a16="http://schemas.microsoft.com/office/drawing/2014/main" id="{A88BC75E-257C-4C49-AD98-BF79DCFA639A}"/>
            </a:ext>
          </a:extLst>
        </xdr:cNvPr>
        <xdr:cNvCxnSpPr/>
      </xdr:nvCxnSpPr>
      <xdr:spPr>
        <a:xfrm flipH="1" flipV="1">
          <a:off x="5257800" y="12277725"/>
          <a:ext cx="219075" cy="495300"/>
        </a:xfrm>
        <a:prstGeom prst="straightConnector1">
          <a:avLst/>
        </a:prstGeom>
        <a:ln w="19050" cap="flat" cmpd="sng" algn="ctr">
          <a:solidFill>
            <a:schemeClr val="accent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63</xdr:col>
      <xdr:colOff>21086</xdr:colOff>
      <xdr:row>64</xdr:row>
      <xdr:rowOff>19051</xdr:rowOff>
    </xdr:from>
    <xdr:to>
      <xdr:col>63</xdr:col>
      <xdr:colOff>474212</xdr:colOff>
      <xdr:row>65</xdr:row>
      <xdr:rowOff>76201</xdr:rowOff>
    </xdr:to>
    <xdr:sp macro="" textlink="">
      <xdr:nvSpPr>
        <xdr:cNvPr id="38" name="Rectangle: Rounded Corners 37">
          <a:extLst>
            <a:ext uri="{FF2B5EF4-FFF2-40B4-BE49-F238E27FC236}">
              <a16:creationId xmlns:a16="http://schemas.microsoft.com/office/drawing/2014/main" id="{AC4461DE-E62E-4044-AF05-7A0EF832A02E}"/>
            </a:ext>
          </a:extLst>
        </xdr:cNvPr>
        <xdr:cNvSpPr/>
      </xdr:nvSpPr>
      <xdr:spPr>
        <a:xfrm rot="1722505">
          <a:off x="5278886" y="12353926"/>
          <a:ext cx="195951" cy="247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ctr"/>
          <a:r>
            <a:rPr lang="en-US" sz="1000"/>
            <a:t>D</a:t>
          </a:r>
          <a:r>
            <a:rPr lang="el-GR" sz="1000"/>
            <a:t>α</a:t>
          </a:r>
          <a:r>
            <a:rPr lang="en-US" sz="1000"/>
            <a:t>2</a:t>
          </a:r>
        </a:p>
      </xdr:txBody>
    </xdr:sp>
    <xdr:clientData/>
  </xdr:twoCellAnchor>
  <mc:AlternateContent xmlns:mc="http://schemas.openxmlformats.org/markup-compatibility/2006">
    <mc:Choice xmlns:a14="http://schemas.microsoft.com/office/drawing/2010/main" Requires="a14">
      <xdr:twoCellAnchor editAs="oneCell">
        <xdr:from>
          <xdr:col>45</xdr:col>
          <xdr:colOff>142875</xdr:colOff>
          <xdr:row>8</xdr:row>
          <xdr:rowOff>95250</xdr:rowOff>
        </xdr:from>
        <xdr:to>
          <xdr:col>47</xdr:col>
          <xdr:colOff>0</xdr:colOff>
          <xdr:row>9</xdr:row>
          <xdr:rowOff>295275</xdr:rowOff>
        </xdr:to>
        <xdr:sp macro="" textlink="">
          <xdr:nvSpPr>
            <xdr:cNvPr id="2071" name="CommandButton1"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56</xdr:col>
      <xdr:colOff>19050</xdr:colOff>
      <xdr:row>18</xdr:row>
      <xdr:rowOff>152400</xdr:rowOff>
    </xdr:from>
    <xdr:to>
      <xdr:col>57</xdr:col>
      <xdr:colOff>57150</xdr:colOff>
      <xdr:row>26</xdr:row>
      <xdr:rowOff>182880</xdr:rowOff>
    </xdr:to>
    <xdr:sp macro="" textlink="">
      <xdr:nvSpPr>
        <xdr:cNvPr id="41" name="Right Brace 40">
          <a:extLst>
            <a:ext uri="{FF2B5EF4-FFF2-40B4-BE49-F238E27FC236}">
              <a16:creationId xmlns:a16="http://schemas.microsoft.com/office/drawing/2014/main" id="{AAD34CA0-F2DC-4359-85BA-FD078BAD00A3}"/>
            </a:ext>
          </a:extLst>
        </xdr:cNvPr>
        <xdr:cNvSpPr/>
      </xdr:nvSpPr>
      <xdr:spPr>
        <a:xfrm>
          <a:off x="41500425" y="3724275"/>
          <a:ext cx="419100" cy="1554480"/>
        </a:xfrm>
        <a:prstGeom prst="rightBrace">
          <a:avLst/>
        </a:prstGeom>
        <a:noFill/>
        <a:ln w="19050">
          <a:solidFill>
            <a:schemeClr val="accent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kern="1200"/>
        </a:p>
      </xdr:txBody>
    </xdr:sp>
    <xdr:clientData/>
  </xdr:twoCellAnchor>
  <xdr:twoCellAnchor>
    <xdr:from>
      <xdr:col>57</xdr:col>
      <xdr:colOff>266700</xdr:colOff>
      <xdr:row>18</xdr:row>
      <xdr:rowOff>142875</xdr:rowOff>
    </xdr:from>
    <xdr:to>
      <xdr:col>63</xdr:col>
      <xdr:colOff>815340</xdr:colOff>
      <xdr:row>26</xdr:row>
      <xdr:rowOff>173355</xdr:rowOff>
    </xdr:to>
    <xdr:sp macro="" textlink="">
      <xdr:nvSpPr>
        <xdr:cNvPr id="42" name="TextBox 41">
          <a:extLst>
            <a:ext uri="{FF2B5EF4-FFF2-40B4-BE49-F238E27FC236}">
              <a16:creationId xmlns:a16="http://schemas.microsoft.com/office/drawing/2014/main" id="{1E5E5257-5AB6-4B03-A2E0-419CC1498360}"/>
            </a:ext>
          </a:extLst>
        </xdr:cNvPr>
        <xdr:cNvSpPr txBox="1"/>
      </xdr:nvSpPr>
      <xdr:spPr>
        <a:xfrm>
          <a:off x="42129075" y="3714750"/>
          <a:ext cx="2834640" cy="1554480"/>
        </a:xfrm>
        <a:prstGeom prst="rect">
          <a:avLst/>
        </a:prstGeom>
        <a:solidFill>
          <a:schemeClr val="lt1"/>
        </a:solidFill>
        <a:ln w="19050"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kern="1200">
              <a:solidFill>
                <a:schemeClr val="accent5"/>
              </a:solidFill>
            </a:rPr>
            <a:t>Leave</a:t>
          </a:r>
          <a:r>
            <a:rPr lang="en-US" sz="900" b="1" i="1" kern="1200" baseline="0">
              <a:solidFill>
                <a:schemeClr val="accent5"/>
              </a:solidFill>
            </a:rPr>
            <a:t> these fields blank to autocalculate the diagram scaling. </a:t>
          </a:r>
        </a:p>
        <a:p>
          <a:endParaRPr lang="en-US" sz="900" b="1" i="1" kern="1200" baseline="0">
            <a:solidFill>
              <a:schemeClr val="accent5"/>
            </a:solidFill>
          </a:endParaRPr>
        </a:p>
        <a:p>
          <a:r>
            <a:rPr lang="en-US" sz="900" b="1" i="1" kern="1200" baseline="0">
              <a:solidFill>
                <a:schemeClr val="accent5"/>
              </a:solidFill>
            </a:rPr>
            <a:t>If there are issues with the diagrams generating the appurtenances in the correct position due to the chart size, input the Scale and/or Buffer dimensions as needed. </a:t>
          </a:r>
        </a:p>
        <a:p>
          <a:endParaRPr lang="en-US" sz="900" b="1" i="1" kern="1200" baseline="0">
            <a:solidFill>
              <a:schemeClr val="accent5"/>
            </a:solidFill>
          </a:endParaRPr>
        </a:p>
        <a:p>
          <a:r>
            <a:rPr lang="en-US" sz="900" b="1" i="1" kern="1200" baseline="0">
              <a:solidFill>
                <a:schemeClr val="accent5"/>
              </a:solidFill>
            </a:rPr>
            <a:t>Default dimensions are provided in the white cells.</a:t>
          </a:r>
          <a:endParaRPr lang="en-US" sz="900" b="1" i="1" kern="1200">
            <a:solidFill>
              <a:schemeClr val="accent5"/>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28576</xdr:colOff>
      <xdr:row>23</xdr:row>
      <xdr:rowOff>152401</xdr:rowOff>
    </xdr:from>
    <xdr:to>
      <xdr:col>26</xdr:col>
      <xdr:colOff>152402</xdr:colOff>
      <xdr:row>41</xdr:row>
      <xdr:rowOff>82489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4277976" y="4905376"/>
          <a:ext cx="4267201" cy="3359088"/>
        </a:xfrm>
        <a:prstGeom prst="rect">
          <a:avLst/>
        </a:prstGeom>
        <a:solidFill>
          <a:schemeClr val="accent1"/>
        </a:solidFill>
        <a:ln>
          <a:solidFill>
            <a:sysClr val="windowText" lastClr="000000"/>
          </a:solidFill>
        </a:ln>
      </xdr:spPr>
    </xdr:pic>
    <xdr:clientData/>
  </xdr:twoCellAnchor>
  <xdr:twoCellAnchor editAs="oneCell">
    <xdr:from>
      <xdr:col>27</xdr:col>
      <xdr:colOff>2</xdr:colOff>
      <xdr:row>23</xdr:row>
      <xdr:rowOff>152400</xdr:rowOff>
    </xdr:from>
    <xdr:to>
      <xdr:col>30</xdr:col>
      <xdr:colOff>9524</xdr:colOff>
      <xdr:row>35</xdr:row>
      <xdr:rowOff>177144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srcRect l="6832" r="22981"/>
        <a:stretch/>
      </xdr:blipFill>
      <xdr:spPr>
        <a:xfrm>
          <a:off x="19107152" y="4905375"/>
          <a:ext cx="2152647" cy="2310744"/>
        </a:xfrm>
        <a:prstGeom prst="rect">
          <a:avLst/>
        </a:prstGeom>
        <a:solidFill>
          <a:schemeClr val="accent1"/>
        </a:solidFill>
        <a:ln>
          <a:solidFill>
            <a:sysClr val="windowText" lastClr="000000"/>
          </a:solidFill>
        </a:ln>
      </xdr:spPr>
    </xdr:pic>
    <xdr:clientData/>
  </xdr:twoCellAnchor>
  <xdr:twoCellAnchor editAs="oneCell">
    <xdr:from>
      <xdr:col>1</xdr:col>
      <xdr:colOff>590550</xdr:colOff>
      <xdr:row>0</xdr:row>
      <xdr:rowOff>28575</xdr:rowOff>
    </xdr:from>
    <xdr:to>
      <xdr:col>2</xdr:col>
      <xdr:colOff>118695</xdr:colOff>
      <xdr:row>0</xdr:row>
      <xdr:rowOff>366903</xdr:rowOff>
    </xdr:to>
    <xdr:pic macro="[0]!Distributed_Loads">
      <xdr:nvPicPr>
        <xdr:cNvPr id="5" name="Graphic 4" descr="Calculator with solid fill">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l="19549" t="7519" r="19549" b="7519"/>
        <a:stretch/>
      </xdr:blipFill>
      <xdr:spPr>
        <a:xfrm>
          <a:off x="590550" y="28575"/>
          <a:ext cx="242520" cy="338328"/>
        </a:xfrm>
        <a:prstGeom prst="rect">
          <a:avLst/>
        </a:prstGeom>
      </xdr:spPr>
    </xdr:pic>
    <xdr:clientData/>
  </xdr:twoCellAnchor>
  <xdr:twoCellAnchor editAs="oneCell">
    <xdr:from>
      <xdr:col>1</xdr:col>
      <xdr:colOff>38100</xdr:colOff>
      <xdr:row>0</xdr:row>
      <xdr:rowOff>28575</xdr:rowOff>
    </xdr:from>
    <xdr:to>
      <xdr:col>1</xdr:col>
      <xdr:colOff>510968</xdr:colOff>
      <xdr:row>0</xdr:row>
      <xdr:rowOff>390525</xdr:rowOff>
    </xdr:to>
    <xdr:pic macro="[0]!Import">
      <xdr:nvPicPr>
        <xdr:cNvPr id="4" name="Graphic 3" descr="Arrow: Rotate right with solid fill">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l="2353" t="13529" r="2353" b="13529"/>
        <a:stretch/>
      </xdr:blipFill>
      <xdr:spPr>
        <a:xfrm>
          <a:off x="38100" y="28575"/>
          <a:ext cx="472868" cy="361950"/>
        </a:xfrm>
        <a:prstGeom prst="rect">
          <a:avLst/>
        </a:prstGeom>
      </xdr:spPr>
    </xdr:pic>
    <xdr:clientData/>
  </xdr:twoCellAnchor>
  <xdr:twoCellAnchor editAs="oneCell">
    <xdr:from>
      <xdr:col>2</xdr:col>
      <xdr:colOff>247651</xdr:colOff>
      <xdr:row>0</xdr:row>
      <xdr:rowOff>9525</xdr:rowOff>
    </xdr:from>
    <xdr:to>
      <xdr:col>3</xdr:col>
      <xdr:colOff>9526</xdr:colOff>
      <xdr:row>0</xdr:row>
      <xdr:rowOff>432859</xdr:rowOff>
    </xdr:to>
    <xdr:pic macro="[0]!ShowHide_LoadTables">
      <xdr:nvPicPr>
        <xdr:cNvPr id="7" name="Picture 6" descr="eFunda: Glossary: Beams: Simply Supported: Uniformly Distributed Load:  Single Span: S Section Steel I Beam: S12 × 31.8">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62026" y="9525"/>
          <a:ext cx="1143000" cy="423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1228725</xdr:colOff>
      <xdr:row>0</xdr:row>
      <xdr:rowOff>38101</xdr:rowOff>
    </xdr:from>
    <xdr:to>
      <xdr:col>1</xdr:col>
      <xdr:colOff>1594485</xdr:colOff>
      <xdr:row>0</xdr:row>
      <xdr:rowOff>403226</xdr:rowOff>
    </xdr:to>
    <xdr:sp macro="[0]!GoToBeta" textlink="">
      <xdr:nvSpPr>
        <xdr:cNvPr id="2" name="Rectangle 1">
          <a:extLst>
            <a:ext uri="{FF2B5EF4-FFF2-40B4-BE49-F238E27FC236}">
              <a16:creationId xmlns:a16="http://schemas.microsoft.com/office/drawing/2014/main" id="{7EF42C66-F8D4-49A1-8893-EECA3CB2D37D}"/>
            </a:ext>
          </a:extLst>
        </xdr:cNvPr>
        <xdr:cNvSpPr>
          <a:spLocks noChangeAspect="1"/>
        </xdr:cNvSpPr>
      </xdr:nvSpPr>
      <xdr:spPr>
        <a:xfrm>
          <a:off x="2609850" y="38101"/>
          <a:ext cx="365760" cy="365125"/>
        </a:xfrm>
        <a:prstGeom prst="rect">
          <a:avLst/>
        </a:prstGeom>
        <a:solidFill>
          <a:srgbClr val="00B050"/>
        </a:solidFill>
        <a:ln w="9525">
          <a:solidFill>
            <a:schemeClr val="tx1"/>
          </a:solid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l-GR" sz="1000" b="1" baseline="0">
              <a:latin typeface="Segoe UI" panose="020B0502040204020203" pitchFamily="34" charset="0"/>
              <a:cs typeface="Segoe UI" panose="020B0502040204020203" pitchFamily="34" charset="0"/>
            </a:rPr>
            <a:t>β</a:t>
          </a:r>
          <a:endParaRPr lang="en-US" sz="1000" b="1">
            <a:latin typeface="Segoe UI" panose="020B0502040204020203" pitchFamily="34" charset="0"/>
            <a:cs typeface="Segoe UI" panose="020B0502040204020203" pitchFamily="34" charset="0"/>
          </a:endParaRPr>
        </a:p>
      </xdr:txBody>
    </xdr:sp>
    <xdr:clientData/>
  </xdr:twoCellAnchor>
  <xdr:twoCellAnchor editAs="absolute">
    <xdr:from>
      <xdr:col>1</xdr:col>
      <xdr:colOff>1638300</xdr:colOff>
      <xdr:row>0</xdr:row>
      <xdr:rowOff>38101</xdr:rowOff>
    </xdr:from>
    <xdr:to>
      <xdr:col>1</xdr:col>
      <xdr:colOff>2004060</xdr:colOff>
      <xdr:row>0</xdr:row>
      <xdr:rowOff>403226</xdr:rowOff>
    </xdr:to>
    <xdr:sp macro="[0]!GoToGamma" textlink="">
      <xdr:nvSpPr>
        <xdr:cNvPr id="3" name="Rectangle 2">
          <a:extLst>
            <a:ext uri="{FF2B5EF4-FFF2-40B4-BE49-F238E27FC236}">
              <a16:creationId xmlns:a16="http://schemas.microsoft.com/office/drawing/2014/main" id="{7EA3241D-64B0-4DC3-A6C8-6AA794865421}"/>
            </a:ext>
          </a:extLst>
        </xdr:cNvPr>
        <xdr:cNvSpPr>
          <a:spLocks noChangeAspect="1"/>
        </xdr:cNvSpPr>
      </xdr:nvSpPr>
      <xdr:spPr>
        <a:xfrm>
          <a:off x="3019425" y="38101"/>
          <a:ext cx="365760" cy="365125"/>
        </a:xfrm>
        <a:prstGeom prst="rect">
          <a:avLst/>
        </a:prstGeom>
        <a:solidFill>
          <a:schemeClr val="accent6">
            <a:lumMod val="25000"/>
          </a:schemeClr>
        </a:solidFill>
        <a:ln w="9525">
          <a:solidFill>
            <a:schemeClr val="tx1"/>
          </a:solid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l-GR" sz="1000" b="1" baseline="0">
              <a:latin typeface="Segoe UI" panose="020B0502040204020203" pitchFamily="34" charset="0"/>
              <a:cs typeface="Segoe UI" panose="020B0502040204020203" pitchFamily="34" charset="0"/>
            </a:rPr>
            <a:t>γ</a:t>
          </a:r>
          <a:endParaRPr lang="en-US" sz="1000" b="1">
            <a:latin typeface="Segoe UI" panose="020B0502040204020203" pitchFamily="34" charset="0"/>
            <a:cs typeface="Segoe UI" panose="020B0502040204020203" pitchFamily="34" charset="0"/>
          </a:endParaRPr>
        </a:p>
      </xdr:txBody>
    </xdr:sp>
    <xdr:clientData/>
  </xdr:twoCellAnchor>
  <xdr:twoCellAnchor editAs="absolute">
    <xdr:from>
      <xdr:col>2</xdr:col>
      <xdr:colOff>0</xdr:colOff>
      <xdr:row>0</xdr:row>
      <xdr:rowOff>38101</xdr:rowOff>
    </xdr:from>
    <xdr:to>
      <xdr:col>2</xdr:col>
      <xdr:colOff>365760</xdr:colOff>
      <xdr:row>0</xdr:row>
      <xdr:rowOff>403226</xdr:rowOff>
    </xdr:to>
    <xdr:sp macro="[0]!GoToDelta" textlink="">
      <xdr:nvSpPr>
        <xdr:cNvPr id="4" name="Rectangle 3">
          <a:extLst>
            <a:ext uri="{FF2B5EF4-FFF2-40B4-BE49-F238E27FC236}">
              <a16:creationId xmlns:a16="http://schemas.microsoft.com/office/drawing/2014/main" id="{F63B0EF7-6BB9-4070-AAB9-ED2F2B9AB4EF}"/>
            </a:ext>
          </a:extLst>
        </xdr:cNvPr>
        <xdr:cNvSpPr>
          <a:spLocks noChangeAspect="1"/>
        </xdr:cNvSpPr>
      </xdr:nvSpPr>
      <xdr:spPr>
        <a:xfrm>
          <a:off x="3429000" y="38101"/>
          <a:ext cx="365760" cy="365125"/>
        </a:xfrm>
        <a:prstGeom prst="rect">
          <a:avLst/>
        </a:prstGeom>
        <a:solidFill>
          <a:srgbClr val="C00000"/>
        </a:solidFill>
        <a:ln w="9525">
          <a:solidFill>
            <a:schemeClr val="tx1"/>
          </a:solid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l-GR" sz="1000" b="1" baseline="0">
              <a:latin typeface="Segoe UI" panose="020B0502040204020203" pitchFamily="34" charset="0"/>
              <a:cs typeface="Segoe UI" panose="020B0502040204020203" pitchFamily="34" charset="0"/>
            </a:rPr>
            <a:t>δ</a:t>
          </a:r>
          <a:endParaRPr lang="en-US" sz="1000" b="1">
            <a:latin typeface="Segoe UI" panose="020B0502040204020203" pitchFamily="34" charset="0"/>
            <a:cs typeface="Segoe UI" panose="020B0502040204020203" pitchFamily="34" charset="0"/>
          </a:endParaRPr>
        </a:p>
      </xdr:txBody>
    </xdr:sp>
    <xdr:clientData/>
  </xdr:twoCellAnchor>
  <xdr:twoCellAnchor editAs="absolute">
    <xdr:from>
      <xdr:col>1</xdr:col>
      <xdr:colOff>819150</xdr:colOff>
      <xdr:row>0</xdr:row>
      <xdr:rowOff>38101</xdr:rowOff>
    </xdr:from>
    <xdr:to>
      <xdr:col>1</xdr:col>
      <xdr:colOff>1184910</xdr:colOff>
      <xdr:row>0</xdr:row>
      <xdr:rowOff>403226</xdr:rowOff>
    </xdr:to>
    <xdr:sp macro="[0]!GoToAlpha" textlink="">
      <xdr:nvSpPr>
        <xdr:cNvPr id="5" name="Rectangle 4">
          <a:extLst>
            <a:ext uri="{FF2B5EF4-FFF2-40B4-BE49-F238E27FC236}">
              <a16:creationId xmlns:a16="http://schemas.microsoft.com/office/drawing/2014/main" id="{2BEC83A5-4FD8-4721-8497-732BBD582859}"/>
            </a:ext>
          </a:extLst>
        </xdr:cNvPr>
        <xdr:cNvSpPr>
          <a:spLocks noChangeAspect="1"/>
        </xdr:cNvSpPr>
      </xdr:nvSpPr>
      <xdr:spPr>
        <a:xfrm>
          <a:off x="2200275" y="38101"/>
          <a:ext cx="365760" cy="365125"/>
        </a:xfrm>
        <a:prstGeom prst="rect">
          <a:avLst/>
        </a:prstGeom>
        <a:solidFill>
          <a:srgbClr val="00B0F0"/>
        </a:solidFill>
        <a:ln w="9525">
          <a:solidFill>
            <a:schemeClr val="tx1"/>
          </a:solid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l-GR" sz="1000" b="1" baseline="0">
              <a:latin typeface="Segoe UI" panose="020B0502040204020203" pitchFamily="34" charset="0"/>
              <a:cs typeface="Segoe UI" panose="020B0502040204020203" pitchFamily="34" charset="0"/>
            </a:rPr>
            <a:t>α</a:t>
          </a:r>
          <a:endParaRPr lang="en-US" sz="1000" b="1">
            <a:latin typeface="Segoe UI" panose="020B0502040204020203" pitchFamily="34" charset="0"/>
            <a:cs typeface="Segoe UI" panose="020B0502040204020203" pitchFamily="34" charset="0"/>
          </a:endParaRPr>
        </a:p>
      </xdr:txBody>
    </xdr:sp>
    <xdr:clientData/>
  </xdr:twoCellAnchor>
  <xdr:twoCellAnchor editAs="absolute">
    <xdr:from>
      <xdr:col>2</xdr:col>
      <xdr:colOff>409575</xdr:colOff>
      <xdr:row>0</xdr:row>
      <xdr:rowOff>38100</xdr:rowOff>
    </xdr:from>
    <xdr:to>
      <xdr:col>3</xdr:col>
      <xdr:colOff>384810</xdr:colOff>
      <xdr:row>0</xdr:row>
      <xdr:rowOff>403860</xdr:rowOff>
    </xdr:to>
    <xdr:sp macro="[0]!GoToDimensions" textlink="">
      <xdr:nvSpPr>
        <xdr:cNvPr id="6" name="Rectangle 5">
          <a:extLst>
            <a:ext uri="{FF2B5EF4-FFF2-40B4-BE49-F238E27FC236}">
              <a16:creationId xmlns:a16="http://schemas.microsoft.com/office/drawing/2014/main" id="{B0C7C3A0-E8B3-494D-A413-D74C4DD7167F}"/>
            </a:ext>
          </a:extLst>
        </xdr:cNvPr>
        <xdr:cNvSpPr>
          <a:spLocks noChangeAspect="1"/>
        </xdr:cNvSpPr>
      </xdr:nvSpPr>
      <xdr:spPr>
        <a:xfrm>
          <a:off x="3838575" y="38100"/>
          <a:ext cx="822960" cy="365760"/>
        </a:xfrm>
        <a:prstGeom prst="rect">
          <a:avLst/>
        </a:prstGeom>
        <a:solidFill>
          <a:schemeClr val="tx2"/>
        </a:solidFill>
        <a:ln w="9525">
          <a:solidFill>
            <a:schemeClr val="tx1"/>
          </a:solid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latin typeface="Segoe UI" panose="020B0502040204020203" pitchFamily="34" charset="0"/>
              <a:cs typeface="Segoe UI" panose="020B0502040204020203" pitchFamily="34" charset="0"/>
            </a:rPr>
            <a:t>Dimensions</a:t>
          </a:r>
        </a:p>
      </xdr:txBody>
    </xdr:sp>
    <xdr:clientData/>
  </xdr:twoCellAnchor>
  <xdr:twoCellAnchor>
    <xdr:from>
      <xdr:col>0</xdr:col>
      <xdr:colOff>32809</xdr:colOff>
      <xdr:row>0</xdr:row>
      <xdr:rowOff>25161</xdr:rowOff>
    </xdr:from>
    <xdr:to>
      <xdr:col>0</xdr:col>
      <xdr:colOff>310946</xdr:colOff>
      <xdr:row>0</xdr:row>
      <xdr:rowOff>363489</xdr:rowOff>
    </xdr:to>
    <xdr:grpSp>
      <xdr:nvGrpSpPr>
        <xdr:cNvPr id="7" name="Group 6">
          <a:extLst>
            <a:ext uri="{FF2B5EF4-FFF2-40B4-BE49-F238E27FC236}">
              <a16:creationId xmlns:a16="http://schemas.microsoft.com/office/drawing/2014/main" id="{31E07AB9-D7DD-41E0-ADB2-877D9E6EFFE6}"/>
            </a:ext>
          </a:extLst>
        </xdr:cNvPr>
        <xdr:cNvGrpSpPr/>
      </xdr:nvGrpSpPr>
      <xdr:grpSpPr>
        <a:xfrm>
          <a:off x="32809" y="25161"/>
          <a:ext cx="278137" cy="338328"/>
          <a:chOff x="32809" y="25161"/>
          <a:chExt cx="278137" cy="338328"/>
        </a:xfrm>
      </xdr:grpSpPr>
      <xdr:pic macro="[0]!APPURT_Click">
        <xdr:nvPicPr>
          <xdr:cNvPr id="8" name="Graphic 7" descr="Database with solid fill">
            <a:extLst>
              <a:ext uri="{FF2B5EF4-FFF2-40B4-BE49-F238E27FC236}">
                <a16:creationId xmlns:a16="http://schemas.microsoft.com/office/drawing/2014/main" id="{B2FF4865-138C-1AA4-2019-DCE3A669681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l="15010" t="7437" r="15010" b="7437"/>
          <a:stretch/>
        </xdr:blipFill>
        <xdr:spPr>
          <a:xfrm>
            <a:off x="32809" y="25161"/>
            <a:ext cx="278137" cy="338328"/>
          </a:xfrm>
          <a:prstGeom prst="rect">
            <a:avLst/>
          </a:prstGeom>
        </xdr:spPr>
      </xdr:pic>
      <xdr:pic macro="[0]!APPURT_Click">
        <xdr:nvPicPr>
          <xdr:cNvPr id="9" name="Graphic 8" descr="Cell Tower with solid fill">
            <a:extLst>
              <a:ext uri="{FF2B5EF4-FFF2-40B4-BE49-F238E27FC236}">
                <a16:creationId xmlns:a16="http://schemas.microsoft.com/office/drawing/2014/main" id="{F8F66CBB-C868-1392-5D76-539B313C15A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8229" y="116815"/>
            <a:ext cx="228600" cy="228600"/>
          </a:xfrm>
          <a:prstGeom prst="rect">
            <a:avLst/>
          </a:prstGeom>
        </xdr:spPr>
      </xdr:pic>
    </xdr:grpSp>
    <xdr:clientData/>
  </xdr:twoCellAnchor>
  <xdr:twoCellAnchor editAs="absolute">
    <xdr:from>
      <xdr:col>0</xdr:col>
      <xdr:colOff>591808</xdr:colOff>
      <xdr:row>0</xdr:row>
      <xdr:rowOff>25160</xdr:rowOff>
    </xdr:from>
    <xdr:to>
      <xdr:col>0</xdr:col>
      <xdr:colOff>834328</xdr:colOff>
      <xdr:row>0</xdr:row>
      <xdr:rowOff>363488</xdr:rowOff>
    </xdr:to>
    <xdr:pic macro="[0]!loadspoint">
      <xdr:nvPicPr>
        <xdr:cNvPr id="10" name="Graphic 9" descr="Calculator with solid fill">
          <a:extLst>
            <a:ext uri="{FF2B5EF4-FFF2-40B4-BE49-F238E27FC236}">
              <a16:creationId xmlns:a16="http://schemas.microsoft.com/office/drawing/2014/main" id="{895A4BCB-5A2C-423B-BFA1-BA9FF0CEBAB3}"/>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l="19549" t="7519" r="19549" b="7519"/>
        <a:stretch/>
      </xdr:blipFill>
      <xdr:spPr>
        <a:xfrm>
          <a:off x="591808" y="25160"/>
          <a:ext cx="242520" cy="338328"/>
        </a:xfrm>
        <a:prstGeom prst="rect">
          <a:avLst/>
        </a:prstGeom>
      </xdr:spPr>
    </xdr:pic>
    <xdr:clientData/>
  </xdr:twoCellAnchor>
  <xdr:twoCellAnchor editAs="absolute">
    <xdr:from>
      <xdr:col>0</xdr:col>
      <xdr:colOff>962025</xdr:colOff>
      <xdr:row>0</xdr:row>
      <xdr:rowOff>9525</xdr:rowOff>
    </xdr:from>
    <xdr:to>
      <xdr:col>1</xdr:col>
      <xdr:colOff>723900</xdr:colOff>
      <xdr:row>0</xdr:row>
      <xdr:rowOff>432859</xdr:rowOff>
    </xdr:to>
    <xdr:pic macro="[0]!ShowHide_LoadTables">
      <xdr:nvPicPr>
        <xdr:cNvPr id="11" name="Picture 10" descr="eFunda: Glossary: Beams: Simply Supported: Uniformly Distributed Load:  Single Span: S Section Steel I Beam: S12 × 31.8">
          <a:extLst>
            <a:ext uri="{FF2B5EF4-FFF2-40B4-BE49-F238E27FC236}">
              <a16:creationId xmlns:a16="http://schemas.microsoft.com/office/drawing/2014/main" id="{C17EA4D7-4F34-409C-BC16-D8CB3F6CC77D}"/>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62025" y="9525"/>
          <a:ext cx="1143000" cy="423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300039</xdr:colOff>
      <xdr:row>0</xdr:row>
      <xdr:rowOff>26194</xdr:rowOff>
    </xdr:from>
    <xdr:to>
      <xdr:col>0</xdr:col>
      <xdr:colOff>578176</xdr:colOff>
      <xdr:row>0</xdr:row>
      <xdr:rowOff>364522</xdr:rowOff>
    </xdr:to>
    <xdr:grpSp>
      <xdr:nvGrpSpPr>
        <xdr:cNvPr id="12" name="Group 11">
          <a:extLst>
            <a:ext uri="{FF2B5EF4-FFF2-40B4-BE49-F238E27FC236}">
              <a16:creationId xmlns:a16="http://schemas.microsoft.com/office/drawing/2014/main" id="{65E1F79E-A8F5-4220-BA65-91F4BF389F12}"/>
            </a:ext>
          </a:extLst>
        </xdr:cNvPr>
        <xdr:cNvGrpSpPr/>
      </xdr:nvGrpSpPr>
      <xdr:grpSpPr>
        <a:xfrm>
          <a:off x="300039" y="26194"/>
          <a:ext cx="278137" cy="338328"/>
          <a:chOff x="300039" y="26194"/>
          <a:chExt cx="278137" cy="338328"/>
        </a:xfrm>
      </xdr:grpSpPr>
      <xdr:pic macro="[0]!DISH_Click">
        <xdr:nvPicPr>
          <xdr:cNvPr id="13" name="Graphic 12" descr="Database with solid fill">
            <a:extLst>
              <a:ext uri="{FF2B5EF4-FFF2-40B4-BE49-F238E27FC236}">
                <a16:creationId xmlns:a16="http://schemas.microsoft.com/office/drawing/2014/main" id="{D53A1099-7EFE-D30E-68AF-19EE071D293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l="15010" t="7437" r="15010" b="7437"/>
          <a:stretch/>
        </xdr:blipFill>
        <xdr:spPr>
          <a:xfrm>
            <a:off x="300039" y="26194"/>
            <a:ext cx="278137" cy="338328"/>
          </a:xfrm>
          <a:prstGeom prst="rect">
            <a:avLst/>
          </a:prstGeom>
        </xdr:spPr>
      </xdr:pic>
      <xdr:pic macro="[0]!DISH_Click">
        <xdr:nvPicPr>
          <xdr:cNvPr id="14" name="Graphic 13" descr="Satellite dish with solid fill">
            <a:extLst>
              <a:ext uri="{FF2B5EF4-FFF2-40B4-BE49-F238E27FC236}">
                <a16:creationId xmlns:a16="http://schemas.microsoft.com/office/drawing/2014/main" id="{E867E31A-8DFB-F2C8-1679-6CF76932566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25204" y="125754"/>
            <a:ext cx="228600" cy="228600"/>
          </a:xfrm>
          <a:prstGeom prst="rect">
            <a:avLst/>
          </a:prstGeom>
        </xdr:spPr>
      </xdr:pic>
    </xdr:grpSp>
    <xdr:clientData/>
  </xdr:twoCellAnchor>
  <xdr:twoCellAnchor>
    <xdr:from>
      <xdr:col>6</xdr:col>
      <xdr:colOff>142875</xdr:colOff>
      <xdr:row>0</xdr:row>
      <xdr:rowOff>13578</xdr:rowOff>
    </xdr:from>
    <xdr:to>
      <xdr:col>9</xdr:col>
      <xdr:colOff>24633</xdr:colOff>
      <xdr:row>1</xdr:row>
      <xdr:rowOff>1213</xdr:rowOff>
    </xdr:to>
    <xdr:grpSp>
      <xdr:nvGrpSpPr>
        <xdr:cNvPr id="15" name="Group 14">
          <a:extLst>
            <a:ext uri="{FF2B5EF4-FFF2-40B4-BE49-F238E27FC236}">
              <a16:creationId xmlns:a16="http://schemas.microsoft.com/office/drawing/2014/main" id="{B3E7F0C7-D1F1-4FD3-AC0F-5AAFDD2A915E}"/>
            </a:ext>
          </a:extLst>
        </xdr:cNvPr>
        <xdr:cNvGrpSpPr/>
      </xdr:nvGrpSpPr>
      <xdr:grpSpPr>
        <a:xfrm>
          <a:off x="6162675" y="13578"/>
          <a:ext cx="1624833" cy="425785"/>
          <a:chOff x="5114925" y="19050"/>
          <a:chExt cx="1624833" cy="425380"/>
        </a:xfrm>
      </xdr:grpSpPr>
      <mc:AlternateContent xmlns:mc="http://schemas.openxmlformats.org/markup-compatibility/2006">
        <mc:Choice xmlns:a14="http://schemas.microsoft.com/office/drawing/2010/main" Requires="a14">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500-000001000100}"/>
                  </a:ext>
                </a:extLst>
              </xdr:cNvPr>
              <xdr:cNvSpPr/>
            </xdr:nvSpPr>
            <xdr:spPr bwMode="auto">
              <a:xfrm>
                <a:off x="5291969" y="36825"/>
                <a:ext cx="1447789" cy="36576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a:cs typeface="Segoe UI"/>
                  </a:rPr>
                  <a:t>Generate tnxTower </a:t>
                </a:r>
              </a:p>
              <a:p>
                <a:pPr algn="ctr" rtl="0">
                  <a:defRPr sz="1000"/>
                </a:pPr>
                <a:r>
                  <a:rPr lang="en-US" sz="800" b="1" i="0" u="none" strike="noStrike" baseline="0">
                    <a:solidFill>
                      <a:srgbClr val="000000"/>
                    </a:solidFill>
                    <a:latin typeface="Segoe UI"/>
                    <a:cs typeface="Segoe UI"/>
                  </a:rPr>
                  <a:t>Loading File</a:t>
                </a:r>
              </a:p>
            </xdr:txBody>
          </xdr:sp>
        </mc:Choice>
        <mc:Fallback/>
      </mc:AlternateContent>
      <xdr:pic macro="[0]!Show_ExportForm">
        <xdr:nvPicPr>
          <xdr:cNvPr id="16" name="Picture 15">
            <a:extLst>
              <a:ext uri="{FF2B5EF4-FFF2-40B4-BE49-F238E27FC236}">
                <a16:creationId xmlns:a16="http://schemas.microsoft.com/office/drawing/2014/main" id="{236ADA3F-D735-1290-ADC8-F3C4F69F8DC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114925" y="19050"/>
            <a:ext cx="425583" cy="425380"/>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3</xdr:col>
          <xdr:colOff>428625</xdr:colOff>
          <xdr:row>0</xdr:row>
          <xdr:rowOff>38100</xdr:rowOff>
        </xdr:from>
        <xdr:to>
          <xdr:col>4</xdr:col>
          <xdr:colOff>485775</xdr:colOff>
          <xdr:row>0</xdr:row>
          <xdr:rowOff>400050</xdr:rowOff>
        </xdr:to>
        <xdr:sp macro="" textlink="">
          <xdr:nvSpPr>
            <xdr:cNvPr id="65545" name="Button 9" hidden="1">
              <a:extLst>
                <a:ext uri="{63B3BB69-23CF-44E3-9099-C40C66FF867C}">
                  <a14:compatExt spid="_x0000_s65545"/>
                </a:ext>
                <a:ext uri="{FF2B5EF4-FFF2-40B4-BE49-F238E27FC236}">
                  <a16:creationId xmlns:a16="http://schemas.microsoft.com/office/drawing/2014/main" id="{00000000-0008-0000-0500-0000090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a:cs typeface="Segoe UI"/>
                </a:rPr>
                <a:t>Import RFDS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514350</xdr:colOff>
          <xdr:row>0</xdr:row>
          <xdr:rowOff>38100</xdr:rowOff>
        </xdr:from>
        <xdr:to>
          <xdr:col>5</xdr:col>
          <xdr:colOff>571500</xdr:colOff>
          <xdr:row>0</xdr:row>
          <xdr:rowOff>400050</xdr:rowOff>
        </xdr:to>
        <xdr:sp macro="" textlink="">
          <xdr:nvSpPr>
            <xdr:cNvPr id="65546" name="Button 10" hidden="1">
              <a:extLst>
                <a:ext uri="{63B3BB69-23CF-44E3-9099-C40C66FF867C}">
                  <a14:compatExt spid="_x0000_s65546"/>
                </a:ext>
                <a:ext uri="{FF2B5EF4-FFF2-40B4-BE49-F238E27FC236}">
                  <a16:creationId xmlns:a16="http://schemas.microsoft.com/office/drawing/2014/main" id="{00000000-0008-0000-0500-00000A0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a:cs typeface="Segoe UI"/>
                </a:rPr>
                <a:t>Validate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19050</xdr:rowOff>
        </xdr:from>
        <xdr:to>
          <xdr:col>11</xdr:col>
          <xdr:colOff>323850</xdr:colOff>
          <xdr:row>0</xdr:row>
          <xdr:rowOff>400050</xdr:rowOff>
        </xdr:to>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0500-00000D0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a:cs typeface="Segoe UI"/>
                </a:rPr>
                <a:t>Import tnxTower </a:t>
              </a:r>
            </a:p>
            <a:p>
              <a:pPr algn="ctr" rtl="0">
                <a:defRPr sz="1000"/>
              </a:pPr>
              <a:r>
                <a:rPr lang="en-US" sz="800" b="1" i="0" u="none" strike="noStrike" baseline="0">
                  <a:solidFill>
                    <a:srgbClr val="000000"/>
                  </a:solidFill>
                  <a:latin typeface="Segoe UI"/>
                  <a:cs typeface="Segoe UI"/>
                </a:rPr>
                <a:t>Loading File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114300</xdr:colOff>
      <xdr:row>0</xdr:row>
      <xdr:rowOff>9525</xdr:rowOff>
    </xdr:from>
    <xdr:to>
      <xdr:col>3</xdr:col>
      <xdr:colOff>409575</xdr:colOff>
      <xdr:row>0</xdr:row>
      <xdr:rowOff>432859</xdr:rowOff>
    </xdr:to>
    <xdr:pic macro="[0]!ShowHide_LoadTables">
      <xdr:nvPicPr>
        <xdr:cNvPr id="2" name="Picture 1" descr="eFunda: Glossary: Beams: Simply Supported: Uniformly Distributed Load:  Single Span: S Section Steel I Beam: S12 × 31.8">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2025" y="9525"/>
          <a:ext cx="1143000" cy="423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304800</xdr:colOff>
          <xdr:row>1</xdr:row>
          <xdr:rowOff>9525</xdr:rowOff>
        </xdr:from>
        <xdr:to>
          <xdr:col>10</xdr:col>
          <xdr:colOff>571500</xdr:colOff>
          <xdr:row>2</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0" tIns="22860" rIns="27432" bIns="22860" anchor="ctr" upright="1"/>
            <a:lstStyle/>
            <a:p>
              <a:pPr algn="r" rtl="0">
                <a:defRPr sz="1000"/>
              </a:pPr>
              <a:r>
                <a:rPr lang="en-US" sz="900" b="1" i="0" u="none" strike="noStrike" baseline="0">
                  <a:solidFill>
                    <a:srgbClr val="000000"/>
                  </a:solidFill>
                  <a:latin typeface="Segoe UI"/>
                  <a:cs typeface="Segoe UI"/>
                </a:rPr>
                <a:t>Click to Generate </a:t>
              </a:r>
            </a:p>
            <a:p>
              <a:pPr algn="r" rtl="0">
                <a:defRPr sz="1000"/>
              </a:pPr>
              <a:r>
                <a:rPr lang="en-US" sz="900" b="1" i="0" u="none" strike="noStrike" baseline="0">
                  <a:solidFill>
                    <a:srgbClr val="000000"/>
                  </a:solidFill>
                  <a:latin typeface="Segoe UI"/>
                  <a:cs typeface="Segoe UI"/>
                </a:rPr>
                <a:t>RISA-3D Model                                                                            </a:t>
              </a:r>
            </a:p>
          </xdr:txBody>
        </xdr:sp>
        <xdr:clientData fPrintsWithSheet="0"/>
      </xdr:twoCellAnchor>
    </mc:Choice>
    <mc:Fallback/>
  </mc:AlternateContent>
  <xdr:twoCellAnchor editAs="absolute">
    <xdr:from>
      <xdr:col>9</xdr:col>
      <xdr:colOff>78582</xdr:colOff>
      <xdr:row>1</xdr:row>
      <xdr:rowOff>19051</xdr:rowOff>
    </xdr:from>
    <xdr:to>
      <xdr:col>9</xdr:col>
      <xdr:colOff>449941</xdr:colOff>
      <xdr:row>2</xdr:row>
      <xdr:rowOff>3811</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800" r="90000">
                      <a14:foregroundMark x1="9400" y1="18235" x2="8400" y2="42941"/>
                      <a14:foregroundMark x1="10000" y1="22353" x2="4400" y2="22353"/>
                      <a14:foregroundMark x1="800" y1="28824" x2="800" y2="42353"/>
                    </a14:backgroundRemoval>
                  </a14:imgEffect>
                </a14:imgLayer>
              </a14:imgProps>
            </a:ext>
            <a:ext uri="{28A0092B-C50C-407E-A947-70E740481C1C}">
              <a14:useLocalDpi xmlns:a14="http://schemas.microsoft.com/office/drawing/2010/main" val="0"/>
            </a:ext>
          </a:extLst>
        </a:blip>
        <a:srcRect l="-317" t="9957" r="73115" b="10589"/>
        <a:stretch/>
      </xdr:blipFill>
      <xdr:spPr>
        <a:xfrm>
          <a:off x="7060407" y="457201"/>
          <a:ext cx="371359" cy="365760"/>
        </a:xfrm>
        <a:prstGeom prst="ellipse">
          <a:avLst/>
        </a:prstGeom>
        <a:ln w="3175" cap="rnd">
          <a:solidFill>
            <a:schemeClr val="tx2">
              <a:lumMod val="20000"/>
              <a:lumOff val="80000"/>
            </a:schemeClr>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mc:AlternateContent xmlns:mc="http://schemas.openxmlformats.org/markup-compatibility/2006">
    <mc:Choice xmlns:a14="http://schemas.microsoft.com/office/drawing/2010/main" Requires="a14">
      <xdr:twoCellAnchor>
        <xdr:from>
          <xdr:col>7</xdr:col>
          <xdr:colOff>428625</xdr:colOff>
          <xdr:row>4</xdr:row>
          <xdr:rowOff>9525</xdr:rowOff>
        </xdr:from>
        <xdr:to>
          <xdr:col>8</xdr:col>
          <xdr:colOff>0</xdr:colOff>
          <xdr:row>5</xdr:row>
          <xdr:rowOff>0</xdr:rowOff>
        </xdr:to>
        <xdr:sp macro="" textlink="">
          <xdr:nvSpPr>
            <xdr:cNvPr id="18434" name="Copy_BLC1_Point" hidden="1">
              <a:extLst>
                <a:ext uri="{63B3BB69-23CF-44E3-9099-C40C66FF867C}">
                  <a14:compatExt spid="_x0000_s18434"/>
                </a:ext>
                <a:ext uri="{FF2B5EF4-FFF2-40B4-BE49-F238E27FC236}">
                  <a16:creationId xmlns:a16="http://schemas.microsoft.com/office/drawing/2014/main" id="{00000000-0008-0000-09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5</xdr:row>
          <xdr:rowOff>9525</xdr:rowOff>
        </xdr:from>
        <xdr:to>
          <xdr:col>8</xdr:col>
          <xdr:colOff>0</xdr:colOff>
          <xdr:row>6</xdr:row>
          <xdr:rowOff>0</xdr:rowOff>
        </xdr:to>
        <xdr:sp macro="" textlink="">
          <xdr:nvSpPr>
            <xdr:cNvPr id="18435" name="Copy_BLC2_Point" hidden="1">
              <a:extLst>
                <a:ext uri="{63B3BB69-23CF-44E3-9099-C40C66FF867C}">
                  <a14:compatExt spid="_x0000_s18435"/>
                </a:ext>
                <a:ext uri="{FF2B5EF4-FFF2-40B4-BE49-F238E27FC236}">
                  <a16:creationId xmlns:a16="http://schemas.microsoft.com/office/drawing/2014/main" id="{00000000-0008-0000-09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6</xdr:row>
          <xdr:rowOff>9525</xdr:rowOff>
        </xdr:from>
        <xdr:to>
          <xdr:col>8</xdr:col>
          <xdr:colOff>0</xdr:colOff>
          <xdr:row>7</xdr:row>
          <xdr:rowOff>0</xdr:rowOff>
        </xdr:to>
        <xdr:sp macro="" textlink="">
          <xdr:nvSpPr>
            <xdr:cNvPr id="18436" name="Copy_BLC3_Point" hidden="1">
              <a:extLst>
                <a:ext uri="{63B3BB69-23CF-44E3-9099-C40C66FF867C}">
                  <a14:compatExt spid="_x0000_s18436"/>
                </a:ext>
                <a:ext uri="{FF2B5EF4-FFF2-40B4-BE49-F238E27FC236}">
                  <a16:creationId xmlns:a16="http://schemas.microsoft.com/office/drawing/2014/main" id="{00000000-0008-0000-09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7</xdr:row>
          <xdr:rowOff>9525</xdr:rowOff>
        </xdr:from>
        <xdr:to>
          <xdr:col>8</xdr:col>
          <xdr:colOff>0</xdr:colOff>
          <xdr:row>8</xdr:row>
          <xdr:rowOff>0</xdr:rowOff>
        </xdr:to>
        <xdr:sp macro="" textlink="">
          <xdr:nvSpPr>
            <xdr:cNvPr id="18437" name="Copy_BLC4_Point" hidden="1">
              <a:extLst>
                <a:ext uri="{63B3BB69-23CF-44E3-9099-C40C66FF867C}">
                  <a14:compatExt spid="_x0000_s18437"/>
                </a:ext>
                <a:ext uri="{FF2B5EF4-FFF2-40B4-BE49-F238E27FC236}">
                  <a16:creationId xmlns:a16="http://schemas.microsoft.com/office/drawing/2014/main" id="{00000000-0008-0000-09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8</xdr:row>
          <xdr:rowOff>9525</xdr:rowOff>
        </xdr:from>
        <xdr:to>
          <xdr:col>8</xdr:col>
          <xdr:colOff>0</xdr:colOff>
          <xdr:row>9</xdr:row>
          <xdr:rowOff>0</xdr:rowOff>
        </xdr:to>
        <xdr:sp macro="" textlink="">
          <xdr:nvSpPr>
            <xdr:cNvPr id="18438" name="Copy_BLC5_Point" hidden="1">
              <a:extLst>
                <a:ext uri="{63B3BB69-23CF-44E3-9099-C40C66FF867C}">
                  <a14:compatExt spid="_x0000_s18438"/>
                </a:ext>
                <a:ext uri="{FF2B5EF4-FFF2-40B4-BE49-F238E27FC236}">
                  <a16:creationId xmlns:a16="http://schemas.microsoft.com/office/drawing/2014/main" id="{00000000-0008-0000-09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9</xdr:row>
          <xdr:rowOff>9525</xdr:rowOff>
        </xdr:from>
        <xdr:to>
          <xdr:col>8</xdr:col>
          <xdr:colOff>0</xdr:colOff>
          <xdr:row>10</xdr:row>
          <xdr:rowOff>0</xdr:rowOff>
        </xdr:to>
        <xdr:sp macro="" textlink="">
          <xdr:nvSpPr>
            <xdr:cNvPr id="18439" name="Copy_BLC6_Point" hidden="1">
              <a:extLst>
                <a:ext uri="{63B3BB69-23CF-44E3-9099-C40C66FF867C}">
                  <a14:compatExt spid="_x0000_s18439"/>
                </a:ext>
                <a:ext uri="{FF2B5EF4-FFF2-40B4-BE49-F238E27FC236}">
                  <a16:creationId xmlns:a16="http://schemas.microsoft.com/office/drawing/2014/main" id="{00000000-0008-0000-0900-00000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10</xdr:row>
          <xdr:rowOff>9525</xdr:rowOff>
        </xdr:from>
        <xdr:to>
          <xdr:col>8</xdr:col>
          <xdr:colOff>0</xdr:colOff>
          <xdr:row>11</xdr:row>
          <xdr:rowOff>0</xdr:rowOff>
        </xdr:to>
        <xdr:sp macro="" textlink="">
          <xdr:nvSpPr>
            <xdr:cNvPr id="18440" name="Copy_BLC7_Point" hidden="1">
              <a:extLst>
                <a:ext uri="{63B3BB69-23CF-44E3-9099-C40C66FF867C}">
                  <a14:compatExt spid="_x0000_s18440"/>
                </a:ext>
                <a:ext uri="{FF2B5EF4-FFF2-40B4-BE49-F238E27FC236}">
                  <a16:creationId xmlns:a16="http://schemas.microsoft.com/office/drawing/2014/main" id="{00000000-0008-0000-0900-00000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11</xdr:row>
          <xdr:rowOff>9525</xdr:rowOff>
        </xdr:from>
        <xdr:to>
          <xdr:col>8</xdr:col>
          <xdr:colOff>0</xdr:colOff>
          <xdr:row>12</xdr:row>
          <xdr:rowOff>0</xdr:rowOff>
        </xdr:to>
        <xdr:sp macro="" textlink="">
          <xdr:nvSpPr>
            <xdr:cNvPr id="18441" name="Copy_BLC8_Point" hidden="1">
              <a:extLst>
                <a:ext uri="{63B3BB69-23CF-44E3-9099-C40C66FF867C}">
                  <a14:compatExt spid="_x0000_s18441"/>
                </a:ext>
                <a:ext uri="{FF2B5EF4-FFF2-40B4-BE49-F238E27FC236}">
                  <a16:creationId xmlns:a16="http://schemas.microsoft.com/office/drawing/2014/main" id="{00000000-0008-0000-09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12</xdr:row>
          <xdr:rowOff>9525</xdr:rowOff>
        </xdr:from>
        <xdr:to>
          <xdr:col>8</xdr:col>
          <xdr:colOff>0</xdr:colOff>
          <xdr:row>13</xdr:row>
          <xdr:rowOff>0</xdr:rowOff>
        </xdr:to>
        <xdr:sp macro="" textlink="">
          <xdr:nvSpPr>
            <xdr:cNvPr id="18442" name="Copy_BLC9_Point" hidden="1">
              <a:extLst>
                <a:ext uri="{63B3BB69-23CF-44E3-9099-C40C66FF867C}">
                  <a14:compatExt spid="_x0000_s18442"/>
                </a:ext>
                <a:ext uri="{FF2B5EF4-FFF2-40B4-BE49-F238E27FC236}">
                  <a16:creationId xmlns:a16="http://schemas.microsoft.com/office/drawing/2014/main" id="{00000000-0008-0000-09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13</xdr:row>
          <xdr:rowOff>9525</xdr:rowOff>
        </xdr:from>
        <xdr:to>
          <xdr:col>8</xdr:col>
          <xdr:colOff>0</xdr:colOff>
          <xdr:row>14</xdr:row>
          <xdr:rowOff>0</xdr:rowOff>
        </xdr:to>
        <xdr:sp macro="" textlink="">
          <xdr:nvSpPr>
            <xdr:cNvPr id="18443" name="Copy_BLC10_Point" hidden="1">
              <a:extLst>
                <a:ext uri="{63B3BB69-23CF-44E3-9099-C40C66FF867C}">
                  <a14:compatExt spid="_x0000_s18443"/>
                </a:ext>
                <a:ext uri="{FF2B5EF4-FFF2-40B4-BE49-F238E27FC236}">
                  <a16:creationId xmlns:a16="http://schemas.microsoft.com/office/drawing/2014/main" id="{00000000-0008-0000-09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14</xdr:row>
          <xdr:rowOff>9525</xdr:rowOff>
        </xdr:from>
        <xdr:to>
          <xdr:col>8</xdr:col>
          <xdr:colOff>0</xdr:colOff>
          <xdr:row>15</xdr:row>
          <xdr:rowOff>0</xdr:rowOff>
        </xdr:to>
        <xdr:sp macro="" textlink="">
          <xdr:nvSpPr>
            <xdr:cNvPr id="18444" name="Copy_BLC11_Point" hidden="1">
              <a:extLst>
                <a:ext uri="{63B3BB69-23CF-44E3-9099-C40C66FF867C}">
                  <a14:compatExt spid="_x0000_s18444"/>
                </a:ext>
                <a:ext uri="{FF2B5EF4-FFF2-40B4-BE49-F238E27FC236}">
                  <a16:creationId xmlns:a16="http://schemas.microsoft.com/office/drawing/2014/main" id="{00000000-0008-0000-0900-00000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15</xdr:row>
          <xdr:rowOff>9525</xdr:rowOff>
        </xdr:from>
        <xdr:to>
          <xdr:col>8</xdr:col>
          <xdr:colOff>0</xdr:colOff>
          <xdr:row>16</xdr:row>
          <xdr:rowOff>0</xdr:rowOff>
        </xdr:to>
        <xdr:sp macro="" textlink="">
          <xdr:nvSpPr>
            <xdr:cNvPr id="18445" name="Copy_BLC12_Point" hidden="1">
              <a:extLst>
                <a:ext uri="{63B3BB69-23CF-44E3-9099-C40C66FF867C}">
                  <a14:compatExt spid="_x0000_s18445"/>
                </a:ext>
                <a:ext uri="{FF2B5EF4-FFF2-40B4-BE49-F238E27FC236}">
                  <a16:creationId xmlns:a16="http://schemas.microsoft.com/office/drawing/2014/main" id="{00000000-0008-0000-0900-00000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16</xdr:row>
          <xdr:rowOff>9525</xdr:rowOff>
        </xdr:from>
        <xdr:to>
          <xdr:col>8</xdr:col>
          <xdr:colOff>0</xdr:colOff>
          <xdr:row>17</xdr:row>
          <xdr:rowOff>0</xdr:rowOff>
        </xdr:to>
        <xdr:sp macro="" textlink="">
          <xdr:nvSpPr>
            <xdr:cNvPr id="18446" name="Copy_BLC13_Point" hidden="1">
              <a:extLst>
                <a:ext uri="{63B3BB69-23CF-44E3-9099-C40C66FF867C}">
                  <a14:compatExt spid="_x0000_s18446"/>
                </a:ext>
                <a:ext uri="{FF2B5EF4-FFF2-40B4-BE49-F238E27FC236}">
                  <a16:creationId xmlns:a16="http://schemas.microsoft.com/office/drawing/2014/main" id="{00000000-0008-0000-0900-00000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17</xdr:row>
          <xdr:rowOff>9525</xdr:rowOff>
        </xdr:from>
        <xdr:to>
          <xdr:col>8</xdr:col>
          <xdr:colOff>0</xdr:colOff>
          <xdr:row>18</xdr:row>
          <xdr:rowOff>0</xdr:rowOff>
        </xdr:to>
        <xdr:sp macro="" textlink="">
          <xdr:nvSpPr>
            <xdr:cNvPr id="18447" name="Copy_BLC14_Point" hidden="1">
              <a:extLst>
                <a:ext uri="{63B3BB69-23CF-44E3-9099-C40C66FF867C}">
                  <a14:compatExt spid="_x0000_s18447"/>
                </a:ext>
                <a:ext uri="{FF2B5EF4-FFF2-40B4-BE49-F238E27FC236}">
                  <a16:creationId xmlns:a16="http://schemas.microsoft.com/office/drawing/2014/main" id="{00000000-0008-0000-0900-00000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18</xdr:row>
          <xdr:rowOff>9525</xdr:rowOff>
        </xdr:from>
        <xdr:to>
          <xdr:col>8</xdr:col>
          <xdr:colOff>0</xdr:colOff>
          <xdr:row>19</xdr:row>
          <xdr:rowOff>0</xdr:rowOff>
        </xdr:to>
        <xdr:sp macro="" textlink="">
          <xdr:nvSpPr>
            <xdr:cNvPr id="18448" name="Copy_BLC15_Point" hidden="1">
              <a:extLst>
                <a:ext uri="{63B3BB69-23CF-44E3-9099-C40C66FF867C}">
                  <a14:compatExt spid="_x0000_s18448"/>
                </a:ext>
                <a:ext uri="{FF2B5EF4-FFF2-40B4-BE49-F238E27FC236}">
                  <a16:creationId xmlns:a16="http://schemas.microsoft.com/office/drawing/2014/main" id="{00000000-0008-0000-0900-00001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19</xdr:row>
          <xdr:rowOff>9525</xdr:rowOff>
        </xdr:from>
        <xdr:to>
          <xdr:col>8</xdr:col>
          <xdr:colOff>0</xdr:colOff>
          <xdr:row>20</xdr:row>
          <xdr:rowOff>0</xdr:rowOff>
        </xdr:to>
        <xdr:sp macro="" textlink="">
          <xdr:nvSpPr>
            <xdr:cNvPr id="18449" name="Copy_BLC16_Point" hidden="1">
              <a:extLst>
                <a:ext uri="{63B3BB69-23CF-44E3-9099-C40C66FF867C}">
                  <a14:compatExt spid="_x0000_s18449"/>
                </a:ext>
                <a:ext uri="{FF2B5EF4-FFF2-40B4-BE49-F238E27FC236}">
                  <a16:creationId xmlns:a16="http://schemas.microsoft.com/office/drawing/2014/main" id="{00000000-0008-0000-0900-00001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20</xdr:row>
          <xdr:rowOff>9525</xdr:rowOff>
        </xdr:from>
        <xdr:to>
          <xdr:col>9</xdr:col>
          <xdr:colOff>0</xdr:colOff>
          <xdr:row>21</xdr:row>
          <xdr:rowOff>0</xdr:rowOff>
        </xdr:to>
        <xdr:sp macro="" textlink="">
          <xdr:nvSpPr>
            <xdr:cNvPr id="18450" name="Copy_BLC17_Distributed" hidden="1">
              <a:extLst>
                <a:ext uri="{63B3BB69-23CF-44E3-9099-C40C66FF867C}">
                  <a14:compatExt spid="_x0000_s18450"/>
                </a:ext>
                <a:ext uri="{FF2B5EF4-FFF2-40B4-BE49-F238E27FC236}">
                  <a16:creationId xmlns:a16="http://schemas.microsoft.com/office/drawing/2014/main" id="{00000000-0008-0000-0900-00001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21</xdr:row>
          <xdr:rowOff>9525</xdr:rowOff>
        </xdr:from>
        <xdr:to>
          <xdr:col>9</xdr:col>
          <xdr:colOff>0</xdr:colOff>
          <xdr:row>22</xdr:row>
          <xdr:rowOff>0</xdr:rowOff>
        </xdr:to>
        <xdr:sp macro="" textlink="">
          <xdr:nvSpPr>
            <xdr:cNvPr id="18451" name="Copy_BLC18_Distributed" hidden="1">
              <a:extLst>
                <a:ext uri="{63B3BB69-23CF-44E3-9099-C40C66FF867C}">
                  <a14:compatExt spid="_x0000_s18451"/>
                </a:ext>
                <a:ext uri="{FF2B5EF4-FFF2-40B4-BE49-F238E27FC236}">
                  <a16:creationId xmlns:a16="http://schemas.microsoft.com/office/drawing/2014/main" id="{00000000-0008-0000-0900-00001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22</xdr:row>
          <xdr:rowOff>9525</xdr:rowOff>
        </xdr:from>
        <xdr:to>
          <xdr:col>9</xdr:col>
          <xdr:colOff>0</xdr:colOff>
          <xdr:row>23</xdr:row>
          <xdr:rowOff>0</xdr:rowOff>
        </xdr:to>
        <xdr:sp macro="" textlink="">
          <xdr:nvSpPr>
            <xdr:cNvPr id="18452" name="Copy_BLC19_Distributed" hidden="1">
              <a:extLst>
                <a:ext uri="{63B3BB69-23CF-44E3-9099-C40C66FF867C}">
                  <a14:compatExt spid="_x0000_s18452"/>
                </a:ext>
                <a:ext uri="{FF2B5EF4-FFF2-40B4-BE49-F238E27FC236}">
                  <a16:creationId xmlns:a16="http://schemas.microsoft.com/office/drawing/2014/main" id="{00000000-0008-0000-0900-00001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23</xdr:row>
          <xdr:rowOff>9525</xdr:rowOff>
        </xdr:from>
        <xdr:to>
          <xdr:col>9</xdr:col>
          <xdr:colOff>0</xdr:colOff>
          <xdr:row>24</xdr:row>
          <xdr:rowOff>0</xdr:rowOff>
        </xdr:to>
        <xdr:sp macro="" textlink="">
          <xdr:nvSpPr>
            <xdr:cNvPr id="18453" name="Copy_BLC20_Distributed" hidden="1">
              <a:extLst>
                <a:ext uri="{63B3BB69-23CF-44E3-9099-C40C66FF867C}">
                  <a14:compatExt spid="_x0000_s18453"/>
                </a:ext>
                <a:ext uri="{FF2B5EF4-FFF2-40B4-BE49-F238E27FC236}">
                  <a16:creationId xmlns:a16="http://schemas.microsoft.com/office/drawing/2014/main" id="{00000000-0008-0000-0900-00001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24</xdr:row>
          <xdr:rowOff>9525</xdr:rowOff>
        </xdr:from>
        <xdr:to>
          <xdr:col>9</xdr:col>
          <xdr:colOff>0</xdr:colOff>
          <xdr:row>25</xdr:row>
          <xdr:rowOff>0</xdr:rowOff>
        </xdr:to>
        <xdr:sp macro="" textlink="">
          <xdr:nvSpPr>
            <xdr:cNvPr id="18454" name="Copy_BLC21_Distributed" hidden="1">
              <a:extLst>
                <a:ext uri="{63B3BB69-23CF-44E3-9099-C40C66FF867C}">
                  <a14:compatExt spid="_x0000_s18454"/>
                </a:ext>
                <a:ext uri="{FF2B5EF4-FFF2-40B4-BE49-F238E27FC236}">
                  <a16:creationId xmlns:a16="http://schemas.microsoft.com/office/drawing/2014/main" id="{00000000-0008-0000-0900-00001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25</xdr:row>
          <xdr:rowOff>9525</xdr:rowOff>
        </xdr:from>
        <xdr:to>
          <xdr:col>9</xdr:col>
          <xdr:colOff>0</xdr:colOff>
          <xdr:row>26</xdr:row>
          <xdr:rowOff>0</xdr:rowOff>
        </xdr:to>
        <xdr:sp macro="" textlink="">
          <xdr:nvSpPr>
            <xdr:cNvPr id="18455" name="Copy_BLC22_Distributed" hidden="1">
              <a:extLst>
                <a:ext uri="{63B3BB69-23CF-44E3-9099-C40C66FF867C}">
                  <a14:compatExt spid="_x0000_s18455"/>
                </a:ext>
                <a:ext uri="{FF2B5EF4-FFF2-40B4-BE49-F238E27FC236}">
                  <a16:creationId xmlns:a16="http://schemas.microsoft.com/office/drawing/2014/main" id="{00000000-0008-0000-0900-00001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26</xdr:row>
          <xdr:rowOff>9525</xdr:rowOff>
        </xdr:from>
        <xdr:to>
          <xdr:col>9</xdr:col>
          <xdr:colOff>0</xdr:colOff>
          <xdr:row>27</xdr:row>
          <xdr:rowOff>0</xdr:rowOff>
        </xdr:to>
        <xdr:sp macro="" textlink="">
          <xdr:nvSpPr>
            <xdr:cNvPr id="18456" name="Copy_BLC23_Distributed" hidden="1">
              <a:extLst>
                <a:ext uri="{63B3BB69-23CF-44E3-9099-C40C66FF867C}">
                  <a14:compatExt spid="_x0000_s18456"/>
                </a:ext>
                <a:ext uri="{FF2B5EF4-FFF2-40B4-BE49-F238E27FC236}">
                  <a16:creationId xmlns:a16="http://schemas.microsoft.com/office/drawing/2014/main" id="{00000000-0008-0000-0900-00001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27</xdr:row>
          <xdr:rowOff>9525</xdr:rowOff>
        </xdr:from>
        <xdr:to>
          <xdr:col>9</xdr:col>
          <xdr:colOff>0</xdr:colOff>
          <xdr:row>28</xdr:row>
          <xdr:rowOff>0</xdr:rowOff>
        </xdr:to>
        <xdr:sp macro="" textlink="">
          <xdr:nvSpPr>
            <xdr:cNvPr id="18457" name="Copy_BLC24_Distributed" hidden="1">
              <a:extLst>
                <a:ext uri="{63B3BB69-23CF-44E3-9099-C40C66FF867C}">
                  <a14:compatExt spid="_x0000_s18457"/>
                </a:ext>
                <a:ext uri="{FF2B5EF4-FFF2-40B4-BE49-F238E27FC236}">
                  <a16:creationId xmlns:a16="http://schemas.microsoft.com/office/drawing/2014/main" id="{00000000-0008-0000-0900-00001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28</xdr:row>
          <xdr:rowOff>9525</xdr:rowOff>
        </xdr:from>
        <xdr:to>
          <xdr:col>9</xdr:col>
          <xdr:colOff>0</xdr:colOff>
          <xdr:row>29</xdr:row>
          <xdr:rowOff>0</xdr:rowOff>
        </xdr:to>
        <xdr:sp macro="" textlink="">
          <xdr:nvSpPr>
            <xdr:cNvPr id="18458" name="Copy_BLC25_Distributed" hidden="1">
              <a:extLst>
                <a:ext uri="{63B3BB69-23CF-44E3-9099-C40C66FF867C}">
                  <a14:compatExt spid="_x0000_s18458"/>
                </a:ext>
                <a:ext uri="{FF2B5EF4-FFF2-40B4-BE49-F238E27FC236}">
                  <a16:creationId xmlns:a16="http://schemas.microsoft.com/office/drawing/2014/main" id="{00000000-0008-0000-0900-00001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29</xdr:row>
          <xdr:rowOff>9525</xdr:rowOff>
        </xdr:from>
        <xdr:to>
          <xdr:col>9</xdr:col>
          <xdr:colOff>0</xdr:colOff>
          <xdr:row>30</xdr:row>
          <xdr:rowOff>0</xdr:rowOff>
        </xdr:to>
        <xdr:sp macro="" textlink="">
          <xdr:nvSpPr>
            <xdr:cNvPr id="18459" name="Copy_BLC26_Distributed" hidden="1">
              <a:extLst>
                <a:ext uri="{63B3BB69-23CF-44E3-9099-C40C66FF867C}">
                  <a14:compatExt spid="_x0000_s18459"/>
                </a:ext>
                <a:ext uri="{FF2B5EF4-FFF2-40B4-BE49-F238E27FC236}">
                  <a16:creationId xmlns:a16="http://schemas.microsoft.com/office/drawing/2014/main" id="{00000000-0008-0000-0900-00001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30</xdr:row>
          <xdr:rowOff>9525</xdr:rowOff>
        </xdr:from>
        <xdr:to>
          <xdr:col>9</xdr:col>
          <xdr:colOff>0</xdr:colOff>
          <xdr:row>31</xdr:row>
          <xdr:rowOff>0</xdr:rowOff>
        </xdr:to>
        <xdr:sp macro="" textlink="">
          <xdr:nvSpPr>
            <xdr:cNvPr id="18460" name="Copy_BLC27_Distributed" hidden="1">
              <a:extLst>
                <a:ext uri="{63B3BB69-23CF-44E3-9099-C40C66FF867C}">
                  <a14:compatExt spid="_x0000_s18460"/>
                </a:ext>
                <a:ext uri="{FF2B5EF4-FFF2-40B4-BE49-F238E27FC236}">
                  <a16:creationId xmlns:a16="http://schemas.microsoft.com/office/drawing/2014/main" id="{00000000-0008-0000-0900-00001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31</xdr:row>
          <xdr:rowOff>9525</xdr:rowOff>
        </xdr:from>
        <xdr:to>
          <xdr:col>9</xdr:col>
          <xdr:colOff>0</xdr:colOff>
          <xdr:row>32</xdr:row>
          <xdr:rowOff>0</xdr:rowOff>
        </xdr:to>
        <xdr:sp macro="" textlink="">
          <xdr:nvSpPr>
            <xdr:cNvPr id="18461" name="Copy_BLC28_Distributed" hidden="1">
              <a:extLst>
                <a:ext uri="{63B3BB69-23CF-44E3-9099-C40C66FF867C}">
                  <a14:compatExt spid="_x0000_s18461"/>
                </a:ext>
                <a:ext uri="{FF2B5EF4-FFF2-40B4-BE49-F238E27FC236}">
                  <a16:creationId xmlns:a16="http://schemas.microsoft.com/office/drawing/2014/main" id="{00000000-0008-0000-0900-00001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32</xdr:row>
          <xdr:rowOff>9525</xdr:rowOff>
        </xdr:from>
        <xdr:to>
          <xdr:col>9</xdr:col>
          <xdr:colOff>0</xdr:colOff>
          <xdr:row>33</xdr:row>
          <xdr:rowOff>0</xdr:rowOff>
        </xdr:to>
        <xdr:sp macro="" textlink="">
          <xdr:nvSpPr>
            <xdr:cNvPr id="18462" name="Copy_BLC29_Distributed" hidden="1">
              <a:extLst>
                <a:ext uri="{63B3BB69-23CF-44E3-9099-C40C66FF867C}">
                  <a14:compatExt spid="_x0000_s18462"/>
                </a:ext>
                <a:ext uri="{FF2B5EF4-FFF2-40B4-BE49-F238E27FC236}">
                  <a16:creationId xmlns:a16="http://schemas.microsoft.com/office/drawing/2014/main" id="{00000000-0008-0000-0900-00001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33</xdr:row>
          <xdr:rowOff>9525</xdr:rowOff>
        </xdr:from>
        <xdr:to>
          <xdr:col>9</xdr:col>
          <xdr:colOff>0</xdr:colOff>
          <xdr:row>34</xdr:row>
          <xdr:rowOff>0</xdr:rowOff>
        </xdr:to>
        <xdr:sp macro="" textlink="">
          <xdr:nvSpPr>
            <xdr:cNvPr id="18463" name="Copy_BLC30_Distributed" hidden="1">
              <a:extLst>
                <a:ext uri="{63B3BB69-23CF-44E3-9099-C40C66FF867C}">
                  <a14:compatExt spid="_x0000_s18463"/>
                </a:ext>
                <a:ext uri="{FF2B5EF4-FFF2-40B4-BE49-F238E27FC236}">
                  <a16:creationId xmlns:a16="http://schemas.microsoft.com/office/drawing/2014/main" id="{00000000-0008-0000-0900-00001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34</xdr:row>
          <xdr:rowOff>9525</xdr:rowOff>
        </xdr:from>
        <xdr:to>
          <xdr:col>9</xdr:col>
          <xdr:colOff>0</xdr:colOff>
          <xdr:row>35</xdr:row>
          <xdr:rowOff>0</xdr:rowOff>
        </xdr:to>
        <xdr:sp macro="" textlink="">
          <xdr:nvSpPr>
            <xdr:cNvPr id="18464" name="Copy_BLC31_Distributed" hidden="1">
              <a:extLst>
                <a:ext uri="{63B3BB69-23CF-44E3-9099-C40C66FF867C}">
                  <a14:compatExt spid="_x0000_s18464"/>
                </a:ext>
                <a:ext uri="{FF2B5EF4-FFF2-40B4-BE49-F238E27FC236}">
                  <a16:creationId xmlns:a16="http://schemas.microsoft.com/office/drawing/2014/main" id="{00000000-0008-0000-0900-00002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35</xdr:row>
          <xdr:rowOff>9525</xdr:rowOff>
        </xdr:from>
        <xdr:to>
          <xdr:col>9</xdr:col>
          <xdr:colOff>0</xdr:colOff>
          <xdr:row>36</xdr:row>
          <xdr:rowOff>0</xdr:rowOff>
        </xdr:to>
        <xdr:sp macro="" textlink="">
          <xdr:nvSpPr>
            <xdr:cNvPr id="18465" name="Copy_BLC32_Distributed" hidden="1">
              <a:extLst>
                <a:ext uri="{63B3BB69-23CF-44E3-9099-C40C66FF867C}">
                  <a14:compatExt spid="_x0000_s18465"/>
                </a:ext>
                <a:ext uri="{FF2B5EF4-FFF2-40B4-BE49-F238E27FC236}">
                  <a16:creationId xmlns:a16="http://schemas.microsoft.com/office/drawing/2014/main" id="{00000000-0008-0000-0900-00002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36</xdr:row>
          <xdr:rowOff>9525</xdr:rowOff>
        </xdr:from>
        <xdr:to>
          <xdr:col>8</xdr:col>
          <xdr:colOff>0</xdr:colOff>
          <xdr:row>37</xdr:row>
          <xdr:rowOff>0</xdr:rowOff>
        </xdr:to>
        <xdr:sp macro="" textlink="">
          <xdr:nvSpPr>
            <xdr:cNvPr id="18472" name="Copy_BLC33_Point" hidden="1">
              <a:extLst>
                <a:ext uri="{63B3BB69-23CF-44E3-9099-C40C66FF867C}">
                  <a14:compatExt spid="_x0000_s18472"/>
                </a:ext>
                <a:ext uri="{FF2B5EF4-FFF2-40B4-BE49-F238E27FC236}">
                  <a16:creationId xmlns:a16="http://schemas.microsoft.com/office/drawing/2014/main" id="{00000000-0008-0000-0900-00002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37</xdr:row>
          <xdr:rowOff>9525</xdr:rowOff>
        </xdr:from>
        <xdr:to>
          <xdr:col>8</xdr:col>
          <xdr:colOff>0</xdr:colOff>
          <xdr:row>38</xdr:row>
          <xdr:rowOff>0</xdr:rowOff>
        </xdr:to>
        <xdr:sp macro="" textlink="">
          <xdr:nvSpPr>
            <xdr:cNvPr id="18473" name="Copy_BLC34_Point" hidden="1">
              <a:extLst>
                <a:ext uri="{63B3BB69-23CF-44E3-9099-C40C66FF867C}">
                  <a14:compatExt spid="_x0000_s18473"/>
                </a:ext>
                <a:ext uri="{FF2B5EF4-FFF2-40B4-BE49-F238E27FC236}">
                  <a16:creationId xmlns:a16="http://schemas.microsoft.com/office/drawing/2014/main" id="{00000000-0008-0000-0900-00002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38</xdr:row>
          <xdr:rowOff>9525</xdr:rowOff>
        </xdr:from>
        <xdr:to>
          <xdr:col>8</xdr:col>
          <xdr:colOff>0</xdr:colOff>
          <xdr:row>39</xdr:row>
          <xdr:rowOff>0</xdr:rowOff>
        </xdr:to>
        <xdr:sp macro="" textlink="">
          <xdr:nvSpPr>
            <xdr:cNvPr id="18474" name="Copy_BLC35_Point" hidden="1">
              <a:extLst>
                <a:ext uri="{63B3BB69-23CF-44E3-9099-C40C66FF867C}">
                  <a14:compatExt spid="_x0000_s18474"/>
                </a:ext>
                <a:ext uri="{FF2B5EF4-FFF2-40B4-BE49-F238E27FC236}">
                  <a16:creationId xmlns:a16="http://schemas.microsoft.com/office/drawing/2014/main" id="{00000000-0008-0000-0900-00002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39</xdr:row>
          <xdr:rowOff>9525</xdr:rowOff>
        </xdr:from>
        <xdr:to>
          <xdr:col>8</xdr:col>
          <xdr:colOff>0</xdr:colOff>
          <xdr:row>40</xdr:row>
          <xdr:rowOff>0</xdr:rowOff>
        </xdr:to>
        <xdr:sp macro="" textlink="">
          <xdr:nvSpPr>
            <xdr:cNvPr id="18475" name="Copy_BLC36_Point" hidden="1">
              <a:extLst>
                <a:ext uri="{63B3BB69-23CF-44E3-9099-C40C66FF867C}">
                  <a14:compatExt spid="_x0000_s18475"/>
                </a:ext>
                <a:ext uri="{FF2B5EF4-FFF2-40B4-BE49-F238E27FC236}">
                  <a16:creationId xmlns:a16="http://schemas.microsoft.com/office/drawing/2014/main" id="{00000000-0008-0000-0900-00002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40</xdr:row>
          <xdr:rowOff>9525</xdr:rowOff>
        </xdr:from>
        <xdr:to>
          <xdr:col>8</xdr:col>
          <xdr:colOff>0</xdr:colOff>
          <xdr:row>41</xdr:row>
          <xdr:rowOff>0</xdr:rowOff>
        </xdr:to>
        <xdr:sp macro="" textlink="">
          <xdr:nvSpPr>
            <xdr:cNvPr id="18476" name="Copy_BLC37_Point" hidden="1">
              <a:extLst>
                <a:ext uri="{63B3BB69-23CF-44E3-9099-C40C66FF867C}">
                  <a14:compatExt spid="_x0000_s18476"/>
                </a:ext>
                <a:ext uri="{FF2B5EF4-FFF2-40B4-BE49-F238E27FC236}">
                  <a16:creationId xmlns:a16="http://schemas.microsoft.com/office/drawing/2014/main" id="{00000000-0008-0000-0900-00002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41</xdr:row>
          <xdr:rowOff>9525</xdr:rowOff>
        </xdr:from>
        <xdr:to>
          <xdr:col>8</xdr:col>
          <xdr:colOff>0</xdr:colOff>
          <xdr:row>42</xdr:row>
          <xdr:rowOff>0</xdr:rowOff>
        </xdr:to>
        <xdr:sp macro="" textlink="">
          <xdr:nvSpPr>
            <xdr:cNvPr id="18477" name="Copy_BLC38_Point" hidden="1">
              <a:extLst>
                <a:ext uri="{63B3BB69-23CF-44E3-9099-C40C66FF867C}">
                  <a14:compatExt spid="_x0000_s18477"/>
                </a:ext>
                <a:ext uri="{FF2B5EF4-FFF2-40B4-BE49-F238E27FC236}">
                  <a16:creationId xmlns:a16="http://schemas.microsoft.com/office/drawing/2014/main" id="{00000000-0008-0000-0900-00002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42</xdr:row>
          <xdr:rowOff>9525</xdr:rowOff>
        </xdr:from>
        <xdr:to>
          <xdr:col>8</xdr:col>
          <xdr:colOff>0</xdr:colOff>
          <xdr:row>43</xdr:row>
          <xdr:rowOff>0</xdr:rowOff>
        </xdr:to>
        <xdr:sp macro="" textlink="">
          <xdr:nvSpPr>
            <xdr:cNvPr id="18478" name="Copy_BLC39_Point" hidden="1">
              <a:extLst>
                <a:ext uri="{63B3BB69-23CF-44E3-9099-C40C66FF867C}">
                  <a14:compatExt spid="_x0000_s18478"/>
                </a:ext>
                <a:ext uri="{FF2B5EF4-FFF2-40B4-BE49-F238E27FC236}">
                  <a16:creationId xmlns:a16="http://schemas.microsoft.com/office/drawing/2014/main" id="{00000000-0008-0000-0900-00002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43</xdr:row>
          <xdr:rowOff>9525</xdr:rowOff>
        </xdr:from>
        <xdr:to>
          <xdr:col>8</xdr:col>
          <xdr:colOff>0</xdr:colOff>
          <xdr:row>44</xdr:row>
          <xdr:rowOff>0</xdr:rowOff>
        </xdr:to>
        <xdr:sp macro="" textlink="">
          <xdr:nvSpPr>
            <xdr:cNvPr id="18479" name="Copy_BLC40_Point" hidden="1">
              <a:extLst>
                <a:ext uri="{63B3BB69-23CF-44E3-9099-C40C66FF867C}">
                  <a14:compatExt spid="_x0000_s18479"/>
                </a:ext>
                <a:ext uri="{FF2B5EF4-FFF2-40B4-BE49-F238E27FC236}">
                  <a16:creationId xmlns:a16="http://schemas.microsoft.com/office/drawing/2014/main" id="{00000000-0008-0000-0900-00002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44</xdr:row>
          <xdr:rowOff>9525</xdr:rowOff>
        </xdr:from>
        <xdr:to>
          <xdr:col>8</xdr:col>
          <xdr:colOff>0</xdr:colOff>
          <xdr:row>45</xdr:row>
          <xdr:rowOff>0</xdr:rowOff>
        </xdr:to>
        <xdr:sp macro="" textlink="">
          <xdr:nvSpPr>
            <xdr:cNvPr id="18480" name="Copy_BLC41_Point" hidden="1">
              <a:extLst>
                <a:ext uri="{63B3BB69-23CF-44E3-9099-C40C66FF867C}">
                  <a14:compatExt spid="_x0000_s18480"/>
                </a:ext>
                <a:ext uri="{FF2B5EF4-FFF2-40B4-BE49-F238E27FC236}">
                  <a16:creationId xmlns:a16="http://schemas.microsoft.com/office/drawing/2014/main" id="{00000000-0008-0000-0900-00003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45</xdr:row>
          <xdr:rowOff>9525</xdr:rowOff>
        </xdr:from>
        <xdr:to>
          <xdr:col>8</xdr:col>
          <xdr:colOff>0</xdr:colOff>
          <xdr:row>46</xdr:row>
          <xdr:rowOff>0</xdr:rowOff>
        </xdr:to>
        <xdr:sp macro="" textlink="">
          <xdr:nvSpPr>
            <xdr:cNvPr id="18481" name="Copy_BLC42_Point" hidden="1">
              <a:extLst>
                <a:ext uri="{63B3BB69-23CF-44E3-9099-C40C66FF867C}">
                  <a14:compatExt spid="_x0000_s18481"/>
                </a:ext>
                <a:ext uri="{FF2B5EF4-FFF2-40B4-BE49-F238E27FC236}">
                  <a16:creationId xmlns:a16="http://schemas.microsoft.com/office/drawing/2014/main" id="{00000000-0008-0000-0900-00003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46</xdr:row>
          <xdr:rowOff>9525</xdr:rowOff>
        </xdr:from>
        <xdr:to>
          <xdr:col>8</xdr:col>
          <xdr:colOff>0</xdr:colOff>
          <xdr:row>47</xdr:row>
          <xdr:rowOff>0</xdr:rowOff>
        </xdr:to>
        <xdr:sp macro="" textlink="">
          <xdr:nvSpPr>
            <xdr:cNvPr id="18482" name="Copy_BLC43_Point" hidden="1">
              <a:extLst>
                <a:ext uri="{63B3BB69-23CF-44E3-9099-C40C66FF867C}">
                  <a14:compatExt spid="_x0000_s18482"/>
                </a:ext>
                <a:ext uri="{FF2B5EF4-FFF2-40B4-BE49-F238E27FC236}">
                  <a16:creationId xmlns:a16="http://schemas.microsoft.com/office/drawing/2014/main" id="{00000000-0008-0000-0900-00003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47</xdr:row>
          <xdr:rowOff>9525</xdr:rowOff>
        </xdr:from>
        <xdr:to>
          <xdr:col>8</xdr:col>
          <xdr:colOff>0</xdr:colOff>
          <xdr:row>48</xdr:row>
          <xdr:rowOff>0</xdr:rowOff>
        </xdr:to>
        <xdr:sp macro="" textlink="">
          <xdr:nvSpPr>
            <xdr:cNvPr id="18483" name="Copy_BLC44_Point" hidden="1">
              <a:extLst>
                <a:ext uri="{63B3BB69-23CF-44E3-9099-C40C66FF867C}">
                  <a14:compatExt spid="_x0000_s18483"/>
                </a:ext>
                <a:ext uri="{FF2B5EF4-FFF2-40B4-BE49-F238E27FC236}">
                  <a16:creationId xmlns:a16="http://schemas.microsoft.com/office/drawing/2014/main" id="{00000000-0008-0000-0900-00003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48</xdr:row>
          <xdr:rowOff>9525</xdr:rowOff>
        </xdr:from>
        <xdr:to>
          <xdr:col>8</xdr:col>
          <xdr:colOff>0</xdr:colOff>
          <xdr:row>49</xdr:row>
          <xdr:rowOff>0</xdr:rowOff>
        </xdr:to>
        <xdr:sp macro="" textlink="">
          <xdr:nvSpPr>
            <xdr:cNvPr id="18484" name="Copy_BLC45_Point" hidden="1">
              <a:extLst>
                <a:ext uri="{63B3BB69-23CF-44E3-9099-C40C66FF867C}">
                  <a14:compatExt spid="_x0000_s18484"/>
                </a:ext>
                <a:ext uri="{FF2B5EF4-FFF2-40B4-BE49-F238E27FC236}">
                  <a16:creationId xmlns:a16="http://schemas.microsoft.com/office/drawing/2014/main" id="{00000000-0008-0000-0900-00003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49</xdr:row>
          <xdr:rowOff>9525</xdr:rowOff>
        </xdr:from>
        <xdr:to>
          <xdr:col>8</xdr:col>
          <xdr:colOff>0</xdr:colOff>
          <xdr:row>50</xdr:row>
          <xdr:rowOff>0</xdr:rowOff>
        </xdr:to>
        <xdr:sp macro="" textlink="">
          <xdr:nvSpPr>
            <xdr:cNvPr id="18485" name="Copy_BLC46_Point" hidden="1">
              <a:extLst>
                <a:ext uri="{63B3BB69-23CF-44E3-9099-C40C66FF867C}">
                  <a14:compatExt spid="_x0000_s18485"/>
                </a:ext>
                <a:ext uri="{FF2B5EF4-FFF2-40B4-BE49-F238E27FC236}">
                  <a16:creationId xmlns:a16="http://schemas.microsoft.com/office/drawing/2014/main" id="{00000000-0008-0000-0900-00003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50</xdr:row>
          <xdr:rowOff>9525</xdr:rowOff>
        </xdr:from>
        <xdr:to>
          <xdr:col>8</xdr:col>
          <xdr:colOff>0</xdr:colOff>
          <xdr:row>51</xdr:row>
          <xdr:rowOff>0</xdr:rowOff>
        </xdr:to>
        <xdr:sp macro="" textlink="">
          <xdr:nvSpPr>
            <xdr:cNvPr id="18486" name="Copy_BLC47_Point" hidden="1">
              <a:extLst>
                <a:ext uri="{63B3BB69-23CF-44E3-9099-C40C66FF867C}">
                  <a14:compatExt spid="_x0000_s18486"/>
                </a:ext>
                <a:ext uri="{FF2B5EF4-FFF2-40B4-BE49-F238E27FC236}">
                  <a16:creationId xmlns:a16="http://schemas.microsoft.com/office/drawing/2014/main" id="{00000000-0008-0000-0900-00003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51</xdr:row>
          <xdr:rowOff>9525</xdr:rowOff>
        </xdr:from>
        <xdr:to>
          <xdr:col>8</xdr:col>
          <xdr:colOff>0</xdr:colOff>
          <xdr:row>52</xdr:row>
          <xdr:rowOff>0</xdr:rowOff>
        </xdr:to>
        <xdr:sp macro="" textlink="">
          <xdr:nvSpPr>
            <xdr:cNvPr id="18487" name="Copy_BLC48_Point" hidden="1">
              <a:extLst>
                <a:ext uri="{63B3BB69-23CF-44E3-9099-C40C66FF867C}">
                  <a14:compatExt spid="_x0000_s18487"/>
                </a:ext>
                <a:ext uri="{FF2B5EF4-FFF2-40B4-BE49-F238E27FC236}">
                  <a16:creationId xmlns:a16="http://schemas.microsoft.com/office/drawing/2014/main" id="{00000000-0008-0000-0900-00003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52</xdr:row>
          <xdr:rowOff>9525</xdr:rowOff>
        </xdr:from>
        <xdr:to>
          <xdr:col>9</xdr:col>
          <xdr:colOff>0</xdr:colOff>
          <xdr:row>53</xdr:row>
          <xdr:rowOff>0</xdr:rowOff>
        </xdr:to>
        <xdr:sp macro="" textlink="">
          <xdr:nvSpPr>
            <xdr:cNvPr id="18488" name="Copy_BLC49_Distributed" hidden="1">
              <a:extLst>
                <a:ext uri="{63B3BB69-23CF-44E3-9099-C40C66FF867C}">
                  <a14:compatExt spid="_x0000_s18488"/>
                </a:ext>
                <a:ext uri="{FF2B5EF4-FFF2-40B4-BE49-F238E27FC236}">
                  <a16:creationId xmlns:a16="http://schemas.microsoft.com/office/drawing/2014/main" id="{00000000-0008-0000-0900-00003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53</xdr:row>
          <xdr:rowOff>9525</xdr:rowOff>
        </xdr:from>
        <xdr:to>
          <xdr:col>9</xdr:col>
          <xdr:colOff>0</xdr:colOff>
          <xdr:row>54</xdr:row>
          <xdr:rowOff>0</xdr:rowOff>
        </xdr:to>
        <xdr:sp macro="" textlink="">
          <xdr:nvSpPr>
            <xdr:cNvPr id="18489" name="Copy_BLC50_Distributed" hidden="1">
              <a:extLst>
                <a:ext uri="{63B3BB69-23CF-44E3-9099-C40C66FF867C}">
                  <a14:compatExt spid="_x0000_s18489"/>
                </a:ext>
                <a:ext uri="{FF2B5EF4-FFF2-40B4-BE49-F238E27FC236}">
                  <a16:creationId xmlns:a16="http://schemas.microsoft.com/office/drawing/2014/main" id="{00000000-0008-0000-0900-00003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54</xdr:row>
          <xdr:rowOff>9525</xdr:rowOff>
        </xdr:from>
        <xdr:to>
          <xdr:col>9</xdr:col>
          <xdr:colOff>0</xdr:colOff>
          <xdr:row>55</xdr:row>
          <xdr:rowOff>0</xdr:rowOff>
        </xdr:to>
        <xdr:sp macro="" textlink="">
          <xdr:nvSpPr>
            <xdr:cNvPr id="18490" name="Copy_BLC51_Distributed" hidden="1">
              <a:extLst>
                <a:ext uri="{63B3BB69-23CF-44E3-9099-C40C66FF867C}">
                  <a14:compatExt spid="_x0000_s18490"/>
                </a:ext>
                <a:ext uri="{FF2B5EF4-FFF2-40B4-BE49-F238E27FC236}">
                  <a16:creationId xmlns:a16="http://schemas.microsoft.com/office/drawing/2014/main" id="{00000000-0008-0000-0900-00003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55</xdr:row>
          <xdr:rowOff>9525</xdr:rowOff>
        </xdr:from>
        <xdr:to>
          <xdr:col>9</xdr:col>
          <xdr:colOff>0</xdr:colOff>
          <xdr:row>56</xdr:row>
          <xdr:rowOff>0</xdr:rowOff>
        </xdr:to>
        <xdr:sp macro="" textlink="">
          <xdr:nvSpPr>
            <xdr:cNvPr id="18491" name="Copy_BLC52_Distributed" hidden="1">
              <a:extLst>
                <a:ext uri="{63B3BB69-23CF-44E3-9099-C40C66FF867C}">
                  <a14:compatExt spid="_x0000_s18491"/>
                </a:ext>
                <a:ext uri="{FF2B5EF4-FFF2-40B4-BE49-F238E27FC236}">
                  <a16:creationId xmlns:a16="http://schemas.microsoft.com/office/drawing/2014/main" id="{00000000-0008-0000-0900-00003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56</xdr:row>
          <xdr:rowOff>9525</xdr:rowOff>
        </xdr:from>
        <xdr:to>
          <xdr:col>9</xdr:col>
          <xdr:colOff>0</xdr:colOff>
          <xdr:row>57</xdr:row>
          <xdr:rowOff>0</xdr:rowOff>
        </xdr:to>
        <xdr:sp macro="" textlink="">
          <xdr:nvSpPr>
            <xdr:cNvPr id="18492" name="Copy_BLC53_Distributed" hidden="1">
              <a:extLst>
                <a:ext uri="{63B3BB69-23CF-44E3-9099-C40C66FF867C}">
                  <a14:compatExt spid="_x0000_s18492"/>
                </a:ext>
                <a:ext uri="{FF2B5EF4-FFF2-40B4-BE49-F238E27FC236}">
                  <a16:creationId xmlns:a16="http://schemas.microsoft.com/office/drawing/2014/main" id="{00000000-0008-0000-0900-00003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57</xdr:row>
          <xdr:rowOff>9525</xdr:rowOff>
        </xdr:from>
        <xdr:to>
          <xdr:col>9</xdr:col>
          <xdr:colOff>0</xdr:colOff>
          <xdr:row>58</xdr:row>
          <xdr:rowOff>0</xdr:rowOff>
        </xdr:to>
        <xdr:sp macro="" textlink="">
          <xdr:nvSpPr>
            <xdr:cNvPr id="18493" name="Copy_BLC54_Distributed" hidden="1">
              <a:extLst>
                <a:ext uri="{63B3BB69-23CF-44E3-9099-C40C66FF867C}">
                  <a14:compatExt spid="_x0000_s18493"/>
                </a:ext>
                <a:ext uri="{FF2B5EF4-FFF2-40B4-BE49-F238E27FC236}">
                  <a16:creationId xmlns:a16="http://schemas.microsoft.com/office/drawing/2014/main" id="{00000000-0008-0000-0900-00003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58</xdr:row>
          <xdr:rowOff>9525</xdr:rowOff>
        </xdr:from>
        <xdr:to>
          <xdr:col>9</xdr:col>
          <xdr:colOff>0</xdr:colOff>
          <xdr:row>59</xdr:row>
          <xdr:rowOff>0</xdr:rowOff>
        </xdr:to>
        <xdr:sp macro="" textlink="">
          <xdr:nvSpPr>
            <xdr:cNvPr id="18494" name="Copy_BLC55_Distributed" hidden="1">
              <a:extLst>
                <a:ext uri="{63B3BB69-23CF-44E3-9099-C40C66FF867C}">
                  <a14:compatExt spid="_x0000_s18494"/>
                </a:ext>
                <a:ext uri="{FF2B5EF4-FFF2-40B4-BE49-F238E27FC236}">
                  <a16:creationId xmlns:a16="http://schemas.microsoft.com/office/drawing/2014/main" id="{00000000-0008-0000-0900-00003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59</xdr:row>
          <xdr:rowOff>9525</xdr:rowOff>
        </xdr:from>
        <xdr:to>
          <xdr:col>9</xdr:col>
          <xdr:colOff>0</xdr:colOff>
          <xdr:row>60</xdr:row>
          <xdr:rowOff>0</xdr:rowOff>
        </xdr:to>
        <xdr:sp macro="" textlink="">
          <xdr:nvSpPr>
            <xdr:cNvPr id="18495" name="Copy_BLC56_Distributed" hidden="1">
              <a:extLst>
                <a:ext uri="{63B3BB69-23CF-44E3-9099-C40C66FF867C}">
                  <a14:compatExt spid="_x0000_s18495"/>
                </a:ext>
                <a:ext uri="{FF2B5EF4-FFF2-40B4-BE49-F238E27FC236}">
                  <a16:creationId xmlns:a16="http://schemas.microsoft.com/office/drawing/2014/main" id="{00000000-0008-0000-0900-00003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60</xdr:row>
          <xdr:rowOff>9525</xdr:rowOff>
        </xdr:from>
        <xdr:to>
          <xdr:col>9</xdr:col>
          <xdr:colOff>0</xdr:colOff>
          <xdr:row>61</xdr:row>
          <xdr:rowOff>0</xdr:rowOff>
        </xdr:to>
        <xdr:sp macro="" textlink="">
          <xdr:nvSpPr>
            <xdr:cNvPr id="18496" name="Copy_BLC57_Distributed" hidden="1">
              <a:extLst>
                <a:ext uri="{63B3BB69-23CF-44E3-9099-C40C66FF867C}">
                  <a14:compatExt spid="_x0000_s18496"/>
                </a:ext>
                <a:ext uri="{FF2B5EF4-FFF2-40B4-BE49-F238E27FC236}">
                  <a16:creationId xmlns:a16="http://schemas.microsoft.com/office/drawing/2014/main" id="{00000000-0008-0000-0900-00004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61</xdr:row>
          <xdr:rowOff>9525</xdr:rowOff>
        </xdr:from>
        <xdr:to>
          <xdr:col>9</xdr:col>
          <xdr:colOff>0</xdr:colOff>
          <xdr:row>62</xdr:row>
          <xdr:rowOff>0</xdr:rowOff>
        </xdr:to>
        <xdr:sp macro="" textlink="">
          <xdr:nvSpPr>
            <xdr:cNvPr id="18497" name="Copy_BLC58_Distributed" hidden="1">
              <a:extLst>
                <a:ext uri="{63B3BB69-23CF-44E3-9099-C40C66FF867C}">
                  <a14:compatExt spid="_x0000_s18497"/>
                </a:ext>
                <a:ext uri="{FF2B5EF4-FFF2-40B4-BE49-F238E27FC236}">
                  <a16:creationId xmlns:a16="http://schemas.microsoft.com/office/drawing/2014/main" id="{00000000-0008-0000-0900-00004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62</xdr:row>
          <xdr:rowOff>9525</xdr:rowOff>
        </xdr:from>
        <xdr:to>
          <xdr:col>9</xdr:col>
          <xdr:colOff>0</xdr:colOff>
          <xdr:row>63</xdr:row>
          <xdr:rowOff>0</xdr:rowOff>
        </xdr:to>
        <xdr:sp macro="" textlink="">
          <xdr:nvSpPr>
            <xdr:cNvPr id="18498" name="Copy_BLC59_Distributed" hidden="1">
              <a:extLst>
                <a:ext uri="{63B3BB69-23CF-44E3-9099-C40C66FF867C}">
                  <a14:compatExt spid="_x0000_s18498"/>
                </a:ext>
                <a:ext uri="{FF2B5EF4-FFF2-40B4-BE49-F238E27FC236}">
                  <a16:creationId xmlns:a16="http://schemas.microsoft.com/office/drawing/2014/main" id="{00000000-0008-0000-0900-00004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63</xdr:row>
          <xdr:rowOff>9525</xdr:rowOff>
        </xdr:from>
        <xdr:to>
          <xdr:col>9</xdr:col>
          <xdr:colOff>0</xdr:colOff>
          <xdr:row>64</xdr:row>
          <xdr:rowOff>0</xdr:rowOff>
        </xdr:to>
        <xdr:sp macro="" textlink="">
          <xdr:nvSpPr>
            <xdr:cNvPr id="18499" name="Copy_BLC60_Distributed" hidden="1">
              <a:extLst>
                <a:ext uri="{63B3BB69-23CF-44E3-9099-C40C66FF867C}">
                  <a14:compatExt spid="_x0000_s18499"/>
                </a:ext>
                <a:ext uri="{FF2B5EF4-FFF2-40B4-BE49-F238E27FC236}">
                  <a16:creationId xmlns:a16="http://schemas.microsoft.com/office/drawing/2014/main" id="{00000000-0008-0000-0900-00004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64</xdr:row>
          <xdr:rowOff>9525</xdr:rowOff>
        </xdr:from>
        <xdr:to>
          <xdr:col>9</xdr:col>
          <xdr:colOff>0</xdr:colOff>
          <xdr:row>65</xdr:row>
          <xdr:rowOff>0</xdr:rowOff>
        </xdr:to>
        <xdr:sp macro="" textlink="">
          <xdr:nvSpPr>
            <xdr:cNvPr id="18500" name="Copy_BLC61_Distributed" hidden="1">
              <a:extLst>
                <a:ext uri="{63B3BB69-23CF-44E3-9099-C40C66FF867C}">
                  <a14:compatExt spid="_x0000_s18500"/>
                </a:ext>
                <a:ext uri="{FF2B5EF4-FFF2-40B4-BE49-F238E27FC236}">
                  <a16:creationId xmlns:a16="http://schemas.microsoft.com/office/drawing/2014/main" id="{00000000-0008-0000-0900-00004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65</xdr:row>
          <xdr:rowOff>9525</xdr:rowOff>
        </xdr:from>
        <xdr:to>
          <xdr:col>9</xdr:col>
          <xdr:colOff>0</xdr:colOff>
          <xdr:row>66</xdr:row>
          <xdr:rowOff>0</xdr:rowOff>
        </xdr:to>
        <xdr:sp macro="" textlink="">
          <xdr:nvSpPr>
            <xdr:cNvPr id="18501" name="Copy_BLC62_Distributed" hidden="1">
              <a:extLst>
                <a:ext uri="{63B3BB69-23CF-44E3-9099-C40C66FF867C}">
                  <a14:compatExt spid="_x0000_s18501"/>
                </a:ext>
                <a:ext uri="{FF2B5EF4-FFF2-40B4-BE49-F238E27FC236}">
                  <a16:creationId xmlns:a16="http://schemas.microsoft.com/office/drawing/2014/main" id="{00000000-0008-0000-0900-00004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66</xdr:row>
          <xdr:rowOff>9525</xdr:rowOff>
        </xdr:from>
        <xdr:to>
          <xdr:col>9</xdr:col>
          <xdr:colOff>0</xdr:colOff>
          <xdr:row>67</xdr:row>
          <xdr:rowOff>0</xdr:rowOff>
        </xdr:to>
        <xdr:sp macro="" textlink="">
          <xdr:nvSpPr>
            <xdr:cNvPr id="18502" name="Copy_BLC63_Distributed" hidden="1">
              <a:extLst>
                <a:ext uri="{63B3BB69-23CF-44E3-9099-C40C66FF867C}">
                  <a14:compatExt spid="_x0000_s18502"/>
                </a:ext>
                <a:ext uri="{FF2B5EF4-FFF2-40B4-BE49-F238E27FC236}">
                  <a16:creationId xmlns:a16="http://schemas.microsoft.com/office/drawing/2014/main" id="{00000000-0008-0000-0900-00004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67</xdr:row>
          <xdr:rowOff>9525</xdr:rowOff>
        </xdr:from>
        <xdr:to>
          <xdr:col>9</xdr:col>
          <xdr:colOff>0</xdr:colOff>
          <xdr:row>68</xdr:row>
          <xdr:rowOff>0</xdr:rowOff>
        </xdr:to>
        <xdr:sp macro="" textlink="">
          <xdr:nvSpPr>
            <xdr:cNvPr id="18503" name="Copy_BLC64_Distributed" hidden="1">
              <a:extLst>
                <a:ext uri="{63B3BB69-23CF-44E3-9099-C40C66FF867C}">
                  <a14:compatExt spid="_x0000_s18503"/>
                </a:ext>
                <a:ext uri="{FF2B5EF4-FFF2-40B4-BE49-F238E27FC236}">
                  <a16:creationId xmlns:a16="http://schemas.microsoft.com/office/drawing/2014/main" id="{00000000-0008-0000-0900-00004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68</xdr:row>
          <xdr:rowOff>9525</xdr:rowOff>
        </xdr:from>
        <xdr:to>
          <xdr:col>8</xdr:col>
          <xdr:colOff>0</xdr:colOff>
          <xdr:row>69</xdr:row>
          <xdr:rowOff>0</xdr:rowOff>
        </xdr:to>
        <xdr:sp macro="" textlink="">
          <xdr:nvSpPr>
            <xdr:cNvPr id="18504" name="Copy_BLC65_Point" hidden="1">
              <a:extLst>
                <a:ext uri="{63B3BB69-23CF-44E3-9099-C40C66FF867C}">
                  <a14:compatExt spid="_x0000_s18504"/>
                </a:ext>
                <a:ext uri="{FF2B5EF4-FFF2-40B4-BE49-F238E27FC236}">
                  <a16:creationId xmlns:a16="http://schemas.microsoft.com/office/drawing/2014/main" id="{00000000-0008-0000-0900-00004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69</xdr:row>
          <xdr:rowOff>9525</xdr:rowOff>
        </xdr:from>
        <xdr:to>
          <xdr:col>8</xdr:col>
          <xdr:colOff>0</xdr:colOff>
          <xdr:row>70</xdr:row>
          <xdr:rowOff>0</xdr:rowOff>
        </xdr:to>
        <xdr:sp macro="" textlink="">
          <xdr:nvSpPr>
            <xdr:cNvPr id="18505" name="Copy_BLC66_Point" hidden="1">
              <a:extLst>
                <a:ext uri="{63B3BB69-23CF-44E3-9099-C40C66FF867C}">
                  <a14:compatExt spid="_x0000_s18505"/>
                </a:ext>
                <a:ext uri="{FF2B5EF4-FFF2-40B4-BE49-F238E27FC236}">
                  <a16:creationId xmlns:a16="http://schemas.microsoft.com/office/drawing/2014/main" id="{00000000-0008-0000-0900-00004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70</xdr:row>
          <xdr:rowOff>9525</xdr:rowOff>
        </xdr:from>
        <xdr:to>
          <xdr:col>8</xdr:col>
          <xdr:colOff>0</xdr:colOff>
          <xdr:row>71</xdr:row>
          <xdr:rowOff>0</xdr:rowOff>
        </xdr:to>
        <xdr:sp macro="" textlink="">
          <xdr:nvSpPr>
            <xdr:cNvPr id="18506" name="Copy_BLC67_Point" hidden="1">
              <a:extLst>
                <a:ext uri="{63B3BB69-23CF-44E3-9099-C40C66FF867C}">
                  <a14:compatExt spid="_x0000_s18506"/>
                </a:ext>
                <a:ext uri="{FF2B5EF4-FFF2-40B4-BE49-F238E27FC236}">
                  <a16:creationId xmlns:a16="http://schemas.microsoft.com/office/drawing/2014/main" id="{00000000-0008-0000-0900-00004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71</xdr:row>
          <xdr:rowOff>9525</xdr:rowOff>
        </xdr:from>
        <xdr:to>
          <xdr:col>8</xdr:col>
          <xdr:colOff>0</xdr:colOff>
          <xdr:row>72</xdr:row>
          <xdr:rowOff>0</xdr:rowOff>
        </xdr:to>
        <xdr:sp macro="" textlink="">
          <xdr:nvSpPr>
            <xdr:cNvPr id="18507" name="Copy_BLC68_Point" hidden="1">
              <a:extLst>
                <a:ext uri="{63B3BB69-23CF-44E3-9099-C40C66FF867C}">
                  <a14:compatExt spid="_x0000_s18507"/>
                </a:ext>
                <a:ext uri="{FF2B5EF4-FFF2-40B4-BE49-F238E27FC236}">
                  <a16:creationId xmlns:a16="http://schemas.microsoft.com/office/drawing/2014/main" id="{00000000-0008-0000-0900-00004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69</xdr:row>
          <xdr:rowOff>9525</xdr:rowOff>
        </xdr:from>
        <xdr:to>
          <xdr:col>9</xdr:col>
          <xdr:colOff>0</xdr:colOff>
          <xdr:row>70</xdr:row>
          <xdr:rowOff>0</xdr:rowOff>
        </xdr:to>
        <xdr:sp macro="" textlink="">
          <xdr:nvSpPr>
            <xdr:cNvPr id="18508" name="Copy_BLC66_Distributed" hidden="1">
              <a:extLst>
                <a:ext uri="{63B3BB69-23CF-44E3-9099-C40C66FF867C}">
                  <a14:compatExt spid="_x0000_s18508"/>
                </a:ext>
                <a:ext uri="{FF2B5EF4-FFF2-40B4-BE49-F238E27FC236}">
                  <a16:creationId xmlns:a16="http://schemas.microsoft.com/office/drawing/2014/main" id="{00000000-0008-0000-0900-00004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72</xdr:row>
          <xdr:rowOff>9525</xdr:rowOff>
        </xdr:from>
        <xdr:to>
          <xdr:col>8</xdr:col>
          <xdr:colOff>0</xdr:colOff>
          <xdr:row>73</xdr:row>
          <xdr:rowOff>0</xdr:rowOff>
        </xdr:to>
        <xdr:sp macro="" textlink="">
          <xdr:nvSpPr>
            <xdr:cNvPr id="18509" name="Copy_BLC69_Point" hidden="1">
              <a:extLst>
                <a:ext uri="{63B3BB69-23CF-44E3-9099-C40C66FF867C}">
                  <a14:compatExt spid="_x0000_s18509"/>
                </a:ext>
                <a:ext uri="{FF2B5EF4-FFF2-40B4-BE49-F238E27FC236}">
                  <a16:creationId xmlns:a16="http://schemas.microsoft.com/office/drawing/2014/main" id="{00000000-0008-0000-0900-00004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428625</xdr:colOff>
          <xdr:row>68</xdr:row>
          <xdr:rowOff>9525</xdr:rowOff>
        </xdr:from>
        <xdr:to>
          <xdr:col>10</xdr:col>
          <xdr:colOff>0</xdr:colOff>
          <xdr:row>69</xdr:row>
          <xdr:rowOff>0</xdr:rowOff>
        </xdr:to>
        <xdr:sp macro="" textlink="">
          <xdr:nvSpPr>
            <xdr:cNvPr id="18510" name="Copy_BLC65_Area" hidden="1">
              <a:extLst>
                <a:ext uri="{63B3BB69-23CF-44E3-9099-C40C66FF867C}">
                  <a14:compatExt spid="_x0000_s18510"/>
                </a:ext>
                <a:ext uri="{FF2B5EF4-FFF2-40B4-BE49-F238E27FC236}">
                  <a16:creationId xmlns:a16="http://schemas.microsoft.com/office/drawing/2014/main" id="{00000000-0008-0000-0900-00004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428625</xdr:colOff>
          <xdr:row>69</xdr:row>
          <xdr:rowOff>9525</xdr:rowOff>
        </xdr:from>
        <xdr:to>
          <xdr:col>10</xdr:col>
          <xdr:colOff>0</xdr:colOff>
          <xdr:row>70</xdr:row>
          <xdr:rowOff>0</xdr:rowOff>
        </xdr:to>
        <xdr:sp macro="" textlink="">
          <xdr:nvSpPr>
            <xdr:cNvPr id="18511" name="Copy_BLC66_Area" hidden="1">
              <a:extLst>
                <a:ext uri="{63B3BB69-23CF-44E3-9099-C40C66FF867C}">
                  <a14:compatExt spid="_x0000_s18511"/>
                </a:ext>
                <a:ext uri="{FF2B5EF4-FFF2-40B4-BE49-F238E27FC236}">
                  <a16:creationId xmlns:a16="http://schemas.microsoft.com/office/drawing/2014/main" id="{00000000-0008-0000-0900-00004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1</xdr:row>
          <xdr:rowOff>0</xdr:rowOff>
        </xdr:from>
        <xdr:to>
          <xdr:col>11</xdr:col>
          <xdr:colOff>1562100</xdr:colOff>
          <xdr:row>2</xdr:row>
          <xdr:rowOff>76200</xdr:rowOff>
        </xdr:to>
        <xdr:sp macro="" textlink="">
          <xdr:nvSpPr>
            <xdr:cNvPr id="18514" name="Copy_BLC" hidden="1">
              <a:extLst>
                <a:ext uri="{63B3BB69-23CF-44E3-9099-C40C66FF867C}">
                  <a14:compatExt spid="_x0000_s18514"/>
                </a:ext>
                <a:ext uri="{FF2B5EF4-FFF2-40B4-BE49-F238E27FC236}">
                  <a16:creationId xmlns:a16="http://schemas.microsoft.com/office/drawing/2014/main" id="{00000000-0008-0000-0900-00005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 Basic Load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2</xdr:row>
          <xdr:rowOff>142875</xdr:rowOff>
        </xdr:from>
        <xdr:to>
          <xdr:col>11</xdr:col>
          <xdr:colOff>1562100</xdr:colOff>
          <xdr:row>3</xdr:row>
          <xdr:rowOff>219075</xdr:rowOff>
        </xdr:to>
        <xdr:sp macro="" textlink="">
          <xdr:nvSpPr>
            <xdr:cNvPr id="18515" name="Copy_LC" hidden="1">
              <a:extLst>
                <a:ext uri="{63B3BB69-23CF-44E3-9099-C40C66FF867C}">
                  <a14:compatExt spid="_x0000_s18515"/>
                </a:ext>
                <a:ext uri="{FF2B5EF4-FFF2-40B4-BE49-F238E27FC236}">
                  <a16:creationId xmlns:a16="http://schemas.microsoft.com/office/drawing/2014/main" id="{00000000-0008-0000-0900-00005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 Load Combinations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4</xdr:row>
          <xdr:rowOff>209550</xdr:rowOff>
        </xdr:from>
        <xdr:to>
          <xdr:col>11</xdr:col>
          <xdr:colOff>1562100</xdr:colOff>
          <xdr:row>6</xdr:row>
          <xdr:rowOff>209550</xdr:rowOff>
        </xdr:to>
        <xdr:sp macro="" textlink="">
          <xdr:nvSpPr>
            <xdr:cNvPr id="18516" name="Button 84" hidden="1">
              <a:extLst>
                <a:ext uri="{63B3BB69-23CF-44E3-9099-C40C66FF867C}">
                  <a14:compatExt spid="_x0000_s18516"/>
                </a:ext>
                <a:ext uri="{FF2B5EF4-FFF2-40B4-BE49-F238E27FC236}">
                  <a16:creationId xmlns:a16="http://schemas.microsoft.com/office/drawing/2014/main" id="{00000000-0008-0000-0900-00005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Calculate Point Loads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7</xdr:row>
          <xdr:rowOff>47625</xdr:rowOff>
        </xdr:from>
        <xdr:to>
          <xdr:col>11</xdr:col>
          <xdr:colOff>1562100</xdr:colOff>
          <xdr:row>9</xdr:row>
          <xdr:rowOff>47625</xdr:rowOff>
        </xdr:to>
        <xdr:sp macro="" textlink="">
          <xdr:nvSpPr>
            <xdr:cNvPr id="18517" name="Button 85" hidden="1">
              <a:extLst>
                <a:ext uri="{63B3BB69-23CF-44E3-9099-C40C66FF867C}">
                  <a14:compatExt spid="_x0000_s18517"/>
                </a:ext>
                <a:ext uri="{FF2B5EF4-FFF2-40B4-BE49-F238E27FC236}">
                  <a16:creationId xmlns:a16="http://schemas.microsoft.com/office/drawing/2014/main" id="{00000000-0008-0000-0900-00005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Calculate Distributed Loads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89</xdr:row>
          <xdr:rowOff>9525</xdr:rowOff>
        </xdr:from>
        <xdr:to>
          <xdr:col>8</xdr:col>
          <xdr:colOff>0</xdr:colOff>
          <xdr:row>90</xdr:row>
          <xdr:rowOff>0</xdr:rowOff>
        </xdr:to>
        <xdr:sp macro="" textlink="">
          <xdr:nvSpPr>
            <xdr:cNvPr id="18518" name="Copy_BLC86_Point" hidden="1">
              <a:extLst>
                <a:ext uri="{63B3BB69-23CF-44E3-9099-C40C66FF867C}">
                  <a14:compatExt spid="_x0000_s18518"/>
                </a:ext>
                <a:ext uri="{FF2B5EF4-FFF2-40B4-BE49-F238E27FC236}">
                  <a16:creationId xmlns:a16="http://schemas.microsoft.com/office/drawing/2014/main" id="{00000000-0008-0000-0900-00005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90</xdr:row>
          <xdr:rowOff>9525</xdr:rowOff>
        </xdr:from>
        <xdr:to>
          <xdr:col>8</xdr:col>
          <xdr:colOff>0</xdr:colOff>
          <xdr:row>91</xdr:row>
          <xdr:rowOff>0</xdr:rowOff>
        </xdr:to>
        <xdr:sp macro="" textlink="">
          <xdr:nvSpPr>
            <xdr:cNvPr id="18519" name="Copy_BLC87_Point" hidden="1">
              <a:extLst>
                <a:ext uri="{63B3BB69-23CF-44E3-9099-C40C66FF867C}">
                  <a14:compatExt spid="_x0000_s18519"/>
                </a:ext>
                <a:ext uri="{FF2B5EF4-FFF2-40B4-BE49-F238E27FC236}">
                  <a16:creationId xmlns:a16="http://schemas.microsoft.com/office/drawing/2014/main" id="{00000000-0008-0000-0900-00005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91</xdr:row>
          <xdr:rowOff>9525</xdr:rowOff>
        </xdr:from>
        <xdr:to>
          <xdr:col>8</xdr:col>
          <xdr:colOff>0</xdr:colOff>
          <xdr:row>92</xdr:row>
          <xdr:rowOff>0</xdr:rowOff>
        </xdr:to>
        <xdr:sp macro="" textlink="">
          <xdr:nvSpPr>
            <xdr:cNvPr id="18520" name="Copy_BLC88_Point" hidden="1">
              <a:extLst>
                <a:ext uri="{63B3BB69-23CF-44E3-9099-C40C66FF867C}">
                  <a14:compatExt spid="_x0000_s18520"/>
                </a:ext>
                <a:ext uri="{FF2B5EF4-FFF2-40B4-BE49-F238E27FC236}">
                  <a16:creationId xmlns:a16="http://schemas.microsoft.com/office/drawing/2014/main" id="{00000000-0008-0000-0900-00005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92</xdr:row>
          <xdr:rowOff>9525</xdr:rowOff>
        </xdr:from>
        <xdr:to>
          <xdr:col>8</xdr:col>
          <xdr:colOff>0</xdr:colOff>
          <xdr:row>93</xdr:row>
          <xdr:rowOff>0</xdr:rowOff>
        </xdr:to>
        <xdr:sp macro="" textlink="">
          <xdr:nvSpPr>
            <xdr:cNvPr id="18521" name="Copy_BLC89_Point" hidden="1">
              <a:extLst>
                <a:ext uri="{63B3BB69-23CF-44E3-9099-C40C66FF867C}">
                  <a14:compatExt spid="_x0000_s18521"/>
                </a:ext>
                <a:ext uri="{FF2B5EF4-FFF2-40B4-BE49-F238E27FC236}">
                  <a16:creationId xmlns:a16="http://schemas.microsoft.com/office/drawing/2014/main" id="{00000000-0008-0000-0900-00005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93</xdr:row>
          <xdr:rowOff>9525</xdr:rowOff>
        </xdr:from>
        <xdr:to>
          <xdr:col>8</xdr:col>
          <xdr:colOff>0</xdr:colOff>
          <xdr:row>94</xdr:row>
          <xdr:rowOff>0</xdr:rowOff>
        </xdr:to>
        <xdr:sp macro="" textlink="">
          <xdr:nvSpPr>
            <xdr:cNvPr id="18522" name="Copy_BLC90_Point" hidden="1">
              <a:extLst>
                <a:ext uri="{63B3BB69-23CF-44E3-9099-C40C66FF867C}">
                  <a14:compatExt spid="_x0000_s18522"/>
                </a:ext>
                <a:ext uri="{FF2B5EF4-FFF2-40B4-BE49-F238E27FC236}">
                  <a16:creationId xmlns:a16="http://schemas.microsoft.com/office/drawing/2014/main" id="{00000000-0008-0000-0900-00005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94</xdr:row>
          <xdr:rowOff>9525</xdr:rowOff>
        </xdr:from>
        <xdr:to>
          <xdr:col>8</xdr:col>
          <xdr:colOff>0</xdr:colOff>
          <xdr:row>95</xdr:row>
          <xdr:rowOff>0</xdr:rowOff>
        </xdr:to>
        <xdr:sp macro="" textlink="">
          <xdr:nvSpPr>
            <xdr:cNvPr id="18523" name="Copy_BLC91_Point" hidden="1">
              <a:extLst>
                <a:ext uri="{63B3BB69-23CF-44E3-9099-C40C66FF867C}">
                  <a14:compatExt spid="_x0000_s18523"/>
                </a:ext>
                <a:ext uri="{FF2B5EF4-FFF2-40B4-BE49-F238E27FC236}">
                  <a16:creationId xmlns:a16="http://schemas.microsoft.com/office/drawing/2014/main" id="{00000000-0008-0000-0900-00005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95</xdr:row>
          <xdr:rowOff>9525</xdr:rowOff>
        </xdr:from>
        <xdr:to>
          <xdr:col>8</xdr:col>
          <xdr:colOff>0</xdr:colOff>
          <xdr:row>96</xdr:row>
          <xdr:rowOff>0</xdr:rowOff>
        </xdr:to>
        <xdr:sp macro="" textlink="">
          <xdr:nvSpPr>
            <xdr:cNvPr id="18524" name="Copy_BLC92_Point" hidden="1">
              <a:extLst>
                <a:ext uri="{63B3BB69-23CF-44E3-9099-C40C66FF867C}">
                  <a14:compatExt spid="_x0000_s18524"/>
                </a:ext>
                <a:ext uri="{FF2B5EF4-FFF2-40B4-BE49-F238E27FC236}">
                  <a16:creationId xmlns:a16="http://schemas.microsoft.com/office/drawing/2014/main" id="{00000000-0008-0000-0900-00005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96</xdr:row>
          <xdr:rowOff>9525</xdr:rowOff>
        </xdr:from>
        <xdr:to>
          <xdr:col>8</xdr:col>
          <xdr:colOff>0</xdr:colOff>
          <xdr:row>97</xdr:row>
          <xdr:rowOff>0</xdr:rowOff>
        </xdr:to>
        <xdr:sp macro="" textlink="">
          <xdr:nvSpPr>
            <xdr:cNvPr id="18525" name="Copy_BLC93_Point" hidden="1">
              <a:extLst>
                <a:ext uri="{63B3BB69-23CF-44E3-9099-C40C66FF867C}">
                  <a14:compatExt spid="_x0000_s18525"/>
                </a:ext>
                <a:ext uri="{FF2B5EF4-FFF2-40B4-BE49-F238E27FC236}">
                  <a16:creationId xmlns:a16="http://schemas.microsoft.com/office/drawing/2014/main" id="{00000000-0008-0000-0900-00005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9</xdr:row>
          <xdr:rowOff>114300</xdr:rowOff>
        </xdr:from>
        <xdr:to>
          <xdr:col>11</xdr:col>
          <xdr:colOff>1562100</xdr:colOff>
          <xdr:row>11</xdr:row>
          <xdr:rowOff>114300</xdr:rowOff>
        </xdr:to>
        <xdr:sp macro="" textlink="">
          <xdr:nvSpPr>
            <xdr:cNvPr id="18526" name="Button 94" hidden="1">
              <a:extLst>
                <a:ext uri="{63B3BB69-23CF-44E3-9099-C40C66FF867C}">
                  <a14:compatExt spid="_x0000_s18526"/>
                </a:ext>
                <a:ext uri="{FF2B5EF4-FFF2-40B4-BE49-F238E27FC236}">
                  <a16:creationId xmlns:a16="http://schemas.microsoft.com/office/drawing/2014/main" id="{00000000-0008-0000-0900-00005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Calculate Area Loads</a:t>
              </a:r>
            </a:p>
          </xdr:txBody>
        </xdr:sp>
        <xdr:clientData fPrintsWithSheet="0"/>
      </xdr:twoCellAnchor>
    </mc:Choice>
    <mc:Fallback/>
  </mc:AlternateContent>
  <xdr:twoCellAnchor editAs="oneCell">
    <xdr:from>
      <xdr:col>1</xdr:col>
      <xdr:colOff>581025</xdr:colOff>
      <xdr:row>0</xdr:row>
      <xdr:rowOff>9525</xdr:rowOff>
    </xdr:from>
    <xdr:to>
      <xdr:col>2</xdr:col>
      <xdr:colOff>257175</xdr:colOff>
      <xdr:row>0</xdr:row>
      <xdr:rowOff>432859</xdr:rowOff>
    </xdr:to>
    <xdr:pic macro="[0]!ShowHide_LoadTables">
      <xdr:nvPicPr>
        <xdr:cNvPr id="2" name="Picture 1" descr="eFunda: Glossary: Beams: Simply Supported: Uniformly Distributed Load:  Single Span: S Section Steel I Beam: S12 × 31.8">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62025" y="9525"/>
          <a:ext cx="1143000" cy="423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9525</xdr:colOff>
          <xdr:row>1</xdr:row>
          <xdr:rowOff>9525</xdr:rowOff>
        </xdr:from>
        <xdr:to>
          <xdr:col>13</xdr:col>
          <xdr:colOff>1057275</xdr:colOff>
          <xdr:row>2</xdr:row>
          <xdr:rowOff>0</xdr:rowOff>
        </xdr:to>
        <xdr:sp macro="" textlink="">
          <xdr:nvSpPr>
            <xdr:cNvPr id="18527" name="Button 95" hidden="1">
              <a:extLst>
                <a:ext uri="{63B3BB69-23CF-44E3-9099-C40C66FF867C}">
                  <a14:compatExt spid="_x0000_s18527"/>
                </a:ext>
                <a:ext uri="{FF2B5EF4-FFF2-40B4-BE49-F238E27FC236}">
                  <a16:creationId xmlns:a16="http://schemas.microsoft.com/office/drawing/2014/main" id="{00000000-0008-0000-0900-00005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Segoe UI"/>
                  <a:cs typeface="Segoe UI"/>
                </a:rPr>
                <a:t>Select Wind Directions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9525</xdr:colOff>
          <xdr:row>0</xdr:row>
          <xdr:rowOff>0</xdr:rowOff>
        </xdr:from>
        <xdr:to>
          <xdr:col>23</xdr:col>
          <xdr:colOff>571500</xdr:colOff>
          <xdr:row>2</xdr:row>
          <xdr:rowOff>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A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Paste Results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Z:\~Engineering%20Standards%20Library\STRUCTURAL\Analysis_Procedural\NB+C%20Database\Manufacturer%20CFDs.xlsx" TargetMode="External"/><Relationship Id="rId1" Type="http://schemas.openxmlformats.org/officeDocument/2006/relationships/externalLinkPath" Target="/~Engineering%20Standards%20Library/STRUCTURAL/Analysis_Procedural/NB+C%20Database/Manufacturer%20CFD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Z:\~Engineering%20Standards%20Library\STRUCTURAL\Analysis_Procedural\NB+C%20Database\AISC%20Database%20v16.0%20+%20Custom.xlsx" TargetMode="External"/><Relationship Id="rId1" Type="http://schemas.openxmlformats.org/officeDocument/2006/relationships/externalLinkPath" Target="/~Engineering%20Standards%20Library/STRUCTURAL/Analysis_Procedural/NB+C%20Database/AISC%20Database%20v16.0%20+%20Custom.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Z:\~Engineering%20Standards%20Library\STRUCTURAL\Analysis_Tower\tnxTower\CFD%20Updates\Vendor%20Version%20Appurtenances\20250925\Antenna%20Feedline%20TME%20vendor%20versions\antennac.xlsx" TargetMode="External"/><Relationship Id="rId1" Type="http://schemas.openxmlformats.org/officeDocument/2006/relationships/externalLinkPath" Target="/~Engineering%20Standards%20Library/STRUCTURAL/Analysis_Tower/tnxTower/CFD%20Updates/Vendor%20Version%20Appurtenances/20250925/Antenna%20Feedline%20TME%20vendor%20versions/antenna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FD"/>
      <sheetName val="Manufacturer CFDs"/>
    </sheetNames>
    <sheetDataSet>
      <sheetData sheetId="0">
        <row r="1">
          <cell r="B1" t="str">
            <v>Antenna</v>
          </cell>
          <cell r="C1" t="str">
            <v>0</v>
          </cell>
          <cell r="D1" t="str">
            <v>10</v>
          </cell>
          <cell r="E1" t="str">
            <v>20</v>
          </cell>
          <cell r="F1" t="str">
            <v>30</v>
          </cell>
          <cell r="G1" t="str">
            <v>40</v>
          </cell>
          <cell r="H1" t="str">
            <v>50</v>
          </cell>
          <cell r="I1" t="str">
            <v>60</v>
          </cell>
          <cell r="J1" t="str">
            <v>70</v>
          </cell>
          <cell r="K1" t="str">
            <v>80</v>
          </cell>
          <cell r="L1" t="str">
            <v>90</v>
          </cell>
          <cell r="M1" t="str">
            <v>100</v>
          </cell>
          <cell r="N1" t="str">
            <v>110</v>
          </cell>
          <cell r="O1" t="str">
            <v>120</v>
          </cell>
          <cell r="P1" t="str">
            <v>130</v>
          </cell>
          <cell r="Q1" t="str">
            <v>140</v>
          </cell>
          <cell r="R1" t="str">
            <v>150</v>
          </cell>
          <cell r="S1" t="str">
            <v>160</v>
          </cell>
          <cell r="T1" t="str">
            <v>170</v>
          </cell>
          <cell r="U1" t="str">
            <v>180</v>
          </cell>
          <cell r="V1" t="str">
            <v>190</v>
          </cell>
          <cell r="W1" t="str">
            <v>200</v>
          </cell>
          <cell r="X1" t="str">
            <v>210</v>
          </cell>
          <cell r="Y1" t="str">
            <v>220</v>
          </cell>
          <cell r="Z1" t="str">
            <v>230</v>
          </cell>
          <cell r="AA1" t="str">
            <v>240</v>
          </cell>
          <cell r="AB1" t="str">
            <v>250</v>
          </cell>
          <cell r="AC1" t="str">
            <v>260</v>
          </cell>
          <cell r="AD1" t="str">
            <v>270</v>
          </cell>
          <cell r="AE1" t="str">
            <v>280</v>
          </cell>
          <cell r="AF1" t="str">
            <v>290</v>
          </cell>
          <cell r="AG1" t="str">
            <v>300</v>
          </cell>
          <cell r="AH1" t="str">
            <v>310</v>
          </cell>
          <cell r="AI1" t="str">
            <v>320</v>
          </cell>
          <cell r="AJ1" t="str">
            <v>330</v>
          </cell>
          <cell r="AK1" t="str">
            <v>340</v>
          </cell>
        </row>
        <row r="2">
          <cell r="B2" t="str">
            <v>Degrees</v>
          </cell>
          <cell r="C2">
            <v>0</v>
          </cell>
          <cell r="D2">
            <v>10</v>
          </cell>
          <cell r="E2">
            <v>20</v>
          </cell>
          <cell r="F2">
            <v>30</v>
          </cell>
          <cell r="G2">
            <v>40</v>
          </cell>
          <cell r="H2">
            <v>50</v>
          </cell>
          <cell r="I2">
            <v>60</v>
          </cell>
          <cell r="J2">
            <v>70</v>
          </cell>
          <cell r="K2">
            <v>80</v>
          </cell>
          <cell r="L2">
            <v>90</v>
          </cell>
          <cell r="M2">
            <v>100</v>
          </cell>
          <cell r="N2">
            <v>110</v>
          </cell>
          <cell r="O2">
            <v>120</v>
          </cell>
          <cell r="P2">
            <v>130</v>
          </cell>
          <cell r="Q2">
            <v>140</v>
          </cell>
          <cell r="R2">
            <v>150</v>
          </cell>
          <cell r="S2">
            <v>160</v>
          </cell>
          <cell r="T2">
            <v>170</v>
          </cell>
          <cell r="U2">
            <v>180</v>
          </cell>
          <cell r="V2">
            <v>190</v>
          </cell>
          <cell r="W2">
            <v>200</v>
          </cell>
          <cell r="X2">
            <v>210</v>
          </cell>
          <cell r="Y2">
            <v>220</v>
          </cell>
          <cell r="Z2">
            <v>230</v>
          </cell>
          <cell r="AA2">
            <v>240</v>
          </cell>
          <cell r="AB2">
            <v>250</v>
          </cell>
          <cell r="AC2">
            <v>260</v>
          </cell>
          <cell r="AD2">
            <v>270</v>
          </cell>
          <cell r="AE2">
            <v>280</v>
          </cell>
          <cell r="AF2">
            <v>290</v>
          </cell>
          <cell r="AG2">
            <v>300</v>
          </cell>
          <cell r="AH2">
            <v>310</v>
          </cell>
          <cell r="AI2">
            <v>320</v>
          </cell>
          <cell r="AJ2">
            <v>330</v>
          </cell>
          <cell r="AK2">
            <v>340</v>
          </cell>
        </row>
        <row r="3">
          <cell r="B3" t="str">
            <v>2NN2HH-33B-R4</v>
          </cell>
          <cell r="C3">
            <v>7.7</v>
          </cell>
          <cell r="D3">
            <v>10</v>
          </cell>
          <cell r="E3">
            <v>10.28</v>
          </cell>
          <cell r="F3">
            <v>10.16</v>
          </cell>
          <cell r="G3">
            <v>9.43</v>
          </cell>
          <cell r="H3">
            <v>8.91</v>
          </cell>
          <cell r="I3">
            <v>7.38</v>
          </cell>
          <cell r="J3">
            <v>4.87</v>
          </cell>
          <cell r="K3">
            <v>2.65</v>
          </cell>
          <cell r="L3">
            <v>2.5</v>
          </cell>
          <cell r="M3">
            <v>2.44</v>
          </cell>
          <cell r="N3">
            <v>4.21</v>
          </cell>
          <cell r="O3">
            <v>8.2200000000000006</v>
          </cell>
          <cell r="P3">
            <v>8.7799999999999994</v>
          </cell>
          <cell r="Q3">
            <v>9.57</v>
          </cell>
          <cell r="R3">
            <v>10.31</v>
          </cell>
          <cell r="S3">
            <v>10.51</v>
          </cell>
          <cell r="T3">
            <v>10.39</v>
          </cell>
          <cell r="U3">
            <v>7.96</v>
          </cell>
          <cell r="V3">
            <v>10.39</v>
          </cell>
          <cell r="W3">
            <v>10.51</v>
          </cell>
          <cell r="X3">
            <v>10.31</v>
          </cell>
          <cell r="Y3">
            <v>9.57</v>
          </cell>
          <cell r="Z3">
            <v>8.7799999999999994</v>
          </cell>
          <cell r="AA3">
            <v>8.2200000000000006</v>
          </cell>
          <cell r="AB3">
            <v>4.21</v>
          </cell>
          <cell r="AC3">
            <v>2.44</v>
          </cell>
          <cell r="AD3">
            <v>2.5</v>
          </cell>
          <cell r="AE3">
            <v>2.65</v>
          </cell>
          <cell r="AF3">
            <v>4.87</v>
          </cell>
          <cell r="AG3">
            <v>7.38</v>
          </cell>
          <cell r="AH3">
            <v>8.91</v>
          </cell>
          <cell r="AI3">
            <v>9.43</v>
          </cell>
          <cell r="AJ3">
            <v>10.16</v>
          </cell>
          <cell r="AK3">
            <v>10.28</v>
          </cell>
        </row>
        <row r="4">
          <cell r="B4" t="str">
            <v>2NN2HH-33C-R4</v>
          </cell>
          <cell r="C4">
            <v>10.7</v>
          </cell>
          <cell r="D4">
            <v>13.79</v>
          </cell>
          <cell r="E4">
            <v>14.17</v>
          </cell>
          <cell r="F4">
            <v>14.02</v>
          </cell>
          <cell r="G4">
            <v>13.03</v>
          </cell>
          <cell r="H4">
            <v>12.35</v>
          </cell>
          <cell r="I4">
            <v>10.28</v>
          </cell>
          <cell r="J4">
            <v>6.84</v>
          </cell>
          <cell r="K4">
            <v>3.74</v>
          </cell>
          <cell r="L4">
            <v>3.6</v>
          </cell>
          <cell r="M4">
            <v>3.44</v>
          </cell>
          <cell r="N4">
            <v>5.9</v>
          </cell>
          <cell r="O4">
            <v>11.44</v>
          </cell>
          <cell r="P4">
            <v>12.17</v>
          </cell>
          <cell r="Q4">
            <v>13.23</v>
          </cell>
          <cell r="R4">
            <v>10.67</v>
          </cell>
          <cell r="S4">
            <v>14.49</v>
          </cell>
          <cell r="T4">
            <v>14.33</v>
          </cell>
          <cell r="U4">
            <v>10.98</v>
          </cell>
          <cell r="V4">
            <v>14.33</v>
          </cell>
          <cell r="W4">
            <v>14.49</v>
          </cell>
          <cell r="X4">
            <v>10.67</v>
          </cell>
          <cell r="Y4">
            <v>13.23</v>
          </cell>
          <cell r="Z4">
            <v>12.17</v>
          </cell>
          <cell r="AA4">
            <v>11.44</v>
          </cell>
          <cell r="AB4">
            <v>5.9</v>
          </cell>
          <cell r="AC4">
            <v>3.44</v>
          </cell>
          <cell r="AD4">
            <v>3.6</v>
          </cell>
          <cell r="AE4">
            <v>3.74</v>
          </cell>
          <cell r="AF4">
            <v>6.84</v>
          </cell>
          <cell r="AG4">
            <v>10.28</v>
          </cell>
          <cell r="AH4">
            <v>12.35</v>
          </cell>
          <cell r="AI4">
            <v>13.03</v>
          </cell>
          <cell r="AJ4">
            <v>14.02</v>
          </cell>
          <cell r="AK4">
            <v>14.17</v>
          </cell>
        </row>
        <row r="5">
          <cell r="B5" t="str">
            <v>JAH4-65B-R4</v>
          </cell>
          <cell r="C5">
            <v>3.1</v>
          </cell>
          <cell r="D5">
            <v>4.4000000000000004</v>
          </cell>
          <cell r="E5">
            <v>4.92</v>
          </cell>
          <cell r="F5">
            <v>5.2</v>
          </cell>
          <cell r="G5">
            <v>5.42</v>
          </cell>
          <cell r="H5">
            <v>5.1100000000000003</v>
          </cell>
          <cell r="I5">
            <v>4.25</v>
          </cell>
          <cell r="J5">
            <v>3.81</v>
          </cell>
          <cell r="K5">
            <v>2.7</v>
          </cell>
          <cell r="L5">
            <v>2.6</v>
          </cell>
          <cell r="M5">
            <v>2.7</v>
          </cell>
          <cell r="N5">
            <v>4.3499999999999996</v>
          </cell>
          <cell r="O5">
            <v>5.39</v>
          </cell>
          <cell r="P5">
            <v>6.24</v>
          </cell>
          <cell r="Q5">
            <v>6.45</v>
          </cell>
          <cell r="R5">
            <v>6.06</v>
          </cell>
          <cell r="S5">
            <v>5.49</v>
          </cell>
          <cell r="T5">
            <v>3.56</v>
          </cell>
          <cell r="U5">
            <v>3.23</v>
          </cell>
          <cell r="V5">
            <v>3.56</v>
          </cell>
          <cell r="W5">
            <v>5.49</v>
          </cell>
          <cell r="X5">
            <v>6.06</v>
          </cell>
          <cell r="Y5">
            <v>6.45</v>
          </cell>
          <cell r="Z5">
            <v>6.24</v>
          </cell>
          <cell r="AA5">
            <v>5.39</v>
          </cell>
          <cell r="AB5">
            <v>4.3499999999999996</v>
          </cell>
          <cell r="AC5">
            <v>2.7</v>
          </cell>
          <cell r="AD5">
            <v>2.6</v>
          </cell>
          <cell r="AE5">
            <v>2.7</v>
          </cell>
          <cell r="AF5">
            <v>3.81</v>
          </cell>
          <cell r="AG5">
            <v>4.25</v>
          </cell>
          <cell r="AH5">
            <v>5.1100000000000003</v>
          </cell>
          <cell r="AI5">
            <v>5.42</v>
          </cell>
          <cell r="AJ5">
            <v>5.2</v>
          </cell>
          <cell r="AK5">
            <v>4.92</v>
          </cell>
        </row>
        <row r="6">
          <cell r="B6" t="str">
            <v>JAH4-65C-R4</v>
          </cell>
          <cell r="C6">
            <v>4.3</v>
          </cell>
          <cell r="D6">
            <v>6.2</v>
          </cell>
          <cell r="E6">
            <v>6.92</v>
          </cell>
          <cell r="F6">
            <v>7.33</v>
          </cell>
          <cell r="G6">
            <v>7.65</v>
          </cell>
          <cell r="H6">
            <v>7.22</v>
          </cell>
          <cell r="I6">
            <v>6</v>
          </cell>
          <cell r="J6">
            <v>5.38</v>
          </cell>
          <cell r="K6">
            <v>3.81</v>
          </cell>
          <cell r="L6">
            <v>3.7</v>
          </cell>
          <cell r="M6">
            <v>3.81</v>
          </cell>
          <cell r="N6">
            <v>6.14</v>
          </cell>
          <cell r="O6">
            <v>7.6</v>
          </cell>
          <cell r="P6">
            <v>8.81</v>
          </cell>
          <cell r="Q6">
            <v>9.1</v>
          </cell>
          <cell r="R6">
            <v>8.5399999999999991</v>
          </cell>
          <cell r="S6">
            <v>7.73</v>
          </cell>
          <cell r="T6">
            <v>5.01</v>
          </cell>
          <cell r="U6">
            <v>4.5599999999999996</v>
          </cell>
          <cell r="V6">
            <v>5.01</v>
          </cell>
          <cell r="W6">
            <v>7.73</v>
          </cell>
          <cell r="X6">
            <v>8.5399999999999991</v>
          </cell>
          <cell r="Y6">
            <v>9.1</v>
          </cell>
          <cell r="Z6">
            <v>8.81</v>
          </cell>
          <cell r="AA6">
            <v>7.6</v>
          </cell>
          <cell r="AB6">
            <v>6.14</v>
          </cell>
          <cell r="AC6">
            <v>3.81</v>
          </cell>
          <cell r="AD6">
            <v>3.7</v>
          </cell>
          <cell r="AE6">
            <v>3.81</v>
          </cell>
          <cell r="AF6">
            <v>5.38</v>
          </cell>
          <cell r="AG6">
            <v>6</v>
          </cell>
          <cell r="AH6">
            <v>7.22</v>
          </cell>
          <cell r="AI6">
            <v>7.65</v>
          </cell>
          <cell r="AJ6">
            <v>7.33</v>
          </cell>
          <cell r="AK6">
            <v>6.92</v>
          </cell>
        </row>
        <row r="7">
          <cell r="B7" t="str">
            <v>JAHH-65A-R3B</v>
          </cell>
          <cell r="C7">
            <v>2.2999999999999998</v>
          </cell>
          <cell r="D7">
            <v>3.23</v>
          </cell>
          <cell r="E7">
            <v>3.62</v>
          </cell>
          <cell r="F7">
            <v>3.83</v>
          </cell>
          <cell r="G7">
            <v>3.99</v>
          </cell>
          <cell r="H7">
            <v>3.75</v>
          </cell>
          <cell r="I7">
            <v>3.11</v>
          </cell>
          <cell r="J7">
            <v>2.78</v>
          </cell>
          <cell r="K7">
            <v>1.96</v>
          </cell>
          <cell r="L7">
            <v>1.8</v>
          </cell>
          <cell r="M7">
            <v>1.96</v>
          </cell>
          <cell r="N7">
            <v>3.17</v>
          </cell>
          <cell r="O7">
            <v>3.94</v>
          </cell>
          <cell r="P7">
            <v>4.58</v>
          </cell>
          <cell r="Q7">
            <v>4.74</v>
          </cell>
          <cell r="R7">
            <v>4.46</v>
          </cell>
          <cell r="S7">
            <v>4.04</v>
          </cell>
          <cell r="T7">
            <v>2.61</v>
          </cell>
          <cell r="U7">
            <v>2.37</v>
          </cell>
          <cell r="V7">
            <v>2.61</v>
          </cell>
          <cell r="W7">
            <v>4.04</v>
          </cell>
          <cell r="X7">
            <v>4.46</v>
          </cell>
          <cell r="Y7">
            <v>4.74</v>
          </cell>
          <cell r="Z7">
            <v>4.58</v>
          </cell>
          <cell r="AA7">
            <v>3.94</v>
          </cell>
          <cell r="AB7">
            <v>3.17</v>
          </cell>
          <cell r="AC7">
            <v>1.96</v>
          </cell>
          <cell r="AD7">
            <v>1.8</v>
          </cell>
          <cell r="AE7">
            <v>1.96</v>
          </cell>
          <cell r="AF7">
            <v>2.78</v>
          </cell>
          <cell r="AG7">
            <v>3.11</v>
          </cell>
          <cell r="AH7">
            <v>3.75</v>
          </cell>
          <cell r="AI7">
            <v>3.99</v>
          </cell>
          <cell r="AJ7">
            <v>3.83</v>
          </cell>
          <cell r="AK7">
            <v>3.62</v>
          </cell>
        </row>
        <row r="8">
          <cell r="B8" t="str">
            <v>JAHH-65B-R3B-V3</v>
          </cell>
          <cell r="C8">
            <v>3.1</v>
          </cell>
          <cell r="D8">
            <v>4.4000000000000004</v>
          </cell>
          <cell r="E8">
            <v>4.92</v>
          </cell>
          <cell r="F8">
            <v>5.2</v>
          </cell>
          <cell r="G8">
            <v>5.42</v>
          </cell>
          <cell r="H8">
            <v>5.1100000000000003</v>
          </cell>
          <cell r="I8">
            <v>4.25</v>
          </cell>
          <cell r="J8">
            <v>3.81</v>
          </cell>
          <cell r="K8">
            <v>2.7</v>
          </cell>
          <cell r="L8">
            <v>2.6</v>
          </cell>
          <cell r="M8">
            <v>2.7</v>
          </cell>
          <cell r="N8">
            <v>4.3499999999999996</v>
          </cell>
          <cell r="O8">
            <v>5.39</v>
          </cell>
          <cell r="P8">
            <v>6.24</v>
          </cell>
          <cell r="Q8">
            <v>6.45</v>
          </cell>
          <cell r="R8">
            <v>6.06</v>
          </cell>
          <cell r="S8">
            <v>5.49</v>
          </cell>
          <cell r="T8">
            <v>3.56</v>
          </cell>
          <cell r="U8">
            <v>3.23</v>
          </cell>
          <cell r="V8">
            <v>3.56</v>
          </cell>
          <cell r="W8">
            <v>5.49</v>
          </cell>
          <cell r="X8">
            <v>6.06</v>
          </cell>
          <cell r="Y8">
            <v>6.45</v>
          </cell>
          <cell r="Z8">
            <v>6.24</v>
          </cell>
          <cell r="AA8">
            <v>5.39</v>
          </cell>
          <cell r="AB8">
            <v>4.3499999999999996</v>
          </cell>
          <cell r="AC8">
            <v>2.7</v>
          </cell>
          <cell r="AD8">
            <v>2.6</v>
          </cell>
          <cell r="AE8">
            <v>2.7</v>
          </cell>
          <cell r="AF8">
            <v>3.81</v>
          </cell>
          <cell r="AG8">
            <v>4.25</v>
          </cell>
          <cell r="AH8">
            <v>5.1100000000000003</v>
          </cell>
          <cell r="AI8">
            <v>5.42</v>
          </cell>
          <cell r="AJ8">
            <v>5.2</v>
          </cell>
          <cell r="AK8">
            <v>4.92</v>
          </cell>
        </row>
        <row r="9">
          <cell r="B9" t="str">
            <v>JAHH-65C-R3B-V3</v>
          </cell>
          <cell r="C9">
            <v>4.3</v>
          </cell>
          <cell r="D9">
            <v>6.2</v>
          </cell>
          <cell r="E9">
            <v>6.92</v>
          </cell>
          <cell r="F9">
            <v>7.33</v>
          </cell>
          <cell r="G9">
            <v>7.65</v>
          </cell>
          <cell r="H9">
            <v>7.22</v>
          </cell>
          <cell r="I9">
            <v>6</v>
          </cell>
          <cell r="J9">
            <v>5.38</v>
          </cell>
          <cell r="K9">
            <v>3.81</v>
          </cell>
          <cell r="L9">
            <v>3.7</v>
          </cell>
          <cell r="M9">
            <v>3.81</v>
          </cell>
          <cell r="N9">
            <v>6.14</v>
          </cell>
          <cell r="O9">
            <v>7.6</v>
          </cell>
          <cell r="P9">
            <v>8.81</v>
          </cell>
          <cell r="Q9">
            <v>9.1</v>
          </cell>
          <cell r="R9">
            <v>8.5399999999999991</v>
          </cell>
          <cell r="S9">
            <v>7.73</v>
          </cell>
          <cell r="T9">
            <v>5.01</v>
          </cell>
          <cell r="U9">
            <v>4.5599999999999996</v>
          </cell>
          <cell r="V9">
            <v>5.01</v>
          </cell>
          <cell r="W9">
            <v>7.73</v>
          </cell>
          <cell r="X9">
            <v>8.5399999999999991</v>
          </cell>
          <cell r="Y9">
            <v>9.1</v>
          </cell>
          <cell r="Z9">
            <v>8.81</v>
          </cell>
          <cell r="AA9">
            <v>7.6</v>
          </cell>
          <cell r="AB9">
            <v>6.14</v>
          </cell>
          <cell r="AC9">
            <v>3.81</v>
          </cell>
          <cell r="AD9">
            <v>3.7</v>
          </cell>
          <cell r="AE9">
            <v>3.81</v>
          </cell>
          <cell r="AF9">
            <v>5.38</v>
          </cell>
          <cell r="AG9">
            <v>6</v>
          </cell>
          <cell r="AH9">
            <v>7.22</v>
          </cell>
          <cell r="AI9">
            <v>7.65</v>
          </cell>
          <cell r="AJ9">
            <v>7.33</v>
          </cell>
          <cell r="AK9">
            <v>6.92</v>
          </cell>
        </row>
        <row r="10">
          <cell r="B10" t="str">
            <v>JJAAH4-65A-R6</v>
          </cell>
          <cell r="C10">
            <v>5.01</v>
          </cell>
          <cell r="D10">
            <v>6.04</v>
          </cell>
          <cell r="E10">
            <v>5.54</v>
          </cell>
          <cell r="F10">
            <v>5.5634867245999589</v>
          </cell>
          <cell r="G10">
            <v>4.42</v>
          </cell>
          <cell r="H10">
            <v>4.32</v>
          </cell>
          <cell r="I10">
            <v>3.39</v>
          </cell>
          <cell r="J10">
            <v>2.4</v>
          </cell>
          <cell r="K10">
            <v>1.68</v>
          </cell>
          <cell r="L10">
            <v>1.49</v>
          </cell>
          <cell r="M10">
            <v>1.83</v>
          </cell>
          <cell r="N10">
            <v>3.53</v>
          </cell>
          <cell r="O10">
            <v>4.8899999999999997</v>
          </cell>
          <cell r="P10">
            <v>5.98</v>
          </cell>
          <cell r="Q10">
            <v>5.78</v>
          </cell>
          <cell r="R10">
            <v>5.6127211203928793</v>
          </cell>
          <cell r="S10">
            <v>4.9400000000000004</v>
          </cell>
          <cell r="T10">
            <v>3.37</v>
          </cell>
          <cell r="U10">
            <v>3.487720901599999</v>
          </cell>
          <cell r="V10">
            <v>3.37</v>
          </cell>
          <cell r="W10">
            <v>4.9400000000000004</v>
          </cell>
          <cell r="X10">
            <v>5.6127211203928793</v>
          </cell>
          <cell r="Y10">
            <v>5.78</v>
          </cell>
          <cell r="Z10">
            <v>5.98</v>
          </cell>
          <cell r="AA10">
            <v>4.8899999999999997</v>
          </cell>
          <cell r="AB10">
            <v>3.53</v>
          </cell>
          <cell r="AC10">
            <v>1.83</v>
          </cell>
          <cell r="AD10">
            <v>1.49</v>
          </cell>
          <cell r="AE10">
            <v>1.68</v>
          </cell>
          <cell r="AF10">
            <v>2.4</v>
          </cell>
          <cell r="AG10">
            <v>3.39</v>
          </cell>
          <cell r="AH10">
            <v>4.32</v>
          </cell>
          <cell r="AI10">
            <v>4.42</v>
          </cell>
          <cell r="AJ10">
            <v>5.5634867245999589</v>
          </cell>
          <cell r="AK10">
            <v>5.54</v>
          </cell>
        </row>
        <row r="11">
          <cell r="B11" t="str">
            <v>JJAAH4-65B-R6</v>
          </cell>
          <cell r="C11">
            <v>6.26</v>
          </cell>
          <cell r="D11">
            <v>7.54</v>
          </cell>
          <cell r="E11">
            <v>6.91</v>
          </cell>
          <cell r="F11">
            <v>6.95</v>
          </cell>
          <cell r="G11">
            <v>5.52</v>
          </cell>
          <cell r="H11">
            <v>5.41</v>
          </cell>
          <cell r="I11">
            <v>4.26</v>
          </cell>
          <cell r="J11">
            <v>3.03</v>
          </cell>
          <cell r="K11">
            <v>2.14</v>
          </cell>
          <cell r="L11">
            <v>1.89</v>
          </cell>
          <cell r="M11">
            <v>2.3199999999999998</v>
          </cell>
          <cell r="N11">
            <v>4.46</v>
          </cell>
          <cell r="O11">
            <v>6.14</v>
          </cell>
          <cell r="P11">
            <v>7.49</v>
          </cell>
          <cell r="Q11">
            <v>7.22</v>
          </cell>
          <cell r="R11">
            <v>7.01</v>
          </cell>
          <cell r="S11">
            <v>6.16</v>
          </cell>
          <cell r="T11">
            <v>4.21</v>
          </cell>
          <cell r="U11">
            <v>4.3600000000000003</v>
          </cell>
          <cell r="V11">
            <v>4.21</v>
          </cell>
          <cell r="W11">
            <v>6.16</v>
          </cell>
          <cell r="X11">
            <v>7.01</v>
          </cell>
          <cell r="Y11">
            <v>7.22</v>
          </cell>
          <cell r="Z11">
            <v>7.49</v>
          </cell>
          <cell r="AA11">
            <v>6.14</v>
          </cell>
          <cell r="AB11">
            <v>4.46</v>
          </cell>
          <cell r="AC11">
            <v>2.3199999999999998</v>
          </cell>
          <cell r="AD11">
            <v>1.89</v>
          </cell>
          <cell r="AE11">
            <v>2.14</v>
          </cell>
          <cell r="AF11">
            <v>3.03</v>
          </cell>
          <cell r="AG11">
            <v>4.26</v>
          </cell>
          <cell r="AH11">
            <v>5.41</v>
          </cell>
          <cell r="AI11">
            <v>5.52</v>
          </cell>
          <cell r="AJ11">
            <v>6.95</v>
          </cell>
          <cell r="AK11">
            <v>6.91</v>
          </cell>
        </row>
        <row r="12">
          <cell r="B12" t="str">
            <v>JJAAH4-65C-R6</v>
          </cell>
          <cell r="C12">
            <v>8.7100000000000009</v>
          </cell>
          <cell r="D12">
            <v>10.48</v>
          </cell>
          <cell r="E12">
            <v>9.61</v>
          </cell>
          <cell r="F12">
            <v>9.67</v>
          </cell>
          <cell r="G12">
            <v>7.7</v>
          </cell>
          <cell r="H12">
            <v>7.57</v>
          </cell>
          <cell r="I12">
            <v>5.98</v>
          </cell>
          <cell r="J12">
            <v>4.2699999999999996</v>
          </cell>
          <cell r="K12">
            <v>3.01</v>
          </cell>
          <cell r="L12">
            <v>2.7</v>
          </cell>
          <cell r="M12">
            <v>3.26</v>
          </cell>
          <cell r="N12">
            <v>6.29</v>
          </cell>
          <cell r="O12">
            <v>8.6300000000000008</v>
          </cell>
          <cell r="P12">
            <v>10.48</v>
          </cell>
          <cell r="Q12">
            <v>10.07</v>
          </cell>
          <cell r="R12">
            <v>9.75</v>
          </cell>
          <cell r="S12">
            <v>8.56</v>
          </cell>
          <cell r="T12">
            <v>5.85</v>
          </cell>
          <cell r="U12">
            <v>6.06</v>
          </cell>
          <cell r="V12">
            <v>5.85</v>
          </cell>
          <cell r="W12">
            <v>8.56</v>
          </cell>
          <cell r="X12">
            <v>9.75</v>
          </cell>
          <cell r="Y12">
            <v>10.07</v>
          </cell>
          <cell r="Z12">
            <v>10.48</v>
          </cell>
          <cell r="AA12">
            <v>8.6300000000000008</v>
          </cell>
          <cell r="AB12">
            <v>6.29</v>
          </cell>
          <cell r="AC12">
            <v>3.26</v>
          </cell>
          <cell r="AD12">
            <v>2.7</v>
          </cell>
          <cell r="AE12">
            <v>3.01</v>
          </cell>
          <cell r="AF12">
            <v>4.2699999999999996</v>
          </cell>
          <cell r="AG12">
            <v>5.98</v>
          </cell>
          <cell r="AH12">
            <v>7.57</v>
          </cell>
          <cell r="AI12">
            <v>7.7</v>
          </cell>
          <cell r="AJ12">
            <v>9.67</v>
          </cell>
          <cell r="AK12">
            <v>9.61</v>
          </cell>
        </row>
        <row r="13">
          <cell r="B13" t="str">
            <v>KVVSS-65A-R3</v>
          </cell>
          <cell r="C13">
            <v>1.7</v>
          </cell>
          <cell r="D13">
            <v>2.73</v>
          </cell>
          <cell r="E13">
            <v>3.05</v>
          </cell>
          <cell r="F13">
            <v>3.07</v>
          </cell>
          <cell r="G13">
            <v>2.96</v>
          </cell>
          <cell r="H13">
            <v>2.4500000000000002</v>
          </cell>
          <cell r="I13">
            <v>2.15</v>
          </cell>
          <cell r="J13">
            <v>1.86</v>
          </cell>
          <cell r="K13">
            <v>1.59</v>
          </cell>
          <cell r="L13">
            <v>1.4</v>
          </cell>
          <cell r="M13">
            <v>1.75</v>
          </cell>
          <cell r="N13">
            <v>1.71</v>
          </cell>
          <cell r="O13">
            <v>2.2000000000000002</v>
          </cell>
          <cell r="P13">
            <v>2.87</v>
          </cell>
          <cell r="Q13">
            <v>3.4</v>
          </cell>
          <cell r="R13">
            <v>3.31</v>
          </cell>
          <cell r="S13">
            <v>3.03</v>
          </cell>
          <cell r="T13">
            <v>2.0699999999999998</v>
          </cell>
          <cell r="U13">
            <v>1.78</v>
          </cell>
          <cell r="V13">
            <v>2.0699999999999998</v>
          </cell>
          <cell r="W13">
            <v>3.03</v>
          </cell>
          <cell r="X13">
            <v>3.31</v>
          </cell>
          <cell r="Y13">
            <v>3.4</v>
          </cell>
          <cell r="Z13">
            <v>2.87</v>
          </cell>
          <cell r="AA13">
            <v>2.2000000000000002</v>
          </cell>
          <cell r="AB13">
            <v>1.71</v>
          </cell>
          <cell r="AC13">
            <v>1.75</v>
          </cell>
          <cell r="AD13">
            <v>1.4</v>
          </cell>
          <cell r="AE13">
            <v>1.59</v>
          </cell>
          <cell r="AF13">
            <v>1.86</v>
          </cell>
          <cell r="AG13">
            <v>2.15</v>
          </cell>
          <cell r="AH13">
            <v>2.4500000000000002</v>
          </cell>
          <cell r="AI13">
            <v>2.96</v>
          </cell>
          <cell r="AJ13">
            <v>3.07</v>
          </cell>
          <cell r="AK13">
            <v>3.05</v>
          </cell>
        </row>
        <row r="14">
          <cell r="B14" t="str">
            <v>NNH4-45A-R6</v>
          </cell>
          <cell r="C14">
            <v>8</v>
          </cell>
          <cell r="D14">
            <v>7.17</v>
          </cell>
          <cell r="E14">
            <v>6.46</v>
          </cell>
          <cell r="F14">
            <v>6.37</v>
          </cell>
          <cell r="G14">
            <v>6.04</v>
          </cell>
          <cell r="H14">
            <v>5.46</v>
          </cell>
          <cell r="I14">
            <v>3.92</v>
          </cell>
          <cell r="J14">
            <v>2.74</v>
          </cell>
          <cell r="K14">
            <v>2.29</v>
          </cell>
          <cell r="L14">
            <v>1.6</v>
          </cell>
          <cell r="M14">
            <v>2.17</v>
          </cell>
          <cell r="N14">
            <v>3.59</v>
          </cell>
          <cell r="O14">
            <v>4.5</v>
          </cell>
          <cell r="P14">
            <v>5.61</v>
          </cell>
          <cell r="Q14">
            <v>5.96</v>
          </cell>
          <cell r="R14">
            <v>6.33</v>
          </cell>
          <cell r="S14">
            <v>6.46</v>
          </cell>
          <cell r="T14">
            <v>6.95</v>
          </cell>
          <cell r="U14">
            <v>7</v>
          </cell>
          <cell r="V14">
            <v>6.95</v>
          </cell>
          <cell r="W14">
            <v>6.46</v>
          </cell>
          <cell r="X14">
            <v>6.33</v>
          </cell>
          <cell r="Y14">
            <v>5.96</v>
          </cell>
          <cell r="Z14">
            <v>5.61</v>
          </cell>
          <cell r="AA14">
            <v>4.5</v>
          </cell>
          <cell r="AB14">
            <v>3.59</v>
          </cell>
          <cell r="AC14">
            <v>2.17</v>
          </cell>
          <cell r="AD14">
            <v>1.6</v>
          </cell>
          <cell r="AE14">
            <v>2.29</v>
          </cell>
          <cell r="AF14">
            <v>2.74</v>
          </cell>
          <cell r="AG14">
            <v>3.92</v>
          </cell>
          <cell r="AH14">
            <v>5.46</v>
          </cell>
          <cell r="AI14">
            <v>6.04</v>
          </cell>
          <cell r="AJ14">
            <v>6.37</v>
          </cell>
          <cell r="AK14">
            <v>6.46</v>
          </cell>
        </row>
        <row r="15">
          <cell r="B15" t="str">
            <v>NNH4-45B-R6</v>
          </cell>
          <cell r="C15">
            <v>10.9</v>
          </cell>
          <cell r="D15">
            <v>9.7899999999999991</v>
          </cell>
          <cell r="E15">
            <v>8.83</v>
          </cell>
          <cell r="F15">
            <v>8.7100000000000009</v>
          </cell>
          <cell r="G15">
            <v>8.2799999999999994</v>
          </cell>
          <cell r="H15">
            <v>7.49</v>
          </cell>
          <cell r="I15">
            <v>5.4</v>
          </cell>
          <cell r="J15">
            <v>3.8</v>
          </cell>
          <cell r="K15">
            <v>3.2</v>
          </cell>
          <cell r="L15">
            <v>2.25</v>
          </cell>
          <cell r="M15">
            <v>3.03</v>
          </cell>
          <cell r="N15">
            <v>4.9800000000000004</v>
          </cell>
          <cell r="O15">
            <v>6.2</v>
          </cell>
          <cell r="P15">
            <v>7.7</v>
          </cell>
          <cell r="Q15">
            <v>8.16</v>
          </cell>
          <cell r="R15">
            <v>8.65</v>
          </cell>
          <cell r="S15">
            <v>8.83</v>
          </cell>
          <cell r="T15">
            <v>9.5</v>
          </cell>
          <cell r="U15">
            <v>9.57</v>
          </cell>
          <cell r="V15">
            <v>9.5</v>
          </cell>
          <cell r="W15">
            <v>8.83</v>
          </cell>
          <cell r="X15">
            <v>8.65</v>
          </cell>
          <cell r="Y15">
            <v>8.16</v>
          </cell>
          <cell r="Z15">
            <v>7.7</v>
          </cell>
          <cell r="AA15">
            <v>6.2</v>
          </cell>
          <cell r="AB15">
            <v>4.9800000000000004</v>
          </cell>
          <cell r="AC15">
            <v>3.03</v>
          </cell>
          <cell r="AD15">
            <v>2.25</v>
          </cell>
          <cell r="AE15">
            <v>3.2</v>
          </cell>
          <cell r="AF15">
            <v>3.8</v>
          </cell>
          <cell r="AG15">
            <v>5.4</v>
          </cell>
          <cell r="AH15">
            <v>7.49</v>
          </cell>
          <cell r="AI15">
            <v>8.2799999999999994</v>
          </cell>
          <cell r="AJ15">
            <v>8.7100000000000009</v>
          </cell>
          <cell r="AK15">
            <v>8.83</v>
          </cell>
        </row>
        <row r="16">
          <cell r="B16" t="str">
            <v>NNH4-65A-R6</v>
          </cell>
          <cell r="C16">
            <v>5.2</v>
          </cell>
          <cell r="D16">
            <v>6.35</v>
          </cell>
          <cell r="E16">
            <v>6.68</v>
          </cell>
          <cell r="F16">
            <v>6.3</v>
          </cell>
          <cell r="G16">
            <v>5.79</v>
          </cell>
          <cell r="H16">
            <v>5.0999999999999996</v>
          </cell>
          <cell r="I16">
            <v>3.83</v>
          </cell>
          <cell r="J16">
            <v>3.14</v>
          </cell>
          <cell r="K16">
            <v>2.2599999999999998</v>
          </cell>
          <cell r="L16">
            <v>1.7</v>
          </cell>
          <cell r="M16">
            <v>1.95</v>
          </cell>
          <cell r="N16">
            <v>3.93</v>
          </cell>
          <cell r="O16">
            <v>4.8099999999999996</v>
          </cell>
          <cell r="P16">
            <v>5.87</v>
          </cell>
          <cell r="Q16">
            <v>5.88</v>
          </cell>
          <cell r="R16">
            <v>6.12</v>
          </cell>
          <cell r="S16">
            <v>6.07</v>
          </cell>
          <cell r="T16">
            <v>5.65</v>
          </cell>
          <cell r="U16">
            <v>4.2</v>
          </cell>
          <cell r="V16">
            <v>5.65</v>
          </cell>
          <cell r="W16">
            <v>6.07</v>
          </cell>
          <cell r="X16">
            <v>6.12</v>
          </cell>
          <cell r="Y16">
            <v>5.88</v>
          </cell>
          <cell r="Z16">
            <v>5.87</v>
          </cell>
          <cell r="AA16">
            <v>4.8099999999999996</v>
          </cell>
          <cell r="AB16">
            <v>3.93</v>
          </cell>
          <cell r="AC16">
            <v>1.95</v>
          </cell>
          <cell r="AD16">
            <v>1.7</v>
          </cell>
          <cell r="AE16">
            <v>2.2599999999999998</v>
          </cell>
          <cell r="AF16">
            <v>3.14</v>
          </cell>
          <cell r="AG16">
            <v>3.83</v>
          </cell>
          <cell r="AH16">
            <v>5.0999999999999996</v>
          </cell>
          <cell r="AI16">
            <v>5.79</v>
          </cell>
          <cell r="AJ16">
            <v>6.3</v>
          </cell>
          <cell r="AK16">
            <v>6.68</v>
          </cell>
        </row>
        <row r="17">
          <cell r="B17" t="str">
            <v>NNH4-65A-R6D</v>
          </cell>
          <cell r="C17">
            <v>5.01</v>
          </cell>
          <cell r="D17">
            <v>6.04</v>
          </cell>
          <cell r="E17">
            <v>5.54</v>
          </cell>
          <cell r="F17">
            <v>5.5634867245999589</v>
          </cell>
          <cell r="G17">
            <v>4.42</v>
          </cell>
          <cell r="H17">
            <v>4.32</v>
          </cell>
          <cell r="I17">
            <v>3.39</v>
          </cell>
          <cell r="J17">
            <v>2.4</v>
          </cell>
          <cell r="K17">
            <v>1.68</v>
          </cell>
          <cell r="L17">
            <v>1.49</v>
          </cell>
          <cell r="M17">
            <v>1.83</v>
          </cell>
          <cell r="N17">
            <v>3.53</v>
          </cell>
          <cell r="O17">
            <v>4.8899999999999997</v>
          </cell>
          <cell r="P17">
            <v>5.98</v>
          </cell>
          <cell r="Q17">
            <v>5.78</v>
          </cell>
          <cell r="R17">
            <v>5.6127211203928793</v>
          </cell>
          <cell r="S17">
            <v>4.9400000000000004</v>
          </cell>
          <cell r="T17">
            <v>3.37</v>
          </cell>
          <cell r="U17">
            <v>3.487720901599999</v>
          </cell>
          <cell r="V17">
            <v>3.37</v>
          </cell>
          <cell r="W17">
            <v>4.9400000000000004</v>
          </cell>
          <cell r="X17">
            <v>5.6127211203928793</v>
          </cell>
          <cell r="Y17">
            <v>5.78</v>
          </cell>
          <cell r="Z17">
            <v>5.98</v>
          </cell>
          <cell r="AA17">
            <v>4.8899999999999997</v>
          </cell>
          <cell r="AB17">
            <v>3.53</v>
          </cell>
          <cell r="AC17">
            <v>1.83</v>
          </cell>
          <cell r="AD17">
            <v>1.49</v>
          </cell>
          <cell r="AE17">
            <v>1.68</v>
          </cell>
          <cell r="AF17">
            <v>2.4</v>
          </cell>
          <cell r="AG17">
            <v>3.39</v>
          </cell>
          <cell r="AH17">
            <v>4.32</v>
          </cell>
          <cell r="AI17">
            <v>4.42</v>
          </cell>
          <cell r="AJ17">
            <v>5.5634867245999589</v>
          </cell>
          <cell r="AK17">
            <v>5.54</v>
          </cell>
        </row>
        <row r="18">
          <cell r="B18" t="str">
            <v>NNH4-65A-R6H4</v>
          </cell>
          <cell r="C18">
            <v>5.6</v>
          </cell>
          <cell r="D18">
            <v>6.84</v>
          </cell>
          <cell r="E18">
            <v>7.2</v>
          </cell>
          <cell r="F18">
            <v>6.8</v>
          </cell>
          <cell r="G18">
            <v>6.25</v>
          </cell>
          <cell r="H18">
            <v>5.5</v>
          </cell>
          <cell r="I18">
            <v>4.1399999999999997</v>
          </cell>
          <cell r="J18">
            <v>3.4</v>
          </cell>
          <cell r="K18">
            <v>2.4500000000000002</v>
          </cell>
          <cell r="L18">
            <v>1.8</v>
          </cell>
          <cell r="M18">
            <v>2.11</v>
          </cell>
          <cell r="N18">
            <v>4.25</v>
          </cell>
          <cell r="O18">
            <v>5.2</v>
          </cell>
          <cell r="P18">
            <v>6.33</v>
          </cell>
          <cell r="Q18">
            <v>6.34</v>
          </cell>
          <cell r="R18">
            <v>6.6</v>
          </cell>
          <cell r="S18">
            <v>6.55</v>
          </cell>
          <cell r="T18">
            <v>6.09</v>
          </cell>
          <cell r="U18">
            <v>4.5999999999999996</v>
          </cell>
          <cell r="V18">
            <v>6.09</v>
          </cell>
          <cell r="W18">
            <v>6.55</v>
          </cell>
          <cell r="X18">
            <v>6.6</v>
          </cell>
          <cell r="Y18">
            <v>6.34</v>
          </cell>
          <cell r="Z18">
            <v>6.33</v>
          </cell>
          <cell r="AA18">
            <v>5.2</v>
          </cell>
          <cell r="AB18">
            <v>4.25</v>
          </cell>
          <cell r="AC18">
            <v>2.11</v>
          </cell>
          <cell r="AD18">
            <v>1.8</v>
          </cell>
          <cell r="AE18">
            <v>2.4500000000000002</v>
          </cell>
          <cell r="AF18">
            <v>3.4</v>
          </cell>
          <cell r="AG18">
            <v>4.1399999999999997</v>
          </cell>
          <cell r="AH18">
            <v>5.5</v>
          </cell>
          <cell r="AI18">
            <v>6.25</v>
          </cell>
          <cell r="AJ18">
            <v>6.8</v>
          </cell>
          <cell r="AK18">
            <v>7.2</v>
          </cell>
        </row>
        <row r="19">
          <cell r="B19" t="str">
            <v>NNH4-65B-R6</v>
          </cell>
          <cell r="C19">
            <v>6.93</v>
          </cell>
          <cell r="D19">
            <v>8.5399999999999991</v>
          </cell>
          <cell r="E19">
            <v>8.99</v>
          </cell>
          <cell r="F19">
            <v>8.48</v>
          </cell>
          <cell r="G19">
            <v>7.81</v>
          </cell>
          <cell r="H19">
            <v>6.89</v>
          </cell>
          <cell r="I19">
            <v>5.2</v>
          </cell>
          <cell r="J19">
            <v>4.28</v>
          </cell>
          <cell r="K19">
            <v>3.12</v>
          </cell>
          <cell r="L19">
            <v>2.4</v>
          </cell>
          <cell r="M19">
            <v>2.68</v>
          </cell>
          <cell r="N19">
            <v>5.37</v>
          </cell>
          <cell r="O19">
            <v>6.53</v>
          </cell>
          <cell r="P19">
            <v>7.93</v>
          </cell>
          <cell r="Q19">
            <v>7.93</v>
          </cell>
          <cell r="R19">
            <v>8.24</v>
          </cell>
          <cell r="S19">
            <v>8.17</v>
          </cell>
          <cell r="T19">
            <v>7.6</v>
          </cell>
          <cell r="U19">
            <v>5.69</v>
          </cell>
          <cell r="V19">
            <v>7.6</v>
          </cell>
          <cell r="W19">
            <v>8.17</v>
          </cell>
          <cell r="X19">
            <v>8.24</v>
          </cell>
          <cell r="Y19">
            <v>7.93</v>
          </cell>
          <cell r="Z19">
            <v>7.93</v>
          </cell>
          <cell r="AA19">
            <v>6.53</v>
          </cell>
          <cell r="AB19">
            <v>5.37</v>
          </cell>
          <cell r="AC19">
            <v>2.68</v>
          </cell>
          <cell r="AD19">
            <v>2.4</v>
          </cell>
          <cell r="AE19">
            <v>3.12</v>
          </cell>
          <cell r="AF19">
            <v>4.28</v>
          </cell>
          <cell r="AG19">
            <v>5.2</v>
          </cell>
          <cell r="AH19">
            <v>6.89</v>
          </cell>
          <cell r="AI19">
            <v>7.81</v>
          </cell>
          <cell r="AJ19">
            <v>8.48</v>
          </cell>
          <cell r="AK19">
            <v>8.99</v>
          </cell>
        </row>
        <row r="20">
          <cell r="B20" t="str">
            <v>NNH4-65B-R6H4</v>
          </cell>
          <cell r="C20">
            <v>6.93</v>
          </cell>
          <cell r="D20">
            <v>8.5399999999999991</v>
          </cell>
          <cell r="E20">
            <v>8.99</v>
          </cell>
          <cell r="F20">
            <v>8.48</v>
          </cell>
          <cell r="G20">
            <v>7.81</v>
          </cell>
          <cell r="H20">
            <v>6.89</v>
          </cell>
          <cell r="I20">
            <v>5.2</v>
          </cell>
          <cell r="J20">
            <v>4.28</v>
          </cell>
          <cell r="K20">
            <v>3.12</v>
          </cell>
          <cell r="L20">
            <v>2.4</v>
          </cell>
          <cell r="M20">
            <v>2.68</v>
          </cell>
          <cell r="N20">
            <v>5.37</v>
          </cell>
          <cell r="O20">
            <v>6.53</v>
          </cell>
          <cell r="P20">
            <v>7.93</v>
          </cell>
          <cell r="Q20">
            <v>7.93</v>
          </cell>
          <cell r="R20">
            <v>8.24</v>
          </cell>
          <cell r="S20">
            <v>8.17</v>
          </cell>
          <cell r="T20">
            <v>7.6</v>
          </cell>
          <cell r="U20">
            <v>5.69</v>
          </cell>
          <cell r="V20">
            <v>7.6</v>
          </cell>
          <cell r="W20">
            <v>8.17</v>
          </cell>
          <cell r="X20">
            <v>8.24</v>
          </cell>
          <cell r="Y20">
            <v>7.93</v>
          </cell>
          <cell r="Z20">
            <v>7.93</v>
          </cell>
          <cell r="AA20">
            <v>6.53</v>
          </cell>
          <cell r="AB20">
            <v>5.37</v>
          </cell>
          <cell r="AC20">
            <v>2.68</v>
          </cell>
          <cell r="AD20">
            <v>2.4</v>
          </cell>
          <cell r="AE20">
            <v>3.12</v>
          </cell>
          <cell r="AF20">
            <v>4.28</v>
          </cell>
          <cell r="AG20">
            <v>5.2</v>
          </cell>
          <cell r="AH20">
            <v>6.89</v>
          </cell>
          <cell r="AI20">
            <v>7.81</v>
          </cell>
          <cell r="AJ20">
            <v>8.48</v>
          </cell>
          <cell r="AK20">
            <v>8.99</v>
          </cell>
        </row>
        <row r="21">
          <cell r="B21" t="str">
            <v>NNH4-65B-R6N17</v>
          </cell>
          <cell r="C21">
            <v>4.7</v>
          </cell>
          <cell r="D21">
            <v>7.32</v>
          </cell>
          <cell r="E21">
            <v>7.71</v>
          </cell>
          <cell r="F21">
            <v>7.43</v>
          </cell>
          <cell r="G21">
            <v>6.67</v>
          </cell>
          <cell r="H21">
            <v>6.18</v>
          </cell>
          <cell r="I21">
            <v>4.83</v>
          </cell>
          <cell r="J21">
            <v>3.84</v>
          </cell>
          <cell r="K21">
            <v>3</v>
          </cell>
          <cell r="L21">
            <v>2.5</v>
          </cell>
          <cell r="M21">
            <v>2.54</v>
          </cell>
          <cell r="N21">
            <v>5</v>
          </cell>
          <cell r="O21">
            <v>5.8</v>
          </cell>
          <cell r="P21">
            <v>7.14</v>
          </cell>
          <cell r="Q21">
            <v>7.1</v>
          </cell>
          <cell r="R21">
            <v>7.09</v>
          </cell>
          <cell r="S21">
            <v>6.8</v>
          </cell>
          <cell r="T21">
            <v>4.7300000000000004</v>
          </cell>
          <cell r="U21">
            <v>4.49</v>
          </cell>
          <cell r="V21">
            <v>4.7300000000000004</v>
          </cell>
          <cell r="W21">
            <v>6.8</v>
          </cell>
          <cell r="X21">
            <v>7.09</v>
          </cell>
          <cell r="Y21">
            <v>7.1</v>
          </cell>
          <cell r="Z21">
            <v>7.14</v>
          </cell>
          <cell r="AA21">
            <v>5.8</v>
          </cell>
          <cell r="AB21">
            <v>5</v>
          </cell>
          <cell r="AC21">
            <v>2.54</v>
          </cell>
          <cell r="AD21">
            <v>2.5</v>
          </cell>
          <cell r="AE21">
            <v>3</v>
          </cell>
          <cell r="AF21">
            <v>3.84</v>
          </cell>
          <cell r="AG21">
            <v>4.83</v>
          </cell>
          <cell r="AH21">
            <v>6.18</v>
          </cell>
          <cell r="AI21">
            <v>6.67</v>
          </cell>
          <cell r="AJ21">
            <v>7.43</v>
          </cell>
          <cell r="AK21">
            <v>7.71</v>
          </cell>
        </row>
        <row r="22">
          <cell r="B22" t="str">
            <v>NNH4-65B-R8D</v>
          </cell>
          <cell r="C22">
            <v>6.26</v>
          </cell>
          <cell r="D22">
            <v>7.54</v>
          </cell>
          <cell r="E22">
            <v>6.91</v>
          </cell>
          <cell r="F22">
            <v>6.95</v>
          </cell>
          <cell r="G22">
            <v>5.52</v>
          </cell>
          <cell r="H22">
            <v>5.41</v>
          </cell>
          <cell r="I22">
            <v>4.26</v>
          </cell>
          <cell r="J22">
            <v>3.03</v>
          </cell>
          <cell r="K22">
            <v>2.14</v>
          </cell>
          <cell r="L22">
            <v>1.89</v>
          </cell>
          <cell r="M22">
            <v>2.3199999999999998</v>
          </cell>
          <cell r="N22">
            <v>4.46</v>
          </cell>
          <cell r="O22">
            <v>6.14</v>
          </cell>
          <cell r="P22">
            <v>7.49</v>
          </cell>
          <cell r="Q22">
            <v>7.22</v>
          </cell>
          <cell r="R22">
            <v>7.01</v>
          </cell>
          <cell r="S22">
            <v>6.16</v>
          </cell>
          <cell r="T22">
            <v>4.21</v>
          </cell>
          <cell r="U22">
            <v>4.3600000000000003</v>
          </cell>
          <cell r="V22">
            <v>4.21</v>
          </cell>
          <cell r="W22">
            <v>6.16</v>
          </cell>
          <cell r="X22">
            <v>7.01</v>
          </cell>
          <cell r="Y22">
            <v>7.22</v>
          </cell>
          <cell r="Z22">
            <v>7.49</v>
          </cell>
          <cell r="AA22">
            <v>6.14</v>
          </cell>
          <cell r="AB22">
            <v>4.46</v>
          </cell>
          <cell r="AC22">
            <v>2.3199999999999998</v>
          </cell>
          <cell r="AD22">
            <v>1.89</v>
          </cell>
          <cell r="AE22">
            <v>2.14</v>
          </cell>
          <cell r="AF22">
            <v>3.03</v>
          </cell>
          <cell r="AG22">
            <v>4.26</v>
          </cell>
          <cell r="AH22">
            <v>5.41</v>
          </cell>
          <cell r="AI22">
            <v>5.52</v>
          </cell>
          <cell r="AJ22">
            <v>6.95</v>
          </cell>
          <cell r="AK22">
            <v>6.91</v>
          </cell>
        </row>
        <row r="23">
          <cell r="B23" t="str">
            <v>NNH4-65C-R6</v>
          </cell>
          <cell r="C23">
            <v>9.65</v>
          </cell>
          <cell r="D23">
            <v>11.88</v>
          </cell>
          <cell r="E23">
            <v>12.5</v>
          </cell>
          <cell r="F23">
            <v>11.81</v>
          </cell>
          <cell r="G23">
            <v>10.89</v>
          </cell>
          <cell r="H23">
            <v>9.64</v>
          </cell>
          <cell r="I23">
            <v>7.3</v>
          </cell>
          <cell r="J23">
            <v>6.05</v>
          </cell>
          <cell r="K23">
            <v>4.3899999999999997</v>
          </cell>
          <cell r="L23">
            <v>3.35</v>
          </cell>
          <cell r="M23">
            <v>3.77</v>
          </cell>
          <cell r="N23">
            <v>7.57</v>
          </cell>
          <cell r="O23">
            <v>9.18</v>
          </cell>
          <cell r="P23">
            <v>11.09</v>
          </cell>
          <cell r="Q23">
            <v>11.06</v>
          </cell>
          <cell r="R23">
            <v>11.46</v>
          </cell>
          <cell r="S23">
            <v>11.36</v>
          </cell>
          <cell r="T23">
            <v>10.57</v>
          </cell>
          <cell r="U23">
            <v>7.94</v>
          </cell>
          <cell r="V23">
            <v>10.57</v>
          </cell>
          <cell r="W23">
            <v>11.36</v>
          </cell>
          <cell r="X23">
            <v>11.46</v>
          </cell>
          <cell r="Y23">
            <v>11.06</v>
          </cell>
          <cell r="Z23">
            <v>11.09</v>
          </cell>
          <cell r="AA23">
            <v>9.18</v>
          </cell>
          <cell r="AB23">
            <v>7.57</v>
          </cell>
          <cell r="AC23">
            <v>3.77</v>
          </cell>
          <cell r="AD23">
            <v>3.35</v>
          </cell>
          <cell r="AE23">
            <v>4.3899999999999997</v>
          </cell>
          <cell r="AF23">
            <v>6.05</v>
          </cell>
          <cell r="AG23">
            <v>7.3</v>
          </cell>
          <cell r="AH23">
            <v>9.64</v>
          </cell>
          <cell r="AI23">
            <v>10.89</v>
          </cell>
          <cell r="AJ23">
            <v>11.81</v>
          </cell>
          <cell r="AK23">
            <v>12.5</v>
          </cell>
        </row>
        <row r="24">
          <cell r="B24" t="str">
            <v>NNH4-65C-R6H4</v>
          </cell>
          <cell r="C24">
            <v>9.65</v>
          </cell>
          <cell r="D24">
            <v>11.88</v>
          </cell>
          <cell r="E24">
            <v>12.5</v>
          </cell>
          <cell r="F24">
            <v>11.81</v>
          </cell>
          <cell r="G24">
            <v>10.89</v>
          </cell>
          <cell r="H24">
            <v>9.64</v>
          </cell>
          <cell r="I24">
            <v>7.3</v>
          </cell>
          <cell r="J24">
            <v>6.05</v>
          </cell>
          <cell r="K24">
            <v>4.3899999999999997</v>
          </cell>
          <cell r="L24">
            <v>3.35</v>
          </cell>
          <cell r="M24">
            <v>3.77</v>
          </cell>
          <cell r="N24">
            <v>7.57</v>
          </cell>
          <cell r="O24">
            <v>9.18</v>
          </cell>
          <cell r="P24">
            <v>11.09</v>
          </cell>
          <cell r="Q24">
            <v>11.06</v>
          </cell>
          <cell r="R24">
            <v>11.46</v>
          </cell>
          <cell r="S24">
            <v>11.36</v>
          </cell>
          <cell r="T24">
            <v>10.57</v>
          </cell>
          <cell r="U24">
            <v>7.94</v>
          </cell>
          <cell r="V24">
            <v>10.57</v>
          </cell>
          <cell r="W24">
            <v>11.36</v>
          </cell>
          <cell r="X24">
            <v>11.46</v>
          </cell>
          <cell r="Y24">
            <v>11.06</v>
          </cell>
          <cell r="Z24">
            <v>11.09</v>
          </cell>
          <cell r="AA24">
            <v>9.18</v>
          </cell>
          <cell r="AB24">
            <v>7.57</v>
          </cell>
          <cell r="AC24">
            <v>3.77</v>
          </cell>
          <cell r="AD24">
            <v>3.35</v>
          </cell>
          <cell r="AE24">
            <v>4.3899999999999997</v>
          </cell>
          <cell r="AF24">
            <v>6.05</v>
          </cell>
          <cell r="AG24">
            <v>7.3</v>
          </cell>
          <cell r="AH24">
            <v>9.64</v>
          </cell>
          <cell r="AI24">
            <v>10.89</v>
          </cell>
          <cell r="AJ24">
            <v>11.81</v>
          </cell>
          <cell r="AK24">
            <v>12.5</v>
          </cell>
        </row>
        <row r="25">
          <cell r="B25" t="str">
            <v>NNH4-65C-R6-HG</v>
          </cell>
          <cell r="C25">
            <v>10.7</v>
          </cell>
          <cell r="D25">
            <v>13.79</v>
          </cell>
          <cell r="E25">
            <v>14.17</v>
          </cell>
          <cell r="F25">
            <v>14.02</v>
          </cell>
          <cell r="G25">
            <v>13.03</v>
          </cell>
          <cell r="H25">
            <v>12.35</v>
          </cell>
          <cell r="I25">
            <v>10.28</v>
          </cell>
          <cell r="J25">
            <v>6.84</v>
          </cell>
          <cell r="K25">
            <v>3.74</v>
          </cell>
          <cell r="L25">
            <v>3.6</v>
          </cell>
          <cell r="M25">
            <v>3.44</v>
          </cell>
          <cell r="N25">
            <v>5.9</v>
          </cell>
          <cell r="O25">
            <v>11.44</v>
          </cell>
          <cell r="P25">
            <v>12.17</v>
          </cell>
          <cell r="Q25">
            <v>13.23</v>
          </cell>
          <cell r="R25">
            <v>10.67</v>
          </cell>
          <cell r="S25">
            <v>14.49</v>
          </cell>
          <cell r="T25">
            <v>14.33</v>
          </cell>
          <cell r="U25">
            <v>10.98</v>
          </cell>
          <cell r="V25">
            <v>14.33</v>
          </cell>
          <cell r="W25">
            <v>14.49</v>
          </cell>
          <cell r="X25">
            <v>10.67</v>
          </cell>
          <cell r="Y25">
            <v>13.23</v>
          </cell>
          <cell r="Z25">
            <v>12.17</v>
          </cell>
          <cell r="AA25">
            <v>11.44</v>
          </cell>
          <cell r="AB25">
            <v>5.9</v>
          </cell>
          <cell r="AC25">
            <v>3.44</v>
          </cell>
          <cell r="AD25">
            <v>3.6</v>
          </cell>
          <cell r="AE25">
            <v>3.74</v>
          </cell>
          <cell r="AF25">
            <v>6.84</v>
          </cell>
          <cell r="AG25">
            <v>10.28</v>
          </cell>
          <cell r="AH25">
            <v>12.35</v>
          </cell>
          <cell r="AI25">
            <v>13.03</v>
          </cell>
          <cell r="AJ25">
            <v>14.02</v>
          </cell>
          <cell r="AK25">
            <v>14.17</v>
          </cell>
        </row>
        <row r="26">
          <cell r="B26" t="str">
            <v>NNH4-65C-R6N17</v>
          </cell>
          <cell r="C26">
            <v>6.6</v>
          </cell>
          <cell r="D26">
            <v>10.11</v>
          </cell>
          <cell r="E26">
            <v>10.64</v>
          </cell>
          <cell r="F26">
            <v>10.26</v>
          </cell>
          <cell r="G26">
            <v>9.23</v>
          </cell>
          <cell r="H26">
            <v>8.57</v>
          </cell>
          <cell r="I26">
            <v>6.73</v>
          </cell>
          <cell r="J26">
            <v>5.35</v>
          </cell>
          <cell r="K26">
            <v>4.18</v>
          </cell>
          <cell r="L26">
            <v>3.4</v>
          </cell>
          <cell r="M26">
            <v>3.54</v>
          </cell>
          <cell r="N26">
            <v>6.96</v>
          </cell>
          <cell r="O26">
            <v>8.09</v>
          </cell>
          <cell r="P26">
            <v>9.9</v>
          </cell>
          <cell r="Q26">
            <v>9.83</v>
          </cell>
          <cell r="R26">
            <v>9.8000000000000007</v>
          </cell>
          <cell r="S26">
            <v>9.39</v>
          </cell>
          <cell r="T26">
            <v>6.53</v>
          </cell>
          <cell r="U26">
            <v>6.2</v>
          </cell>
          <cell r="V26">
            <v>6.53</v>
          </cell>
          <cell r="W26">
            <v>9.39</v>
          </cell>
          <cell r="X26">
            <v>9.8000000000000007</v>
          </cell>
          <cell r="Y26">
            <v>9.83</v>
          </cell>
          <cell r="Z26">
            <v>9.9</v>
          </cell>
          <cell r="AA26">
            <v>8.09</v>
          </cell>
          <cell r="AB26">
            <v>6.96</v>
          </cell>
          <cell r="AC26">
            <v>3.54</v>
          </cell>
          <cell r="AD26">
            <v>3.4</v>
          </cell>
          <cell r="AE26">
            <v>4.18</v>
          </cell>
          <cell r="AF26">
            <v>5.35</v>
          </cell>
          <cell r="AG26">
            <v>6.73</v>
          </cell>
          <cell r="AH26">
            <v>8.57</v>
          </cell>
          <cell r="AI26">
            <v>9.23</v>
          </cell>
          <cell r="AJ26">
            <v>10.26</v>
          </cell>
          <cell r="AK26">
            <v>10.64</v>
          </cell>
        </row>
        <row r="27">
          <cell r="B27" t="str">
            <v>NNH4-65C-R6-V3</v>
          </cell>
          <cell r="C27">
            <v>9.65</v>
          </cell>
          <cell r="D27">
            <v>11.88</v>
          </cell>
          <cell r="E27">
            <v>12.5</v>
          </cell>
          <cell r="F27">
            <v>11.81</v>
          </cell>
          <cell r="G27">
            <v>10.89</v>
          </cell>
          <cell r="H27">
            <v>9.64</v>
          </cell>
          <cell r="I27">
            <v>7.3</v>
          </cell>
          <cell r="J27">
            <v>6.05</v>
          </cell>
          <cell r="K27">
            <v>4.3899999999999997</v>
          </cell>
          <cell r="L27">
            <v>3.35</v>
          </cell>
          <cell r="M27">
            <v>3.77</v>
          </cell>
          <cell r="N27">
            <v>7.57</v>
          </cell>
          <cell r="O27">
            <v>9.18</v>
          </cell>
          <cell r="P27">
            <v>11.09</v>
          </cell>
          <cell r="Q27">
            <v>11.06</v>
          </cell>
          <cell r="R27">
            <v>11.46</v>
          </cell>
          <cell r="S27">
            <v>11.36</v>
          </cell>
          <cell r="T27">
            <v>10.57</v>
          </cell>
          <cell r="U27">
            <v>7.94</v>
          </cell>
          <cell r="V27">
            <v>10.57</v>
          </cell>
          <cell r="W27">
            <v>11.36</v>
          </cell>
          <cell r="X27">
            <v>11.46</v>
          </cell>
          <cell r="Y27">
            <v>11.06</v>
          </cell>
          <cell r="Z27">
            <v>11.09</v>
          </cell>
          <cell r="AA27">
            <v>9.18</v>
          </cell>
          <cell r="AB27">
            <v>7.57</v>
          </cell>
          <cell r="AC27">
            <v>3.77</v>
          </cell>
          <cell r="AD27">
            <v>3.35</v>
          </cell>
          <cell r="AE27">
            <v>4.3899999999999997</v>
          </cell>
          <cell r="AF27">
            <v>6.05</v>
          </cell>
          <cell r="AG27">
            <v>7.3</v>
          </cell>
          <cell r="AH27">
            <v>9.64</v>
          </cell>
          <cell r="AI27">
            <v>10.89</v>
          </cell>
          <cell r="AJ27">
            <v>11.81</v>
          </cell>
          <cell r="AK27">
            <v>12.5</v>
          </cell>
        </row>
        <row r="28">
          <cell r="B28" t="str">
            <v>NNH4-65C-R8D</v>
          </cell>
          <cell r="C28">
            <v>9.65</v>
          </cell>
          <cell r="D28">
            <v>11.88</v>
          </cell>
          <cell r="E28">
            <v>12.5</v>
          </cell>
          <cell r="F28">
            <v>11.81</v>
          </cell>
          <cell r="G28">
            <v>10.89</v>
          </cell>
          <cell r="H28">
            <v>9.64</v>
          </cell>
          <cell r="I28">
            <v>7.3</v>
          </cell>
          <cell r="J28">
            <v>6.05</v>
          </cell>
          <cell r="K28">
            <v>4.3899999999999997</v>
          </cell>
          <cell r="L28">
            <v>3.35</v>
          </cell>
          <cell r="M28">
            <v>3.77</v>
          </cell>
          <cell r="N28">
            <v>7.57</v>
          </cell>
          <cell r="O28">
            <v>9.18</v>
          </cell>
          <cell r="P28">
            <v>11.09</v>
          </cell>
          <cell r="Q28">
            <v>11.06</v>
          </cell>
          <cell r="R28">
            <v>11.46</v>
          </cell>
          <cell r="S28">
            <v>11.36</v>
          </cell>
          <cell r="T28">
            <v>10.57</v>
          </cell>
          <cell r="U28">
            <v>7.94</v>
          </cell>
          <cell r="V28">
            <v>10.57</v>
          </cell>
          <cell r="W28">
            <v>11.36</v>
          </cell>
          <cell r="X28">
            <v>11.46</v>
          </cell>
          <cell r="Y28">
            <v>11.06</v>
          </cell>
          <cell r="Z28">
            <v>11.09</v>
          </cell>
          <cell r="AA28">
            <v>9.18</v>
          </cell>
          <cell r="AB28">
            <v>7.57</v>
          </cell>
          <cell r="AC28">
            <v>3.77</v>
          </cell>
          <cell r="AD28">
            <v>3.35</v>
          </cell>
          <cell r="AE28">
            <v>4.3899999999999997</v>
          </cell>
          <cell r="AF28">
            <v>6.05</v>
          </cell>
          <cell r="AG28">
            <v>7.3</v>
          </cell>
          <cell r="AH28">
            <v>9.64</v>
          </cell>
          <cell r="AI28">
            <v>10.89</v>
          </cell>
          <cell r="AJ28">
            <v>11.81</v>
          </cell>
          <cell r="AK28">
            <v>12.5</v>
          </cell>
        </row>
        <row r="29">
          <cell r="B29" t="str">
            <v>NNH4-65D-R6</v>
          </cell>
          <cell r="C29">
            <v>10.82</v>
          </cell>
          <cell r="D29">
            <v>13.31</v>
          </cell>
          <cell r="E29">
            <v>14.01</v>
          </cell>
          <cell r="F29">
            <v>13.24</v>
          </cell>
          <cell r="G29">
            <v>12.22</v>
          </cell>
          <cell r="H29">
            <v>10.83</v>
          </cell>
          <cell r="I29">
            <v>8.2200000000000006</v>
          </cell>
          <cell r="J29">
            <v>6.79</v>
          </cell>
          <cell r="K29">
            <v>4.9400000000000004</v>
          </cell>
          <cell r="L29">
            <v>3.79</v>
          </cell>
          <cell r="M29">
            <v>4.25</v>
          </cell>
          <cell r="N29">
            <v>8.5</v>
          </cell>
          <cell r="O29">
            <v>10.34</v>
          </cell>
          <cell r="P29">
            <v>12.46</v>
          </cell>
          <cell r="Q29">
            <v>12.41</v>
          </cell>
          <cell r="R29">
            <v>12.85</v>
          </cell>
          <cell r="S29">
            <v>12.73</v>
          </cell>
          <cell r="T29">
            <v>11.84</v>
          </cell>
          <cell r="U29">
            <v>8.9</v>
          </cell>
          <cell r="V29">
            <v>11.84</v>
          </cell>
          <cell r="W29">
            <v>12.73</v>
          </cell>
          <cell r="X29">
            <v>12.85</v>
          </cell>
          <cell r="Y29">
            <v>12.41</v>
          </cell>
          <cell r="Z29">
            <v>12.46</v>
          </cell>
          <cell r="AA29">
            <v>10.34</v>
          </cell>
          <cell r="AB29">
            <v>8.5</v>
          </cell>
          <cell r="AC29">
            <v>4.25</v>
          </cell>
          <cell r="AD29">
            <v>3.79</v>
          </cell>
          <cell r="AE29">
            <v>4.9400000000000004</v>
          </cell>
          <cell r="AF29">
            <v>6.79</v>
          </cell>
          <cell r="AG29">
            <v>8.2200000000000006</v>
          </cell>
          <cell r="AH29">
            <v>10.83</v>
          </cell>
          <cell r="AI29">
            <v>12.22</v>
          </cell>
          <cell r="AJ29">
            <v>13.24</v>
          </cell>
          <cell r="AK29">
            <v>14.01</v>
          </cell>
        </row>
        <row r="30">
          <cell r="B30" t="str">
            <v>NNH4-85B-R6</v>
          </cell>
          <cell r="C30">
            <v>6.93</v>
          </cell>
          <cell r="D30">
            <v>8.5399999999999991</v>
          </cell>
          <cell r="E30">
            <v>8.99</v>
          </cell>
          <cell r="F30">
            <v>8.48</v>
          </cell>
          <cell r="G30">
            <v>7.81</v>
          </cell>
          <cell r="H30">
            <v>6.89</v>
          </cell>
          <cell r="I30">
            <v>5.2</v>
          </cell>
          <cell r="J30">
            <v>4.28</v>
          </cell>
          <cell r="K30">
            <v>3.12</v>
          </cell>
          <cell r="L30">
            <v>2.4</v>
          </cell>
          <cell r="M30">
            <v>2.68</v>
          </cell>
          <cell r="N30">
            <v>5.37</v>
          </cell>
          <cell r="O30">
            <v>6.53</v>
          </cell>
          <cell r="P30">
            <v>7.93</v>
          </cell>
          <cell r="Q30">
            <v>7.93</v>
          </cell>
          <cell r="R30">
            <v>8.24</v>
          </cell>
          <cell r="S30">
            <v>8.17</v>
          </cell>
          <cell r="T30">
            <v>7.6</v>
          </cell>
          <cell r="U30">
            <v>5.69</v>
          </cell>
          <cell r="V30">
            <v>7.6</v>
          </cell>
          <cell r="W30">
            <v>8.17</v>
          </cell>
          <cell r="X30">
            <v>8.24</v>
          </cell>
          <cell r="Y30">
            <v>7.93</v>
          </cell>
          <cell r="Z30">
            <v>7.93</v>
          </cell>
          <cell r="AA30">
            <v>6.53</v>
          </cell>
          <cell r="AB30">
            <v>5.37</v>
          </cell>
          <cell r="AC30">
            <v>2.68</v>
          </cell>
          <cell r="AD30">
            <v>2.4</v>
          </cell>
          <cell r="AE30">
            <v>3.12</v>
          </cell>
          <cell r="AF30">
            <v>4.28</v>
          </cell>
          <cell r="AG30">
            <v>5.2</v>
          </cell>
          <cell r="AH30">
            <v>6.89</v>
          </cell>
          <cell r="AI30">
            <v>7.81</v>
          </cell>
          <cell r="AJ30">
            <v>8.48</v>
          </cell>
          <cell r="AK30">
            <v>8.99</v>
          </cell>
        </row>
        <row r="31">
          <cell r="B31" t="str">
            <v>NNH4S4-65B-R7</v>
          </cell>
          <cell r="C31">
            <v>6.4</v>
          </cell>
          <cell r="D31">
            <v>7.63</v>
          </cell>
          <cell r="E31">
            <v>7</v>
          </cell>
          <cell r="F31">
            <v>7.03</v>
          </cell>
          <cell r="G31">
            <v>5.59</v>
          </cell>
          <cell r="H31">
            <v>5.48</v>
          </cell>
          <cell r="I31">
            <v>4.3099999999999996</v>
          </cell>
          <cell r="J31">
            <v>3.07</v>
          </cell>
          <cell r="K31">
            <v>2.17</v>
          </cell>
          <cell r="L31">
            <v>1.9</v>
          </cell>
          <cell r="M31">
            <v>2.35</v>
          </cell>
          <cell r="N31">
            <v>4.51</v>
          </cell>
          <cell r="O31">
            <v>6.21</v>
          </cell>
          <cell r="P31">
            <v>7.59</v>
          </cell>
          <cell r="Q31">
            <v>7.31</v>
          </cell>
          <cell r="R31">
            <v>7.1</v>
          </cell>
          <cell r="S31">
            <v>6.24</v>
          </cell>
          <cell r="T31">
            <v>4.26</v>
          </cell>
          <cell r="U31">
            <v>4.41</v>
          </cell>
          <cell r="V31">
            <v>4.26</v>
          </cell>
          <cell r="W31">
            <v>6.24</v>
          </cell>
          <cell r="X31">
            <v>7.1</v>
          </cell>
          <cell r="Y31">
            <v>7.31</v>
          </cell>
          <cell r="Z31">
            <v>7.59</v>
          </cell>
          <cell r="AA31">
            <v>6.21</v>
          </cell>
          <cell r="AB31">
            <v>4.51</v>
          </cell>
          <cell r="AC31">
            <v>2.35</v>
          </cell>
          <cell r="AD31">
            <v>1.9</v>
          </cell>
          <cell r="AE31">
            <v>2.17</v>
          </cell>
          <cell r="AF31">
            <v>3.07</v>
          </cell>
          <cell r="AG31">
            <v>4.3099999999999996</v>
          </cell>
          <cell r="AH31">
            <v>5.48</v>
          </cell>
          <cell r="AI31">
            <v>5.59</v>
          </cell>
          <cell r="AJ31">
            <v>7.03</v>
          </cell>
          <cell r="AK31">
            <v>7</v>
          </cell>
        </row>
        <row r="32">
          <cell r="B32" t="str">
            <v>NNH4S4-65C-R7</v>
          </cell>
          <cell r="C32">
            <v>8.7100000000000009</v>
          </cell>
          <cell r="D32">
            <v>10.48</v>
          </cell>
          <cell r="E32">
            <v>9.61</v>
          </cell>
          <cell r="F32">
            <v>9.67</v>
          </cell>
          <cell r="G32">
            <v>7.7</v>
          </cell>
          <cell r="H32">
            <v>7.57</v>
          </cell>
          <cell r="I32">
            <v>5.98</v>
          </cell>
          <cell r="J32">
            <v>4.2699999999999996</v>
          </cell>
          <cell r="K32">
            <v>3.01</v>
          </cell>
          <cell r="L32">
            <v>2.7</v>
          </cell>
          <cell r="M32">
            <v>3.26</v>
          </cell>
          <cell r="N32">
            <v>6.29</v>
          </cell>
          <cell r="O32">
            <v>8.6300000000000008</v>
          </cell>
          <cell r="P32">
            <v>10.48</v>
          </cell>
          <cell r="Q32">
            <v>10.07</v>
          </cell>
          <cell r="R32">
            <v>9.75</v>
          </cell>
          <cell r="S32">
            <v>8.56</v>
          </cell>
          <cell r="T32">
            <v>5.85</v>
          </cell>
          <cell r="U32">
            <v>6.06</v>
          </cell>
          <cell r="V32">
            <v>5.85</v>
          </cell>
          <cell r="W32">
            <v>8.56</v>
          </cell>
          <cell r="X32">
            <v>9.75</v>
          </cell>
          <cell r="Y32">
            <v>10.07</v>
          </cell>
          <cell r="Z32">
            <v>10.48</v>
          </cell>
          <cell r="AA32">
            <v>8.6300000000000008</v>
          </cell>
          <cell r="AB32">
            <v>6.29</v>
          </cell>
          <cell r="AC32">
            <v>3.26</v>
          </cell>
          <cell r="AD32">
            <v>2.7</v>
          </cell>
          <cell r="AE32">
            <v>3.01</v>
          </cell>
          <cell r="AF32">
            <v>4.2699999999999996</v>
          </cell>
          <cell r="AG32">
            <v>5.98</v>
          </cell>
          <cell r="AH32">
            <v>7.57</v>
          </cell>
          <cell r="AI32">
            <v>7.7</v>
          </cell>
          <cell r="AJ32">
            <v>9.67</v>
          </cell>
          <cell r="AK32">
            <v>9.61</v>
          </cell>
        </row>
        <row r="33">
          <cell r="B33" t="str">
            <v>NNH4S4-65D-R7</v>
          </cell>
          <cell r="C33">
            <v>9.8000000000000007</v>
          </cell>
          <cell r="D33">
            <v>11.75</v>
          </cell>
          <cell r="E33">
            <v>10.77</v>
          </cell>
          <cell r="F33">
            <v>10.84</v>
          </cell>
          <cell r="G33">
            <v>8.64</v>
          </cell>
          <cell r="H33">
            <v>8.51</v>
          </cell>
          <cell r="I33">
            <v>6.73</v>
          </cell>
          <cell r="J33">
            <v>4.8</v>
          </cell>
          <cell r="K33">
            <v>3.39</v>
          </cell>
          <cell r="L33">
            <v>3.1</v>
          </cell>
          <cell r="M33">
            <v>3.68</v>
          </cell>
          <cell r="N33">
            <v>7.06</v>
          </cell>
          <cell r="O33">
            <v>9.7100000000000009</v>
          </cell>
          <cell r="P33">
            <v>11.78</v>
          </cell>
          <cell r="Q33">
            <v>11.3</v>
          </cell>
          <cell r="R33">
            <v>10.94</v>
          </cell>
          <cell r="S33">
            <v>9.6</v>
          </cell>
          <cell r="T33">
            <v>6.56</v>
          </cell>
          <cell r="U33">
            <v>6.8</v>
          </cell>
          <cell r="V33">
            <v>6.56</v>
          </cell>
          <cell r="W33">
            <v>9.6</v>
          </cell>
          <cell r="X33">
            <v>10.94</v>
          </cell>
          <cell r="Y33">
            <v>11.3</v>
          </cell>
          <cell r="Z33">
            <v>11.78</v>
          </cell>
          <cell r="AA33">
            <v>9.7100000000000009</v>
          </cell>
          <cell r="AB33">
            <v>7.06</v>
          </cell>
          <cell r="AC33">
            <v>3.68</v>
          </cell>
          <cell r="AD33">
            <v>3.1</v>
          </cell>
          <cell r="AE33">
            <v>3.39</v>
          </cell>
          <cell r="AF33">
            <v>4.8</v>
          </cell>
          <cell r="AG33">
            <v>6.73</v>
          </cell>
          <cell r="AH33">
            <v>8.51</v>
          </cell>
          <cell r="AI33">
            <v>8.64</v>
          </cell>
          <cell r="AJ33">
            <v>10.84</v>
          </cell>
          <cell r="AK33">
            <v>10.77</v>
          </cell>
        </row>
        <row r="34">
          <cell r="B34" t="str">
            <v>NNHH-45A-R4</v>
          </cell>
          <cell r="C34">
            <v>8</v>
          </cell>
          <cell r="D34">
            <v>7.17</v>
          </cell>
          <cell r="E34">
            <v>6.46</v>
          </cell>
          <cell r="F34">
            <v>6.37</v>
          </cell>
          <cell r="G34">
            <v>6.04</v>
          </cell>
          <cell r="H34">
            <v>5.46</v>
          </cell>
          <cell r="I34">
            <v>3.92</v>
          </cell>
          <cell r="J34">
            <v>2.74</v>
          </cell>
          <cell r="K34">
            <v>2.29</v>
          </cell>
          <cell r="L34">
            <v>1.6</v>
          </cell>
          <cell r="M34">
            <v>2.17</v>
          </cell>
          <cell r="N34">
            <v>3.59</v>
          </cell>
          <cell r="O34">
            <v>4.5</v>
          </cell>
          <cell r="P34">
            <v>5.61</v>
          </cell>
          <cell r="Q34">
            <v>5.96</v>
          </cell>
          <cell r="R34">
            <v>6.33</v>
          </cell>
          <cell r="S34">
            <v>6.46</v>
          </cell>
          <cell r="T34">
            <v>6.95</v>
          </cell>
          <cell r="U34">
            <v>7</v>
          </cell>
          <cell r="V34">
            <v>6.95</v>
          </cell>
          <cell r="W34">
            <v>6.46</v>
          </cell>
          <cell r="X34">
            <v>6.33</v>
          </cell>
          <cell r="Y34">
            <v>5.96</v>
          </cell>
          <cell r="Z34">
            <v>5.61</v>
          </cell>
          <cell r="AA34">
            <v>4.5</v>
          </cell>
          <cell r="AB34">
            <v>3.59</v>
          </cell>
          <cell r="AC34">
            <v>2.17</v>
          </cell>
          <cell r="AD34">
            <v>1.6</v>
          </cell>
          <cell r="AE34">
            <v>2.29</v>
          </cell>
          <cell r="AF34">
            <v>2.74</v>
          </cell>
          <cell r="AG34">
            <v>3.92</v>
          </cell>
          <cell r="AH34">
            <v>5.46</v>
          </cell>
          <cell r="AI34">
            <v>6.04</v>
          </cell>
          <cell r="AJ34">
            <v>6.37</v>
          </cell>
          <cell r="AK34">
            <v>6.46</v>
          </cell>
        </row>
        <row r="35">
          <cell r="B35" t="str">
            <v>NNHH-45B-R4</v>
          </cell>
          <cell r="C35">
            <v>10.76</v>
          </cell>
          <cell r="D35">
            <v>9.67</v>
          </cell>
          <cell r="E35">
            <v>8.7200000000000006</v>
          </cell>
          <cell r="F35">
            <v>8.61</v>
          </cell>
          <cell r="G35">
            <v>8.17</v>
          </cell>
          <cell r="H35">
            <v>7.4</v>
          </cell>
          <cell r="I35">
            <v>5.33</v>
          </cell>
          <cell r="J35">
            <v>3.75</v>
          </cell>
          <cell r="K35">
            <v>3.16</v>
          </cell>
          <cell r="L35">
            <v>2.2999999999999998</v>
          </cell>
          <cell r="M35">
            <v>2.99</v>
          </cell>
          <cell r="N35">
            <v>4.92</v>
          </cell>
          <cell r="O35">
            <v>6.12</v>
          </cell>
          <cell r="P35">
            <v>7.61</v>
          </cell>
          <cell r="Q35">
            <v>8.06</v>
          </cell>
          <cell r="R35">
            <v>8.5500000000000007</v>
          </cell>
          <cell r="S35">
            <v>8.7200000000000006</v>
          </cell>
          <cell r="T35">
            <v>9.3800000000000008</v>
          </cell>
          <cell r="U35">
            <v>9.4499999999999993</v>
          </cell>
          <cell r="V35">
            <v>9.3800000000000008</v>
          </cell>
          <cell r="W35">
            <v>8.7200000000000006</v>
          </cell>
          <cell r="X35">
            <v>8.5500000000000007</v>
          </cell>
          <cell r="Y35">
            <v>8.06</v>
          </cell>
          <cell r="Z35">
            <v>7.61</v>
          </cell>
          <cell r="AA35">
            <v>6.12</v>
          </cell>
          <cell r="AB35">
            <v>4.92</v>
          </cell>
          <cell r="AC35">
            <v>2.99</v>
          </cell>
          <cell r="AD35">
            <v>2.2999999999999998</v>
          </cell>
          <cell r="AE35">
            <v>3.16</v>
          </cell>
          <cell r="AF35">
            <v>3.75</v>
          </cell>
          <cell r="AG35">
            <v>5.33</v>
          </cell>
          <cell r="AH35">
            <v>7.4</v>
          </cell>
          <cell r="AI35">
            <v>8.17</v>
          </cell>
          <cell r="AJ35">
            <v>8.61</v>
          </cell>
          <cell r="AK35">
            <v>8.7200000000000006</v>
          </cell>
        </row>
        <row r="36">
          <cell r="B36" t="str">
            <v>NNHH-45C-R4</v>
          </cell>
          <cell r="C36">
            <v>9.98</v>
          </cell>
          <cell r="D36">
            <v>10.88</v>
          </cell>
          <cell r="E36">
            <v>11.81</v>
          </cell>
          <cell r="F36">
            <v>11.3</v>
          </cell>
          <cell r="G36">
            <v>9.0500000000000007</v>
          </cell>
          <cell r="H36">
            <v>8.85</v>
          </cell>
          <cell r="I36">
            <v>7.3</v>
          </cell>
          <cell r="J36">
            <v>4.46</v>
          </cell>
          <cell r="K36">
            <v>2.85</v>
          </cell>
          <cell r="L36">
            <v>2.94</v>
          </cell>
          <cell r="M36">
            <v>3.15</v>
          </cell>
          <cell r="N36">
            <v>5.18</v>
          </cell>
          <cell r="O36">
            <v>11.36</v>
          </cell>
          <cell r="P36">
            <v>12.81</v>
          </cell>
          <cell r="Q36">
            <v>12.34</v>
          </cell>
          <cell r="R36">
            <v>11.82</v>
          </cell>
          <cell r="S36">
            <v>10.52</v>
          </cell>
          <cell r="T36">
            <v>8.6199999999999992</v>
          </cell>
          <cell r="U36">
            <v>6.23</v>
          </cell>
          <cell r="V36">
            <v>8.6199999999999992</v>
          </cell>
          <cell r="W36">
            <v>10.52</v>
          </cell>
          <cell r="X36">
            <v>11.82</v>
          </cell>
          <cell r="Y36">
            <v>12.34</v>
          </cell>
          <cell r="Z36">
            <v>12.81</v>
          </cell>
          <cell r="AA36">
            <v>11.36</v>
          </cell>
          <cell r="AB36">
            <v>5.18</v>
          </cell>
          <cell r="AC36">
            <v>3.15</v>
          </cell>
          <cell r="AD36">
            <v>2.94</v>
          </cell>
          <cell r="AE36">
            <v>2.85</v>
          </cell>
          <cell r="AF36">
            <v>4.46</v>
          </cell>
          <cell r="AG36">
            <v>7.3</v>
          </cell>
          <cell r="AH36">
            <v>8.85</v>
          </cell>
          <cell r="AI36">
            <v>9.0500000000000007</v>
          </cell>
          <cell r="AJ36">
            <v>11.3</v>
          </cell>
          <cell r="AK36">
            <v>11.81</v>
          </cell>
        </row>
        <row r="37">
          <cell r="B37" t="str">
            <v>NNHH-65A-R4</v>
          </cell>
          <cell r="C37">
            <v>5.2</v>
          </cell>
          <cell r="D37">
            <v>6.35</v>
          </cell>
          <cell r="E37">
            <v>6.68</v>
          </cell>
          <cell r="F37">
            <v>6.3</v>
          </cell>
          <cell r="G37">
            <v>5.79</v>
          </cell>
          <cell r="H37">
            <v>5.0999999999999996</v>
          </cell>
          <cell r="I37">
            <v>3.83</v>
          </cell>
          <cell r="J37">
            <v>3.14</v>
          </cell>
          <cell r="K37">
            <v>2.2599999999999998</v>
          </cell>
          <cell r="L37">
            <v>1.7</v>
          </cell>
          <cell r="M37">
            <v>1.95</v>
          </cell>
          <cell r="N37">
            <v>3.93</v>
          </cell>
          <cell r="O37">
            <v>4.8099999999999996</v>
          </cell>
          <cell r="P37">
            <v>5.87</v>
          </cell>
          <cell r="Q37">
            <v>5.88</v>
          </cell>
          <cell r="R37">
            <v>6.12</v>
          </cell>
          <cell r="S37">
            <v>6.07</v>
          </cell>
          <cell r="T37">
            <v>5.65</v>
          </cell>
          <cell r="U37">
            <v>4.2</v>
          </cell>
          <cell r="V37">
            <v>5.65</v>
          </cell>
          <cell r="W37">
            <v>6.07</v>
          </cell>
          <cell r="X37">
            <v>6.12</v>
          </cell>
          <cell r="Y37">
            <v>5.88</v>
          </cell>
          <cell r="Z37">
            <v>5.87</v>
          </cell>
          <cell r="AA37">
            <v>4.8099999999999996</v>
          </cell>
          <cell r="AB37">
            <v>3.93</v>
          </cell>
          <cell r="AC37">
            <v>1.95</v>
          </cell>
          <cell r="AD37">
            <v>1.7</v>
          </cell>
          <cell r="AE37">
            <v>2.2599999999999998</v>
          </cell>
          <cell r="AF37">
            <v>3.14</v>
          </cell>
          <cell r="AG37">
            <v>3.83</v>
          </cell>
          <cell r="AH37">
            <v>5.0999999999999996</v>
          </cell>
          <cell r="AI37">
            <v>5.79</v>
          </cell>
          <cell r="AJ37">
            <v>6.3</v>
          </cell>
          <cell r="AK37">
            <v>6.68</v>
          </cell>
        </row>
        <row r="38">
          <cell r="B38" t="str">
            <v>NNHH-65A-R4-V2</v>
          </cell>
          <cell r="C38">
            <v>5.6</v>
          </cell>
          <cell r="D38">
            <v>6.84</v>
          </cell>
          <cell r="E38">
            <v>7.2</v>
          </cell>
          <cell r="F38">
            <v>6.8</v>
          </cell>
          <cell r="G38">
            <v>6.25</v>
          </cell>
          <cell r="H38">
            <v>5.5</v>
          </cell>
          <cell r="I38">
            <v>4.1399999999999997</v>
          </cell>
          <cell r="J38">
            <v>3.4</v>
          </cell>
          <cell r="K38">
            <v>2.4500000000000002</v>
          </cell>
          <cell r="L38">
            <v>1.8</v>
          </cell>
          <cell r="M38">
            <v>2.11</v>
          </cell>
          <cell r="N38">
            <v>4.25</v>
          </cell>
          <cell r="O38">
            <v>5.2</v>
          </cell>
          <cell r="P38">
            <v>6.33</v>
          </cell>
          <cell r="Q38">
            <v>6.34</v>
          </cell>
          <cell r="R38">
            <v>6.6</v>
          </cell>
          <cell r="S38">
            <v>6.55</v>
          </cell>
          <cell r="T38">
            <v>6.09</v>
          </cell>
          <cell r="U38">
            <v>4.5999999999999996</v>
          </cell>
          <cell r="V38">
            <v>6.09</v>
          </cell>
          <cell r="W38">
            <v>6.55</v>
          </cell>
          <cell r="X38">
            <v>6.6</v>
          </cell>
          <cell r="Y38">
            <v>6.34</v>
          </cell>
          <cell r="Z38">
            <v>6.33</v>
          </cell>
          <cell r="AA38">
            <v>5.2</v>
          </cell>
          <cell r="AB38">
            <v>4.25</v>
          </cell>
          <cell r="AC38">
            <v>2.11</v>
          </cell>
          <cell r="AD38">
            <v>1.8</v>
          </cell>
          <cell r="AE38">
            <v>2.4500000000000002</v>
          </cell>
          <cell r="AF38">
            <v>3.4</v>
          </cell>
          <cell r="AG38">
            <v>4.1399999999999997</v>
          </cell>
          <cell r="AH38">
            <v>5.5</v>
          </cell>
          <cell r="AI38">
            <v>6.25</v>
          </cell>
          <cell r="AJ38">
            <v>6.8</v>
          </cell>
          <cell r="AK38">
            <v>7.2</v>
          </cell>
        </row>
        <row r="39">
          <cell r="B39" t="str">
            <v>NNHH-65B-R4</v>
          </cell>
          <cell r="C39">
            <v>6.93</v>
          </cell>
          <cell r="D39">
            <v>8.5399999999999991</v>
          </cell>
          <cell r="E39">
            <v>8.99</v>
          </cell>
          <cell r="F39">
            <v>8.48</v>
          </cell>
          <cell r="G39">
            <v>7.81</v>
          </cell>
          <cell r="H39">
            <v>6.89</v>
          </cell>
          <cell r="I39">
            <v>5.2</v>
          </cell>
          <cell r="J39">
            <v>4.28</v>
          </cell>
          <cell r="K39">
            <v>3.12</v>
          </cell>
          <cell r="L39">
            <v>2.4</v>
          </cell>
          <cell r="M39">
            <v>2.68</v>
          </cell>
          <cell r="N39">
            <v>5.37</v>
          </cell>
          <cell r="O39">
            <v>6.53</v>
          </cell>
          <cell r="P39">
            <v>7.93</v>
          </cell>
          <cell r="Q39">
            <v>7.93</v>
          </cell>
          <cell r="R39">
            <v>8.24</v>
          </cell>
          <cell r="S39">
            <v>8.17</v>
          </cell>
          <cell r="T39">
            <v>7.6</v>
          </cell>
          <cell r="U39">
            <v>5.69</v>
          </cell>
          <cell r="V39">
            <v>7.6</v>
          </cell>
          <cell r="W39">
            <v>8.17</v>
          </cell>
          <cell r="X39">
            <v>8.24</v>
          </cell>
          <cell r="Y39">
            <v>7.93</v>
          </cell>
          <cell r="Z39">
            <v>7.93</v>
          </cell>
          <cell r="AA39">
            <v>6.53</v>
          </cell>
          <cell r="AB39">
            <v>5.37</v>
          </cell>
          <cell r="AC39">
            <v>2.68</v>
          </cell>
          <cell r="AD39">
            <v>2.4</v>
          </cell>
          <cell r="AE39">
            <v>3.12</v>
          </cell>
          <cell r="AF39">
            <v>4.28</v>
          </cell>
          <cell r="AG39">
            <v>5.2</v>
          </cell>
          <cell r="AH39">
            <v>6.89</v>
          </cell>
          <cell r="AI39">
            <v>7.81</v>
          </cell>
          <cell r="AJ39">
            <v>8.48</v>
          </cell>
          <cell r="AK39">
            <v>8.99</v>
          </cell>
        </row>
        <row r="40">
          <cell r="B40" t="str">
            <v>NNHH-65B-R4N17</v>
          </cell>
          <cell r="C40">
            <v>4.7</v>
          </cell>
          <cell r="D40">
            <v>7.32</v>
          </cell>
          <cell r="E40">
            <v>7.71</v>
          </cell>
          <cell r="F40">
            <v>7.43</v>
          </cell>
          <cell r="G40">
            <v>6.67</v>
          </cell>
          <cell r="H40">
            <v>6.18</v>
          </cell>
          <cell r="I40">
            <v>4.83</v>
          </cell>
          <cell r="J40">
            <v>3.84</v>
          </cell>
          <cell r="K40">
            <v>3</v>
          </cell>
          <cell r="L40">
            <v>2.5</v>
          </cell>
          <cell r="M40">
            <v>2.54</v>
          </cell>
          <cell r="N40">
            <v>5</v>
          </cell>
          <cell r="O40">
            <v>5.8</v>
          </cell>
          <cell r="P40">
            <v>7.14</v>
          </cell>
          <cell r="Q40">
            <v>7.1</v>
          </cell>
          <cell r="R40">
            <v>7.09</v>
          </cell>
          <cell r="S40">
            <v>6.8</v>
          </cell>
          <cell r="T40">
            <v>4.7300000000000004</v>
          </cell>
          <cell r="U40">
            <v>4.49</v>
          </cell>
          <cell r="V40">
            <v>4.7300000000000004</v>
          </cell>
          <cell r="W40">
            <v>6.8</v>
          </cell>
          <cell r="X40">
            <v>7.09</v>
          </cell>
          <cell r="Y40">
            <v>7.1</v>
          </cell>
          <cell r="Z40">
            <v>7.14</v>
          </cell>
          <cell r="AA40">
            <v>5.8</v>
          </cell>
          <cell r="AB40">
            <v>5</v>
          </cell>
          <cell r="AC40">
            <v>2.54</v>
          </cell>
          <cell r="AD40">
            <v>2.5</v>
          </cell>
          <cell r="AE40">
            <v>3</v>
          </cell>
          <cell r="AF40">
            <v>3.84</v>
          </cell>
          <cell r="AG40">
            <v>4.83</v>
          </cell>
          <cell r="AH40">
            <v>6.18</v>
          </cell>
          <cell r="AI40">
            <v>6.67</v>
          </cell>
          <cell r="AJ40">
            <v>7.43</v>
          </cell>
          <cell r="AK40">
            <v>7.71</v>
          </cell>
        </row>
        <row r="41">
          <cell r="B41" t="str">
            <v>NNHH-65C-R4</v>
          </cell>
          <cell r="C41">
            <v>9.65</v>
          </cell>
          <cell r="D41">
            <v>11.88</v>
          </cell>
          <cell r="E41">
            <v>12.5</v>
          </cell>
          <cell r="F41">
            <v>11.81</v>
          </cell>
          <cell r="G41">
            <v>10.89</v>
          </cell>
          <cell r="H41">
            <v>9.64</v>
          </cell>
          <cell r="I41">
            <v>7.3</v>
          </cell>
          <cell r="J41">
            <v>6.05</v>
          </cell>
          <cell r="K41">
            <v>4.3899999999999997</v>
          </cell>
          <cell r="L41">
            <v>3.35</v>
          </cell>
          <cell r="M41">
            <v>3.77</v>
          </cell>
          <cell r="N41">
            <v>7.57</v>
          </cell>
          <cell r="O41">
            <v>9.18</v>
          </cell>
          <cell r="P41">
            <v>11.09</v>
          </cell>
          <cell r="Q41">
            <v>11.06</v>
          </cell>
          <cell r="R41">
            <v>11.46</v>
          </cell>
          <cell r="S41">
            <v>11.36</v>
          </cell>
          <cell r="T41">
            <v>10.57</v>
          </cell>
          <cell r="U41">
            <v>7.94</v>
          </cell>
          <cell r="V41">
            <v>10.57</v>
          </cell>
          <cell r="W41">
            <v>11.36</v>
          </cell>
          <cell r="X41">
            <v>11.46</v>
          </cell>
          <cell r="Y41">
            <v>11.06</v>
          </cell>
          <cell r="Z41">
            <v>11.09</v>
          </cell>
          <cell r="AA41">
            <v>9.18</v>
          </cell>
          <cell r="AB41">
            <v>7.57</v>
          </cell>
          <cell r="AC41">
            <v>3.77</v>
          </cell>
          <cell r="AD41">
            <v>3.35</v>
          </cell>
          <cell r="AE41">
            <v>4.3899999999999997</v>
          </cell>
          <cell r="AF41">
            <v>6.05</v>
          </cell>
          <cell r="AG41">
            <v>7.3</v>
          </cell>
          <cell r="AH41">
            <v>9.64</v>
          </cell>
          <cell r="AI41">
            <v>10.89</v>
          </cell>
          <cell r="AJ41">
            <v>11.81</v>
          </cell>
          <cell r="AK41">
            <v>12.5</v>
          </cell>
        </row>
        <row r="42">
          <cell r="B42" t="str">
            <v>NNHHS4-65A-R5</v>
          </cell>
          <cell r="C42">
            <v>5.01</v>
          </cell>
          <cell r="D42">
            <v>6.04</v>
          </cell>
          <cell r="E42">
            <v>5.54</v>
          </cell>
          <cell r="F42">
            <v>5.5634867245999589</v>
          </cell>
          <cell r="G42">
            <v>4.42</v>
          </cell>
          <cell r="H42">
            <v>4.32</v>
          </cell>
          <cell r="I42">
            <v>3.39</v>
          </cell>
          <cell r="J42">
            <v>2.4</v>
          </cell>
          <cell r="K42">
            <v>1.68</v>
          </cell>
          <cell r="L42">
            <v>1.49</v>
          </cell>
          <cell r="M42">
            <v>1.83</v>
          </cell>
          <cell r="N42">
            <v>3.53</v>
          </cell>
          <cell r="O42">
            <v>4.8899999999999997</v>
          </cell>
          <cell r="P42">
            <v>5.98</v>
          </cell>
          <cell r="Q42">
            <v>5.78</v>
          </cell>
          <cell r="R42">
            <v>5.6127211203928793</v>
          </cell>
          <cell r="S42">
            <v>4.9400000000000004</v>
          </cell>
          <cell r="T42">
            <v>3.37</v>
          </cell>
          <cell r="U42">
            <v>3.487720901599999</v>
          </cell>
          <cell r="V42">
            <v>3.37</v>
          </cell>
          <cell r="W42">
            <v>4.9400000000000004</v>
          </cell>
          <cell r="X42">
            <v>5.6127211203928793</v>
          </cell>
          <cell r="Y42">
            <v>5.78</v>
          </cell>
          <cell r="Z42">
            <v>5.98</v>
          </cell>
          <cell r="AA42">
            <v>4.8899999999999997</v>
          </cell>
          <cell r="AB42">
            <v>3.53</v>
          </cell>
          <cell r="AC42">
            <v>1.83</v>
          </cell>
          <cell r="AD42">
            <v>1.49</v>
          </cell>
          <cell r="AE42">
            <v>1.68</v>
          </cell>
          <cell r="AF42">
            <v>2.4</v>
          </cell>
          <cell r="AG42">
            <v>3.39</v>
          </cell>
          <cell r="AH42">
            <v>4.32</v>
          </cell>
          <cell r="AI42">
            <v>4.42</v>
          </cell>
          <cell r="AJ42">
            <v>5.5634867245999589</v>
          </cell>
          <cell r="AK42">
            <v>5.54</v>
          </cell>
        </row>
        <row r="43">
          <cell r="B43" t="str">
            <v>NNHHS4-65B-R5</v>
          </cell>
          <cell r="C43">
            <v>6.4</v>
          </cell>
          <cell r="D43">
            <v>7.63</v>
          </cell>
          <cell r="E43">
            <v>7</v>
          </cell>
          <cell r="F43">
            <v>7.03</v>
          </cell>
          <cell r="G43">
            <v>5.59</v>
          </cell>
          <cell r="H43">
            <v>5.48</v>
          </cell>
          <cell r="I43">
            <v>4.3099999999999996</v>
          </cell>
          <cell r="J43">
            <v>3.07</v>
          </cell>
          <cell r="K43">
            <v>2.17</v>
          </cell>
          <cell r="L43">
            <v>1.9</v>
          </cell>
          <cell r="M43">
            <v>2.35</v>
          </cell>
          <cell r="N43">
            <v>4.51</v>
          </cell>
          <cell r="O43">
            <v>6.21</v>
          </cell>
          <cell r="P43">
            <v>7.59</v>
          </cell>
          <cell r="Q43">
            <v>7.31</v>
          </cell>
          <cell r="R43">
            <v>7.1</v>
          </cell>
          <cell r="S43">
            <v>6.24</v>
          </cell>
          <cell r="T43">
            <v>4.26</v>
          </cell>
          <cell r="U43">
            <v>4.41</v>
          </cell>
          <cell r="V43">
            <v>4.26</v>
          </cell>
          <cell r="W43">
            <v>6.24</v>
          </cell>
          <cell r="X43">
            <v>7.1</v>
          </cell>
          <cell r="Y43">
            <v>7.31</v>
          </cell>
          <cell r="Z43">
            <v>7.59</v>
          </cell>
          <cell r="AA43">
            <v>6.21</v>
          </cell>
          <cell r="AB43">
            <v>4.51</v>
          </cell>
          <cell r="AC43">
            <v>2.35</v>
          </cell>
          <cell r="AD43">
            <v>1.9</v>
          </cell>
          <cell r="AE43">
            <v>2.17</v>
          </cell>
          <cell r="AF43">
            <v>3.07</v>
          </cell>
          <cell r="AG43">
            <v>4.3099999999999996</v>
          </cell>
          <cell r="AH43">
            <v>5.48</v>
          </cell>
          <cell r="AI43">
            <v>5.59</v>
          </cell>
          <cell r="AJ43">
            <v>7.03</v>
          </cell>
          <cell r="AK43">
            <v>7</v>
          </cell>
        </row>
        <row r="44">
          <cell r="B44" t="str">
            <v>NNHHS4-65C-R5</v>
          </cell>
          <cell r="C44">
            <v>8.7100000000000009</v>
          </cell>
          <cell r="D44">
            <v>10.48</v>
          </cell>
          <cell r="E44">
            <v>9.61</v>
          </cell>
          <cell r="F44">
            <v>9.67</v>
          </cell>
          <cell r="G44">
            <v>7.7</v>
          </cell>
          <cell r="H44">
            <v>7.57</v>
          </cell>
          <cell r="I44">
            <v>5.98</v>
          </cell>
          <cell r="J44">
            <v>4.2699999999999996</v>
          </cell>
          <cell r="K44">
            <v>3.01</v>
          </cell>
          <cell r="L44">
            <v>2.7</v>
          </cell>
          <cell r="M44">
            <v>3.26</v>
          </cell>
          <cell r="N44">
            <v>6.29</v>
          </cell>
          <cell r="O44">
            <v>8.6300000000000008</v>
          </cell>
          <cell r="P44">
            <v>10.48</v>
          </cell>
          <cell r="Q44">
            <v>10.07</v>
          </cell>
          <cell r="R44">
            <v>9.75</v>
          </cell>
          <cell r="S44">
            <v>8.56</v>
          </cell>
          <cell r="T44">
            <v>5.85</v>
          </cell>
          <cell r="U44">
            <v>6.06</v>
          </cell>
          <cell r="V44">
            <v>5.85</v>
          </cell>
          <cell r="W44">
            <v>8.56</v>
          </cell>
          <cell r="X44">
            <v>9.75</v>
          </cell>
          <cell r="Y44">
            <v>10.07</v>
          </cell>
          <cell r="Z44">
            <v>10.48</v>
          </cell>
          <cell r="AA44">
            <v>8.6300000000000008</v>
          </cell>
          <cell r="AB44">
            <v>6.29</v>
          </cell>
          <cell r="AC44">
            <v>3.26</v>
          </cell>
          <cell r="AD44">
            <v>2.7</v>
          </cell>
          <cell r="AE44">
            <v>3.01</v>
          </cell>
          <cell r="AF44">
            <v>4.2699999999999996</v>
          </cell>
          <cell r="AG44">
            <v>5.98</v>
          </cell>
          <cell r="AH44">
            <v>7.57</v>
          </cell>
          <cell r="AI44">
            <v>7.7</v>
          </cell>
          <cell r="AJ44">
            <v>9.67</v>
          </cell>
          <cell r="AK44">
            <v>9.61</v>
          </cell>
        </row>
        <row r="45">
          <cell r="B45" t="str">
            <v>RR2HH-6533D-R6</v>
          </cell>
          <cell r="C45">
            <v>10.82</v>
          </cell>
          <cell r="D45">
            <v>13.31</v>
          </cell>
          <cell r="E45">
            <v>14.01</v>
          </cell>
          <cell r="F45">
            <v>13.24</v>
          </cell>
          <cell r="G45">
            <v>12.22</v>
          </cell>
          <cell r="H45">
            <v>10.83</v>
          </cell>
          <cell r="I45">
            <v>8.2200000000000006</v>
          </cell>
          <cell r="J45">
            <v>6.79</v>
          </cell>
          <cell r="K45">
            <v>4.9400000000000004</v>
          </cell>
          <cell r="L45">
            <v>3.79</v>
          </cell>
          <cell r="M45">
            <v>4.25</v>
          </cell>
          <cell r="N45">
            <v>8.5</v>
          </cell>
          <cell r="O45">
            <v>10.34</v>
          </cell>
          <cell r="P45">
            <v>12.46</v>
          </cell>
          <cell r="Q45">
            <v>12.41</v>
          </cell>
          <cell r="R45">
            <v>12.85</v>
          </cell>
          <cell r="S45">
            <v>12.73</v>
          </cell>
          <cell r="T45">
            <v>11.84</v>
          </cell>
          <cell r="U45">
            <v>8.9</v>
          </cell>
          <cell r="V45">
            <v>11.84</v>
          </cell>
          <cell r="W45">
            <v>12.73</v>
          </cell>
          <cell r="X45">
            <v>12.85</v>
          </cell>
          <cell r="Y45">
            <v>12.41</v>
          </cell>
          <cell r="Z45">
            <v>12.46</v>
          </cell>
          <cell r="AA45">
            <v>10.34</v>
          </cell>
          <cell r="AB45">
            <v>8.5</v>
          </cell>
          <cell r="AC45">
            <v>4.25</v>
          </cell>
          <cell r="AD45">
            <v>3.79</v>
          </cell>
          <cell r="AE45">
            <v>4.9400000000000004</v>
          </cell>
          <cell r="AF45">
            <v>6.79</v>
          </cell>
          <cell r="AG45">
            <v>8.2200000000000006</v>
          </cell>
          <cell r="AH45">
            <v>10.83</v>
          </cell>
          <cell r="AI45">
            <v>12.22</v>
          </cell>
          <cell r="AJ45">
            <v>13.24</v>
          </cell>
          <cell r="AK45">
            <v>14.01</v>
          </cell>
        </row>
        <row r="46">
          <cell r="B46" t="str">
            <v>RV4PX310R-V2</v>
          </cell>
          <cell r="C46">
            <v>4.5</v>
          </cell>
          <cell r="D46" t="str">
            <v>N/A</v>
          </cell>
          <cell r="E46" t="str">
            <v>N/A</v>
          </cell>
          <cell r="F46">
            <v>7.67</v>
          </cell>
          <cell r="G46" t="str">
            <v>N/A</v>
          </cell>
          <cell r="H46" t="str">
            <v>N/A</v>
          </cell>
          <cell r="I46">
            <v>6.09</v>
          </cell>
          <cell r="J46" t="str">
            <v>N/A</v>
          </cell>
          <cell r="K46" t="str">
            <v>N/A</v>
          </cell>
          <cell r="L46">
            <v>3.9</v>
          </cell>
          <cell r="M46" t="str">
            <v>N/A</v>
          </cell>
          <cell r="N46" t="str">
            <v>N/A</v>
          </cell>
          <cell r="O46">
            <v>7.71</v>
          </cell>
          <cell r="P46" t="str">
            <v>N/A</v>
          </cell>
          <cell r="Q46" t="str">
            <v>N/A</v>
          </cell>
          <cell r="R46">
            <v>8.94</v>
          </cell>
          <cell r="S46" t="str">
            <v>N/A</v>
          </cell>
          <cell r="T46" t="str">
            <v>N/A</v>
          </cell>
          <cell r="U46">
            <v>4.7699999999999996</v>
          </cell>
          <cell r="V46" t="str">
            <v>N/A</v>
          </cell>
          <cell r="W46" t="str">
            <v>N/A</v>
          </cell>
          <cell r="X46">
            <v>8.94</v>
          </cell>
          <cell r="Y46" t="str">
            <v>N/A</v>
          </cell>
          <cell r="Z46" t="str">
            <v>N/A</v>
          </cell>
          <cell r="AA46">
            <v>7.71</v>
          </cell>
          <cell r="AB46" t="str">
            <v>N/A</v>
          </cell>
          <cell r="AC46" t="str">
            <v>N/A</v>
          </cell>
          <cell r="AD46">
            <v>3.9</v>
          </cell>
          <cell r="AE46" t="str">
            <v>N/A</v>
          </cell>
          <cell r="AF46" t="str">
            <v>N/A</v>
          </cell>
          <cell r="AG46">
            <v>6.09</v>
          </cell>
          <cell r="AH46" t="str">
            <v>N/A</v>
          </cell>
          <cell r="AI46" t="str">
            <v>N/A</v>
          </cell>
          <cell r="AJ46">
            <v>7.67</v>
          </cell>
          <cell r="AK46" t="str">
            <v>N/A</v>
          </cell>
        </row>
        <row r="47">
          <cell r="B47" t="str">
            <v>S4-90M-R1-V5</v>
          </cell>
          <cell r="C47">
            <v>2.9</v>
          </cell>
          <cell r="D47" t="str">
            <v>N/A</v>
          </cell>
          <cell r="E47" t="str">
            <v>N/A</v>
          </cell>
          <cell r="F47" t="str">
            <v>N/A</v>
          </cell>
          <cell r="G47" t="str">
            <v>N/A</v>
          </cell>
          <cell r="H47" t="str">
            <v>N/A</v>
          </cell>
          <cell r="I47" t="str">
            <v>N/A</v>
          </cell>
          <cell r="J47" t="str">
            <v>N/A</v>
          </cell>
          <cell r="K47" t="str">
            <v>N/A</v>
          </cell>
          <cell r="L47">
            <v>0.5</v>
          </cell>
          <cell r="M47" t="str">
            <v>N/A</v>
          </cell>
          <cell r="N47" t="str">
            <v>N/A</v>
          </cell>
          <cell r="O47" t="str">
            <v>N/A</v>
          </cell>
          <cell r="P47" t="str">
            <v>N/A</v>
          </cell>
          <cell r="Q47" t="str">
            <v>N/A</v>
          </cell>
          <cell r="R47" t="str">
            <v>N/A</v>
          </cell>
          <cell r="S47" t="str">
            <v>N/A</v>
          </cell>
          <cell r="T47" t="str">
            <v>N/A</v>
          </cell>
          <cell r="U47" t="str">
            <v>N/A</v>
          </cell>
          <cell r="V47" t="str">
            <v>N/A</v>
          </cell>
          <cell r="W47" t="str">
            <v>N/A</v>
          </cell>
          <cell r="X47" t="str">
            <v>N/A</v>
          </cell>
          <cell r="Y47" t="str">
            <v>N/A</v>
          </cell>
          <cell r="Z47" t="str">
            <v>N/A</v>
          </cell>
          <cell r="AA47" t="str">
            <v>N/A</v>
          </cell>
          <cell r="AB47" t="str">
            <v>N/A</v>
          </cell>
          <cell r="AC47" t="str">
            <v>N/A</v>
          </cell>
          <cell r="AD47">
            <v>0.5</v>
          </cell>
          <cell r="AE47" t="str">
            <v>N/A</v>
          </cell>
          <cell r="AF47" t="str">
            <v>N/A</v>
          </cell>
          <cell r="AG47" t="str">
            <v>N/A</v>
          </cell>
          <cell r="AH47" t="str">
            <v>N/A</v>
          </cell>
          <cell r="AI47" t="str">
            <v>N/A</v>
          </cell>
          <cell r="AJ47" t="str">
            <v>N/A</v>
          </cell>
          <cell r="AK47" t="str">
            <v>N/A</v>
          </cell>
        </row>
        <row r="48">
          <cell r="B48" t="str">
            <v>SBJAH4-1D65B-DL</v>
          </cell>
          <cell r="C48">
            <v>3.1</v>
          </cell>
          <cell r="D48">
            <v>4.4000000000000004</v>
          </cell>
          <cell r="E48">
            <v>4.92</v>
          </cell>
          <cell r="F48">
            <v>5.2</v>
          </cell>
          <cell r="G48">
            <v>5.42</v>
          </cell>
          <cell r="H48">
            <v>5.1100000000000003</v>
          </cell>
          <cell r="I48">
            <v>4.25</v>
          </cell>
          <cell r="J48">
            <v>3.81</v>
          </cell>
          <cell r="K48">
            <v>2.7</v>
          </cell>
          <cell r="L48">
            <v>2.6</v>
          </cell>
          <cell r="M48">
            <v>2.7</v>
          </cell>
          <cell r="N48">
            <v>4.3499999999999996</v>
          </cell>
          <cell r="O48">
            <v>5.39</v>
          </cell>
          <cell r="P48">
            <v>6.24</v>
          </cell>
          <cell r="Q48">
            <v>6.45</v>
          </cell>
          <cell r="R48">
            <v>6.06</v>
          </cell>
          <cell r="S48">
            <v>5.49</v>
          </cell>
          <cell r="T48">
            <v>3.56</v>
          </cell>
          <cell r="U48">
            <v>3.23</v>
          </cell>
          <cell r="V48">
            <v>3.56</v>
          </cell>
          <cell r="W48">
            <v>5.49</v>
          </cell>
          <cell r="X48">
            <v>6.06</v>
          </cell>
          <cell r="Y48">
            <v>6.45</v>
          </cell>
          <cell r="Z48">
            <v>6.24</v>
          </cell>
          <cell r="AA48">
            <v>5.39</v>
          </cell>
          <cell r="AB48">
            <v>4.3499999999999996</v>
          </cell>
          <cell r="AC48">
            <v>2.7</v>
          </cell>
          <cell r="AD48">
            <v>2.6</v>
          </cell>
          <cell r="AE48">
            <v>2.7</v>
          </cell>
          <cell r="AF48">
            <v>3.81</v>
          </cell>
          <cell r="AG48">
            <v>4.25</v>
          </cell>
          <cell r="AH48">
            <v>5.1100000000000003</v>
          </cell>
          <cell r="AI48">
            <v>5.42</v>
          </cell>
          <cell r="AJ48">
            <v>5.2</v>
          </cell>
          <cell r="AK48">
            <v>4.92</v>
          </cell>
        </row>
        <row r="49">
          <cell r="B49" t="str">
            <v>SBJAH4-1D65C-DL</v>
          </cell>
          <cell r="C49">
            <v>4.3</v>
          </cell>
          <cell r="D49">
            <v>6.2</v>
          </cell>
          <cell r="E49">
            <v>6.92</v>
          </cell>
          <cell r="F49">
            <v>7.33</v>
          </cell>
          <cell r="G49">
            <v>7.65</v>
          </cell>
          <cell r="H49">
            <v>7.22</v>
          </cell>
          <cell r="I49">
            <v>6</v>
          </cell>
          <cell r="J49">
            <v>5.38</v>
          </cell>
          <cell r="K49">
            <v>3.81</v>
          </cell>
          <cell r="L49">
            <v>3.7</v>
          </cell>
          <cell r="M49">
            <v>3.81</v>
          </cell>
          <cell r="N49">
            <v>6.14</v>
          </cell>
          <cell r="O49">
            <v>7.6</v>
          </cell>
          <cell r="P49">
            <v>8.81</v>
          </cell>
          <cell r="Q49">
            <v>9.1</v>
          </cell>
          <cell r="R49">
            <v>8.5399999999999991</v>
          </cell>
          <cell r="S49">
            <v>7.73</v>
          </cell>
          <cell r="T49">
            <v>5.01</v>
          </cell>
          <cell r="U49">
            <v>4.5599999999999996</v>
          </cell>
          <cell r="V49">
            <v>5.01</v>
          </cell>
          <cell r="W49">
            <v>7.73</v>
          </cell>
          <cell r="X49">
            <v>8.5399999999999991</v>
          </cell>
          <cell r="Y49">
            <v>9.1</v>
          </cell>
          <cell r="Z49">
            <v>8.81</v>
          </cell>
          <cell r="AA49">
            <v>7.6</v>
          </cell>
          <cell r="AB49">
            <v>6.14</v>
          </cell>
          <cell r="AC49">
            <v>3.81</v>
          </cell>
          <cell r="AD49">
            <v>3.7</v>
          </cell>
          <cell r="AE49">
            <v>3.81</v>
          </cell>
          <cell r="AF49">
            <v>5.38</v>
          </cell>
          <cell r="AG49">
            <v>6</v>
          </cell>
          <cell r="AH49">
            <v>7.22</v>
          </cell>
          <cell r="AI49">
            <v>7.65</v>
          </cell>
          <cell r="AJ49">
            <v>7.33</v>
          </cell>
          <cell r="AK49">
            <v>6.92</v>
          </cell>
        </row>
        <row r="50">
          <cell r="B50" t="str">
            <v>SBNHH-1D45A</v>
          </cell>
          <cell r="C50">
            <v>6.9</v>
          </cell>
          <cell r="D50">
            <v>6.16</v>
          </cell>
          <cell r="E50">
            <v>5.56</v>
          </cell>
          <cell r="F50">
            <v>5.48</v>
          </cell>
          <cell r="G50">
            <v>5.19</v>
          </cell>
          <cell r="H50">
            <v>4.68</v>
          </cell>
          <cell r="I50">
            <v>3.36</v>
          </cell>
          <cell r="J50">
            <v>2.34</v>
          </cell>
          <cell r="K50">
            <v>1.95</v>
          </cell>
          <cell r="L50">
            <v>1.4</v>
          </cell>
          <cell r="M50">
            <v>1.85</v>
          </cell>
          <cell r="N50">
            <v>3.07</v>
          </cell>
          <cell r="O50">
            <v>3.85</v>
          </cell>
          <cell r="P50">
            <v>4.8099999999999996</v>
          </cell>
          <cell r="Q50">
            <v>5.12</v>
          </cell>
          <cell r="R50">
            <v>5.44</v>
          </cell>
          <cell r="S50">
            <v>5.56</v>
          </cell>
          <cell r="T50">
            <v>5.98</v>
          </cell>
          <cell r="U50">
            <v>6.01</v>
          </cell>
          <cell r="V50">
            <v>5.98</v>
          </cell>
          <cell r="W50">
            <v>5.56</v>
          </cell>
          <cell r="X50">
            <v>5.44</v>
          </cell>
          <cell r="Y50">
            <v>5.12</v>
          </cell>
          <cell r="Z50">
            <v>4.8099999999999996</v>
          </cell>
          <cell r="AA50">
            <v>3.85</v>
          </cell>
          <cell r="AB50">
            <v>3.07</v>
          </cell>
          <cell r="AC50">
            <v>1.85</v>
          </cell>
          <cell r="AD50">
            <v>1.4</v>
          </cell>
          <cell r="AE50">
            <v>1.95</v>
          </cell>
          <cell r="AF50">
            <v>2.34</v>
          </cell>
          <cell r="AG50">
            <v>3.36</v>
          </cell>
          <cell r="AH50">
            <v>4.68</v>
          </cell>
          <cell r="AI50">
            <v>5.19</v>
          </cell>
          <cell r="AJ50">
            <v>5.48</v>
          </cell>
          <cell r="AK50">
            <v>5.56</v>
          </cell>
        </row>
        <row r="51">
          <cell r="B51" t="str">
            <v>SBNHH-1D45B</v>
          </cell>
          <cell r="C51">
            <v>10.8</v>
          </cell>
          <cell r="D51">
            <v>9.68</v>
          </cell>
          <cell r="E51">
            <v>8.7200000000000006</v>
          </cell>
          <cell r="F51">
            <v>8.61</v>
          </cell>
          <cell r="G51">
            <v>8.18</v>
          </cell>
          <cell r="H51">
            <v>7.41</v>
          </cell>
          <cell r="I51">
            <v>5.33</v>
          </cell>
          <cell r="J51">
            <v>3.75</v>
          </cell>
          <cell r="K51">
            <v>3.16</v>
          </cell>
          <cell r="L51">
            <v>2.2999999999999998</v>
          </cell>
          <cell r="M51">
            <v>2.99</v>
          </cell>
          <cell r="N51">
            <v>4.92</v>
          </cell>
          <cell r="O51">
            <v>6.12</v>
          </cell>
          <cell r="P51">
            <v>7.61</v>
          </cell>
          <cell r="Q51">
            <v>8.07</v>
          </cell>
          <cell r="R51">
            <v>8.5500000000000007</v>
          </cell>
          <cell r="S51">
            <v>8.7200000000000006</v>
          </cell>
          <cell r="T51">
            <v>9.39</v>
          </cell>
          <cell r="U51">
            <v>9.4600000000000009</v>
          </cell>
          <cell r="V51">
            <v>9.39</v>
          </cell>
          <cell r="W51">
            <v>8.7200000000000006</v>
          </cell>
          <cell r="X51">
            <v>8.5500000000000007</v>
          </cell>
          <cell r="Y51">
            <v>8.07</v>
          </cell>
          <cell r="Z51">
            <v>7.61</v>
          </cell>
          <cell r="AA51">
            <v>6.12</v>
          </cell>
          <cell r="AB51">
            <v>4.92</v>
          </cell>
          <cell r="AC51">
            <v>2.99</v>
          </cell>
          <cell r="AD51">
            <v>2.2999999999999998</v>
          </cell>
          <cell r="AE51">
            <v>3.16</v>
          </cell>
          <cell r="AF51">
            <v>3.75</v>
          </cell>
          <cell r="AG51">
            <v>5.33</v>
          </cell>
          <cell r="AH51">
            <v>7.41</v>
          </cell>
          <cell r="AI51">
            <v>8.18</v>
          </cell>
          <cell r="AJ51">
            <v>8.61</v>
          </cell>
          <cell r="AK51">
            <v>8.7200000000000006</v>
          </cell>
        </row>
        <row r="52">
          <cell r="B52" t="str">
            <v>SBNHH-1D45C</v>
          </cell>
          <cell r="C52">
            <v>15.1</v>
          </cell>
          <cell r="D52">
            <v>13.48</v>
          </cell>
          <cell r="E52">
            <v>12.15</v>
          </cell>
          <cell r="F52">
            <v>12</v>
          </cell>
          <cell r="G52">
            <v>11.42</v>
          </cell>
          <cell r="H52">
            <v>10.38</v>
          </cell>
          <cell r="I52">
            <v>7.52</v>
          </cell>
          <cell r="J52">
            <v>5.28</v>
          </cell>
          <cell r="K52">
            <v>4.46</v>
          </cell>
          <cell r="L52">
            <v>3.2</v>
          </cell>
          <cell r="M52">
            <v>4.2300000000000004</v>
          </cell>
          <cell r="N52">
            <v>6.93</v>
          </cell>
          <cell r="O52">
            <v>8.6300000000000008</v>
          </cell>
          <cell r="P52">
            <v>10.67</v>
          </cell>
          <cell r="Q52">
            <v>11.27</v>
          </cell>
          <cell r="R52">
            <v>11.92</v>
          </cell>
          <cell r="S52">
            <v>12.15</v>
          </cell>
          <cell r="T52">
            <v>13.07</v>
          </cell>
          <cell r="U52">
            <v>13.19</v>
          </cell>
          <cell r="V52">
            <v>13.07</v>
          </cell>
          <cell r="W52">
            <v>12.15</v>
          </cell>
          <cell r="X52">
            <v>11.92</v>
          </cell>
          <cell r="Y52">
            <v>11.27</v>
          </cell>
          <cell r="Z52">
            <v>10.67</v>
          </cell>
          <cell r="AA52">
            <v>8.6300000000000008</v>
          </cell>
          <cell r="AB52">
            <v>6.93</v>
          </cell>
          <cell r="AC52">
            <v>4.2300000000000004</v>
          </cell>
          <cell r="AD52">
            <v>3.2</v>
          </cell>
          <cell r="AE52">
            <v>4.46</v>
          </cell>
          <cell r="AF52">
            <v>5.28</v>
          </cell>
          <cell r="AG52">
            <v>7.52</v>
          </cell>
          <cell r="AH52">
            <v>10.38</v>
          </cell>
          <cell r="AI52">
            <v>11.42</v>
          </cell>
          <cell r="AJ52">
            <v>12</v>
          </cell>
          <cell r="AK52">
            <v>12.15</v>
          </cell>
        </row>
        <row r="53">
          <cell r="B53" t="str">
            <v>SBNHH-1D65A</v>
          </cell>
          <cell r="C53">
            <v>2</v>
          </cell>
          <cell r="D53">
            <v>3.24</v>
          </cell>
          <cell r="E53">
            <v>3.62</v>
          </cell>
          <cell r="F53">
            <v>3.64</v>
          </cell>
          <cell r="G53">
            <v>3.5</v>
          </cell>
          <cell r="H53">
            <v>2.91</v>
          </cell>
          <cell r="I53">
            <v>2.56</v>
          </cell>
          <cell r="J53">
            <v>2.2200000000000002</v>
          </cell>
          <cell r="K53">
            <v>1.9</v>
          </cell>
          <cell r="L53">
            <v>1.7</v>
          </cell>
          <cell r="M53">
            <v>2.09</v>
          </cell>
          <cell r="N53">
            <v>2.0299999999999998</v>
          </cell>
          <cell r="O53">
            <v>2.61</v>
          </cell>
          <cell r="P53">
            <v>3.41</v>
          </cell>
          <cell r="Q53">
            <v>4.03</v>
          </cell>
          <cell r="R53">
            <v>3.92</v>
          </cell>
          <cell r="S53">
            <v>3.58</v>
          </cell>
          <cell r="T53">
            <v>2.4500000000000002</v>
          </cell>
          <cell r="U53">
            <v>2.11</v>
          </cell>
          <cell r="V53">
            <v>2.4500000000000002</v>
          </cell>
          <cell r="W53">
            <v>3.58</v>
          </cell>
          <cell r="X53">
            <v>3.92</v>
          </cell>
          <cell r="Y53">
            <v>4.03</v>
          </cell>
          <cell r="Z53">
            <v>3.41</v>
          </cell>
          <cell r="AA53">
            <v>2.61</v>
          </cell>
          <cell r="AB53">
            <v>2.0299999999999998</v>
          </cell>
          <cell r="AC53">
            <v>2.09</v>
          </cell>
          <cell r="AD53">
            <v>1.7</v>
          </cell>
          <cell r="AE53">
            <v>1.9</v>
          </cell>
          <cell r="AF53">
            <v>2.2200000000000002</v>
          </cell>
          <cell r="AG53">
            <v>2.56</v>
          </cell>
          <cell r="AH53">
            <v>2.91</v>
          </cell>
          <cell r="AI53">
            <v>3.5</v>
          </cell>
          <cell r="AJ53">
            <v>3.64</v>
          </cell>
          <cell r="AK53">
            <v>3.62</v>
          </cell>
        </row>
        <row r="54">
          <cell r="B54" t="str">
            <v>SBNHH-1D65B</v>
          </cell>
          <cell r="C54">
            <v>2.9</v>
          </cell>
          <cell r="D54">
            <v>4.45</v>
          </cell>
          <cell r="E54">
            <v>4.96</v>
          </cell>
          <cell r="F54">
            <v>5</v>
          </cell>
          <cell r="G54">
            <v>4.82</v>
          </cell>
          <cell r="H54">
            <v>4.01</v>
          </cell>
          <cell r="I54">
            <v>3.54</v>
          </cell>
          <cell r="J54">
            <v>3.07</v>
          </cell>
          <cell r="K54">
            <v>2.62</v>
          </cell>
          <cell r="L54">
            <v>2.4</v>
          </cell>
          <cell r="M54">
            <v>2.88</v>
          </cell>
          <cell r="N54">
            <v>2.81</v>
          </cell>
          <cell r="O54">
            <v>3.61</v>
          </cell>
          <cell r="P54">
            <v>4.7</v>
          </cell>
          <cell r="Q54">
            <v>5.55</v>
          </cell>
          <cell r="R54">
            <v>5.38</v>
          </cell>
          <cell r="S54">
            <v>4.92</v>
          </cell>
          <cell r="T54">
            <v>3.37</v>
          </cell>
          <cell r="U54">
            <v>2.9</v>
          </cell>
          <cell r="V54">
            <v>3.37</v>
          </cell>
          <cell r="W54">
            <v>4.92</v>
          </cell>
          <cell r="X54">
            <v>5.38</v>
          </cell>
          <cell r="Y54">
            <v>5.55</v>
          </cell>
          <cell r="Z54">
            <v>4.7</v>
          </cell>
          <cell r="AA54">
            <v>3.61</v>
          </cell>
          <cell r="AB54">
            <v>2.81</v>
          </cell>
          <cell r="AC54">
            <v>2.88</v>
          </cell>
          <cell r="AD54">
            <v>2.4</v>
          </cell>
          <cell r="AE54">
            <v>2.62</v>
          </cell>
          <cell r="AF54">
            <v>3.07</v>
          </cell>
          <cell r="AG54">
            <v>3.54</v>
          </cell>
          <cell r="AH54">
            <v>4.01</v>
          </cell>
          <cell r="AI54">
            <v>4.82</v>
          </cell>
          <cell r="AJ54">
            <v>5</v>
          </cell>
          <cell r="AK54">
            <v>4.96</v>
          </cell>
        </row>
        <row r="55">
          <cell r="B55" t="str">
            <v>SBNHH-1D65C</v>
          </cell>
          <cell r="C55">
            <v>4</v>
          </cell>
          <cell r="D55">
            <v>6.23</v>
          </cell>
          <cell r="E55">
            <v>6.95</v>
          </cell>
          <cell r="F55">
            <v>7</v>
          </cell>
          <cell r="G55">
            <v>6.74</v>
          </cell>
          <cell r="H55">
            <v>5.6</v>
          </cell>
          <cell r="I55">
            <v>4.95</v>
          </cell>
          <cell r="J55">
            <v>4.3099999999999996</v>
          </cell>
          <cell r="K55">
            <v>3.7</v>
          </cell>
          <cell r="L55">
            <v>3.3</v>
          </cell>
          <cell r="M55">
            <v>4.08</v>
          </cell>
          <cell r="N55">
            <v>3.95</v>
          </cell>
          <cell r="O55">
            <v>5.05</v>
          </cell>
          <cell r="P55">
            <v>6.57</v>
          </cell>
          <cell r="Q55">
            <v>7.77</v>
          </cell>
          <cell r="R55">
            <v>7.53</v>
          </cell>
          <cell r="S55">
            <v>6.89</v>
          </cell>
          <cell r="T55">
            <v>4.72</v>
          </cell>
          <cell r="U55">
            <v>4.0599999999999996</v>
          </cell>
          <cell r="V55">
            <v>4.72</v>
          </cell>
          <cell r="W55">
            <v>6.89</v>
          </cell>
          <cell r="X55">
            <v>7.53</v>
          </cell>
          <cell r="Y55">
            <v>7.77</v>
          </cell>
          <cell r="Z55">
            <v>6.57</v>
          </cell>
          <cell r="AA55">
            <v>5.05</v>
          </cell>
          <cell r="AB55">
            <v>3.95</v>
          </cell>
          <cell r="AC55">
            <v>4.08</v>
          </cell>
          <cell r="AD55">
            <v>3.3</v>
          </cell>
          <cell r="AE55">
            <v>3.7</v>
          </cell>
          <cell r="AF55">
            <v>4.3099999999999996</v>
          </cell>
          <cell r="AG55">
            <v>4.95</v>
          </cell>
          <cell r="AH55">
            <v>5.6</v>
          </cell>
          <cell r="AI55">
            <v>6.74</v>
          </cell>
          <cell r="AJ55">
            <v>7</v>
          </cell>
          <cell r="AK55">
            <v>6.95</v>
          </cell>
        </row>
        <row r="56">
          <cell r="B56" t="str">
            <v>SBNHH-1D85A</v>
          </cell>
          <cell r="C56">
            <v>1.7</v>
          </cell>
          <cell r="D56">
            <v>2.73</v>
          </cell>
          <cell r="E56">
            <v>3.05</v>
          </cell>
          <cell r="F56">
            <v>3.07</v>
          </cell>
          <cell r="G56">
            <v>2.96</v>
          </cell>
          <cell r="H56">
            <v>2.4500000000000002</v>
          </cell>
          <cell r="I56">
            <v>2.15</v>
          </cell>
          <cell r="J56">
            <v>1.86</v>
          </cell>
          <cell r="K56">
            <v>1.59</v>
          </cell>
          <cell r="L56">
            <v>1.4</v>
          </cell>
          <cell r="M56">
            <v>1.75</v>
          </cell>
          <cell r="N56">
            <v>1.71</v>
          </cell>
          <cell r="O56">
            <v>2.2000000000000002</v>
          </cell>
          <cell r="P56">
            <v>2.87</v>
          </cell>
          <cell r="Q56">
            <v>3.4</v>
          </cell>
          <cell r="R56">
            <v>3.31</v>
          </cell>
          <cell r="S56">
            <v>3.03</v>
          </cell>
          <cell r="T56">
            <v>2.0699999999999998</v>
          </cell>
          <cell r="U56">
            <v>1.78</v>
          </cell>
          <cell r="V56">
            <v>2.0699999999999998</v>
          </cell>
          <cell r="W56">
            <v>3.03</v>
          </cell>
          <cell r="X56">
            <v>3.31</v>
          </cell>
          <cell r="Y56">
            <v>3.4</v>
          </cell>
          <cell r="Z56">
            <v>2.87</v>
          </cell>
          <cell r="AA56">
            <v>2.2000000000000002</v>
          </cell>
          <cell r="AB56">
            <v>1.71</v>
          </cell>
          <cell r="AC56">
            <v>1.75</v>
          </cell>
          <cell r="AD56">
            <v>1.4</v>
          </cell>
          <cell r="AE56">
            <v>1.59</v>
          </cell>
          <cell r="AF56">
            <v>1.86</v>
          </cell>
          <cell r="AG56">
            <v>2.15</v>
          </cell>
          <cell r="AH56">
            <v>2.4500000000000002</v>
          </cell>
          <cell r="AI56">
            <v>2.96</v>
          </cell>
          <cell r="AJ56">
            <v>3.07</v>
          </cell>
          <cell r="AK56">
            <v>3.05</v>
          </cell>
        </row>
        <row r="57">
          <cell r="B57" t="str">
            <v>SBNHH-1D85B</v>
          </cell>
          <cell r="C57">
            <v>2.9</v>
          </cell>
          <cell r="D57">
            <v>4.45</v>
          </cell>
          <cell r="E57">
            <v>4.96</v>
          </cell>
          <cell r="F57">
            <v>5</v>
          </cell>
          <cell r="G57">
            <v>4.82</v>
          </cell>
          <cell r="H57">
            <v>4.01</v>
          </cell>
          <cell r="I57">
            <v>3.54</v>
          </cell>
          <cell r="J57">
            <v>3.07</v>
          </cell>
          <cell r="K57">
            <v>2.62</v>
          </cell>
          <cell r="L57">
            <v>2.4</v>
          </cell>
          <cell r="M57">
            <v>2.88</v>
          </cell>
          <cell r="N57">
            <v>2.81</v>
          </cell>
          <cell r="O57">
            <v>3.61</v>
          </cell>
          <cell r="P57">
            <v>4.7</v>
          </cell>
          <cell r="Q57">
            <v>5.55</v>
          </cell>
          <cell r="R57">
            <v>5.38</v>
          </cell>
          <cell r="S57">
            <v>4.92</v>
          </cell>
          <cell r="T57">
            <v>3.37</v>
          </cell>
          <cell r="U57">
            <v>2.9</v>
          </cell>
          <cell r="V57">
            <v>3.37</v>
          </cell>
          <cell r="W57">
            <v>4.92</v>
          </cell>
          <cell r="X57">
            <v>5.38</v>
          </cell>
          <cell r="Y57">
            <v>5.55</v>
          </cell>
          <cell r="Z57">
            <v>4.7</v>
          </cell>
          <cell r="AA57">
            <v>3.61</v>
          </cell>
          <cell r="AB57">
            <v>2.81</v>
          </cell>
          <cell r="AC57">
            <v>2.88</v>
          </cell>
          <cell r="AD57">
            <v>2.4</v>
          </cell>
          <cell r="AE57">
            <v>2.62</v>
          </cell>
          <cell r="AF57">
            <v>3.07</v>
          </cell>
          <cell r="AG57">
            <v>3.54</v>
          </cell>
          <cell r="AH57">
            <v>4.01</v>
          </cell>
          <cell r="AI57">
            <v>4.82</v>
          </cell>
          <cell r="AJ57">
            <v>5</v>
          </cell>
          <cell r="AK57">
            <v>4.96</v>
          </cell>
        </row>
        <row r="58">
          <cell r="B58" t="str">
            <v>SBNHH-1D85C</v>
          </cell>
          <cell r="C58">
            <v>4</v>
          </cell>
          <cell r="D58">
            <v>6.19</v>
          </cell>
          <cell r="E58">
            <v>6.9</v>
          </cell>
          <cell r="F58">
            <v>6.95</v>
          </cell>
          <cell r="G58">
            <v>6.7</v>
          </cell>
          <cell r="H58">
            <v>5.56</v>
          </cell>
          <cell r="I58">
            <v>4.92</v>
          </cell>
          <cell r="J58">
            <v>4.28</v>
          </cell>
          <cell r="K58">
            <v>3.67</v>
          </cell>
          <cell r="L58">
            <v>3.3</v>
          </cell>
          <cell r="M58">
            <v>4.05</v>
          </cell>
          <cell r="N58">
            <v>3.92</v>
          </cell>
          <cell r="O58">
            <v>5.0199999999999996</v>
          </cell>
          <cell r="P58">
            <v>6.52</v>
          </cell>
          <cell r="Q58">
            <v>7.71</v>
          </cell>
          <cell r="R58">
            <v>7.48</v>
          </cell>
          <cell r="S58">
            <v>6.84</v>
          </cell>
          <cell r="T58">
            <v>4.68</v>
          </cell>
          <cell r="U58">
            <v>4.03</v>
          </cell>
          <cell r="V58">
            <v>4.68</v>
          </cell>
          <cell r="W58">
            <v>6.84</v>
          </cell>
          <cell r="X58">
            <v>7.48</v>
          </cell>
          <cell r="Y58">
            <v>7.71</v>
          </cell>
          <cell r="Z58">
            <v>6.52</v>
          </cell>
          <cell r="AA58">
            <v>5.0199999999999996</v>
          </cell>
          <cell r="AB58">
            <v>3.92</v>
          </cell>
          <cell r="AC58">
            <v>4.05</v>
          </cell>
          <cell r="AD58">
            <v>3.3</v>
          </cell>
          <cell r="AE58">
            <v>3.67</v>
          </cell>
          <cell r="AF58">
            <v>4.28</v>
          </cell>
          <cell r="AG58">
            <v>4.92</v>
          </cell>
          <cell r="AH58">
            <v>5.56</v>
          </cell>
          <cell r="AI58">
            <v>6.7</v>
          </cell>
          <cell r="AJ58">
            <v>6.95</v>
          </cell>
          <cell r="AK58">
            <v>6.9</v>
          </cell>
        </row>
        <row r="59">
          <cell r="B59" t="str">
            <v>FFVV-65C-R2-HG</v>
          </cell>
          <cell r="C59">
            <v>9.98</v>
          </cell>
          <cell r="D59">
            <v>10.88</v>
          </cell>
          <cell r="E59">
            <v>11.82</v>
          </cell>
          <cell r="F59">
            <v>11.3</v>
          </cell>
          <cell r="G59">
            <v>9.06</v>
          </cell>
          <cell r="H59">
            <v>8.85</v>
          </cell>
          <cell r="I59">
            <v>7.3</v>
          </cell>
          <cell r="J59">
            <v>4.46</v>
          </cell>
          <cell r="K59">
            <v>2.85</v>
          </cell>
          <cell r="L59">
            <v>2.94</v>
          </cell>
          <cell r="M59">
            <v>3.15</v>
          </cell>
          <cell r="N59">
            <v>5.18</v>
          </cell>
          <cell r="O59">
            <v>11.36</v>
          </cell>
          <cell r="P59">
            <v>12.82</v>
          </cell>
          <cell r="Q59">
            <v>12.34</v>
          </cell>
          <cell r="R59">
            <v>11.82</v>
          </cell>
          <cell r="S59">
            <v>10.53</v>
          </cell>
          <cell r="T59">
            <v>8.6199999999999992</v>
          </cell>
          <cell r="U59">
            <v>6.23</v>
          </cell>
          <cell r="V59">
            <v>8.6199999999999992</v>
          </cell>
          <cell r="W59">
            <v>10.53</v>
          </cell>
          <cell r="X59">
            <v>11.82</v>
          </cell>
          <cell r="Y59">
            <v>12.34</v>
          </cell>
          <cell r="Z59">
            <v>12.82</v>
          </cell>
          <cell r="AA59">
            <v>11.36</v>
          </cell>
          <cell r="AB59">
            <v>5.18</v>
          </cell>
          <cell r="AC59">
            <v>3.15</v>
          </cell>
          <cell r="AD59">
            <v>2.94</v>
          </cell>
          <cell r="AE59">
            <v>2.85</v>
          </cell>
          <cell r="AF59">
            <v>4.46</v>
          </cell>
          <cell r="AG59">
            <v>7.3</v>
          </cell>
          <cell r="AH59">
            <v>8.85</v>
          </cell>
          <cell r="AI59">
            <v>9.06</v>
          </cell>
          <cell r="AJ59">
            <v>11.3</v>
          </cell>
          <cell r="AK59">
            <v>11.82</v>
          </cell>
        </row>
        <row r="60">
          <cell r="B60" t="str">
            <v>FFVV-65B-R2-HG</v>
          </cell>
          <cell r="C60">
            <v>7.23</v>
          </cell>
          <cell r="D60">
            <v>7.89</v>
          </cell>
          <cell r="E60">
            <v>8.57</v>
          </cell>
          <cell r="F60">
            <v>8.19</v>
          </cell>
          <cell r="G60">
            <v>6.55</v>
          </cell>
          <cell r="H60">
            <v>6.38</v>
          </cell>
          <cell r="I60">
            <v>5.24</v>
          </cell>
          <cell r="J60">
            <v>3.18</v>
          </cell>
          <cell r="K60">
            <v>2.02</v>
          </cell>
          <cell r="L60">
            <v>2.08</v>
          </cell>
          <cell r="M60">
            <v>2.23</v>
          </cell>
          <cell r="N60">
            <v>3.69</v>
          </cell>
          <cell r="O60">
            <v>8.16</v>
          </cell>
          <cell r="P60">
            <v>9.24</v>
          </cell>
          <cell r="Q60">
            <v>8.92</v>
          </cell>
          <cell r="R60">
            <v>8.56</v>
          </cell>
          <cell r="S60">
            <v>7.63</v>
          </cell>
          <cell r="T60">
            <v>6.25</v>
          </cell>
          <cell r="U60">
            <v>4.5199999999999996</v>
          </cell>
          <cell r="V60">
            <v>6.25</v>
          </cell>
          <cell r="W60">
            <v>7.63</v>
          </cell>
          <cell r="X60">
            <v>8.56</v>
          </cell>
          <cell r="Y60">
            <v>8.92</v>
          </cell>
          <cell r="Z60">
            <v>9.24</v>
          </cell>
          <cell r="AA60">
            <v>8.16</v>
          </cell>
          <cell r="AB60">
            <v>3.69</v>
          </cell>
          <cell r="AC60">
            <v>2.23</v>
          </cell>
          <cell r="AD60">
            <v>2.08</v>
          </cell>
          <cell r="AE60">
            <v>2.02</v>
          </cell>
          <cell r="AF60">
            <v>3.18</v>
          </cell>
          <cell r="AG60">
            <v>5.24</v>
          </cell>
          <cell r="AH60">
            <v>6.38</v>
          </cell>
          <cell r="AI60">
            <v>6.55</v>
          </cell>
          <cell r="AJ60">
            <v>8.19</v>
          </cell>
          <cell r="AK60">
            <v>8.57</v>
          </cell>
        </row>
        <row r="61">
          <cell r="B61" t="str">
            <v>FFV4-65B-R3-HG</v>
          </cell>
          <cell r="C61">
            <v>7.23</v>
          </cell>
          <cell r="D61">
            <v>7.89</v>
          </cell>
          <cell r="E61">
            <v>8.57</v>
          </cell>
          <cell r="F61">
            <v>8.19</v>
          </cell>
          <cell r="G61">
            <v>6.55</v>
          </cell>
          <cell r="H61">
            <v>6.38</v>
          </cell>
          <cell r="I61">
            <v>5.24</v>
          </cell>
          <cell r="J61">
            <v>3.18</v>
          </cell>
          <cell r="K61">
            <v>2.02</v>
          </cell>
          <cell r="L61">
            <v>2.08</v>
          </cell>
          <cell r="M61">
            <v>2.23</v>
          </cell>
          <cell r="N61">
            <v>3.69</v>
          </cell>
          <cell r="O61">
            <v>8.16</v>
          </cell>
          <cell r="P61">
            <v>9.24</v>
          </cell>
          <cell r="Q61">
            <v>8.92</v>
          </cell>
          <cell r="R61">
            <v>8.56</v>
          </cell>
          <cell r="S61">
            <v>7.63</v>
          </cell>
          <cell r="T61">
            <v>6.25</v>
          </cell>
          <cell r="U61">
            <v>4.5199999999999996</v>
          </cell>
          <cell r="V61">
            <v>6.25</v>
          </cell>
          <cell r="W61">
            <v>7.63</v>
          </cell>
          <cell r="X61">
            <v>8.56</v>
          </cell>
          <cell r="Y61">
            <v>8.92</v>
          </cell>
          <cell r="Z61">
            <v>9.24</v>
          </cell>
          <cell r="AA61">
            <v>8.16</v>
          </cell>
          <cell r="AB61">
            <v>3.69</v>
          </cell>
          <cell r="AC61">
            <v>2.23</v>
          </cell>
          <cell r="AD61">
            <v>2.08</v>
          </cell>
          <cell r="AE61">
            <v>2.02</v>
          </cell>
          <cell r="AF61">
            <v>3.18</v>
          </cell>
          <cell r="AG61">
            <v>5.24</v>
          </cell>
          <cell r="AH61">
            <v>6.38</v>
          </cell>
          <cell r="AI61">
            <v>6.55</v>
          </cell>
          <cell r="AJ61">
            <v>8.19</v>
          </cell>
          <cell r="AK61">
            <v>8.57</v>
          </cell>
        </row>
        <row r="62">
          <cell r="B62" t="str">
            <v>NNH4-65C-R6-V4</v>
          </cell>
          <cell r="C62">
            <v>8.6999999999999993</v>
          </cell>
          <cell r="D62">
            <v>10.5</v>
          </cell>
          <cell r="E62">
            <v>9.6</v>
          </cell>
          <cell r="F62">
            <v>9.6999999999999993</v>
          </cell>
          <cell r="G62">
            <v>7.7</v>
          </cell>
          <cell r="H62">
            <v>7.6</v>
          </cell>
          <cell r="I62">
            <v>6</v>
          </cell>
          <cell r="J62">
            <v>4.3</v>
          </cell>
          <cell r="K62">
            <v>3</v>
          </cell>
          <cell r="L62">
            <v>2.7</v>
          </cell>
          <cell r="M62">
            <v>3.3</v>
          </cell>
          <cell r="N62">
            <v>6.3</v>
          </cell>
          <cell r="O62">
            <v>8.6</v>
          </cell>
          <cell r="P62">
            <v>10.5</v>
          </cell>
          <cell r="Q62">
            <v>10.1</v>
          </cell>
          <cell r="R62">
            <v>9.8000000000000007</v>
          </cell>
          <cell r="S62">
            <v>8.6</v>
          </cell>
          <cell r="T62">
            <v>5.9</v>
          </cell>
          <cell r="U62">
            <v>6.1</v>
          </cell>
          <cell r="V62">
            <v>5.9</v>
          </cell>
          <cell r="W62">
            <v>8.6</v>
          </cell>
          <cell r="X62">
            <v>9.8000000000000007</v>
          </cell>
          <cell r="Y62">
            <v>10.1</v>
          </cell>
          <cell r="Z62">
            <v>10.5</v>
          </cell>
          <cell r="AA62">
            <v>8.6</v>
          </cell>
          <cell r="AB62">
            <v>6.3</v>
          </cell>
          <cell r="AC62">
            <v>3.3</v>
          </cell>
          <cell r="AD62">
            <v>2.7</v>
          </cell>
          <cell r="AE62">
            <v>3</v>
          </cell>
          <cell r="AF62">
            <v>4.3</v>
          </cell>
          <cell r="AG62">
            <v>6</v>
          </cell>
          <cell r="AH62">
            <v>7.6</v>
          </cell>
          <cell r="AI62">
            <v>7.7</v>
          </cell>
          <cell r="AJ62">
            <v>9.6999999999999993</v>
          </cell>
          <cell r="AK62">
            <v>9.6</v>
          </cell>
        </row>
        <row r="63">
          <cell r="B63" t="str">
            <v>NNHH-65A-R4-UPM</v>
          </cell>
          <cell r="C63">
            <v>5.53</v>
          </cell>
          <cell r="D63">
            <v>7.02</v>
          </cell>
          <cell r="E63">
            <v>6.88</v>
          </cell>
          <cell r="F63">
            <v>7.01</v>
          </cell>
          <cell r="G63">
            <v>5.47</v>
          </cell>
          <cell r="H63">
            <v>5.28</v>
          </cell>
          <cell r="I63">
            <v>5.1100000000000003</v>
          </cell>
          <cell r="J63">
            <v>4.22</v>
          </cell>
          <cell r="K63">
            <v>3.17</v>
          </cell>
          <cell r="L63">
            <v>1.96</v>
          </cell>
          <cell r="M63">
            <v>2.1800000000000002</v>
          </cell>
          <cell r="N63">
            <v>2.8</v>
          </cell>
          <cell r="O63">
            <v>5.12</v>
          </cell>
          <cell r="P63">
            <v>5.52</v>
          </cell>
          <cell r="Q63">
            <v>6.05</v>
          </cell>
          <cell r="R63">
            <v>7.36</v>
          </cell>
          <cell r="S63">
            <v>6.55</v>
          </cell>
          <cell r="T63">
            <v>9.5500000000000007</v>
          </cell>
          <cell r="U63">
            <v>8.26</v>
          </cell>
          <cell r="V63">
            <v>9.5500000000000007</v>
          </cell>
          <cell r="W63">
            <v>6.55</v>
          </cell>
          <cell r="X63">
            <v>7.36</v>
          </cell>
          <cell r="Y63">
            <v>6.05</v>
          </cell>
          <cell r="Z63">
            <v>5.52</v>
          </cell>
          <cell r="AA63">
            <v>5.12</v>
          </cell>
          <cell r="AB63">
            <v>2.8</v>
          </cell>
          <cell r="AC63">
            <v>2.1800000000000002</v>
          </cell>
          <cell r="AD63">
            <v>1.96</v>
          </cell>
          <cell r="AE63">
            <v>3.17</v>
          </cell>
          <cell r="AF63">
            <v>4.22</v>
          </cell>
          <cell r="AG63">
            <v>5.1100000000000003</v>
          </cell>
          <cell r="AH63">
            <v>5.28</v>
          </cell>
          <cell r="AI63">
            <v>5.47</v>
          </cell>
          <cell r="AJ63">
            <v>7.01</v>
          </cell>
          <cell r="AK63">
            <v>6.88</v>
          </cell>
        </row>
        <row r="64">
          <cell r="B64" t="str">
            <v>NNH4-65B-R3-UPM</v>
          </cell>
          <cell r="C64">
            <v>6.78</v>
          </cell>
          <cell r="D64">
            <v>8.6</v>
          </cell>
          <cell r="E64">
            <v>8.42</v>
          </cell>
          <cell r="F64">
            <v>8.59</v>
          </cell>
          <cell r="G64">
            <v>6.71</v>
          </cell>
          <cell r="H64">
            <v>6.49</v>
          </cell>
          <cell r="I64">
            <v>6.29</v>
          </cell>
          <cell r="J64">
            <v>5.23</v>
          </cell>
          <cell r="K64">
            <v>3.94</v>
          </cell>
          <cell r="L64">
            <v>2.4</v>
          </cell>
          <cell r="M64">
            <v>2.71</v>
          </cell>
          <cell r="N64">
            <v>3.46</v>
          </cell>
          <cell r="O64">
            <v>6.31</v>
          </cell>
          <cell r="P64">
            <v>6.78</v>
          </cell>
          <cell r="Q64">
            <v>7.42</v>
          </cell>
          <cell r="R64">
            <v>9.02</v>
          </cell>
          <cell r="S64">
            <v>11.31</v>
          </cell>
          <cell r="T64">
            <v>11.69</v>
          </cell>
          <cell r="U64">
            <v>10.119999999999999</v>
          </cell>
          <cell r="V64">
            <v>11.69</v>
          </cell>
          <cell r="W64">
            <v>11.31</v>
          </cell>
          <cell r="X64">
            <v>9.02</v>
          </cell>
          <cell r="Y64">
            <v>7.42</v>
          </cell>
          <cell r="Z64">
            <v>6.78</v>
          </cell>
          <cell r="AA64">
            <v>6.31</v>
          </cell>
          <cell r="AB64">
            <v>3.46</v>
          </cell>
          <cell r="AC64">
            <v>2.71</v>
          </cell>
          <cell r="AD64">
            <v>2.4</v>
          </cell>
          <cell r="AE64">
            <v>3.94</v>
          </cell>
          <cell r="AF64">
            <v>5.23</v>
          </cell>
          <cell r="AG64">
            <v>6.29</v>
          </cell>
          <cell r="AH64">
            <v>6.49</v>
          </cell>
          <cell r="AI64">
            <v>6.71</v>
          </cell>
          <cell r="AJ64">
            <v>8.59</v>
          </cell>
          <cell r="AK64">
            <v>8.42</v>
          </cell>
        </row>
        <row r="65">
          <cell r="B65" t="str">
            <v>NNHH-65B-R2-UPM</v>
          </cell>
          <cell r="C65">
            <v>6.86</v>
          </cell>
          <cell r="D65">
            <v>8.6999999999999993</v>
          </cell>
          <cell r="E65">
            <v>8.52</v>
          </cell>
          <cell r="F65">
            <v>8.6999999999999993</v>
          </cell>
          <cell r="G65">
            <v>6.79</v>
          </cell>
          <cell r="H65">
            <v>6.57</v>
          </cell>
          <cell r="I65">
            <v>6.38</v>
          </cell>
          <cell r="J65">
            <v>5.29</v>
          </cell>
          <cell r="K65">
            <v>3.99</v>
          </cell>
          <cell r="L65">
            <v>2.48</v>
          </cell>
          <cell r="M65">
            <v>2.74</v>
          </cell>
          <cell r="N65">
            <v>3.51</v>
          </cell>
          <cell r="O65">
            <v>6.39</v>
          </cell>
          <cell r="P65">
            <v>6.89</v>
          </cell>
          <cell r="Q65">
            <v>7.51</v>
          </cell>
          <cell r="R65">
            <v>9.1300000000000008</v>
          </cell>
          <cell r="S65">
            <v>11.45</v>
          </cell>
          <cell r="T65">
            <v>11.84</v>
          </cell>
          <cell r="U65">
            <v>10.24</v>
          </cell>
          <cell r="V65">
            <v>11.84</v>
          </cell>
          <cell r="W65">
            <v>11.45</v>
          </cell>
          <cell r="X65">
            <v>9.1300000000000008</v>
          </cell>
          <cell r="Y65">
            <v>7.51</v>
          </cell>
          <cell r="Z65">
            <v>6.89</v>
          </cell>
          <cell r="AA65">
            <v>6.39</v>
          </cell>
          <cell r="AB65">
            <v>3.51</v>
          </cell>
          <cell r="AC65">
            <v>2.74</v>
          </cell>
          <cell r="AD65">
            <v>2.48</v>
          </cell>
          <cell r="AE65">
            <v>3.99</v>
          </cell>
          <cell r="AF65">
            <v>5.29</v>
          </cell>
          <cell r="AG65">
            <v>6.38</v>
          </cell>
          <cell r="AH65">
            <v>6.57</v>
          </cell>
          <cell r="AI65">
            <v>6.79</v>
          </cell>
          <cell r="AJ65">
            <v>8.6999999999999993</v>
          </cell>
          <cell r="AK65">
            <v>8.52</v>
          </cell>
        </row>
        <row r="66">
          <cell r="B66" t="str">
            <v>NNH4-65C-R6-UPM</v>
          </cell>
          <cell r="C66">
            <v>9.43</v>
          </cell>
          <cell r="D66">
            <v>11.95</v>
          </cell>
          <cell r="E66">
            <v>11.7</v>
          </cell>
          <cell r="F66">
            <v>11.95</v>
          </cell>
          <cell r="G66">
            <v>9.35</v>
          </cell>
          <cell r="H66">
            <v>9.07</v>
          </cell>
          <cell r="I66">
            <v>8.85</v>
          </cell>
          <cell r="J66">
            <v>7.38</v>
          </cell>
          <cell r="K66">
            <v>5.56</v>
          </cell>
          <cell r="L66">
            <v>3.51</v>
          </cell>
          <cell r="M66">
            <v>3.82</v>
          </cell>
          <cell r="N66">
            <v>4.8899999999999997</v>
          </cell>
          <cell r="O66">
            <v>8.8800000000000008</v>
          </cell>
          <cell r="P66">
            <v>9.48</v>
          </cell>
          <cell r="Q66">
            <v>10.34</v>
          </cell>
          <cell r="R66">
            <v>12.54</v>
          </cell>
          <cell r="S66">
            <v>15.73</v>
          </cell>
          <cell r="T66">
            <v>16.25</v>
          </cell>
          <cell r="U66">
            <v>14.09</v>
          </cell>
          <cell r="V66">
            <v>16.25</v>
          </cell>
          <cell r="W66">
            <v>15.73</v>
          </cell>
          <cell r="X66">
            <v>12.54</v>
          </cell>
          <cell r="Y66">
            <v>10.34</v>
          </cell>
          <cell r="Z66">
            <v>9.48</v>
          </cell>
          <cell r="AA66">
            <v>8.8800000000000008</v>
          </cell>
          <cell r="AB66">
            <v>4.8899999999999997</v>
          </cell>
          <cell r="AC66">
            <v>3.82</v>
          </cell>
          <cell r="AD66">
            <v>3.51</v>
          </cell>
          <cell r="AE66">
            <v>5.56</v>
          </cell>
          <cell r="AF66">
            <v>7.38</v>
          </cell>
          <cell r="AG66">
            <v>8.85</v>
          </cell>
          <cell r="AH66">
            <v>9.07</v>
          </cell>
          <cell r="AI66">
            <v>9.35</v>
          </cell>
          <cell r="AJ66">
            <v>11.95</v>
          </cell>
          <cell r="AK66">
            <v>11.7</v>
          </cell>
        </row>
        <row r="67">
          <cell r="B67" t="str">
            <v>NNHH-65C-R2-UPM</v>
          </cell>
          <cell r="C67">
            <v>9.43</v>
          </cell>
          <cell r="D67">
            <v>11.95</v>
          </cell>
          <cell r="E67">
            <v>11.7</v>
          </cell>
          <cell r="F67">
            <v>11.95</v>
          </cell>
          <cell r="G67">
            <v>9.35</v>
          </cell>
          <cell r="H67">
            <v>9.07</v>
          </cell>
          <cell r="I67">
            <v>8.85</v>
          </cell>
          <cell r="J67">
            <v>7.38</v>
          </cell>
          <cell r="K67">
            <v>5.56</v>
          </cell>
          <cell r="L67">
            <v>3.51</v>
          </cell>
          <cell r="M67">
            <v>3.82</v>
          </cell>
          <cell r="N67">
            <v>4.8899999999999997</v>
          </cell>
          <cell r="O67">
            <v>8.8800000000000008</v>
          </cell>
          <cell r="P67">
            <v>9.48</v>
          </cell>
          <cell r="Q67">
            <v>10.34</v>
          </cell>
          <cell r="R67">
            <v>12.54</v>
          </cell>
          <cell r="S67">
            <v>15.73</v>
          </cell>
          <cell r="T67">
            <v>16.25</v>
          </cell>
          <cell r="U67">
            <v>14.09</v>
          </cell>
          <cell r="V67">
            <v>16.25</v>
          </cell>
          <cell r="W67">
            <v>15.73</v>
          </cell>
          <cell r="X67">
            <v>12.54</v>
          </cell>
          <cell r="Y67">
            <v>10.34</v>
          </cell>
          <cell r="Z67">
            <v>9.48</v>
          </cell>
          <cell r="AA67">
            <v>8.8800000000000008</v>
          </cell>
          <cell r="AB67">
            <v>4.8899999999999997</v>
          </cell>
          <cell r="AC67">
            <v>3.82</v>
          </cell>
          <cell r="AD67">
            <v>3.51</v>
          </cell>
          <cell r="AE67">
            <v>5.56</v>
          </cell>
          <cell r="AF67">
            <v>7.38</v>
          </cell>
          <cell r="AG67">
            <v>8.85</v>
          </cell>
          <cell r="AH67">
            <v>9.07</v>
          </cell>
          <cell r="AI67">
            <v>9.35</v>
          </cell>
          <cell r="AJ67">
            <v>11.95</v>
          </cell>
          <cell r="AK67">
            <v>11.7</v>
          </cell>
        </row>
        <row r="68">
          <cell r="B68" t="str">
            <v>AIR6472 B77G B77M</v>
          </cell>
          <cell r="C68">
            <v>4.9400000000000004</v>
          </cell>
          <cell r="D68">
            <v>4.8</v>
          </cell>
          <cell r="E68">
            <v>4.42</v>
          </cell>
          <cell r="F68">
            <v>3.86</v>
          </cell>
          <cell r="G68">
            <v>3.33</v>
          </cell>
          <cell r="H68">
            <v>2.91</v>
          </cell>
          <cell r="I68">
            <v>2.42</v>
          </cell>
          <cell r="J68">
            <v>1.94</v>
          </cell>
          <cell r="K68">
            <v>1.59</v>
          </cell>
          <cell r="L68">
            <v>1.65</v>
          </cell>
          <cell r="M68">
            <v>1.95</v>
          </cell>
          <cell r="N68">
            <v>2.1800000000000002</v>
          </cell>
          <cell r="O68">
            <v>2.4500000000000002</v>
          </cell>
          <cell r="P68">
            <v>2.8</v>
          </cell>
          <cell r="Q68">
            <v>3.1</v>
          </cell>
          <cell r="R68">
            <v>3.31</v>
          </cell>
          <cell r="S68">
            <v>3.47</v>
          </cell>
          <cell r="T68">
            <v>3.46</v>
          </cell>
          <cell r="U68">
            <v>3.1</v>
          </cell>
          <cell r="V68">
            <v>3.46</v>
          </cell>
          <cell r="W68">
            <v>3.47</v>
          </cell>
          <cell r="X68">
            <v>3.31</v>
          </cell>
          <cell r="Y68">
            <v>3.1</v>
          </cell>
          <cell r="Z68">
            <v>2.8</v>
          </cell>
          <cell r="AA68">
            <v>2.4500000000000002</v>
          </cell>
          <cell r="AB68">
            <v>2.1800000000000002</v>
          </cell>
          <cell r="AC68">
            <v>1.95</v>
          </cell>
          <cell r="AD68">
            <v>1.65</v>
          </cell>
          <cell r="AE68">
            <v>1.59</v>
          </cell>
          <cell r="AF68">
            <v>1.94</v>
          </cell>
          <cell r="AG68">
            <v>2.42</v>
          </cell>
          <cell r="AH68">
            <v>2.91</v>
          </cell>
          <cell r="AI68">
            <v>3.33</v>
          </cell>
          <cell r="AJ68">
            <v>3.86</v>
          </cell>
          <cell r="AK68">
            <v>4.42</v>
          </cell>
        </row>
        <row r="69">
          <cell r="B69" t="str">
            <v>AIR 6472 B77G+B77M</v>
          </cell>
          <cell r="C69">
            <v>4.9400000000000004</v>
          </cell>
          <cell r="D69">
            <v>4.8</v>
          </cell>
          <cell r="E69">
            <v>4.42</v>
          </cell>
          <cell r="F69">
            <v>3.86</v>
          </cell>
          <cell r="G69">
            <v>3.33</v>
          </cell>
          <cell r="H69">
            <v>2.91</v>
          </cell>
          <cell r="I69">
            <v>2.42</v>
          </cell>
          <cell r="J69">
            <v>1.94</v>
          </cell>
          <cell r="K69">
            <v>1.59</v>
          </cell>
          <cell r="L69">
            <v>1.65</v>
          </cell>
          <cell r="M69">
            <v>1.95</v>
          </cell>
          <cell r="N69">
            <v>2.1800000000000002</v>
          </cell>
          <cell r="O69">
            <v>2.4500000000000002</v>
          </cell>
          <cell r="P69">
            <v>2.8</v>
          </cell>
          <cell r="Q69">
            <v>3.1</v>
          </cell>
          <cell r="R69">
            <v>3.31</v>
          </cell>
          <cell r="S69">
            <v>3.47</v>
          </cell>
          <cell r="T69">
            <v>3.46</v>
          </cell>
          <cell r="U69">
            <v>3.1</v>
          </cell>
          <cell r="V69">
            <v>3.46</v>
          </cell>
          <cell r="W69">
            <v>3.47</v>
          </cell>
          <cell r="X69">
            <v>3.31</v>
          </cell>
          <cell r="Y69">
            <v>3.1</v>
          </cell>
          <cell r="Z69">
            <v>2.8</v>
          </cell>
          <cell r="AA69">
            <v>2.4500000000000002</v>
          </cell>
          <cell r="AB69">
            <v>2.1800000000000002</v>
          </cell>
          <cell r="AC69">
            <v>1.95</v>
          </cell>
          <cell r="AD69">
            <v>1.65</v>
          </cell>
          <cell r="AE69">
            <v>1.59</v>
          </cell>
          <cell r="AF69">
            <v>1.94</v>
          </cell>
          <cell r="AG69">
            <v>2.42</v>
          </cell>
          <cell r="AH69">
            <v>2.91</v>
          </cell>
          <cell r="AI69">
            <v>3.33</v>
          </cell>
          <cell r="AJ69">
            <v>3.86</v>
          </cell>
          <cell r="AK69">
            <v>4.42</v>
          </cell>
        </row>
        <row r="70">
          <cell r="B70" t="str">
            <v>AIR 6419 B77D/G</v>
          </cell>
          <cell r="C70">
            <v>3.23</v>
          </cell>
          <cell r="D70">
            <v>3.16</v>
          </cell>
          <cell r="E70">
            <v>2.75</v>
          </cell>
          <cell r="F70">
            <v>2.72</v>
          </cell>
          <cell r="G70">
            <v>2.6</v>
          </cell>
          <cell r="H70">
            <v>2.2799999999999998</v>
          </cell>
          <cell r="I70">
            <v>1.91</v>
          </cell>
          <cell r="J70">
            <v>1.55</v>
          </cell>
          <cell r="K70">
            <v>1.19</v>
          </cell>
          <cell r="L70">
            <v>1.1000000000000001</v>
          </cell>
          <cell r="M70">
            <v>1.39</v>
          </cell>
          <cell r="N70">
            <v>1.66</v>
          </cell>
          <cell r="O70">
            <v>1.91</v>
          </cell>
          <cell r="P70">
            <v>2.17</v>
          </cell>
          <cell r="Q70">
            <v>2.56</v>
          </cell>
          <cell r="R70">
            <v>2.71</v>
          </cell>
          <cell r="S70">
            <v>2.79</v>
          </cell>
          <cell r="T70">
            <v>2.92</v>
          </cell>
          <cell r="U70">
            <v>2.92</v>
          </cell>
          <cell r="V70">
            <v>2.92</v>
          </cell>
          <cell r="W70">
            <v>2.92</v>
          </cell>
          <cell r="X70">
            <v>2.79</v>
          </cell>
          <cell r="Y70">
            <v>2.71</v>
          </cell>
          <cell r="Z70">
            <v>2.56</v>
          </cell>
          <cell r="AA70">
            <v>2.17</v>
          </cell>
          <cell r="AB70">
            <v>1.91</v>
          </cell>
          <cell r="AC70">
            <v>1.66</v>
          </cell>
          <cell r="AD70">
            <v>1.39</v>
          </cell>
          <cell r="AE70">
            <v>1.1000000000000001</v>
          </cell>
          <cell r="AF70">
            <v>1.19</v>
          </cell>
          <cell r="AG70">
            <v>1.55</v>
          </cell>
          <cell r="AH70">
            <v>1.91</v>
          </cell>
          <cell r="AI70">
            <v>2.2799999999999998</v>
          </cell>
          <cell r="AJ70">
            <v>2.6</v>
          </cell>
          <cell r="AK70">
            <v>2.72</v>
          </cell>
        </row>
        <row r="71">
          <cell r="B71" t="str">
            <v>AIR 6419 B77D</v>
          </cell>
          <cell r="C71">
            <v>3.23</v>
          </cell>
          <cell r="D71">
            <v>3.16</v>
          </cell>
          <cell r="E71">
            <v>2.75</v>
          </cell>
          <cell r="F71">
            <v>2.72</v>
          </cell>
          <cell r="G71">
            <v>2.6</v>
          </cell>
          <cell r="H71">
            <v>2.2799999999999998</v>
          </cell>
          <cell r="I71">
            <v>1.91</v>
          </cell>
          <cell r="J71">
            <v>1.55</v>
          </cell>
          <cell r="K71">
            <v>1.19</v>
          </cell>
          <cell r="L71">
            <v>1.1000000000000001</v>
          </cell>
          <cell r="M71">
            <v>1.39</v>
          </cell>
          <cell r="N71">
            <v>1.66</v>
          </cell>
          <cell r="O71">
            <v>1.91</v>
          </cell>
          <cell r="P71">
            <v>2.17</v>
          </cell>
          <cell r="Q71">
            <v>2.56</v>
          </cell>
          <cell r="R71">
            <v>2.71</v>
          </cell>
          <cell r="S71">
            <v>2.79</v>
          </cell>
          <cell r="T71">
            <v>2.92</v>
          </cell>
          <cell r="U71">
            <v>2.92</v>
          </cell>
          <cell r="V71">
            <v>2.92</v>
          </cell>
          <cell r="W71">
            <v>2.92</v>
          </cell>
          <cell r="X71">
            <v>2.79</v>
          </cell>
          <cell r="Y71">
            <v>2.71</v>
          </cell>
          <cell r="Z71">
            <v>2.56</v>
          </cell>
          <cell r="AA71">
            <v>2.17</v>
          </cell>
          <cell r="AB71">
            <v>1.91</v>
          </cell>
          <cell r="AC71">
            <v>1.66</v>
          </cell>
          <cell r="AD71">
            <v>1.39</v>
          </cell>
          <cell r="AE71">
            <v>1.1000000000000001</v>
          </cell>
          <cell r="AF71">
            <v>1.19</v>
          </cell>
          <cell r="AG71">
            <v>1.55</v>
          </cell>
          <cell r="AH71">
            <v>1.91</v>
          </cell>
          <cell r="AI71">
            <v>2.2799999999999998</v>
          </cell>
          <cell r="AJ71">
            <v>2.6</v>
          </cell>
          <cell r="AK71">
            <v>2.72</v>
          </cell>
        </row>
        <row r="72">
          <cell r="B72" t="str">
            <v>AIR 6419 B77G</v>
          </cell>
          <cell r="C72">
            <v>3.23</v>
          </cell>
          <cell r="D72">
            <v>3.16</v>
          </cell>
          <cell r="E72">
            <v>2.75</v>
          </cell>
          <cell r="F72">
            <v>2.72</v>
          </cell>
          <cell r="G72">
            <v>2.6</v>
          </cell>
          <cell r="H72">
            <v>2.2799999999999998</v>
          </cell>
          <cell r="I72">
            <v>1.91</v>
          </cell>
          <cell r="J72">
            <v>1.55</v>
          </cell>
          <cell r="K72">
            <v>1.19</v>
          </cell>
          <cell r="L72">
            <v>1.1000000000000001</v>
          </cell>
          <cell r="M72">
            <v>1.39</v>
          </cell>
          <cell r="N72">
            <v>1.66</v>
          </cell>
          <cell r="O72">
            <v>1.91</v>
          </cell>
          <cell r="P72">
            <v>2.17</v>
          </cell>
          <cell r="Q72">
            <v>2.56</v>
          </cell>
          <cell r="R72">
            <v>2.71</v>
          </cell>
          <cell r="S72">
            <v>2.79</v>
          </cell>
          <cell r="T72">
            <v>2.92</v>
          </cell>
          <cell r="U72">
            <v>2.92</v>
          </cell>
          <cell r="V72">
            <v>2.92</v>
          </cell>
          <cell r="W72">
            <v>2.92</v>
          </cell>
          <cell r="X72">
            <v>2.79</v>
          </cell>
          <cell r="Y72">
            <v>2.71</v>
          </cell>
          <cell r="Z72">
            <v>2.56</v>
          </cell>
          <cell r="AA72">
            <v>2.17</v>
          </cell>
          <cell r="AB72">
            <v>1.91</v>
          </cell>
          <cell r="AC72">
            <v>1.66</v>
          </cell>
          <cell r="AD72">
            <v>1.39</v>
          </cell>
          <cell r="AE72">
            <v>1.1000000000000001</v>
          </cell>
          <cell r="AF72">
            <v>1.19</v>
          </cell>
          <cell r="AG72">
            <v>1.55</v>
          </cell>
          <cell r="AH72">
            <v>1.91</v>
          </cell>
          <cell r="AI72">
            <v>2.2799999999999998</v>
          </cell>
          <cell r="AJ72">
            <v>2.6</v>
          </cell>
          <cell r="AK72">
            <v>2.72</v>
          </cell>
        </row>
        <row r="73">
          <cell r="B73" t="str">
            <v>KRE 101 2527/1K</v>
          </cell>
          <cell r="C73">
            <v>6.5188374596340157</v>
          </cell>
          <cell r="D73">
            <v>6.7545748116254032</v>
          </cell>
          <cell r="E73">
            <v>7.3089343379978482</v>
          </cell>
          <cell r="F73">
            <v>7.6813778256189451</v>
          </cell>
          <cell r="G73">
            <v>7.7696447793326158</v>
          </cell>
          <cell r="H73">
            <v>6.566200215285253</v>
          </cell>
          <cell r="I73">
            <v>5.3207750269106571</v>
          </cell>
          <cell r="J73">
            <v>3.8493003229278795</v>
          </cell>
          <cell r="K73">
            <v>1.8202368137782563</v>
          </cell>
          <cell r="L73">
            <v>1.9160387513455328</v>
          </cell>
          <cell r="M73">
            <v>3.0107642626480087</v>
          </cell>
          <cell r="N73">
            <v>5.0269106566200223</v>
          </cell>
          <cell r="O73">
            <v>5.7330462863293858</v>
          </cell>
          <cell r="P73">
            <v>6.4650161463939728</v>
          </cell>
          <cell r="Q73">
            <v>7.0990312163616789</v>
          </cell>
          <cell r="R73">
            <v>7.7136706135629716</v>
          </cell>
          <cell r="S73">
            <v>8.5435952637244341</v>
          </cell>
          <cell r="T73">
            <v>8.8536060279870838</v>
          </cell>
          <cell r="U73">
            <v>8.7814854682454246</v>
          </cell>
          <cell r="V73">
            <v>8.8536060279870838</v>
          </cell>
          <cell r="W73">
            <v>8.5435952637244341</v>
          </cell>
          <cell r="X73">
            <v>7.7136706135629716</v>
          </cell>
          <cell r="Y73">
            <v>7.0990312163616789</v>
          </cell>
          <cell r="Z73">
            <v>6.4650161463939728</v>
          </cell>
          <cell r="AA73">
            <v>5.7330462863293858</v>
          </cell>
          <cell r="AB73">
            <v>5.0269106566200223</v>
          </cell>
          <cell r="AC73">
            <v>3.0107642626480087</v>
          </cell>
          <cell r="AD73">
            <v>1.9160387513455328</v>
          </cell>
          <cell r="AE73">
            <v>1.8202368137782563</v>
          </cell>
          <cell r="AF73">
            <v>3.8493003229278795</v>
          </cell>
          <cell r="AG73">
            <v>5.3207750269106571</v>
          </cell>
          <cell r="AH73">
            <v>6.566200215285253</v>
          </cell>
          <cell r="AI73">
            <v>7.7696447793326158</v>
          </cell>
          <cell r="AJ73">
            <v>7.6813778256189451</v>
          </cell>
          <cell r="AK73">
            <v>7.3089343379978482</v>
          </cell>
        </row>
        <row r="74">
          <cell r="B74" t="str">
            <v>KRE 101 2540/1K</v>
          </cell>
          <cell r="C74">
            <v>6.5188374596340157</v>
          </cell>
          <cell r="D74">
            <v>6.7545748116254032</v>
          </cell>
          <cell r="E74">
            <v>7.3089343379978482</v>
          </cell>
          <cell r="F74">
            <v>7.6813778256189451</v>
          </cell>
          <cell r="G74">
            <v>7.7696447793326158</v>
          </cell>
          <cell r="H74">
            <v>6.566200215285253</v>
          </cell>
          <cell r="I74">
            <v>5.3207750269106571</v>
          </cell>
          <cell r="J74">
            <v>3.8493003229278795</v>
          </cell>
          <cell r="K74">
            <v>1.8202368137782563</v>
          </cell>
          <cell r="L74">
            <v>1.9160387513455328</v>
          </cell>
          <cell r="M74">
            <v>3.0107642626480087</v>
          </cell>
          <cell r="N74">
            <v>5.0269106566200223</v>
          </cell>
          <cell r="O74">
            <v>5.7330462863293858</v>
          </cell>
          <cell r="P74">
            <v>6.4650161463939728</v>
          </cell>
          <cell r="Q74">
            <v>7.0990312163616789</v>
          </cell>
          <cell r="R74">
            <v>7.7136706135629716</v>
          </cell>
          <cell r="S74">
            <v>8.5435952637244341</v>
          </cell>
          <cell r="T74">
            <v>8.8536060279870838</v>
          </cell>
          <cell r="U74">
            <v>8.7814854682454246</v>
          </cell>
          <cell r="V74">
            <v>8.8536060279870838</v>
          </cell>
          <cell r="W74">
            <v>8.5435952637244341</v>
          </cell>
          <cell r="X74">
            <v>7.7136706135629716</v>
          </cell>
          <cell r="Y74">
            <v>7.0990312163616789</v>
          </cell>
          <cell r="Z74">
            <v>6.4650161463939728</v>
          </cell>
          <cell r="AA74">
            <v>5.7330462863293858</v>
          </cell>
          <cell r="AB74">
            <v>5.0269106566200223</v>
          </cell>
          <cell r="AC74">
            <v>3.0107642626480087</v>
          </cell>
          <cell r="AD74">
            <v>1.9160387513455328</v>
          </cell>
          <cell r="AE74">
            <v>1.8202368137782563</v>
          </cell>
          <cell r="AF74">
            <v>3.8493003229278795</v>
          </cell>
          <cell r="AG74">
            <v>5.3207750269106571</v>
          </cell>
          <cell r="AH74">
            <v>6.566200215285253</v>
          </cell>
          <cell r="AI74">
            <v>7.7696447793326158</v>
          </cell>
          <cell r="AJ74">
            <v>7.6813778256189451</v>
          </cell>
          <cell r="AK74">
            <v>7.3089343379978482</v>
          </cell>
        </row>
        <row r="75">
          <cell r="B75" t="str">
            <v>840480965K</v>
          </cell>
          <cell r="C75">
            <v>7.7427341227125952</v>
          </cell>
          <cell r="D75">
            <v>8.0236813778256195</v>
          </cell>
          <cell r="E75">
            <v>8.6813778256189451</v>
          </cell>
          <cell r="F75">
            <v>9.1227125941872984</v>
          </cell>
          <cell r="G75">
            <v>9.2282023681377829</v>
          </cell>
          <cell r="H75">
            <v>7.7987082884822394</v>
          </cell>
          <cell r="I75">
            <v>6.3196986006458555</v>
          </cell>
          <cell r="J75">
            <v>4.5726587728740586</v>
          </cell>
          <cell r="K75">
            <v>2.1614639397201292</v>
          </cell>
          <cell r="L75">
            <v>2.2755651237890206</v>
          </cell>
          <cell r="M75">
            <v>3.5769644779332617</v>
          </cell>
          <cell r="N75">
            <v>5.9709364908503764</v>
          </cell>
          <cell r="O75">
            <v>6.8094725511302485</v>
          </cell>
          <cell r="P75">
            <v>7.6792249730893438</v>
          </cell>
          <cell r="Q75">
            <v>8.4316469321851457</v>
          </cell>
          <cell r="R75">
            <v>9.1625403659849294</v>
          </cell>
          <cell r="S75">
            <v>10.148546824542519</v>
          </cell>
          <cell r="T75">
            <v>10.515608180839612</v>
          </cell>
          <cell r="U75">
            <v>10.430570505920345</v>
          </cell>
          <cell r="V75">
            <v>10.515608180839612</v>
          </cell>
          <cell r="W75">
            <v>10.148546824542519</v>
          </cell>
          <cell r="X75">
            <v>9.1625403659849294</v>
          </cell>
          <cell r="Y75">
            <v>8.4316469321851457</v>
          </cell>
          <cell r="Z75">
            <v>7.6792249730893438</v>
          </cell>
          <cell r="AA75">
            <v>6.8094725511302485</v>
          </cell>
          <cell r="AB75">
            <v>5.9709364908503764</v>
          </cell>
          <cell r="AC75">
            <v>3.5769644779332617</v>
          </cell>
          <cell r="AD75">
            <v>2.2755651237890206</v>
          </cell>
          <cell r="AE75">
            <v>2.1614639397201292</v>
          </cell>
          <cell r="AF75">
            <v>4.5726587728740586</v>
          </cell>
          <cell r="AG75">
            <v>6.3196986006458555</v>
          </cell>
          <cell r="AH75">
            <v>7.7987082884822394</v>
          </cell>
          <cell r="AI75">
            <v>9.2282023681377829</v>
          </cell>
          <cell r="AJ75">
            <v>9.1227125941872984</v>
          </cell>
          <cell r="AK75">
            <v>8.6813778256189451</v>
          </cell>
        </row>
        <row r="76">
          <cell r="B76" t="str">
            <v>KRE 101 2526/1K</v>
          </cell>
          <cell r="C76">
            <v>7.7427341227125952</v>
          </cell>
          <cell r="D76">
            <v>8.0236813778256195</v>
          </cell>
          <cell r="E76">
            <v>8.6813778256189451</v>
          </cell>
          <cell r="F76">
            <v>9.1227125941872984</v>
          </cell>
          <cell r="G76">
            <v>9.2282023681377829</v>
          </cell>
          <cell r="H76">
            <v>7.7987082884822394</v>
          </cell>
          <cell r="I76">
            <v>6.3196986006458555</v>
          </cell>
          <cell r="J76">
            <v>4.5726587728740586</v>
          </cell>
          <cell r="K76">
            <v>2.1614639397201292</v>
          </cell>
          <cell r="L76">
            <v>2.2755651237890206</v>
          </cell>
          <cell r="M76">
            <v>3.5769644779332617</v>
          </cell>
          <cell r="N76">
            <v>5.9709364908503764</v>
          </cell>
          <cell r="O76">
            <v>6.8094725511302485</v>
          </cell>
          <cell r="P76">
            <v>7.6792249730893438</v>
          </cell>
          <cell r="Q76">
            <v>8.4316469321851457</v>
          </cell>
          <cell r="R76">
            <v>9.1625403659849294</v>
          </cell>
          <cell r="S76">
            <v>10.148546824542519</v>
          </cell>
          <cell r="T76">
            <v>10.515608180839612</v>
          </cell>
          <cell r="U76">
            <v>10.430570505920345</v>
          </cell>
          <cell r="V76">
            <v>10.515608180839612</v>
          </cell>
          <cell r="W76">
            <v>10.148546824542519</v>
          </cell>
          <cell r="X76">
            <v>9.1625403659849294</v>
          </cell>
          <cell r="Y76">
            <v>8.4316469321851457</v>
          </cell>
          <cell r="Z76">
            <v>7.6792249730893438</v>
          </cell>
          <cell r="AA76">
            <v>6.8094725511302485</v>
          </cell>
          <cell r="AB76">
            <v>5.9709364908503764</v>
          </cell>
          <cell r="AC76">
            <v>3.5769644779332617</v>
          </cell>
          <cell r="AD76">
            <v>2.2755651237890206</v>
          </cell>
          <cell r="AE76">
            <v>2.1614639397201292</v>
          </cell>
          <cell r="AF76">
            <v>4.5726587728740586</v>
          </cell>
          <cell r="AG76">
            <v>6.3196986006458555</v>
          </cell>
          <cell r="AH76">
            <v>7.7987082884822394</v>
          </cell>
          <cell r="AI76">
            <v>9.2282023681377829</v>
          </cell>
          <cell r="AJ76">
            <v>9.1227125941872984</v>
          </cell>
          <cell r="AK76">
            <v>8.6813778256189451</v>
          </cell>
        </row>
        <row r="77">
          <cell r="B77" t="str">
            <v>840480966K</v>
          </cell>
          <cell r="C77">
            <v>10.321851453175457</v>
          </cell>
          <cell r="D77">
            <v>10.696447793326158</v>
          </cell>
          <cell r="E77">
            <v>11.573735199138859</v>
          </cell>
          <cell r="F77">
            <v>12.162540365984929</v>
          </cell>
          <cell r="G77">
            <v>12.302475780409043</v>
          </cell>
          <cell r="H77">
            <v>10.397201291711518</v>
          </cell>
          <cell r="I77">
            <v>8.4262648008611425</v>
          </cell>
          <cell r="J77">
            <v>6.095801937567277</v>
          </cell>
          <cell r="K77">
            <v>2.8826695371367062</v>
          </cell>
          <cell r="L77">
            <v>3.0333692142088267</v>
          </cell>
          <cell r="M77">
            <v>4.7685683530678151</v>
          </cell>
          <cell r="N77">
            <v>7.960172228202369</v>
          </cell>
          <cell r="O77">
            <v>9.0775026910656624</v>
          </cell>
          <cell r="P77">
            <v>10.237890204520991</v>
          </cell>
          <cell r="Q77">
            <v>11.241119483315394</v>
          </cell>
          <cell r="R77">
            <v>12.215285252960173</v>
          </cell>
          <cell r="S77">
            <v>13.529601722282024</v>
          </cell>
          <cell r="T77">
            <v>14.019375672766417</v>
          </cell>
          <cell r="U77">
            <v>13.905274488697525</v>
          </cell>
          <cell r="V77">
            <v>14.019375672766417</v>
          </cell>
          <cell r="W77">
            <v>13.529601722282024</v>
          </cell>
          <cell r="X77">
            <v>12.215285252960173</v>
          </cell>
          <cell r="Y77">
            <v>11.241119483315394</v>
          </cell>
          <cell r="Z77">
            <v>10.237890204520991</v>
          </cell>
          <cell r="AA77">
            <v>9.0775026910656624</v>
          </cell>
          <cell r="AB77">
            <v>7.960172228202369</v>
          </cell>
          <cell r="AC77">
            <v>4.7685683530678151</v>
          </cell>
          <cell r="AD77">
            <v>3.0333692142088267</v>
          </cell>
          <cell r="AE77">
            <v>2.8826695371367062</v>
          </cell>
          <cell r="AF77">
            <v>6.095801937567277</v>
          </cell>
          <cell r="AG77">
            <v>8.4262648008611425</v>
          </cell>
          <cell r="AH77">
            <v>10.397201291711518</v>
          </cell>
          <cell r="AI77">
            <v>12.302475780409043</v>
          </cell>
          <cell r="AJ77">
            <v>12.162540365984929</v>
          </cell>
          <cell r="AK77">
            <v>11.573735199138859</v>
          </cell>
        </row>
        <row r="78">
          <cell r="B78" t="str">
            <v>KRE 101 2487/1K</v>
          </cell>
          <cell r="C78">
            <v>10.321851453175457</v>
          </cell>
          <cell r="D78">
            <v>10.696447793326158</v>
          </cell>
          <cell r="E78">
            <v>11.573735199138859</v>
          </cell>
          <cell r="F78">
            <v>12.162540365984929</v>
          </cell>
          <cell r="G78">
            <v>12.302475780409043</v>
          </cell>
          <cell r="H78">
            <v>10.397201291711518</v>
          </cell>
          <cell r="I78">
            <v>8.4262648008611425</v>
          </cell>
          <cell r="J78">
            <v>6.095801937567277</v>
          </cell>
          <cell r="K78">
            <v>2.8826695371367062</v>
          </cell>
          <cell r="L78">
            <v>3.0333692142088267</v>
          </cell>
          <cell r="M78">
            <v>4.7685683530678151</v>
          </cell>
          <cell r="N78">
            <v>7.960172228202369</v>
          </cell>
          <cell r="O78">
            <v>9.0775026910656624</v>
          </cell>
          <cell r="P78">
            <v>10.237890204520991</v>
          </cell>
          <cell r="Q78">
            <v>11.241119483315394</v>
          </cell>
          <cell r="R78">
            <v>12.215285252960173</v>
          </cell>
          <cell r="S78">
            <v>13.529601722282024</v>
          </cell>
          <cell r="T78">
            <v>14.019375672766417</v>
          </cell>
          <cell r="U78">
            <v>13.905274488697525</v>
          </cell>
          <cell r="V78">
            <v>14.019375672766417</v>
          </cell>
          <cell r="W78">
            <v>13.529601722282024</v>
          </cell>
          <cell r="X78">
            <v>12.215285252960173</v>
          </cell>
          <cell r="Y78">
            <v>11.241119483315394</v>
          </cell>
          <cell r="Z78">
            <v>10.237890204520991</v>
          </cell>
          <cell r="AA78">
            <v>9.0775026910656624</v>
          </cell>
          <cell r="AB78">
            <v>7.960172228202369</v>
          </cell>
          <cell r="AC78">
            <v>4.7685683530678151</v>
          </cell>
          <cell r="AD78">
            <v>3.0333692142088267</v>
          </cell>
          <cell r="AE78">
            <v>2.8826695371367062</v>
          </cell>
          <cell r="AF78">
            <v>6.095801937567277</v>
          </cell>
          <cell r="AG78">
            <v>8.4262648008611425</v>
          </cell>
          <cell r="AH78">
            <v>10.397201291711518</v>
          </cell>
          <cell r="AI78">
            <v>12.302475780409043</v>
          </cell>
          <cell r="AJ78">
            <v>12.162540365984929</v>
          </cell>
          <cell r="AK78">
            <v>11.573735199138859</v>
          </cell>
        </row>
        <row r="79">
          <cell r="B79" t="str">
            <v>KRE 101 2586/1K</v>
          </cell>
          <cell r="C79">
            <v>10.321851453175457</v>
          </cell>
          <cell r="D79">
            <v>10.696447793326158</v>
          </cell>
          <cell r="E79">
            <v>11.573735199138859</v>
          </cell>
          <cell r="F79">
            <v>12.162540365984929</v>
          </cell>
          <cell r="G79">
            <v>12.302475780409043</v>
          </cell>
          <cell r="H79">
            <v>10.397201291711518</v>
          </cell>
          <cell r="I79">
            <v>8.4262648008611425</v>
          </cell>
          <cell r="J79">
            <v>6.095801937567277</v>
          </cell>
          <cell r="K79">
            <v>2.8826695371367062</v>
          </cell>
          <cell r="L79">
            <v>3.0333692142088267</v>
          </cell>
          <cell r="M79">
            <v>4.7685683530678151</v>
          </cell>
          <cell r="N79">
            <v>7.960172228202369</v>
          </cell>
          <cell r="O79">
            <v>9.0775026910656624</v>
          </cell>
          <cell r="P79">
            <v>10.237890204520991</v>
          </cell>
          <cell r="Q79">
            <v>11.241119483315394</v>
          </cell>
          <cell r="R79">
            <v>12.215285252960173</v>
          </cell>
          <cell r="S79">
            <v>13.529601722282024</v>
          </cell>
          <cell r="T79">
            <v>14.019375672766417</v>
          </cell>
          <cell r="U79">
            <v>13.905274488697525</v>
          </cell>
          <cell r="V79">
            <v>14.019375672766417</v>
          </cell>
          <cell r="W79">
            <v>13.529601722282024</v>
          </cell>
          <cell r="X79">
            <v>12.215285252960173</v>
          </cell>
          <cell r="Y79">
            <v>11.241119483315394</v>
          </cell>
          <cell r="Z79">
            <v>10.237890204520991</v>
          </cell>
          <cell r="AA79">
            <v>9.0775026910656624</v>
          </cell>
          <cell r="AB79">
            <v>7.960172228202369</v>
          </cell>
          <cell r="AC79">
            <v>4.7685683530678151</v>
          </cell>
          <cell r="AD79">
            <v>3.0333692142088267</v>
          </cell>
          <cell r="AE79">
            <v>2.8826695371367062</v>
          </cell>
          <cell r="AF79">
            <v>6.095801937567277</v>
          </cell>
          <cell r="AG79">
            <v>8.4262648008611425</v>
          </cell>
          <cell r="AH79">
            <v>10.397201291711518</v>
          </cell>
          <cell r="AI79">
            <v>12.302475780409043</v>
          </cell>
          <cell r="AJ79">
            <v>12.162540365984929</v>
          </cell>
          <cell r="AK79">
            <v>11.573735199138859</v>
          </cell>
        </row>
        <row r="80">
          <cell r="B80" t="str">
            <v>840370964K</v>
          </cell>
          <cell r="C80">
            <v>2.8762109795479009</v>
          </cell>
          <cell r="D80">
            <v>3.6781485468245427</v>
          </cell>
          <cell r="E80">
            <v>4.1916038751345539</v>
          </cell>
          <cell r="F80">
            <v>4.6555435952637243</v>
          </cell>
          <cell r="G80">
            <v>4.6383207750269113</v>
          </cell>
          <cell r="H80">
            <v>4.0495156081808394</v>
          </cell>
          <cell r="I80">
            <v>3.4424111948331539</v>
          </cell>
          <cell r="J80">
            <v>2.6587728740581271</v>
          </cell>
          <cell r="K80">
            <v>1.4456404736275565</v>
          </cell>
          <cell r="L80">
            <v>1.5672766415500539</v>
          </cell>
          <cell r="M80">
            <v>2.0871905274488696</v>
          </cell>
          <cell r="N80">
            <v>3.5565123789020459</v>
          </cell>
          <cell r="O80">
            <v>3.8471474703982778</v>
          </cell>
          <cell r="P80">
            <v>4.1636167922497309</v>
          </cell>
          <cell r="Q80">
            <v>4.5102260495156079</v>
          </cell>
          <cell r="R80">
            <v>4.7879440258342303</v>
          </cell>
          <cell r="S80">
            <v>5.2798708288482237</v>
          </cell>
          <cell r="T80">
            <v>5.529601722282024</v>
          </cell>
          <cell r="U80">
            <v>5.3939720129171151</v>
          </cell>
          <cell r="V80">
            <v>5.529601722282024</v>
          </cell>
          <cell r="W80">
            <v>5.2798708288482237</v>
          </cell>
          <cell r="X80">
            <v>4.7879440258342303</v>
          </cell>
          <cell r="Y80">
            <v>4.5102260495156079</v>
          </cell>
          <cell r="Z80">
            <v>4.1636167922497309</v>
          </cell>
          <cell r="AA80">
            <v>3.8471474703982778</v>
          </cell>
          <cell r="AB80">
            <v>3.5565123789020459</v>
          </cell>
          <cell r="AC80">
            <v>2.0871905274488696</v>
          </cell>
          <cell r="AD80">
            <v>1.5672766415500539</v>
          </cell>
          <cell r="AE80">
            <v>1.4456404736275565</v>
          </cell>
          <cell r="AF80">
            <v>2.6587728740581271</v>
          </cell>
          <cell r="AG80">
            <v>3.4424111948331539</v>
          </cell>
          <cell r="AH80">
            <v>4.0495156081808394</v>
          </cell>
          <cell r="AI80">
            <v>4.6383207750269113</v>
          </cell>
          <cell r="AJ80">
            <v>4.6555435952637243</v>
          </cell>
          <cell r="AK80">
            <v>4.1916038751345539</v>
          </cell>
        </row>
        <row r="81">
          <cell r="B81" t="str">
            <v>800372965K</v>
          </cell>
          <cell r="C81">
            <v>4.6867599569429501</v>
          </cell>
          <cell r="D81">
            <v>5.9935414424111944</v>
          </cell>
          <cell r="E81">
            <v>6.8288482238966628</v>
          </cell>
          <cell r="F81">
            <v>7.585575888051669</v>
          </cell>
          <cell r="G81">
            <v>7.5575888051668461</v>
          </cell>
          <cell r="H81">
            <v>6.5974165769644779</v>
          </cell>
          <cell r="I81">
            <v>5.608180839612487</v>
          </cell>
          <cell r="J81">
            <v>4.3326157158234668</v>
          </cell>
          <cell r="K81">
            <v>2.3552206673842844</v>
          </cell>
          <cell r="L81">
            <v>2.5532831001076426</v>
          </cell>
          <cell r="M81">
            <v>3.4004305705059208</v>
          </cell>
          <cell r="N81">
            <v>5.7954790096878366</v>
          </cell>
          <cell r="O81">
            <v>6.2680301399354148</v>
          </cell>
          <cell r="P81">
            <v>6.7847147470398275</v>
          </cell>
          <cell r="Q81">
            <v>7.3476856835306785</v>
          </cell>
          <cell r="R81">
            <v>7.8019375672766422</v>
          </cell>
          <cell r="S81">
            <v>8.602798708288482</v>
          </cell>
          <cell r="T81">
            <v>9.0096878363832076</v>
          </cell>
          <cell r="U81">
            <v>8.7879440258342303</v>
          </cell>
          <cell r="V81">
            <v>9.0096878363832076</v>
          </cell>
          <cell r="W81">
            <v>8.602798708288482</v>
          </cell>
          <cell r="X81">
            <v>7.8019375672766422</v>
          </cell>
          <cell r="Y81">
            <v>7.3476856835306785</v>
          </cell>
          <cell r="Z81">
            <v>6.7847147470398275</v>
          </cell>
          <cell r="AA81">
            <v>6.2680301399354148</v>
          </cell>
          <cell r="AB81">
            <v>5.7954790096878366</v>
          </cell>
          <cell r="AC81">
            <v>3.4004305705059208</v>
          </cell>
          <cell r="AD81">
            <v>2.5532831001076426</v>
          </cell>
          <cell r="AE81">
            <v>2.3552206673842844</v>
          </cell>
          <cell r="AF81">
            <v>4.3326157158234668</v>
          </cell>
          <cell r="AG81">
            <v>5.608180839612487</v>
          </cell>
          <cell r="AH81">
            <v>6.5974165769644779</v>
          </cell>
          <cell r="AI81">
            <v>7.5575888051668461</v>
          </cell>
          <cell r="AJ81">
            <v>7.585575888051669</v>
          </cell>
          <cell r="AK81">
            <v>6.8288482238966628</v>
          </cell>
        </row>
        <row r="82">
          <cell r="B82" t="str">
            <v>800372991K</v>
          </cell>
          <cell r="C82">
            <v>4.6867599569429501</v>
          </cell>
          <cell r="D82">
            <v>5.9935414424111944</v>
          </cell>
          <cell r="E82">
            <v>6.8288482238966628</v>
          </cell>
          <cell r="F82">
            <v>7.585575888051669</v>
          </cell>
          <cell r="G82">
            <v>7.5575888051668461</v>
          </cell>
          <cell r="H82">
            <v>6.5974165769644779</v>
          </cell>
          <cell r="I82">
            <v>5.608180839612487</v>
          </cell>
          <cell r="J82">
            <v>4.3326157158234668</v>
          </cell>
          <cell r="K82">
            <v>2.3552206673842844</v>
          </cell>
          <cell r="L82">
            <v>2.5532831001076426</v>
          </cell>
          <cell r="M82">
            <v>3.4004305705059208</v>
          </cell>
          <cell r="N82">
            <v>5.7954790096878366</v>
          </cell>
          <cell r="O82">
            <v>6.2680301399354148</v>
          </cell>
          <cell r="P82">
            <v>6.7847147470398275</v>
          </cell>
          <cell r="Q82">
            <v>7.3476856835306785</v>
          </cell>
          <cell r="R82">
            <v>7.8019375672766422</v>
          </cell>
          <cell r="S82">
            <v>8.602798708288482</v>
          </cell>
          <cell r="T82">
            <v>9.0096878363832076</v>
          </cell>
          <cell r="U82">
            <v>8.7879440258342303</v>
          </cell>
          <cell r="V82">
            <v>9.0096878363832076</v>
          </cell>
          <cell r="W82">
            <v>8.602798708288482</v>
          </cell>
          <cell r="X82">
            <v>7.8019375672766422</v>
          </cell>
          <cell r="Y82">
            <v>7.3476856835306785</v>
          </cell>
          <cell r="Z82">
            <v>6.7847147470398275</v>
          </cell>
          <cell r="AA82">
            <v>6.2680301399354148</v>
          </cell>
          <cell r="AB82">
            <v>5.7954790096878366</v>
          </cell>
          <cell r="AC82">
            <v>3.4004305705059208</v>
          </cell>
          <cell r="AD82">
            <v>2.5532831001076426</v>
          </cell>
          <cell r="AE82">
            <v>2.3552206673842844</v>
          </cell>
          <cell r="AF82">
            <v>4.3326157158234668</v>
          </cell>
          <cell r="AG82">
            <v>5.608180839612487</v>
          </cell>
          <cell r="AH82">
            <v>6.5974165769644779</v>
          </cell>
          <cell r="AI82">
            <v>7.5575888051668461</v>
          </cell>
          <cell r="AJ82">
            <v>7.585575888051669</v>
          </cell>
          <cell r="AK82">
            <v>6.8288482238966628</v>
          </cell>
        </row>
        <row r="83">
          <cell r="B83" t="str">
            <v>840370966K</v>
          </cell>
          <cell r="C83">
            <v>5.7740100102682144</v>
          </cell>
          <cell r="D83">
            <v>7.3812086729201907</v>
          </cell>
          <cell r="E83">
            <v>8.412990530425164</v>
          </cell>
          <cell r="F83">
            <v>9.3455625939392739</v>
          </cell>
          <cell r="G83">
            <v>9.3157996557420155</v>
          </cell>
          <cell r="H83">
            <v>8.125282127851662</v>
          </cell>
          <cell r="I83">
            <v>6.9050016617640502</v>
          </cell>
          <cell r="J83">
            <v>5.3374869167084178</v>
          </cell>
          <cell r="K83">
            <v>2.8969259845331932</v>
          </cell>
          <cell r="L83">
            <v>3.1449504695103503</v>
          </cell>
          <cell r="M83">
            <v>4.18665330641441</v>
          </cell>
          <cell r="N83">
            <v>7.1431051673421209</v>
          </cell>
          <cell r="O83">
            <v>7.7185219724891239</v>
          </cell>
          <cell r="P83">
            <v>8.3633856334297327</v>
          </cell>
          <cell r="Q83">
            <v>9.0479332119666847</v>
          </cell>
          <cell r="R83">
            <v>9.613429037714603</v>
          </cell>
          <cell r="S83">
            <v>10.595605998224146</v>
          </cell>
          <cell r="T83">
            <v>11.101575947577544</v>
          </cell>
          <cell r="U83">
            <v>10.823788524403131</v>
          </cell>
          <cell r="V83">
            <v>11.101575947577544</v>
          </cell>
          <cell r="W83">
            <v>10.595605998224146</v>
          </cell>
          <cell r="X83">
            <v>9.613429037714603</v>
          </cell>
          <cell r="Y83">
            <v>9.0479332119666847</v>
          </cell>
          <cell r="Z83">
            <v>8.3633856334297327</v>
          </cell>
          <cell r="AA83">
            <v>7.7185219724891239</v>
          </cell>
          <cell r="AB83">
            <v>7.1431051673421209</v>
          </cell>
          <cell r="AC83">
            <v>4.18665330641441</v>
          </cell>
          <cell r="AD83">
            <v>3.1449504695103503</v>
          </cell>
          <cell r="AE83">
            <v>2.8969259845331932</v>
          </cell>
          <cell r="AF83">
            <v>5.3374869167084178</v>
          </cell>
          <cell r="AG83">
            <v>6.9050016617640502</v>
          </cell>
          <cell r="AH83">
            <v>8.125282127851662</v>
          </cell>
          <cell r="AI83">
            <v>9.3157996557420155</v>
          </cell>
          <cell r="AJ83">
            <v>9.3455625939392739</v>
          </cell>
          <cell r="AK83">
            <v>8.412990530425164</v>
          </cell>
        </row>
        <row r="84">
          <cell r="B84" t="str">
            <v>840370799K</v>
          </cell>
          <cell r="C84">
            <v>5.7740100102682144</v>
          </cell>
          <cell r="D84">
            <v>7.3812086729201907</v>
          </cell>
          <cell r="E84">
            <v>8.412990530425164</v>
          </cell>
          <cell r="F84">
            <v>9.3455625939392739</v>
          </cell>
          <cell r="G84">
            <v>9.3157996557420155</v>
          </cell>
          <cell r="H84">
            <v>8.125282127851662</v>
          </cell>
          <cell r="I84">
            <v>6.9050016617640502</v>
          </cell>
          <cell r="J84">
            <v>5.3374869167084178</v>
          </cell>
          <cell r="K84">
            <v>2.8969259845331932</v>
          </cell>
          <cell r="L84">
            <v>3.1449504695103503</v>
          </cell>
          <cell r="M84">
            <v>4.18665330641441</v>
          </cell>
          <cell r="N84">
            <v>7.1431051673421209</v>
          </cell>
          <cell r="O84">
            <v>7.7185219724891239</v>
          </cell>
          <cell r="P84">
            <v>8.3633856334297327</v>
          </cell>
          <cell r="Q84">
            <v>9.0479332119666847</v>
          </cell>
          <cell r="R84">
            <v>9.613429037714603</v>
          </cell>
          <cell r="S84">
            <v>10.595605998224146</v>
          </cell>
          <cell r="T84">
            <v>11.101575947577544</v>
          </cell>
          <cell r="U84">
            <v>10.823788524403131</v>
          </cell>
          <cell r="V84">
            <v>11.101575947577544</v>
          </cell>
          <cell r="W84">
            <v>10.595605998224146</v>
          </cell>
          <cell r="X84">
            <v>9.613429037714603</v>
          </cell>
          <cell r="Y84">
            <v>9.0479332119666847</v>
          </cell>
          <cell r="Z84">
            <v>8.3633856334297327</v>
          </cell>
          <cell r="AA84">
            <v>7.7185219724891239</v>
          </cell>
          <cell r="AB84">
            <v>7.1431051673421209</v>
          </cell>
          <cell r="AC84">
            <v>4.18665330641441</v>
          </cell>
          <cell r="AD84">
            <v>3.1449504695103503</v>
          </cell>
          <cell r="AE84">
            <v>2.8969259845331932</v>
          </cell>
          <cell r="AF84">
            <v>5.3374869167084178</v>
          </cell>
          <cell r="AG84">
            <v>6.9050016617640502</v>
          </cell>
          <cell r="AH84">
            <v>8.125282127851662</v>
          </cell>
          <cell r="AI84">
            <v>9.3157996557420155</v>
          </cell>
          <cell r="AJ84">
            <v>9.3455625939392739</v>
          </cell>
          <cell r="AK84">
            <v>8.412990530425164</v>
          </cell>
        </row>
        <row r="85">
          <cell r="B85" t="str">
            <v>80010964K</v>
          </cell>
          <cell r="C85">
            <v>8.2034445640473628</v>
          </cell>
          <cell r="D85">
            <v>8.5382131324004309</v>
          </cell>
          <cell r="E85">
            <v>7.5866523143164697</v>
          </cell>
          <cell r="F85">
            <v>7.5844994617868675</v>
          </cell>
          <cell r="G85">
            <v>7.3444564047362757</v>
          </cell>
          <cell r="H85">
            <v>6.3616792249730896</v>
          </cell>
          <cell r="I85">
            <v>5.1205597416576971</v>
          </cell>
          <cell r="J85">
            <v>3.7341227125941874</v>
          </cell>
          <cell r="K85">
            <v>1.301399354144241</v>
          </cell>
          <cell r="L85">
            <v>1.8632938643702908</v>
          </cell>
          <cell r="M85">
            <v>3.9946178686759959</v>
          </cell>
          <cell r="N85">
            <v>8.9386437029063508</v>
          </cell>
          <cell r="O85">
            <v>5.7793326157158242</v>
          </cell>
          <cell r="P85">
            <v>6.4273412271259414</v>
          </cell>
          <cell r="Q85">
            <v>7.0796555435952637</v>
          </cell>
          <cell r="R85">
            <v>7.6996770721205605</v>
          </cell>
          <cell r="S85">
            <v>8.4445640473627552</v>
          </cell>
          <cell r="T85">
            <v>8.7534983853606043</v>
          </cell>
          <cell r="U85">
            <v>8.6620021528525299</v>
          </cell>
          <cell r="V85">
            <v>8.7534983853606043</v>
          </cell>
          <cell r="W85">
            <v>8.4445640473627552</v>
          </cell>
          <cell r="X85">
            <v>7.6996770721205605</v>
          </cell>
          <cell r="Y85">
            <v>7.0796555435952637</v>
          </cell>
          <cell r="Z85">
            <v>6.4273412271259414</v>
          </cell>
          <cell r="AA85">
            <v>5.7793326157158242</v>
          </cell>
          <cell r="AB85">
            <v>8.9386437029063508</v>
          </cell>
          <cell r="AC85">
            <v>3.9946178686759959</v>
          </cell>
          <cell r="AD85">
            <v>1.8632938643702908</v>
          </cell>
          <cell r="AE85">
            <v>1.301399354144241</v>
          </cell>
          <cell r="AF85">
            <v>3.7341227125941874</v>
          </cell>
          <cell r="AG85">
            <v>5.1205597416576971</v>
          </cell>
          <cell r="AH85">
            <v>6.3616792249730896</v>
          </cell>
          <cell r="AI85">
            <v>7.3444564047362757</v>
          </cell>
          <cell r="AJ85">
            <v>7.5844994617868675</v>
          </cell>
          <cell r="AK85">
            <v>7.5866523143164697</v>
          </cell>
        </row>
        <row r="86">
          <cell r="B86" t="str">
            <v>80010964V01K</v>
          </cell>
          <cell r="C86">
            <v>8.2034445640473628</v>
          </cell>
          <cell r="D86">
            <v>8.5382131324004309</v>
          </cell>
          <cell r="E86">
            <v>7.5866523143164697</v>
          </cell>
          <cell r="F86">
            <v>7.5844994617868675</v>
          </cell>
          <cell r="G86">
            <v>7.3444564047362757</v>
          </cell>
          <cell r="H86">
            <v>6.3616792249730896</v>
          </cell>
          <cell r="I86">
            <v>5.1205597416576971</v>
          </cell>
          <cell r="J86">
            <v>3.7341227125941874</v>
          </cell>
          <cell r="K86">
            <v>1.301399354144241</v>
          </cell>
          <cell r="L86">
            <v>1.8632938643702908</v>
          </cell>
          <cell r="M86">
            <v>3.9946178686759959</v>
          </cell>
          <cell r="N86">
            <v>8.9386437029063508</v>
          </cell>
          <cell r="O86">
            <v>5.7793326157158242</v>
          </cell>
          <cell r="P86">
            <v>6.4273412271259414</v>
          </cell>
          <cell r="Q86">
            <v>7.0796555435952637</v>
          </cell>
          <cell r="R86">
            <v>7.6996770721205605</v>
          </cell>
          <cell r="S86">
            <v>8.4445640473627552</v>
          </cell>
          <cell r="T86">
            <v>8.7534983853606043</v>
          </cell>
          <cell r="U86">
            <v>8.6620021528525299</v>
          </cell>
          <cell r="V86">
            <v>8.7534983853606043</v>
          </cell>
          <cell r="W86">
            <v>8.4445640473627552</v>
          </cell>
          <cell r="X86">
            <v>7.6996770721205605</v>
          </cell>
          <cell r="Y86">
            <v>7.0796555435952637</v>
          </cell>
          <cell r="Z86">
            <v>6.4273412271259414</v>
          </cell>
          <cell r="AA86">
            <v>5.7793326157158242</v>
          </cell>
          <cell r="AB86">
            <v>8.9386437029063508</v>
          </cell>
          <cell r="AC86">
            <v>3.9946178686759959</v>
          </cell>
          <cell r="AD86">
            <v>1.8632938643702908</v>
          </cell>
          <cell r="AE86">
            <v>1.301399354144241</v>
          </cell>
          <cell r="AF86">
            <v>3.7341227125941874</v>
          </cell>
          <cell r="AG86">
            <v>5.1205597416576971</v>
          </cell>
          <cell r="AH86">
            <v>6.3616792249730896</v>
          </cell>
          <cell r="AI86">
            <v>7.3444564047362757</v>
          </cell>
          <cell r="AJ86">
            <v>7.5844994617868675</v>
          </cell>
          <cell r="AK86">
            <v>7.5866523143164697</v>
          </cell>
        </row>
        <row r="87">
          <cell r="B87" t="str">
            <v>80010965K</v>
          </cell>
          <cell r="C87">
            <v>10.939720129171151</v>
          </cell>
          <cell r="D87">
            <v>11.38643702906351</v>
          </cell>
          <cell r="E87">
            <v>10.117330462863293</v>
          </cell>
          <cell r="F87">
            <v>10.114101184068891</v>
          </cell>
          <cell r="G87">
            <v>9.7933261571582353</v>
          </cell>
          <cell r="H87">
            <v>8.484391819160388</v>
          </cell>
          <cell r="I87">
            <v>6.8277717976318621</v>
          </cell>
          <cell r="J87">
            <v>4.9795479009687842</v>
          </cell>
          <cell r="K87">
            <v>1.7362755651237891</v>
          </cell>
          <cell r="L87">
            <v>2.4843918191603875</v>
          </cell>
          <cell r="M87">
            <v>5.3272335844994618</v>
          </cell>
          <cell r="N87">
            <v>11.920344456404736</v>
          </cell>
          <cell r="O87">
            <v>7.7072120559741659</v>
          </cell>
          <cell r="P87">
            <v>8.571582346609258</v>
          </cell>
          <cell r="Q87">
            <v>9.4413347685683533</v>
          </cell>
          <cell r="R87">
            <v>10.268030139935414</v>
          </cell>
          <cell r="S87">
            <v>11.260495156081809</v>
          </cell>
          <cell r="T87">
            <v>11.673842841765341</v>
          </cell>
          <cell r="U87">
            <v>11.552206673842841</v>
          </cell>
          <cell r="V87">
            <v>11.673842841765341</v>
          </cell>
          <cell r="W87">
            <v>11.260495156081809</v>
          </cell>
          <cell r="X87">
            <v>10.268030139935414</v>
          </cell>
          <cell r="Y87">
            <v>9.4413347685683533</v>
          </cell>
          <cell r="Z87">
            <v>8.571582346609258</v>
          </cell>
          <cell r="AA87">
            <v>7.7072120559741659</v>
          </cell>
          <cell r="AB87">
            <v>11.920344456404736</v>
          </cell>
          <cell r="AC87">
            <v>5.3272335844994618</v>
          </cell>
          <cell r="AD87">
            <v>2.4843918191603875</v>
          </cell>
          <cell r="AE87">
            <v>1.7362755651237891</v>
          </cell>
          <cell r="AF87">
            <v>4.9795479009687842</v>
          </cell>
          <cell r="AG87">
            <v>6.8277717976318621</v>
          </cell>
          <cell r="AH87">
            <v>8.484391819160388</v>
          </cell>
          <cell r="AI87">
            <v>9.7933261571582353</v>
          </cell>
          <cell r="AJ87">
            <v>10.114101184068891</v>
          </cell>
          <cell r="AK87">
            <v>10.117330462863293</v>
          </cell>
        </row>
        <row r="88">
          <cell r="B88" t="str">
            <v>80010991K</v>
          </cell>
          <cell r="C88">
            <v>10.939720129171151</v>
          </cell>
          <cell r="D88">
            <v>11.38643702906351</v>
          </cell>
          <cell r="E88">
            <v>10.117330462863293</v>
          </cell>
          <cell r="F88">
            <v>10.114101184068891</v>
          </cell>
          <cell r="G88">
            <v>9.7933261571582353</v>
          </cell>
          <cell r="H88">
            <v>8.484391819160388</v>
          </cell>
          <cell r="I88">
            <v>6.8277717976318621</v>
          </cell>
          <cell r="J88">
            <v>4.9795479009687842</v>
          </cell>
          <cell r="K88">
            <v>1.7362755651237891</v>
          </cell>
          <cell r="L88">
            <v>2.4843918191603875</v>
          </cell>
          <cell r="M88">
            <v>5.3272335844994618</v>
          </cell>
          <cell r="N88">
            <v>11.920344456404736</v>
          </cell>
          <cell r="O88">
            <v>7.7072120559741659</v>
          </cell>
          <cell r="P88">
            <v>8.571582346609258</v>
          </cell>
          <cell r="Q88">
            <v>9.4413347685683533</v>
          </cell>
          <cell r="R88">
            <v>10.268030139935414</v>
          </cell>
          <cell r="S88">
            <v>11.260495156081809</v>
          </cell>
          <cell r="T88">
            <v>11.673842841765341</v>
          </cell>
          <cell r="U88">
            <v>11.552206673842841</v>
          </cell>
          <cell r="V88">
            <v>11.673842841765341</v>
          </cell>
          <cell r="W88">
            <v>11.260495156081809</v>
          </cell>
          <cell r="X88">
            <v>10.268030139935414</v>
          </cell>
          <cell r="Y88">
            <v>9.4413347685683533</v>
          </cell>
          <cell r="Z88">
            <v>8.571582346609258</v>
          </cell>
          <cell r="AA88">
            <v>7.7072120559741659</v>
          </cell>
          <cell r="AB88">
            <v>11.920344456404736</v>
          </cell>
          <cell r="AC88">
            <v>5.3272335844994618</v>
          </cell>
          <cell r="AD88">
            <v>2.4843918191603875</v>
          </cell>
          <cell r="AE88">
            <v>1.7362755651237891</v>
          </cell>
          <cell r="AF88">
            <v>4.9795479009687842</v>
          </cell>
          <cell r="AG88">
            <v>6.8277717976318621</v>
          </cell>
          <cell r="AH88">
            <v>8.484391819160388</v>
          </cell>
          <cell r="AI88">
            <v>9.7933261571582353</v>
          </cell>
          <cell r="AJ88">
            <v>10.114101184068891</v>
          </cell>
          <cell r="AK88">
            <v>10.117330462863293</v>
          </cell>
        </row>
        <row r="89">
          <cell r="B89" t="str">
            <v>80010965V01K</v>
          </cell>
          <cell r="C89">
            <v>10.939720129171151</v>
          </cell>
          <cell r="D89">
            <v>11.38643702906351</v>
          </cell>
          <cell r="E89">
            <v>10.117330462863293</v>
          </cell>
          <cell r="F89">
            <v>10.114101184068891</v>
          </cell>
          <cell r="G89">
            <v>9.7933261571582353</v>
          </cell>
          <cell r="H89">
            <v>8.484391819160388</v>
          </cell>
          <cell r="I89">
            <v>6.8277717976318621</v>
          </cell>
          <cell r="J89">
            <v>4.9795479009687842</v>
          </cell>
          <cell r="K89">
            <v>1.7362755651237891</v>
          </cell>
          <cell r="L89">
            <v>2.4843918191603875</v>
          </cell>
          <cell r="M89">
            <v>5.3272335844994618</v>
          </cell>
          <cell r="N89">
            <v>11.920344456404736</v>
          </cell>
          <cell r="O89">
            <v>7.7072120559741659</v>
          </cell>
          <cell r="P89">
            <v>8.571582346609258</v>
          </cell>
          <cell r="Q89">
            <v>9.4413347685683533</v>
          </cell>
          <cell r="R89">
            <v>10.268030139935414</v>
          </cell>
          <cell r="S89">
            <v>11.260495156081809</v>
          </cell>
          <cell r="T89">
            <v>11.673842841765341</v>
          </cell>
          <cell r="U89">
            <v>11.552206673842841</v>
          </cell>
          <cell r="V89">
            <v>11.673842841765341</v>
          </cell>
          <cell r="W89">
            <v>11.260495156081809</v>
          </cell>
          <cell r="X89">
            <v>10.268030139935414</v>
          </cell>
          <cell r="Y89">
            <v>9.4413347685683533</v>
          </cell>
          <cell r="Z89">
            <v>8.571582346609258</v>
          </cell>
          <cell r="AA89">
            <v>7.7072120559741659</v>
          </cell>
          <cell r="AB89">
            <v>11.920344456404736</v>
          </cell>
          <cell r="AC89">
            <v>5.3272335844994618</v>
          </cell>
          <cell r="AD89">
            <v>2.4843918191603875</v>
          </cell>
          <cell r="AE89">
            <v>1.7362755651237891</v>
          </cell>
          <cell r="AF89">
            <v>4.9795479009687842</v>
          </cell>
          <cell r="AG89">
            <v>6.8277717976318621</v>
          </cell>
          <cell r="AH89">
            <v>8.484391819160388</v>
          </cell>
          <cell r="AI89">
            <v>9.7933261571582353</v>
          </cell>
          <cell r="AJ89">
            <v>10.114101184068891</v>
          </cell>
          <cell r="AK89">
            <v>10.117330462863293</v>
          </cell>
        </row>
        <row r="90">
          <cell r="B90" t="str">
            <v>80010991V01K</v>
          </cell>
          <cell r="C90">
            <v>10.939720129171151</v>
          </cell>
          <cell r="D90">
            <v>11.38643702906351</v>
          </cell>
          <cell r="E90">
            <v>10.117330462863293</v>
          </cell>
          <cell r="F90">
            <v>10.114101184068891</v>
          </cell>
          <cell r="G90">
            <v>9.7933261571582353</v>
          </cell>
          <cell r="H90">
            <v>8.484391819160388</v>
          </cell>
          <cell r="I90">
            <v>6.8277717976318621</v>
          </cell>
          <cell r="J90">
            <v>4.9795479009687842</v>
          </cell>
          <cell r="K90">
            <v>1.7362755651237891</v>
          </cell>
          <cell r="L90">
            <v>2.4843918191603875</v>
          </cell>
          <cell r="M90">
            <v>5.3272335844994618</v>
          </cell>
          <cell r="N90">
            <v>11.920344456404736</v>
          </cell>
          <cell r="O90">
            <v>7.7072120559741659</v>
          </cell>
          <cell r="P90">
            <v>8.571582346609258</v>
          </cell>
          <cell r="Q90">
            <v>9.4413347685683533</v>
          </cell>
          <cell r="R90">
            <v>10.268030139935414</v>
          </cell>
          <cell r="S90">
            <v>11.260495156081809</v>
          </cell>
          <cell r="T90">
            <v>11.673842841765341</v>
          </cell>
          <cell r="U90">
            <v>11.552206673842841</v>
          </cell>
          <cell r="V90">
            <v>11.673842841765341</v>
          </cell>
          <cell r="W90">
            <v>11.260495156081809</v>
          </cell>
          <cell r="X90">
            <v>10.268030139935414</v>
          </cell>
          <cell r="Y90">
            <v>9.4413347685683533</v>
          </cell>
          <cell r="Z90">
            <v>8.571582346609258</v>
          </cell>
          <cell r="AA90">
            <v>7.7072120559741659</v>
          </cell>
          <cell r="AB90">
            <v>11.920344456404736</v>
          </cell>
          <cell r="AC90">
            <v>5.3272335844994618</v>
          </cell>
          <cell r="AD90">
            <v>2.4843918191603875</v>
          </cell>
          <cell r="AE90">
            <v>1.7362755651237891</v>
          </cell>
          <cell r="AF90">
            <v>4.9795479009687842</v>
          </cell>
          <cell r="AG90">
            <v>6.8277717976318621</v>
          </cell>
          <cell r="AH90">
            <v>8.484391819160388</v>
          </cell>
          <cell r="AI90">
            <v>9.7933261571582353</v>
          </cell>
          <cell r="AJ90">
            <v>10.114101184068891</v>
          </cell>
          <cell r="AK90">
            <v>10.117330462863293</v>
          </cell>
        </row>
        <row r="91">
          <cell r="B91" t="str">
            <v>80010992K</v>
          </cell>
          <cell r="C91">
            <v>14.617868675995696</v>
          </cell>
          <cell r="D91">
            <v>15.214208826695371</v>
          </cell>
          <cell r="E91">
            <v>13.518837459634016</v>
          </cell>
          <cell r="F91">
            <v>13.514531754574813</v>
          </cell>
          <cell r="G91">
            <v>13.086114101184069</v>
          </cell>
          <cell r="H91">
            <v>11.335844994617869</v>
          </cell>
          <cell r="I91">
            <v>9.1227125941872984</v>
          </cell>
          <cell r="J91">
            <v>6.653390742734123</v>
          </cell>
          <cell r="K91">
            <v>2.319698600645856</v>
          </cell>
          <cell r="L91">
            <v>3.319698600645856</v>
          </cell>
          <cell r="M91">
            <v>7.1173304628632943</v>
          </cell>
          <cell r="N91">
            <v>15.927879440258343</v>
          </cell>
          <cell r="O91">
            <v>10.298170075349839</v>
          </cell>
          <cell r="P91">
            <v>11.453175457481164</v>
          </cell>
          <cell r="Q91">
            <v>12.614639397201291</v>
          </cell>
          <cell r="R91">
            <v>13.720129171151775</v>
          </cell>
          <cell r="S91">
            <v>15.046286329386437</v>
          </cell>
          <cell r="T91">
            <v>15.598493003229279</v>
          </cell>
          <cell r="U91">
            <v>15.434876210979548</v>
          </cell>
          <cell r="V91">
            <v>15.598493003229279</v>
          </cell>
          <cell r="W91">
            <v>15.046286329386437</v>
          </cell>
          <cell r="X91">
            <v>13.720129171151775</v>
          </cell>
          <cell r="Y91">
            <v>12.614639397201291</v>
          </cell>
          <cell r="Z91">
            <v>11.453175457481164</v>
          </cell>
          <cell r="AA91">
            <v>10.298170075349839</v>
          </cell>
          <cell r="AB91">
            <v>15.927879440258343</v>
          </cell>
          <cell r="AC91">
            <v>7.1173304628632943</v>
          </cell>
          <cell r="AD91">
            <v>3.319698600645856</v>
          </cell>
          <cell r="AE91">
            <v>2.319698600645856</v>
          </cell>
          <cell r="AF91">
            <v>6.653390742734123</v>
          </cell>
          <cell r="AG91">
            <v>9.1227125941872984</v>
          </cell>
          <cell r="AH91">
            <v>11.335844994617869</v>
          </cell>
          <cell r="AI91">
            <v>13.086114101184069</v>
          </cell>
          <cell r="AJ91">
            <v>13.514531754574813</v>
          </cell>
          <cell r="AK91">
            <v>13.518837459634016</v>
          </cell>
        </row>
        <row r="92">
          <cell r="B92" t="str">
            <v>80010992V01K</v>
          </cell>
          <cell r="C92">
            <v>14.617868675995696</v>
          </cell>
          <cell r="D92">
            <v>15.214208826695371</v>
          </cell>
          <cell r="E92">
            <v>13.518837459634016</v>
          </cell>
          <cell r="F92">
            <v>13.514531754574813</v>
          </cell>
          <cell r="G92">
            <v>13.086114101184069</v>
          </cell>
          <cell r="H92">
            <v>11.335844994617869</v>
          </cell>
          <cell r="I92">
            <v>9.1227125941872984</v>
          </cell>
          <cell r="J92">
            <v>6.653390742734123</v>
          </cell>
          <cell r="K92">
            <v>2.319698600645856</v>
          </cell>
          <cell r="L92">
            <v>3.319698600645856</v>
          </cell>
          <cell r="M92">
            <v>7.1173304628632943</v>
          </cell>
          <cell r="N92">
            <v>15.927879440258343</v>
          </cell>
          <cell r="O92">
            <v>10.298170075349839</v>
          </cell>
          <cell r="P92">
            <v>11.453175457481164</v>
          </cell>
          <cell r="Q92">
            <v>12.614639397201291</v>
          </cell>
          <cell r="R92">
            <v>13.720129171151775</v>
          </cell>
          <cell r="S92">
            <v>15.046286329386437</v>
          </cell>
          <cell r="T92">
            <v>15.598493003229279</v>
          </cell>
          <cell r="U92">
            <v>15.434876210979548</v>
          </cell>
          <cell r="V92">
            <v>15.598493003229279</v>
          </cell>
          <cell r="W92">
            <v>15.046286329386437</v>
          </cell>
          <cell r="X92">
            <v>13.720129171151775</v>
          </cell>
          <cell r="Y92">
            <v>12.614639397201291</v>
          </cell>
          <cell r="Z92">
            <v>11.453175457481164</v>
          </cell>
          <cell r="AA92">
            <v>10.298170075349839</v>
          </cell>
          <cell r="AB92">
            <v>15.927879440258343</v>
          </cell>
          <cell r="AC92">
            <v>7.1173304628632943</v>
          </cell>
          <cell r="AD92">
            <v>3.319698600645856</v>
          </cell>
          <cell r="AE92">
            <v>2.319698600645856</v>
          </cell>
          <cell r="AF92">
            <v>6.653390742734123</v>
          </cell>
          <cell r="AG92">
            <v>9.1227125941872984</v>
          </cell>
          <cell r="AH92">
            <v>11.335844994617869</v>
          </cell>
          <cell r="AI92">
            <v>13.086114101184069</v>
          </cell>
          <cell r="AJ92">
            <v>13.514531754574813</v>
          </cell>
          <cell r="AK92">
            <v>13.518837459634016</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ISC Database v16.0"/>
      <sheetName val="AISC Database v16.0 + Custom"/>
    </sheetNames>
    <sheetDataSet>
      <sheetData sheetId="0">
        <row r="1">
          <cell r="B1" t="str">
            <v>AISC_Manual_Label</v>
          </cell>
          <cell r="C1" t="str">
            <v>A</v>
          </cell>
          <cell r="D1" t="str">
            <v>d</v>
          </cell>
          <cell r="F1" t="str">
            <v>Ht</v>
          </cell>
          <cell r="H1" t="str">
            <v>OD</v>
          </cell>
          <cell r="I1" t="str">
            <v>bf</v>
          </cell>
          <cell r="K1" t="str">
            <v>B</v>
          </cell>
          <cell r="L1" t="str">
            <v>b2</v>
          </cell>
          <cell r="M1" t="str">
            <v>Dc</v>
          </cell>
          <cell r="O1" t="str">
            <v>tw</v>
          </cell>
          <cell r="T1" t="str">
            <v>t</v>
          </cell>
          <cell r="U1" t="str">
            <v>tnom</v>
          </cell>
        </row>
        <row r="2">
          <cell r="B2" t="str">
            <v>W44X408</v>
          </cell>
          <cell r="C2">
            <v>120</v>
          </cell>
          <cell r="D2">
            <v>44.8</v>
          </cell>
          <cell r="F2" t="str">
            <v>-</v>
          </cell>
          <cell r="H2" t="str">
            <v>-</v>
          </cell>
          <cell r="I2">
            <v>16.100000000000001</v>
          </cell>
          <cell r="K2" t="str">
            <v>-</v>
          </cell>
          <cell r="L2" t="str">
            <v>-</v>
          </cell>
          <cell r="M2">
            <v>47.605146780574053</v>
          </cell>
          <cell r="O2">
            <v>1.22</v>
          </cell>
          <cell r="T2" t="str">
            <v>-</v>
          </cell>
          <cell r="U2" t="str">
            <v>-</v>
          </cell>
        </row>
        <row r="3">
          <cell r="B3" t="str">
            <v>W44X368</v>
          </cell>
          <cell r="C3">
            <v>108</v>
          </cell>
          <cell r="D3">
            <v>44.4</v>
          </cell>
          <cell r="F3" t="str">
            <v>-</v>
          </cell>
          <cell r="H3" t="str">
            <v>-</v>
          </cell>
          <cell r="I3">
            <v>16</v>
          </cell>
          <cell r="K3" t="str">
            <v>-</v>
          </cell>
          <cell r="L3" t="str">
            <v>-</v>
          </cell>
          <cell r="M3">
            <v>47.19491498032388</v>
          </cell>
          <cell r="O3">
            <v>1.1000000000000001</v>
          </cell>
          <cell r="T3" t="str">
            <v>-</v>
          </cell>
          <cell r="U3" t="str">
            <v>-</v>
          </cell>
        </row>
        <row r="4">
          <cell r="B4" t="str">
            <v>W44X335</v>
          </cell>
          <cell r="C4">
            <v>98.5</v>
          </cell>
          <cell r="D4">
            <v>44</v>
          </cell>
          <cell r="F4" t="str">
            <v>-</v>
          </cell>
          <cell r="H4" t="str">
            <v>-</v>
          </cell>
          <cell r="I4">
            <v>15.9</v>
          </cell>
          <cell r="K4" t="str">
            <v>-</v>
          </cell>
          <cell r="L4" t="str">
            <v>-</v>
          </cell>
          <cell r="M4">
            <v>46.784719727705969</v>
          </cell>
          <cell r="O4">
            <v>1.03</v>
          </cell>
          <cell r="T4" t="str">
            <v>-</v>
          </cell>
          <cell r="U4" t="str">
            <v>-</v>
          </cell>
        </row>
        <row r="5">
          <cell r="B5" t="str">
            <v>W44X290</v>
          </cell>
          <cell r="C5">
            <v>85.4</v>
          </cell>
          <cell r="D5">
            <v>43.6</v>
          </cell>
          <cell r="F5" t="str">
            <v>-</v>
          </cell>
          <cell r="H5" t="str">
            <v>-</v>
          </cell>
          <cell r="I5">
            <v>15.8</v>
          </cell>
          <cell r="K5" t="str">
            <v>-</v>
          </cell>
          <cell r="L5" t="str">
            <v>-</v>
          </cell>
          <cell r="M5">
            <v>46.374561992540691</v>
          </cell>
          <cell r="O5">
            <v>0.86499999999999999</v>
          </cell>
          <cell r="T5" t="str">
            <v>-</v>
          </cell>
          <cell r="U5" t="str">
            <v>-</v>
          </cell>
        </row>
        <row r="6">
          <cell r="B6" t="str">
            <v>W44X262</v>
          </cell>
          <cell r="C6">
            <v>77.2</v>
          </cell>
          <cell r="D6">
            <v>43.3</v>
          </cell>
          <cell r="F6" t="str">
            <v>-</v>
          </cell>
          <cell r="H6" t="str">
            <v>-</v>
          </cell>
          <cell r="I6">
            <v>15.8</v>
          </cell>
          <cell r="K6" t="str">
            <v>-</v>
          </cell>
          <cell r="L6" t="str">
            <v>-</v>
          </cell>
          <cell r="M6">
            <v>46.09262413879253</v>
          </cell>
          <cell r="O6">
            <v>0.78500000000000003</v>
          </cell>
          <cell r="T6" t="str">
            <v>-</v>
          </cell>
          <cell r="U6" t="str">
            <v>-</v>
          </cell>
        </row>
        <row r="7">
          <cell r="B7" t="str">
            <v>W44X230</v>
          </cell>
          <cell r="C7">
            <v>67.8</v>
          </cell>
          <cell r="D7">
            <v>42.9</v>
          </cell>
          <cell r="F7" t="str">
            <v>-</v>
          </cell>
          <cell r="H7" t="str">
            <v>-</v>
          </cell>
          <cell r="I7">
            <v>15.8</v>
          </cell>
          <cell r="K7" t="str">
            <v>-</v>
          </cell>
          <cell r="L7" t="str">
            <v>-</v>
          </cell>
          <cell r="M7">
            <v>45.717064647678328</v>
          </cell>
          <cell r="O7">
            <v>0.71</v>
          </cell>
          <cell r="T7" t="str">
            <v>-</v>
          </cell>
          <cell r="U7" t="str">
            <v>-</v>
          </cell>
        </row>
        <row r="8">
          <cell r="B8" t="str">
            <v>W40X655</v>
          </cell>
          <cell r="C8">
            <v>193</v>
          </cell>
          <cell r="D8">
            <v>43.6</v>
          </cell>
          <cell r="F8" t="str">
            <v>-</v>
          </cell>
          <cell r="H8" t="str">
            <v>-</v>
          </cell>
          <cell r="I8">
            <v>16.899999999999999</v>
          </cell>
          <cell r="K8" t="str">
            <v>-</v>
          </cell>
          <cell r="L8" t="str">
            <v>-</v>
          </cell>
          <cell r="M8">
            <v>46.760774159545306</v>
          </cell>
          <cell r="O8">
            <v>1.97</v>
          </cell>
          <cell r="T8" t="str">
            <v>-</v>
          </cell>
          <cell r="U8" t="str">
            <v>-</v>
          </cell>
        </row>
        <row r="9">
          <cell r="B9" t="str">
            <v>W40X593</v>
          </cell>
          <cell r="C9">
            <v>174</v>
          </cell>
          <cell r="D9">
            <v>43</v>
          </cell>
          <cell r="F9" t="str">
            <v>-</v>
          </cell>
          <cell r="H9" t="str">
            <v>-</v>
          </cell>
          <cell r="I9">
            <v>16.7</v>
          </cell>
          <cell r="K9" t="str">
            <v>-</v>
          </cell>
          <cell r="L9" t="str">
            <v>-</v>
          </cell>
          <cell r="M9">
            <v>46.12905808706698</v>
          </cell>
          <cell r="O9">
            <v>1.79</v>
          </cell>
          <cell r="T9" t="str">
            <v>-</v>
          </cell>
          <cell r="U9" t="str">
            <v>-</v>
          </cell>
        </row>
        <row r="10">
          <cell r="B10" t="str">
            <v>W40X503</v>
          </cell>
          <cell r="C10">
            <v>148</v>
          </cell>
          <cell r="D10">
            <v>42.1</v>
          </cell>
          <cell r="F10" t="str">
            <v>-</v>
          </cell>
          <cell r="H10" t="str">
            <v>-</v>
          </cell>
          <cell r="I10">
            <v>16.399999999999999</v>
          </cell>
          <cell r="K10" t="str">
            <v>-</v>
          </cell>
          <cell r="L10" t="str">
            <v>-</v>
          </cell>
          <cell r="M10">
            <v>45.181522772035919</v>
          </cell>
          <cell r="O10">
            <v>1.54</v>
          </cell>
          <cell r="T10" t="str">
            <v>-</v>
          </cell>
          <cell r="U10" t="str">
            <v>-</v>
          </cell>
        </row>
        <row r="11">
          <cell r="B11" t="str">
            <v>W40X431</v>
          </cell>
          <cell r="C11">
            <v>127</v>
          </cell>
          <cell r="D11">
            <v>41.3</v>
          </cell>
          <cell r="F11" t="str">
            <v>-</v>
          </cell>
          <cell r="H11" t="str">
            <v>-</v>
          </cell>
          <cell r="I11">
            <v>16.2</v>
          </cell>
          <cell r="K11" t="str">
            <v>-</v>
          </cell>
          <cell r="L11" t="str">
            <v>-</v>
          </cell>
          <cell r="M11">
            <v>44.363611214597938</v>
          </cell>
          <cell r="O11">
            <v>1.34</v>
          </cell>
          <cell r="T11" t="str">
            <v>-</v>
          </cell>
          <cell r="U11" t="str">
            <v>-</v>
          </cell>
        </row>
        <row r="12">
          <cell r="B12" t="str">
            <v>W40X397</v>
          </cell>
          <cell r="C12">
            <v>117</v>
          </cell>
          <cell r="D12">
            <v>41</v>
          </cell>
          <cell r="F12" t="str">
            <v>-</v>
          </cell>
          <cell r="H12" t="str">
            <v>-</v>
          </cell>
          <cell r="I12">
            <v>16.100000000000001</v>
          </cell>
          <cell r="K12" t="str">
            <v>-</v>
          </cell>
          <cell r="L12" t="str">
            <v>-</v>
          </cell>
          <cell r="M12">
            <v>44.047814928779388</v>
          </cell>
          <cell r="O12">
            <v>1.22</v>
          </cell>
          <cell r="T12" t="str">
            <v>-</v>
          </cell>
          <cell r="U12" t="str">
            <v>-</v>
          </cell>
        </row>
        <row r="13">
          <cell r="B13" t="str">
            <v>W40X372</v>
          </cell>
          <cell r="C13">
            <v>110</v>
          </cell>
          <cell r="D13">
            <v>40.6</v>
          </cell>
          <cell r="F13" t="str">
            <v>-</v>
          </cell>
          <cell r="H13" t="str">
            <v>-</v>
          </cell>
          <cell r="I13">
            <v>16.100000000000001</v>
          </cell>
          <cell r="K13" t="str">
            <v>-</v>
          </cell>
          <cell r="L13" t="str">
            <v>-</v>
          </cell>
          <cell r="M13">
            <v>43.675736971458193</v>
          </cell>
          <cell r="O13">
            <v>1.1599999999999999</v>
          </cell>
          <cell r="T13" t="str">
            <v>-</v>
          </cell>
          <cell r="U13" t="str">
            <v>-</v>
          </cell>
        </row>
        <row r="14">
          <cell r="B14" t="str">
            <v>W40X362</v>
          </cell>
          <cell r="C14">
            <v>106</v>
          </cell>
          <cell r="D14">
            <v>40.6</v>
          </cell>
          <cell r="F14" t="str">
            <v>-</v>
          </cell>
          <cell r="H14" t="str">
            <v>-</v>
          </cell>
          <cell r="I14">
            <v>16</v>
          </cell>
          <cell r="K14" t="str">
            <v>-</v>
          </cell>
          <cell r="L14" t="str">
            <v>-</v>
          </cell>
          <cell r="M14">
            <v>43.638973406806905</v>
          </cell>
          <cell r="O14">
            <v>1.1200000000000001</v>
          </cell>
          <cell r="T14" t="str">
            <v>-</v>
          </cell>
          <cell r="U14" t="str">
            <v>-</v>
          </cell>
        </row>
        <row r="15">
          <cell r="B15" t="str">
            <v>W40X324</v>
          </cell>
          <cell r="C15">
            <v>95.3</v>
          </cell>
          <cell r="D15">
            <v>40.200000000000003</v>
          </cell>
          <cell r="F15" t="str">
            <v>-</v>
          </cell>
          <cell r="H15" t="str">
            <v>-</v>
          </cell>
          <cell r="I15">
            <v>15.9</v>
          </cell>
          <cell r="K15" t="str">
            <v>-</v>
          </cell>
          <cell r="L15" t="str">
            <v>-</v>
          </cell>
          <cell r="M15">
            <v>43.230197778867499</v>
          </cell>
          <cell r="O15">
            <v>1</v>
          </cell>
          <cell r="T15" t="str">
            <v>-</v>
          </cell>
          <cell r="U15" t="str">
            <v>-</v>
          </cell>
        </row>
        <row r="16">
          <cell r="B16" t="str">
            <v>W40X297</v>
          </cell>
          <cell r="C16">
            <v>87.3</v>
          </cell>
          <cell r="D16">
            <v>39.799999999999997</v>
          </cell>
          <cell r="F16" t="str">
            <v>-</v>
          </cell>
          <cell r="H16" t="str">
            <v>-</v>
          </cell>
          <cell r="I16">
            <v>15.8</v>
          </cell>
          <cell r="K16" t="str">
            <v>-</v>
          </cell>
          <cell r="L16" t="str">
            <v>-</v>
          </cell>
          <cell r="M16">
            <v>42.821489932042297</v>
          </cell>
          <cell r="O16">
            <v>0.93</v>
          </cell>
          <cell r="T16" t="str">
            <v>-</v>
          </cell>
          <cell r="U16" t="str">
            <v>-</v>
          </cell>
        </row>
        <row r="17">
          <cell r="B17" t="str">
            <v>W40X277</v>
          </cell>
          <cell r="C17">
            <v>81.5</v>
          </cell>
          <cell r="D17">
            <v>39.700000000000003</v>
          </cell>
          <cell r="F17" t="str">
            <v>-</v>
          </cell>
          <cell r="H17" t="str">
            <v>-</v>
          </cell>
          <cell r="I17">
            <v>15.8</v>
          </cell>
          <cell r="K17" t="str">
            <v>-</v>
          </cell>
          <cell r="L17" t="str">
            <v>-</v>
          </cell>
          <cell r="M17">
            <v>42.728561876103441</v>
          </cell>
          <cell r="O17">
            <v>0.83</v>
          </cell>
          <cell r="T17" t="str">
            <v>-</v>
          </cell>
          <cell r="U17" t="str">
            <v>-</v>
          </cell>
        </row>
        <row r="18">
          <cell r="B18" t="str">
            <v>W40X249</v>
          </cell>
          <cell r="C18">
            <v>73.5</v>
          </cell>
          <cell r="D18">
            <v>39.4</v>
          </cell>
          <cell r="F18" t="str">
            <v>-</v>
          </cell>
          <cell r="H18" t="str">
            <v>-</v>
          </cell>
          <cell r="I18">
            <v>15.8</v>
          </cell>
          <cell r="K18" t="str">
            <v>-</v>
          </cell>
          <cell r="L18" t="str">
            <v>-</v>
          </cell>
          <cell r="M18">
            <v>42.449970553582247</v>
          </cell>
          <cell r="O18">
            <v>0.75</v>
          </cell>
          <cell r="T18" t="str">
            <v>-</v>
          </cell>
          <cell r="U18" t="str">
            <v>-</v>
          </cell>
        </row>
        <row r="19">
          <cell r="B19" t="str">
            <v>W40X215</v>
          </cell>
          <cell r="C19">
            <v>63.5</v>
          </cell>
          <cell r="D19">
            <v>39</v>
          </cell>
          <cell r="F19" t="str">
            <v>-</v>
          </cell>
          <cell r="H19" t="str">
            <v>-</v>
          </cell>
          <cell r="I19">
            <v>15.8</v>
          </cell>
          <cell r="K19" t="str">
            <v>-</v>
          </cell>
          <cell r="L19" t="str">
            <v>-</v>
          </cell>
          <cell r="M19">
            <v>42.078973371507061</v>
          </cell>
          <cell r="O19">
            <v>0.65</v>
          </cell>
          <cell r="T19" t="str">
            <v>-</v>
          </cell>
          <cell r="U19" t="str">
            <v>-</v>
          </cell>
        </row>
        <row r="20">
          <cell r="B20" t="str">
            <v>W40X199</v>
          </cell>
          <cell r="C20">
            <v>58.8</v>
          </cell>
          <cell r="D20">
            <v>38.700000000000003</v>
          </cell>
          <cell r="F20" t="str">
            <v>-</v>
          </cell>
          <cell r="H20" t="str">
            <v>-</v>
          </cell>
          <cell r="I20">
            <v>15.8</v>
          </cell>
          <cell r="K20" t="str">
            <v>-</v>
          </cell>
          <cell r="L20" t="str">
            <v>-</v>
          </cell>
          <cell r="M20">
            <v>41.801076541161002</v>
          </cell>
          <cell r="O20">
            <v>0.65</v>
          </cell>
          <cell r="T20" t="str">
            <v>-</v>
          </cell>
          <cell r="U20" t="str">
            <v>-</v>
          </cell>
        </row>
        <row r="21">
          <cell r="B21" t="str">
            <v>W40X392</v>
          </cell>
          <cell r="C21">
            <v>116</v>
          </cell>
          <cell r="D21">
            <v>41.6</v>
          </cell>
          <cell r="F21" t="str">
            <v>-</v>
          </cell>
          <cell r="H21" t="str">
            <v>-</v>
          </cell>
          <cell r="I21">
            <v>12.4</v>
          </cell>
          <cell r="K21" t="str">
            <v>-</v>
          </cell>
          <cell r="L21" t="str">
            <v>-</v>
          </cell>
          <cell r="M21">
            <v>43.408754877328604</v>
          </cell>
          <cell r="O21">
            <v>1.42</v>
          </cell>
          <cell r="T21" t="str">
            <v>-</v>
          </cell>
          <cell r="U21" t="str">
            <v>-</v>
          </cell>
        </row>
        <row r="22">
          <cell r="B22" t="str">
            <v>W40X331</v>
          </cell>
          <cell r="C22">
            <v>97.7</v>
          </cell>
          <cell r="D22">
            <v>40.799999999999997</v>
          </cell>
          <cell r="F22" t="str">
            <v>-</v>
          </cell>
          <cell r="H22" t="str">
            <v>-</v>
          </cell>
          <cell r="I22">
            <v>12.2</v>
          </cell>
          <cell r="K22" t="str">
            <v>-</v>
          </cell>
          <cell r="L22" t="str">
            <v>-</v>
          </cell>
          <cell r="M22">
            <v>42.58497387576984</v>
          </cell>
          <cell r="O22">
            <v>1.22</v>
          </cell>
          <cell r="T22" t="str">
            <v>-</v>
          </cell>
          <cell r="U22" t="str">
            <v>-</v>
          </cell>
        </row>
        <row r="23">
          <cell r="B23" t="str">
            <v>W40X327</v>
          </cell>
          <cell r="C23">
            <v>95.9</v>
          </cell>
          <cell r="D23">
            <v>40.799999999999997</v>
          </cell>
          <cell r="F23" t="str">
            <v>-</v>
          </cell>
          <cell r="H23" t="str">
            <v>-</v>
          </cell>
          <cell r="I23">
            <v>12.1</v>
          </cell>
          <cell r="K23" t="str">
            <v>-</v>
          </cell>
          <cell r="L23" t="str">
            <v>-</v>
          </cell>
          <cell r="M23">
            <v>42.556433121209771</v>
          </cell>
          <cell r="O23">
            <v>1.18</v>
          </cell>
          <cell r="T23" t="str">
            <v>-</v>
          </cell>
          <cell r="U23" t="str">
            <v>-</v>
          </cell>
        </row>
        <row r="24">
          <cell r="B24" t="str">
            <v>W40X294</v>
          </cell>
          <cell r="C24">
            <v>86.2</v>
          </cell>
          <cell r="D24">
            <v>40.4</v>
          </cell>
          <cell r="F24" t="str">
            <v>-</v>
          </cell>
          <cell r="H24" t="str">
            <v>-</v>
          </cell>
          <cell r="I24">
            <v>12</v>
          </cell>
          <cell r="K24" t="str">
            <v>-</v>
          </cell>
          <cell r="L24" t="str">
            <v>-</v>
          </cell>
          <cell r="M24">
            <v>42.14451328464952</v>
          </cell>
          <cell r="O24">
            <v>1.06</v>
          </cell>
          <cell r="T24" t="str">
            <v>-</v>
          </cell>
          <cell r="U24" t="str">
            <v>-</v>
          </cell>
        </row>
        <row r="25">
          <cell r="B25" t="str">
            <v>W40X278</v>
          </cell>
          <cell r="C25">
            <v>82.3</v>
          </cell>
          <cell r="D25">
            <v>40.200000000000003</v>
          </cell>
          <cell r="F25" t="str">
            <v>-</v>
          </cell>
          <cell r="H25" t="str">
            <v>-</v>
          </cell>
          <cell r="I25">
            <v>12</v>
          </cell>
          <cell r="K25" t="str">
            <v>-</v>
          </cell>
          <cell r="L25" t="str">
            <v>-</v>
          </cell>
          <cell r="M25">
            <v>41.95283065539202</v>
          </cell>
          <cell r="O25">
            <v>1.03</v>
          </cell>
          <cell r="T25" t="str">
            <v>-</v>
          </cell>
          <cell r="U25" t="str">
            <v>-</v>
          </cell>
        </row>
        <row r="26">
          <cell r="B26" t="str">
            <v>W40X264</v>
          </cell>
          <cell r="C26">
            <v>77.400000000000006</v>
          </cell>
          <cell r="D26">
            <v>40</v>
          </cell>
          <cell r="F26" t="str">
            <v>-</v>
          </cell>
          <cell r="H26" t="str">
            <v>-</v>
          </cell>
          <cell r="I26">
            <v>11.9</v>
          </cell>
          <cell r="K26" t="str">
            <v>-</v>
          </cell>
          <cell r="L26" t="str">
            <v>-</v>
          </cell>
          <cell r="M26">
            <v>41.732601165036435</v>
          </cell>
          <cell r="O26">
            <v>0.96</v>
          </cell>
          <cell r="T26" t="str">
            <v>-</v>
          </cell>
          <cell r="U26" t="str">
            <v>-</v>
          </cell>
        </row>
        <row r="27">
          <cell r="B27" t="str">
            <v>W40X235</v>
          </cell>
          <cell r="C27">
            <v>69.099999999999994</v>
          </cell>
          <cell r="D27">
            <v>39.700000000000003</v>
          </cell>
          <cell r="F27" t="str">
            <v>-</v>
          </cell>
          <cell r="H27" t="str">
            <v>-</v>
          </cell>
          <cell r="I27">
            <v>11.9</v>
          </cell>
          <cell r="K27" t="str">
            <v>-</v>
          </cell>
          <cell r="L27" t="str">
            <v>-</v>
          </cell>
          <cell r="M27">
            <v>41.445144468321018</v>
          </cell>
          <cell r="O27">
            <v>0.83</v>
          </cell>
          <cell r="T27" t="str">
            <v>-</v>
          </cell>
          <cell r="U27" t="str">
            <v>-</v>
          </cell>
        </row>
        <row r="28">
          <cell r="B28" t="str">
            <v>W40X211</v>
          </cell>
          <cell r="C28">
            <v>62.1</v>
          </cell>
          <cell r="D28">
            <v>39.4</v>
          </cell>
          <cell r="F28" t="str">
            <v>-</v>
          </cell>
          <cell r="H28" t="str">
            <v>-</v>
          </cell>
          <cell r="I28">
            <v>11.8</v>
          </cell>
          <cell r="K28" t="str">
            <v>-</v>
          </cell>
          <cell r="L28" t="str">
            <v>-</v>
          </cell>
          <cell r="M28">
            <v>41.12906514862695</v>
          </cell>
          <cell r="O28">
            <v>0.75</v>
          </cell>
          <cell r="T28" t="str">
            <v>-</v>
          </cell>
          <cell r="U28" t="str">
            <v>-</v>
          </cell>
        </row>
        <row r="29">
          <cell r="B29" t="str">
            <v>W40X183</v>
          </cell>
          <cell r="C29">
            <v>53.3</v>
          </cell>
          <cell r="D29">
            <v>39</v>
          </cell>
          <cell r="F29" t="str">
            <v>-</v>
          </cell>
          <cell r="H29" t="str">
            <v>-</v>
          </cell>
          <cell r="I29">
            <v>11.8</v>
          </cell>
          <cell r="K29" t="str">
            <v>-</v>
          </cell>
          <cell r="L29" t="str">
            <v>-</v>
          </cell>
          <cell r="M29">
            <v>40.746042752640406</v>
          </cell>
          <cell r="O29">
            <v>0.65</v>
          </cell>
          <cell r="T29" t="str">
            <v>-</v>
          </cell>
          <cell r="U29" t="str">
            <v>-</v>
          </cell>
        </row>
        <row r="30">
          <cell r="B30" t="str">
            <v>W40X167</v>
          </cell>
          <cell r="C30">
            <v>49.3</v>
          </cell>
          <cell r="D30">
            <v>38.6</v>
          </cell>
          <cell r="F30" t="str">
            <v>-</v>
          </cell>
          <cell r="H30" t="str">
            <v>-</v>
          </cell>
          <cell r="I30">
            <v>11.8</v>
          </cell>
          <cell r="K30" t="str">
            <v>-</v>
          </cell>
          <cell r="L30" t="str">
            <v>-</v>
          </cell>
          <cell r="M30">
            <v>40.363349712331853</v>
          </cell>
          <cell r="O30">
            <v>0.65</v>
          </cell>
          <cell r="T30" t="str">
            <v>-</v>
          </cell>
          <cell r="U30" t="str">
            <v>-</v>
          </cell>
        </row>
        <row r="31">
          <cell r="B31" t="str">
            <v>W40X149</v>
          </cell>
          <cell r="C31">
            <v>43.8</v>
          </cell>
          <cell r="D31">
            <v>38.200000000000003</v>
          </cell>
          <cell r="F31" t="str">
            <v>-</v>
          </cell>
          <cell r="H31" t="str">
            <v>-</v>
          </cell>
          <cell r="I31">
            <v>11.8</v>
          </cell>
          <cell r="K31" t="str">
            <v>-</v>
          </cell>
          <cell r="L31" t="str">
            <v>-</v>
          </cell>
          <cell r="M31">
            <v>39.980995485355294</v>
          </cell>
          <cell r="O31">
            <v>0.63</v>
          </cell>
          <cell r="T31" t="str">
            <v>-</v>
          </cell>
          <cell r="U31" t="str">
            <v>-</v>
          </cell>
        </row>
        <row r="32">
          <cell r="B32" t="str">
            <v>W36X925</v>
          </cell>
          <cell r="C32">
            <v>272</v>
          </cell>
          <cell r="D32">
            <v>43.1</v>
          </cell>
          <cell r="F32" t="str">
            <v>-</v>
          </cell>
          <cell r="H32" t="str">
            <v>-</v>
          </cell>
          <cell r="I32">
            <v>18.600000000000001</v>
          </cell>
          <cell r="K32" t="str">
            <v>-</v>
          </cell>
          <cell r="L32" t="str">
            <v>-</v>
          </cell>
          <cell r="M32">
            <v>46.942198499857248</v>
          </cell>
          <cell r="O32">
            <v>3.02</v>
          </cell>
          <cell r="T32" t="str">
            <v>-</v>
          </cell>
          <cell r="U32" t="str">
            <v>-</v>
          </cell>
        </row>
        <row r="33">
          <cell r="B33" t="str">
            <v>W36X853</v>
          </cell>
          <cell r="C33">
            <v>251</v>
          </cell>
          <cell r="D33">
            <v>43.1</v>
          </cell>
          <cell r="F33" t="str">
            <v>-</v>
          </cell>
          <cell r="H33" t="str">
            <v>-</v>
          </cell>
          <cell r="I33">
            <v>18.2</v>
          </cell>
          <cell r="K33" t="str">
            <v>-</v>
          </cell>
          <cell r="L33" t="str">
            <v>-</v>
          </cell>
          <cell r="M33">
            <v>46.78514721575641</v>
          </cell>
          <cell r="O33">
            <v>2.52</v>
          </cell>
          <cell r="T33" t="str">
            <v>-</v>
          </cell>
          <cell r="U33" t="str">
            <v>-</v>
          </cell>
        </row>
        <row r="34">
          <cell r="B34" t="str">
            <v>W36X802</v>
          </cell>
          <cell r="C34">
            <v>236</v>
          </cell>
          <cell r="D34">
            <v>42.6</v>
          </cell>
          <cell r="F34" t="str">
            <v>-</v>
          </cell>
          <cell r="H34" t="str">
            <v>-</v>
          </cell>
          <cell r="I34">
            <v>18</v>
          </cell>
          <cell r="K34" t="str">
            <v>-</v>
          </cell>
          <cell r="L34" t="str">
            <v>-</v>
          </cell>
          <cell r="M34">
            <v>46.246729614103529</v>
          </cell>
          <cell r="O34">
            <v>2.38</v>
          </cell>
          <cell r="T34" t="str">
            <v>-</v>
          </cell>
          <cell r="U34" t="str">
            <v>-</v>
          </cell>
        </row>
        <row r="35">
          <cell r="B35" t="str">
            <v>W36X723</v>
          </cell>
          <cell r="C35">
            <v>213</v>
          </cell>
          <cell r="D35">
            <v>41.8</v>
          </cell>
          <cell r="F35" t="str">
            <v>-</v>
          </cell>
          <cell r="H35" t="str">
            <v>-</v>
          </cell>
          <cell r="I35">
            <v>17.8</v>
          </cell>
          <cell r="K35" t="str">
            <v>-</v>
          </cell>
          <cell r="L35" t="str">
            <v>-</v>
          </cell>
          <cell r="M35">
            <v>45.432147208777181</v>
          </cell>
          <cell r="O35">
            <v>2.17</v>
          </cell>
          <cell r="T35" t="str">
            <v>-</v>
          </cell>
          <cell r="U35" t="str">
            <v>-</v>
          </cell>
        </row>
        <row r="36">
          <cell r="B36" t="str">
            <v>W36X652</v>
          </cell>
          <cell r="C36">
            <v>192</v>
          </cell>
          <cell r="D36">
            <v>41.1</v>
          </cell>
          <cell r="F36" t="str">
            <v>-</v>
          </cell>
          <cell r="H36" t="str">
            <v>-</v>
          </cell>
          <cell r="I36">
            <v>17.600000000000001</v>
          </cell>
          <cell r="K36" t="str">
            <v>-</v>
          </cell>
          <cell r="L36" t="str">
            <v>-</v>
          </cell>
          <cell r="M36">
            <v>44.709842316876944</v>
          </cell>
          <cell r="O36">
            <v>1.97</v>
          </cell>
          <cell r="T36" t="str">
            <v>-</v>
          </cell>
          <cell r="U36" t="str">
            <v>-</v>
          </cell>
        </row>
        <row r="37">
          <cell r="B37" t="str">
            <v>W36X529</v>
          </cell>
          <cell r="C37">
            <v>156</v>
          </cell>
          <cell r="D37">
            <v>39.799999999999997</v>
          </cell>
          <cell r="F37" t="str">
            <v>-</v>
          </cell>
          <cell r="H37" t="str">
            <v>-</v>
          </cell>
          <cell r="I37">
            <v>17.2</v>
          </cell>
          <cell r="K37" t="str">
            <v>-</v>
          </cell>
          <cell r="L37" t="str">
            <v>-</v>
          </cell>
          <cell r="M37">
            <v>43.357582958462984</v>
          </cell>
          <cell r="O37">
            <v>1.61</v>
          </cell>
          <cell r="T37" t="str">
            <v>-</v>
          </cell>
          <cell r="U37" t="str">
            <v>-</v>
          </cell>
        </row>
        <row r="38">
          <cell r="B38" t="str">
            <v>W36X487</v>
          </cell>
          <cell r="C38">
            <v>143</v>
          </cell>
          <cell r="D38">
            <v>39.299999999999997</v>
          </cell>
          <cell r="F38" t="str">
            <v>-</v>
          </cell>
          <cell r="H38" t="str">
            <v>-</v>
          </cell>
          <cell r="I38">
            <v>17.100000000000001</v>
          </cell>
          <cell r="K38" t="str">
            <v>-</v>
          </cell>
          <cell r="L38" t="str">
            <v>-</v>
          </cell>
          <cell r="M38">
            <v>42.859071385180521</v>
          </cell>
          <cell r="O38">
            <v>1.5</v>
          </cell>
          <cell r="T38" t="str">
            <v>-</v>
          </cell>
          <cell r="U38" t="str">
            <v>-</v>
          </cell>
        </row>
        <row r="39">
          <cell r="B39" t="str">
            <v>W36X441</v>
          </cell>
          <cell r="C39">
            <v>130</v>
          </cell>
          <cell r="D39">
            <v>38.9</v>
          </cell>
          <cell r="F39" t="str">
            <v>-</v>
          </cell>
          <cell r="H39" t="str">
            <v>-</v>
          </cell>
          <cell r="I39">
            <v>17</v>
          </cell>
          <cell r="K39" t="str">
            <v>-</v>
          </cell>
          <cell r="L39" t="str">
            <v>-</v>
          </cell>
          <cell r="M39">
            <v>42.452443981471781</v>
          </cell>
          <cell r="O39">
            <v>1.36</v>
          </cell>
          <cell r="T39" t="str">
            <v>-</v>
          </cell>
          <cell r="U39" t="str">
            <v>-</v>
          </cell>
        </row>
        <row r="40">
          <cell r="B40" t="str">
            <v>W36X395</v>
          </cell>
          <cell r="C40">
            <v>116</v>
          </cell>
          <cell r="D40">
            <v>38.4</v>
          </cell>
          <cell r="F40" t="str">
            <v>-</v>
          </cell>
          <cell r="H40" t="str">
            <v>-</v>
          </cell>
          <cell r="I40">
            <v>16.8</v>
          </cell>
          <cell r="K40" t="str">
            <v>-</v>
          </cell>
          <cell r="L40" t="str">
            <v>-</v>
          </cell>
          <cell r="M40">
            <v>41.914198071775154</v>
          </cell>
          <cell r="O40">
            <v>1.22</v>
          </cell>
          <cell r="T40" t="str">
            <v>-</v>
          </cell>
          <cell r="U40" t="str">
            <v>-</v>
          </cell>
        </row>
        <row r="41">
          <cell r="B41" t="str">
            <v>W36X361</v>
          </cell>
          <cell r="C41">
            <v>106</v>
          </cell>
          <cell r="D41">
            <v>38</v>
          </cell>
          <cell r="F41" t="str">
            <v>-</v>
          </cell>
          <cell r="H41" t="str">
            <v>-</v>
          </cell>
          <cell r="I41">
            <v>16.7</v>
          </cell>
          <cell r="K41" t="str">
            <v>-</v>
          </cell>
          <cell r="L41" t="str">
            <v>-</v>
          </cell>
          <cell r="M41">
            <v>41.507710127155896</v>
          </cell>
          <cell r="O41">
            <v>1.1200000000000001</v>
          </cell>
          <cell r="T41" t="str">
            <v>-</v>
          </cell>
          <cell r="U41" t="str">
            <v>-</v>
          </cell>
        </row>
        <row r="42">
          <cell r="B42" t="str">
            <v>W36X330</v>
          </cell>
          <cell r="C42">
            <v>96.9</v>
          </cell>
          <cell r="D42">
            <v>37.700000000000003</v>
          </cell>
          <cell r="F42" t="str">
            <v>-</v>
          </cell>
          <cell r="H42" t="str">
            <v>-</v>
          </cell>
          <cell r="I42">
            <v>16.600000000000001</v>
          </cell>
          <cell r="K42" t="str">
            <v>-</v>
          </cell>
          <cell r="L42" t="str">
            <v>-</v>
          </cell>
          <cell r="M42">
            <v>41.192839183528008</v>
          </cell>
          <cell r="O42">
            <v>1.02</v>
          </cell>
          <cell r="T42" t="str">
            <v>-</v>
          </cell>
          <cell r="U42" t="str">
            <v>-</v>
          </cell>
        </row>
        <row r="43">
          <cell r="B43" t="str">
            <v>W36X302</v>
          </cell>
          <cell r="C43">
            <v>89</v>
          </cell>
          <cell r="D43">
            <v>37.299999999999997</v>
          </cell>
          <cell r="F43" t="str">
            <v>-</v>
          </cell>
          <cell r="H43" t="str">
            <v>-</v>
          </cell>
          <cell r="I43">
            <v>16.7</v>
          </cell>
          <cell r="K43" t="str">
            <v>-</v>
          </cell>
          <cell r="L43" t="str">
            <v>-</v>
          </cell>
          <cell r="M43">
            <v>40.867835763592865</v>
          </cell>
          <cell r="O43">
            <v>0.94499999999999995</v>
          </cell>
          <cell r="T43" t="str">
            <v>-</v>
          </cell>
          <cell r="U43" t="str">
            <v>-</v>
          </cell>
        </row>
        <row r="44">
          <cell r="B44" t="str">
            <v>W36X282</v>
          </cell>
          <cell r="C44">
            <v>82.9</v>
          </cell>
          <cell r="D44">
            <v>37.1</v>
          </cell>
          <cell r="F44" t="str">
            <v>-</v>
          </cell>
          <cell r="H44" t="str">
            <v>-</v>
          </cell>
          <cell r="I44">
            <v>16.600000000000001</v>
          </cell>
          <cell r="K44" t="str">
            <v>-</v>
          </cell>
          <cell r="L44" t="str">
            <v>-</v>
          </cell>
          <cell r="M44">
            <v>40.644433813254189</v>
          </cell>
          <cell r="O44">
            <v>0.88500000000000001</v>
          </cell>
          <cell r="T44" t="str">
            <v>-</v>
          </cell>
          <cell r="U44" t="str">
            <v>-</v>
          </cell>
        </row>
        <row r="45">
          <cell r="B45" t="str">
            <v>W36X262</v>
          </cell>
          <cell r="C45">
            <v>77.2</v>
          </cell>
          <cell r="D45">
            <v>36.9</v>
          </cell>
          <cell r="F45" t="str">
            <v>-</v>
          </cell>
          <cell r="H45" t="str">
            <v>-</v>
          </cell>
          <cell r="I45">
            <v>16.600000000000001</v>
          </cell>
          <cell r="K45" t="str">
            <v>-</v>
          </cell>
          <cell r="L45" t="str">
            <v>-</v>
          </cell>
          <cell r="M45">
            <v>40.461957441527716</v>
          </cell>
          <cell r="O45">
            <v>0.84</v>
          </cell>
          <cell r="T45" t="str">
            <v>-</v>
          </cell>
          <cell r="U45" t="str">
            <v>-</v>
          </cell>
        </row>
        <row r="46">
          <cell r="B46" t="str">
            <v>W36X247</v>
          </cell>
          <cell r="C46">
            <v>72.5</v>
          </cell>
          <cell r="D46">
            <v>36.700000000000003</v>
          </cell>
          <cell r="F46" t="str">
            <v>-</v>
          </cell>
          <cell r="H46" t="str">
            <v>-</v>
          </cell>
          <cell r="I46">
            <v>16.5</v>
          </cell>
          <cell r="K46" t="str">
            <v>-</v>
          </cell>
          <cell r="L46" t="str">
            <v>-</v>
          </cell>
          <cell r="M46">
            <v>40.238538740863838</v>
          </cell>
          <cell r="O46">
            <v>0.8</v>
          </cell>
          <cell r="T46" t="str">
            <v>-</v>
          </cell>
          <cell r="U46" t="str">
            <v>-</v>
          </cell>
        </row>
        <row r="47">
          <cell r="B47" t="str">
            <v>W36X231</v>
          </cell>
          <cell r="C47">
            <v>68.2</v>
          </cell>
          <cell r="D47">
            <v>36.5</v>
          </cell>
          <cell r="F47" t="str">
            <v>-</v>
          </cell>
          <cell r="H47" t="str">
            <v>-</v>
          </cell>
          <cell r="I47">
            <v>16.5</v>
          </cell>
          <cell r="K47" t="str">
            <v>-</v>
          </cell>
          <cell r="L47" t="str">
            <v>-</v>
          </cell>
          <cell r="M47">
            <v>40.056210504739461</v>
          </cell>
          <cell r="O47">
            <v>0.76</v>
          </cell>
          <cell r="T47" t="str">
            <v>-</v>
          </cell>
          <cell r="U47" t="str">
            <v>-</v>
          </cell>
        </row>
        <row r="48">
          <cell r="B48" t="str">
            <v>W36X387</v>
          </cell>
          <cell r="C48">
            <v>114</v>
          </cell>
          <cell r="D48">
            <v>39.1</v>
          </cell>
          <cell r="F48" t="str">
            <v>-</v>
          </cell>
          <cell r="H48" t="str">
            <v>-</v>
          </cell>
          <cell r="I48">
            <v>12.7</v>
          </cell>
          <cell r="K48" t="str">
            <v>-</v>
          </cell>
          <cell r="L48" t="str">
            <v>-</v>
          </cell>
          <cell r="M48">
            <v>41.11082582483597</v>
          </cell>
          <cell r="O48">
            <v>1.42</v>
          </cell>
          <cell r="T48" t="str">
            <v>-</v>
          </cell>
          <cell r="U48" t="str">
            <v>-</v>
          </cell>
        </row>
        <row r="49">
          <cell r="B49" t="str">
            <v>W36X350</v>
          </cell>
          <cell r="C49">
            <v>103</v>
          </cell>
          <cell r="D49">
            <v>38.6</v>
          </cell>
          <cell r="F49" t="str">
            <v>-</v>
          </cell>
          <cell r="H49" t="str">
            <v>-</v>
          </cell>
          <cell r="I49">
            <v>12.6</v>
          </cell>
          <cell r="K49" t="str">
            <v>-</v>
          </cell>
          <cell r="L49" t="str">
            <v>-</v>
          </cell>
          <cell r="M49">
            <v>40.604433255495636</v>
          </cell>
          <cell r="O49">
            <v>1.3</v>
          </cell>
          <cell r="T49" t="str">
            <v>-</v>
          </cell>
          <cell r="U49" t="str">
            <v>-</v>
          </cell>
        </row>
        <row r="50">
          <cell r="B50" t="str">
            <v>W36X318</v>
          </cell>
          <cell r="C50">
            <v>93.4</v>
          </cell>
          <cell r="D50">
            <v>38.200000000000003</v>
          </cell>
          <cell r="F50" t="str">
            <v>-</v>
          </cell>
          <cell r="H50" t="str">
            <v>-</v>
          </cell>
          <cell r="I50">
            <v>12.4</v>
          </cell>
          <cell r="K50" t="str">
            <v>-</v>
          </cell>
          <cell r="L50" t="str">
            <v>-</v>
          </cell>
          <cell r="M50">
            <v>40.162171256046406</v>
          </cell>
          <cell r="O50">
            <v>1.18</v>
          </cell>
          <cell r="T50" t="str">
            <v>-</v>
          </cell>
          <cell r="U50" t="str">
            <v>-</v>
          </cell>
        </row>
        <row r="51">
          <cell r="B51" t="str">
            <v>W36X286</v>
          </cell>
          <cell r="C51">
            <v>83.9</v>
          </cell>
          <cell r="D51">
            <v>37.799999999999997</v>
          </cell>
          <cell r="F51" t="str">
            <v>-</v>
          </cell>
          <cell r="H51" t="str">
            <v>-</v>
          </cell>
          <cell r="I51">
            <v>12.3</v>
          </cell>
          <cell r="K51" t="str">
            <v>-</v>
          </cell>
          <cell r="L51" t="str">
            <v>-</v>
          </cell>
          <cell r="M51">
            <v>39.750849047536072</v>
          </cell>
          <cell r="O51">
            <v>1.06</v>
          </cell>
          <cell r="T51" t="str">
            <v>-</v>
          </cell>
          <cell r="U51" t="str">
            <v>-</v>
          </cell>
        </row>
        <row r="52">
          <cell r="B52" t="str">
            <v>W36X256</v>
          </cell>
          <cell r="C52">
            <v>75.3</v>
          </cell>
          <cell r="D52">
            <v>37.4</v>
          </cell>
          <cell r="F52" t="str">
            <v>-</v>
          </cell>
          <cell r="H52" t="str">
            <v>-</v>
          </cell>
          <cell r="I52">
            <v>12.2</v>
          </cell>
          <cell r="K52" t="str">
            <v>-</v>
          </cell>
          <cell r="L52" t="str">
            <v>-</v>
          </cell>
          <cell r="M52">
            <v>39.339547531714189</v>
          </cell>
          <cell r="O52">
            <v>0.96</v>
          </cell>
          <cell r="T52" t="str">
            <v>-</v>
          </cell>
          <cell r="U52" t="str">
            <v>-</v>
          </cell>
        </row>
        <row r="53">
          <cell r="B53" t="str">
            <v>W36X232</v>
          </cell>
          <cell r="C53">
            <v>68</v>
          </cell>
          <cell r="D53">
            <v>37.1</v>
          </cell>
          <cell r="F53" t="str">
            <v>-</v>
          </cell>
          <cell r="H53" t="str">
            <v>-</v>
          </cell>
          <cell r="I53">
            <v>12.1</v>
          </cell>
          <cell r="K53" t="str">
            <v>-</v>
          </cell>
          <cell r="L53" t="str">
            <v>-</v>
          </cell>
          <cell r="M53">
            <v>39.023326357449335</v>
          </cell>
          <cell r="O53">
            <v>0.87</v>
          </cell>
          <cell r="T53" t="str">
            <v>-</v>
          </cell>
          <cell r="U53" t="str">
            <v>-</v>
          </cell>
        </row>
        <row r="54">
          <cell r="B54" t="str">
            <v>W36X210</v>
          </cell>
          <cell r="C54">
            <v>61.9</v>
          </cell>
          <cell r="D54">
            <v>36.700000000000003</v>
          </cell>
          <cell r="F54" t="str">
            <v>-</v>
          </cell>
          <cell r="H54" t="str">
            <v>-</v>
          </cell>
          <cell r="I54">
            <v>12.2</v>
          </cell>
          <cell r="K54" t="str">
            <v>-</v>
          </cell>
          <cell r="L54" t="str">
            <v>-</v>
          </cell>
          <cell r="M54">
            <v>38.674668712220409</v>
          </cell>
          <cell r="O54">
            <v>0.83</v>
          </cell>
          <cell r="T54" t="str">
            <v>-</v>
          </cell>
          <cell r="U54" t="str">
            <v>-</v>
          </cell>
        </row>
        <row r="55">
          <cell r="B55" t="str">
            <v>W36X194</v>
          </cell>
          <cell r="C55">
            <v>57</v>
          </cell>
          <cell r="D55">
            <v>36.5</v>
          </cell>
          <cell r="F55" t="str">
            <v>-</v>
          </cell>
          <cell r="H55" t="str">
            <v>-</v>
          </cell>
          <cell r="I55">
            <v>12.1</v>
          </cell>
          <cell r="K55" t="str">
            <v>-</v>
          </cell>
          <cell r="L55" t="str">
            <v>-</v>
          </cell>
          <cell r="M55">
            <v>38.453348358758049</v>
          </cell>
          <cell r="O55">
            <v>0.76500000000000001</v>
          </cell>
          <cell r="T55" t="str">
            <v>-</v>
          </cell>
          <cell r="U55" t="str">
            <v>-</v>
          </cell>
        </row>
        <row r="56">
          <cell r="B56" t="str">
            <v>W36X182</v>
          </cell>
          <cell r="C56">
            <v>53.6</v>
          </cell>
          <cell r="D56">
            <v>36.299999999999997</v>
          </cell>
          <cell r="F56" t="str">
            <v>-</v>
          </cell>
          <cell r="H56" t="str">
            <v>-</v>
          </cell>
          <cell r="I56">
            <v>12.1</v>
          </cell>
          <cell r="K56" t="str">
            <v>-</v>
          </cell>
          <cell r="L56" t="str">
            <v>-</v>
          </cell>
          <cell r="M56">
            <v>38.26355968803739</v>
          </cell>
          <cell r="O56">
            <v>0.72499999999999998</v>
          </cell>
          <cell r="T56" t="str">
            <v>-</v>
          </cell>
          <cell r="U56" t="str">
            <v>-</v>
          </cell>
        </row>
        <row r="57">
          <cell r="B57" t="str">
            <v>W36X170</v>
          </cell>
          <cell r="C57">
            <v>50</v>
          </cell>
          <cell r="D57">
            <v>36.200000000000003</v>
          </cell>
          <cell r="F57" t="str">
            <v>-</v>
          </cell>
          <cell r="H57" t="str">
            <v>-</v>
          </cell>
          <cell r="I57">
            <v>12</v>
          </cell>
          <cell r="K57" t="str">
            <v>-</v>
          </cell>
          <cell r="L57" t="str">
            <v>-</v>
          </cell>
          <cell r="M57">
            <v>38.137121024010192</v>
          </cell>
          <cell r="O57">
            <v>0.68</v>
          </cell>
          <cell r="T57" t="str">
            <v>-</v>
          </cell>
          <cell r="U57" t="str">
            <v>-</v>
          </cell>
        </row>
        <row r="58">
          <cell r="B58" t="str">
            <v>W36X160</v>
          </cell>
          <cell r="C58">
            <v>47</v>
          </cell>
          <cell r="D58">
            <v>36</v>
          </cell>
          <cell r="F58" t="str">
            <v>-</v>
          </cell>
          <cell r="H58" t="str">
            <v>-</v>
          </cell>
          <cell r="I58">
            <v>12</v>
          </cell>
          <cell r="K58" t="str">
            <v>-</v>
          </cell>
          <cell r="L58" t="str">
            <v>-</v>
          </cell>
          <cell r="M58">
            <v>37.947331922020552</v>
          </cell>
          <cell r="O58">
            <v>0.65</v>
          </cell>
          <cell r="T58" t="str">
            <v>-</v>
          </cell>
          <cell r="U58" t="str">
            <v>-</v>
          </cell>
        </row>
        <row r="59">
          <cell r="B59" t="str">
            <v>W36X150</v>
          </cell>
          <cell r="C59">
            <v>44.3</v>
          </cell>
          <cell r="D59">
            <v>35.9</v>
          </cell>
          <cell r="F59" t="str">
            <v>-</v>
          </cell>
          <cell r="H59" t="str">
            <v>-</v>
          </cell>
          <cell r="I59">
            <v>12</v>
          </cell>
          <cell r="K59" t="str">
            <v>-</v>
          </cell>
          <cell r="L59" t="str">
            <v>-</v>
          </cell>
          <cell r="M59">
            <v>37.85247680139306</v>
          </cell>
          <cell r="O59">
            <v>0.625</v>
          </cell>
          <cell r="T59" t="str">
            <v>-</v>
          </cell>
          <cell r="U59" t="str">
            <v>-</v>
          </cell>
        </row>
        <row r="60">
          <cell r="B60" t="str">
            <v>W36X135</v>
          </cell>
          <cell r="C60">
            <v>39.9</v>
          </cell>
          <cell r="D60">
            <v>35.6</v>
          </cell>
          <cell r="F60" t="str">
            <v>-</v>
          </cell>
          <cell r="H60" t="str">
            <v>-</v>
          </cell>
          <cell r="I60">
            <v>12</v>
          </cell>
          <cell r="K60" t="str">
            <v>-</v>
          </cell>
          <cell r="L60" t="str">
            <v>-</v>
          </cell>
          <cell r="M60">
            <v>37.568071550187405</v>
          </cell>
          <cell r="O60">
            <v>0.6</v>
          </cell>
          <cell r="T60" t="str">
            <v>-</v>
          </cell>
          <cell r="U60" t="str">
            <v>-</v>
          </cell>
        </row>
        <row r="61">
          <cell r="B61" t="str">
            <v>W33X387</v>
          </cell>
          <cell r="C61">
            <v>114</v>
          </cell>
          <cell r="D61">
            <v>36</v>
          </cell>
          <cell r="F61" t="str">
            <v>-</v>
          </cell>
          <cell r="H61" t="str">
            <v>-</v>
          </cell>
          <cell r="I61">
            <v>16.2</v>
          </cell>
          <cell r="K61" t="str">
            <v>-</v>
          </cell>
          <cell r="L61" t="str">
            <v>-</v>
          </cell>
          <cell r="M61">
            <v>39.477081959030357</v>
          </cell>
          <cell r="O61">
            <v>1.26</v>
          </cell>
          <cell r="T61" t="str">
            <v>-</v>
          </cell>
          <cell r="U61" t="str">
            <v>-</v>
          </cell>
        </row>
        <row r="62">
          <cell r="B62" t="str">
            <v>W33X354</v>
          </cell>
          <cell r="C62">
            <v>104</v>
          </cell>
          <cell r="D62">
            <v>35.6</v>
          </cell>
          <cell r="F62" t="str">
            <v>-</v>
          </cell>
          <cell r="H62" t="str">
            <v>-</v>
          </cell>
          <cell r="I62">
            <v>16.100000000000001</v>
          </cell>
          <cell r="K62" t="str">
            <v>-</v>
          </cell>
          <cell r="L62" t="str">
            <v>-</v>
          </cell>
          <cell r="M62">
            <v>39.0713449986048</v>
          </cell>
          <cell r="O62">
            <v>1.1599999999999999</v>
          </cell>
          <cell r="T62" t="str">
            <v>-</v>
          </cell>
          <cell r="U62" t="str">
            <v>-</v>
          </cell>
        </row>
        <row r="63">
          <cell r="B63" t="str">
            <v>W33X318</v>
          </cell>
          <cell r="C63">
            <v>93.7</v>
          </cell>
          <cell r="D63">
            <v>35.200000000000003</v>
          </cell>
          <cell r="F63" t="str">
            <v>-</v>
          </cell>
          <cell r="H63" t="str">
            <v>-</v>
          </cell>
          <cell r="I63">
            <v>16</v>
          </cell>
          <cell r="K63" t="str">
            <v>-</v>
          </cell>
          <cell r="L63" t="str">
            <v>-</v>
          </cell>
          <cell r="M63">
            <v>38.665747115502633</v>
          </cell>
          <cell r="O63">
            <v>1.04</v>
          </cell>
          <cell r="T63" t="str">
            <v>-</v>
          </cell>
          <cell r="U63" t="str">
            <v>-</v>
          </cell>
        </row>
        <row r="64">
          <cell r="B64" t="str">
            <v>W33X291</v>
          </cell>
          <cell r="C64">
            <v>85.6</v>
          </cell>
          <cell r="D64">
            <v>34.799999999999997</v>
          </cell>
          <cell r="F64" t="str">
            <v>-</v>
          </cell>
          <cell r="H64" t="str">
            <v>-</v>
          </cell>
          <cell r="I64">
            <v>15.9</v>
          </cell>
          <cell r="K64" t="str">
            <v>-</v>
          </cell>
          <cell r="L64" t="str">
            <v>-</v>
          </cell>
          <cell r="M64">
            <v>38.260292732805894</v>
          </cell>
          <cell r="O64">
            <v>0.96</v>
          </cell>
          <cell r="T64" t="str">
            <v>-</v>
          </cell>
          <cell r="U64" t="str">
            <v>-</v>
          </cell>
        </row>
        <row r="65">
          <cell r="B65" t="str">
            <v>W33X263</v>
          </cell>
          <cell r="C65">
            <v>77.400000000000006</v>
          </cell>
          <cell r="D65">
            <v>34.5</v>
          </cell>
          <cell r="F65" t="str">
            <v>-</v>
          </cell>
          <cell r="H65" t="str">
            <v>-</v>
          </cell>
          <cell r="I65">
            <v>15.8</v>
          </cell>
          <cell r="K65" t="str">
            <v>-</v>
          </cell>
          <cell r="L65" t="str">
            <v>-</v>
          </cell>
          <cell r="M65">
            <v>37.945882517079504</v>
          </cell>
          <cell r="O65">
            <v>0.87</v>
          </cell>
          <cell r="T65" t="str">
            <v>-</v>
          </cell>
          <cell r="U65" t="str">
            <v>-</v>
          </cell>
        </row>
        <row r="66">
          <cell r="B66" t="str">
            <v>W33X241</v>
          </cell>
          <cell r="C66">
            <v>71.099999999999994</v>
          </cell>
          <cell r="D66">
            <v>34.200000000000003</v>
          </cell>
          <cell r="F66" t="str">
            <v>-</v>
          </cell>
          <cell r="H66" t="str">
            <v>-</v>
          </cell>
          <cell r="I66">
            <v>15.9</v>
          </cell>
          <cell r="K66" t="str">
            <v>-</v>
          </cell>
          <cell r="L66" t="str">
            <v>-</v>
          </cell>
          <cell r="M66">
            <v>37.71538147758816</v>
          </cell>
          <cell r="O66">
            <v>0.83</v>
          </cell>
          <cell r="T66" t="str">
            <v>-</v>
          </cell>
          <cell r="U66" t="str">
            <v>-</v>
          </cell>
        </row>
        <row r="67">
          <cell r="B67" t="str">
            <v>W33X221</v>
          </cell>
          <cell r="C67">
            <v>65.3</v>
          </cell>
          <cell r="D67">
            <v>33.9</v>
          </cell>
          <cell r="F67" t="str">
            <v>-</v>
          </cell>
          <cell r="H67" t="str">
            <v>-</v>
          </cell>
          <cell r="I67">
            <v>15.8</v>
          </cell>
          <cell r="K67" t="str">
            <v>-</v>
          </cell>
          <cell r="L67" t="str">
            <v>-</v>
          </cell>
          <cell r="M67">
            <v>37.401203189202349</v>
          </cell>
          <cell r="O67">
            <v>0.77500000000000002</v>
          </cell>
          <cell r="T67" t="str">
            <v>-</v>
          </cell>
          <cell r="U67" t="str">
            <v>-</v>
          </cell>
        </row>
        <row r="68">
          <cell r="B68" t="str">
            <v>W33X201</v>
          </cell>
          <cell r="C68">
            <v>59.1</v>
          </cell>
          <cell r="D68">
            <v>33.700000000000003</v>
          </cell>
          <cell r="F68" t="str">
            <v>-</v>
          </cell>
          <cell r="H68" t="str">
            <v>-</v>
          </cell>
          <cell r="I68">
            <v>15.7</v>
          </cell>
          <cell r="K68" t="str">
            <v>-</v>
          </cell>
          <cell r="L68" t="str">
            <v>-</v>
          </cell>
          <cell r="M68">
            <v>37.177681476929145</v>
          </cell>
          <cell r="O68">
            <v>0.71499999999999997</v>
          </cell>
          <cell r="T68" t="str">
            <v>-</v>
          </cell>
          <cell r="U68" t="str">
            <v>-</v>
          </cell>
        </row>
        <row r="69">
          <cell r="B69" t="str">
            <v>W33X169</v>
          </cell>
          <cell r="C69">
            <v>49.5</v>
          </cell>
          <cell r="D69">
            <v>33.799999999999997</v>
          </cell>
          <cell r="F69" t="str">
            <v>-</v>
          </cell>
          <cell r="H69" t="str">
            <v>-</v>
          </cell>
          <cell r="I69">
            <v>11.5</v>
          </cell>
          <cell r="K69" t="str">
            <v>-</v>
          </cell>
          <cell r="L69" t="str">
            <v>-</v>
          </cell>
          <cell r="M69">
            <v>35.702801010564983</v>
          </cell>
          <cell r="O69">
            <v>0.67</v>
          </cell>
          <cell r="T69" t="str">
            <v>-</v>
          </cell>
          <cell r="U69" t="str">
            <v>-</v>
          </cell>
        </row>
        <row r="70">
          <cell r="B70" t="str">
            <v>W33X152</v>
          </cell>
          <cell r="C70">
            <v>44.9</v>
          </cell>
          <cell r="D70">
            <v>33.5</v>
          </cell>
          <cell r="F70" t="str">
            <v>-</v>
          </cell>
          <cell r="H70" t="str">
            <v>-</v>
          </cell>
          <cell r="I70">
            <v>11.6</v>
          </cell>
          <cell r="K70" t="str">
            <v>-</v>
          </cell>
          <cell r="L70" t="str">
            <v>-</v>
          </cell>
          <cell r="M70">
            <v>35.451516187604724</v>
          </cell>
          <cell r="O70">
            <v>0.63500000000000001</v>
          </cell>
          <cell r="T70" t="str">
            <v>-</v>
          </cell>
          <cell r="U70" t="str">
            <v>-</v>
          </cell>
        </row>
        <row r="71">
          <cell r="B71" t="str">
            <v>W33X141</v>
          </cell>
          <cell r="C71">
            <v>41.5</v>
          </cell>
          <cell r="D71">
            <v>33.299999999999997</v>
          </cell>
          <cell r="F71" t="str">
            <v>-</v>
          </cell>
          <cell r="H71" t="str">
            <v>-</v>
          </cell>
          <cell r="I71">
            <v>11.5</v>
          </cell>
          <cell r="K71" t="str">
            <v>-</v>
          </cell>
          <cell r="L71" t="str">
            <v>-</v>
          </cell>
          <cell r="M71">
            <v>35.229816916924221</v>
          </cell>
          <cell r="O71">
            <v>0.60499999999999998</v>
          </cell>
          <cell r="T71" t="str">
            <v>-</v>
          </cell>
          <cell r="U71" t="str">
            <v>-</v>
          </cell>
        </row>
        <row r="72">
          <cell r="B72" t="str">
            <v>W33X130</v>
          </cell>
          <cell r="C72">
            <v>38.299999999999997</v>
          </cell>
          <cell r="D72">
            <v>33.1</v>
          </cell>
          <cell r="F72" t="str">
            <v>-</v>
          </cell>
          <cell r="H72" t="str">
            <v>-</v>
          </cell>
          <cell r="I72">
            <v>11.5</v>
          </cell>
          <cell r="K72" t="str">
            <v>-</v>
          </cell>
          <cell r="L72" t="str">
            <v>-</v>
          </cell>
          <cell r="M72">
            <v>35.040833323424259</v>
          </cell>
          <cell r="O72">
            <v>0.57999999999999996</v>
          </cell>
          <cell r="T72" t="str">
            <v>-</v>
          </cell>
          <cell r="U72" t="str">
            <v>-</v>
          </cell>
        </row>
        <row r="73">
          <cell r="B73" t="str">
            <v>W33X118</v>
          </cell>
          <cell r="C73">
            <v>34.700000000000003</v>
          </cell>
          <cell r="D73">
            <v>32.9</v>
          </cell>
          <cell r="F73" t="str">
            <v>-</v>
          </cell>
          <cell r="H73" t="str">
            <v>-</v>
          </cell>
          <cell r="I73">
            <v>11.5</v>
          </cell>
          <cell r="K73" t="str">
            <v>-</v>
          </cell>
          <cell r="L73" t="str">
            <v>-</v>
          </cell>
          <cell r="M73">
            <v>34.851972684483727</v>
          </cell>
          <cell r="O73">
            <v>0.55000000000000004</v>
          </cell>
          <cell r="T73" t="str">
            <v>-</v>
          </cell>
          <cell r="U73" t="str">
            <v>-</v>
          </cell>
        </row>
        <row r="74">
          <cell r="B74" t="str">
            <v>W30X391</v>
          </cell>
          <cell r="C74">
            <v>115</v>
          </cell>
          <cell r="D74">
            <v>33.200000000000003</v>
          </cell>
          <cell r="F74" t="str">
            <v>-</v>
          </cell>
          <cell r="H74" t="str">
            <v>-</v>
          </cell>
          <cell r="I74">
            <v>15.6</v>
          </cell>
          <cell r="K74" t="str">
            <v>-</v>
          </cell>
          <cell r="L74" t="str">
            <v>-</v>
          </cell>
          <cell r="M74">
            <v>36.682420857953204</v>
          </cell>
          <cell r="O74">
            <v>1.36</v>
          </cell>
          <cell r="T74" t="str">
            <v>-</v>
          </cell>
          <cell r="U74" t="str">
            <v>-</v>
          </cell>
        </row>
        <row r="75">
          <cell r="B75" t="str">
            <v>W30X357</v>
          </cell>
          <cell r="C75">
            <v>105</v>
          </cell>
          <cell r="D75">
            <v>32.799999999999997</v>
          </cell>
          <cell r="F75" t="str">
            <v>-</v>
          </cell>
          <cell r="H75" t="str">
            <v>-</v>
          </cell>
          <cell r="I75">
            <v>15.5</v>
          </cell>
          <cell r="K75" t="str">
            <v>-</v>
          </cell>
          <cell r="L75" t="str">
            <v>-</v>
          </cell>
          <cell r="M75">
            <v>36.277954738380714</v>
          </cell>
          <cell r="O75">
            <v>1.24</v>
          </cell>
          <cell r="T75" t="str">
            <v>-</v>
          </cell>
          <cell r="U75" t="str">
            <v>-</v>
          </cell>
        </row>
        <row r="76">
          <cell r="B76" t="str">
            <v>W30X326</v>
          </cell>
          <cell r="C76">
            <v>95.9</v>
          </cell>
          <cell r="D76">
            <v>32.4</v>
          </cell>
          <cell r="F76" t="str">
            <v>-</v>
          </cell>
          <cell r="H76" t="str">
            <v>-</v>
          </cell>
          <cell r="I76">
            <v>15.4</v>
          </cell>
          <cell r="K76" t="str">
            <v>-</v>
          </cell>
          <cell r="L76" t="str">
            <v>-</v>
          </cell>
          <cell r="M76">
            <v>35.873667222630026</v>
          </cell>
          <cell r="O76">
            <v>1.1399999999999999</v>
          </cell>
          <cell r="T76" t="str">
            <v>-</v>
          </cell>
          <cell r="U76" t="str">
            <v>-</v>
          </cell>
        </row>
        <row r="77">
          <cell r="B77" t="str">
            <v>W30X292</v>
          </cell>
          <cell r="C77">
            <v>86</v>
          </cell>
          <cell r="D77">
            <v>32</v>
          </cell>
          <cell r="F77" t="str">
            <v>-</v>
          </cell>
          <cell r="H77" t="str">
            <v>-</v>
          </cell>
          <cell r="I77">
            <v>15.3</v>
          </cell>
          <cell r="K77" t="str">
            <v>-</v>
          </cell>
          <cell r="L77" t="str">
            <v>-</v>
          </cell>
          <cell r="M77">
            <v>35.469564417962623</v>
          </cell>
          <cell r="O77">
            <v>1.02</v>
          </cell>
          <cell r="T77" t="str">
            <v>-</v>
          </cell>
          <cell r="U77" t="str">
            <v>-</v>
          </cell>
        </row>
        <row r="78">
          <cell r="B78" t="str">
            <v>W30X261</v>
          </cell>
          <cell r="C78">
            <v>77</v>
          </cell>
          <cell r="D78">
            <v>31.6</v>
          </cell>
          <cell r="F78" t="str">
            <v>-</v>
          </cell>
          <cell r="H78" t="str">
            <v>-</v>
          </cell>
          <cell r="I78">
            <v>15.2</v>
          </cell>
          <cell r="K78" t="str">
            <v>-</v>
          </cell>
          <cell r="L78" t="str">
            <v>-</v>
          </cell>
          <cell r="M78">
            <v>35.065652710308989</v>
          </cell>
          <cell r="O78">
            <v>0.93</v>
          </cell>
          <cell r="T78" t="str">
            <v>-</v>
          </cell>
          <cell r="U78" t="str">
            <v>-</v>
          </cell>
        </row>
        <row r="79">
          <cell r="B79" t="str">
            <v>W30X235</v>
          </cell>
          <cell r="C79">
            <v>69.3</v>
          </cell>
          <cell r="D79">
            <v>31.3</v>
          </cell>
          <cell r="F79" t="str">
            <v>-</v>
          </cell>
          <cell r="H79" t="str">
            <v>-</v>
          </cell>
          <cell r="I79">
            <v>15.1</v>
          </cell>
          <cell r="K79" t="str">
            <v>-</v>
          </cell>
          <cell r="L79" t="str">
            <v>-</v>
          </cell>
          <cell r="M79">
            <v>34.751978360950908</v>
          </cell>
          <cell r="O79">
            <v>0.83</v>
          </cell>
          <cell r="T79" t="str">
            <v>-</v>
          </cell>
          <cell r="U79" t="str">
            <v>-</v>
          </cell>
        </row>
        <row r="80">
          <cell r="B80" t="str">
            <v>W30X211</v>
          </cell>
          <cell r="C80">
            <v>62.3</v>
          </cell>
          <cell r="D80">
            <v>30.9</v>
          </cell>
          <cell r="F80" t="str">
            <v>-</v>
          </cell>
          <cell r="H80" t="str">
            <v>-</v>
          </cell>
          <cell r="I80">
            <v>15.1</v>
          </cell>
          <cell r="K80" t="str">
            <v>-</v>
          </cell>
          <cell r="L80" t="str">
            <v>-</v>
          </cell>
          <cell r="M80">
            <v>34.392150267175793</v>
          </cell>
          <cell r="O80">
            <v>0.77500000000000002</v>
          </cell>
          <cell r="T80" t="str">
            <v>-</v>
          </cell>
          <cell r="U80" t="str">
            <v>-</v>
          </cell>
        </row>
        <row r="81">
          <cell r="B81" t="str">
            <v>W30X191</v>
          </cell>
          <cell r="C81">
            <v>56.1</v>
          </cell>
          <cell r="D81">
            <v>30.7</v>
          </cell>
          <cell r="F81" t="str">
            <v>-</v>
          </cell>
          <cell r="H81" t="str">
            <v>-</v>
          </cell>
          <cell r="I81">
            <v>15</v>
          </cell>
          <cell r="K81" t="str">
            <v>-</v>
          </cell>
          <cell r="L81" t="str">
            <v>-</v>
          </cell>
          <cell r="M81">
            <v>34.168552793467853</v>
          </cell>
          <cell r="O81">
            <v>0.71</v>
          </cell>
          <cell r="T81" t="str">
            <v>-</v>
          </cell>
          <cell r="U81" t="str">
            <v>-</v>
          </cell>
        </row>
        <row r="82">
          <cell r="B82" t="str">
            <v>W30X173</v>
          </cell>
          <cell r="C82">
            <v>50.9</v>
          </cell>
          <cell r="D82">
            <v>30.4</v>
          </cell>
          <cell r="F82" t="str">
            <v>-</v>
          </cell>
          <cell r="H82" t="str">
            <v>-</v>
          </cell>
          <cell r="I82">
            <v>15</v>
          </cell>
          <cell r="K82" t="str">
            <v>-</v>
          </cell>
          <cell r="L82" t="str">
            <v>-</v>
          </cell>
          <cell r="M82">
            <v>33.899262528851565</v>
          </cell>
          <cell r="O82">
            <v>0.65500000000000003</v>
          </cell>
          <cell r="T82" t="str">
            <v>-</v>
          </cell>
          <cell r="U82" t="str">
            <v>-</v>
          </cell>
        </row>
        <row r="83">
          <cell r="B83" t="str">
            <v>W30X148</v>
          </cell>
          <cell r="C83">
            <v>43.6</v>
          </cell>
          <cell r="D83">
            <v>30.7</v>
          </cell>
          <cell r="F83" t="str">
            <v>-</v>
          </cell>
          <cell r="H83" t="str">
            <v>-</v>
          </cell>
          <cell r="I83">
            <v>10.5</v>
          </cell>
          <cell r="K83" t="str">
            <v>-</v>
          </cell>
          <cell r="L83" t="str">
            <v>-</v>
          </cell>
          <cell r="M83">
            <v>32.445955063767194</v>
          </cell>
          <cell r="O83">
            <v>0.65</v>
          </cell>
          <cell r="T83" t="str">
            <v>-</v>
          </cell>
          <cell r="U83" t="str">
            <v>-</v>
          </cell>
        </row>
        <row r="84">
          <cell r="B84" t="str">
            <v>W30X132</v>
          </cell>
          <cell r="C84">
            <v>38.799999999999997</v>
          </cell>
          <cell r="D84">
            <v>30.3</v>
          </cell>
          <cell r="F84" t="str">
            <v>-</v>
          </cell>
          <cell r="H84" t="str">
            <v>-</v>
          </cell>
          <cell r="I84">
            <v>10.5</v>
          </cell>
          <cell r="K84" t="str">
            <v>-</v>
          </cell>
          <cell r="L84" t="str">
            <v>-</v>
          </cell>
          <cell r="M84">
            <v>32.067740799750773</v>
          </cell>
          <cell r="O84">
            <v>0.61499999999999999</v>
          </cell>
          <cell r="T84" t="str">
            <v>-</v>
          </cell>
          <cell r="U84" t="str">
            <v>-</v>
          </cell>
        </row>
        <row r="85">
          <cell r="B85" t="str">
            <v>W30X124</v>
          </cell>
          <cell r="C85">
            <v>36.5</v>
          </cell>
          <cell r="D85">
            <v>30.2</v>
          </cell>
          <cell r="F85" t="str">
            <v>-</v>
          </cell>
          <cell r="H85" t="str">
            <v>-</v>
          </cell>
          <cell r="I85">
            <v>10.5</v>
          </cell>
          <cell r="K85" t="str">
            <v>-</v>
          </cell>
          <cell r="L85" t="str">
            <v>-</v>
          </cell>
          <cell r="M85">
            <v>31.973270086120372</v>
          </cell>
          <cell r="O85">
            <v>0.58499999999999996</v>
          </cell>
          <cell r="T85" t="str">
            <v>-</v>
          </cell>
          <cell r="U85" t="str">
            <v>-</v>
          </cell>
        </row>
        <row r="86">
          <cell r="B86" t="str">
            <v>W30X116</v>
          </cell>
          <cell r="C86">
            <v>34.200000000000003</v>
          </cell>
          <cell r="D86">
            <v>30</v>
          </cell>
          <cell r="F86" t="str">
            <v>-</v>
          </cell>
          <cell r="H86" t="str">
            <v>-</v>
          </cell>
          <cell r="I86">
            <v>10.5</v>
          </cell>
          <cell r="K86" t="str">
            <v>-</v>
          </cell>
          <cell r="L86" t="str">
            <v>-</v>
          </cell>
          <cell r="M86">
            <v>31.784430150625635</v>
          </cell>
          <cell r="O86">
            <v>0.56499999999999995</v>
          </cell>
          <cell r="T86" t="str">
            <v>-</v>
          </cell>
          <cell r="U86" t="str">
            <v>-</v>
          </cell>
        </row>
        <row r="87">
          <cell r="B87" t="str">
            <v>W30X108</v>
          </cell>
          <cell r="C87">
            <v>31.7</v>
          </cell>
          <cell r="D87">
            <v>29.8</v>
          </cell>
          <cell r="F87" t="str">
            <v>-</v>
          </cell>
          <cell r="H87" t="str">
            <v>-</v>
          </cell>
          <cell r="I87">
            <v>10.5</v>
          </cell>
          <cell r="K87" t="str">
            <v>-</v>
          </cell>
          <cell r="L87" t="str">
            <v>-</v>
          </cell>
          <cell r="M87">
            <v>31.595727559276114</v>
          </cell>
          <cell r="O87">
            <v>0.54500000000000004</v>
          </cell>
          <cell r="T87" t="str">
            <v>-</v>
          </cell>
          <cell r="U87" t="str">
            <v>-</v>
          </cell>
        </row>
        <row r="88">
          <cell r="B88" t="str">
            <v>W30X99</v>
          </cell>
          <cell r="C88">
            <v>29</v>
          </cell>
          <cell r="D88">
            <v>29.7</v>
          </cell>
          <cell r="F88" t="str">
            <v>-</v>
          </cell>
          <cell r="H88" t="str">
            <v>-</v>
          </cell>
          <cell r="I88">
            <v>10.5</v>
          </cell>
          <cell r="K88" t="str">
            <v>-</v>
          </cell>
          <cell r="L88" t="str">
            <v>-</v>
          </cell>
          <cell r="M88">
            <v>31.50142853903613</v>
          </cell>
          <cell r="O88">
            <v>0.52</v>
          </cell>
          <cell r="T88" t="str">
            <v>-</v>
          </cell>
          <cell r="U88" t="str">
            <v>-</v>
          </cell>
        </row>
        <row r="89">
          <cell r="B89" t="str">
            <v>W30X90</v>
          </cell>
          <cell r="C89">
            <v>26.3</v>
          </cell>
          <cell r="D89">
            <v>29.5</v>
          </cell>
          <cell r="F89" t="str">
            <v>-</v>
          </cell>
          <cell r="H89" t="str">
            <v>-</v>
          </cell>
          <cell r="I89">
            <v>10.4</v>
          </cell>
          <cell r="K89" t="str">
            <v>-</v>
          </cell>
          <cell r="L89" t="str">
            <v>-</v>
          </cell>
          <cell r="M89">
            <v>31.279546032511405</v>
          </cell>
          <cell r="O89">
            <v>0.47</v>
          </cell>
          <cell r="T89" t="str">
            <v>-</v>
          </cell>
          <cell r="U89" t="str">
            <v>-</v>
          </cell>
        </row>
        <row r="90">
          <cell r="B90" t="str">
            <v>W27X539</v>
          </cell>
          <cell r="C90">
            <v>159</v>
          </cell>
          <cell r="D90">
            <v>32.5</v>
          </cell>
          <cell r="F90" t="str">
            <v>-</v>
          </cell>
          <cell r="H90" t="str">
            <v>-</v>
          </cell>
          <cell r="I90">
            <v>15.3</v>
          </cell>
          <cell r="K90" t="str">
            <v>-</v>
          </cell>
          <cell r="L90" t="str">
            <v>-</v>
          </cell>
          <cell r="M90">
            <v>35.921302871694394</v>
          </cell>
          <cell r="O90">
            <v>1.97</v>
          </cell>
          <cell r="T90" t="str">
            <v>-</v>
          </cell>
          <cell r="U90" t="str">
            <v>-</v>
          </cell>
        </row>
        <row r="91">
          <cell r="B91" t="str">
            <v>W27X368</v>
          </cell>
          <cell r="C91">
            <v>109</v>
          </cell>
          <cell r="D91">
            <v>30.4</v>
          </cell>
          <cell r="F91" t="str">
            <v>-</v>
          </cell>
          <cell r="H91" t="str">
            <v>-</v>
          </cell>
          <cell r="I91">
            <v>14.7</v>
          </cell>
          <cell r="K91" t="str">
            <v>-</v>
          </cell>
          <cell r="L91" t="str">
            <v>-</v>
          </cell>
          <cell r="M91">
            <v>33.76758800980609</v>
          </cell>
          <cell r="O91">
            <v>1.38</v>
          </cell>
          <cell r="T91" t="str">
            <v>-</v>
          </cell>
          <cell r="U91" t="str">
            <v>-</v>
          </cell>
        </row>
        <row r="92">
          <cell r="B92" t="str">
            <v>W27X336</v>
          </cell>
          <cell r="C92">
            <v>99.2</v>
          </cell>
          <cell r="D92">
            <v>30</v>
          </cell>
          <cell r="F92" t="str">
            <v>-</v>
          </cell>
          <cell r="H92" t="str">
            <v>-</v>
          </cell>
          <cell r="I92">
            <v>14.6</v>
          </cell>
          <cell r="K92" t="str">
            <v>-</v>
          </cell>
          <cell r="L92" t="str">
            <v>-</v>
          </cell>
          <cell r="M92">
            <v>33.36405251164792</v>
          </cell>
          <cell r="O92">
            <v>1.26</v>
          </cell>
          <cell r="T92" t="str">
            <v>-</v>
          </cell>
          <cell r="U92" t="str">
            <v>-</v>
          </cell>
        </row>
        <row r="93">
          <cell r="B93" t="str">
            <v>W27X307</v>
          </cell>
          <cell r="C93">
            <v>90.2</v>
          </cell>
          <cell r="D93">
            <v>29.6</v>
          </cell>
          <cell r="F93" t="str">
            <v>-</v>
          </cell>
          <cell r="H93" t="str">
            <v>-</v>
          </cell>
          <cell r="I93">
            <v>14.4</v>
          </cell>
          <cell r="K93" t="str">
            <v>-</v>
          </cell>
          <cell r="L93" t="str">
            <v>-</v>
          </cell>
          <cell r="M93">
            <v>32.916864978305576</v>
          </cell>
          <cell r="O93">
            <v>1.1599999999999999</v>
          </cell>
          <cell r="T93" t="str">
            <v>-</v>
          </cell>
          <cell r="U93" t="str">
            <v>-</v>
          </cell>
        </row>
        <row r="94">
          <cell r="B94" t="str">
            <v>W27X281</v>
          </cell>
          <cell r="C94">
            <v>83.1</v>
          </cell>
          <cell r="D94">
            <v>29.3</v>
          </cell>
          <cell r="F94" t="str">
            <v>-</v>
          </cell>
          <cell r="H94" t="str">
            <v>-</v>
          </cell>
          <cell r="I94">
            <v>14.4</v>
          </cell>
          <cell r="K94" t="str">
            <v>-</v>
          </cell>
          <cell r="L94" t="str">
            <v>-</v>
          </cell>
          <cell r="M94">
            <v>32.647358239220516</v>
          </cell>
          <cell r="O94">
            <v>1.06</v>
          </cell>
          <cell r="T94" t="str">
            <v>-</v>
          </cell>
          <cell r="U94" t="str">
            <v>-</v>
          </cell>
        </row>
        <row r="95">
          <cell r="B95" t="str">
            <v>W27X258</v>
          </cell>
          <cell r="C95">
            <v>76.099999999999994</v>
          </cell>
          <cell r="D95">
            <v>29</v>
          </cell>
          <cell r="F95" t="str">
            <v>-</v>
          </cell>
          <cell r="H95" t="str">
            <v>-</v>
          </cell>
          <cell r="I95">
            <v>14.3</v>
          </cell>
          <cell r="K95" t="str">
            <v>-</v>
          </cell>
          <cell r="L95" t="str">
            <v>-</v>
          </cell>
          <cell r="M95">
            <v>32.33403779301311</v>
          </cell>
          <cell r="O95">
            <v>0.98</v>
          </cell>
          <cell r="T95" t="str">
            <v>-</v>
          </cell>
          <cell r="U95" t="str">
            <v>-</v>
          </cell>
        </row>
        <row r="96">
          <cell r="B96" t="str">
            <v>W27X235</v>
          </cell>
          <cell r="C96">
            <v>69.400000000000006</v>
          </cell>
          <cell r="D96">
            <v>28.7</v>
          </cell>
          <cell r="F96" t="str">
            <v>-</v>
          </cell>
          <cell r="H96" t="str">
            <v>-</v>
          </cell>
          <cell r="I96">
            <v>14.2</v>
          </cell>
          <cell r="K96" t="str">
            <v>-</v>
          </cell>
          <cell r="L96" t="str">
            <v>-</v>
          </cell>
          <cell r="M96">
            <v>32.020774506560578</v>
          </cell>
          <cell r="O96">
            <v>0.91</v>
          </cell>
          <cell r="T96" t="str">
            <v>-</v>
          </cell>
          <cell r="U96" t="str">
            <v>-</v>
          </cell>
        </row>
        <row r="97">
          <cell r="B97" t="str">
            <v>W27X217</v>
          </cell>
          <cell r="C97">
            <v>63.9</v>
          </cell>
          <cell r="D97">
            <v>28.4</v>
          </cell>
          <cell r="F97" t="str">
            <v>-</v>
          </cell>
          <cell r="H97" t="str">
            <v>-</v>
          </cell>
          <cell r="I97">
            <v>14.1</v>
          </cell>
          <cell r="K97" t="str">
            <v>-</v>
          </cell>
          <cell r="L97" t="str">
            <v>-</v>
          </cell>
          <cell r="M97">
            <v>31.707570074037523</v>
          </cell>
          <cell r="O97">
            <v>0.83</v>
          </cell>
          <cell r="T97" t="str">
            <v>-</v>
          </cell>
          <cell r="U97" t="str">
            <v>-</v>
          </cell>
        </row>
        <row r="98">
          <cell r="B98" t="str">
            <v>W27X194</v>
          </cell>
          <cell r="C98">
            <v>57.1</v>
          </cell>
          <cell r="D98">
            <v>28.1</v>
          </cell>
          <cell r="F98" t="str">
            <v>-</v>
          </cell>
          <cell r="H98" t="str">
            <v>-</v>
          </cell>
          <cell r="I98">
            <v>14</v>
          </cell>
          <cell r="K98" t="str">
            <v>-</v>
          </cell>
          <cell r="L98" t="str">
            <v>-</v>
          </cell>
          <cell r="M98">
            <v>31.394426256901081</v>
          </cell>
          <cell r="O98">
            <v>0.75</v>
          </cell>
          <cell r="T98" t="str">
            <v>-</v>
          </cell>
          <cell r="U98" t="str">
            <v>-</v>
          </cell>
        </row>
        <row r="99">
          <cell r="B99" t="str">
            <v>W27X178</v>
          </cell>
          <cell r="C99">
            <v>52.5</v>
          </cell>
          <cell r="D99">
            <v>27.8</v>
          </cell>
          <cell r="F99" t="str">
            <v>-</v>
          </cell>
          <cell r="H99" t="str">
            <v>-</v>
          </cell>
          <cell r="I99">
            <v>14.1</v>
          </cell>
          <cell r="K99" t="str">
            <v>-</v>
          </cell>
          <cell r="L99" t="str">
            <v>-</v>
          </cell>
          <cell r="M99">
            <v>31.171300903234695</v>
          </cell>
          <cell r="O99">
            <v>0.72499999999999998</v>
          </cell>
          <cell r="T99" t="str">
            <v>-</v>
          </cell>
          <cell r="U99" t="str">
            <v>-</v>
          </cell>
        </row>
        <row r="100">
          <cell r="B100" t="str">
            <v>W27X161</v>
          </cell>
          <cell r="C100">
            <v>47.6</v>
          </cell>
          <cell r="D100">
            <v>27.6</v>
          </cell>
          <cell r="F100" t="str">
            <v>-</v>
          </cell>
          <cell r="H100" t="str">
            <v>-</v>
          </cell>
          <cell r="I100">
            <v>14</v>
          </cell>
          <cell r="K100" t="str">
            <v>-</v>
          </cell>
          <cell r="L100" t="str">
            <v>-</v>
          </cell>
          <cell r="M100">
            <v>30.94769781421552</v>
          </cell>
          <cell r="O100">
            <v>0.66</v>
          </cell>
          <cell r="T100" t="str">
            <v>-</v>
          </cell>
          <cell r="U100" t="str">
            <v>-</v>
          </cell>
        </row>
        <row r="101">
          <cell r="B101" t="str">
            <v>W27X146</v>
          </cell>
          <cell r="C101">
            <v>43.2</v>
          </cell>
          <cell r="D101">
            <v>27.4</v>
          </cell>
          <cell r="F101" t="str">
            <v>-</v>
          </cell>
          <cell r="H101" t="str">
            <v>-</v>
          </cell>
          <cell r="I101">
            <v>14</v>
          </cell>
          <cell r="K101" t="str">
            <v>-</v>
          </cell>
          <cell r="L101" t="str">
            <v>-</v>
          </cell>
          <cell r="M101">
            <v>30.769465383720917</v>
          </cell>
          <cell r="O101">
            <v>0.60499999999999998</v>
          </cell>
          <cell r="T101" t="str">
            <v>-</v>
          </cell>
          <cell r="U101" t="str">
            <v>-</v>
          </cell>
        </row>
        <row r="102">
          <cell r="B102" t="str">
            <v>W27X129</v>
          </cell>
          <cell r="C102">
            <v>37.799999999999997</v>
          </cell>
          <cell r="D102">
            <v>27.6</v>
          </cell>
          <cell r="F102" t="str">
            <v>-</v>
          </cell>
          <cell r="H102" t="str">
            <v>-</v>
          </cell>
          <cell r="I102">
            <v>10</v>
          </cell>
          <cell r="K102" t="str">
            <v>-</v>
          </cell>
          <cell r="L102" t="str">
            <v>-</v>
          </cell>
          <cell r="M102">
            <v>29.355749011054037</v>
          </cell>
          <cell r="O102">
            <v>0.61</v>
          </cell>
          <cell r="T102" t="str">
            <v>-</v>
          </cell>
          <cell r="U102" t="str">
            <v>-</v>
          </cell>
        </row>
        <row r="103">
          <cell r="B103" t="str">
            <v>W27X114</v>
          </cell>
          <cell r="C103">
            <v>33.6</v>
          </cell>
          <cell r="D103">
            <v>27.3</v>
          </cell>
          <cell r="F103" t="str">
            <v>-</v>
          </cell>
          <cell r="H103" t="str">
            <v>-</v>
          </cell>
          <cell r="I103">
            <v>10.1</v>
          </cell>
          <cell r="K103" t="str">
            <v>-</v>
          </cell>
          <cell r="L103" t="str">
            <v>-</v>
          </cell>
          <cell r="M103">
            <v>29.108418026406039</v>
          </cell>
          <cell r="O103">
            <v>0.56999999999999995</v>
          </cell>
          <cell r="T103" t="str">
            <v>-</v>
          </cell>
          <cell r="U103" t="str">
            <v>-</v>
          </cell>
        </row>
        <row r="104">
          <cell r="B104" t="str">
            <v>W27X102</v>
          </cell>
          <cell r="C104">
            <v>30</v>
          </cell>
          <cell r="D104">
            <v>27.1</v>
          </cell>
          <cell r="F104" t="str">
            <v>-</v>
          </cell>
          <cell r="H104" t="str">
            <v>-</v>
          </cell>
          <cell r="I104">
            <v>10</v>
          </cell>
          <cell r="K104" t="str">
            <v>-</v>
          </cell>
          <cell r="L104" t="str">
            <v>-</v>
          </cell>
          <cell r="M104">
            <v>28.886155853626491</v>
          </cell>
          <cell r="O104">
            <v>0.51500000000000001</v>
          </cell>
          <cell r="T104" t="str">
            <v>-</v>
          </cell>
          <cell r="U104" t="str">
            <v>-</v>
          </cell>
        </row>
        <row r="105">
          <cell r="B105" t="str">
            <v>W27X94</v>
          </cell>
          <cell r="C105">
            <v>27.6</v>
          </cell>
          <cell r="D105">
            <v>26.9</v>
          </cell>
          <cell r="F105" t="str">
            <v>-</v>
          </cell>
          <cell r="H105" t="str">
            <v>-</v>
          </cell>
          <cell r="I105">
            <v>10</v>
          </cell>
          <cell r="K105" t="str">
            <v>-</v>
          </cell>
          <cell r="L105" t="str">
            <v>-</v>
          </cell>
          <cell r="M105">
            <v>28.698606237934271</v>
          </cell>
          <cell r="O105">
            <v>0.49</v>
          </cell>
          <cell r="T105" t="str">
            <v>-</v>
          </cell>
          <cell r="U105" t="str">
            <v>-</v>
          </cell>
        </row>
        <row r="106">
          <cell r="B106" t="str">
            <v>W27X84</v>
          </cell>
          <cell r="C106">
            <v>24.7</v>
          </cell>
          <cell r="D106">
            <v>26.7</v>
          </cell>
          <cell r="F106" t="str">
            <v>-</v>
          </cell>
          <cell r="H106" t="str">
            <v>-</v>
          </cell>
          <cell r="I106">
            <v>10</v>
          </cell>
          <cell r="K106" t="str">
            <v>-</v>
          </cell>
          <cell r="L106" t="str">
            <v>-</v>
          </cell>
          <cell r="M106">
            <v>28.511225859299703</v>
          </cell>
          <cell r="O106">
            <v>0.46</v>
          </cell>
          <cell r="T106" t="str">
            <v>-</v>
          </cell>
          <cell r="U106" t="str">
            <v>-</v>
          </cell>
        </row>
        <row r="107">
          <cell r="B107" t="str">
            <v>W24X370</v>
          </cell>
          <cell r="C107">
            <v>109</v>
          </cell>
          <cell r="D107">
            <v>28</v>
          </cell>
          <cell r="F107" t="str">
            <v>-</v>
          </cell>
          <cell r="H107" t="str">
            <v>-</v>
          </cell>
          <cell r="I107">
            <v>13.7</v>
          </cell>
          <cell r="K107" t="str">
            <v>-</v>
          </cell>
          <cell r="L107" t="str">
            <v>-</v>
          </cell>
          <cell r="M107">
            <v>31.171942512458219</v>
          </cell>
          <cell r="O107">
            <v>1.52</v>
          </cell>
          <cell r="T107" t="str">
            <v>-</v>
          </cell>
          <cell r="U107" t="str">
            <v>-</v>
          </cell>
        </row>
        <row r="108">
          <cell r="B108" t="str">
            <v>W24X335</v>
          </cell>
          <cell r="C108">
            <v>98.3</v>
          </cell>
          <cell r="D108">
            <v>27.5</v>
          </cell>
          <cell r="F108" t="str">
            <v>-</v>
          </cell>
          <cell r="H108" t="str">
            <v>-</v>
          </cell>
          <cell r="I108">
            <v>13.5</v>
          </cell>
          <cell r="K108" t="str">
            <v>-</v>
          </cell>
          <cell r="L108" t="str">
            <v>-</v>
          </cell>
          <cell r="M108">
            <v>30.63494736408078</v>
          </cell>
          <cell r="O108">
            <v>1.38</v>
          </cell>
          <cell r="T108" t="str">
            <v>-</v>
          </cell>
          <cell r="U108" t="str">
            <v>-</v>
          </cell>
        </row>
        <row r="109">
          <cell r="B109" t="str">
            <v>W24X306</v>
          </cell>
          <cell r="C109">
            <v>89.7</v>
          </cell>
          <cell r="D109">
            <v>27.1</v>
          </cell>
          <cell r="F109" t="str">
            <v>-</v>
          </cell>
          <cell r="H109" t="str">
            <v>-</v>
          </cell>
          <cell r="I109">
            <v>13.4</v>
          </cell>
          <cell r="K109" t="str">
            <v>-</v>
          </cell>
          <cell r="L109" t="str">
            <v>-</v>
          </cell>
          <cell r="M109">
            <v>30.23193675568934</v>
          </cell>
          <cell r="O109">
            <v>1.26</v>
          </cell>
          <cell r="T109" t="str">
            <v>-</v>
          </cell>
          <cell r="U109" t="str">
            <v>-</v>
          </cell>
        </row>
        <row r="110">
          <cell r="B110" t="str">
            <v>W24X279</v>
          </cell>
          <cell r="C110">
            <v>81.900000000000006</v>
          </cell>
          <cell r="D110">
            <v>26.7</v>
          </cell>
          <cell r="F110" t="str">
            <v>-</v>
          </cell>
          <cell r="H110" t="str">
            <v>-</v>
          </cell>
          <cell r="I110">
            <v>13.3</v>
          </cell>
          <cell r="K110" t="str">
            <v>-</v>
          </cell>
          <cell r="L110" t="str">
            <v>-</v>
          </cell>
          <cell r="M110">
            <v>29.829180344085888</v>
          </cell>
          <cell r="O110">
            <v>1.1599999999999999</v>
          </cell>
          <cell r="T110" t="str">
            <v>-</v>
          </cell>
          <cell r="U110" t="str">
            <v>-</v>
          </cell>
        </row>
        <row r="111">
          <cell r="B111" t="str">
            <v>W24X250</v>
          </cell>
          <cell r="C111">
            <v>73.5</v>
          </cell>
          <cell r="D111">
            <v>26.3</v>
          </cell>
          <cell r="F111" t="str">
            <v>-</v>
          </cell>
          <cell r="H111" t="str">
            <v>-</v>
          </cell>
          <cell r="I111">
            <v>13.2</v>
          </cell>
          <cell r="K111" t="str">
            <v>-</v>
          </cell>
          <cell r="L111" t="str">
            <v>-</v>
          </cell>
          <cell r="M111">
            <v>29.426688566673622</v>
          </cell>
          <cell r="O111">
            <v>1.04</v>
          </cell>
          <cell r="T111" t="str">
            <v>-</v>
          </cell>
          <cell r="U111" t="str">
            <v>-</v>
          </cell>
        </row>
        <row r="112">
          <cell r="B112" t="str">
            <v>W24X229</v>
          </cell>
          <cell r="C112">
            <v>67.2</v>
          </cell>
          <cell r="D112">
            <v>26</v>
          </cell>
          <cell r="F112" t="str">
            <v>-</v>
          </cell>
          <cell r="H112" t="str">
            <v>-</v>
          </cell>
          <cell r="I112">
            <v>13.1</v>
          </cell>
          <cell r="K112" t="str">
            <v>-</v>
          </cell>
          <cell r="L112" t="str">
            <v>-</v>
          </cell>
          <cell r="M112">
            <v>29.113742459532748</v>
          </cell>
          <cell r="O112">
            <v>0.96</v>
          </cell>
          <cell r="T112" t="str">
            <v>-</v>
          </cell>
          <cell r="U112" t="str">
            <v>-</v>
          </cell>
        </row>
        <row r="113">
          <cell r="B113" t="str">
            <v>W24X207</v>
          </cell>
          <cell r="C113">
            <v>60.7</v>
          </cell>
          <cell r="D113">
            <v>25.7</v>
          </cell>
          <cell r="F113" t="str">
            <v>-</v>
          </cell>
          <cell r="H113" t="str">
            <v>-</v>
          </cell>
          <cell r="I113">
            <v>13</v>
          </cell>
          <cell r="K113" t="str">
            <v>-</v>
          </cell>
          <cell r="L113" t="str">
            <v>-</v>
          </cell>
          <cell r="M113">
            <v>28.800868042473997</v>
          </cell>
          <cell r="O113">
            <v>0.87</v>
          </cell>
          <cell r="T113" t="str">
            <v>-</v>
          </cell>
          <cell r="U113" t="str">
            <v>-</v>
          </cell>
        </row>
        <row r="114">
          <cell r="B114" t="str">
            <v>W24X192</v>
          </cell>
          <cell r="C114">
            <v>56.5</v>
          </cell>
          <cell r="D114">
            <v>25.5</v>
          </cell>
          <cell r="F114" t="str">
            <v>-</v>
          </cell>
          <cell r="H114" t="str">
            <v>-</v>
          </cell>
          <cell r="I114">
            <v>13</v>
          </cell>
          <cell r="K114" t="str">
            <v>-</v>
          </cell>
          <cell r="L114" t="str">
            <v>-</v>
          </cell>
          <cell r="M114">
            <v>28.622543562723422</v>
          </cell>
          <cell r="O114">
            <v>0.81</v>
          </cell>
          <cell r="T114" t="str">
            <v>-</v>
          </cell>
          <cell r="U114" t="str">
            <v>-</v>
          </cell>
        </row>
        <row r="115">
          <cell r="B115" t="str">
            <v>W24X176</v>
          </cell>
          <cell r="C115">
            <v>51.7</v>
          </cell>
          <cell r="D115">
            <v>25.2</v>
          </cell>
          <cell r="F115" t="str">
            <v>-</v>
          </cell>
          <cell r="H115" t="str">
            <v>-</v>
          </cell>
          <cell r="I115">
            <v>12.9</v>
          </cell>
          <cell r="K115" t="str">
            <v>-</v>
          </cell>
          <cell r="L115" t="str">
            <v>-</v>
          </cell>
          <cell r="M115">
            <v>28.309892264012589</v>
          </cell>
          <cell r="O115">
            <v>0.75</v>
          </cell>
          <cell r="T115" t="str">
            <v>-</v>
          </cell>
          <cell r="U115" t="str">
            <v>-</v>
          </cell>
        </row>
        <row r="116">
          <cell r="B116" t="str">
            <v>W24X162</v>
          </cell>
          <cell r="C116">
            <v>47.8</v>
          </cell>
          <cell r="D116">
            <v>25</v>
          </cell>
          <cell r="F116" t="str">
            <v>-</v>
          </cell>
          <cell r="H116" t="str">
            <v>-</v>
          </cell>
          <cell r="I116">
            <v>13</v>
          </cell>
          <cell r="K116" t="str">
            <v>-</v>
          </cell>
          <cell r="L116" t="str">
            <v>-</v>
          </cell>
          <cell r="M116">
            <v>28.178005607210743</v>
          </cell>
          <cell r="O116">
            <v>0.70499999999999996</v>
          </cell>
          <cell r="T116" t="str">
            <v>-</v>
          </cell>
          <cell r="U116" t="str">
            <v>-</v>
          </cell>
        </row>
        <row r="117">
          <cell r="B117" t="str">
            <v>W24X146</v>
          </cell>
          <cell r="C117">
            <v>43</v>
          </cell>
          <cell r="D117">
            <v>24.7</v>
          </cell>
          <cell r="F117" t="str">
            <v>-</v>
          </cell>
          <cell r="H117" t="str">
            <v>-</v>
          </cell>
          <cell r="I117">
            <v>12.9</v>
          </cell>
          <cell r="K117" t="str">
            <v>-</v>
          </cell>
          <cell r="L117" t="str">
            <v>-</v>
          </cell>
          <cell r="M117">
            <v>27.865749586185544</v>
          </cell>
          <cell r="O117">
            <v>0.65</v>
          </cell>
          <cell r="T117" t="str">
            <v>-</v>
          </cell>
          <cell r="U117" t="str">
            <v>-</v>
          </cell>
        </row>
        <row r="118">
          <cell r="B118" t="str">
            <v>W24X131</v>
          </cell>
          <cell r="C118">
            <v>38.6</v>
          </cell>
          <cell r="D118">
            <v>24.5</v>
          </cell>
          <cell r="F118" t="str">
            <v>-</v>
          </cell>
          <cell r="H118" t="str">
            <v>-</v>
          </cell>
          <cell r="I118">
            <v>12.9</v>
          </cell>
          <cell r="K118" t="str">
            <v>-</v>
          </cell>
          <cell r="L118" t="str">
            <v>-</v>
          </cell>
          <cell r="M118">
            <v>27.688625823612121</v>
          </cell>
          <cell r="O118">
            <v>0.60499999999999998</v>
          </cell>
          <cell r="T118" t="str">
            <v>-</v>
          </cell>
          <cell r="U118" t="str">
            <v>-</v>
          </cell>
        </row>
        <row r="119">
          <cell r="B119" t="str">
            <v>W24X117</v>
          </cell>
          <cell r="C119">
            <v>34.4</v>
          </cell>
          <cell r="D119">
            <v>24.3</v>
          </cell>
          <cell r="F119" t="str">
            <v>-</v>
          </cell>
          <cell r="H119" t="str">
            <v>-</v>
          </cell>
          <cell r="I119">
            <v>12.8</v>
          </cell>
          <cell r="K119" t="str">
            <v>-</v>
          </cell>
          <cell r="L119" t="str">
            <v>-</v>
          </cell>
          <cell r="M119">
            <v>27.465068723744348</v>
          </cell>
          <cell r="O119">
            <v>0.55000000000000004</v>
          </cell>
          <cell r="T119" t="str">
            <v>-</v>
          </cell>
          <cell r="U119" t="str">
            <v>-</v>
          </cell>
        </row>
        <row r="120">
          <cell r="B120" t="str">
            <v>W24X104</v>
          </cell>
          <cell r="C120">
            <v>30.7</v>
          </cell>
          <cell r="D120">
            <v>24.1</v>
          </cell>
          <cell r="F120" t="str">
            <v>-</v>
          </cell>
          <cell r="H120" t="str">
            <v>-</v>
          </cell>
          <cell r="I120">
            <v>12.8</v>
          </cell>
          <cell r="K120" t="str">
            <v>-</v>
          </cell>
          <cell r="L120" t="str">
            <v>-</v>
          </cell>
          <cell r="M120">
            <v>27.288275870783778</v>
          </cell>
          <cell r="O120">
            <v>0.5</v>
          </cell>
          <cell r="T120" t="str">
            <v>-</v>
          </cell>
          <cell r="U120" t="str">
            <v>-</v>
          </cell>
        </row>
        <row r="121">
          <cell r="B121" t="str">
            <v>W24X103</v>
          </cell>
          <cell r="C121">
            <v>30.3</v>
          </cell>
          <cell r="D121">
            <v>24.5</v>
          </cell>
          <cell r="F121" t="str">
            <v>-</v>
          </cell>
          <cell r="H121" t="str">
            <v>-</v>
          </cell>
          <cell r="I121">
            <v>9</v>
          </cell>
          <cell r="K121" t="str">
            <v>-</v>
          </cell>
          <cell r="L121" t="str">
            <v>-</v>
          </cell>
          <cell r="M121">
            <v>26.100766272276374</v>
          </cell>
          <cell r="O121">
            <v>0.55000000000000004</v>
          </cell>
          <cell r="T121" t="str">
            <v>-</v>
          </cell>
          <cell r="U121" t="str">
            <v>-</v>
          </cell>
        </row>
        <row r="122">
          <cell r="B122" t="str">
            <v>W24X94</v>
          </cell>
          <cell r="C122">
            <v>27.7</v>
          </cell>
          <cell r="D122">
            <v>24.3</v>
          </cell>
          <cell r="F122" t="str">
            <v>-</v>
          </cell>
          <cell r="H122" t="str">
            <v>-</v>
          </cell>
          <cell r="I122">
            <v>9.07</v>
          </cell>
          <cell r="K122" t="str">
            <v>-</v>
          </cell>
          <cell r="L122" t="str">
            <v>-</v>
          </cell>
          <cell r="M122">
            <v>25.937519156619434</v>
          </cell>
          <cell r="O122">
            <v>0.51500000000000001</v>
          </cell>
          <cell r="T122" t="str">
            <v>-</v>
          </cell>
          <cell r="U122" t="str">
            <v>-</v>
          </cell>
        </row>
        <row r="123">
          <cell r="B123" t="str">
            <v>W24X84</v>
          </cell>
          <cell r="C123">
            <v>24.7</v>
          </cell>
          <cell r="D123">
            <v>24.1</v>
          </cell>
          <cell r="F123" t="str">
            <v>-</v>
          </cell>
          <cell r="H123" t="str">
            <v>-</v>
          </cell>
          <cell r="I123">
            <v>9.02</v>
          </cell>
          <cell r="K123" t="str">
            <v>-</v>
          </cell>
          <cell r="L123" t="str">
            <v>-</v>
          </cell>
          <cell r="M123">
            <v>25.732671839511731</v>
          </cell>
          <cell r="O123">
            <v>0.47</v>
          </cell>
          <cell r="T123" t="str">
            <v>-</v>
          </cell>
          <cell r="U123" t="str">
            <v>-</v>
          </cell>
        </row>
        <row r="124">
          <cell r="B124" t="str">
            <v>W24X76</v>
          </cell>
          <cell r="C124">
            <v>22.4</v>
          </cell>
          <cell r="D124">
            <v>23.9</v>
          </cell>
          <cell r="F124" t="str">
            <v>-</v>
          </cell>
          <cell r="H124" t="str">
            <v>-</v>
          </cell>
          <cell r="I124">
            <v>8.99</v>
          </cell>
          <cell r="K124" t="str">
            <v>-</v>
          </cell>
          <cell r="L124" t="str">
            <v>-</v>
          </cell>
          <cell r="M124">
            <v>25.534880066293635</v>
          </cell>
          <cell r="O124">
            <v>0.44</v>
          </cell>
          <cell r="T124" t="str">
            <v>-</v>
          </cell>
          <cell r="U124" t="str">
            <v>-</v>
          </cell>
        </row>
        <row r="125">
          <cell r="B125" t="str">
            <v>W24X68</v>
          </cell>
          <cell r="C125">
            <v>20.100000000000001</v>
          </cell>
          <cell r="D125">
            <v>23.7</v>
          </cell>
          <cell r="F125" t="str">
            <v>-</v>
          </cell>
          <cell r="H125" t="str">
            <v>-</v>
          </cell>
          <cell r="I125">
            <v>8.9700000000000006</v>
          </cell>
          <cell r="K125" t="str">
            <v>-</v>
          </cell>
          <cell r="L125" t="str">
            <v>-</v>
          </cell>
          <cell r="M125">
            <v>25.340696517657125</v>
          </cell>
          <cell r="O125">
            <v>0.41499999999999998</v>
          </cell>
          <cell r="T125" t="str">
            <v>-</v>
          </cell>
          <cell r="U125" t="str">
            <v>-</v>
          </cell>
        </row>
        <row r="126">
          <cell r="B126" t="str">
            <v>W24X62</v>
          </cell>
          <cell r="C126">
            <v>18.2</v>
          </cell>
          <cell r="D126">
            <v>23.7</v>
          </cell>
          <cell r="F126" t="str">
            <v>-</v>
          </cell>
          <cell r="H126" t="str">
            <v>-</v>
          </cell>
          <cell r="I126">
            <v>7.04</v>
          </cell>
          <cell r="K126" t="str">
            <v>-</v>
          </cell>
          <cell r="L126" t="str">
            <v>-</v>
          </cell>
          <cell r="M126">
            <v>24.723502988047628</v>
          </cell>
          <cell r="O126">
            <v>0.43</v>
          </cell>
          <cell r="T126" t="str">
            <v>-</v>
          </cell>
          <cell r="U126" t="str">
            <v>-</v>
          </cell>
        </row>
        <row r="127">
          <cell r="B127" t="str">
            <v>W24X55</v>
          </cell>
          <cell r="C127">
            <v>16.2</v>
          </cell>
          <cell r="D127">
            <v>23.6</v>
          </cell>
          <cell r="F127" t="str">
            <v>-</v>
          </cell>
          <cell r="H127" t="str">
            <v>-</v>
          </cell>
          <cell r="I127">
            <v>7.01</v>
          </cell>
          <cell r="K127" t="str">
            <v>-</v>
          </cell>
          <cell r="L127" t="str">
            <v>-</v>
          </cell>
          <cell r="M127">
            <v>24.619100308500308</v>
          </cell>
          <cell r="O127">
            <v>0.39500000000000002</v>
          </cell>
          <cell r="T127" t="str">
            <v>-</v>
          </cell>
          <cell r="U127" t="str">
            <v>-</v>
          </cell>
        </row>
        <row r="128">
          <cell r="B128" t="str">
            <v>W21X275</v>
          </cell>
          <cell r="C128">
            <v>81.8</v>
          </cell>
          <cell r="D128">
            <v>24.1</v>
          </cell>
          <cell r="F128" t="str">
            <v>-</v>
          </cell>
          <cell r="H128" t="str">
            <v>-</v>
          </cell>
          <cell r="I128">
            <v>12.9</v>
          </cell>
          <cell r="K128" t="str">
            <v>-</v>
          </cell>
          <cell r="L128" t="str">
            <v>-</v>
          </cell>
          <cell r="M128">
            <v>27.335325130680264</v>
          </cell>
          <cell r="O128">
            <v>1.22</v>
          </cell>
          <cell r="T128" t="str">
            <v>-</v>
          </cell>
          <cell r="U128" t="str">
            <v>-</v>
          </cell>
        </row>
        <row r="129">
          <cell r="B129" t="str">
            <v>W21X248</v>
          </cell>
          <cell r="C129">
            <v>73.8</v>
          </cell>
          <cell r="D129">
            <v>23.7</v>
          </cell>
          <cell r="F129" t="str">
            <v>-</v>
          </cell>
          <cell r="H129" t="str">
            <v>-</v>
          </cell>
          <cell r="I129">
            <v>12.8</v>
          </cell>
          <cell r="K129" t="str">
            <v>-</v>
          </cell>
          <cell r="L129" t="str">
            <v>-</v>
          </cell>
          <cell r="M129">
            <v>26.935664090569588</v>
          </cell>
          <cell r="O129">
            <v>1.1000000000000001</v>
          </cell>
          <cell r="T129" t="str">
            <v>-</v>
          </cell>
          <cell r="U129" t="str">
            <v>-</v>
          </cell>
        </row>
        <row r="130">
          <cell r="B130" t="str">
            <v>W21X223</v>
          </cell>
          <cell r="C130">
            <v>66.5</v>
          </cell>
          <cell r="D130">
            <v>23.4</v>
          </cell>
          <cell r="F130" t="str">
            <v>-</v>
          </cell>
          <cell r="H130" t="str">
            <v>-</v>
          </cell>
          <cell r="I130">
            <v>12.7</v>
          </cell>
          <cell r="K130" t="str">
            <v>-</v>
          </cell>
          <cell r="L130" t="str">
            <v>-</v>
          </cell>
          <cell r="M130">
            <v>26.624237078271367</v>
          </cell>
          <cell r="O130">
            <v>1</v>
          </cell>
          <cell r="T130" t="str">
            <v>-</v>
          </cell>
          <cell r="U130" t="str">
            <v>-</v>
          </cell>
        </row>
        <row r="131">
          <cell r="B131" t="str">
            <v>W21X201</v>
          </cell>
          <cell r="C131">
            <v>59.3</v>
          </cell>
          <cell r="D131">
            <v>23</v>
          </cell>
          <cell r="F131" t="str">
            <v>-</v>
          </cell>
          <cell r="H131" t="str">
            <v>-</v>
          </cell>
          <cell r="I131">
            <v>12.6</v>
          </cell>
          <cell r="K131" t="str">
            <v>-</v>
          </cell>
          <cell r="L131" t="str">
            <v>-</v>
          </cell>
          <cell r="M131">
            <v>26.225178741049604</v>
          </cell>
          <cell r="O131">
            <v>0.91</v>
          </cell>
          <cell r="T131" t="str">
            <v>-</v>
          </cell>
          <cell r="U131" t="str">
            <v>-</v>
          </cell>
        </row>
        <row r="132">
          <cell r="B132" t="str">
            <v>W21X182</v>
          </cell>
          <cell r="C132">
            <v>53.6</v>
          </cell>
          <cell r="D132">
            <v>22.7</v>
          </cell>
          <cell r="F132" t="str">
            <v>-</v>
          </cell>
          <cell r="H132" t="str">
            <v>-</v>
          </cell>
          <cell r="I132">
            <v>12.5</v>
          </cell>
          <cell r="K132" t="str">
            <v>-</v>
          </cell>
          <cell r="L132" t="str">
            <v>-</v>
          </cell>
          <cell r="M132">
            <v>25.914088832139168</v>
          </cell>
          <cell r="O132">
            <v>0.83</v>
          </cell>
          <cell r="T132" t="str">
            <v>-</v>
          </cell>
          <cell r="U132" t="str">
            <v>-</v>
          </cell>
        </row>
        <row r="133">
          <cell r="B133" t="str">
            <v>W21X166</v>
          </cell>
          <cell r="C133">
            <v>48.8</v>
          </cell>
          <cell r="D133">
            <v>22.5</v>
          </cell>
          <cell r="F133" t="str">
            <v>-</v>
          </cell>
          <cell r="H133" t="str">
            <v>-</v>
          </cell>
          <cell r="I133">
            <v>12.4</v>
          </cell>
          <cell r="K133" t="str">
            <v>-</v>
          </cell>
          <cell r="L133" t="str">
            <v>-</v>
          </cell>
          <cell r="M133">
            <v>25.690659781329089</v>
          </cell>
          <cell r="O133">
            <v>0.75</v>
          </cell>
          <cell r="T133" t="str">
            <v>-</v>
          </cell>
          <cell r="U133" t="str">
            <v>-</v>
          </cell>
        </row>
        <row r="134">
          <cell r="B134" t="str">
            <v>W21X147</v>
          </cell>
          <cell r="C134">
            <v>43.2</v>
          </cell>
          <cell r="D134">
            <v>22.1</v>
          </cell>
          <cell r="F134" t="str">
            <v>-</v>
          </cell>
          <cell r="H134" t="str">
            <v>-</v>
          </cell>
          <cell r="I134">
            <v>12.5</v>
          </cell>
          <cell r="K134" t="str">
            <v>-</v>
          </cell>
          <cell r="L134" t="str">
            <v>-</v>
          </cell>
          <cell r="M134">
            <v>25.390155572583641</v>
          </cell>
          <cell r="O134">
            <v>0.72</v>
          </cell>
          <cell r="T134" t="str">
            <v>-</v>
          </cell>
          <cell r="U134" t="str">
            <v>-</v>
          </cell>
        </row>
        <row r="135">
          <cell r="B135" t="str">
            <v>W21X132</v>
          </cell>
          <cell r="C135">
            <v>38.799999999999997</v>
          </cell>
          <cell r="D135">
            <v>21.8</v>
          </cell>
          <cell r="F135" t="str">
            <v>-</v>
          </cell>
          <cell r="H135" t="str">
            <v>-</v>
          </cell>
          <cell r="I135">
            <v>12.4</v>
          </cell>
          <cell r="K135" t="str">
            <v>-</v>
          </cell>
          <cell r="L135" t="str">
            <v>-</v>
          </cell>
          <cell r="M135">
            <v>25.079872407968907</v>
          </cell>
          <cell r="O135">
            <v>0.65</v>
          </cell>
          <cell r="T135" t="str">
            <v>-</v>
          </cell>
          <cell r="U135" t="str">
            <v>-</v>
          </cell>
        </row>
        <row r="136">
          <cell r="B136" t="str">
            <v>W21X122</v>
          </cell>
          <cell r="C136">
            <v>35.9</v>
          </cell>
          <cell r="D136">
            <v>21.7</v>
          </cell>
          <cell r="F136" t="str">
            <v>-</v>
          </cell>
          <cell r="H136" t="str">
            <v>-</v>
          </cell>
          <cell r="I136">
            <v>12.4</v>
          </cell>
          <cell r="K136" t="str">
            <v>-</v>
          </cell>
          <cell r="L136" t="str">
            <v>-</v>
          </cell>
          <cell r="M136">
            <v>24.992999019725502</v>
          </cell>
          <cell r="O136">
            <v>0.6</v>
          </cell>
          <cell r="T136" t="str">
            <v>-</v>
          </cell>
          <cell r="U136" t="str">
            <v>-</v>
          </cell>
        </row>
        <row r="137">
          <cell r="B137" t="str">
            <v>W21X111</v>
          </cell>
          <cell r="C137">
            <v>32.6</v>
          </cell>
          <cell r="D137">
            <v>21.5</v>
          </cell>
          <cell r="F137" t="str">
            <v>-</v>
          </cell>
          <cell r="H137" t="str">
            <v>-</v>
          </cell>
          <cell r="I137">
            <v>12.3</v>
          </cell>
          <cell r="K137" t="str">
            <v>-</v>
          </cell>
          <cell r="L137" t="str">
            <v>-</v>
          </cell>
          <cell r="M137">
            <v>24.76973960299139</v>
          </cell>
          <cell r="O137">
            <v>0.55000000000000004</v>
          </cell>
          <cell r="T137" t="str">
            <v>-</v>
          </cell>
          <cell r="U137" t="str">
            <v>-</v>
          </cell>
        </row>
        <row r="138">
          <cell r="B138" t="str">
            <v>W21X101</v>
          </cell>
          <cell r="C138">
            <v>29.8</v>
          </cell>
          <cell r="D138">
            <v>21.4</v>
          </cell>
          <cell r="F138" t="str">
            <v>-</v>
          </cell>
          <cell r="H138" t="str">
            <v>-</v>
          </cell>
          <cell r="I138">
            <v>12.3</v>
          </cell>
          <cell r="K138" t="str">
            <v>-</v>
          </cell>
          <cell r="L138" t="str">
            <v>-</v>
          </cell>
          <cell r="M138">
            <v>24.682990094394967</v>
          </cell>
          <cell r="O138">
            <v>0.5</v>
          </cell>
          <cell r="T138" t="str">
            <v>-</v>
          </cell>
          <cell r="U138" t="str">
            <v>-</v>
          </cell>
        </row>
        <row r="139">
          <cell r="B139" t="str">
            <v>W21X93</v>
          </cell>
          <cell r="C139">
            <v>27.3</v>
          </cell>
          <cell r="D139">
            <v>21.6</v>
          </cell>
          <cell r="F139" t="str">
            <v>-</v>
          </cell>
          <cell r="H139" t="str">
            <v>-</v>
          </cell>
          <cell r="I139">
            <v>8.42</v>
          </cell>
          <cell r="K139" t="str">
            <v>-</v>
          </cell>
          <cell r="L139" t="str">
            <v>-</v>
          </cell>
          <cell r="M139">
            <v>23.183105917887708</v>
          </cell>
          <cell r="O139">
            <v>0.57999999999999996</v>
          </cell>
          <cell r="T139" t="str">
            <v>-</v>
          </cell>
          <cell r="U139" t="str">
            <v>-</v>
          </cell>
        </row>
        <row r="140">
          <cell r="B140" t="str">
            <v>W21X83</v>
          </cell>
          <cell r="C140">
            <v>24.4</v>
          </cell>
          <cell r="D140">
            <v>21.4</v>
          </cell>
          <cell r="F140" t="str">
            <v>-</v>
          </cell>
          <cell r="H140" t="str">
            <v>-</v>
          </cell>
          <cell r="I140">
            <v>8.36</v>
          </cell>
          <cell r="K140" t="str">
            <v>-</v>
          </cell>
          <cell r="L140" t="str">
            <v>-</v>
          </cell>
          <cell r="M140">
            <v>22.974977693133891</v>
          </cell>
          <cell r="O140">
            <v>0.51500000000000001</v>
          </cell>
          <cell r="T140" t="str">
            <v>-</v>
          </cell>
          <cell r="U140" t="str">
            <v>-</v>
          </cell>
        </row>
        <row r="141">
          <cell r="B141" t="str">
            <v>W21X73</v>
          </cell>
          <cell r="C141">
            <v>21.5</v>
          </cell>
          <cell r="D141">
            <v>21.2</v>
          </cell>
          <cell r="F141" t="str">
            <v>-</v>
          </cell>
          <cell r="H141" t="str">
            <v>-</v>
          </cell>
          <cell r="I141">
            <v>8.3000000000000007</v>
          </cell>
          <cell r="K141" t="str">
            <v>-</v>
          </cell>
          <cell r="L141" t="str">
            <v>-</v>
          </cell>
          <cell r="M141">
            <v>22.766861883008822</v>
          </cell>
          <cell r="O141">
            <v>0.45500000000000002</v>
          </cell>
          <cell r="T141" t="str">
            <v>-</v>
          </cell>
          <cell r="U141" t="str">
            <v>-</v>
          </cell>
        </row>
        <row r="142">
          <cell r="B142" t="str">
            <v>W21X68</v>
          </cell>
          <cell r="C142">
            <v>20</v>
          </cell>
          <cell r="D142">
            <v>21.1</v>
          </cell>
          <cell r="F142" t="str">
            <v>-</v>
          </cell>
          <cell r="H142" t="str">
            <v>-</v>
          </cell>
          <cell r="I142">
            <v>8.27</v>
          </cell>
          <cell r="K142" t="str">
            <v>-</v>
          </cell>
          <cell r="L142" t="str">
            <v>-</v>
          </cell>
          <cell r="M142">
            <v>22.66280874031284</v>
          </cell>
          <cell r="O142">
            <v>0.43</v>
          </cell>
          <cell r="T142" t="str">
            <v>-</v>
          </cell>
          <cell r="U142" t="str">
            <v>-</v>
          </cell>
        </row>
        <row r="143">
          <cell r="B143" t="str">
            <v>W21X62</v>
          </cell>
          <cell r="C143">
            <v>18.3</v>
          </cell>
          <cell r="D143">
            <v>21</v>
          </cell>
          <cell r="F143" t="str">
            <v>-</v>
          </cell>
          <cell r="H143" t="str">
            <v>-</v>
          </cell>
          <cell r="I143">
            <v>8.24</v>
          </cell>
          <cell r="K143" t="str">
            <v>-</v>
          </cell>
          <cell r="L143" t="str">
            <v>-</v>
          </cell>
          <cell r="M143">
            <v>22.558758831105933</v>
          </cell>
          <cell r="O143">
            <v>0.4</v>
          </cell>
          <cell r="T143" t="str">
            <v>-</v>
          </cell>
          <cell r="U143" t="str">
            <v>-</v>
          </cell>
        </row>
        <row r="144">
          <cell r="B144" t="str">
            <v>W21X55</v>
          </cell>
          <cell r="C144">
            <v>16.2</v>
          </cell>
          <cell r="D144">
            <v>20.8</v>
          </cell>
          <cell r="F144" t="str">
            <v>-</v>
          </cell>
          <cell r="H144" t="str">
            <v>-</v>
          </cell>
          <cell r="I144">
            <v>8.2200000000000006</v>
          </cell>
          <cell r="K144" t="str">
            <v>-</v>
          </cell>
          <cell r="L144" t="str">
            <v>-</v>
          </cell>
          <cell r="M144">
            <v>22.36533925519575</v>
          </cell>
          <cell r="O144">
            <v>0.375</v>
          </cell>
          <cell r="T144" t="str">
            <v>-</v>
          </cell>
          <cell r="U144" t="str">
            <v>-</v>
          </cell>
        </row>
        <row r="145">
          <cell r="B145" t="str">
            <v>W21X48</v>
          </cell>
          <cell r="C145">
            <v>14.1</v>
          </cell>
          <cell r="D145">
            <v>20.6</v>
          </cell>
          <cell r="F145" t="str">
            <v>-</v>
          </cell>
          <cell r="H145" t="str">
            <v>-</v>
          </cell>
          <cell r="I145">
            <v>8.14</v>
          </cell>
          <cell r="K145" t="str">
            <v>-</v>
          </cell>
          <cell r="L145" t="str">
            <v>-</v>
          </cell>
          <cell r="M145">
            <v>22.149934537149317</v>
          </cell>
          <cell r="O145">
            <v>0.35</v>
          </cell>
          <cell r="T145" t="str">
            <v>-</v>
          </cell>
          <cell r="U145" t="str">
            <v>-</v>
          </cell>
        </row>
        <row r="146">
          <cell r="B146" t="str">
            <v>W21X57</v>
          </cell>
          <cell r="C146">
            <v>16.7</v>
          </cell>
          <cell r="D146">
            <v>21.1</v>
          </cell>
          <cell r="F146" t="str">
            <v>-</v>
          </cell>
          <cell r="H146" t="str">
            <v>-</v>
          </cell>
          <cell r="I146">
            <v>6.56</v>
          </cell>
          <cell r="K146" t="str">
            <v>-</v>
          </cell>
          <cell r="L146" t="str">
            <v>-</v>
          </cell>
          <cell r="M146">
            <v>22.09623497340667</v>
          </cell>
          <cell r="O146">
            <v>0.40500000000000003</v>
          </cell>
          <cell r="T146" t="str">
            <v>-</v>
          </cell>
          <cell r="U146" t="str">
            <v>-</v>
          </cell>
        </row>
        <row r="147">
          <cell r="B147" t="str">
            <v>W21X50</v>
          </cell>
          <cell r="C147">
            <v>14.7</v>
          </cell>
          <cell r="D147">
            <v>20.8</v>
          </cell>
          <cell r="F147" t="str">
            <v>-</v>
          </cell>
          <cell r="H147" t="str">
            <v>-</v>
          </cell>
          <cell r="I147">
            <v>6.53</v>
          </cell>
          <cell r="K147" t="str">
            <v>-</v>
          </cell>
          <cell r="L147" t="str">
            <v>-</v>
          </cell>
          <cell r="M147">
            <v>21.800938053212299</v>
          </cell>
          <cell r="O147">
            <v>0.38</v>
          </cell>
          <cell r="T147" t="str">
            <v>-</v>
          </cell>
          <cell r="U147" t="str">
            <v>-</v>
          </cell>
        </row>
        <row r="148">
          <cell r="B148" t="str">
            <v>W21X44</v>
          </cell>
          <cell r="C148">
            <v>13</v>
          </cell>
          <cell r="D148">
            <v>20.7</v>
          </cell>
          <cell r="F148" t="str">
            <v>-</v>
          </cell>
          <cell r="H148" t="str">
            <v>-</v>
          </cell>
          <cell r="I148">
            <v>6.5</v>
          </cell>
          <cell r="K148" t="str">
            <v>-</v>
          </cell>
          <cell r="L148" t="str">
            <v>-</v>
          </cell>
          <cell r="M148">
            <v>21.696543503516867</v>
          </cell>
          <cell r="O148">
            <v>0.35</v>
          </cell>
          <cell r="T148" t="str">
            <v>-</v>
          </cell>
          <cell r="U148" t="str">
            <v>-</v>
          </cell>
        </row>
        <row r="149">
          <cell r="B149" t="str">
            <v>W18X311</v>
          </cell>
          <cell r="C149">
            <v>91.6</v>
          </cell>
          <cell r="D149">
            <v>22.3</v>
          </cell>
          <cell r="F149" t="str">
            <v>-</v>
          </cell>
          <cell r="H149" t="str">
            <v>-</v>
          </cell>
          <cell r="I149">
            <v>12</v>
          </cell>
          <cell r="K149" t="str">
            <v>-</v>
          </cell>
          <cell r="L149" t="str">
            <v>-</v>
          </cell>
          <cell r="M149">
            <v>25.323704310388713</v>
          </cell>
          <cell r="O149">
            <v>1.52</v>
          </cell>
          <cell r="T149" t="str">
            <v>-</v>
          </cell>
          <cell r="U149" t="str">
            <v>-</v>
          </cell>
        </row>
        <row r="150">
          <cell r="B150" t="str">
            <v>W18X283</v>
          </cell>
          <cell r="C150">
            <v>83.3</v>
          </cell>
          <cell r="D150">
            <v>21.9</v>
          </cell>
          <cell r="F150" t="str">
            <v>-</v>
          </cell>
          <cell r="H150" t="str">
            <v>-</v>
          </cell>
          <cell r="I150">
            <v>11.9</v>
          </cell>
          <cell r="K150" t="str">
            <v>-</v>
          </cell>
          <cell r="L150" t="str">
            <v>-</v>
          </cell>
          <cell r="M150">
            <v>24.924285345822856</v>
          </cell>
          <cell r="O150">
            <v>1.4</v>
          </cell>
          <cell r="T150" t="str">
            <v>-</v>
          </cell>
          <cell r="U150" t="str">
            <v>-</v>
          </cell>
        </row>
        <row r="151">
          <cell r="B151" t="str">
            <v>W18X258</v>
          </cell>
          <cell r="C151">
            <v>76</v>
          </cell>
          <cell r="D151">
            <v>21.5</v>
          </cell>
          <cell r="F151" t="str">
            <v>-</v>
          </cell>
          <cell r="H151" t="str">
            <v>-</v>
          </cell>
          <cell r="I151">
            <v>11.8</v>
          </cell>
          <cell r="K151" t="str">
            <v>-</v>
          </cell>
          <cell r="L151" t="str">
            <v>-</v>
          </cell>
          <cell r="M151">
            <v>24.525293066546627</v>
          </cell>
          <cell r="O151">
            <v>1.28</v>
          </cell>
          <cell r="T151" t="str">
            <v>-</v>
          </cell>
          <cell r="U151" t="str">
            <v>-</v>
          </cell>
        </row>
        <row r="152">
          <cell r="B152" t="str">
            <v>W18X234</v>
          </cell>
          <cell r="C152">
            <v>68.599999999999994</v>
          </cell>
          <cell r="D152">
            <v>21.1</v>
          </cell>
          <cell r="F152" t="str">
            <v>-</v>
          </cell>
          <cell r="H152" t="str">
            <v>-</v>
          </cell>
          <cell r="I152">
            <v>11.7</v>
          </cell>
          <cell r="K152" t="str">
            <v>-</v>
          </cell>
          <cell r="L152" t="str">
            <v>-</v>
          </cell>
          <cell r="M152">
            <v>24.126748641290231</v>
          </cell>
          <cell r="O152">
            <v>1.1599999999999999</v>
          </cell>
          <cell r="T152" t="str">
            <v>-</v>
          </cell>
          <cell r="U152" t="str">
            <v>-</v>
          </cell>
        </row>
        <row r="153">
          <cell r="B153" t="str">
            <v>W18X211</v>
          </cell>
          <cell r="C153">
            <v>62.3</v>
          </cell>
          <cell r="D153">
            <v>20.7</v>
          </cell>
          <cell r="F153" t="str">
            <v>-</v>
          </cell>
          <cell r="H153" t="str">
            <v>-</v>
          </cell>
          <cell r="I153">
            <v>11.6</v>
          </cell>
          <cell r="K153" t="str">
            <v>-</v>
          </cell>
          <cell r="L153" t="str">
            <v>-</v>
          </cell>
          <cell r="M153">
            <v>23.728674636397205</v>
          </cell>
          <cell r="O153">
            <v>1.06</v>
          </cell>
          <cell r="T153" t="str">
            <v>-</v>
          </cell>
          <cell r="U153" t="str">
            <v>-</v>
          </cell>
        </row>
        <row r="154">
          <cell r="B154" t="str">
            <v>W18X192</v>
          </cell>
          <cell r="C154">
            <v>56.2</v>
          </cell>
          <cell r="D154">
            <v>20.399999999999999</v>
          </cell>
          <cell r="F154" t="str">
            <v>-</v>
          </cell>
          <cell r="H154" t="str">
            <v>-</v>
          </cell>
          <cell r="I154">
            <v>11.5</v>
          </cell>
          <cell r="K154" t="str">
            <v>-</v>
          </cell>
          <cell r="L154" t="str">
            <v>-</v>
          </cell>
          <cell r="M154">
            <v>23.418155350069739</v>
          </cell>
          <cell r="O154">
            <v>0.96</v>
          </cell>
          <cell r="T154" t="str">
            <v>-</v>
          </cell>
          <cell r="U154" t="str">
            <v>-</v>
          </cell>
        </row>
        <row r="155">
          <cell r="B155" t="str">
            <v>W18X175</v>
          </cell>
          <cell r="C155">
            <v>51.4</v>
          </cell>
          <cell r="D155">
            <v>20</v>
          </cell>
          <cell r="F155" t="str">
            <v>-</v>
          </cell>
          <cell r="H155" t="str">
            <v>-</v>
          </cell>
          <cell r="I155">
            <v>11.4</v>
          </cell>
          <cell r="K155" t="str">
            <v>-</v>
          </cell>
          <cell r="L155" t="str">
            <v>-</v>
          </cell>
          <cell r="M155">
            <v>23.020860105565127</v>
          </cell>
          <cell r="O155">
            <v>0.89</v>
          </cell>
          <cell r="T155" t="str">
            <v>-</v>
          </cell>
          <cell r="U155" t="str">
            <v>-</v>
          </cell>
        </row>
        <row r="156">
          <cell r="B156" t="str">
            <v>W18X158</v>
          </cell>
          <cell r="C156">
            <v>46.3</v>
          </cell>
          <cell r="D156">
            <v>19.7</v>
          </cell>
          <cell r="F156" t="str">
            <v>-</v>
          </cell>
          <cell r="H156" t="str">
            <v>-</v>
          </cell>
          <cell r="I156">
            <v>11.3</v>
          </cell>
          <cell r="K156" t="str">
            <v>-</v>
          </cell>
          <cell r="L156" t="str">
            <v>-</v>
          </cell>
          <cell r="M156">
            <v>22.710790386950428</v>
          </cell>
          <cell r="O156">
            <v>0.81</v>
          </cell>
          <cell r="T156" t="str">
            <v>-</v>
          </cell>
          <cell r="U156" t="str">
            <v>-</v>
          </cell>
        </row>
        <row r="157">
          <cell r="B157" t="str">
            <v>W18X143</v>
          </cell>
          <cell r="C157">
            <v>42</v>
          </cell>
          <cell r="D157">
            <v>19.5</v>
          </cell>
          <cell r="F157" t="str">
            <v>-</v>
          </cell>
          <cell r="H157" t="str">
            <v>-</v>
          </cell>
          <cell r="I157">
            <v>11.2</v>
          </cell>
          <cell r="K157" t="str">
            <v>-</v>
          </cell>
          <cell r="L157" t="str">
            <v>-</v>
          </cell>
          <cell r="M157">
            <v>22.487552112224222</v>
          </cell>
          <cell r="O157">
            <v>0.73</v>
          </cell>
          <cell r="T157" t="str">
            <v>-</v>
          </cell>
          <cell r="U157" t="str">
            <v>-</v>
          </cell>
        </row>
        <row r="158">
          <cell r="B158" t="str">
            <v>W18X130</v>
          </cell>
          <cell r="C158">
            <v>38.299999999999997</v>
          </cell>
          <cell r="D158">
            <v>19.3</v>
          </cell>
          <cell r="F158" t="str">
            <v>-</v>
          </cell>
          <cell r="H158" t="str">
            <v>-</v>
          </cell>
          <cell r="I158">
            <v>11.2</v>
          </cell>
          <cell r="K158" t="str">
            <v>-</v>
          </cell>
          <cell r="L158" t="str">
            <v>-</v>
          </cell>
          <cell r="M158">
            <v>22.314345161801185</v>
          </cell>
          <cell r="O158">
            <v>0.67</v>
          </cell>
          <cell r="T158" t="str">
            <v>-</v>
          </cell>
          <cell r="U158" t="str">
            <v>-</v>
          </cell>
        </row>
        <row r="159">
          <cell r="B159" t="str">
            <v>W18X119</v>
          </cell>
          <cell r="C159">
            <v>35.1</v>
          </cell>
          <cell r="D159">
            <v>19</v>
          </cell>
          <cell r="F159" t="str">
            <v>-</v>
          </cell>
          <cell r="H159" t="str">
            <v>-</v>
          </cell>
          <cell r="I159">
            <v>11.3</v>
          </cell>
          <cell r="K159" t="str">
            <v>-</v>
          </cell>
          <cell r="L159" t="str">
            <v>-</v>
          </cell>
          <cell r="M159">
            <v>22.106333933965622</v>
          </cell>
          <cell r="O159">
            <v>0.65500000000000003</v>
          </cell>
          <cell r="T159" t="str">
            <v>-</v>
          </cell>
          <cell r="U159" t="str">
            <v>-</v>
          </cell>
        </row>
        <row r="160">
          <cell r="B160" t="str">
            <v>W18X106</v>
          </cell>
          <cell r="C160">
            <v>31.1</v>
          </cell>
          <cell r="D160">
            <v>18.7</v>
          </cell>
          <cell r="F160" t="str">
            <v>-</v>
          </cell>
          <cell r="H160" t="str">
            <v>-</v>
          </cell>
          <cell r="I160">
            <v>11.2</v>
          </cell>
          <cell r="K160" t="str">
            <v>-</v>
          </cell>
          <cell r="L160" t="str">
            <v>-</v>
          </cell>
          <cell r="M160">
            <v>21.797476918212347</v>
          </cell>
          <cell r="O160">
            <v>0.59</v>
          </cell>
          <cell r="T160" t="str">
            <v>-</v>
          </cell>
          <cell r="U160" t="str">
            <v>-</v>
          </cell>
        </row>
        <row r="161">
          <cell r="B161" t="str">
            <v>W18X97</v>
          </cell>
          <cell r="C161">
            <v>28.5</v>
          </cell>
          <cell r="D161">
            <v>18.600000000000001</v>
          </cell>
          <cell r="F161" t="str">
            <v>-</v>
          </cell>
          <cell r="H161" t="str">
            <v>-</v>
          </cell>
          <cell r="I161">
            <v>11.1</v>
          </cell>
          <cell r="K161" t="str">
            <v>-</v>
          </cell>
          <cell r="L161" t="str">
            <v>-</v>
          </cell>
          <cell r="M161">
            <v>21.660332407421638</v>
          </cell>
          <cell r="O161">
            <v>0.53500000000000003</v>
          </cell>
          <cell r="T161" t="str">
            <v>-</v>
          </cell>
          <cell r="U161" t="str">
            <v>-</v>
          </cell>
        </row>
        <row r="162">
          <cell r="B162" t="str">
            <v>W18X86</v>
          </cell>
          <cell r="C162">
            <v>25.3</v>
          </cell>
          <cell r="D162">
            <v>18.399999999999999</v>
          </cell>
          <cell r="F162" t="str">
            <v>-</v>
          </cell>
          <cell r="H162" t="str">
            <v>-</v>
          </cell>
          <cell r="I162">
            <v>11.1</v>
          </cell>
          <cell r="K162" t="str">
            <v>-</v>
          </cell>
          <cell r="L162" t="str">
            <v>-</v>
          </cell>
          <cell r="M162">
            <v>21.488834309938731</v>
          </cell>
          <cell r="O162">
            <v>0.48</v>
          </cell>
          <cell r="T162" t="str">
            <v>-</v>
          </cell>
          <cell r="U162" t="str">
            <v>-</v>
          </cell>
        </row>
        <row r="163">
          <cell r="B163" t="str">
            <v>W18X76</v>
          </cell>
          <cell r="C163">
            <v>22.3</v>
          </cell>
          <cell r="D163">
            <v>18.2</v>
          </cell>
          <cell r="F163" t="str">
            <v>-</v>
          </cell>
          <cell r="H163" t="str">
            <v>-</v>
          </cell>
          <cell r="I163">
            <v>11</v>
          </cell>
          <cell r="K163" t="str">
            <v>-</v>
          </cell>
          <cell r="L163" t="str">
            <v>-</v>
          </cell>
          <cell r="M163">
            <v>21.265935201631738</v>
          </cell>
          <cell r="O163">
            <v>0.42499999999999999</v>
          </cell>
          <cell r="T163" t="str">
            <v>-</v>
          </cell>
          <cell r="U163" t="str">
            <v>-</v>
          </cell>
        </row>
        <row r="164">
          <cell r="B164" t="str">
            <v>W18X71</v>
          </cell>
          <cell r="C164">
            <v>20.9</v>
          </cell>
          <cell r="D164">
            <v>18.5</v>
          </cell>
          <cell r="F164" t="str">
            <v>-</v>
          </cell>
          <cell r="H164" t="str">
            <v>-</v>
          </cell>
          <cell r="I164">
            <v>7.64</v>
          </cell>
          <cell r="K164" t="str">
            <v>-</v>
          </cell>
          <cell r="L164" t="str">
            <v>-</v>
          </cell>
          <cell r="M164">
            <v>20.015484006138848</v>
          </cell>
          <cell r="O164">
            <v>0.495</v>
          </cell>
          <cell r="T164" t="str">
            <v>-</v>
          </cell>
          <cell r="U164" t="str">
            <v>-</v>
          </cell>
        </row>
        <row r="165">
          <cell r="B165" t="str">
            <v>W18X65</v>
          </cell>
          <cell r="C165">
            <v>19.100000000000001</v>
          </cell>
          <cell r="D165">
            <v>18.399999999999999</v>
          </cell>
          <cell r="F165" t="str">
            <v>-</v>
          </cell>
          <cell r="H165" t="str">
            <v>-</v>
          </cell>
          <cell r="I165">
            <v>7.59</v>
          </cell>
          <cell r="K165" t="str">
            <v>-</v>
          </cell>
          <cell r="L165" t="str">
            <v>-</v>
          </cell>
          <cell r="M165">
            <v>19.903971965414339</v>
          </cell>
          <cell r="O165">
            <v>0.45</v>
          </cell>
          <cell r="T165" t="str">
            <v>-</v>
          </cell>
          <cell r="U165" t="str">
            <v>-</v>
          </cell>
        </row>
        <row r="166">
          <cell r="B166" t="str">
            <v>W18X60</v>
          </cell>
          <cell r="C166">
            <v>17.600000000000001</v>
          </cell>
          <cell r="D166">
            <v>18.2</v>
          </cell>
          <cell r="F166" t="str">
            <v>-</v>
          </cell>
          <cell r="H166" t="str">
            <v>-</v>
          </cell>
          <cell r="I166">
            <v>7.56</v>
          </cell>
          <cell r="K166" t="str">
            <v>-</v>
          </cell>
          <cell r="L166" t="str">
            <v>-</v>
          </cell>
          <cell r="M166">
            <v>19.707704077339905</v>
          </cell>
          <cell r="O166">
            <v>0.41499999999999998</v>
          </cell>
          <cell r="T166" t="str">
            <v>-</v>
          </cell>
          <cell r="U166" t="str">
            <v>-</v>
          </cell>
        </row>
        <row r="167">
          <cell r="B167" t="str">
            <v>W18X55</v>
          </cell>
          <cell r="C167">
            <v>16.2</v>
          </cell>
          <cell r="D167">
            <v>18.100000000000001</v>
          </cell>
          <cell r="F167" t="str">
            <v>-</v>
          </cell>
          <cell r="H167" t="str">
            <v>-</v>
          </cell>
          <cell r="I167">
            <v>7.53</v>
          </cell>
          <cell r="K167" t="str">
            <v>-</v>
          </cell>
          <cell r="L167" t="str">
            <v>-</v>
          </cell>
          <cell r="M167">
            <v>19.60384911184536</v>
          </cell>
          <cell r="O167">
            <v>0.39</v>
          </cell>
          <cell r="T167" t="str">
            <v>-</v>
          </cell>
          <cell r="U167" t="str">
            <v>-</v>
          </cell>
        </row>
        <row r="168">
          <cell r="B168" t="str">
            <v>W18X50</v>
          </cell>
          <cell r="C168">
            <v>14.7</v>
          </cell>
          <cell r="D168">
            <v>18</v>
          </cell>
          <cell r="F168" t="str">
            <v>-</v>
          </cell>
          <cell r="H168" t="str">
            <v>-</v>
          </cell>
          <cell r="I168">
            <v>7.5</v>
          </cell>
          <cell r="K168" t="str">
            <v>-</v>
          </cell>
          <cell r="L168" t="str">
            <v>-</v>
          </cell>
          <cell r="M168">
            <v>19.5</v>
          </cell>
          <cell r="O168">
            <v>0.35499999999999998</v>
          </cell>
          <cell r="T168" t="str">
            <v>-</v>
          </cell>
          <cell r="U168" t="str">
            <v>-</v>
          </cell>
        </row>
        <row r="169">
          <cell r="B169" t="str">
            <v>W18X46</v>
          </cell>
          <cell r="C169">
            <v>13.5</v>
          </cell>
          <cell r="D169">
            <v>18.100000000000001</v>
          </cell>
          <cell r="F169" t="str">
            <v>-</v>
          </cell>
          <cell r="H169" t="str">
            <v>-</v>
          </cell>
          <cell r="I169">
            <v>6.06</v>
          </cell>
          <cell r="K169" t="str">
            <v>-</v>
          </cell>
          <cell r="L169" t="str">
            <v>-</v>
          </cell>
          <cell r="M169">
            <v>19.087524721660483</v>
          </cell>
          <cell r="O169">
            <v>0.36</v>
          </cell>
          <cell r="T169" t="str">
            <v>-</v>
          </cell>
          <cell r="U169" t="str">
            <v>-</v>
          </cell>
        </row>
        <row r="170">
          <cell r="B170" t="str">
            <v>W18X40</v>
          </cell>
          <cell r="C170">
            <v>11.8</v>
          </cell>
          <cell r="D170">
            <v>17.899999999999999</v>
          </cell>
          <cell r="F170" t="str">
            <v>-</v>
          </cell>
          <cell r="H170" t="str">
            <v>-</v>
          </cell>
          <cell r="I170">
            <v>6.02</v>
          </cell>
          <cell r="K170" t="str">
            <v>-</v>
          </cell>
          <cell r="L170" t="str">
            <v>-</v>
          </cell>
          <cell r="M170">
            <v>18.88518996462572</v>
          </cell>
          <cell r="O170">
            <v>0.315</v>
          </cell>
          <cell r="T170" t="str">
            <v>-</v>
          </cell>
          <cell r="U170" t="str">
            <v>-</v>
          </cell>
        </row>
        <row r="171">
          <cell r="B171" t="str">
            <v>W18X35</v>
          </cell>
          <cell r="C171">
            <v>10.3</v>
          </cell>
          <cell r="D171">
            <v>17.7</v>
          </cell>
          <cell r="F171" t="str">
            <v>-</v>
          </cell>
          <cell r="H171" t="str">
            <v>-</v>
          </cell>
          <cell r="I171">
            <v>6</v>
          </cell>
          <cell r="K171" t="str">
            <v>-</v>
          </cell>
          <cell r="L171" t="str">
            <v>-</v>
          </cell>
          <cell r="M171">
            <v>18.689301752607022</v>
          </cell>
          <cell r="O171">
            <v>0.3</v>
          </cell>
          <cell r="T171" t="str">
            <v>-</v>
          </cell>
          <cell r="U171" t="str">
            <v>-</v>
          </cell>
        </row>
        <row r="172">
          <cell r="B172" t="str">
            <v>W16X100</v>
          </cell>
          <cell r="C172">
            <v>29.4</v>
          </cell>
          <cell r="D172">
            <v>17</v>
          </cell>
          <cell r="F172" t="str">
            <v>-</v>
          </cell>
          <cell r="H172" t="str">
            <v>-</v>
          </cell>
          <cell r="I172">
            <v>10.4</v>
          </cell>
          <cell r="K172" t="str">
            <v>-</v>
          </cell>
          <cell r="L172" t="str">
            <v>-</v>
          </cell>
          <cell r="M172">
            <v>19.928873525616044</v>
          </cell>
          <cell r="O172">
            <v>0.58499999999999996</v>
          </cell>
          <cell r="T172" t="str">
            <v>-</v>
          </cell>
          <cell r="U172" t="str">
            <v>-</v>
          </cell>
        </row>
        <row r="173">
          <cell r="B173" t="str">
            <v>W16X89</v>
          </cell>
          <cell r="C173">
            <v>26.2</v>
          </cell>
          <cell r="D173">
            <v>16.8</v>
          </cell>
          <cell r="F173" t="str">
            <v>-</v>
          </cell>
          <cell r="H173" t="str">
            <v>-</v>
          </cell>
          <cell r="I173">
            <v>10.4</v>
          </cell>
          <cell r="K173" t="str">
            <v>-</v>
          </cell>
          <cell r="L173" t="str">
            <v>-</v>
          </cell>
          <cell r="M173">
            <v>19.75854245636555</v>
          </cell>
          <cell r="O173">
            <v>0.52500000000000002</v>
          </cell>
          <cell r="T173" t="str">
            <v>-</v>
          </cell>
          <cell r="U173" t="str">
            <v>-</v>
          </cell>
        </row>
        <row r="174">
          <cell r="B174" t="str">
            <v>W16X77</v>
          </cell>
          <cell r="C174">
            <v>22.6</v>
          </cell>
          <cell r="D174">
            <v>16.5</v>
          </cell>
          <cell r="F174" t="str">
            <v>-</v>
          </cell>
          <cell r="H174" t="str">
            <v>-</v>
          </cell>
          <cell r="I174">
            <v>10.3</v>
          </cell>
          <cell r="K174" t="str">
            <v>-</v>
          </cell>
          <cell r="L174" t="str">
            <v>-</v>
          </cell>
          <cell r="M174">
            <v>19.450963986394093</v>
          </cell>
          <cell r="O174">
            <v>0.45500000000000002</v>
          </cell>
          <cell r="T174" t="str">
            <v>-</v>
          </cell>
          <cell r="U174" t="str">
            <v>-</v>
          </cell>
        </row>
        <row r="175">
          <cell r="B175" t="str">
            <v>W16X67</v>
          </cell>
          <cell r="C175">
            <v>19.600000000000001</v>
          </cell>
          <cell r="D175">
            <v>16.3</v>
          </cell>
          <cell r="F175" t="str">
            <v>-</v>
          </cell>
          <cell r="H175" t="str">
            <v>-</v>
          </cell>
          <cell r="I175">
            <v>10.199999999999999</v>
          </cell>
          <cell r="K175" t="str">
            <v>-</v>
          </cell>
          <cell r="L175" t="str">
            <v>-</v>
          </cell>
          <cell r="M175">
            <v>19.228364465029262</v>
          </cell>
          <cell r="O175">
            <v>0.39500000000000002</v>
          </cell>
          <cell r="T175" t="str">
            <v>-</v>
          </cell>
          <cell r="U175" t="str">
            <v>-</v>
          </cell>
        </row>
        <row r="176">
          <cell r="B176" t="str">
            <v>W16X57</v>
          </cell>
          <cell r="C176">
            <v>16.8</v>
          </cell>
          <cell r="D176">
            <v>16.399999999999999</v>
          </cell>
          <cell r="F176" t="str">
            <v>-</v>
          </cell>
          <cell r="H176" t="str">
            <v>-</v>
          </cell>
          <cell r="I176">
            <v>7.12</v>
          </cell>
          <cell r="K176" t="str">
            <v>-</v>
          </cell>
          <cell r="L176" t="str">
            <v>-</v>
          </cell>
          <cell r="M176">
            <v>17.878881396776478</v>
          </cell>
          <cell r="O176">
            <v>0.43</v>
          </cell>
          <cell r="T176" t="str">
            <v>-</v>
          </cell>
          <cell r="U176" t="str">
            <v>-</v>
          </cell>
        </row>
        <row r="177">
          <cell r="B177" t="str">
            <v>W16X50</v>
          </cell>
          <cell r="C177">
            <v>14.7</v>
          </cell>
          <cell r="D177">
            <v>16.3</v>
          </cell>
          <cell r="F177" t="str">
            <v>-</v>
          </cell>
          <cell r="H177" t="str">
            <v>-</v>
          </cell>
          <cell r="I177">
            <v>7.07</v>
          </cell>
          <cell r="K177" t="str">
            <v>-</v>
          </cell>
          <cell r="L177" t="str">
            <v>-</v>
          </cell>
          <cell r="M177">
            <v>17.767242329635739</v>
          </cell>
          <cell r="O177">
            <v>0.38</v>
          </cell>
          <cell r="T177" t="str">
            <v>-</v>
          </cell>
          <cell r="U177" t="str">
            <v>-</v>
          </cell>
        </row>
        <row r="178">
          <cell r="B178" t="str">
            <v>W16X45</v>
          </cell>
          <cell r="C178">
            <v>13.3</v>
          </cell>
          <cell r="D178">
            <v>16.100000000000001</v>
          </cell>
          <cell r="F178" t="str">
            <v>-</v>
          </cell>
          <cell r="H178" t="str">
            <v>-</v>
          </cell>
          <cell r="I178">
            <v>7.04</v>
          </cell>
          <cell r="K178" t="str">
            <v>-</v>
          </cell>
          <cell r="L178" t="str">
            <v>-</v>
          </cell>
          <cell r="M178">
            <v>17.571898019280674</v>
          </cell>
          <cell r="O178">
            <v>0.34499999999999997</v>
          </cell>
          <cell r="T178" t="str">
            <v>-</v>
          </cell>
          <cell r="U178" t="str">
            <v>-</v>
          </cell>
        </row>
        <row r="179">
          <cell r="B179" t="str">
            <v>W16X40</v>
          </cell>
          <cell r="C179">
            <v>11.8</v>
          </cell>
          <cell r="D179">
            <v>16</v>
          </cell>
          <cell r="F179" t="str">
            <v>-</v>
          </cell>
          <cell r="H179" t="str">
            <v>-</v>
          </cell>
          <cell r="I179">
            <v>7</v>
          </cell>
          <cell r="K179" t="str">
            <v>-</v>
          </cell>
          <cell r="L179" t="str">
            <v>-</v>
          </cell>
          <cell r="M179">
            <v>17.464249196572979</v>
          </cell>
          <cell r="O179">
            <v>0.30499999999999999</v>
          </cell>
          <cell r="T179" t="str">
            <v>-</v>
          </cell>
          <cell r="U179" t="str">
            <v>-</v>
          </cell>
        </row>
        <row r="180">
          <cell r="B180" t="str">
            <v>W16X36</v>
          </cell>
          <cell r="C180">
            <v>10.6</v>
          </cell>
          <cell r="D180">
            <v>15.9</v>
          </cell>
          <cell r="F180" t="str">
            <v>-</v>
          </cell>
          <cell r="H180" t="str">
            <v>-</v>
          </cell>
          <cell r="I180">
            <v>6.99</v>
          </cell>
          <cell r="K180" t="str">
            <v>-</v>
          </cell>
          <cell r="L180" t="str">
            <v>-</v>
          </cell>
          <cell r="M180">
            <v>17.368652797496988</v>
          </cell>
          <cell r="O180">
            <v>0.29499999999999998</v>
          </cell>
          <cell r="T180" t="str">
            <v>-</v>
          </cell>
          <cell r="U180" t="str">
            <v>-</v>
          </cell>
        </row>
        <row r="181">
          <cell r="B181" t="str">
            <v>W16X31</v>
          </cell>
          <cell r="C181">
            <v>9.1300000000000008</v>
          </cell>
          <cell r="D181">
            <v>15.9</v>
          </cell>
          <cell r="F181" t="str">
            <v>-</v>
          </cell>
          <cell r="H181" t="str">
            <v>-</v>
          </cell>
          <cell r="I181">
            <v>5.53</v>
          </cell>
          <cell r="K181" t="str">
            <v>-</v>
          </cell>
          <cell r="L181" t="str">
            <v>-</v>
          </cell>
          <cell r="M181">
            <v>16.834218128561837</v>
          </cell>
          <cell r="O181">
            <v>0.27500000000000002</v>
          </cell>
          <cell r="T181" t="str">
            <v>-</v>
          </cell>
          <cell r="U181" t="str">
            <v>-</v>
          </cell>
        </row>
        <row r="182">
          <cell r="B182" t="str">
            <v>W16X26</v>
          </cell>
          <cell r="C182">
            <v>7.68</v>
          </cell>
          <cell r="D182">
            <v>15.7</v>
          </cell>
          <cell r="F182" t="str">
            <v>-</v>
          </cell>
          <cell r="H182" t="str">
            <v>-</v>
          </cell>
          <cell r="I182">
            <v>5.5</v>
          </cell>
          <cell r="K182" t="str">
            <v>-</v>
          </cell>
          <cell r="L182" t="str">
            <v>-</v>
          </cell>
          <cell r="M182">
            <v>16.635504200354134</v>
          </cell>
          <cell r="O182">
            <v>0.25</v>
          </cell>
          <cell r="T182" t="str">
            <v>-</v>
          </cell>
          <cell r="U182" t="str">
            <v>-</v>
          </cell>
        </row>
        <row r="183">
          <cell r="B183" t="str">
            <v>W14X873</v>
          </cell>
          <cell r="C183">
            <v>257</v>
          </cell>
          <cell r="D183">
            <v>23.6</v>
          </cell>
          <cell r="F183" t="str">
            <v>-</v>
          </cell>
          <cell r="H183" t="str">
            <v>-</v>
          </cell>
          <cell r="I183">
            <v>18.8</v>
          </cell>
          <cell r="K183" t="str">
            <v>-</v>
          </cell>
          <cell r="L183" t="str">
            <v>-</v>
          </cell>
          <cell r="M183">
            <v>30.172835465033778</v>
          </cell>
          <cell r="O183">
            <v>3.94</v>
          </cell>
          <cell r="T183" t="str">
            <v>-</v>
          </cell>
          <cell r="U183" t="str">
            <v>-</v>
          </cell>
        </row>
        <row r="184">
          <cell r="B184" t="str">
            <v>W14X808</v>
          </cell>
          <cell r="C184">
            <v>238</v>
          </cell>
          <cell r="D184">
            <v>22.8</v>
          </cell>
          <cell r="F184" t="str">
            <v>-</v>
          </cell>
          <cell r="H184" t="str">
            <v>-</v>
          </cell>
          <cell r="I184">
            <v>18.600000000000001</v>
          </cell>
          <cell r="K184" t="str">
            <v>-</v>
          </cell>
          <cell r="L184" t="str">
            <v>-</v>
          </cell>
          <cell r="M184">
            <v>29.424479604574149</v>
          </cell>
          <cell r="O184">
            <v>3.74</v>
          </cell>
          <cell r="T184" t="str">
            <v>-</v>
          </cell>
          <cell r="U184" t="str">
            <v>-</v>
          </cell>
        </row>
        <row r="185">
          <cell r="B185" t="str">
            <v>W14X730</v>
          </cell>
          <cell r="C185">
            <v>215</v>
          </cell>
          <cell r="D185">
            <v>22.4</v>
          </cell>
          <cell r="F185" t="str">
            <v>-</v>
          </cell>
          <cell r="H185" t="str">
            <v>-</v>
          </cell>
          <cell r="I185">
            <v>17.899999999999999</v>
          </cell>
          <cell r="K185" t="str">
            <v>-</v>
          </cell>
          <cell r="L185" t="str">
            <v>-</v>
          </cell>
          <cell r="M185">
            <v>28.673506935845847</v>
          </cell>
          <cell r="O185">
            <v>3.07</v>
          </cell>
          <cell r="T185" t="str">
            <v>-</v>
          </cell>
          <cell r="U185" t="str">
            <v>-</v>
          </cell>
        </row>
        <row r="186">
          <cell r="B186" t="str">
            <v>W14X665</v>
          </cell>
          <cell r="C186">
            <v>196</v>
          </cell>
          <cell r="D186">
            <v>21.6</v>
          </cell>
          <cell r="F186" t="str">
            <v>-</v>
          </cell>
          <cell r="H186" t="str">
            <v>-</v>
          </cell>
          <cell r="I186">
            <v>17.7</v>
          </cell>
          <cell r="K186" t="str">
            <v>-</v>
          </cell>
          <cell r="L186" t="str">
            <v>-</v>
          </cell>
          <cell r="M186">
            <v>27.925794527640569</v>
          </cell>
          <cell r="O186">
            <v>2.83</v>
          </cell>
          <cell r="T186" t="str">
            <v>-</v>
          </cell>
          <cell r="U186" t="str">
            <v>-</v>
          </cell>
        </row>
        <row r="187">
          <cell r="B187" t="str">
            <v>W14X605</v>
          </cell>
          <cell r="C187">
            <v>178</v>
          </cell>
          <cell r="D187">
            <v>20.9</v>
          </cell>
          <cell r="F187" t="str">
            <v>-</v>
          </cell>
          <cell r="H187" t="str">
            <v>-</v>
          </cell>
          <cell r="I187">
            <v>17.399999999999999</v>
          </cell>
          <cell r="K187" t="str">
            <v>-</v>
          </cell>
          <cell r="L187" t="str">
            <v>-</v>
          </cell>
          <cell r="M187">
            <v>27.195036311797782</v>
          </cell>
          <cell r="O187">
            <v>2.6</v>
          </cell>
          <cell r="T187" t="str">
            <v>-</v>
          </cell>
          <cell r="U187" t="str">
            <v>-</v>
          </cell>
        </row>
        <row r="188">
          <cell r="B188" t="str">
            <v>W14X550</v>
          </cell>
          <cell r="C188">
            <v>162</v>
          </cell>
          <cell r="D188">
            <v>20.2</v>
          </cell>
          <cell r="F188" t="str">
            <v>-</v>
          </cell>
          <cell r="H188" t="str">
            <v>-</v>
          </cell>
          <cell r="I188">
            <v>17.2</v>
          </cell>
          <cell r="K188" t="str">
            <v>-</v>
          </cell>
          <cell r="L188" t="str">
            <v>-</v>
          </cell>
          <cell r="M188">
            <v>26.53073689138694</v>
          </cell>
          <cell r="O188">
            <v>2.38</v>
          </cell>
          <cell r="T188" t="str">
            <v>-</v>
          </cell>
          <cell r="U188" t="str">
            <v>-</v>
          </cell>
        </row>
        <row r="189">
          <cell r="B189" t="str">
            <v>W14X500</v>
          </cell>
          <cell r="C189">
            <v>147</v>
          </cell>
          <cell r="D189">
            <v>19.600000000000001</v>
          </cell>
          <cell r="F189" t="str">
            <v>-</v>
          </cell>
          <cell r="H189" t="str">
            <v>-</v>
          </cell>
          <cell r="I189">
            <v>17</v>
          </cell>
          <cell r="K189" t="str">
            <v>-</v>
          </cell>
          <cell r="L189" t="str">
            <v>-</v>
          </cell>
          <cell r="M189">
            <v>25.945327132260253</v>
          </cell>
          <cell r="O189">
            <v>2.19</v>
          </cell>
          <cell r="T189" t="str">
            <v>-</v>
          </cell>
          <cell r="U189" t="str">
            <v>-</v>
          </cell>
        </row>
        <row r="190">
          <cell r="B190" t="str">
            <v>W14X455</v>
          </cell>
          <cell r="C190">
            <v>134</v>
          </cell>
          <cell r="D190">
            <v>19</v>
          </cell>
          <cell r="F190" t="str">
            <v>-</v>
          </cell>
          <cell r="H190" t="str">
            <v>-</v>
          </cell>
          <cell r="I190">
            <v>16.8</v>
          </cell>
          <cell r="K190" t="str">
            <v>-</v>
          </cell>
          <cell r="L190" t="str">
            <v>-</v>
          </cell>
          <cell r="M190">
            <v>25.362176562747923</v>
          </cell>
          <cell r="O190">
            <v>2.02</v>
          </cell>
          <cell r="T190" t="str">
            <v>-</v>
          </cell>
          <cell r="U190" t="str">
            <v>-</v>
          </cell>
        </row>
        <row r="191">
          <cell r="B191" t="str">
            <v>W14X426</v>
          </cell>
          <cell r="C191">
            <v>125</v>
          </cell>
          <cell r="D191">
            <v>18.7</v>
          </cell>
          <cell r="F191" t="str">
            <v>-</v>
          </cell>
          <cell r="H191" t="str">
            <v>-</v>
          </cell>
          <cell r="I191">
            <v>16.7</v>
          </cell>
          <cell r="K191" t="str">
            <v>-</v>
          </cell>
          <cell r="L191" t="str">
            <v>-</v>
          </cell>
          <cell r="M191">
            <v>25.071497761402288</v>
          </cell>
          <cell r="O191">
            <v>1.88</v>
          </cell>
          <cell r="T191" t="str">
            <v>-</v>
          </cell>
          <cell r="U191" t="str">
            <v>-</v>
          </cell>
        </row>
        <row r="192">
          <cell r="B192" t="str">
            <v>W14X398</v>
          </cell>
          <cell r="C192">
            <v>117</v>
          </cell>
          <cell r="D192">
            <v>18.3</v>
          </cell>
          <cell r="F192" t="str">
            <v>-</v>
          </cell>
          <cell r="H192" t="str">
            <v>-</v>
          </cell>
          <cell r="I192">
            <v>16.600000000000001</v>
          </cell>
          <cell r="K192" t="str">
            <v>-</v>
          </cell>
          <cell r="L192" t="str">
            <v>-</v>
          </cell>
          <cell r="M192">
            <v>24.707286374670936</v>
          </cell>
          <cell r="O192">
            <v>1.77</v>
          </cell>
          <cell r="T192" t="str">
            <v>-</v>
          </cell>
          <cell r="U192" t="str">
            <v>-</v>
          </cell>
        </row>
        <row r="193">
          <cell r="B193" t="str">
            <v>W14X370</v>
          </cell>
          <cell r="C193">
            <v>109</v>
          </cell>
          <cell r="D193">
            <v>17.899999999999999</v>
          </cell>
          <cell r="F193" t="str">
            <v>-</v>
          </cell>
          <cell r="H193" t="str">
            <v>-</v>
          </cell>
          <cell r="I193">
            <v>16.5</v>
          </cell>
          <cell r="K193" t="str">
            <v>-</v>
          </cell>
          <cell r="L193" t="str">
            <v>-</v>
          </cell>
          <cell r="M193">
            <v>24.344609259546559</v>
          </cell>
          <cell r="O193">
            <v>1.66</v>
          </cell>
          <cell r="T193" t="str">
            <v>-</v>
          </cell>
          <cell r="U193" t="str">
            <v>-</v>
          </cell>
        </row>
        <row r="194">
          <cell r="B194" t="str">
            <v>W14X342</v>
          </cell>
          <cell r="C194">
            <v>101</v>
          </cell>
          <cell r="D194">
            <v>17.5</v>
          </cell>
          <cell r="F194" t="str">
            <v>-</v>
          </cell>
          <cell r="H194" t="str">
            <v>-</v>
          </cell>
          <cell r="I194">
            <v>16.399999999999999</v>
          </cell>
          <cell r="K194" t="str">
            <v>-</v>
          </cell>
          <cell r="L194" t="str">
            <v>-</v>
          </cell>
          <cell r="M194">
            <v>23.983536019528064</v>
          </cell>
          <cell r="O194">
            <v>1.54</v>
          </cell>
          <cell r="T194" t="str">
            <v>-</v>
          </cell>
          <cell r="U194" t="str">
            <v>-</v>
          </cell>
        </row>
        <row r="195">
          <cell r="B195" t="str">
            <v>W14X311</v>
          </cell>
          <cell r="C195">
            <v>91.4</v>
          </cell>
          <cell r="D195">
            <v>17.100000000000001</v>
          </cell>
          <cell r="F195" t="str">
            <v>-</v>
          </cell>
          <cell r="H195" t="str">
            <v>-</v>
          </cell>
          <cell r="I195">
            <v>16.2</v>
          </cell>
          <cell r="K195" t="str">
            <v>-</v>
          </cell>
          <cell r="L195" t="str">
            <v>-</v>
          </cell>
          <cell r="M195">
            <v>23.555254190944321</v>
          </cell>
          <cell r="O195">
            <v>1.41</v>
          </cell>
          <cell r="T195" t="str">
            <v>-</v>
          </cell>
          <cell r="U195" t="str">
            <v>-</v>
          </cell>
        </row>
        <row r="196">
          <cell r="B196" t="str">
            <v>W14X283</v>
          </cell>
          <cell r="C196">
            <v>83.3</v>
          </cell>
          <cell r="D196">
            <v>16.7</v>
          </cell>
          <cell r="F196" t="str">
            <v>-</v>
          </cell>
          <cell r="H196" t="str">
            <v>-</v>
          </cell>
          <cell r="I196">
            <v>16.100000000000001</v>
          </cell>
          <cell r="K196" t="str">
            <v>-</v>
          </cell>
          <cell r="L196" t="str">
            <v>-</v>
          </cell>
          <cell r="M196">
            <v>23.196982562393757</v>
          </cell>
          <cell r="O196">
            <v>1.29</v>
          </cell>
          <cell r="T196" t="str">
            <v>-</v>
          </cell>
          <cell r="U196" t="str">
            <v>-</v>
          </cell>
        </row>
        <row r="197">
          <cell r="B197" t="str">
            <v>W14X257</v>
          </cell>
          <cell r="C197">
            <v>75.599999999999994</v>
          </cell>
          <cell r="D197">
            <v>16.399999999999999</v>
          </cell>
          <cell r="F197" t="str">
            <v>-</v>
          </cell>
          <cell r="H197" t="str">
            <v>-</v>
          </cell>
          <cell r="I197">
            <v>16</v>
          </cell>
          <cell r="K197" t="str">
            <v>-</v>
          </cell>
          <cell r="L197" t="str">
            <v>-</v>
          </cell>
          <cell r="M197">
            <v>22.912005586591498</v>
          </cell>
          <cell r="O197">
            <v>1.18</v>
          </cell>
          <cell r="T197" t="str">
            <v>-</v>
          </cell>
          <cell r="U197" t="str">
            <v>-</v>
          </cell>
        </row>
        <row r="198">
          <cell r="B198" t="str">
            <v>W14X233</v>
          </cell>
          <cell r="C198">
            <v>68.5</v>
          </cell>
          <cell r="D198">
            <v>16</v>
          </cell>
          <cell r="F198" t="str">
            <v>-</v>
          </cell>
          <cell r="H198" t="str">
            <v>-</v>
          </cell>
          <cell r="I198">
            <v>15.9</v>
          </cell>
          <cell r="K198" t="str">
            <v>-</v>
          </cell>
          <cell r="L198" t="str">
            <v>-</v>
          </cell>
          <cell r="M198">
            <v>22.556817151362466</v>
          </cell>
          <cell r="O198">
            <v>1.07</v>
          </cell>
          <cell r="T198" t="str">
            <v>-</v>
          </cell>
          <cell r="U198" t="str">
            <v>-</v>
          </cell>
        </row>
        <row r="199">
          <cell r="B199" t="str">
            <v>W14X211</v>
          </cell>
          <cell r="C199">
            <v>62</v>
          </cell>
          <cell r="D199">
            <v>15.7</v>
          </cell>
          <cell r="F199" t="str">
            <v>-</v>
          </cell>
          <cell r="H199" t="str">
            <v>-</v>
          </cell>
          <cell r="I199">
            <v>15.8</v>
          </cell>
          <cell r="K199" t="str">
            <v>-</v>
          </cell>
          <cell r="L199" t="str">
            <v>-</v>
          </cell>
          <cell r="M199">
            <v>22.273975846265074</v>
          </cell>
          <cell r="O199">
            <v>0.98</v>
          </cell>
          <cell r="T199" t="str">
            <v>-</v>
          </cell>
          <cell r="U199" t="str">
            <v>-</v>
          </cell>
        </row>
        <row r="200">
          <cell r="B200" t="str">
            <v>W14X193</v>
          </cell>
          <cell r="C200">
            <v>56.8</v>
          </cell>
          <cell r="D200">
            <v>15.5</v>
          </cell>
          <cell r="F200" t="str">
            <v>-</v>
          </cell>
          <cell r="H200" t="str">
            <v>-</v>
          </cell>
          <cell r="I200">
            <v>15.7</v>
          </cell>
          <cell r="K200" t="str">
            <v>-</v>
          </cell>
          <cell r="L200" t="str">
            <v>-</v>
          </cell>
          <cell r="M200">
            <v>22.062184841941651</v>
          </cell>
          <cell r="O200">
            <v>0.89</v>
          </cell>
          <cell r="T200" t="str">
            <v>-</v>
          </cell>
          <cell r="U200" t="str">
            <v>-</v>
          </cell>
        </row>
        <row r="201">
          <cell r="B201" t="str">
            <v>W14X176</v>
          </cell>
          <cell r="C201">
            <v>51.8</v>
          </cell>
          <cell r="D201">
            <v>15.2</v>
          </cell>
          <cell r="F201" t="str">
            <v>-</v>
          </cell>
          <cell r="H201" t="str">
            <v>-</v>
          </cell>
          <cell r="I201">
            <v>15.7</v>
          </cell>
          <cell r="K201" t="str">
            <v>-</v>
          </cell>
          <cell r="L201" t="str">
            <v>-</v>
          </cell>
          <cell r="M201">
            <v>21.852459815773599</v>
          </cell>
          <cell r="O201">
            <v>0.83</v>
          </cell>
          <cell r="T201" t="str">
            <v>-</v>
          </cell>
          <cell r="U201" t="str">
            <v>-</v>
          </cell>
        </row>
        <row r="202">
          <cell r="B202" t="str">
            <v>W14X159</v>
          </cell>
          <cell r="C202">
            <v>46.7</v>
          </cell>
          <cell r="D202">
            <v>15</v>
          </cell>
          <cell r="F202" t="str">
            <v>-</v>
          </cell>
          <cell r="H202" t="str">
            <v>-</v>
          </cell>
          <cell r="I202">
            <v>15.6</v>
          </cell>
          <cell r="K202" t="str">
            <v>-</v>
          </cell>
          <cell r="L202" t="str">
            <v>-</v>
          </cell>
          <cell r="M202">
            <v>21.641626556245722</v>
          </cell>
          <cell r="O202">
            <v>0.745</v>
          </cell>
          <cell r="T202" t="str">
            <v>-</v>
          </cell>
          <cell r="U202" t="str">
            <v>-</v>
          </cell>
        </row>
        <row r="203">
          <cell r="B203" t="str">
            <v>W14X145</v>
          </cell>
          <cell r="C203">
            <v>42.7</v>
          </cell>
          <cell r="D203">
            <v>14.8</v>
          </cell>
          <cell r="F203" t="str">
            <v>-</v>
          </cell>
          <cell r="H203" t="str">
            <v>-</v>
          </cell>
          <cell r="I203">
            <v>15.5</v>
          </cell>
          <cell r="K203" t="str">
            <v>-</v>
          </cell>
          <cell r="L203" t="str">
            <v>-</v>
          </cell>
          <cell r="M203">
            <v>21.43105223734943</v>
          </cell>
          <cell r="O203">
            <v>0.68</v>
          </cell>
          <cell r="T203" t="str">
            <v>-</v>
          </cell>
          <cell r="U203" t="str">
            <v>-</v>
          </cell>
        </row>
        <row r="204">
          <cell r="B204" t="str">
            <v>W14X132</v>
          </cell>
          <cell r="C204">
            <v>38.799999999999997</v>
          </cell>
          <cell r="D204">
            <v>14.7</v>
          </cell>
          <cell r="F204" t="str">
            <v>-</v>
          </cell>
          <cell r="H204" t="str">
            <v>-</v>
          </cell>
          <cell r="I204">
            <v>14.7</v>
          </cell>
          <cell r="K204" t="str">
            <v>-</v>
          </cell>
          <cell r="L204" t="str">
            <v>-</v>
          </cell>
          <cell r="M204">
            <v>20.788939366884495</v>
          </cell>
          <cell r="O204">
            <v>0.64500000000000002</v>
          </cell>
          <cell r="T204" t="str">
            <v>-</v>
          </cell>
          <cell r="U204" t="str">
            <v>-</v>
          </cell>
        </row>
        <row r="205">
          <cell r="B205" t="str">
            <v>W14X120</v>
          </cell>
          <cell r="C205">
            <v>35.299999999999997</v>
          </cell>
          <cell r="D205">
            <v>14.5</v>
          </cell>
          <cell r="F205" t="str">
            <v>-</v>
          </cell>
          <cell r="H205" t="str">
            <v>-</v>
          </cell>
          <cell r="I205">
            <v>14.7</v>
          </cell>
          <cell r="K205" t="str">
            <v>-</v>
          </cell>
          <cell r="L205" t="str">
            <v>-</v>
          </cell>
          <cell r="M205">
            <v>20.648002324680224</v>
          </cell>
          <cell r="O205">
            <v>0.59</v>
          </cell>
          <cell r="T205" t="str">
            <v>-</v>
          </cell>
          <cell r="U205" t="str">
            <v>-</v>
          </cell>
        </row>
        <row r="206">
          <cell r="B206" t="str">
            <v>W14X109</v>
          </cell>
          <cell r="C206">
            <v>32</v>
          </cell>
          <cell r="D206">
            <v>14.3</v>
          </cell>
          <cell r="F206" t="str">
            <v>-</v>
          </cell>
          <cell r="H206" t="str">
            <v>-</v>
          </cell>
          <cell r="I206">
            <v>14.6</v>
          </cell>
          <cell r="K206" t="str">
            <v>-</v>
          </cell>
          <cell r="L206" t="str">
            <v>-</v>
          </cell>
          <cell r="M206">
            <v>20.436486977951958</v>
          </cell>
          <cell r="O206">
            <v>0.52500000000000002</v>
          </cell>
          <cell r="T206" t="str">
            <v>-</v>
          </cell>
          <cell r="U206" t="str">
            <v>-</v>
          </cell>
        </row>
        <row r="207">
          <cell r="B207" t="str">
            <v>W14X99</v>
          </cell>
          <cell r="C207">
            <v>29.1</v>
          </cell>
          <cell r="D207">
            <v>14.2</v>
          </cell>
          <cell r="F207" t="str">
            <v>-</v>
          </cell>
          <cell r="H207" t="str">
            <v>-</v>
          </cell>
          <cell r="I207">
            <v>14.6</v>
          </cell>
          <cell r="K207" t="str">
            <v>-</v>
          </cell>
          <cell r="L207" t="str">
            <v>-</v>
          </cell>
          <cell r="M207">
            <v>20.366639388961545</v>
          </cell>
          <cell r="O207">
            <v>0.48499999999999999</v>
          </cell>
          <cell r="T207" t="str">
            <v>-</v>
          </cell>
          <cell r="U207" t="str">
            <v>-</v>
          </cell>
        </row>
        <row r="208">
          <cell r="B208" t="str">
            <v>W14X90</v>
          </cell>
          <cell r="C208">
            <v>26.5</v>
          </cell>
          <cell r="D208">
            <v>14</v>
          </cell>
          <cell r="F208" t="str">
            <v>-</v>
          </cell>
          <cell r="H208" t="str">
            <v>-</v>
          </cell>
          <cell r="I208">
            <v>14.5</v>
          </cell>
          <cell r="K208" t="str">
            <v>-</v>
          </cell>
          <cell r="L208" t="str">
            <v>-</v>
          </cell>
          <cell r="M208">
            <v>20.155644370746373</v>
          </cell>
          <cell r="O208">
            <v>0.44</v>
          </cell>
          <cell r="T208" t="str">
            <v>-</v>
          </cell>
          <cell r="U208" t="str">
            <v>-</v>
          </cell>
        </row>
        <row r="209">
          <cell r="B209" t="str">
            <v>W14X82</v>
          </cell>
          <cell r="C209">
            <v>24</v>
          </cell>
          <cell r="D209">
            <v>14.3</v>
          </cell>
          <cell r="F209" t="str">
            <v>-</v>
          </cell>
          <cell r="H209" t="str">
            <v>-</v>
          </cell>
          <cell r="I209">
            <v>10.1</v>
          </cell>
          <cell r="K209" t="str">
            <v>-</v>
          </cell>
          <cell r="L209" t="str">
            <v>-</v>
          </cell>
          <cell r="M209">
            <v>17.507141400011598</v>
          </cell>
          <cell r="O209">
            <v>0.51</v>
          </cell>
          <cell r="T209" t="str">
            <v>-</v>
          </cell>
          <cell r="U209" t="str">
            <v>-</v>
          </cell>
        </row>
        <row r="210">
          <cell r="B210" t="str">
            <v>W14X74</v>
          </cell>
          <cell r="C210">
            <v>21.8</v>
          </cell>
          <cell r="D210">
            <v>14.2</v>
          </cell>
          <cell r="F210" t="str">
            <v>-</v>
          </cell>
          <cell r="H210" t="str">
            <v>-</v>
          </cell>
          <cell r="I210">
            <v>10.1</v>
          </cell>
          <cell r="K210" t="str">
            <v>-</v>
          </cell>
          <cell r="L210" t="str">
            <v>-</v>
          </cell>
          <cell r="M210">
            <v>17.425555945220225</v>
          </cell>
          <cell r="O210">
            <v>0.45</v>
          </cell>
          <cell r="T210" t="str">
            <v>-</v>
          </cell>
          <cell r="U210" t="str">
            <v>-</v>
          </cell>
        </row>
        <row r="211">
          <cell r="B211" t="str">
            <v>W14X68</v>
          </cell>
          <cell r="C211">
            <v>20</v>
          </cell>
          <cell r="D211">
            <v>14</v>
          </cell>
          <cell r="F211" t="str">
            <v>-</v>
          </cell>
          <cell r="H211" t="str">
            <v>-</v>
          </cell>
          <cell r="I211">
            <v>10</v>
          </cell>
          <cell r="K211" t="str">
            <v>-</v>
          </cell>
          <cell r="L211" t="str">
            <v>-</v>
          </cell>
          <cell r="M211">
            <v>17.204650534085253</v>
          </cell>
          <cell r="O211">
            <v>0.41499999999999998</v>
          </cell>
          <cell r="T211" t="str">
            <v>-</v>
          </cell>
          <cell r="U211" t="str">
            <v>-</v>
          </cell>
        </row>
        <row r="212">
          <cell r="B212" t="str">
            <v>W14X61</v>
          </cell>
          <cell r="C212">
            <v>17.899999999999999</v>
          </cell>
          <cell r="D212">
            <v>13.9</v>
          </cell>
          <cell r="F212" t="str">
            <v>-</v>
          </cell>
          <cell r="H212" t="str">
            <v>-</v>
          </cell>
          <cell r="I212">
            <v>10</v>
          </cell>
          <cell r="K212" t="str">
            <v>-</v>
          </cell>
          <cell r="L212" t="str">
            <v>-</v>
          </cell>
          <cell r="M212">
            <v>17.123375835389471</v>
          </cell>
          <cell r="O212">
            <v>0.375</v>
          </cell>
          <cell r="T212" t="str">
            <v>-</v>
          </cell>
          <cell r="U212" t="str">
            <v>-</v>
          </cell>
        </row>
        <row r="213">
          <cell r="B213" t="str">
            <v>W14X53</v>
          </cell>
          <cell r="C213">
            <v>15.6</v>
          </cell>
          <cell r="D213">
            <v>13.9</v>
          </cell>
          <cell r="F213" t="str">
            <v>-</v>
          </cell>
          <cell r="H213" t="str">
            <v>-</v>
          </cell>
          <cell r="I213">
            <v>8.06</v>
          </cell>
          <cell r="K213" t="str">
            <v>-</v>
          </cell>
          <cell r="L213" t="str">
            <v>-</v>
          </cell>
          <cell r="M213">
            <v>16.067781427440444</v>
          </cell>
          <cell r="O213">
            <v>0.37</v>
          </cell>
          <cell r="T213" t="str">
            <v>-</v>
          </cell>
          <cell r="U213" t="str">
            <v>-</v>
          </cell>
        </row>
        <row r="214">
          <cell r="B214" t="str">
            <v>W14X48</v>
          </cell>
          <cell r="C214">
            <v>14.1</v>
          </cell>
          <cell r="D214">
            <v>13.8</v>
          </cell>
          <cell r="F214" t="str">
            <v>-</v>
          </cell>
          <cell r="H214" t="str">
            <v>-</v>
          </cell>
          <cell r="I214">
            <v>8.0299999999999994</v>
          </cell>
          <cell r="K214" t="str">
            <v>-</v>
          </cell>
          <cell r="L214" t="str">
            <v>-</v>
          </cell>
          <cell r="M214">
            <v>15.966242513503294</v>
          </cell>
          <cell r="O214">
            <v>0.34</v>
          </cell>
          <cell r="T214" t="str">
            <v>-</v>
          </cell>
          <cell r="U214" t="str">
            <v>-</v>
          </cell>
        </row>
        <row r="215">
          <cell r="B215" t="str">
            <v>W14X43</v>
          </cell>
          <cell r="C215">
            <v>12.6</v>
          </cell>
          <cell r="D215">
            <v>13.7</v>
          </cell>
          <cell r="F215" t="str">
            <v>-</v>
          </cell>
          <cell r="H215" t="str">
            <v>-</v>
          </cell>
          <cell r="I215">
            <v>8</v>
          </cell>
          <cell r="K215" t="str">
            <v>-</v>
          </cell>
          <cell r="L215" t="str">
            <v>-</v>
          </cell>
          <cell r="M215">
            <v>15.864740779476984</v>
          </cell>
          <cell r="O215">
            <v>0.30499999999999999</v>
          </cell>
          <cell r="T215" t="str">
            <v>-</v>
          </cell>
          <cell r="U215" t="str">
            <v>-</v>
          </cell>
        </row>
        <row r="216">
          <cell r="B216" t="str">
            <v>W14X38</v>
          </cell>
          <cell r="C216">
            <v>11.2</v>
          </cell>
          <cell r="D216">
            <v>14.1</v>
          </cell>
          <cell r="F216" t="str">
            <v>-</v>
          </cell>
          <cell r="H216" t="str">
            <v>-</v>
          </cell>
          <cell r="I216">
            <v>6.77</v>
          </cell>
          <cell r="K216" t="str">
            <v>-</v>
          </cell>
          <cell r="L216" t="str">
            <v>-</v>
          </cell>
          <cell r="M216">
            <v>15.64106454177592</v>
          </cell>
          <cell r="O216">
            <v>0.31</v>
          </cell>
          <cell r="T216" t="str">
            <v>-</v>
          </cell>
          <cell r="U216" t="str">
            <v>-</v>
          </cell>
        </row>
        <row r="217">
          <cell r="B217" t="str">
            <v>W14X34</v>
          </cell>
          <cell r="C217">
            <v>10</v>
          </cell>
          <cell r="D217">
            <v>14</v>
          </cell>
          <cell r="F217" t="str">
            <v>-</v>
          </cell>
          <cell r="H217" t="str">
            <v>-</v>
          </cell>
          <cell r="I217">
            <v>6.75</v>
          </cell>
          <cell r="K217" t="str">
            <v>-</v>
          </cell>
          <cell r="L217" t="str">
            <v>-</v>
          </cell>
          <cell r="M217">
            <v>15.542281042369552</v>
          </cell>
          <cell r="O217">
            <v>0.28499999999999998</v>
          </cell>
          <cell r="T217" t="str">
            <v>-</v>
          </cell>
          <cell r="U217" t="str">
            <v>-</v>
          </cell>
        </row>
        <row r="218">
          <cell r="B218" t="str">
            <v>W14X30</v>
          </cell>
          <cell r="C218">
            <v>8.85</v>
          </cell>
          <cell r="D218">
            <v>13.8</v>
          </cell>
          <cell r="F218" t="str">
            <v>-</v>
          </cell>
          <cell r="H218" t="str">
            <v>-</v>
          </cell>
          <cell r="I218">
            <v>6.73</v>
          </cell>
          <cell r="K218" t="str">
            <v>-</v>
          </cell>
          <cell r="L218" t="str">
            <v>-</v>
          </cell>
          <cell r="M218">
            <v>15.353595670070254</v>
          </cell>
          <cell r="O218">
            <v>0.27</v>
          </cell>
          <cell r="T218" t="str">
            <v>-</v>
          </cell>
          <cell r="U218" t="str">
            <v>-</v>
          </cell>
        </row>
        <row r="219">
          <cell r="B219" t="str">
            <v>W14X26</v>
          </cell>
          <cell r="C219">
            <v>7.69</v>
          </cell>
          <cell r="D219">
            <v>13.9</v>
          </cell>
          <cell r="F219" t="str">
            <v>-</v>
          </cell>
          <cell r="H219" t="str">
            <v>-</v>
          </cell>
          <cell r="I219">
            <v>5.03</v>
          </cell>
          <cell r="K219" t="str">
            <v>-</v>
          </cell>
          <cell r="L219" t="str">
            <v>-</v>
          </cell>
          <cell r="M219">
            <v>14.782114192496282</v>
          </cell>
          <cell r="O219">
            <v>0.255</v>
          </cell>
          <cell r="T219" t="str">
            <v>-</v>
          </cell>
          <cell r="U219" t="str">
            <v>-</v>
          </cell>
        </row>
        <row r="220">
          <cell r="B220" t="str">
            <v>W14X22</v>
          </cell>
          <cell r="C220">
            <v>6.49</v>
          </cell>
          <cell r="D220">
            <v>13.7</v>
          </cell>
          <cell r="F220" t="str">
            <v>-</v>
          </cell>
          <cell r="H220" t="str">
            <v>-</v>
          </cell>
          <cell r="I220">
            <v>5</v>
          </cell>
          <cell r="K220" t="str">
            <v>-</v>
          </cell>
          <cell r="L220" t="str">
            <v>-</v>
          </cell>
          <cell r="M220">
            <v>14.583895227270387</v>
          </cell>
          <cell r="O220">
            <v>0.23</v>
          </cell>
          <cell r="T220" t="str">
            <v>-</v>
          </cell>
          <cell r="U220" t="str">
            <v>-</v>
          </cell>
        </row>
        <row r="221">
          <cell r="B221" t="str">
            <v>W12X336</v>
          </cell>
          <cell r="C221">
            <v>98.9</v>
          </cell>
          <cell r="D221">
            <v>16.8</v>
          </cell>
          <cell r="F221" t="str">
            <v>-</v>
          </cell>
          <cell r="H221" t="str">
            <v>-</v>
          </cell>
          <cell r="I221">
            <v>13.4</v>
          </cell>
          <cell r="K221" t="str">
            <v>-</v>
          </cell>
          <cell r="L221" t="str">
            <v>-</v>
          </cell>
          <cell r="M221">
            <v>21.4895323355349</v>
          </cell>
          <cell r="O221">
            <v>1.78</v>
          </cell>
          <cell r="T221" t="str">
            <v>-</v>
          </cell>
          <cell r="U221" t="str">
            <v>-</v>
          </cell>
        </row>
        <row r="222">
          <cell r="B222" t="str">
            <v>W12X305</v>
          </cell>
          <cell r="C222">
            <v>89.5</v>
          </cell>
          <cell r="D222">
            <v>16.3</v>
          </cell>
          <cell r="F222" t="str">
            <v>-</v>
          </cell>
          <cell r="H222" t="str">
            <v>-</v>
          </cell>
          <cell r="I222">
            <v>13.2</v>
          </cell>
          <cell r="K222" t="str">
            <v>-</v>
          </cell>
          <cell r="L222" t="str">
            <v>-</v>
          </cell>
          <cell r="M222">
            <v>20.974508337503408</v>
          </cell>
          <cell r="O222">
            <v>1.63</v>
          </cell>
          <cell r="T222" t="str">
            <v>-</v>
          </cell>
          <cell r="U222" t="str">
            <v>-</v>
          </cell>
        </row>
        <row r="223">
          <cell r="B223" t="str">
            <v>W12X279</v>
          </cell>
          <cell r="C223">
            <v>81.900000000000006</v>
          </cell>
          <cell r="D223">
            <v>15.9</v>
          </cell>
          <cell r="F223" t="str">
            <v>-</v>
          </cell>
          <cell r="H223" t="str">
            <v>-</v>
          </cell>
          <cell r="I223">
            <v>13.1</v>
          </cell>
          <cell r="K223" t="str">
            <v>-</v>
          </cell>
          <cell r="L223" t="str">
            <v>-</v>
          </cell>
          <cell r="M223">
            <v>20.601456259206532</v>
          </cell>
          <cell r="O223">
            <v>1.53</v>
          </cell>
          <cell r="T223" t="str">
            <v>-</v>
          </cell>
          <cell r="U223" t="str">
            <v>-</v>
          </cell>
        </row>
        <row r="224">
          <cell r="B224" t="str">
            <v>W12X252</v>
          </cell>
          <cell r="C224">
            <v>74.099999999999994</v>
          </cell>
          <cell r="D224">
            <v>15.4</v>
          </cell>
          <cell r="F224" t="str">
            <v>-</v>
          </cell>
          <cell r="H224" t="str">
            <v>-</v>
          </cell>
          <cell r="I224">
            <v>13</v>
          </cell>
          <cell r="K224" t="str">
            <v>-</v>
          </cell>
          <cell r="L224" t="str">
            <v>-</v>
          </cell>
          <cell r="M224">
            <v>20.153411621856982</v>
          </cell>
          <cell r="O224">
            <v>1.4</v>
          </cell>
          <cell r="T224" t="str">
            <v>-</v>
          </cell>
          <cell r="U224" t="str">
            <v>-</v>
          </cell>
        </row>
        <row r="225">
          <cell r="B225" t="str">
            <v>W12X230</v>
          </cell>
          <cell r="C225">
            <v>67.7</v>
          </cell>
          <cell r="D225">
            <v>15.1</v>
          </cell>
          <cell r="F225" t="str">
            <v>-</v>
          </cell>
          <cell r="H225" t="str">
            <v>-</v>
          </cell>
          <cell r="I225">
            <v>12.9</v>
          </cell>
          <cell r="K225" t="str">
            <v>-</v>
          </cell>
          <cell r="L225" t="str">
            <v>-</v>
          </cell>
          <cell r="M225">
            <v>19.860010070490901</v>
          </cell>
          <cell r="O225">
            <v>1.29</v>
          </cell>
          <cell r="T225" t="str">
            <v>-</v>
          </cell>
          <cell r="U225" t="str">
            <v>-</v>
          </cell>
        </row>
        <row r="226">
          <cell r="B226" t="str">
            <v>W12X210</v>
          </cell>
          <cell r="C226">
            <v>61.8</v>
          </cell>
          <cell r="D226">
            <v>14.7</v>
          </cell>
          <cell r="F226" t="str">
            <v>-</v>
          </cell>
          <cell r="H226" t="str">
            <v>-</v>
          </cell>
          <cell r="I226">
            <v>12.8</v>
          </cell>
          <cell r="K226" t="str">
            <v>-</v>
          </cell>
          <cell r="L226" t="str">
            <v>-</v>
          </cell>
          <cell r="M226">
            <v>19.491793144808408</v>
          </cell>
          <cell r="O226">
            <v>1.18</v>
          </cell>
          <cell r="T226" t="str">
            <v>-</v>
          </cell>
          <cell r="U226" t="str">
            <v>-</v>
          </cell>
        </row>
        <row r="227">
          <cell r="B227" t="str">
            <v>W12X190</v>
          </cell>
          <cell r="C227">
            <v>56</v>
          </cell>
          <cell r="D227">
            <v>14.4</v>
          </cell>
          <cell r="F227" t="str">
            <v>-</v>
          </cell>
          <cell r="H227" t="str">
            <v>-</v>
          </cell>
          <cell r="I227">
            <v>12.7</v>
          </cell>
          <cell r="K227" t="str">
            <v>-</v>
          </cell>
          <cell r="L227" t="str">
            <v>-</v>
          </cell>
          <cell r="M227">
            <v>19.200260414900626</v>
          </cell>
          <cell r="O227">
            <v>1.06</v>
          </cell>
          <cell r="T227" t="str">
            <v>-</v>
          </cell>
          <cell r="U227" t="str">
            <v>-</v>
          </cell>
        </row>
        <row r="228">
          <cell r="B228" t="str">
            <v>W12X170</v>
          </cell>
          <cell r="C228">
            <v>50</v>
          </cell>
          <cell r="D228">
            <v>14</v>
          </cell>
          <cell r="F228" t="str">
            <v>-</v>
          </cell>
          <cell r="H228" t="str">
            <v>-</v>
          </cell>
          <cell r="I228">
            <v>12.6</v>
          </cell>
          <cell r="K228" t="str">
            <v>-</v>
          </cell>
          <cell r="L228" t="str">
            <v>-</v>
          </cell>
          <cell r="M228">
            <v>18.835073665903195</v>
          </cell>
          <cell r="O228">
            <v>0.96</v>
          </cell>
          <cell r="T228" t="str">
            <v>-</v>
          </cell>
          <cell r="U228" t="str">
            <v>-</v>
          </cell>
        </row>
        <row r="229">
          <cell r="B229" t="str">
            <v>W12X152</v>
          </cell>
          <cell r="C229">
            <v>44.7</v>
          </cell>
          <cell r="D229">
            <v>13.7</v>
          </cell>
          <cell r="F229" t="str">
            <v>-</v>
          </cell>
          <cell r="H229" t="str">
            <v>-</v>
          </cell>
          <cell r="I229">
            <v>12.5</v>
          </cell>
          <cell r="K229" t="str">
            <v>-</v>
          </cell>
          <cell r="L229" t="str">
            <v>-</v>
          </cell>
          <cell r="M229">
            <v>18.545619428857044</v>
          </cell>
          <cell r="O229">
            <v>0.87</v>
          </cell>
          <cell r="T229" t="str">
            <v>-</v>
          </cell>
          <cell r="U229" t="str">
            <v>-</v>
          </cell>
        </row>
        <row r="230">
          <cell r="B230" t="str">
            <v>W12X136</v>
          </cell>
          <cell r="C230">
            <v>39.9</v>
          </cell>
          <cell r="D230">
            <v>13.4</v>
          </cell>
          <cell r="F230" t="str">
            <v>-</v>
          </cell>
          <cell r="H230" t="str">
            <v>-</v>
          </cell>
          <cell r="I230">
            <v>12.4</v>
          </cell>
          <cell r="K230" t="str">
            <v>-</v>
          </cell>
          <cell r="L230" t="str">
            <v>-</v>
          </cell>
          <cell r="M230">
            <v>18.257053431482312</v>
          </cell>
          <cell r="O230">
            <v>0.79</v>
          </cell>
          <cell r="T230" t="str">
            <v>-</v>
          </cell>
          <cell r="U230" t="str">
            <v>-</v>
          </cell>
        </row>
        <row r="231">
          <cell r="B231" t="str">
            <v>W12X120</v>
          </cell>
          <cell r="C231">
            <v>35.200000000000003</v>
          </cell>
          <cell r="D231">
            <v>13.1</v>
          </cell>
          <cell r="F231" t="str">
            <v>-</v>
          </cell>
          <cell r="H231" t="str">
            <v>-</v>
          </cell>
          <cell r="I231">
            <v>12.3</v>
          </cell>
          <cell r="K231" t="str">
            <v>-</v>
          </cell>
          <cell r="L231" t="str">
            <v>-</v>
          </cell>
          <cell r="M231">
            <v>17.969418465826877</v>
          </cell>
          <cell r="O231">
            <v>0.71</v>
          </cell>
          <cell r="T231" t="str">
            <v>-</v>
          </cell>
          <cell r="U231" t="str">
            <v>-</v>
          </cell>
        </row>
        <row r="232">
          <cell r="B232" t="str">
            <v>W12X106</v>
          </cell>
          <cell r="C232">
            <v>31.2</v>
          </cell>
          <cell r="D232">
            <v>12.9</v>
          </cell>
          <cell r="F232" t="str">
            <v>-</v>
          </cell>
          <cell r="H232" t="str">
            <v>-</v>
          </cell>
          <cell r="I232">
            <v>12.2</v>
          </cell>
          <cell r="K232" t="str">
            <v>-</v>
          </cell>
          <cell r="L232" t="str">
            <v>-</v>
          </cell>
          <cell r="M232">
            <v>17.755280904564703</v>
          </cell>
          <cell r="O232">
            <v>0.61</v>
          </cell>
          <cell r="T232" t="str">
            <v>-</v>
          </cell>
          <cell r="U232" t="str">
            <v>-</v>
          </cell>
        </row>
        <row r="233">
          <cell r="B233" t="str">
            <v>W12X96</v>
          </cell>
          <cell r="C233">
            <v>28.2</v>
          </cell>
          <cell r="D233">
            <v>12.7</v>
          </cell>
          <cell r="F233" t="str">
            <v>-</v>
          </cell>
          <cell r="H233" t="str">
            <v>-</v>
          </cell>
          <cell r="I233">
            <v>12.2</v>
          </cell>
          <cell r="K233" t="str">
            <v>-</v>
          </cell>
          <cell r="L233" t="str">
            <v>-</v>
          </cell>
          <cell r="M233">
            <v>17.610508226624241</v>
          </cell>
          <cell r="O233">
            <v>0.55000000000000004</v>
          </cell>
          <cell r="T233" t="str">
            <v>-</v>
          </cell>
          <cell r="U233" t="str">
            <v>-</v>
          </cell>
        </row>
        <row r="234">
          <cell r="B234" t="str">
            <v>W12X87</v>
          </cell>
          <cell r="C234">
            <v>25.6</v>
          </cell>
          <cell r="D234">
            <v>12.5</v>
          </cell>
          <cell r="F234" t="str">
            <v>-</v>
          </cell>
          <cell r="H234" t="str">
            <v>-</v>
          </cell>
          <cell r="I234">
            <v>12.1</v>
          </cell>
          <cell r="K234" t="str">
            <v>-</v>
          </cell>
          <cell r="L234" t="str">
            <v>-</v>
          </cell>
          <cell r="M234">
            <v>17.397126199461795</v>
          </cell>
          <cell r="O234">
            <v>0.51500000000000001</v>
          </cell>
          <cell r="T234" t="str">
            <v>-</v>
          </cell>
          <cell r="U234" t="str">
            <v>-</v>
          </cell>
        </row>
        <row r="235">
          <cell r="B235" t="str">
            <v>W12X79</v>
          </cell>
          <cell r="C235">
            <v>23.2</v>
          </cell>
          <cell r="D235">
            <v>12.4</v>
          </cell>
          <cell r="F235" t="str">
            <v>-</v>
          </cell>
          <cell r="H235" t="str">
            <v>-</v>
          </cell>
          <cell r="I235">
            <v>12.1</v>
          </cell>
          <cell r="K235" t="str">
            <v>-</v>
          </cell>
          <cell r="L235" t="str">
            <v>-</v>
          </cell>
          <cell r="M235">
            <v>17.325414857947848</v>
          </cell>
          <cell r="O235">
            <v>0.47</v>
          </cell>
          <cell r="T235" t="str">
            <v>-</v>
          </cell>
          <cell r="U235" t="str">
            <v>-</v>
          </cell>
        </row>
        <row r="236">
          <cell r="B236" t="str">
            <v>W12X72</v>
          </cell>
          <cell r="C236">
            <v>21.1</v>
          </cell>
          <cell r="D236">
            <v>12.3</v>
          </cell>
          <cell r="F236" t="str">
            <v>-</v>
          </cell>
          <cell r="H236" t="str">
            <v>-</v>
          </cell>
          <cell r="I236">
            <v>12</v>
          </cell>
          <cell r="K236" t="str">
            <v>-</v>
          </cell>
          <cell r="L236" t="str">
            <v>-</v>
          </cell>
          <cell r="M236">
            <v>17.184004189943625</v>
          </cell>
          <cell r="O236">
            <v>0.43</v>
          </cell>
          <cell r="T236" t="str">
            <v>-</v>
          </cell>
          <cell r="U236" t="str">
            <v>-</v>
          </cell>
        </row>
        <row r="237">
          <cell r="B237" t="str">
            <v>W12X65</v>
          </cell>
          <cell r="C237">
            <v>19.100000000000001</v>
          </cell>
          <cell r="D237">
            <v>12.1</v>
          </cell>
          <cell r="F237" t="str">
            <v>-</v>
          </cell>
          <cell r="H237" t="str">
            <v>-</v>
          </cell>
          <cell r="I237">
            <v>12</v>
          </cell>
          <cell r="K237" t="str">
            <v>-</v>
          </cell>
          <cell r="L237" t="str">
            <v>-</v>
          </cell>
          <cell r="M237">
            <v>17.041420128616043</v>
          </cell>
          <cell r="O237">
            <v>0.39</v>
          </cell>
          <cell r="T237" t="str">
            <v>-</v>
          </cell>
          <cell r="U237" t="str">
            <v>-</v>
          </cell>
        </row>
        <row r="238">
          <cell r="B238" t="str">
            <v>W12X58</v>
          </cell>
          <cell r="C238">
            <v>17</v>
          </cell>
          <cell r="D238">
            <v>12.2</v>
          </cell>
          <cell r="F238" t="str">
            <v>-</v>
          </cell>
          <cell r="H238" t="str">
            <v>-</v>
          </cell>
          <cell r="I238">
            <v>10</v>
          </cell>
          <cell r="K238" t="str">
            <v>-</v>
          </cell>
          <cell r="L238" t="str">
            <v>-</v>
          </cell>
          <cell r="M238">
            <v>15.774663229368796</v>
          </cell>
          <cell r="O238">
            <v>0.36</v>
          </cell>
          <cell r="T238" t="str">
            <v>-</v>
          </cell>
          <cell r="U238" t="str">
            <v>-</v>
          </cell>
        </row>
        <row r="239">
          <cell r="B239" t="str">
            <v>W12X53</v>
          </cell>
          <cell r="C239">
            <v>15.6</v>
          </cell>
          <cell r="D239">
            <v>12.1</v>
          </cell>
          <cell r="F239" t="str">
            <v>-</v>
          </cell>
          <cell r="H239" t="str">
            <v>-</v>
          </cell>
          <cell r="I239">
            <v>10</v>
          </cell>
          <cell r="K239" t="str">
            <v>-</v>
          </cell>
          <cell r="L239" t="str">
            <v>-</v>
          </cell>
          <cell r="M239">
            <v>15.697452022541748</v>
          </cell>
          <cell r="O239">
            <v>0.34499999999999997</v>
          </cell>
          <cell r="T239" t="str">
            <v>-</v>
          </cell>
          <cell r="U239" t="str">
            <v>-</v>
          </cell>
        </row>
        <row r="240">
          <cell r="B240" t="str">
            <v>W12X50</v>
          </cell>
          <cell r="C240">
            <v>14.6</v>
          </cell>
          <cell r="D240">
            <v>12.2</v>
          </cell>
          <cell r="F240" t="str">
            <v>-</v>
          </cell>
          <cell r="H240" t="str">
            <v>-</v>
          </cell>
          <cell r="I240">
            <v>8.08</v>
          </cell>
          <cell r="K240" t="str">
            <v>-</v>
          </cell>
          <cell r="L240" t="str">
            <v>-</v>
          </cell>
          <cell r="M240">
            <v>14.633058463629535</v>
          </cell>
          <cell r="O240">
            <v>0.37</v>
          </cell>
          <cell r="T240" t="str">
            <v>-</v>
          </cell>
          <cell r="U240" t="str">
            <v>-</v>
          </cell>
        </row>
        <row r="241">
          <cell r="B241" t="str">
            <v>W12X45</v>
          </cell>
          <cell r="C241">
            <v>13.1</v>
          </cell>
          <cell r="D241">
            <v>12.1</v>
          </cell>
          <cell r="F241" t="str">
            <v>-</v>
          </cell>
          <cell r="H241" t="str">
            <v>-</v>
          </cell>
          <cell r="I241">
            <v>8.0500000000000007</v>
          </cell>
          <cell r="K241" t="str">
            <v>-</v>
          </cell>
          <cell r="L241" t="str">
            <v>-</v>
          </cell>
          <cell r="M241">
            <v>14.533151757275501</v>
          </cell>
          <cell r="O241">
            <v>0.33500000000000002</v>
          </cell>
          <cell r="T241" t="str">
            <v>-</v>
          </cell>
          <cell r="U241" t="str">
            <v>-</v>
          </cell>
        </row>
        <row r="242">
          <cell r="B242" t="str">
            <v>W12X40</v>
          </cell>
          <cell r="C242">
            <v>11.7</v>
          </cell>
          <cell r="D242">
            <v>11.9</v>
          </cell>
          <cell r="F242" t="str">
            <v>-</v>
          </cell>
          <cell r="H242" t="str">
            <v>-</v>
          </cell>
          <cell r="I242">
            <v>8.01</v>
          </cell>
          <cell r="K242" t="str">
            <v>-</v>
          </cell>
          <cell r="L242" t="str">
            <v>-</v>
          </cell>
          <cell r="M242">
            <v>14.344688912625468</v>
          </cell>
          <cell r="O242">
            <v>0.29499999999999998</v>
          </cell>
          <cell r="T242" t="str">
            <v>-</v>
          </cell>
          <cell r="U242" t="str">
            <v>-</v>
          </cell>
        </row>
        <row r="243">
          <cell r="B243" t="str">
            <v>W12X35</v>
          </cell>
          <cell r="C243">
            <v>10.3</v>
          </cell>
          <cell r="D243">
            <v>12.5</v>
          </cell>
          <cell r="F243" t="str">
            <v>-</v>
          </cell>
          <cell r="H243" t="str">
            <v>-</v>
          </cell>
          <cell r="I243">
            <v>6.56</v>
          </cell>
          <cell r="K243" t="str">
            <v>-</v>
          </cell>
          <cell r="L243" t="str">
            <v>-</v>
          </cell>
          <cell r="M243">
            <v>14.116784336384827</v>
          </cell>
          <cell r="O243">
            <v>0.3</v>
          </cell>
          <cell r="T243" t="str">
            <v>-</v>
          </cell>
          <cell r="U243" t="str">
            <v>-</v>
          </cell>
        </row>
        <row r="244">
          <cell r="B244" t="str">
            <v>W12X30</v>
          </cell>
          <cell r="C244">
            <v>8.7899999999999991</v>
          </cell>
          <cell r="D244">
            <v>12.3</v>
          </cell>
          <cell r="F244" t="str">
            <v>-</v>
          </cell>
          <cell r="H244" t="str">
            <v>-</v>
          </cell>
          <cell r="I244">
            <v>6.52</v>
          </cell>
          <cell r="K244" t="str">
            <v>-</v>
          </cell>
          <cell r="L244" t="str">
            <v>-</v>
          </cell>
          <cell r="M244">
            <v>13.921221210799002</v>
          </cell>
          <cell r="O244">
            <v>0.26</v>
          </cell>
          <cell r="T244" t="str">
            <v>-</v>
          </cell>
          <cell r="U244" t="str">
            <v>-</v>
          </cell>
        </row>
        <row r="245">
          <cell r="B245" t="str">
            <v>W12X26</v>
          </cell>
          <cell r="C245">
            <v>7.65</v>
          </cell>
          <cell r="D245">
            <v>12.2</v>
          </cell>
          <cell r="F245" t="str">
            <v>-</v>
          </cell>
          <cell r="H245" t="str">
            <v>-</v>
          </cell>
          <cell r="I245">
            <v>6.49</v>
          </cell>
          <cell r="K245" t="str">
            <v>-</v>
          </cell>
          <cell r="L245" t="str">
            <v>-</v>
          </cell>
          <cell r="M245">
            <v>13.818831354351206</v>
          </cell>
          <cell r="O245">
            <v>0.23</v>
          </cell>
          <cell r="T245" t="str">
            <v>-</v>
          </cell>
          <cell r="U245" t="str">
            <v>-</v>
          </cell>
        </row>
        <row r="246">
          <cell r="B246" t="str">
            <v>W12X22</v>
          </cell>
          <cell r="C246">
            <v>6.48</v>
          </cell>
          <cell r="D246">
            <v>12.3</v>
          </cell>
          <cell r="F246" t="str">
            <v>-</v>
          </cell>
          <cell r="H246" t="str">
            <v>-</v>
          </cell>
          <cell r="I246">
            <v>4.03</v>
          </cell>
          <cell r="K246" t="str">
            <v>-</v>
          </cell>
          <cell r="L246" t="str">
            <v>-</v>
          </cell>
          <cell r="M246">
            <v>12.943372821641198</v>
          </cell>
          <cell r="O246">
            <v>0.26</v>
          </cell>
          <cell r="T246" t="str">
            <v>-</v>
          </cell>
          <cell r="U246" t="str">
            <v>-</v>
          </cell>
        </row>
        <row r="247">
          <cell r="B247" t="str">
            <v>W12X19</v>
          </cell>
          <cell r="C247">
            <v>5.57</v>
          </cell>
          <cell r="D247">
            <v>12.2</v>
          </cell>
          <cell r="F247" t="str">
            <v>-</v>
          </cell>
          <cell r="H247" t="str">
            <v>-</v>
          </cell>
          <cell r="I247">
            <v>4.01</v>
          </cell>
          <cell r="K247" t="str">
            <v>-</v>
          </cell>
          <cell r="L247" t="str">
            <v>-</v>
          </cell>
          <cell r="M247">
            <v>12.842122098781026</v>
          </cell>
          <cell r="O247">
            <v>0.23499999999999999</v>
          </cell>
          <cell r="T247" t="str">
            <v>-</v>
          </cell>
          <cell r="U247" t="str">
            <v>-</v>
          </cell>
        </row>
        <row r="248">
          <cell r="B248" t="str">
            <v>W12X16</v>
          </cell>
          <cell r="C248">
            <v>4.71</v>
          </cell>
          <cell r="D248">
            <v>12</v>
          </cell>
          <cell r="F248" t="str">
            <v>-</v>
          </cell>
          <cell r="H248" t="str">
            <v>-</v>
          </cell>
          <cell r="I248">
            <v>3.99</v>
          </cell>
          <cell r="K248" t="str">
            <v>-</v>
          </cell>
          <cell r="L248" t="str">
            <v>-</v>
          </cell>
          <cell r="M248">
            <v>12.645951921464828</v>
          </cell>
          <cell r="O248">
            <v>0.22</v>
          </cell>
          <cell r="T248" t="str">
            <v>-</v>
          </cell>
          <cell r="U248" t="str">
            <v>-</v>
          </cell>
        </row>
        <row r="249">
          <cell r="B249" t="str">
            <v>W12X14</v>
          </cell>
          <cell r="C249">
            <v>4.16</v>
          </cell>
          <cell r="D249">
            <v>11.9</v>
          </cell>
          <cell r="F249" t="str">
            <v>-</v>
          </cell>
          <cell r="H249" t="str">
            <v>-</v>
          </cell>
          <cell r="I249">
            <v>3.97</v>
          </cell>
          <cell r="K249" t="str">
            <v>-</v>
          </cell>
          <cell r="L249" t="str">
            <v>-</v>
          </cell>
          <cell r="M249">
            <v>12.544755876460888</v>
          </cell>
          <cell r="O249">
            <v>0.2</v>
          </cell>
          <cell r="T249" t="str">
            <v>-</v>
          </cell>
          <cell r="U249" t="str">
            <v>-</v>
          </cell>
        </row>
        <row r="250">
          <cell r="B250" t="str">
            <v>W10X112</v>
          </cell>
          <cell r="C250">
            <v>32.9</v>
          </cell>
          <cell r="D250">
            <v>11.4</v>
          </cell>
          <cell r="F250" t="str">
            <v>-</v>
          </cell>
          <cell r="H250" t="str">
            <v>-</v>
          </cell>
          <cell r="I250">
            <v>10.4</v>
          </cell>
          <cell r="K250" t="str">
            <v>-</v>
          </cell>
          <cell r="L250" t="str">
            <v>-</v>
          </cell>
          <cell r="M250">
            <v>15.431137352768266</v>
          </cell>
          <cell r="O250">
            <v>0.755</v>
          </cell>
          <cell r="T250" t="str">
            <v>-</v>
          </cell>
          <cell r="U250" t="str">
            <v>-</v>
          </cell>
        </row>
        <row r="251">
          <cell r="B251" t="str">
            <v>W10X100</v>
          </cell>
          <cell r="C251">
            <v>29.3</v>
          </cell>
          <cell r="D251">
            <v>11.1</v>
          </cell>
          <cell r="F251" t="str">
            <v>-</v>
          </cell>
          <cell r="H251" t="str">
            <v>-</v>
          </cell>
          <cell r="I251">
            <v>10.3</v>
          </cell>
          <cell r="K251" t="str">
            <v>-</v>
          </cell>
          <cell r="L251" t="str">
            <v>-</v>
          </cell>
          <cell r="M251">
            <v>15.142654985173506</v>
          </cell>
          <cell r="O251">
            <v>0.68</v>
          </cell>
          <cell r="T251" t="str">
            <v>-</v>
          </cell>
          <cell r="U251" t="str">
            <v>-</v>
          </cell>
        </row>
        <row r="252">
          <cell r="B252" t="str">
            <v>W10X88</v>
          </cell>
          <cell r="C252">
            <v>26</v>
          </cell>
          <cell r="D252">
            <v>10.8</v>
          </cell>
          <cell r="F252" t="str">
            <v>-</v>
          </cell>
          <cell r="H252" t="str">
            <v>-</v>
          </cell>
          <cell r="I252">
            <v>10.3</v>
          </cell>
          <cell r="K252" t="str">
            <v>-</v>
          </cell>
          <cell r="L252" t="str">
            <v>-</v>
          </cell>
          <cell r="M252">
            <v>14.924141516348604</v>
          </cell>
          <cell r="O252">
            <v>0.60499999999999998</v>
          </cell>
          <cell r="T252" t="str">
            <v>-</v>
          </cell>
          <cell r="U252" t="str">
            <v>-</v>
          </cell>
        </row>
        <row r="253">
          <cell r="B253" t="str">
            <v>W10X77</v>
          </cell>
          <cell r="C253">
            <v>22.7</v>
          </cell>
          <cell r="D253">
            <v>10.6</v>
          </cell>
          <cell r="F253" t="str">
            <v>-</v>
          </cell>
          <cell r="H253" t="str">
            <v>-</v>
          </cell>
          <cell r="I253">
            <v>10.199999999999999</v>
          </cell>
          <cell r="K253" t="str">
            <v>-</v>
          </cell>
          <cell r="L253" t="str">
            <v>-</v>
          </cell>
          <cell r="M253">
            <v>14.710540438746634</v>
          </cell>
          <cell r="O253">
            <v>0.53</v>
          </cell>
          <cell r="T253" t="str">
            <v>-</v>
          </cell>
          <cell r="U253" t="str">
            <v>-</v>
          </cell>
        </row>
        <row r="254">
          <cell r="B254" t="str">
            <v>W10X68</v>
          </cell>
          <cell r="C254">
            <v>19.899999999999999</v>
          </cell>
          <cell r="D254">
            <v>10.4</v>
          </cell>
          <cell r="F254" t="str">
            <v>-</v>
          </cell>
          <cell r="H254" t="str">
            <v>-</v>
          </cell>
          <cell r="I254">
            <v>10.1</v>
          </cell>
          <cell r="K254" t="str">
            <v>-</v>
          </cell>
          <cell r="L254" t="str">
            <v>-</v>
          </cell>
          <cell r="M254">
            <v>14.497241116847027</v>
          </cell>
          <cell r="O254">
            <v>0.47</v>
          </cell>
          <cell r="T254" t="str">
            <v>-</v>
          </cell>
          <cell r="U254" t="str">
            <v>-</v>
          </cell>
        </row>
        <row r="255">
          <cell r="B255" t="str">
            <v>W10X60</v>
          </cell>
          <cell r="C255">
            <v>17.7</v>
          </cell>
          <cell r="D255">
            <v>10.199999999999999</v>
          </cell>
          <cell r="F255" t="str">
            <v>-</v>
          </cell>
          <cell r="H255" t="str">
            <v>-</v>
          </cell>
          <cell r="I255">
            <v>10.1</v>
          </cell>
          <cell r="K255" t="str">
            <v>-</v>
          </cell>
          <cell r="L255" t="str">
            <v>-</v>
          </cell>
          <cell r="M255">
            <v>14.354441821262155</v>
          </cell>
          <cell r="O255">
            <v>0.42</v>
          </cell>
          <cell r="T255" t="str">
            <v>-</v>
          </cell>
          <cell r="U255" t="str">
            <v>-</v>
          </cell>
        </row>
        <row r="256">
          <cell r="B256" t="str">
            <v>W10X54</v>
          </cell>
          <cell r="C256">
            <v>15.8</v>
          </cell>
          <cell r="D256">
            <v>10.1</v>
          </cell>
          <cell r="F256" t="str">
            <v>-</v>
          </cell>
          <cell r="H256" t="str">
            <v>-</v>
          </cell>
          <cell r="I256">
            <v>10</v>
          </cell>
          <cell r="K256" t="str">
            <v>-</v>
          </cell>
          <cell r="L256" t="str">
            <v>-</v>
          </cell>
          <cell r="M256">
            <v>14.213022197970423</v>
          </cell>
          <cell r="O256">
            <v>0.37</v>
          </cell>
          <cell r="T256" t="str">
            <v>-</v>
          </cell>
          <cell r="U256" t="str">
            <v>-</v>
          </cell>
        </row>
        <row r="257">
          <cell r="B257" t="str">
            <v>W10X49</v>
          </cell>
          <cell r="C257">
            <v>14.4</v>
          </cell>
          <cell r="D257">
            <v>10</v>
          </cell>
          <cell r="F257" t="str">
            <v>-</v>
          </cell>
          <cell r="H257" t="str">
            <v>-</v>
          </cell>
          <cell r="I257">
            <v>10</v>
          </cell>
          <cell r="K257" t="str">
            <v>-</v>
          </cell>
          <cell r="L257" t="str">
            <v>-</v>
          </cell>
          <cell r="M257">
            <v>14.142135623730951</v>
          </cell>
          <cell r="O257">
            <v>0.34</v>
          </cell>
          <cell r="T257" t="str">
            <v>-</v>
          </cell>
          <cell r="U257" t="str">
            <v>-</v>
          </cell>
        </row>
        <row r="258">
          <cell r="B258" t="str">
            <v>W10X45</v>
          </cell>
          <cell r="C258">
            <v>13.3</v>
          </cell>
          <cell r="D258">
            <v>10.1</v>
          </cell>
          <cell r="F258" t="str">
            <v>-</v>
          </cell>
          <cell r="H258" t="str">
            <v>-</v>
          </cell>
          <cell r="I258">
            <v>8.02</v>
          </cell>
          <cell r="K258" t="str">
            <v>-</v>
          </cell>
          <cell r="L258" t="str">
            <v>-</v>
          </cell>
          <cell r="M258">
            <v>12.896914359644326</v>
          </cell>
          <cell r="O258">
            <v>0.35</v>
          </cell>
          <cell r="T258" t="str">
            <v>-</v>
          </cell>
          <cell r="U258" t="str">
            <v>-</v>
          </cell>
        </row>
        <row r="259">
          <cell r="B259" t="str">
            <v>W10X39</v>
          </cell>
          <cell r="C259">
            <v>11.5</v>
          </cell>
          <cell r="D259">
            <v>9.92</v>
          </cell>
          <cell r="F259" t="str">
            <v>-</v>
          </cell>
          <cell r="H259" t="str">
            <v>-</v>
          </cell>
          <cell r="I259">
            <v>7.99</v>
          </cell>
          <cell r="K259" t="str">
            <v>-</v>
          </cell>
          <cell r="L259" t="str">
            <v>-</v>
          </cell>
          <cell r="M259">
            <v>12.737601815098477</v>
          </cell>
          <cell r="O259">
            <v>0.315</v>
          </cell>
          <cell r="T259" t="str">
            <v>-</v>
          </cell>
          <cell r="U259" t="str">
            <v>-</v>
          </cell>
        </row>
        <row r="260">
          <cell r="B260" t="str">
            <v>W10X33</v>
          </cell>
          <cell r="C260">
            <v>9.7100000000000009</v>
          </cell>
          <cell r="D260">
            <v>9.73</v>
          </cell>
          <cell r="F260" t="str">
            <v>-</v>
          </cell>
          <cell r="H260" t="str">
            <v>-</v>
          </cell>
          <cell r="I260">
            <v>7.96</v>
          </cell>
          <cell r="K260" t="str">
            <v>-</v>
          </cell>
          <cell r="L260" t="str">
            <v>-</v>
          </cell>
          <cell r="M260">
            <v>12.571177351385987</v>
          </cell>
          <cell r="O260">
            <v>0.28999999999999998</v>
          </cell>
          <cell r="T260" t="str">
            <v>-</v>
          </cell>
          <cell r="U260" t="str">
            <v>-</v>
          </cell>
        </row>
        <row r="261">
          <cell r="B261" t="str">
            <v>W10X30</v>
          </cell>
          <cell r="C261">
            <v>8.84</v>
          </cell>
          <cell r="D261">
            <v>10.5</v>
          </cell>
          <cell r="F261" t="str">
            <v>-</v>
          </cell>
          <cell r="H261" t="str">
            <v>-</v>
          </cell>
          <cell r="I261">
            <v>5.81</v>
          </cell>
          <cell r="K261" t="str">
            <v>-</v>
          </cell>
          <cell r="L261" t="str">
            <v>-</v>
          </cell>
          <cell r="M261">
            <v>12.000254163975029</v>
          </cell>
          <cell r="O261">
            <v>0.3</v>
          </cell>
          <cell r="T261" t="str">
            <v>-</v>
          </cell>
          <cell r="U261" t="str">
            <v>-</v>
          </cell>
        </row>
        <row r="262">
          <cell r="B262" t="str">
            <v>W10X26</v>
          </cell>
          <cell r="C262">
            <v>7.61</v>
          </cell>
          <cell r="D262">
            <v>10.3</v>
          </cell>
          <cell r="F262" t="str">
            <v>-</v>
          </cell>
          <cell r="H262" t="str">
            <v>-</v>
          </cell>
          <cell r="I262">
            <v>5.77</v>
          </cell>
          <cell r="K262" t="str">
            <v>-</v>
          </cell>
          <cell r="L262" t="str">
            <v>-</v>
          </cell>
          <cell r="M262">
            <v>11.806053531980956</v>
          </cell>
          <cell r="O262">
            <v>0.26</v>
          </cell>
          <cell r="T262" t="str">
            <v>-</v>
          </cell>
          <cell r="U262" t="str">
            <v>-</v>
          </cell>
        </row>
        <row r="263">
          <cell r="B263" t="str">
            <v>W10X22</v>
          </cell>
          <cell r="C263">
            <v>6.49</v>
          </cell>
          <cell r="D263">
            <v>10.199999999999999</v>
          </cell>
          <cell r="F263" t="str">
            <v>-</v>
          </cell>
          <cell r="H263" t="str">
            <v>-</v>
          </cell>
          <cell r="I263">
            <v>5.75</v>
          </cell>
          <cell r="K263" t="str">
            <v>-</v>
          </cell>
          <cell r="L263" t="str">
            <v>-</v>
          </cell>
          <cell r="M263">
            <v>11.70907767503487</v>
          </cell>
          <cell r="O263">
            <v>0.24</v>
          </cell>
          <cell r="T263" t="str">
            <v>-</v>
          </cell>
          <cell r="U263" t="str">
            <v>-</v>
          </cell>
        </row>
        <row r="264">
          <cell r="B264" t="str">
            <v>W10X19</v>
          </cell>
          <cell r="C264">
            <v>5.62</v>
          </cell>
          <cell r="D264">
            <v>10.199999999999999</v>
          </cell>
          <cell r="F264" t="str">
            <v>-</v>
          </cell>
          <cell r="H264" t="str">
            <v>-</v>
          </cell>
          <cell r="I264">
            <v>4.0199999999999996</v>
          </cell>
          <cell r="K264" t="str">
            <v>-</v>
          </cell>
          <cell r="L264" t="str">
            <v>-</v>
          </cell>
          <cell r="M264">
            <v>10.963594301140478</v>
          </cell>
          <cell r="O264">
            <v>0.25</v>
          </cell>
          <cell r="T264" t="str">
            <v>-</v>
          </cell>
          <cell r="U264" t="str">
            <v>-</v>
          </cell>
        </row>
        <row r="265">
          <cell r="B265" t="str">
            <v>W10X17</v>
          </cell>
          <cell r="C265">
            <v>4.99</v>
          </cell>
          <cell r="D265">
            <v>10.1</v>
          </cell>
          <cell r="F265" t="str">
            <v>-</v>
          </cell>
          <cell r="H265" t="str">
            <v>-</v>
          </cell>
          <cell r="I265">
            <v>4.01</v>
          </cell>
          <cell r="K265" t="str">
            <v>-</v>
          </cell>
          <cell r="L265" t="str">
            <v>-</v>
          </cell>
          <cell r="M265">
            <v>10.866926888499803</v>
          </cell>
          <cell r="O265">
            <v>0.24</v>
          </cell>
          <cell r="T265" t="str">
            <v>-</v>
          </cell>
          <cell r="U265" t="str">
            <v>-</v>
          </cell>
        </row>
        <row r="266">
          <cell r="B266" t="str">
            <v>W10X15</v>
          </cell>
          <cell r="C266">
            <v>4.41</v>
          </cell>
          <cell r="D266">
            <v>9.99</v>
          </cell>
          <cell r="F266" t="str">
            <v>-</v>
          </cell>
          <cell r="H266" t="str">
            <v>-</v>
          </cell>
          <cell r="I266">
            <v>4</v>
          </cell>
          <cell r="K266" t="str">
            <v>-</v>
          </cell>
          <cell r="L266" t="str">
            <v>-</v>
          </cell>
          <cell r="M266">
            <v>10.761045488241372</v>
          </cell>
          <cell r="O266">
            <v>0.23</v>
          </cell>
          <cell r="T266" t="str">
            <v>-</v>
          </cell>
          <cell r="U266" t="str">
            <v>-</v>
          </cell>
        </row>
        <row r="267">
          <cell r="B267" t="str">
            <v>W10X12</v>
          </cell>
          <cell r="C267">
            <v>3.54</v>
          </cell>
          <cell r="D267">
            <v>9.8699999999999992</v>
          </cell>
          <cell r="F267" t="str">
            <v>-</v>
          </cell>
          <cell r="H267" t="str">
            <v>-</v>
          </cell>
          <cell r="I267">
            <v>3.96</v>
          </cell>
          <cell r="K267" t="str">
            <v>-</v>
          </cell>
          <cell r="L267" t="str">
            <v>-</v>
          </cell>
          <cell r="M267">
            <v>10.634777853815283</v>
          </cell>
          <cell r="O267">
            <v>0.19</v>
          </cell>
          <cell r="T267" t="str">
            <v>-</v>
          </cell>
          <cell r="U267" t="str">
            <v>-</v>
          </cell>
        </row>
        <row r="268">
          <cell r="B268" t="str">
            <v>W8X67</v>
          </cell>
          <cell r="C268">
            <v>19.7</v>
          </cell>
          <cell r="D268">
            <v>9</v>
          </cell>
          <cell r="F268" t="str">
            <v>-</v>
          </cell>
          <cell r="H268" t="str">
            <v>-</v>
          </cell>
          <cell r="I268">
            <v>8.2799999999999994</v>
          </cell>
          <cell r="K268" t="str">
            <v>-</v>
          </cell>
          <cell r="L268" t="str">
            <v>-</v>
          </cell>
          <cell r="M268">
            <v>12.22940718105338</v>
          </cell>
          <cell r="O268">
            <v>0.56999999999999995</v>
          </cell>
          <cell r="T268" t="str">
            <v>-</v>
          </cell>
          <cell r="U268" t="str">
            <v>-</v>
          </cell>
        </row>
        <row r="269">
          <cell r="B269" t="str">
            <v>W8X58</v>
          </cell>
          <cell r="C269">
            <v>17.100000000000001</v>
          </cell>
          <cell r="D269">
            <v>8.75</v>
          </cell>
          <cell r="F269" t="str">
            <v>-</v>
          </cell>
          <cell r="H269" t="str">
            <v>-</v>
          </cell>
          <cell r="I269">
            <v>8.2200000000000006</v>
          </cell>
          <cell r="K269" t="str">
            <v>-</v>
          </cell>
          <cell r="L269" t="str">
            <v>-</v>
          </cell>
          <cell r="M269">
            <v>12.005452927732465</v>
          </cell>
          <cell r="O269">
            <v>0.51</v>
          </cell>
          <cell r="T269" t="str">
            <v>-</v>
          </cell>
          <cell r="U269" t="str">
            <v>-</v>
          </cell>
        </row>
        <row r="270">
          <cell r="B270" t="str">
            <v>W8X48</v>
          </cell>
          <cell r="C270">
            <v>14.1</v>
          </cell>
          <cell r="D270">
            <v>8.5</v>
          </cell>
          <cell r="F270" t="str">
            <v>-</v>
          </cell>
          <cell r="H270" t="str">
            <v>-</v>
          </cell>
          <cell r="I270">
            <v>8.11</v>
          </cell>
          <cell r="K270" t="str">
            <v>-</v>
          </cell>
          <cell r="L270" t="str">
            <v>-</v>
          </cell>
          <cell r="M270">
            <v>11.748280725280614</v>
          </cell>
          <cell r="O270">
            <v>0.4</v>
          </cell>
          <cell r="T270" t="str">
            <v>-</v>
          </cell>
          <cell r="U270" t="str">
            <v>-</v>
          </cell>
        </row>
        <row r="271">
          <cell r="B271" t="str">
            <v>W8X40</v>
          </cell>
          <cell r="C271">
            <v>11.7</v>
          </cell>
          <cell r="D271">
            <v>8.25</v>
          </cell>
          <cell r="F271" t="str">
            <v>-</v>
          </cell>
          <cell r="H271" t="str">
            <v>-</v>
          </cell>
          <cell r="I271">
            <v>8.07</v>
          </cell>
          <cell r="K271" t="str">
            <v>-</v>
          </cell>
          <cell r="L271" t="str">
            <v>-</v>
          </cell>
          <cell r="M271">
            <v>11.540684555085978</v>
          </cell>
          <cell r="O271">
            <v>0.36</v>
          </cell>
          <cell r="T271" t="str">
            <v>-</v>
          </cell>
          <cell r="U271" t="str">
            <v>-</v>
          </cell>
        </row>
        <row r="272">
          <cell r="B272" t="str">
            <v>W8X35</v>
          </cell>
          <cell r="C272">
            <v>10.3</v>
          </cell>
          <cell r="D272">
            <v>8.1199999999999992</v>
          </cell>
          <cell r="F272" t="str">
            <v>-</v>
          </cell>
          <cell r="H272" t="str">
            <v>-</v>
          </cell>
          <cell r="I272">
            <v>8.02</v>
          </cell>
          <cell r="K272" t="str">
            <v>-</v>
          </cell>
          <cell r="L272" t="str">
            <v>-</v>
          </cell>
          <cell r="M272">
            <v>11.412922500394016</v>
          </cell>
          <cell r="O272">
            <v>0.31</v>
          </cell>
          <cell r="T272" t="str">
            <v>-</v>
          </cell>
          <cell r="U272" t="str">
            <v>-</v>
          </cell>
        </row>
        <row r="273">
          <cell r="B273" t="str">
            <v>W8X31</v>
          </cell>
          <cell r="C273">
            <v>9.1300000000000008</v>
          </cell>
          <cell r="D273">
            <v>8</v>
          </cell>
          <cell r="F273" t="str">
            <v>-</v>
          </cell>
          <cell r="H273" t="str">
            <v>-</v>
          </cell>
          <cell r="I273">
            <v>8</v>
          </cell>
          <cell r="K273" t="str">
            <v>-</v>
          </cell>
          <cell r="L273" t="str">
            <v>-</v>
          </cell>
          <cell r="M273">
            <v>11.313708498984761</v>
          </cell>
          <cell r="O273">
            <v>0.28499999999999998</v>
          </cell>
          <cell r="T273" t="str">
            <v>-</v>
          </cell>
          <cell r="U273" t="str">
            <v>-</v>
          </cell>
        </row>
        <row r="274">
          <cell r="B274" t="str">
            <v>W8X28</v>
          </cell>
          <cell r="C274">
            <v>8.25</v>
          </cell>
          <cell r="D274">
            <v>8.06</v>
          </cell>
          <cell r="F274" t="str">
            <v>-</v>
          </cell>
          <cell r="H274" t="str">
            <v>-</v>
          </cell>
          <cell r="I274">
            <v>6.54</v>
          </cell>
          <cell r="K274" t="str">
            <v>-</v>
          </cell>
          <cell r="L274" t="str">
            <v>-</v>
          </cell>
          <cell r="M274">
            <v>10.379556830616615</v>
          </cell>
          <cell r="O274">
            <v>0.28499999999999998</v>
          </cell>
          <cell r="T274" t="str">
            <v>-</v>
          </cell>
          <cell r="U274" t="str">
            <v>-</v>
          </cell>
        </row>
        <row r="275">
          <cell r="B275" t="str">
            <v>W8X24</v>
          </cell>
          <cell r="C275">
            <v>7.08</v>
          </cell>
          <cell r="D275">
            <v>7.93</v>
          </cell>
          <cell r="F275" t="str">
            <v>-</v>
          </cell>
          <cell r="H275" t="str">
            <v>-</v>
          </cell>
          <cell r="I275">
            <v>6.5</v>
          </cell>
          <cell r="K275" t="str">
            <v>-</v>
          </cell>
          <cell r="L275" t="str">
            <v>-</v>
          </cell>
          <cell r="M275">
            <v>10.253531099089717</v>
          </cell>
          <cell r="O275">
            <v>0.245</v>
          </cell>
          <cell r="T275" t="str">
            <v>-</v>
          </cell>
          <cell r="U275" t="str">
            <v>-</v>
          </cell>
        </row>
        <row r="276">
          <cell r="B276" t="str">
            <v>W8X21</v>
          </cell>
          <cell r="C276">
            <v>6.16</v>
          </cell>
          <cell r="D276">
            <v>8.2799999999999994</v>
          </cell>
          <cell r="F276" t="str">
            <v>-</v>
          </cell>
          <cell r="H276" t="str">
            <v>-</v>
          </cell>
          <cell r="I276">
            <v>5.27</v>
          </cell>
          <cell r="K276" t="str">
            <v>-</v>
          </cell>
          <cell r="L276" t="str">
            <v>-</v>
          </cell>
          <cell r="M276">
            <v>9.8148509922463916</v>
          </cell>
          <cell r="O276">
            <v>0.25</v>
          </cell>
          <cell r="T276" t="str">
            <v>-</v>
          </cell>
          <cell r="U276" t="str">
            <v>-</v>
          </cell>
        </row>
        <row r="277">
          <cell r="B277" t="str">
            <v>W8X18</v>
          </cell>
          <cell r="C277">
            <v>5.26</v>
          </cell>
          <cell r="D277">
            <v>8.14</v>
          </cell>
          <cell r="F277" t="str">
            <v>-</v>
          </cell>
          <cell r="H277" t="str">
            <v>-</v>
          </cell>
          <cell r="I277">
            <v>5.25</v>
          </cell>
          <cell r="K277" t="str">
            <v>-</v>
          </cell>
          <cell r="L277" t="str">
            <v>-</v>
          </cell>
          <cell r="M277">
            <v>9.6861808779311982</v>
          </cell>
          <cell r="O277">
            <v>0.23</v>
          </cell>
          <cell r="T277" t="str">
            <v>-</v>
          </cell>
          <cell r="U277" t="str">
            <v>-</v>
          </cell>
        </row>
        <row r="278">
          <cell r="B278" t="str">
            <v>W8X15</v>
          </cell>
          <cell r="C278">
            <v>4.4400000000000004</v>
          </cell>
          <cell r="D278">
            <v>8.11</v>
          </cell>
          <cell r="F278" t="str">
            <v>-</v>
          </cell>
          <cell r="H278" t="str">
            <v>-</v>
          </cell>
          <cell r="I278">
            <v>4.0199999999999996</v>
          </cell>
          <cell r="K278" t="str">
            <v>-</v>
          </cell>
          <cell r="L278" t="str">
            <v>-</v>
          </cell>
          <cell r="M278">
            <v>9.0516573068140396</v>
          </cell>
          <cell r="O278">
            <v>0.245</v>
          </cell>
          <cell r="T278" t="str">
            <v>-</v>
          </cell>
          <cell r="U278" t="str">
            <v>-</v>
          </cell>
        </row>
        <row r="279">
          <cell r="B279" t="str">
            <v>W8X13</v>
          </cell>
          <cell r="C279">
            <v>3.84</v>
          </cell>
          <cell r="D279">
            <v>7.99</v>
          </cell>
          <cell r="F279" t="str">
            <v>-</v>
          </cell>
          <cell r="H279" t="str">
            <v>-</v>
          </cell>
          <cell r="I279">
            <v>4</v>
          </cell>
          <cell r="K279" t="str">
            <v>-</v>
          </cell>
          <cell r="L279" t="str">
            <v>-</v>
          </cell>
          <cell r="M279">
            <v>8.9353287572422317</v>
          </cell>
          <cell r="O279">
            <v>0.23</v>
          </cell>
          <cell r="T279" t="str">
            <v>-</v>
          </cell>
          <cell r="U279" t="str">
            <v>-</v>
          </cell>
        </row>
        <row r="280">
          <cell r="B280" t="str">
            <v>W8X10</v>
          </cell>
          <cell r="C280">
            <v>2.96</v>
          </cell>
          <cell r="D280">
            <v>7.89</v>
          </cell>
          <cell r="F280" t="str">
            <v>-</v>
          </cell>
          <cell r="H280" t="str">
            <v>-</v>
          </cell>
          <cell r="I280">
            <v>3.94</v>
          </cell>
          <cell r="K280" t="str">
            <v>-</v>
          </cell>
          <cell r="L280" t="str">
            <v>-</v>
          </cell>
          <cell r="M280">
            <v>8.8190532371678074</v>
          </cell>
          <cell r="O280">
            <v>0.17</v>
          </cell>
          <cell r="T280" t="str">
            <v>-</v>
          </cell>
          <cell r="U280" t="str">
            <v>-</v>
          </cell>
        </row>
        <row r="281">
          <cell r="B281" t="str">
            <v>W6X25</v>
          </cell>
          <cell r="C281">
            <v>7.34</v>
          </cell>
          <cell r="D281">
            <v>6.38</v>
          </cell>
          <cell r="F281" t="str">
            <v>-</v>
          </cell>
          <cell r="H281" t="str">
            <v>-</v>
          </cell>
          <cell r="I281">
            <v>6.08</v>
          </cell>
          <cell r="K281" t="str">
            <v>-</v>
          </cell>
          <cell r="L281" t="str">
            <v>-</v>
          </cell>
          <cell r="M281">
            <v>8.8131038800186623</v>
          </cell>
          <cell r="O281">
            <v>0.32</v>
          </cell>
          <cell r="T281" t="str">
            <v>-</v>
          </cell>
          <cell r="U281" t="str">
            <v>-</v>
          </cell>
        </row>
        <row r="282">
          <cell r="B282" t="str">
            <v>W6X20</v>
          </cell>
          <cell r="C282">
            <v>5.87</v>
          </cell>
          <cell r="D282">
            <v>6.2</v>
          </cell>
          <cell r="F282" t="str">
            <v>-</v>
          </cell>
          <cell r="H282" t="str">
            <v>-</v>
          </cell>
          <cell r="I282">
            <v>6.02</v>
          </cell>
          <cell r="K282" t="str">
            <v>-</v>
          </cell>
          <cell r="L282" t="str">
            <v>-</v>
          </cell>
          <cell r="M282">
            <v>8.6417822235925374</v>
          </cell>
          <cell r="O282">
            <v>0.26</v>
          </cell>
          <cell r="T282" t="str">
            <v>-</v>
          </cell>
          <cell r="U282" t="str">
            <v>-</v>
          </cell>
        </row>
        <row r="283">
          <cell r="B283" t="str">
            <v>W6X15</v>
          </cell>
          <cell r="C283">
            <v>4.43</v>
          </cell>
          <cell r="D283">
            <v>5.99</v>
          </cell>
          <cell r="F283" t="str">
            <v>-</v>
          </cell>
          <cell r="H283" t="str">
            <v>-</v>
          </cell>
          <cell r="I283">
            <v>5.99</v>
          </cell>
          <cell r="K283" t="str">
            <v>-</v>
          </cell>
          <cell r="L283" t="str">
            <v>-</v>
          </cell>
          <cell r="M283">
            <v>8.4711392386148407</v>
          </cell>
          <cell r="O283">
            <v>0.23</v>
          </cell>
          <cell r="T283" t="str">
            <v>-</v>
          </cell>
          <cell r="U283" t="str">
            <v>-</v>
          </cell>
        </row>
        <row r="284">
          <cell r="B284" t="str">
            <v>W6X16</v>
          </cell>
          <cell r="C284">
            <v>4.74</v>
          </cell>
          <cell r="D284">
            <v>6.28</v>
          </cell>
          <cell r="F284" t="str">
            <v>-</v>
          </cell>
          <cell r="H284" t="str">
            <v>-</v>
          </cell>
          <cell r="I284">
            <v>4.03</v>
          </cell>
          <cell r="K284" t="str">
            <v>-</v>
          </cell>
          <cell r="L284" t="str">
            <v>-</v>
          </cell>
          <cell r="M284">
            <v>7.4618563374002322</v>
          </cell>
          <cell r="O284">
            <v>0.26</v>
          </cell>
          <cell r="T284" t="str">
            <v>-</v>
          </cell>
          <cell r="U284" t="str">
            <v>-</v>
          </cell>
        </row>
        <row r="285">
          <cell r="B285" t="str">
            <v>W6X12</v>
          </cell>
          <cell r="C285">
            <v>3.55</v>
          </cell>
          <cell r="D285">
            <v>6.03</v>
          </cell>
          <cell r="F285" t="str">
            <v>-</v>
          </cell>
          <cell r="H285" t="str">
            <v>-</v>
          </cell>
          <cell r="I285">
            <v>4</v>
          </cell>
          <cell r="K285" t="str">
            <v>-</v>
          </cell>
          <cell r="L285" t="str">
            <v>-</v>
          </cell>
          <cell r="M285">
            <v>7.2360831946571755</v>
          </cell>
          <cell r="O285">
            <v>0.23</v>
          </cell>
          <cell r="T285" t="str">
            <v>-</v>
          </cell>
          <cell r="U285" t="str">
            <v>-</v>
          </cell>
        </row>
        <row r="286">
          <cell r="B286" t="str">
            <v>W6X9</v>
          </cell>
          <cell r="C286">
            <v>2.68</v>
          </cell>
          <cell r="D286">
            <v>5.9</v>
          </cell>
          <cell r="F286" t="str">
            <v>-</v>
          </cell>
          <cell r="H286" t="str">
            <v>-</v>
          </cell>
          <cell r="I286">
            <v>3.94</v>
          </cell>
          <cell r="K286" t="str">
            <v>-</v>
          </cell>
          <cell r="L286" t="str">
            <v>-</v>
          </cell>
          <cell r="M286">
            <v>7.0946176782121251</v>
          </cell>
          <cell r="O286">
            <v>0.17</v>
          </cell>
          <cell r="T286" t="str">
            <v>-</v>
          </cell>
          <cell r="U286" t="str">
            <v>-</v>
          </cell>
        </row>
        <row r="287">
          <cell r="B287" t="str">
            <v>W6X8.5</v>
          </cell>
          <cell r="C287">
            <v>2.52</v>
          </cell>
          <cell r="D287">
            <v>5.83</v>
          </cell>
          <cell r="F287" t="str">
            <v>-</v>
          </cell>
          <cell r="H287" t="str">
            <v>-</v>
          </cell>
          <cell r="I287">
            <v>3.94</v>
          </cell>
          <cell r="K287" t="str">
            <v>-</v>
          </cell>
          <cell r="L287" t="str">
            <v>-</v>
          </cell>
          <cell r="M287">
            <v>7.0365119199785342</v>
          </cell>
          <cell r="O287">
            <v>0.17</v>
          </cell>
          <cell r="T287" t="str">
            <v>-</v>
          </cell>
          <cell r="U287" t="str">
            <v>-</v>
          </cell>
        </row>
        <row r="288">
          <cell r="B288" t="str">
            <v>W5X19</v>
          </cell>
          <cell r="C288">
            <v>5.56</v>
          </cell>
          <cell r="D288">
            <v>5.15</v>
          </cell>
          <cell r="F288" t="str">
            <v>-</v>
          </cell>
          <cell r="H288" t="str">
            <v>-</v>
          </cell>
          <cell r="I288">
            <v>5.03</v>
          </cell>
          <cell r="K288" t="str">
            <v>-</v>
          </cell>
          <cell r="L288" t="str">
            <v>-</v>
          </cell>
          <cell r="M288">
            <v>7.1988471299229575</v>
          </cell>
          <cell r="O288">
            <v>0.27</v>
          </cell>
          <cell r="T288" t="str">
            <v>-</v>
          </cell>
          <cell r="U288" t="str">
            <v>-</v>
          </cell>
        </row>
        <row r="289">
          <cell r="B289" t="str">
            <v>W5X16</v>
          </cell>
          <cell r="C289">
            <v>4.71</v>
          </cell>
          <cell r="D289">
            <v>5.01</v>
          </cell>
          <cell r="F289" t="str">
            <v>-</v>
          </cell>
          <cell r="H289" t="str">
            <v>-</v>
          </cell>
          <cell r="I289">
            <v>5</v>
          </cell>
          <cell r="K289" t="str">
            <v>-</v>
          </cell>
          <cell r="L289" t="str">
            <v>-</v>
          </cell>
          <cell r="M289">
            <v>7.0781424116783631</v>
          </cell>
          <cell r="O289">
            <v>0.24</v>
          </cell>
          <cell r="T289" t="str">
            <v>-</v>
          </cell>
          <cell r="U289" t="str">
            <v>-</v>
          </cell>
        </row>
        <row r="290">
          <cell r="B290" t="str">
            <v>W4X13</v>
          </cell>
          <cell r="C290">
            <v>3.83</v>
          </cell>
          <cell r="D290">
            <v>4.16</v>
          </cell>
          <cell r="F290" t="str">
            <v>-</v>
          </cell>
          <cell r="H290" t="str">
            <v>-</v>
          </cell>
          <cell r="I290">
            <v>4.0599999999999996</v>
          </cell>
          <cell r="K290" t="str">
            <v>-</v>
          </cell>
          <cell r="L290" t="str">
            <v>-</v>
          </cell>
          <cell r="M290">
            <v>5.8128478390544505</v>
          </cell>
          <cell r="O290">
            <v>0.28000000000000003</v>
          </cell>
          <cell r="T290" t="str">
            <v>-</v>
          </cell>
          <cell r="U290" t="str">
            <v>-</v>
          </cell>
        </row>
        <row r="291">
          <cell r="B291" t="str">
            <v>M12.5X12.4</v>
          </cell>
          <cell r="C291">
            <v>3.63</v>
          </cell>
          <cell r="D291">
            <v>12.5</v>
          </cell>
          <cell r="F291" t="str">
            <v>-</v>
          </cell>
          <cell r="H291" t="str">
            <v>-</v>
          </cell>
          <cell r="I291">
            <v>3.75</v>
          </cell>
          <cell r="K291" t="str">
            <v>-</v>
          </cell>
          <cell r="L291" t="str">
            <v>-</v>
          </cell>
          <cell r="M291">
            <v>13.050383136138187</v>
          </cell>
          <cell r="O291">
            <v>0.155</v>
          </cell>
          <cell r="T291" t="str">
            <v>-</v>
          </cell>
          <cell r="U291" t="str">
            <v>-</v>
          </cell>
        </row>
        <row r="292">
          <cell r="B292" t="str">
            <v>M12.5X11.6</v>
          </cell>
          <cell r="C292">
            <v>3.4</v>
          </cell>
          <cell r="D292">
            <v>12.5</v>
          </cell>
          <cell r="F292" t="str">
            <v>-</v>
          </cell>
          <cell r="H292" t="str">
            <v>-</v>
          </cell>
          <cell r="I292">
            <v>3.5</v>
          </cell>
          <cell r="K292" t="str">
            <v>-</v>
          </cell>
          <cell r="L292" t="str">
            <v>-</v>
          </cell>
          <cell r="M292">
            <v>12.98075498574717</v>
          </cell>
          <cell r="O292">
            <v>0.155</v>
          </cell>
          <cell r="T292" t="str">
            <v>-</v>
          </cell>
          <cell r="U292" t="str">
            <v>-</v>
          </cell>
        </row>
        <row r="293">
          <cell r="B293" t="str">
            <v>M12X11.8</v>
          </cell>
          <cell r="C293">
            <v>3.47</v>
          </cell>
          <cell r="D293">
            <v>12</v>
          </cell>
          <cell r="F293" t="str">
            <v>-</v>
          </cell>
          <cell r="H293" t="str">
            <v>-</v>
          </cell>
          <cell r="I293">
            <v>3.07</v>
          </cell>
          <cell r="K293" t="str">
            <v>-</v>
          </cell>
          <cell r="L293" t="str">
            <v>-</v>
          </cell>
          <cell r="M293">
            <v>12.386480533226539</v>
          </cell>
          <cell r="O293">
            <v>0.17699999999999999</v>
          </cell>
          <cell r="T293" t="str">
            <v>-</v>
          </cell>
          <cell r="U293" t="str">
            <v>-</v>
          </cell>
        </row>
        <row r="294">
          <cell r="B294" t="str">
            <v>M12X10.8</v>
          </cell>
          <cell r="C294">
            <v>3.18</v>
          </cell>
          <cell r="D294">
            <v>12</v>
          </cell>
          <cell r="F294" t="str">
            <v>-</v>
          </cell>
          <cell r="H294" t="str">
            <v>-</v>
          </cell>
          <cell r="I294">
            <v>3.07</v>
          </cell>
          <cell r="K294" t="str">
            <v>-</v>
          </cell>
          <cell r="L294" t="str">
            <v>-</v>
          </cell>
          <cell r="M294">
            <v>12.386480533226539</v>
          </cell>
          <cell r="O294">
            <v>0.16</v>
          </cell>
          <cell r="T294" t="str">
            <v>-</v>
          </cell>
          <cell r="U294" t="str">
            <v>-</v>
          </cell>
        </row>
        <row r="295">
          <cell r="B295" t="str">
            <v>M12X10</v>
          </cell>
          <cell r="C295">
            <v>2.95</v>
          </cell>
          <cell r="D295">
            <v>12</v>
          </cell>
          <cell r="F295" t="str">
            <v>-</v>
          </cell>
          <cell r="H295" t="str">
            <v>-</v>
          </cell>
          <cell r="I295">
            <v>3.25</v>
          </cell>
          <cell r="K295" t="str">
            <v>-</v>
          </cell>
          <cell r="L295" t="str">
            <v>-</v>
          </cell>
          <cell r="M295">
            <v>12.432316759156356</v>
          </cell>
          <cell r="O295">
            <v>0.14899999999999999</v>
          </cell>
          <cell r="T295" t="str">
            <v>-</v>
          </cell>
          <cell r="U295" t="str">
            <v>-</v>
          </cell>
        </row>
        <row r="296">
          <cell r="B296" t="str">
            <v>M10X9</v>
          </cell>
          <cell r="C296">
            <v>2.65</v>
          </cell>
          <cell r="D296">
            <v>10</v>
          </cell>
          <cell r="F296" t="str">
            <v>-</v>
          </cell>
          <cell r="H296" t="str">
            <v>-</v>
          </cell>
          <cell r="I296">
            <v>2.69</v>
          </cell>
          <cell r="K296" t="str">
            <v>-</v>
          </cell>
          <cell r="L296" t="str">
            <v>-</v>
          </cell>
          <cell r="M296">
            <v>10.355486468534446</v>
          </cell>
          <cell r="O296">
            <v>0.157</v>
          </cell>
          <cell r="T296" t="str">
            <v>-</v>
          </cell>
          <cell r="U296" t="str">
            <v>-</v>
          </cell>
        </row>
        <row r="297">
          <cell r="B297" t="str">
            <v>M10X8</v>
          </cell>
          <cell r="C297">
            <v>2.37</v>
          </cell>
          <cell r="D297">
            <v>9.9499999999999993</v>
          </cell>
          <cell r="F297" t="str">
            <v>-</v>
          </cell>
          <cell r="H297" t="str">
            <v>-</v>
          </cell>
          <cell r="I297">
            <v>2.69</v>
          </cell>
          <cell r="K297" t="str">
            <v>-</v>
          </cell>
          <cell r="L297" t="str">
            <v>-</v>
          </cell>
          <cell r="M297">
            <v>10.307211067985364</v>
          </cell>
          <cell r="O297">
            <v>0.14099999999999999</v>
          </cell>
          <cell r="T297" t="str">
            <v>-</v>
          </cell>
          <cell r="U297" t="str">
            <v>-</v>
          </cell>
        </row>
        <row r="298">
          <cell r="B298" t="str">
            <v>M10X7.5</v>
          </cell>
          <cell r="C298">
            <v>2.2200000000000002</v>
          </cell>
          <cell r="D298">
            <v>9.99</v>
          </cell>
          <cell r="F298" t="str">
            <v>-</v>
          </cell>
          <cell r="H298" t="str">
            <v>-</v>
          </cell>
          <cell r="I298">
            <v>2.69</v>
          </cell>
          <cell r="K298" t="str">
            <v>-</v>
          </cell>
          <cell r="L298" t="str">
            <v>-</v>
          </cell>
          <cell r="M298">
            <v>10.345830077862288</v>
          </cell>
          <cell r="O298">
            <v>0.13</v>
          </cell>
          <cell r="T298" t="str">
            <v>-</v>
          </cell>
          <cell r="U298" t="str">
            <v>-</v>
          </cell>
        </row>
        <row r="299">
          <cell r="B299" t="str">
            <v>M8X6.5</v>
          </cell>
          <cell r="C299">
            <v>1.92</v>
          </cell>
          <cell r="D299">
            <v>8</v>
          </cell>
          <cell r="F299" t="str">
            <v>-</v>
          </cell>
          <cell r="H299" t="str">
            <v>-</v>
          </cell>
          <cell r="I299">
            <v>2.2799999999999998</v>
          </cell>
          <cell r="K299" t="str">
            <v>-</v>
          </cell>
          <cell r="L299" t="str">
            <v>-</v>
          </cell>
          <cell r="M299">
            <v>8.3185575672709025</v>
          </cell>
          <cell r="O299">
            <v>0.13500000000000001</v>
          </cell>
          <cell r="T299" t="str">
            <v>-</v>
          </cell>
          <cell r="U299" t="str">
            <v>-</v>
          </cell>
        </row>
        <row r="300">
          <cell r="B300" t="str">
            <v>M8X6.2</v>
          </cell>
          <cell r="C300">
            <v>1.82</v>
          </cell>
          <cell r="D300">
            <v>8</v>
          </cell>
          <cell r="F300" t="str">
            <v>-</v>
          </cell>
          <cell r="H300" t="str">
            <v>-</v>
          </cell>
          <cell r="I300">
            <v>2.2799999999999998</v>
          </cell>
          <cell r="K300" t="str">
            <v>-</v>
          </cell>
          <cell r="L300" t="str">
            <v>-</v>
          </cell>
          <cell r="M300">
            <v>8.3185575672709025</v>
          </cell>
          <cell r="O300">
            <v>0.129</v>
          </cell>
          <cell r="T300" t="str">
            <v>-</v>
          </cell>
          <cell r="U300" t="str">
            <v>-</v>
          </cell>
        </row>
        <row r="301">
          <cell r="B301" t="str">
            <v>M6X4.4</v>
          </cell>
          <cell r="C301">
            <v>1.29</v>
          </cell>
          <cell r="D301">
            <v>6</v>
          </cell>
          <cell r="F301" t="str">
            <v>-</v>
          </cell>
          <cell r="H301" t="str">
            <v>-</v>
          </cell>
          <cell r="I301">
            <v>1.84</v>
          </cell>
          <cell r="K301" t="str">
            <v>-</v>
          </cell>
          <cell r="L301" t="str">
            <v>-</v>
          </cell>
          <cell r="M301">
            <v>6.2757947703856596</v>
          </cell>
          <cell r="O301">
            <v>0.114</v>
          </cell>
          <cell r="T301" t="str">
            <v>-</v>
          </cell>
          <cell r="U301" t="str">
            <v>-</v>
          </cell>
        </row>
        <row r="302">
          <cell r="B302" t="str">
            <v>M6X3.7</v>
          </cell>
          <cell r="C302">
            <v>1.0900000000000001</v>
          </cell>
          <cell r="D302">
            <v>5.92</v>
          </cell>
          <cell r="F302" t="str">
            <v>-</v>
          </cell>
          <cell r="H302" t="str">
            <v>-</v>
          </cell>
          <cell r="I302">
            <v>2</v>
          </cell>
          <cell r="K302" t="str">
            <v>-</v>
          </cell>
          <cell r="L302" t="str">
            <v>-</v>
          </cell>
          <cell r="M302">
            <v>6.2487118672571231</v>
          </cell>
          <cell r="O302">
            <v>9.8000000000000004E-2</v>
          </cell>
          <cell r="T302" t="str">
            <v>-</v>
          </cell>
          <cell r="U302" t="str">
            <v>-</v>
          </cell>
        </row>
        <row r="303">
          <cell r="B303" t="str">
            <v>M5X18.9</v>
          </cell>
          <cell r="C303">
            <v>5.56</v>
          </cell>
          <cell r="D303">
            <v>5</v>
          </cell>
          <cell r="F303" t="str">
            <v>-</v>
          </cell>
          <cell r="H303" t="str">
            <v>-</v>
          </cell>
          <cell r="I303">
            <v>5</v>
          </cell>
          <cell r="K303" t="str">
            <v>-</v>
          </cell>
          <cell r="L303" t="str">
            <v>-</v>
          </cell>
          <cell r="M303">
            <v>7.0710678118654755</v>
          </cell>
          <cell r="O303">
            <v>0.316</v>
          </cell>
          <cell r="T303" t="str">
            <v>-</v>
          </cell>
          <cell r="U303" t="str">
            <v>-</v>
          </cell>
        </row>
        <row r="304">
          <cell r="B304" t="str">
            <v>M4X6</v>
          </cell>
          <cell r="C304">
            <v>1.75</v>
          </cell>
          <cell r="D304">
            <v>3.8</v>
          </cell>
          <cell r="F304" t="str">
            <v>-</v>
          </cell>
          <cell r="H304" t="str">
            <v>-</v>
          </cell>
          <cell r="I304">
            <v>3.8</v>
          </cell>
          <cell r="K304" t="str">
            <v>-</v>
          </cell>
          <cell r="L304" t="str">
            <v>-</v>
          </cell>
          <cell r="M304">
            <v>5.3740115370177612</v>
          </cell>
          <cell r="O304">
            <v>0.13</v>
          </cell>
          <cell r="T304" t="str">
            <v>-</v>
          </cell>
          <cell r="U304" t="str">
            <v>-</v>
          </cell>
        </row>
        <row r="305">
          <cell r="B305" t="str">
            <v>M4X4.08</v>
          </cell>
          <cell r="C305">
            <v>1.27</v>
          </cell>
          <cell r="D305">
            <v>4</v>
          </cell>
          <cell r="F305" t="str">
            <v>-</v>
          </cell>
          <cell r="H305" t="str">
            <v>-</v>
          </cell>
          <cell r="I305">
            <v>2.25</v>
          </cell>
          <cell r="K305" t="str">
            <v>-</v>
          </cell>
          <cell r="L305" t="str">
            <v>-</v>
          </cell>
          <cell r="M305">
            <v>4.5893899376714549</v>
          </cell>
          <cell r="O305">
            <v>0.115</v>
          </cell>
          <cell r="T305" t="str">
            <v>-</v>
          </cell>
          <cell r="U305" t="str">
            <v>-</v>
          </cell>
        </row>
        <row r="306">
          <cell r="B306" t="str">
            <v>M3X2.9</v>
          </cell>
          <cell r="C306">
            <v>0.91400000000000003</v>
          </cell>
          <cell r="D306">
            <v>3</v>
          </cell>
          <cell r="F306" t="str">
            <v>-</v>
          </cell>
          <cell r="H306" t="str">
            <v>-</v>
          </cell>
          <cell r="I306">
            <v>2.25</v>
          </cell>
          <cell r="K306" t="str">
            <v>-</v>
          </cell>
          <cell r="L306" t="str">
            <v>-</v>
          </cell>
          <cell r="M306">
            <v>3.75</v>
          </cell>
          <cell r="O306">
            <v>0.09</v>
          </cell>
          <cell r="T306" t="str">
            <v>-</v>
          </cell>
          <cell r="U306" t="str">
            <v>-</v>
          </cell>
        </row>
        <row r="307">
          <cell r="B307" t="str">
            <v>S24X121</v>
          </cell>
          <cell r="C307">
            <v>35.5</v>
          </cell>
          <cell r="D307">
            <v>24.5</v>
          </cell>
          <cell r="F307" t="str">
            <v>-</v>
          </cell>
          <cell r="H307" t="str">
            <v>-</v>
          </cell>
          <cell r="I307">
            <v>8.0500000000000007</v>
          </cell>
          <cell r="K307" t="str">
            <v>-</v>
          </cell>
          <cell r="L307" t="str">
            <v>-</v>
          </cell>
          <cell r="M307">
            <v>25.788611827704106</v>
          </cell>
          <cell r="O307">
            <v>0.8</v>
          </cell>
          <cell r="T307" t="str">
            <v>-</v>
          </cell>
          <cell r="U307" t="str">
            <v>-</v>
          </cell>
        </row>
        <row r="308">
          <cell r="B308" t="str">
            <v>S24X106</v>
          </cell>
          <cell r="C308">
            <v>31.1</v>
          </cell>
          <cell r="D308">
            <v>24.5</v>
          </cell>
          <cell r="F308" t="str">
            <v>-</v>
          </cell>
          <cell r="H308" t="str">
            <v>-</v>
          </cell>
          <cell r="I308">
            <v>7.87</v>
          </cell>
          <cell r="K308" t="str">
            <v>-</v>
          </cell>
          <cell r="L308" t="str">
            <v>-</v>
          </cell>
          <cell r="M308">
            <v>25.732992441610829</v>
          </cell>
          <cell r="O308">
            <v>0.62</v>
          </cell>
          <cell r="T308" t="str">
            <v>-</v>
          </cell>
          <cell r="U308" t="str">
            <v>-</v>
          </cell>
        </row>
        <row r="309">
          <cell r="B309" t="str">
            <v>S24X100</v>
          </cell>
          <cell r="C309">
            <v>29.3</v>
          </cell>
          <cell r="D309">
            <v>24</v>
          </cell>
          <cell r="F309" t="str">
            <v>-</v>
          </cell>
          <cell r="H309" t="str">
            <v>-</v>
          </cell>
          <cell r="I309">
            <v>7.25</v>
          </cell>
          <cell r="K309" t="str">
            <v>-</v>
          </cell>
          <cell r="L309" t="str">
            <v>-</v>
          </cell>
          <cell r="M309">
            <v>25.0711487570873</v>
          </cell>
          <cell r="O309">
            <v>0.745</v>
          </cell>
          <cell r="T309" t="str">
            <v>-</v>
          </cell>
          <cell r="U309" t="str">
            <v>-</v>
          </cell>
        </row>
        <row r="310">
          <cell r="B310" t="str">
            <v>S24X90</v>
          </cell>
          <cell r="C310">
            <v>26.5</v>
          </cell>
          <cell r="D310">
            <v>24</v>
          </cell>
          <cell r="F310" t="str">
            <v>-</v>
          </cell>
          <cell r="H310" t="str">
            <v>-</v>
          </cell>
          <cell r="I310">
            <v>7.13</v>
          </cell>
          <cell r="K310" t="str">
            <v>-</v>
          </cell>
          <cell r="L310" t="str">
            <v>-</v>
          </cell>
          <cell r="M310">
            <v>25.036711045982059</v>
          </cell>
          <cell r="O310">
            <v>0.625</v>
          </cell>
          <cell r="T310" t="str">
            <v>-</v>
          </cell>
          <cell r="U310" t="str">
            <v>-</v>
          </cell>
        </row>
        <row r="311">
          <cell r="B311" t="str">
            <v>S24X80</v>
          </cell>
          <cell r="C311">
            <v>23.5</v>
          </cell>
          <cell r="D311">
            <v>24</v>
          </cell>
          <cell r="F311" t="str">
            <v>-</v>
          </cell>
          <cell r="H311" t="str">
            <v>-</v>
          </cell>
          <cell r="I311">
            <v>7</v>
          </cell>
          <cell r="K311" t="str">
            <v>-</v>
          </cell>
          <cell r="L311" t="str">
            <v>-</v>
          </cell>
          <cell r="M311">
            <v>25</v>
          </cell>
          <cell r="O311">
            <v>0.5</v>
          </cell>
          <cell r="T311" t="str">
            <v>-</v>
          </cell>
          <cell r="U311" t="str">
            <v>-</v>
          </cell>
        </row>
        <row r="312">
          <cell r="B312" t="str">
            <v>S20X96</v>
          </cell>
          <cell r="C312">
            <v>28.2</v>
          </cell>
          <cell r="D312">
            <v>20.3</v>
          </cell>
          <cell r="F312" t="str">
            <v>-</v>
          </cell>
          <cell r="H312" t="str">
            <v>-</v>
          </cell>
          <cell r="I312">
            <v>7.2</v>
          </cell>
          <cell r="K312" t="str">
            <v>-</v>
          </cell>
          <cell r="L312" t="str">
            <v>-</v>
          </cell>
          <cell r="M312">
            <v>21.539034333042881</v>
          </cell>
          <cell r="O312">
            <v>0.8</v>
          </cell>
          <cell r="T312" t="str">
            <v>-</v>
          </cell>
          <cell r="U312" t="str">
            <v>-</v>
          </cell>
        </row>
        <row r="313">
          <cell r="B313" t="str">
            <v>S20X86</v>
          </cell>
          <cell r="C313">
            <v>25.3</v>
          </cell>
          <cell r="D313">
            <v>20.3</v>
          </cell>
          <cell r="F313" t="str">
            <v>-</v>
          </cell>
          <cell r="H313" t="str">
            <v>-</v>
          </cell>
          <cell r="I313">
            <v>7.06</v>
          </cell>
          <cell r="K313" t="str">
            <v>-</v>
          </cell>
          <cell r="L313" t="str">
            <v>-</v>
          </cell>
          <cell r="M313">
            <v>21.492640600912676</v>
          </cell>
          <cell r="O313">
            <v>0.66</v>
          </cell>
          <cell r="T313" t="str">
            <v>-</v>
          </cell>
          <cell r="U313" t="str">
            <v>-</v>
          </cell>
        </row>
        <row r="314">
          <cell r="B314" t="str">
            <v>S20X75</v>
          </cell>
          <cell r="C314">
            <v>22</v>
          </cell>
          <cell r="D314">
            <v>20</v>
          </cell>
          <cell r="F314" t="str">
            <v>-</v>
          </cell>
          <cell r="H314" t="str">
            <v>-</v>
          </cell>
          <cell r="I314">
            <v>6.39</v>
          </cell>
          <cell r="K314" t="str">
            <v>-</v>
          </cell>
          <cell r="L314" t="str">
            <v>-</v>
          </cell>
          <cell r="M314">
            <v>20.99600200038093</v>
          </cell>
          <cell r="O314">
            <v>0.63500000000000001</v>
          </cell>
          <cell r="T314" t="str">
            <v>-</v>
          </cell>
          <cell r="U314" t="str">
            <v>-</v>
          </cell>
        </row>
        <row r="315">
          <cell r="B315" t="str">
            <v>S20X66</v>
          </cell>
          <cell r="C315">
            <v>19.399999999999999</v>
          </cell>
          <cell r="D315">
            <v>20</v>
          </cell>
          <cell r="F315" t="str">
            <v>-</v>
          </cell>
          <cell r="H315" t="str">
            <v>-</v>
          </cell>
          <cell r="I315">
            <v>6.26</v>
          </cell>
          <cell r="K315" t="str">
            <v>-</v>
          </cell>
          <cell r="L315" t="str">
            <v>-</v>
          </cell>
          <cell r="M315">
            <v>20.956803191326678</v>
          </cell>
          <cell r="O315">
            <v>0.505</v>
          </cell>
          <cell r="T315" t="str">
            <v>-</v>
          </cell>
          <cell r="U315" t="str">
            <v>-</v>
          </cell>
        </row>
        <row r="316">
          <cell r="B316" t="str">
            <v>S18X70</v>
          </cell>
          <cell r="C316">
            <v>20.5</v>
          </cell>
          <cell r="D316">
            <v>18</v>
          </cell>
          <cell r="F316" t="str">
            <v>-</v>
          </cell>
          <cell r="H316" t="str">
            <v>-</v>
          </cell>
          <cell r="I316">
            <v>6.25</v>
          </cell>
          <cell r="K316" t="str">
            <v>-</v>
          </cell>
          <cell r="L316" t="str">
            <v>-</v>
          </cell>
          <cell r="M316">
            <v>19.054199012291228</v>
          </cell>
          <cell r="O316">
            <v>0.71099999999999997</v>
          </cell>
          <cell r="T316" t="str">
            <v>-</v>
          </cell>
          <cell r="U316" t="str">
            <v>-</v>
          </cell>
        </row>
        <row r="317">
          <cell r="B317" t="str">
            <v>S18X54.7</v>
          </cell>
          <cell r="C317">
            <v>16</v>
          </cell>
          <cell r="D317">
            <v>18</v>
          </cell>
          <cell r="F317" t="str">
            <v>-</v>
          </cell>
          <cell r="H317" t="str">
            <v>-</v>
          </cell>
          <cell r="I317">
            <v>6</v>
          </cell>
          <cell r="K317" t="str">
            <v>-</v>
          </cell>
          <cell r="L317" t="str">
            <v>-</v>
          </cell>
          <cell r="M317">
            <v>18.973665961010276</v>
          </cell>
          <cell r="O317">
            <v>0.46100000000000002</v>
          </cell>
          <cell r="T317" t="str">
            <v>-</v>
          </cell>
          <cell r="U317" t="str">
            <v>-</v>
          </cell>
        </row>
        <row r="318">
          <cell r="B318" t="str">
            <v>S15X50</v>
          </cell>
          <cell r="C318">
            <v>14.7</v>
          </cell>
          <cell r="D318">
            <v>15</v>
          </cell>
          <cell r="F318" t="str">
            <v>-</v>
          </cell>
          <cell r="H318" t="str">
            <v>-</v>
          </cell>
          <cell r="I318">
            <v>5.64</v>
          </cell>
          <cell r="K318" t="str">
            <v>-</v>
          </cell>
          <cell r="L318" t="str">
            <v>-</v>
          </cell>
          <cell r="M318">
            <v>16.025280028754569</v>
          </cell>
          <cell r="O318">
            <v>0.55000000000000004</v>
          </cell>
          <cell r="T318" t="str">
            <v>-</v>
          </cell>
          <cell r="U318" t="str">
            <v>-</v>
          </cell>
        </row>
        <row r="319">
          <cell r="B319" t="str">
            <v>S15X42.9</v>
          </cell>
          <cell r="C319">
            <v>12.6</v>
          </cell>
          <cell r="D319">
            <v>15</v>
          </cell>
          <cell r="F319" t="str">
            <v>-</v>
          </cell>
          <cell r="H319" t="str">
            <v>-</v>
          </cell>
          <cell r="I319">
            <v>5.5</v>
          </cell>
          <cell r="K319" t="str">
            <v>-</v>
          </cell>
          <cell r="L319" t="str">
            <v>-</v>
          </cell>
          <cell r="M319">
            <v>15.976545308670458</v>
          </cell>
          <cell r="O319">
            <v>0.41099999999999998</v>
          </cell>
          <cell r="T319" t="str">
            <v>-</v>
          </cell>
          <cell r="U319" t="str">
            <v>-</v>
          </cell>
        </row>
        <row r="320">
          <cell r="B320" t="str">
            <v>S12X50</v>
          </cell>
          <cell r="C320">
            <v>14.7</v>
          </cell>
          <cell r="D320">
            <v>12</v>
          </cell>
          <cell r="F320" t="str">
            <v>-</v>
          </cell>
          <cell r="H320" t="str">
            <v>-</v>
          </cell>
          <cell r="I320">
            <v>5.48</v>
          </cell>
          <cell r="K320" t="str">
            <v>-</v>
          </cell>
          <cell r="L320" t="str">
            <v>-</v>
          </cell>
          <cell r="M320">
            <v>13.192058216972816</v>
          </cell>
          <cell r="O320">
            <v>0.68700000000000006</v>
          </cell>
          <cell r="T320" t="str">
            <v>-</v>
          </cell>
          <cell r="U320" t="str">
            <v>-</v>
          </cell>
        </row>
        <row r="321">
          <cell r="B321" t="str">
            <v>S12X40.8</v>
          </cell>
          <cell r="C321">
            <v>11.9</v>
          </cell>
          <cell r="D321">
            <v>12</v>
          </cell>
          <cell r="F321" t="str">
            <v>-</v>
          </cell>
          <cell r="H321" t="str">
            <v>-</v>
          </cell>
          <cell r="I321">
            <v>5.25</v>
          </cell>
          <cell r="K321" t="str">
            <v>-</v>
          </cell>
          <cell r="L321" t="str">
            <v>-</v>
          </cell>
          <cell r="M321">
            <v>13.098186897429736</v>
          </cell>
          <cell r="O321">
            <v>0.46200000000000002</v>
          </cell>
          <cell r="T321" t="str">
            <v>-</v>
          </cell>
          <cell r="U321" t="str">
            <v>-</v>
          </cell>
        </row>
        <row r="322">
          <cell r="B322" t="str">
            <v>S12X35</v>
          </cell>
          <cell r="C322">
            <v>10.199999999999999</v>
          </cell>
          <cell r="D322">
            <v>12</v>
          </cell>
          <cell r="F322" t="str">
            <v>-</v>
          </cell>
          <cell r="H322" t="str">
            <v>-</v>
          </cell>
          <cell r="I322">
            <v>5.08</v>
          </cell>
          <cell r="K322" t="str">
            <v>-</v>
          </cell>
          <cell r="L322" t="str">
            <v>-</v>
          </cell>
          <cell r="M322">
            <v>13.030978474389403</v>
          </cell>
          <cell r="O322">
            <v>0.42799999999999999</v>
          </cell>
          <cell r="T322" t="str">
            <v>-</v>
          </cell>
          <cell r="U322" t="str">
            <v>-</v>
          </cell>
        </row>
        <row r="323">
          <cell r="B323" t="str">
            <v>S12X31.8</v>
          </cell>
          <cell r="C323">
            <v>9.31</v>
          </cell>
          <cell r="D323">
            <v>12</v>
          </cell>
          <cell r="F323" t="str">
            <v>-</v>
          </cell>
          <cell r="H323" t="str">
            <v>-</v>
          </cell>
          <cell r="I323">
            <v>5</v>
          </cell>
          <cell r="K323" t="str">
            <v>-</v>
          </cell>
          <cell r="L323" t="str">
            <v>-</v>
          </cell>
          <cell r="M323">
            <v>13</v>
          </cell>
          <cell r="O323">
            <v>0.35</v>
          </cell>
          <cell r="T323" t="str">
            <v>-</v>
          </cell>
          <cell r="U323" t="str">
            <v>-</v>
          </cell>
        </row>
        <row r="324">
          <cell r="B324" t="str">
            <v>S10X35</v>
          </cell>
          <cell r="C324">
            <v>10.3</v>
          </cell>
          <cell r="D324">
            <v>10</v>
          </cell>
          <cell r="F324" t="str">
            <v>-</v>
          </cell>
          <cell r="H324" t="str">
            <v>-</v>
          </cell>
          <cell r="I324">
            <v>4.9400000000000004</v>
          </cell>
          <cell r="K324" t="str">
            <v>-</v>
          </cell>
          <cell r="L324" t="str">
            <v>-</v>
          </cell>
          <cell r="M324">
            <v>11.153636178394919</v>
          </cell>
          <cell r="O324">
            <v>0.59399999999999997</v>
          </cell>
          <cell r="T324" t="str">
            <v>-</v>
          </cell>
          <cell r="U324" t="str">
            <v>-</v>
          </cell>
        </row>
        <row r="325">
          <cell r="B325" t="str">
            <v>S10X25.4</v>
          </cell>
          <cell r="C325">
            <v>7.45</v>
          </cell>
          <cell r="D325">
            <v>10</v>
          </cell>
          <cell r="F325" t="str">
            <v>-</v>
          </cell>
          <cell r="H325" t="str">
            <v>-</v>
          </cell>
          <cell r="I325">
            <v>4.66</v>
          </cell>
          <cell r="K325" t="str">
            <v>-</v>
          </cell>
          <cell r="L325" t="str">
            <v>-</v>
          </cell>
          <cell r="M325">
            <v>11.032479322437002</v>
          </cell>
          <cell r="O325">
            <v>0.311</v>
          </cell>
          <cell r="T325" t="str">
            <v>-</v>
          </cell>
          <cell r="U325" t="str">
            <v>-</v>
          </cell>
        </row>
        <row r="326">
          <cell r="B326" t="str">
            <v>S8X23</v>
          </cell>
          <cell r="C326">
            <v>6.76</v>
          </cell>
          <cell r="D326">
            <v>8</v>
          </cell>
          <cell r="F326" t="str">
            <v>-</v>
          </cell>
          <cell r="H326" t="str">
            <v>-</v>
          </cell>
          <cell r="I326">
            <v>4.17</v>
          </cell>
          <cell r="K326" t="str">
            <v>-</v>
          </cell>
          <cell r="L326" t="str">
            <v>-</v>
          </cell>
          <cell r="M326">
            <v>9.0215796842903302</v>
          </cell>
          <cell r="O326">
            <v>0.441</v>
          </cell>
          <cell r="T326" t="str">
            <v>-</v>
          </cell>
          <cell r="U326" t="str">
            <v>-</v>
          </cell>
        </row>
        <row r="327">
          <cell r="B327" t="str">
            <v>S8X18.4</v>
          </cell>
          <cell r="C327">
            <v>5.4</v>
          </cell>
          <cell r="D327">
            <v>8</v>
          </cell>
          <cell r="F327" t="str">
            <v>-</v>
          </cell>
          <cell r="H327" t="str">
            <v>-</v>
          </cell>
          <cell r="I327">
            <v>4</v>
          </cell>
          <cell r="K327" t="str">
            <v>-</v>
          </cell>
          <cell r="L327" t="str">
            <v>-</v>
          </cell>
          <cell r="M327">
            <v>8.9442719099991592</v>
          </cell>
          <cell r="O327">
            <v>0.27100000000000002</v>
          </cell>
          <cell r="T327" t="str">
            <v>-</v>
          </cell>
          <cell r="U327" t="str">
            <v>-</v>
          </cell>
        </row>
        <row r="328">
          <cell r="B328" t="str">
            <v>S6X17.25</v>
          </cell>
          <cell r="C328">
            <v>5.05</v>
          </cell>
          <cell r="D328">
            <v>6</v>
          </cell>
          <cell r="F328" t="str">
            <v>-</v>
          </cell>
          <cell r="H328" t="str">
            <v>-</v>
          </cell>
          <cell r="I328">
            <v>3.57</v>
          </cell>
          <cell r="K328" t="str">
            <v>-</v>
          </cell>
          <cell r="L328" t="str">
            <v>-</v>
          </cell>
          <cell r="M328">
            <v>6.9817547937463402</v>
          </cell>
          <cell r="O328">
            <v>0.46500000000000002</v>
          </cell>
          <cell r="T328" t="str">
            <v>-</v>
          </cell>
          <cell r="U328" t="str">
            <v>-</v>
          </cell>
        </row>
        <row r="329">
          <cell r="B329" t="str">
            <v>S6X12.5</v>
          </cell>
          <cell r="C329">
            <v>3.66</v>
          </cell>
          <cell r="D329">
            <v>6</v>
          </cell>
          <cell r="F329" t="str">
            <v>-</v>
          </cell>
          <cell r="H329" t="str">
            <v>-</v>
          </cell>
          <cell r="I329">
            <v>3.33</v>
          </cell>
          <cell r="K329" t="str">
            <v>-</v>
          </cell>
          <cell r="L329" t="str">
            <v>-</v>
          </cell>
          <cell r="M329">
            <v>6.8621352362074592</v>
          </cell>
          <cell r="O329">
            <v>0.23200000000000001</v>
          </cell>
          <cell r="T329" t="str">
            <v>-</v>
          </cell>
          <cell r="U329" t="str">
            <v>-</v>
          </cell>
        </row>
        <row r="330">
          <cell r="B330" t="str">
            <v>S5X10</v>
          </cell>
          <cell r="C330">
            <v>2.93</v>
          </cell>
          <cell r="D330">
            <v>5</v>
          </cell>
          <cell r="F330" t="str">
            <v>-</v>
          </cell>
          <cell r="H330" t="str">
            <v>-</v>
          </cell>
          <cell r="I330">
            <v>3</v>
          </cell>
          <cell r="K330" t="str">
            <v>-</v>
          </cell>
          <cell r="L330" t="str">
            <v>-</v>
          </cell>
          <cell r="M330">
            <v>5.8309518948453007</v>
          </cell>
          <cell r="O330">
            <v>0.214</v>
          </cell>
          <cell r="T330" t="str">
            <v>-</v>
          </cell>
          <cell r="U330" t="str">
            <v>-</v>
          </cell>
        </row>
        <row r="331">
          <cell r="B331" t="str">
            <v>S4X9.5</v>
          </cell>
          <cell r="C331">
            <v>2.79</v>
          </cell>
          <cell r="D331">
            <v>4</v>
          </cell>
          <cell r="F331" t="str">
            <v>-</v>
          </cell>
          <cell r="H331" t="str">
            <v>-</v>
          </cell>
          <cell r="I331">
            <v>2.8</v>
          </cell>
          <cell r="K331" t="str">
            <v>-</v>
          </cell>
          <cell r="L331" t="str">
            <v>-</v>
          </cell>
          <cell r="M331">
            <v>4.8826222462934812</v>
          </cell>
          <cell r="O331">
            <v>0.32600000000000001</v>
          </cell>
          <cell r="T331" t="str">
            <v>-</v>
          </cell>
          <cell r="U331" t="str">
            <v>-</v>
          </cell>
        </row>
        <row r="332">
          <cell r="B332" t="str">
            <v>S4X7.7</v>
          </cell>
          <cell r="C332">
            <v>2.2599999999999998</v>
          </cell>
          <cell r="D332">
            <v>4</v>
          </cell>
          <cell r="F332" t="str">
            <v>-</v>
          </cell>
          <cell r="H332" t="str">
            <v>-</v>
          </cell>
          <cell r="I332">
            <v>2.66</v>
          </cell>
          <cell r="K332" t="str">
            <v>-</v>
          </cell>
          <cell r="L332" t="str">
            <v>-</v>
          </cell>
          <cell r="M332">
            <v>4.8037069019664385</v>
          </cell>
          <cell r="O332">
            <v>0.193</v>
          </cell>
          <cell r="T332" t="str">
            <v>-</v>
          </cell>
          <cell r="U332" t="str">
            <v>-</v>
          </cell>
        </row>
        <row r="333">
          <cell r="B333" t="str">
            <v>S3X7.5</v>
          </cell>
          <cell r="C333">
            <v>2.2000000000000002</v>
          </cell>
          <cell r="D333">
            <v>3</v>
          </cell>
          <cell r="F333" t="str">
            <v>-</v>
          </cell>
          <cell r="H333" t="str">
            <v>-</v>
          </cell>
          <cell r="I333">
            <v>2.5099999999999998</v>
          </cell>
          <cell r="K333" t="str">
            <v>-</v>
          </cell>
          <cell r="L333" t="str">
            <v>-</v>
          </cell>
          <cell r="M333">
            <v>3.9115342258505166</v>
          </cell>
          <cell r="O333">
            <v>0.34899999999999998</v>
          </cell>
          <cell r="T333" t="str">
            <v>-</v>
          </cell>
          <cell r="U333" t="str">
            <v>-</v>
          </cell>
        </row>
        <row r="334">
          <cell r="B334" t="str">
            <v>S3X5.7</v>
          </cell>
          <cell r="C334">
            <v>1.66</v>
          </cell>
          <cell r="D334">
            <v>3</v>
          </cell>
          <cell r="F334" t="str">
            <v>-</v>
          </cell>
          <cell r="H334" t="str">
            <v>-</v>
          </cell>
          <cell r="I334">
            <v>2.33</v>
          </cell>
          <cell r="K334" t="str">
            <v>-</v>
          </cell>
          <cell r="L334" t="str">
            <v>-</v>
          </cell>
          <cell r="M334">
            <v>3.7985391929003445</v>
          </cell>
          <cell r="O334">
            <v>0.17</v>
          </cell>
          <cell r="T334" t="str">
            <v>-</v>
          </cell>
          <cell r="U334" t="str">
            <v>-</v>
          </cell>
        </row>
        <row r="335">
          <cell r="B335" t="str">
            <v>HP18X204</v>
          </cell>
          <cell r="C335">
            <v>60.2</v>
          </cell>
          <cell r="D335">
            <v>18.3</v>
          </cell>
          <cell r="F335" t="str">
            <v>-</v>
          </cell>
          <cell r="H335" t="str">
            <v>-</v>
          </cell>
          <cell r="I335">
            <v>18.100000000000001</v>
          </cell>
          <cell r="K335" t="str">
            <v>-</v>
          </cell>
          <cell r="L335" t="str">
            <v>-</v>
          </cell>
          <cell r="M335">
            <v>25.739075352467502</v>
          </cell>
          <cell r="O335">
            <v>1.1299999999999999</v>
          </cell>
          <cell r="T335" t="str">
            <v>-</v>
          </cell>
          <cell r="U335" t="str">
            <v>-</v>
          </cell>
        </row>
        <row r="336">
          <cell r="B336" t="str">
            <v>HP18X181</v>
          </cell>
          <cell r="C336">
            <v>53.2</v>
          </cell>
          <cell r="D336">
            <v>18</v>
          </cell>
          <cell r="F336" t="str">
            <v>-</v>
          </cell>
          <cell r="H336" t="str">
            <v>-</v>
          </cell>
          <cell r="I336">
            <v>18</v>
          </cell>
          <cell r="K336" t="str">
            <v>-</v>
          </cell>
          <cell r="L336" t="str">
            <v>-</v>
          </cell>
          <cell r="M336">
            <v>25.45584412271571</v>
          </cell>
          <cell r="O336">
            <v>1</v>
          </cell>
          <cell r="T336" t="str">
            <v>-</v>
          </cell>
          <cell r="U336" t="str">
            <v>-</v>
          </cell>
        </row>
        <row r="337">
          <cell r="B337" t="str">
            <v>HP18X157</v>
          </cell>
          <cell r="C337">
            <v>46.2</v>
          </cell>
          <cell r="D337">
            <v>17.7</v>
          </cell>
          <cell r="F337" t="str">
            <v>-</v>
          </cell>
          <cell r="H337" t="str">
            <v>-</v>
          </cell>
          <cell r="I337">
            <v>17.899999999999999</v>
          </cell>
          <cell r="K337" t="str">
            <v>-</v>
          </cell>
          <cell r="L337" t="str">
            <v>-</v>
          </cell>
          <cell r="M337">
            <v>25.173398658107331</v>
          </cell>
          <cell r="O337">
            <v>0.87</v>
          </cell>
          <cell r="T337" t="str">
            <v>-</v>
          </cell>
          <cell r="U337" t="str">
            <v>-</v>
          </cell>
        </row>
        <row r="338">
          <cell r="B338" t="str">
            <v>HP18X135</v>
          </cell>
          <cell r="C338">
            <v>39.9</v>
          </cell>
          <cell r="D338">
            <v>17.5</v>
          </cell>
          <cell r="F338" t="str">
            <v>-</v>
          </cell>
          <cell r="H338" t="str">
            <v>-</v>
          </cell>
          <cell r="I338">
            <v>17.8</v>
          </cell>
          <cell r="K338" t="str">
            <v>-</v>
          </cell>
          <cell r="L338" t="str">
            <v>-</v>
          </cell>
          <cell r="M338">
            <v>24.961770770520268</v>
          </cell>
          <cell r="O338">
            <v>0.75</v>
          </cell>
          <cell r="T338" t="str">
            <v>-</v>
          </cell>
          <cell r="U338" t="str">
            <v>-</v>
          </cell>
        </row>
        <row r="339">
          <cell r="B339" t="str">
            <v>HP16X183</v>
          </cell>
          <cell r="C339">
            <v>54.1</v>
          </cell>
          <cell r="D339">
            <v>16.5</v>
          </cell>
          <cell r="F339" t="str">
            <v>-</v>
          </cell>
          <cell r="H339" t="str">
            <v>-</v>
          </cell>
          <cell r="I339">
            <v>16.3</v>
          </cell>
          <cell r="K339" t="str">
            <v>-</v>
          </cell>
          <cell r="L339" t="str">
            <v>-</v>
          </cell>
          <cell r="M339">
            <v>23.193533581582606</v>
          </cell>
          <cell r="O339">
            <v>1.1299999999999999</v>
          </cell>
          <cell r="T339" t="str">
            <v>-</v>
          </cell>
          <cell r="U339" t="str">
            <v>-</v>
          </cell>
        </row>
        <row r="340">
          <cell r="B340" t="str">
            <v>HP16X162</v>
          </cell>
          <cell r="C340">
            <v>47.7</v>
          </cell>
          <cell r="D340">
            <v>16.3</v>
          </cell>
          <cell r="F340" t="str">
            <v>-</v>
          </cell>
          <cell r="H340" t="str">
            <v>-</v>
          </cell>
          <cell r="I340">
            <v>16.100000000000001</v>
          </cell>
          <cell r="K340" t="str">
            <v>-</v>
          </cell>
          <cell r="L340" t="str">
            <v>-</v>
          </cell>
          <cell r="M340">
            <v>22.910696191953662</v>
          </cell>
          <cell r="O340">
            <v>1</v>
          </cell>
          <cell r="T340" t="str">
            <v>-</v>
          </cell>
          <cell r="U340" t="str">
            <v>-</v>
          </cell>
        </row>
        <row r="341">
          <cell r="B341" t="str">
            <v>HP16X141</v>
          </cell>
          <cell r="C341">
            <v>41.7</v>
          </cell>
          <cell r="D341">
            <v>16</v>
          </cell>
          <cell r="F341" t="str">
            <v>-</v>
          </cell>
          <cell r="H341" t="str">
            <v>-</v>
          </cell>
          <cell r="I341">
            <v>16</v>
          </cell>
          <cell r="K341" t="str">
            <v>-</v>
          </cell>
          <cell r="L341" t="str">
            <v>-</v>
          </cell>
          <cell r="M341">
            <v>22.627416997969522</v>
          </cell>
          <cell r="O341">
            <v>0.875</v>
          </cell>
          <cell r="T341" t="str">
            <v>-</v>
          </cell>
          <cell r="U341" t="str">
            <v>-</v>
          </cell>
        </row>
        <row r="342">
          <cell r="B342" t="str">
            <v>HP16X121</v>
          </cell>
          <cell r="C342">
            <v>35.799999999999997</v>
          </cell>
          <cell r="D342">
            <v>15.8</v>
          </cell>
          <cell r="F342" t="str">
            <v>-</v>
          </cell>
          <cell r="H342" t="str">
            <v>-</v>
          </cell>
          <cell r="I342">
            <v>15.9</v>
          </cell>
          <cell r="K342" t="str">
            <v>-</v>
          </cell>
          <cell r="L342" t="str">
            <v>-</v>
          </cell>
          <cell r="M342">
            <v>22.415396494374129</v>
          </cell>
          <cell r="O342">
            <v>0.75</v>
          </cell>
          <cell r="T342" t="str">
            <v>-</v>
          </cell>
          <cell r="U342" t="str">
            <v>-</v>
          </cell>
        </row>
        <row r="343">
          <cell r="B343" t="str">
            <v>HP16X101</v>
          </cell>
          <cell r="C343">
            <v>29.9</v>
          </cell>
          <cell r="D343">
            <v>15.5</v>
          </cell>
          <cell r="F343" t="str">
            <v>-</v>
          </cell>
          <cell r="H343" t="str">
            <v>-</v>
          </cell>
          <cell r="I343">
            <v>15.8</v>
          </cell>
          <cell r="K343" t="str">
            <v>-</v>
          </cell>
          <cell r="L343" t="str">
            <v>-</v>
          </cell>
          <cell r="M343">
            <v>22.133458834985554</v>
          </cell>
          <cell r="O343">
            <v>0.625</v>
          </cell>
          <cell r="T343" t="str">
            <v>-</v>
          </cell>
          <cell r="U343" t="str">
            <v>-</v>
          </cell>
        </row>
        <row r="344">
          <cell r="B344" t="str">
            <v>HP16X88</v>
          </cell>
          <cell r="C344">
            <v>25.8</v>
          </cell>
          <cell r="D344">
            <v>15.3</v>
          </cell>
          <cell r="F344" t="str">
            <v>-</v>
          </cell>
          <cell r="H344" t="str">
            <v>-</v>
          </cell>
          <cell r="I344">
            <v>15.7</v>
          </cell>
          <cell r="K344" t="str">
            <v>-</v>
          </cell>
          <cell r="L344" t="str">
            <v>-</v>
          </cell>
          <cell r="M344">
            <v>21.922134932528813</v>
          </cell>
          <cell r="O344">
            <v>0.54</v>
          </cell>
          <cell r="T344" t="str">
            <v>-</v>
          </cell>
          <cell r="U344" t="str">
            <v>-</v>
          </cell>
        </row>
        <row r="345">
          <cell r="B345" t="str">
            <v>HP14X117</v>
          </cell>
          <cell r="C345">
            <v>34.4</v>
          </cell>
          <cell r="D345">
            <v>14.2</v>
          </cell>
          <cell r="F345" t="str">
            <v>-</v>
          </cell>
          <cell r="H345" t="str">
            <v>-</v>
          </cell>
          <cell r="I345">
            <v>14.9</v>
          </cell>
          <cell r="K345" t="str">
            <v>-</v>
          </cell>
          <cell r="L345" t="str">
            <v>-</v>
          </cell>
          <cell r="M345">
            <v>20.582759776084451</v>
          </cell>
          <cell r="O345">
            <v>0.80500000000000005</v>
          </cell>
          <cell r="T345" t="str">
            <v>-</v>
          </cell>
          <cell r="U345" t="str">
            <v>-</v>
          </cell>
        </row>
        <row r="346">
          <cell r="B346" t="str">
            <v>HP14X102</v>
          </cell>
          <cell r="C346">
            <v>30.1</v>
          </cell>
          <cell r="D346">
            <v>14</v>
          </cell>
          <cell r="F346" t="str">
            <v>-</v>
          </cell>
          <cell r="H346" t="str">
            <v>-</v>
          </cell>
          <cell r="I346">
            <v>14.8</v>
          </cell>
          <cell r="K346" t="str">
            <v>-</v>
          </cell>
          <cell r="L346" t="str">
            <v>-</v>
          </cell>
          <cell r="M346">
            <v>20.37253052519495</v>
          </cell>
          <cell r="O346">
            <v>0.70499999999999996</v>
          </cell>
          <cell r="T346" t="str">
            <v>-</v>
          </cell>
          <cell r="U346" t="str">
            <v>-</v>
          </cell>
        </row>
        <row r="347">
          <cell r="B347" t="str">
            <v>HP14X89</v>
          </cell>
          <cell r="C347">
            <v>26.1</v>
          </cell>
          <cell r="D347">
            <v>13.8</v>
          </cell>
          <cell r="F347" t="str">
            <v>-</v>
          </cell>
          <cell r="H347" t="str">
            <v>-</v>
          </cell>
          <cell r="I347">
            <v>14.7</v>
          </cell>
          <cell r="K347" t="str">
            <v>-</v>
          </cell>
          <cell r="L347" t="str">
            <v>-</v>
          </cell>
          <cell r="M347">
            <v>20.162589119455863</v>
          </cell>
          <cell r="O347">
            <v>0.61499999999999999</v>
          </cell>
          <cell r="T347" t="str">
            <v>-</v>
          </cell>
          <cell r="U347" t="str">
            <v>-</v>
          </cell>
        </row>
        <row r="348">
          <cell r="B348" t="str">
            <v>HP14X73</v>
          </cell>
          <cell r="C348">
            <v>21.4</v>
          </cell>
          <cell r="D348">
            <v>13.6</v>
          </cell>
          <cell r="F348" t="str">
            <v>-</v>
          </cell>
          <cell r="H348" t="str">
            <v>-</v>
          </cell>
          <cell r="I348">
            <v>14.6</v>
          </cell>
          <cell r="K348" t="str">
            <v>-</v>
          </cell>
          <cell r="L348" t="str">
            <v>-</v>
          </cell>
          <cell r="M348">
            <v>19.952944644838766</v>
          </cell>
          <cell r="O348">
            <v>0.505</v>
          </cell>
          <cell r="T348" t="str">
            <v>-</v>
          </cell>
          <cell r="U348" t="str">
            <v>-</v>
          </cell>
        </row>
        <row r="349">
          <cell r="B349" t="str">
            <v>HP12X89</v>
          </cell>
          <cell r="C349">
            <v>25.9</v>
          </cell>
          <cell r="D349">
            <v>12.4</v>
          </cell>
          <cell r="F349" t="str">
            <v>-</v>
          </cell>
          <cell r="H349" t="str">
            <v>-</v>
          </cell>
          <cell r="I349">
            <v>12.3</v>
          </cell>
          <cell r="K349" t="str">
            <v>-</v>
          </cell>
          <cell r="L349" t="str">
            <v>-</v>
          </cell>
          <cell r="M349">
            <v>17.465680633745713</v>
          </cell>
          <cell r="O349">
            <v>0.72</v>
          </cell>
          <cell r="T349" t="str">
            <v>-</v>
          </cell>
          <cell r="U349" t="str">
            <v>-</v>
          </cell>
        </row>
        <row r="350">
          <cell r="B350" t="str">
            <v>HP12X84</v>
          </cell>
          <cell r="C350">
            <v>24.6</v>
          </cell>
          <cell r="D350">
            <v>12.3</v>
          </cell>
          <cell r="F350" t="str">
            <v>-</v>
          </cell>
          <cell r="H350" t="str">
            <v>-</v>
          </cell>
          <cell r="I350">
            <v>12.3</v>
          </cell>
          <cell r="K350" t="str">
            <v>-</v>
          </cell>
          <cell r="L350" t="str">
            <v>-</v>
          </cell>
          <cell r="M350">
            <v>17.39482681718907</v>
          </cell>
          <cell r="O350">
            <v>0.68500000000000005</v>
          </cell>
          <cell r="T350" t="str">
            <v>-</v>
          </cell>
          <cell r="U350" t="str">
            <v>-</v>
          </cell>
        </row>
        <row r="351">
          <cell r="B351" t="str">
            <v>HP12X74</v>
          </cell>
          <cell r="C351">
            <v>21.8</v>
          </cell>
          <cell r="D351">
            <v>12.1</v>
          </cell>
          <cell r="F351" t="str">
            <v>-</v>
          </cell>
          <cell r="H351" t="str">
            <v>-</v>
          </cell>
          <cell r="I351">
            <v>12.2</v>
          </cell>
          <cell r="K351" t="str">
            <v>-</v>
          </cell>
          <cell r="L351" t="str">
            <v>-</v>
          </cell>
          <cell r="M351">
            <v>17.182840277439581</v>
          </cell>
          <cell r="O351">
            <v>0.60499999999999998</v>
          </cell>
          <cell r="T351" t="str">
            <v>-</v>
          </cell>
          <cell r="U351" t="str">
            <v>-</v>
          </cell>
        </row>
        <row r="352">
          <cell r="B352" t="str">
            <v>HP12X63</v>
          </cell>
          <cell r="C352">
            <v>18.399999999999999</v>
          </cell>
          <cell r="D352">
            <v>11.9</v>
          </cell>
          <cell r="F352" t="str">
            <v>-</v>
          </cell>
          <cell r="H352" t="str">
            <v>-</v>
          </cell>
          <cell r="I352">
            <v>12.1</v>
          </cell>
          <cell r="K352" t="str">
            <v>-</v>
          </cell>
          <cell r="L352" t="str">
            <v>-</v>
          </cell>
          <cell r="M352">
            <v>16.971151993898353</v>
          </cell>
          <cell r="O352">
            <v>0.51500000000000001</v>
          </cell>
          <cell r="T352" t="str">
            <v>-</v>
          </cell>
          <cell r="U352" t="str">
            <v>-</v>
          </cell>
        </row>
        <row r="353">
          <cell r="B353" t="str">
            <v>HP12X53</v>
          </cell>
          <cell r="C353">
            <v>15.5</v>
          </cell>
          <cell r="D353">
            <v>11.8</v>
          </cell>
          <cell r="F353" t="str">
            <v>-</v>
          </cell>
          <cell r="H353" t="str">
            <v>-</v>
          </cell>
          <cell r="I353">
            <v>12</v>
          </cell>
          <cell r="K353" t="str">
            <v>-</v>
          </cell>
          <cell r="L353" t="str">
            <v>-</v>
          </cell>
          <cell r="M353">
            <v>16.829735589129143</v>
          </cell>
          <cell r="O353">
            <v>0.435</v>
          </cell>
          <cell r="T353" t="str">
            <v>-</v>
          </cell>
          <cell r="U353" t="str">
            <v>-</v>
          </cell>
        </row>
        <row r="354">
          <cell r="B354" t="str">
            <v>HP10X57</v>
          </cell>
          <cell r="C354">
            <v>16.7</v>
          </cell>
          <cell r="D354">
            <v>9.99</v>
          </cell>
          <cell r="F354" t="str">
            <v>-</v>
          </cell>
          <cell r="H354" t="str">
            <v>-</v>
          </cell>
          <cell r="I354">
            <v>10.199999999999999</v>
          </cell>
          <cell r="K354" t="str">
            <v>-</v>
          </cell>
          <cell r="L354" t="str">
            <v>-</v>
          </cell>
          <cell r="M354">
            <v>14.27725814013321</v>
          </cell>
          <cell r="O354">
            <v>0.56499999999999995</v>
          </cell>
          <cell r="T354" t="str">
            <v>-</v>
          </cell>
          <cell r="U354" t="str">
            <v>-</v>
          </cell>
        </row>
        <row r="355">
          <cell r="B355" t="str">
            <v>HP10X42</v>
          </cell>
          <cell r="C355">
            <v>12.4</v>
          </cell>
          <cell r="D355">
            <v>9.6999999999999993</v>
          </cell>
          <cell r="F355" t="str">
            <v>-</v>
          </cell>
          <cell r="H355" t="str">
            <v>-</v>
          </cell>
          <cell r="I355">
            <v>10.1</v>
          </cell>
          <cell r="K355" t="str">
            <v>-</v>
          </cell>
          <cell r="L355" t="str">
            <v>-</v>
          </cell>
          <cell r="M355">
            <v>14.003570973148241</v>
          </cell>
          <cell r="O355">
            <v>0.41499999999999998</v>
          </cell>
          <cell r="T355" t="str">
            <v>-</v>
          </cell>
          <cell r="U355" t="str">
            <v>-</v>
          </cell>
        </row>
        <row r="356">
          <cell r="B356" t="str">
            <v>HP8X36</v>
          </cell>
          <cell r="C356">
            <v>10.6</v>
          </cell>
          <cell r="D356">
            <v>8.02</v>
          </cell>
          <cell r="F356" t="str">
            <v>-</v>
          </cell>
          <cell r="H356" t="str">
            <v>-</v>
          </cell>
          <cell r="I356">
            <v>8.16</v>
          </cell>
          <cell r="K356" t="str">
            <v>-</v>
          </cell>
          <cell r="L356" t="str">
            <v>-</v>
          </cell>
          <cell r="M356">
            <v>11.441415996282977</v>
          </cell>
          <cell r="O356">
            <v>0.44500000000000001</v>
          </cell>
          <cell r="T356" t="str">
            <v>-</v>
          </cell>
          <cell r="U356" t="str">
            <v>-</v>
          </cell>
        </row>
        <row r="357">
          <cell r="B357" t="str">
            <v>C15X50</v>
          </cell>
          <cell r="C357">
            <v>14.7</v>
          </cell>
          <cell r="D357">
            <v>15</v>
          </cell>
          <cell r="F357" t="str">
            <v>-</v>
          </cell>
          <cell r="H357" t="str">
            <v>-</v>
          </cell>
          <cell r="I357">
            <v>3.72</v>
          </cell>
          <cell r="K357" t="str">
            <v>-</v>
          </cell>
          <cell r="L357" t="str">
            <v>-</v>
          </cell>
          <cell r="M357">
            <v>15.454397432446211</v>
          </cell>
          <cell r="O357">
            <v>0.71599999999999997</v>
          </cell>
          <cell r="T357" t="str">
            <v>-</v>
          </cell>
          <cell r="U357" t="str">
            <v>-</v>
          </cell>
        </row>
        <row r="358">
          <cell r="B358" t="str">
            <v>C15X40</v>
          </cell>
          <cell r="C358">
            <v>11.8</v>
          </cell>
          <cell r="D358">
            <v>15</v>
          </cell>
          <cell r="F358" t="str">
            <v>-</v>
          </cell>
          <cell r="H358" t="str">
            <v>-</v>
          </cell>
          <cell r="I358">
            <v>3.52</v>
          </cell>
          <cell r="K358" t="str">
            <v>-</v>
          </cell>
          <cell r="L358" t="str">
            <v>-</v>
          </cell>
          <cell r="M358">
            <v>15.407478703538747</v>
          </cell>
          <cell r="O358">
            <v>0.52</v>
          </cell>
          <cell r="T358" t="str">
            <v>-</v>
          </cell>
          <cell r="U358" t="str">
            <v>-</v>
          </cell>
        </row>
        <row r="359">
          <cell r="B359" t="str">
            <v>C15X33.9</v>
          </cell>
          <cell r="C359">
            <v>10</v>
          </cell>
          <cell r="D359">
            <v>15</v>
          </cell>
          <cell r="F359" t="str">
            <v>-</v>
          </cell>
          <cell r="H359" t="str">
            <v>-</v>
          </cell>
          <cell r="I359">
            <v>3.4</v>
          </cell>
          <cell r="K359" t="str">
            <v>-</v>
          </cell>
          <cell r="L359" t="str">
            <v>-</v>
          </cell>
          <cell r="M359">
            <v>15.380507143784303</v>
          </cell>
          <cell r="O359">
            <v>0.4</v>
          </cell>
          <cell r="T359" t="str">
            <v>-</v>
          </cell>
          <cell r="U359" t="str">
            <v>-</v>
          </cell>
        </row>
        <row r="360">
          <cell r="B360" t="str">
            <v>C12X30</v>
          </cell>
          <cell r="C360">
            <v>8.81</v>
          </cell>
          <cell r="D360">
            <v>12</v>
          </cell>
          <cell r="F360" t="str">
            <v>-</v>
          </cell>
          <cell r="H360" t="str">
            <v>-</v>
          </cell>
          <cell r="I360">
            <v>3.17</v>
          </cell>
          <cell r="K360" t="str">
            <v>-</v>
          </cell>
          <cell r="L360" t="str">
            <v>-</v>
          </cell>
          <cell r="M360">
            <v>12.411643726759159</v>
          </cell>
          <cell r="O360">
            <v>0.51</v>
          </cell>
          <cell r="T360" t="str">
            <v>-</v>
          </cell>
          <cell r="U360" t="str">
            <v>-</v>
          </cell>
        </row>
        <row r="361">
          <cell r="B361" t="str">
            <v>C12X25</v>
          </cell>
          <cell r="C361">
            <v>7.34</v>
          </cell>
          <cell r="D361">
            <v>12</v>
          </cell>
          <cell r="F361" t="str">
            <v>-</v>
          </cell>
          <cell r="H361" t="str">
            <v>-</v>
          </cell>
          <cell r="I361">
            <v>3.05</v>
          </cell>
          <cell r="K361" t="str">
            <v>-</v>
          </cell>
          <cell r="L361" t="str">
            <v>-</v>
          </cell>
          <cell r="M361">
            <v>12.381538676594278</v>
          </cell>
          <cell r="O361">
            <v>0.38700000000000001</v>
          </cell>
          <cell r="T361" t="str">
            <v>-</v>
          </cell>
          <cell r="U361" t="str">
            <v>-</v>
          </cell>
        </row>
        <row r="362">
          <cell r="B362" t="str">
            <v>C12X20.7</v>
          </cell>
          <cell r="C362">
            <v>6.08</v>
          </cell>
          <cell r="D362">
            <v>12</v>
          </cell>
          <cell r="F362" t="str">
            <v>-</v>
          </cell>
          <cell r="H362" t="str">
            <v>-</v>
          </cell>
          <cell r="I362">
            <v>2.94</v>
          </cell>
          <cell r="K362" t="str">
            <v>-</v>
          </cell>
          <cell r="L362" t="str">
            <v>-</v>
          </cell>
          <cell r="M362">
            <v>12.354901861204725</v>
          </cell>
          <cell r="O362">
            <v>0.28199999999999997</v>
          </cell>
          <cell r="T362" t="str">
            <v>-</v>
          </cell>
          <cell r="U362" t="str">
            <v>-</v>
          </cell>
        </row>
        <row r="363">
          <cell r="B363" t="str">
            <v>C10X30</v>
          </cell>
          <cell r="C363">
            <v>8.81</v>
          </cell>
          <cell r="D363">
            <v>10</v>
          </cell>
          <cell r="F363" t="str">
            <v>-</v>
          </cell>
          <cell r="H363" t="str">
            <v>-</v>
          </cell>
          <cell r="I363">
            <v>3.03</v>
          </cell>
          <cell r="K363" t="str">
            <v>-</v>
          </cell>
          <cell r="L363" t="str">
            <v>-</v>
          </cell>
          <cell r="M363">
            <v>10.44896645606636</v>
          </cell>
          <cell r="O363">
            <v>0.67300000000000004</v>
          </cell>
          <cell r="T363" t="str">
            <v>-</v>
          </cell>
          <cell r="U363" t="str">
            <v>-</v>
          </cell>
        </row>
        <row r="364">
          <cell r="B364" t="str">
            <v>C10X25</v>
          </cell>
          <cell r="C364">
            <v>7.35</v>
          </cell>
          <cell r="D364">
            <v>10</v>
          </cell>
          <cell r="F364" t="str">
            <v>-</v>
          </cell>
          <cell r="H364" t="str">
            <v>-</v>
          </cell>
          <cell r="I364">
            <v>2.89</v>
          </cell>
          <cell r="K364" t="str">
            <v>-</v>
          </cell>
          <cell r="L364" t="str">
            <v>-</v>
          </cell>
          <cell r="M364">
            <v>10.409231479797151</v>
          </cell>
          <cell r="O364">
            <v>0.52600000000000002</v>
          </cell>
          <cell r="T364" t="str">
            <v>-</v>
          </cell>
          <cell r="U364" t="str">
            <v>-</v>
          </cell>
        </row>
        <row r="365">
          <cell r="B365" t="str">
            <v>C10X20</v>
          </cell>
          <cell r="C365">
            <v>5.87</v>
          </cell>
          <cell r="D365">
            <v>10</v>
          </cell>
          <cell r="F365" t="str">
            <v>-</v>
          </cell>
          <cell r="H365" t="str">
            <v>-</v>
          </cell>
          <cell r="I365">
            <v>2.74</v>
          </cell>
          <cell r="K365" t="str">
            <v>-</v>
          </cell>
          <cell r="L365" t="str">
            <v>-</v>
          </cell>
          <cell r="M365">
            <v>10.368587174731184</v>
          </cell>
          <cell r="O365">
            <v>0.379</v>
          </cell>
          <cell r="T365" t="str">
            <v>-</v>
          </cell>
          <cell r="U365" t="str">
            <v>-</v>
          </cell>
        </row>
        <row r="366">
          <cell r="B366" t="str">
            <v>C10X15.3</v>
          </cell>
          <cell r="C366">
            <v>4.4800000000000004</v>
          </cell>
          <cell r="D366">
            <v>10</v>
          </cell>
          <cell r="F366" t="str">
            <v>-</v>
          </cell>
          <cell r="H366" t="str">
            <v>-</v>
          </cell>
          <cell r="I366">
            <v>2.6</v>
          </cell>
          <cell r="K366" t="str">
            <v>-</v>
          </cell>
          <cell r="L366" t="str">
            <v>-</v>
          </cell>
          <cell r="M366">
            <v>10.332473082471592</v>
          </cell>
          <cell r="O366">
            <v>0.24</v>
          </cell>
          <cell r="T366" t="str">
            <v>-</v>
          </cell>
          <cell r="U366" t="str">
            <v>-</v>
          </cell>
        </row>
        <row r="367">
          <cell r="B367" t="str">
            <v>C9X20</v>
          </cell>
          <cell r="C367">
            <v>5.87</v>
          </cell>
          <cell r="D367">
            <v>9</v>
          </cell>
          <cell r="F367" t="str">
            <v>-</v>
          </cell>
          <cell r="H367" t="str">
            <v>-</v>
          </cell>
          <cell r="I367">
            <v>2.65</v>
          </cell>
          <cell r="K367" t="str">
            <v>-</v>
          </cell>
          <cell r="L367" t="str">
            <v>-</v>
          </cell>
          <cell r="M367">
            <v>9.382030697029295</v>
          </cell>
          <cell r="O367">
            <v>0.44800000000000001</v>
          </cell>
          <cell r="T367" t="str">
            <v>-</v>
          </cell>
          <cell r="U367" t="str">
            <v>-</v>
          </cell>
        </row>
        <row r="368">
          <cell r="B368" t="str">
            <v>C9X15</v>
          </cell>
          <cell r="C368">
            <v>4.4000000000000004</v>
          </cell>
          <cell r="D368">
            <v>9</v>
          </cell>
          <cell r="F368" t="str">
            <v>-</v>
          </cell>
          <cell r="H368" t="str">
            <v>-</v>
          </cell>
          <cell r="I368">
            <v>2.4900000000000002</v>
          </cell>
          <cell r="K368" t="str">
            <v>-</v>
          </cell>
          <cell r="L368" t="str">
            <v>-</v>
          </cell>
          <cell r="M368">
            <v>9.3380993783531778</v>
          </cell>
          <cell r="O368">
            <v>0.28499999999999998</v>
          </cell>
          <cell r="T368" t="str">
            <v>-</v>
          </cell>
          <cell r="U368" t="str">
            <v>-</v>
          </cell>
        </row>
        <row r="369">
          <cell r="B369" t="str">
            <v>C9X13.4</v>
          </cell>
          <cell r="C369">
            <v>3.94</v>
          </cell>
          <cell r="D369">
            <v>9</v>
          </cell>
          <cell r="F369" t="str">
            <v>-</v>
          </cell>
          <cell r="H369" t="str">
            <v>-</v>
          </cell>
          <cell r="I369">
            <v>2.4300000000000002</v>
          </cell>
          <cell r="K369" t="str">
            <v>-</v>
          </cell>
          <cell r="L369" t="str">
            <v>-</v>
          </cell>
          <cell r="M369">
            <v>9.322279764092043</v>
          </cell>
          <cell r="O369">
            <v>0.23300000000000001</v>
          </cell>
          <cell r="T369" t="str">
            <v>-</v>
          </cell>
          <cell r="U369" t="str">
            <v>-</v>
          </cell>
        </row>
        <row r="370">
          <cell r="B370" t="str">
            <v>C8X18.75</v>
          </cell>
          <cell r="C370">
            <v>5.51</v>
          </cell>
          <cell r="D370">
            <v>8</v>
          </cell>
          <cell r="F370" t="str">
            <v>-</v>
          </cell>
          <cell r="H370" t="str">
            <v>-</v>
          </cell>
          <cell r="I370">
            <v>2.5299999999999998</v>
          </cell>
          <cell r="K370" t="str">
            <v>-</v>
          </cell>
          <cell r="L370" t="str">
            <v>-</v>
          </cell>
          <cell r="M370">
            <v>8.3905244174604476</v>
          </cell>
          <cell r="O370">
            <v>0.48699999999999999</v>
          </cell>
          <cell r="T370" t="str">
            <v>-</v>
          </cell>
          <cell r="U370" t="str">
            <v>-</v>
          </cell>
        </row>
        <row r="371">
          <cell r="B371" t="str">
            <v>C8X13.75</v>
          </cell>
          <cell r="C371">
            <v>4.03</v>
          </cell>
          <cell r="D371">
            <v>8</v>
          </cell>
          <cell r="F371" t="str">
            <v>-</v>
          </cell>
          <cell r="H371" t="str">
            <v>-</v>
          </cell>
          <cell r="I371">
            <v>2.34</v>
          </cell>
          <cell r="K371" t="str">
            <v>-</v>
          </cell>
          <cell r="L371" t="str">
            <v>-</v>
          </cell>
          <cell r="M371">
            <v>8.3352024570492596</v>
          </cell>
          <cell r="O371">
            <v>0.30299999999999999</v>
          </cell>
          <cell r="T371" t="str">
            <v>-</v>
          </cell>
          <cell r="U371" t="str">
            <v>-</v>
          </cell>
        </row>
        <row r="372">
          <cell r="B372" t="str">
            <v>C8X11.5</v>
          </cell>
          <cell r="C372">
            <v>3.37</v>
          </cell>
          <cell r="D372">
            <v>8</v>
          </cell>
          <cell r="F372" t="str">
            <v>-</v>
          </cell>
          <cell r="H372" t="str">
            <v>-</v>
          </cell>
          <cell r="I372">
            <v>2.2599999999999998</v>
          </cell>
          <cell r="K372" t="str">
            <v>-</v>
          </cell>
          <cell r="L372" t="str">
            <v>-</v>
          </cell>
          <cell r="M372">
            <v>8.3130980987836303</v>
          </cell>
          <cell r="O372">
            <v>0.22</v>
          </cell>
          <cell r="T372" t="str">
            <v>-</v>
          </cell>
          <cell r="U372" t="str">
            <v>-</v>
          </cell>
        </row>
        <row r="373">
          <cell r="B373" t="str">
            <v>C7X14.75</v>
          </cell>
          <cell r="C373">
            <v>4.33</v>
          </cell>
          <cell r="D373">
            <v>7</v>
          </cell>
          <cell r="F373" t="str">
            <v>-</v>
          </cell>
          <cell r="H373" t="str">
            <v>-</v>
          </cell>
          <cell r="I373">
            <v>2.2999999999999998</v>
          </cell>
          <cell r="K373" t="str">
            <v>-</v>
          </cell>
          <cell r="L373" t="str">
            <v>-</v>
          </cell>
          <cell r="M373">
            <v>7.3681748079154579</v>
          </cell>
          <cell r="O373">
            <v>0.41899999999999998</v>
          </cell>
          <cell r="T373" t="str">
            <v>-</v>
          </cell>
          <cell r="U373" t="str">
            <v>-</v>
          </cell>
        </row>
        <row r="374">
          <cell r="B374" t="str">
            <v>C7X12.25</v>
          </cell>
          <cell r="C374">
            <v>3.59</v>
          </cell>
          <cell r="D374">
            <v>7</v>
          </cell>
          <cell r="F374" t="str">
            <v>-</v>
          </cell>
          <cell r="H374" t="str">
            <v>-</v>
          </cell>
          <cell r="I374">
            <v>2.19</v>
          </cell>
          <cell r="K374" t="str">
            <v>-</v>
          </cell>
          <cell r="L374" t="str">
            <v>-</v>
          </cell>
          <cell r="M374">
            <v>7.3345824693707007</v>
          </cell>
          <cell r="O374">
            <v>0.314</v>
          </cell>
          <cell r="T374" t="str">
            <v>-</v>
          </cell>
          <cell r="U374" t="str">
            <v>-</v>
          </cell>
        </row>
        <row r="375">
          <cell r="B375" t="str">
            <v>C7X9.8</v>
          </cell>
          <cell r="C375">
            <v>2.87</v>
          </cell>
          <cell r="D375">
            <v>7</v>
          </cell>
          <cell r="F375" t="str">
            <v>-</v>
          </cell>
          <cell r="H375" t="str">
            <v>-</v>
          </cell>
          <cell r="I375">
            <v>2.09</v>
          </cell>
          <cell r="K375" t="str">
            <v>-</v>
          </cell>
          <cell r="L375" t="str">
            <v>-</v>
          </cell>
          <cell r="M375">
            <v>7.3053473565601248</v>
          </cell>
          <cell r="O375">
            <v>0.21</v>
          </cell>
          <cell r="T375" t="str">
            <v>-</v>
          </cell>
          <cell r="U375" t="str">
            <v>-</v>
          </cell>
        </row>
        <row r="376">
          <cell r="B376" t="str">
            <v>C6X13</v>
          </cell>
          <cell r="C376">
            <v>3.82</v>
          </cell>
          <cell r="D376">
            <v>6</v>
          </cell>
          <cell r="F376" t="str">
            <v>-</v>
          </cell>
          <cell r="H376" t="str">
            <v>-</v>
          </cell>
          <cell r="I376">
            <v>2.16</v>
          </cell>
          <cell r="K376" t="str">
            <v>-</v>
          </cell>
          <cell r="L376" t="str">
            <v>-</v>
          </cell>
          <cell r="M376">
            <v>6.3769585226814822</v>
          </cell>
          <cell r="O376">
            <v>0.437</v>
          </cell>
          <cell r="T376" t="str">
            <v>-</v>
          </cell>
          <cell r="U376" t="str">
            <v>-</v>
          </cell>
        </row>
        <row r="377">
          <cell r="B377" t="str">
            <v>C6X10.5</v>
          </cell>
          <cell r="C377">
            <v>3.07</v>
          </cell>
          <cell r="D377">
            <v>6</v>
          </cell>
          <cell r="F377" t="str">
            <v>-</v>
          </cell>
          <cell r="H377" t="str">
            <v>-</v>
          </cell>
          <cell r="I377">
            <v>2.0299999999999998</v>
          </cell>
          <cell r="K377" t="str">
            <v>-</v>
          </cell>
          <cell r="L377" t="str">
            <v>-</v>
          </cell>
          <cell r="M377">
            <v>6.3341060932068389</v>
          </cell>
          <cell r="O377">
            <v>0.314</v>
          </cell>
          <cell r="T377" t="str">
            <v>-</v>
          </cell>
          <cell r="U377" t="str">
            <v>-</v>
          </cell>
        </row>
        <row r="378">
          <cell r="B378" t="str">
            <v>C6X8.2</v>
          </cell>
          <cell r="C378">
            <v>2.39</v>
          </cell>
          <cell r="D378">
            <v>6</v>
          </cell>
          <cell r="F378" t="str">
            <v>-</v>
          </cell>
          <cell r="H378" t="str">
            <v>-</v>
          </cell>
          <cell r="I378">
            <v>1.92</v>
          </cell>
          <cell r="K378" t="str">
            <v>-</v>
          </cell>
          <cell r="L378" t="str">
            <v>-</v>
          </cell>
          <cell r="M378">
            <v>6.2997142792352099</v>
          </cell>
          <cell r="O378">
            <v>0.2</v>
          </cell>
          <cell r="T378" t="str">
            <v>-</v>
          </cell>
          <cell r="U378" t="str">
            <v>-</v>
          </cell>
        </row>
        <row r="379">
          <cell r="B379" t="str">
            <v>C5X9</v>
          </cell>
          <cell r="C379">
            <v>2.64</v>
          </cell>
          <cell r="D379">
            <v>5</v>
          </cell>
          <cell r="F379" t="str">
            <v>-</v>
          </cell>
          <cell r="H379" t="str">
            <v>-</v>
          </cell>
          <cell r="I379">
            <v>1.89</v>
          </cell>
          <cell r="K379" t="str">
            <v>-</v>
          </cell>
          <cell r="L379" t="str">
            <v>-</v>
          </cell>
          <cell r="M379">
            <v>5.3452876442713535</v>
          </cell>
          <cell r="O379">
            <v>0.32500000000000001</v>
          </cell>
          <cell r="T379" t="str">
            <v>-</v>
          </cell>
          <cell r="U379" t="str">
            <v>-</v>
          </cell>
        </row>
        <row r="380">
          <cell r="B380" t="str">
            <v>C5X6.7</v>
          </cell>
          <cell r="C380">
            <v>1.97</v>
          </cell>
          <cell r="D380">
            <v>5</v>
          </cell>
          <cell r="F380" t="str">
            <v>-</v>
          </cell>
          <cell r="H380" t="str">
            <v>-</v>
          </cell>
          <cell r="I380">
            <v>1.75</v>
          </cell>
          <cell r="K380" t="str">
            <v>-</v>
          </cell>
          <cell r="L380" t="str">
            <v>-</v>
          </cell>
          <cell r="M380">
            <v>5.2974050251042728</v>
          </cell>
          <cell r="O380">
            <v>0.19</v>
          </cell>
          <cell r="T380" t="str">
            <v>-</v>
          </cell>
          <cell r="U380" t="str">
            <v>-</v>
          </cell>
        </row>
        <row r="381">
          <cell r="B381" t="str">
            <v>C4X7.25</v>
          </cell>
          <cell r="C381">
            <v>2.13</v>
          </cell>
          <cell r="D381">
            <v>4</v>
          </cell>
          <cell r="F381" t="str">
            <v>-</v>
          </cell>
          <cell r="H381" t="str">
            <v>-</v>
          </cell>
          <cell r="I381">
            <v>1.72</v>
          </cell>
          <cell r="K381" t="str">
            <v>-</v>
          </cell>
          <cell r="L381" t="str">
            <v>-</v>
          </cell>
          <cell r="M381">
            <v>4.3541244814543374</v>
          </cell>
          <cell r="O381">
            <v>0.32100000000000001</v>
          </cell>
          <cell r="T381" t="str">
            <v>-</v>
          </cell>
          <cell r="U381" t="str">
            <v>-</v>
          </cell>
        </row>
        <row r="382">
          <cell r="B382" t="str">
            <v>C4X6.25</v>
          </cell>
          <cell r="C382">
            <v>1.84</v>
          </cell>
          <cell r="D382">
            <v>4</v>
          </cell>
          <cell r="F382" t="str">
            <v>-</v>
          </cell>
          <cell r="H382" t="str">
            <v>-</v>
          </cell>
          <cell r="I382">
            <v>1.65</v>
          </cell>
          <cell r="K382" t="str">
            <v>-</v>
          </cell>
          <cell r="L382" t="str">
            <v>-</v>
          </cell>
          <cell r="M382">
            <v>4.3269504272639869</v>
          </cell>
          <cell r="O382">
            <v>0.247</v>
          </cell>
          <cell r="T382" t="str">
            <v>-</v>
          </cell>
          <cell r="U382" t="str">
            <v>-</v>
          </cell>
        </row>
        <row r="383">
          <cell r="B383" t="str">
            <v>C4X5.4</v>
          </cell>
          <cell r="C383">
            <v>1.58</v>
          </cell>
          <cell r="D383">
            <v>4</v>
          </cell>
          <cell r="F383" t="str">
            <v>-</v>
          </cell>
          <cell r="H383" t="str">
            <v>-</v>
          </cell>
          <cell r="I383">
            <v>1.58</v>
          </cell>
          <cell r="K383" t="str">
            <v>-</v>
          </cell>
          <cell r="L383" t="str">
            <v>-</v>
          </cell>
          <cell r="M383">
            <v>4.3007441216608084</v>
          </cell>
          <cell r="O383">
            <v>0.184</v>
          </cell>
          <cell r="T383" t="str">
            <v>-</v>
          </cell>
          <cell r="U383" t="str">
            <v>-</v>
          </cell>
        </row>
        <row r="384">
          <cell r="B384" t="str">
            <v>C4X4.5</v>
          </cell>
          <cell r="C384">
            <v>1.34</v>
          </cell>
          <cell r="D384">
            <v>4</v>
          </cell>
          <cell r="F384" t="str">
            <v>-</v>
          </cell>
          <cell r="H384" t="str">
            <v>-</v>
          </cell>
          <cell r="I384">
            <v>1.52</v>
          </cell>
          <cell r="K384" t="str">
            <v>-</v>
          </cell>
          <cell r="L384" t="str">
            <v>-</v>
          </cell>
          <cell r="M384">
            <v>4.2790653185012264</v>
          </cell>
          <cell r="O384">
            <v>0.125</v>
          </cell>
          <cell r="T384" t="str">
            <v>-</v>
          </cell>
          <cell r="U384" t="str">
            <v>-</v>
          </cell>
        </row>
        <row r="385">
          <cell r="B385" t="str">
            <v>C3X6</v>
          </cell>
          <cell r="C385">
            <v>1.76</v>
          </cell>
          <cell r="D385">
            <v>3</v>
          </cell>
          <cell r="F385" t="str">
            <v>-</v>
          </cell>
          <cell r="H385" t="str">
            <v>-</v>
          </cell>
          <cell r="I385">
            <v>1.6</v>
          </cell>
          <cell r="K385" t="str">
            <v>-</v>
          </cell>
          <cell r="L385" t="str">
            <v>-</v>
          </cell>
          <cell r="M385">
            <v>3.4</v>
          </cell>
          <cell r="O385">
            <v>0.35599999999999998</v>
          </cell>
          <cell r="T385" t="str">
            <v>-</v>
          </cell>
          <cell r="U385" t="str">
            <v>-</v>
          </cell>
        </row>
        <row r="386">
          <cell r="B386" t="str">
            <v>C3X5</v>
          </cell>
          <cell r="C386">
            <v>1.47</v>
          </cell>
          <cell r="D386">
            <v>3</v>
          </cell>
          <cell r="F386" t="str">
            <v>-</v>
          </cell>
          <cell r="H386" t="str">
            <v>-</v>
          </cell>
          <cell r="I386">
            <v>1.5</v>
          </cell>
          <cell r="K386" t="str">
            <v>-</v>
          </cell>
          <cell r="L386" t="str">
            <v>-</v>
          </cell>
          <cell r="M386">
            <v>3.3541019662496847</v>
          </cell>
          <cell r="O386">
            <v>0.25800000000000001</v>
          </cell>
          <cell r="T386" t="str">
            <v>-</v>
          </cell>
          <cell r="U386" t="str">
            <v>-</v>
          </cell>
        </row>
        <row r="387">
          <cell r="B387" t="str">
            <v>C3X4.1</v>
          </cell>
          <cell r="C387">
            <v>1.2</v>
          </cell>
          <cell r="D387">
            <v>3</v>
          </cell>
          <cell r="F387" t="str">
            <v>-</v>
          </cell>
          <cell r="H387" t="str">
            <v>-</v>
          </cell>
          <cell r="I387">
            <v>1.41</v>
          </cell>
          <cell r="K387" t="str">
            <v>-</v>
          </cell>
          <cell r="L387" t="str">
            <v>-</v>
          </cell>
          <cell r="M387">
            <v>3.3148303123991125</v>
          </cell>
          <cell r="O387">
            <v>0.17</v>
          </cell>
          <cell r="T387" t="str">
            <v>-</v>
          </cell>
          <cell r="U387" t="str">
            <v>-</v>
          </cell>
        </row>
        <row r="388">
          <cell r="B388" t="str">
            <v>C3X3.5</v>
          </cell>
          <cell r="C388">
            <v>1.0900000000000001</v>
          </cell>
          <cell r="D388">
            <v>3</v>
          </cell>
          <cell r="F388" t="str">
            <v>-</v>
          </cell>
          <cell r="H388" t="str">
            <v>-</v>
          </cell>
          <cell r="I388">
            <v>1.37</v>
          </cell>
          <cell r="K388" t="str">
            <v>-</v>
          </cell>
          <cell r="L388" t="str">
            <v>-</v>
          </cell>
          <cell r="M388">
            <v>3.298014554243204</v>
          </cell>
          <cell r="O388">
            <v>0.13200000000000001</v>
          </cell>
          <cell r="T388" t="str">
            <v>-</v>
          </cell>
          <cell r="U388" t="str">
            <v>-</v>
          </cell>
        </row>
        <row r="389">
          <cell r="B389" t="str">
            <v>MC18X58</v>
          </cell>
          <cell r="C389">
            <v>17.100000000000001</v>
          </cell>
          <cell r="D389">
            <v>18</v>
          </cell>
          <cell r="F389" t="str">
            <v>-</v>
          </cell>
          <cell r="H389" t="str">
            <v>-</v>
          </cell>
          <cell r="I389">
            <v>4.2</v>
          </cell>
          <cell r="K389" t="str">
            <v>-</v>
          </cell>
          <cell r="L389" t="str">
            <v>-</v>
          </cell>
          <cell r="M389">
            <v>18.483506160899235</v>
          </cell>
          <cell r="O389">
            <v>0.7</v>
          </cell>
          <cell r="T389" t="str">
            <v>-</v>
          </cell>
          <cell r="U389" t="str">
            <v>-</v>
          </cell>
        </row>
        <row r="390">
          <cell r="B390" t="str">
            <v>MC18X51.9</v>
          </cell>
          <cell r="C390">
            <v>15.3</v>
          </cell>
          <cell r="D390">
            <v>18</v>
          </cell>
          <cell r="F390" t="str">
            <v>-</v>
          </cell>
          <cell r="H390" t="str">
            <v>-</v>
          </cell>
          <cell r="I390">
            <v>4.0999999999999996</v>
          </cell>
          <cell r="K390" t="str">
            <v>-</v>
          </cell>
          <cell r="L390" t="str">
            <v>-</v>
          </cell>
          <cell r="M390">
            <v>18.461040057374884</v>
          </cell>
          <cell r="O390">
            <v>0.6</v>
          </cell>
          <cell r="T390" t="str">
            <v>-</v>
          </cell>
          <cell r="U390" t="str">
            <v>-</v>
          </cell>
        </row>
        <row r="391">
          <cell r="B391" t="str">
            <v>MC18X45.8</v>
          </cell>
          <cell r="C391">
            <v>13.5</v>
          </cell>
          <cell r="D391">
            <v>18</v>
          </cell>
          <cell r="F391" t="str">
            <v>-</v>
          </cell>
          <cell r="H391" t="str">
            <v>-</v>
          </cell>
          <cell r="I391">
            <v>4</v>
          </cell>
          <cell r="K391" t="str">
            <v>-</v>
          </cell>
          <cell r="L391" t="str">
            <v>-</v>
          </cell>
          <cell r="M391">
            <v>18.439088914585774</v>
          </cell>
          <cell r="O391">
            <v>0.5</v>
          </cell>
          <cell r="T391" t="str">
            <v>-</v>
          </cell>
          <cell r="U391" t="str">
            <v>-</v>
          </cell>
        </row>
        <row r="392">
          <cell r="B392" t="str">
            <v>MC18X42.7</v>
          </cell>
          <cell r="C392">
            <v>12.6</v>
          </cell>
          <cell r="D392">
            <v>18</v>
          </cell>
          <cell r="F392" t="str">
            <v>-</v>
          </cell>
          <cell r="H392" t="str">
            <v>-</v>
          </cell>
          <cell r="I392">
            <v>3.95</v>
          </cell>
          <cell r="K392" t="str">
            <v>-</v>
          </cell>
          <cell r="L392" t="str">
            <v>-</v>
          </cell>
          <cell r="M392">
            <v>18.428307030218484</v>
          </cell>
          <cell r="O392">
            <v>0.45</v>
          </cell>
          <cell r="T392" t="str">
            <v>-</v>
          </cell>
          <cell r="U392" t="str">
            <v>-</v>
          </cell>
        </row>
        <row r="393">
          <cell r="B393" t="str">
            <v>MC13X50</v>
          </cell>
          <cell r="C393">
            <v>14.7</v>
          </cell>
          <cell r="D393">
            <v>13</v>
          </cell>
          <cell r="F393" t="str">
            <v>-</v>
          </cell>
          <cell r="H393" t="str">
            <v>-</v>
          </cell>
          <cell r="I393">
            <v>4.41</v>
          </cell>
          <cell r="K393" t="str">
            <v>-</v>
          </cell>
          <cell r="L393" t="str">
            <v>-</v>
          </cell>
          <cell r="M393">
            <v>13.727640001107256</v>
          </cell>
          <cell r="O393">
            <v>0.78700000000000003</v>
          </cell>
          <cell r="T393" t="str">
            <v>-</v>
          </cell>
          <cell r="U393" t="str">
            <v>-</v>
          </cell>
        </row>
        <row r="394">
          <cell r="B394" t="str">
            <v>MC13X40</v>
          </cell>
          <cell r="C394">
            <v>11.7</v>
          </cell>
          <cell r="D394">
            <v>13</v>
          </cell>
          <cell r="F394" t="str">
            <v>-</v>
          </cell>
          <cell r="H394" t="str">
            <v>-</v>
          </cell>
          <cell r="I394">
            <v>4.1900000000000004</v>
          </cell>
          <cell r="K394" t="str">
            <v>-</v>
          </cell>
          <cell r="L394" t="str">
            <v>-</v>
          </cell>
          <cell r="M394">
            <v>13.658554096243131</v>
          </cell>
          <cell r="O394">
            <v>0.56000000000000005</v>
          </cell>
          <cell r="T394" t="str">
            <v>-</v>
          </cell>
          <cell r="U394" t="str">
            <v>-</v>
          </cell>
        </row>
        <row r="395">
          <cell r="B395" t="str">
            <v>MC13X35</v>
          </cell>
          <cell r="C395">
            <v>10.3</v>
          </cell>
          <cell r="D395">
            <v>13</v>
          </cell>
          <cell r="F395" t="str">
            <v>-</v>
          </cell>
          <cell r="H395" t="str">
            <v>-</v>
          </cell>
          <cell r="I395">
            <v>4.07</v>
          </cell>
          <cell r="K395" t="str">
            <v>-</v>
          </cell>
          <cell r="L395" t="str">
            <v>-</v>
          </cell>
          <cell r="M395">
            <v>13.622220817473192</v>
          </cell>
          <cell r="O395">
            <v>0.44700000000000001</v>
          </cell>
          <cell r="T395" t="str">
            <v>-</v>
          </cell>
          <cell r="U395" t="str">
            <v>-</v>
          </cell>
        </row>
        <row r="396">
          <cell r="B396" t="str">
            <v>MC13X31.8</v>
          </cell>
          <cell r="C396">
            <v>9.35</v>
          </cell>
          <cell r="D396">
            <v>13</v>
          </cell>
          <cell r="F396" t="str">
            <v>-</v>
          </cell>
          <cell r="H396" t="str">
            <v>-</v>
          </cell>
          <cell r="I396">
            <v>4</v>
          </cell>
          <cell r="K396" t="str">
            <v>-</v>
          </cell>
          <cell r="L396" t="str">
            <v>-</v>
          </cell>
          <cell r="M396">
            <v>13.601470508735444</v>
          </cell>
          <cell r="O396">
            <v>0.375</v>
          </cell>
          <cell r="T396" t="str">
            <v>-</v>
          </cell>
          <cell r="U396" t="str">
            <v>-</v>
          </cell>
        </row>
        <row r="397">
          <cell r="B397" t="str">
            <v>MC12X50</v>
          </cell>
          <cell r="C397">
            <v>14.7</v>
          </cell>
          <cell r="D397">
            <v>12</v>
          </cell>
          <cell r="F397" t="str">
            <v>-</v>
          </cell>
          <cell r="H397" t="str">
            <v>-</v>
          </cell>
          <cell r="I397">
            <v>4.1399999999999997</v>
          </cell>
          <cell r="K397" t="str">
            <v>-</v>
          </cell>
          <cell r="L397" t="str">
            <v>-</v>
          </cell>
          <cell r="M397">
            <v>12.694077359146666</v>
          </cell>
          <cell r="O397">
            <v>0.83499999999999996</v>
          </cell>
          <cell r="T397" t="str">
            <v>-</v>
          </cell>
          <cell r="U397" t="str">
            <v>-</v>
          </cell>
        </row>
        <row r="398">
          <cell r="B398" t="str">
            <v>MC12X45</v>
          </cell>
          <cell r="C398">
            <v>13.2</v>
          </cell>
          <cell r="D398">
            <v>12</v>
          </cell>
          <cell r="F398" t="str">
            <v>-</v>
          </cell>
          <cell r="H398" t="str">
            <v>-</v>
          </cell>
          <cell r="I398">
            <v>4.01</v>
          </cell>
          <cell r="K398" t="str">
            <v>-</v>
          </cell>
          <cell r="L398" t="str">
            <v>-</v>
          </cell>
          <cell r="M398">
            <v>12.652276475006385</v>
          </cell>
          <cell r="O398">
            <v>0.71</v>
          </cell>
          <cell r="T398" t="str">
            <v>-</v>
          </cell>
          <cell r="U398" t="str">
            <v>-</v>
          </cell>
        </row>
        <row r="399">
          <cell r="B399" t="str">
            <v>MC12X40</v>
          </cell>
          <cell r="C399">
            <v>11.8</v>
          </cell>
          <cell r="D399">
            <v>12</v>
          </cell>
          <cell r="F399" t="str">
            <v>-</v>
          </cell>
          <cell r="H399" t="str">
            <v>-</v>
          </cell>
          <cell r="I399">
            <v>3.89</v>
          </cell>
          <cell r="K399" t="str">
            <v>-</v>
          </cell>
          <cell r="L399" t="str">
            <v>-</v>
          </cell>
          <cell r="M399">
            <v>12.614757231116261</v>
          </cell>
          <cell r="O399">
            <v>0.59</v>
          </cell>
          <cell r="T399" t="str">
            <v>-</v>
          </cell>
          <cell r="U399" t="str">
            <v>-</v>
          </cell>
        </row>
        <row r="400">
          <cell r="B400" t="str">
            <v>MC12X35</v>
          </cell>
          <cell r="C400">
            <v>10.3</v>
          </cell>
          <cell r="D400">
            <v>12</v>
          </cell>
          <cell r="F400" t="str">
            <v>-</v>
          </cell>
          <cell r="H400" t="str">
            <v>-</v>
          </cell>
          <cell r="I400">
            <v>3.77</v>
          </cell>
          <cell r="K400" t="str">
            <v>-</v>
          </cell>
          <cell r="L400" t="str">
            <v>-</v>
          </cell>
          <cell r="M400">
            <v>12.578270946358247</v>
          </cell>
          <cell r="O400">
            <v>0.46500000000000002</v>
          </cell>
          <cell r="T400" t="str">
            <v>-</v>
          </cell>
          <cell r="U400" t="str">
            <v>-</v>
          </cell>
        </row>
        <row r="401">
          <cell r="B401" t="str">
            <v>MC12X31</v>
          </cell>
          <cell r="C401">
            <v>9.1199999999999992</v>
          </cell>
          <cell r="D401">
            <v>12</v>
          </cell>
          <cell r="F401" t="str">
            <v>-</v>
          </cell>
          <cell r="H401" t="str">
            <v>-</v>
          </cell>
          <cell r="I401">
            <v>3.67</v>
          </cell>
          <cell r="K401" t="str">
            <v>-</v>
          </cell>
          <cell r="L401" t="str">
            <v>-</v>
          </cell>
          <cell r="M401">
            <v>12.548661283180767</v>
          </cell>
          <cell r="O401">
            <v>0.37</v>
          </cell>
          <cell r="T401" t="str">
            <v>-</v>
          </cell>
          <cell r="U401" t="str">
            <v>-</v>
          </cell>
        </row>
        <row r="402">
          <cell r="B402" t="str">
            <v>MC12X14.3</v>
          </cell>
          <cell r="C402">
            <v>4.18</v>
          </cell>
          <cell r="D402">
            <v>12</v>
          </cell>
          <cell r="F402" t="str">
            <v>-</v>
          </cell>
          <cell r="H402" t="str">
            <v>-</v>
          </cell>
          <cell r="I402">
            <v>2.12</v>
          </cell>
          <cell r="K402" t="str">
            <v>-</v>
          </cell>
          <cell r="L402" t="str">
            <v>-</v>
          </cell>
          <cell r="M402">
            <v>12.18582783400455</v>
          </cell>
          <cell r="O402">
            <v>0.25</v>
          </cell>
          <cell r="T402" t="str">
            <v>-</v>
          </cell>
          <cell r="U402" t="str">
            <v>-</v>
          </cell>
        </row>
        <row r="403">
          <cell r="B403" t="str">
            <v>MC12X10.6</v>
          </cell>
          <cell r="C403">
            <v>3.1</v>
          </cell>
          <cell r="D403">
            <v>12</v>
          </cell>
          <cell r="F403" t="str">
            <v>-</v>
          </cell>
          <cell r="H403" t="str">
            <v>-</v>
          </cell>
          <cell r="I403">
            <v>1.5</v>
          </cell>
          <cell r="K403" t="str">
            <v>-</v>
          </cell>
          <cell r="L403" t="str">
            <v>-</v>
          </cell>
          <cell r="M403">
            <v>12.093386622447824</v>
          </cell>
          <cell r="O403">
            <v>0.19</v>
          </cell>
          <cell r="T403" t="str">
            <v>-</v>
          </cell>
          <cell r="U403" t="str">
            <v>-</v>
          </cell>
        </row>
        <row r="404">
          <cell r="B404" t="str">
            <v>MC10X41.1</v>
          </cell>
          <cell r="C404">
            <v>12.1</v>
          </cell>
          <cell r="D404">
            <v>10</v>
          </cell>
          <cell r="F404" t="str">
            <v>-</v>
          </cell>
          <cell r="H404" t="str">
            <v>-</v>
          </cell>
          <cell r="I404">
            <v>4.32</v>
          </cell>
          <cell r="K404" t="str">
            <v>-</v>
          </cell>
          <cell r="L404" t="str">
            <v>-</v>
          </cell>
          <cell r="M404">
            <v>10.893227253665463</v>
          </cell>
          <cell r="O404">
            <v>0.79600000000000004</v>
          </cell>
          <cell r="T404" t="str">
            <v>-</v>
          </cell>
          <cell r="U404" t="str">
            <v>-</v>
          </cell>
        </row>
        <row r="405">
          <cell r="B405" t="str">
            <v>MC10X33.6</v>
          </cell>
          <cell r="C405">
            <v>9.8699999999999992</v>
          </cell>
          <cell r="D405">
            <v>10</v>
          </cell>
          <cell r="F405" t="str">
            <v>-</v>
          </cell>
          <cell r="H405" t="str">
            <v>-</v>
          </cell>
          <cell r="I405">
            <v>4.0999999999999996</v>
          </cell>
          <cell r="K405" t="str">
            <v>-</v>
          </cell>
          <cell r="L405" t="str">
            <v>-</v>
          </cell>
          <cell r="M405">
            <v>10.807867504739313</v>
          </cell>
          <cell r="O405">
            <v>0.57499999999999996</v>
          </cell>
          <cell r="T405" t="str">
            <v>-</v>
          </cell>
          <cell r="U405" t="str">
            <v>-</v>
          </cell>
        </row>
        <row r="406">
          <cell r="B406" t="str">
            <v>MC10X28.5</v>
          </cell>
          <cell r="C406">
            <v>8.3699999999999992</v>
          </cell>
          <cell r="D406">
            <v>10</v>
          </cell>
          <cell r="F406" t="str">
            <v>-</v>
          </cell>
          <cell r="H406" t="str">
            <v>-</v>
          </cell>
          <cell r="I406">
            <v>3.95</v>
          </cell>
          <cell r="K406" t="str">
            <v>-</v>
          </cell>
          <cell r="L406" t="str">
            <v>-</v>
          </cell>
          <cell r="M406">
            <v>10.751860304152022</v>
          </cell>
          <cell r="O406">
            <v>0.42499999999999999</v>
          </cell>
          <cell r="T406" t="str">
            <v>-</v>
          </cell>
          <cell r="U406" t="str">
            <v>-</v>
          </cell>
        </row>
        <row r="407">
          <cell r="B407" t="str">
            <v>MC10X25</v>
          </cell>
          <cell r="C407">
            <v>7.34</v>
          </cell>
          <cell r="D407">
            <v>10</v>
          </cell>
          <cell r="F407" t="str">
            <v>-</v>
          </cell>
          <cell r="H407" t="str">
            <v>-</v>
          </cell>
          <cell r="I407">
            <v>3.41</v>
          </cell>
          <cell r="K407" t="str">
            <v>-</v>
          </cell>
          <cell r="L407" t="str">
            <v>-</v>
          </cell>
          <cell r="M407">
            <v>10.56542001058169</v>
          </cell>
          <cell r="O407">
            <v>0.38</v>
          </cell>
          <cell r="T407" t="str">
            <v>-</v>
          </cell>
          <cell r="U407" t="str">
            <v>-</v>
          </cell>
        </row>
        <row r="408">
          <cell r="B408" t="str">
            <v>MC10X22</v>
          </cell>
          <cell r="C408">
            <v>6.45</v>
          </cell>
          <cell r="D408">
            <v>10</v>
          </cell>
          <cell r="F408" t="str">
            <v>-</v>
          </cell>
          <cell r="H408" t="str">
            <v>-</v>
          </cell>
          <cell r="I408">
            <v>3.32</v>
          </cell>
          <cell r="K408" t="str">
            <v>-</v>
          </cell>
          <cell r="L408" t="str">
            <v>-</v>
          </cell>
          <cell r="M408">
            <v>10.53671675618169</v>
          </cell>
          <cell r="O408">
            <v>0.28999999999999998</v>
          </cell>
          <cell r="T408" t="str">
            <v>-</v>
          </cell>
          <cell r="U408" t="str">
            <v>-</v>
          </cell>
        </row>
        <row r="409">
          <cell r="B409" t="str">
            <v>MC10X8.4</v>
          </cell>
          <cell r="C409">
            <v>2.46</v>
          </cell>
          <cell r="D409">
            <v>10</v>
          </cell>
          <cell r="F409" t="str">
            <v>-</v>
          </cell>
          <cell r="H409" t="str">
            <v>-</v>
          </cell>
          <cell r="I409">
            <v>1.5</v>
          </cell>
          <cell r="K409" t="str">
            <v>-</v>
          </cell>
          <cell r="L409" t="str">
            <v>-</v>
          </cell>
          <cell r="M409">
            <v>10.111874208078342</v>
          </cell>
          <cell r="O409">
            <v>0.17</v>
          </cell>
          <cell r="T409" t="str">
            <v>-</v>
          </cell>
          <cell r="U409" t="str">
            <v>-</v>
          </cell>
        </row>
        <row r="410">
          <cell r="B410" t="str">
            <v>MC10X6.5</v>
          </cell>
          <cell r="C410">
            <v>1.95</v>
          </cell>
          <cell r="D410">
            <v>10</v>
          </cell>
          <cell r="F410" t="str">
            <v>-</v>
          </cell>
          <cell r="H410" t="str">
            <v>-</v>
          </cell>
          <cell r="I410">
            <v>1.17</v>
          </cell>
          <cell r="K410" t="str">
            <v>-</v>
          </cell>
          <cell r="L410" t="str">
            <v>-</v>
          </cell>
          <cell r="M410">
            <v>10.068212353739863</v>
          </cell>
          <cell r="O410">
            <v>0.152</v>
          </cell>
          <cell r="T410" t="str">
            <v>-</v>
          </cell>
          <cell r="U410" t="str">
            <v>-</v>
          </cell>
        </row>
        <row r="411">
          <cell r="B411" t="str">
            <v>MC9X25.4</v>
          </cell>
          <cell r="C411">
            <v>7.47</v>
          </cell>
          <cell r="D411">
            <v>9</v>
          </cell>
          <cell r="F411" t="str">
            <v>-</v>
          </cell>
          <cell r="H411" t="str">
            <v>-</v>
          </cell>
          <cell r="I411">
            <v>3.5</v>
          </cell>
          <cell r="K411" t="str">
            <v>-</v>
          </cell>
          <cell r="L411" t="str">
            <v>-</v>
          </cell>
          <cell r="M411">
            <v>9.6566039579139833</v>
          </cell>
          <cell r="O411">
            <v>0.45</v>
          </cell>
          <cell r="T411" t="str">
            <v>-</v>
          </cell>
          <cell r="U411" t="str">
            <v>-</v>
          </cell>
        </row>
        <row r="412">
          <cell r="B412" t="str">
            <v>MC9X23.9</v>
          </cell>
          <cell r="C412">
            <v>7.02</v>
          </cell>
          <cell r="D412">
            <v>9</v>
          </cell>
          <cell r="F412" t="str">
            <v>-</v>
          </cell>
          <cell r="H412" t="str">
            <v>-</v>
          </cell>
          <cell r="I412">
            <v>3.45</v>
          </cell>
          <cell r="K412" t="str">
            <v>-</v>
          </cell>
          <cell r="L412" t="str">
            <v>-</v>
          </cell>
          <cell r="M412">
            <v>9.6385942958504067</v>
          </cell>
          <cell r="O412">
            <v>0.4</v>
          </cell>
          <cell r="T412" t="str">
            <v>-</v>
          </cell>
          <cell r="U412" t="str">
            <v>-</v>
          </cell>
        </row>
        <row r="413">
          <cell r="B413" t="str">
            <v>MC8X22.8</v>
          </cell>
          <cell r="C413">
            <v>6.7</v>
          </cell>
          <cell r="D413">
            <v>8</v>
          </cell>
          <cell r="F413" t="str">
            <v>-</v>
          </cell>
          <cell r="H413" t="str">
            <v>-</v>
          </cell>
          <cell r="I413">
            <v>3.5</v>
          </cell>
          <cell r="K413" t="str">
            <v>-</v>
          </cell>
          <cell r="L413" t="str">
            <v>-</v>
          </cell>
          <cell r="M413">
            <v>8.7321245982864895</v>
          </cell>
          <cell r="O413">
            <v>0.42699999999999999</v>
          </cell>
          <cell r="T413" t="str">
            <v>-</v>
          </cell>
          <cell r="U413" t="str">
            <v>-</v>
          </cell>
        </row>
        <row r="414">
          <cell r="B414" t="str">
            <v>MC8X21.4</v>
          </cell>
          <cell r="C414">
            <v>6.28</v>
          </cell>
          <cell r="D414">
            <v>8</v>
          </cell>
          <cell r="F414" t="str">
            <v>-</v>
          </cell>
          <cell r="H414" t="str">
            <v>-</v>
          </cell>
          <cell r="I414">
            <v>3.45</v>
          </cell>
          <cell r="K414" t="str">
            <v>-</v>
          </cell>
          <cell r="L414" t="str">
            <v>-</v>
          </cell>
          <cell r="M414">
            <v>8.7122040839273271</v>
          </cell>
          <cell r="O414">
            <v>0.375</v>
          </cell>
          <cell r="T414" t="str">
            <v>-</v>
          </cell>
          <cell r="U414" t="str">
            <v>-</v>
          </cell>
        </row>
        <row r="415">
          <cell r="B415" t="str">
            <v>MC8X20</v>
          </cell>
          <cell r="C415">
            <v>5.87</v>
          </cell>
          <cell r="D415">
            <v>8</v>
          </cell>
          <cell r="F415" t="str">
            <v>-</v>
          </cell>
          <cell r="H415" t="str">
            <v>-</v>
          </cell>
          <cell r="I415">
            <v>3.03</v>
          </cell>
          <cell r="K415" t="str">
            <v>-</v>
          </cell>
          <cell r="L415" t="str">
            <v>-</v>
          </cell>
          <cell r="M415">
            <v>8.5545835667202414</v>
          </cell>
          <cell r="O415">
            <v>0.4</v>
          </cell>
          <cell r="T415" t="str">
            <v>-</v>
          </cell>
          <cell r="U415" t="str">
            <v>-</v>
          </cell>
        </row>
        <row r="416">
          <cell r="B416" t="str">
            <v>MC8X18.7</v>
          </cell>
          <cell r="C416">
            <v>5.5</v>
          </cell>
          <cell r="D416">
            <v>8</v>
          </cell>
          <cell r="F416" t="str">
            <v>-</v>
          </cell>
          <cell r="H416" t="str">
            <v>-</v>
          </cell>
          <cell r="I416">
            <v>2.98</v>
          </cell>
          <cell r="K416" t="str">
            <v>-</v>
          </cell>
          <cell r="L416" t="str">
            <v>-</v>
          </cell>
          <cell r="M416">
            <v>8.5370018156259047</v>
          </cell>
          <cell r="O416">
            <v>0.35299999999999998</v>
          </cell>
          <cell r="T416" t="str">
            <v>-</v>
          </cell>
          <cell r="U416" t="str">
            <v>-</v>
          </cell>
        </row>
        <row r="417">
          <cell r="B417" t="str">
            <v>MC8X8.5</v>
          </cell>
          <cell r="C417">
            <v>2.5</v>
          </cell>
          <cell r="D417">
            <v>8</v>
          </cell>
          <cell r="F417" t="str">
            <v>-</v>
          </cell>
          <cell r="H417" t="str">
            <v>-</v>
          </cell>
          <cell r="I417">
            <v>1.87</v>
          </cell>
          <cell r="K417" t="str">
            <v>-</v>
          </cell>
          <cell r="L417" t="str">
            <v>-</v>
          </cell>
          <cell r="M417">
            <v>8.2156497004193163</v>
          </cell>
          <cell r="O417">
            <v>0.17899999999999999</v>
          </cell>
          <cell r="T417" t="str">
            <v>-</v>
          </cell>
          <cell r="U417" t="str">
            <v>-</v>
          </cell>
        </row>
        <row r="418">
          <cell r="B418" t="str">
            <v>MC7X22.7</v>
          </cell>
          <cell r="C418">
            <v>6.67</v>
          </cell>
          <cell r="D418">
            <v>7</v>
          </cell>
          <cell r="F418" t="str">
            <v>-</v>
          </cell>
          <cell r="H418" t="str">
            <v>-</v>
          </cell>
          <cell r="I418">
            <v>3.6</v>
          </cell>
          <cell r="K418" t="str">
            <v>-</v>
          </cell>
          <cell r="L418" t="str">
            <v>-</v>
          </cell>
          <cell r="M418">
            <v>7.871467461661771</v>
          </cell>
          <cell r="O418">
            <v>0.503</v>
          </cell>
          <cell r="T418" t="str">
            <v>-</v>
          </cell>
          <cell r="U418" t="str">
            <v>-</v>
          </cell>
        </row>
        <row r="419">
          <cell r="B419" t="str">
            <v>MC7X19.1</v>
          </cell>
          <cell r="C419">
            <v>5.61</v>
          </cell>
          <cell r="D419">
            <v>7</v>
          </cell>
          <cell r="F419" t="str">
            <v>-</v>
          </cell>
          <cell r="H419" t="str">
            <v>-</v>
          </cell>
          <cell r="I419">
            <v>3.45</v>
          </cell>
          <cell r="K419" t="str">
            <v>-</v>
          </cell>
          <cell r="L419" t="str">
            <v>-</v>
          </cell>
          <cell r="M419">
            <v>7.804005381853603</v>
          </cell>
          <cell r="O419">
            <v>0.35199999999999998</v>
          </cell>
          <cell r="T419" t="str">
            <v>-</v>
          </cell>
          <cell r="U419" t="str">
            <v>-</v>
          </cell>
        </row>
        <row r="420">
          <cell r="B420" t="str">
            <v>MC6X18</v>
          </cell>
          <cell r="C420">
            <v>5.29</v>
          </cell>
          <cell r="D420">
            <v>6</v>
          </cell>
          <cell r="F420" t="str">
            <v>-</v>
          </cell>
          <cell r="H420" t="str">
            <v>-</v>
          </cell>
          <cell r="I420">
            <v>3.5</v>
          </cell>
          <cell r="K420" t="str">
            <v>-</v>
          </cell>
          <cell r="L420" t="str">
            <v>-</v>
          </cell>
          <cell r="M420">
            <v>6.946221994724902</v>
          </cell>
          <cell r="O420">
            <v>0.379</v>
          </cell>
          <cell r="T420" t="str">
            <v>-</v>
          </cell>
          <cell r="U420" t="str">
            <v>-</v>
          </cell>
        </row>
        <row r="421">
          <cell r="B421" t="str">
            <v>MC6X15.3</v>
          </cell>
          <cell r="C421">
            <v>4.49</v>
          </cell>
          <cell r="D421">
            <v>6</v>
          </cell>
          <cell r="F421" t="str">
            <v>-</v>
          </cell>
          <cell r="H421" t="str">
            <v>-</v>
          </cell>
          <cell r="I421">
            <v>3.5</v>
          </cell>
          <cell r="K421" t="str">
            <v>-</v>
          </cell>
          <cell r="L421" t="str">
            <v>-</v>
          </cell>
          <cell r="M421">
            <v>6.946221994724902</v>
          </cell>
          <cell r="O421">
            <v>0.34</v>
          </cell>
          <cell r="T421" t="str">
            <v>-</v>
          </cell>
          <cell r="U421" t="str">
            <v>-</v>
          </cell>
        </row>
        <row r="422">
          <cell r="B422" t="str">
            <v>MC6X16.3</v>
          </cell>
          <cell r="C422">
            <v>4.79</v>
          </cell>
          <cell r="D422">
            <v>6</v>
          </cell>
          <cell r="F422" t="str">
            <v>-</v>
          </cell>
          <cell r="H422" t="str">
            <v>-</v>
          </cell>
          <cell r="I422">
            <v>3</v>
          </cell>
          <cell r="K422" t="str">
            <v>-</v>
          </cell>
          <cell r="L422" t="str">
            <v>-</v>
          </cell>
          <cell r="M422">
            <v>6.7082039324993694</v>
          </cell>
          <cell r="O422">
            <v>0.375</v>
          </cell>
          <cell r="T422" t="str">
            <v>-</v>
          </cell>
          <cell r="U422" t="str">
            <v>-</v>
          </cell>
        </row>
        <row r="423">
          <cell r="B423" t="str">
            <v>MC6X15.1</v>
          </cell>
          <cell r="C423">
            <v>4.4400000000000004</v>
          </cell>
          <cell r="D423">
            <v>6</v>
          </cell>
          <cell r="F423" t="str">
            <v>-</v>
          </cell>
          <cell r="H423" t="str">
            <v>-</v>
          </cell>
          <cell r="I423">
            <v>2.94</v>
          </cell>
          <cell r="K423" t="str">
            <v>-</v>
          </cell>
          <cell r="L423" t="str">
            <v>-</v>
          </cell>
          <cell r="M423">
            <v>6.6815866379176736</v>
          </cell>
          <cell r="O423">
            <v>0.316</v>
          </cell>
          <cell r="T423" t="str">
            <v>-</v>
          </cell>
          <cell r="U423" t="str">
            <v>-</v>
          </cell>
        </row>
        <row r="424">
          <cell r="B424" t="str">
            <v>MC6X12</v>
          </cell>
          <cell r="C424">
            <v>3.53</v>
          </cell>
          <cell r="D424">
            <v>6</v>
          </cell>
          <cell r="F424" t="str">
            <v>-</v>
          </cell>
          <cell r="H424" t="str">
            <v>-</v>
          </cell>
          <cell r="I424">
            <v>2.5</v>
          </cell>
          <cell r="K424" t="str">
            <v>-</v>
          </cell>
          <cell r="L424" t="str">
            <v>-</v>
          </cell>
          <cell r="M424">
            <v>6.5</v>
          </cell>
          <cell r="O424">
            <v>0.31</v>
          </cell>
          <cell r="T424" t="str">
            <v>-</v>
          </cell>
          <cell r="U424" t="str">
            <v>-</v>
          </cell>
        </row>
        <row r="425">
          <cell r="B425" t="str">
            <v>MC6X7</v>
          </cell>
          <cell r="C425">
            <v>2.09</v>
          </cell>
          <cell r="D425">
            <v>6</v>
          </cell>
          <cell r="F425" t="str">
            <v>-</v>
          </cell>
          <cell r="H425" t="str">
            <v>-</v>
          </cell>
          <cell r="I425">
            <v>1.88</v>
          </cell>
          <cell r="K425" t="str">
            <v>-</v>
          </cell>
          <cell r="L425" t="str">
            <v>-</v>
          </cell>
          <cell r="M425">
            <v>6.2876386664629509</v>
          </cell>
          <cell r="O425">
            <v>0.17899999999999999</v>
          </cell>
          <cell r="T425" t="str">
            <v>-</v>
          </cell>
          <cell r="U425" t="str">
            <v>-</v>
          </cell>
        </row>
        <row r="426">
          <cell r="B426" t="str">
            <v>MC6X6.5</v>
          </cell>
          <cell r="C426">
            <v>1.95</v>
          </cell>
          <cell r="D426">
            <v>6</v>
          </cell>
          <cell r="F426" t="str">
            <v>-</v>
          </cell>
          <cell r="H426" t="str">
            <v>-</v>
          </cell>
          <cell r="I426">
            <v>1.85</v>
          </cell>
          <cell r="K426" t="str">
            <v>-</v>
          </cell>
          <cell r="L426" t="str">
            <v>-</v>
          </cell>
          <cell r="M426">
            <v>6.2787339488148408</v>
          </cell>
          <cell r="O426">
            <v>0.155</v>
          </cell>
          <cell r="T426" t="str">
            <v>-</v>
          </cell>
          <cell r="U426" t="str">
            <v>-</v>
          </cell>
        </row>
        <row r="427">
          <cell r="B427" t="str">
            <v>MC4X13.8</v>
          </cell>
          <cell r="C427">
            <v>4.03</v>
          </cell>
          <cell r="D427">
            <v>4</v>
          </cell>
          <cell r="F427" t="str">
            <v>-</v>
          </cell>
          <cell r="H427" t="str">
            <v>-</v>
          </cell>
          <cell r="I427">
            <v>2.5</v>
          </cell>
          <cell r="K427" t="str">
            <v>-</v>
          </cell>
          <cell r="L427" t="str">
            <v>-</v>
          </cell>
          <cell r="M427">
            <v>4.7169905660283016</v>
          </cell>
          <cell r="O427">
            <v>0.5</v>
          </cell>
          <cell r="T427" t="str">
            <v>-</v>
          </cell>
          <cell r="U427" t="str">
            <v>-</v>
          </cell>
        </row>
        <row r="428">
          <cell r="B428" t="str">
            <v>MC3X7.1</v>
          </cell>
          <cell r="C428">
            <v>2.11</v>
          </cell>
          <cell r="D428">
            <v>3</v>
          </cell>
          <cell r="F428" t="str">
            <v>-</v>
          </cell>
          <cell r="H428" t="str">
            <v>-</v>
          </cell>
          <cell r="I428">
            <v>1.94</v>
          </cell>
          <cell r="K428" t="str">
            <v>-</v>
          </cell>
          <cell r="L428" t="str">
            <v>-</v>
          </cell>
          <cell r="M428">
            <v>3.5726180876214575</v>
          </cell>
          <cell r="O428">
            <v>0.312</v>
          </cell>
          <cell r="T428" t="str">
            <v>-</v>
          </cell>
          <cell r="U428" t="str">
            <v>-</v>
          </cell>
        </row>
        <row r="429">
          <cell r="B429" t="str">
            <v>L8X8X18</v>
          </cell>
          <cell r="C429">
            <v>16.8</v>
          </cell>
          <cell r="D429">
            <v>8</v>
          </cell>
          <cell r="F429" t="str">
            <v>-</v>
          </cell>
          <cell r="H429" t="str">
            <v>-</v>
          </cell>
          <cell r="I429" t="str">
            <v>-</v>
          </cell>
          <cell r="K429" t="str">
            <v>-</v>
          </cell>
          <cell r="L429">
            <v>8</v>
          </cell>
          <cell r="M429">
            <v>11.313708498984761</v>
          </cell>
          <cell r="O429" t="str">
            <v>-</v>
          </cell>
          <cell r="T429">
            <v>1.1299999999999999</v>
          </cell>
          <cell r="U429" t="str">
            <v>-</v>
          </cell>
        </row>
        <row r="430">
          <cell r="B430" t="str">
            <v>L8X8X16</v>
          </cell>
          <cell r="C430">
            <v>15.1</v>
          </cell>
          <cell r="D430">
            <v>8</v>
          </cell>
          <cell r="F430" t="str">
            <v>-</v>
          </cell>
          <cell r="H430" t="str">
            <v>-</v>
          </cell>
          <cell r="I430" t="str">
            <v>-</v>
          </cell>
          <cell r="K430" t="str">
            <v>-</v>
          </cell>
          <cell r="L430">
            <v>8</v>
          </cell>
          <cell r="M430">
            <v>11.313708498984761</v>
          </cell>
          <cell r="O430" t="str">
            <v>-</v>
          </cell>
          <cell r="T430">
            <v>1</v>
          </cell>
          <cell r="U430" t="str">
            <v>-</v>
          </cell>
        </row>
        <row r="431">
          <cell r="B431" t="str">
            <v>L8X8X14</v>
          </cell>
          <cell r="C431">
            <v>13.3</v>
          </cell>
          <cell r="D431">
            <v>8</v>
          </cell>
          <cell r="F431" t="str">
            <v>-</v>
          </cell>
          <cell r="H431" t="str">
            <v>-</v>
          </cell>
          <cell r="I431" t="str">
            <v>-</v>
          </cell>
          <cell r="K431" t="str">
            <v>-</v>
          </cell>
          <cell r="L431">
            <v>8</v>
          </cell>
          <cell r="M431">
            <v>11.313708498984761</v>
          </cell>
          <cell r="O431" t="str">
            <v>-</v>
          </cell>
          <cell r="T431">
            <v>0.875</v>
          </cell>
          <cell r="U431" t="str">
            <v>-</v>
          </cell>
        </row>
        <row r="432">
          <cell r="B432" t="str">
            <v>L8X8X12</v>
          </cell>
          <cell r="C432">
            <v>11.5</v>
          </cell>
          <cell r="D432">
            <v>8</v>
          </cell>
          <cell r="F432" t="str">
            <v>-</v>
          </cell>
          <cell r="H432" t="str">
            <v>-</v>
          </cell>
          <cell r="I432" t="str">
            <v>-</v>
          </cell>
          <cell r="K432" t="str">
            <v>-</v>
          </cell>
          <cell r="L432">
            <v>8</v>
          </cell>
          <cell r="M432">
            <v>11.313708498984761</v>
          </cell>
          <cell r="O432" t="str">
            <v>-</v>
          </cell>
          <cell r="T432">
            <v>0.75</v>
          </cell>
          <cell r="U432" t="str">
            <v>-</v>
          </cell>
        </row>
        <row r="433">
          <cell r="B433" t="str">
            <v>L8X8X10</v>
          </cell>
          <cell r="C433">
            <v>9.69</v>
          </cell>
          <cell r="D433">
            <v>8</v>
          </cell>
          <cell r="F433" t="str">
            <v>-</v>
          </cell>
          <cell r="H433" t="str">
            <v>-</v>
          </cell>
          <cell r="I433" t="str">
            <v>-</v>
          </cell>
          <cell r="K433" t="str">
            <v>-</v>
          </cell>
          <cell r="L433">
            <v>8</v>
          </cell>
          <cell r="M433">
            <v>11.313708498984761</v>
          </cell>
          <cell r="O433" t="str">
            <v>-</v>
          </cell>
          <cell r="T433">
            <v>0.625</v>
          </cell>
          <cell r="U433" t="str">
            <v>-</v>
          </cell>
        </row>
        <row r="434">
          <cell r="B434" t="str">
            <v>L8X8X9</v>
          </cell>
          <cell r="C434">
            <v>8.77</v>
          </cell>
          <cell r="D434">
            <v>8</v>
          </cell>
          <cell r="F434" t="str">
            <v>-</v>
          </cell>
          <cell r="H434" t="str">
            <v>-</v>
          </cell>
          <cell r="I434" t="str">
            <v>-</v>
          </cell>
          <cell r="K434" t="str">
            <v>-</v>
          </cell>
          <cell r="L434">
            <v>8</v>
          </cell>
          <cell r="M434">
            <v>11.313708498984761</v>
          </cell>
          <cell r="O434" t="str">
            <v>-</v>
          </cell>
          <cell r="T434">
            <v>0.56299999999999994</v>
          </cell>
          <cell r="U434" t="str">
            <v>-</v>
          </cell>
        </row>
        <row r="435">
          <cell r="B435" t="str">
            <v>L8X8X8</v>
          </cell>
          <cell r="C435">
            <v>7.84</v>
          </cell>
          <cell r="D435">
            <v>8</v>
          </cell>
          <cell r="F435" t="str">
            <v>-</v>
          </cell>
          <cell r="H435" t="str">
            <v>-</v>
          </cell>
          <cell r="I435" t="str">
            <v>-</v>
          </cell>
          <cell r="K435" t="str">
            <v>-</v>
          </cell>
          <cell r="L435">
            <v>8</v>
          </cell>
          <cell r="M435">
            <v>11.313708498984761</v>
          </cell>
          <cell r="O435" t="str">
            <v>-</v>
          </cell>
          <cell r="T435">
            <v>0.5</v>
          </cell>
          <cell r="U435" t="str">
            <v>-</v>
          </cell>
        </row>
        <row r="436">
          <cell r="B436" t="str">
            <v>L8X6X16</v>
          </cell>
          <cell r="C436">
            <v>13.1</v>
          </cell>
          <cell r="D436">
            <v>6</v>
          </cell>
          <cell r="F436" t="str">
            <v>-</v>
          </cell>
          <cell r="H436" t="str">
            <v>-</v>
          </cell>
          <cell r="I436" t="str">
            <v>-</v>
          </cell>
          <cell r="K436" t="str">
            <v>-</v>
          </cell>
          <cell r="L436">
            <v>8</v>
          </cell>
          <cell r="M436">
            <v>10</v>
          </cell>
          <cell r="O436" t="str">
            <v>-</v>
          </cell>
          <cell r="T436">
            <v>1</v>
          </cell>
          <cell r="U436" t="str">
            <v>-</v>
          </cell>
        </row>
        <row r="437">
          <cell r="B437" t="str">
            <v>L8X6X14</v>
          </cell>
          <cell r="C437">
            <v>11.5</v>
          </cell>
          <cell r="D437">
            <v>6</v>
          </cell>
          <cell r="F437" t="str">
            <v>-</v>
          </cell>
          <cell r="H437" t="str">
            <v>-</v>
          </cell>
          <cell r="I437" t="str">
            <v>-</v>
          </cell>
          <cell r="K437" t="str">
            <v>-</v>
          </cell>
          <cell r="L437">
            <v>8</v>
          </cell>
          <cell r="M437">
            <v>10</v>
          </cell>
          <cell r="O437" t="str">
            <v>-</v>
          </cell>
          <cell r="T437">
            <v>0.875</v>
          </cell>
          <cell r="U437" t="str">
            <v>-</v>
          </cell>
        </row>
        <row r="438">
          <cell r="B438" t="str">
            <v>L8X6X12</v>
          </cell>
          <cell r="C438">
            <v>9.99</v>
          </cell>
          <cell r="D438">
            <v>6</v>
          </cell>
          <cell r="F438" t="str">
            <v>-</v>
          </cell>
          <cell r="H438" t="str">
            <v>-</v>
          </cell>
          <cell r="I438" t="str">
            <v>-</v>
          </cell>
          <cell r="K438" t="str">
            <v>-</v>
          </cell>
          <cell r="L438">
            <v>8</v>
          </cell>
          <cell r="M438">
            <v>10</v>
          </cell>
          <cell r="O438" t="str">
            <v>-</v>
          </cell>
          <cell r="T438">
            <v>0.75</v>
          </cell>
          <cell r="U438" t="str">
            <v>-</v>
          </cell>
        </row>
        <row r="439">
          <cell r="B439" t="str">
            <v>L8X6X10</v>
          </cell>
          <cell r="C439">
            <v>8.41</v>
          </cell>
          <cell r="D439">
            <v>6</v>
          </cell>
          <cell r="F439" t="str">
            <v>-</v>
          </cell>
          <cell r="H439" t="str">
            <v>-</v>
          </cell>
          <cell r="I439" t="str">
            <v>-</v>
          </cell>
          <cell r="K439" t="str">
            <v>-</v>
          </cell>
          <cell r="L439">
            <v>8</v>
          </cell>
          <cell r="M439">
            <v>10</v>
          </cell>
          <cell r="O439" t="str">
            <v>-</v>
          </cell>
          <cell r="T439">
            <v>0.625</v>
          </cell>
          <cell r="U439" t="str">
            <v>-</v>
          </cell>
        </row>
        <row r="440">
          <cell r="B440" t="str">
            <v>L8X6X9</v>
          </cell>
          <cell r="C440">
            <v>7.61</v>
          </cell>
          <cell r="D440">
            <v>6</v>
          </cell>
          <cell r="F440" t="str">
            <v>-</v>
          </cell>
          <cell r="H440" t="str">
            <v>-</v>
          </cell>
          <cell r="I440" t="str">
            <v>-</v>
          </cell>
          <cell r="K440" t="str">
            <v>-</v>
          </cell>
          <cell r="L440">
            <v>8</v>
          </cell>
          <cell r="M440">
            <v>10</v>
          </cell>
          <cell r="O440" t="str">
            <v>-</v>
          </cell>
          <cell r="T440">
            <v>0.56299999999999994</v>
          </cell>
          <cell r="U440" t="str">
            <v>-</v>
          </cell>
        </row>
        <row r="441">
          <cell r="B441" t="str">
            <v>L8X6X8</v>
          </cell>
          <cell r="C441">
            <v>6.8</v>
          </cell>
          <cell r="D441">
            <v>6</v>
          </cell>
          <cell r="F441" t="str">
            <v>-</v>
          </cell>
          <cell r="H441" t="str">
            <v>-</v>
          </cell>
          <cell r="I441" t="str">
            <v>-</v>
          </cell>
          <cell r="K441" t="str">
            <v>-</v>
          </cell>
          <cell r="L441">
            <v>8</v>
          </cell>
          <cell r="M441">
            <v>10</v>
          </cell>
          <cell r="O441" t="str">
            <v>-</v>
          </cell>
          <cell r="T441">
            <v>0.5</v>
          </cell>
          <cell r="U441" t="str">
            <v>-</v>
          </cell>
        </row>
        <row r="442">
          <cell r="B442" t="str">
            <v>L8X6X7</v>
          </cell>
          <cell r="C442">
            <v>5.99</v>
          </cell>
          <cell r="D442">
            <v>6</v>
          </cell>
          <cell r="F442" t="str">
            <v>-</v>
          </cell>
          <cell r="H442" t="str">
            <v>-</v>
          </cell>
          <cell r="I442" t="str">
            <v>-</v>
          </cell>
          <cell r="K442" t="str">
            <v>-</v>
          </cell>
          <cell r="L442">
            <v>8</v>
          </cell>
          <cell r="M442">
            <v>10</v>
          </cell>
          <cell r="O442" t="str">
            <v>-</v>
          </cell>
          <cell r="T442">
            <v>0.438</v>
          </cell>
          <cell r="U442" t="str">
            <v>-</v>
          </cell>
        </row>
        <row r="443">
          <cell r="B443" t="str">
            <v>L8X4X16</v>
          </cell>
          <cell r="C443">
            <v>11.1</v>
          </cell>
          <cell r="D443">
            <v>4</v>
          </cell>
          <cell r="F443" t="str">
            <v>-</v>
          </cell>
          <cell r="H443" t="str">
            <v>-</v>
          </cell>
          <cell r="I443" t="str">
            <v>-</v>
          </cell>
          <cell r="K443" t="str">
            <v>-</v>
          </cell>
          <cell r="L443">
            <v>8</v>
          </cell>
          <cell r="M443">
            <v>8.9442719099991592</v>
          </cell>
          <cell r="O443" t="str">
            <v>-</v>
          </cell>
          <cell r="T443">
            <v>1</v>
          </cell>
          <cell r="U443" t="str">
            <v>-</v>
          </cell>
        </row>
        <row r="444">
          <cell r="B444" t="str">
            <v>L8X4X14</v>
          </cell>
          <cell r="C444">
            <v>9.7899999999999991</v>
          </cell>
          <cell r="D444">
            <v>4</v>
          </cell>
          <cell r="F444" t="str">
            <v>-</v>
          </cell>
          <cell r="H444" t="str">
            <v>-</v>
          </cell>
          <cell r="I444" t="str">
            <v>-</v>
          </cell>
          <cell r="K444" t="str">
            <v>-</v>
          </cell>
          <cell r="L444">
            <v>8</v>
          </cell>
          <cell r="M444">
            <v>8.9442719099991592</v>
          </cell>
          <cell r="O444" t="str">
            <v>-</v>
          </cell>
          <cell r="T444">
            <v>0.875</v>
          </cell>
          <cell r="U444" t="str">
            <v>-</v>
          </cell>
        </row>
        <row r="445">
          <cell r="B445" t="str">
            <v>L8X4X12</v>
          </cell>
          <cell r="C445">
            <v>8.49</v>
          </cell>
          <cell r="D445">
            <v>4</v>
          </cell>
          <cell r="F445" t="str">
            <v>-</v>
          </cell>
          <cell r="H445" t="str">
            <v>-</v>
          </cell>
          <cell r="I445" t="str">
            <v>-</v>
          </cell>
          <cell r="K445" t="str">
            <v>-</v>
          </cell>
          <cell r="L445">
            <v>8</v>
          </cell>
          <cell r="M445">
            <v>8.9442719099991592</v>
          </cell>
          <cell r="O445" t="str">
            <v>-</v>
          </cell>
          <cell r="T445">
            <v>0.75</v>
          </cell>
          <cell r="U445" t="str">
            <v>-</v>
          </cell>
        </row>
        <row r="446">
          <cell r="B446" t="str">
            <v>L8X4X10</v>
          </cell>
          <cell r="C446">
            <v>7.16</v>
          </cell>
          <cell r="D446">
            <v>4</v>
          </cell>
          <cell r="F446" t="str">
            <v>-</v>
          </cell>
          <cell r="H446" t="str">
            <v>-</v>
          </cell>
          <cell r="I446" t="str">
            <v>-</v>
          </cell>
          <cell r="K446" t="str">
            <v>-</v>
          </cell>
          <cell r="L446">
            <v>8</v>
          </cell>
          <cell r="M446">
            <v>8.9442719099991592</v>
          </cell>
          <cell r="O446" t="str">
            <v>-</v>
          </cell>
          <cell r="T446">
            <v>0.625</v>
          </cell>
          <cell r="U446" t="str">
            <v>-</v>
          </cell>
        </row>
        <row r="447">
          <cell r="B447" t="str">
            <v>L8X4X9</v>
          </cell>
          <cell r="C447">
            <v>6.49</v>
          </cell>
          <cell r="D447">
            <v>4</v>
          </cell>
          <cell r="F447" t="str">
            <v>-</v>
          </cell>
          <cell r="H447" t="str">
            <v>-</v>
          </cell>
          <cell r="I447" t="str">
            <v>-</v>
          </cell>
          <cell r="K447" t="str">
            <v>-</v>
          </cell>
          <cell r="L447">
            <v>8</v>
          </cell>
          <cell r="M447">
            <v>8.9442719099991592</v>
          </cell>
          <cell r="O447" t="str">
            <v>-</v>
          </cell>
          <cell r="T447">
            <v>0.56299999999999994</v>
          </cell>
          <cell r="U447" t="str">
            <v>-</v>
          </cell>
        </row>
        <row r="448">
          <cell r="B448" t="str">
            <v>L8X4X8</v>
          </cell>
          <cell r="C448">
            <v>5.8</v>
          </cell>
          <cell r="D448">
            <v>4</v>
          </cell>
          <cell r="F448" t="str">
            <v>-</v>
          </cell>
          <cell r="H448" t="str">
            <v>-</v>
          </cell>
          <cell r="I448" t="str">
            <v>-</v>
          </cell>
          <cell r="K448" t="str">
            <v>-</v>
          </cell>
          <cell r="L448">
            <v>8</v>
          </cell>
          <cell r="M448">
            <v>8.9442719099991592</v>
          </cell>
          <cell r="O448" t="str">
            <v>-</v>
          </cell>
          <cell r="T448">
            <v>0.5</v>
          </cell>
          <cell r="U448" t="str">
            <v>-</v>
          </cell>
        </row>
        <row r="449">
          <cell r="B449" t="str">
            <v>L8X4X7</v>
          </cell>
          <cell r="C449">
            <v>5.1100000000000003</v>
          </cell>
          <cell r="D449">
            <v>4</v>
          </cell>
          <cell r="F449" t="str">
            <v>-</v>
          </cell>
          <cell r="H449" t="str">
            <v>-</v>
          </cell>
          <cell r="I449" t="str">
            <v>-</v>
          </cell>
          <cell r="K449" t="str">
            <v>-</v>
          </cell>
          <cell r="L449">
            <v>8</v>
          </cell>
          <cell r="M449">
            <v>8.9442719099991592</v>
          </cell>
          <cell r="O449" t="str">
            <v>-</v>
          </cell>
          <cell r="T449">
            <v>0.438</v>
          </cell>
          <cell r="U449" t="str">
            <v>-</v>
          </cell>
        </row>
        <row r="450">
          <cell r="B450" t="str">
            <v>L7X4X12</v>
          </cell>
          <cell r="C450">
            <v>7.74</v>
          </cell>
          <cell r="D450">
            <v>4</v>
          </cell>
          <cell r="F450" t="str">
            <v>-</v>
          </cell>
          <cell r="H450" t="str">
            <v>-</v>
          </cell>
          <cell r="I450" t="str">
            <v>-</v>
          </cell>
          <cell r="K450" t="str">
            <v>-</v>
          </cell>
          <cell r="L450">
            <v>7</v>
          </cell>
          <cell r="M450">
            <v>8.0622577482985491</v>
          </cell>
          <cell r="O450" t="str">
            <v>-</v>
          </cell>
          <cell r="T450">
            <v>0.75</v>
          </cell>
          <cell r="U450" t="str">
            <v>-</v>
          </cell>
        </row>
        <row r="451">
          <cell r="B451" t="str">
            <v>L7X4X10</v>
          </cell>
          <cell r="C451">
            <v>6.5</v>
          </cell>
          <cell r="D451">
            <v>4</v>
          </cell>
          <cell r="F451" t="str">
            <v>-</v>
          </cell>
          <cell r="H451" t="str">
            <v>-</v>
          </cell>
          <cell r="I451" t="str">
            <v>-</v>
          </cell>
          <cell r="K451" t="str">
            <v>-</v>
          </cell>
          <cell r="L451">
            <v>7</v>
          </cell>
          <cell r="M451">
            <v>8.0622577482985491</v>
          </cell>
          <cell r="O451" t="str">
            <v>-</v>
          </cell>
          <cell r="T451">
            <v>0.625</v>
          </cell>
          <cell r="U451" t="str">
            <v>-</v>
          </cell>
        </row>
        <row r="452">
          <cell r="B452" t="str">
            <v>L7X4X8</v>
          </cell>
          <cell r="C452">
            <v>5.26</v>
          </cell>
          <cell r="D452">
            <v>4</v>
          </cell>
          <cell r="F452" t="str">
            <v>-</v>
          </cell>
          <cell r="H452" t="str">
            <v>-</v>
          </cell>
          <cell r="I452" t="str">
            <v>-</v>
          </cell>
          <cell r="K452" t="str">
            <v>-</v>
          </cell>
          <cell r="L452">
            <v>7</v>
          </cell>
          <cell r="M452">
            <v>8.0622577482985491</v>
          </cell>
          <cell r="O452" t="str">
            <v>-</v>
          </cell>
          <cell r="T452">
            <v>0.5</v>
          </cell>
          <cell r="U452" t="str">
            <v>-</v>
          </cell>
        </row>
        <row r="453">
          <cell r="B453" t="str">
            <v>L7X4X7</v>
          </cell>
          <cell r="C453">
            <v>4.63</v>
          </cell>
          <cell r="D453">
            <v>4</v>
          </cell>
          <cell r="F453" t="str">
            <v>-</v>
          </cell>
          <cell r="H453" t="str">
            <v>-</v>
          </cell>
          <cell r="I453" t="str">
            <v>-</v>
          </cell>
          <cell r="K453" t="str">
            <v>-</v>
          </cell>
          <cell r="L453">
            <v>7</v>
          </cell>
          <cell r="M453">
            <v>8.0622577482985491</v>
          </cell>
          <cell r="O453" t="str">
            <v>-</v>
          </cell>
          <cell r="T453">
            <v>0.438</v>
          </cell>
          <cell r="U453" t="str">
            <v>-</v>
          </cell>
        </row>
        <row r="454">
          <cell r="B454" t="str">
            <v>L7X4X6</v>
          </cell>
          <cell r="C454">
            <v>4</v>
          </cell>
          <cell r="D454">
            <v>4</v>
          </cell>
          <cell r="F454" t="str">
            <v>-</v>
          </cell>
          <cell r="H454" t="str">
            <v>-</v>
          </cell>
          <cell r="I454" t="str">
            <v>-</v>
          </cell>
          <cell r="K454" t="str">
            <v>-</v>
          </cell>
          <cell r="L454">
            <v>7</v>
          </cell>
          <cell r="M454">
            <v>8.0622577482985491</v>
          </cell>
          <cell r="O454" t="str">
            <v>-</v>
          </cell>
          <cell r="T454">
            <v>0.375</v>
          </cell>
          <cell r="U454" t="str">
            <v>-</v>
          </cell>
        </row>
        <row r="455">
          <cell r="B455" t="str">
            <v>L6X6X16</v>
          </cell>
          <cell r="C455">
            <v>11</v>
          </cell>
          <cell r="D455">
            <v>6</v>
          </cell>
          <cell r="F455" t="str">
            <v>-</v>
          </cell>
          <cell r="H455" t="str">
            <v>-</v>
          </cell>
          <cell r="I455" t="str">
            <v>-</v>
          </cell>
          <cell r="K455" t="str">
            <v>-</v>
          </cell>
          <cell r="L455">
            <v>6</v>
          </cell>
          <cell r="M455">
            <v>8.4852813742385695</v>
          </cell>
          <cell r="O455" t="str">
            <v>-</v>
          </cell>
          <cell r="T455">
            <v>1</v>
          </cell>
          <cell r="U455" t="str">
            <v>-</v>
          </cell>
        </row>
        <row r="456">
          <cell r="B456" t="str">
            <v>L6X6X14</v>
          </cell>
          <cell r="C456">
            <v>9.75</v>
          </cell>
          <cell r="D456">
            <v>6</v>
          </cell>
          <cell r="F456" t="str">
            <v>-</v>
          </cell>
          <cell r="H456" t="str">
            <v>-</v>
          </cell>
          <cell r="I456" t="str">
            <v>-</v>
          </cell>
          <cell r="K456" t="str">
            <v>-</v>
          </cell>
          <cell r="L456">
            <v>6</v>
          </cell>
          <cell r="M456">
            <v>8.4852813742385695</v>
          </cell>
          <cell r="O456" t="str">
            <v>-</v>
          </cell>
          <cell r="T456">
            <v>0.875</v>
          </cell>
          <cell r="U456" t="str">
            <v>-</v>
          </cell>
        </row>
        <row r="457">
          <cell r="B457" t="str">
            <v>L6X6X12</v>
          </cell>
          <cell r="C457">
            <v>8.4600000000000009</v>
          </cell>
          <cell r="D457">
            <v>6</v>
          </cell>
          <cell r="F457" t="str">
            <v>-</v>
          </cell>
          <cell r="H457" t="str">
            <v>-</v>
          </cell>
          <cell r="I457" t="str">
            <v>-</v>
          </cell>
          <cell r="K457" t="str">
            <v>-</v>
          </cell>
          <cell r="L457">
            <v>6</v>
          </cell>
          <cell r="M457">
            <v>8.4852813742385695</v>
          </cell>
          <cell r="O457" t="str">
            <v>-</v>
          </cell>
          <cell r="T457">
            <v>0.75</v>
          </cell>
          <cell r="U457" t="str">
            <v>-</v>
          </cell>
        </row>
        <row r="458">
          <cell r="B458" t="str">
            <v>L6X6X10</v>
          </cell>
          <cell r="C458">
            <v>7.13</v>
          </cell>
          <cell r="D458">
            <v>6</v>
          </cell>
          <cell r="F458" t="str">
            <v>-</v>
          </cell>
          <cell r="H458" t="str">
            <v>-</v>
          </cell>
          <cell r="I458" t="str">
            <v>-</v>
          </cell>
          <cell r="K458" t="str">
            <v>-</v>
          </cell>
          <cell r="L458">
            <v>6</v>
          </cell>
          <cell r="M458">
            <v>8.4852813742385695</v>
          </cell>
          <cell r="O458" t="str">
            <v>-</v>
          </cell>
          <cell r="T458">
            <v>0.625</v>
          </cell>
          <cell r="U458" t="str">
            <v>-</v>
          </cell>
        </row>
        <row r="459">
          <cell r="B459" t="str">
            <v>L6X6X9</v>
          </cell>
          <cell r="C459">
            <v>6.45</v>
          </cell>
          <cell r="D459">
            <v>6</v>
          </cell>
          <cell r="F459" t="str">
            <v>-</v>
          </cell>
          <cell r="H459" t="str">
            <v>-</v>
          </cell>
          <cell r="I459" t="str">
            <v>-</v>
          </cell>
          <cell r="K459" t="str">
            <v>-</v>
          </cell>
          <cell r="L459">
            <v>6</v>
          </cell>
          <cell r="M459">
            <v>8.4852813742385695</v>
          </cell>
          <cell r="O459" t="str">
            <v>-</v>
          </cell>
          <cell r="T459">
            <v>0.56299999999999994</v>
          </cell>
          <cell r="U459" t="str">
            <v>-</v>
          </cell>
        </row>
        <row r="460">
          <cell r="B460" t="str">
            <v>L6X6X8</v>
          </cell>
          <cell r="C460">
            <v>5.77</v>
          </cell>
          <cell r="D460">
            <v>6</v>
          </cell>
          <cell r="F460" t="str">
            <v>-</v>
          </cell>
          <cell r="H460" t="str">
            <v>-</v>
          </cell>
          <cell r="I460" t="str">
            <v>-</v>
          </cell>
          <cell r="K460" t="str">
            <v>-</v>
          </cell>
          <cell r="L460">
            <v>6</v>
          </cell>
          <cell r="M460">
            <v>8.4852813742385695</v>
          </cell>
          <cell r="O460" t="str">
            <v>-</v>
          </cell>
          <cell r="T460">
            <v>0.5</v>
          </cell>
          <cell r="U460" t="str">
            <v>-</v>
          </cell>
        </row>
        <row r="461">
          <cell r="B461" t="str">
            <v>L6X6X7</v>
          </cell>
          <cell r="C461">
            <v>5.08</v>
          </cell>
          <cell r="D461">
            <v>6</v>
          </cell>
          <cell r="F461" t="str">
            <v>-</v>
          </cell>
          <cell r="H461" t="str">
            <v>-</v>
          </cell>
          <cell r="I461" t="str">
            <v>-</v>
          </cell>
          <cell r="K461" t="str">
            <v>-</v>
          </cell>
          <cell r="L461">
            <v>6</v>
          </cell>
          <cell r="M461">
            <v>8.4852813742385695</v>
          </cell>
          <cell r="O461" t="str">
            <v>-</v>
          </cell>
          <cell r="T461">
            <v>0.438</v>
          </cell>
          <cell r="U461" t="str">
            <v>-</v>
          </cell>
        </row>
        <row r="462">
          <cell r="B462" t="str">
            <v>L6X6X6</v>
          </cell>
          <cell r="C462">
            <v>4.38</v>
          </cell>
          <cell r="D462">
            <v>6</v>
          </cell>
          <cell r="F462" t="str">
            <v>-</v>
          </cell>
          <cell r="H462" t="str">
            <v>-</v>
          </cell>
          <cell r="I462" t="str">
            <v>-</v>
          </cell>
          <cell r="K462" t="str">
            <v>-</v>
          </cell>
          <cell r="L462">
            <v>6</v>
          </cell>
          <cell r="M462">
            <v>8.4852813742385695</v>
          </cell>
          <cell r="O462" t="str">
            <v>-</v>
          </cell>
          <cell r="T462">
            <v>0.375</v>
          </cell>
          <cell r="U462" t="str">
            <v>-</v>
          </cell>
        </row>
        <row r="463">
          <cell r="B463" t="str">
            <v>L6X6X5</v>
          </cell>
          <cell r="C463">
            <v>3.67</v>
          </cell>
          <cell r="D463">
            <v>6</v>
          </cell>
          <cell r="F463" t="str">
            <v>-</v>
          </cell>
          <cell r="H463" t="str">
            <v>-</v>
          </cell>
          <cell r="I463" t="str">
            <v>-</v>
          </cell>
          <cell r="K463" t="str">
            <v>-</v>
          </cell>
          <cell r="L463">
            <v>6</v>
          </cell>
          <cell r="M463">
            <v>8.4852813742385695</v>
          </cell>
          <cell r="O463" t="str">
            <v>-</v>
          </cell>
          <cell r="T463">
            <v>0.313</v>
          </cell>
          <cell r="U463" t="str">
            <v>-</v>
          </cell>
        </row>
        <row r="464">
          <cell r="B464" t="str">
            <v>L6X4X14</v>
          </cell>
          <cell r="C464">
            <v>8</v>
          </cell>
          <cell r="D464">
            <v>4</v>
          </cell>
          <cell r="F464" t="str">
            <v>-</v>
          </cell>
          <cell r="H464" t="str">
            <v>-</v>
          </cell>
          <cell r="I464" t="str">
            <v>-</v>
          </cell>
          <cell r="K464" t="str">
            <v>-</v>
          </cell>
          <cell r="L464">
            <v>6</v>
          </cell>
          <cell r="M464">
            <v>7.2111025509279782</v>
          </cell>
          <cell r="O464" t="str">
            <v>-</v>
          </cell>
          <cell r="T464">
            <v>0.875</v>
          </cell>
          <cell r="U464" t="str">
            <v>-</v>
          </cell>
        </row>
        <row r="465">
          <cell r="B465" t="str">
            <v>L6X4X12</v>
          </cell>
          <cell r="C465">
            <v>6.94</v>
          </cell>
          <cell r="D465">
            <v>4</v>
          </cell>
          <cell r="F465" t="str">
            <v>-</v>
          </cell>
          <cell r="H465" t="str">
            <v>-</v>
          </cell>
          <cell r="I465" t="str">
            <v>-</v>
          </cell>
          <cell r="K465" t="str">
            <v>-</v>
          </cell>
          <cell r="L465">
            <v>6</v>
          </cell>
          <cell r="M465">
            <v>7.2111025509279782</v>
          </cell>
          <cell r="O465" t="str">
            <v>-</v>
          </cell>
          <cell r="T465">
            <v>0.75</v>
          </cell>
          <cell r="U465" t="str">
            <v>-</v>
          </cell>
        </row>
        <row r="466">
          <cell r="B466" t="str">
            <v>L6X4X10</v>
          </cell>
          <cell r="C466">
            <v>5.86</v>
          </cell>
          <cell r="D466">
            <v>4</v>
          </cell>
          <cell r="F466" t="str">
            <v>-</v>
          </cell>
          <cell r="H466" t="str">
            <v>-</v>
          </cell>
          <cell r="I466" t="str">
            <v>-</v>
          </cell>
          <cell r="K466" t="str">
            <v>-</v>
          </cell>
          <cell r="L466">
            <v>6</v>
          </cell>
          <cell r="M466">
            <v>7.2111025509279782</v>
          </cell>
          <cell r="O466" t="str">
            <v>-</v>
          </cell>
          <cell r="T466">
            <v>0.625</v>
          </cell>
          <cell r="U466" t="str">
            <v>-</v>
          </cell>
        </row>
        <row r="467">
          <cell r="B467" t="str">
            <v>L6X4X9</v>
          </cell>
          <cell r="C467">
            <v>5.31</v>
          </cell>
          <cell r="D467">
            <v>4</v>
          </cell>
          <cell r="F467" t="str">
            <v>-</v>
          </cell>
          <cell r="H467" t="str">
            <v>-</v>
          </cell>
          <cell r="I467" t="str">
            <v>-</v>
          </cell>
          <cell r="K467" t="str">
            <v>-</v>
          </cell>
          <cell r="L467">
            <v>6</v>
          </cell>
          <cell r="M467">
            <v>7.2111025509279782</v>
          </cell>
          <cell r="O467" t="str">
            <v>-</v>
          </cell>
          <cell r="T467">
            <v>0.56299999999999994</v>
          </cell>
          <cell r="U467" t="str">
            <v>-</v>
          </cell>
        </row>
        <row r="468">
          <cell r="B468" t="str">
            <v>L6X4X8</v>
          </cell>
          <cell r="C468">
            <v>4.75</v>
          </cell>
          <cell r="D468">
            <v>4</v>
          </cell>
          <cell r="F468" t="str">
            <v>-</v>
          </cell>
          <cell r="H468" t="str">
            <v>-</v>
          </cell>
          <cell r="I468" t="str">
            <v>-</v>
          </cell>
          <cell r="K468" t="str">
            <v>-</v>
          </cell>
          <cell r="L468">
            <v>6</v>
          </cell>
          <cell r="M468">
            <v>7.2111025509279782</v>
          </cell>
          <cell r="O468" t="str">
            <v>-</v>
          </cell>
          <cell r="T468">
            <v>0.5</v>
          </cell>
          <cell r="U468" t="str">
            <v>-</v>
          </cell>
        </row>
        <row r="469">
          <cell r="B469" t="str">
            <v>L6X4X7</v>
          </cell>
          <cell r="C469">
            <v>4.18</v>
          </cell>
          <cell r="D469">
            <v>4</v>
          </cell>
          <cell r="F469" t="str">
            <v>-</v>
          </cell>
          <cell r="H469" t="str">
            <v>-</v>
          </cell>
          <cell r="I469" t="str">
            <v>-</v>
          </cell>
          <cell r="K469" t="str">
            <v>-</v>
          </cell>
          <cell r="L469">
            <v>6</v>
          </cell>
          <cell r="M469">
            <v>7.2111025509279782</v>
          </cell>
          <cell r="O469" t="str">
            <v>-</v>
          </cell>
          <cell r="T469">
            <v>0.438</v>
          </cell>
          <cell r="U469" t="str">
            <v>-</v>
          </cell>
        </row>
        <row r="470">
          <cell r="B470" t="str">
            <v>L6X4X6</v>
          </cell>
          <cell r="C470">
            <v>3.61</v>
          </cell>
          <cell r="D470">
            <v>4</v>
          </cell>
          <cell r="F470" t="str">
            <v>-</v>
          </cell>
          <cell r="H470" t="str">
            <v>-</v>
          </cell>
          <cell r="I470" t="str">
            <v>-</v>
          </cell>
          <cell r="K470" t="str">
            <v>-</v>
          </cell>
          <cell r="L470">
            <v>6</v>
          </cell>
          <cell r="M470">
            <v>7.2111025509279782</v>
          </cell>
          <cell r="O470" t="str">
            <v>-</v>
          </cell>
          <cell r="T470">
            <v>0.375</v>
          </cell>
          <cell r="U470" t="str">
            <v>-</v>
          </cell>
        </row>
        <row r="471">
          <cell r="B471" t="str">
            <v>L6X4X5</v>
          </cell>
          <cell r="C471">
            <v>3.03</v>
          </cell>
          <cell r="D471">
            <v>4</v>
          </cell>
          <cell r="F471" t="str">
            <v>-</v>
          </cell>
          <cell r="H471" t="str">
            <v>-</v>
          </cell>
          <cell r="I471" t="str">
            <v>-</v>
          </cell>
          <cell r="K471" t="str">
            <v>-</v>
          </cell>
          <cell r="L471">
            <v>6</v>
          </cell>
          <cell r="M471">
            <v>7.2111025509279782</v>
          </cell>
          <cell r="O471" t="str">
            <v>-</v>
          </cell>
          <cell r="T471">
            <v>0.313</v>
          </cell>
          <cell r="U471" t="str">
            <v>-</v>
          </cell>
        </row>
        <row r="472">
          <cell r="B472" t="str">
            <v>L6X3.5X8</v>
          </cell>
          <cell r="C472">
            <v>4.5</v>
          </cell>
          <cell r="D472">
            <v>3.5</v>
          </cell>
          <cell r="F472" t="str">
            <v>-</v>
          </cell>
          <cell r="H472" t="str">
            <v>-</v>
          </cell>
          <cell r="I472" t="str">
            <v>-</v>
          </cell>
          <cell r="K472" t="str">
            <v>-</v>
          </cell>
          <cell r="L472">
            <v>6</v>
          </cell>
          <cell r="M472">
            <v>6.946221994724902</v>
          </cell>
          <cell r="O472" t="str">
            <v>-</v>
          </cell>
          <cell r="T472">
            <v>0.5</v>
          </cell>
          <cell r="U472" t="str">
            <v>-</v>
          </cell>
        </row>
        <row r="473">
          <cell r="B473" t="str">
            <v>L6X3.5X6</v>
          </cell>
          <cell r="C473">
            <v>3.44</v>
          </cell>
          <cell r="D473">
            <v>3.5</v>
          </cell>
          <cell r="F473" t="str">
            <v>-</v>
          </cell>
          <cell r="H473" t="str">
            <v>-</v>
          </cell>
          <cell r="I473" t="str">
            <v>-</v>
          </cell>
          <cell r="K473" t="str">
            <v>-</v>
          </cell>
          <cell r="L473">
            <v>6</v>
          </cell>
          <cell r="M473">
            <v>6.946221994724902</v>
          </cell>
          <cell r="O473" t="str">
            <v>-</v>
          </cell>
          <cell r="T473">
            <v>0.375</v>
          </cell>
          <cell r="U473" t="str">
            <v>-</v>
          </cell>
        </row>
        <row r="474">
          <cell r="B474" t="str">
            <v>L6X3.5X5</v>
          </cell>
          <cell r="C474">
            <v>2.89</v>
          </cell>
          <cell r="D474">
            <v>3.5</v>
          </cell>
          <cell r="F474" t="str">
            <v>-</v>
          </cell>
          <cell r="H474" t="str">
            <v>-</v>
          </cell>
          <cell r="I474" t="str">
            <v>-</v>
          </cell>
          <cell r="K474" t="str">
            <v>-</v>
          </cell>
          <cell r="L474">
            <v>6</v>
          </cell>
          <cell r="M474">
            <v>6.946221994724902</v>
          </cell>
          <cell r="O474" t="str">
            <v>-</v>
          </cell>
          <cell r="T474">
            <v>0.313</v>
          </cell>
          <cell r="U474" t="str">
            <v>-</v>
          </cell>
        </row>
        <row r="475">
          <cell r="B475" t="str">
            <v>L5X5X14</v>
          </cell>
          <cell r="C475">
            <v>8</v>
          </cell>
          <cell r="D475">
            <v>5</v>
          </cell>
          <cell r="F475" t="str">
            <v>-</v>
          </cell>
          <cell r="H475" t="str">
            <v>-</v>
          </cell>
          <cell r="I475" t="str">
            <v>-</v>
          </cell>
          <cell r="K475" t="str">
            <v>-</v>
          </cell>
          <cell r="L475">
            <v>5</v>
          </cell>
          <cell r="M475">
            <v>7.0710678118654755</v>
          </cell>
          <cell r="O475" t="str">
            <v>-</v>
          </cell>
          <cell r="T475">
            <v>0.875</v>
          </cell>
          <cell r="U475" t="str">
            <v>-</v>
          </cell>
        </row>
        <row r="476">
          <cell r="B476" t="str">
            <v>L5X5X12</v>
          </cell>
          <cell r="C476">
            <v>6.98</v>
          </cell>
          <cell r="D476">
            <v>5</v>
          </cell>
          <cell r="F476" t="str">
            <v>-</v>
          </cell>
          <cell r="H476" t="str">
            <v>-</v>
          </cell>
          <cell r="I476" t="str">
            <v>-</v>
          </cell>
          <cell r="K476" t="str">
            <v>-</v>
          </cell>
          <cell r="L476">
            <v>5</v>
          </cell>
          <cell r="M476">
            <v>7.0710678118654755</v>
          </cell>
          <cell r="O476" t="str">
            <v>-</v>
          </cell>
          <cell r="T476">
            <v>0.75</v>
          </cell>
          <cell r="U476" t="str">
            <v>-</v>
          </cell>
        </row>
        <row r="477">
          <cell r="B477" t="str">
            <v>L5X5X10</v>
          </cell>
          <cell r="C477">
            <v>5.9</v>
          </cell>
          <cell r="D477">
            <v>5</v>
          </cell>
          <cell r="F477" t="str">
            <v>-</v>
          </cell>
          <cell r="H477" t="str">
            <v>-</v>
          </cell>
          <cell r="I477" t="str">
            <v>-</v>
          </cell>
          <cell r="K477" t="str">
            <v>-</v>
          </cell>
          <cell r="L477">
            <v>5</v>
          </cell>
          <cell r="M477">
            <v>7.0710678118654755</v>
          </cell>
          <cell r="O477" t="str">
            <v>-</v>
          </cell>
          <cell r="T477">
            <v>0.625</v>
          </cell>
          <cell r="U477" t="str">
            <v>-</v>
          </cell>
        </row>
        <row r="478">
          <cell r="B478" t="str">
            <v>L5X5X8</v>
          </cell>
          <cell r="C478">
            <v>4.79</v>
          </cell>
          <cell r="D478">
            <v>5</v>
          </cell>
          <cell r="F478" t="str">
            <v>-</v>
          </cell>
          <cell r="H478" t="str">
            <v>-</v>
          </cell>
          <cell r="I478" t="str">
            <v>-</v>
          </cell>
          <cell r="K478" t="str">
            <v>-</v>
          </cell>
          <cell r="L478">
            <v>5</v>
          </cell>
          <cell r="M478">
            <v>7.0710678118654755</v>
          </cell>
          <cell r="O478" t="str">
            <v>-</v>
          </cell>
          <cell r="T478">
            <v>0.5</v>
          </cell>
          <cell r="U478" t="str">
            <v>-</v>
          </cell>
        </row>
        <row r="479">
          <cell r="B479" t="str">
            <v>L5X5X7</v>
          </cell>
          <cell r="C479">
            <v>4.22</v>
          </cell>
          <cell r="D479">
            <v>5</v>
          </cell>
          <cell r="F479" t="str">
            <v>-</v>
          </cell>
          <cell r="H479" t="str">
            <v>-</v>
          </cell>
          <cell r="I479" t="str">
            <v>-</v>
          </cell>
          <cell r="K479" t="str">
            <v>-</v>
          </cell>
          <cell r="L479">
            <v>5</v>
          </cell>
          <cell r="M479">
            <v>7.0710678118654755</v>
          </cell>
          <cell r="O479" t="str">
            <v>-</v>
          </cell>
          <cell r="T479">
            <v>0.438</v>
          </cell>
          <cell r="U479" t="str">
            <v>-</v>
          </cell>
        </row>
        <row r="480">
          <cell r="B480" t="str">
            <v>L5X5X6</v>
          </cell>
          <cell r="C480">
            <v>3.65</v>
          </cell>
          <cell r="D480">
            <v>5</v>
          </cell>
          <cell r="F480" t="str">
            <v>-</v>
          </cell>
          <cell r="H480" t="str">
            <v>-</v>
          </cell>
          <cell r="I480" t="str">
            <v>-</v>
          </cell>
          <cell r="K480" t="str">
            <v>-</v>
          </cell>
          <cell r="L480">
            <v>5</v>
          </cell>
          <cell r="M480">
            <v>7.0710678118654755</v>
          </cell>
          <cell r="O480" t="str">
            <v>-</v>
          </cell>
          <cell r="T480">
            <v>0.375</v>
          </cell>
          <cell r="U480" t="str">
            <v>-</v>
          </cell>
        </row>
        <row r="481">
          <cell r="B481" t="str">
            <v>L5X5X5</v>
          </cell>
          <cell r="C481">
            <v>3.07</v>
          </cell>
          <cell r="D481">
            <v>5</v>
          </cell>
          <cell r="F481" t="str">
            <v>-</v>
          </cell>
          <cell r="H481" t="str">
            <v>-</v>
          </cell>
          <cell r="I481" t="str">
            <v>-</v>
          </cell>
          <cell r="K481" t="str">
            <v>-</v>
          </cell>
          <cell r="L481">
            <v>5</v>
          </cell>
          <cell r="M481">
            <v>7.0710678118654755</v>
          </cell>
          <cell r="O481" t="str">
            <v>-</v>
          </cell>
          <cell r="T481">
            <v>0.313</v>
          </cell>
          <cell r="U481" t="str">
            <v>-</v>
          </cell>
        </row>
        <row r="482">
          <cell r="B482" t="str">
            <v>L5X3.5X12</v>
          </cell>
          <cell r="C482">
            <v>5.85</v>
          </cell>
          <cell r="D482">
            <v>3.5</v>
          </cell>
          <cell r="F482" t="str">
            <v>-</v>
          </cell>
          <cell r="H482" t="str">
            <v>-</v>
          </cell>
          <cell r="I482" t="str">
            <v>-</v>
          </cell>
          <cell r="K482" t="str">
            <v>-</v>
          </cell>
          <cell r="L482">
            <v>5</v>
          </cell>
          <cell r="M482">
            <v>6.103277807866851</v>
          </cell>
          <cell r="O482" t="str">
            <v>-</v>
          </cell>
          <cell r="T482">
            <v>0.75</v>
          </cell>
          <cell r="U482" t="str">
            <v>-</v>
          </cell>
        </row>
        <row r="483">
          <cell r="B483" t="str">
            <v>L5X3.5X10</v>
          </cell>
          <cell r="C483">
            <v>4.93</v>
          </cell>
          <cell r="D483">
            <v>3.5</v>
          </cell>
          <cell r="F483" t="str">
            <v>-</v>
          </cell>
          <cell r="H483" t="str">
            <v>-</v>
          </cell>
          <cell r="I483" t="str">
            <v>-</v>
          </cell>
          <cell r="K483" t="str">
            <v>-</v>
          </cell>
          <cell r="L483">
            <v>5</v>
          </cell>
          <cell r="M483">
            <v>6.103277807866851</v>
          </cell>
          <cell r="O483" t="str">
            <v>-</v>
          </cell>
          <cell r="T483">
            <v>0.625</v>
          </cell>
          <cell r="U483" t="str">
            <v>-</v>
          </cell>
        </row>
        <row r="484">
          <cell r="B484" t="str">
            <v>L5X3.5X8</v>
          </cell>
          <cell r="C484">
            <v>4</v>
          </cell>
          <cell r="D484">
            <v>3.5</v>
          </cell>
          <cell r="F484" t="str">
            <v>-</v>
          </cell>
          <cell r="H484" t="str">
            <v>-</v>
          </cell>
          <cell r="I484" t="str">
            <v>-</v>
          </cell>
          <cell r="K484" t="str">
            <v>-</v>
          </cell>
          <cell r="L484">
            <v>5</v>
          </cell>
          <cell r="M484">
            <v>6.103277807866851</v>
          </cell>
          <cell r="O484" t="str">
            <v>-</v>
          </cell>
          <cell r="T484">
            <v>0.5</v>
          </cell>
          <cell r="U484" t="str">
            <v>-</v>
          </cell>
        </row>
        <row r="485">
          <cell r="B485" t="str">
            <v>L5X3.5X6</v>
          </cell>
          <cell r="C485">
            <v>3.05</v>
          </cell>
          <cell r="D485">
            <v>3.5</v>
          </cell>
          <cell r="F485" t="str">
            <v>-</v>
          </cell>
          <cell r="H485" t="str">
            <v>-</v>
          </cell>
          <cell r="I485" t="str">
            <v>-</v>
          </cell>
          <cell r="K485" t="str">
            <v>-</v>
          </cell>
          <cell r="L485">
            <v>5</v>
          </cell>
          <cell r="M485">
            <v>6.103277807866851</v>
          </cell>
          <cell r="O485" t="str">
            <v>-</v>
          </cell>
          <cell r="T485">
            <v>0.375</v>
          </cell>
          <cell r="U485" t="str">
            <v>-</v>
          </cell>
        </row>
        <row r="486">
          <cell r="B486" t="str">
            <v>L5X3.5X5</v>
          </cell>
          <cell r="C486">
            <v>2.56</v>
          </cell>
          <cell r="D486">
            <v>3.5</v>
          </cell>
          <cell r="F486" t="str">
            <v>-</v>
          </cell>
          <cell r="H486" t="str">
            <v>-</v>
          </cell>
          <cell r="I486" t="str">
            <v>-</v>
          </cell>
          <cell r="K486" t="str">
            <v>-</v>
          </cell>
          <cell r="L486">
            <v>5</v>
          </cell>
          <cell r="M486">
            <v>6.103277807866851</v>
          </cell>
          <cell r="O486" t="str">
            <v>-</v>
          </cell>
          <cell r="T486">
            <v>0.313</v>
          </cell>
          <cell r="U486" t="str">
            <v>-</v>
          </cell>
        </row>
        <row r="487">
          <cell r="B487" t="str">
            <v>L5X3.5X4</v>
          </cell>
          <cell r="C487">
            <v>2.0699999999999998</v>
          </cell>
          <cell r="D487">
            <v>3.5</v>
          </cell>
          <cell r="F487" t="str">
            <v>-</v>
          </cell>
          <cell r="H487" t="str">
            <v>-</v>
          </cell>
          <cell r="I487" t="str">
            <v>-</v>
          </cell>
          <cell r="K487" t="str">
            <v>-</v>
          </cell>
          <cell r="L487">
            <v>5</v>
          </cell>
          <cell r="M487">
            <v>6.103277807866851</v>
          </cell>
          <cell r="O487" t="str">
            <v>-</v>
          </cell>
          <cell r="T487">
            <v>0.25</v>
          </cell>
          <cell r="U487" t="str">
            <v>-</v>
          </cell>
        </row>
        <row r="488">
          <cell r="B488" t="str">
            <v>L5X3X8</v>
          </cell>
          <cell r="C488">
            <v>3.75</v>
          </cell>
          <cell r="D488">
            <v>3</v>
          </cell>
          <cell r="F488" t="str">
            <v>-</v>
          </cell>
          <cell r="H488" t="str">
            <v>-</v>
          </cell>
          <cell r="I488" t="str">
            <v>-</v>
          </cell>
          <cell r="K488" t="str">
            <v>-</v>
          </cell>
          <cell r="L488">
            <v>5</v>
          </cell>
          <cell r="M488">
            <v>5.8309518948453007</v>
          </cell>
          <cell r="O488" t="str">
            <v>-</v>
          </cell>
          <cell r="T488">
            <v>0.5</v>
          </cell>
          <cell r="U488" t="str">
            <v>-</v>
          </cell>
        </row>
        <row r="489">
          <cell r="B489" t="str">
            <v>L5X3X7</v>
          </cell>
          <cell r="C489">
            <v>3.31</v>
          </cell>
          <cell r="D489">
            <v>3</v>
          </cell>
          <cell r="F489" t="str">
            <v>-</v>
          </cell>
          <cell r="H489" t="str">
            <v>-</v>
          </cell>
          <cell r="I489" t="str">
            <v>-</v>
          </cell>
          <cell r="K489" t="str">
            <v>-</v>
          </cell>
          <cell r="L489">
            <v>5</v>
          </cell>
          <cell r="M489">
            <v>5.8309518948453007</v>
          </cell>
          <cell r="O489" t="str">
            <v>-</v>
          </cell>
          <cell r="T489">
            <v>0.438</v>
          </cell>
          <cell r="U489" t="str">
            <v>-</v>
          </cell>
        </row>
        <row r="490">
          <cell r="B490" t="str">
            <v>L5X3X6</v>
          </cell>
          <cell r="C490">
            <v>2.86</v>
          </cell>
          <cell r="D490">
            <v>3</v>
          </cell>
          <cell r="F490" t="str">
            <v>-</v>
          </cell>
          <cell r="H490" t="str">
            <v>-</v>
          </cell>
          <cell r="I490" t="str">
            <v>-</v>
          </cell>
          <cell r="K490" t="str">
            <v>-</v>
          </cell>
          <cell r="L490">
            <v>5</v>
          </cell>
          <cell r="M490">
            <v>5.8309518948453007</v>
          </cell>
          <cell r="O490" t="str">
            <v>-</v>
          </cell>
          <cell r="T490">
            <v>0.375</v>
          </cell>
          <cell r="U490" t="str">
            <v>-</v>
          </cell>
        </row>
        <row r="491">
          <cell r="B491" t="str">
            <v>L5X3X5</v>
          </cell>
          <cell r="C491">
            <v>2.41</v>
          </cell>
          <cell r="D491">
            <v>3</v>
          </cell>
          <cell r="F491" t="str">
            <v>-</v>
          </cell>
          <cell r="H491" t="str">
            <v>-</v>
          </cell>
          <cell r="I491" t="str">
            <v>-</v>
          </cell>
          <cell r="K491" t="str">
            <v>-</v>
          </cell>
          <cell r="L491">
            <v>5</v>
          </cell>
          <cell r="M491">
            <v>5.8309518948453007</v>
          </cell>
          <cell r="O491" t="str">
            <v>-</v>
          </cell>
          <cell r="T491">
            <v>0.313</v>
          </cell>
          <cell r="U491" t="str">
            <v>-</v>
          </cell>
        </row>
        <row r="492">
          <cell r="B492" t="str">
            <v>L5X3X4</v>
          </cell>
          <cell r="C492">
            <v>1.94</v>
          </cell>
          <cell r="D492">
            <v>3</v>
          </cell>
          <cell r="F492" t="str">
            <v>-</v>
          </cell>
          <cell r="H492" t="str">
            <v>-</v>
          </cell>
          <cell r="I492" t="str">
            <v>-</v>
          </cell>
          <cell r="K492" t="str">
            <v>-</v>
          </cell>
          <cell r="L492">
            <v>5</v>
          </cell>
          <cell r="M492">
            <v>5.8309518948453007</v>
          </cell>
          <cell r="O492" t="str">
            <v>-</v>
          </cell>
          <cell r="T492">
            <v>0.25</v>
          </cell>
          <cell r="U492" t="str">
            <v>-</v>
          </cell>
        </row>
        <row r="493">
          <cell r="B493" t="str">
            <v>L4X4X12</v>
          </cell>
          <cell r="C493">
            <v>5.44</v>
          </cell>
          <cell r="D493">
            <v>4</v>
          </cell>
          <cell r="F493" t="str">
            <v>-</v>
          </cell>
          <cell r="H493" t="str">
            <v>-</v>
          </cell>
          <cell r="I493" t="str">
            <v>-</v>
          </cell>
          <cell r="K493" t="str">
            <v>-</v>
          </cell>
          <cell r="L493">
            <v>4</v>
          </cell>
          <cell r="M493">
            <v>5.6568542494923806</v>
          </cell>
          <cell r="O493" t="str">
            <v>-</v>
          </cell>
          <cell r="T493">
            <v>0.75</v>
          </cell>
          <cell r="U493" t="str">
            <v>-</v>
          </cell>
        </row>
        <row r="494">
          <cell r="B494" t="str">
            <v>L4X4X10</v>
          </cell>
          <cell r="C494">
            <v>4.6100000000000003</v>
          </cell>
          <cell r="D494">
            <v>4</v>
          </cell>
          <cell r="F494" t="str">
            <v>-</v>
          </cell>
          <cell r="H494" t="str">
            <v>-</v>
          </cell>
          <cell r="I494" t="str">
            <v>-</v>
          </cell>
          <cell r="K494" t="str">
            <v>-</v>
          </cell>
          <cell r="L494">
            <v>4</v>
          </cell>
          <cell r="M494">
            <v>5.6568542494923806</v>
          </cell>
          <cell r="O494" t="str">
            <v>-</v>
          </cell>
          <cell r="T494">
            <v>0.625</v>
          </cell>
          <cell r="U494" t="str">
            <v>-</v>
          </cell>
        </row>
        <row r="495">
          <cell r="B495" t="str">
            <v>L4X4X8</v>
          </cell>
          <cell r="C495">
            <v>3.75</v>
          </cell>
          <cell r="D495">
            <v>4</v>
          </cell>
          <cell r="F495" t="str">
            <v>-</v>
          </cell>
          <cell r="H495" t="str">
            <v>-</v>
          </cell>
          <cell r="I495" t="str">
            <v>-</v>
          </cell>
          <cell r="K495" t="str">
            <v>-</v>
          </cell>
          <cell r="L495">
            <v>4</v>
          </cell>
          <cell r="M495">
            <v>5.6568542494923806</v>
          </cell>
          <cell r="O495" t="str">
            <v>-</v>
          </cell>
          <cell r="T495">
            <v>0.5</v>
          </cell>
          <cell r="U495" t="str">
            <v>-</v>
          </cell>
        </row>
        <row r="496">
          <cell r="B496" t="str">
            <v>L4X4X7</v>
          </cell>
          <cell r="C496">
            <v>3.3</v>
          </cell>
          <cell r="D496">
            <v>4</v>
          </cell>
          <cell r="F496" t="str">
            <v>-</v>
          </cell>
          <cell r="H496" t="str">
            <v>-</v>
          </cell>
          <cell r="I496" t="str">
            <v>-</v>
          </cell>
          <cell r="K496" t="str">
            <v>-</v>
          </cell>
          <cell r="L496">
            <v>4</v>
          </cell>
          <cell r="M496">
            <v>5.6568542494923806</v>
          </cell>
          <cell r="O496" t="str">
            <v>-</v>
          </cell>
          <cell r="T496">
            <v>0.438</v>
          </cell>
          <cell r="U496" t="str">
            <v>-</v>
          </cell>
        </row>
        <row r="497">
          <cell r="B497" t="str">
            <v>L4X4X6</v>
          </cell>
          <cell r="C497">
            <v>2.86</v>
          </cell>
          <cell r="D497">
            <v>4</v>
          </cell>
          <cell r="F497" t="str">
            <v>-</v>
          </cell>
          <cell r="H497" t="str">
            <v>-</v>
          </cell>
          <cell r="I497" t="str">
            <v>-</v>
          </cell>
          <cell r="K497" t="str">
            <v>-</v>
          </cell>
          <cell r="L497">
            <v>4</v>
          </cell>
          <cell r="M497">
            <v>5.6568542494923806</v>
          </cell>
          <cell r="O497" t="str">
            <v>-</v>
          </cell>
          <cell r="T497">
            <v>0.375</v>
          </cell>
          <cell r="U497" t="str">
            <v>-</v>
          </cell>
        </row>
        <row r="498">
          <cell r="B498" t="str">
            <v>L4X4X5</v>
          </cell>
          <cell r="C498">
            <v>2.4</v>
          </cell>
          <cell r="D498">
            <v>4</v>
          </cell>
          <cell r="F498" t="str">
            <v>-</v>
          </cell>
          <cell r="H498" t="str">
            <v>-</v>
          </cell>
          <cell r="I498" t="str">
            <v>-</v>
          </cell>
          <cell r="K498" t="str">
            <v>-</v>
          </cell>
          <cell r="L498">
            <v>4</v>
          </cell>
          <cell r="M498">
            <v>5.6568542494923806</v>
          </cell>
          <cell r="O498" t="str">
            <v>-</v>
          </cell>
          <cell r="T498">
            <v>0.313</v>
          </cell>
          <cell r="U498" t="str">
            <v>-</v>
          </cell>
        </row>
        <row r="499">
          <cell r="B499" t="str">
            <v>L4X4X4</v>
          </cell>
          <cell r="C499">
            <v>1.93</v>
          </cell>
          <cell r="D499">
            <v>4</v>
          </cell>
          <cell r="F499" t="str">
            <v>-</v>
          </cell>
          <cell r="H499" t="str">
            <v>-</v>
          </cell>
          <cell r="I499" t="str">
            <v>-</v>
          </cell>
          <cell r="K499" t="str">
            <v>-</v>
          </cell>
          <cell r="L499">
            <v>4</v>
          </cell>
          <cell r="M499">
            <v>5.6568542494923806</v>
          </cell>
          <cell r="O499" t="str">
            <v>-</v>
          </cell>
          <cell r="T499">
            <v>0.25</v>
          </cell>
          <cell r="U499" t="str">
            <v>-</v>
          </cell>
        </row>
        <row r="500">
          <cell r="B500" t="str">
            <v>L4X3.5X8</v>
          </cell>
          <cell r="C500">
            <v>3.5</v>
          </cell>
          <cell r="D500">
            <v>3.5</v>
          </cell>
          <cell r="F500" t="str">
            <v>-</v>
          </cell>
          <cell r="H500" t="str">
            <v>-</v>
          </cell>
          <cell r="I500" t="str">
            <v>-</v>
          </cell>
          <cell r="K500" t="str">
            <v>-</v>
          </cell>
          <cell r="L500">
            <v>4</v>
          </cell>
          <cell r="M500">
            <v>5.315072906367325</v>
          </cell>
          <cell r="O500" t="str">
            <v>-</v>
          </cell>
          <cell r="T500">
            <v>0.5</v>
          </cell>
          <cell r="U500" t="str">
            <v>-</v>
          </cell>
        </row>
        <row r="501">
          <cell r="B501" t="str">
            <v>L4X3.5X6</v>
          </cell>
          <cell r="C501">
            <v>2.68</v>
          </cell>
          <cell r="D501">
            <v>3.5</v>
          </cell>
          <cell r="F501" t="str">
            <v>-</v>
          </cell>
          <cell r="H501" t="str">
            <v>-</v>
          </cell>
          <cell r="I501" t="str">
            <v>-</v>
          </cell>
          <cell r="K501" t="str">
            <v>-</v>
          </cell>
          <cell r="L501">
            <v>4</v>
          </cell>
          <cell r="M501">
            <v>5.315072906367325</v>
          </cell>
          <cell r="O501" t="str">
            <v>-</v>
          </cell>
          <cell r="T501">
            <v>0.375</v>
          </cell>
          <cell r="U501" t="str">
            <v>-</v>
          </cell>
        </row>
        <row r="502">
          <cell r="B502" t="str">
            <v>L4X3.5X5</v>
          </cell>
          <cell r="C502">
            <v>2.25</v>
          </cell>
          <cell r="D502">
            <v>3.5</v>
          </cell>
          <cell r="F502" t="str">
            <v>-</v>
          </cell>
          <cell r="H502" t="str">
            <v>-</v>
          </cell>
          <cell r="I502" t="str">
            <v>-</v>
          </cell>
          <cell r="K502" t="str">
            <v>-</v>
          </cell>
          <cell r="L502">
            <v>4</v>
          </cell>
          <cell r="M502">
            <v>5.315072906367325</v>
          </cell>
          <cell r="O502" t="str">
            <v>-</v>
          </cell>
          <cell r="T502">
            <v>0.313</v>
          </cell>
          <cell r="U502" t="str">
            <v>-</v>
          </cell>
        </row>
        <row r="503">
          <cell r="B503" t="str">
            <v>L4X3.5X4</v>
          </cell>
          <cell r="C503">
            <v>1.82</v>
          </cell>
          <cell r="D503">
            <v>3.5</v>
          </cell>
          <cell r="F503" t="str">
            <v>-</v>
          </cell>
          <cell r="H503" t="str">
            <v>-</v>
          </cell>
          <cell r="I503" t="str">
            <v>-</v>
          </cell>
          <cell r="K503" t="str">
            <v>-</v>
          </cell>
          <cell r="L503">
            <v>4</v>
          </cell>
          <cell r="M503">
            <v>5.315072906367325</v>
          </cell>
          <cell r="O503" t="str">
            <v>-</v>
          </cell>
          <cell r="T503">
            <v>0.25</v>
          </cell>
          <cell r="U503" t="str">
            <v>-</v>
          </cell>
        </row>
        <row r="504">
          <cell r="B504" t="str">
            <v>L4X3X10</v>
          </cell>
          <cell r="C504">
            <v>3.99</v>
          </cell>
          <cell r="D504">
            <v>3</v>
          </cell>
          <cell r="F504" t="str">
            <v>-</v>
          </cell>
          <cell r="H504" t="str">
            <v>-</v>
          </cell>
          <cell r="I504" t="str">
            <v>-</v>
          </cell>
          <cell r="K504" t="str">
            <v>-</v>
          </cell>
          <cell r="L504">
            <v>4</v>
          </cell>
          <cell r="M504">
            <v>5</v>
          </cell>
          <cell r="O504" t="str">
            <v>-</v>
          </cell>
          <cell r="T504">
            <v>0.625</v>
          </cell>
          <cell r="U504" t="str">
            <v>-</v>
          </cell>
        </row>
        <row r="505">
          <cell r="B505" t="str">
            <v>L4X3X8</v>
          </cell>
          <cell r="C505">
            <v>3.25</v>
          </cell>
          <cell r="D505">
            <v>3</v>
          </cell>
          <cell r="F505" t="str">
            <v>-</v>
          </cell>
          <cell r="H505" t="str">
            <v>-</v>
          </cell>
          <cell r="I505" t="str">
            <v>-</v>
          </cell>
          <cell r="K505" t="str">
            <v>-</v>
          </cell>
          <cell r="L505">
            <v>4</v>
          </cell>
          <cell r="M505">
            <v>5</v>
          </cell>
          <cell r="O505" t="str">
            <v>-</v>
          </cell>
          <cell r="T505">
            <v>0.5</v>
          </cell>
          <cell r="U505" t="str">
            <v>-</v>
          </cell>
        </row>
        <row r="506">
          <cell r="B506" t="str">
            <v>L4X3X6</v>
          </cell>
          <cell r="C506">
            <v>2.4900000000000002</v>
          </cell>
          <cell r="D506">
            <v>3</v>
          </cell>
          <cell r="F506" t="str">
            <v>-</v>
          </cell>
          <cell r="H506" t="str">
            <v>-</v>
          </cell>
          <cell r="I506" t="str">
            <v>-</v>
          </cell>
          <cell r="K506" t="str">
            <v>-</v>
          </cell>
          <cell r="L506">
            <v>4</v>
          </cell>
          <cell r="M506">
            <v>5</v>
          </cell>
          <cell r="O506" t="str">
            <v>-</v>
          </cell>
          <cell r="T506">
            <v>0.375</v>
          </cell>
          <cell r="U506" t="str">
            <v>-</v>
          </cell>
        </row>
        <row r="507">
          <cell r="B507" t="str">
            <v>L4X3X5</v>
          </cell>
          <cell r="C507">
            <v>2.09</v>
          </cell>
          <cell r="D507">
            <v>3</v>
          </cell>
          <cell r="F507" t="str">
            <v>-</v>
          </cell>
          <cell r="H507" t="str">
            <v>-</v>
          </cell>
          <cell r="I507" t="str">
            <v>-</v>
          </cell>
          <cell r="K507" t="str">
            <v>-</v>
          </cell>
          <cell r="L507">
            <v>4</v>
          </cell>
          <cell r="M507">
            <v>5</v>
          </cell>
          <cell r="O507" t="str">
            <v>-</v>
          </cell>
          <cell r="T507">
            <v>0.313</v>
          </cell>
          <cell r="U507" t="str">
            <v>-</v>
          </cell>
        </row>
        <row r="508">
          <cell r="B508" t="str">
            <v>L4X3X4</v>
          </cell>
          <cell r="C508">
            <v>1.69</v>
          </cell>
          <cell r="D508">
            <v>3</v>
          </cell>
          <cell r="F508" t="str">
            <v>-</v>
          </cell>
          <cell r="H508" t="str">
            <v>-</v>
          </cell>
          <cell r="I508" t="str">
            <v>-</v>
          </cell>
          <cell r="K508" t="str">
            <v>-</v>
          </cell>
          <cell r="L508">
            <v>4</v>
          </cell>
          <cell r="M508">
            <v>5</v>
          </cell>
          <cell r="O508" t="str">
            <v>-</v>
          </cell>
          <cell r="T508">
            <v>0.25</v>
          </cell>
          <cell r="U508" t="str">
            <v>-</v>
          </cell>
        </row>
        <row r="509">
          <cell r="B509" t="str">
            <v>L3.5X3.5X8</v>
          </cell>
          <cell r="C509">
            <v>3.25</v>
          </cell>
          <cell r="D509">
            <v>3.5</v>
          </cell>
          <cell r="F509" t="str">
            <v>-</v>
          </cell>
          <cell r="H509" t="str">
            <v>-</v>
          </cell>
          <cell r="I509" t="str">
            <v>-</v>
          </cell>
          <cell r="K509" t="str">
            <v>-</v>
          </cell>
          <cell r="L509">
            <v>3.5</v>
          </cell>
          <cell r="M509">
            <v>4.9497474683058327</v>
          </cell>
          <cell r="O509" t="str">
            <v>-</v>
          </cell>
          <cell r="T509">
            <v>0.5</v>
          </cell>
          <cell r="U509" t="str">
            <v>-</v>
          </cell>
        </row>
        <row r="510">
          <cell r="B510" t="str">
            <v>L3.5X3.5X7</v>
          </cell>
          <cell r="C510">
            <v>2.89</v>
          </cell>
          <cell r="D510">
            <v>3.5</v>
          </cell>
          <cell r="F510" t="str">
            <v>-</v>
          </cell>
          <cell r="H510" t="str">
            <v>-</v>
          </cell>
          <cell r="I510" t="str">
            <v>-</v>
          </cell>
          <cell r="K510" t="str">
            <v>-</v>
          </cell>
          <cell r="L510">
            <v>3.5</v>
          </cell>
          <cell r="M510">
            <v>4.9497474683058327</v>
          </cell>
          <cell r="O510" t="str">
            <v>-</v>
          </cell>
          <cell r="T510">
            <v>0.438</v>
          </cell>
          <cell r="U510" t="str">
            <v>-</v>
          </cell>
        </row>
        <row r="511">
          <cell r="B511" t="str">
            <v>L3.5X3.5X6</v>
          </cell>
          <cell r="C511">
            <v>2.5</v>
          </cell>
          <cell r="D511">
            <v>3.5</v>
          </cell>
          <cell r="F511" t="str">
            <v>-</v>
          </cell>
          <cell r="H511" t="str">
            <v>-</v>
          </cell>
          <cell r="I511" t="str">
            <v>-</v>
          </cell>
          <cell r="K511" t="str">
            <v>-</v>
          </cell>
          <cell r="L511">
            <v>3.5</v>
          </cell>
          <cell r="M511">
            <v>4.9497474683058327</v>
          </cell>
          <cell r="O511" t="str">
            <v>-</v>
          </cell>
          <cell r="T511">
            <v>0.375</v>
          </cell>
          <cell r="U511" t="str">
            <v>-</v>
          </cell>
        </row>
        <row r="512">
          <cell r="B512" t="str">
            <v>L3.5X3.5X5</v>
          </cell>
          <cell r="C512">
            <v>2.1</v>
          </cell>
          <cell r="D512">
            <v>3.5</v>
          </cell>
          <cell r="F512" t="str">
            <v>-</v>
          </cell>
          <cell r="H512" t="str">
            <v>-</v>
          </cell>
          <cell r="I512" t="str">
            <v>-</v>
          </cell>
          <cell r="K512" t="str">
            <v>-</v>
          </cell>
          <cell r="L512">
            <v>3.5</v>
          </cell>
          <cell r="M512">
            <v>4.9497474683058327</v>
          </cell>
          <cell r="O512" t="str">
            <v>-</v>
          </cell>
          <cell r="T512">
            <v>0.313</v>
          </cell>
          <cell r="U512" t="str">
            <v>-</v>
          </cell>
        </row>
        <row r="513">
          <cell r="B513" t="str">
            <v>L3.5X3.5X4</v>
          </cell>
          <cell r="C513">
            <v>1.7</v>
          </cell>
          <cell r="D513">
            <v>3.5</v>
          </cell>
          <cell r="F513" t="str">
            <v>-</v>
          </cell>
          <cell r="H513" t="str">
            <v>-</v>
          </cell>
          <cell r="I513" t="str">
            <v>-</v>
          </cell>
          <cell r="K513" t="str">
            <v>-</v>
          </cell>
          <cell r="L513">
            <v>3.5</v>
          </cell>
          <cell r="M513">
            <v>4.9497474683058327</v>
          </cell>
          <cell r="O513" t="str">
            <v>-</v>
          </cell>
          <cell r="T513">
            <v>0.25</v>
          </cell>
          <cell r="U513" t="str">
            <v>-</v>
          </cell>
        </row>
        <row r="514">
          <cell r="B514" t="str">
            <v>L3.5X3X8</v>
          </cell>
          <cell r="C514">
            <v>3.02</v>
          </cell>
          <cell r="D514">
            <v>3</v>
          </cell>
          <cell r="F514" t="str">
            <v>-</v>
          </cell>
          <cell r="H514" t="str">
            <v>-</v>
          </cell>
          <cell r="I514" t="str">
            <v>-</v>
          </cell>
          <cell r="K514" t="str">
            <v>-</v>
          </cell>
          <cell r="L514">
            <v>3.5</v>
          </cell>
          <cell r="M514">
            <v>4.6097722286464435</v>
          </cell>
          <cell r="O514" t="str">
            <v>-</v>
          </cell>
          <cell r="T514">
            <v>0.5</v>
          </cell>
          <cell r="U514" t="str">
            <v>-</v>
          </cell>
        </row>
        <row r="515">
          <cell r="B515" t="str">
            <v>L3.5X3X7</v>
          </cell>
          <cell r="C515">
            <v>2.67</v>
          </cell>
          <cell r="D515">
            <v>3</v>
          </cell>
          <cell r="F515" t="str">
            <v>-</v>
          </cell>
          <cell r="H515" t="str">
            <v>-</v>
          </cell>
          <cell r="I515" t="str">
            <v>-</v>
          </cell>
          <cell r="K515" t="str">
            <v>-</v>
          </cell>
          <cell r="L515">
            <v>3.5</v>
          </cell>
          <cell r="M515">
            <v>4.6097722286464435</v>
          </cell>
          <cell r="O515" t="str">
            <v>-</v>
          </cell>
          <cell r="T515">
            <v>0.438</v>
          </cell>
          <cell r="U515" t="str">
            <v>-</v>
          </cell>
        </row>
        <row r="516">
          <cell r="B516" t="str">
            <v>L3.5X3X6</v>
          </cell>
          <cell r="C516">
            <v>2.3199999999999998</v>
          </cell>
          <cell r="D516">
            <v>3</v>
          </cell>
          <cell r="F516" t="str">
            <v>-</v>
          </cell>
          <cell r="H516" t="str">
            <v>-</v>
          </cell>
          <cell r="I516" t="str">
            <v>-</v>
          </cell>
          <cell r="K516" t="str">
            <v>-</v>
          </cell>
          <cell r="L516">
            <v>3.5</v>
          </cell>
          <cell r="M516">
            <v>4.6097722286464435</v>
          </cell>
          <cell r="O516" t="str">
            <v>-</v>
          </cell>
          <cell r="T516">
            <v>0.375</v>
          </cell>
          <cell r="U516" t="str">
            <v>-</v>
          </cell>
        </row>
        <row r="517">
          <cell r="B517" t="str">
            <v>L3.5X3X5</v>
          </cell>
          <cell r="C517">
            <v>1.95</v>
          </cell>
          <cell r="D517">
            <v>3</v>
          </cell>
          <cell r="F517" t="str">
            <v>-</v>
          </cell>
          <cell r="H517" t="str">
            <v>-</v>
          </cell>
          <cell r="I517" t="str">
            <v>-</v>
          </cell>
          <cell r="K517" t="str">
            <v>-</v>
          </cell>
          <cell r="L517">
            <v>3.5</v>
          </cell>
          <cell r="M517">
            <v>4.6097722286464435</v>
          </cell>
          <cell r="O517" t="str">
            <v>-</v>
          </cell>
          <cell r="T517">
            <v>0.313</v>
          </cell>
          <cell r="U517" t="str">
            <v>-</v>
          </cell>
        </row>
        <row r="518">
          <cell r="B518" t="str">
            <v>L3.5X3X4</v>
          </cell>
          <cell r="C518">
            <v>1.58</v>
          </cell>
          <cell r="D518">
            <v>3</v>
          </cell>
          <cell r="F518" t="str">
            <v>-</v>
          </cell>
          <cell r="H518" t="str">
            <v>-</v>
          </cell>
          <cell r="I518" t="str">
            <v>-</v>
          </cell>
          <cell r="K518" t="str">
            <v>-</v>
          </cell>
          <cell r="L518">
            <v>3.5</v>
          </cell>
          <cell r="M518">
            <v>4.6097722286464435</v>
          </cell>
          <cell r="O518" t="str">
            <v>-</v>
          </cell>
          <cell r="T518">
            <v>0.25</v>
          </cell>
          <cell r="U518" t="str">
            <v>-</v>
          </cell>
        </row>
        <row r="519">
          <cell r="B519" t="str">
            <v>L3.5X2.5X8</v>
          </cell>
          <cell r="C519">
            <v>2.77</v>
          </cell>
          <cell r="D519">
            <v>2.5</v>
          </cell>
          <cell r="F519" t="str">
            <v>-</v>
          </cell>
          <cell r="H519" t="str">
            <v>-</v>
          </cell>
          <cell r="I519" t="str">
            <v>-</v>
          </cell>
          <cell r="K519" t="str">
            <v>-</v>
          </cell>
          <cell r="L519">
            <v>3.5</v>
          </cell>
          <cell r="M519">
            <v>4.3011626335213133</v>
          </cell>
          <cell r="O519" t="str">
            <v>-</v>
          </cell>
          <cell r="T519">
            <v>0.5</v>
          </cell>
          <cell r="U519" t="str">
            <v>-</v>
          </cell>
        </row>
        <row r="520">
          <cell r="B520" t="str">
            <v>L3.5X2.5X6</v>
          </cell>
          <cell r="C520">
            <v>2.12</v>
          </cell>
          <cell r="D520">
            <v>2.5</v>
          </cell>
          <cell r="F520" t="str">
            <v>-</v>
          </cell>
          <cell r="H520" t="str">
            <v>-</v>
          </cell>
          <cell r="I520" t="str">
            <v>-</v>
          </cell>
          <cell r="K520" t="str">
            <v>-</v>
          </cell>
          <cell r="L520">
            <v>3.5</v>
          </cell>
          <cell r="M520">
            <v>4.3011626335213133</v>
          </cell>
          <cell r="O520" t="str">
            <v>-</v>
          </cell>
          <cell r="T520">
            <v>0.375</v>
          </cell>
          <cell r="U520" t="str">
            <v>-</v>
          </cell>
        </row>
        <row r="521">
          <cell r="B521" t="str">
            <v>L3.5X2.5X5</v>
          </cell>
          <cell r="C521">
            <v>1.79</v>
          </cell>
          <cell r="D521">
            <v>2.5</v>
          </cell>
          <cell r="F521" t="str">
            <v>-</v>
          </cell>
          <cell r="H521" t="str">
            <v>-</v>
          </cell>
          <cell r="I521" t="str">
            <v>-</v>
          </cell>
          <cell r="K521" t="str">
            <v>-</v>
          </cell>
          <cell r="L521">
            <v>3.5</v>
          </cell>
          <cell r="M521">
            <v>4.3011626335213133</v>
          </cell>
          <cell r="O521" t="str">
            <v>-</v>
          </cell>
          <cell r="T521">
            <v>0.313</v>
          </cell>
          <cell r="U521" t="str">
            <v>-</v>
          </cell>
        </row>
        <row r="522">
          <cell r="B522" t="str">
            <v>L3.5X2.5X4</v>
          </cell>
          <cell r="C522">
            <v>1.45</v>
          </cell>
          <cell r="D522">
            <v>2.5</v>
          </cell>
          <cell r="F522" t="str">
            <v>-</v>
          </cell>
          <cell r="H522" t="str">
            <v>-</v>
          </cell>
          <cell r="I522" t="str">
            <v>-</v>
          </cell>
          <cell r="K522" t="str">
            <v>-</v>
          </cell>
          <cell r="L522">
            <v>3.5</v>
          </cell>
          <cell r="M522">
            <v>4.3011626335213133</v>
          </cell>
          <cell r="O522" t="str">
            <v>-</v>
          </cell>
          <cell r="T522">
            <v>0.25</v>
          </cell>
          <cell r="U522" t="str">
            <v>-</v>
          </cell>
        </row>
        <row r="523">
          <cell r="B523" t="str">
            <v>L3X3X8</v>
          </cell>
          <cell r="C523">
            <v>2.76</v>
          </cell>
          <cell r="D523">
            <v>3</v>
          </cell>
          <cell r="F523" t="str">
            <v>-</v>
          </cell>
          <cell r="H523" t="str">
            <v>-</v>
          </cell>
          <cell r="I523" t="str">
            <v>-</v>
          </cell>
          <cell r="K523" t="str">
            <v>-</v>
          </cell>
          <cell r="L523">
            <v>3</v>
          </cell>
          <cell r="M523">
            <v>4.2426406871192848</v>
          </cell>
          <cell r="O523" t="str">
            <v>-</v>
          </cell>
          <cell r="T523">
            <v>0.5</v>
          </cell>
          <cell r="U523" t="str">
            <v>-</v>
          </cell>
        </row>
        <row r="524">
          <cell r="B524" t="str">
            <v>L3X3X7</v>
          </cell>
          <cell r="C524">
            <v>2.4300000000000002</v>
          </cell>
          <cell r="D524">
            <v>3</v>
          </cell>
          <cell r="F524" t="str">
            <v>-</v>
          </cell>
          <cell r="H524" t="str">
            <v>-</v>
          </cell>
          <cell r="I524" t="str">
            <v>-</v>
          </cell>
          <cell r="K524" t="str">
            <v>-</v>
          </cell>
          <cell r="L524">
            <v>3</v>
          </cell>
          <cell r="M524">
            <v>4.2426406871192848</v>
          </cell>
          <cell r="O524" t="str">
            <v>-</v>
          </cell>
          <cell r="T524">
            <v>0.438</v>
          </cell>
          <cell r="U524" t="str">
            <v>-</v>
          </cell>
        </row>
        <row r="525">
          <cell r="B525" t="str">
            <v>L3X3X6</v>
          </cell>
          <cell r="C525">
            <v>2.11</v>
          </cell>
          <cell r="D525">
            <v>3</v>
          </cell>
          <cell r="F525" t="str">
            <v>-</v>
          </cell>
          <cell r="H525" t="str">
            <v>-</v>
          </cell>
          <cell r="I525" t="str">
            <v>-</v>
          </cell>
          <cell r="K525" t="str">
            <v>-</v>
          </cell>
          <cell r="L525">
            <v>3</v>
          </cell>
          <cell r="M525">
            <v>4.2426406871192848</v>
          </cell>
          <cell r="O525" t="str">
            <v>-</v>
          </cell>
          <cell r="T525">
            <v>0.375</v>
          </cell>
          <cell r="U525" t="str">
            <v>-</v>
          </cell>
        </row>
        <row r="526">
          <cell r="B526" t="str">
            <v>L3X3X5</v>
          </cell>
          <cell r="C526">
            <v>1.78</v>
          </cell>
          <cell r="D526">
            <v>3</v>
          </cell>
          <cell r="F526" t="str">
            <v>-</v>
          </cell>
          <cell r="H526" t="str">
            <v>-</v>
          </cell>
          <cell r="I526" t="str">
            <v>-</v>
          </cell>
          <cell r="K526" t="str">
            <v>-</v>
          </cell>
          <cell r="L526">
            <v>3</v>
          </cell>
          <cell r="M526">
            <v>4.2426406871192848</v>
          </cell>
          <cell r="O526" t="str">
            <v>-</v>
          </cell>
          <cell r="T526">
            <v>0.313</v>
          </cell>
          <cell r="U526" t="str">
            <v>-</v>
          </cell>
        </row>
        <row r="527">
          <cell r="B527" t="str">
            <v>L3X3X4</v>
          </cell>
          <cell r="C527">
            <v>1.44</v>
          </cell>
          <cell r="D527">
            <v>3</v>
          </cell>
          <cell r="F527" t="str">
            <v>-</v>
          </cell>
          <cell r="H527" t="str">
            <v>-</v>
          </cell>
          <cell r="I527" t="str">
            <v>-</v>
          </cell>
          <cell r="K527" t="str">
            <v>-</v>
          </cell>
          <cell r="L527">
            <v>3</v>
          </cell>
          <cell r="M527">
            <v>4.2426406871192848</v>
          </cell>
          <cell r="O527" t="str">
            <v>-</v>
          </cell>
          <cell r="T527">
            <v>0.25</v>
          </cell>
          <cell r="U527" t="str">
            <v>-</v>
          </cell>
        </row>
        <row r="528">
          <cell r="B528" t="str">
            <v>L3X3X3</v>
          </cell>
          <cell r="C528">
            <v>1.0900000000000001</v>
          </cell>
          <cell r="D528">
            <v>3</v>
          </cell>
          <cell r="F528" t="str">
            <v>-</v>
          </cell>
          <cell r="H528" t="str">
            <v>-</v>
          </cell>
          <cell r="I528" t="str">
            <v>-</v>
          </cell>
          <cell r="K528" t="str">
            <v>-</v>
          </cell>
          <cell r="L528">
            <v>3</v>
          </cell>
          <cell r="M528">
            <v>4.2426406871192848</v>
          </cell>
          <cell r="O528" t="str">
            <v>-</v>
          </cell>
          <cell r="T528">
            <v>0.188</v>
          </cell>
          <cell r="U528" t="str">
            <v>-</v>
          </cell>
        </row>
        <row r="529">
          <cell r="B529" t="str">
            <v>L3X2.5X8</v>
          </cell>
          <cell r="C529">
            <v>2.5</v>
          </cell>
          <cell r="D529">
            <v>2.5</v>
          </cell>
          <cell r="F529" t="str">
            <v>-</v>
          </cell>
          <cell r="H529" t="str">
            <v>-</v>
          </cell>
          <cell r="I529" t="str">
            <v>-</v>
          </cell>
          <cell r="K529" t="str">
            <v>-</v>
          </cell>
          <cell r="L529">
            <v>3</v>
          </cell>
          <cell r="M529">
            <v>3.905124837953327</v>
          </cell>
          <cell r="O529" t="str">
            <v>-</v>
          </cell>
          <cell r="T529">
            <v>0.5</v>
          </cell>
          <cell r="U529" t="str">
            <v>-</v>
          </cell>
        </row>
        <row r="530">
          <cell r="B530" t="str">
            <v>L3X2.5X7</v>
          </cell>
          <cell r="C530">
            <v>2.2200000000000002</v>
          </cell>
          <cell r="D530">
            <v>2.5</v>
          </cell>
          <cell r="F530" t="str">
            <v>-</v>
          </cell>
          <cell r="H530" t="str">
            <v>-</v>
          </cell>
          <cell r="I530" t="str">
            <v>-</v>
          </cell>
          <cell r="K530" t="str">
            <v>-</v>
          </cell>
          <cell r="L530">
            <v>3</v>
          </cell>
          <cell r="M530">
            <v>3.905124837953327</v>
          </cell>
          <cell r="O530" t="str">
            <v>-</v>
          </cell>
          <cell r="T530">
            <v>0.438</v>
          </cell>
          <cell r="U530" t="str">
            <v>-</v>
          </cell>
        </row>
        <row r="531">
          <cell r="B531" t="str">
            <v>L3X2.5X6</v>
          </cell>
          <cell r="C531">
            <v>1.93</v>
          </cell>
          <cell r="D531">
            <v>2.5</v>
          </cell>
          <cell r="F531" t="str">
            <v>-</v>
          </cell>
          <cell r="H531" t="str">
            <v>-</v>
          </cell>
          <cell r="I531" t="str">
            <v>-</v>
          </cell>
          <cell r="K531" t="str">
            <v>-</v>
          </cell>
          <cell r="L531">
            <v>3</v>
          </cell>
          <cell r="M531">
            <v>3.905124837953327</v>
          </cell>
          <cell r="O531" t="str">
            <v>-</v>
          </cell>
          <cell r="T531">
            <v>0.375</v>
          </cell>
          <cell r="U531" t="str">
            <v>-</v>
          </cell>
        </row>
        <row r="532">
          <cell r="B532" t="str">
            <v>L3X2.5X5</v>
          </cell>
          <cell r="C532">
            <v>1.63</v>
          </cell>
          <cell r="D532">
            <v>2.5</v>
          </cell>
          <cell r="F532" t="str">
            <v>-</v>
          </cell>
          <cell r="H532" t="str">
            <v>-</v>
          </cell>
          <cell r="I532" t="str">
            <v>-</v>
          </cell>
          <cell r="K532" t="str">
            <v>-</v>
          </cell>
          <cell r="L532">
            <v>3</v>
          </cell>
          <cell r="M532">
            <v>3.905124837953327</v>
          </cell>
          <cell r="O532" t="str">
            <v>-</v>
          </cell>
          <cell r="T532">
            <v>0.313</v>
          </cell>
          <cell r="U532" t="str">
            <v>-</v>
          </cell>
        </row>
        <row r="533">
          <cell r="B533" t="str">
            <v>L3X2.5X4</v>
          </cell>
          <cell r="C533">
            <v>1.32</v>
          </cell>
          <cell r="D533">
            <v>2.5</v>
          </cell>
          <cell r="F533" t="str">
            <v>-</v>
          </cell>
          <cell r="H533" t="str">
            <v>-</v>
          </cell>
          <cell r="I533" t="str">
            <v>-</v>
          </cell>
          <cell r="K533" t="str">
            <v>-</v>
          </cell>
          <cell r="L533">
            <v>3</v>
          </cell>
          <cell r="M533">
            <v>3.905124837953327</v>
          </cell>
          <cell r="O533" t="str">
            <v>-</v>
          </cell>
          <cell r="T533">
            <v>0.25</v>
          </cell>
          <cell r="U533" t="str">
            <v>-</v>
          </cell>
        </row>
        <row r="534">
          <cell r="B534" t="str">
            <v>L3X2.5X3</v>
          </cell>
          <cell r="C534">
            <v>1</v>
          </cell>
          <cell r="D534">
            <v>2.5</v>
          </cell>
          <cell r="F534" t="str">
            <v>-</v>
          </cell>
          <cell r="H534" t="str">
            <v>-</v>
          </cell>
          <cell r="I534" t="str">
            <v>-</v>
          </cell>
          <cell r="K534" t="str">
            <v>-</v>
          </cell>
          <cell r="L534">
            <v>3</v>
          </cell>
          <cell r="M534">
            <v>3.905124837953327</v>
          </cell>
          <cell r="O534" t="str">
            <v>-</v>
          </cell>
          <cell r="T534">
            <v>0.188</v>
          </cell>
          <cell r="U534" t="str">
            <v>-</v>
          </cell>
        </row>
        <row r="535">
          <cell r="B535" t="str">
            <v>L3X2X8</v>
          </cell>
          <cell r="C535">
            <v>2.2599999999999998</v>
          </cell>
          <cell r="D535">
            <v>2</v>
          </cell>
          <cell r="F535" t="str">
            <v>-</v>
          </cell>
          <cell r="H535" t="str">
            <v>-</v>
          </cell>
          <cell r="I535" t="str">
            <v>-</v>
          </cell>
          <cell r="K535" t="str">
            <v>-</v>
          </cell>
          <cell r="L535">
            <v>3</v>
          </cell>
          <cell r="M535">
            <v>3.6055512754639891</v>
          </cell>
          <cell r="O535" t="str">
            <v>-</v>
          </cell>
          <cell r="T535">
            <v>0.5</v>
          </cell>
          <cell r="U535" t="str">
            <v>-</v>
          </cell>
        </row>
        <row r="536">
          <cell r="B536" t="str">
            <v>L3X2X6</v>
          </cell>
          <cell r="C536">
            <v>1.75</v>
          </cell>
          <cell r="D536">
            <v>2</v>
          </cell>
          <cell r="F536" t="str">
            <v>-</v>
          </cell>
          <cell r="H536" t="str">
            <v>-</v>
          </cell>
          <cell r="I536" t="str">
            <v>-</v>
          </cell>
          <cell r="K536" t="str">
            <v>-</v>
          </cell>
          <cell r="L536">
            <v>3</v>
          </cell>
          <cell r="M536">
            <v>3.6055512754639891</v>
          </cell>
          <cell r="O536" t="str">
            <v>-</v>
          </cell>
          <cell r="T536">
            <v>0.375</v>
          </cell>
          <cell r="U536" t="str">
            <v>-</v>
          </cell>
        </row>
        <row r="537">
          <cell r="B537" t="str">
            <v>L3X2X5</v>
          </cell>
          <cell r="C537">
            <v>1.48</v>
          </cell>
          <cell r="D537">
            <v>2</v>
          </cell>
          <cell r="F537" t="str">
            <v>-</v>
          </cell>
          <cell r="H537" t="str">
            <v>-</v>
          </cell>
          <cell r="I537" t="str">
            <v>-</v>
          </cell>
          <cell r="K537" t="str">
            <v>-</v>
          </cell>
          <cell r="L537">
            <v>3</v>
          </cell>
          <cell r="M537">
            <v>3.6055512754639891</v>
          </cell>
          <cell r="O537" t="str">
            <v>-</v>
          </cell>
          <cell r="T537">
            <v>0.313</v>
          </cell>
          <cell r="U537" t="str">
            <v>-</v>
          </cell>
        </row>
        <row r="538">
          <cell r="B538" t="str">
            <v>L3X2X4</v>
          </cell>
          <cell r="C538">
            <v>1.2</v>
          </cell>
          <cell r="D538">
            <v>2</v>
          </cell>
          <cell r="F538" t="str">
            <v>-</v>
          </cell>
          <cell r="H538" t="str">
            <v>-</v>
          </cell>
          <cell r="I538" t="str">
            <v>-</v>
          </cell>
          <cell r="K538" t="str">
            <v>-</v>
          </cell>
          <cell r="L538">
            <v>3</v>
          </cell>
          <cell r="M538">
            <v>3.6055512754639891</v>
          </cell>
          <cell r="O538" t="str">
            <v>-</v>
          </cell>
          <cell r="T538">
            <v>0.25</v>
          </cell>
          <cell r="U538" t="str">
            <v>-</v>
          </cell>
        </row>
        <row r="539">
          <cell r="B539" t="str">
            <v>L3X2X3</v>
          </cell>
          <cell r="C539">
            <v>0.91700000000000004</v>
          </cell>
          <cell r="D539">
            <v>2</v>
          </cell>
          <cell r="F539" t="str">
            <v>-</v>
          </cell>
          <cell r="H539" t="str">
            <v>-</v>
          </cell>
          <cell r="I539" t="str">
            <v>-</v>
          </cell>
          <cell r="K539" t="str">
            <v>-</v>
          </cell>
          <cell r="L539">
            <v>3</v>
          </cell>
          <cell r="M539">
            <v>3.6055512754639891</v>
          </cell>
          <cell r="O539" t="str">
            <v>-</v>
          </cell>
          <cell r="T539">
            <v>0.188</v>
          </cell>
          <cell r="U539" t="str">
            <v>-</v>
          </cell>
        </row>
        <row r="540">
          <cell r="B540" t="str">
            <v>L2.5X2.5X8</v>
          </cell>
          <cell r="C540">
            <v>2.2599999999999998</v>
          </cell>
          <cell r="D540">
            <v>2.5</v>
          </cell>
          <cell r="F540" t="str">
            <v>-</v>
          </cell>
          <cell r="H540" t="str">
            <v>-</v>
          </cell>
          <cell r="I540" t="str">
            <v>-</v>
          </cell>
          <cell r="K540" t="str">
            <v>-</v>
          </cell>
          <cell r="L540">
            <v>2.5</v>
          </cell>
          <cell r="M540">
            <v>3.5355339059327378</v>
          </cell>
          <cell r="O540" t="str">
            <v>-</v>
          </cell>
          <cell r="T540">
            <v>0.5</v>
          </cell>
          <cell r="U540" t="str">
            <v>-</v>
          </cell>
        </row>
        <row r="541">
          <cell r="B541" t="str">
            <v>L2.5X2.5X6</v>
          </cell>
          <cell r="C541">
            <v>1.73</v>
          </cell>
          <cell r="D541">
            <v>2.5</v>
          </cell>
          <cell r="F541" t="str">
            <v>-</v>
          </cell>
          <cell r="H541" t="str">
            <v>-</v>
          </cell>
          <cell r="I541" t="str">
            <v>-</v>
          </cell>
          <cell r="K541" t="str">
            <v>-</v>
          </cell>
          <cell r="L541">
            <v>2.5</v>
          </cell>
          <cell r="M541">
            <v>3.5355339059327378</v>
          </cell>
          <cell r="O541" t="str">
            <v>-</v>
          </cell>
          <cell r="T541">
            <v>0.375</v>
          </cell>
          <cell r="U541" t="str">
            <v>-</v>
          </cell>
        </row>
        <row r="542">
          <cell r="B542" t="str">
            <v>L2.5X2.5X5</v>
          </cell>
          <cell r="C542">
            <v>1.46</v>
          </cell>
          <cell r="D542">
            <v>2.5</v>
          </cell>
          <cell r="F542" t="str">
            <v>-</v>
          </cell>
          <cell r="H542" t="str">
            <v>-</v>
          </cell>
          <cell r="I542" t="str">
            <v>-</v>
          </cell>
          <cell r="K542" t="str">
            <v>-</v>
          </cell>
          <cell r="L542">
            <v>2.5</v>
          </cell>
          <cell r="M542">
            <v>3.5355339059327378</v>
          </cell>
          <cell r="O542" t="str">
            <v>-</v>
          </cell>
          <cell r="T542">
            <v>0.313</v>
          </cell>
          <cell r="U542" t="str">
            <v>-</v>
          </cell>
        </row>
        <row r="543">
          <cell r="B543" t="str">
            <v>L2.5X2.5X4</v>
          </cell>
          <cell r="C543">
            <v>1.19</v>
          </cell>
          <cell r="D543">
            <v>2.5</v>
          </cell>
          <cell r="F543" t="str">
            <v>-</v>
          </cell>
          <cell r="H543" t="str">
            <v>-</v>
          </cell>
          <cell r="I543" t="str">
            <v>-</v>
          </cell>
          <cell r="K543" t="str">
            <v>-</v>
          </cell>
          <cell r="L543">
            <v>2.5</v>
          </cell>
          <cell r="M543">
            <v>3.5355339059327378</v>
          </cell>
          <cell r="O543" t="str">
            <v>-</v>
          </cell>
          <cell r="T543">
            <v>0.25</v>
          </cell>
          <cell r="U543" t="str">
            <v>-</v>
          </cell>
        </row>
        <row r="544">
          <cell r="B544" t="str">
            <v>L2.5X2.5X3</v>
          </cell>
          <cell r="C544">
            <v>0.90100000000000002</v>
          </cell>
          <cell r="D544">
            <v>2.5</v>
          </cell>
          <cell r="F544" t="str">
            <v>-</v>
          </cell>
          <cell r="H544" t="str">
            <v>-</v>
          </cell>
          <cell r="I544" t="str">
            <v>-</v>
          </cell>
          <cell r="K544" t="str">
            <v>-</v>
          </cell>
          <cell r="L544">
            <v>2.5</v>
          </cell>
          <cell r="M544">
            <v>3.5355339059327378</v>
          </cell>
          <cell r="O544" t="str">
            <v>-</v>
          </cell>
          <cell r="T544">
            <v>0.188</v>
          </cell>
          <cell r="U544" t="str">
            <v>-</v>
          </cell>
        </row>
        <row r="545">
          <cell r="B545" t="str">
            <v>L2.5X2X6</v>
          </cell>
          <cell r="C545">
            <v>1.55</v>
          </cell>
          <cell r="D545">
            <v>2</v>
          </cell>
          <cell r="F545" t="str">
            <v>-</v>
          </cell>
          <cell r="H545" t="str">
            <v>-</v>
          </cell>
          <cell r="I545" t="str">
            <v>-</v>
          </cell>
          <cell r="K545" t="str">
            <v>-</v>
          </cell>
          <cell r="L545">
            <v>2.5</v>
          </cell>
          <cell r="M545">
            <v>3.2015621187164243</v>
          </cell>
          <cell r="O545" t="str">
            <v>-</v>
          </cell>
          <cell r="T545">
            <v>0.375</v>
          </cell>
          <cell r="U545" t="str">
            <v>-</v>
          </cell>
        </row>
        <row r="546">
          <cell r="B546" t="str">
            <v>L2.5X2X5</v>
          </cell>
          <cell r="C546">
            <v>1.32</v>
          </cell>
          <cell r="D546">
            <v>2</v>
          </cell>
          <cell r="F546" t="str">
            <v>-</v>
          </cell>
          <cell r="H546" t="str">
            <v>-</v>
          </cell>
          <cell r="I546" t="str">
            <v>-</v>
          </cell>
          <cell r="K546" t="str">
            <v>-</v>
          </cell>
          <cell r="L546">
            <v>2.5</v>
          </cell>
          <cell r="M546">
            <v>3.2015621187164243</v>
          </cell>
          <cell r="O546" t="str">
            <v>-</v>
          </cell>
          <cell r="T546">
            <v>0.313</v>
          </cell>
          <cell r="U546" t="str">
            <v>-</v>
          </cell>
        </row>
        <row r="547">
          <cell r="B547" t="str">
            <v>L2.5X2X4</v>
          </cell>
          <cell r="C547">
            <v>1.07</v>
          </cell>
          <cell r="D547">
            <v>2</v>
          </cell>
          <cell r="F547" t="str">
            <v>-</v>
          </cell>
          <cell r="H547" t="str">
            <v>-</v>
          </cell>
          <cell r="I547" t="str">
            <v>-</v>
          </cell>
          <cell r="K547" t="str">
            <v>-</v>
          </cell>
          <cell r="L547">
            <v>2.5</v>
          </cell>
          <cell r="M547">
            <v>3.2015621187164243</v>
          </cell>
          <cell r="O547" t="str">
            <v>-</v>
          </cell>
          <cell r="T547">
            <v>0.25</v>
          </cell>
          <cell r="U547" t="str">
            <v>-</v>
          </cell>
        </row>
        <row r="548">
          <cell r="B548" t="str">
            <v>L2.5X2X3</v>
          </cell>
          <cell r="C548">
            <v>0.81799999999999995</v>
          </cell>
          <cell r="D548">
            <v>2</v>
          </cell>
          <cell r="F548" t="str">
            <v>-</v>
          </cell>
          <cell r="H548" t="str">
            <v>-</v>
          </cell>
          <cell r="I548" t="str">
            <v>-</v>
          </cell>
          <cell r="K548" t="str">
            <v>-</v>
          </cell>
          <cell r="L548">
            <v>2.5</v>
          </cell>
          <cell r="M548">
            <v>3.2015621187164243</v>
          </cell>
          <cell r="O548" t="str">
            <v>-</v>
          </cell>
          <cell r="T548">
            <v>0.188</v>
          </cell>
          <cell r="U548" t="str">
            <v>-</v>
          </cell>
        </row>
        <row r="549">
          <cell r="B549" t="str">
            <v>L2.5X1.5X4</v>
          </cell>
          <cell r="C549">
            <v>0.94699999999999995</v>
          </cell>
          <cell r="D549">
            <v>1.5</v>
          </cell>
          <cell r="F549" t="str">
            <v>-</v>
          </cell>
          <cell r="H549" t="str">
            <v>-</v>
          </cell>
          <cell r="I549" t="str">
            <v>-</v>
          </cell>
          <cell r="K549" t="str">
            <v>-</v>
          </cell>
          <cell r="L549">
            <v>2.5</v>
          </cell>
          <cell r="M549">
            <v>2.9154759474226504</v>
          </cell>
          <cell r="O549" t="str">
            <v>-</v>
          </cell>
          <cell r="T549">
            <v>0.25</v>
          </cell>
          <cell r="U549" t="str">
            <v>-</v>
          </cell>
        </row>
        <row r="550">
          <cell r="B550" t="str">
            <v>L2.5X1.5X3</v>
          </cell>
          <cell r="C550">
            <v>0.72399999999999998</v>
          </cell>
          <cell r="D550">
            <v>1.5</v>
          </cell>
          <cell r="F550" t="str">
            <v>-</v>
          </cell>
          <cell r="H550" t="str">
            <v>-</v>
          </cell>
          <cell r="I550" t="str">
            <v>-</v>
          </cell>
          <cell r="K550" t="str">
            <v>-</v>
          </cell>
          <cell r="L550">
            <v>2.5</v>
          </cell>
          <cell r="M550">
            <v>2.9154759474226504</v>
          </cell>
          <cell r="O550" t="str">
            <v>-</v>
          </cell>
          <cell r="T550">
            <v>0.188</v>
          </cell>
          <cell r="U550" t="str">
            <v>-</v>
          </cell>
        </row>
        <row r="551">
          <cell r="B551" t="str">
            <v>L2X2X6</v>
          </cell>
          <cell r="C551">
            <v>1.37</v>
          </cell>
          <cell r="D551">
            <v>2</v>
          </cell>
          <cell r="F551" t="str">
            <v>-</v>
          </cell>
          <cell r="H551" t="str">
            <v>-</v>
          </cell>
          <cell r="I551" t="str">
            <v>-</v>
          </cell>
          <cell r="K551" t="str">
            <v>-</v>
          </cell>
          <cell r="L551">
            <v>2</v>
          </cell>
          <cell r="M551">
            <v>2.8284271247461903</v>
          </cell>
          <cell r="O551" t="str">
            <v>-</v>
          </cell>
          <cell r="T551">
            <v>0.375</v>
          </cell>
          <cell r="U551" t="str">
            <v>-</v>
          </cell>
        </row>
        <row r="552">
          <cell r="B552" t="str">
            <v>L2X2X5</v>
          </cell>
          <cell r="C552">
            <v>1.1599999999999999</v>
          </cell>
          <cell r="D552">
            <v>2</v>
          </cell>
          <cell r="F552" t="str">
            <v>-</v>
          </cell>
          <cell r="H552" t="str">
            <v>-</v>
          </cell>
          <cell r="I552" t="str">
            <v>-</v>
          </cell>
          <cell r="K552" t="str">
            <v>-</v>
          </cell>
          <cell r="L552">
            <v>2</v>
          </cell>
          <cell r="M552">
            <v>2.8284271247461903</v>
          </cell>
          <cell r="O552" t="str">
            <v>-</v>
          </cell>
          <cell r="T552">
            <v>0.313</v>
          </cell>
          <cell r="U552" t="str">
            <v>-</v>
          </cell>
        </row>
        <row r="553">
          <cell r="B553" t="str">
            <v>L2X2X4</v>
          </cell>
          <cell r="C553">
            <v>0.94399999999999995</v>
          </cell>
          <cell r="D553">
            <v>2</v>
          </cell>
          <cell r="F553" t="str">
            <v>-</v>
          </cell>
          <cell r="H553" t="str">
            <v>-</v>
          </cell>
          <cell r="I553" t="str">
            <v>-</v>
          </cell>
          <cell r="K553" t="str">
            <v>-</v>
          </cell>
          <cell r="L553">
            <v>2</v>
          </cell>
          <cell r="M553">
            <v>2.8284271247461903</v>
          </cell>
          <cell r="O553" t="str">
            <v>-</v>
          </cell>
          <cell r="T553">
            <v>0.25</v>
          </cell>
          <cell r="U553" t="str">
            <v>-</v>
          </cell>
        </row>
        <row r="554">
          <cell r="B554" t="str">
            <v>L2X2X3</v>
          </cell>
          <cell r="C554">
            <v>0.72199999999999998</v>
          </cell>
          <cell r="D554">
            <v>2</v>
          </cell>
          <cell r="F554" t="str">
            <v>-</v>
          </cell>
          <cell r="H554" t="str">
            <v>-</v>
          </cell>
          <cell r="I554" t="str">
            <v>-</v>
          </cell>
          <cell r="K554" t="str">
            <v>-</v>
          </cell>
          <cell r="L554">
            <v>2</v>
          </cell>
          <cell r="M554">
            <v>2.8284271247461903</v>
          </cell>
          <cell r="O554" t="str">
            <v>-</v>
          </cell>
          <cell r="T554">
            <v>0.188</v>
          </cell>
          <cell r="U554" t="str">
            <v>-</v>
          </cell>
        </row>
        <row r="555">
          <cell r="B555" t="str">
            <v>L2X2X2</v>
          </cell>
          <cell r="C555">
            <v>0.49099999999999999</v>
          </cell>
          <cell r="D555">
            <v>2</v>
          </cell>
          <cell r="F555" t="str">
            <v>-</v>
          </cell>
          <cell r="H555" t="str">
            <v>-</v>
          </cell>
          <cell r="I555" t="str">
            <v>-</v>
          </cell>
          <cell r="K555" t="str">
            <v>-</v>
          </cell>
          <cell r="L555">
            <v>2</v>
          </cell>
          <cell r="M555">
            <v>2.8284271247461903</v>
          </cell>
          <cell r="O555" t="str">
            <v>-</v>
          </cell>
          <cell r="T555">
            <v>0.125</v>
          </cell>
          <cell r="U555" t="str">
            <v>-</v>
          </cell>
        </row>
        <row r="556">
          <cell r="B556" t="str">
            <v>L12X12X1-3/8</v>
          </cell>
          <cell r="C556">
            <v>31.1</v>
          </cell>
          <cell r="D556">
            <v>12</v>
          </cell>
          <cell r="F556" t="str">
            <v>-</v>
          </cell>
          <cell r="H556" t="str">
            <v>-</v>
          </cell>
          <cell r="I556" t="str">
            <v>-</v>
          </cell>
          <cell r="K556" t="str">
            <v>-</v>
          </cell>
          <cell r="L556">
            <v>12</v>
          </cell>
          <cell r="M556">
            <v>16.970562748477139</v>
          </cell>
          <cell r="O556" t="str">
            <v>-</v>
          </cell>
          <cell r="T556">
            <v>1.38</v>
          </cell>
          <cell r="U556" t="str">
            <v>-</v>
          </cell>
        </row>
        <row r="557">
          <cell r="B557" t="str">
            <v>L12X12X1-1/4</v>
          </cell>
          <cell r="C557">
            <v>28.4</v>
          </cell>
          <cell r="D557">
            <v>12</v>
          </cell>
          <cell r="F557" t="str">
            <v>-</v>
          </cell>
          <cell r="H557" t="str">
            <v>-</v>
          </cell>
          <cell r="I557" t="str">
            <v>-</v>
          </cell>
          <cell r="K557" t="str">
            <v>-</v>
          </cell>
          <cell r="L557">
            <v>12</v>
          </cell>
          <cell r="M557">
            <v>16.970562748477139</v>
          </cell>
          <cell r="O557" t="str">
            <v>-</v>
          </cell>
          <cell r="T557">
            <v>1.25</v>
          </cell>
          <cell r="U557" t="str">
            <v>-</v>
          </cell>
        </row>
        <row r="558">
          <cell r="B558" t="str">
            <v>L12X12X1-1/8</v>
          </cell>
          <cell r="C558">
            <v>25.8</v>
          </cell>
          <cell r="D558">
            <v>12</v>
          </cell>
          <cell r="F558" t="str">
            <v>-</v>
          </cell>
          <cell r="H558" t="str">
            <v>-</v>
          </cell>
          <cell r="I558" t="str">
            <v>-</v>
          </cell>
          <cell r="K558" t="str">
            <v>-</v>
          </cell>
          <cell r="L558">
            <v>12</v>
          </cell>
          <cell r="M558">
            <v>16.970562748477139</v>
          </cell>
          <cell r="O558" t="str">
            <v>-</v>
          </cell>
          <cell r="T558">
            <v>1.1299999999999999</v>
          </cell>
          <cell r="U558" t="str">
            <v>-</v>
          </cell>
        </row>
        <row r="559">
          <cell r="B559" t="str">
            <v>L12X12X1</v>
          </cell>
          <cell r="C559">
            <v>23</v>
          </cell>
          <cell r="D559">
            <v>12</v>
          </cell>
          <cell r="F559" t="str">
            <v>-</v>
          </cell>
          <cell r="H559" t="str">
            <v>-</v>
          </cell>
          <cell r="I559" t="str">
            <v>-</v>
          </cell>
          <cell r="K559" t="str">
            <v>-</v>
          </cell>
          <cell r="L559">
            <v>12</v>
          </cell>
          <cell r="M559">
            <v>16.970562748477139</v>
          </cell>
          <cell r="O559" t="str">
            <v>-</v>
          </cell>
          <cell r="T559">
            <v>1</v>
          </cell>
          <cell r="U559" t="str">
            <v>-</v>
          </cell>
        </row>
        <row r="560">
          <cell r="B560" t="str">
            <v>L10X10X1-3/8</v>
          </cell>
          <cell r="C560">
            <v>25.6</v>
          </cell>
          <cell r="D560">
            <v>10</v>
          </cell>
          <cell r="F560" t="str">
            <v>-</v>
          </cell>
          <cell r="H560" t="str">
            <v>-</v>
          </cell>
          <cell r="I560" t="str">
            <v>-</v>
          </cell>
          <cell r="K560" t="str">
            <v>-</v>
          </cell>
          <cell r="L560">
            <v>10</v>
          </cell>
          <cell r="M560">
            <v>14.142135623730951</v>
          </cell>
          <cell r="O560" t="str">
            <v>-</v>
          </cell>
          <cell r="T560">
            <v>1.38</v>
          </cell>
          <cell r="U560" t="str">
            <v>-</v>
          </cell>
        </row>
        <row r="561">
          <cell r="B561" t="str">
            <v>L10X10X1-1/4</v>
          </cell>
          <cell r="C561">
            <v>23.4</v>
          </cell>
          <cell r="D561">
            <v>10</v>
          </cell>
          <cell r="F561" t="str">
            <v>-</v>
          </cell>
          <cell r="H561" t="str">
            <v>-</v>
          </cell>
          <cell r="I561" t="str">
            <v>-</v>
          </cell>
          <cell r="K561" t="str">
            <v>-</v>
          </cell>
          <cell r="L561">
            <v>10</v>
          </cell>
          <cell r="M561">
            <v>14.142135623730951</v>
          </cell>
          <cell r="O561" t="str">
            <v>-</v>
          </cell>
          <cell r="T561">
            <v>1.25</v>
          </cell>
          <cell r="U561" t="str">
            <v>-</v>
          </cell>
        </row>
        <row r="562">
          <cell r="B562" t="str">
            <v>L10X10X1-1/8</v>
          </cell>
          <cell r="C562">
            <v>21.3</v>
          </cell>
          <cell r="D562">
            <v>10</v>
          </cell>
          <cell r="F562" t="str">
            <v>-</v>
          </cell>
          <cell r="H562" t="str">
            <v>-</v>
          </cell>
          <cell r="I562" t="str">
            <v>-</v>
          </cell>
          <cell r="K562" t="str">
            <v>-</v>
          </cell>
          <cell r="L562">
            <v>10</v>
          </cell>
          <cell r="M562">
            <v>14.142135623730951</v>
          </cell>
          <cell r="O562" t="str">
            <v>-</v>
          </cell>
          <cell r="T562">
            <v>1.1299999999999999</v>
          </cell>
          <cell r="U562" t="str">
            <v>-</v>
          </cell>
        </row>
        <row r="563">
          <cell r="B563" t="str">
            <v>L10X10X1</v>
          </cell>
          <cell r="C563">
            <v>19</v>
          </cell>
          <cell r="D563">
            <v>10</v>
          </cell>
          <cell r="F563" t="str">
            <v>-</v>
          </cell>
          <cell r="H563" t="str">
            <v>-</v>
          </cell>
          <cell r="I563" t="str">
            <v>-</v>
          </cell>
          <cell r="K563" t="str">
            <v>-</v>
          </cell>
          <cell r="L563">
            <v>10</v>
          </cell>
          <cell r="M563">
            <v>14.142135623730951</v>
          </cell>
          <cell r="O563" t="str">
            <v>-</v>
          </cell>
          <cell r="T563">
            <v>1</v>
          </cell>
          <cell r="U563" t="str">
            <v>-</v>
          </cell>
        </row>
        <row r="564">
          <cell r="B564" t="str">
            <v>L10X10X7/8</v>
          </cell>
          <cell r="C564">
            <v>16.8</v>
          </cell>
          <cell r="D564">
            <v>10</v>
          </cell>
          <cell r="F564" t="str">
            <v>-</v>
          </cell>
          <cell r="H564" t="str">
            <v>-</v>
          </cell>
          <cell r="I564" t="str">
            <v>-</v>
          </cell>
          <cell r="K564" t="str">
            <v>-</v>
          </cell>
          <cell r="L564">
            <v>10</v>
          </cell>
          <cell r="M564">
            <v>14.142135623730951</v>
          </cell>
          <cell r="O564" t="str">
            <v>-</v>
          </cell>
          <cell r="T564">
            <v>0.875</v>
          </cell>
          <cell r="U564" t="str">
            <v>-</v>
          </cell>
        </row>
        <row r="565">
          <cell r="B565" t="str">
            <v>L10X10X3/4</v>
          </cell>
          <cell r="C565">
            <v>14.5</v>
          </cell>
          <cell r="D565">
            <v>10</v>
          </cell>
          <cell r="F565" t="str">
            <v>-</v>
          </cell>
          <cell r="H565" t="str">
            <v>-</v>
          </cell>
          <cell r="I565" t="str">
            <v>-</v>
          </cell>
          <cell r="K565" t="str">
            <v>-</v>
          </cell>
          <cell r="L565">
            <v>10</v>
          </cell>
          <cell r="M565">
            <v>14.142135623730951</v>
          </cell>
          <cell r="O565" t="str">
            <v>-</v>
          </cell>
          <cell r="T565">
            <v>0.75</v>
          </cell>
          <cell r="U565" t="str">
            <v>-</v>
          </cell>
        </row>
        <row r="566">
          <cell r="B566" t="str">
            <v>L8X8X1-1/8</v>
          </cell>
          <cell r="C566">
            <v>16.8</v>
          </cell>
          <cell r="D566">
            <v>8</v>
          </cell>
          <cell r="F566" t="str">
            <v>-</v>
          </cell>
          <cell r="H566" t="str">
            <v>-</v>
          </cell>
          <cell r="I566" t="str">
            <v>-</v>
          </cell>
          <cell r="K566" t="str">
            <v>-</v>
          </cell>
          <cell r="L566">
            <v>8</v>
          </cell>
          <cell r="M566">
            <v>11.313708498984761</v>
          </cell>
          <cell r="O566" t="str">
            <v>-</v>
          </cell>
          <cell r="T566">
            <v>1.1299999999999999</v>
          </cell>
          <cell r="U566" t="str">
            <v>-</v>
          </cell>
        </row>
        <row r="567">
          <cell r="B567" t="str">
            <v>L8X8X1</v>
          </cell>
          <cell r="C567">
            <v>15.1</v>
          </cell>
          <cell r="D567">
            <v>8</v>
          </cell>
          <cell r="F567" t="str">
            <v>-</v>
          </cell>
          <cell r="H567" t="str">
            <v>-</v>
          </cell>
          <cell r="I567" t="str">
            <v>-</v>
          </cell>
          <cell r="K567" t="str">
            <v>-</v>
          </cell>
          <cell r="L567">
            <v>8</v>
          </cell>
          <cell r="M567">
            <v>11.313708498984761</v>
          </cell>
          <cell r="O567" t="str">
            <v>-</v>
          </cell>
          <cell r="T567">
            <v>1</v>
          </cell>
          <cell r="U567" t="str">
            <v>-</v>
          </cell>
        </row>
        <row r="568">
          <cell r="B568" t="str">
            <v>L8X8X7/8</v>
          </cell>
          <cell r="C568">
            <v>13.3</v>
          </cell>
          <cell r="D568">
            <v>8</v>
          </cell>
          <cell r="F568" t="str">
            <v>-</v>
          </cell>
          <cell r="H568" t="str">
            <v>-</v>
          </cell>
          <cell r="I568" t="str">
            <v>-</v>
          </cell>
          <cell r="K568" t="str">
            <v>-</v>
          </cell>
          <cell r="L568">
            <v>8</v>
          </cell>
          <cell r="M568">
            <v>11.313708498984761</v>
          </cell>
          <cell r="O568" t="str">
            <v>-</v>
          </cell>
          <cell r="T568">
            <v>0.875</v>
          </cell>
          <cell r="U568" t="str">
            <v>-</v>
          </cell>
        </row>
        <row r="569">
          <cell r="B569" t="str">
            <v>L8X8X3/4</v>
          </cell>
          <cell r="C569">
            <v>11.5</v>
          </cell>
          <cell r="D569">
            <v>8</v>
          </cell>
          <cell r="F569" t="str">
            <v>-</v>
          </cell>
          <cell r="H569" t="str">
            <v>-</v>
          </cell>
          <cell r="I569" t="str">
            <v>-</v>
          </cell>
          <cell r="K569" t="str">
            <v>-</v>
          </cell>
          <cell r="L569">
            <v>8</v>
          </cell>
          <cell r="M569">
            <v>11.313708498984761</v>
          </cell>
          <cell r="O569" t="str">
            <v>-</v>
          </cell>
          <cell r="T569">
            <v>0.75</v>
          </cell>
          <cell r="U569" t="str">
            <v>-</v>
          </cell>
        </row>
        <row r="570">
          <cell r="B570" t="str">
            <v>L8X8X5/8</v>
          </cell>
          <cell r="C570">
            <v>9.69</v>
          </cell>
          <cell r="D570">
            <v>8</v>
          </cell>
          <cell r="F570" t="str">
            <v>-</v>
          </cell>
          <cell r="H570" t="str">
            <v>-</v>
          </cell>
          <cell r="I570" t="str">
            <v>-</v>
          </cell>
          <cell r="K570" t="str">
            <v>-</v>
          </cell>
          <cell r="L570">
            <v>8</v>
          </cell>
          <cell r="M570">
            <v>11.313708498984761</v>
          </cell>
          <cell r="O570" t="str">
            <v>-</v>
          </cell>
          <cell r="T570">
            <v>0.625</v>
          </cell>
          <cell r="U570" t="str">
            <v>-</v>
          </cell>
        </row>
        <row r="571">
          <cell r="B571" t="str">
            <v>L8X8X9/16</v>
          </cell>
          <cell r="C571">
            <v>8.77</v>
          </cell>
          <cell r="D571">
            <v>8</v>
          </cell>
          <cell r="F571" t="str">
            <v>-</v>
          </cell>
          <cell r="H571" t="str">
            <v>-</v>
          </cell>
          <cell r="I571" t="str">
            <v>-</v>
          </cell>
          <cell r="K571" t="str">
            <v>-</v>
          </cell>
          <cell r="L571">
            <v>8</v>
          </cell>
          <cell r="M571">
            <v>11.313708498984761</v>
          </cell>
          <cell r="O571" t="str">
            <v>-</v>
          </cell>
          <cell r="T571">
            <v>0.56299999999999994</v>
          </cell>
          <cell r="U571" t="str">
            <v>-</v>
          </cell>
        </row>
        <row r="572">
          <cell r="B572" t="str">
            <v>L8X8X1/2</v>
          </cell>
          <cell r="C572">
            <v>7.84</v>
          </cell>
          <cell r="D572">
            <v>8</v>
          </cell>
          <cell r="F572" t="str">
            <v>-</v>
          </cell>
          <cell r="H572" t="str">
            <v>-</v>
          </cell>
          <cell r="I572" t="str">
            <v>-</v>
          </cell>
          <cell r="K572" t="str">
            <v>-</v>
          </cell>
          <cell r="L572">
            <v>8</v>
          </cell>
          <cell r="M572">
            <v>11.313708498984761</v>
          </cell>
          <cell r="O572" t="str">
            <v>-</v>
          </cell>
          <cell r="T572">
            <v>0.5</v>
          </cell>
          <cell r="U572" t="str">
            <v>-</v>
          </cell>
        </row>
        <row r="573">
          <cell r="B573" t="str">
            <v>L8X6X1</v>
          </cell>
          <cell r="C573">
            <v>13.1</v>
          </cell>
          <cell r="D573">
            <v>6</v>
          </cell>
          <cell r="F573" t="str">
            <v>-</v>
          </cell>
          <cell r="H573" t="str">
            <v>-</v>
          </cell>
          <cell r="I573" t="str">
            <v>-</v>
          </cell>
          <cell r="K573" t="str">
            <v>-</v>
          </cell>
          <cell r="L573">
            <v>8</v>
          </cell>
          <cell r="M573">
            <v>10</v>
          </cell>
          <cell r="O573" t="str">
            <v>-</v>
          </cell>
          <cell r="T573">
            <v>1</v>
          </cell>
          <cell r="U573" t="str">
            <v>-</v>
          </cell>
        </row>
        <row r="574">
          <cell r="B574" t="str">
            <v>L8X6X7/8</v>
          </cell>
          <cell r="C574">
            <v>11.5</v>
          </cell>
          <cell r="D574">
            <v>6</v>
          </cell>
          <cell r="F574" t="str">
            <v>-</v>
          </cell>
          <cell r="H574" t="str">
            <v>-</v>
          </cell>
          <cell r="I574" t="str">
            <v>-</v>
          </cell>
          <cell r="K574" t="str">
            <v>-</v>
          </cell>
          <cell r="L574">
            <v>8</v>
          </cell>
          <cell r="M574">
            <v>10</v>
          </cell>
          <cell r="O574" t="str">
            <v>-</v>
          </cell>
          <cell r="T574">
            <v>0.875</v>
          </cell>
          <cell r="U574" t="str">
            <v>-</v>
          </cell>
        </row>
        <row r="575">
          <cell r="B575" t="str">
            <v>L8X6X3/4</v>
          </cell>
          <cell r="C575">
            <v>9.99</v>
          </cell>
          <cell r="D575">
            <v>6</v>
          </cell>
          <cell r="F575" t="str">
            <v>-</v>
          </cell>
          <cell r="H575" t="str">
            <v>-</v>
          </cell>
          <cell r="I575" t="str">
            <v>-</v>
          </cell>
          <cell r="K575" t="str">
            <v>-</v>
          </cell>
          <cell r="L575">
            <v>8</v>
          </cell>
          <cell r="M575">
            <v>10</v>
          </cell>
          <cell r="O575" t="str">
            <v>-</v>
          </cell>
          <cell r="T575">
            <v>0.75</v>
          </cell>
          <cell r="U575" t="str">
            <v>-</v>
          </cell>
        </row>
        <row r="576">
          <cell r="B576" t="str">
            <v>L8X6X5/8</v>
          </cell>
          <cell r="C576">
            <v>8.41</v>
          </cell>
          <cell r="D576">
            <v>6</v>
          </cell>
          <cell r="F576" t="str">
            <v>-</v>
          </cell>
          <cell r="H576" t="str">
            <v>-</v>
          </cell>
          <cell r="I576" t="str">
            <v>-</v>
          </cell>
          <cell r="K576" t="str">
            <v>-</v>
          </cell>
          <cell r="L576">
            <v>8</v>
          </cell>
          <cell r="M576">
            <v>10</v>
          </cell>
          <cell r="O576" t="str">
            <v>-</v>
          </cell>
          <cell r="T576">
            <v>0.625</v>
          </cell>
          <cell r="U576" t="str">
            <v>-</v>
          </cell>
        </row>
        <row r="577">
          <cell r="B577" t="str">
            <v>L8X6X9/16</v>
          </cell>
          <cell r="C577">
            <v>7.61</v>
          </cell>
          <cell r="D577">
            <v>6</v>
          </cell>
          <cell r="F577" t="str">
            <v>-</v>
          </cell>
          <cell r="H577" t="str">
            <v>-</v>
          </cell>
          <cell r="I577" t="str">
            <v>-</v>
          </cell>
          <cell r="K577" t="str">
            <v>-</v>
          </cell>
          <cell r="L577">
            <v>8</v>
          </cell>
          <cell r="M577">
            <v>10</v>
          </cell>
          <cell r="O577" t="str">
            <v>-</v>
          </cell>
          <cell r="T577">
            <v>0.56299999999999994</v>
          </cell>
          <cell r="U577" t="str">
            <v>-</v>
          </cell>
        </row>
        <row r="578">
          <cell r="B578" t="str">
            <v>L8X6X1/2</v>
          </cell>
          <cell r="C578">
            <v>6.8</v>
          </cell>
          <cell r="D578">
            <v>6</v>
          </cell>
          <cell r="F578" t="str">
            <v>-</v>
          </cell>
          <cell r="H578" t="str">
            <v>-</v>
          </cell>
          <cell r="I578" t="str">
            <v>-</v>
          </cell>
          <cell r="K578" t="str">
            <v>-</v>
          </cell>
          <cell r="L578">
            <v>8</v>
          </cell>
          <cell r="M578">
            <v>10</v>
          </cell>
          <cell r="O578" t="str">
            <v>-</v>
          </cell>
          <cell r="T578">
            <v>0.5</v>
          </cell>
          <cell r="U578" t="str">
            <v>-</v>
          </cell>
        </row>
        <row r="579">
          <cell r="B579" t="str">
            <v>L8X6X7/16</v>
          </cell>
          <cell r="C579">
            <v>5.99</v>
          </cell>
          <cell r="D579">
            <v>6</v>
          </cell>
          <cell r="F579" t="str">
            <v>-</v>
          </cell>
          <cell r="H579" t="str">
            <v>-</v>
          </cell>
          <cell r="I579" t="str">
            <v>-</v>
          </cell>
          <cell r="K579" t="str">
            <v>-</v>
          </cell>
          <cell r="L579">
            <v>8</v>
          </cell>
          <cell r="M579">
            <v>10</v>
          </cell>
          <cell r="O579" t="str">
            <v>-</v>
          </cell>
          <cell r="T579">
            <v>0.438</v>
          </cell>
          <cell r="U579" t="str">
            <v>-</v>
          </cell>
        </row>
        <row r="580">
          <cell r="B580" t="str">
            <v>L8X4X1</v>
          </cell>
          <cell r="C580">
            <v>11.1</v>
          </cell>
          <cell r="D580">
            <v>4</v>
          </cell>
          <cell r="F580" t="str">
            <v>-</v>
          </cell>
          <cell r="H580" t="str">
            <v>-</v>
          </cell>
          <cell r="I580" t="str">
            <v>-</v>
          </cell>
          <cell r="K580" t="str">
            <v>-</v>
          </cell>
          <cell r="L580">
            <v>8</v>
          </cell>
          <cell r="M580">
            <v>8.9442719099991592</v>
          </cell>
          <cell r="O580" t="str">
            <v>-</v>
          </cell>
          <cell r="T580">
            <v>1</v>
          </cell>
          <cell r="U580" t="str">
            <v>-</v>
          </cell>
        </row>
        <row r="581">
          <cell r="B581" t="str">
            <v>L8X4X7/8</v>
          </cell>
          <cell r="C581">
            <v>9.7899999999999991</v>
          </cell>
          <cell r="D581">
            <v>4</v>
          </cell>
          <cell r="F581" t="str">
            <v>-</v>
          </cell>
          <cell r="H581" t="str">
            <v>-</v>
          </cell>
          <cell r="I581" t="str">
            <v>-</v>
          </cell>
          <cell r="K581" t="str">
            <v>-</v>
          </cell>
          <cell r="L581">
            <v>8</v>
          </cell>
          <cell r="M581">
            <v>8.9442719099991592</v>
          </cell>
          <cell r="O581" t="str">
            <v>-</v>
          </cell>
          <cell r="T581">
            <v>0.875</v>
          </cell>
          <cell r="U581" t="str">
            <v>-</v>
          </cell>
        </row>
        <row r="582">
          <cell r="B582" t="str">
            <v>L8X4X3/4</v>
          </cell>
          <cell r="C582">
            <v>8.49</v>
          </cell>
          <cell r="D582">
            <v>4</v>
          </cell>
          <cell r="F582" t="str">
            <v>-</v>
          </cell>
          <cell r="H582" t="str">
            <v>-</v>
          </cell>
          <cell r="I582" t="str">
            <v>-</v>
          </cell>
          <cell r="K582" t="str">
            <v>-</v>
          </cell>
          <cell r="L582">
            <v>8</v>
          </cell>
          <cell r="M582">
            <v>8.9442719099991592</v>
          </cell>
          <cell r="O582" t="str">
            <v>-</v>
          </cell>
          <cell r="T582">
            <v>0.75</v>
          </cell>
          <cell r="U582" t="str">
            <v>-</v>
          </cell>
        </row>
        <row r="583">
          <cell r="B583" t="str">
            <v>L8X4X5/8</v>
          </cell>
          <cell r="C583">
            <v>7.16</v>
          </cell>
          <cell r="D583">
            <v>4</v>
          </cell>
          <cell r="F583" t="str">
            <v>-</v>
          </cell>
          <cell r="H583" t="str">
            <v>-</v>
          </cell>
          <cell r="I583" t="str">
            <v>-</v>
          </cell>
          <cell r="K583" t="str">
            <v>-</v>
          </cell>
          <cell r="L583">
            <v>8</v>
          </cell>
          <cell r="M583">
            <v>8.9442719099991592</v>
          </cell>
          <cell r="O583" t="str">
            <v>-</v>
          </cell>
          <cell r="T583">
            <v>0.625</v>
          </cell>
          <cell r="U583" t="str">
            <v>-</v>
          </cell>
        </row>
        <row r="584">
          <cell r="B584" t="str">
            <v>L8X4X9/16</v>
          </cell>
          <cell r="C584">
            <v>6.49</v>
          </cell>
          <cell r="D584">
            <v>4</v>
          </cell>
          <cell r="F584" t="str">
            <v>-</v>
          </cell>
          <cell r="H584" t="str">
            <v>-</v>
          </cell>
          <cell r="I584" t="str">
            <v>-</v>
          </cell>
          <cell r="K584" t="str">
            <v>-</v>
          </cell>
          <cell r="L584">
            <v>8</v>
          </cell>
          <cell r="M584">
            <v>8.9442719099991592</v>
          </cell>
          <cell r="O584" t="str">
            <v>-</v>
          </cell>
          <cell r="T584">
            <v>0.56299999999999994</v>
          </cell>
          <cell r="U584" t="str">
            <v>-</v>
          </cell>
        </row>
        <row r="585">
          <cell r="B585" t="str">
            <v>L8X4X1/2</v>
          </cell>
          <cell r="C585">
            <v>5.8</v>
          </cell>
          <cell r="D585">
            <v>4</v>
          </cell>
          <cell r="F585" t="str">
            <v>-</v>
          </cell>
          <cell r="H585" t="str">
            <v>-</v>
          </cell>
          <cell r="I585" t="str">
            <v>-</v>
          </cell>
          <cell r="K585" t="str">
            <v>-</v>
          </cell>
          <cell r="L585">
            <v>8</v>
          </cell>
          <cell r="M585">
            <v>8.9442719099991592</v>
          </cell>
          <cell r="O585" t="str">
            <v>-</v>
          </cell>
          <cell r="T585">
            <v>0.5</v>
          </cell>
          <cell r="U585" t="str">
            <v>-</v>
          </cell>
        </row>
        <row r="586">
          <cell r="B586" t="str">
            <v>L8X4X7/16</v>
          </cell>
          <cell r="C586">
            <v>5.1100000000000003</v>
          </cell>
          <cell r="D586">
            <v>4</v>
          </cell>
          <cell r="F586" t="str">
            <v>-</v>
          </cell>
          <cell r="H586" t="str">
            <v>-</v>
          </cell>
          <cell r="I586" t="str">
            <v>-</v>
          </cell>
          <cell r="K586" t="str">
            <v>-</v>
          </cell>
          <cell r="L586">
            <v>8</v>
          </cell>
          <cell r="M586">
            <v>8.9442719099991592</v>
          </cell>
          <cell r="O586" t="str">
            <v>-</v>
          </cell>
          <cell r="T586">
            <v>0.438</v>
          </cell>
          <cell r="U586" t="str">
            <v>-</v>
          </cell>
        </row>
        <row r="587">
          <cell r="B587" t="str">
            <v>L7X4X3/4</v>
          </cell>
          <cell r="C587">
            <v>7.74</v>
          </cell>
          <cell r="D587">
            <v>4</v>
          </cell>
          <cell r="F587" t="str">
            <v>-</v>
          </cell>
          <cell r="H587" t="str">
            <v>-</v>
          </cell>
          <cell r="I587" t="str">
            <v>-</v>
          </cell>
          <cell r="K587" t="str">
            <v>-</v>
          </cell>
          <cell r="L587">
            <v>7</v>
          </cell>
          <cell r="M587">
            <v>8.0622577482985491</v>
          </cell>
          <cell r="O587" t="str">
            <v>-</v>
          </cell>
          <cell r="T587">
            <v>0.75</v>
          </cell>
          <cell r="U587" t="str">
            <v>-</v>
          </cell>
        </row>
        <row r="588">
          <cell r="B588" t="str">
            <v>L7X4X5/8</v>
          </cell>
          <cell r="C588">
            <v>6.5</v>
          </cell>
          <cell r="D588">
            <v>4</v>
          </cell>
          <cell r="F588" t="str">
            <v>-</v>
          </cell>
          <cell r="H588" t="str">
            <v>-</v>
          </cell>
          <cell r="I588" t="str">
            <v>-</v>
          </cell>
          <cell r="K588" t="str">
            <v>-</v>
          </cell>
          <cell r="L588">
            <v>7</v>
          </cell>
          <cell r="M588">
            <v>8.0622577482985491</v>
          </cell>
          <cell r="O588" t="str">
            <v>-</v>
          </cell>
          <cell r="T588">
            <v>0.625</v>
          </cell>
          <cell r="U588" t="str">
            <v>-</v>
          </cell>
        </row>
        <row r="589">
          <cell r="B589" t="str">
            <v>L7X4X1/2</v>
          </cell>
          <cell r="C589">
            <v>5.26</v>
          </cell>
          <cell r="D589">
            <v>4</v>
          </cell>
          <cell r="F589" t="str">
            <v>-</v>
          </cell>
          <cell r="H589" t="str">
            <v>-</v>
          </cell>
          <cell r="I589" t="str">
            <v>-</v>
          </cell>
          <cell r="K589" t="str">
            <v>-</v>
          </cell>
          <cell r="L589">
            <v>7</v>
          </cell>
          <cell r="M589">
            <v>8.0622577482985491</v>
          </cell>
          <cell r="O589" t="str">
            <v>-</v>
          </cell>
          <cell r="T589">
            <v>0.5</v>
          </cell>
          <cell r="U589" t="str">
            <v>-</v>
          </cell>
        </row>
        <row r="590">
          <cell r="B590" t="str">
            <v>L7X4X7/16</v>
          </cell>
          <cell r="C590">
            <v>4.63</v>
          </cell>
          <cell r="D590">
            <v>4</v>
          </cell>
          <cell r="F590" t="str">
            <v>-</v>
          </cell>
          <cell r="H590" t="str">
            <v>-</v>
          </cell>
          <cell r="I590" t="str">
            <v>-</v>
          </cell>
          <cell r="K590" t="str">
            <v>-</v>
          </cell>
          <cell r="L590">
            <v>7</v>
          </cell>
          <cell r="M590">
            <v>8.0622577482985491</v>
          </cell>
          <cell r="O590" t="str">
            <v>-</v>
          </cell>
          <cell r="T590">
            <v>0.438</v>
          </cell>
          <cell r="U590" t="str">
            <v>-</v>
          </cell>
        </row>
        <row r="591">
          <cell r="B591" t="str">
            <v>L7X4X3/8</v>
          </cell>
          <cell r="C591">
            <v>4</v>
          </cell>
          <cell r="D591">
            <v>4</v>
          </cell>
          <cell r="F591" t="str">
            <v>-</v>
          </cell>
          <cell r="H591" t="str">
            <v>-</v>
          </cell>
          <cell r="I591" t="str">
            <v>-</v>
          </cell>
          <cell r="K591" t="str">
            <v>-</v>
          </cell>
          <cell r="L591">
            <v>7</v>
          </cell>
          <cell r="M591">
            <v>8.0622577482985491</v>
          </cell>
          <cell r="O591" t="str">
            <v>-</v>
          </cell>
          <cell r="T591">
            <v>0.375</v>
          </cell>
          <cell r="U591" t="str">
            <v>-</v>
          </cell>
        </row>
        <row r="592">
          <cell r="B592" t="str">
            <v>L6X6X1</v>
          </cell>
          <cell r="C592">
            <v>11</v>
          </cell>
          <cell r="D592">
            <v>6</v>
          </cell>
          <cell r="F592" t="str">
            <v>-</v>
          </cell>
          <cell r="H592" t="str">
            <v>-</v>
          </cell>
          <cell r="I592" t="str">
            <v>-</v>
          </cell>
          <cell r="K592" t="str">
            <v>-</v>
          </cell>
          <cell r="L592">
            <v>6</v>
          </cell>
          <cell r="M592">
            <v>8.4852813742385695</v>
          </cell>
          <cell r="O592" t="str">
            <v>-</v>
          </cell>
          <cell r="T592">
            <v>1</v>
          </cell>
          <cell r="U592" t="str">
            <v>-</v>
          </cell>
        </row>
        <row r="593">
          <cell r="B593" t="str">
            <v>L6X6X7/8</v>
          </cell>
          <cell r="C593">
            <v>9.75</v>
          </cell>
          <cell r="D593">
            <v>6</v>
          </cell>
          <cell r="F593" t="str">
            <v>-</v>
          </cell>
          <cell r="H593" t="str">
            <v>-</v>
          </cell>
          <cell r="I593" t="str">
            <v>-</v>
          </cell>
          <cell r="K593" t="str">
            <v>-</v>
          </cell>
          <cell r="L593">
            <v>6</v>
          </cell>
          <cell r="M593">
            <v>8.4852813742385695</v>
          </cell>
          <cell r="O593" t="str">
            <v>-</v>
          </cell>
          <cell r="T593">
            <v>0.875</v>
          </cell>
          <cell r="U593" t="str">
            <v>-</v>
          </cell>
        </row>
        <row r="594">
          <cell r="B594" t="str">
            <v>L6X6X3/4</v>
          </cell>
          <cell r="C594">
            <v>8.4600000000000009</v>
          </cell>
          <cell r="D594">
            <v>6</v>
          </cell>
          <cell r="F594" t="str">
            <v>-</v>
          </cell>
          <cell r="H594" t="str">
            <v>-</v>
          </cell>
          <cell r="I594" t="str">
            <v>-</v>
          </cell>
          <cell r="K594" t="str">
            <v>-</v>
          </cell>
          <cell r="L594">
            <v>6</v>
          </cell>
          <cell r="M594">
            <v>8.4852813742385695</v>
          </cell>
          <cell r="O594" t="str">
            <v>-</v>
          </cell>
          <cell r="T594">
            <v>0.75</v>
          </cell>
          <cell r="U594" t="str">
            <v>-</v>
          </cell>
        </row>
        <row r="595">
          <cell r="B595" t="str">
            <v>L6X6X5/8</v>
          </cell>
          <cell r="C595">
            <v>7.13</v>
          </cell>
          <cell r="D595">
            <v>6</v>
          </cell>
          <cell r="F595" t="str">
            <v>-</v>
          </cell>
          <cell r="H595" t="str">
            <v>-</v>
          </cell>
          <cell r="I595" t="str">
            <v>-</v>
          </cell>
          <cell r="K595" t="str">
            <v>-</v>
          </cell>
          <cell r="L595">
            <v>6</v>
          </cell>
          <cell r="M595">
            <v>8.4852813742385695</v>
          </cell>
          <cell r="O595" t="str">
            <v>-</v>
          </cell>
          <cell r="T595">
            <v>0.625</v>
          </cell>
          <cell r="U595" t="str">
            <v>-</v>
          </cell>
        </row>
        <row r="596">
          <cell r="B596" t="str">
            <v>L6X6X9/16</v>
          </cell>
          <cell r="C596">
            <v>6.45</v>
          </cell>
          <cell r="D596">
            <v>6</v>
          </cell>
          <cell r="F596" t="str">
            <v>-</v>
          </cell>
          <cell r="H596" t="str">
            <v>-</v>
          </cell>
          <cell r="I596" t="str">
            <v>-</v>
          </cell>
          <cell r="K596" t="str">
            <v>-</v>
          </cell>
          <cell r="L596">
            <v>6</v>
          </cell>
          <cell r="M596">
            <v>8.4852813742385695</v>
          </cell>
          <cell r="O596" t="str">
            <v>-</v>
          </cell>
          <cell r="T596">
            <v>0.56299999999999994</v>
          </cell>
          <cell r="U596" t="str">
            <v>-</v>
          </cell>
        </row>
        <row r="597">
          <cell r="B597" t="str">
            <v>L6X6X1/2</v>
          </cell>
          <cell r="C597">
            <v>5.77</v>
          </cell>
          <cell r="D597">
            <v>6</v>
          </cell>
          <cell r="F597" t="str">
            <v>-</v>
          </cell>
          <cell r="H597" t="str">
            <v>-</v>
          </cell>
          <cell r="I597" t="str">
            <v>-</v>
          </cell>
          <cell r="K597" t="str">
            <v>-</v>
          </cell>
          <cell r="L597">
            <v>6</v>
          </cell>
          <cell r="M597">
            <v>8.4852813742385695</v>
          </cell>
          <cell r="O597" t="str">
            <v>-</v>
          </cell>
          <cell r="T597">
            <v>0.5</v>
          </cell>
          <cell r="U597" t="str">
            <v>-</v>
          </cell>
        </row>
        <row r="598">
          <cell r="B598" t="str">
            <v>L6X6X7/16</v>
          </cell>
          <cell r="C598">
            <v>5.08</v>
          </cell>
          <cell r="D598">
            <v>6</v>
          </cell>
          <cell r="F598" t="str">
            <v>-</v>
          </cell>
          <cell r="H598" t="str">
            <v>-</v>
          </cell>
          <cell r="I598" t="str">
            <v>-</v>
          </cell>
          <cell r="K598" t="str">
            <v>-</v>
          </cell>
          <cell r="L598">
            <v>6</v>
          </cell>
          <cell r="M598">
            <v>8.4852813742385695</v>
          </cell>
          <cell r="O598" t="str">
            <v>-</v>
          </cell>
          <cell r="T598">
            <v>0.438</v>
          </cell>
          <cell r="U598" t="str">
            <v>-</v>
          </cell>
        </row>
        <row r="599">
          <cell r="B599" t="str">
            <v>L6X6X3/8</v>
          </cell>
          <cell r="C599">
            <v>4.38</v>
          </cell>
          <cell r="D599">
            <v>6</v>
          </cell>
          <cell r="F599" t="str">
            <v>-</v>
          </cell>
          <cell r="H599" t="str">
            <v>-</v>
          </cell>
          <cell r="I599" t="str">
            <v>-</v>
          </cell>
          <cell r="K599" t="str">
            <v>-</v>
          </cell>
          <cell r="L599">
            <v>6</v>
          </cell>
          <cell r="M599">
            <v>8.4852813742385695</v>
          </cell>
          <cell r="O599" t="str">
            <v>-</v>
          </cell>
          <cell r="T599">
            <v>0.375</v>
          </cell>
          <cell r="U599" t="str">
            <v>-</v>
          </cell>
        </row>
        <row r="600">
          <cell r="B600" t="str">
            <v>L6X6X5/16</v>
          </cell>
          <cell r="C600">
            <v>3.67</v>
          </cell>
          <cell r="D600">
            <v>6</v>
          </cell>
          <cell r="F600" t="str">
            <v>-</v>
          </cell>
          <cell r="H600" t="str">
            <v>-</v>
          </cell>
          <cell r="I600" t="str">
            <v>-</v>
          </cell>
          <cell r="K600" t="str">
            <v>-</v>
          </cell>
          <cell r="L600">
            <v>6</v>
          </cell>
          <cell r="M600">
            <v>8.4852813742385695</v>
          </cell>
          <cell r="O600" t="str">
            <v>-</v>
          </cell>
          <cell r="T600">
            <v>0.313</v>
          </cell>
          <cell r="U600" t="str">
            <v>-</v>
          </cell>
        </row>
        <row r="601">
          <cell r="B601" t="str">
            <v>L6X4X7/8</v>
          </cell>
          <cell r="C601">
            <v>8</v>
          </cell>
          <cell r="D601">
            <v>4</v>
          </cell>
          <cell r="F601" t="str">
            <v>-</v>
          </cell>
          <cell r="H601" t="str">
            <v>-</v>
          </cell>
          <cell r="I601" t="str">
            <v>-</v>
          </cell>
          <cell r="K601" t="str">
            <v>-</v>
          </cell>
          <cell r="L601">
            <v>6</v>
          </cell>
          <cell r="M601">
            <v>7.2111025509279782</v>
          </cell>
          <cell r="O601" t="str">
            <v>-</v>
          </cell>
          <cell r="T601">
            <v>0.875</v>
          </cell>
          <cell r="U601" t="str">
            <v>-</v>
          </cell>
        </row>
        <row r="602">
          <cell r="B602" t="str">
            <v>L6X4X3/4</v>
          </cell>
          <cell r="C602">
            <v>6.94</v>
          </cell>
          <cell r="D602">
            <v>4</v>
          </cell>
          <cell r="F602" t="str">
            <v>-</v>
          </cell>
          <cell r="H602" t="str">
            <v>-</v>
          </cell>
          <cell r="I602" t="str">
            <v>-</v>
          </cell>
          <cell r="K602" t="str">
            <v>-</v>
          </cell>
          <cell r="L602">
            <v>6</v>
          </cell>
          <cell r="M602">
            <v>7.2111025509279782</v>
          </cell>
          <cell r="O602" t="str">
            <v>-</v>
          </cell>
          <cell r="T602">
            <v>0.75</v>
          </cell>
          <cell r="U602" t="str">
            <v>-</v>
          </cell>
        </row>
        <row r="603">
          <cell r="B603" t="str">
            <v>L6X4X5/8</v>
          </cell>
          <cell r="C603">
            <v>5.86</v>
          </cell>
          <cell r="D603">
            <v>4</v>
          </cell>
          <cell r="F603" t="str">
            <v>-</v>
          </cell>
          <cell r="H603" t="str">
            <v>-</v>
          </cell>
          <cell r="I603" t="str">
            <v>-</v>
          </cell>
          <cell r="K603" t="str">
            <v>-</v>
          </cell>
          <cell r="L603">
            <v>6</v>
          </cell>
          <cell r="M603">
            <v>7.2111025509279782</v>
          </cell>
          <cell r="O603" t="str">
            <v>-</v>
          </cell>
          <cell r="T603">
            <v>0.625</v>
          </cell>
          <cell r="U603" t="str">
            <v>-</v>
          </cell>
        </row>
        <row r="604">
          <cell r="B604" t="str">
            <v>L6X4X9/16</v>
          </cell>
          <cell r="C604">
            <v>5.31</v>
          </cell>
          <cell r="D604">
            <v>4</v>
          </cell>
          <cell r="F604" t="str">
            <v>-</v>
          </cell>
          <cell r="H604" t="str">
            <v>-</v>
          </cell>
          <cell r="I604" t="str">
            <v>-</v>
          </cell>
          <cell r="K604" t="str">
            <v>-</v>
          </cell>
          <cell r="L604">
            <v>6</v>
          </cell>
          <cell r="M604">
            <v>7.2111025509279782</v>
          </cell>
          <cell r="O604" t="str">
            <v>-</v>
          </cell>
          <cell r="T604">
            <v>0.56299999999999994</v>
          </cell>
          <cell r="U604" t="str">
            <v>-</v>
          </cell>
        </row>
        <row r="605">
          <cell r="B605" t="str">
            <v>L6X4X1/2</v>
          </cell>
          <cell r="C605">
            <v>4.75</v>
          </cell>
          <cell r="D605">
            <v>4</v>
          </cell>
          <cell r="F605" t="str">
            <v>-</v>
          </cell>
          <cell r="H605" t="str">
            <v>-</v>
          </cell>
          <cell r="I605" t="str">
            <v>-</v>
          </cell>
          <cell r="K605" t="str">
            <v>-</v>
          </cell>
          <cell r="L605">
            <v>6</v>
          </cell>
          <cell r="M605">
            <v>7.2111025509279782</v>
          </cell>
          <cell r="O605" t="str">
            <v>-</v>
          </cell>
          <cell r="T605">
            <v>0.5</v>
          </cell>
          <cell r="U605" t="str">
            <v>-</v>
          </cell>
        </row>
        <row r="606">
          <cell r="B606" t="str">
            <v>L6X4X7/16</v>
          </cell>
          <cell r="C606">
            <v>4.18</v>
          </cell>
          <cell r="D606">
            <v>4</v>
          </cell>
          <cell r="F606" t="str">
            <v>-</v>
          </cell>
          <cell r="H606" t="str">
            <v>-</v>
          </cell>
          <cell r="I606" t="str">
            <v>-</v>
          </cell>
          <cell r="K606" t="str">
            <v>-</v>
          </cell>
          <cell r="L606">
            <v>6</v>
          </cell>
          <cell r="M606">
            <v>7.2111025509279782</v>
          </cell>
          <cell r="O606" t="str">
            <v>-</v>
          </cell>
          <cell r="T606">
            <v>0.438</v>
          </cell>
          <cell r="U606" t="str">
            <v>-</v>
          </cell>
        </row>
        <row r="607">
          <cell r="B607" t="str">
            <v>L6X4X3/8</v>
          </cell>
          <cell r="C607">
            <v>3.61</v>
          </cell>
          <cell r="D607">
            <v>4</v>
          </cell>
          <cell r="F607" t="str">
            <v>-</v>
          </cell>
          <cell r="H607" t="str">
            <v>-</v>
          </cell>
          <cell r="I607" t="str">
            <v>-</v>
          </cell>
          <cell r="K607" t="str">
            <v>-</v>
          </cell>
          <cell r="L607">
            <v>6</v>
          </cell>
          <cell r="M607">
            <v>7.2111025509279782</v>
          </cell>
          <cell r="O607" t="str">
            <v>-</v>
          </cell>
          <cell r="T607">
            <v>0.375</v>
          </cell>
          <cell r="U607" t="str">
            <v>-</v>
          </cell>
        </row>
        <row r="608">
          <cell r="B608" t="str">
            <v>L6X4X5/16</v>
          </cell>
          <cell r="C608">
            <v>3.03</v>
          </cell>
          <cell r="D608">
            <v>4</v>
          </cell>
          <cell r="F608" t="str">
            <v>-</v>
          </cell>
          <cell r="H608" t="str">
            <v>-</v>
          </cell>
          <cell r="I608" t="str">
            <v>-</v>
          </cell>
          <cell r="K608" t="str">
            <v>-</v>
          </cell>
          <cell r="L608">
            <v>6</v>
          </cell>
          <cell r="M608">
            <v>7.2111025509279782</v>
          </cell>
          <cell r="O608" t="str">
            <v>-</v>
          </cell>
          <cell r="T608">
            <v>0.313</v>
          </cell>
          <cell r="U608" t="str">
            <v>-</v>
          </cell>
        </row>
        <row r="609">
          <cell r="B609" t="str">
            <v>L6X3-1/2X1/2</v>
          </cell>
          <cell r="C609">
            <v>4.5</v>
          </cell>
          <cell r="D609">
            <v>3.5</v>
          </cell>
          <cell r="F609" t="str">
            <v>-</v>
          </cell>
          <cell r="H609" t="str">
            <v>-</v>
          </cell>
          <cell r="I609" t="str">
            <v>-</v>
          </cell>
          <cell r="K609" t="str">
            <v>-</v>
          </cell>
          <cell r="L609">
            <v>6</v>
          </cell>
          <cell r="M609">
            <v>6.946221994724902</v>
          </cell>
          <cell r="O609" t="str">
            <v>-</v>
          </cell>
          <cell r="T609">
            <v>0.5</v>
          </cell>
          <cell r="U609" t="str">
            <v>-</v>
          </cell>
        </row>
        <row r="610">
          <cell r="B610" t="str">
            <v>L6X3-1/2X3/8</v>
          </cell>
          <cell r="C610">
            <v>3.44</v>
          </cell>
          <cell r="D610">
            <v>3.5</v>
          </cell>
          <cell r="F610" t="str">
            <v>-</v>
          </cell>
          <cell r="H610" t="str">
            <v>-</v>
          </cell>
          <cell r="I610" t="str">
            <v>-</v>
          </cell>
          <cell r="K610" t="str">
            <v>-</v>
          </cell>
          <cell r="L610">
            <v>6</v>
          </cell>
          <cell r="M610">
            <v>6.946221994724902</v>
          </cell>
          <cell r="O610" t="str">
            <v>-</v>
          </cell>
          <cell r="T610">
            <v>0.375</v>
          </cell>
          <cell r="U610" t="str">
            <v>-</v>
          </cell>
        </row>
        <row r="611">
          <cell r="B611" t="str">
            <v>L6X3-1/2X5/16</v>
          </cell>
          <cell r="C611">
            <v>2.89</v>
          </cell>
          <cell r="D611">
            <v>3.5</v>
          </cell>
          <cell r="F611" t="str">
            <v>-</v>
          </cell>
          <cell r="H611" t="str">
            <v>-</v>
          </cell>
          <cell r="I611" t="str">
            <v>-</v>
          </cell>
          <cell r="K611" t="str">
            <v>-</v>
          </cell>
          <cell r="L611">
            <v>6</v>
          </cell>
          <cell r="M611">
            <v>6.946221994724902</v>
          </cell>
          <cell r="O611" t="str">
            <v>-</v>
          </cell>
          <cell r="T611">
            <v>0.313</v>
          </cell>
          <cell r="U611" t="str">
            <v>-</v>
          </cell>
        </row>
        <row r="612">
          <cell r="B612" t="str">
            <v>L5X5X7/8</v>
          </cell>
          <cell r="C612">
            <v>8</v>
          </cell>
          <cell r="D612">
            <v>5</v>
          </cell>
          <cell r="F612" t="str">
            <v>-</v>
          </cell>
          <cell r="H612" t="str">
            <v>-</v>
          </cell>
          <cell r="I612" t="str">
            <v>-</v>
          </cell>
          <cell r="K612" t="str">
            <v>-</v>
          </cell>
          <cell r="L612">
            <v>5</v>
          </cell>
          <cell r="M612">
            <v>7.0710678118654755</v>
          </cell>
          <cell r="O612" t="str">
            <v>-</v>
          </cell>
          <cell r="T612">
            <v>0.875</v>
          </cell>
          <cell r="U612" t="str">
            <v>-</v>
          </cell>
        </row>
        <row r="613">
          <cell r="B613" t="str">
            <v>L5X5X3/4</v>
          </cell>
          <cell r="C613">
            <v>6.98</v>
          </cell>
          <cell r="D613">
            <v>5</v>
          </cell>
          <cell r="F613" t="str">
            <v>-</v>
          </cell>
          <cell r="H613" t="str">
            <v>-</v>
          </cell>
          <cell r="I613" t="str">
            <v>-</v>
          </cell>
          <cell r="K613" t="str">
            <v>-</v>
          </cell>
          <cell r="L613">
            <v>5</v>
          </cell>
          <cell r="M613">
            <v>7.0710678118654755</v>
          </cell>
          <cell r="O613" t="str">
            <v>-</v>
          </cell>
          <cell r="T613">
            <v>0.75</v>
          </cell>
          <cell r="U613" t="str">
            <v>-</v>
          </cell>
        </row>
        <row r="614">
          <cell r="B614" t="str">
            <v>L5X5X5/8</v>
          </cell>
          <cell r="C614">
            <v>5.9</v>
          </cell>
          <cell r="D614">
            <v>5</v>
          </cell>
          <cell r="F614" t="str">
            <v>-</v>
          </cell>
          <cell r="H614" t="str">
            <v>-</v>
          </cell>
          <cell r="I614" t="str">
            <v>-</v>
          </cell>
          <cell r="K614" t="str">
            <v>-</v>
          </cell>
          <cell r="L614">
            <v>5</v>
          </cell>
          <cell r="M614">
            <v>7.0710678118654755</v>
          </cell>
          <cell r="O614" t="str">
            <v>-</v>
          </cell>
          <cell r="T614">
            <v>0.625</v>
          </cell>
          <cell r="U614" t="str">
            <v>-</v>
          </cell>
        </row>
        <row r="615">
          <cell r="B615" t="str">
            <v>L5X5X1/2</v>
          </cell>
          <cell r="C615">
            <v>4.79</v>
          </cell>
          <cell r="D615">
            <v>5</v>
          </cell>
          <cell r="F615" t="str">
            <v>-</v>
          </cell>
          <cell r="H615" t="str">
            <v>-</v>
          </cell>
          <cell r="I615" t="str">
            <v>-</v>
          </cell>
          <cell r="K615" t="str">
            <v>-</v>
          </cell>
          <cell r="L615">
            <v>5</v>
          </cell>
          <cell r="M615">
            <v>7.0710678118654755</v>
          </cell>
          <cell r="O615" t="str">
            <v>-</v>
          </cell>
          <cell r="T615">
            <v>0.5</v>
          </cell>
          <cell r="U615" t="str">
            <v>-</v>
          </cell>
        </row>
        <row r="616">
          <cell r="B616" t="str">
            <v>L5X5X7/16</v>
          </cell>
          <cell r="C616">
            <v>4.22</v>
          </cell>
          <cell r="D616">
            <v>5</v>
          </cell>
          <cell r="F616" t="str">
            <v>-</v>
          </cell>
          <cell r="H616" t="str">
            <v>-</v>
          </cell>
          <cell r="I616" t="str">
            <v>-</v>
          </cell>
          <cell r="K616" t="str">
            <v>-</v>
          </cell>
          <cell r="L616">
            <v>5</v>
          </cell>
          <cell r="M616">
            <v>7.0710678118654755</v>
          </cell>
          <cell r="O616" t="str">
            <v>-</v>
          </cell>
          <cell r="T616">
            <v>0.438</v>
          </cell>
          <cell r="U616" t="str">
            <v>-</v>
          </cell>
        </row>
        <row r="617">
          <cell r="B617" t="str">
            <v>L5X5X3/8</v>
          </cell>
          <cell r="C617">
            <v>3.65</v>
          </cell>
          <cell r="D617">
            <v>5</v>
          </cell>
          <cell r="F617" t="str">
            <v>-</v>
          </cell>
          <cell r="H617" t="str">
            <v>-</v>
          </cell>
          <cell r="I617" t="str">
            <v>-</v>
          </cell>
          <cell r="K617" t="str">
            <v>-</v>
          </cell>
          <cell r="L617">
            <v>5</v>
          </cell>
          <cell r="M617">
            <v>7.0710678118654755</v>
          </cell>
          <cell r="O617" t="str">
            <v>-</v>
          </cell>
          <cell r="T617">
            <v>0.375</v>
          </cell>
          <cell r="U617" t="str">
            <v>-</v>
          </cell>
        </row>
        <row r="618">
          <cell r="B618" t="str">
            <v>L5X5X5/16</v>
          </cell>
          <cell r="C618">
            <v>3.07</v>
          </cell>
          <cell r="D618">
            <v>5</v>
          </cell>
          <cell r="F618" t="str">
            <v>-</v>
          </cell>
          <cell r="H618" t="str">
            <v>-</v>
          </cell>
          <cell r="I618" t="str">
            <v>-</v>
          </cell>
          <cell r="K618" t="str">
            <v>-</v>
          </cell>
          <cell r="L618">
            <v>5</v>
          </cell>
          <cell r="M618">
            <v>7.0710678118654755</v>
          </cell>
          <cell r="O618" t="str">
            <v>-</v>
          </cell>
          <cell r="T618">
            <v>0.313</v>
          </cell>
          <cell r="U618" t="str">
            <v>-</v>
          </cell>
        </row>
        <row r="619">
          <cell r="B619" t="str">
            <v>L5X3-1/2X3/4</v>
          </cell>
          <cell r="C619">
            <v>5.85</v>
          </cell>
          <cell r="D619">
            <v>3.5</v>
          </cell>
          <cell r="F619" t="str">
            <v>-</v>
          </cell>
          <cell r="H619" t="str">
            <v>-</v>
          </cell>
          <cell r="I619" t="str">
            <v>-</v>
          </cell>
          <cell r="K619" t="str">
            <v>-</v>
          </cell>
          <cell r="L619">
            <v>5</v>
          </cell>
          <cell r="M619">
            <v>6.103277807866851</v>
          </cell>
          <cell r="O619" t="str">
            <v>-</v>
          </cell>
          <cell r="T619">
            <v>0.75</v>
          </cell>
          <cell r="U619" t="str">
            <v>-</v>
          </cell>
        </row>
        <row r="620">
          <cell r="B620" t="str">
            <v>L5X3-1/2X5/8</v>
          </cell>
          <cell r="C620">
            <v>4.93</v>
          </cell>
          <cell r="D620">
            <v>3.5</v>
          </cell>
          <cell r="F620" t="str">
            <v>-</v>
          </cell>
          <cell r="H620" t="str">
            <v>-</v>
          </cell>
          <cell r="I620" t="str">
            <v>-</v>
          </cell>
          <cell r="K620" t="str">
            <v>-</v>
          </cell>
          <cell r="L620">
            <v>5</v>
          </cell>
          <cell r="M620">
            <v>6.103277807866851</v>
          </cell>
          <cell r="O620" t="str">
            <v>-</v>
          </cell>
          <cell r="T620">
            <v>0.625</v>
          </cell>
          <cell r="U620" t="str">
            <v>-</v>
          </cell>
        </row>
        <row r="621">
          <cell r="B621" t="str">
            <v>L5X3-1/2X1/2</v>
          </cell>
          <cell r="C621">
            <v>4</v>
          </cell>
          <cell r="D621">
            <v>3.5</v>
          </cell>
          <cell r="F621" t="str">
            <v>-</v>
          </cell>
          <cell r="H621" t="str">
            <v>-</v>
          </cell>
          <cell r="I621" t="str">
            <v>-</v>
          </cell>
          <cell r="K621" t="str">
            <v>-</v>
          </cell>
          <cell r="L621">
            <v>5</v>
          </cell>
          <cell r="M621">
            <v>6.103277807866851</v>
          </cell>
          <cell r="O621" t="str">
            <v>-</v>
          </cell>
          <cell r="T621">
            <v>0.5</v>
          </cell>
          <cell r="U621" t="str">
            <v>-</v>
          </cell>
        </row>
        <row r="622">
          <cell r="B622" t="str">
            <v>L5X3-1/2X3/8</v>
          </cell>
          <cell r="C622">
            <v>3.05</v>
          </cell>
          <cell r="D622">
            <v>3.5</v>
          </cell>
          <cell r="F622" t="str">
            <v>-</v>
          </cell>
          <cell r="H622" t="str">
            <v>-</v>
          </cell>
          <cell r="I622" t="str">
            <v>-</v>
          </cell>
          <cell r="K622" t="str">
            <v>-</v>
          </cell>
          <cell r="L622">
            <v>5</v>
          </cell>
          <cell r="M622">
            <v>6.103277807866851</v>
          </cell>
          <cell r="O622" t="str">
            <v>-</v>
          </cell>
          <cell r="T622">
            <v>0.375</v>
          </cell>
          <cell r="U622" t="str">
            <v>-</v>
          </cell>
        </row>
        <row r="623">
          <cell r="B623" t="str">
            <v>L5X3-1/2X5/16</v>
          </cell>
          <cell r="C623">
            <v>2.56</v>
          </cell>
          <cell r="D623">
            <v>3.5</v>
          </cell>
          <cell r="F623" t="str">
            <v>-</v>
          </cell>
          <cell r="H623" t="str">
            <v>-</v>
          </cell>
          <cell r="I623" t="str">
            <v>-</v>
          </cell>
          <cell r="K623" t="str">
            <v>-</v>
          </cell>
          <cell r="L623">
            <v>5</v>
          </cell>
          <cell r="M623">
            <v>6.103277807866851</v>
          </cell>
          <cell r="O623" t="str">
            <v>-</v>
          </cell>
          <cell r="T623">
            <v>0.313</v>
          </cell>
          <cell r="U623" t="str">
            <v>-</v>
          </cell>
        </row>
        <row r="624">
          <cell r="B624" t="str">
            <v>L5X3-1/2X1/4</v>
          </cell>
          <cell r="C624">
            <v>2.0699999999999998</v>
          </cell>
          <cell r="D624">
            <v>3.5</v>
          </cell>
          <cell r="F624" t="str">
            <v>-</v>
          </cell>
          <cell r="H624" t="str">
            <v>-</v>
          </cell>
          <cell r="I624" t="str">
            <v>-</v>
          </cell>
          <cell r="K624" t="str">
            <v>-</v>
          </cell>
          <cell r="L624">
            <v>5</v>
          </cell>
          <cell r="M624">
            <v>6.103277807866851</v>
          </cell>
          <cell r="O624" t="str">
            <v>-</v>
          </cell>
          <cell r="T624">
            <v>0.25</v>
          </cell>
          <cell r="U624" t="str">
            <v>-</v>
          </cell>
        </row>
        <row r="625">
          <cell r="B625" t="str">
            <v>L5X3X1/2</v>
          </cell>
          <cell r="C625">
            <v>3.75</v>
          </cell>
          <cell r="D625">
            <v>3</v>
          </cell>
          <cell r="F625" t="str">
            <v>-</v>
          </cell>
          <cell r="H625" t="str">
            <v>-</v>
          </cell>
          <cell r="I625" t="str">
            <v>-</v>
          </cell>
          <cell r="K625" t="str">
            <v>-</v>
          </cell>
          <cell r="L625">
            <v>5</v>
          </cell>
          <cell r="M625">
            <v>5.8309518948453007</v>
          </cell>
          <cell r="O625" t="str">
            <v>-</v>
          </cell>
          <cell r="T625">
            <v>0.5</v>
          </cell>
          <cell r="U625" t="str">
            <v>-</v>
          </cell>
        </row>
        <row r="626">
          <cell r="B626" t="str">
            <v>L5X3X7/16</v>
          </cell>
          <cell r="C626">
            <v>3.31</v>
          </cell>
          <cell r="D626">
            <v>3</v>
          </cell>
          <cell r="F626" t="str">
            <v>-</v>
          </cell>
          <cell r="H626" t="str">
            <v>-</v>
          </cell>
          <cell r="I626" t="str">
            <v>-</v>
          </cell>
          <cell r="K626" t="str">
            <v>-</v>
          </cell>
          <cell r="L626">
            <v>5</v>
          </cell>
          <cell r="M626">
            <v>5.8309518948453007</v>
          </cell>
          <cell r="O626" t="str">
            <v>-</v>
          </cell>
          <cell r="T626">
            <v>0.438</v>
          </cell>
          <cell r="U626" t="str">
            <v>-</v>
          </cell>
        </row>
        <row r="627">
          <cell r="B627" t="str">
            <v>L5X3X3/8</v>
          </cell>
          <cell r="C627">
            <v>2.86</v>
          </cell>
          <cell r="D627">
            <v>3</v>
          </cell>
          <cell r="F627" t="str">
            <v>-</v>
          </cell>
          <cell r="H627" t="str">
            <v>-</v>
          </cell>
          <cell r="I627" t="str">
            <v>-</v>
          </cell>
          <cell r="K627" t="str">
            <v>-</v>
          </cell>
          <cell r="L627">
            <v>5</v>
          </cell>
          <cell r="M627">
            <v>5.8309518948453007</v>
          </cell>
          <cell r="O627" t="str">
            <v>-</v>
          </cell>
          <cell r="T627">
            <v>0.375</v>
          </cell>
          <cell r="U627" t="str">
            <v>-</v>
          </cell>
        </row>
        <row r="628">
          <cell r="B628" t="str">
            <v>L5X3X5/16</v>
          </cell>
          <cell r="C628">
            <v>2.41</v>
          </cell>
          <cell r="D628">
            <v>3</v>
          </cell>
          <cell r="F628" t="str">
            <v>-</v>
          </cell>
          <cell r="H628" t="str">
            <v>-</v>
          </cell>
          <cell r="I628" t="str">
            <v>-</v>
          </cell>
          <cell r="K628" t="str">
            <v>-</v>
          </cell>
          <cell r="L628">
            <v>5</v>
          </cell>
          <cell r="M628">
            <v>5.8309518948453007</v>
          </cell>
          <cell r="O628" t="str">
            <v>-</v>
          </cell>
          <cell r="T628">
            <v>0.313</v>
          </cell>
          <cell r="U628" t="str">
            <v>-</v>
          </cell>
        </row>
        <row r="629">
          <cell r="B629" t="str">
            <v>L5X3X1/4</v>
          </cell>
          <cell r="C629">
            <v>1.94</v>
          </cell>
          <cell r="D629">
            <v>3</v>
          </cell>
          <cell r="F629" t="str">
            <v>-</v>
          </cell>
          <cell r="H629" t="str">
            <v>-</v>
          </cell>
          <cell r="I629" t="str">
            <v>-</v>
          </cell>
          <cell r="K629" t="str">
            <v>-</v>
          </cell>
          <cell r="L629">
            <v>5</v>
          </cell>
          <cell r="M629">
            <v>5.8309518948453007</v>
          </cell>
          <cell r="O629" t="str">
            <v>-</v>
          </cell>
          <cell r="T629">
            <v>0.25</v>
          </cell>
          <cell r="U629" t="str">
            <v>-</v>
          </cell>
        </row>
        <row r="630">
          <cell r="B630" t="str">
            <v>L4X4X3/4</v>
          </cell>
          <cell r="C630">
            <v>5.44</v>
          </cell>
          <cell r="D630">
            <v>4</v>
          </cell>
          <cell r="F630" t="str">
            <v>-</v>
          </cell>
          <cell r="H630" t="str">
            <v>-</v>
          </cell>
          <cell r="I630" t="str">
            <v>-</v>
          </cell>
          <cell r="K630" t="str">
            <v>-</v>
          </cell>
          <cell r="L630">
            <v>4</v>
          </cell>
          <cell r="M630">
            <v>5.6568542494923806</v>
          </cell>
          <cell r="O630" t="str">
            <v>-</v>
          </cell>
          <cell r="T630">
            <v>0.75</v>
          </cell>
          <cell r="U630" t="str">
            <v>-</v>
          </cell>
        </row>
        <row r="631">
          <cell r="B631" t="str">
            <v>L4X4X5/8</v>
          </cell>
          <cell r="C631">
            <v>4.6100000000000003</v>
          </cell>
          <cell r="D631">
            <v>4</v>
          </cell>
          <cell r="F631" t="str">
            <v>-</v>
          </cell>
          <cell r="H631" t="str">
            <v>-</v>
          </cell>
          <cell r="I631" t="str">
            <v>-</v>
          </cell>
          <cell r="K631" t="str">
            <v>-</v>
          </cell>
          <cell r="L631">
            <v>4</v>
          </cell>
          <cell r="M631">
            <v>5.6568542494923806</v>
          </cell>
          <cell r="O631" t="str">
            <v>-</v>
          </cell>
          <cell r="T631">
            <v>0.625</v>
          </cell>
          <cell r="U631" t="str">
            <v>-</v>
          </cell>
        </row>
        <row r="632">
          <cell r="B632" t="str">
            <v>L4X4X1/2</v>
          </cell>
          <cell r="C632">
            <v>3.75</v>
          </cell>
          <cell r="D632">
            <v>4</v>
          </cell>
          <cell r="F632" t="str">
            <v>-</v>
          </cell>
          <cell r="H632" t="str">
            <v>-</v>
          </cell>
          <cell r="I632" t="str">
            <v>-</v>
          </cell>
          <cell r="K632" t="str">
            <v>-</v>
          </cell>
          <cell r="L632">
            <v>4</v>
          </cell>
          <cell r="M632">
            <v>5.6568542494923806</v>
          </cell>
          <cell r="O632" t="str">
            <v>-</v>
          </cell>
          <cell r="T632">
            <v>0.5</v>
          </cell>
          <cell r="U632" t="str">
            <v>-</v>
          </cell>
        </row>
        <row r="633">
          <cell r="B633" t="str">
            <v>L4X4X7/16</v>
          </cell>
          <cell r="C633">
            <v>3.3</v>
          </cell>
          <cell r="D633">
            <v>4</v>
          </cell>
          <cell r="F633" t="str">
            <v>-</v>
          </cell>
          <cell r="H633" t="str">
            <v>-</v>
          </cell>
          <cell r="I633" t="str">
            <v>-</v>
          </cell>
          <cell r="K633" t="str">
            <v>-</v>
          </cell>
          <cell r="L633">
            <v>4</v>
          </cell>
          <cell r="M633">
            <v>5.6568542494923806</v>
          </cell>
          <cell r="O633" t="str">
            <v>-</v>
          </cell>
          <cell r="T633">
            <v>0.438</v>
          </cell>
          <cell r="U633" t="str">
            <v>-</v>
          </cell>
        </row>
        <row r="634">
          <cell r="B634" t="str">
            <v>L4X4X3/8</v>
          </cell>
          <cell r="C634">
            <v>2.86</v>
          </cell>
          <cell r="D634">
            <v>4</v>
          </cell>
          <cell r="F634" t="str">
            <v>-</v>
          </cell>
          <cell r="H634" t="str">
            <v>-</v>
          </cell>
          <cell r="I634" t="str">
            <v>-</v>
          </cell>
          <cell r="K634" t="str">
            <v>-</v>
          </cell>
          <cell r="L634">
            <v>4</v>
          </cell>
          <cell r="M634">
            <v>5.6568542494923806</v>
          </cell>
          <cell r="O634" t="str">
            <v>-</v>
          </cell>
          <cell r="T634">
            <v>0.375</v>
          </cell>
          <cell r="U634" t="str">
            <v>-</v>
          </cell>
        </row>
        <row r="635">
          <cell r="B635" t="str">
            <v>L4X4X5/16</v>
          </cell>
          <cell r="C635">
            <v>2.4</v>
          </cell>
          <cell r="D635">
            <v>4</v>
          </cell>
          <cell r="F635" t="str">
            <v>-</v>
          </cell>
          <cell r="H635" t="str">
            <v>-</v>
          </cell>
          <cell r="I635" t="str">
            <v>-</v>
          </cell>
          <cell r="K635" t="str">
            <v>-</v>
          </cell>
          <cell r="L635">
            <v>4</v>
          </cell>
          <cell r="M635">
            <v>5.6568542494923806</v>
          </cell>
          <cell r="O635" t="str">
            <v>-</v>
          </cell>
          <cell r="T635">
            <v>0.313</v>
          </cell>
          <cell r="U635" t="str">
            <v>-</v>
          </cell>
        </row>
        <row r="636">
          <cell r="B636" t="str">
            <v>L4X4X1/4</v>
          </cell>
          <cell r="C636">
            <v>1.93</v>
          </cell>
          <cell r="D636">
            <v>4</v>
          </cell>
          <cell r="F636" t="str">
            <v>-</v>
          </cell>
          <cell r="H636" t="str">
            <v>-</v>
          </cell>
          <cell r="I636" t="str">
            <v>-</v>
          </cell>
          <cell r="K636" t="str">
            <v>-</v>
          </cell>
          <cell r="L636">
            <v>4</v>
          </cell>
          <cell r="M636">
            <v>5.6568542494923806</v>
          </cell>
          <cell r="O636" t="str">
            <v>-</v>
          </cell>
          <cell r="T636">
            <v>0.25</v>
          </cell>
          <cell r="U636" t="str">
            <v>-</v>
          </cell>
        </row>
        <row r="637">
          <cell r="B637" t="str">
            <v>L4X3-1/2X1/2</v>
          </cell>
          <cell r="C637">
            <v>3.5</v>
          </cell>
          <cell r="D637">
            <v>3.5</v>
          </cell>
          <cell r="F637" t="str">
            <v>-</v>
          </cell>
          <cell r="H637" t="str">
            <v>-</v>
          </cell>
          <cell r="I637" t="str">
            <v>-</v>
          </cell>
          <cell r="K637" t="str">
            <v>-</v>
          </cell>
          <cell r="L637">
            <v>4</v>
          </cell>
          <cell r="M637">
            <v>5.315072906367325</v>
          </cell>
          <cell r="O637" t="str">
            <v>-</v>
          </cell>
          <cell r="T637">
            <v>0.5</v>
          </cell>
          <cell r="U637" t="str">
            <v>-</v>
          </cell>
        </row>
        <row r="638">
          <cell r="B638" t="str">
            <v>L4X3-1/2X3/8</v>
          </cell>
          <cell r="C638">
            <v>2.68</v>
          </cell>
          <cell r="D638">
            <v>3.5</v>
          </cell>
          <cell r="F638" t="str">
            <v>-</v>
          </cell>
          <cell r="H638" t="str">
            <v>-</v>
          </cell>
          <cell r="I638" t="str">
            <v>-</v>
          </cell>
          <cell r="K638" t="str">
            <v>-</v>
          </cell>
          <cell r="L638">
            <v>4</v>
          </cell>
          <cell r="M638">
            <v>5.315072906367325</v>
          </cell>
          <cell r="O638" t="str">
            <v>-</v>
          </cell>
          <cell r="T638">
            <v>0.375</v>
          </cell>
          <cell r="U638" t="str">
            <v>-</v>
          </cell>
        </row>
        <row r="639">
          <cell r="B639" t="str">
            <v>L4X3-1/2X5/16</v>
          </cell>
          <cell r="C639">
            <v>2.25</v>
          </cell>
          <cell r="D639">
            <v>3.5</v>
          </cell>
          <cell r="F639" t="str">
            <v>-</v>
          </cell>
          <cell r="H639" t="str">
            <v>-</v>
          </cell>
          <cell r="I639" t="str">
            <v>-</v>
          </cell>
          <cell r="K639" t="str">
            <v>-</v>
          </cell>
          <cell r="L639">
            <v>4</v>
          </cell>
          <cell r="M639">
            <v>5.315072906367325</v>
          </cell>
          <cell r="O639" t="str">
            <v>-</v>
          </cell>
          <cell r="T639">
            <v>0.313</v>
          </cell>
          <cell r="U639" t="str">
            <v>-</v>
          </cell>
        </row>
        <row r="640">
          <cell r="B640" t="str">
            <v>L4X3-1/2X1/4</v>
          </cell>
          <cell r="C640">
            <v>1.82</v>
          </cell>
          <cell r="D640">
            <v>3.5</v>
          </cell>
          <cell r="F640" t="str">
            <v>-</v>
          </cell>
          <cell r="H640" t="str">
            <v>-</v>
          </cell>
          <cell r="I640" t="str">
            <v>-</v>
          </cell>
          <cell r="K640" t="str">
            <v>-</v>
          </cell>
          <cell r="L640">
            <v>4</v>
          </cell>
          <cell r="M640">
            <v>5.315072906367325</v>
          </cell>
          <cell r="O640" t="str">
            <v>-</v>
          </cell>
          <cell r="T640">
            <v>0.25</v>
          </cell>
          <cell r="U640" t="str">
            <v>-</v>
          </cell>
        </row>
        <row r="641">
          <cell r="B641" t="str">
            <v>L4X3X5/8</v>
          </cell>
          <cell r="C641">
            <v>3.99</v>
          </cell>
          <cell r="D641">
            <v>3</v>
          </cell>
          <cell r="F641" t="str">
            <v>-</v>
          </cell>
          <cell r="H641" t="str">
            <v>-</v>
          </cell>
          <cell r="I641" t="str">
            <v>-</v>
          </cell>
          <cell r="K641" t="str">
            <v>-</v>
          </cell>
          <cell r="L641">
            <v>4</v>
          </cell>
          <cell r="M641">
            <v>5</v>
          </cell>
          <cell r="O641" t="str">
            <v>-</v>
          </cell>
          <cell r="T641">
            <v>0.625</v>
          </cell>
          <cell r="U641" t="str">
            <v>-</v>
          </cell>
        </row>
        <row r="642">
          <cell r="B642" t="str">
            <v>L4X3X1/2</v>
          </cell>
          <cell r="C642">
            <v>3.25</v>
          </cell>
          <cell r="D642">
            <v>3</v>
          </cell>
          <cell r="F642" t="str">
            <v>-</v>
          </cell>
          <cell r="H642" t="str">
            <v>-</v>
          </cell>
          <cell r="I642" t="str">
            <v>-</v>
          </cell>
          <cell r="K642" t="str">
            <v>-</v>
          </cell>
          <cell r="L642">
            <v>4</v>
          </cell>
          <cell r="M642">
            <v>5</v>
          </cell>
          <cell r="O642" t="str">
            <v>-</v>
          </cell>
          <cell r="T642">
            <v>0.5</v>
          </cell>
          <cell r="U642" t="str">
            <v>-</v>
          </cell>
        </row>
        <row r="643">
          <cell r="B643" t="str">
            <v>L4X3X3/8</v>
          </cell>
          <cell r="C643">
            <v>2.4900000000000002</v>
          </cell>
          <cell r="D643">
            <v>3</v>
          </cell>
          <cell r="F643" t="str">
            <v>-</v>
          </cell>
          <cell r="H643" t="str">
            <v>-</v>
          </cell>
          <cell r="I643" t="str">
            <v>-</v>
          </cell>
          <cell r="K643" t="str">
            <v>-</v>
          </cell>
          <cell r="L643">
            <v>4</v>
          </cell>
          <cell r="M643">
            <v>5</v>
          </cell>
          <cell r="O643" t="str">
            <v>-</v>
          </cell>
          <cell r="T643">
            <v>0.375</v>
          </cell>
          <cell r="U643" t="str">
            <v>-</v>
          </cell>
        </row>
        <row r="644">
          <cell r="B644" t="str">
            <v>L4X3X5/16</v>
          </cell>
          <cell r="C644">
            <v>2.09</v>
          </cell>
          <cell r="D644">
            <v>3</v>
          </cell>
          <cell r="F644" t="str">
            <v>-</v>
          </cell>
          <cell r="H644" t="str">
            <v>-</v>
          </cell>
          <cell r="I644" t="str">
            <v>-</v>
          </cell>
          <cell r="K644" t="str">
            <v>-</v>
          </cell>
          <cell r="L644">
            <v>4</v>
          </cell>
          <cell r="M644">
            <v>5</v>
          </cell>
          <cell r="O644" t="str">
            <v>-</v>
          </cell>
          <cell r="T644">
            <v>0.313</v>
          </cell>
          <cell r="U644" t="str">
            <v>-</v>
          </cell>
        </row>
        <row r="645">
          <cell r="B645" t="str">
            <v>L4X3X1/4</v>
          </cell>
          <cell r="C645">
            <v>1.69</v>
          </cell>
          <cell r="D645">
            <v>3</v>
          </cell>
          <cell r="F645" t="str">
            <v>-</v>
          </cell>
          <cell r="H645" t="str">
            <v>-</v>
          </cell>
          <cell r="I645" t="str">
            <v>-</v>
          </cell>
          <cell r="K645" t="str">
            <v>-</v>
          </cell>
          <cell r="L645">
            <v>4</v>
          </cell>
          <cell r="M645">
            <v>5</v>
          </cell>
          <cell r="O645" t="str">
            <v>-</v>
          </cell>
          <cell r="T645">
            <v>0.25</v>
          </cell>
          <cell r="U645" t="str">
            <v>-</v>
          </cell>
        </row>
        <row r="646">
          <cell r="B646" t="str">
            <v>L3-1/2X3-1/2X1/2</v>
          </cell>
          <cell r="C646">
            <v>3.25</v>
          </cell>
          <cell r="D646">
            <v>3.5</v>
          </cell>
          <cell r="F646" t="str">
            <v>-</v>
          </cell>
          <cell r="H646" t="str">
            <v>-</v>
          </cell>
          <cell r="I646" t="str">
            <v>-</v>
          </cell>
          <cell r="K646" t="str">
            <v>-</v>
          </cell>
          <cell r="L646">
            <v>3.5</v>
          </cell>
          <cell r="M646">
            <v>4.9497474683058327</v>
          </cell>
          <cell r="O646" t="str">
            <v>-</v>
          </cell>
          <cell r="T646">
            <v>0.5</v>
          </cell>
          <cell r="U646" t="str">
            <v>-</v>
          </cell>
        </row>
        <row r="647">
          <cell r="B647" t="str">
            <v>L3-1/2X3-1/2X7/16</v>
          </cell>
          <cell r="C647">
            <v>2.89</v>
          </cell>
          <cell r="D647">
            <v>3.5</v>
          </cell>
          <cell r="F647" t="str">
            <v>-</v>
          </cell>
          <cell r="H647" t="str">
            <v>-</v>
          </cell>
          <cell r="I647" t="str">
            <v>-</v>
          </cell>
          <cell r="K647" t="str">
            <v>-</v>
          </cell>
          <cell r="L647">
            <v>3.5</v>
          </cell>
          <cell r="M647">
            <v>4.9497474683058327</v>
          </cell>
          <cell r="O647" t="str">
            <v>-</v>
          </cell>
          <cell r="T647">
            <v>0.438</v>
          </cell>
          <cell r="U647" t="str">
            <v>-</v>
          </cell>
        </row>
        <row r="648">
          <cell r="B648" t="str">
            <v>L3-1/2X3-1/2X3/8</v>
          </cell>
          <cell r="C648">
            <v>2.5</v>
          </cell>
          <cell r="D648">
            <v>3.5</v>
          </cell>
          <cell r="F648" t="str">
            <v>-</v>
          </cell>
          <cell r="H648" t="str">
            <v>-</v>
          </cell>
          <cell r="I648" t="str">
            <v>-</v>
          </cell>
          <cell r="K648" t="str">
            <v>-</v>
          </cell>
          <cell r="L648">
            <v>3.5</v>
          </cell>
          <cell r="M648">
            <v>4.9497474683058327</v>
          </cell>
          <cell r="O648" t="str">
            <v>-</v>
          </cell>
          <cell r="T648">
            <v>0.375</v>
          </cell>
          <cell r="U648" t="str">
            <v>-</v>
          </cell>
        </row>
        <row r="649">
          <cell r="B649" t="str">
            <v>L3-1/2X3-1/2X5/16</v>
          </cell>
          <cell r="C649">
            <v>2.1</v>
          </cell>
          <cell r="D649">
            <v>3.5</v>
          </cell>
          <cell r="F649" t="str">
            <v>-</v>
          </cell>
          <cell r="H649" t="str">
            <v>-</v>
          </cell>
          <cell r="I649" t="str">
            <v>-</v>
          </cell>
          <cell r="K649" t="str">
            <v>-</v>
          </cell>
          <cell r="L649">
            <v>3.5</v>
          </cell>
          <cell r="M649">
            <v>4.9497474683058327</v>
          </cell>
          <cell r="O649" t="str">
            <v>-</v>
          </cell>
          <cell r="T649">
            <v>0.313</v>
          </cell>
          <cell r="U649" t="str">
            <v>-</v>
          </cell>
        </row>
        <row r="650">
          <cell r="B650" t="str">
            <v>L3-1/2X3-1/2X1/4</v>
          </cell>
          <cell r="C650">
            <v>1.7</v>
          </cell>
          <cell r="D650">
            <v>3.5</v>
          </cell>
          <cell r="F650" t="str">
            <v>-</v>
          </cell>
          <cell r="H650" t="str">
            <v>-</v>
          </cell>
          <cell r="I650" t="str">
            <v>-</v>
          </cell>
          <cell r="K650" t="str">
            <v>-</v>
          </cell>
          <cell r="L650">
            <v>3.5</v>
          </cell>
          <cell r="M650">
            <v>4.9497474683058327</v>
          </cell>
          <cell r="O650" t="str">
            <v>-</v>
          </cell>
          <cell r="T650">
            <v>0.25</v>
          </cell>
          <cell r="U650" t="str">
            <v>-</v>
          </cell>
        </row>
        <row r="651">
          <cell r="B651" t="str">
            <v>L3-1/2X3X1/2</v>
          </cell>
          <cell r="C651">
            <v>3.02</v>
          </cell>
          <cell r="D651">
            <v>3</v>
          </cell>
          <cell r="F651" t="str">
            <v>-</v>
          </cell>
          <cell r="H651" t="str">
            <v>-</v>
          </cell>
          <cell r="I651" t="str">
            <v>-</v>
          </cell>
          <cell r="K651" t="str">
            <v>-</v>
          </cell>
          <cell r="L651">
            <v>3.5</v>
          </cell>
          <cell r="M651">
            <v>4.6097722286464435</v>
          </cell>
          <cell r="O651" t="str">
            <v>-</v>
          </cell>
          <cell r="T651">
            <v>0.5</v>
          </cell>
          <cell r="U651" t="str">
            <v>-</v>
          </cell>
        </row>
        <row r="652">
          <cell r="B652" t="str">
            <v>L3-1/2X3X7/16</v>
          </cell>
          <cell r="C652">
            <v>2.67</v>
          </cell>
          <cell r="D652">
            <v>3</v>
          </cell>
          <cell r="F652" t="str">
            <v>-</v>
          </cell>
          <cell r="H652" t="str">
            <v>-</v>
          </cell>
          <cell r="I652" t="str">
            <v>-</v>
          </cell>
          <cell r="K652" t="str">
            <v>-</v>
          </cell>
          <cell r="L652">
            <v>3.5</v>
          </cell>
          <cell r="M652">
            <v>4.6097722286464435</v>
          </cell>
          <cell r="O652" t="str">
            <v>-</v>
          </cell>
          <cell r="T652">
            <v>0.438</v>
          </cell>
          <cell r="U652" t="str">
            <v>-</v>
          </cell>
        </row>
        <row r="653">
          <cell r="B653" t="str">
            <v>L3-1/2X3X3/8</v>
          </cell>
          <cell r="C653">
            <v>2.3199999999999998</v>
          </cell>
          <cell r="D653">
            <v>3</v>
          </cell>
          <cell r="F653" t="str">
            <v>-</v>
          </cell>
          <cell r="H653" t="str">
            <v>-</v>
          </cell>
          <cell r="I653" t="str">
            <v>-</v>
          </cell>
          <cell r="K653" t="str">
            <v>-</v>
          </cell>
          <cell r="L653">
            <v>3.5</v>
          </cell>
          <cell r="M653">
            <v>4.6097722286464435</v>
          </cell>
          <cell r="O653" t="str">
            <v>-</v>
          </cell>
          <cell r="T653">
            <v>0.375</v>
          </cell>
          <cell r="U653" t="str">
            <v>-</v>
          </cell>
        </row>
        <row r="654">
          <cell r="B654" t="str">
            <v>L3-1/2X3X5/16</v>
          </cell>
          <cell r="C654">
            <v>1.95</v>
          </cell>
          <cell r="D654">
            <v>3</v>
          </cell>
          <cell r="F654" t="str">
            <v>-</v>
          </cell>
          <cell r="H654" t="str">
            <v>-</v>
          </cell>
          <cell r="I654" t="str">
            <v>-</v>
          </cell>
          <cell r="K654" t="str">
            <v>-</v>
          </cell>
          <cell r="L654">
            <v>3.5</v>
          </cell>
          <cell r="M654">
            <v>4.6097722286464435</v>
          </cell>
          <cell r="O654" t="str">
            <v>-</v>
          </cell>
          <cell r="T654">
            <v>0.313</v>
          </cell>
          <cell r="U654" t="str">
            <v>-</v>
          </cell>
        </row>
        <row r="655">
          <cell r="B655" t="str">
            <v>L3-1/2X3X1/4</v>
          </cell>
          <cell r="C655">
            <v>1.58</v>
          </cell>
          <cell r="D655">
            <v>3</v>
          </cell>
          <cell r="F655" t="str">
            <v>-</v>
          </cell>
          <cell r="H655" t="str">
            <v>-</v>
          </cell>
          <cell r="I655" t="str">
            <v>-</v>
          </cell>
          <cell r="K655" t="str">
            <v>-</v>
          </cell>
          <cell r="L655">
            <v>3.5</v>
          </cell>
          <cell r="M655">
            <v>4.6097722286464435</v>
          </cell>
          <cell r="O655" t="str">
            <v>-</v>
          </cell>
          <cell r="T655">
            <v>0.25</v>
          </cell>
          <cell r="U655" t="str">
            <v>-</v>
          </cell>
        </row>
        <row r="656">
          <cell r="B656" t="str">
            <v>L3-1/2X2-1/2X1/2</v>
          </cell>
          <cell r="C656">
            <v>2.77</v>
          </cell>
          <cell r="D656">
            <v>2.5</v>
          </cell>
          <cell r="F656" t="str">
            <v>-</v>
          </cell>
          <cell r="H656" t="str">
            <v>-</v>
          </cell>
          <cell r="I656" t="str">
            <v>-</v>
          </cell>
          <cell r="K656" t="str">
            <v>-</v>
          </cell>
          <cell r="L656">
            <v>3.5</v>
          </cell>
          <cell r="M656">
            <v>4.3011626335213133</v>
          </cell>
          <cell r="O656" t="str">
            <v>-</v>
          </cell>
          <cell r="T656">
            <v>0.5</v>
          </cell>
          <cell r="U656" t="str">
            <v>-</v>
          </cell>
        </row>
        <row r="657">
          <cell r="B657" t="str">
            <v>L3-1/2X2-1/2X3/8</v>
          </cell>
          <cell r="C657">
            <v>2.12</v>
          </cell>
          <cell r="D657">
            <v>2.5</v>
          </cell>
          <cell r="F657" t="str">
            <v>-</v>
          </cell>
          <cell r="H657" t="str">
            <v>-</v>
          </cell>
          <cell r="I657" t="str">
            <v>-</v>
          </cell>
          <cell r="K657" t="str">
            <v>-</v>
          </cell>
          <cell r="L657">
            <v>3.5</v>
          </cell>
          <cell r="M657">
            <v>4.3011626335213133</v>
          </cell>
          <cell r="O657" t="str">
            <v>-</v>
          </cell>
          <cell r="T657">
            <v>0.375</v>
          </cell>
          <cell r="U657" t="str">
            <v>-</v>
          </cell>
        </row>
        <row r="658">
          <cell r="B658" t="str">
            <v>L3-1/2X2-1/2X5/16</v>
          </cell>
          <cell r="C658">
            <v>1.79</v>
          </cell>
          <cell r="D658">
            <v>2.5</v>
          </cell>
          <cell r="F658" t="str">
            <v>-</v>
          </cell>
          <cell r="H658" t="str">
            <v>-</v>
          </cell>
          <cell r="I658" t="str">
            <v>-</v>
          </cell>
          <cell r="K658" t="str">
            <v>-</v>
          </cell>
          <cell r="L658">
            <v>3.5</v>
          </cell>
          <cell r="M658">
            <v>4.3011626335213133</v>
          </cell>
          <cell r="O658" t="str">
            <v>-</v>
          </cell>
          <cell r="T658">
            <v>0.313</v>
          </cell>
          <cell r="U658" t="str">
            <v>-</v>
          </cell>
        </row>
        <row r="659">
          <cell r="B659" t="str">
            <v>L3-1/2X2-1/2X1/4</v>
          </cell>
          <cell r="C659">
            <v>1.45</v>
          </cell>
          <cell r="D659">
            <v>2.5</v>
          </cell>
          <cell r="F659" t="str">
            <v>-</v>
          </cell>
          <cell r="H659" t="str">
            <v>-</v>
          </cell>
          <cell r="I659" t="str">
            <v>-</v>
          </cell>
          <cell r="K659" t="str">
            <v>-</v>
          </cell>
          <cell r="L659">
            <v>3.5</v>
          </cell>
          <cell r="M659">
            <v>4.3011626335213133</v>
          </cell>
          <cell r="O659" t="str">
            <v>-</v>
          </cell>
          <cell r="T659">
            <v>0.25</v>
          </cell>
          <cell r="U659" t="str">
            <v>-</v>
          </cell>
        </row>
        <row r="660">
          <cell r="B660" t="str">
            <v>L3X3X1/2</v>
          </cell>
          <cell r="C660">
            <v>2.76</v>
          </cell>
          <cell r="D660">
            <v>3</v>
          </cell>
          <cell r="F660" t="str">
            <v>-</v>
          </cell>
          <cell r="H660" t="str">
            <v>-</v>
          </cell>
          <cell r="I660" t="str">
            <v>-</v>
          </cell>
          <cell r="K660" t="str">
            <v>-</v>
          </cell>
          <cell r="L660">
            <v>3</v>
          </cell>
          <cell r="M660">
            <v>4.2426406871192848</v>
          </cell>
          <cell r="O660" t="str">
            <v>-</v>
          </cell>
          <cell r="T660">
            <v>0.5</v>
          </cell>
          <cell r="U660" t="str">
            <v>-</v>
          </cell>
        </row>
        <row r="661">
          <cell r="B661" t="str">
            <v>L3X3X7/16</v>
          </cell>
          <cell r="C661">
            <v>2.4300000000000002</v>
          </cell>
          <cell r="D661">
            <v>3</v>
          </cell>
          <cell r="F661" t="str">
            <v>-</v>
          </cell>
          <cell r="H661" t="str">
            <v>-</v>
          </cell>
          <cell r="I661" t="str">
            <v>-</v>
          </cell>
          <cell r="K661" t="str">
            <v>-</v>
          </cell>
          <cell r="L661">
            <v>3</v>
          </cell>
          <cell r="M661">
            <v>4.2426406871192848</v>
          </cell>
          <cell r="O661" t="str">
            <v>-</v>
          </cell>
          <cell r="T661">
            <v>0.438</v>
          </cell>
          <cell r="U661" t="str">
            <v>-</v>
          </cell>
        </row>
        <row r="662">
          <cell r="B662" t="str">
            <v>L3X3X3/8</v>
          </cell>
          <cell r="C662">
            <v>2.11</v>
          </cell>
          <cell r="D662">
            <v>3</v>
          </cell>
          <cell r="F662" t="str">
            <v>-</v>
          </cell>
          <cell r="H662" t="str">
            <v>-</v>
          </cell>
          <cell r="I662" t="str">
            <v>-</v>
          </cell>
          <cell r="K662" t="str">
            <v>-</v>
          </cell>
          <cell r="L662">
            <v>3</v>
          </cell>
          <cell r="M662">
            <v>4.2426406871192848</v>
          </cell>
          <cell r="O662" t="str">
            <v>-</v>
          </cell>
          <cell r="T662">
            <v>0.375</v>
          </cell>
          <cell r="U662" t="str">
            <v>-</v>
          </cell>
        </row>
        <row r="663">
          <cell r="B663" t="str">
            <v>L3X3X5/16</v>
          </cell>
          <cell r="C663">
            <v>1.78</v>
          </cell>
          <cell r="D663">
            <v>3</v>
          </cell>
          <cell r="F663" t="str">
            <v>-</v>
          </cell>
          <cell r="H663" t="str">
            <v>-</v>
          </cell>
          <cell r="I663" t="str">
            <v>-</v>
          </cell>
          <cell r="K663" t="str">
            <v>-</v>
          </cell>
          <cell r="L663">
            <v>3</v>
          </cell>
          <cell r="M663">
            <v>4.2426406871192848</v>
          </cell>
          <cell r="O663" t="str">
            <v>-</v>
          </cell>
          <cell r="T663">
            <v>0.313</v>
          </cell>
          <cell r="U663" t="str">
            <v>-</v>
          </cell>
        </row>
        <row r="664">
          <cell r="B664" t="str">
            <v>L3X3X1/4</v>
          </cell>
          <cell r="C664">
            <v>1.44</v>
          </cell>
          <cell r="D664">
            <v>3</v>
          </cell>
          <cell r="F664" t="str">
            <v>-</v>
          </cell>
          <cell r="H664" t="str">
            <v>-</v>
          </cell>
          <cell r="I664" t="str">
            <v>-</v>
          </cell>
          <cell r="K664" t="str">
            <v>-</v>
          </cell>
          <cell r="L664">
            <v>3</v>
          </cell>
          <cell r="M664">
            <v>4.2426406871192848</v>
          </cell>
          <cell r="O664" t="str">
            <v>-</v>
          </cell>
          <cell r="T664">
            <v>0.25</v>
          </cell>
          <cell r="U664" t="str">
            <v>-</v>
          </cell>
        </row>
        <row r="665">
          <cell r="B665" t="str">
            <v>L3X3X3/16</v>
          </cell>
          <cell r="C665">
            <v>1.0900000000000001</v>
          </cell>
          <cell r="D665">
            <v>3</v>
          </cell>
          <cell r="F665" t="str">
            <v>-</v>
          </cell>
          <cell r="H665" t="str">
            <v>-</v>
          </cell>
          <cell r="I665" t="str">
            <v>-</v>
          </cell>
          <cell r="K665" t="str">
            <v>-</v>
          </cell>
          <cell r="L665">
            <v>3</v>
          </cell>
          <cell r="M665">
            <v>4.2426406871192848</v>
          </cell>
          <cell r="O665" t="str">
            <v>-</v>
          </cell>
          <cell r="T665">
            <v>0.188</v>
          </cell>
          <cell r="U665" t="str">
            <v>-</v>
          </cell>
        </row>
        <row r="666">
          <cell r="B666" t="str">
            <v>L3X2-1/2X1/2</v>
          </cell>
          <cell r="C666">
            <v>2.5</v>
          </cell>
          <cell r="D666">
            <v>2.5</v>
          </cell>
          <cell r="F666" t="str">
            <v>-</v>
          </cell>
          <cell r="H666" t="str">
            <v>-</v>
          </cell>
          <cell r="I666" t="str">
            <v>-</v>
          </cell>
          <cell r="K666" t="str">
            <v>-</v>
          </cell>
          <cell r="L666">
            <v>3</v>
          </cell>
          <cell r="M666">
            <v>3.905124837953327</v>
          </cell>
          <cell r="O666" t="str">
            <v>-</v>
          </cell>
          <cell r="T666">
            <v>0.5</v>
          </cell>
          <cell r="U666" t="str">
            <v>-</v>
          </cell>
        </row>
        <row r="667">
          <cell r="B667" t="str">
            <v>L3X2-1/2X7/16</v>
          </cell>
          <cell r="C667">
            <v>2.2200000000000002</v>
          </cell>
          <cell r="D667">
            <v>2.5</v>
          </cell>
          <cell r="F667" t="str">
            <v>-</v>
          </cell>
          <cell r="H667" t="str">
            <v>-</v>
          </cell>
          <cell r="I667" t="str">
            <v>-</v>
          </cell>
          <cell r="K667" t="str">
            <v>-</v>
          </cell>
          <cell r="L667">
            <v>3</v>
          </cell>
          <cell r="M667">
            <v>3.905124837953327</v>
          </cell>
          <cell r="O667" t="str">
            <v>-</v>
          </cell>
          <cell r="T667">
            <v>0.438</v>
          </cell>
          <cell r="U667" t="str">
            <v>-</v>
          </cell>
        </row>
        <row r="668">
          <cell r="B668" t="str">
            <v>L3X2-1/2X3/8</v>
          </cell>
          <cell r="C668">
            <v>1.93</v>
          </cell>
          <cell r="D668">
            <v>2.5</v>
          </cell>
          <cell r="F668" t="str">
            <v>-</v>
          </cell>
          <cell r="H668" t="str">
            <v>-</v>
          </cell>
          <cell r="I668" t="str">
            <v>-</v>
          </cell>
          <cell r="K668" t="str">
            <v>-</v>
          </cell>
          <cell r="L668">
            <v>3</v>
          </cell>
          <cell r="M668">
            <v>3.905124837953327</v>
          </cell>
          <cell r="O668" t="str">
            <v>-</v>
          </cell>
          <cell r="T668">
            <v>0.375</v>
          </cell>
          <cell r="U668" t="str">
            <v>-</v>
          </cell>
        </row>
        <row r="669">
          <cell r="B669" t="str">
            <v>L3X2-1/2X5/16</v>
          </cell>
          <cell r="C669">
            <v>1.63</v>
          </cell>
          <cell r="D669">
            <v>2.5</v>
          </cell>
          <cell r="F669" t="str">
            <v>-</v>
          </cell>
          <cell r="H669" t="str">
            <v>-</v>
          </cell>
          <cell r="I669" t="str">
            <v>-</v>
          </cell>
          <cell r="K669" t="str">
            <v>-</v>
          </cell>
          <cell r="L669">
            <v>3</v>
          </cell>
          <cell r="M669">
            <v>3.905124837953327</v>
          </cell>
          <cell r="O669" t="str">
            <v>-</v>
          </cell>
          <cell r="T669">
            <v>0.313</v>
          </cell>
          <cell r="U669" t="str">
            <v>-</v>
          </cell>
        </row>
        <row r="670">
          <cell r="B670" t="str">
            <v>L3X2-1/2X1/4</v>
          </cell>
          <cell r="C670">
            <v>1.32</v>
          </cell>
          <cell r="D670">
            <v>2.5</v>
          </cell>
          <cell r="F670" t="str">
            <v>-</v>
          </cell>
          <cell r="H670" t="str">
            <v>-</v>
          </cell>
          <cell r="I670" t="str">
            <v>-</v>
          </cell>
          <cell r="K670" t="str">
            <v>-</v>
          </cell>
          <cell r="L670">
            <v>3</v>
          </cell>
          <cell r="M670">
            <v>3.905124837953327</v>
          </cell>
          <cell r="O670" t="str">
            <v>-</v>
          </cell>
          <cell r="T670">
            <v>0.25</v>
          </cell>
          <cell r="U670" t="str">
            <v>-</v>
          </cell>
        </row>
        <row r="671">
          <cell r="B671" t="str">
            <v>L3X2-1/2X3/16</v>
          </cell>
          <cell r="C671">
            <v>1</v>
          </cell>
          <cell r="D671">
            <v>2.5</v>
          </cell>
          <cell r="F671" t="str">
            <v>-</v>
          </cell>
          <cell r="H671" t="str">
            <v>-</v>
          </cell>
          <cell r="I671" t="str">
            <v>-</v>
          </cell>
          <cell r="K671" t="str">
            <v>-</v>
          </cell>
          <cell r="L671">
            <v>3</v>
          </cell>
          <cell r="M671">
            <v>3.905124837953327</v>
          </cell>
          <cell r="O671" t="str">
            <v>-</v>
          </cell>
          <cell r="T671">
            <v>0.188</v>
          </cell>
          <cell r="U671" t="str">
            <v>-</v>
          </cell>
        </row>
        <row r="672">
          <cell r="B672" t="str">
            <v>L3X2X1/2</v>
          </cell>
          <cell r="C672">
            <v>2.2599999999999998</v>
          </cell>
          <cell r="D672">
            <v>2</v>
          </cell>
          <cell r="F672" t="str">
            <v>-</v>
          </cell>
          <cell r="H672" t="str">
            <v>-</v>
          </cell>
          <cell r="I672" t="str">
            <v>-</v>
          </cell>
          <cell r="K672" t="str">
            <v>-</v>
          </cell>
          <cell r="L672">
            <v>3</v>
          </cell>
          <cell r="M672">
            <v>3.6055512754639891</v>
          </cell>
          <cell r="O672" t="str">
            <v>-</v>
          </cell>
          <cell r="T672">
            <v>0.5</v>
          </cell>
          <cell r="U672" t="str">
            <v>-</v>
          </cell>
        </row>
        <row r="673">
          <cell r="B673" t="str">
            <v>L3X2X3/8</v>
          </cell>
          <cell r="C673">
            <v>1.75</v>
          </cell>
          <cell r="D673">
            <v>2</v>
          </cell>
          <cell r="F673" t="str">
            <v>-</v>
          </cell>
          <cell r="H673" t="str">
            <v>-</v>
          </cell>
          <cell r="I673" t="str">
            <v>-</v>
          </cell>
          <cell r="K673" t="str">
            <v>-</v>
          </cell>
          <cell r="L673">
            <v>3</v>
          </cell>
          <cell r="M673">
            <v>3.6055512754639891</v>
          </cell>
          <cell r="O673" t="str">
            <v>-</v>
          </cell>
          <cell r="T673">
            <v>0.375</v>
          </cell>
          <cell r="U673" t="str">
            <v>-</v>
          </cell>
        </row>
        <row r="674">
          <cell r="B674" t="str">
            <v>L3X2X5/16</v>
          </cell>
          <cell r="C674">
            <v>1.48</v>
          </cell>
          <cell r="D674">
            <v>2</v>
          </cell>
          <cell r="F674" t="str">
            <v>-</v>
          </cell>
          <cell r="H674" t="str">
            <v>-</v>
          </cell>
          <cell r="I674" t="str">
            <v>-</v>
          </cell>
          <cell r="K674" t="str">
            <v>-</v>
          </cell>
          <cell r="L674">
            <v>3</v>
          </cell>
          <cell r="M674">
            <v>3.6055512754639891</v>
          </cell>
          <cell r="O674" t="str">
            <v>-</v>
          </cell>
          <cell r="T674">
            <v>0.313</v>
          </cell>
          <cell r="U674" t="str">
            <v>-</v>
          </cell>
        </row>
        <row r="675">
          <cell r="B675" t="str">
            <v>L3X2X1/4</v>
          </cell>
          <cell r="C675">
            <v>1.2</v>
          </cell>
          <cell r="D675">
            <v>2</v>
          </cell>
          <cell r="F675" t="str">
            <v>-</v>
          </cell>
          <cell r="H675" t="str">
            <v>-</v>
          </cell>
          <cell r="I675" t="str">
            <v>-</v>
          </cell>
          <cell r="K675" t="str">
            <v>-</v>
          </cell>
          <cell r="L675">
            <v>3</v>
          </cell>
          <cell r="M675">
            <v>3.6055512754639891</v>
          </cell>
          <cell r="O675" t="str">
            <v>-</v>
          </cell>
          <cell r="T675">
            <v>0.25</v>
          </cell>
          <cell r="U675" t="str">
            <v>-</v>
          </cell>
        </row>
        <row r="676">
          <cell r="B676" t="str">
            <v>L3X2X3/16</v>
          </cell>
          <cell r="C676">
            <v>0.91700000000000004</v>
          </cell>
          <cell r="D676">
            <v>2</v>
          </cell>
          <cell r="F676" t="str">
            <v>-</v>
          </cell>
          <cell r="H676" t="str">
            <v>-</v>
          </cell>
          <cell r="I676" t="str">
            <v>-</v>
          </cell>
          <cell r="K676" t="str">
            <v>-</v>
          </cell>
          <cell r="L676">
            <v>3</v>
          </cell>
          <cell r="M676">
            <v>3.6055512754639891</v>
          </cell>
          <cell r="O676" t="str">
            <v>-</v>
          </cell>
          <cell r="T676">
            <v>0.188</v>
          </cell>
          <cell r="U676" t="str">
            <v>-</v>
          </cell>
        </row>
        <row r="677">
          <cell r="B677" t="str">
            <v>L2-1/2X2-1/2X1/2</v>
          </cell>
          <cell r="C677">
            <v>2.2599999999999998</v>
          </cell>
          <cell r="D677">
            <v>2.5</v>
          </cell>
          <cell r="F677" t="str">
            <v>-</v>
          </cell>
          <cell r="H677" t="str">
            <v>-</v>
          </cell>
          <cell r="I677" t="str">
            <v>-</v>
          </cell>
          <cell r="K677" t="str">
            <v>-</v>
          </cell>
          <cell r="L677">
            <v>2.5</v>
          </cell>
          <cell r="M677">
            <v>3.5355339059327378</v>
          </cell>
          <cell r="O677" t="str">
            <v>-</v>
          </cell>
          <cell r="T677">
            <v>0.5</v>
          </cell>
          <cell r="U677" t="str">
            <v>-</v>
          </cell>
        </row>
        <row r="678">
          <cell r="B678" t="str">
            <v>L2-1/2X2-1/2X3/8</v>
          </cell>
          <cell r="C678">
            <v>1.73</v>
          </cell>
          <cell r="D678">
            <v>2.5</v>
          </cell>
          <cell r="F678" t="str">
            <v>-</v>
          </cell>
          <cell r="H678" t="str">
            <v>-</v>
          </cell>
          <cell r="I678" t="str">
            <v>-</v>
          </cell>
          <cell r="K678" t="str">
            <v>-</v>
          </cell>
          <cell r="L678">
            <v>2.5</v>
          </cell>
          <cell r="M678">
            <v>3.5355339059327378</v>
          </cell>
          <cell r="O678" t="str">
            <v>-</v>
          </cell>
          <cell r="T678">
            <v>0.375</v>
          </cell>
          <cell r="U678" t="str">
            <v>-</v>
          </cell>
        </row>
        <row r="679">
          <cell r="B679" t="str">
            <v>L2-1/2X2-1/2X5/16</v>
          </cell>
          <cell r="C679">
            <v>1.46</v>
          </cell>
          <cell r="D679">
            <v>2.5</v>
          </cell>
          <cell r="F679" t="str">
            <v>-</v>
          </cell>
          <cell r="H679" t="str">
            <v>-</v>
          </cell>
          <cell r="I679" t="str">
            <v>-</v>
          </cell>
          <cell r="K679" t="str">
            <v>-</v>
          </cell>
          <cell r="L679">
            <v>2.5</v>
          </cell>
          <cell r="M679">
            <v>3.5355339059327378</v>
          </cell>
          <cell r="O679" t="str">
            <v>-</v>
          </cell>
          <cell r="T679">
            <v>0.313</v>
          </cell>
          <cell r="U679" t="str">
            <v>-</v>
          </cell>
        </row>
        <row r="680">
          <cell r="B680" t="str">
            <v>L2-1/2X2-1/2X1/4</v>
          </cell>
          <cell r="C680">
            <v>1.19</v>
          </cell>
          <cell r="D680">
            <v>2.5</v>
          </cell>
          <cell r="F680" t="str">
            <v>-</v>
          </cell>
          <cell r="H680" t="str">
            <v>-</v>
          </cell>
          <cell r="I680" t="str">
            <v>-</v>
          </cell>
          <cell r="K680" t="str">
            <v>-</v>
          </cell>
          <cell r="L680">
            <v>2.5</v>
          </cell>
          <cell r="M680">
            <v>3.5355339059327378</v>
          </cell>
          <cell r="O680" t="str">
            <v>-</v>
          </cell>
          <cell r="T680">
            <v>0.25</v>
          </cell>
          <cell r="U680" t="str">
            <v>-</v>
          </cell>
        </row>
        <row r="681">
          <cell r="B681" t="str">
            <v>L2-1/2X2-1/2X3/16</v>
          </cell>
          <cell r="C681">
            <v>0.90100000000000002</v>
          </cell>
          <cell r="D681">
            <v>2.5</v>
          </cell>
          <cell r="F681" t="str">
            <v>-</v>
          </cell>
          <cell r="H681" t="str">
            <v>-</v>
          </cell>
          <cell r="I681" t="str">
            <v>-</v>
          </cell>
          <cell r="K681" t="str">
            <v>-</v>
          </cell>
          <cell r="L681">
            <v>2.5</v>
          </cell>
          <cell r="M681">
            <v>3.5355339059327378</v>
          </cell>
          <cell r="O681" t="str">
            <v>-</v>
          </cell>
          <cell r="T681">
            <v>0.188</v>
          </cell>
          <cell r="U681" t="str">
            <v>-</v>
          </cell>
        </row>
        <row r="682">
          <cell r="B682" t="str">
            <v>L2-1/2X2X3/8</v>
          </cell>
          <cell r="C682">
            <v>1.55</v>
          </cell>
          <cell r="D682">
            <v>2</v>
          </cell>
          <cell r="F682" t="str">
            <v>-</v>
          </cell>
          <cell r="H682" t="str">
            <v>-</v>
          </cell>
          <cell r="I682" t="str">
            <v>-</v>
          </cell>
          <cell r="K682" t="str">
            <v>-</v>
          </cell>
          <cell r="L682">
            <v>2.5</v>
          </cell>
          <cell r="M682">
            <v>3.2015621187164243</v>
          </cell>
          <cell r="O682" t="str">
            <v>-</v>
          </cell>
          <cell r="T682">
            <v>0.375</v>
          </cell>
          <cell r="U682" t="str">
            <v>-</v>
          </cell>
        </row>
        <row r="683">
          <cell r="B683" t="str">
            <v>L2-1/2X2X5/16</v>
          </cell>
          <cell r="C683">
            <v>1.32</v>
          </cell>
          <cell r="D683">
            <v>2</v>
          </cell>
          <cell r="F683" t="str">
            <v>-</v>
          </cell>
          <cell r="H683" t="str">
            <v>-</v>
          </cell>
          <cell r="I683" t="str">
            <v>-</v>
          </cell>
          <cell r="K683" t="str">
            <v>-</v>
          </cell>
          <cell r="L683">
            <v>2.5</v>
          </cell>
          <cell r="M683">
            <v>3.2015621187164243</v>
          </cell>
          <cell r="O683" t="str">
            <v>-</v>
          </cell>
          <cell r="T683">
            <v>0.313</v>
          </cell>
          <cell r="U683" t="str">
            <v>-</v>
          </cell>
        </row>
        <row r="684">
          <cell r="B684" t="str">
            <v>L2-1/2X2X1/4</v>
          </cell>
          <cell r="C684">
            <v>1.07</v>
          </cell>
          <cell r="D684">
            <v>2</v>
          </cell>
          <cell r="F684" t="str">
            <v>-</v>
          </cell>
          <cell r="H684" t="str">
            <v>-</v>
          </cell>
          <cell r="I684" t="str">
            <v>-</v>
          </cell>
          <cell r="K684" t="str">
            <v>-</v>
          </cell>
          <cell r="L684">
            <v>2.5</v>
          </cell>
          <cell r="M684">
            <v>3.2015621187164243</v>
          </cell>
          <cell r="O684" t="str">
            <v>-</v>
          </cell>
          <cell r="T684">
            <v>0.25</v>
          </cell>
          <cell r="U684" t="str">
            <v>-</v>
          </cell>
        </row>
        <row r="685">
          <cell r="B685" t="str">
            <v>L2-1/2X2X3/16</v>
          </cell>
          <cell r="C685">
            <v>0.81799999999999995</v>
          </cell>
          <cell r="D685">
            <v>2</v>
          </cell>
          <cell r="F685" t="str">
            <v>-</v>
          </cell>
          <cell r="H685" t="str">
            <v>-</v>
          </cell>
          <cell r="I685" t="str">
            <v>-</v>
          </cell>
          <cell r="K685" t="str">
            <v>-</v>
          </cell>
          <cell r="L685">
            <v>2.5</v>
          </cell>
          <cell r="M685">
            <v>3.2015621187164243</v>
          </cell>
          <cell r="O685" t="str">
            <v>-</v>
          </cell>
          <cell r="T685">
            <v>0.188</v>
          </cell>
          <cell r="U685" t="str">
            <v>-</v>
          </cell>
        </row>
        <row r="686">
          <cell r="B686" t="str">
            <v>L2-1/2X1-1/2X1/4</v>
          </cell>
          <cell r="C686">
            <v>0.94699999999999995</v>
          </cell>
          <cell r="D686">
            <v>1.5</v>
          </cell>
          <cell r="F686" t="str">
            <v>-</v>
          </cell>
          <cell r="H686" t="str">
            <v>-</v>
          </cell>
          <cell r="I686" t="str">
            <v>-</v>
          </cell>
          <cell r="K686" t="str">
            <v>-</v>
          </cell>
          <cell r="L686">
            <v>2.5</v>
          </cell>
          <cell r="M686">
            <v>2.9154759474226504</v>
          </cell>
          <cell r="O686" t="str">
            <v>-</v>
          </cell>
          <cell r="T686">
            <v>0.25</v>
          </cell>
          <cell r="U686" t="str">
            <v>-</v>
          </cell>
        </row>
        <row r="687">
          <cell r="B687" t="str">
            <v>L2-1/2X1-1/2X3/16</v>
          </cell>
          <cell r="C687">
            <v>0.72399999999999998</v>
          </cell>
          <cell r="D687">
            <v>1.5</v>
          </cell>
          <cell r="F687" t="str">
            <v>-</v>
          </cell>
          <cell r="H687" t="str">
            <v>-</v>
          </cell>
          <cell r="I687" t="str">
            <v>-</v>
          </cell>
          <cell r="K687" t="str">
            <v>-</v>
          </cell>
          <cell r="L687">
            <v>2.5</v>
          </cell>
          <cell r="M687">
            <v>2.9154759474226504</v>
          </cell>
          <cell r="O687" t="str">
            <v>-</v>
          </cell>
          <cell r="T687">
            <v>0.188</v>
          </cell>
          <cell r="U687" t="str">
            <v>-</v>
          </cell>
        </row>
        <row r="688">
          <cell r="B688" t="str">
            <v>L2X2X3/8</v>
          </cell>
          <cell r="C688">
            <v>1.37</v>
          </cell>
          <cell r="D688">
            <v>2</v>
          </cell>
          <cell r="F688" t="str">
            <v>-</v>
          </cell>
          <cell r="H688" t="str">
            <v>-</v>
          </cell>
          <cell r="I688" t="str">
            <v>-</v>
          </cell>
          <cell r="K688" t="str">
            <v>-</v>
          </cell>
          <cell r="L688">
            <v>2</v>
          </cell>
          <cell r="M688">
            <v>2.8284271247461903</v>
          </cell>
          <cell r="O688" t="str">
            <v>-</v>
          </cell>
          <cell r="T688">
            <v>0.375</v>
          </cell>
          <cell r="U688" t="str">
            <v>-</v>
          </cell>
        </row>
        <row r="689">
          <cell r="B689" t="str">
            <v>L2X2X5/16</v>
          </cell>
          <cell r="C689">
            <v>1.1599999999999999</v>
          </cell>
          <cell r="D689">
            <v>2</v>
          </cell>
          <cell r="F689" t="str">
            <v>-</v>
          </cell>
          <cell r="H689" t="str">
            <v>-</v>
          </cell>
          <cell r="I689" t="str">
            <v>-</v>
          </cell>
          <cell r="K689" t="str">
            <v>-</v>
          </cell>
          <cell r="L689">
            <v>2</v>
          </cell>
          <cell r="M689">
            <v>2.8284271247461903</v>
          </cell>
          <cell r="O689" t="str">
            <v>-</v>
          </cell>
          <cell r="T689">
            <v>0.313</v>
          </cell>
          <cell r="U689" t="str">
            <v>-</v>
          </cell>
        </row>
        <row r="690">
          <cell r="B690" t="str">
            <v>L2X2X1/4</v>
          </cell>
          <cell r="C690">
            <v>0.94399999999999995</v>
          </cell>
          <cell r="D690">
            <v>2</v>
          </cell>
          <cell r="F690" t="str">
            <v>-</v>
          </cell>
          <cell r="H690" t="str">
            <v>-</v>
          </cell>
          <cell r="I690" t="str">
            <v>-</v>
          </cell>
          <cell r="K690" t="str">
            <v>-</v>
          </cell>
          <cell r="L690">
            <v>2</v>
          </cell>
          <cell r="M690">
            <v>2.8284271247461903</v>
          </cell>
          <cell r="O690" t="str">
            <v>-</v>
          </cell>
          <cell r="T690">
            <v>0.25</v>
          </cell>
          <cell r="U690" t="str">
            <v>-</v>
          </cell>
        </row>
        <row r="691">
          <cell r="B691" t="str">
            <v>L2X2X3/16</v>
          </cell>
          <cell r="C691">
            <v>0.72199999999999998</v>
          </cell>
          <cell r="D691">
            <v>2</v>
          </cell>
          <cell r="F691" t="str">
            <v>-</v>
          </cell>
          <cell r="H691" t="str">
            <v>-</v>
          </cell>
          <cell r="I691" t="str">
            <v>-</v>
          </cell>
          <cell r="K691" t="str">
            <v>-</v>
          </cell>
          <cell r="L691">
            <v>2</v>
          </cell>
          <cell r="M691">
            <v>2.8284271247461903</v>
          </cell>
          <cell r="O691" t="str">
            <v>-</v>
          </cell>
          <cell r="T691">
            <v>0.188</v>
          </cell>
          <cell r="U691" t="str">
            <v>-</v>
          </cell>
        </row>
        <row r="692">
          <cell r="B692" t="str">
            <v>L2X2X1/8</v>
          </cell>
          <cell r="C692">
            <v>0.49099999999999999</v>
          </cell>
          <cell r="D692">
            <v>2</v>
          </cell>
          <cell r="F692" t="str">
            <v>-</v>
          </cell>
          <cell r="H692" t="str">
            <v>-</v>
          </cell>
          <cell r="I692" t="str">
            <v>-</v>
          </cell>
          <cell r="K692" t="str">
            <v>-</v>
          </cell>
          <cell r="L692">
            <v>2</v>
          </cell>
          <cell r="M692">
            <v>2.8284271247461903</v>
          </cell>
          <cell r="O692" t="str">
            <v>-</v>
          </cell>
          <cell r="T692">
            <v>0.125</v>
          </cell>
          <cell r="U692" t="str">
            <v>-</v>
          </cell>
        </row>
        <row r="693">
          <cell r="B693" t="str">
            <v>WT22X204</v>
          </cell>
          <cell r="C693">
            <v>59.9</v>
          </cell>
          <cell r="D693">
            <v>22.4</v>
          </cell>
          <cell r="F693" t="str">
            <v>-</v>
          </cell>
          <cell r="H693" t="str">
            <v>-</v>
          </cell>
          <cell r="I693">
            <v>16.100000000000001</v>
          </cell>
          <cell r="K693" t="str">
            <v>-</v>
          </cell>
          <cell r="L693" t="str">
            <v>-</v>
          </cell>
          <cell r="M693">
            <v>27.585684693333246</v>
          </cell>
          <cell r="O693">
            <v>1.22</v>
          </cell>
          <cell r="T693" t="str">
            <v>-</v>
          </cell>
          <cell r="U693" t="str">
            <v>-</v>
          </cell>
        </row>
        <row r="694">
          <cell r="B694" t="str">
            <v>WT22X184</v>
          </cell>
          <cell r="C694">
            <v>54</v>
          </cell>
          <cell r="D694">
            <v>22.2</v>
          </cell>
          <cell r="F694" t="str">
            <v>-</v>
          </cell>
          <cell r="H694" t="str">
            <v>-</v>
          </cell>
          <cell r="I694">
            <v>16</v>
          </cell>
          <cell r="K694" t="str">
            <v>-</v>
          </cell>
          <cell r="L694" t="str">
            <v>-</v>
          </cell>
          <cell r="M694">
            <v>27.364941074301619</v>
          </cell>
          <cell r="O694">
            <v>1.1000000000000001</v>
          </cell>
          <cell r="T694" t="str">
            <v>-</v>
          </cell>
          <cell r="U694" t="str">
            <v>-</v>
          </cell>
        </row>
        <row r="695">
          <cell r="B695" t="str">
            <v>WT22X167.5</v>
          </cell>
          <cell r="C695">
            <v>49.2</v>
          </cell>
          <cell r="D695">
            <v>22</v>
          </cell>
          <cell r="F695" t="str">
            <v>-</v>
          </cell>
          <cell r="H695" t="str">
            <v>-</v>
          </cell>
          <cell r="I695">
            <v>15.9</v>
          </cell>
          <cell r="K695" t="str">
            <v>-</v>
          </cell>
          <cell r="L695" t="str">
            <v>-</v>
          </cell>
          <cell r="M695">
            <v>27.144244325455073</v>
          </cell>
          <cell r="O695">
            <v>1.03</v>
          </cell>
          <cell r="T695" t="str">
            <v>-</v>
          </cell>
          <cell r="U695" t="str">
            <v>-</v>
          </cell>
        </row>
        <row r="696">
          <cell r="B696" t="str">
            <v>WT22X145</v>
          </cell>
          <cell r="C696">
            <v>42.6</v>
          </cell>
          <cell r="D696">
            <v>21.8</v>
          </cell>
          <cell r="F696" t="str">
            <v>-</v>
          </cell>
          <cell r="H696" t="str">
            <v>-</v>
          </cell>
          <cell r="I696">
            <v>15.8</v>
          </cell>
          <cell r="K696" t="str">
            <v>-</v>
          </cell>
          <cell r="L696" t="str">
            <v>-</v>
          </cell>
          <cell r="M696">
            <v>26.923595599399423</v>
          </cell>
          <cell r="O696">
            <v>0.86499999999999999</v>
          </cell>
          <cell r="T696" t="str">
            <v>-</v>
          </cell>
          <cell r="U696" t="str">
            <v>-</v>
          </cell>
        </row>
        <row r="697">
          <cell r="B697" t="str">
            <v>WT22X131</v>
          </cell>
          <cell r="C697">
            <v>38.5</v>
          </cell>
          <cell r="D697">
            <v>21.7</v>
          </cell>
          <cell r="F697" t="str">
            <v>-</v>
          </cell>
          <cell r="H697" t="str">
            <v>-</v>
          </cell>
          <cell r="I697">
            <v>15.8</v>
          </cell>
          <cell r="K697" t="str">
            <v>-</v>
          </cell>
          <cell r="L697" t="str">
            <v>-</v>
          </cell>
          <cell r="M697">
            <v>26.842689880114474</v>
          </cell>
          <cell r="O697">
            <v>0.78500000000000003</v>
          </cell>
          <cell r="T697" t="str">
            <v>-</v>
          </cell>
          <cell r="U697" t="str">
            <v>-</v>
          </cell>
        </row>
        <row r="698">
          <cell r="B698" t="str">
            <v>WT22X115</v>
          </cell>
          <cell r="C698">
            <v>33.9</v>
          </cell>
          <cell r="D698">
            <v>21.5</v>
          </cell>
          <cell r="F698" t="str">
            <v>-</v>
          </cell>
          <cell r="H698" t="str">
            <v>-</v>
          </cell>
          <cell r="I698">
            <v>15.8</v>
          </cell>
          <cell r="K698" t="str">
            <v>-</v>
          </cell>
          <cell r="L698" t="str">
            <v>-</v>
          </cell>
          <cell r="M698">
            <v>26.681266836490355</v>
          </cell>
          <cell r="O698">
            <v>0.71</v>
          </cell>
          <cell r="T698" t="str">
            <v>-</v>
          </cell>
          <cell r="U698" t="str">
            <v>-</v>
          </cell>
        </row>
        <row r="699">
          <cell r="B699" t="str">
            <v>WT20X327.5</v>
          </cell>
          <cell r="C699">
            <v>96.4</v>
          </cell>
          <cell r="D699">
            <v>21.8</v>
          </cell>
          <cell r="F699" t="str">
            <v>-</v>
          </cell>
          <cell r="H699" t="str">
            <v>-</v>
          </cell>
          <cell r="I699">
            <v>16.899999999999999</v>
          </cell>
          <cell r="K699" t="str">
            <v>-</v>
          </cell>
          <cell r="L699" t="str">
            <v>-</v>
          </cell>
          <cell r="M699">
            <v>27.583509566405795</v>
          </cell>
          <cell r="O699">
            <v>1.97</v>
          </cell>
          <cell r="T699" t="str">
            <v>-</v>
          </cell>
          <cell r="U699" t="str">
            <v>-</v>
          </cell>
        </row>
        <row r="700">
          <cell r="B700" t="str">
            <v>WT20X296.5</v>
          </cell>
          <cell r="C700">
            <v>87.2</v>
          </cell>
          <cell r="D700">
            <v>21.5</v>
          </cell>
          <cell r="F700" t="str">
            <v>-</v>
          </cell>
          <cell r="H700" t="str">
            <v>-</v>
          </cell>
          <cell r="I700">
            <v>16.7</v>
          </cell>
          <cell r="K700" t="str">
            <v>-</v>
          </cell>
          <cell r="L700" t="str">
            <v>-</v>
          </cell>
          <cell r="M700">
            <v>27.223886570436633</v>
          </cell>
          <cell r="O700">
            <v>1.79</v>
          </cell>
          <cell r="T700" t="str">
            <v>-</v>
          </cell>
          <cell r="U700" t="str">
            <v>-</v>
          </cell>
        </row>
        <row r="701">
          <cell r="B701" t="str">
            <v>WT20X251.5</v>
          </cell>
          <cell r="C701">
            <v>74</v>
          </cell>
          <cell r="D701">
            <v>21</v>
          </cell>
          <cell r="F701" t="str">
            <v>-</v>
          </cell>
          <cell r="H701" t="str">
            <v>-</v>
          </cell>
          <cell r="I701">
            <v>16.399999999999999</v>
          </cell>
          <cell r="K701" t="str">
            <v>-</v>
          </cell>
          <cell r="L701" t="str">
            <v>-</v>
          </cell>
          <cell r="M701">
            <v>26.645074591751474</v>
          </cell>
          <cell r="O701">
            <v>1.54</v>
          </cell>
          <cell r="T701" t="str">
            <v>-</v>
          </cell>
          <cell r="U701" t="str">
            <v>-</v>
          </cell>
        </row>
        <row r="702">
          <cell r="B702" t="str">
            <v>WT20X215.5</v>
          </cell>
          <cell r="C702">
            <v>63.3</v>
          </cell>
          <cell r="D702">
            <v>20.6</v>
          </cell>
          <cell r="F702" t="str">
            <v>-</v>
          </cell>
          <cell r="H702" t="str">
            <v>-</v>
          </cell>
          <cell r="I702">
            <v>16.2</v>
          </cell>
          <cell r="K702" t="str">
            <v>-</v>
          </cell>
          <cell r="L702" t="str">
            <v>-</v>
          </cell>
          <cell r="M702">
            <v>26.20686932847951</v>
          </cell>
          <cell r="O702">
            <v>1.34</v>
          </cell>
          <cell r="T702" t="str">
            <v>-</v>
          </cell>
          <cell r="U702" t="str">
            <v>-</v>
          </cell>
        </row>
        <row r="703">
          <cell r="B703" t="str">
            <v>WT20X198.5</v>
          </cell>
          <cell r="C703">
            <v>58.3</v>
          </cell>
          <cell r="D703">
            <v>20.5</v>
          </cell>
          <cell r="F703" t="str">
            <v>-</v>
          </cell>
          <cell r="H703" t="str">
            <v>-</v>
          </cell>
          <cell r="I703">
            <v>16.100000000000001</v>
          </cell>
          <cell r="K703" t="str">
            <v>-</v>
          </cell>
          <cell r="L703" t="str">
            <v>-</v>
          </cell>
          <cell r="M703">
            <v>26.066453537065605</v>
          </cell>
          <cell r="O703">
            <v>1.22</v>
          </cell>
          <cell r="T703" t="str">
            <v>-</v>
          </cell>
          <cell r="U703" t="str">
            <v>-</v>
          </cell>
        </row>
        <row r="704">
          <cell r="B704" t="str">
            <v>WT20X186</v>
          </cell>
          <cell r="C704">
            <v>54.7</v>
          </cell>
          <cell r="D704">
            <v>20.3</v>
          </cell>
          <cell r="F704" t="str">
            <v>-</v>
          </cell>
          <cell r="H704" t="str">
            <v>-</v>
          </cell>
          <cell r="I704">
            <v>16.100000000000001</v>
          </cell>
          <cell r="K704" t="str">
            <v>-</v>
          </cell>
          <cell r="L704" t="str">
            <v>-</v>
          </cell>
          <cell r="M704">
            <v>25.909457732650448</v>
          </cell>
          <cell r="O704">
            <v>1.1599999999999999</v>
          </cell>
          <cell r="T704" t="str">
            <v>-</v>
          </cell>
          <cell r="U704" t="str">
            <v>-</v>
          </cell>
        </row>
        <row r="705">
          <cell r="B705" t="str">
            <v>WT20X181</v>
          </cell>
          <cell r="C705">
            <v>53.2</v>
          </cell>
          <cell r="D705">
            <v>20.3</v>
          </cell>
          <cell r="F705" t="str">
            <v>-</v>
          </cell>
          <cell r="H705" t="str">
            <v>-</v>
          </cell>
          <cell r="I705">
            <v>16</v>
          </cell>
          <cell r="K705" t="str">
            <v>-</v>
          </cell>
          <cell r="L705" t="str">
            <v>-</v>
          </cell>
          <cell r="M705">
            <v>25.847437010272412</v>
          </cell>
          <cell r="O705">
            <v>1.1200000000000001</v>
          </cell>
          <cell r="T705" t="str">
            <v>-</v>
          </cell>
          <cell r="U705" t="str">
            <v>-</v>
          </cell>
        </row>
        <row r="706">
          <cell r="B706" t="str">
            <v>WT20X162</v>
          </cell>
          <cell r="C706">
            <v>47.7</v>
          </cell>
          <cell r="D706">
            <v>20.100000000000001</v>
          </cell>
          <cell r="F706" t="str">
            <v>-</v>
          </cell>
          <cell r="H706" t="str">
            <v>-</v>
          </cell>
          <cell r="I706">
            <v>15.9</v>
          </cell>
          <cell r="K706" t="str">
            <v>-</v>
          </cell>
          <cell r="L706" t="str">
            <v>-</v>
          </cell>
          <cell r="M706">
            <v>25.628499761008253</v>
          </cell>
          <cell r="O706">
            <v>1</v>
          </cell>
          <cell r="T706" t="str">
            <v>-</v>
          </cell>
          <cell r="U706" t="str">
            <v>-</v>
          </cell>
        </row>
        <row r="707">
          <cell r="B707" t="str">
            <v>WT20X148.5</v>
          </cell>
          <cell r="C707">
            <v>43.6</v>
          </cell>
          <cell r="D707">
            <v>19.899999999999999</v>
          </cell>
          <cell r="F707" t="str">
            <v>-</v>
          </cell>
          <cell r="H707" t="str">
            <v>-</v>
          </cell>
          <cell r="I707">
            <v>15.8</v>
          </cell>
          <cell r="K707" t="str">
            <v>-</v>
          </cell>
          <cell r="L707" t="str">
            <v>-</v>
          </cell>
          <cell r="M707">
            <v>25.409643838511393</v>
          </cell>
          <cell r="O707">
            <v>0.93</v>
          </cell>
          <cell r="T707" t="str">
            <v>-</v>
          </cell>
          <cell r="U707" t="str">
            <v>-</v>
          </cell>
        </row>
        <row r="708">
          <cell r="B708" t="str">
            <v>WT20X138.5</v>
          </cell>
          <cell r="C708">
            <v>40.700000000000003</v>
          </cell>
          <cell r="D708">
            <v>19.8</v>
          </cell>
          <cell r="F708" t="str">
            <v>-</v>
          </cell>
          <cell r="H708" t="str">
            <v>-</v>
          </cell>
          <cell r="I708">
            <v>15.8</v>
          </cell>
          <cell r="K708" t="str">
            <v>-</v>
          </cell>
          <cell r="L708" t="str">
            <v>-</v>
          </cell>
          <cell r="M708">
            <v>25.331403435261933</v>
          </cell>
          <cell r="O708">
            <v>0.83</v>
          </cell>
          <cell r="T708" t="str">
            <v>-</v>
          </cell>
          <cell r="U708" t="str">
            <v>-</v>
          </cell>
        </row>
        <row r="709">
          <cell r="B709" t="str">
            <v>WT20X124.5</v>
          </cell>
          <cell r="C709">
            <v>36.700000000000003</v>
          </cell>
          <cell r="D709">
            <v>19.7</v>
          </cell>
          <cell r="F709" t="str">
            <v>-</v>
          </cell>
          <cell r="H709" t="str">
            <v>-</v>
          </cell>
          <cell r="I709">
            <v>15.8</v>
          </cell>
          <cell r="K709" t="str">
            <v>-</v>
          </cell>
          <cell r="L709" t="str">
            <v>-</v>
          </cell>
          <cell r="M709">
            <v>25.253316613862822</v>
          </cell>
          <cell r="O709">
            <v>0.75</v>
          </cell>
          <cell r="T709" t="str">
            <v>-</v>
          </cell>
          <cell r="U709" t="str">
            <v>-</v>
          </cell>
        </row>
        <row r="710">
          <cell r="B710" t="str">
            <v>WT20X107.5</v>
          </cell>
          <cell r="C710">
            <v>31.8</v>
          </cell>
          <cell r="D710">
            <v>19.5</v>
          </cell>
          <cell r="F710" t="str">
            <v>-</v>
          </cell>
          <cell r="H710" t="str">
            <v>-</v>
          </cell>
          <cell r="I710">
            <v>15.8</v>
          </cell>
          <cell r="K710" t="str">
            <v>-</v>
          </cell>
          <cell r="L710" t="str">
            <v>-</v>
          </cell>
          <cell r="M710">
            <v>25.097609447913559</v>
          </cell>
          <cell r="O710">
            <v>0.65</v>
          </cell>
          <cell r="T710" t="str">
            <v>-</v>
          </cell>
          <cell r="U710" t="str">
            <v>-</v>
          </cell>
        </row>
        <row r="711">
          <cell r="B711" t="str">
            <v>WT20X99.5</v>
          </cell>
          <cell r="C711">
            <v>29.2</v>
          </cell>
          <cell r="D711">
            <v>19.3</v>
          </cell>
          <cell r="F711" t="str">
            <v>-</v>
          </cell>
          <cell r="H711" t="str">
            <v>-</v>
          </cell>
          <cell r="I711">
            <v>15.8</v>
          </cell>
          <cell r="K711" t="str">
            <v>-</v>
          </cell>
          <cell r="L711" t="str">
            <v>-</v>
          </cell>
          <cell r="M711">
            <v>24.942533953069002</v>
          </cell>
          <cell r="O711">
            <v>0.65</v>
          </cell>
          <cell r="T711" t="str">
            <v>-</v>
          </cell>
          <cell r="U711" t="str">
            <v>-</v>
          </cell>
        </row>
        <row r="712">
          <cell r="B712" t="str">
            <v>WT20X196</v>
          </cell>
          <cell r="C712">
            <v>57.8</v>
          </cell>
          <cell r="D712">
            <v>20.8</v>
          </cell>
          <cell r="F712" t="str">
            <v>-</v>
          </cell>
          <cell r="H712" t="str">
            <v>-</v>
          </cell>
          <cell r="I712">
            <v>12.4</v>
          </cell>
          <cell r="K712" t="str">
            <v>-</v>
          </cell>
          <cell r="L712" t="str">
            <v>-</v>
          </cell>
          <cell r="M712">
            <v>24.215697388264498</v>
          </cell>
          <cell r="O712">
            <v>1.42</v>
          </cell>
          <cell r="T712" t="str">
            <v>-</v>
          </cell>
          <cell r="U712" t="str">
            <v>-</v>
          </cell>
        </row>
        <row r="713">
          <cell r="B713" t="str">
            <v>WT20X165.5</v>
          </cell>
          <cell r="C713">
            <v>48.8</v>
          </cell>
          <cell r="D713">
            <v>20.399999999999999</v>
          </cell>
          <cell r="F713" t="str">
            <v>-</v>
          </cell>
          <cell r="H713" t="str">
            <v>-</v>
          </cell>
          <cell r="I713">
            <v>12.2</v>
          </cell>
          <cell r="K713" t="str">
            <v>-</v>
          </cell>
          <cell r="L713" t="str">
            <v>-</v>
          </cell>
          <cell r="M713">
            <v>23.769728648009426</v>
          </cell>
          <cell r="O713">
            <v>1.22</v>
          </cell>
          <cell r="T713" t="str">
            <v>-</v>
          </cell>
          <cell r="U713" t="str">
            <v>-</v>
          </cell>
        </row>
        <row r="714">
          <cell r="B714" t="str">
            <v>WT20X163.5</v>
          </cell>
          <cell r="C714">
            <v>47.9</v>
          </cell>
          <cell r="D714">
            <v>20.399999999999999</v>
          </cell>
          <cell r="F714" t="str">
            <v>-</v>
          </cell>
          <cell r="H714" t="str">
            <v>-</v>
          </cell>
          <cell r="I714">
            <v>12.1</v>
          </cell>
          <cell r="K714" t="str">
            <v>-</v>
          </cell>
          <cell r="L714" t="str">
            <v>-</v>
          </cell>
          <cell r="M714">
            <v>23.718558134928859</v>
          </cell>
          <cell r="O714">
            <v>1.18</v>
          </cell>
          <cell r="T714" t="str">
            <v>-</v>
          </cell>
          <cell r="U714" t="str">
            <v>-</v>
          </cell>
        </row>
        <row r="715">
          <cell r="B715" t="str">
            <v>WT20X147</v>
          </cell>
          <cell r="C715">
            <v>43.1</v>
          </cell>
          <cell r="D715">
            <v>20.2</v>
          </cell>
          <cell r="F715" t="str">
            <v>-</v>
          </cell>
          <cell r="H715" t="str">
            <v>-</v>
          </cell>
          <cell r="I715">
            <v>12</v>
          </cell>
          <cell r="K715" t="str">
            <v>-</v>
          </cell>
          <cell r="L715" t="str">
            <v>-</v>
          </cell>
          <cell r="M715">
            <v>23.495531490051462</v>
          </cell>
          <cell r="O715">
            <v>1.06</v>
          </cell>
          <cell r="T715" t="str">
            <v>-</v>
          </cell>
          <cell r="U715" t="str">
            <v>-</v>
          </cell>
        </row>
        <row r="716">
          <cell r="B716" t="str">
            <v>WT20X139</v>
          </cell>
          <cell r="C716">
            <v>41</v>
          </cell>
          <cell r="D716">
            <v>20.100000000000001</v>
          </cell>
          <cell r="F716" t="str">
            <v>-</v>
          </cell>
          <cell r="H716" t="str">
            <v>-</v>
          </cell>
          <cell r="I716">
            <v>12</v>
          </cell>
          <cell r="K716" t="str">
            <v>-</v>
          </cell>
          <cell r="L716" t="str">
            <v>-</v>
          </cell>
          <cell r="M716">
            <v>23.409613409879285</v>
          </cell>
          <cell r="O716">
            <v>1.03</v>
          </cell>
          <cell r="T716" t="str">
            <v>-</v>
          </cell>
          <cell r="U716" t="str">
            <v>-</v>
          </cell>
        </row>
        <row r="717">
          <cell r="B717" t="str">
            <v>WT20X132</v>
          </cell>
          <cell r="C717">
            <v>38.700000000000003</v>
          </cell>
          <cell r="D717">
            <v>20</v>
          </cell>
          <cell r="F717" t="str">
            <v>-</v>
          </cell>
          <cell r="H717" t="str">
            <v>-</v>
          </cell>
          <cell r="I717">
            <v>11.9</v>
          </cell>
          <cell r="K717" t="str">
            <v>-</v>
          </cell>
          <cell r="L717" t="str">
            <v>-</v>
          </cell>
          <cell r="M717">
            <v>23.272515979154466</v>
          </cell>
          <cell r="O717">
            <v>0.96</v>
          </cell>
          <cell r="T717" t="str">
            <v>-</v>
          </cell>
          <cell r="U717" t="str">
            <v>-</v>
          </cell>
        </row>
        <row r="718">
          <cell r="B718" t="str">
            <v>WT20X117.5</v>
          </cell>
          <cell r="C718">
            <v>34.6</v>
          </cell>
          <cell r="D718">
            <v>19.8</v>
          </cell>
          <cell r="F718" t="str">
            <v>-</v>
          </cell>
          <cell r="H718" t="str">
            <v>-</v>
          </cell>
          <cell r="I718">
            <v>11.9</v>
          </cell>
          <cell r="K718" t="str">
            <v>-</v>
          </cell>
          <cell r="L718" t="str">
            <v>-</v>
          </cell>
          <cell r="M718">
            <v>23.100865784641062</v>
          </cell>
          <cell r="O718">
            <v>0.83</v>
          </cell>
          <cell r="T718" t="str">
            <v>-</v>
          </cell>
          <cell r="U718" t="str">
            <v>-</v>
          </cell>
        </row>
        <row r="719">
          <cell r="B719" t="str">
            <v>WT20X105.5</v>
          </cell>
          <cell r="C719">
            <v>31.1</v>
          </cell>
          <cell r="D719">
            <v>19.7</v>
          </cell>
          <cell r="F719" t="str">
            <v>-</v>
          </cell>
          <cell r="H719" t="str">
            <v>-</v>
          </cell>
          <cell r="I719">
            <v>11.8</v>
          </cell>
          <cell r="K719" t="str">
            <v>-</v>
          </cell>
          <cell r="L719" t="str">
            <v>-</v>
          </cell>
          <cell r="M719">
            <v>22.963666954561067</v>
          </cell>
          <cell r="O719">
            <v>0.75</v>
          </cell>
          <cell r="T719" t="str">
            <v>-</v>
          </cell>
          <cell r="U719" t="str">
            <v>-</v>
          </cell>
        </row>
        <row r="720">
          <cell r="B720" t="str">
            <v>WT20X91.5</v>
          </cell>
          <cell r="C720">
            <v>26.7</v>
          </cell>
          <cell r="D720">
            <v>19.5</v>
          </cell>
          <cell r="F720" t="str">
            <v>-</v>
          </cell>
          <cell r="H720" t="str">
            <v>-</v>
          </cell>
          <cell r="I720">
            <v>11.8</v>
          </cell>
          <cell r="K720" t="str">
            <v>-</v>
          </cell>
          <cell r="L720" t="str">
            <v>-</v>
          </cell>
          <cell r="M720">
            <v>22.792323269030739</v>
          </cell>
          <cell r="O720">
            <v>0.65</v>
          </cell>
          <cell r="T720" t="str">
            <v>-</v>
          </cell>
          <cell r="U720" t="str">
            <v>-</v>
          </cell>
        </row>
        <row r="721">
          <cell r="B721" t="str">
            <v>WT20X83.5</v>
          </cell>
          <cell r="C721">
            <v>24.5</v>
          </cell>
          <cell r="D721">
            <v>19.3</v>
          </cell>
          <cell r="F721" t="str">
            <v>-</v>
          </cell>
          <cell r="H721" t="str">
            <v>-</v>
          </cell>
          <cell r="I721">
            <v>11.8</v>
          </cell>
          <cell r="K721" t="str">
            <v>-</v>
          </cell>
          <cell r="L721" t="str">
            <v>-</v>
          </cell>
          <cell r="M721">
            <v>22.621449997734452</v>
          </cell>
          <cell r="O721">
            <v>0.65</v>
          </cell>
          <cell r="T721" t="str">
            <v>-</v>
          </cell>
          <cell r="U721" t="str">
            <v>-</v>
          </cell>
        </row>
        <row r="722">
          <cell r="B722" t="str">
            <v>WT20X74.5</v>
          </cell>
          <cell r="C722">
            <v>21.9</v>
          </cell>
          <cell r="D722">
            <v>19.100000000000001</v>
          </cell>
          <cell r="F722" t="str">
            <v>-</v>
          </cell>
          <cell r="H722" t="str">
            <v>-</v>
          </cell>
          <cell r="I722">
            <v>11.8</v>
          </cell>
          <cell r="K722" t="str">
            <v>-</v>
          </cell>
          <cell r="L722" t="str">
            <v>-</v>
          </cell>
          <cell r="M722">
            <v>22.451057881534226</v>
          </cell>
          <cell r="O722">
            <v>0.63</v>
          </cell>
          <cell r="T722" t="str">
            <v>-</v>
          </cell>
          <cell r="U722" t="str">
            <v>-</v>
          </cell>
        </row>
        <row r="723">
          <cell r="B723" t="str">
            <v>WT18X462.5</v>
          </cell>
          <cell r="C723">
            <v>136</v>
          </cell>
          <cell r="D723">
            <v>21.6</v>
          </cell>
          <cell r="F723" t="str">
            <v>-</v>
          </cell>
          <cell r="H723" t="str">
            <v>-</v>
          </cell>
          <cell r="I723">
            <v>18.600000000000001</v>
          </cell>
          <cell r="K723" t="str">
            <v>-</v>
          </cell>
          <cell r="L723" t="str">
            <v>-</v>
          </cell>
          <cell r="M723">
            <v>28.504736448527289</v>
          </cell>
          <cell r="O723">
            <v>3.02</v>
          </cell>
          <cell r="T723" t="str">
            <v>-</v>
          </cell>
          <cell r="U723" t="str">
            <v>-</v>
          </cell>
        </row>
        <row r="724">
          <cell r="B724" t="str">
            <v>WT18X426.5</v>
          </cell>
          <cell r="C724">
            <v>126</v>
          </cell>
          <cell r="D724">
            <v>21.6</v>
          </cell>
          <cell r="F724" t="str">
            <v>-</v>
          </cell>
          <cell r="H724" t="str">
            <v>-</v>
          </cell>
          <cell r="I724">
            <v>18.2</v>
          </cell>
          <cell r="K724" t="str">
            <v>-</v>
          </cell>
          <cell r="L724" t="str">
            <v>-</v>
          </cell>
          <cell r="M724">
            <v>28.245353600194139</v>
          </cell>
          <cell r="O724">
            <v>2.52</v>
          </cell>
          <cell r="T724" t="str">
            <v>-</v>
          </cell>
          <cell r="U724" t="str">
            <v>-</v>
          </cell>
        </row>
        <row r="725">
          <cell r="B725" t="str">
            <v>WT18X401</v>
          </cell>
          <cell r="C725">
            <v>118</v>
          </cell>
          <cell r="D725">
            <v>21.3</v>
          </cell>
          <cell r="F725" t="str">
            <v>-</v>
          </cell>
          <cell r="H725" t="str">
            <v>-</v>
          </cell>
          <cell r="I725">
            <v>18</v>
          </cell>
          <cell r="K725" t="str">
            <v>-</v>
          </cell>
          <cell r="L725" t="str">
            <v>-</v>
          </cell>
          <cell r="M725">
            <v>27.887093789063069</v>
          </cell>
          <cell r="O725">
            <v>2.38</v>
          </cell>
          <cell r="T725" t="str">
            <v>-</v>
          </cell>
          <cell r="U725" t="str">
            <v>-</v>
          </cell>
        </row>
        <row r="726">
          <cell r="B726" t="str">
            <v>WT18X361.5</v>
          </cell>
          <cell r="C726">
            <v>107</v>
          </cell>
          <cell r="D726">
            <v>20.9</v>
          </cell>
          <cell r="F726" t="str">
            <v>-</v>
          </cell>
          <cell r="H726" t="str">
            <v>-</v>
          </cell>
          <cell r="I726">
            <v>17.8</v>
          </cell>
          <cell r="K726" t="str">
            <v>-</v>
          </cell>
          <cell r="L726" t="str">
            <v>-</v>
          </cell>
          <cell r="M726">
            <v>27.452686571627194</v>
          </cell>
          <cell r="O726">
            <v>2.17</v>
          </cell>
          <cell r="T726" t="str">
            <v>-</v>
          </cell>
          <cell r="U726" t="str">
            <v>-</v>
          </cell>
        </row>
        <row r="727">
          <cell r="B727" t="str">
            <v>WT18X326</v>
          </cell>
          <cell r="C727">
            <v>96.2</v>
          </cell>
          <cell r="D727">
            <v>20.5</v>
          </cell>
          <cell r="F727" t="str">
            <v>-</v>
          </cell>
          <cell r="H727" t="str">
            <v>-</v>
          </cell>
          <cell r="I727">
            <v>17.600000000000001</v>
          </cell>
          <cell r="K727" t="str">
            <v>-</v>
          </cell>
          <cell r="L727" t="str">
            <v>-</v>
          </cell>
          <cell r="M727">
            <v>27.018697229881383</v>
          </cell>
          <cell r="O727">
            <v>1.97</v>
          </cell>
          <cell r="T727" t="str">
            <v>-</v>
          </cell>
          <cell r="U727" t="str">
            <v>-</v>
          </cell>
        </row>
        <row r="728">
          <cell r="B728" t="str">
            <v>WT18X264.5</v>
          </cell>
          <cell r="C728">
            <v>77.8</v>
          </cell>
          <cell r="D728">
            <v>19.899999999999999</v>
          </cell>
          <cell r="F728" t="str">
            <v>-</v>
          </cell>
          <cell r="H728" t="str">
            <v>-</v>
          </cell>
          <cell r="I728">
            <v>17.2</v>
          </cell>
          <cell r="K728" t="str">
            <v>-</v>
          </cell>
          <cell r="L728" t="str">
            <v>-</v>
          </cell>
          <cell r="M728">
            <v>26.303041649208556</v>
          </cell>
          <cell r="O728">
            <v>1.61</v>
          </cell>
          <cell r="T728" t="str">
            <v>-</v>
          </cell>
          <cell r="U728" t="str">
            <v>-</v>
          </cell>
        </row>
        <row r="729">
          <cell r="B729" t="str">
            <v>WT18X243.5</v>
          </cell>
          <cell r="C729">
            <v>71.7</v>
          </cell>
          <cell r="D729">
            <v>19.7</v>
          </cell>
          <cell r="F729" t="str">
            <v>-</v>
          </cell>
          <cell r="H729" t="str">
            <v>-</v>
          </cell>
          <cell r="I729">
            <v>17.100000000000001</v>
          </cell>
          <cell r="K729" t="str">
            <v>-</v>
          </cell>
          <cell r="L729" t="str">
            <v>-</v>
          </cell>
          <cell r="M729">
            <v>26.086394921491163</v>
          </cell>
          <cell r="O729">
            <v>1.5</v>
          </cell>
          <cell r="T729" t="str">
            <v>-</v>
          </cell>
          <cell r="U729" t="str">
            <v>-</v>
          </cell>
        </row>
        <row r="730">
          <cell r="B730" t="str">
            <v>WT18X220.5</v>
          </cell>
          <cell r="C730">
            <v>64.900000000000006</v>
          </cell>
          <cell r="D730">
            <v>19.399999999999999</v>
          </cell>
          <cell r="F730" t="str">
            <v>-</v>
          </cell>
          <cell r="H730" t="str">
            <v>-</v>
          </cell>
          <cell r="I730">
            <v>17</v>
          </cell>
          <cell r="K730" t="str">
            <v>-</v>
          </cell>
          <cell r="L730" t="str">
            <v>-</v>
          </cell>
          <cell r="M730">
            <v>25.79457307264456</v>
          </cell>
          <cell r="O730">
            <v>1.36</v>
          </cell>
          <cell r="T730" t="str">
            <v>-</v>
          </cell>
          <cell r="U730" t="str">
            <v>-</v>
          </cell>
        </row>
        <row r="731">
          <cell r="B731" t="str">
            <v>WT18X197.5</v>
          </cell>
          <cell r="C731">
            <v>58.1</v>
          </cell>
          <cell r="D731">
            <v>19.2</v>
          </cell>
          <cell r="F731" t="str">
            <v>-</v>
          </cell>
          <cell r="H731" t="str">
            <v>-</v>
          </cell>
          <cell r="I731">
            <v>16.8</v>
          </cell>
          <cell r="K731" t="str">
            <v>-</v>
          </cell>
          <cell r="L731" t="str">
            <v>-</v>
          </cell>
          <cell r="M731">
            <v>25.512349950563159</v>
          </cell>
          <cell r="O731">
            <v>1.22</v>
          </cell>
          <cell r="T731" t="str">
            <v>-</v>
          </cell>
          <cell r="U731" t="str">
            <v>-</v>
          </cell>
        </row>
        <row r="732">
          <cell r="B732" t="str">
            <v>WT18X180.5</v>
          </cell>
          <cell r="C732">
            <v>53</v>
          </cell>
          <cell r="D732">
            <v>19</v>
          </cell>
          <cell r="F732" t="str">
            <v>-</v>
          </cell>
          <cell r="H732" t="str">
            <v>-</v>
          </cell>
          <cell r="I732">
            <v>16.7</v>
          </cell>
          <cell r="K732" t="str">
            <v>-</v>
          </cell>
          <cell r="L732" t="str">
            <v>-</v>
          </cell>
          <cell r="M732">
            <v>25.296047122030746</v>
          </cell>
          <cell r="O732">
            <v>1.1200000000000001</v>
          </cell>
          <cell r="T732" t="str">
            <v>-</v>
          </cell>
          <cell r="U732" t="str">
            <v>-</v>
          </cell>
        </row>
        <row r="733">
          <cell r="B733" t="str">
            <v>WT18X165</v>
          </cell>
          <cell r="C733">
            <v>48.4</v>
          </cell>
          <cell r="D733">
            <v>18.8</v>
          </cell>
          <cell r="F733" t="str">
            <v>-</v>
          </cell>
          <cell r="H733" t="str">
            <v>-</v>
          </cell>
          <cell r="I733">
            <v>16.600000000000001</v>
          </cell>
          <cell r="K733" t="str">
            <v>-</v>
          </cell>
          <cell r="L733" t="str">
            <v>-</v>
          </cell>
          <cell r="M733">
            <v>25.079872407968907</v>
          </cell>
          <cell r="O733">
            <v>1.02</v>
          </cell>
          <cell r="T733" t="str">
            <v>-</v>
          </cell>
          <cell r="U733" t="str">
            <v>-</v>
          </cell>
        </row>
        <row r="734">
          <cell r="B734" t="str">
            <v>WT18X151</v>
          </cell>
          <cell r="C734">
            <v>44.5</v>
          </cell>
          <cell r="D734">
            <v>18.7</v>
          </cell>
          <cell r="F734" t="str">
            <v>-</v>
          </cell>
          <cell r="H734" t="str">
            <v>-</v>
          </cell>
          <cell r="I734">
            <v>16.7</v>
          </cell>
          <cell r="K734" t="str">
            <v>-</v>
          </cell>
          <cell r="L734" t="str">
            <v>-</v>
          </cell>
          <cell r="M734">
            <v>25.071497761402288</v>
          </cell>
          <cell r="O734">
            <v>0.94499999999999995</v>
          </cell>
          <cell r="T734" t="str">
            <v>-</v>
          </cell>
          <cell r="U734" t="str">
            <v>-</v>
          </cell>
        </row>
        <row r="735">
          <cell r="B735" t="str">
            <v>WT18X141</v>
          </cell>
          <cell r="C735">
            <v>41.5</v>
          </cell>
          <cell r="D735">
            <v>18.600000000000001</v>
          </cell>
          <cell r="F735" t="str">
            <v>-</v>
          </cell>
          <cell r="H735" t="str">
            <v>-</v>
          </cell>
          <cell r="I735">
            <v>16.600000000000001</v>
          </cell>
          <cell r="K735" t="str">
            <v>-</v>
          </cell>
          <cell r="L735" t="str">
            <v>-</v>
          </cell>
          <cell r="M735">
            <v>24.930302846134865</v>
          </cell>
          <cell r="O735">
            <v>0.88500000000000001</v>
          </cell>
          <cell r="T735" t="str">
            <v>-</v>
          </cell>
          <cell r="U735" t="str">
            <v>-</v>
          </cell>
        </row>
        <row r="736">
          <cell r="B736" t="str">
            <v>WT18X131</v>
          </cell>
          <cell r="C736">
            <v>38.5</v>
          </cell>
          <cell r="D736">
            <v>18.399999999999999</v>
          </cell>
          <cell r="F736" t="str">
            <v>-</v>
          </cell>
          <cell r="H736" t="str">
            <v>-</v>
          </cell>
          <cell r="I736">
            <v>16.600000000000001</v>
          </cell>
          <cell r="K736" t="str">
            <v>-</v>
          </cell>
          <cell r="L736" t="str">
            <v>-</v>
          </cell>
          <cell r="M736">
            <v>24.781444671366518</v>
          </cell>
          <cell r="O736">
            <v>0.84</v>
          </cell>
          <cell r="T736" t="str">
            <v>-</v>
          </cell>
          <cell r="U736" t="str">
            <v>-</v>
          </cell>
        </row>
        <row r="737">
          <cell r="B737" t="str">
            <v>WT18X123.5</v>
          </cell>
          <cell r="C737">
            <v>36.299999999999997</v>
          </cell>
          <cell r="D737">
            <v>18.3</v>
          </cell>
          <cell r="F737" t="str">
            <v>-</v>
          </cell>
          <cell r="H737" t="str">
            <v>-</v>
          </cell>
          <cell r="I737">
            <v>16.5</v>
          </cell>
          <cell r="K737" t="str">
            <v>-</v>
          </cell>
          <cell r="L737" t="str">
            <v>-</v>
          </cell>
          <cell r="M737">
            <v>24.640211038057284</v>
          </cell>
          <cell r="O737">
            <v>0.8</v>
          </cell>
          <cell r="T737" t="str">
            <v>-</v>
          </cell>
          <cell r="U737" t="str">
            <v>-</v>
          </cell>
        </row>
        <row r="738">
          <cell r="B738" t="str">
            <v>WT18X115.5</v>
          </cell>
          <cell r="C738">
            <v>34.1</v>
          </cell>
          <cell r="D738">
            <v>18.2</v>
          </cell>
          <cell r="F738" t="str">
            <v>-</v>
          </cell>
          <cell r="H738" t="str">
            <v>-</v>
          </cell>
          <cell r="I738">
            <v>16.5</v>
          </cell>
          <cell r="K738" t="str">
            <v>-</v>
          </cell>
          <cell r="L738" t="str">
            <v>-</v>
          </cell>
          <cell r="M738">
            <v>24.566033460858105</v>
          </cell>
          <cell r="O738">
            <v>0.76</v>
          </cell>
          <cell r="T738" t="str">
            <v>-</v>
          </cell>
          <cell r="U738" t="str">
            <v>-</v>
          </cell>
        </row>
        <row r="739">
          <cell r="B739" t="str">
            <v>WT18X193.5</v>
          </cell>
          <cell r="C739">
            <v>56.8</v>
          </cell>
          <cell r="D739">
            <v>19.5</v>
          </cell>
          <cell r="F739" t="str">
            <v>-</v>
          </cell>
          <cell r="H739" t="str">
            <v>-</v>
          </cell>
          <cell r="I739">
            <v>12.7</v>
          </cell>
          <cell r="K739" t="str">
            <v>-</v>
          </cell>
          <cell r="L739" t="str">
            <v>-</v>
          </cell>
          <cell r="M739">
            <v>23.271012010653941</v>
          </cell>
          <cell r="O739">
            <v>1.42</v>
          </cell>
          <cell r="T739" t="str">
            <v>-</v>
          </cell>
          <cell r="U739" t="str">
            <v>-</v>
          </cell>
        </row>
        <row r="740">
          <cell r="B740" t="str">
            <v>WT18X175</v>
          </cell>
          <cell r="C740">
            <v>51.5</v>
          </cell>
          <cell r="D740">
            <v>19.3</v>
          </cell>
          <cell r="F740" t="str">
            <v>-</v>
          </cell>
          <cell r="H740" t="str">
            <v>-</v>
          </cell>
          <cell r="I740">
            <v>12.6</v>
          </cell>
          <cell r="K740" t="str">
            <v>-</v>
          </cell>
          <cell r="L740" t="str">
            <v>-</v>
          </cell>
          <cell r="M740">
            <v>23.048861143232219</v>
          </cell>
          <cell r="O740">
            <v>1.3</v>
          </cell>
          <cell r="T740" t="str">
            <v>-</v>
          </cell>
          <cell r="U740" t="str">
            <v>-</v>
          </cell>
        </row>
        <row r="741">
          <cell r="B741" t="str">
            <v>WT18X159</v>
          </cell>
          <cell r="C741">
            <v>46.7</v>
          </cell>
          <cell r="D741">
            <v>19.100000000000001</v>
          </cell>
          <cell r="F741" t="str">
            <v>-</v>
          </cell>
          <cell r="H741" t="str">
            <v>-</v>
          </cell>
          <cell r="I741">
            <v>12.4</v>
          </cell>
          <cell r="K741" t="str">
            <v>-</v>
          </cell>
          <cell r="L741" t="str">
            <v>-</v>
          </cell>
          <cell r="M741">
            <v>22.772132091659753</v>
          </cell>
          <cell r="O741">
            <v>1.18</v>
          </cell>
          <cell r="T741" t="str">
            <v>-</v>
          </cell>
          <cell r="U741" t="str">
            <v>-</v>
          </cell>
        </row>
        <row r="742">
          <cell r="B742" t="str">
            <v>WT18X143</v>
          </cell>
          <cell r="C742">
            <v>42</v>
          </cell>
          <cell r="D742">
            <v>18.899999999999999</v>
          </cell>
          <cell r="F742" t="str">
            <v>-</v>
          </cell>
          <cell r="H742" t="str">
            <v>-</v>
          </cell>
          <cell r="I742">
            <v>12.3</v>
          </cell>
          <cell r="K742" t="str">
            <v>-</v>
          </cell>
          <cell r="L742" t="str">
            <v>-</v>
          </cell>
          <cell r="M742">
            <v>22.549944567559361</v>
          </cell>
          <cell r="O742">
            <v>1.06</v>
          </cell>
          <cell r="T742" t="str">
            <v>-</v>
          </cell>
          <cell r="U742" t="str">
            <v>-</v>
          </cell>
        </row>
        <row r="743">
          <cell r="B743" t="str">
            <v>WT18X128</v>
          </cell>
          <cell r="C743">
            <v>37.6</v>
          </cell>
          <cell r="D743">
            <v>18.7</v>
          </cell>
          <cell r="F743" t="str">
            <v>-</v>
          </cell>
          <cell r="H743" t="str">
            <v>-</v>
          </cell>
          <cell r="I743">
            <v>12.2</v>
          </cell>
          <cell r="K743" t="str">
            <v>-</v>
          </cell>
          <cell r="L743" t="str">
            <v>-</v>
          </cell>
          <cell r="M743">
            <v>22.327785380552186</v>
          </cell>
          <cell r="O743">
            <v>0.96</v>
          </cell>
          <cell r="T743" t="str">
            <v>-</v>
          </cell>
          <cell r="U743" t="str">
            <v>-</v>
          </cell>
        </row>
        <row r="744">
          <cell r="B744" t="str">
            <v>WT18X116</v>
          </cell>
          <cell r="C744">
            <v>34</v>
          </cell>
          <cell r="D744">
            <v>18.600000000000001</v>
          </cell>
          <cell r="F744" t="str">
            <v>-</v>
          </cell>
          <cell r="H744" t="str">
            <v>-</v>
          </cell>
          <cell r="I744">
            <v>12.1</v>
          </cell>
          <cell r="K744" t="str">
            <v>-</v>
          </cell>
          <cell r="L744" t="str">
            <v>-</v>
          </cell>
          <cell r="M744">
            <v>22.189411889457549</v>
          </cell>
          <cell r="O744">
            <v>0.87</v>
          </cell>
          <cell r="T744" t="str">
            <v>-</v>
          </cell>
          <cell r="U744" t="str">
            <v>-</v>
          </cell>
        </row>
        <row r="745">
          <cell r="B745" t="str">
            <v>WT18X105</v>
          </cell>
          <cell r="C745">
            <v>30.9</v>
          </cell>
          <cell r="D745">
            <v>18.3</v>
          </cell>
          <cell r="F745" t="str">
            <v>-</v>
          </cell>
          <cell r="H745" t="str">
            <v>-</v>
          </cell>
          <cell r="I745">
            <v>12.2</v>
          </cell>
          <cell r="K745" t="str">
            <v>-</v>
          </cell>
          <cell r="L745" t="str">
            <v>-</v>
          </cell>
          <cell r="M745">
            <v>21.993862780330335</v>
          </cell>
          <cell r="O745">
            <v>0.83</v>
          </cell>
          <cell r="T745" t="str">
            <v>-</v>
          </cell>
          <cell r="U745" t="str">
            <v>-</v>
          </cell>
        </row>
        <row r="746">
          <cell r="B746" t="str">
            <v>WT18X97</v>
          </cell>
          <cell r="C746">
            <v>28.5</v>
          </cell>
          <cell r="D746">
            <v>18.2</v>
          </cell>
          <cell r="F746" t="str">
            <v>-</v>
          </cell>
          <cell r="H746" t="str">
            <v>-</v>
          </cell>
          <cell r="I746">
            <v>12.1</v>
          </cell>
          <cell r="K746" t="str">
            <v>-</v>
          </cell>
          <cell r="L746" t="str">
            <v>-</v>
          </cell>
          <cell r="M746">
            <v>21.85520532962342</v>
          </cell>
          <cell r="O746">
            <v>0.76500000000000001</v>
          </cell>
          <cell r="T746" t="str">
            <v>-</v>
          </cell>
          <cell r="U746" t="str">
            <v>-</v>
          </cell>
        </row>
        <row r="747">
          <cell r="B747" t="str">
            <v>WT18X91</v>
          </cell>
          <cell r="C747">
            <v>26.8</v>
          </cell>
          <cell r="D747">
            <v>18.2</v>
          </cell>
          <cell r="F747" t="str">
            <v>-</v>
          </cell>
          <cell r="H747" t="str">
            <v>-</v>
          </cell>
          <cell r="I747">
            <v>12.1</v>
          </cell>
          <cell r="K747" t="str">
            <v>-</v>
          </cell>
          <cell r="L747" t="str">
            <v>-</v>
          </cell>
          <cell r="M747">
            <v>21.85520532962342</v>
          </cell>
          <cell r="O747">
            <v>0.72499999999999998</v>
          </cell>
          <cell r="T747" t="str">
            <v>-</v>
          </cell>
          <cell r="U747" t="str">
            <v>-</v>
          </cell>
        </row>
        <row r="748">
          <cell r="B748" t="str">
            <v>WT18X85</v>
          </cell>
          <cell r="C748">
            <v>25</v>
          </cell>
          <cell r="D748">
            <v>18.100000000000001</v>
          </cell>
          <cell r="F748" t="str">
            <v>-</v>
          </cell>
          <cell r="H748" t="str">
            <v>-</v>
          </cell>
          <cell r="I748">
            <v>12</v>
          </cell>
          <cell r="K748" t="str">
            <v>-</v>
          </cell>
          <cell r="L748" t="str">
            <v>-</v>
          </cell>
          <cell r="M748">
            <v>21.716583525039109</v>
          </cell>
          <cell r="O748">
            <v>0.68</v>
          </cell>
          <cell r="T748" t="str">
            <v>-</v>
          </cell>
          <cell r="U748" t="str">
            <v>-</v>
          </cell>
        </row>
        <row r="749">
          <cell r="B749" t="str">
            <v>WT18X80</v>
          </cell>
          <cell r="C749">
            <v>23.5</v>
          </cell>
          <cell r="D749">
            <v>18</v>
          </cell>
          <cell r="F749" t="str">
            <v>-</v>
          </cell>
          <cell r="H749" t="str">
            <v>-</v>
          </cell>
          <cell r="I749">
            <v>12</v>
          </cell>
          <cell r="K749" t="str">
            <v>-</v>
          </cell>
          <cell r="L749" t="str">
            <v>-</v>
          </cell>
          <cell r="M749">
            <v>21.633307652783937</v>
          </cell>
          <cell r="O749">
            <v>0.65</v>
          </cell>
          <cell r="T749" t="str">
            <v>-</v>
          </cell>
          <cell r="U749" t="str">
            <v>-</v>
          </cell>
        </row>
        <row r="750">
          <cell r="B750" t="str">
            <v>WT18X75</v>
          </cell>
          <cell r="C750">
            <v>22.1</v>
          </cell>
          <cell r="D750">
            <v>17.899999999999999</v>
          </cell>
          <cell r="F750" t="str">
            <v>-</v>
          </cell>
          <cell r="H750" t="str">
            <v>-</v>
          </cell>
          <cell r="I750">
            <v>12</v>
          </cell>
          <cell r="K750" t="str">
            <v>-</v>
          </cell>
          <cell r="L750" t="str">
            <v>-</v>
          </cell>
          <cell r="M750">
            <v>21.550174013218548</v>
          </cell>
          <cell r="O750">
            <v>0.625</v>
          </cell>
          <cell r="T750" t="str">
            <v>-</v>
          </cell>
          <cell r="U750" t="str">
            <v>-</v>
          </cell>
        </row>
        <row r="751">
          <cell r="B751" t="str">
            <v>WT18X67.5</v>
          </cell>
          <cell r="C751">
            <v>19.899999999999999</v>
          </cell>
          <cell r="D751">
            <v>17.8</v>
          </cell>
          <cell r="F751" t="str">
            <v>-</v>
          </cell>
          <cell r="H751" t="str">
            <v>-</v>
          </cell>
          <cell r="I751">
            <v>12</v>
          </cell>
          <cell r="K751" t="str">
            <v>-</v>
          </cell>
          <cell r="L751" t="str">
            <v>-</v>
          </cell>
          <cell r="M751">
            <v>21.467184258770409</v>
          </cell>
          <cell r="O751">
            <v>0.6</v>
          </cell>
          <cell r="T751" t="str">
            <v>-</v>
          </cell>
          <cell r="U751" t="str">
            <v>-</v>
          </cell>
        </row>
        <row r="752">
          <cell r="B752" t="str">
            <v>WT16.5X193.5</v>
          </cell>
          <cell r="C752">
            <v>57</v>
          </cell>
          <cell r="D752">
            <v>18</v>
          </cell>
          <cell r="F752" t="str">
            <v>-</v>
          </cell>
          <cell r="H752" t="str">
            <v>-</v>
          </cell>
          <cell r="I752">
            <v>16.2</v>
          </cell>
          <cell r="K752" t="str">
            <v>-</v>
          </cell>
          <cell r="L752" t="str">
            <v>-</v>
          </cell>
          <cell r="M752">
            <v>24.216523284732681</v>
          </cell>
          <cell r="O752">
            <v>1.26</v>
          </cell>
          <cell r="T752" t="str">
            <v>-</v>
          </cell>
          <cell r="U752" t="str">
            <v>-</v>
          </cell>
        </row>
        <row r="753">
          <cell r="B753" t="str">
            <v>WT16.5X177</v>
          </cell>
          <cell r="C753">
            <v>52.1</v>
          </cell>
          <cell r="D753">
            <v>17.8</v>
          </cell>
          <cell r="F753" t="str">
            <v>-</v>
          </cell>
          <cell r="H753" t="str">
            <v>-</v>
          </cell>
          <cell r="I753">
            <v>16.100000000000001</v>
          </cell>
          <cell r="K753" t="str">
            <v>-</v>
          </cell>
          <cell r="L753" t="str">
            <v>-</v>
          </cell>
          <cell r="M753">
            <v>24.001041644062035</v>
          </cell>
          <cell r="O753">
            <v>1.1599999999999999</v>
          </cell>
          <cell r="T753" t="str">
            <v>-</v>
          </cell>
          <cell r="U753" t="str">
            <v>-</v>
          </cell>
        </row>
        <row r="754">
          <cell r="B754" t="str">
            <v>WT16.5X159</v>
          </cell>
          <cell r="C754">
            <v>46.8</v>
          </cell>
          <cell r="D754">
            <v>17.600000000000001</v>
          </cell>
          <cell r="F754" t="str">
            <v>-</v>
          </cell>
          <cell r="H754" t="str">
            <v>-</v>
          </cell>
          <cell r="I754">
            <v>16</v>
          </cell>
          <cell r="K754" t="str">
            <v>-</v>
          </cell>
          <cell r="L754" t="str">
            <v>-</v>
          </cell>
          <cell r="M754">
            <v>23.78570999570961</v>
          </cell>
          <cell r="O754">
            <v>1.04</v>
          </cell>
          <cell r="T754" t="str">
            <v>-</v>
          </cell>
          <cell r="U754" t="str">
            <v>-</v>
          </cell>
        </row>
        <row r="755">
          <cell r="B755" t="str">
            <v>WT16.5X145.5</v>
          </cell>
          <cell r="C755">
            <v>42.8</v>
          </cell>
          <cell r="D755">
            <v>17.399999999999999</v>
          </cell>
          <cell r="F755" t="str">
            <v>-</v>
          </cell>
          <cell r="H755" t="str">
            <v>-</v>
          </cell>
          <cell r="I755">
            <v>15.9</v>
          </cell>
          <cell r="K755" t="str">
            <v>-</v>
          </cell>
          <cell r="L755" t="str">
            <v>-</v>
          </cell>
          <cell r="M755">
            <v>23.57053245049844</v>
          </cell>
          <cell r="O755">
            <v>0.96</v>
          </cell>
          <cell r="T755" t="str">
            <v>-</v>
          </cell>
          <cell r="U755" t="str">
            <v>-</v>
          </cell>
        </row>
        <row r="756">
          <cell r="B756" t="str">
            <v>WT16.5X131.5</v>
          </cell>
          <cell r="C756">
            <v>38.700000000000003</v>
          </cell>
          <cell r="D756">
            <v>17.3</v>
          </cell>
          <cell r="F756" t="str">
            <v>-</v>
          </cell>
          <cell r="H756" t="str">
            <v>-</v>
          </cell>
          <cell r="I756">
            <v>15.8</v>
          </cell>
          <cell r="K756" t="str">
            <v>-</v>
          </cell>
          <cell r="L756" t="str">
            <v>-</v>
          </cell>
          <cell r="M756">
            <v>23.429255216502295</v>
          </cell>
          <cell r="O756">
            <v>0.87</v>
          </cell>
          <cell r="T756" t="str">
            <v>-</v>
          </cell>
          <cell r="U756" t="str">
            <v>-</v>
          </cell>
        </row>
        <row r="757">
          <cell r="B757" t="str">
            <v>WT16.5X120.5</v>
          </cell>
          <cell r="C757">
            <v>35.6</v>
          </cell>
          <cell r="D757">
            <v>17.100000000000001</v>
          </cell>
          <cell r="F757" t="str">
            <v>-</v>
          </cell>
          <cell r="H757" t="str">
            <v>-</v>
          </cell>
          <cell r="I757">
            <v>15.9</v>
          </cell>
          <cell r="K757" t="str">
            <v>-</v>
          </cell>
          <cell r="L757" t="str">
            <v>-</v>
          </cell>
          <cell r="M757">
            <v>23.349946466748055</v>
          </cell>
          <cell r="O757">
            <v>0.83</v>
          </cell>
          <cell r="T757" t="str">
            <v>-</v>
          </cell>
          <cell r="U757" t="str">
            <v>-</v>
          </cell>
        </row>
        <row r="758">
          <cell r="B758" t="str">
            <v>WT16.5X110.5</v>
          </cell>
          <cell r="C758">
            <v>32.6</v>
          </cell>
          <cell r="D758">
            <v>17</v>
          </cell>
          <cell r="F758" t="str">
            <v>-</v>
          </cell>
          <cell r="H758" t="str">
            <v>-</v>
          </cell>
          <cell r="I758">
            <v>15.8</v>
          </cell>
          <cell r="K758" t="str">
            <v>-</v>
          </cell>
          <cell r="L758" t="str">
            <v>-</v>
          </cell>
          <cell r="M758">
            <v>23.208619088605854</v>
          </cell>
          <cell r="O758">
            <v>0.77500000000000002</v>
          </cell>
          <cell r="T758" t="str">
            <v>-</v>
          </cell>
          <cell r="U758" t="str">
            <v>-</v>
          </cell>
        </row>
        <row r="759">
          <cell r="B759" t="str">
            <v>WT16.5X100.5</v>
          </cell>
          <cell r="C759">
            <v>29.7</v>
          </cell>
          <cell r="D759">
            <v>16.8</v>
          </cell>
          <cell r="F759" t="str">
            <v>-</v>
          </cell>
          <cell r="H759" t="str">
            <v>-</v>
          </cell>
          <cell r="I759">
            <v>15.7</v>
          </cell>
          <cell r="K759" t="str">
            <v>-</v>
          </cell>
          <cell r="L759" t="str">
            <v>-</v>
          </cell>
          <cell r="M759">
            <v>22.994129685639333</v>
          </cell>
          <cell r="O759">
            <v>0.71499999999999997</v>
          </cell>
          <cell r="T759" t="str">
            <v>-</v>
          </cell>
          <cell r="U759" t="str">
            <v>-</v>
          </cell>
        </row>
        <row r="760">
          <cell r="B760" t="str">
            <v>WT16.5X84.5</v>
          </cell>
          <cell r="C760">
            <v>24.7</v>
          </cell>
          <cell r="D760">
            <v>16.899999999999999</v>
          </cell>
          <cell r="F760" t="str">
            <v>-</v>
          </cell>
          <cell r="H760" t="str">
            <v>-</v>
          </cell>
          <cell r="I760">
            <v>11.5</v>
          </cell>
          <cell r="K760" t="str">
            <v>-</v>
          </cell>
          <cell r="L760" t="str">
            <v>-</v>
          </cell>
          <cell r="M760">
            <v>20.441624201613724</v>
          </cell>
          <cell r="O760">
            <v>0.67</v>
          </cell>
          <cell r="T760" t="str">
            <v>-</v>
          </cell>
          <cell r="U760" t="str">
            <v>-</v>
          </cell>
        </row>
        <row r="761">
          <cell r="B761" t="str">
            <v>WT16.5X76</v>
          </cell>
          <cell r="C761">
            <v>22.5</v>
          </cell>
          <cell r="D761">
            <v>16.7</v>
          </cell>
          <cell r="F761" t="str">
            <v>-</v>
          </cell>
          <cell r="H761" t="str">
            <v>-</v>
          </cell>
          <cell r="I761">
            <v>11.6</v>
          </cell>
          <cell r="K761" t="str">
            <v>-</v>
          </cell>
          <cell r="L761" t="str">
            <v>-</v>
          </cell>
          <cell r="M761">
            <v>20.333469944896272</v>
          </cell>
          <cell r="O761">
            <v>0.63500000000000001</v>
          </cell>
          <cell r="T761" t="str">
            <v>-</v>
          </cell>
          <cell r="U761" t="str">
            <v>-</v>
          </cell>
        </row>
        <row r="762">
          <cell r="B762" t="str">
            <v>WT16.5X70.5</v>
          </cell>
          <cell r="C762">
            <v>20.7</v>
          </cell>
          <cell r="D762">
            <v>16.7</v>
          </cell>
          <cell r="F762" t="str">
            <v>-</v>
          </cell>
          <cell r="H762" t="str">
            <v>-</v>
          </cell>
          <cell r="I762">
            <v>11.5</v>
          </cell>
          <cell r="K762" t="str">
            <v>-</v>
          </cell>
          <cell r="L762" t="str">
            <v>-</v>
          </cell>
          <cell r="M762">
            <v>20.276587484091102</v>
          </cell>
          <cell r="O762">
            <v>0.60499999999999998</v>
          </cell>
          <cell r="T762" t="str">
            <v>-</v>
          </cell>
          <cell r="U762" t="str">
            <v>-</v>
          </cell>
        </row>
        <row r="763">
          <cell r="B763" t="str">
            <v>WT16.5X65</v>
          </cell>
          <cell r="C763">
            <v>19.100000000000001</v>
          </cell>
          <cell r="D763">
            <v>16.5</v>
          </cell>
          <cell r="F763" t="str">
            <v>-</v>
          </cell>
          <cell r="H763" t="str">
            <v>-</v>
          </cell>
          <cell r="I763">
            <v>11.5</v>
          </cell>
          <cell r="K763" t="str">
            <v>-</v>
          </cell>
          <cell r="L763" t="str">
            <v>-</v>
          </cell>
          <cell r="M763">
            <v>20.112185361118765</v>
          </cell>
          <cell r="O763">
            <v>0.57999999999999996</v>
          </cell>
          <cell r="T763" t="str">
            <v>-</v>
          </cell>
          <cell r="U763" t="str">
            <v>-</v>
          </cell>
        </row>
        <row r="764">
          <cell r="B764" t="str">
            <v>WT16.5X59</v>
          </cell>
          <cell r="C764">
            <v>17.399999999999999</v>
          </cell>
          <cell r="D764">
            <v>16.399999999999999</v>
          </cell>
          <cell r="F764" t="str">
            <v>-</v>
          </cell>
          <cell r="H764" t="str">
            <v>-</v>
          </cell>
          <cell r="I764">
            <v>11.5</v>
          </cell>
          <cell r="K764" t="str">
            <v>-</v>
          </cell>
          <cell r="L764" t="str">
            <v>-</v>
          </cell>
          <cell r="M764">
            <v>20.030227157973023</v>
          </cell>
          <cell r="O764">
            <v>0.55000000000000004</v>
          </cell>
          <cell r="T764" t="str">
            <v>-</v>
          </cell>
          <cell r="U764" t="str">
            <v>-</v>
          </cell>
        </row>
        <row r="765">
          <cell r="B765" t="str">
            <v>WT15X195.5</v>
          </cell>
          <cell r="C765">
            <v>57.6</v>
          </cell>
          <cell r="D765">
            <v>16.600000000000001</v>
          </cell>
          <cell r="F765" t="str">
            <v>-</v>
          </cell>
          <cell r="H765" t="str">
            <v>-</v>
          </cell>
          <cell r="I765">
            <v>15.6</v>
          </cell>
          <cell r="K765" t="str">
            <v>-</v>
          </cell>
          <cell r="L765" t="str">
            <v>-</v>
          </cell>
          <cell r="M765">
            <v>22.779815626997511</v>
          </cell>
          <cell r="O765">
            <v>1.36</v>
          </cell>
          <cell r="T765" t="str">
            <v>-</v>
          </cell>
          <cell r="U765" t="str">
            <v>-</v>
          </cell>
        </row>
        <row r="766">
          <cell r="B766" t="str">
            <v>WT15X178.5</v>
          </cell>
          <cell r="C766">
            <v>52.5</v>
          </cell>
          <cell r="D766">
            <v>16.399999999999999</v>
          </cell>
          <cell r="F766" t="str">
            <v>-</v>
          </cell>
          <cell r="H766" t="str">
            <v>-</v>
          </cell>
          <cell r="I766">
            <v>15.5</v>
          </cell>
          <cell r="K766" t="str">
            <v>-</v>
          </cell>
          <cell r="L766" t="str">
            <v>-</v>
          </cell>
          <cell r="M766">
            <v>22.565681908597398</v>
          </cell>
          <cell r="O766">
            <v>1.24</v>
          </cell>
          <cell r="T766" t="str">
            <v>-</v>
          </cell>
          <cell r="U766" t="str">
            <v>-</v>
          </cell>
        </row>
        <row r="767">
          <cell r="B767" t="str">
            <v>WT15X163</v>
          </cell>
          <cell r="C767">
            <v>48</v>
          </cell>
          <cell r="D767">
            <v>16.2</v>
          </cell>
          <cell r="F767" t="str">
            <v>-</v>
          </cell>
          <cell r="H767" t="str">
            <v>-</v>
          </cell>
          <cell r="I767">
            <v>15.4</v>
          </cell>
          <cell r="K767" t="str">
            <v>-</v>
          </cell>
          <cell r="L767" t="str">
            <v>-</v>
          </cell>
          <cell r="M767">
            <v>22.351733713517618</v>
          </cell>
          <cell r="O767">
            <v>1.1399999999999999</v>
          </cell>
          <cell r="T767" t="str">
            <v>-</v>
          </cell>
          <cell r="U767" t="str">
            <v>-</v>
          </cell>
        </row>
        <row r="768">
          <cell r="B768" t="str">
            <v>WT15X146</v>
          </cell>
          <cell r="C768">
            <v>43</v>
          </cell>
          <cell r="D768">
            <v>16</v>
          </cell>
          <cell r="F768" t="str">
            <v>-</v>
          </cell>
          <cell r="H768" t="str">
            <v>-</v>
          </cell>
          <cell r="I768">
            <v>15.3</v>
          </cell>
          <cell r="K768" t="str">
            <v>-</v>
          </cell>
          <cell r="L768" t="str">
            <v>-</v>
          </cell>
          <cell r="M768">
            <v>22.137976420621648</v>
          </cell>
          <cell r="O768">
            <v>1.02</v>
          </cell>
          <cell r="T768" t="str">
            <v>-</v>
          </cell>
          <cell r="U768" t="str">
            <v>-</v>
          </cell>
        </row>
        <row r="769">
          <cell r="B769" t="str">
            <v>WT15X130.5</v>
          </cell>
          <cell r="C769">
            <v>38.5</v>
          </cell>
          <cell r="D769">
            <v>15.8</v>
          </cell>
          <cell r="F769" t="str">
            <v>-</v>
          </cell>
          <cell r="H769" t="str">
            <v>-</v>
          </cell>
          <cell r="I769">
            <v>15.2</v>
          </cell>
          <cell r="K769" t="str">
            <v>-</v>
          </cell>
          <cell r="L769" t="str">
            <v>-</v>
          </cell>
          <cell r="M769">
            <v>21.924415613648634</v>
          </cell>
          <cell r="O769">
            <v>0.93</v>
          </cell>
          <cell r="T769" t="str">
            <v>-</v>
          </cell>
          <cell r="U769" t="str">
            <v>-</v>
          </cell>
        </row>
        <row r="770">
          <cell r="B770" t="str">
            <v>WT15X117.5</v>
          </cell>
          <cell r="C770">
            <v>34.700000000000003</v>
          </cell>
          <cell r="D770">
            <v>15.7</v>
          </cell>
          <cell r="F770" t="str">
            <v>-</v>
          </cell>
          <cell r="H770" t="str">
            <v>-</v>
          </cell>
          <cell r="I770">
            <v>15.1</v>
          </cell>
          <cell r="K770" t="str">
            <v>-</v>
          </cell>
          <cell r="L770" t="str">
            <v>-</v>
          </cell>
          <cell r="M770">
            <v>21.783020910791965</v>
          </cell>
          <cell r="O770">
            <v>0.83</v>
          </cell>
          <cell r="T770" t="str">
            <v>-</v>
          </cell>
          <cell r="U770" t="str">
            <v>-</v>
          </cell>
        </row>
        <row r="771">
          <cell r="B771" t="str">
            <v>WT15X105.5</v>
          </cell>
          <cell r="C771">
            <v>31.1</v>
          </cell>
          <cell r="D771">
            <v>15.5</v>
          </cell>
          <cell r="F771" t="str">
            <v>-</v>
          </cell>
          <cell r="H771" t="str">
            <v>-</v>
          </cell>
          <cell r="I771">
            <v>15.1</v>
          </cell>
          <cell r="K771" t="str">
            <v>-</v>
          </cell>
          <cell r="L771" t="str">
            <v>-</v>
          </cell>
          <cell r="M771">
            <v>21.639316070523115</v>
          </cell>
          <cell r="O771">
            <v>0.77500000000000002</v>
          </cell>
          <cell r="T771" t="str">
            <v>-</v>
          </cell>
          <cell r="U771" t="str">
            <v>-</v>
          </cell>
        </row>
        <row r="772">
          <cell r="B772" t="str">
            <v>WT15X95.5</v>
          </cell>
          <cell r="C772">
            <v>28</v>
          </cell>
          <cell r="D772">
            <v>15.3</v>
          </cell>
          <cell r="F772" t="str">
            <v>-</v>
          </cell>
          <cell r="H772" t="str">
            <v>-</v>
          </cell>
          <cell r="I772">
            <v>15</v>
          </cell>
          <cell r="K772" t="str">
            <v>-</v>
          </cell>
          <cell r="L772" t="str">
            <v>-</v>
          </cell>
          <cell r="M772">
            <v>21.426385602802913</v>
          </cell>
          <cell r="O772">
            <v>0.71</v>
          </cell>
          <cell r="T772" t="str">
            <v>-</v>
          </cell>
          <cell r="U772" t="str">
            <v>-</v>
          </cell>
        </row>
        <row r="773">
          <cell r="B773" t="str">
            <v>WT15X86.5</v>
          </cell>
          <cell r="C773">
            <v>25.4</v>
          </cell>
          <cell r="D773">
            <v>15.2</v>
          </cell>
          <cell r="F773" t="str">
            <v>-</v>
          </cell>
          <cell r="H773" t="str">
            <v>-</v>
          </cell>
          <cell r="I773">
            <v>15</v>
          </cell>
          <cell r="K773" t="str">
            <v>-</v>
          </cell>
          <cell r="L773" t="str">
            <v>-</v>
          </cell>
          <cell r="M773">
            <v>21.35509306933594</v>
          </cell>
          <cell r="O773">
            <v>0.65500000000000003</v>
          </cell>
          <cell r="T773" t="str">
            <v>-</v>
          </cell>
          <cell r="U773" t="str">
            <v>-</v>
          </cell>
        </row>
        <row r="774">
          <cell r="B774" t="str">
            <v>WT15X74</v>
          </cell>
          <cell r="C774">
            <v>21.8</v>
          </cell>
          <cell r="D774">
            <v>15.3</v>
          </cell>
          <cell r="F774" t="str">
            <v>-</v>
          </cell>
          <cell r="H774" t="str">
            <v>-</v>
          </cell>
          <cell r="I774">
            <v>10.5</v>
          </cell>
          <cell r="K774" t="str">
            <v>-</v>
          </cell>
          <cell r="L774" t="str">
            <v>-</v>
          </cell>
          <cell r="M774">
            <v>18.556400513030539</v>
          </cell>
          <cell r="O774">
            <v>0.65</v>
          </cell>
          <cell r="T774" t="str">
            <v>-</v>
          </cell>
          <cell r="U774" t="str">
            <v>-</v>
          </cell>
        </row>
        <row r="775">
          <cell r="B775" t="str">
            <v>WT15X66</v>
          </cell>
          <cell r="C775">
            <v>19.5</v>
          </cell>
          <cell r="D775">
            <v>15.2</v>
          </cell>
          <cell r="F775" t="str">
            <v>-</v>
          </cell>
          <cell r="H775" t="str">
            <v>-</v>
          </cell>
          <cell r="I775">
            <v>10.5</v>
          </cell>
          <cell r="K775" t="str">
            <v>-</v>
          </cell>
          <cell r="L775" t="str">
            <v>-</v>
          </cell>
          <cell r="M775">
            <v>18.474035834110531</v>
          </cell>
          <cell r="O775">
            <v>0.61499999999999999</v>
          </cell>
          <cell r="T775" t="str">
            <v>-</v>
          </cell>
          <cell r="U775" t="str">
            <v>-</v>
          </cell>
        </row>
        <row r="776">
          <cell r="B776" t="str">
            <v>WT15X62</v>
          </cell>
          <cell r="C776">
            <v>18.2</v>
          </cell>
          <cell r="D776">
            <v>15.1</v>
          </cell>
          <cell r="F776" t="str">
            <v>-</v>
          </cell>
          <cell r="H776" t="str">
            <v>-</v>
          </cell>
          <cell r="I776">
            <v>10.5</v>
          </cell>
          <cell r="K776" t="str">
            <v>-</v>
          </cell>
          <cell r="L776" t="str">
            <v>-</v>
          </cell>
          <cell r="M776">
            <v>18.391846019364124</v>
          </cell>
          <cell r="O776">
            <v>0.58499999999999996</v>
          </cell>
          <cell r="T776" t="str">
            <v>-</v>
          </cell>
          <cell r="U776" t="str">
            <v>-</v>
          </cell>
        </row>
        <row r="777">
          <cell r="B777" t="str">
            <v>WT15X58</v>
          </cell>
          <cell r="C777">
            <v>17.100000000000001</v>
          </cell>
          <cell r="D777">
            <v>15</v>
          </cell>
          <cell r="F777" t="str">
            <v>-</v>
          </cell>
          <cell r="H777" t="str">
            <v>-</v>
          </cell>
          <cell r="I777">
            <v>10.5</v>
          </cell>
          <cell r="K777" t="str">
            <v>-</v>
          </cell>
          <cell r="L777" t="str">
            <v>-</v>
          </cell>
          <cell r="M777">
            <v>18.309833423600555</v>
          </cell>
          <cell r="O777">
            <v>0.56499999999999995</v>
          </cell>
          <cell r="T777" t="str">
            <v>-</v>
          </cell>
          <cell r="U777" t="str">
            <v>-</v>
          </cell>
        </row>
        <row r="778">
          <cell r="B778" t="str">
            <v>WT15X54</v>
          </cell>
          <cell r="C778">
            <v>15.9</v>
          </cell>
          <cell r="D778">
            <v>14.9</v>
          </cell>
          <cell r="F778" t="str">
            <v>-</v>
          </cell>
          <cell r="H778" t="str">
            <v>-</v>
          </cell>
          <cell r="I778">
            <v>10.5</v>
          </cell>
          <cell r="K778" t="str">
            <v>-</v>
          </cell>
          <cell r="L778" t="str">
            <v>-</v>
          </cell>
          <cell r="M778">
            <v>18.228000438885225</v>
          </cell>
          <cell r="O778">
            <v>0.54500000000000004</v>
          </cell>
          <cell r="T778" t="str">
            <v>-</v>
          </cell>
          <cell r="U778" t="str">
            <v>-</v>
          </cell>
        </row>
        <row r="779">
          <cell r="B779" t="str">
            <v>WT15X49.5</v>
          </cell>
          <cell r="C779">
            <v>14.5</v>
          </cell>
          <cell r="D779">
            <v>14.8</v>
          </cell>
          <cell r="F779" t="str">
            <v>-</v>
          </cell>
          <cell r="H779" t="str">
            <v>-</v>
          </cell>
          <cell r="I779">
            <v>10.5</v>
          </cell>
          <cell r="K779" t="str">
            <v>-</v>
          </cell>
          <cell r="L779" t="str">
            <v>-</v>
          </cell>
          <cell r="M779">
            <v>18.146349495146399</v>
          </cell>
          <cell r="O779">
            <v>0.52</v>
          </cell>
          <cell r="T779" t="str">
            <v>-</v>
          </cell>
          <cell r="U779" t="str">
            <v>-</v>
          </cell>
        </row>
        <row r="780">
          <cell r="B780" t="str">
            <v>WT15X45</v>
          </cell>
          <cell r="C780">
            <v>13.2</v>
          </cell>
          <cell r="D780">
            <v>14.8</v>
          </cell>
          <cell r="F780" t="str">
            <v>-</v>
          </cell>
          <cell r="H780" t="str">
            <v>-</v>
          </cell>
          <cell r="I780">
            <v>10.4</v>
          </cell>
          <cell r="K780" t="str">
            <v>-</v>
          </cell>
          <cell r="L780" t="str">
            <v>-</v>
          </cell>
          <cell r="M780">
            <v>18.088670487352022</v>
          </cell>
          <cell r="O780">
            <v>0.47</v>
          </cell>
          <cell r="T780" t="str">
            <v>-</v>
          </cell>
          <cell r="U780" t="str">
            <v>-</v>
          </cell>
        </row>
        <row r="781">
          <cell r="B781" t="str">
            <v>WT13.5X269.5</v>
          </cell>
          <cell r="C781">
            <v>79.3</v>
          </cell>
          <cell r="D781">
            <v>16.3</v>
          </cell>
          <cell r="F781" t="str">
            <v>-</v>
          </cell>
          <cell r="H781" t="str">
            <v>-</v>
          </cell>
          <cell r="I781">
            <v>15.3</v>
          </cell>
          <cell r="K781" t="str">
            <v>-</v>
          </cell>
          <cell r="L781" t="str">
            <v>-</v>
          </cell>
          <cell r="M781">
            <v>22.355759884199866</v>
          </cell>
          <cell r="O781">
            <v>1.97</v>
          </cell>
          <cell r="T781" t="str">
            <v>-</v>
          </cell>
          <cell r="U781" t="str">
            <v>-</v>
          </cell>
        </row>
        <row r="782">
          <cell r="B782" t="str">
            <v>WT13.5X184</v>
          </cell>
          <cell r="C782">
            <v>54.2</v>
          </cell>
          <cell r="D782">
            <v>15.2</v>
          </cell>
          <cell r="F782" t="str">
            <v>-</v>
          </cell>
          <cell r="H782" t="str">
            <v>-</v>
          </cell>
          <cell r="I782">
            <v>14.7</v>
          </cell>
          <cell r="K782" t="str">
            <v>-</v>
          </cell>
          <cell r="L782" t="str">
            <v>-</v>
          </cell>
          <cell r="M782">
            <v>21.145448682872633</v>
          </cell>
          <cell r="O782">
            <v>1.38</v>
          </cell>
          <cell r="T782" t="str">
            <v>-</v>
          </cell>
          <cell r="U782" t="str">
            <v>-</v>
          </cell>
        </row>
        <row r="783">
          <cell r="B783" t="str">
            <v>WT13.5X168</v>
          </cell>
          <cell r="C783">
            <v>49.5</v>
          </cell>
          <cell r="D783">
            <v>15</v>
          </cell>
          <cell r="F783" t="str">
            <v>-</v>
          </cell>
          <cell r="H783" t="str">
            <v>-</v>
          </cell>
          <cell r="I783">
            <v>14.6</v>
          </cell>
          <cell r="K783" t="str">
            <v>-</v>
          </cell>
          <cell r="L783" t="str">
            <v>-</v>
          </cell>
          <cell r="M783">
            <v>20.932271735289508</v>
          </cell>
          <cell r="O783">
            <v>1.26</v>
          </cell>
          <cell r="T783" t="str">
            <v>-</v>
          </cell>
          <cell r="U783" t="str">
            <v>-</v>
          </cell>
        </row>
        <row r="784">
          <cell r="B784" t="str">
            <v>WT13.5X153.5</v>
          </cell>
          <cell r="C784">
            <v>45.2</v>
          </cell>
          <cell r="D784">
            <v>14.8</v>
          </cell>
          <cell r="F784" t="str">
            <v>-</v>
          </cell>
          <cell r="H784" t="str">
            <v>-</v>
          </cell>
          <cell r="I784">
            <v>14.4</v>
          </cell>
          <cell r="K784" t="str">
            <v>-</v>
          </cell>
          <cell r="L784" t="str">
            <v>-</v>
          </cell>
          <cell r="M784">
            <v>20.649455198624491</v>
          </cell>
          <cell r="O784">
            <v>1.1599999999999999</v>
          </cell>
          <cell r="T784" t="str">
            <v>-</v>
          </cell>
          <cell r="U784" t="str">
            <v>-</v>
          </cell>
        </row>
        <row r="785">
          <cell r="B785" t="str">
            <v>WT13.5X140.5</v>
          </cell>
          <cell r="C785">
            <v>41.5</v>
          </cell>
          <cell r="D785">
            <v>14.6</v>
          </cell>
          <cell r="F785" t="str">
            <v>-</v>
          </cell>
          <cell r="H785" t="str">
            <v>-</v>
          </cell>
          <cell r="I785">
            <v>14.4</v>
          </cell>
          <cell r="K785" t="str">
            <v>-</v>
          </cell>
          <cell r="L785" t="str">
            <v>-</v>
          </cell>
          <cell r="M785">
            <v>20.506584308460539</v>
          </cell>
          <cell r="O785">
            <v>1.06</v>
          </cell>
          <cell r="T785" t="str">
            <v>-</v>
          </cell>
          <cell r="U785" t="str">
            <v>-</v>
          </cell>
        </row>
        <row r="786">
          <cell r="B786" t="str">
            <v>WT13.5X129</v>
          </cell>
          <cell r="C786">
            <v>38.1</v>
          </cell>
          <cell r="D786">
            <v>14.5</v>
          </cell>
          <cell r="F786" t="str">
            <v>-</v>
          </cell>
          <cell r="H786" t="str">
            <v>-</v>
          </cell>
          <cell r="I786">
            <v>14.3</v>
          </cell>
          <cell r="K786" t="str">
            <v>-</v>
          </cell>
          <cell r="L786" t="str">
            <v>-</v>
          </cell>
          <cell r="M786">
            <v>20.36516633862832</v>
          </cell>
          <cell r="O786">
            <v>0.98</v>
          </cell>
          <cell r="T786" t="str">
            <v>-</v>
          </cell>
          <cell r="U786" t="str">
            <v>-</v>
          </cell>
        </row>
        <row r="787">
          <cell r="B787" t="str">
            <v>WT13.5X117.5</v>
          </cell>
          <cell r="C787">
            <v>34.700000000000003</v>
          </cell>
          <cell r="D787">
            <v>14.3</v>
          </cell>
          <cell r="F787" t="str">
            <v>-</v>
          </cell>
          <cell r="H787" t="str">
            <v>-</v>
          </cell>
          <cell r="I787">
            <v>14.2</v>
          </cell>
          <cell r="K787" t="str">
            <v>-</v>
          </cell>
          <cell r="L787" t="str">
            <v>-</v>
          </cell>
          <cell r="M787">
            <v>20.152667317256046</v>
          </cell>
          <cell r="O787">
            <v>0.91</v>
          </cell>
          <cell r="T787" t="str">
            <v>-</v>
          </cell>
          <cell r="U787" t="str">
            <v>-</v>
          </cell>
        </row>
        <row r="788">
          <cell r="B788" t="str">
            <v>WT13.5X108.5</v>
          </cell>
          <cell r="C788">
            <v>32</v>
          </cell>
          <cell r="D788">
            <v>14.2</v>
          </cell>
          <cell r="F788" t="str">
            <v>-</v>
          </cell>
          <cell r="H788" t="str">
            <v>-</v>
          </cell>
          <cell r="I788">
            <v>14.1</v>
          </cell>
          <cell r="K788" t="str">
            <v>-</v>
          </cell>
          <cell r="L788" t="str">
            <v>-</v>
          </cell>
          <cell r="M788">
            <v>20.011246837716033</v>
          </cell>
          <cell r="O788">
            <v>0.83</v>
          </cell>
          <cell r="T788" t="str">
            <v>-</v>
          </cell>
          <cell r="U788" t="str">
            <v>-</v>
          </cell>
        </row>
        <row r="789">
          <cell r="B789" t="str">
            <v>WT13.5X97</v>
          </cell>
          <cell r="C789">
            <v>28.6</v>
          </cell>
          <cell r="D789">
            <v>14.1</v>
          </cell>
          <cell r="F789" t="str">
            <v>-</v>
          </cell>
          <cell r="H789" t="str">
            <v>-</v>
          </cell>
          <cell r="I789">
            <v>14</v>
          </cell>
          <cell r="K789" t="str">
            <v>-</v>
          </cell>
          <cell r="L789" t="str">
            <v>-</v>
          </cell>
          <cell r="M789">
            <v>19.869826370655584</v>
          </cell>
          <cell r="O789">
            <v>0.75</v>
          </cell>
          <cell r="T789" t="str">
            <v>-</v>
          </cell>
          <cell r="U789" t="str">
            <v>-</v>
          </cell>
        </row>
        <row r="790">
          <cell r="B790" t="str">
            <v>WT13.5X89</v>
          </cell>
          <cell r="C790">
            <v>26.3</v>
          </cell>
          <cell r="D790">
            <v>13.9</v>
          </cell>
          <cell r="F790" t="str">
            <v>-</v>
          </cell>
          <cell r="H790" t="str">
            <v>-</v>
          </cell>
          <cell r="I790">
            <v>14.1</v>
          </cell>
          <cell r="K790" t="str">
            <v>-</v>
          </cell>
          <cell r="L790" t="str">
            <v>-</v>
          </cell>
          <cell r="M790">
            <v>19.799494943053471</v>
          </cell>
          <cell r="O790">
            <v>0.72499999999999998</v>
          </cell>
          <cell r="T790" t="str">
            <v>-</v>
          </cell>
          <cell r="U790" t="str">
            <v>-</v>
          </cell>
        </row>
        <row r="791">
          <cell r="B791" t="str">
            <v>WT13.5X80.5</v>
          </cell>
          <cell r="C791">
            <v>23.8</v>
          </cell>
          <cell r="D791">
            <v>13.8</v>
          </cell>
          <cell r="F791" t="str">
            <v>-</v>
          </cell>
          <cell r="H791" t="str">
            <v>-</v>
          </cell>
          <cell r="I791">
            <v>14</v>
          </cell>
          <cell r="K791" t="str">
            <v>-</v>
          </cell>
          <cell r="L791" t="str">
            <v>-</v>
          </cell>
          <cell r="M791">
            <v>19.658077220318372</v>
          </cell>
          <cell r="O791">
            <v>0.66</v>
          </cell>
          <cell r="T791" t="str">
            <v>-</v>
          </cell>
          <cell r="U791" t="str">
            <v>-</v>
          </cell>
        </row>
        <row r="792">
          <cell r="B792" t="str">
            <v>WT13.5X73</v>
          </cell>
          <cell r="C792">
            <v>21.6</v>
          </cell>
          <cell r="D792">
            <v>13.7</v>
          </cell>
          <cell r="F792" t="str">
            <v>-</v>
          </cell>
          <cell r="H792" t="str">
            <v>-</v>
          </cell>
          <cell r="I792">
            <v>14</v>
          </cell>
          <cell r="K792" t="str">
            <v>-</v>
          </cell>
          <cell r="L792" t="str">
            <v>-</v>
          </cell>
          <cell r="M792">
            <v>19.588006534611935</v>
          </cell>
          <cell r="O792">
            <v>0.60499999999999998</v>
          </cell>
          <cell r="T792" t="str">
            <v>-</v>
          </cell>
          <cell r="U792" t="str">
            <v>-</v>
          </cell>
        </row>
        <row r="793">
          <cell r="B793" t="str">
            <v>WT13.5X64.5</v>
          </cell>
          <cell r="C793">
            <v>18.899999999999999</v>
          </cell>
          <cell r="D793">
            <v>13.8</v>
          </cell>
          <cell r="F793" t="str">
            <v>-</v>
          </cell>
          <cell r="H793" t="str">
            <v>-</v>
          </cell>
          <cell r="I793">
            <v>10</v>
          </cell>
          <cell r="K793" t="str">
            <v>-</v>
          </cell>
          <cell r="L793" t="str">
            <v>-</v>
          </cell>
          <cell r="M793">
            <v>17.042300314218149</v>
          </cell>
          <cell r="O793">
            <v>0.61</v>
          </cell>
          <cell r="T793" t="str">
            <v>-</v>
          </cell>
          <cell r="U793" t="str">
            <v>-</v>
          </cell>
        </row>
        <row r="794">
          <cell r="B794" t="str">
            <v>WT13.5X57</v>
          </cell>
          <cell r="C794">
            <v>16.8</v>
          </cell>
          <cell r="D794">
            <v>13.6</v>
          </cell>
          <cell r="F794" t="str">
            <v>-</v>
          </cell>
          <cell r="H794" t="str">
            <v>-</v>
          </cell>
          <cell r="I794">
            <v>10.1</v>
          </cell>
          <cell r="K794" t="str">
            <v>-</v>
          </cell>
          <cell r="L794" t="str">
            <v>-</v>
          </cell>
          <cell r="M794">
            <v>16.940188900953849</v>
          </cell>
          <cell r="O794">
            <v>0.56999999999999995</v>
          </cell>
          <cell r="T794" t="str">
            <v>-</v>
          </cell>
          <cell r="U794" t="str">
            <v>-</v>
          </cell>
        </row>
        <row r="795">
          <cell r="B795" t="str">
            <v>WT13.5X51</v>
          </cell>
          <cell r="C795">
            <v>15</v>
          </cell>
          <cell r="D795">
            <v>13.5</v>
          </cell>
          <cell r="F795" t="str">
            <v>-</v>
          </cell>
          <cell r="H795" t="str">
            <v>-</v>
          </cell>
          <cell r="I795">
            <v>10</v>
          </cell>
          <cell r="K795" t="str">
            <v>-</v>
          </cell>
          <cell r="L795" t="str">
            <v>-</v>
          </cell>
          <cell r="M795">
            <v>16.800297616411441</v>
          </cell>
          <cell r="O795">
            <v>0.51500000000000001</v>
          </cell>
          <cell r="T795" t="str">
            <v>-</v>
          </cell>
          <cell r="U795" t="str">
            <v>-</v>
          </cell>
        </row>
        <row r="796">
          <cell r="B796" t="str">
            <v>WT13.5X47</v>
          </cell>
          <cell r="C796">
            <v>13.8</v>
          </cell>
          <cell r="D796">
            <v>13.5</v>
          </cell>
          <cell r="F796" t="str">
            <v>-</v>
          </cell>
          <cell r="H796" t="str">
            <v>-</v>
          </cell>
          <cell r="I796">
            <v>10</v>
          </cell>
          <cell r="K796" t="str">
            <v>-</v>
          </cell>
          <cell r="L796" t="str">
            <v>-</v>
          </cell>
          <cell r="M796">
            <v>16.800297616411441</v>
          </cell>
          <cell r="O796">
            <v>0.49</v>
          </cell>
          <cell r="T796" t="str">
            <v>-</v>
          </cell>
          <cell r="U796" t="str">
            <v>-</v>
          </cell>
        </row>
        <row r="797">
          <cell r="B797" t="str">
            <v>WT13.5X42</v>
          </cell>
          <cell r="C797">
            <v>12.4</v>
          </cell>
          <cell r="D797">
            <v>13.4</v>
          </cell>
          <cell r="F797" t="str">
            <v>-</v>
          </cell>
          <cell r="H797" t="str">
            <v>-</v>
          </cell>
          <cell r="I797">
            <v>10</v>
          </cell>
          <cell r="K797" t="str">
            <v>-</v>
          </cell>
          <cell r="L797" t="str">
            <v>-</v>
          </cell>
          <cell r="M797">
            <v>16.72004784682149</v>
          </cell>
          <cell r="O797">
            <v>0.46</v>
          </cell>
          <cell r="T797" t="str">
            <v>-</v>
          </cell>
          <cell r="U797" t="str">
            <v>-</v>
          </cell>
        </row>
        <row r="798">
          <cell r="B798" t="str">
            <v>WT12X185</v>
          </cell>
          <cell r="C798">
            <v>54.5</v>
          </cell>
          <cell r="D798">
            <v>14</v>
          </cell>
          <cell r="F798" t="str">
            <v>-</v>
          </cell>
          <cell r="H798" t="str">
            <v>-</v>
          </cell>
          <cell r="I798">
            <v>13.7</v>
          </cell>
          <cell r="K798" t="str">
            <v>-</v>
          </cell>
          <cell r="L798" t="str">
            <v>-</v>
          </cell>
          <cell r="M798">
            <v>19.588006534611935</v>
          </cell>
          <cell r="O798">
            <v>1.52</v>
          </cell>
          <cell r="T798" t="str">
            <v>-</v>
          </cell>
          <cell r="U798" t="str">
            <v>-</v>
          </cell>
        </row>
        <row r="799">
          <cell r="B799" t="str">
            <v>WT12X167.5</v>
          </cell>
          <cell r="C799">
            <v>49.1</v>
          </cell>
          <cell r="D799">
            <v>13.8</v>
          </cell>
          <cell r="F799" t="str">
            <v>-</v>
          </cell>
          <cell r="H799" t="str">
            <v>-</v>
          </cell>
          <cell r="I799">
            <v>13.5</v>
          </cell>
          <cell r="K799" t="str">
            <v>-</v>
          </cell>
          <cell r="L799" t="str">
            <v>-</v>
          </cell>
          <cell r="M799">
            <v>19.305180651835403</v>
          </cell>
          <cell r="O799">
            <v>1.38</v>
          </cell>
          <cell r="T799" t="str">
            <v>-</v>
          </cell>
          <cell r="U799" t="str">
            <v>-</v>
          </cell>
        </row>
        <row r="800">
          <cell r="B800" t="str">
            <v>WT12X153</v>
          </cell>
          <cell r="C800">
            <v>44.9</v>
          </cell>
          <cell r="D800">
            <v>13.6</v>
          </cell>
          <cell r="F800" t="str">
            <v>-</v>
          </cell>
          <cell r="H800" t="str">
            <v>-</v>
          </cell>
          <cell r="I800">
            <v>13.4</v>
          </cell>
          <cell r="K800" t="str">
            <v>-</v>
          </cell>
          <cell r="L800" t="str">
            <v>-</v>
          </cell>
          <cell r="M800">
            <v>19.092406867652908</v>
          </cell>
          <cell r="O800">
            <v>1.26</v>
          </cell>
          <cell r="T800" t="str">
            <v>-</v>
          </cell>
          <cell r="U800" t="str">
            <v>-</v>
          </cell>
        </row>
        <row r="801">
          <cell r="B801" t="str">
            <v>WT12X139.5</v>
          </cell>
          <cell r="C801">
            <v>41</v>
          </cell>
          <cell r="D801">
            <v>13.4</v>
          </cell>
          <cell r="F801" t="str">
            <v>-</v>
          </cell>
          <cell r="H801" t="str">
            <v>-</v>
          </cell>
          <cell r="I801">
            <v>13.3</v>
          </cell>
          <cell r="K801" t="str">
            <v>-</v>
          </cell>
          <cell r="L801" t="str">
            <v>-</v>
          </cell>
          <cell r="M801">
            <v>18.87988347421668</v>
          </cell>
          <cell r="O801">
            <v>1.1599999999999999</v>
          </cell>
          <cell r="T801" t="str">
            <v>-</v>
          </cell>
          <cell r="U801" t="str">
            <v>-</v>
          </cell>
        </row>
        <row r="802">
          <cell r="B802" t="str">
            <v>WT12X125</v>
          </cell>
          <cell r="C802">
            <v>36.799999999999997</v>
          </cell>
          <cell r="D802">
            <v>13.2</v>
          </cell>
          <cell r="F802" t="str">
            <v>-</v>
          </cell>
          <cell r="H802" t="str">
            <v>-</v>
          </cell>
          <cell r="I802">
            <v>13.2</v>
          </cell>
          <cell r="K802" t="str">
            <v>-</v>
          </cell>
          <cell r="L802" t="str">
            <v>-</v>
          </cell>
          <cell r="M802">
            <v>18.667619023324853</v>
          </cell>
          <cell r="O802">
            <v>1.04</v>
          </cell>
          <cell r="T802" t="str">
            <v>-</v>
          </cell>
          <cell r="U802" t="str">
            <v>-</v>
          </cell>
        </row>
        <row r="803">
          <cell r="B803" t="str">
            <v>WT12X114.5</v>
          </cell>
          <cell r="C803">
            <v>33.6</v>
          </cell>
          <cell r="D803">
            <v>13</v>
          </cell>
          <cell r="F803" t="str">
            <v>-</v>
          </cell>
          <cell r="H803" t="str">
            <v>-</v>
          </cell>
          <cell r="I803">
            <v>13.1</v>
          </cell>
          <cell r="K803" t="str">
            <v>-</v>
          </cell>
          <cell r="L803" t="str">
            <v>-</v>
          </cell>
          <cell r="M803">
            <v>18.455622449540954</v>
          </cell>
          <cell r="O803">
            <v>0.96</v>
          </cell>
          <cell r="T803" t="str">
            <v>-</v>
          </cell>
          <cell r="U803" t="str">
            <v>-</v>
          </cell>
        </row>
        <row r="804">
          <cell r="B804" t="str">
            <v>WT12X103.5</v>
          </cell>
          <cell r="C804">
            <v>30.3</v>
          </cell>
          <cell r="D804">
            <v>12.9</v>
          </cell>
          <cell r="F804" t="str">
            <v>-</v>
          </cell>
          <cell r="H804" t="str">
            <v>-</v>
          </cell>
          <cell r="I804">
            <v>13</v>
          </cell>
          <cell r="K804" t="str">
            <v>-</v>
          </cell>
          <cell r="L804" t="str">
            <v>-</v>
          </cell>
          <cell r="M804">
            <v>18.314202139323459</v>
          </cell>
          <cell r="O804">
            <v>0.87</v>
          </cell>
          <cell r="T804" t="str">
            <v>-</v>
          </cell>
          <cell r="U804" t="str">
            <v>-</v>
          </cell>
        </row>
        <row r="805">
          <cell r="B805" t="str">
            <v>WT12X96</v>
          </cell>
          <cell r="C805">
            <v>28.2</v>
          </cell>
          <cell r="D805">
            <v>12.7</v>
          </cell>
          <cell r="F805" t="str">
            <v>-</v>
          </cell>
          <cell r="H805" t="str">
            <v>-</v>
          </cell>
          <cell r="I805">
            <v>13</v>
          </cell>
          <cell r="K805" t="str">
            <v>-</v>
          </cell>
          <cell r="L805" t="str">
            <v>-</v>
          </cell>
          <cell r="M805">
            <v>18.173882359033801</v>
          </cell>
          <cell r="O805">
            <v>0.81</v>
          </cell>
          <cell r="T805" t="str">
            <v>-</v>
          </cell>
          <cell r="U805" t="str">
            <v>-</v>
          </cell>
        </row>
        <row r="806">
          <cell r="B806" t="str">
            <v>WT12X88</v>
          </cell>
          <cell r="C806">
            <v>25.8</v>
          </cell>
          <cell r="D806">
            <v>12.6</v>
          </cell>
          <cell r="F806" t="str">
            <v>-</v>
          </cell>
          <cell r="H806" t="str">
            <v>-</v>
          </cell>
          <cell r="I806">
            <v>12.9</v>
          </cell>
          <cell r="K806" t="str">
            <v>-</v>
          </cell>
          <cell r="L806" t="str">
            <v>-</v>
          </cell>
          <cell r="M806">
            <v>18.032470712578462</v>
          </cell>
          <cell r="O806">
            <v>0.75</v>
          </cell>
          <cell r="T806" t="str">
            <v>-</v>
          </cell>
          <cell r="U806" t="str">
            <v>-</v>
          </cell>
        </row>
        <row r="807">
          <cell r="B807" t="str">
            <v>WT12X81</v>
          </cell>
          <cell r="C807">
            <v>23.9</v>
          </cell>
          <cell r="D807">
            <v>12.5</v>
          </cell>
          <cell r="F807" t="str">
            <v>-</v>
          </cell>
          <cell r="H807" t="str">
            <v>-</v>
          </cell>
          <cell r="I807">
            <v>13</v>
          </cell>
          <cell r="K807" t="str">
            <v>-</v>
          </cell>
          <cell r="L807" t="str">
            <v>-</v>
          </cell>
          <cell r="M807">
            <v>18.034688796871432</v>
          </cell>
          <cell r="O807">
            <v>0.70499999999999996</v>
          </cell>
          <cell r="T807" t="str">
            <v>-</v>
          </cell>
          <cell r="U807" t="str">
            <v>-</v>
          </cell>
        </row>
        <row r="808">
          <cell r="B808" t="str">
            <v>WT12X73</v>
          </cell>
          <cell r="C808">
            <v>21.5</v>
          </cell>
          <cell r="D808">
            <v>12.4</v>
          </cell>
          <cell r="F808" t="str">
            <v>-</v>
          </cell>
          <cell r="H808" t="str">
            <v>-</v>
          </cell>
          <cell r="I808">
            <v>12.9</v>
          </cell>
          <cell r="K808" t="str">
            <v>-</v>
          </cell>
          <cell r="L808" t="str">
            <v>-</v>
          </cell>
          <cell r="M808">
            <v>17.893294833540299</v>
          </cell>
          <cell r="O808">
            <v>0.65</v>
          </cell>
          <cell r="T808" t="str">
            <v>-</v>
          </cell>
          <cell r="U808" t="str">
            <v>-</v>
          </cell>
        </row>
        <row r="809">
          <cell r="B809" t="str">
            <v>WT12X65.5</v>
          </cell>
          <cell r="C809">
            <v>19.3</v>
          </cell>
          <cell r="D809">
            <v>12.2</v>
          </cell>
          <cell r="F809" t="str">
            <v>-</v>
          </cell>
          <cell r="H809" t="str">
            <v>-</v>
          </cell>
          <cell r="I809">
            <v>12.9</v>
          </cell>
          <cell r="K809" t="str">
            <v>-</v>
          </cell>
          <cell r="L809" t="str">
            <v>-</v>
          </cell>
          <cell r="M809">
            <v>17.755280904564703</v>
          </cell>
          <cell r="O809">
            <v>0.60499999999999998</v>
          </cell>
          <cell r="T809" t="str">
            <v>-</v>
          </cell>
          <cell r="U809" t="str">
            <v>-</v>
          </cell>
        </row>
        <row r="810">
          <cell r="B810" t="str">
            <v>WT12X58.5</v>
          </cell>
          <cell r="C810">
            <v>17.2</v>
          </cell>
          <cell r="D810">
            <v>12.1</v>
          </cell>
          <cell r="F810" t="str">
            <v>-</v>
          </cell>
          <cell r="H810" t="str">
            <v>-</v>
          </cell>
          <cell r="I810">
            <v>12.8</v>
          </cell>
          <cell r="K810" t="str">
            <v>-</v>
          </cell>
          <cell r="L810" t="str">
            <v>-</v>
          </cell>
          <cell r="M810">
            <v>17.613914953808536</v>
          </cell>
          <cell r="O810">
            <v>0.55000000000000004</v>
          </cell>
          <cell r="T810" t="str">
            <v>-</v>
          </cell>
          <cell r="U810" t="str">
            <v>-</v>
          </cell>
        </row>
        <row r="811">
          <cell r="B811" t="str">
            <v>WT12X52</v>
          </cell>
          <cell r="C811">
            <v>15.3</v>
          </cell>
          <cell r="D811">
            <v>12</v>
          </cell>
          <cell r="F811" t="str">
            <v>-</v>
          </cell>
          <cell r="H811" t="str">
            <v>-</v>
          </cell>
          <cell r="I811">
            <v>12.8</v>
          </cell>
          <cell r="K811" t="str">
            <v>-</v>
          </cell>
          <cell r="L811" t="str">
            <v>-</v>
          </cell>
          <cell r="M811">
            <v>17.545369759569049</v>
          </cell>
          <cell r="O811">
            <v>0.5</v>
          </cell>
          <cell r="T811" t="str">
            <v>-</v>
          </cell>
          <cell r="U811" t="str">
            <v>-</v>
          </cell>
        </row>
        <row r="812">
          <cell r="B812" t="str">
            <v>WT12X51.5</v>
          </cell>
          <cell r="C812">
            <v>15.1</v>
          </cell>
          <cell r="D812">
            <v>12.3</v>
          </cell>
          <cell r="F812" t="str">
            <v>-</v>
          </cell>
          <cell r="H812" t="str">
            <v>-</v>
          </cell>
          <cell r="I812">
            <v>9</v>
          </cell>
          <cell r="K812" t="str">
            <v>-</v>
          </cell>
          <cell r="L812" t="str">
            <v>-</v>
          </cell>
          <cell r="M812">
            <v>15.241062955056647</v>
          </cell>
          <cell r="O812">
            <v>0.55000000000000004</v>
          </cell>
          <cell r="T812" t="str">
            <v>-</v>
          </cell>
          <cell r="U812" t="str">
            <v>-</v>
          </cell>
        </row>
        <row r="813">
          <cell r="B813" t="str">
            <v>WT12X47</v>
          </cell>
          <cell r="C813">
            <v>13.8</v>
          </cell>
          <cell r="D813">
            <v>12.2</v>
          </cell>
          <cell r="F813" t="str">
            <v>-</v>
          </cell>
          <cell r="H813" t="str">
            <v>-</v>
          </cell>
          <cell r="I813">
            <v>9.07</v>
          </cell>
          <cell r="K813" t="str">
            <v>-</v>
          </cell>
          <cell r="L813" t="str">
            <v>-</v>
          </cell>
          <cell r="M813">
            <v>15.202134718518975</v>
          </cell>
          <cell r="O813">
            <v>0.51500000000000001</v>
          </cell>
          <cell r="T813" t="str">
            <v>-</v>
          </cell>
          <cell r="U813" t="str">
            <v>-</v>
          </cell>
        </row>
        <row r="814">
          <cell r="B814" t="str">
            <v>WT12X42</v>
          </cell>
          <cell r="C814">
            <v>12.4</v>
          </cell>
          <cell r="D814">
            <v>12.1</v>
          </cell>
          <cell r="F814" t="str">
            <v>-</v>
          </cell>
          <cell r="H814" t="str">
            <v>-</v>
          </cell>
          <cell r="I814">
            <v>9.02</v>
          </cell>
          <cell r="K814" t="str">
            <v>-</v>
          </cell>
          <cell r="L814" t="str">
            <v>-</v>
          </cell>
          <cell r="M814">
            <v>15.092064139805396</v>
          </cell>
          <cell r="O814">
            <v>0.47</v>
          </cell>
          <cell r="T814" t="str">
            <v>-</v>
          </cell>
          <cell r="U814" t="str">
            <v>-</v>
          </cell>
        </row>
        <row r="815">
          <cell r="B815" t="str">
            <v>WT12X38</v>
          </cell>
          <cell r="C815">
            <v>11.2</v>
          </cell>
          <cell r="D815">
            <v>12</v>
          </cell>
          <cell r="F815" t="str">
            <v>-</v>
          </cell>
          <cell r="H815" t="str">
            <v>-</v>
          </cell>
          <cell r="I815">
            <v>8.99</v>
          </cell>
          <cell r="K815" t="str">
            <v>-</v>
          </cell>
          <cell r="L815" t="str">
            <v>-</v>
          </cell>
          <cell r="M815">
            <v>14.994002134186857</v>
          </cell>
          <cell r="O815">
            <v>0.44</v>
          </cell>
          <cell r="T815" t="str">
            <v>-</v>
          </cell>
          <cell r="U815" t="str">
            <v>-</v>
          </cell>
        </row>
        <row r="816">
          <cell r="B816" t="str">
            <v>WT12X34</v>
          </cell>
          <cell r="C816">
            <v>10</v>
          </cell>
          <cell r="D816">
            <v>11.9</v>
          </cell>
          <cell r="F816" t="str">
            <v>-</v>
          </cell>
          <cell r="H816" t="str">
            <v>-</v>
          </cell>
          <cell r="I816">
            <v>8.9700000000000006</v>
          </cell>
          <cell r="K816" t="str">
            <v>-</v>
          </cell>
          <cell r="L816" t="str">
            <v>-</v>
          </cell>
          <cell r="M816">
            <v>14.902043484032651</v>
          </cell>
          <cell r="O816">
            <v>0.41499999999999998</v>
          </cell>
          <cell r="T816" t="str">
            <v>-</v>
          </cell>
          <cell r="U816" t="str">
            <v>-</v>
          </cell>
        </row>
        <row r="817">
          <cell r="B817" t="str">
            <v>WT12X31</v>
          </cell>
          <cell r="C817">
            <v>9.11</v>
          </cell>
          <cell r="D817">
            <v>11.9</v>
          </cell>
          <cell r="F817" t="str">
            <v>-</v>
          </cell>
          <cell r="H817" t="str">
            <v>-</v>
          </cell>
          <cell r="I817">
            <v>7.04</v>
          </cell>
          <cell r="K817" t="str">
            <v>-</v>
          </cell>
          <cell r="L817" t="str">
            <v>-</v>
          </cell>
          <cell r="M817">
            <v>13.826481837401733</v>
          </cell>
          <cell r="O817">
            <v>0.43</v>
          </cell>
          <cell r="T817" t="str">
            <v>-</v>
          </cell>
          <cell r="U817" t="str">
            <v>-</v>
          </cell>
        </row>
        <row r="818">
          <cell r="B818" t="str">
            <v>WT12X27.5</v>
          </cell>
          <cell r="C818">
            <v>8.1</v>
          </cell>
          <cell r="D818">
            <v>11.8</v>
          </cell>
          <cell r="F818" t="str">
            <v>-</v>
          </cell>
          <cell r="H818" t="str">
            <v>-</v>
          </cell>
          <cell r="I818">
            <v>7.01</v>
          </cell>
          <cell r="K818" t="str">
            <v>-</v>
          </cell>
          <cell r="L818" t="str">
            <v>-</v>
          </cell>
          <cell r="M818">
            <v>13.725163022711243</v>
          </cell>
          <cell r="O818">
            <v>0.39500000000000002</v>
          </cell>
          <cell r="T818" t="str">
            <v>-</v>
          </cell>
          <cell r="U818" t="str">
            <v>-</v>
          </cell>
        </row>
        <row r="819">
          <cell r="B819" t="str">
            <v>WT10.5X137.5</v>
          </cell>
          <cell r="C819">
            <v>40.9</v>
          </cell>
          <cell r="D819">
            <v>12.1</v>
          </cell>
          <cell r="F819" t="str">
            <v>-</v>
          </cell>
          <cell r="H819" t="str">
            <v>-</v>
          </cell>
          <cell r="I819">
            <v>12.9</v>
          </cell>
          <cell r="K819" t="str">
            <v>-</v>
          </cell>
          <cell r="L819" t="str">
            <v>-</v>
          </cell>
          <cell r="M819">
            <v>17.686718180600945</v>
          </cell>
          <cell r="O819">
            <v>1.22</v>
          </cell>
          <cell r="T819" t="str">
            <v>-</v>
          </cell>
          <cell r="U819" t="str">
            <v>-</v>
          </cell>
        </row>
        <row r="820">
          <cell r="B820" t="str">
            <v>WT10.5X124</v>
          </cell>
          <cell r="C820">
            <v>37</v>
          </cell>
          <cell r="D820">
            <v>11.9</v>
          </cell>
          <cell r="F820" t="str">
            <v>-</v>
          </cell>
          <cell r="H820" t="str">
            <v>-</v>
          </cell>
          <cell r="I820">
            <v>12.8</v>
          </cell>
          <cell r="K820" t="str">
            <v>-</v>
          </cell>
          <cell r="L820" t="str">
            <v>-</v>
          </cell>
          <cell r="M820">
            <v>17.477127910500627</v>
          </cell>
          <cell r="O820">
            <v>1.1000000000000001</v>
          </cell>
          <cell r="T820" t="str">
            <v>-</v>
          </cell>
          <cell r="U820" t="str">
            <v>-</v>
          </cell>
        </row>
        <row r="821">
          <cell r="B821" t="str">
            <v>WT10.5X111.5</v>
          </cell>
          <cell r="C821">
            <v>33.200000000000003</v>
          </cell>
          <cell r="D821">
            <v>11.7</v>
          </cell>
          <cell r="F821" t="str">
            <v>-</v>
          </cell>
          <cell r="H821" t="str">
            <v>-</v>
          </cell>
          <cell r="I821">
            <v>12.7</v>
          </cell>
          <cell r="K821" t="str">
            <v>-</v>
          </cell>
          <cell r="L821" t="str">
            <v>-</v>
          </cell>
          <cell r="M821">
            <v>17.267889274604467</v>
          </cell>
          <cell r="O821">
            <v>1</v>
          </cell>
          <cell r="T821" t="str">
            <v>-</v>
          </cell>
          <cell r="U821" t="str">
            <v>-</v>
          </cell>
        </row>
        <row r="822">
          <cell r="B822" t="str">
            <v>WT10.5X100.5</v>
          </cell>
          <cell r="C822">
            <v>29.6</v>
          </cell>
          <cell r="D822">
            <v>11.5</v>
          </cell>
          <cell r="F822" t="str">
            <v>-</v>
          </cell>
          <cell r="H822" t="str">
            <v>-</v>
          </cell>
          <cell r="I822">
            <v>12.6</v>
          </cell>
          <cell r="K822" t="str">
            <v>-</v>
          </cell>
          <cell r="L822" t="str">
            <v>-</v>
          </cell>
          <cell r="M822">
            <v>17.059015211904818</v>
          </cell>
          <cell r="O822">
            <v>0.91</v>
          </cell>
          <cell r="T822" t="str">
            <v>-</v>
          </cell>
          <cell r="U822" t="str">
            <v>-</v>
          </cell>
        </row>
        <row r="823">
          <cell r="B823" t="str">
            <v>WT10.5X91</v>
          </cell>
          <cell r="C823">
            <v>26.8</v>
          </cell>
          <cell r="D823">
            <v>11.4</v>
          </cell>
          <cell r="F823" t="str">
            <v>-</v>
          </cell>
          <cell r="H823" t="str">
            <v>-</v>
          </cell>
          <cell r="I823">
            <v>12.5</v>
          </cell>
          <cell r="K823" t="str">
            <v>-</v>
          </cell>
          <cell r="L823" t="str">
            <v>-</v>
          </cell>
          <cell r="M823">
            <v>16.917742166140258</v>
          </cell>
          <cell r="O823">
            <v>0.83</v>
          </cell>
          <cell r="T823" t="str">
            <v>-</v>
          </cell>
          <cell r="U823" t="str">
            <v>-</v>
          </cell>
        </row>
        <row r="824">
          <cell r="B824" t="str">
            <v>WT10.5X83</v>
          </cell>
          <cell r="C824">
            <v>24.4</v>
          </cell>
          <cell r="D824">
            <v>11.2</v>
          </cell>
          <cell r="F824" t="str">
            <v>-</v>
          </cell>
          <cell r="H824" t="str">
            <v>-</v>
          </cell>
          <cell r="I824">
            <v>12.4</v>
          </cell>
          <cell r="K824" t="str">
            <v>-</v>
          </cell>
          <cell r="L824" t="str">
            <v>-</v>
          </cell>
          <cell r="M824">
            <v>16.709278859364339</v>
          </cell>
          <cell r="O824">
            <v>0.75</v>
          </cell>
          <cell r="T824" t="str">
            <v>-</v>
          </cell>
          <cell r="U824" t="str">
            <v>-</v>
          </cell>
        </row>
        <row r="825">
          <cell r="B825" t="str">
            <v>WT10.5X73.5</v>
          </cell>
          <cell r="C825">
            <v>21.6</v>
          </cell>
          <cell r="D825">
            <v>11</v>
          </cell>
          <cell r="F825" t="str">
            <v>-</v>
          </cell>
          <cell r="H825" t="str">
            <v>-</v>
          </cell>
          <cell r="I825">
            <v>12.5</v>
          </cell>
          <cell r="K825" t="str">
            <v>-</v>
          </cell>
          <cell r="L825" t="str">
            <v>-</v>
          </cell>
          <cell r="M825">
            <v>16.650825805346713</v>
          </cell>
          <cell r="O825">
            <v>0.72</v>
          </cell>
          <cell r="T825" t="str">
            <v>-</v>
          </cell>
          <cell r="U825" t="str">
            <v>-</v>
          </cell>
        </row>
        <row r="826">
          <cell r="B826" t="str">
            <v>WT10.5X66</v>
          </cell>
          <cell r="C826">
            <v>19.399999999999999</v>
          </cell>
          <cell r="D826">
            <v>10.9</v>
          </cell>
          <cell r="F826" t="str">
            <v>-</v>
          </cell>
          <cell r="H826" t="str">
            <v>-</v>
          </cell>
          <cell r="I826">
            <v>12.4</v>
          </cell>
          <cell r="K826" t="str">
            <v>-</v>
          </cell>
          <cell r="L826" t="str">
            <v>-</v>
          </cell>
          <cell r="M826">
            <v>16.50969412193939</v>
          </cell>
          <cell r="O826">
            <v>0.65</v>
          </cell>
          <cell r="T826" t="str">
            <v>-</v>
          </cell>
          <cell r="U826" t="str">
            <v>-</v>
          </cell>
        </row>
        <row r="827">
          <cell r="B827" t="str">
            <v>WT10.5X61</v>
          </cell>
          <cell r="C827">
            <v>17.899999999999999</v>
          </cell>
          <cell r="D827">
            <v>10.8</v>
          </cell>
          <cell r="F827" t="str">
            <v>-</v>
          </cell>
          <cell r="H827" t="str">
            <v>-</v>
          </cell>
          <cell r="I827">
            <v>12.4</v>
          </cell>
          <cell r="K827" t="str">
            <v>-</v>
          </cell>
          <cell r="L827" t="str">
            <v>-</v>
          </cell>
          <cell r="M827">
            <v>16.443843832875572</v>
          </cell>
          <cell r="O827">
            <v>0.6</v>
          </cell>
          <cell r="T827" t="str">
            <v>-</v>
          </cell>
          <cell r="U827" t="str">
            <v>-</v>
          </cell>
        </row>
        <row r="828">
          <cell r="B828" t="str">
            <v>WT10.5X55.5</v>
          </cell>
          <cell r="C828">
            <v>16.3</v>
          </cell>
          <cell r="D828">
            <v>10.8</v>
          </cell>
          <cell r="F828" t="str">
            <v>-</v>
          </cell>
          <cell r="H828" t="str">
            <v>-</v>
          </cell>
          <cell r="I828">
            <v>12.3</v>
          </cell>
          <cell r="K828" t="str">
            <v>-</v>
          </cell>
          <cell r="L828" t="str">
            <v>-</v>
          </cell>
          <cell r="M828">
            <v>16.36856743884449</v>
          </cell>
          <cell r="O828">
            <v>0.55000000000000004</v>
          </cell>
          <cell r="T828" t="str">
            <v>-</v>
          </cell>
          <cell r="U828" t="str">
            <v>-</v>
          </cell>
        </row>
        <row r="829">
          <cell r="B829" t="str">
            <v>WT10.5X50.5</v>
          </cell>
          <cell r="C829">
            <v>14.9</v>
          </cell>
          <cell r="D829">
            <v>10.7</v>
          </cell>
          <cell r="F829" t="str">
            <v>-</v>
          </cell>
          <cell r="H829" t="str">
            <v>-</v>
          </cell>
          <cell r="I829">
            <v>12.3</v>
          </cell>
          <cell r="K829" t="str">
            <v>-</v>
          </cell>
          <cell r="L829" t="str">
            <v>-</v>
          </cell>
          <cell r="M829">
            <v>16.302760502442524</v>
          </cell>
          <cell r="O829">
            <v>0.5</v>
          </cell>
          <cell r="T829" t="str">
            <v>-</v>
          </cell>
          <cell r="U829" t="str">
            <v>-</v>
          </cell>
        </row>
        <row r="830">
          <cell r="B830" t="str">
            <v>WT10.5X46.5</v>
          </cell>
          <cell r="C830">
            <v>13.7</v>
          </cell>
          <cell r="D830">
            <v>10.8</v>
          </cell>
          <cell r="F830" t="str">
            <v>-</v>
          </cell>
          <cell r="H830" t="str">
            <v>-</v>
          </cell>
          <cell r="I830">
            <v>8.42</v>
          </cell>
          <cell r="K830" t="str">
            <v>-</v>
          </cell>
          <cell r="L830" t="str">
            <v>-</v>
          </cell>
          <cell r="M830">
            <v>13.694393013200695</v>
          </cell>
          <cell r="O830">
            <v>0.57999999999999996</v>
          </cell>
          <cell r="T830" t="str">
            <v>-</v>
          </cell>
          <cell r="U830" t="str">
            <v>-</v>
          </cell>
        </row>
        <row r="831">
          <cell r="B831" t="str">
            <v>WT10.5X41.5</v>
          </cell>
          <cell r="C831">
            <v>12.2</v>
          </cell>
          <cell r="D831">
            <v>10.7</v>
          </cell>
          <cell r="F831" t="str">
            <v>-</v>
          </cell>
          <cell r="H831" t="str">
            <v>-</v>
          </cell>
          <cell r="I831">
            <v>8.36</v>
          </cell>
          <cell r="K831" t="str">
            <v>-</v>
          </cell>
          <cell r="L831" t="str">
            <v>-</v>
          </cell>
          <cell r="M831">
            <v>13.578644998673468</v>
          </cell>
          <cell r="O831">
            <v>0.51500000000000001</v>
          </cell>
          <cell r="T831" t="str">
            <v>-</v>
          </cell>
          <cell r="U831" t="str">
            <v>-</v>
          </cell>
        </row>
        <row r="832">
          <cell r="B832" t="str">
            <v>WT10.5X36.5</v>
          </cell>
          <cell r="C832">
            <v>10.7</v>
          </cell>
          <cell r="D832">
            <v>10.6</v>
          </cell>
          <cell r="F832" t="str">
            <v>-</v>
          </cell>
          <cell r="H832" t="str">
            <v>-</v>
          </cell>
          <cell r="I832">
            <v>8.3000000000000007</v>
          </cell>
          <cell r="K832" t="str">
            <v>-</v>
          </cell>
          <cell r="L832" t="str">
            <v>-</v>
          </cell>
          <cell r="M832">
            <v>13.46291201783626</v>
          </cell>
          <cell r="O832">
            <v>0.45500000000000002</v>
          </cell>
          <cell r="T832" t="str">
            <v>-</v>
          </cell>
          <cell r="U832" t="str">
            <v>-</v>
          </cell>
        </row>
        <row r="833">
          <cell r="B833" t="str">
            <v>WT10.5X34</v>
          </cell>
          <cell r="C833">
            <v>10</v>
          </cell>
          <cell r="D833">
            <v>10.6</v>
          </cell>
          <cell r="F833" t="str">
            <v>-</v>
          </cell>
          <cell r="H833" t="str">
            <v>-</v>
          </cell>
          <cell r="I833">
            <v>8.27</v>
          </cell>
          <cell r="K833" t="str">
            <v>-</v>
          </cell>
          <cell r="L833" t="str">
            <v>-</v>
          </cell>
          <cell r="M833">
            <v>13.444437511476634</v>
          </cell>
          <cell r="O833">
            <v>0.43</v>
          </cell>
          <cell r="T833" t="str">
            <v>-</v>
          </cell>
          <cell r="U833" t="str">
            <v>-</v>
          </cell>
        </row>
        <row r="834">
          <cell r="B834" t="str">
            <v>WT10.5X31</v>
          </cell>
          <cell r="C834">
            <v>9.1300000000000008</v>
          </cell>
          <cell r="D834">
            <v>10.5</v>
          </cell>
          <cell r="F834" t="str">
            <v>-</v>
          </cell>
          <cell r="H834" t="str">
            <v>-</v>
          </cell>
          <cell r="I834">
            <v>8.24</v>
          </cell>
          <cell r="K834" t="str">
            <v>-</v>
          </cell>
          <cell r="L834" t="str">
            <v>-</v>
          </cell>
          <cell r="M834">
            <v>13.347194461758621</v>
          </cell>
          <cell r="O834">
            <v>0.4</v>
          </cell>
          <cell r="T834" t="str">
            <v>-</v>
          </cell>
          <cell r="U834" t="str">
            <v>-</v>
          </cell>
        </row>
        <row r="835">
          <cell r="B835" t="str">
            <v>WT10.5X27.5</v>
          </cell>
          <cell r="C835">
            <v>8.1</v>
          </cell>
          <cell r="D835">
            <v>10.4</v>
          </cell>
          <cell r="F835" t="str">
            <v>-</v>
          </cell>
          <cell r="H835" t="str">
            <v>-</v>
          </cell>
          <cell r="I835">
            <v>8.2200000000000006</v>
          </cell>
          <cell r="K835" t="str">
            <v>-</v>
          </cell>
          <cell r="L835" t="str">
            <v>-</v>
          </cell>
          <cell r="M835">
            <v>13.25625889910121</v>
          </cell>
          <cell r="O835">
            <v>0.375</v>
          </cell>
          <cell r="T835" t="str">
            <v>-</v>
          </cell>
          <cell r="U835" t="str">
            <v>-</v>
          </cell>
        </row>
        <row r="836">
          <cell r="B836" t="str">
            <v>WT10.5X24</v>
          </cell>
          <cell r="C836">
            <v>7.07</v>
          </cell>
          <cell r="D836">
            <v>10.3</v>
          </cell>
          <cell r="F836" t="str">
            <v>-</v>
          </cell>
          <cell r="H836" t="str">
            <v>-</v>
          </cell>
          <cell r="I836">
            <v>8.14</v>
          </cell>
          <cell r="K836" t="str">
            <v>-</v>
          </cell>
          <cell r="L836" t="str">
            <v>-</v>
          </cell>
          <cell r="M836">
            <v>13.12819865785097</v>
          </cell>
          <cell r="O836">
            <v>0.35</v>
          </cell>
          <cell r="T836" t="str">
            <v>-</v>
          </cell>
          <cell r="U836" t="str">
            <v>-</v>
          </cell>
        </row>
        <row r="837">
          <cell r="B837" t="str">
            <v>WT10.5X28.5</v>
          </cell>
          <cell r="C837">
            <v>8.3699999999999992</v>
          </cell>
          <cell r="D837">
            <v>10.5</v>
          </cell>
          <cell r="F837" t="str">
            <v>-</v>
          </cell>
          <cell r="H837" t="str">
            <v>-</v>
          </cell>
          <cell r="I837">
            <v>6.56</v>
          </cell>
          <cell r="K837" t="str">
            <v>-</v>
          </cell>
          <cell r="L837" t="str">
            <v>-</v>
          </cell>
          <cell r="M837">
            <v>12.380775419980768</v>
          </cell>
          <cell r="O837">
            <v>0.40500000000000003</v>
          </cell>
          <cell r="T837" t="str">
            <v>-</v>
          </cell>
          <cell r="U837" t="str">
            <v>-</v>
          </cell>
        </row>
        <row r="838">
          <cell r="B838" t="str">
            <v>WT10.5X25</v>
          </cell>
          <cell r="C838">
            <v>7.36</v>
          </cell>
          <cell r="D838">
            <v>10.4</v>
          </cell>
          <cell r="F838" t="str">
            <v>-</v>
          </cell>
          <cell r="H838" t="str">
            <v>-</v>
          </cell>
          <cell r="I838">
            <v>6.53</v>
          </cell>
          <cell r="K838" t="str">
            <v>-</v>
          </cell>
          <cell r="L838" t="str">
            <v>-</v>
          </cell>
          <cell r="M838">
            <v>12.280101791109063</v>
          </cell>
          <cell r="O838">
            <v>0.38</v>
          </cell>
          <cell r="T838" t="str">
            <v>-</v>
          </cell>
          <cell r="U838" t="str">
            <v>-</v>
          </cell>
        </row>
        <row r="839">
          <cell r="B839" t="str">
            <v>WT10.5X22</v>
          </cell>
          <cell r="C839">
            <v>6.49</v>
          </cell>
          <cell r="D839">
            <v>10.3</v>
          </cell>
          <cell r="F839" t="str">
            <v>-</v>
          </cell>
          <cell r="H839" t="str">
            <v>-</v>
          </cell>
          <cell r="I839">
            <v>6.5</v>
          </cell>
          <cell r="K839" t="str">
            <v>-</v>
          </cell>
          <cell r="L839" t="str">
            <v>-</v>
          </cell>
          <cell r="M839">
            <v>12.179490958164058</v>
          </cell>
          <cell r="O839">
            <v>0.35</v>
          </cell>
          <cell r="T839" t="str">
            <v>-</v>
          </cell>
          <cell r="U839" t="str">
            <v>-</v>
          </cell>
        </row>
        <row r="840">
          <cell r="B840" t="str">
            <v>WT9X155.5</v>
          </cell>
          <cell r="C840">
            <v>45.8</v>
          </cell>
          <cell r="D840">
            <v>11.2</v>
          </cell>
          <cell r="F840" t="str">
            <v>-</v>
          </cell>
          <cell r="H840" t="str">
            <v>-</v>
          </cell>
          <cell r="I840">
            <v>12</v>
          </cell>
          <cell r="K840" t="str">
            <v>-</v>
          </cell>
          <cell r="L840" t="str">
            <v>-</v>
          </cell>
          <cell r="M840">
            <v>16.414627622946554</v>
          </cell>
          <cell r="O840">
            <v>1.52</v>
          </cell>
          <cell r="T840" t="str">
            <v>-</v>
          </cell>
          <cell r="U840" t="str">
            <v>-</v>
          </cell>
        </row>
        <row r="841">
          <cell r="B841" t="str">
            <v>WT9X141.5</v>
          </cell>
          <cell r="C841">
            <v>41.7</v>
          </cell>
          <cell r="D841">
            <v>10.9</v>
          </cell>
          <cell r="F841" t="str">
            <v>-</v>
          </cell>
          <cell r="H841" t="str">
            <v>-</v>
          </cell>
          <cell r="I841">
            <v>11.9</v>
          </cell>
          <cell r="K841" t="str">
            <v>-</v>
          </cell>
          <cell r="L841" t="str">
            <v>-</v>
          </cell>
          <cell r="M841">
            <v>16.137533888422976</v>
          </cell>
          <cell r="O841">
            <v>1.4</v>
          </cell>
          <cell r="T841" t="str">
            <v>-</v>
          </cell>
          <cell r="U841" t="str">
            <v>-</v>
          </cell>
        </row>
        <row r="842">
          <cell r="B842" t="str">
            <v>WT9X129</v>
          </cell>
          <cell r="C842">
            <v>38</v>
          </cell>
          <cell r="D842">
            <v>10.7</v>
          </cell>
          <cell r="F842" t="str">
            <v>-</v>
          </cell>
          <cell r="H842" t="str">
            <v>-</v>
          </cell>
          <cell r="I842">
            <v>11.8</v>
          </cell>
          <cell r="K842" t="str">
            <v>-</v>
          </cell>
          <cell r="L842" t="str">
            <v>-</v>
          </cell>
          <cell r="M842">
            <v>15.92890454488318</v>
          </cell>
          <cell r="O842">
            <v>1.28</v>
          </cell>
          <cell r="T842" t="str">
            <v>-</v>
          </cell>
          <cell r="U842" t="str">
            <v>-</v>
          </cell>
        </row>
        <row r="843">
          <cell r="B843" t="str">
            <v>WT9X117</v>
          </cell>
          <cell r="C843">
            <v>34.299999999999997</v>
          </cell>
          <cell r="D843">
            <v>10.5</v>
          </cell>
          <cell r="F843" t="str">
            <v>-</v>
          </cell>
          <cell r="H843" t="str">
            <v>-</v>
          </cell>
          <cell r="I843">
            <v>11.7</v>
          </cell>
          <cell r="K843" t="str">
            <v>-</v>
          </cell>
          <cell r="L843" t="str">
            <v>-</v>
          </cell>
          <cell r="M843">
            <v>15.720687007888682</v>
          </cell>
          <cell r="O843">
            <v>1.1599999999999999</v>
          </cell>
          <cell r="T843" t="str">
            <v>-</v>
          </cell>
          <cell r="U843" t="str">
            <v>-</v>
          </cell>
        </row>
        <row r="844">
          <cell r="B844" t="str">
            <v>WT9X105.5</v>
          </cell>
          <cell r="C844">
            <v>31.2</v>
          </cell>
          <cell r="D844">
            <v>10.3</v>
          </cell>
          <cell r="F844" t="str">
            <v>-</v>
          </cell>
          <cell r="H844" t="str">
            <v>-</v>
          </cell>
          <cell r="I844">
            <v>11.6</v>
          </cell>
          <cell r="K844" t="str">
            <v>-</v>
          </cell>
          <cell r="L844" t="str">
            <v>-</v>
          </cell>
          <cell r="M844">
            <v>15.512897859523218</v>
          </cell>
          <cell r="O844">
            <v>1.06</v>
          </cell>
          <cell r="T844" t="str">
            <v>-</v>
          </cell>
          <cell r="U844" t="str">
            <v>-</v>
          </cell>
        </row>
        <row r="845">
          <cell r="B845" t="str">
            <v>WT9X96</v>
          </cell>
          <cell r="C845">
            <v>28.1</v>
          </cell>
          <cell r="D845">
            <v>10.199999999999999</v>
          </cell>
          <cell r="F845" t="str">
            <v>-</v>
          </cell>
          <cell r="H845" t="str">
            <v>-</v>
          </cell>
          <cell r="I845">
            <v>11.5</v>
          </cell>
          <cell r="K845" t="str">
            <v>-</v>
          </cell>
          <cell r="L845" t="str">
            <v>-</v>
          </cell>
          <cell r="M845">
            <v>15.371727293964071</v>
          </cell>
          <cell r="O845">
            <v>0.96</v>
          </cell>
          <cell r="T845" t="str">
            <v>-</v>
          </cell>
          <cell r="U845" t="str">
            <v>-</v>
          </cell>
        </row>
        <row r="846">
          <cell r="B846" t="str">
            <v>WT9X87.5</v>
          </cell>
          <cell r="C846">
            <v>25.7</v>
          </cell>
          <cell r="D846">
            <v>10</v>
          </cell>
          <cell r="F846" t="str">
            <v>-</v>
          </cell>
          <cell r="H846" t="str">
            <v>-</v>
          </cell>
          <cell r="I846">
            <v>11.4</v>
          </cell>
          <cell r="K846" t="str">
            <v>-</v>
          </cell>
          <cell r="L846" t="str">
            <v>-</v>
          </cell>
          <cell r="M846">
            <v>15.164432069813891</v>
          </cell>
          <cell r="O846">
            <v>0.89</v>
          </cell>
          <cell r="T846" t="str">
            <v>-</v>
          </cell>
          <cell r="U846" t="str">
            <v>-</v>
          </cell>
        </row>
        <row r="847">
          <cell r="B847" t="str">
            <v>WT9X79</v>
          </cell>
          <cell r="C847">
            <v>23.2</v>
          </cell>
          <cell r="D847">
            <v>9.86</v>
          </cell>
          <cell r="F847" t="str">
            <v>-</v>
          </cell>
          <cell r="H847" t="str">
            <v>-</v>
          </cell>
          <cell r="I847">
            <v>11.3</v>
          </cell>
          <cell r="K847" t="str">
            <v>-</v>
          </cell>
          <cell r="L847" t="str">
            <v>-</v>
          </cell>
          <cell r="M847">
            <v>14.996986363933255</v>
          </cell>
          <cell r="O847">
            <v>0.81</v>
          </cell>
          <cell r="T847" t="str">
            <v>-</v>
          </cell>
          <cell r="U847" t="str">
            <v>-</v>
          </cell>
        </row>
        <row r="848">
          <cell r="B848" t="str">
            <v>WT9X71.5</v>
          </cell>
          <cell r="C848">
            <v>21</v>
          </cell>
          <cell r="D848">
            <v>9.75</v>
          </cell>
          <cell r="F848" t="str">
            <v>-</v>
          </cell>
          <cell r="H848" t="str">
            <v>-</v>
          </cell>
          <cell r="I848">
            <v>11.2</v>
          </cell>
          <cell r="K848" t="str">
            <v>-</v>
          </cell>
          <cell r="L848" t="str">
            <v>-</v>
          </cell>
          <cell r="M848">
            <v>14.849326584057609</v>
          </cell>
          <cell r="O848">
            <v>0.73</v>
          </cell>
          <cell r="T848" t="str">
            <v>-</v>
          </cell>
          <cell r="U848" t="str">
            <v>-</v>
          </cell>
        </row>
        <row r="849">
          <cell r="B849" t="str">
            <v>WT9X65</v>
          </cell>
          <cell r="C849">
            <v>19.2</v>
          </cell>
          <cell r="D849">
            <v>9.6300000000000008</v>
          </cell>
          <cell r="F849" t="str">
            <v>-</v>
          </cell>
          <cell r="H849" t="str">
            <v>-</v>
          </cell>
          <cell r="I849">
            <v>11.2</v>
          </cell>
          <cell r="K849" t="str">
            <v>-</v>
          </cell>
          <cell r="L849" t="str">
            <v>-</v>
          </cell>
          <cell r="M849">
            <v>14.770812435340176</v>
          </cell>
          <cell r="O849">
            <v>0.67</v>
          </cell>
          <cell r="T849" t="str">
            <v>-</v>
          </cell>
          <cell r="U849" t="str">
            <v>-</v>
          </cell>
        </row>
        <row r="850">
          <cell r="B850" t="str">
            <v>WT9X59.5</v>
          </cell>
          <cell r="C850">
            <v>17.600000000000001</v>
          </cell>
          <cell r="D850">
            <v>9.49</v>
          </cell>
          <cell r="F850" t="str">
            <v>-</v>
          </cell>
          <cell r="H850" t="str">
            <v>-</v>
          </cell>
          <cell r="I850">
            <v>11.3</v>
          </cell>
          <cell r="K850" t="str">
            <v>-</v>
          </cell>
          <cell r="L850" t="str">
            <v>-</v>
          </cell>
          <cell r="M850">
            <v>14.756357951744056</v>
          </cell>
          <cell r="O850">
            <v>0.65500000000000003</v>
          </cell>
          <cell r="T850" t="str">
            <v>-</v>
          </cell>
          <cell r="U850" t="str">
            <v>-</v>
          </cell>
        </row>
        <row r="851">
          <cell r="B851" t="str">
            <v>WT9X53</v>
          </cell>
          <cell r="C851">
            <v>15.6</v>
          </cell>
          <cell r="D851">
            <v>9.3699999999999992</v>
          </cell>
          <cell r="F851" t="str">
            <v>-</v>
          </cell>
          <cell r="H851" t="str">
            <v>-</v>
          </cell>
          <cell r="I851">
            <v>11.2</v>
          </cell>
          <cell r="K851" t="str">
            <v>-</v>
          </cell>
          <cell r="L851" t="str">
            <v>-</v>
          </cell>
          <cell r="M851">
            <v>14.602633324164515</v>
          </cell>
          <cell r="O851">
            <v>0.59</v>
          </cell>
          <cell r="T851" t="str">
            <v>-</v>
          </cell>
          <cell r="U851" t="str">
            <v>-</v>
          </cell>
        </row>
        <row r="852">
          <cell r="B852" t="str">
            <v>WT9X48.5</v>
          </cell>
          <cell r="C852">
            <v>14.2</v>
          </cell>
          <cell r="D852">
            <v>9.3000000000000007</v>
          </cell>
          <cell r="F852" t="str">
            <v>-</v>
          </cell>
          <cell r="H852" t="str">
            <v>-</v>
          </cell>
          <cell r="I852">
            <v>11.1</v>
          </cell>
          <cell r="K852" t="str">
            <v>-</v>
          </cell>
          <cell r="L852" t="str">
            <v>-</v>
          </cell>
          <cell r="M852">
            <v>14.481022063376603</v>
          </cell>
          <cell r="O852">
            <v>0.53500000000000003</v>
          </cell>
          <cell r="T852" t="str">
            <v>-</v>
          </cell>
          <cell r="U852" t="str">
            <v>-</v>
          </cell>
        </row>
        <row r="853">
          <cell r="B853" t="str">
            <v>WT9X43</v>
          </cell>
          <cell r="C853">
            <v>12.7</v>
          </cell>
          <cell r="D853">
            <v>9.1999999999999993</v>
          </cell>
          <cell r="F853" t="str">
            <v>-</v>
          </cell>
          <cell r="H853" t="str">
            <v>-</v>
          </cell>
          <cell r="I853">
            <v>11.1</v>
          </cell>
          <cell r="K853" t="str">
            <v>-</v>
          </cell>
          <cell r="L853" t="str">
            <v>-</v>
          </cell>
          <cell r="M853">
            <v>14.417003849621459</v>
          </cell>
          <cell r="O853">
            <v>0.48</v>
          </cell>
          <cell r="T853" t="str">
            <v>-</v>
          </cell>
          <cell r="U853" t="str">
            <v>-</v>
          </cell>
        </row>
        <row r="854">
          <cell r="B854" t="str">
            <v>WT9X38</v>
          </cell>
          <cell r="C854">
            <v>11.1</v>
          </cell>
          <cell r="D854">
            <v>9.11</v>
          </cell>
          <cell r="F854" t="str">
            <v>-</v>
          </cell>
          <cell r="H854" t="str">
            <v>-</v>
          </cell>
          <cell r="I854">
            <v>11</v>
          </cell>
          <cell r="K854" t="str">
            <v>-</v>
          </cell>
          <cell r="L854" t="str">
            <v>-</v>
          </cell>
          <cell r="M854">
            <v>14.282580299091617</v>
          </cell>
          <cell r="O854">
            <v>0.42499999999999999</v>
          </cell>
          <cell r="T854" t="str">
            <v>-</v>
          </cell>
          <cell r="U854" t="str">
            <v>-</v>
          </cell>
        </row>
        <row r="855">
          <cell r="B855" t="str">
            <v>WT9X35.5</v>
          </cell>
          <cell r="C855">
            <v>10.4</v>
          </cell>
          <cell r="D855">
            <v>9.24</v>
          </cell>
          <cell r="F855" t="str">
            <v>-</v>
          </cell>
          <cell r="H855" t="str">
            <v>-</v>
          </cell>
          <cell r="I855">
            <v>7.64</v>
          </cell>
          <cell r="K855" t="str">
            <v>-</v>
          </cell>
          <cell r="L855" t="str">
            <v>-</v>
          </cell>
          <cell r="M855">
            <v>11.989462039641312</v>
          </cell>
          <cell r="O855">
            <v>0.495</v>
          </cell>
          <cell r="T855" t="str">
            <v>-</v>
          </cell>
          <cell r="U855" t="str">
            <v>-</v>
          </cell>
        </row>
        <row r="856">
          <cell r="B856" t="str">
            <v>WT9X32.5</v>
          </cell>
          <cell r="C856">
            <v>9.5500000000000007</v>
          </cell>
          <cell r="D856">
            <v>9.18</v>
          </cell>
          <cell r="F856" t="str">
            <v>-</v>
          </cell>
          <cell r="H856" t="str">
            <v>-</v>
          </cell>
          <cell r="I856">
            <v>7.59</v>
          </cell>
          <cell r="K856" t="str">
            <v>-</v>
          </cell>
          <cell r="L856" t="str">
            <v>-</v>
          </cell>
          <cell r="M856">
            <v>11.911360123848157</v>
          </cell>
          <cell r="O856">
            <v>0.45</v>
          </cell>
          <cell r="T856" t="str">
            <v>-</v>
          </cell>
          <cell r="U856" t="str">
            <v>-</v>
          </cell>
        </row>
        <row r="857">
          <cell r="B857" t="str">
            <v>WT9X30</v>
          </cell>
          <cell r="C857">
            <v>8.82</v>
          </cell>
          <cell r="D857">
            <v>9.1199999999999992</v>
          </cell>
          <cell r="F857" t="str">
            <v>-</v>
          </cell>
          <cell r="H857" t="str">
            <v>-</v>
          </cell>
          <cell r="I857">
            <v>7.56</v>
          </cell>
          <cell r="K857" t="str">
            <v>-</v>
          </cell>
          <cell r="L857" t="str">
            <v>-</v>
          </cell>
          <cell r="M857">
            <v>11.846011987162598</v>
          </cell>
          <cell r="O857">
            <v>0.41499999999999998</v>
          </cell>
          <cell r="T857" t="str">
            <v>-</v>
          </cell>
          <cell r="U857" t="str">
            <v>-</v>
          </cell>
        </row>
        <row r="858">
          <cell r="B858" t="str">
            <v>WT9X27.5</v>
          </cell>
          <cell r="C858">
            <v>8.1</v>
          </cell>
          <cell r="D858">
            <v>9.06</v>
          </cell>
          <cell r="F858" t="str">
            <v>-</v>
          </cell>
          <cell r="H858" t="str">
            <v>-</v>
          </cell>
          <cell r="I858">
            <v>7.53</v>
          </cell>
          <cell r="K858" t="str">
            <v>-</v>
          </cell>
          <cell r="L858" t="str">
            <v>-</v>
          </cell>
          <cell r="M858">
            <v>11.780683341810017</v>
          </cell>
          <cell r="O858">
            <v>0.39</v>
          </cell>
          <cell r="T858" t="str">
            <v>-</v>
          </cell>
          <cell r="U858" t="str">
            <v>-</v>
          </cell>
        </row>
        <row r="859">
          <cell r="B859" t="str">
            <v>WT9X25</v>
          </cell>
          <cell r="C859">
            <v>7.34</v>
          </cell>
          <cell r="D859">
            <v>9</v>
          </cell>
          <cell r="F859" t="str">
            <v>-</v>
          </cell>
          <cell r="H859" t="str">
            <v>-</v>
          </cell>
          <cell r="I859">
            <v>7.5</v>
          </cell>
          <cell r="K859" t="str">
            <v>-</v>
          </cell>
          <cell r="L859" t="str">
            <v>-</v>
          </cell>
          <cell r="M859">
            <v>11.715374513859981</v>
          </cell>
          <cell r="O859">
            <v>0.35499999999999998</v>
          </cell>
          <cell r="T859" t="str">
            <v>-</v>
          </cell>
          <cell r="U859" t="str">
            <v>-</v>
          </cell>
        </row>
        <row r="860">
          <cell r="B860" t="str">
            <v>WT9X23</v>
          </cell>
          <cell r="C860">
            <v>6.77</v>
          </cell>
          <cell r="D860">
            <v>9.0299999999999994</v>
          </cell>
          <cell r="F860" t="str">
            <v>-</v>
          </cell>
          <cell r="H860" t="str">
            <v>-</v>
          </cell>
          <cell r="I860">
            <v>6.06</v>
          </cell>
          <cell r="K860" t="str">
            <v>-</v>
          </cell>
          <cell r="L860" t="str">
            <v>-</v>
          </cell>
          <cell r="M860">
            <v>10.874948275739062</v>
          </cell>
          <cell r="O860">
            <v>0.36</v>
          </cell>
          <cell r="T860" t="str">
            <v>-</v>
          </cell>
          <cell r="U860" t="str">
            <v>-</v>
          </cell>
        </row>
        <row r="861">
          <cell r="B861" t="str">
            <v>WT9X20</v>
          </cell>
          <cell r="C861">
            <v>5.88</v>
          </cell>
          <cell r="D861">
            <v>8.9499999999999993</v>
          </cell>
          <cell r="F861" t="str">
            <v>-</v>
          </cell>
          <cell r="H861" t="str">
            <v>-</v>
          </cell>
          <cell r="I861">
            <v>6.02</v>
          </cell>
          <cell r="K861" t="str">
            <v>-</v>
          </cell>
          <cell r="L861" t="str">
            <v>-</v>
          </cell>
          <cell r="M861">
            <v>10.786236600408873</v>
          </cell>
          <cell r="O861">
            <v>0.315</v>
          </cell>
          <cell r="T861" t="str">
            <v>-</v>
          </cell>
          <cell r="U861" t="str">
            <v>-</v>
          </cell>
        </row>
        <row r="862">
          <cell r="B862" t="str">
            <v>WT9X17.5</v>
          </cell>
          <cell r="C862">
            <v>5.15</v>
          </cell>
          <cell r="D862">
            <v>8.85</v>
          </cell>
          <cell r="F862" t="str">
            <v>-</v>
          </cell>
          <cell r="H862" t="str">
            <v>-</v>
          </cell>
          <cell r="I862">
            <v>6</v>
          </cell>
          <cell r="K862" t="str">
            <v>-</v>
          </cell>
          <cell r="L862" t="str">
            <v>-</v>
          </cell>
          <cell r="M862">
            <v>10.692170032318042</v>
          </cell>
          <cell r="O862">
            <v>0.3</v>
          </cell>
          <cell r="T862" t="str">
            <v>-</v>
          </cell>
          <cell r="U862" t="str">
            <v>-</v>
          </cell>
        </row>
        <row r="863">
          <cell r="B863" t="str">
            <v>WT8X50</v>
          </cell>
          <cell r="C863">
            <v>14.7</v>
          </cell>
          <cell r="D863">
            <v>8.49</v>
          </cell>
          <cell r="F863" t="str">
            <v>-</v>
          </cell>
          <cell r="H863" t="str">
            <v>-</v>
          </cell>
          <cell r="I863">
            <v>10.4</v>
          </cell>
          <cell r="K863" t="str">
            <v>-</v>
          </cell>
          <cell r="L863" t="str">
            <v>-</v>
          </cell>
          <cell r="M863">
            <v>13.425352881768136</v>
          </cell>
          <cell r="O863">
            <v>0.58499999999999996</v>
          </cell>
          <cell r="T863" t="str">
            <v>-</v>
          </cell>
          <cell r="U863" t="str">
            <v>-</v>
          </cell>
        </row>
        <row r="864">
          <cell r="B864" t="str">
            <v>WT8X44.5</v>
          </cell>
          <cell r="C864">
            <v>13.1</v>
          </cell>
          <cell r="D864">
            <v>8.3800000000000008</v>
          </cell>
          <cell r="F864" t="str">
            <v>-</v>
          </cell>
          <cell r="H864" t="str">
            <v>-</v>
          </cell>
          <cell r="I864">
            <v>10.4</v>
          </cell>
          <cell r="K864" t="str">
            <v>-</v>
          </cell>
          <cell r="L864" t="str">
            <v>-</v>
          </cell>
          <cell r="M864">
            <v>13.356062293954757</v>
          </cell>
          <cell r="O864">
            <v>0.52500000000000002</v>
          </cell>
          <cell r="T864" t="str">
            <v>-</v>
          </cell>
          <cell r="U864" t="str">
            <v>-</v>
          </cell>
        </row>
        <row r="865">
          <cell r="B865" t="str">
            <v>WT8X38.5</v>
          </cell>
          <cell r="C865">
            <v>11.3</v>
          </cell>
          <cell r="D865">
            <v>8.26</v>
          </cell>
          <cell r="F865" t="str">
            <v>-</v>
          </cell>
          <cell r="H865" t="str">
            <v>-</v>
          </cell>
          <cell r="I865">
            <v>10.3</v>
          </cell>
          <cell r="K865" t="str">
            <v>-</v>
          </cell>
          <cell r="L865" t="str">
            <v>-</v>
          </cell>
          <cell r="M865">
            <v>13.202939066738134</v>
          </cell>
          <cell r="O865">
            <v>0.45500000000000002</v>
          </cell>
          <cell r="T865" t="str">
            <v>-</v>
          </cell>
          <cell r="U865" t="str">
            <v>-</v>
          </cell>
        </row>
        <row r="866">
          <cell r="B866" t="str">
            <v>WT8X33.5</v>
          </cell>
          <cell r="C866">
            <v>9.81</v>
          </cell>
          <cell r="D866">
            <v>8.17</v>
          </cell>
          <cell r="F866" t="str">
            <v>-</v>
          </cell>
          <cell r="H866" t="str">
            <v>-</v>
          </cell>
          <cell r="I866">
            <v>10.199999999999999</v>
          </cell>
          <cell r="K866" t="str">
            <v>-</v>
          </cell>
          <cell r="L866" t="str">
            <v>-</v>
          </cell>
          <cell r="M866">
            <v>13.068622727739905</v>
          </cell>
          <cell r="O866">
            <v>0.39500000000000002</v>
          </cell>
          <cell r="T866" t="str">
            <v>-</v>
          </cell>
          <cell r="U866" t="str">
            <v>-</v>
          </cell>
        </row>
        <row r="867">
          <cell r="B867" t="str">
            <v>WT8X28.5</v>
          </cell>
          <cell r="C867">
            <v>8.39</v>
          </cell>
          <cell r="D867">
            <v>8.2200000000000006</v>
          </cell>
          <cell r="F867" t="str">
            <v>-</v>
          </cell>
          <cell r="H867" t="str">
            <v>-</v>
          </cell>
          <cell r="I867">
            <v>7.12</v>
          </cell>
          <cell r="K867" t="str">
            <v>-</v>
          </cell>
          <cell r="L867" t="str">
            <v>-</v>
          </cell>
          <cell r="M867">
            <v>10.874870114166882</v>
          </cell>
          <cell r="O867">
            <v>0.43</v>
          </cell>
          <cell r="T867" t="str">
            <v>-</v>
          </cell>
          <cell r="U867" t="str">
            <v>-</v>
          </cell>
        </row>
        <row r="868">
          <cell r="B868" t="str">
            <v>WT8X25</v>
          </cell>
          <cell r="C868">
            <v>7.37</v>
          </cell>
          <cell r="D868">
            <v>8.1300000000000008</v>
          </cell>
          <cell r="F868" t="str">
            <v>-</v>
          </cell>
          <cell r="H868" t="str">
            <v>-</v>
          </cell>
          <cell r="I868">
            <v>7.07</v>
          </cell>
          <cell r="K868" t="str">
            <v>-</v>
          </cell>
          <cell r="L868" t="str">
            <v>-</v>
          </cell>
          <cell r="M868">
            <v>10.774126414702957</v>
          </cell>
          <cell r="O868">
            <v>0.38</v>
          </cell>
          <cell r="T868" t="str">
            <v>-</v>
          </cell>
          <cell r="U868" t="str">
            <v>-</v>
          </cell>
        </row>
        <row r="869">
          <cell r="B869" t="str">
            <v>WT8X22.5</v>
          </cell>
          <cell r="C869">
            <v>6.63</v>
          </cell>
          <cell r="D869">
            <v>8.07</v>
          </cell>
          <cell r="F869" t="str">
            <v>-</v>
          </cell>
          <cell r="H869" t="str">
            <v>-</v>
          </cell>
          <cell r="I869">
            <v>7.04</v>
          </cell>
          <cell r="K869" t="str">
            <v>-</v>
          </cell>
          <cell r="L869" t="str">
            <v>-</v>
          </cell>
          <cell r="M869">
            <v>10.709178306480847</v>
          </cell>
          <cell r="O869">
            <v>0.34499999999999997</v>
          </cell>
          <cell r="T869" t="str">
            <v>-</v>
          </cell>
          <cell r="U869" t="str">
            <v>-</v>
          </cell>
        </row>
        <row r="870">
          <cell r="B870" t="str">
            <v>WT8X20</v>
          </cell>
          <cell r="C870">
            <v>5.89</v>
          </cell>
          <cell r="D870">
            <v>8.01</v>
          </cell>
          <cell r="F870" t="str">
            <v>-</v>
          </cell>
          <cell r="H870" t="str">
            <v>-</v>
          </cell>
          <cell r="I870">
            <v>7</v>
          </cell>
          <cell r="K870" t="str">
            <v>-</v>
          </cell>
          <cell r="L870" t="str">
            <v>-</v>
          </cell>
          <cell r="M870">
            <v>10.637673617854611</v>
          </cell>
          <cell r="O870">
            <v>0.30499999999999999</v>
          </cell>
          <cell r="T870" t="str">
            <v>-</v>
          </cell>
          <cell r="U870" t="str">
            <v>-</v>
          </cell>
        </row>
        <row r="871">
          <cell r="B871" t="str">
            <v>WT8X18</v>
          </cell>
          <cell r="C871">
            <v>5.29</v>
          </cell>
          <cell r="D871">
            <v>7.93</v>
          </cell>
          <cell r="F871" t="str">
            <v>-</v>
          </cell>
          <cell r="H871" t="str">
            <v>-</v>
          </cell>
          <cell r="I871">
            <v>6.99</v>
          </cell>
          <cell r="K871" t="str">
            <v>-</v>
          </cell>
          <cell r="L871" t="str">
            <v>-</v>
          </cell>
          <cell r="M871">
            <v>10.570950761402685</v>
          </cell>
          <cell r="O871">
            <v>0.29499999999999998</v>
          </cell>
          <cell r="T871" t="str">
            <v>-</v>
          </cell>
          <cell r="U871" t="str">
            <v>-</v>
          </cell>
        </row>
        <row r="872">
          <cell r="B872" t="str">
            <v>WT8X15.5</v>
          </cell>
          <cell r="C872">
            <v>4.5599999999999996</v>
          </cell>
          <cell r="D872">
            <v>7.94</v>
          </cell>
          <cell r="F872" t="str">
            <v>-</v>
          </cell>
          <cell r="H872" t="str">
            <v>-</v>
          </cell>
          <cell r="I872">
            <v>5.53</v>
          </cell>
          <cell r="K872" t="str">
            <v>-</v>
          </cell>
          <cell r="L872" t="str">
            <v>-</v>
          </cell>
          <cell r="M872">
            <v>9.6759754030278522</v>
          </cell>
          <cell r="O872">
            <v>0.27500000000000002</v>
          </cell>
          <cell r="T872" t="str">
            <v>-</v>
          </cell>
          <cell r="U872" t="str">
            <v>-</v>
          </cell>
        </row>
        <row r="873">
          <cell r="B873" t="str">
            <v>WT8X13</v>
          </cell>
          <cell r="C873">
            <v>3.84</v>
          </cell>
          <cell r="D873">
            <v>7.85</v>
          </cell>
          <cell r="F873" t="str">
            <v>-</v>
          </cell>
          <cell r="H873" t="str">
            <v>-</v>
          </cell>
          <cell r="I873">
            <v>5.5</v>
          </cell>
          <cell r="K873" t="str">
            <v>-</v>
          </cell>
          <cell r="L873" t="str">
            <v>-</v>
          </cell>
          <cell r="M873">
            <v>9.5850143453205128</v>
          </cell>
          <cell r="O873">
            <v>0.25</v>
          </cell>
          <cell r="T873" t="str">
            <v>-</v>
          </cell>
          <cell r="U873" t="str">
            <v>-</v>
          </cell>
        </row>
        <row r="874">
          <cell r="B874" t="str">
            <v>WT7X436.5</v>
          </cell>
          <cell r="C874">
            <v>129</v>
          </cell>
          <cell r="D874">
            <v>11.8</v>
          </cell>
          <cell r="F874" t="str">
            <v>-</v>
          </cell>
          <cell r="H874" t="str">
            <v>-</v>
          </cell>
          <cell r="I874">
            <v>18.8</v>
          </cell>
          <cell r="K874" t="str">
            <v>-</v>
          </cell>
          <cell r="L874" t="str">
            <v>-</v>
          </cell>
          <cell r="M874">
            <v>22.19639610387236</v>
          </cell>
          <cell r="O874">
            <v>3.94</v>
          </cell>
          <cell r="T874" t="str">
            <v>-</v>
          </cell>
          <cell r="U874" t="str">
            <v>-</v>
          </cell>
        </row>
        <row r="875">
          <cell r="B875" t="str">
            <v>WT7X404</v>
          </cell>
          <cell r="C875">
            <v>119</v>
          </cell>
          <cell r="D875">
            <v>11.4</v>
          </cell>
          <cell r="F875" t="str">
            <v>-</v>
          </cell>
          <cell r="H875" t="str">
            <v>-</v>
          </cell>
          <cell r="I875">
            <v>18.600000000000001</v>
          </cell>
          <cell r="K875" t="str">
            <v>-</v>
          </cell>
          <cell r="L875" t="str">
            <v>-</v>
          </cell>
          <cell r="M875">
            <v>21.815590755237412</v>
          </cell>
          <cell r="O875">
            <v>3.74</v>
          </cell>
          <cell r="T875" t="str">
            <v>-</v>
          </cell>
          <cell r="U875" t="str">
            <v>-</v>
          </cell>
        </row>
        <row r="876">
          <cell r="B876" t="str">
            <v>WT7X365</v>
          </cell>
          <cell r="C876">
            <v>107</v>
          </cell>
          <cell r="D876">
            <v>11.2</v>
          </cell>
          <cell r="F876" t="str">
            <v>-</v>
          </cell>
          <cell r="H876" t="str">
            <v>-</v>
          </cell>
          <cell r="I876">
            <v>17.899999999999999</v>
          </cell>
          <cell r="K876" t="str">
            <v>-</v>
          </cell>
          <cell r="L876" t="str">
            <v>-</v>
          </cell>
          <cell r="M876">
            <v>21.115160430363773</v>
          </cell>
          <cell r="O876">
            <v>3.07</v>
          </cell>
          <cell r="T876" t="str">
            <v>-</v>
          </cell>
          <cell r="U876" t="str">
            <v>-</v>
          </cell>
        </row>
        <row r="877">
          <cell r="B877" t="str">
            <v>WT7X332.5</v>
          </cell>
          <cell r="C877">
            <v>97.8</v>
          </cell>
          <cell r="D877">
            <v>10.8</v>
          </cell>
          <cell r="F877" t="str">
            <v>-</v>
          </cell>
          <cell r="H877" t="str">
            <v>-</v>
          </cell>
          <cell r="I877">
            <v>17.7</v>
          </cell>
          <cell r="K877" t="str">
            <v>-</v>
          </cell>
          <cell r="L877" t="str">
            <v>-</v>
          </cell>
          <cell r="M877">
            <v>20.734753434752967</v>
          </cell>
          <cell r="O877">
            <v>2.83</v>
          </cell>
          <cell r="T877" t="str">
            <v>-</v>
          </cell>
          <cell r="U877" t="str">
            <v>-</v>
          </cell>
        </row>
        <row r="878">
          <cell r="B878" t="str">
            <v>WT7X302.5</v>
          </cell>
          <cell r="C878">
            <v>89</v>
          </cell>
          <cell r="D878">
            <v>10.5</v>
          </cell>
          <cell r="F878" t="str">
            <v>-</v>
          </cell>
          <cell r="H878" t="str">
            <v>-</v>
          </cell>
          <cell r="I878">
            <v>17.399999999999999</v>
          </cell>
          <cell r="K878" t="str">
            <v>-</v>
          </cell>
          <cell r="L878" t="str">
            <v>-</v>
          </cell>
          <cell r="M878">
            <v>20.322647465327936</v>
          </cell>
          <cell r="O878">
            <v>2.6</v>
          </cell>
          <cell r="T878" t="str">
            <v>-</v>
          </cell>
          <cell r="U878" t="str">
            <v>-</v>
          </cell>
        </row>
        <row r="879">
          <cell r="B879" t="str">
            <v>WT7X275</v>
          </cell>
          <cell r="C879">
            <v>80.900000000000006</v>
          </cell>
          <cell r="D879">
            <v>10.1</v>
          </cell>
          <cell r="F879" t="str">
            <v>-</v>
          </cell>
          <cell r="H879" t="str">
            <v>-</v>
          </cell>
          <cell r="I879">
            <v>17.2</v>
          </cell>
          <cell r="K879" t="str">
            <v>-</v>
          </cell>
          <cell r="L879" t="str">
            <v>-</v>
          </cell>
          <cell r="M879">
            <v>19.946177578674064</v>
          </cell>
          <cell r="O879">
            <v>2.38</v>
          </cell>
          <cell r="T879" t="str">
            <v>-</v>
          </cell>
          <cell r="U879" t="str">
            <v>-</v>
          </cell>
        </row>
        <row r="880">
          <cell r="B880" t="str">
            <v>WT7X250</v>
          </cell>
          <cell r="C880">
            <v>73.5</v>
          </cell>
          <cell r="D880">
            <v>9.8000000000000007</v>
          </cell>
          <cell r="F880" t="str">
            <v>-</v>
          </cell>
          <cell r="H880" t="str">
            <v>-</v>
          </cell>
          <cell r="I880">
            <v>17</v>
          </cell>
          <cell r="K880" t="str">
            <v>-</v>
          </cell>
          <cell r="L880" t="str">
            <v>-</v>
          </cell>
          <cell r="M880">
            <v>19.622436138257655</v>
          </cell>
          <cell r="O880">
            <v>2.19</v>
          </cell>
          <cell r="T880" t="str">
            <v>-</v>
          </cell>
          <cell r="U880" t="str">
            <v>-</v>
          </cell>
        </row>
        <row r="881">
          <cell r="B881" t="str">
            <v>WT7X227.5</v>
          </cell>
          <cell r="C881">
            <v>66.900000000000006</v>
          </cell>
          <cell r="D881">
            <v>9.51</v>
          </cell>
          <cell r="F881" t="str">
            <v>-</v>
          </cell>
          <cell r="H881" t="str">
            <v>-</v>
          </cell>
          <cell r="I881">
            <v>16.8</v>
          </cell>
          <cell r="K881" t="str">
            <v>-</v>
          </cell>
          <cell r="L881" t="str">
            <v>-</v>
          </cell>
          <cell r="M881">
            <v>19.304924242275597</v>
          </cell>
          <cell r="O881">
            <v>2.02</v>
          </cell>
          <cell r="T881" t="str">
            <v>-</v>
          </cell>
          <cell r="U881" t="str">
            <v>-</v>
          </cell>
        </row>
        <row r="882">
          <cell r="B882" t="str">
            <v>WT7X213</v>
          </cell>
          <cell r="C882">
            <v>62.7</v>
          </cell>
          <cell r="D882">
            <v>9.34</v>
          </cell>
          <cell r="F882" t="str">
            <v>-</v>
          </cell>
          <cell r="H882" t="str">
            <v>-</v>
          </cell>
          <cell r="I882">
            <v>16.7</v>
          </cell>
          <cell r="K882" t="str">
            <v>-</v>
          </cell>
          <cell r="L882" t="str">
            <v>-</v>
          </cell>
          <cell r="M882">
            <v>19.134408796720113</v>
          </cell>
          <cell r="O882">
            <v>1.88</v>
          </cell>
          <cell r="T882" t="str">
            <v>-</v>
          </cell>
          <cell r="U882" t="str">
            <v>-</v>
          </cell>
        </row>
        <row r="883">
          <cell r="B883" t="str">
            <v>WT7X199</v>
          </cell>
          <cell r="C883">
            <v>58.4</v>
          </cell>
          <cell r="D883">
            <v>9.15</v>
          </cell>
          <cell r="F883" t="str">
            <v>-</v>
          </cell>
          <cell r="H883" t="str">
            <v>-</v>
          </cell>
          <cell r="I883">
            <v>16.600000000000001</v>
          </cell>
          <cell r="K883" t="str">
            <v>-</v>
          </cell>
          <cell r="L883" t="str">
            <v>-</v>
          </cell>
          <cell r="M883">
            <v>18.954748745367215</v>
          </cell>
          <cell r="O883">
            <v>1.77</v>
          </cell>
          <cell r="T883" t="str">
            <v>-</v>
          </cell>
          <cell r="U883" t="str">
            <v>-</v>
          </cell>
        </row>
        <row r="884">
          <cell r="B884" t="str">
            <v>WT7X185</v>
          </cell>
          <cell r="C884">
            <v>54.4</v>
          </cell>
          <cell r="D884">
            <v>8.9600000000000009</v>
          </cell>
          <cell r="F884" t="str">
            <v>-</v>
          </cell>
          <cell r="H884" t="str">
            <v>-</v>
          </cell>
          <cell r="I884">
            <v>16.5</v>
          </cell>
          <cell r="K884" t="str">
            <v>-</v>
          </cell>
          <cell r="L884" t="str">
            <v>-</v>
          </cell>
          <cell r="M884">
            <v>18.775824882012508</v>
          </cell>
          <cell r="O884">
            <v>1.66</v>
          </cell>
          <cell r="T884" t="str">
            <v>-</v>
          </cell>
          <cell r="U884" t="str">
            <v>-</v>
          </cell>
        </row>
        <row r="885">
          <cell r="B885" t="str">
            <v>WT7X171</v>
          </cell>
          <cell r="C885">
            <v>50.3</v>
          </cell>
          <cell r="D885">
            <v>8.77</v>
          </cell>
          <cell r="F885" t="str">
            <v>-</v>
          </cell>
          <cell r="H885" t="str">
            <v>-</v>
          </cell>
          <cell r="I885">
            <v>16.399999999999999</v>
          </cell>
          <cell r="K885" t="str">
            <v>-</v>
          </cell>
          <cell r="L885" t="str">
            <v>-</v>
          </cell>
          <cell r="M885">
            <v>18.597658454762524</v>
          </cell>
          <cell r="O885">
            <v>1.54</v>
          </cell>
          <cell r="T885" t="str">
            <v>-</v>
          </cell>
          <cell r="U885" t="str">
            <v>-</v>
          </cell>
        </row>
        <row r="886">
          <cell r="B886" t="str">
            <v>WT7X155.5</v>
          </cell>
          <cell r="C886">
            <v>45.7</v>
          </cell>
          <cell r="D886">
            <v>8.56</v>
          </cell>
          <cell r="F886" t="str">
            <v>-</v>
          </cell>
          <cell r="H886" t="str">
            <v>-</v>
          </cell>
          <cell r="I886">
            <v>16.2</v>
          </cell>
          <cell r="K886" t="str">
            <v>-</v>
          </cell>
          <cell r="L886" t="str">
            <v>-</v>
          </cell>
          <cell r="M886">
            <v>18.322488913900315</v>
          </cell>
          <cell r="O886">
            <v>1.41</v>
          </cell>
          <cell r="T886" t="str">
            <v>-</v>
          </cell>
          <cell r="U886" t="str">
            <v>-</v>
          </cell>
        </row>
        <row r="887">
          <cell r="B887" t="str">
            <v>WT7X141.5</v>
          </cell>
          <cell r="C887">
            <v>41.6</v>
          </cell>
          <cell r="D887">
            <v>8.3699999999999992</v>
          </cell>
          <cell r="F887" t="str">
            <v>-</v>
          </cell>
          <cell r="H887" t="str">
            <v>-</v>
          </cell>
          <cell r="I887">
            <v>16.100000000000001</v>
          </cell>
          <cell r="K887" t="str">
            <v>-</v>
          </cell>
          <cell r="L887" t="str">
            <v>-</v>
          </cell>
          <cell r="M887">
            <v>18.145712992329621</v>
          </cell>
          <cell r="O887">
            <v>1.29</v>
          </cell>
          <cell r="T887" t="str">
            <v>-</v>
          </cell>
          <cell r="U887" t="str">
            <v>-</v>
          </cell>
        </row>
        <row r="888">
          <cell r="B888" t="str">
            <v>WT7X128.5</v>
          </cell>
          <cell r="C888">
            <v>37.799999999999997</v>
          </cell>
          <cell r="D888">
            <v>8.19</v>
          </cell>
          <cell r="F888" t="str">
            <v>-</v>
          </cell>
          <cell r="H888" t="str">
            <v>-</v>
          </cell>
          <cell r="I888">
            <v>16</v>
          </cell>
          <cell r="K888" t="str">
            <v>-</v>
          </cell>
          <cell r="L888" t="str">
            <v>-</v>
          </cell>
          <cell r="M888">
            <v>17.974317789557411</v>
          </cell>
          <cell r="O888">
            <v>1.18</v>
          </cell>
          <cell r="T888" t="str">
            <v>-</v>
          </cell>
          <cell r="U888" t="str">
            <v>-</v>
          </cell>
        </row>
        <row r="889">
          <cell r="B889" t="str">
            <v>WT7X116.5</v>
          </cell>
          <cell r="C889">
            <v>34.200000000000003</v>
          </cell>
          <cell r="D889">
            <v>8.02</v>
          </cell>
          <cell r="F889" t="str">
            <v>-</v>
          </cell>
          <cell r="H889" t="str">
            <v>-</v>
          </cell>
          <cell r="I889">
            <v>15.9</v>
          </cell>
          <cell r="K889" t="str">
            <v>-</v>
          </cell>
          <cell r="L889" t="str">
            <v>-</v>
          </cell>
          <cell r="M889">
            <v>17.80815543508086</v>
          </cell>
          <cell r="O889">
            <v>1.07</v>
          </cell>
          <cell r="T889" t="str">
            <v>-</v>
          </cell>
          <cell r="U889" t="str">
            <v>-</v>
          </cell>
        </row>
        <row r="890">
          <cell r="B890" t="str">
            <v>WT7X105.5</v>
          </cell>
          <cell r="C890">
            <v>31</v>
          </cell>
          <cell r="D890">
            <v>7.86</v>
          </cell>
          <cell r="F890" t="str">
            <v>-</v>
          </cell>
          <cell r="H890" t="str">
            <v>-</v>
          </cell>
          <cell r="I890">
            <v>15.8</v>
          </cell>
          <cell r="K890" t="str">
            <v>-</v>
          </cell>
          <cell r="L890" t="str">
            <v>-</v>
          </cell>
          <cell r="M890">
            <v>17.647084745079002</v>
          </cell>
          <cell r="O890">
            <v>0.98</v>
          </cell>
          <cell r="T890" t="str">
            <v>-</v>
          </cell>
          <cell r="U890" t="str">
            <v>-</v>
          </cell>
        </row>
        <row r="891">
          <cell r="B891" t="str">
            <v>WT7X96.5</v>
          </cell>
          <cell r="C891">
            <v>28.4</v>
          </cell>
          <cell r="D891">
            <v>7.74</v>
          </cell>
          <cell r="F891" t="str">
            <v>-</v>
          </cell>
          <cell r="H891" t="str">
            <v>-</v>
          </cell>
          <cell r="I891">
            <v>15.7</v>
          </cell>
          <cell r="K891" t="str">
            <v>-</v>
          </cell>
          <cell r="L891" t="str">
            <v>-</v>
          </cell>
          <cell r="M891">
            <v>17.504216634856871</v>
          </cell>
          <cell r="O891">
            <v>0.89</v>
          </cell>
          <cell r="T891" t="str">
            <v>-</v>
          </cell>
          <cell r="U891" t="str">
            <v>-</v>
          </cell>
        </row>
        <row r="892">
          <cell r="B892" t="str">
            <v>WT7X88</v>
          </cell>
          <cell r="C892">
            <v>25.9</v>
          </cell>
          <cell r="D892">
            <v>7.61</v>
          </cell>
          <cell r="F892" t="str">
            <v>-</v>
          </cell>
          <cell r="H892" t="str">
            <v>-</v>
          </cell>
          <cell r="I892">
            <v>15.7</v>
          </cell>
          <cell r="K892" t="str">
            <v>-</v>
          </cell>
          <cell r="L892" t="str">
            <v>-</v>
          </cell>
          <cell r="M892">
            <v>17.447122971997416</v>
          </cell>
          <cell r="O892">
            <v>0.83</v>
          </cell>
          <cell r="T892" t="str">
            <v>-</v>
          </cell>
          <cell r="U892" t="str">
            <v>-</v>
          </cell>
        </row>
        <row r="893">
          <cell r="B893" t="str">
            <v>WT7X79.5</v>
          </cell>
          <cell r="C893">
            <v>23.4</v>
          </cell>
          <cell r="D893">
            <v>7.49</v>
          </cell>
          <cell r="F893" t="str">
            <v>-</v>
          </cell>
          <cell r="H893" t="str">
            <v>-</v>
          </cell>
          <cell r="I893">
            <v>15.6</v>
          </cell>
          <cell r="K893" t="str">
            <v>-</v>
          </cell>
          <cell r="L893" t="str">
            <v>-</v>
          </cell>
          <cell r="M893">
            <v>17.30491548664714</v>
          </cell>
          <cell r="O893">
            <v>0.745</v>
          </cell>
          <cell r="T893" t="str">
            <v>-</v>
          </cell>
          <cell r="U893" t="str">
            <v>-</v>
          </cell>
        </row>
        <row r="894">
          <cell r="B894" t="str">
            <v>WT7X72.5</v>
          </cell>
          <cell r="C894">
            <v>21.3</v>
          </cell>
          <cell r="D894">
            <v>7.39</v>
          </cell>
          <cell r="F894" t="str">
            <v>-</v>
          </cell>
          <cell r="H894" t="str">
            <v>-</v>
          </cell>
          <cell r="I894">
            <v>15.5</v>
          </cell>
          <cell r="K894" t="str">
            <v>-</v>
          </cell>
          <cell r="L894" t="str">
            <v>-</v>
          </cell>
          <cell r="M894">
            <v>17.171549143860027</v>
          </cell>
          <cell r="O894">
            <v>0.68</v>
          </cell>
          <cell r="T894" t="str">
            <v>-</v>
          </cell>
          <cell r="U894" t="str">
            <v>-</v>
          </cell>
        </row>
        <row r="895">
          <cell r="B895" t="str">
            <v>WT7X66</v>
          </cell>
          <cell r="C895">
            <v>19.399999999999999</v>
          </cell>
          <cell r="D895">
            <v>7.33</v>
          </cell>
          <cell r="F895" t="str">
            <v>-</v>
          </cell>
          <cell r="H895" t="str">
            <v>-</v>
          </cell>
          <cell r="I895">
            <v>14.7</v>
          </cell>
          <cell r="K895" t="str">
            <v>-</v>
          </cell>
          <cell r="L895" t="str">
            <v>-</v>
          </cell>
          <cell r="M895">
            <v>16.426165103273497</v>
          </cell>
          <cell r="O895">
            <v>0.64500000000000002</v>
          </cell>
          <cell r="T895" t="str">
            <v>-</v>
          </cell>
          <cell r="U895" t="str">
            <v>-</v>
          </cell>
        </row>
        <row r="896">
          <cell r="B896" t="str">
            <v>WT7X60</v>
          </cell>
          <cell r="C896">
            <v>17.7</v>
          </cell>
          <cell r="D896">
            <v>7.24</v>
          </cell>
          <cell r="F896" t="str">
            <v>-</v>
          </cell>
          <cell r="H896" t="str">
            <v>-</v>
          </cell>
          <cell r="I896">
            <v>14.7</v>
          </cell>
          <cell r="K896" t="str">
            <v>-</v>
          </cell>
          <cell r="L896" t="str">
            <v>-</v>
          </cell>
          <cell r="M896">
            <v>16.386201512248039</v>
          </cell>
          <cell r="O896">
            <v>0.59</v>
          </cell>
          <cell r="T896" t="str">
            <v>-</v>
          </cell>
          <cell r="U896" t="str">
            <v>-</v>
          </cell>
        </row>
        <row r="897">
          <cell r="B897" t="str">
            <v>WT7X54.5</v>
          </cell>
          <cell r="C897">
            <v>16</v>
          </cell>
          <cell r="D897">
            <v>7.16</v>
          </cell>
          <cell r="F897" t="str">
            <v>-</v>
          </cell>
          <cell r="H897" t="str">
            <v>-</v>
          </cell>
          <cell r="I897">
            <v>14.6</v>
          </cell>
          <cell r="K897" t="str">
            <v>-</v>
          </cell>
          <cell r="L897" t="str">
            <v>-</v>
          </cell>
          <cell r="M897">
            <v>16.261168469701062</v>
          </cell>
          <cell r="O897">
            <v>0.52500000000000002</v>
          </cell>
          <cell r="T897" t="str">
            <v>-</v>
          </cell>
          <cell r="U897" t="str">
            <v>-</v>
          </cell>
        </row>
        <row r="898">
          <cell r="B898" t="str">
            <v>WT7X49.5</v>
          </cell>
          <cell r="C898">
            <v>14.6</v>
          </cell>
          <cell r="D898">
            <v>7.08</v>
          </cell>
          <cell r="F898" t="str">
            <v>-</v>
          </cell>
          <cell r="H898" t="str">
            <v>-</v>
          </cell>
          <cell r="I898">
            <v>14.6</v>
          </cell>
          <cell r="K898" t="str">
            <v>-</v>
          </cell>
          <cell r="L898" t="str">
            <v>-</v>
          </cell>
          <cell r="M898">
            <v>16.226102427878359</v>
          </cell>
          <cell r="O898">
            <v>0.48499999999999999</v>
          </cell>
          <cell r="T898" t="str">
            <v>-</v>
          </cell>
          <cell r="U898" t="str">
            <v>-</v>
          </cell>
        </row>
        <row r="899">
          <cell r="B899" t="str">
            <v>WT7X45</v>
          </cell>
          <cell r="C899">
            <v>13.2</v>
          </cell>
          <cell r="D899">
            <v>7.01</v>
          </cell>
          <cell r="F899" t="str">
            <v>-</v>
          </cell>
          <cell r="H899" t="str">
            <v>-</v>
          </cell>
          <cell r="I899">
            <v>14.5</v>
          </cell>
          <cell r="K899" t="str">
            <v>-</v>
          </cell>
          <cell r="L899" t="str">
            <v>-</v>
          </cell>
          <cell r="M899">
            <v>16.105592196501188</v>
          </cell>
          <cell r="O899">
            <v>0.44</v>
          </cell>
          <cell r="T899" t="str">
            <v>-</v>
          </cell>
          <cell r="U899" t="str">
            <v>-</v>
          </cell>
        </row>
        <row r="900">
          <cell r="B900" t="str">
            <v>WT7X41</v>
          </cell>
          <cell r="C900">
            <v>12</v>
          </cell>
          <cell r="D900">
            <v>7.16</v>
          </cell>
          <cell r="F900" t="str">
            <v>-</v>
          </cell>
          <cell r="H900" t="str">
            <v>-</v>
          </cell>
          <cell r="I900">
            <v>10.1</v>
          </cell>
          <cell r="K900" t="str">
            <v>-</v>
          </cell>
          <cell r="L900" t="str">
            <v>-</v>
          </cell>
          <cell r="M900">
            <v>12.380452334224303</v>
          </cell>
          <cell r="O900">
            <v>0.51</v>
          </cell>
          <cell r="T900" t="str">
            <v>-</v>
          </cell>
          <cell r="U900" t="str">
            <v>-</v>
          </cell>
        </row>
        <row r="901">
          <cell r="B901" t="str">
            <v>WT7X37</v>
          </cell>
          <cell r="C901">
            <v>10.9</v>
          </cell>
          <cell r="D901">
            <v>7.09</v>
          </cell>
          <cell r="F901" t="str">
            <v>-</v>
          </cell>
          <cell r="H901" t="str">
            <v>-</v>
          </cell>
          <cell r="I901">
            <v>10.1</v>
          </cell>
          <cell r="K901" t="str">
            <v>-</v>
          </cell>
          <cell r="L901" t="str">
            <v>-</v>
          </cell>
          <cell r="M901">
            <v>12.340101296180675</v>
          </cell>
          <cell r="O901">
            <v>0.45</v>
          </cell>
          <cell r="T901" t="str">
            <v>-</v>
          </cell>
          <cell r="U901" t="str">
            <v>-</v>
          </cell>
        </row>
        <row r="902">
          <cell r="B902" t="str">
            <v>WT7X34</v>
          </cell>
          <cell r="C902">
            <v>10</v>
          </cell>
          <cell r="D902">
            <v>7.02</v>
          </cell>
          <cell r="F902" t="str">
            <v>-</v>
          </cell>
          <cell r="H902" t="str">
            <v>-</v>
          </cell>
          <cell r="I902">
            <v>10</v>
          </cell>
          <cell r="K902" t="str">
            <v>-</v>
          </cell>
          <cell r="L902" t="str">
            <v>-</v>
          </cell>
          <cell r="M902">
            <v>12.218035848695157</v>
          </cell>
          <cell r="O902">
            <v>0.41499999999999998</v>
          </cell>
          <cell r="T902" t="str">
            <v>-</v>
          </cell>
          <cell r="U902" t="str">
            <v>-</v>
          </cell>
        </row>
        <row r="903">
          <cell r="B903" t="str">
            <v>WT7X30.5</v>
          </cell>
          <cell r="C903">
            <v>8.9600000000000009</v>
          </cell>
          <cell r="D903">
            <v>6.95</v>
          </cell>
          <cell r="F903" t="str">
            <v>-</v>
          </cell>
          <cell r="H903" t="str">
            <v>-</v>
          </cell>
          <cell r="I903">
            <v>10</v>
          </cell>
          <cell r="K903" t="str">
            <v>-</v>
          </cell>
          <cell r="L903" t="str">
            <v>-</v>
          </cell>
          <cell r="M903">
            <v>12.177951387651373</v>
          </cell>
          <cell r="O903">
            <v>0.375</v>
          </cell>
          <cell r="T903" t="str">
            <v>-</v>
          </cell>
          <cell r="U903" t="str">
            <v>-</v>
          </cell>
        </row>
        <row r="904">
          <cell r="B904" t="str">
            <v>WT7X26.5</v>
          </cell>
          <cell r="C904">
            <v>7.8</v>
          </cell>
          <cell r="D904">
            <v>6.96</v>
          </cell>
          <cell r="F904" t="str">
            <v>-</v>
          </cell>
          <cell r="H904" t="str">
            <v>-</v>
          </cell>
          <cell r="I904">
            <v>8.06</v>
          </cell>
          <cell r="K904" t="str">
            <v>-</v>
          </cell>
          <cell r="L904" t="str">
            <v>-</v>
          </cell>
          <cell r="M904">
            <v>10.649187762453998</v>
          </cell>
          <cell r="O904">
            <v>0.37</v>
          </cell>
          <cell r="T904" t="str">
            <v>-</v>
          </cell>
          <cell r="U904" t="str">
            <v>-</v>
          </cell>
        </row>
        <row r="905">
          <cell r="B905" t="str">
            <v>WT7X24</v>
          </cell>
          <cell r="C905">
            <v>7.07</v>
          </cell>
          <cell r="D905">
            <v>6.9</v>
          </cell>
          <cell r="F905" t="str">
            <v>-</v>
          </cell>
          <cell r="H905" t="str">
            <v>-</v>
          </cell>
          <cell r="I905">
            <v>8.0299999999999994</v>
          </cell>
          <cell r="K905" t="str">
            <v>-</v>
          </cell>
          <cell r="L905" t="str">
            <v>-</v>
          </cell>
          <cell r="M905">
            <v>10.587298994550027</v>
          </cell>
          <cell r="O905">
            <v>0.34</v>
          </cell>
          <cell r="T905" t="str">
            <v>-</v>
          </cell>
          <cell r="U905" t="str">
            <v>-</v>
          </cell>
        </row>
        <row r="906">
          <cell r="B906" t="str">
            <v>WT7X21.5</v>
          </cell>
          <cell r="C906">
            <v>6.31</v>
          </cell>
          <cell r="D906">
            <v>6.83</v>
          </cell>
          <cell r="F906" t="str">
            <v>-</v>
          </cell>
          <cell r="H906" t="str">
            <v>-</v>
          </cell>
          <cell r="I906">
            <v>8</v>
          </cell>
          <cell r="K906" t="str">
            <v>-</v>
          </cell>
          <cell r="L906" t="str">
            <v>-</v>
          </cell>
          <cell r="M906">
            <v>10.518978087247829</v>
          </cell>
          <cell r="O906">
            <v>0.30499999999999999</v>
          </cell>
          <cell r="T906" t="str">
            <v>-</v>
          </cell>
          <cell r="U906" t="str">
            <v>-</v>
          </cell>
        </row>
        <row r="907">
          <cell r="B907" t="str">
            <v>WT7X19</v>
          </cell>
          <cell r="C907">
            <v>5.58</v>
          </cell>
          <cell r="D907">
            <v>7.05</v>
          </cell>
          <cell r="F907" t="str">
            <v>-</v>
          </cell>
          <cell r="H907" t="str">
            <v>-</v>
          </cell>
          <cell r="I907">
            <v>6.77</v>
          </cell>
          <cell r="K907" t="str">
            <v>-</v>
          </cell>
          <cell r="L907" t="str">
            <v>-</v>
          </cell>
          <cell r="M907">
            <v>9.7742211965966881</v>
          </cell>
          <cell r="O907">
            <v>0.31</v>
          </cell>
          <cell r="T907" t="str">
            <v>-</v>
          </cell>
          <cell r="U907" t="str">
            <v>-</v>
          </cell>
        </row>
        <row r="908">
          <cell r="B908" t="str">
            <v>WT7X17</v>
          </cell>
          <cell r="C908">
            <v>5</v>
          </cell>
          <cell r="D908">
            <v>6.99</v>
          </cell>
          <cell r="F908" t="str">
            <v>-</v>
          </cell>
          <cell r="H908" t="str">
            <v>-</v>
          </cell>
          <cell r="I908">
            <v>6.75</v>
          </cell>
          <cell r="K908" t="str">
            <v>-</v>
          </cell>
          <cell r="L908" t="str">
            <v>-</v>
          </cell>
          <cell r="M908">
            <v>9.7171292056862146</v>
          </cell>
          <cell r="O908">
            <v>0.28499999999999998</v>
          </cell>
          <cell r="T908" t="str">
            <v>-</v>
          </cell>
          <cell r="U908" t="str">
            <v>-</v>
          </cell>
        </row>
        <row r="909">
          <cell r="B909" t="str">
            <v>WT7X15</v>
          </cell>
          <cell r="C909">
            <v>4.42</v>
          </cell>
          <cell r="D909">
            <v>6.92</v>
          </cell>
          <cell r="F909" t="str">
            <v>-</v>
          </cell>
          <cell r="H909" t="str">
            <v>-</v>
          </cell>
          <cell r="I909">
            <v>6.73</v>
          </cell>
          <cell r="K909" t="str">
            <v>-</v>
          </cell>
          <cell r="L909" t="str">
            <v>-</v>
          </cell>
          <cell r="M909">
            <v>9.6529425565472007</v>
          </cell>
          <cell r="O909">
            <v>0.27</v>
          </cell>
          <cell r="T909" t="str">
            <v>-</v>
          </cell>
          <cell r="U909" t="str">
            <v>-</v>
          </cell>
        </row>
        <row r="910">
          <cell r="B910" t="str">
            <v>WT7X13</v>
          </cell>
          <cell r="C910">
            <v>3.85</v>
          </cell>
          <cell r="D910">
            <v>6.96</v>
          </cell>
          <cell r="F910" t="str">
            <v>-</v>
          </cell>
          <cell r="H910" t="str">
            <v>-</v>
          </cell>
          <cell r="I910">
            <v>5.03</v>
          </cell>
          <cell r="K910" t="str">
            <v>-</v>
          </cell>
          <cell r="L910" t="str">
            <v>-</v>
          </cell>
          <cell r="M910">
            <v>8.5873453406742648</v>
          </cell>
          <cell r="O910">
            <v>0.255</v>
          </cell>
          <cell r="T910" t="str">
            <v>-</v>
          </cell>
          <cell r="U910" t="str">
            <v>-</v>
          </cell>
        </row>
        <row r="911">
          <cell r="B911" t="str">
            <v>WT7X11</v>
          </cell>
          <cell r="C911">
            <v>3.25</v>
          </cell>
          <cell r="D911">
            <v>6.87</v>
          </cell>
          <cell r="F911" t="str">
            <v>-</v>
          </cell>
          <cell r="H911" t="str">
            <v>-</v>
          </cell>
          <cell r="I911">
            <v>5</v>
          </cell>
          <cell r="K911" t="str">
            <v>-</v>
          </cell>
          <cell r="L911" t="str">
            <v>-</v>
          </cell>
          <cell r="M911">
            <v>8.496875896469243</v>
          </cell>
          <cell r="O911">
            <v>0.23</v>
          </cell>
          <cell r="T911" t="str">
            <v>-</v>
          </cell>
          <cell r="U911" t="str">
            <v>-</v>
          </cell>
        </row>
        <row r="912">
          <cell r="B912" t="str">
            <v>WT6X168</v>
          </cell>
          <cell r="C912">
            <v>49.5</v>
          </cell>
          <cell r="D912">
            <v>8.41</v>
          </cell>
          <cell r="F912" t="str">
            <v>-</v>
          </cell>
          <cell r="H912" t="str">
            <v>-</v>
          </cell>
          <cell r="I912">
            <v>13.4</v>
          </cell>
          <cell r="K912" t="str">
            <v>-</v>
          </cell>
          <cell r="L912" t="str">
            <v>-</v>
          </cell>
          <cell r="M912">
            <v>15.820496199550758</v>
          </cell>
          <cell r="O912">
            <v>1.78</v>
          </cell>
          <cell r="T912" t="str">
            <v>-</v>
          </cell>
          <cell r="U912" t="str">
            <v>-</v>
          </cell>
        </row>
        <row r="913">
          <cell r="B913" t="str">
            <v>WT6X152.5</v>
          </cell>
          <cell r="C913">
            <v>44.7</v>
          </cell>
          <cell r="D913">
            <v>8.16</v>
          </cell>
          <cell r="F913" t="str">
            <v>-</v>
          </cell>
          <cell r="H913" t="str">
            <v>-</v>
          </cell>
          <cell r="I913">
            <v>13.2</v>
          </cell>
          <cell r="K913" t="str">
            <v>-</v>
          </cell>
          <cell r="L913" t="str">
            <v>-</v>
          </cell>
          <cell r="M913">
            <v>15.518556633914121</v>
          </cell>
          <cell r="O913">
            <v>1.63</v>
          </cell>
          <cell r="T913" t="str">
            <v>-</v>
          </cell>
          <cell r="U913" t="str">
            <v>-</v>
          </cell>
        </row>
        <row r="914">
          <cell r="B914" t="str">
            <v>WT6X139.5</v>
          </cell>
          <cell r="C914">
            <v>41</v>
          </cell>
          <cell r="D914">
            <v>7.93</v>
          </cell>
          <cell r="F914" t="str">
            <v>-</v>
          </cell>
          <cell r="H914" t="str">
            <v>-</v>
          </cell>
          <cell r="I914">
            <v>13.1</v>
          </cell>
          <cell r="K914" t="str">
            <v>-</v>
          </cell>
          <cell r="L914" t="str">
            <v>-</v>
          </cell>
          <cell r="M914">
            <v>15.313226309305298</v>
          </cell>
          <cell r="O914">
            <v>1.53</v>
          </cell>
          <cell r="T914" t="str">
            <v>-</v>
          </cell>
          <cell r="U914" t="str">
            <v>-</v>
          </cell>
        </row>
        <row r="915">
          <cell r="B915" t="str">
            <v>WT6X126</v>
          </cell>
          <cell r="C915">
            <v>37.1</v>
          </cell>
          <cell r="D915">
            <v>7.71</v>
          </cell>
          <cell r="F915" t="str">
            <v>-</v>
          </cell>
          <cell r="H915" t="str">
            <v>-</v>
          </cell>
          <cell r="I915">
            <v>13</v>
          </cell>
          <cell r="K915" t="str">
            <v>-</v>
          </cell>
          <cell r="L915" t="str">
            <v>-</v>
          </cell>
          <cell r="M915">
            <v>15.11436733707369</v>
          </cell>
          <cell r="O915">
            <v>1.4</v>
          </cell>
          <cell r="T915" t="str">
            <v>-</v>
          </cell>
          <cell r="U915" t="str">
            <v>-</v>
          </cell>
        </row>
        <row r="916">
          <cell r="B916" t="str">
            <v>WT6X115</v>
          </cell>
          <cell r="C916">
            <v>33.799999999999997</v>
          </cell>
          <cell r="D916">
            <v>7.53</v>
          </cell>
          <cell r="F916" t="str">
            <v>-</v>
          </cell>
          <cell r="H916" t="str">
            <v>-</v>
          </cell>
          <cell r="I916">
            <v>12.9</v>
          </cell>
          <cell r="K916" t="str">
            <v>-</v>
          </cell>
          <cell r="L916" t="str">
            <v>-</v>
          </cell>
          <cell r="M916">
            <v>14.936897268174539</v>
          </cell>
          <cell r="O916">
            <v>1.29</v>
          </cell>
          <cell r="T916" t="str">
            <v>-</v>
          </cell>
          <cell r="U916" t="str">
            <v>-</v>
          </cell>
        </row>
        <row r="917">
          <cell r="B917" t="str">
            <v>WT6X105</v>
          </cell>
          <cell r="C917">
            <v>30.9</v>
          </cell>
          <cell r="D917">
            <v>7.36</v>
          </cell>
          <cell r="F917" t="str">
            <v>-</v>
          </cell>
          <cell r="H917" t="str">
            <v>-</v>
          </cell>
          <cell r="I917">
            <v>12.8</v>
          </cell>
          <cell r="K917" t="str">
            <v>-</v>
          </cell>
          <cell r="L917" t="str">
            <v>-</v>
          </cell>
          <cell r="M917">
            <v>14.765148153675941</v>
          </cell>
          <cell r="O917">
            <v>1.18</v>
          </cell>
          <cell r="T917" t="str">
            <v>-</v>
          </cell>
          <cell r="U917" t="str">
            <v>-</v>
          </cell>
        </row>
        <row r="918">
          <cell r="B918" t="str">
            <v>WT6X95</v>
          </cell>
          <cell r="C918">
            <v>28</v>
          </cell>
          <cell r="D918">
            <v>7.19</v>
          </cell>
          <cell r="F918" t="str">
            <v>-</v>
          </cell>
          <cell r="H918" t="str">
            <v>-</v>
          </cell>
          <cell r="I918">
            <v>12.7</v>
          </cell>
          <cell r="K918" t="str">
            <v>-</v>
          </cell>
          <cell r="L918" t="str">
            <v>-</v>
          </cell>
          <cell r="M918">
            <v>14.594043305403749</v>
          </cell>
          <cell r="O918">
            <v>1.06</v>
          </cell>
          <cell r="T918" t="str">
            <v>-</v>
          </cell>
          <cell r="U918" t="str">
            <v>-</v>
          </cell>
        </row>
        <row r="919">
          <cell r="B919" t="str">
            <v>WT6X85</v>
          </cell>
          <cell r="C919">
            <v>25</v>
          </cell>
          <cell r="D919">
            <v>7.02</v>
          </cell>
          <cell r="F919" t="str">
            <v>-</v>
          </cell>
          <cell r="H919" t="str">
            <v>-</v>
          </cell>
          <cell r="I919">
            <v>12.6</v>
          </cell>
          <cell r="K919" t="str">
            <v>-</v>
          </cell>
          <cell r="L919" t="str">
            <v>-</v>
          </cell>
          <cell r="M919">
            <v>14.423605651847252</v>
          </cell>
          <cell r="O919">
            <v>0.96</v>
          </cell>
          <cell r="T919" t="str">
            <v>-</v>
          </cell>
          <cell r="U919" t="str">
            <v>-</v>
          </cell>
        </row>
        <row r="920">
          <cell r="B920" t="str">
            <v>WT6X76</v>
          </cell>
          <cell r="C920">
            <v>22.4</v>
          </cell>
          <cell r="D920">
            <v>6.86</v>
          </cell>
          <cell r="F920" t="str">
            <v>-</v>
          </cell>
          <cell r="H920" t="str">
            <v>-</v>
          </cell>
          <cell r="I920">
            <v>12.5</v>
          </cell>
          <cell r="K920" t="str">
            <v>-</v>
          </cell>
          <cell r="L920" t="str">
            <v>-</v>
          </cell>
          <cell r="M920">
            <v>14.258667539430183</v>
          </cell>
          <cell r="O920">
            <v>0.87</v>
          </cell>
          <cell r="T920" t="str">
            <v>-</v>
          </cell>
          <cell r="U920" t="str">
            <v>-</v>
          </cell>
        </row>
        <row r="921">
          <cell r="B921" t="str">
            <v>WT6X68</v>
          </cell>
          <cell r="C921">
            <v>20</v>
          </cell>
          <cell r="D921">
            <v>6.71</v>
          </cell>
          <cell r="F921" t="str">
            <v>-</v>
          </cell>
          <cell r="H921" t="str">
            <v>-</v>
          </cell>
          <cell r="I921">
            <v>12.4</v>
          </cell>
          <cell r="K921" t="str">
            <v>-</v>
          </cell>
          <cell r="L921" t="str">
            <v>-</v>
          </cell>
          <cell r="M921">
            <v>14.099081530369276</v>
          </cell>
          <cell r="O921">
            <v>0.79</v>
          </cell>
          <cell r="T921" t="str">
            <v>-</v>
          </cell>
          <cell r="U921" t="str">
            <v>-</v>
          </cell>
        </row>
        <row r="922">
          <cell r="B922" t="str">
            <v>WT6X60</v>
          </cell>
          <cell r="C922">
            <v>17.600000000000001</v>
          </cell>
          <cell r="D922">
            <v>6.56</v>
          </cell>
          <cell r="F922" t="str">
            <v>-</v>
          </cell>
          <cell r="H922" t="str">
            <v>-</v>
          </cell>
          <cell r="I922">
            <v>12.3</v>
          </cell>
          <cell r="K922" t="str">
            <v>-</v>
          </cell>
          <cell r="L922" t="str">
            <v>-</v>
          </cell>
          <cell r="M922">
            <v>13.94</v>
          </cell>
          <cell r="O922">
            <v>0.71</v>
          </cell>
          <cell r="T922" t="str">
            <v>-</v>
          </cell>
          <cell r="U922" t="str">
            <v>-</v>
          </cell>
        </row>
        <row r="923">
          <cell r="B923" t="str">
            <v>WT6X53</v>
          </cell>
          <cell r="C923">
            <v>15.6</v>
          </cell>
          <cell r="D923">
            <v>6.45</v>
          </cell>
          <cell r="F923" t="str">
            <v>-</v>
          </cell>
          <cell r="H923" t="str">
            <v>-</v>
          </cell>
          <cell r="I923">
            <v>12.2</v>
          </cell>
          <cell r="K923" t="str">
            <v>-</v>
          </cell>
          <cell r="L923" t="str">
            <v>-</v>
          </cell>
          <cell r="M923">
            <v>13.800090579412874</v>
          </cell>
          <cell r="O923">
            <v>0.61</v>
          </cell>
          <cell r="T923" t="str">
            <v>-</v>
          </cell>
          <cell r="U923" t="str">
            <v>-</v>
          </cell>
        </row>
        <row r="924">
          <cell r="B924" t="str">
            <v>WT6X48</v>
          </cell>
          <cell r="C924">
            <v>14.1</v>
          </cell>
          <cell r="D924">
            <v>6.36</v>
          </cell>
          <cell r="F924" t="str">
            <v>-</v>
          </cell>
          <cell r="H924" t="str">
            <v>-</v>
          </cell>
          <cell r="I924">
            <v>12.2</v>
          </cell>
          <cell r="K924" t="str">
            <v>-</v>
          </cell>
          <cell r="L924" t="str">
            <v>-</v>
          </cell>
          <cell r="M924">
            <v>13.758255703394962</v>
          </cell>
          <cell r="O924">
            <v>0.55000000000000004</v>
          </cell>
          <cell r="T924" t="str">
            <v>-</v>
          </cell>
          <cell r="U924" t="str">
            <v>-</v>
          </cell>
        </row>
        <row r="925">
          <cell r="B925" t="str">
            <v>WT6X43.5</v>
          </cell>
          <cell r="C925">
            <v>12.8</v>
          </cell>
          <cell r="D925">
            <v>6.27</v>
          </cell>
          <cell r="F925" t="str">
            <v>-</v>
          </cell>
          <cell r="H925" t="str">
            <v>-</v>
          </cell>
          <cell r="I925">
            <v>12.1</v>
          </cell>
          <cell r="K925" t="str">
            <v>-</v>
          </cell>
          <cell r="L925" t="str">
            <v>-</v>
          </cell>
          <cell r="M925">
            <v>13.628018931598238</v>
          </cell>
          <cell r="O925">
            <v>0.51500000000000001</v>
          </cell>
          <cell r="T925" t="str">
            <v>-</v>
          </cell>
          <cell r="U925" t="str">
            <v>-</v>
          </cell>
        </row>
        <row r="926">
          <cell r="B926" t="str">
            <v>WT6X39.5</v>
          </cell>
          <cell r="C926">
            <v>11.6</v>
          </cell>
          <cell r="D926">
            <v>6.19</v>
          </cell>
          <cell r="F926" t="str">
            <v>-</v>
          </cell>
          <cell r="H926" t="str">
            <v>-</v>
          </cell>
          <cell r="I926">
            <v>12.1</v>
          </cell>
          <cell r="K926" t="str">
            <v>-</v>
          </cell>
          <cell r="L926" t="str">
            <v>-</v>
          </cell>
          <cell r="M926">
            <v>13.591398014921054</v>
          </cell>
          <cell r="O926">
            <v>0.47</v>
          </cell>
          <cell r="T926" t="str">
            <v>-</v>
          </cell>
          <cell r="U926" t="str">
            <v>-</v>
          </cell>
        </row>
        <row r="927">
          <cell r="B927" t="str">
            <v>WT6X36</v>
          </cell>
          <cell r="C927">
            <v>10.6</v>
          </cell>
          <cell r="D927">
            <v>6.13</v>
          </cell>
          <cell r="F927" t="str">
            <v>-</v>
          </cell>
          <cell r="H927" t="str">
            <v>-</v>
          </cell>
          <cell r="I927">
            <v>12</v>
          </cell>
          <cell r="K927" t="str">
            <v>-</v>
          </cell>
          <cell r="L927" t="str">
            <v>-</v>
          </cell>
          <cell r="M927">
            <v>13.475047309749973</v>
          </cell>
          <cell r="O927">
            <v>0.43</v>
          </cell>
          <cell r="T927" t="str">
            <v>-</v>
          </cell>
          <cell r="U927" t="str">
            <v>-</v>
          </cell>
        </row>
        <row r="928">
          <cell r="B928" t="str">
            <v>WT6X32.5</v>
          </cell>
          <cell r="C928">
            <v>9.5399999999999991</v>
          </cell>
          <cell r="D928">
            <v>6.06</v>
          </cell>
          <cell r="F928" t="str">
            <v>-</v>
          </cell>
          <cell r="H928" t="str">
            <v>-</v>
          </cell>
          <cell r="I928">
            <v>12</v>
          </cell>
          <cell r="K928" t="str">
            <v>-</v>
          </cell>
          <cell r="L928" t="str">
            <v>-</v>
          </cell>
          <cell r="M928">
            <v>13.443347797330842</v>
          </cell>
          <cell r="O928">
            <v>0.39</v>
          </cell>
          <cell r="T928" t="str">
            <v>-</v>
          </cell>
          <cell r="U928" t="str">
            <v>-</v>
          </cell>
        </row>
        <row r="929">
          <cell r="B929" t="str">
            <v>WT6X29</v>
          </cell>
          <cell r="C929">
            <v>8.52</v>
          </cell>
          <cell r="D929">
            <v>6.1</v>
          </cell>
          <cell r="F929" t="str">
            <v>-</v>
          </cell>
          <cell r="H929" t="str">
            <v>-</v>
          </cell>
          <cell r="I929">
            <v>10</v>
          </cell>
          <cell r="K929" t="str">
            <v>-</v>
          </cell>
          <cell r="L929" t="str">
            <v>-</v>
          </cell>
          <cell r="M929">
            <v>11.713667231059622</v>
          </cell>
          <cell r="O929">
            <v>0.36</v>
          </cell>
          <cell r="T929" t="str">
            <v>-</v>
          </cell>
          <cell r="U929" t="str">
            <v>-</v>
          </cell>
        </row>
        <row r="930">
          <cell r="B930" t="str">
            <v>WT6X26.5</v>
          </cell>
          <cell r="C930">
            <v>7.78</v>
          </cell>
          <cell r="D930">
            <v>6.03</v>
          </cell>
          <cell r="F930" t="str">
            <v>-</v>
          </cell>
          <cell r="H930" t="str">
            <v>-</v>
          </cell>
          <cell r="I930">
            <v>10</v>
          </cell>
          <cell r="K930" t="str">
            <v>-</v>
          </cell>
          <cell r="L930" t="str">
            <v>-</v>
          </cell>
          <cell r="M930">
            <v>11.67736699774397</v>
          </cell>
          <cell r="O930">
            <v>0.34499999999999997</v>
          </cell>
          <cell r="T930" t="str">
            <v>-</v>
          </cell>
          <cell r="U930" t="str">
            <v>-</v>
          </cell>
        </row>
        <row r="931">
          <cell r="B931" t="str">
            <v>WT6X25</v>
          </cell>
          <cell r="C931">
            <v>7.3</v>
          </cell>
          <cell r="D931">
            <v>6.1</v>
          </cell>
          <cell r="F931" t="str">
            <v>-</v>
          </cell>
          <cell r="H931" t="str">
            <v>-</v>
          </cell>
          <cell r="I931">
            <v>8.08</v>
          </cell>
          <cell r="K931" t="str">
            <v>-</v>
          </cell>
          <cell r="L931" t="str">
            <v>-</v>
          </cell>
          <cell r="M931">
            <v>10.124050572769773</v>
          </cell>
          <cell r="O931">
            <v>0.37</v>
          </cell>
          <cell r="T931" t="str">
            <v>-</v>
          </cell>
          <cell r="U931" t="str">
            <v>-</v>
          </cell>
        </row>
        <row r="932">
          <cell r="B932" t="str">
            <v>WT6X22.5</v>
          </cell>
          <cell r="C932">
            <v>6.56</v>
          </cell>
          <cell r="D932">
            <v>6.03</v>
          </cell>
          <cell r="F932" t="str">
            <v>-</v>
          </cell>
          <cell r="H932" t="str">
            <v>-</v>
          </cell>
          <cell r="I932">
            <v>8.0500000000000007</v>
          </cell>
          <cell r="K932" t="str">
            <v>-</v>
          </cell>
          <cell r="L932" t="str">
            <v>-</v>
          </cell>
          <cell r="M932">
            <v>10.058001789620045</v>
          </cell>
          <cell r="O932">
            <v>0.33500000000000002</v>
          </cell>
          <cell r="T932" t="str">
            <v>-</v>
          </cell>
          <cell r="U932" t="str">
            <v>-</v>
          </cell>
        </row>
        <row r="933">
          <cell r="B933" t="str">
            <v>WT6X20</v>
          </cell>
          <cell r="C933">
            <v>5.84</v>
          </cell>
          <cell r="D933">
            <v>5.97</v>
          </cell>
          <cell r="F933" t="str">
            <v>-</v>
          </cell>
          <cell r="H933" t="str">
            <v>-</v>
          </cell>
          <cell r="I933">
            <v>8.01</v>
          </cell>
          <cell r="K933" t="str">
            <v>-</v>
          </cell>
          <cell r="L933" t="str">
            <v>-</v>
          </cell>
          <cell r="M933">
            <v>9.990045044943491</v>
          </cell>
          <cell r="O933">
            <v>0.29499999999999998</v>
          </cell>
          <cell r="T933" t="str">
            <v>-</v>
          </cell>
          <cell r="U933" t="str">
            <v>-</v>
          </cell>
        </row>
        <row r="934">
          <cell r="B934" t="str">
            <v>WT6X17.5</v>
          </cell>
          <cell r="C934">
            <v>5.17</v>
          </cell>
          <cell r="D934">
            <v>6.25</v>
          </cell>
          <cell r="F934" t="str">
            <v>-</v>
          </cell>
          <cell r="H934" t="str">
            <v>-</v>
          </cell>
          <cell r="I934">
            <v>6.56</v>
          </cell>
          <cell r="K934" t="str">
            <v>-</v>
          </cell>
          <cell r="L934" t="str">
            <v>-</v>
          </cell>
          <cell r="M934">
            <v>9.060689819213545</v>
          </cell>
          <cell r="O934">
            <v>0.3</v>
          </cell>
          <cell r="T934" t="str">
            <v>-</v>
          </cell>
          <cell r="U934" t="str">
            <v>-</v>
          </cell>
        </row>
        <row r="935">
          <cell r="B935" t="str">
            <v>WT6X15</v>
          </cell>
          <cell r="C935">
            <v>4.4000000000000004</v>
          </cell>
          <cell r="D935">
            <v>6.17</v>
          </cell>
          <cell r="F935" t="str">
            <v>-</v>
          </cell>
          <cell r="H935" t="str">
            <v>-</v>
          </cell>
          <cell r="I935">
            <v>6.52</v>
          </cell>
          <cell r="K935" t="str">
            <v>-</v>
          </cell>
          <cell r="L935" t="str">
            <v>-</v>
          </cell>
          <cell r="M935">
            <v>8.9765973508897012</v>
          </cell>
          <cell r="O935">
            <v>0.26</v>
          </cell>
          <cell r="T935" t="str">
            <v>-</v>
          </cell>
          <cell r="U935" t="str">
            <v>-</v>
          </cell>
        </row>
        <row r="936">
          <cell r="B936" t="str">
            <v>WT6X13</v>
          </cell>
          <cell r="C936">
            <v>3.82</v>
          </cell>
          <cell r="D936">
            <v>6.11</v>
          </cell>
          <cell r="F936" t="str">
            <v>-</v>
          </cell>
          <cell r="H936" t="str">
            <v>-</v>
          </cell>
          <cell r="I936">
            <v>6.49</v>
          </cell>
          <cell r="K936" t="str">
            <v>-</v>
          </cell>
          <cell r="L936" t="str">
            <v>-</v>
          </cell>
          <cell r="M936">
            <v>8.9135963561292133</v>
          </cell>
          <cell r="O936">
            <v>0.23</v>
          </cell>
          <cell r="T936" t="str">
            <v>-</v>
          </cell>
          <cell r="U936" t="str">
            <v>-</v>
          </cell>
        </row>
        <row r="937">
          <cell r="B937" t="str">
            <v>WT6X11</v>
          </cell>
          <cell r="C937">
            <v>3.24</v>
          </cell>
          <cell r="D937">
            <v>6.16</v>
          </cell>
          <cell r="F937" t="str">
            <v>-</v>
          </cell>
          <cell r="H937" t="str">
            <v>-</v>
          </cell>
          <cell r="I937">
            <v>4.03</v>
          </cell>
          <cell r="K937" t="str">
            <v>-</v>
          </cell>
          <cell r="L937" t="str">
            <v>-</v>
          </cell>
          <cell r="M937">
            <v>7.3611480082932719</v>
          </cell>
          <cell r="O937">
            <v>0.26</v>
          </cell>
          <cell r="T937" t="str">
            <v>-</v>
          </cell>
          <cell r="U937" t="str">
            <v>-</v>
          </cell>
        </row>
        <row r="938">
          <cell r="B938" t="str">
            <v>WT6X9.5</v>
          </cell>
          <cell r="C938">
            <v>2.79</v>
          </cell>
          <cell r="D938">
            <v>6.08</v>
          </cell>
          <cell r="F938" t="str">
            <v>-</v>
          </cell>
          <cell r="H938" t="str">
            <v>-</v>
          </cell>
          <cell r="I938">
            <v>4.01</v>
          </cell>
          <cell r="K938" t="str">
            <v>-</v>
          </cell>
          <cell r="L938" t="str">
            <v>-</v>
          </cell>
          <cell r="M938">
            <v>7.2833028222091656</v>
          </cell>
          <cell r="O938">
            <v>0.23499999999999999</v>
          </cell>
          <cell r="T938" t="str">
            <v>-</v>
          </cell>
          <cell r="U938" t="str">
            <v>-</v>
          </cell>
        </row>
        <row r="939">
          <cell r="B939" t="str">
            <v>WT6X8</v>
          </cell>
          <cell r="C939">
            <v>2.36</v>
          </cell>
          <cell r="D939">
            <v>6</v>
          </cell>
          <cell r="F939" t="str">
            <v>-</v>
          </cell>
          <cell r="H939" t="str">
            <v>-</v>
          </cell>
          <cell r="I939">
            <v>3.99</v>
          </cell>
          <cell r="K939" t="str">
            <v>-</v>
          </cell>
          <cell r="L939" t="str">
            <v>-</v>
          </cell>
          <cell r="M939">
            <v>7.2055603529496581</v>
          </cell>
          <cell r="O939">
            <v>0.22</v>
          </cell>
          <cell r="T939" t="str">
            <v>-</v>
          </cell>
          <cell r="U939" t="str">
            <v>-</v>
          </cell>
        </row>
        <row r="940">
          <cell r="B940" t="str">
            <v>WT6X7</v>
          </cell>
          <cell r="C940">
            <v>2.08</v>
          </cell>
          <cell r="D940">
            <v>5.96</v>
          </cell>
          <cell r="F940" t="str">
            <v>-</v>
          </cell>
          <cell r="H940" t="str">
            <v>-</v>
          </cell>
          <cell r="I940">
            <v>3.97</v>
          </cell>
          <cell r="K940" t="str">
            <v>-</v>
          </cell>
          <cell r="L940" t="str">
            <v>-</v>
          </cell>
          <cell r="M940">
            <v>7.1611800703515343</v>
          </cell>
          <cell r="O940">
            <v>0.2</v>
          </cell>
          <cell r="T940" t="str">
            <v>-</v>
          </cell>
          <cell r="U940" t="str">
            <v>-</v>
          </cell>
        </row>
        <row r="941">
          <cell r="B941" t="str">
            <v>WT5X56</v>
          </cell>
          <cell r="C941">
            <v>16.5</v>
          </cell>
          <cell r="D941">
            <v>5.68</v>
          </cell>
          <cell r="F941" t="str">
            <v>-</v>
          </cell>
          <cell r="H941" t="str">
            <v>-</v>
          </cell>
          <cell r="I941">
            <v>10.4</v>
          </cell>
          <cell r="K941" t="str">
            <v>-</v>
          </cell>
          <cell r="L941" t="str">
            <v>-</v>
          </cell>
          <cell r="M941">
            <v>11.849995780589966</v>
          </cell>
          <cell r="O941">
            <v>0.755</v>
          </cell>
          <cell r="T941" t="str">
            <v>-</v>
          </cell>
          <cell r="U941" t="str">
            <v>-</v>
          </cell>
        </row>
        <row r="942">
          <cell r="B942" t="str">
            <v>WT5X50</v>
          </cell>
          <cell r="C942">
            <v>14.7</v>
          </cell>
          <cell r="D942">
            <v>5.55</v>
          </cell>
          <cell r="F942" t="str">
            <v>-</v>
          </cell>
          <cell r="H942" t="str">
            <v>-</v>
          </cell>
          <cell r="I942">
            <v>10.3</v>
          </cell>
          <cell r="K942" t="str">
            <v>-</v>
          </cell>
          <cell r="L942" t="str">
            <v>-</v>
          </cell>
          <cell r="M942">
            <v>11.700106837119053</v>
          </cell>
          <cell r="O942">
            <v>0.68</v>
          </cell>
          <cell r="T942" t="str">
            <v>-</v>
          </cell>
          <cell r="U942" t="str">
            <v>-</v>
          </cell>
        </row>
        <row r="943">
          <cell r="B943" t="str">
            <v>WT5X44</v>
          </cell>
          <cell r="C943">
            <v>13</v>
          </cell>
          <cell r="D943">
            <v>5.42</v>
          </cell>
          <cell r="F943" t="str">
            <v>-</v>
          </cell>
          <cell r="H943" t="str">
            <v>-</v>
          </cell>
          <cell r="I943">
            <v>10.3</v>
          </cell>
          <cell r="K943" t="str">
            <v>-</v>
          </cell>
          <cell r="L943" t="str">
            <v>-</v>
          </cell>
          <cell r="M943">
            <v>11.639003393761858</v>
          </cell>
          <cell r="O943">
            <v>0.60499999999999998</v>
          </cell>
          <cell r="T943" t="str">
            <v>-</v>
          </cell>
          <cell r="U943" t="str">
            <v>-</v>
          </cell>
        </row>
        <row r="944">
          <cell r="B944" t="str">
            <v>WT5X38.5</v>
          </cell>
          <cell r="C944">
            <v>11.3</v>
          </cell>
          <cell r="D944">
            <v>5.3</v>
          </cell>
          <cell r="F944" t="str">
            <v>-</v>
          </cell>
          <cell r="H944" t="str">
            <v>-</v>
          </cell>
          <cell r="I944">
            <v>10.199999999999999</v>
          </cell>
          <cell r="K944" t="str">
            <v>-</v>
          </cell>
          <cell r="L944" t="str">
            <v>-</v>
          </cell>
          <cell r="M944">
            <v>11.494781424629178</v>
          </cell>
          <cell r="O944">
            <v>0.53</v>
          </cell>
          <cell r="T944" t="str">
            <v>-</v>
          </cell>
          <cell r="U944" t="str">
            <v>-</v>
          </cell>
        </row>
        <row r="945">
          <cell r="B945" t="str">
            <v>WT5X34</v>
          </cell>
          <cell r="C945">
            <v>10</v>
          </cell>
          <cell r="D945">
            <v>5.2</v>
          </cell>
          <cell r="F945" t="str">
            <v>-</v>
          </cell>
          <cell r="H945" t="str">
            <v>-</v>
          </cell>
          <cell r="I945">
            <v>10.1</v>
          </cell>
          <cell r="K945" t="str">
            <v>-</v>
          </cell>
          <cell r="L945" t="str">
            <v>-</v>
          </cell>
          <cell r="M945">
            <v>11.360017605620159</v>
          </cell>
          <cell r="O945">
            <v>0.47</v>
          </cell>
          <cell r="T945" t="str">
            <v>-</v>
          </cell>
          <cell r="U945" t="str">
            <v>-</v>
          </cell>
        </row>
        <row r="946">
          <cell r="B946" t="str">
            <v>WT5X30</v>
          </cell>
          <cell r="C946">
            <v>8.84</v>
          </cell>
          <cell r="D946">
            <v>5.1100000000000003</v>
          </cell>
          <cell r="F946" t="str">
            <v>-</v>
          </cell>
          <cell r="H946" t="str">
            <v>-</v>
          </cell>
          <cell r="I946">
            <v>10.1</v>
          </cell>
          <cell r="K946" t="str">
            <v>-</v>
          </cell>
          <cell r="L946" t="str">
            <v>-</v>
          </cell>
          <cell r="M946">
            <v>11.319103321376653</v>
          </cell>
          <cell r="O946">
            <v>0.42</v>
          </cell>
          <cell r="T946" t="str">
            <v>-</v>
          </cell>
          <cell r="U946" t="str">
            <v>-</v>
          </cell>
        </row>
        <row r="947">
          <cell r="B947" t="str">
            <v>WT5X27</v>
          </cell>
          <cell r="C947">
            <v>7.9</v>
          </cell>
          <cell r="D947">
            <v>5.05</v>
          </cell>
          <cell r="F947" t="str">
            <v>-</v>
          </cell>
          <cell r="H947" t="str">
            <v>-</v>
          </cell>
          <cell r="I947">
            <v>10</v>
          </cell>
          <cell r="K947" t="str">
            <v>-</v>
          </cell>
          <cell r="L947" t="str">
            <v>-</v>
          </cell>
          <cell r="M947">
            <v>11.202789831109035</v>
          </cell>
          <cell r="O947">
            <v>0.37</v>
          </cell>
          <cell r="T947" t="str">
            <v>-</v>
          </cell>
          <cell r="U947" t="str">
            <v>-</v>
          </cell>
        </row>
        <row r="948">
          <cell r="B948" t="str">
            <v>WT5X24.5</v>
          </cell>
          <cell r="C948">
            <v>7.21</v>
          </cell>
          <cell r="D948">
            <v>4.99</v>
          </cell>
          <cell r="F948" t="str">
            <v>-</v>
          </cell>
          <cell r="H948" t="str">
            <v>-</v>
          </cell>
          <cell r="I948">
            <v>10</v>
          </cell>
          <cell r="K948" t="str">
            <v>-</v>
          </cell>
          <cell r="L948" t="str">
            <v>-</v>
          </cell>
          <cell r="M948">
            <v>11.175871330683796</v>
          </cell>
          <cell r="O948">
            <v>0.34</v>
          </cell>
          <cell r="T948" t="str">
            <v>-</v>
          </cell>
          <cell r="U948" t="str">
            <v>-</v>
          </cell>
        </row>
        <row r="949">
          <cell r="B949" t="str">
            <v>WT5X22.5</v>
          </cell>
          <cell r="C949">
            <v>6.63</v>
          </cell>
          <cell r="D949">
            <v>5.05</v>
          </cell>
          <cell r="F949" t="str">
            <v>-</v>
          </cell>
          <cell r="H949" t="str">
            <v>-</v>
          </cell>
          <cell r="I949">
            <v>8.02</v>
          </cell>
          <cell r="K949" t="str">
            <v>-</v>
          </cell>
          <cell r="L949" t="str">
            <v>-</v>
          </cell>
          <cell r="M949">
            <v>9.4774943946171764</v>
          </cell>
          <cell r="O949">
            <v>0.35</v>
          </cell>
          <cell r="T949" t="str">
            <v>-</v>
          </cell>
          <cell r="U949" t="str">
            <v>-</v>
          </cell>
        </row>
        <row r="950">
          <cell r="B950" t="str">
            <v>WT5X19.5</v>
          </cell>
          <cell r="C950">
            <v>5.73</v>
          </cell>
          <cell r="D950">
            <v>4.96</v>
          </cell>
          <cell r="F950" t="str">
            <v>-</v>
          </cell>
          <cell r="H950" t="str">
            <v>-</v>
          </cell>
          <cell r="I950">
            <v>7.99</v>
          </cell>
          <cell r="K950" t="str">
            <v>-</v>
          </cell>
          <cell r="L950" t="str">
            <v>-</v>
          </cell>
          <cell r="M950">
            <v>9.4043447405972955</v>
          </cell>
          <cell r="O950">
            <v>0.315</v>
          </cell>
          <cell r="T950" t="str">
            <v>-</v>
          </cell>
          <cell r="U950" t="str">
            <v>-</v>
          </cell>
        </row>
        <row r="951">
          <cell r="B951" t="str">
            <v>WT5X16.5</v>
          </cell>
          <cell r="C951">
            <v>4.8499999999999996</v>
          </cell>
          <cell r="D951">
            <v>4.87</v>
          </cell>
          <cell r="F951" t="str">
            <v>-</v>
          </cell>
          <cell r="H951" t="str">
            <v>-</v>
          </cell>
          <cell r="I951">
            <v>7.96</v>
          </cell>
          <cell r="K951" t="str">
            <v>-</v>
          </cell>
          <cell r="L951" t="str">
            <v>-</v>
          </cell>
          <cell r="M951">
            <v>9.3315861459882594</v>
          </cell>
          <cell r="O951">
            <v>0.28999999999999998</v>
          </cell>
          <cell r="T951" t="str">
            <v>-</v>
          </cell>
          <cell r="U951" t="str">
            <v>-</v>
          </cell>
        </row>
        <row r="952">
          <cell r="B952" t="str">
            <v>WT5X15</v>
          </cell>
          <cell r="C952">
            <v>4.42</v>
          </cell>
          <cell r="D952">
            <v>5.24</v>
          </cell>
          <cell r="F952" t="str">
            <v>-</v>
          </cell>
          <cell r="H952" t="str">
            <v>-</v>
          </cell>
          <cell r="I952">
            <v>5.81</v>
          </cell>
          <cell r="K952" t="str">
            <v>-</v>
          </cell>
          <cell r="L952" t="str">
            <v>-</v>
          </cell>
          <cell r="M952">
            <v>7.8239184556077781</v>
          </cell>
          <cell r="O952">
            <v>0.3</v>
          </cell>
          <cell r="T952" t="str">
            <v>-</v>
          </cell>
          <cell r="U952" t="str">
            <v>-</v>
          </cell>
        </row>
        <row r="953">
          <cell r="B953" t="str">
            <v>WT5X13</v>
          </cell>
          <cell r="C953">
            <v>3.81</v>
          </cell>
          <cell r="D953">
            <v>5.17</v>
          </cell>
          <cell r="F953" t="str">
            <v>-</v>
          </cell>
          <cell r="H953" t="str">
            <v>-</v>
          </cell>
          <cell r="I953">
            <v>5.77</v>
          </cell>
          <cell r="K953" t="str">
            <v>-</v>
          </cell>
          <cell r="L953" t="str">
            <v>-</v>
          </cell>
          <cell r="M953">
            <v>7.7473737485679619</v>
          </cell>
          <cell r="O953">
            <v>0.26</v>
          </cell>
          <cell r="T953" t="str">
            <v>-</v>
          </cell>
          <cell r="U953" t="str">
            <v>-</v>
          </cell>
        </row>
        <row r="954">
          <cell r="B954" t="str">
            <v>WT5X11</v>
          </cell>
          <cell r="C954">
            <v>3.24</v>
          </cell>
          <cell r="D954">
            <v>5.09</v>
          </cell>
          <cell r="F954" t="str">
            <v>-</v>
          </cell>
          <cell r="H954" t="str">
            <v>-</v>
          </cell>
          <cell r="I954">
            <v>5.75</v>
          </cell>
          <cell r="K954" t="str">
            <v>-</v>
          </cell>
          <cell r="L954" t="str">
            <v>-</v>
          </cell>
          <cell r="M954">
            <v>7.6792317324065689</v>
          </cell>
          <cell r="O954">
            <v>0.24</v>
          </cell>
          <cell r="T954" t="str">
            <v>-</v>
          </cell>
          <cell r="U954" t="str">
            <v>-</v>
          </cell>
        </row>
        <row r="955">
          <cell r="B955" t="str">
            <v>WT5X9.5</v>
          </cell>
          <cell r="C955">
            <v>2.81</v>
          </cell>
          <cell r="D955">
            <v>5.12</v>
          </cell>
          <cell r="F955" t="str">
            <v>-</v>
          </cell>
          <cell r="H955" t="str">
            <v>-</v>
          </cell>
          <cell r="I955">
            <v>4.0199999999999996</v>
          </cell>
          <cell r="K955" t="str">
            <v>-</v>
          </cell>
          <cell r="L955" t="str">
            <v>-</v>
          </cell>
          <cell r="M955">
            <v>6.5095929212201886</v>
          </cell>
          <cell r="O955">
            <v>0.25</v>
          </cell>
          <cell r="T955" t="str">
            <v>-</v>
          </cell>
          <cell r="U955" t="str">
            <v>-</v>
          </cell>
        </row>
        <row r="956">
          <cell r="B956" t="str">
            <v>WT5X8.5</v>
          </cell>
          <cell r="C956">
            <v>2.5</v>
          </cell>
          <cell r="D956">
            <v>5.0599999999999996</v>
          </cell>
          <cell r="F956" t="str">
            <v>-</v>
          </cell>
          <cell r="H956" t="str">
            <v>-</v>
          </cell>
          <cell r="I956">
            <v>4.01</v>
          </cell>
          <cell r="K956" t="str">
            <v>-</v>
          </cell>
          <cell r="L956" t="str">
            <v>-</v>
          </cell>
          <cell r="M956">
            <v>6.4562915051908858</v>
          </cell>
          <cell r="O956">
            <v>0.24</v>
          </cell>
          <cell r="T956" t="str">
            <v>-</v>
          </cell>
          <cell r="U956" t="str">
            <v>-</v>
          </cell>
        </row>
        <row r="957">
          <cell r="B957" t="str">
            <v>WT5X7.5</v>
          </cell>
          <cell r="C957">
            <v>2.21</v>
          </cell>
          <cell r="D957">
            <v>5</v>
          </cell>
          <cell r="F957" t="str">
            <v>-</v>
          </cell>
          <cell r="H957" t="str">
            <v>-</v>
          </cell>
          <cell r="I957">
            <v>4</v>
          </cell>
          <cell r="K957" t="str">
            <v>-</v>
          </cell>
          <cell r="L957" t="str">
            <v>-</v>
          </cell>
          <cell r="M957">
            <v>6.4031242374328485</v>
          </cell>
          <cell r="O957">
            <v>0.23</v>
          </cell>
          <cell r="T957" t="str">
            <v>-</v>
          </cell>
          <cell r="U957" t="str">
            <v>-</v>
          </cell>
        </row>
        <row r="958">
          <cell r="B958" t="str">
            <v>WT5X6</v>
          </cell>
          <cell r="C958">
            <v>1.77</v>
          </cell>
          <cell r="D958">
            <v>4.9400000000000004</v>
          </cell>
          <cell r="F958" t="str">
            <v>-</v>
          </cell>
          <cell r="H958" t="str">
            <v>-</v>
          </cell>
          <cell r="I958">
            <v>3.96</v>
          </cell>
          <cell r="K958" t="str">
            <v>-</v>
          </cell>
          <cell r="L958" t="str">
            <v>-</v>
          </cell>
          <cell r="M958">
            <v>6.3312873888333323</v>
          </cell>
          <cell r="O958">
            <v>0.19</v>
          </cell>
          <cell r="T958" t="str">
            <v>-</v>
          </cell>
          <cell r="U958" t="str">
            <v>-</v>
          </cell>
        </row>
        <row r="959">
          <cell r="B959" t="str">
            <v>WT4X33.5</v>
          </cell>
          <cell r="C959">
            <v>9.84</v>
          </cell>
          <cell r="D959">
            <v>4.5</v>
          </cell>
          <cell r="F959" t="str">
            <v>-</v>
          </cell>
          <cell r="H959" t="str">
            <v>-</v>
          </cell>
          <cell r="I959">
            <v>8.2799999999999994</v>
          </cell>
          <cell r="K959" t="str">
            <v>-</v>
          </cell>
          <cell r="L959" t="str">
            <v>-</v>
          </cell>
          <cell r="M959">
            <v>9.4238208811500659</v>
          </cell>
          <cell r="O959">
            <v>0.56999999999999995</v>
          </cell>
          <cell r="T959" t="str">
            <v>-</v>
          </cell>
          <cell r="U959" t="str">
            <v>-</v>
          </cell>
        </row>
        <row r="960">
          <cell r="B960" t="str">
            <v>WT4X29</v>
          </cell>
          <cell r="C960">
            <v>8.5399999999999991</v>
          </cell>
          <cell r="D960">
            <v>4.38</v>
          </cell>
          <cell r="F960" t="str">
            <v>-</v>
          </cell>
          <cell r="H960" t="str">
            <v>-</v>
          </cell>
          <cell r="I960">
            <v>8.2200000000000006</v>
          </cell>
          <cell r="K960" t="str">
            <v>-</v>
          </cell>
          <cell r="L960" t="str">
            <v>-</v>
          </cell>
          <cell r="M960">
            <v>9.314118315761295</v>
          </cell>
          <cell r="O960">
            <v>0.51</v>
          </cell>
          <cell r="T960" t="str">
            <v>-</v>
          </cell>
          <cell r="U960" t="str">
            <v>-</v>
          </cell>
        </row>
        <row r="961">
          <cell r="B961" t="str">
            <v>WT4X24</v>
          </cell>
          <cell r="C961">
            <v>7.05</v>
          </cell>
          <cell r="D961">
            <v>4.25</v>
          </cell>
          <cell r="F961" t="str">
            <v>-</v>
          </cell>
          <cell r="H961" t="str">
            <v>-</v>
          </cell>
          <cell r="I961">
            <v>8.11</v>
          </cell>
          <cell r="K961" t="str">
            <v>-</v>
          </cell>
          <cell r="L961" t="str">
            <v>-</v>
          </cell>
          <cell r="M961">
            <v>9.1561236339402932</v>
          </cell>
          <cell r="O961">
            <v>0.4</v>
          </cell>
          <cell r="T961" t="str">
            <v>-</v>
          </cell>
          <cell r="U961" t="str">
            <v>-</v>
          </cell>
        </row>
        <row r="962">
          <cell r="B962" t="str">
            <v>WT4X20</v>
          </cell>
          <cell r="C962">
            <v>5.87</v>
          </cell>
          <cell r="D962">
            <v>4.13</v>
          </cell>
          <cell r="F962" t="str">
            <v>-</v>
          </cell>
          <cell r="H962" t="str">
            <v>-</v>
          </cell>
          <cell r="I962">
            <v>8.07</v>
          </cell>
          <cell r="K962" t="str">
            <v>-</v>
          </cell>
          <cell r="L962" t="str">
            <v>-</v>
          </cell>
          <cell r="M962">
            <v>9.0654178061466091</v>
          </cell>
          <cell r="O962">
            <v>0.36</v>
          </cell>
          <cell r="T962" t="str">
            <v>-</v>
          </cell>
          <cell r="U962" t="str">
            <v>-</v>
          </cell>
        </row>
        <row r="963">
          <cell r="B963" t="str">
            <v>WT4X17.5</v>
          </cell>
          <cell r="C963">
            <v>5.14</v>
          </cell>
          <cell r="D963">
            <v>4.0599999999999996</v>
          </cell>
          <cell r="F963" t="str">
            <v>-</v>
          </cell>
          <cell r="H963" t="str">
            <v>-</v>
          </cell>
          <cell r="I963">
            <v>8.02</v>
          </cell>
          <cell r="K963" t="str">
            <v>-</v>
          </cell>
          <cell r="L963" t="str">
            <v>-</v>
          </cell>
          <cell r="M963">
            <v>8.9891045160238292</v>
          </cell>
          <cell r="O963">
            <v>0.31</v>
          </cell>
          <cell r="T963" t="str">
            <v>-</v>
          </cell>
          <cell r="U963" t="str">
            <v>-</v>
          </cell>
        </row>
        <row r="964">
          <cell r="B964" t="str">
            <v>WT4X15.5</v>
          </cell>
          <cell r="C964">
            <v>4.5599999999999996</v>
          </cell>
          <cell r="D964">
            <v>4</v>
          </cell>
          <cell r="F964" t="str">
            <v>-</v>
          </cell>
          <cell r="H964" t="str">
            <v>-</v>
          </cell>
          <cell r="I964">
            <v>8</v>
          </cell>
          <cell r="K964" t="str">
            <v>-</v>
          </cell>
          <cell r="L964" t="str">
            <v>-</v>
          </cell>
          <cell r="M964">
            <v>8.9442719099991592</v>
          </cell>
          <cell r="O964">
            <v>0.28499999999999998</v>
          </cell>
          <cell r="T964" t="str">
            <v>-</v>
          </cell>
          <cell r="U964" t="str">
            <v>-</v>
          </cell>
        </row>
        <row r="965">
          <cell r="B965" t="str">
            <v>WT4X14</v>
          </cell>
          <cell r="C965">
            <v>4.12</v>
          </cell>
          <cell r="D965">
            <v>4.03</v>
          </cell>
          <cell r="F965" t="str">
            <v>-</v>
          </cell>
          <cell r="H965" t="str">
            <v>-</v>
          </cell>
          <cell r="I965">
            <v>6.54</v>
          </cell>
          <cell r="K965" t="str">
            <v>-</v>
          </cell>
          <cell r="L965" t="str">
            <v>-</v>
          </cell>
          <cell r="M965">
            <v>7.6819593854693089</v>
          </cell>
          <cell r="O965">
            <v>0.28499999999999998</v>
          </cell>
          <cell r="T965" t="str">
            <v>-</v>
          </cell>
          <cell r="U965" t="str">
            <v>-</v>
          </cell>
        </row>
        <row r="966">
          <cell r="B966" t="str">
            <v>WT4X12</v>
          </cell>
          <cell r="C966">
            <v>3.54</v>
          </cell>
          <cell r="D966">
            <v>3.97</v>
          </cell>
          <cell r="F966" t="str">
            <v>-</v>
          </cell>
          <cell r="H966" t="str">
            <v>-</v>
          </cell>
          <cell r="I966">
            <v>6.5</v>
          </cell>
          <cell r="K966" t="str">
            <v>-</v>
          </cell>
          <cell r="L966" t="str">
            <v>-</v>
          </cell>
          <cell r="M966">
            <v>7.6164886923043484</v>
          </cell>
          <cell r="O966">
            <v>0.245</v>
          </cell>
          <cell r="T966" t="str">
            <v>-</v>
          </cell>
          <cell r="U966" t="str">
            <v>-</v>
          </cell>
        </row>
        <row r="967">
          <cell r="B967" t="str">
            <v>WT4X10.5</v>
          </cell>
          <cell r="C967">
            <v>3.08</v>
          </cell>
          <cell r="D967">
            <v>4.1399999999999997</v>
          </cell>
          <cell r="F967" t="str">
            <v>-</v>
          </cell>
          <cell r="H967" t="str">
            <v>-</v>
          </cell>
          <cell r="I967">
            <v>5.27</v>
          </cell>
          <cell r="K967" t="str">
            <v>-</v>
          </cell>
          <cell r="L967" t="str">
            <v>-</v>
          </cell>
          <cell r="M967">
            <v>6.7016788941279479</v>
          </cell>
          <cell r="O967">
            <v>0.25</v>
          </cell>
          <cell r="T967" t="str">
            <v>-</v>
          </cell>
          <cell r="U967" t="str">
            <v>-</v>
          </cell>
        </row>
        <row r="968">
          <cell r="B968" t="str">
            <v>WT4X9</v>
          </cell>
          <cell r="C968">
            <v>2.63</v>
          </cell>
          <cell r="D968">
            <v>4.07</v>
          </cell>
          <cell r="F968" t="str">
            <v>-</v>
          </cell>
          <cell r="H968" t="str">
            <v>-</v>
          </cell>
          <cell r="I968">
            <v>5.25</v>
          </cell>
          <cell r="K968" t="str">
            <v>-</v>
          </cell>
          <cell r="L968" t="str">
            <v>-</v>
          </cell>
          <cell r="M968">
            <v>6.6428457757199215</v>
          </cell>
          <cell r="O968">
            <v>0.23</v>
          </cell>
          <cell r="T968" t="str">
            <v>-</v>
          </cell>
          <cell r="U968" t="str">
            <v>-</v>
          </cell>
        </row>
        <row r="969">
          <cell r="B969" t="str">
            <v>WT4X7.5</v>
          </cell>
          <cell r="C969">
            <v>2.2200000000000002</v>
          </cell>
          <cell r="D969">
            <v>4.0599999999999996</v>
          </cell>
          <cell r="F969" t="str">
            <v>-</v>
          </cell>
          <cell r="H969" t="str">
            <v>-</v>
          </cell>
          <cell r="I969">
            <v>4.0199999999999996</v>
          </cell>
          <cell r="K969" t="str">
            <v>-</v>
          </cell>
          <cell r="L969" t="str">
            <v>-</v>
          </cell>
          <cell r="M969">
            <v>5.7134928021307587</v>
          </cell>
          <cell r="O969">
            <v>0.245</v>
          </cell>
          <cell r="T969" t="str">
            <v>-</v>
          </cell>
          <cell r="U969" t="str">
            <v>-</v>
          </cell>
        </row>
        <row r="970">
          <cell r="B970" t="str">
            <v>WT4X6.5</v>
          </cell>
          <cell r="C970">
            <v>1.92</v>
          </cell>
          <cell r="D970">
            <v>4</v>
          </cell>
          <cell r="F970" t="str">
            <v>-</v>
          </cell>
          <cell r="H970" t="str">
            <v>-</v>
          </cell>
          <cell r="I970">
            <v>4</v>
          </cell>
          <cell r="K970" t="str">
            <v>-</v>
          </cell>
          <cell r="L970" t="str">
            <v>-</v>
          </cell>
          <cell r="M970">
            <v>5.6568542494923806</v>
          </cell>
          <cell r="O970">
            <v>0.23</v>
          </cell>
          <cell r="T970" t="str">
            <v>-</v>
          </cell>
          <cell r="U970" t="str">
            <v>-</v>
          </cell>
        </row>
        <row r="971">
          <cell r="B971" t="str">
            <v>WT4X5</v>
          </cell>
          <cell r="C971">
            <v>1.48</v>
          </cell>
          <cell r="D971">
            <v>3.95</v>
          </cell>
          <cell r="F971" t="str">
            <v>-</v>
          </cell>
          <cell r="H971" t="str">
            <v>-</v>
          </cell>
          <cell r="I971">
            <v>3.94</v>
          </cell>
          <cell r="K971" t="str">
            <v>-</v>
          </cell>
          <cell r="L971" t="str">
            <v>-</v>
          </cell>
          <cell r="M971">
            <v>5.5790769845916266</v>
          </cell>
          <cell r="O971">
            <v>0.17</v>
          </cell>
          <cell r="T971" t="str">
            <v>-</v>
          </cell>
          <cell r="U971" t="str">
            <v>-</v>
          </cell>
        </row>
        <row r="972">
          <cell r="B972" t="str">
            <v>WT3X12.5</v>
          </cell>
          <cell r="C972">
            <v>3.67</v>
          </cell>
          <cell r="D972">
            <v>3.19</v>
          </cell>
          <cell r="F972" t="str">
            <v>-</v>
          </cell>
          <cell r="H972" t="str">
            <v>-</v>
          </cell>
          <cell r="I972">
            <v>6.08</v>
          </cell>
          <cell r="K972" t="str">
            <v>-</v>
          </cell>
          <cell r="L972" t="str">
            <v>-</v>
          </cell>
          <cell r="M972">
            <v>6.8660396153823635</v>
          </cell>
          <cell r="O972">
            <v>0.32</v>
          </cell>
          <cell r="T972" t="str">
            <v>-</v>
          </cell>
          <cell r="U972" t="str">
            <v>-</v>
          </cell>
        </row>
        <row r="973">
          <cell r="B973" t="str">
            <v>WT3X10</v>
          </cell>
          <cell r="C973">
            <v>2.94</v>
          </cell>
          <cell r="D973">
            <v>3.1</v>
          </cell>
          <cell r="F973" t="str">
            <v>-</v>
          </cell>
          <cell r="H973" t="str">
            <v>-</v>
          </cell>
          <cell r="I973">
            <v>6.02</v>
          </cell>
          <cell r="K973" t="str">
            <v>-</v>
          </cell>
          <cell r="L973" t="str">
            <v>-</v>
          </cell>
          <cell r="M973">
            <v>6.7712923434156931</v>
          </cell>
          <cell r="O973">
            <v>0.26</v>
          </cell>
          <cell r="T973" t="str">
            <v>-</v>
          </cell>
          <cell r="U973" t="str">
            <v>-</v>
          </cell>
        </row>
        <row r="974">
          <cell r="B974" t="str">
            <v>WT3X7.5</v>
          </cell>
          <cell r="C974">
            <v>2.21</v>
          </cell>
          <cell r="D974">
            <v>3</v>
          </cell>
          <cell r="F974" t="str">
            <v>-</v>
          </cell>
          <cell r="H974" t="str">
            <v>-</v>
          </cell>
          <cell r="I974">
            <v>5.99</v>
          </cell>
          <cell r="K974" t="str">
            <v>-</v>
          </cell>
          <cell r="L974" t="str">
            <v>-</v>
          </cell>
          <cell r="M974">
            <v>6.6992611532914585</v>
          </cell>
          <cell r="O974">
            <v>0.23</v>
          </cell>
          <cell r="T974" t="str">
            <v>-</v>
          </cell>
          <cell r="U974" t="str">
            <v>-</v>
          </cell>
        </row>
        <row r="975">
          <cell r="B975" t="str">
            <v>WT3X8</v>
          </cell>
          <cell r="C975">
            <v>2.37</v>
          </cell>
          <cell r="D975">
            <v>3.14</v>
          </cell>
          <cell r="F975" t="str">
            <v>-</v>
          </cell>
          <cell r="H975" t="str">
            <v>-</v>
          </cell>
          <cell r="I975">
            <v>4.03</v>
          </cell>
          <cell r="K975" t="str">
            <v>-</v>
          </cell>
          <cell r="L975" t="str">
            <v>-</v>
          </cell>
          <cell r="M975">
            <v>5.108864844561853</v>
          </cell>
          <cell r="O975">
            <v>0.26</v>
          </cell>
          <cell r="T975" t="str">
            <v>-</v>
          </cell>
          <cell r="U975" t="str">
            <v>-</v>
          </cell>
        </row>
        <row r="976">
          <cell r="B976" t="str">
            <v>WT3X6</v>
          </cell>
          <cell r="C976">
            <v>1.78</v>
          </cell>
          <cell r="D976">
            <v>3.02</v>
          </cell>
          <cell r="F976" t="str">
            <v>-</v>
          </cell>
          <cell r="H976" t="str">
            <v>-</v>
          </cell>
          <cell r="I976">
            <v>4</v>
          </cell>
          <cell r="K976" t="str">
            <v>-</v>
          </cell>
          <cell r="L976" t="str">
            <v>-</v>
          </cell>
          <cell r="M976">
            <v>5.0120255386420371</v>
          </cell>
          <cell r="O976">
            <v>0.23</v>
          </cell>
          <cell r="T976" t="str">
            <v>-</v>
          </cell>
          <cell r="U976" t="str">
            <v>-</v>
          </cell>
        </row>
        <row r="977">
          <cell r="B977" t="str">
            <v>WT3X4.5</v>
          </cell>
          <cell r="C977">
            <v>1.34</v>
          </cell>
          <cell r="D977">
            <v>2.95</v>
          </cell>
          <cell r="F977" t="str">
            <v>-</v>
          </cell>
          <cell r="H977" t="str">
            <v>-</v>
          </cell>
          <cell r="I977">
            <v>3.94</v>
          </cell>
          <cell r="K977" t="str">
            <v>-</v>
          </cell>
          <cell r="L977" t="str">
            <v>-</v>
          </cell>
          <cell r="M977">
            <v>4.9220016253552785</v>
          </cell>
          <cell r="O977">
            <v>0.17</v>
          </cell>
          <cell r="T977" t="str">
            <v>-</v>
          </cell>
          <cell r="U977" t="str">
            <v>-</v>
          </cell>
        </row>
        <row r="978">
          <cell r="B978" t="str">
            <v>WT3X4.25</v>
          </cell>
          <cell r="C978">
            <v>1.26</v>
          </cell>
          <cell r="D978">
            <v>2.92</v>
          </cell>
          <cell r="F978" t="str">
            <v>-</v>
          </cell>
          <cell r="H978" t="str">
            <v>-</v>
          </cell>
          <cell r="I978">
            <v>3.94</v>
          </cell>
          <cell r="K978" t="str">
            <v>-</v>
          </cell>
          <cell r="L978" t="str">
            <v>-</v>
          </cell>
          <cell r="M978">
            <v>4.9040799340956909</v>
          </cell>
          <cell r="O978">
            <v>0.17</v>
          </cell>
          <cell r="T978" t="str">
            <v>-</v>
          </cell>
          <cell r="U978" t="str">
            <v>-</v>
          </cell>
        </row>
        <row r="979">
          <cell r="B979" t="str">
            <v>WT2.5X9.5</v>
          </cell>
          <cell r="C979">
            <v>2.78</v>
          </cell>
          <cell r="D979">
            <v>2.58</v>
          </cell>
          <cell r="F979" t="str">
            <v>-</v>
          </cell>
          <cell r="H979" t="str">
            <v>-</v>
          </cell>
          <cell r="I979">
            <v>5.03</v>
          </cell>
          <cell r="K979" t="str">
            <v>-</v>
          </cell>
          <cell r="L979" t="str">
            <v>-</v>
          </cell>
          <cell r="M979">
            <v>5.6530788071634026</v>
          </cell>
          <cell r="O979">
            <v>0.27</v>
          </cell>
          <cell r="T979" t="str">
            <v>-</v>
          </cell>
          <cell r="U979" t="str">
            <v>-</v>
          </cell>
        </row>
        <row r="980">
          <cell r="B980" t="str">
            <v>WT2.5X8</v>
          </cell>
          <cell r="C980">
            <v>2.35</v>
          </cell>
          <cell r="D980">
            <v>2.5099999999999998</v>
          </cell>
          <cell r="F980" t="str">
            <v>-</v>
          </cell>
          <cell r="H980" t="str">
            <v>-</v>
          </cell>
          <cell r="I980">
            <v>5</v>
          </cell>
          <cell r="K980" t="str">
            <v>-</v>
          </cell>
          <cell r="L980" t="str">
            <v>-</v>
          </cell>
          <cell r="M980">
            <v>5.5946492293976755</v>
          </cell>
          <cell r="O980">
            <v>0.24</v>
          </cell>
          <cell r="T980" t="str">
            <v>-</v>
          </cell>
          <cell r="U980" t="str">
            <v>-</v>
          </cell>
        </row>
        <row r="981">
          <cell r="B981" t="str">
            <v>WT2X6.5</v>
          </cell>
          <cell r="C981">
            <v>1.91</v>
          </cell>
          <cell r="D981">
            <v>2.08</v>
          </cell>
          <cell r="F981" t="str">
            <v>-</v>
          </cell>
          <cell r="H981" t="str">
            <v>-</v>
          </cell>
          <cell r="I981">
            <v>4.0599999999999996</v>
          </cell>
          <cell r="K981" t="str">
            <v>-</v>
          </cell>
          <cell r="L981" t="str">
            <v>-</v>
          </cell>
          <cell r="M981">
            <v>4.5617978911828168</v>
          </cell>
          <cell r="O981">
            <v>0.28000000000000003</v>
          </cell>
          <cell r="T981" t="str">
            <v>-</v>
          </cell>
          <cell r="U981" t="str">
            <v>-</v>
          </cell>
        </row>
        <row r="982">
          <cell r="B982" t="str">
            <v>MT6.25X6.2</v>
          </cell>
          <cell r="C982">
            <v>1.82</v>
          </cell>
          <cell r="D982">
            <v>6.27</v>
          </cell>
          <cell r="F982" t="str">
            <v>-</v>
          </cell>
          <cell r="H982" t="str">
            <v>-</v>
          </cell>
          <cell r="I982">
            <v>3.75</v>
          </cell>
          <cell r="K982" t="str">
            <v>-</v>
          </cell>
          <cell r="L982" t="str">
            <v>-</v>
          </cell>
          <cell r="M982">
            <v>7.3058469734863731</v>
          </cell>
          <cell r="O982">
            <v>0.155</v>
          </cell>
          <cell r="T982" t="str">
            <v>-</v>
          </cell>
          <cell r="U982" t="str">
            <v>-</v>
          </cell>
        </row>
        <row r="983">
          <cell r="B983" t="str">
            <v>MT6.25X5.8</v>
          </cell>
          <cell r="C983">
            <v>1.7</v>
          </cell>
          <cell r="D983">
            <v>6.25</v>
          </cell>
          <cell r="F983" t="str">
            <v>-</v>
          </cell>
          <cell r="H983" t="str">
            <v>-</v>
          </cell>
          <cell r="I983">
            <v>3.5</v>
          </cell>
          <cell r="K983" t="str">
            <v>-</v>
          </cell>
          <cell r="L983" t="str">
            <v>-</v>
          </cell>
          <cell r="M983">
            <v>7.1632743909472012</v>
          </cell>
          <cell r="O983">
            <v>0.155</v>
          </cell>
          <cell r="T983" t="str">
            <v>-</v>
          </cell>
          <cell r="U983" t="str">
            <v>-</v>
          </cell>
        </row>
        <row r="984">
          <cell r="B984" t="str">
            <v>MT6X5.9</v>
          </cell>
          <cell r="C984">
            <v>1.74</v>
          </cell>
          <cell r="D984">
            <v>6</v>
          </cell>
          <cell r="F984" t="str">
            <v>-</v>
          </cell>
          <cell r="H984" t="str">
            <v>-</v>
          </cell>
          <cell r="I984">
            <v>3.07</v>
          </cell>
          <cell r="K984" t="str">
            <v>-</v>
          </cell>
          <cell r="L984" t="str">
            <v>-</v>
          </cell>
          <cell r="M984">
            <v>6.7397997002878354</v>
          </cell>
          <cell r="O984">
            <v>0.17699999999999999</v>
          </cell>
          <cell r="T984" t="str">
            <v>-</v>
          </cell>
          <cell r="U984" t="str">
            <v>-</v>
          </cell>
        </row>
        <row r="985">
          <cell r="B985" t="str">
            <v>MT6X5.4</v>
          </cell>
          <cell r="C985">
            <v>1.59</v>
          </cell>
          <cell r="D985">
            <v>5.99</v>
          </cell>
          <cell r="F985" t="str">
            <v>-</v>
          </cell>
          <cell r="H985" t="str">
            <v>-</v>
          </cell>
          <cell r="I985">
            <v>3.07</v>
          </cell>
          <cell r="K985" t="str">
            <v>-</v>
          </cell>
          <cell r="L985" t="str">
            <v>-</v>
          </cell>
          <cell r="M985">
            <v>6.7308988998498567</v>
          </cell>
          <cell r="O985">
            <v>0.16</v>
          </cell>
          <cell r="T985" t="str">
            <v>-</v>
          </cell>
          <cell r="U985" t="str">
            <v>-</v>
          </cell>
        </row>
        <row r="986">
          <cell r="B986" t="str">
            <v>MT6X5</v>
          </cell>
          <cell r="C986">
            <v>1.48</v>
          </cell>
          <cell r="D986">
            <v>5.99</v>
          </cell>
          <cell r="F986" t="str">
            <v>-</v>
          </cell>
          <cell r="H986" t="str">
            <v>-</v>
          </cell>
          <cell r="I986">
            <v>3.25</v>
          </cell>
          <cell r="K986" t="str">
            <v>-</v>
          </cell>
          <cell r="L986" t="str">
            <v>-</v>
          </cell>
          <cell r="M986">
            <v>6.8148807766533972</v>
          </cell>
          <cell r="O986">
            <v>0.14899999999999999</v>
          </cell>
          <cell r="T986" t="str">
            <v>-</v>
          </cell>
          <cell r="U986" t="str">
            <v>-</v>
          </cell>
        </row>
        <row r="987">
          <cell r="B987" t="str">
            <v>MT5X4.5</v>
          </cell>
          <cell r="C987">
            <v>1.33</v>
          </cell>
          <cell r="D987">
            <v>5</v>
          </cell>
          <cell r="F987" t="str">
            <v>-</v>
          </cell>
          <cell r="H987" t="str">
            <v>-</v>
          </cell>
          <cell r="I987">
            <v>2.69</v>
          </cell>
          <cell r="K987" t="str">
            <v>-</v>
          </cell>
          <cell r="L987" t="str">
            <v>-</v>
          </cell>
          <cell r="M987">
            <v>5.6776843871423495</v>
          </cell>
          <cell r="O987">
            <v>0.157</v>
          </cell>
          <cell r="T987" t="str">
            <v>-</v>
          </cell>
          <cell r="U987" t="str">
            <v>-</v>
          </cell>
        </row>
        <row r="988">
          <cell r="B988" t="str">
            <v>MT5X4</v>
          </cell>
          <cell r="C988">
            <v>1.19</v>
          </cell>
          <cell r="D988">
            <v>4.9800000000000004</v>
          </cell>
          <cell r="F988" t="str">
            <v>-</v>
          </cell>
          <cell r="H988" t="str">
            <v>-</v>
          </cell>
          <cell r="I988">
            <v>2.69</v>
          </cell>
          <cell r="K988" t="str">
            <v>-</v>
          </cell>
          <cell r="L988" t="str">
            <v>-</v>
          </cell>
          <cell r="M988">
            <v>5.6600795047419608</v>
          </cell>
          <cell r="O988">
            <v>0.14099999999999999</v>
          </cell>
          <cell r="T988" t="str">
            <v>-</v>
          </cell>
          <cell r="U988" t="str">
            <v>-</v>
          </cell>
        </row>
        <row r="989">
          <cell r="B989" t="str">
            <v>MT5X3.75</v>
          </cell>
          <cell r="C989">
            <v>1.1100000000000001</v>
          </cell>
          <cell r="D989">
            <v>5</v>
          </cell>
          <cell r="F989" t="str">
            <v>-</v>
          </cell>
          <cell r="H989" t="str">
            <v>-</v>
          </cell>
          <cell r="I989">
            <v>2.69</v>
          </cell>
          <cell r="K989" t="str">
            <v>-</v>
          </cell>
          <cell r="L989" t="str">
            <v>-</v>
          </cell>
          <cell r="M989">
            <v>5.6776843871423495</v>
          </cell>
          <cell r="O989">
            <v>0.13</v>
          </cell>
          <cell r="T989" t="str">
            <v>-</v>
          </cell>
          <cell r="U989" t="str">
            <v>-</v>
          </cell>
        </row>
        <row r="990">
          <cell r="B990" t="str">
            <v>MT4X3.25</v>
          </cell>
          <cell r="C990">
            <v>0.95899999999999996</v>
          </cell>
          <cell r="D990">
            <v>4</v>
          </cell>
          <cell r="F990" t="str">
            <v>-</v>
          </cell>
          <cell r="H990" t="str">
            <v>-</v>
          </cell>
          <cell r="I990">
            <v>2.2799999999999998</v>
          </cell>
          <cell r="K990" t="str">
            <v>-</v>
          </cell>
          <cell r="L990" t="str">
            <v>-</v>
          </cell>
          <cell r="M990">
            <v>4.6041720211130253</v>
          </cell>
          <cell r="O990">
            <v>0.13500000000000001</v>
          </cell>
          <cell r="T990" t="str">
            <v>-</v>
          </cell>
          <cell r="U990" t="str">
            <v>-</v>
          </cell>
        </row>
        <row r="991">
          <cell r="B991" t="str">
            <v>MT4X3.1</v>
          </cell>
          <cell r="C991">
            <v>0.91100000000000003</v>
          </cell>
          <cell r="D991">
            <v>4</v>
          </cell>
          <cell r="F991" t="str">
            <v>-</v>
          </cell>
          <cell r="H991" t="str">
            <v>-</v>
          </cell>
          <cell r="I991">
            <v>2.2799999999999998</v>
          </cell>
          <cell r="K991" t="str">
            <v>-</v>
          </cell>
          <cell r="L991" t="str">
            <v>-</v>
          </cell>
          <cell r="M991">
            <v>4.6041720211130253</v>
          </cell>
          <cell r="O991">
            <v>0.129</v>
          </cell>
          <cell r="T991" t="str">
            <v>-</v>
          </cell>
          <cell r="U991" t="str">
            <v>-</v>
          </cell>
        </row>
        <row r="992">
          <cell r="B992" t="str">
            <v>MT3X2.2</v>
          </cell>
          <cell r="C992">
            <v>0.64700000000000002</v>
          </cell>
          <cell r="D992">
            <v>3</v>
          </cell>
          <cell r="F992" t="str">
            <v>-</v>
          </cell>
          <cell r="H992" t="str">
            <v>-</v>
          </cell>
          <cell r="I992">
            <v>1.84</v>
          </cell>
          <cell r="K992" t="str">
            <v>-</v>
          </cell>
          <cell r="L992" t="str">
            <v>-</v>
          </cell>
          <cell r="M992">
            <v>3.5193181157718607</v>
          </cell>
          <cell r="O992">
            <v>0.114</v>
          </cell>
          <cell r="T992" t="str">
            <v>-</v>
          </cell>
          <cell r="U992" t="str">
            <v>-</v>
          </cell>
        </row>
        <row r="993">
          <cell r="B993" t="str">
            <v>MT3X1.85</v>
          </cell>
          <cell r="C993">
            <v>0.54500000000000004</v>
          </cell>
          <cell r="D993">
            <v>2.96</v>
          </cell>
          <cell r="F993" t="str">
            <v>-</v>
          </cell>
          <cell r="H993" t="str">
            <v>-</v>
          </cell>
          <cell r="I993">
            <v>2</v>
          </cell>
          <cell r="K993" t="str">
            <v>-</v>
          </cell>
          <cell r="L993" t="str">
            <v>-</v>
          </cell>
          <cell r="M993">
            <v>3.5723381698825771</v>
          </cell>
          <cell r="O993">
            <v>9.8000000000000004E-2</v>
          </cell>
          <cell r="T993" t="str">
            <v>-</v>
          </cell>
          <cell r="U993" t="str">
            <v>-</v>
          </cell>
        </row>
        <row r="994">
          <cell r="B994" t="str">
            <v>MT2.5X9.45</v>
          </cell>
          <cell r="C994">
            <v>2.78</v>
          </cell>
          <cell r="D994">
            <v>2.5</v>
          </cell>
          <cell r="F994" t="str">
            <v>-</v>
          </cell>
          <cell r="H994" t="str">
            <v>-</v>
          </cell>
          <cell r="I994">
            <v>5</v>
          </cell>
          <cell r="K994" t="str">
            <v>-</v>
          </cell>
          <cell r="L994" t="str">
            <v>-</v>
          </cell>
          <cell r="M994">
            <v>5.5901699437494745</v>
          </cell>
          <cell r="O994">
            <v>0.316</v>
          </cell>
          <cell r="T994" t="str">
            <v>-</v>
          </cell>
          <cell r="U994" t="str">
            <v>-</v>
          </cell>
        </row>
        <row r="995">
          <cell r="B995" t="str">
            <v>MT2X3</v>
          </cell>
          <cell r="C995">
            <v>0.875</v>
          </cell>
          <cell r="D995">
            <v>1.9</v>
          </cell>
          <cell r="F995" t="str">
            <v>-</v>
          </cell>
          <cell r="H995" t="str">
            <v>-</v>
          </cell>
          <cell r="I995">
            <v>3.8</v>
          </cell>
          <cell r="K995" t="str">
            <v>-</v>
          </cell>
          <cell r="L995" t="str">
            <v>-</v>
          </cell>
          <cell r="M995">
            <v>4.2485291572496005</v>
          </cell>
          <cell r="O995">
            <v>0.13</v>
          </cell>
          <cell r="T995" t="str">
            <v>-</v>
          </cell>
          <cell r="U995" t="str">
            <v>-</v>
          </cell>
        </row>
        <row r="996">
          <cell r="B996" t="str">
            <v>ST12X60.5</v>
          </cell>
          <cell r="C996">
            <v>17.8</v>
          </cell>
          <cell r="D996">
            <v>12.3</v>
          </cell>
          <cell r="F996" t="str">
            <v>-</v>
          </cell>
          <cell r="H996" t="str">
            <v>-</v>
          </cell>
          <cell r="I996">
            <v>8.0500000000000007</v>
          </cell>
          <cell r="K996" t="str">
            <v>-</v>
          </cell>
          <cell r="L996" t="str">
            <v>-</v>
          </cell>
          <cell r="M996">
            <v>14.700085033767662</v>
          </cell>
          <cell r="O996">
            <v>0.8</v>
          </cell>
          <cell r="T996" t="str">
            <v>-</v>
          </cell>
          <cell r="U996" t="str">
            <v>-</v>
          </cell>
        </row>
        <row r="997">
          <cell r="B997" t="str">
            <v>ST12X53</v>
          </cell>
          <cell r="C997">
            <v>15.6</v>
          </cell>
          <cell r="D997">
            <v>12.3</v>
          </cell>
          <cell r="F997" t="str">
            <v>-</v>
          </cell>
          <cell r="H997" t="str">
            <v>-</v>
          </cell>
          <cell r="I997">
            <v>7.87</v>
          </cell>
          <cell r="K997" t="str">
            <v>-</v>
          </cell>
          <cell r="L997" t="str">
            <v>-</v>
          </cell>
          <cell r="M997">
            <v>14.602290916154219</v>
          </cell>
          <cell r="O997">
            <v>0.62</v>
          </cell>
          <cell r="T997" t="str">
            <v>-</v>
          </cell>
          <cell r="U997" t="str">
            <v>-</v>
          </cell>
        </row>
        <row r="998">
          <cell r="B998" t="str">
            <v>ST12X50</v>
          </cell>
          <cell r="C998">
            <v>14.7</v>
          </cell>
          <cell r="D998">
            <v>12</v>
          </cell>
          <cell r="F998" t="str">
            <v>-</v>
          </cell>
          <cell r="H998" t="str">
            <v>-</v>
          </cell>
          <cell r="I998">
            <v>7.25</v>
          </cell>
          <cell r="K998" t="str">
            <v>-</v>
          </cell>
          <cell r="L998" t="str">
            <v>-</v>
          </cell>
          <cell r="M998">
            <v>14.020074892809953</v>
          </cell>
          <cell r="O998">
            <v>0.745</v>
          </cell>
          <cell r="T998" t="str">
            <v>-</v>
          </cell>
          <cell r="U998" t="str">
            <v>-</v>
          </cell>
        </row>
        <row r="999">
          <cell r="B999" t="str">
            <v>ST12X45</v>
          </cell>
          <cell r="C999">
            <v>13.2</v>
          </cell>
          <cell r="D999">
            <v>12</v>
          </cell>
          <cell r="F999" t="str">
            <v>-</v>
          </cell>
          <cell r="H999" t="str">
            <v>-</v>
          </cell>
          <cell r="I999">
            <v>7.13</v>
          </cell>
          <cell r="K999" t="str">
            <v>-</v>
          </cell>
          <cell r="L999" t="str">
            <v>-</v>
          </cell>
          <cell r="M999">
            <v>13.958398905318619</v>
          </cell>
          <cell r="O999">
            <v>0.625</v>
          </cell>
          <cell r="T999" t="str">
            <v>-</v>
          </cell>
          <cell r="U999" t="str">
            <v>-</v>
          </cell>
        </row>
        <row r="1000">
          <cell r="B1000" t="str">
            <v>ST12X40</v>
          </cell>
          <cell r="C1000">
            <v>11.7</v>
          </cell>
          <cell r="D1000">
            <v>12</v>
          </cell>
          <cell r="F1000" t="str">
            <v>-</v>
          </cell>
          <cell r="H1000" t="str">
            <v>-</v>
          </cell>
          <cell r="I1000">
            <v>7</v>
          </cell>
          <cell r="K1000" t="str">
            <v>-</v>
          </cell>
          <cell r="L1000" t="str">
            <v>-</v>
          </cell>
          <cell r="M1000">
            <v>13.892443989449804</v>
          </cell>
          <cell r="O1000">
            <v>0.5</v>
          </cell>
          <cell r="T1000" t="str">
            <v>-</v>
          </cell>
          <cell r="U1000" t="str">
            <v>-</v>
          </cell>
        </row>
        <row r="1001">
          <cell r="B1001" t="str">
            <v>ST10X48</v>
          </cell>
          <cell r="C1001">
            <v>14.1</v>
          </cell>
          <cell r="D1001">
            <v>10.199999999999999</v>
          </cell>
          <cell r="F1001" t="str">
            <v>-</v>
          </cell>
          <cell r="H1001" t="str">
            <v>-</v>
          </cell>
          <cell r="I1001">
            <v>7.2</v>
          </cell>
          <cell r="K1001" t="str">
            <v>-</v>
          </cell>
          <cell r="L1001" t="str">
            <v>-</v>
          </cell>
          <cell r="M1001">
            <v>12.485191228010887</v>
          </cell>
          <cell r="O1001">
            <v>0.8</v>
          </cell>
          <cell r="T1001" t="str">
            <v>-</v>
          </cell>
          <cell r="U1001" t="str">
            <v>-</v>
          </cell>
        </row>
        <row r="1002">
          <cell r="B1002" t="str">
            <v>ST10X43</v>
          </cell>
          <cell r="C1002">
            <v>12.7</v>
          </cell>
          <cell r="D1002">
            <v>10.199999999999999</v>
          </cell>
          <cell r="F1002" t="str">
            <v>-</v>
          </cell>
          <cell r="H1002" t="str">
            <v>-</v>
          </cell>
          <cell r="I1002">
            <v>7.06</v>
          </cell>
          <cell r="K1002" t="str">
            <v>-</v>
          </cell>
          <cell r="L1002" t="str">
            <v>-</v>
          </cell>
          <cell r="M1002">
            <v>12.404982869798733</v>
          </cell>
          <cell r="O1002">
            <v>0.66</v>
          </cell>
          <cell r="T1002" t="str">
            <v>-</v>
          </cell>
          <cell r="U1002" t="str">
            <v>-</v>
          </cell>
        </row>
        <row r="1003">
          <cell r="B1003" t="str">
            <v>ST10X37.5</v>
          </cell>
          <cell r="C1003">
            <v>11</v>
          </cell>
          <cell r="D1003">
            <v>10</v>
          </cell>
          <cell r="F1003" t="str">
            <v>-</v>
          </cell>
          <cell r="H1003" t="str">
            <v>-</v>
          </cell>
          <cell r="I1003">
            <v>6.39</v>
          </cell>
          <cell r="K1003" t="str">
            <v>-</v>
          </cell>
          <cell r="L1003" t="str">
            <v>-</v>
          </cell>
          <cell r="M1003">
            <v>11.867270115742711</v>
          </cell>
          <cell r="O1003">
            <v>0.63500000000000001</v>
          </cell>
          <cell r="T1003" t="str">
            <v>-</v>
          </cell>
          <cell r="U1003" t="str">
            <v>-</v>
          </cell>
        </row>
        <row r="1004">
          <cell r="B1004" t="str">
            <v>ST10X33</v>
          </cell>
          <cell r="C1004">
            <v>9.6999999999999993</v>
          </cell>
          <cell r="D1004">
            <v>10</v>
          </cell>
          <cell r="F1004" t="str">
            <v>-</v>
          </cell>
          <cell r="H1004" t="str">
            <v>-</v>
          </cell>
          <cell r="I1004">
            <v>6.26</v>
          </cell>
          <cell r="K1004" t="str">
            <v>-</v>
          </cell>
          <cell r="L1004" t="str">
            <v>-</v>
          </cell>
          <cell r="M1004">
            <v>11.797779452083345</v>
          </cell>
          <cell r="O1004">
            <v>0.505</v>
          </cell>
          <cell r="T1004" t="str">
            <v>-</v>
          </cell>
          <cell r="U1004" t="str">
            <v>-</v>
          </cell>
        </row>
        <row r="1005">
          <cell r="B1005" t="str">
            <v>ST9X35</v>
          </cell>
          <cell r="C1005">
            <v>10.3</v>
          </cell>
          <cell r="D1005">
            <v>9</v>
          </cell>
          <cell r="F1005" t="str">
            <v>-</v>
          </cell>
          <cell r="H1005" t="str">
            <v>-</v>
          </cell>
          <cell r="I1005">
            <v>6.25</v>
          </cell>
          <cell r="K1005" t="str">
            <v>-</v>
          </cell>
          <cell r="L1005" t="str">
            <v>-</v>
          </cell>
          <cell r="M1005">
            <v>10.957303500405564</v>
          </cell>
          <cell r="O1005">
            <v>0.71099999999999997</v>
          </cell>
          <cell r="T1005" t="str">
            <v>-</v>
          </cell>
          <cell r="U1005" t="str">
            <v>-</v>
          </cell>
        </row>
        <row r="1006">
          <cell r="B1006" t="str">
            <v>ST9X27.35</v>
          </cell>
          <cell r="C1006">
            <v>8.02</v>
          </cell>
          <cell r="D1006">
            <v>9</v>
          </cell>
          <cell r="F1006" t="str">
            <v>-</v>
          </cell>
          <cell r="H1006" t="str">
            <v>-</v>
          </cell>
          <cell r="I1006">
            <v>6</v>
          </cell>
          <cell r="K1006" t="str">
            <v>-</v>
          </cell>
          <cell r="L1006" t="str">
            <v>-</v>
          </cell>
          <cell r="M1006">
            <v>10.816653826391969</v>
          </cell>
          <cell r="O1006">
            <v>0.46100000000000002</v>
          </cell>
          <cell r="T1006" t="str">
            <v>-</v>
          </cell>
          <cell r="U1006" t="str">
            <v>-</v>
          </cell>
        </row>
        <row r="1007">
          <cell r="B1007" t="str">
            <v>ST7.5X25</v>
          </cell>
          <cell r="C1007">
            <v>7.34</v>
          </cell>
          <cell r="D1007">
            <v>7.5</v>
          </cell>
          <cell r="F1007" t="str">
            <v>-</v>
          </cell>
          <cell r="H1007" t="str">
            <v>-</v>
          </cell>
          <cell r="I1007">
            <v>5.64</v>
          </cell>
          <cell r="K1007" t="str">
            <v>-</v>
          </cell>
          <cell r="L1007" t="str">
            <v>-</v>
          </cell>
          <cell r="M1007">
            <v>9.3840076726311334</v>
          </cell>
          <cell r="O1007">
            <v>0.55000000000000004</v>
          </cell>
          <cell r="T1007" t="str">
            <v>-</v>
          </cell>
          <cell r="U1007" t="str">
            <v>-</v>
          </cell>
        </row>
        <row r="1008">
          <cell r="B1008" t="str">
            <v>ST7.5X21.45</v>
          </cell>
          <cell r="C1008">
            <v>6.3</v>
          </cell>
          <cell r="D1008">
            <v>7.5</v>
          </cell>
          <cell r="F1008" t="str">
            <v>-</v>
          </cell>
          <cell r="H1008" t="str">
            <v>-</v>
          </cell>
          <cell r="I1008">
            <v>5.5</v>
          </cell>
          <cell r="K1008" t="str">
            <v>-</v>
          </cell>
          <cell r="L1008" t="str">
            <v>-</v>
          </cell>
          <cell r="M1008">
            <v>9.3005376188691375</v>
          </cell>
          <cell r="O1008">
            <v>0.41099999999999998</v>
          </cell>
          <cell r="T1008" t="str">
            <v>-</v>
          </cell>
          <cell r="U1008" t="str">
            <v>-</v>
          </cell>
        </row>
        <row r="1009">
          <cell r="B1009" t="str">
            <v>ST6X25</v>
          </cell>
          <cell r="C1009">
            <v>7.33</v>
          </cell>
          <cell r="D1009">
            <v>6</v>
          </cell>
          <cell r="F1009" t="str">
            <v>-</v>
          </cell>
          <cell r="H1009" t="str">
            <v>-</v>
          </cell>
          <cell r="I1009">
            <v>5.48</v>
          </cell>
          <cell r="K1009" t="str">
            <v>-</v>
          </cell>
          <cell r="L1009" t="str">
            <v>-</v>
          </cell>
          <cell r="M1009">
            <v>8.1259091799010399</v>
          </cell>
          <cell r="O1009">
            <v>0.68700000000000006</v>
          </cell>
          <cell r="T1009" t="str">
            <v>-</v>
          </cell>
          <cell r="U1009" t="str">
            <v>-</v>
          </cell>
        </row>
        <row r="1010">
          <cell r="B1010" t="str">
            <v>ST6X20.4</v>
          </cell>
          <cell r="C1010">
            <v>5.96</v>
          </cell>
          <cell r="D1010">
            <v>6</v>
          </cell>
          <cell r="F1010" t="str">
            <v>-</v>
          </cell>
          <cell r="H1010" t="str">
            <v>-</v>
          </cell>
          <cell r="I1010">
            <v>5.25</v>
          </cell>
          <cell r="K1010" t="str">
            <v>-</v>
          </cell>
          <cell r="L1010" t="str">
            <v>-</v>
          </cell>
          <cell r="M1010">
            <v>7.9726093595509875</v>
          </cell>
          <cell r="O1010">
            <v>0.46200000000000002</v>
          </cell>
          <cell r="T1010" t="str">
            <v>-</v>
          </cell>
          <cell r="U1010" t="str">
            <v>-</v>
          </cell>
        </row>
        <row r="1011">
          <cell r="B1011" t="str">
            <v>ST6X17.5</v>
          </cell>
          <cell r="C1011">
            <v>5.12</v>
          </cell>
          <cell r="D1011">
            <v>6</v>
          </cell>
          <cell r="F1011" t="str">
            <v>-</v>
          </cell>
          <cell r="H1011" t="str">
            <v>-</v>
          </cell>
          <cell r="I1011">
            <v>5.08</v>
          </cell>
          <cell r="K1011" t="str">
            <v>-</v>
          </cell>
          <cell r="L1011" t="str">
            <v>-</v>
          </cell>
          <cell r="M1011">
            <v>7.8617046497563106</v>
          </cell>
          <cell r="O1011">
            <v>0.42799999999999999</v>
          </cell>
          <cell r="T1011" t="str">
            <v>-</v>
          </cell>
          <cell r="U1011" t="str">
            <v>-</v>
          </cell>
        </row>
        <row r="1012">
          <cell r="B1012" t="str">
            <v>ST6X15.9</v>
          </cell>
          <cell r="C1012">
            <v>4.6500000000000004</v>
          </cell>
          <cell r="D1012">
            <v>6</v>
          </cell>
          <cell r="F1012" t="str">
            <v>-</v>
          </cell>
          <cell r="H1012" t="str">
            <v>-</v>
          </cell>
          <cell r="I1012">
            <v>5</v>
          </cell>
          <cell r="K1012" t="str">
            <v>-</v>
          </cell>
          <cell r="L1012" t="str">
            <v>-</v>
          </cell>
          <cell r="M1012">
            <v>7.810249675906654</v>
          </cell>
          <cell r="O1012">
            <v>0.35</v>
          </cell>
          <cell r="T1012" t="str">
            <v>-</v>
          </cell>
          <cell r="U1012" t="str">
            <v>-</v>
          </cell>
        </row>
        <row r="1013">
          <cell r="B1013" t="str">
            <v>ST5X17.5</v>
          </cell>
          <cell r="C1013">
            <v>5.14</v>
          </cell>
          <cell r="D1013">
            <v>5</v>
          </cell>
          <cell r="F1013" t="str">
            <v>-</v>
          </cell>
          <cell r="H1013" t="str">
            <v>-</v>
          </cell>
          <cell r="I1013">
            <v>4.9400000000000004</v>
          </cell>
          <cell r="K1013" t="str">
            <v>-</v>
          </cell>
          <cell r="L1013" t="str">
            <v>-</v>
          </cell>
          <cell r="M1013">
            <v>7.0287694513335692</v>
          </cell>
          <cell r="O1013">
            <v>0.59399999999999997</v>
          </cell>
          <cell r="T1013" t="str">
            <v>-</v>
          </cell>
          <cell r="U1013" t="str">
            <v>-</v>
          </cell>
        </row>
        <row r="1014">
          <cell r="B1014" t="str">
            <v>ST5X12.7</v>
          </cell>
          <cell r="C1014">
            <v>3.72</v>
          </cell>
          <cell r="D1014">
            <v>5</v>
          </cell>
          <cell r="F1014" t="str">
            <v>-</v>
          </cell>
          <cell r="H1014" t="str">
            <v>-</v>
          </cell>
          <cell r="I1014">
            <v>4.66</v>
          </cell>
          <cell r="K1014" t="str">
            <v>-</v>
          </cell>
          <cell r="L1014" t="str">
            <v>-</v>
          </cell>
          <cell r="M1014">
            <v>6.8348811255207655</v>
          </cell>
          <cell r="O1014">
            <v>0.311</v>
          </cell>
          <cell r="T1014" t="str">
            <v>-</v>
          </cell>
          <cell r="U1014" t="str">
            <v>-</v>
          </cell>
        </row>
        <row r="1015">
          <cell r="B1015" t="str">
            <v>ST4X11.5</v>
          </cell>
          <cell r="C1015">
            <v>3.38</v>
          </cell>
          <cell r="D1015">
            <v>4</v>
          </cell>
          <cell r="F1015" t="str">
            <v>-</v>
          </cell>
          <cell r="H1015" t="str">
            <v>-</v>
          </cell>
          <cell r="I1015">
            <v>4.17</v>
          </cell>
          <cell r="K1015" t="str">
            <v>-</v>
          </cell>
          <cell r="L1015" t="str">
            <v>-</v>
          </cell>
          <cell r="M1015">
            <v>5.7783129025693993</v>
          </cell>
          <cell r="O1015">
            <v>0.441</v>
          </cell>
          <cell r="T1015" t="str">
            <v>-</v>
          </cell>
          <cell r="U1015" t="str">
            <v>-</v>
          </cell>
        </row>
        <row r="1016">
          <cell r="B1016" t="str">
            <v>ST4X9.2</v>
          </cell>
          <cell r="C1016">
            <v>2.7</v>
          </cell>
          <cell r="D1016">
            <v>4</v>
          </cell>
          <cell r="F1016" t="str">
            <v>-</v>
          </cell>
          <cell r="H1016" t="str">
            <v>-</v>
          </cell>
          <cell r="I1016">
            <v>4</v>
          </cell>
          <cell r="K1016" t="str">
            <v>-</v>
          </cell>
          <cell r="L1016" t="str">
            <v>-</v>
          </cell>
          <cell r="M1016">
            <v>5.6568542494923806</v>
          </cell>
          <cell r="O1016">
            <v>0.27100000000000002</v>
          </cell>
          <cell r="T1016" t="str">
            <v>-</v>
          </cell>
          <cell r="U1016" t="str">
            <v>-</v>
          </cell>
        </row>
        <row r="1017">
          <cell r="B1017" t="str">
            <v>ST3X8.6</v>
          </cell>
          <cell r="C1017">
            <v>2.5299999999999998</v>
          </cell>
          <cell r="D1017">
            <v>3</v>
          </cell>
          <cell r="F1017" t="str">
            <v>-</v>
          </cell>
          <cell r="H1017" t="str">
            <v>-</v>
          </cell>
          <cell r="I1017">
            <v>3.57</v>
          </cell>
          <cell r="K1017" t="str">
            <v>-</v>
          </cell>
          <cell r="L1017" t="str">
            <v>-</v>
          </cell>
          <cell r="M1017">
            <v>4.6631427170954138</v>
          </cell>
          <cell r="O1017">
            <v>0.46500000000000002</v>
          </cell>
          <cell r="T1017" t="str">
            <v>-</v>
          </cell>
          <cell r="U1017" t="str">
            <v>-</v>
          </cell>
        </row>
        <row r="1018">
          <cell r="B1018" t="str">
            <v>ST3X6.25</v>
          </cell>
          <cell r="C1018">
            <v>1.83</v>
          </cell>
          <cell r="D1018">
            <v>3</v>
          </cell>
          <cell r="F1018" t="str">
            <v>-</v>
          </cell>
          <cell r="H1018" t="str">
            <v>-</v>
          </cell>
          <cell r="I1018">
            <v>3.33</v>
          </cell>
          <cell r="K1018" t="str">
            <v>-</v>
          </cell>
          <cell r="L1018" t="str">
            <v>-</v>
          </cell>
          <cell r="M1018">
            <v>4.4820642565675026</v>
          </cell>
          <cell r="O1018">
            <v>0.23200000000000001</v>
          </cell>
          <cell r="T1018" t="str">
            <v>-</v>
          </cell>
          <cell r="U1018" t="str">
            <v>-</v>
          </cell>
        </row>
        <row r="1019">
          <cell r="B1019" t="str">
            <v>ST2.5X5</v>
          </cell>
          <cell r="C1019">
            <v>1.46</v>
          </cell>
          <cell r="D1019">
            <v>2.5</v>
          </cell>
          <cell r="F1019" t="str">
            <v>-</v>
          </cell>
          <cell r="H1019" t="str">
            <v>-</v>
          </cell>
          <cell r="I1019">
            <v>3</v>
          </cell>
          <cell r="K1019" t="str">
            <v>-</v>
          </cell>
          <cell r="L1019" t="str">
            <v>-</v>
          </cell>
          <cell r="M1019">
            <v>3.905124837953327</v>
          </cell>
          <cell r="O1019">
            <v>0.214</v>
          </cell>
          <cell r="T1019" t="str">
            <v>-</v>
          </cell>
          <cell r="U1019" t="str">
            <v>-</v>
          </cell>
        </row>
        <row r="1020">
          <cell r="B1020" t="str">
            <v>ST2X4.75</v>
          </cell>
          <cell r="C1020">
            <v>1.4</v>
          </cell>
          <cell r="D1020">
            <v>2</v>
          </cell>
          <cell r="F1020" t="str">
            <v>-</v>
          </cell>
          <cell r="H1020" t="str">
            <v>-</v>
          </cell>
          <cell r="I1020">
            <v>2.8</v>
          </cell>
          <cell r="K1020" t="str">
            <v>-</v>
          </cell>
          <cell r="L1020" t="str">
            <v>-</v>
          </cell>
          <cell r="M1020">
            <v>3.4409301068170506</v>
          </cell>
          <cell r="O1020">
            <v>0.32600000000000001</v>
          </cell>
          <cell r="T1020" t="str">
            <v>-</v>
          </cell>
          <cell r="U1020" t="str">
            <v>-</v>
          </cell>
        </row>
        <row r="1021">
          <cell r="B1021" t="str">
            <v>ST2X3.85</v>
          </cell>
          <cell r="C1021">
            <v>1.1299999999999999</v>
          </cell>
          <cell r="D1021">
            <v>2</v>
          </cell>
          <cell r="F1021" t="str">
            <v>-</v>
          </cell>
          <cell r="H1021" t="str">
            <v>-</v>
          </cell>
          <cell r="I1021">
            <v>2.66</v>
          </cell>
          <cell r="K1021" t="str">
            <v>-</v>
          </cell>
          <cell r="L1021" t="str">
            <v>-</v>
          </cell>
          <cell r="M1021">
            <v>3.3280024038452858</v>
          </cell>
          <cell r="O1021">
            <v>0.193</v>
          </cell>
          <cell r="T1021" t="str">
            <v>-</v>
          </cell>
          <cell r="U1021" t="str">
            <v>-</v>
          </cell>
        </row>
        <row r="1022">
          <cell r="B1022" t="str">
            <v>ST1.5X3.75</v>
          </cell>
          <cell r="C1022">
            <v>1.1000000000000001</v>
          </cell>
          <cell r="D1022">
            <v>1.5</v>
          </cell>
          <cell r="F1022" t="str">
            <v>-</v>
          </cell>
          <cell r="H1022" t="str">
            <v>-</v>
          </cell>
          <cell r="I1022">
            <v>2.5099999999999998</v>
          </cell>
          <cell r="K1022" t="str">
            <v>-</v>
          </cell>
          <cell r="L1022" t="str">
            <v>-</v>
          </cell>
          <cell r="M1022">
            <v>2.9240554030318919</v>
          </cell>
          <cell r="O1022">
            <v>0.34899999999999998</v>
          </cell>
          <cell r="T1022" t="str">
            <v>-</v>
          </cell>
          <cell r="U1022" t="str">
            <v>-</v>
          </cell>
        </row>
        <row r="1023">
          <cell r="B1023" t="str">
            <v>ST1.5X2.85</v>
          </cell>
          <cell r="C1023">
            <v>0.83</v>
          </cell>
          <cell r="D1023">
            <v>1.5</v>
          </cell>
          <cell r="F1023" t="str">
            <v>-</v>
          </cell>
          <cell r="H1023" t="str">
            <v>-</v>
          </cell>
          <cell r="I1023">
            <v>2.33</v>
          </cell>
          <cell r="K1023" t="str">
            <v>-</v>
          </cell>
          <cell r="L1023" t="str">
            <v>-</v>
          </cell>
          <cell r="M1023">
            <v>2.7710828208481968</v>
          </cell>
          <cell r="O1023">
            <v>0.17</v>
          </cell>
          <cell r="T1023" t="str">
            <v>-</v>
          </cell>
          <cell r="U1023" t="str">
            <v>-</v>
          </cell>
        </row>
        <row r="1024">
          <cell r="B1024" t="str">
            <v>LL8x8x18x0</v>
          </cell>
          <cell r="C1024">
            <v>33.6</v>
          </cell>
          <cell r="D1024">
            <v>8</v>
          </cell>
          <cell r="F1024" t="str">
            <v>-</v>
          </cell>
          <cell r="H1024" t="str">
            <v>-</v>
          </cell>
          <cell r="I1024" t="str">
            <v>-</v>
          </cell>
          <cell r="K1024" t="str">
            <v>-</v>
          </cell>
          <cell r="L1024">
            <v>16</v>
          </cell>
          <cell r="M1024">
            <v>16</v>
          </cell>
          <cell r="O1024" t="str">
            <v>-</v>
          </cell>
          <cell r="T1024">
            <v>1.1299999999999999</v>
          </cell>
          <cell r="U1024" t="str">
            <v>-</v>
          </cell>
        </row>
        <row r="1025">
          <cell r="B1025" t="str">
            <v>LL8x8x18x3</v>
          </cell>
          <cell r="C1025">
            <v>33.6</v>
          </cell>
          <cell r="D1025">
            <v>8</v>
          </cell>
          <cell r="F1025" t="str">
            <v>-</v>
          </cell>
          <cell r="H1025" t="str">
            <v>-</v>
          </cell>
          <cell r="I1025" t="str">
            <v>-</v>
          </cell>
          <cell r="K1025" t="str">
            <v>-</v>
          </cell>
          <cell r="L1025">
            <v>16</v>
          </cell>
          <cell r="M1025">
            <v>16.375</v>
          </cell>
          <cell r="O1025" t="str">
            <v>-</v>
          </cell>
          <cell r="T1025">
            <v>1.1299999999999999</v>
          </cell>
          <cell r="U1025" t="str">
            <v>-</v>
          </cell>
        </row>
        <row r="1026">
          <cell r="B1026" t="str">
            <v>LL8x8x18x6</v>
          </cell>
          <cell r="C1026">
            <v>33.6</v>
          </cell>
          <cell r="D1026">
            <v>8</v>
          </cell>
          <cell r="F1026" t="str">
            <v>-</v>
          </cell>
          <cell r="H1026" t="str">
            <v>-</v>
          </cell>
          <cell r="I1026" t="str">
            <v>-</v>
          </cell>
          <cell r="K1026" t="str">
            <v>-</v>
          </cell>
          <cell r="L1026">
            <v>16</v>
          </cell>
          <cell r="M1026">
            <v>16.75</v>
          </cell>
          <cell r="O1026" t="str">
            <v>-</v>
          </cell>
          <cell r="T1026">
            <v>1.1299999999999999</v>
          </cell>
          <cell r="U1026" t="str">
            <v>-</v>
          </cell>
        </row>
        <row r="1027">
          <cell r="B1027" t="str">
            <v>LL8x8x16x0</v>
          </cell>
          <cell r="C1027">
            <v>30.2</v>
          </cell>
          <cell r="D1027">
            <v>8</v>
          </cell>
          <cell r="F1027" t="str">
            <v>-</v>
          </cell>
          <cell r="H1027" t="str">
            <v>-</v>
          </cell>
          <cell r="I1027" t="str">
            <v>-</v>
          </cell>
          <cell r="K1027" t="str">
            <v>-</v>
          </cell>
          <cell r="L1027">
            <v>16</v>
          </cell>
          <cell r="M1027">
            <v>16</v>
          </cell>
          <cell r="O1027" t="str">
            <v>-</v>
          </cell>
          <cell r="T1027">
            <v>1</v>
          </cell>
          <cell r="U1027" t="str">
            <v>-</v>
          </cell>
        </row>
        <row r="1028">
          <cell r="B1028" t="str">
            <v>LL8x8x16x3</v>
          </cell>
          <cell r="C1028">
            <v>30.2</v>
          </cell>
          <cell r="D1028">
            <v>8</v>
          </cell>
          <cell r="F1028" t="str">
            <v>-</v>
          </cell>
          <cell r="H1028" t="str">
            <v>-</v>
          </cell>
          <cell r="I1028" t="str">
            <v>-</v>
          </cell>
          <cell r="K1028" t="str">
            <v>-</v>
          </cell>
          <cell r="L1028">
            <v>16</v>
          </cell>
          <cell r="M1028">
            <v>16.375</v>
          </cell>
          <cell r="O1028" t="str">
            <v>-</v>
          </cell>
          <cell r="T1028">
            <v>1</v>
          </cell>
          <cell r="U1028" t="str">
            <v>-</v>
          </cell>
        </row>
        <row r="1029">
          <cell r="B1029" t="str">
            <v>LL8x8x16x6</v>
          </cell>
          <cell r="C1029">
            <v>30.2</v>
          </cell>
          <cell r="D1029">
            <v>8</v>
          </cell>
          <cell r="F1029" t="str">
            <v>-</v>
          </cell>
          <cell r="H1029" t="str">
            <v>-</v>
          </cell>
          <cell r="I1029" t="str">
            <v>-</v>
          </cell>
          <cell r="K1029" t="str">
            <v>-</v>
          </cell>
          <cell r="L1029">
            <v>16</v>
          </cell>
          <cell r="M1029">
            <v>16.75</v>
          </cell>
          <cell r="O1029" t="str">
            <v>-</v>
          </cell>
          <cell r="T1029">
            <v>1</v>
          </cell>
          <cell r="U1029" t="str">
            <v>-</v>
          </cell>
        </row>
        <row r="1030">
          <cell r="B1030" t="str">
            <v>LL8x8x14x0</v>
          </cell>
          <cell r="C1030">
            <v>26.6</v>
          </cell>
          <cell r="D1030">
            <v>8</v>
          </cell>
          <cell r="F1030" t="str">
            <v>-</v>
          </cell>
          <cell r="H1030" t="str">
            <v>-</v>
          </cell>
          <cell r="I1030" t="str">
            <v>-</v>
          </cell>
          <cell r="K1030" t="str">
            <v>-</v>
          </cell>
          <cell r="L1030">
            <v>16</v>
          </cell>
          <cell r="M1030">
            <v>16</v>
          </cell>
          <cell r="O1030" t="str">
            <v>-</v>
          </cell>
          <cell r="T1030">
            <v>0.875</v>
          </cell>
          <cell r="U1030" t="str">
            <v>-</v>
          </cell>
        </row>
        <row r="1031">
          <cell r="B1031" t="str">
            <v>LL8x8x14x3</v>
          </cell>
          <cell r="C1031">
            <v>26.6</v>
          </cell>
          <cell r="D1031">
            <v>8</v>
          </cell>
          <cell r="F1031" t="str">
            <v>-</v>
          </cell>
          <cell r="H1031" t="str">
            <v>-</v>
          </cell>
          <cell r="I1031" t="str">
            <v>-</v>
          </cell>
          <cell r="K1031" t="str">
            <v>-</v>
          </cell>
          <cell r="L1031">
            <v>16</v>
          </cell>
          <cell r="M1031">
            <v>16.375</v>
          </cell>
          <cell r="O1031" t="str">
            <v>-</v>
          </cell>
          <cell r="T1031">
            <v>0.875</v>
          </cell>
          <cell r="U1031" t="str">
            <v>-</v>
          </cell>
        </row>
        <row r="1032">
          <cell r="B1032" t="str">
            <v>LL8x8x14x6</v>
          </cell>
          <cell r="C1032">
            <v>26.6</v>
          </cell>
          <cell r="D1032">
            <v>8</v>
          </cell>
          <cell r="F1032" t="str">
            <v>-</v>
          </cell>
          <cell r="H1032" t="str">
            <v>-</v>
          </cell>
          <cell r="I1032" t="str">
            <v>-</v>
          </cell>
          <cell r="K1032" t="str">
            <v>-</v>
          </cell>
          <cell r="L1032">
            <v>16</v>
          </cell>
          <cell r="M1032">
            <v>16.75</v>
          </cell>
          <cell r="O1032" t="str">
            <v>-</v>
          </cell>
          <cell r="T1032">
            <v>0.875</v>
          </cell>
          <cell r="U1032" t="str">
            <v>-</v>
          </cell>
        </row>
        <row r="1033">
          <cell r="B1033" t="str">
            <v>LL8x8x12x0</v>
          </cell>
          <cell r="C1033">
            <v>23</v>
          </cell>
          <cell r="D1033">
            <v>8</v>
          </cell>
          <cell r="F1033" t="str">
            <v>-</v>
          </cell>
          <cell r="H1033" t="str">
            <v>-</v>
          </cell>
          <cell r="I1033" t="str">
            <v>-</v>
          </cell>
          <cell r="K1033" t="str">
            <v>-</v>
          </cell>
          <cell r="L1033">
            <v>16</v>
          </cell>
          <cell r="M1033">
            <v>16</v>
          </cell>
          <cell r="O1033" t="str">
            <v>-</v>
          </cell>
          <cell r="T1033">
            <v>0.75</v>
          </cell>
          <cell r="U1033" t="str">
            <v>-</v>
          </cell>
        </row>
        <row r="1034">
          <cell r="B1034" t="str">
            <v>LL8x8x12x3</v>
          </cell>
          <cell r="C1034">
            <v>23</v>
          </cell>
          <cell r="D1034">
            <v>8</v>
          </cell>
          <cell r="F1034" t="str">
            <v>-</v>
          </cell>
          <cell r="H1034" t="str">
            <v>-</v>
          </cell>
          <cell r="I1034" t="str">
            <v>-</v>
          </cell>
          <cell r="K1034" t="str">
            <v>-</v>
          </cell>
          <cell r="L1034">
            <v>16</v>
          </cell>
          <cell r="M1034">
            <v>16.375</v>
          </cell>
          <cell r="O1034" t="str">
            <v>-</v>
          </cell>
          <cell r="T1034">
            <v>0.75</v>
          </cell>
          <cell r="U1034" t="str">
            <v>-</v>
          </cell>
        </row>
        <row r="1035">
          <cell r="B1035" t="str">
            <v>LL8x8x12x6</v>
          </cell>
          <cell r="C1035">
            <v>23</v>
          </cell>
          <cell r="D1035">
            <v>8</v>
          </cell>
          <cell r="F1035" t="str">
            <v>-</v>
          </cell>
          <cell r="H1035" t="str">
            <v>-</v>
          </cell>
          <cell r="I1035" t="str">
            <v>-</v>
          </cell>
          <cell r="K1035" t="str">
            <v>-</v>
          </cell>
          <cell r="L1035">
            <v>16</v>
          </cell>
          <cell r="M1035">
            <v>16.75</v>
          </cell>
          <cell r="O1035" t="str">
            <v>-</v>
          </cell>
          <cell r="T1035">
            <v>0.75</v>
          </cell>
          <cell r="U1035" t="str">
            <v>-</v>
          </cell>
        </row>
        <row r="1036">
          <cell r="B1036" t="str">
            <v>LL8x8x10x0</v>
          </cell>
          <cell r="C1036">
            <v>19.399999999999999</v>
          </cell>
          <cell r="D1036">
            <v>8</v>
          </cell>
          <cell r="F1036" t="str">
            <v>-</v>
          </cell>
          <cell r="H1036" t="str">
            <v>-</v>
          </cell>
          <cell r="I1036" t="str">
            <v>-</v>
          </cell>
          <cell r="K1036" t="str">
            <v>-</v>
          </cell>
          <cell r="L1036">
            <v>16</v>
          </cell>
          <cell r="M1036">
            <v>16</v>
          </cell>
          <cell r="O1036" t="str">
            <v>-</v>
          </cell>
          <cell r="T1036">
            <v>0.625</v>
          </cell>
          <cell r="U1036" t="str">
            <v>-</v>
          </cell>
        </row>
        <row r="1037">
          <cell r="B1037" t="str">
            <v>LL8x8x10x3</v>
          </cell>
          <cell r="C1037">
            <v>19.399999999999999</v>
          </cell>
          <cell r="D1037">
            <v>8</v>
          </cell>
          <cell r="F1037" t="str">
            <v>-</v>
          </cell>
          <cell r="H1037" t="str">
            <v>-</v>
          </cell>
          <cell r="I1037" t="str">
            <v>-</v>
          </cell>
          <cell r="K1037" t="str">
            <v>-</v>
          </cell>
          <cell r="L1037">
            <v>16</v>
          </cell>
          <cell r="M1037">
            <v>16.375</v>
          </cell>
          <cell r="O1037" t="str">
            <v>-</v>
          </cell>
          <cell r="T1037">
            <v>0.625</v>
          </cell>
          <cell r="U1037" t="str">
            <v>-</v>
          </cell>
        </row>
        <row r="1038">
          <cell r="B1038" t="str">
            <v>LL8x8x10x6</v>
          </cell>
          <cell r="C1038">
            <v>19.399999999999999</v>
          </cell>
          <cell r="D1038">
            <v>8</v>
          </cell>
          <cell r="F1038" t="str">
            <v>-</v>
          </cell>
          <cell r="H1038" t="str">
            <v>-</v>
          </cell>
          <cell r="I1038" t="str">
            <v>-</v>
          </cell>
          <cell r="K1038" t="str">
            <v>-</v>
          </cell>
          <cell r="L1038">
            <v>16</v>
          </cell>
          <cell r="M1038">
            <v>16.75</v>
          </cell>
          <cell r="O1038" t="str">
            <v>-</v>
          </cell>
          <cell r="T1038">
            <v>0.625</v>
          </cell>
          <cell r="U1038" t="str">
            <v>-</v>
          </cell>
        </row>
        <row r="1039">
          <cell r="B1039" t="str">
            <v>LL8x8x9x0</v>
          </cell>
          <cell r="C1039">
            <v>17.5</v>
          </cell>
          <cell r="D1039">
            <v>8</v>
          </cell>
          <cell r="F1039" t="str">
            <v>-</v>
          </cell>
          <cell r="H1039" t="str">
            <v>-</v>
          </cell>
          <cell r="I1039" t="str">
            <v>-</v>
          </cell>
          <cell r="K1039" t="str">
            <v>-</v>
          </cell>
          <cell r="L1039">
            <v>16</v>
          </cell>
          <cell r="M1039">
            <v>16</v>
          </cell>
          <cell r="O1039" t="str">
            <v>-</v>
          </cell>
          <cell r="T1039">
            <v>0.56299999999999994</v>
          </cell>
          <cell r="U1039" t="str">
            <v>-</v>
          </cell>
        </row>
        <row r="1040">
          <cell r="B1040" t="str">
            <v>LL8x8x9x3</v>
          </cell>
          <cell r="C1040">
            <v>17.5</v>
          </cell>
          <cell r="D1040">
            <v>8</v>
          </cell>
          <cell r="F1040" t="str">
            <v>-</v>
          </cell>
          <cell r="H1040" t="str">
            <v>-</v>
          </cell>
          <cell r="I1040" t="str">
            <v>-</v>
          </cell>
          <cell r="K1040" t="str">
            <v>-</v>
          </cell>
          <cell r="L1040">
            <v>16</v>
          </cell>
          <cell r="M1040">
            <v>16.375</v>
          </cell>
          <cell r="O1040" t="str">
            <v>-</v>
          </cell>
          <cell r="T1040">
            <v>0.56299999999999994</v>
          </cell>
          <cell r="U1040" t="str">
            <v>-</v>
          </cell>
        </row>
        <row r="1041">
          <cell r="B1041" t="str">
            <v>LL8x8x9x6</v>
          </cell>
          <cell r="C1041">
            <v>17.5</v>
          </cell>
          <cell r="D1041">
            <v>8</v>
          </cell>
          <cell r="F1041" t="str">
            <v>-</v>
          </cell>
          <cell r="H1041" t="str">
            <v>-</v>
          </cell>
          <cell r="I1041" t="str">
            <v>-</v>
          </cell>
          <cell r="K1041" t="str">
            <v>-</v>
          </cell>
          <cell r="L1041">
            <v>16</v>
          </cell>
          <cell r="M1041">
            <v>16.75</v>
          </cell>
          <cell r="O1041" t="str">
            <v>-</v>
          </cell>
          <cell r="T1041">
            <v>0.56299999999999994</v>
          </cell>
          <cell r="U1041" t="str">
            <v>-</v>
          </cell>
        </row>
        <row r="1042">
          <cell r="B1042" t="str">
            <v>LL8x8x8x0</v>
          </cell>
          <cell r="C1042">
            <v>15.7</v>
          </cell>
          <cell r="D1042">
            <v>8</v>
          </cell>
          <cell r="F1042" t="str">
            <v>-</v>
          </cell>
          <cell r="H1042" t="str">
            <v>-</v>
          </cell>
          <cell r="I1042" t="str">
            <v>-</v>
          </cell>
          <cell r="K1042" t="str">
            <v>-</v>
          </cell>
          <cell r="L1042">
            <v>16</v>
          </cell>
          <cell r="M1042">
            <v>16</v>
          </cell>
          <cell r="O1042" t="str">
            <v>-</v>
          </cell>
          <cell r="T1042">
            <v>0.5</v>
          </cell>
          <cell r="U1042" t="str">
            <v>-</v>
          </cell>
        </row>
        <row r="1043">
          <cell r="B1043" t="str">
            <v>LL8x8x8x3</v>
          </cell>
          <cell r="C1043">
            <v>15.7</v>
          </cell>
          <cell r="D1043">
            <v>8</v>
          </cell>
          <cell r="F1043" t="str">
            <v>-</v>
          </cell>
          <cell r="H1043" t="str">
            <v>-</v>
          </cell>
          <cell r="I1043" t="str">
            <v>-</v>
          </cell>
          <cell r="K1043" t="str">
            <v>-</v>
          </cell>
          <cell r="L1043">
            <v>16</v>
          </cell>
          <cell r="M1043">
            <v>16.375</v>
          </cell>
          <cell r="O1043" t="str">
            <v>-</v>
          </cell>
          <cell r="T1043">
            <v>0.5</v>
          </cell>
          <cell r="U1043" t="str">
            <v>-</v>
          </cell>
        </row>
        <row r="1044">
          <cell r="B1044" t="str">
            <v>LL8x8x8x6</v>
          </cell>
          <cell r="C1044">
            <v>15.7</v>
          </cell>
          <cell r="D1044">
            <v>8</v>
          </cell>
          <cell r="F1044" t="str">
            <v>-</v>
          </cell>
          <cell r="H1044" t="str">
            <v>-</v>
          </cell>
          <cell r="I1044" t="str">
            <v>-</v>
          </cell>
          <cell r="K1044" t="str">
            <v>-</v>
          </cell>
          <cell r="L1044">
            <v>16</v>
          </cell>
          <cell r="M1044">
            <v>16.75</v>
          </cell>
          <cell r="O1044" t="str">
            <v>-</v>
          </cell>
          <cell r="T1044">
            <v>0.5</v>
          </cell>
          <cell r="U1044" t="str">
            <v>-</v>
          </cell>
        </row>
        <row r="1045">
          <cell r="B1045" t="str">
            <v>LL6x6x16x0</v>
          </cell>
          <cell r="C1045">
            <v>22</v>
          </cell>
          <cell r="D1045">
            <v>6</v>
          </cell>
          <cell r="F1045" t="str">
            <v>-</v>
          </cell>
          <cell r="H1045" t="str">
            <v>-</v>
          </cell>
          <cell r="I1045" t="str">
            <v>-</v>
          </cell>
          <cell r="K1045" t="str">
            <v>-</v>
          </cell>
          <cell r="L1045">
            <v>12</v>
          </cell>
          <cell r="M1045">
            <v>12</v>
          </cell>
          <cell r="O1045" t="str">
            <v>-</v>
          </cell>
          <cell r="T1045">
            <v>1</v>
          </cell>
          <cell r="U1045" t="str">
            <v>-</v>
          </cell>
        </row>
        <row r="1046">
          <cell r="B1046" t="str">
            <v>LL6x6x16x3</v>
          </cell>
          <cell r="C1046">
            <v>22</v>
          </cell>
          <cell r="D1046">
            <v>6</v>
          </cell>
          <cell r="F1046" t="str">
            <v>-</v>
          </cell>
          <cell r="H1046" t="str">
            <v>-</v>
          </cell>
          <cell r="I1046" t="str">
            <v>-</v>
          </cell>
          <cell r="K1046" t="str">
            <v>-</v>
          </cell>
          <cell r="L1046">
            <v>12</v>
          </cell>
          <cell r="M1046">
            <v>12.375</v>
          </cell>
          <cell r="O1046" t="str">
            <v>-</v>
          </cell>
          <cell r="T1046">
            <v>1</v>
          </cell>
          <cell r="U1046" t="str">
            <v>-</v>
          </cell>
        </row>
        <row r="1047">
          <cell r="B1047" t="str">
            <v>LL6x6x16x6</v>
          </cell>
          <cell r="C1047">
            <v>22</v>
          </cell>
          <cell r="D1047">
            <v>6</v>
          </cell>
          <cell r="F1047" t="str">
            <v>-</v>
          </cell>
          <cell r="H1047" t="str">
            <v>-</v>
          </cell>
          <cell r="I1047" t="str">
            <v>-</v>
          </cell>
          <cell r="K1047" t="str">
            <v>-</v>
          </cell>
          <cell r="L1047">
            <v>12</v>
          </cell>
          <cell r="M1047">
            <v>12.75</v>
          </cell>
          <cell r="O1047" t="str">
            <v>-</v>
          </cell>
          <cell r="T1047">
            <v>1</v>
          </cell>
          <cell r="U1047" t="str">
            <v>-</v>
          </cell>
        </row>
        <row r="1048">
          <cell r="B1048" t="str">
            <v>LL6x6x14x0</v>
          </cell>
          <cell r="C1048">
            <v>19.5</v>
          </cell>
          <cell r="D1048">
            <v>6</v>
          </cell>
          <cell r="F1048" t="str">
            <v>-</v>
          </cell>
          <cell r="H1048" t="str">
            <v>-</v>
          </cell>
          <cell r="I1048" t="str">
            <v>-</v>
          </cell>
          <cell r="K1048" t="str">
            <v>-</v>
          </cell>
          <cell r="L1048">
            <v>12</v>
          </cell>
          <cell r="M1048">
            <v>12</v>
          </cell>
          <cell r="O1048" t="str">
            <v>-</v>
          </cell>
          <cell r="T1048">
            <v>0.875</v>
          </cell>
          <cell r="U1048" t="str">
            <v>-</v>
          </cell>
        </row>
        <row r="1049">
          <cell r="B1049" t="str">
            <v>LL6x6x14x3</v>
          </cell>
          <cell r="C1049">
            <v>19.5</v>
          </cell>
          <cell r="D1049">
            <v>6</v>
          </cell>
          <cell r="F1049" t="str">
            <v>-</v>
          </cell>
          <cell r="H1049" t="str">
            <v>-</v>
          </cell>
          <cell r="I1049" t="str">
            <v>-</v>
          </cell>
          <cell r="K1049" t="str">
            <v>-</v>
          </cell>
          <cell r="L1049">
            <v>12</v>
          </cell>
          <cell r="M1049">
            <v>12.375</v>
          </cell>
          <cell r="O1049" t="str">
            <v>-</v>
          </cell>
          <cell r="T1049">
            <v>0.875</v>
          </cell>
          <cell r="U1049" t="str">
            <v>-</v>
          </cell>
        </row>
        <row r="1050">
          <cell r="B1050" t="str">
            <v>LL6x6x14x6</v>
          </cell>
          <cell r="C1050">
            <v>19.5</v>
          </cell>
          <cell r="D1050">
            <v>6</v>
          </cell>
          <cell r="F1050" t="str">
            <v>-</v>
          </cell>
          <cell r="H1050" t="str">
            <v>-</v>
          </cell>
          <cell r="I1050" t="str">
            <v>-</v>
          </cell>
          <cell r="K1050" t="str">
            <v>-</v>
          </cell>
          <cell r="L1050">
            <v>12</v>
          </cell>
          <cell r="M1050">
            <v>12.75</v>
          </cell>
          <cell r="O1050" t="str">
            <v>-</v>
          </cell>
          <cell r="T1050">
            <v>0.875</v>
          </cell>
          <cell r="U1050" t="str">
            <v>-</v>
          </cell>
        </row>
        <row r="1051">
          <cell r="B1051" t="str">
            <v>LL6x6x12x0</v>
          </cell>
          <cell r="C1051">
            <v>16.899999999999999</v>
          </cell>
          <cell r="D1051">
            <v>6</v>
          </cell>
          <cell r="F1051" t="str">
            <v>-</v>
          </cell>
          <cell r="H1051" t="str">
            <v>-</v>
          </cell>
          <cell r="I1051" t="str">
            <v>-</v>
          </cell>
          <cell r="K1051" t="str">
            <v>-</v>
          </cell>
          <cell r="L1051">
            <v>12</v>
          </cell>
          <cell r="M1051">
            <v>12</v>
          </cell>
          <cell r="O1051" t="str">
            <v>-</v>
          </cell>
          <cell r="T1051">
            <v>0.75</v>
          </cell>
          <cell r="U1051" t="str">
            <v>-</v>
          </cell>
        </row>
        <row r="1052">
          <cell r="B1052" t="str">
            <v>LL6x6x12x3</v>
          </cell>
          <cell r="C1052">
            <v>16.899999999999999</v>
          </cell>
          <cell r="D1052">
            <v>6</v>
          </cell>
          <cell r="F1052" t="str">
            <v>-</v>
          </cell>
          <cell r="H1052" t="str">
            <v>-</v>
          </cell>
          <cell r="I1052" t="str">
            <v>-</v>
          </cell>
          <cell r="K1052" t="str">
            <v>-</v>
          </cell>
          <cell r="L1052">
            <v>12</v>
          </cell>
          <cell r="M1052">
            <v>12.375</v>
          </cell>
          <cell r="O1052" t="str">
            <v>-</v>
          </cell>
          <cell r="T1052">
            <v>0.75</v>
          </cell>
          <cell r="U1052" t="str">
            <v>-</v>
          </cell>
        </row>
        <row r="1053">
          <cell r="B1053" t="str">
            <v>LL6x6x12x6</v>
          </cell>
          <cell r="C1053">
            <v>16.899999999999999</v>
          </cell>
          <cell r="D1053">
            <v>6</v>
          </cell>
          <cell r="F1053" t="str">
            <v>-</v>
          </cell>
          <cell r="H1053" t="str">
            <v>-</v>
          </cell>
          <cell r="I1053" t="str">
            <v>-</v>
          </cell>
          <cell r="K1053" t="str">
            <v>-</v>
          </cell>
          <cell r="L1053">
            <v>12</v>
          </cell>
          <cell r="M1053">
            <v>12.75</v>
          </cell>
          <cell r="O1053" t="str">
            <v>-</v>
          </cell>
          <cell r="T1053">
            <v>0.75</v>
          </cell>
          <cell r="U1053" t="str">
            <v>-</v>
          </cell>
        </row>
        <row r="1054">
          <cell r="B1054" t="str">
            <v>LL6x6x10x0</v>
          </cell>
          <cell r="C1054">
            <v>14.3</v>
          </cell>
          <cell r="D1054">
            <v>6</v>
          </cell>
          <cell r="F1054" t="str">
            <v>-</v>
          </cell>
          <cell r="H1054" t="str">
            <v>-</v>
          </cell>
          <cell r="I1054" t="str">
            <v>-</v>
          </cell>
          <cell r="K1054" t="str">
            <v>-</v>
          </cell>
          <cell r="L1054">
            <v>12</v>
          </cell>
          <cell r="M1054">
            <v>12</v>
          </cell>
          <cell r="O1054" t="str">
            <v>-</v>
          </cell>
          <cell r="T1054">
            <v>0.625</v>
          </cell>
          <cell r="U1054" t="str">
            <v>-</v>
          </cell>
        </row>
        <row r="1055">
          <cell r="B1055" t="str">
            <v>LL6x6x10x3</v>
          </cell>
          <cell r="C1055">
            <v>14.3</v>
          </cell>
          <cell r="D1055">
            <v>6</v>
          </cell>
          <cell r="F1055" t="str">
            <v>-</v>
          </cell>
          <cell r="H1055" t="str">
            <v>-</v>
          </cell>
          <cell r="I1055" t="str">
            <v>-</v>
          </cell>
          <cell r="K1055" t="str">
            <v>-</v>
          </cell>
          <cell r="L1055">
            <v>12</v>
          </cell>
          <cell r="M1055">
            <v>12.375</v>
          </cell>
          <cell r="O1055" t="str">
            <v>-</v>
          </cell>
          <cell r="T1055">
            <v>0.625</v>
          </cell>
          <cell r="U1055" t="str">
            <v>-</v>
          </cell>
        </row>
        <row r="1056">
          <cell r="B1056" t="str">
            <v>LL6x6x10x6</v>
          </cell>
          <cell r="C1056">
            <v>14.3</v>
          </cell>
          <cell r="D1056">
            <v>6</v>
          </cell>
          <cell r="F1056" t="str">
            <v>-</v>
          </cell>
          <cell r="H1056" t="str">
            <v>-</v>
          </cell>
          <cell r="I1056" t="str">
            <v>-</v>
          </cell>
          <cell r="K1056" t="str">
            <v>-</v>
          </cell>
          <cell r="L1056">
            <v>12</v>
          </cell>
          <cell r="M1056">
            <v>12.75</v>
          </cell>
          <cell r="O1056" t="str">
            <v>-</v>
          </cell>
          <cell r="T1056">
            <v>0.625</v>
          </cell>
          <cell r="U1056" t="str">
            <v>-</v>
          </cell>
        </row>
        <row r="1057">
          <cell r="B1057" t="str">
            <v>LL6x6x9x0</v>
          </cell>
          <cell r="C1057">
            <v>12.9</v>
          </cell>
          <cell r="D1057">
            <v>6</v>
          </cell>
          <cell r="F1057" t="str">
            <v>-</v>
          </cell>
          <cell r="H1057" t="str">
            <v>-</v>
          </cell>
          <cell r="I1057" t="str">
            <v>-</v>
          </cell>
          <cell r="K1057" t="str">
            <v>-</v>
          </cell>
          <cell r="L1057">
            <v>12</v>
          </cell>
          <cell r="M1057">
            <v>12</v>
          </cell>
          <cell r="O1057" t="str">
            <v>-</v>
          </cell>
          <cell r="T1057">
            <v>0.56299999999999994</v>
          </cell>
          <cell r="U1057" t="str">
            <v>-</v>
          </cell>
        </row>
        <row r="1058">
          <cell r="B1058" t="str">
            <v>LL6x6x9x3</v>
          </cell>
          <cell r="C1058">
            <v>12.9</v>
          </cell>
          <cell r="D1058">
            <v>6</v>
          </cell>
          <cell r="F1058" t="str">
            <v>-</v>
          </cell>
          <cell r="H1058" t="str">
            <v>-</v>
          </cell>
          <cell r="I1058" t="str">
            <v>-</v>
          </cell>
          <cell r="K1058" t="str">
            <v>-</v>
          </cell>
          <cell r="L1058">
            <v>12</v>
          </cell>
          <cell r="M1058">
            <v>12.375</v>
          </cell>
          <cell r="O1058" t="str">
            <v>-</v>
          </cell>
          <cell r="T1058">
            <v>0.56299999999999994</v>
          </cell>
          <cell r="U1058" t="str">
            <v>-</v>
          </cell>
        </row>
        <row r="1059">
          <cell r="B1059" t="str">
            <v>LL6x6x9x6</v>
          </cell>
          <cell r="C1059">
            <v>12.9</v>
          </cell>
          <cell r="D1059">
            <v>6</v>
          </cell>
          <cell r="F1059" t="str">
            <v>-</v>
          </cell>
          <cell r="H1059" t="str">
            <v>-</v>
          </cell>
          <cell r="I1059" t="str">
            <v>-</v>
          </cell>
          <cell r="K1059" t="str">
            <v>-</v>
          </cell>
          <cell r="L1059">
            <v>12</v>
          </cell>
          <cell r="M1059">
            <v>12.75</v>
          </cell>
          <cell r="O1059" t="str">
            <v>-</v>
          </cell>
          <cell r="T1059">
            <v>0.56299999999999994</v>
          </cell>
          <cell r="U1059" t="str">
            <v>-</v>
          </cell>
        </row>
        <row r="1060">
          <cell r="B1060" t="str">
            <v>LL6x6x8x0</v>
          </cell>
          <cell r="C1060">
            <v>11.5</v>
          </cell>
          <cell r="D1060">
            <v>6</v>
          </cell>
          <cell r="F1060" t="str">
            <v>-</v>
          </cell>
          <cell r="H1060" t="str">
            <v>-</v>
          </cell>
          <cell r="I1060" t="str">
            <v>-</v>
          </cell>
          <cell r="K1060" t="str">
            <v>-</v>
          </cell>
          <cell r="L1060">
            <v>12</v>
          </cell>
          <cell r="M1060">
            <v>12</v>
          </cell>
          <cell r="O1060" t="str">
            <v>-</v>
          </cell>
          <cell r="T1060">
            <v>0.5</v>
          </cell>
          <cell r="U1060" t="str">
            <v>-</v>
          </cell>
        </row>
        <row r="1061">
          <cell r="B1061" t="str">
            <v>LL6x6x8x3</v>
          </cell>
          <cell r="C1061">
            <v>11.5</v>
          </cell>
          <cell r="D1061">
            <v>6</v>
          </cell>
          <cell r="F1061" t="str">
            <v>-</v>
          </cell>
          <cell r="H1061" t="str">
            <v>-</v>
          </cell>
          <cell r="I1061" t="str">
            <v>-</v>
          </cell>
          <cell r="K1061" t="str">
            <v>-</v>
          </cell>
          <cell r="L1061">
            <v>12</v>
          </cell>
          <cell r="M1061">
            <v>12.375</v>
          </cell>
          <cell r="O1061" t="str">
            <v>-</v>
          </cell>
          <cell r="T1061">
            <v>0.5</v>
          </cell>
          <cell r="U1061" t="str">
            <v>-</v>
          </cell>
        </row>
        <row r="1062">
          <cell r="B1062" t="str">
            <v>LL6x6x8x6</v>
          </cell>
          <cell r="C1062">
            <v>11.5</v>
          </cell>
          <cell r="D1062">
            <v>6</v>
          </cell>
          <cell r="F1062" t="str">
            <v>-</v>
          </cell>
          <cell r="H1062" t="str">
            <v>-</v>
          </cell>
          <cell r="I1062" t="str">
            <v>-</v>
          </cell>
          <cell r="K1062" t="str">
            <v>-</v>
          </cell>
          <cell r="L1062">
            <v>12</v>
          </cell>
          <cell r="M1062">
            <v>12.75</v>
          </cell>
          <cell r="O1062" t="str">
            <v>-</v>
          </cell>
          <cell r="T1062">
            <v>0.5</v>
          </cell>
          <cell r="U1062" t="str">
            <v>-</v>
          </cell>
        </row>
        <row r="1063">
          <cell r="B1063" t="str">
            <v>LL6x6x7x0</v>
          </cell>
          <cell r="C1063">
            <v>10.199999999999999</v>
          </cell>
          <cell r="D1063">
            <v>6</v>
          </cell>
          <cell r="F1063" t="str">
            <v>-</v>
          </cell>
          <cell r="H1063" t="str">
            <v>-</v>
          </cell>
          <cell r="I1063" t="str">
            <v>-</v>
          </cell>
          <cell r="K1063" t="str">
            <v>-</v>
          </cell>
          <cell r="L1063">
            <v>12</v>
          </cell>
          <cell r="M1063">
            <v>12</v>
          </cell>
          <cell r="O1063" t="str">
            <v>-</v>
          </cell>
          <cell r="T1063">
            <v>0.438</v>
          </cell>
          <cell r="U1063" t="str">
            <v>-</v>
          </cell>
        </row>
        <row r="1064">
          <cell r="B1064" t="str">
            <v>LL6x6x7x3</v>
          </cell>
          <cell r="C1064">
            <v>10.199999999999999</v>
          </cell>
          <cell r="D1064">
            <v>6</v>
          </cell>
          <cell r="F1064" t="str">
            <v>-</v>
          </cell>
          <cell r="H1064" t="str">
            <v>-</v>
          </cell>
          <cell r="I1064" t="str">
            <v>-</v>
          </cell>
          <cell r="K1064" t="str">
            <v>-</v>
          </cell>
          <cell r="L1064">
            <v>12</v>
          </cell>
          <cell r="M1064">
            <v>12.375</v>
          </cell>
          <cell r="O1064" t="str">
            <v>-</v>
          </cell>
          <cell r="T1064">
            <v>0.438</v>
          </cell>
          <cell r="U1064" t="str">
            <v>-</v>
          </cell>
        </row>
        <row r="1065">
          <cell r="B1065" t="str">
            <v>LL6x6x7x6</v>
          </cell>
          <cell r="C1065">
            <v>10.199999999999999</v>
          </cell>
          <cell r="D1065">
            <v>6</v>
          </cell>
          <cell r="F1065" t="str">
            <v>-</v>
          </cell>
          <cell r="H1065" t="str">
            <v>-</v>
          </cell>
          <cell r="I1065" t="str">
            <v>-</v>
          </cell>
          <cell r="K1065" t="str">
            <v>-</v>
          </cell>
          <cell r="L1065">
            <v>12</v>
          </cell>
          <cell r="M1065">
            <v>12.75</v>
          </cell>
          <cell r="O1065" t="str">
            <v>-</v>
          </cell>
          <cell r="T1065">
            <v>0.438</v>
          </cell>
          <cell r="U1065" t="str">
            <v>-</v>
          </cell>
        </row>
        <row r="1066">
          <cell r="B1066" t="str">
            <v>LL6x6x6x0</v>
          </cell>
          <cell r="C1066">
            <v>8.76</v>
          </cell>
          <cell r="D1066">
            <v>6</v>
          </cell>
          <cell r="F1066" t="str">
            <v>-</v>
          </cell>
          <cell r="H1066" t="str">
            <v>-</v>
          </cell>
          <cell r="I1066" t="str">
            <v>-</v>
          </cell>
          <cell r="K1066" t="str">
            <v>-</v>
          </cell>
          <cell r="L1066">
            <v>12</v>
          </cell>
          <cell r="M1066">
            <v>12</v>
          </cell>
          <cell r="O1066" t="str">
            <v>-</v>
          </cell>
          <cell r="T1066">
            <v>0.375</v>
          </cell>
          <cell r="U1066" t="str">
            <v>-</v>
          </cell>
        </row>
        <row r="1067">
          <cell r="B1067" t="str">
            <v>LL6x6x6x3</v>
          </cell>
          <cell r="C1067">
            <v>8.76</v>
          </cell>
          <cell r="D1067">
            <v>6</v>
          </cell>
          <cell r="F1067" t="str">
            <v>-</v>
          </cell>
          <cell r="H1067" t="str">
            <v>-</v>
          </cell>
          <cell r="I1067" t="str">
            <v>-</v>
          </cell>
          <cell r="K1067" t="str">
            <v>-</v>
          </cell>
          <cell r="L1067">
            <v>12</v>
          </cell>
          <cell r="M1067">
            <v>12.375</v>
          </cell>
          <cell r="O1067" t="str">
            <v>-</v>
          </cell>
          <cell r="T1067">
            <v>0.375</v>
          </cell>
          <cell r="U1067" t="str">
            <v>-</v>
          </cell>
        </row>
        <row r="1068">
          <cell r="B1068" t="str">
            <v>LL6x6x6x6</v>
          </cell>
          <cell r="C1068">
            <v>8.76</v>
          </cell>
          <cell r="D1068">
            <v>6</v>
          </cell>
          <cell r="F1068" t="str">
            <v>-</v>
          </cell>
          <cell r="H1068" t="str">
            <v>-</v>
          </cell>
          <cell r="I1068" t="str">
            <v>-</v>
          </cell>
          <cell r="K1068" t="str">
            <v>-</v>
          </cell>
          <cell r="L1068">
            <v>12</v>
          </cell>
          <cell r="M1068">
            <v>12.75</v>
          </cell>
          <cell r="O1068" t="str">
            <v>-</v>
          </cell>
          <cell r="T1068">
            <v>0.375</v>
          </cell>
          <cell r="U1068" t="str">
            <v>-</v>
          </cell>
        </row>
        <row r="1069">
          <cell r="B1069" t="str">
            <v>LL6x6x5x0</v>
          </cell>
          <cell r="C1069">
            <v>7.34</v>
          </cell>
          <cell r="D1069">
            <v>6</v>
          </cell>
          <cell r="F1069" t="str">
            <v>-</v>
          </cell>
          <cell r="H1069" t="str">
            <v>-</v>
          </cell>
          <cell r="I1069" t="str">
            <v>-</v>
          </cell>
          <cell r="K1069" t="str">
            <v>-</v>
          </cell>
          <cell r="L1069">
            <v>12</v>
          </cell>
          <cell r="M1069">
            <v>12</v>
          </cell>
          <cell r="O1069" t="str">
            <v>-</v>
          </cell>
          <cell r="T1069">
            <v>0.313</v>
          </cell>
          <cell r="U1069" t="str">
            <v>-</v>
          </cell>
        </row>
        <row r="1070">
          <cell r="B1070" t="str">
            <v>LL6x6x5x3</v>
          </cell>
          <cell r="C1070">
            <v>7.34</v>
          </cell>
          <cell r="D1070">
            <v>6</v>
          </cell>
          <cell r="F1070" t="str">
            <v>-</v>
          </cell>
          <cell r="H1070" t="str">
            <v>-</v>
          </cell>
          <cell r="I1070" t="str">
            <v>-</v>
          </cell>
          <cell r="K1070" t="str">
            <v>-</v>
          </cell>
          <cell r="L1070">
            <v>12</v>
          </cell>
          <cell r="M1070">
            <v>12.375</v>
          </cell>
          <cell r="O1070" t="str">
            <v>-</v>
          </cell>
          <cell r="T1070">
            <v>0.313</v>
          </cell>
          <cell r="U1070" t="str">
            <v>-</v>
          </cell>
        </row>
        <row r="1071">
          <cell r="B1071" t="str">
            <v>LL6x6x5x6</v>
          </cell>
          <cell r="C1071">
            <v>7.34</v>
          </cell>
          <cell r="D1071">
            <v>6</v>
          </cell>
          <cell r="F1071" t="str">
            <v>-</v>
          </cell>
          <cell r="H1071" t="str">
            <v>-</v>
          </cell>
          <cell r="I1071" t="str">
            <v>-</v>
          </cell>
          <cell r="K1071" t="str">
            <v>-</v>
          </cell>
          <cell r="L1071">
            <v>12</v>
          </cell>
          <cell r="M1071">
            <v>12.75</v>
          </cell>
          <cell r="O1071" t="str">
            <v>-</v>
          </cell>
          <cell r="T1071">
            <v>0.313</v>
          </cell>
          <cell r="U1071" t="str">
            <v>-</v>
          </cell>
        </row>
        <row r="1072">
          <cell r="B1072" t="str">
            <v>LL5x5x14x0</v>
          </cell>
          <cell r="C1072">
            <v>16</v>
          </cell>
          <cell r="D1072">
            <v>5</v>
          </cell>
          <cell r="F1072" t="str">
            <v>-</v>
          </cell>
          <cell r="H1072" t="str">
            <v>-</v>
          </cell>
          <cell r="I1072" t="str">
            <v>-</v>
          </cell>
          <cell r="K1072" t="str">
            <v>-</v>
          </cell>
          <cell r="L1072">
            <v>10</v>
          </cell>
          <cell r="M1072">
            <v>10</v>
          </cell>
          <cell r="O1072" t="str">
            <v>-</v>
          </cell>
          <cell r="T1072">
            <v>0.875</v>
          </cell>
          <cell r="U1072" t="str">
            <v>-</v>
          </cell>
        </row>
        <row r="1073">
          <cell r="B1073" t="str">
            <v>LL5x5x14x3</v>
          </cell>
          <cell r="C1073">
            <v>16</v>
          </cell>
          <cell r="D1073">
            <v>5</v>
          </cell>
          <cell r="F1073" t="str">
            <v>-</v>
          </cell>
          <cell r="H1073" t="str">
            <v>-</v>
          </cell>
          <cell r="I1073" t="str">
            <v>-</v>
          </cell>
          <cell r="K1073" t="str">
            <v>-</v>
          </cell>
          <cell r="L1073">
            <v>10</v>
          </cell>
          <cell r="M1073">
            <v>10.375</v>
          </cell>
          <cell r="O1073" t="str">
            <v>-</v>
          </cell>
          <cell r="T1073">
            <v>0.875</v>
          </cell>
          <cell r="U1073" t="str">
            <v>-</v>
          </cell>
        </row>
        <row r="1074">
          <cell r="B1074" t="str">
            <v>LL5x5x14x6</v>
          </cell>
          <cell r="C1074">
            <v>16</v>
          </cell>
          <cell r="D1074">
            <v>5</v>
          </cell>
          <cell r="F1074" t="str">
            <v>-</v>
          </cell>
          <cell r="H1074" t="str">
            <v>-</v>
          </cell>
          <cell r="I1074" t="str">
            <v>-</v>
          </cell>
          <cell r="K1074" t="str">
            <v>-</v>
          </cell>
          <cell r="L1074">
            <v>10</v>
          </cell>
          <cell r="M1074">
            <v>10.75</v>
          </cell>
          <cell r="O1074" t="str">
            <v>-</v>
          </cell>
          <cell r="T1074">
            <v>0.875</v>
          </cell>
          <cell r="U1074" t="str">
            <v>-</v>
          </cell>
        </row>
        <row r="1075">
          <cell r="B1075" t="str">
            <v>LL5x5x12x0</v>
          </cell>
          <cell r="C1075">
            <v>14</v>
          </cell>
          <cell r="D1075">
            <v>5</v>
          </cell>
          <cell r="F1075" t="str">
            <v>-</v>
          </cell>
          <cell r="H1075" t="str">
            <v>-</v>
          </cell>
          <cell r="I1075" t="str">
            <v>-</v>
          </cell>
          <cell r="K1075" t="str">
            <v>-</v>
          </cell>
          <cell r="L1075">
            <v>10</v>
          </cell>
          <cell r="M1075">
            <v>10</v>
          </cell>
          <cell r="O1075" t="str">
            <v>-</v>
          </cell>
          <cell r="T1075">
            <v>0.75</v>
          </cell>
          <cell r="U1075" t="str">
            <v>-</v>
          </cell>
        </row>
        <row r="1076">
          <cell r="B1076" t="str">
            <v>LL5x5x12x3</v>
          </cell>
          <cell r="C1076">
            <v>14</v>
          </cell>
          <cell r="D1076">
            <v>5</v>
          </cell>
          <cell r="F1076" t="str">
            <v>-</v>
          </cell>
          <cell r="H1076" t="str">
            <v>-</v>
          </cell>
          <cell r="I1076" t="str">
            <v>-</v>
          </cell>
          <cell r="K1076" t="str">
            <v>-</v>
          </cell>
          <cell r="L1076">
            <v>10</v>
          </cell>
          <cell r="M1076">
            <v>10.375</v>
          </cell>
          <cell r="O1076" t="str">
            <v>-</v>
          </cell>
          <cell r="T1076">
            <v>0.75</v>
          </cell>
          <cell r="U1076" t="str">
            <v>-</v>
          </cell>
        </row>
        <row r="1077">
          <cell r="B1077" t="str">
            <v>LL5x5x12x6</v>
          </cell>
          <cell r="C1077">
            <v>14</v>
          </cell>
          <cell r="D1077">
            <v>5</v>
          </cell>
          <cell r="F1077" t="str">
            <v>-</v>
          </cell>
          <cell r="H1077" t="str">
            <v>-</v>
          </cell>
          <cell r="I1077" t="str">
            <v>-</v>
          </cell>
          <cell r="K1077" t="str">
            <v>-</v>
          </cell>
          <cell r="L1077">
            <v>10</v>
          </cell>
          <cell r="M1077">
            <v>10.75</v>
          </cell>
          <cell r="O1077" t="str">
            <v>-</v>
          </cell>
          <cell r="T1077">
            <v>0.75</v>
          </cell>
          <cell r="U1077" t="str">
            <v>-</v>
          </cell>
        </row>
        <row r="1078">
          <cell r="B1078" t="str">
            <v>LL5x5x10x0</v>
          </cell>
          <cell r="C1078">
            <v>11.8</v>
          </cell>
          <cell r="D1078">
            <v>5</v>
          </cell>
          <cell r="F1078" t="str">
            <v>-</v>
          </cell>
          <cell r="H1078" t="str">
            <v>-</v>
          </cell>
          <cell r="I1078" t="str">
            <v>-</v>
          </cell>
          <cell r="K1078" t="str">
            <v>-</v>
          </cell>
          <cell r="L1078">
            <v>10</v>
          </cell>
          <cell r="M1078">
            <v>10</v>
          </cell>
          <cell r="O1078" t="str">
            <v>-</v>
          </cell>
          <cell r="T1078">
            <v>0.625</v>
          </cell>
          <cell r="U1078" t="str">
            <v>-</v>
          </cell>
        </row>
        <row r="1079">
          <cell r="B1079" t="str">
            <v>LL5x5x10x3</v>
          </cell>
          <cell r="C1079">
            <v>11.8</v>
          </cell>
          <cell r="D1079">
            <v>5</v>
          </cell>
          <cell r="F1079" t="str">
            <v>-</v>
          </cell>
          <cell r="H1079" t="str">
            <v>-</v>
          </cell>
          <cell r="I1079" t="str">
            <v>-</v>
          </cell>
          <cell r="K1079" t="str">
            <v>-</v>
          </cell>
          <cell r="L1079">
            <v>10</v>
          </cell>
          <cell r="M1079">
            <v>10.375</v>
          </cell>
          <cell r="O1079" t="str">
            <v>-</v>
          </cell>
          <cell r="T1079">
            <v>0.625</v>
          </cell>
          <cell r="U1079" t="str">
            <v>-</v>
          </cell>
        </row>
        <row r="1080">
          <cell r="B1080" t="str">
            <v>LL5x5x10x6</v>
          </cell>
          <cell r="C1080">
            <v>11.8</v>
          </cell>
          <cell r="D1080">
            <v>5</v>
          </cell>
          <cell r="F1080" t="str">
            <v>-</v>
          </cell>
          <cell r="H1080" t="str">
            <v>-</v>
          </cell>
          <cell r="I1080" t="str">
            <v>-</v>
          </cell>
          <cell r="K1080" t="str">
            <v>-</v>
          </cell>
          <cell r="L1080">
            <v>10</v>
          </cell>
          <cell r="M1080">
            <v>10.75</v>
          </cell>
          <cell r="O1080" t="str">
            <v>-</v>
          </cell>
          <cell r="T1080">
            <v>0.625</v>
          </cell>
          <cell r="U1080" t="str">
            <v>-</v>
          </cell>
        </row>
        <row r="1081">
          <cell r="B1081" t="str">
            <v>LL5x5x8x0</v>
          </cell>
          <cell r="C1081">
            <v>9.58</v>
          </cell>
          <cell r="D1081">
            <v>5</v>
          </cell>
          <cell r="F1081" t="str">
            <v>-</v>
          </cell>
          <cell r="H1081" t="str">
            <v>-</v>
          </cell>
          <cell r="I1081" t="str">
            <v>-</v>
          </cell>
          <cell r="K1081" t="str">
            <v>-</v>
          </cell>
          <cell r="L1081">
            <v>10</v>
          </cell>
          <cell r="M1081">
            <v>10</v>
          </cell>
          <cell r="O1081" t="str">
            <v>-</v>
          </cell>
          <cell r="T1081">
            <v>0.5</v>
          </cell>
          <cell r="U1081" t="str">
            <v>-</v>
          </cell>
        </row>
        <row r="1082">
          <cell r="B1082" t="str">
            <v>LL5x5x8x3</v>
          </cell>
          <cell r="C1082">
            <v>9.58</v>
          </cell>
          <cell r="D1082">
            <v>5</v>
          </cell>
          <cell r="F1082" t="str">
            <v>-</v>
          </cell>
          <cell r="H1082" t="str">
            <v>-</v>
          </cell>
          <cell r="I1082" t="str">
            <v>-</v>
          </cell>
          <cell r="K1082" t="str">
            <v>-</v>
          </cell>
          <cell r="L1082">
            <v>10</v>
          </cell>
          <cell r="M1082">
            <v>10.375</v>
          </cell>
          <cell r="O1082" t="str">
            <v>-</v>
          </cell>
          <cell r="T1082">
            <v>0.5</v>
          </cell>
          <cell r="U1082" t="str">
            <v>-</v>
          </cell>
        </row>
        <row r="1083">
          <cell r="B1083" t="str">
            <v>LL5x5x8x6</v>
          </cell>
          <cell r="C1083">
            <v>9.58</v>
          </cell>
          <cell r="D1083">
            <v>5</v>
          </cell>
          <cell r="F1083" t="str">
            <v>-</v>
          </cell>
          <cell r="H1083" t="str">
            <v>-</v>
          </cell>
          <cell r="I1083" t="str">
            <v>-</v>
          </cell>
          <cell r="K1083" t="str">
            <v>-</v>
          </cell>
          <cell r="L1083">
            <v>10</v>
          </cell>
          <cell r="M1083">
            <v>10.75</v>
          </cell>
          <cell r="O1083" t="str">
            <v>-</v>
          </cell>
          <cell r="T1083">
            <v>0.5</v>
          </cell>
          <cell r="U1083" t="str">
            <v>-</v>
          </cell>
        </row>
        <row r="1084">
          <cell r="B1084" t="str">
            <v>LL5x5x7x0</v>
          </cell>
          <cell r="C1084">
            <v>8.44</v>
          </cell>
          <cell r="D1084">
            <v>5</v>
          </cell>
          <cell r="F1084" t="str">
            <v>-</v>
          </cell>
          <cell r="H1084" t="str">
            <v>-</v>
          </cell>
          <cell r="I1084" t="str">
            <v>-</v>
          </cell>
          <cell r="K1084" t="str">
            <v>-</v>
          </cell>
          <cell r="L1084">
            <v>10</v>
          </cell>
          <cell r="M1084">
            <v>10</v>
          </cell>
          <cell r="O1084" t="str">
            <v>-</v>
          </cell>
          <cell r="T1084">
            <v>0.438</v>
          </cell>
          <cell r="U1084" t="str">
            <v>-</v>
          </cell>
        </row>
        <row r="1085">
          <cell r="B1085" t="str">
            <v>LL5x5x7x3</v>
          </cell>
          <cell r="C1085">
            <v>8.44</v>
          </cell>
          <cell r="D1085">
            <v>5</v>
          </cell>
          <cell r="F1085" t="str">
            <v>-</v>
          </cell>
          <cell r="H1085" t="str">
            <v>-</v>
          </cell>
          <cell r="I1085" t="str">
            <v>-</v>
          </cell>
          <cell r="K1085" t="str">
            <v>-</v>
          </cell>
          <cell r="L1085">
            <v>10</v>
          </cell>
          <cell r="M1085">
            <v>10.375</v>
          </cell>
          <cell r="O1085" t="str">
            <v>-</v>
          </cell>
          <cell r="T1085">
            <v>0.438</v>
          </cell>
          <cell r="U1085" t="str">
            <v>-</v>
          </cell>
        </row>
        <row r="1086">
          <cell r="B1086" t="str">
            <v>LL5x5x7x6</v>
          </cell>
          <cell r="C1086">
            <v>8.44</v>
          </cell>
          <cell r="D1086">
            <v>5</v>
          </cell>
          <cell r="F1086" t="str">
            <v>-</v>
          </cell>
          <cell r="H1086" t="str">
            <v>-</v>
          </cell>
          <cell r="I1086" t="str">
            <v>-</v>
          </cell>
          <cell r="K1086" t="str">
            <v>-</v>
          </cell>
          <cell r="L1086">
            <v>10</v>
          </cell>
          <cell r="M1086">
            <v>10.75</v>
          </cell>
          <cell r="O1086" t="str">
            <v>-</v>
          </cell>
          <cell r="T1086">
            <v>0.438</v>
          </cell>
          <cell r="U1086" t="str">
            <v>-</v>
          </cell>
        </row>
        <row r="1087">
          <cell r="B1087" t="str">
            <v>LL5x5x6x0</v>
          </cell>
          <cell r="C1087">
            <v>7.3</v>
          </cell>
          <cell r="D1087">
            <v>5</v>
          </cell>
          <cell r="F1087" t="str">
            <v>-</v>
          </cell>
          <cell r="H1087" t="str">
            <v>-</v>
          </cell>
          <cell r="I1087" t="str">
            <v>-</v>
          </cell>
          <cell r="K1087" t="str">
            <v>-</v>
          </cell>
          <cell r="L1087">
            <v>10</v>
          </cell>
          <cell r="M1087">
            <v>10</v>
          </cell>
          <cell r="O1087" t="str">
            <v>-</v>
          </cell>
          <cell r="T1087">
            <v>0.375</v>
          </cell>
          <cell r="U1087" t="str">
            <v>-</v>
          </cell>
        </row>
        <row r="1088">
          <cell r="B1088" t="str">
            <v>LL5x5x6x3</v>
          </cell>
          <cell r="C1088">
            <v>7.3</v>
          </cell>
          <cell r="D1088">
            <v>5</v>
          </cell>
          <cell r="F1088" t="str">
            <v>-</v>
          </cell>
          <cell r="H1088" t="str">
            <v>-</v>
          </cell>
          <cell r="I1088" t="str">
            <v>-</v>
          </cell>
          <cell r="K1088" t="str">
            <v>-</v>
          </cell>
          <cell r="L1088">
            <v>10</v>
          </cell>
          <cell r="M1088">
            <v>10.375</v>
          </cell>
          <cell r="O1088" t="str">
            <v>-</v>
          </cell>
          <cell r="T1088">
            <v>0.375</v>
          </cell>
          <cell r="U1088" t="str">
            <v>-</v>
          </cell>
        </row>
        <row r="1089">
          <cell r="B1089" t="str">
            <v>LL5x5x6x6</v>
          </cell>
          <cell r="C1089">
            <v>7.3</v>
          </cell>
          <cell r="D1089">
            <v>5</v>
          </cell>
          <cell r="F1089" t="str">
            <v>-</v>
          </cell>
          <cell r="H1089" t="str">
            <v>-</v>
          </cell>
          <cell r="I1089" t="str">
            <v>-</v>
          </cell>
          <cell r="K1089" t="str">
            <v>-</v>
          </cell>
          <cell r="L1089">
            <v>10</v>
          </cell>
          <cell r="M1089">
            <v>10.75</v>
          </cell>
          <cell r="O1089" t="str">
            <v>-</v>
          </cell>
          <cell r="T1089">
            <v>0.375</v>
          </cell>
          <cell r="U1089" t="str">
            <v>-</v>
          </cell>
        </row>
        <row r="1090">
          <cell r="B1090" t="str">
            <v>LL5x5x5x0</v>
          </cell>
          <cell r="C1090">
            <v>6.14</v>
          </cell>
          <cell r="D1090">
            <v>5</v>
          </cell>
          <cell r="F1090" t="str">
            <v>-</v>
          </cell>
          <cell r="H1090" t="str">
            <v>-</v>
          </cell>
          <cell r="I1090" t="str">
            <v>-</v>
          </cell>
          <cell r="K1090" t="str">
            <v>-</v>
          </cell>
          <cell r="L1090">
            <v>10</v>
          </cell>
          <cell r="M1090">
            <v>10</v>
          </cell>
          <cell r="O1090" t="str">
            <v>-</v>
          </cell>
          <cell r="T1090">
            <v>0.313</v>
          </cell>
          <cell r="U1090" t="str">
            <v>-</v>
          </cell>
        </row>
        <row r="1091">
          <cell r="B1091" t="str">
            <v>LL5x5x5x3</v>
          </cell>
          <cell r="C1091">
            <v>6.14</v>
          </cell>
          <cell r="D1091">
            <v>5</v>
          </cell>
          <cell r="F1091" t="str">
            <v>-</v>
          </cell>
          <cell r="H1091" t="str">
            <v>-</v>
          </cell>
          <cell r="I1091" t="str">
            <v>-</v>
          </cell>
          <cell r="K1091" t="str">
            <v>-</v>
          </cell>
          <cell r="L1091">
            <v>10</v>
          </cell>
          <cell r="M1091">
            <v>10.375</v>
          </cell>
          <cell r="O1091" t="str">
            <v>-</v>
          </cell>
          <cell r="T1091">
            <v>0.313</v>
          </cell>
          <cell r="U1091" t="str">
            <v>-</v>
          </cell>
        </row>
        <row r="1092">
          <cell r="B1092" t="str">
            <v>LL5x5x5x6</v>
          </cell>
          <cell r="C1092">
            <v>6.14</v>
          </cell>
          <cell r="D1092">
            <v>5</v>
          </cell>
          <cell r="F1092" t="str">
            <v>-</v>
          </cell>
          <cell r="H1092" t="str">
            <v>-</v>
          </cell>
          <cell r="I1092" t="str">
            <v>-</v>
          </cell>
          <cell r="K1092" t="str">
            <v>-</v>
          </cell>
          <cell r="L1092">
            <v>10</v>
          </cell>
          <cell r="M1092">
            <v>10.75</v>
          </cell>
          <cell r="O1092" t="str">
            <v>-</v>
          </cell>
          <cell r="T1092">
            <v>0.313</v>
          </cell>
          <cell r="U1092" t="str">
            <v>-</v>
          </cell>
        </row>
        <row r="1093">
          <cell r="B1093" t="str">
            <v>LL4x4x12x0</v>
          </cell>
          <cell r="C1093">
            <v>10.9</v>
          </cell>
          <cell r="D1093">
            <v>4</v>
          </cell>
          <cell r="F1093" t="str">
            <v>-</v>
          </cell>
          <cell r="H1093" t="str">
            <v>-</v>
          </cell>
          <cell r="I1093" t="str">
            <v>-</v>
          </cell>
          <cell r="K1093" t="str">
            <v>-</v>
          </cell>
          <cell r="L1093">
            <v>8</v>
          </cell>
          <cell r="M1093">
            <v>8</v>
          </cell>
          <cell r="O1093" t="str">
            <v>-</v>
          </cell>
          <cell r="T1093">
            <v>0.75</v>
          </cell>
          <cell r="U1093" t="str">
            <v>-</v>
          </cell>
        </row>
        <row r="1094">
          <cell r="B1094" t="str">
            <v>LL4x4x12x3</v>
          </cell>
          <cell r="C1094">
            <v>10.9</v>
          </cell>
          <cell r="D1094">
            <v>4</v>
          </cell>
          <cell r="F1094" t="str">
            <v>-</v>
          </cell>
          <cell r="H1094" t="str">
            <v>-</v>
          </cell>
          <cell r="I1094" t="str">
            <v>-</v>
          </cell>
          <cell r="K1094" t="str">
            <v>-</v>
          </cell>
          <cell r="L1094">
            <v>8</v>
          </cell>
          <cell r="M1094">
            <v>8.375</v>
          </cell>
          <cell r="O1094" t="str">
            <v>-</v>
          </cell>
          <cell r="T1094">
            <v>0.75</v>
          </cell>
          <cell r="U1094" t="str">
            <v>-</v>
          </cell>
        </row>
        <row r="1095">
          <cell r="B1095" t="str">
            <v>LL4x4x12x6</v>
          </cell>
          <cell r="C1095">
            <v>10.9</v>
          </cell>
          <cell r="D1095">
            <v>4</v>
          </cell>
          <cell r="F1095" t="str">
            <v>-</v>
          </cell>
          <cell r="H1095" t="str">
            <v>-</v>
          </cell>
          <cell r="I1095" t="str">
            <v>-</v>
          </cell>
          <cell r="K1095" t="str">
            <v>-</v>
          </cell>
          <cell r="L1095">
            <v>8</v>
          </cell>
          <cell r="M1095">
            <v>8.75</v>
          </cell>
          <cell r="O1095" t="str">
            <v>-</v>
          </cell>
          <cell r="T1095">
            <v>0.75</v>
          </cell>
          <cell r="U1095" t="str">
            <v>-</v>
          </cell>
        </row>
        <row r="1096">
          <cell r="B1096" t="str">
            <v>LL4x4x10x0</v>
          </cell>
          <cell r="C1096">
            <v>9.2200000000000006</v>
          </cell>
          <cell r="D1096">
            <v>4</v>
          </cell>
          <cell r="F1096" t="str">
            <v>-</v>
          </cell>
          <cell r="H1096" t="str">
            <v>-</v>
          </cell>
          <cell r="I1096" t="str">
            <v>-</v>
          </cell>
          <cell r="K1096" t="str">
            <v>-</v>
          </cell>
          <cell r="L1096">
            <v>8</v>
          </cell>
          <cell r="M1096">
            <v>8</v>
          </cell>
          <cell r="O1096" t="str">
            <v>-</v>
          </cell>
          <cell r="T1096">
            <v>0.625</v>
          </cell>
          <cell r="U1096" t="str">
            <v>-</v>
          </cell>
        </row>
        <row r="1097">
          <cell r="B1097" t="str">
            <v>LL4x4x10x3</v>
          </cell>
          <cell r="C1097">
            <v>9.2200000000000006</v>
          </cell>
          <cell r="D1097">
            <v>4</v>
          </cell>
          <cell r="F1097" t="str">
            <v>-</v>
          </cell>
          <cell r="H1097" t="str">
            <v>-</v>
          </cell>
          <cell r="I1097" t="str">
            <v>-</v>
          </cell>
          <cell r="K1097" t="str">
            <v>-</v>
          </cell>
          <cell r="L1097">
            <v>8</v>
          </cell>
          <cell r="M1097">
            <v>8.375</v>
          </cell>
          <cell r="O1097" t="str">
            <v>-</v>
          </cell>
          <cell r="T1097">
            <v>0.625</v>
          </cell>
          <cell r="U1097" t="str">
            <v>-</v>
          </cell>
        </row>
        <row r="1098">
          <cell r="B1098" t="str">
            <v>LL4x4x10x6</v>
          </cell>
          <cell r="C1098">
            <v>9.2200000000000006</v>
          </cell>
          <cell r="D1098">
            <v>4</v>
          </cell>
          <cell r="F1098" t="str">
            <v>-</v>
          </cell>
          <cell r="H1098" t="str">
            <v>-</v>
          </cell>
          <cell r="I1098" t="str">
            <v>-</v>
          </cell>
          <cell r="K1098" t="str">
            <v>-</v>
          </cell>
          <cell r="L1098">
            <v>8</v>
          </cell>
          <cell r="M1098">
            <v>8.75</v>
          </cell>
          <cell r="O1098" t="str">
            <v>-</v>
          </cell>
          <cell r="T1098">
            <v>0.625</v>
          </cell>
          <cell r="U1098" t="str">
            <v>-</v>
          </cell>
        </row>
        <row r="1099">
          <cell r="B1099" t="str">
            <v>LL4x4x8x0</v>
          </cell>
          <cell r="C1099">
            <v>7.5</v>
          </cell>
          <cell r="D1099">
            <v>4</v>
          </cell>
          <cell r="F1099" t="str">
            <v>-</v>
          </cell>
          <cell r="H1099" t="str">
            <v>-</v>
          </cell>
          <cell r="I1099" t="str">
            <v>-</v>
          </cell>
          <cell r="K1099" t="str">
            <v>-</v>
          </cell>
          <cell r="L1099">
            <v>8</v>
          </cell>
          <cell r="M1099">
            <v>8</v>
          </cell>
          <cell r="O1099" t="str">
            <v>-</v>
          </cell>
          <cell r="T1099">
            <v>0.5</v>
          </cell>
          <cell r="U1099" t="str">
            <v>-</v>
          </cell>
        </row>
        <row r="1100">
          <cell r="B1100" t="str">
            <v>LL4x4x8x3</v>
          </cell>
          <cell r="C1100">
            <v>7.5</v>
          </cell>
          <cell r="D1100">
            <v>4</v>
          </cell>
          <cell r="F1100" t="str">
            <v>-</v>
          </cell>
          <cell r="H1100" t="str">
            <v>-</v>
          </cell>
          <cell r="I1100" t="str">
            <v>-</v>
          </cell>
          <cell r="K1100" t="str">
            <v>-</v>
          </cell>
          <cell r="L1100">
            <v>8</v>
          </cell>
          <cell r="M1100">
            <v>8.375</v>
          </cell>
          <cell r="O1100" t="str">
            <v>-</v>
          </cell>
          <cell r="T1100">
            <v>0.5</v>
          </cell>
          <cell r="U1100" t="str">
            <v>-</v>
          </cell>
        </row>
        <row r="1101">
          <cell r="B1101" t="str">
            <v>LL4x4x8x6</v>
          </cell>
          <cell r="C1101">
            <v>7.5</v>
          </cell>
          <cell r="D1101">
            <v>4</v>
          </cell>
          <cell r="F1101" t="str">
            <v>-</v>
          </cell>
          <cell r="H1101" t="str">
            <v>-</v>
          </cell>
          <cell r="I1101" t="str">
            <v>-</v>
          </cell>
          <cell r="K1101" t="str">
            <v>-</v>
          </cell>
          <cell r="L1101">
            <v>8</v>
          </cell>
          <cell r="M1101">
            <v>8.75</v>
          </cell>
          <cell r="O1101" t="str">
            <v>-</v>
          </cell>
          <cell r="T1101">
            <v>0.5</v>
          </cell>
          <cell r="U1101" t="str">
            <v>-</v>
          </cell>
        </row>
        <row r="1102">
          <cell r="B1102" t="str">
            <v>LL4x4x7x0</v>
          </cell>
          <cell r="C1102">
            <v>6.6</v>
          </cell>
          <cell r="D1102">
            <v>4</v>
          </cell>
          <cell r="F1102" t="str">
            <v>-</v>
          </cell>
          <cell r="H1102" t="str">
            <v>-</v>
          </cell>
          <cell r="I1102" t="str">
            <v>-</v>
          </cell>
          <cell r="K1102" t="str">
            <v>-</v>
          </cell>
          <cell r="L1102">
            <v>8</v>
          </cell>
          <cell r="M1102">
            <v>8</v>
          </cell>
          <cell r="O1102" t="str">
            <v>-</v>
          </cell>
          <cell r="T1102">
            <v>0.438</v>
          </cell>
          <cell r="U1102" t="str">
            <v>-</v>
          </cell>
        </row>
        <row r="1103">
          <cell r="B1103" t="str">
            <v>LL4x4x7x3</v>
          </cell>
          <cell r="C1103">
            <v>6.6</v>
          </cell>
          <cell r="D1103">
            <v>4</v>
          </cell>
          <cell r="F1103" t="str">
            <v>-</v>
          </cell>
          <cell r="H1103" t="str">
            <v>-</v>
          </cell>
          <cell r="I1103" t="str">
            <v>-</v>
          </cell>
          <cell r="K1103" t="str">
            <v>-</v>
          </cell>
          <cell r="L1103">
            <v>8</v>
          </cell>
          <cell r="M1103">
            <v>8.375</v>
          </cell>
          <cell r="O1103" t="str">
            <v>-</v>
          </cell>
          <cell r="T1103">
            <v>0.438</v>
          </cell>
          <cell r="U1103" t="str">
            <v>-</v>
          </cell>
        </row>
        <row r="1104">
          <cell r="B1104" t="str">
            <v>LL4x4x7x6</v>
          </cell>
          <cell r="C1104">
            <v>6.6</v>
          </cell>
          <cell r="D1104">
            <v>4</v>
          </cell>
          <cell r="F1104" t="str">
            <v>-</v>
          </cell>
          <cell r="H1104" t="str">
            <v>-</v>
          </cell>
          <cell r="I1104" t="str">
            <v>-</v>
          </cell>
          <cell r="K1104" t="str">
            <v>-</v>
          </cell>
          <cell r="L1104">
            <v>8</v>
          </cell>
          <cell r="M1104">
            <v>8.75</v>
          </cell>
          <cell r="O1104" t="str">
            <v>-</v>
          </cell>
          <cell r="T1104">
            <v>0.438</v>
          </cell>
          <cell r="U1104" t="str">
            <v>-</v>
          </cell>
        </row>
        <row r="1105">
          <cell r="B1105" t="str">
            <v>LL4x4x6x0</v>
          </cell>
          <cell r="C1105">
            <v>5.72</v>
          </cell>
          <cell r="D1105">
            <v>4</v>
          </cell>
          <cell r="F1105" t="str">
            <v>-</v>
          </cell>
          <cell r="H1105" t="str">
            <v>-</v>
          </cell>
          <cell r="I1105" t="str">
            <v>-</v>
          </cell>
          <cell r="K1105" t="str">
            <v>-</v>
          </cell>
          <cell r="L1105">
            <v>8</v>
          </cell>
          <cell r="M1105">
            <v>8</v>
          </cell>
          <cell r="O1105" t="str">
            <v>-</v>
          </cell>
          <cell r="T1105">
            <v>0.375</v>
          </cell>
          <cell r="U1105" t="str">
            <v>-</v>
          </cell>
        </row>
        <row r="1106">
          <cell r="B1106" t="str">
            <v>LL4x4x6x3</v>
          </cell>
          <cell r="C1106">
            <v>5.72</v>
          </cell>
          <cell r="D1106">
            <v>4</v>
          </cell>
          <cell r="F1106" t="str">
            <v>-</v>
          </cell>
          <cell r="H1106" t="str">
            <v>-</v>
          </cell>
          <cell r="I1106" t="str">
            <v>-</v>
          </cell>
          <cell r="K1106" t="str">
            <v>-</v>
          </cell>
          <cell r="L1106">
            <v>8</v>
          </cell>
          <cell r="M1106">
            <v>8.375</v>
          </cell>
          <cell r="O1106" t="str">
            <v>-</v>
          </cell>
          <cell r="T1106">
            <v>0.375</v>
          </cell>
          <cell r="U1106" t="str">
            <v>-</v>
          </cell>
        </row>
        <row r="1107">
          <cell r="B1107" t="str">
            <v>LL4x4x6x6</v>
          </cell>
          <cell r="C1107">
            <v>5.72</v>
          </cell>
          <cell r="D1107">
            <v>4</v>
          </cell>
          <cell r="F1107" t="str">
            <v>-</v>
          </cell>
          <cell r="H1107" t="str">
            <v>-</v>
          </cell>
          <cell r="I1107" t="str">
            <v>-</v>
          </cell>
          <cell r="K1107" t="str">
            <v>-</v>
          </cell>
          <cell r="L1107">
            <v>8</v>
          </cell>
          <cell r="M1107">
            <v>8.75</v>
          </cell>
          <cell r="O1107" t="str">
            <v>-</v>
          </cell>
          <cell r="T1107">
            <v>0.375</v>
          </cell>
          <cell r="U1107" t="str">
            <v>-</v>
          </cell>
        </row>
        <row r="1108">
          <cell r="B1108" t="str">
            <v>LL4x4x5x0</v>
          </cell>
          <cell r="C1108">
            <v>4.8</v>
          </cell>
          <cell r="D1108">
            <v>4</v>
          </cell>
          <cell r="F1108" t="str">
            <v>-</v>
          </cell>
          <cell r="H1108" t="str">
            <v>-</v>
          </cell>
          <cell r="I1108" t="str">
            <v>-</v>
          </cell>
          <cell r="K1108" t="str">
            <v>-</v>
          </cell>
          <cell r="L1108">
            <v>8</v>
          </cell>
          <cell r="M1108">
            <v>8</v>
          </cell>
          <cell r="O1108" t="str">
            <v>-</v>
          </cell>
          <cell r="T1108">
            <v>0.313</v>
          </cell>
          <cell r="U1108" t="str">
            <v>-</v>
          </cell>
        </row>
        <row r="1109">
          <cell r="B1109" t="str">
            <v>LL4x4x5x3</v>
          </cell>
          <cell r="C1109">
            <v>4.8</v>
          </cell>
          <cell r="D1109">
            <v>4</v>
          </cell>
          <cell r="F1109" t="str">
            <v>-</v>
          </cell>
          <cell r="H1109" t="str">
            <v>-</v>
          </cell>
          <cell r="I1109" t="str">
            <v>-</v>
          </cell>
          <cell r="K1109" t="str">
            <v>-</v>
          </cell>
          <cell r="L1109">
            <v>8</v>
          </cell>
          <cell r="M1109">
            <v>8.375</v>
          </cell>
          <cell r="O1109" t="str">
            <v>-</v>
          </cell>
          <cell r="T1109">
            <v>0.313</v>
          </cell>
          <cell r="U1109" t="str">
            <v>-</v>
          </cell>
        </row>
        <row r="1110">
          <cell r="B1110" t="str">
            <v>LL4x4x5x6</v>
          </cell>
          <cell r="C1110">
            <v>4.8</v>
          </cell>
          <cell r="D1110">
            <v>4</v>
          </cell>
          <cell r="F1110" t="str">
            <v>-</v>
          </cell>
          <cell r="H1110" t="str">
            <v>-</v>
          </cell>
          <cell r="I1110" t="str">
            <v>-</v>
          </cell>
          <cell r="K1110" t="str">
            <v>-</v>
          </cell>
          <cell r="L1110">
            <v>8</v>
          </cell>
          <cell r="M1110">
            <v>8.75</v>
          </cell>
          <cell r="O1110" t="str">
            <v>-</v>
          </cell>
          <cell r="T1110">
            <v>0.313</v>
          </cell>
          <cell r="U1110" t="str">
            <v>-</v>
          </cell>
        </row>
        <row r="1111">
          <cell r="B1111" t="str">
            <v>LL4x4x4x0</v>
          </cell>
          <cell r="C1111">
            <v>3.86</v>
          </cell>
          <cell r="D1111">
            <v>4</v>
          </cell>
          <cell r="F1111" t="str">
            <v>-</v>
          </cell>
          <cell r="H1111" t="str">
            <v>-</v>
          </cell>
          <cell r="I1111" t="str">
            <v>-</v>
          </cell>
          <cell r="K1111" t="str">
            <v>-</v>
          </cell>
          <cell r="L1111">
            <v>8</v>
          </cell>
          <cell r="M1111">
            <v>8</v>
          </cell>
          <cell r="O1111" t="str">
            <v>-</v>
          </cell>
          <cell r="T1111">
            <v>0.25</v>
          </cell>
          <cell r="U1111" t="str">
            <v>-</v>
          </cell>
        </row>
        <row r="1112">
          <cell r="B1112" t="str">
            <v>LL4x4x4x3</v>
          </cell>
          <cell r="C1112">
            <v>3.86</v>
          </cell>
          <cell r="D1112">
            <v>4</v>
          </cell>
          <cell r="F1112" t="str">
            <v>-</v>
          </cell>
          <cell r="H1112" t="str">
            <v>-</v>
          </cell>
          <cell r="I1112" t="str">
            <v>-</v>
          </cell>
          <cell r="K1112" t="str">
            <v>-</v>
          </cell>
          <cell r="L1112">
            <v>8</v>
          </cell>
          <cell r="M1112">
            <v>8.375</v>
          </cell>
          <cell r="O1112" t="str">
            <v>-</v>
          </cell>
          <cell r="T1112">
            <v>0.25</v>
          </cell>
          <cell r="U1112" t="str">
            <v>-</v>
          </cell>
        </row>
        <row r="1113">
          <cell r="B1113" t="str">
            <v>LL4x4x4x6</v>
          </cell>
          <cell r="C1113">
            <v>3.86</v>
          </cell>
          <cell r="D1113">
            <v>4</v>
          </cell>
          <cell r="F1113" t="str">
            <v>-</v>
          </cell>
          <cell r="H1113" t="str">
            <v>-</v>
          </cell>
          <cell r="I1113" t="str">
            <v>-</v>
          </cell>
          <cell r="K1113" t="str">
            <v>-</v>
          </cell>
          <cell r="L1113">
            <v>8</v>
          </cell>
          <cell r="M1113">
            <v>8.75</v>
          </cell>
          <cell r="O1113" t="str">
            <v>-</v>
          </cell>
          <cell r="T1113">
            <v>0.25</v>
          </cell>
          <cell r="U1113" t="str">
            <v>-</v>
          </cell>
        </row>
        <row r="1114">
          <cell r="B1114" t="str">
            <v>LL3.5x3.5x8x0</v>
          </cell>
          <cell r="C1114">
            <v>6.5</v>
          </cell>
          <cell r="D1114">
            <v>3.5</v>
          </cell>
          <cell r="F1114" t="str">
            <v>-</v>
          </cell>
          <cell r="H1114" t="str">
            <v>-</v>
          </cell>
          <cell r="I1114" t="str">
            <v>-</v>
          </cell>
          <cell r="K1114" t="str">
            <v>-</v>
          </cell>
          <cell r="L1114">
            <v>7</v>
          </cell>
          <cell r="M1114">
            <v>7</v>
          </cell>
          <cell r="O1114" t="str">
            <v>-</v>
          </cell>
          <cell r="T1114">
            <v>0.5</v>
          </cell>
          <cell r="U1114" t="str">
            <v>-</v>
          </cell>
        </row>
        <row r="1115">
          <cell r="B1115" t="str">
            <v>LL3.5x3.5x8x3</v>
          </cell>
          <cell r="C1115">
            <v>6.5</v>
          </cell>
          <cell r="D1115">
            <v>3.5</v>
          </cell>
          <cell r="F1115" t="str">
            <v>-</v>
          </cell>
          <cell r="H1115" t="str">
            <v>-</v>
          </cell>
          <cell r="I1115" t="str">
            <v>-</v>
          </cell>
          <cell r="K1115" t="str">
            <v>-</v>
          </cell>
          <cell r="L1115">
            <v>7</v>
          </cell>
          <cell r="M1115">
            <v>7.375</v>
          </cell>
          <cell r="O1115" t="str">
            <v>-</v>
          </cell>
          <cell r="T1115">
            <v>0.5</v>
          </cell>
          <cell r="U1115" t="str">
            <v>-</v>
          </cell>
        </row>
        <row r="1116">
          <cell r="B1116" t="str">
            <v>LL3.5x3.5x8x6</v>
          </cell>
          <cell r="C1116">
            <v>6.5</v>
          </cell>
          <cell r="D1116">
            <v>3.5</v>
          </cell>
          <cell r="F1116" t="str">
            <v>-</v>
          </cell>
          <cell r="H1116" t="str">
            <v>-</v>
          </cell>
          <cell r="I1116" t="str">
            <v>-</v>
          </cell>
          <cell r="K1116" t="str">
            <v>-</v>
          </cell>
          <cell r="L1116">
            <v>7</v>
          </cell>
          <cell r="M1116">
            <v>7.75</v>
          </cell>
          <cell r="O1116" t="str">
            <v>-</v>
          </cell>
          <cell r="T1116">
            <v>0.5</v>
          </cell>
          <cell r="U1116" t="str">
            <v>-</v>
          </cell>
        </row>
        <row r="1117">
          <cell r="B1117" t="str">
            <v>LL3.5x3.5x7x0</v>
          </cell>
          <cell r="C1117">
            <v>5.78</v>
          </cell>
          <cell r="D1117">
            <v>3.5</v>
          </cell>
          <cell r="F1117" t="str">
            <v>-</v>
          </cell>
          <cell r="H1117" t="str">
            <v>-</v>
          </cell>
          <cell r="I1117" t="str">
            <v>-</v>
          </cell>
          <cell r="K1117" t="str">
            <v>-</v>
          </cell>
          <cell r="L1117">
            <v>7</v>
          </cell>
          <cell r="M1117">
            <v>7</v>
          </cell>
          <cell r="O1117" t="str">
            <v>-</v>
          </cell>
          <cell r="T1117">
            <v>0.438</v>
          </cell>
          <cell r="U1117" t="str">
            <v>-</v>
          </cell>
        </row>
        <row r="1118">
          <cell r="B1118" t="str">
            <v>LL3.5x3.5x7x3</v>
          </cell>
          <cell r="C1118">
            <v>5.78</v>
          </cell>
          <cell r="D1118">
            <v>3.5</v>
          </cell>
          <cell r="F1118" t="str">
            <v>-</v>
          </cell>
          <cell r="H1118" t="str">
            <v>-</v>
          </cell>
          <cell r="I1118" t="str">
            <v>-</v>
          </cell>
          <cell r="K1118" t="str">
            <v>-</v>
          </cell>
          <cell r="L1118">
            <v>7</v>
          </cell>
          <cell r="M1118">
            <v>7.375</v>
          </cell>
          <cell r="O1118" t="str">
            <v>-</v>
          </cell>
          <cell r="T1118">
            <v>0.438</v>
          </cell>
          <cell r="U1118" t="str">
            <v>-</v>
          </cell>
        </row>
        <row r="1119">
          <cell r="B1119" t="str">
            <v>LL3.5x3.5x7x6</v>
          </cell>
          <cell r="C1119">
            <v>5.78</v>
          </cell>
          <cell r="D1119">
            <v>3.5</v>
          </cell>
          <cell r="F1119" t="str">
            <v>-</v>
          </cell>
          <cell r="H1119" t="str">
            <v>-</v>
          </cell>
          <cell r="I1119" t="str">
            <v>-</v>
          </cell>
          <cell r="K1119" t="str">
            <v>-</v>
          </cell>
          <cell r="L1119">
            <v>7</v>
          </cell>
          <cell r="M1119">
            <v>7.75</v>
          </cell>
          <cell r="O1119" t="str">
            <v>-</v>
          </cell>
          <cell r="T1119">
            <v>0.438</v>
          </cell>
          <cell r="U1119" t="str">
            <v>-</v>
          </cell>
        </row>
        <row r="1120">
          <cell r="B1120" t="str">
            <v>LL3.5x3.5x6x0</v>
          </cell>
          <cell r="C1120">
            <v>5</v>
          </cell>
          <cell r="D1120">
            <v>3.5</v>
          </cell>
          <cell r="F1120" t="str">
            <v>-</v>
          </cell>
          <cell r="H1120" t="str">
            <v>-</v>
          </cell>
          <cell r="I1120" t="str">
            <v>-</v>
          </cell>
          <cell r="K1120" t="str">
            <v>-</v>
          </cell>
          <cell r="L1120">
            <v>7</v>
          </cell>
          <cell r="M1120">
            <v>7</v>
          </cell>
          <cell r="O1120" t="str">
            <v>-</v>
          </cell>
          <cell r="T1120">
            <v>0.375</v>
          </cell>
          <cell r="U1120" t="str">
            <v>-</v>
          </cell>
        </row>
        <row r="1121">
          <cell r="B1121" t="str">
            <v>LL3.5x3.5x6x3</v>
          </cell>
          <cell r="C1121">
            <v>5</v>
          </cell>
          <cell r="D1121">
            <v>3.5</v>
          </cell>
          <cell r="F1121" t="str">
            <v>-</v>
          </cell>
          <cell r="H1121" t="str">
            <v>-</v>
          </cell>
          <cell r="I1121" t="str">
            <v>-</v>
          </cell>
          <cell r="K1121" t="str">
            <v>-</v>
          </cell>
          <cell r="L1121">
            <v>7</v>
          </cell>
          <cell r="M1121">
            <v>7.375</v>
          </cell>
          <cell r="O1121" t="str">
            <v>-</v>
          </cell>
          <cell r="T1121">
            <v>0.375</v>
          </cell>
          <cell r="U1121" t="str">
            <v>-</v>
          </cell>
        </row>
        <row r="1122">
          <cell r="B1122" t="str">
            <v>LL3.5x3.5x6x6</v>
          </cell>
          <cell r="C1122">
            <v>5</v>
          </cell>
          <cell r="D1122">
            <v>3.5</v>
          </cell>
          <cell r="F1122" t="str">
            <v>-</v>
          </cell>
          <cell r="H1122" t="str">
            <v>-</v>
          </cell>
          <cell r="I1122" t="str">
            <v>-</v>
          </cell>
          <cell r="K1122" t="str">
            <v>-</v>
          </cell>
          <cell r="L1122">
            <v>7</v>
          </cell>
          <cell r="M1122">
            <v>7.75</v>
          </cell>
          <cell r="O1122" t="str">
            <v>-</v>
          </cell>
          <cell r="T1122">
            <v>0.375</v>
          </cell>
          <cell r="U1122" t="str">
            <v>-</v>
          </cell>
        </row>
        <row r="1123">
          <cell r="B1123" t="str">
            <v>LL3.5x3.5x5x0</v>
          </cell>
          <cell r="C1123">
            <v>4.2</v>
          </cell>
          <cell r="D1123">
            <v>3.5</v>
          </cell>
          <cell r="F1123" t="str">
            <v>-</v>
          </cell>
          <cell r="H1123" t="str">
            <v>-</v>
          </cell>
          <cell r="I1123" t="str">
            <v>-</v>
          </cell>
          <cell r="K1123" t="str">
            <v>-</v>
          </cell>
          <cell r="L1123">
            <v>7</v>
          </cell>
          <cell r="M1123">
            <v>7</v>
          </cell>
          <cell r="O1123" t="str">
            <v>-</v>
          </cell>
          <cell r="T1123">
            <v>0.313</v>
          </cell>
          <cell r="U1123" t="str">
            <v>-</v>
          </cell>
        </row>
        <row r="1124">
          <cell r="B1124" t="str">
            <v>LL3.5x3.5x5x3</v>
          </cell>
          <cell r="C1124">
            <v>4.2</v>
          </cell>
          <cell r="D1124">
            <v>3.5</v>
          </cell>
          <cell r="F1124" t="str">
            <v>-</v>
          </cell>
          <cell r="H1124" t="str">
            <v>-</v>
          </cell>
          <cell r="I1124" t="str">
            <v>-</v>
          </cell>
          <cell r="K1124" t="str">
            <v>-</v>
          </cell>
          <cell r="L1124">
            <v>7</v>
          </cell>
          <cell r="M1124">
            <v>7.375</v>
          </cell>
          <cell r="O1124" t="str">
            <v>-</v>
          </cell>
          <cell r="T1124">
            <v>0.313</v>
          </cell>
          <cell r="U1124" t="str">
            <v>-</v>
          </cell>
        </row>
        <row r="1125">
          <cell r="B1125" t="str">
            <v>LL3.5x3.5x5x6</v>
          </cell>
          <cell r="C1125">
            <v>4.2</v>
          </cell>
          <cell r="D1125">
            <v>3.5</v>
          </cell>
          <cell r="F1125" t="str">
            <v>-</v>
          </cell>
          <cell r="H1125" t="str">
            <v>-</v>
          </cell>
          <cell r="I1125" t="str">
            <v>-</v>
          </cell>
          <cell r="K1125" t="str">
            <v>-</v>
          </cell>
          <cell r="L1125">
            <v>7</v>
          </cell>
          <cell r="M1125">
            <v>7.75</v>
          </cell>
          <cell r="O1125" t="str">
            <v>-</v>
          </cell>
          <cell r="T1125">
            <v>0.313</v>
          </cell>
          <cell r="U1125" t="str">
            <v>-</v>
          </cell>
        </row>
        <row r="1126">
          <cell r="B1126" t="str">
            <v>LL3.5x3.5x4x0</v>
          </cell>
          <cell r="C1126">
            <v>3.4</v>
          </cell>
          <cell r="D1126">
            <v>3.5</v>
          </cell>
          <cell r="F1126" t="str">
            <v>-</v>
          </cell>
          <cell r="H1126" t="str">
            <v>-</v>
          </cell>
          <cell r="I1126" t="str">
            <v>-</v>
          </cell>
          <cell r="K1126" t="str">
            <v>-</v>
          </cell>
          <cell r="L1126">
            <v>7</v>
          </cell>
          <cell r="M1126">
            <v>7</v>
          </cell>
          <cell r="O1126" t="str">
            <v>-</v>
          </cell>
          <cell r="T1126">
            <v>0.25</v>
          </cell>
          <cell r="U1126" t="str">
            <v>-</v>
          </cell>
        </row>
        <row r="1127">
          <cell r="B1127" t="str">
            <v>LL3.5x3.5x4x3</v>
          </cell>
          <cell r="C1127">
            <v>3.4</v>
          </cell>
          <cell r="D1127">
            <v>3.5</v>
          </cell>
          <cell r="F1127" t="str">
            <v>-</v>
          </cell>
          <cell r="H1127" t="str">
            <v>-</v>
          </cell>
          <cell r="I1127" t="str">
            <v>-</v>
          </cell>
          <cell r="K1127" t="str">
            <v>-</v>
          </cell>
          <cell r="L1127">
            <v>7</v>
          </cell>
          <cell r="M1127">
            <v>7.375</v>
          </cell>
          <cell r="O1127" t="str">
            <v>-</v>
          </cell>
          <cell r="T1127">
            <v>0.25</v>
          </cell>
          <cell r="U1127" t="str">
            <v>-</v>
          </cell>
        </row>
        <row r="1128">
          <cell r="B1128" t="str">
            <v>LL3.5x3.5x4x6</v>
          </cell>
          <cell r="C1128">
            <v>3.4</v>
          </cell>
          <cell r="D1128">
            <v>3.5</v>
          </cell>
          <cell r="F1128" t="str">
            <v>-</v>
          </cell>
          <cell r="H1128" t="str">
            <v>-</v>
          </cell>
          <cell r="I1128" t="str">
            <v>-</v>
          </cell>
          <cell r="K1128" t="str">
            <v>-</v>
          </cell>
          <cell r="L1128">
            <v>7</v>
          </cell>
          <cell r="M1128">
            <v>7.75</v>
          </cell>
          <cell r="O1128" t="str">
            <v>-</v>
          </cell>
          <cell r="T1128">
            <v>0.25</v>
          </cell>
          <cell r="U1128" t="str">
            <v>-</v>
          </cell>
        </row>
        <row r="1129">
          <cell r="B1129" t="str">
            <v>LL3x3x8x0</v>
          </cell>
          <cell r="C1129">
            <v>5.52</v>
          </cell>
          <cell r="D1129">
            <v>3</v>
          </cell>
          <cell r="F1129" t="str">
            <v>-</v>
          </cell>
          <cell r="H1129" t="str">
            <v>-</v>
          </cell>
          <cell r="I1129" t="str">
            <v>-</v>
          </cell>
          <cell r="K1129" t="str">
            <v>-</v>
          </cell>
          <cell r="L1129">
            <v>6</v>
          </cell>
          <cell r="M1129">
            <v>6</v>
          </cell>
          <cell r="O1129" t="str">
            <v>-</v>
          </cell>
          <cell r="T1129">
            <v>0.5</v>
          </cell>
          <cell r="U1129" t="str">
            <v>-</v>
          </cell>
        </row>
        <row r="1130">
          <cell r="B1130" t="str">
            <v>LL3x3x8x3</v>
          </cell>
          <cell r="C1130">
            <v>5.52</v>
          </cell>
          <cell r="D1130">
            <v>3</v>
          </cell>
          <cell r="F1130" t="str">
            <v>-</v>
          </cell>
          <cell r="H1130" t="str">
            <v>-</v>
          </cell>
          <cell r="I1130" t="str">
            <v>-</v>
          </cell>
          <cell r="K1130" t="str">
            <v>-</v>
          </cell>
          <cell r="L1130">
            <v>6</v>
          </cell>
          <cell r="M1130">
            <v>6.375</v>
          </cell>
          <cell r="O1130" t="str">
            <v>-</v>
          </cell>
          <cell r="T1130">
            <v>0.5</v>
          </cell>
          <cell r="U1130" t="str">
            <v>-</v>
          </cell>
        </row>
        <row r="1131">
          <cell r="B1131" t="str">
            <v>LL3x3x8x6</v>
          </cell>
          <cell r="C1131">
            <v>5.52</v>
          </cell>
          <cell r="D1131">
            <v>3</v>
          </cell>
          <cell r="F1131" t="str">
            <v>-</v>
          </cell>
          <cell r="H1131" t="str">
            <v>-</v>
          </cell>
          <cell r="I1131" t="str">
            <v>-</v>
          </cell>
          <cell r="K1131" t="str">
            <v>-</v>
          </cell>
          <cell r="L1131">
            <v>6</v>
          </cell>
          <cell r="M1131">
            <v>6.75</v>
          </cell>
          <cell r="O1131" t="str">
            <v>-</v>
          </cell>
          <cell r="T1131">
            <v>0.5</v>
          </cell>
          <cell r="U1131" t="str">
            <v>-</v>
          </cell>
        </row>
        <row r="1132">
          <cell r="B1132" t="str">
            <v>LL3x3x7x0</v>
          </cell>
          <cell r="C1132">
            <v>4.8600000000000003</v>
          </cell>
          <cell r="D1132">
            <v>3</v>
          </cell>
          <cell r="F1132" t="str">
            <v>-</v>
          </cell>
          <cell r="H1132" t="str">
            <v>-</v>
          </cell>
          <cell r="I1132" t="str">
            <v>-</v>
          </cell>
          <cell r="K1132" t="str">
            <v>-</v>
          </cell>
          <cell r="L1132">
            <v>6</v>
          </cell>
          <cell r="M1132">
            <v>6</v>
          </cell>
          <cell r="O1132" t="str">
            <v>-</v>
          </cell>
          <cell r="T1132">
            <v>0.438</v>
          </cell>
          <cell r="U1132" t="str">
            <v>-</v>
          </cell>
        </row>
        <row r="1133">
          <cell r="B1133" t="str">
            <v>LL3x3x7x3</v>
          </cell>
          <cell r="C1133">
            <v>4.8600000000000003</v>
          </cell>
          <cell r="D1133">
            <v>3</v>
          </cell>
          <cell r="F1133" t="str">
            <v>-</v>
          </cell>
          <cell r="H1133" t="str">
            <v>-</v>
          </cell>
          <cell r="I1133" t="str">
            <v>-</v>
          </cell>
          <cell r="K1133" t="str">
            <v>-</v>
          </cell>
          <cell r="L1133">
            <v>6</v>
          </cell>
          <cell r="M1133">
            <v>6.375</v>
          </cell>
          <cell r="O1133" t="str">
            <v>-</v>
          </cell>
          <cell r="T1133">
            <v>0.438</v>
          </cell>
          <cell r="U1133" t="str">
            <v>-</v>
          </cell>
        </row>
        <row r="1134">
          <cell r="B1134" t="str">
            <v>LL3x3x7x6</v>
          </cell>
          <cell r="C1134">
            <v>4.8600000000000003</v>
          </cell>
          <cell r="D1134">
            <v>3</v>
          </cell>
          <cell r="F1134" t="str">
            <v>-</v>
          </cell>
          <cell r="H1134" t="str">
            <v>-</v>
          </cell>
          <cell r="I1134" t="str">
            <v>-</v>
          </cell>
          <cell r="K1134" t="str">
            <v>-</v>
          </cell>
          <cell r="L1134">
            <v>6</v>
          </cell>
          <cell r="M1134">
            <v>6.75</v>
          </cell>
          <cell r="O1134" t="str">
            <v>-</v>
          </cell>
          <cell r="T1134">
            <v>0.438</v>
          </cell>
          <cell r="U1134" t="str">
            <v>-</v>
          </cell>
        </row>
        <row r="1135">
          <cell r="B1135" t="str">
            <v>LL3x3x6x0</v>
          </cell>
          <cell r="C1135">
            <v>4.22</v>
          </cell>
          <cell r="D1135">
            <v>3</v>
          </cell>
          <cell r="F1135" t="str">
            <v>-</v>
          </cell>
          <cell r="H1135" t="str">
            <v>-</v>
          </cell>
          <cell r="I1135" t="str">
            <v>-</v>
          </cell>
          <cell r="K1135" t="str">
            <v>-</v>
          </cell>
          <cell r="L1135">
            <v>6</v>
          </cell>
          <cell r="M1135">
            <v>6</v>
          </cell>
          <cell r="O1135" t="str">
            <v>-</v>
          </cell>
          <cell r="T1135">
            <v>0.375</v>
          </cell>
          <cell r="U1135" t="str">
            <v>-</v>
          </cell>
        </row>
        <row r="1136">
          <cell r="B1136" t="str">
            <v>LL3x3x6x3</v>
          </cell>
          <cell r="C1136">
            <v>4.22</v>
          </cell>
          <cell r="D1136">
            <v>3</v>
          </cell>
          <cell r="F1136" t="str">
            <v>-</v>
          </cell>
          <cell r="H1136" t="str">
            <v>-</v>
          </cell>
          <cell r="I1136" t="str">
            <v>-</v>
          </cell>
          <cell r="K1136" t="str">
            <v>-</v>
          </cell>
          <cell r="L1136">
            <v>6</v>
          </cell>
          <cell r="M1136">
            <v>6.375</v>
          </cell>
          <cell r="O1136" t="str">
            <v>-</v>
          </cell>
          <cell r="T1136">
            <v>0.375</v>
          </cell>
          <cell r="U1136" t="str">
            <v>-</v>
          </cell>
        </row>
        <row r="1137">
          <cell r="B1137" t="str">
            <v>LL3x3x6x6</v>
          </cell>
          <cell r="C1137">
            <v>4.22</v>
          </cell>
          <cell r="D1137">
            <v>3</v>
          </cell>
          <cell r="F1137" t="str">
            <v>-</v>
          </cell>
          <cell r="H1137" t="str">
            <v>-</v>
          </cell>
          <cell r="I1137" t="str">
            <v>-</v>
          </cell>
          <cell r="K1137" t="str">
            <v>-</v>
          </cell>
          <cell r="L1137">
            <v>6</v>
          </cell>
          <cell r="M1137">
            <v>6.75</v>
          </cell>
          <cell r="O1137" t="str">
            <v>-</v>
          </cell>
          <cell r="T1137">
            <v>0.375</v>
          </cell>
          <cell r="U1137" t="str">
            <v>-</v>
          </cell>
        </row>
        <row r="1138">
          <cell r="B1138" t="str">
            <v>LL3x3x5x0</v>
          </cell>
          <cell r="C1138">
            <v>3.56</v>
          </cell>
          <cell r="D1138">
            <v>3</v>
          </cell>
          <cell r="F1138" t="str">
            <v>-</v>
          </cell>
          <cell r="H1138" t="str">
            <v>-</v>
          </cell>
          <cell r="I1138" t="str">
            <v>-</v>
          </cell>
          <cell r="K1138" t="str">
            <v>-</v>
          </cell>
          <cell r="L1138">
            <v>6</v>
          </cell>
          <cell r="M1138">
            <v>6</v>
          </cell>
          <cell r="O1138" t="str">
            <v>-</v>
          </cell>
          <cell r="T1138">
            <v>0.313</v>
          </cell>
          <cell r="U1138" t="str">
            <v>-</v>
          </cell>
        </row>
        <row r="1139">
          <cell r="B1139" t="str">
            <v>LL3x3x5x3</v>
          </cell>
          <cell r="C1139">
            <v>3.56</v>
          </cell>
          <cell r="D1139">
            <v>3</v>
          </cell>
          <cell r="F1139" t="str">
            <v>-</v>
          </cell>
          <cell r="H1139" t="str">
            <v>-</v>
          </cell>
          <cell r="I1139" t="str">
            <v>-</v>
          </cell>
          <cell r="K1139" t="str">
            <v>-</v>
          </cell>
          <cell r="L1139">
            <v>6</v>
          </cell>
          <cell r="M1139">
            <v>6.375</v>
          </cell>
          <cell r="O1139" t="str">
            <v>-</v>
          </cell>
          <cell r="T1139">
            <v>0.313</v>
          </cell>
          <cell r="U1139" t="str">
            <v>-</v>
          </cell>
        </row>
        <row r="1140">
          <cell r="B1140" t="str">
            <v>LL3x3x5x6</v>
          </cell>
          <cell r="C1140">
            <v>3.56</v>
          </cell>
          <cell r="D1140">
            <v>3</v>
          </cell>
          <cell r="F1140" t="str">
            <v>-</v>
          </cell>
          <cell r="H1140" t="str">
            <v>-</v>
          </cell>
          <cell r="I1140" t="str">
            <v>-</v>
          </cell>
          <cell r="K1140" t="str">
            <v>-</v>
          </cell>
          <cell r="L1140">
            <v>6</v>
          </cell>
          <cell r="M1140">
            <v>6.75</v>
          </cell>
          <cell r="O1140" t="str">
            <v>-</v>
          </cell>
          <cell r="T1140">
            <v>0.313</v>
          </cell>
          <cell r="U1140" t="str">
            <v>-</v>
          </cell>
        </row>
        <row r="1141">
          <cell r="B1141" t="str">
            <v>LL3x3x4x0</v>
          </cell>
          <cell r="C1141">
            <v>2.88</v>
          </cell>
          <cell r="D1141">
            <v>3</v>
          </cell>
          <cell r="F1141" t="str">
            <v>-</v>
          </cell>
          <cell r="H1141" t="str">
            <v>-</v>
          </cell>
          <cell r="I1141" t="str">
            <v>-</v>
          </cell>
          <cell r="K1141" t="str">
            <v>-</v>
          </cell>
          <cell r="L1141">
            <v>6</v>
          </cell>
          <cell r="M1141">
            <v>6</v>
          </cell>
          <cell r="O1141" t="str">
            <v>-</v>
          </cell>
          <cell r="T1141">
            <v>0.25</v>
          </cell>
          <cell r="U1141" t="str">
            <v>-</v>
          </cell>
        </row>
        <row r="1142">
          <cell r="B1142" t="str">
            <v>LL3x3x4x3</v>
          </cell>
          <cell r="C1142">
            <v>2.88</v>
          </cell>
          <cell r="D1142">
            <v>3</v>
          </cell>
          <cell r="F1142" t="str">
            <v>-</v>
          </cell>
          <cell r="H1142" t="str">
            <v>-</v>
          </cell>
          <cell r="I1142" t="str">
            <v>-</v>
          </cell>
          <cell r="K1142" t="str">
            <v>-</v>
          </cell>
          <cell r="L1142">
            <v>6</v>
          </cell>
          <cell r="M1142">
            <v>6.375</v>
          </cell>
          <cell r="O1142" t="str">
            <v>-</v>
          </cell>
          <cell r="T1142">
            <v>0.25</v>
          </cell>
          <cell r="U1142" t="str">
            <v>-</v>
          </cell>
        </row>
        <row r="1143">
          <cell r="B1143" t="str">
            <v>LL3x3x4x6</v>
          </cell>
          <cell r="C1143">
            <v>2.88</v>
          </cell>
          <cell r="D1143">
            <v>3</v>
          </cell>
          <cell r="F1143" t="str">
            <v>-</v>
          </cell>
          <cell r="H1143" t="str">
            <v>-</v>
          </cell>
          <cell r="I1143" t="str">
            <v>-</v>
          </cell>
          <cell r="K1143" t="str">
            <v>-</v>
          </cell>
          <cell r="L1143">
            <v>6</v>
          </cell>
          <cell r="M1143">
            <v>6.75</v>
          </cell>
          <cell r="O1143" t="str">
            <v>-</v>
          </cell>
          <cell r="T1143">
            <v>0.25</v>
          </cell>
          <cell r="U1143" t="str">
            <v>-</v>
          </cell>
        </row>
        <row r="1144">
          <cell r="B1144" t="str">
            <v>LL3x3x3x0</v>
          </cell>
          <cell r="C1144">
            <v>2.1800000000000002</v>
          </cell>
          <cell r="D1144">
            <v>3</v>
          </cell>
          <cell r="F1144" t="str">
            <v>-</v>
          </cell>
          <cell r="H1144" t="str">
            <v>-</v>
          </cell>
          <cell r="I1144" t="str">
            <v>-</v>
          </cell>
          <cell r="K1144" t="str">
            <v>-</v>
          </cell>
          <cell r="L1144">
            <v>6</v>
          </cell>
          <cell r="M1144">
            <v>6</v>
          </cell>
          <cell r="O1144" t="str">
            <v>-</v>
          </cell>
          <cell r="T1144">
            <v>0.188</v>
          </cell>
          <cell r="U1144" t="str">
            <v>-</v>
          </cell>
        </row>
        <row r="1145">
          <cell r="B1145" t="str">
            <v>LL3x3x3x3</v>
          </cell>
          <cell r="C1145">
            <v>2.1800000000000002</v>
          </cell>
          <cell r="D1145">
            <v>3</v>
          </cell>
          <cell r="F1145" t="str">
            <v>-</v>
          </cell>
          <cell r="H1145" t="str">
            <v>-</v>
          </cell>
          <cell r="I1145" t="str">
            <v>-</v>
          </cell>
          <cell r="K1145" t="str">
            <v>-</v>
          </cell>
          <cell r="L1145">
            <v>6</v>
          </cell>
          <cell r="M1145">
            <v>6.375</v>
          </cell>
          <cell r="O1145" t="str">
            <v>-</v>
          </cell>
          <cell r="T1145">
            <v>0.188</v>
          </cell>
          <cell r="U1145" t="str">
            <v>-</v>
          </cell>
        </row>
        <row r="1146">
          <cell r="B1146" t="str">
            <v>LL3x3x3x6</v>
          </cell>
          <cell r="C1146">
            <v>2.1800000000000002</v>
          </cell>
          <cell r="D1146">
            <v>3</v>
          </cell>
          <cell r="F1146" t="str">
            <v>-</v>
          </cell>
          <cell r="H1146" t="str">
            <v>-</v>
          </cell>
          <cell r="I1146" t="str">
            <v>-</v>
          </cell>
          <cell r="K1146" t="str">
            <v>-</v>
          </cell>
          <cell r="L1146">
            <v>6</v>
          </cell>
          <cell r="M1146">
            <v>6.75</v>
          </cell>
          <cell r="O1146" t="str">
            <v>-</v>
          </cell>
          <cell r="T1146">
            <v>0.188</v>
          </cell>
          <cell r="U1146" t="str">
            <v>-</v>
          </cell>
        </row>
        <row r="1147">
          <cell r="B1147" t="str">
            <v>LL2.5x2.5x8x0</v>
          </cell>
          <cell r="C1147">
            <v>4.5199999999999996</v>
          </cell>
          <cell r="D1147">
            <v>2.5</v>
          </cell>
          <cell r="F1147" t="str">
            <v>-</v>
          </cell>
          <cell r="H1147" t="str">
            <v>-</v>
          </cell>
          <cell r="I1147" t="str">
            <v>-</v>
          </cell>
          <cell r="K1147" t="str">
            <v>-</v>
          </cell>
          <cell r="L1147">
            <v>5</v>
          </cell>
          <cell r="M1147">
            <v>5</v>
          </cell>
          <cell r="O1147" t="str">
            <v>-</v>
          </cell>
          <cell r="T1147">
            <v>0.5</v>
          </cell>
          <cell r="U1147" t="str">
            <v>-</v>
          </cell>
        </row>
        <row r="1148">
          <cell r="B1148" t="str">
            <v>LL2.5x2.5x8x3</v>
          </cell>
          <cell r="C1148">
            <v>4.5199999999999996</v>
          </cell>
          <cell r="D1148">
            <v>2.5</v>
          </cell>
          <cell r="F1148" t="str">
            <v>-</v>
          </cell>
          <cell r="H1148" t="str">
            <v>-</v>
          </cell>
          <cell r="I1148" t="str">
            <v>-</v>
          </cell>
          <cell r="K1148" t="str">
            <v>-</v>
          </cell>
          <cell r="L1148">
            <v>5</v>
          </cell>
          <cell r="M1148">
            <v>5.375</v>
          </cell>
          <cell r="O1148" t="str">
            <v>-</v>
          </cell>
          <cell r="T1148">
            <v>0.5</v>
          </cell>
          <cell r="U1148" t="str">
            <v>-</v>
          </cell>
        </row>
        <row r="1149">
          <cell r="B1149" t="str">
            <v>LL2.5x2.5x8x6</v>
          </cell>
          <cell r="C1149">
            <v>4.5199999999999996</v>
          </cell>
          <cell r="D1149">
            <v>2.5</v>
          </cell>
          <cell r="F1149" t="str">
            <v>-</v>
          </cell>
          <cell r="H1149" t="str">
            <v>-</v>
          </cell>
          <cell r="I1149" t="str">
            <v>-</v>
          </cell>
          <cell r="K1149" t="str">
            <v>-</v>
          </cell>
          <cell r="L1149">
            <v>5</v>
          </cell>
          <cell r="M1149">
            <v>5.75</v>
          </cell>
          <cell r="O1149" t="str">
            <v>-</v>
          </cell>
          <cell r="T1149">
            <v>0.5</v>
          </cell>
          <cell r="U1149" t="str">
            <v>-</v>
          </cell>
        </row>
        <row r="1150">
          <cell r="B1150" t="str">
            <v>LL2.5x2.5x6x0</v>
          </cell>
          <cell r="C1150">
            <v>3.46</v>
          </cell>
          <cell r="D1150">
            <v>2.5</v>
          </cell>
          <cell r="F1150" t="str">
            <v>-</v>
          </cell>
          <cell r="H1150" t="str">
            <v>-</v>
          </cell>
          <cell r="I1150" t="str">
            <v>-</v>
          </cell>
          <cell r="K1150" t="str">
            <v>-</v>
          </cell>
          <cell r="L1150">
            <v>5</v>
          </cell>
          <cell r="M1150">
            <v>5</v>
          </cell>
          <cell r="O1150" t="str">
            <v>-</v>
          </cell>
          <cell r="T1150">
            <v>0.375</v>
          </cell>
          <cell r="U1150" t="str">
            <v>-</v>
          </cell>
        </row>
        <row r="1151">
          <cell r="B1151" t="str">
            <v>LL2.5x2.5x6x3</v>
          </cell>
          <cell r="C1151">
            <v>3.46</v>
          </cell>
          <cell r="D1151">
            <v>2.5</v>
          </cell>
          <cell r="F1151" t="str">
            <v>-</v>
          </cell>
          <cell r="H1151" t="str">
            <v>-</v>
          </cell>
          <cell r="I1151" t="str">
            <v>-</v>
          </cell>
          <cell r="K1151" t="str">
            <v>-</v>
          </cell>
          <cell r="L1151">
            <v>5</v>
          </cell>
          <cell r="M1151">
            <v>5.375</v>
          </cell>
          <cell r="O1151" t="str">
            <v>-</v>
          </cell>
          <cell r="T1151">
            <v>0.375</v>
          </cell>
          <cell r="U1151" t="str">
            <v>-</v>
          </cell>
        </row>
        <row r="1152">
          <cell r="B1152" t="str">
            <v>LL2.5x2.5x6x6</v>
          </cell>
          <cell r="C1152">
            <v>3.46</v>
          </cell>
          <cell r="D1152">
            <v>2.5</v>
          </cell>
          <cell r="F1152" t="str">
            <v>-</v>
          </cell>
          <cell r="H1152" t="str">
            <v>-</v>
          </cell>
          <cell r="I1152" t="str">
            <v>-</v>
          </cell>
          <cell r="K1152" t="str">
            <v>-</v>
          </cell>
          <cell r="L1152">
            <v>5</v>
          </cell>
          <cell r="M1152">
            <v>5.75</v>
          </cell>
          <cell r="O1152" t="str">
            <v>-</v>
          </cell>
          <cell r="T1152">
            <v>0.375</v>
          </cell>
          <cell r="U1152" t="str">
            <v>-</v>
          </cell>
        </row>
        <row r="1153">
          <cell r="B1153" t="str">
            <v>LL2.5x2.5x5x0</v>
          </cell>
          <cell r="C1153">
            <v>2.92</v>
          </cell>
          <cell r="D1153">
            <v>2.5</v>
          </cell>
          <cell r="F1153" t="str">
            <v>-</v>
          </cell>
          <cell r="H1153" t="str">
            <v>-</v>
          </cell>
          <cell r="I1153" t="str">
            <v>-</v>
          </cell>
          <cell r="K1153" t="str">
            <v>-</v>
          </cell>
          <cell r="L1153">
            <v>5</v>
          </cell>
          <cell r="M1153">
            <v>5</v>
          </cell>
          <cell r="O1153" t="str">
            <v>-</v>
          </cell>
          <cell r="T1153">
            <v>0.313</v>
          </cell>
          <cell r="U1153" t="str">
            <v>-</v>
          </cell>
        </row>
        <row r="1154">
          <cell r="B1154" t="str">
            <v>LL2.5x2.5x5x3</v>
          </cell>
          <cell r="C1154">
            <v>2.92</v>
          </cell>
          <cell r="D1154">
            <v>2.5</v>
          </cell>
          <cell r="F1154" t="str">
            <v>-</v>
          </cell>
          <cell r="H1154" t="str">
            <v>-</v>
          </cell>
          <cell r="I1154" t="str">
            <v>-</v>
          </cell>
          <cell r="K1154" t="str">
            <v>-</v>
          </cell>
          <cell r="L1154">
            <v>5</v>
          </cell>
          <cell r="M1154">
            <v>5.375</v>
          </cell>
          <cell r="O1154" t="str">
            <v>-</v>
          </cell>
          <cell r="T1154">
            <v>0.313</v>
          </cell>
          <cell r="U1154" t="str">
            <v>-</v>
          </cell>
        </row>
        <row r="1155">
          <cell r="B1155" t="str">
            <v>LL2.5x2.5x5x6</v>
          </cell>
          <cell r="C1155">
            <v>2.92</v>
          </cell>
          <cell r="D1155">
            <v>2.5</v>
          </cell>
          <cell r="F1155" t="str">
            <v>-</v>
          </cell>
          <cell r="H1155" t="str">
            <v>-</v>
          </cell>
          <cell r="I1155" t="str">
            <v>-</v>
          </cell>
          <cell r="K1155" t="str">
            <v>-</v>
          </cell>
          <cell r="L1155">
            <v>5</v>
          </cell>
          <cell r="M1155">
            <v>5.75</v>
          </cell>
          <cell r="O1155" t="str">
            <v>-</v>
          </cell>
          <cell r="T1155">
            <v>0.313</v>
          </cell>
          <cell r="U1155" t="str">
            <v>-</v>
          </cell>
        </row>
        <row r="1156">
          <cell r="B1156" t="str">
            <v>LL2.5x2.5x4x0</v>
          </cell>
          <cell r="C1156">
            <v>2.38</v>
          </cell>
          <cell r="D1156">
            <v>2.5</v>
          </cell>
          <cell r="F1156" t="str">
            <v>-</v>
          </cell>
          <cell r="H1156" t="str">
            <v>-</v>
          </cell>
          <cell r="I1156" t="str">
            <v>-</v>
          </cell>
          <cell r="K1156" t="str">
            <v>-</v>
          </cell>
          <cell r="L1156">
            <v>5</v>
          </cell>
          <cell r="M1156">
            <v>5</v>
          </cell>
          <cell r="O1156" t="str">
            <v>-</v>
          </cell>
          <cell r="T1156">
            <v>0.25</v>
          </cell>
          <cell r="U1156" t="str">
            <v>-</v>
          </cell>
        </row>
        <row r="1157">
          <cell r="B1157" t="str">
            <v>LL2.5x2.5x4x3</v>
          </cell>
          <cell r="C1157">
            <v>2.38</v>
          </cell>
          <cell r="D1157">
            <v>2.5</v>
          </cell>
          <cell r="F1157" t="str">
            <v>-</v>
          </cell>
          <cell r="H1157" t="str">
            <v>-</v>
          </cell>
          <cell r="I1157" t="str">
            <v>-</v>
          </cell>
          <cell r="K1157" t="str">
            <v>-</v>
          </cell>
          <cell r="L1157">
            <v>5</v>
          </cell>
          <cell r="M1157">
            <v>5.375</v>
          </cell>
          <cell r="O1157" t="str">
            <v>-</v>
          </cell>
          <cell r="T1157">
            <v>0.25</v>
          </cell>
          <cell r="U1157" t="str">
            <v>-</v>
          </cell>
        </row>
        <row r="1158">
          <cell r="B1158" t="str">
            <v>LL2.5x2.5x4x6</v>
          </cell>
          <cell r="C1158">
            <v>2.38</v>
          </cell>
          <cell r="D1158">
            <v>2.5</v>
          </cell>
          <cell r="F1158" t="str">
            <v>-</v>
          </cell>
          <cell r="H1158" t="str">
            <v>-</v>
          </cell>
          <cell r="I1158" t="str">
            <v>-</v>
          </cell>
          <cell r="K1158" t="str">
            <v>-</v>
          </cell>
          <cell r="L1158">
            <v>5</v>
          </cell>
          <cell r="M1158">
            <v>5.75</v>
          </cell>
          <cell r="O1158" t="str">
            <v>-</v>
          </cell>
          <cell r="T1158">
            <v>0.25</v>
          </cell>
          <cell r="U1158" t="str">
            <v>-</v>
          </cell>
        </row>
        <row r="1159">
          <cell r="B1159" t="str">
            <v>LL2.5x2.5x3x0</v>
          </cell>
          <cell r="C1159">
            <v>1.8</v>
          </cell>
          <cell r="D1159">
            <v>2.5</v>
          </cell>
          <cell r="F1159" t="str">
            <v>-</v>
          </cell>
          <cell r="H1159" t="str">
            <v>-</v>
          </cell>
          <cell r="I1159" t="str">
            <v>-</v>
          </cell>
          <cell r="K1159" t="str">
            <v>-</v>
          </cell>
          <cell r="L1159">
            <v>5</v>
          </cell>
          <cell r="M1159">
            <v>5</v>
          </cell>
          <cell r="O1159" t="str">
            <v>-</v>
          </cell>
          <cell r="T1159">
            <v>0.188</v>
          </cell>
          <cell r="U1159" t="str">
            <v>-</v>
          </cell>
        </row>
        <row r="1160">
          <cell r="B1160" t="str">
            <v>LL2.5x2.5x3x3</v>
          </cell>
          <cell r="C1160">
            <v>1.8</v>
          </cell>
          <cell r="D1160">
            <v>2.5</v>
          </cell>
          <cell r="F1160" t="str">
            <v>-</v>
          </cell>
          <cell r="H1160" t="str">
            <v>-</v>
          </cell>
          <cell r="I1160" t="str">
            <v>-</v>
          </cell>
          <cell r="K1160" t="str">
            <v>-</v>
          </cell>
          <cell r="L1160">
            <v>5</v>
          </cell>
          <cell r="M1160">
            <v>5.375</v>
          </cell>
          <cell r="O1160" t="str">
            <v>-</v>
          </cell>
          <cell r="T1160">
            <v>0.188</v>
          </cell>
          <cell r="U1160" t="str">
            <v>-</v>
          </cell>
        </row>
        <row r="1161">
          <cell r="B1161" t="str">
            <v>LL2.5x2.5x3x6</v>
          </cell>
          <cell r="C1161">
            <v>1.8</v>
          </cell>
          <cell r="D1161">
            <v>2.5</v>
          </cell>
          <cell r="F1161" t="str">
            <v>-</v>
          </cell>
          <cell r="H1161" t="str">
            <v>-</v>
          </cell>
          <cell r="I1161" t="str">
            <v>-</v>
          </cell>
          <cell r="K1161" t="str">
            <v>-</v>
          </cell>
          <cell r="L1161">
            <v>5</v>
          </cell>
          <cell r="M1161">
            <v>5.75</v>
          </cell>
          <cell r="O1161" t="str">
            <v>-</v>
          </cell>
          <cell r="T1161">
            <v>0.188</v>
          </cell>
          <cell r="U1161" t="str">
            <v>-</v>
          </cell>
        </row>
        <row r="1162">
          <cell r="B1162" t="str">
            <v>LL2x2x6x0</v>
          </cell>
          <cell r="C1162">
            <v>2.74</v>
          </cell>
          <cell r="D1162">
            <v>2</v>
          </cell>
          <cell r="F1162" t="str">
            <v>-</v>
          </cell>
          <cell r="H1162" t="str">
            <v>-</v>
          </cell>
          <cell r="I1162" t="str">
            <v>-</v>
          </cell>
          <cell r="K1162" t="str">
            <v>-</v>
          </cell>
          <cell r="L1162">
            <v>4</v>
          </cell>
          <cell r="M1162">
            <v>4</v>
          </cell>
          <cell r="O1162" t="str">
            <v>-</v>
          </cell>
          <cell r="T1162">
            <v>0.375</v>
          </cell>
          <cell r="U1162" t="str">
            <v>-</v>
          </cell>
        </row>
        <row r="1163">
          <cell r="B1163" t="str">
            <v>LL2x2x6x3</v>
          </cell>
          <cell r="C1163">
            <v>2.74</v>
          </cell>
          <cell r="D1163">
            <v>2</v>
          </cell>
          <cell r="F1163" t="str">
            <v>-</v>
          </cell>
          <cell r="H1163" t="str">
            <v>-</v>
          </cell>
          <cell r="I1163" t="str">
            <v>-</v>
          </cell>
          <cell r="K1163" t="str">
            <v>-</v>
          </cell>
          <cell r="L1163">
            <v>4</v>
          </cell>
          <cell r="M1163">
            <v>4.375</v>
          </cell>
          <cell r="O1163" t="str">
            <v>-</v>
          </cell>
          <cell r="T1163">
            <v>0.375</v>
          </cell>
          <cell r="U1163" t="str">
            <v>-</v>
          </cell>
        </row>
        <row r="1164">
          <cell r="B1164" t="str">
            <v>LL2x2x6x6</v>
          </cell>
          <cell r="C1164">
            <v>2.74</v>
          </cell>
          <cell r="D1164">
            <v>2</v>
          </cell>
          <cell r="F1164" t="str">
            <v>-</v>
          </cell>
          <cell r="H1164" t="str">
            <v>-</v>
          </cell>
          <cell r="I1164" t="str">
            <v>-</v>
          </cell>
          <cell r="K1164" t="str">
            <v>-</v>
          </cell>
          <cell r="L1164">
            <v>4</v>
          </cell>
          <cell r="M1164">
            <v>4.75</v>
          </cell>
          <cell r="O1164" t="str">
            <v>-</v>
          </cell>
          <cell r="T1164">
            <v>0.375</v>
          </cell>
          <cell r="U1164" t="str">
            <v>-</v>
          </cell>
        </row>
        <row r="1165">
          <cell r="B1165" t="str">
            <v>LL2x2x5x0</v>
          </cell>
          <cell r="C1165">
            <v>2.3199999999999998</v>
          </cell>
          <cell r="D1165">
            <v>2</v>
          </cell>
          <cell r="F1165" t="str">
            <v>-</v>
          </cell>
          <cell r="H1165" t="str">
            <v>-</v>
          </cell>
          <cell r="I1165" t="str">
            <v>-</v>
          </cell>
          <cell r="K1165" t="str">
            <v>-</v>
          </cell>
          <cell r="L1165">
            <v>4</v>
          </cell>
          <cell r="M1165">
            <v>4</v>
          </cell>
          <cell r="O1165" t="str">
            <v>-</v>
          </cell>
          <cell r="T1165">
            <v>0.313</v>
          </cell>
          <cell r="U1165" t="str">
            <v>-</v>
          </cell>
        </row>
        <row r="1166">
          <cell r="B1166" t="str">
            <v>LL2x2x5x3</v>
          </cell>
          <cell r="C1166">
            <v>2.3199999999999998</v>
          </cell>
          <cell r="D1166">
            <v>2</v>
          </cell>
          <cell r="F1166" t="str">
            <v>-</v>
          </cell>
          <cell r="H1166" t="str">
            <v>-</v>
          </cell>
          <cell r="I1166" t="str">
            <v>-</v>
          </cell>
          <cell r="K1166" t="str">
            <v>-</v>
          </cell>
          <cell r="L1166">
            <v>4</v>
          </cell>
          <cell r="M1166">
            <v>4.375</v>
          </cell>
          <cell r="O1166" t="str">
            <v>-</v>
          </cell>
          <cell r="T1166">
            <v>0.313</v>
          </cell>
          <cell r="U1166" t="str">
            <v>-</v>
          </cell>
        </row>
        <row r="1167">
          <cell r="B1167" t="str">
            <v>LL2x2x5x6</v>
          </cell>
          <cell r="C1167">
            <v>2.3199999999999998</v>
          </cell>
          <cell r="D1167">
            <v>2</v>
          </cell>
          <cell r="F1167" t="str">
            <v>-</v>
          </cell>
          <cell r="H1167" t="str">
            <v>-</v>
          </cell>
          <cell r="I1167" t="str">
            <v>-</v>
          </cell>
          <cell r="K1167" t="str">
            <v>-</v>
          </cell>
          <cell r="L1167">
            <v>4</v>
          </cell>
          <cell r="M1167">
            <v>4.75</v>
          </cell>
          <cell r="O1167" t="str">
            <v>-</v>
          </cell>
          <cell r="T1167">
            <v>0.313</v>
          </cell>
          <cell r="U1167" t="str">
            <v>-</v>
          </cell>
        </row>
        <row r="1168">
          <cell r="B1168" t="str">
            <v>LL2x2x4x0</v>
          </cell>
          <cell r="C1168">
            <v>1.89</v>
          </cell>
          <cell r="D1168">
            <v>2</v>
          </cell>
          <cell r="F1168" t="str">
            <v>-</v>
          </cell>
          <cell r="H1168" t="str">
            <v>-</v>
          </cell>
          <cell r="I1168" t="str">
            <v>-</v>
          </cell>
          <cell r="K1168" t="str">
            <v>-</v>
          </cell>
          <cell r="L1168">
            <v>4</v>
          </cell>
          <cell r="M1168">
            <v>4</v>
          </cell>
          <cell r="O1168" t="str">
            <v>-</v>
          </cell>
          <cell r="T1168">
            <v>0.25</v>
          </cell>
          <cell r="U1168" t="str">
            <v>-</v>
          </cell>
        </row>
        <row r="1169">
          <cell r="B1169" t="str">
            <v>LL2x2x4x3</v>
          </cell>
          <cell r="C1169">
            <v>1.89</v>
          </cell>
          <cell r="D1169">
            <v>2</v>
          </cell>
          <cell r="F1169" t="str">
            <v>-</v>
          </cell>
          <cell r="H1169" t="str">
            <v>-</v>
          </cell>
          <cell r="I1169" t="str">
            <v>-</v>
          </cell>
          <cell r="K1169" t="str">
            <v>-</v>
          </cell>
          <cell r="L1169">
            <v>4</v>
          </cell>
          <cell r="M1169">
            <v>4.375</v>
          </cell>
          <cell r="O1169" t="str">
            <v>-</v>
          </cell>
          <cell r="T1169">
            <v>0.25</v>
          </cell>
          <cell r="U1169" t="str">
            <v>-</v>
          </cell>
        </row>
        <row r="1170">
          <cell r="B1170" t="str">
            <v>LL2x2x4x6</v>
          </cell>
          <cell r="C1170">
            <v>1.89</v>
          </cell>
          <cell r="D1170">
            <v>2</v>
          </cell>
          <cell r="F1170" t="str">
            <v>-</v>
          </cell>
          <cell r="H1170" t="str">
            <v>-</v>
          </cell>
          <cell r="I1170" t="str">
            <v>-</v>
          </cell>
          <cell r="K1170" t="str">
            <v>-</v>
          </cell>
          <cell r="L1170">
            <v>4</v>
          </cell>
          <cell r="M1170">
            <v>4.75</v>
          </cell>
          <cell r="O1170" t="str">
            <v>-</v>
          </cell>
          <cell r="T1170">
            <v>0.25</v>
          </cell>
          <cell r="U1170" t="str">
            <v>-</v>
          </cell>
        </row>
        <row r="1171">
          <cell r="B1171" t="str">
            <v>LL2x2x3x0</v>
          </cell>
          <cell r="C1171">
            <v>1.44</v>
          </cell>
          <cell r="D1171">
            <v>2</v>
          </cell>
          <cell r="F1171" t="str">
            <v>-</v>
          </cell>
          <cell r="H1171" t="str">
            <v>-</v>
          </cell>
          <cell r="I1171" t="str">
            <v>-</v>
          </cell>
          <cell r="K1171" t="str">
            <v>-</v>
          </cell>
          <cell r="L1171">
            <v>4</v>
          </cell>
          <cell r="M1171">
            <v>4</v>
          </cell>
          <cell r="O1171" t="str">
            <v>-</v>
          </cell>
          <cell r="T1171">
            <v>0.188</v>
          </cell>
          <cell r="U1171" t="str">
            <v>-</v>
          </cell>
        </row>
        <row r="1172">
          <cell r="B1172" t="str">
            <v>LL2x2x3x3</v>
          </cell>
          <cell r="C1172">
            <v>1.44</v>
          </cell>
          <cell r="D1172">
            <v>2</v>
          </cell>
          <cell r="F1172" t="str">
            <v>-</v>
          </cell>
          <cell r="H1172" t="str">
            <v>-</v>
          </cell>
          <cell r="I1172" t="str">
            <v>-</v>
          </cell>
          <cell r="K1172" t="str">
            <v>-</v>
          </cell>
          <cell r="L1172">
            <v>4</v>
          </cell>
          <cell r="M1172">
            <v>4.375</v>
          </cell>
          <cell r="O1172" t="str">
            <v>-</v>
          </cell>
          <cell r="T1172">
            <v>0.188</v>
          </cell>
          <cell r="U1172" t="str">
            <v>-</v>
          </cell>
        </row>
        <row r="1173">
          <cell r="B1173" t="str">
            <v>LL2x2x3x6</v>
          </cell>
          <cell r="C1173">
            <v>1.44</v>
          </cell>
          <cell r="D1173">
            <v>2</v>
          </cell>
          <cell r="F1173" t="str">
            <v>-</v>
          </cell>
          <cell r="H1173" t="str">
            <v>-</v>
          </cell>
          <cell r="I1173" t="str">
            <v>-</v>
          </cell>
          <cell r="K1173" t="str">
            <v>-</v>
          </cell>
          <cell r="L1173">
            <v>4</v>
          </cell>
          <cell r="M1173">
            <v>4.75</v>
          </cell>
          <cell r="O1173" t="str">
            <v>-</v>
          </cell>
          <cell r="T1173">
            <v>0.188</v>
          </cell>
          <cell r="U1173" t="str">
            <v>-</v>
          </cell>
        </row>
        <row r="1174">
          <cell r="B1174" t="str">
            <v>LL2x2x2x0</v>
          </cell>
          <cell r="C1174">
            <v>0.98199999999999998</v>
          </cell>
          <cell r="D1174">
            <v>2</v>
          </cell>
          <cell r="F1174" t="str">
            <v>-</v>
          </cell>
          <cell r="H1174" t="str">
            <v>-</v>
          </cell>
          <cell r="I1174" t="str">
            <v>-</v>
          </cell>
          <cell r="K1174" t="str">
            <v>-</v>
          </cell>
          <cell r="L1174">
            <v>4</v>
          </cell>
          <cell r="M1174">
            <v>4</v>
          </cell>
          <cell r="O1174" t="str">
            <v>-</v>
          </cell>
          <cell r="T1174">
            <v>0.125</v>
          </cell>
          <cell r="U1174" t="str">
            <v>-</v>
          </cell>
        </row>
        <row r="1175">
          <cell r="B1175" t="str">
            <v>LL2x2x2x3</v>
          </cell>
          <cell r="C1175">
            <v>0.98199999999999998</v>
          </cell>
          <cell r="D1175">
            <v>2</v>
          </cell>
          <cell r="F1175" t="str">
            <v>-</v>
          </cell>
          <cell r="H1175" t="str">
            <v>-</v>
          </cell>
          <cell r="I1175" t="str">
            <v>-</v>
          </cell>
          <cell r="K1175" t="str">
            <v>-</v>
          </cell>
          <cell r="L1175">
            <v>4</v>
          </cell>
          <cell r="M1175">
            <v>4.375</v>
          </cell>
          <cell r="O1175" t="str">
            <v>-</v>
          </cell>
          <cell r="T1175">
            <v>0.125</v>
          </cell>
          <cell r="U1175" t="str">
            <v>-</v>
          </cell>
        </row>
        <row r="1176">
          <cell r="B1176" t="str">
            <v>LL2x2x2x6</v>
          </cell>
          <cell r="C1176">
            <v>0.98199999999999998</v>
          </cell>
          <cell r="D1176">
            <v>2</v>
          </cell>
          <cell r="F1176" t="str">
            <v>-</v>
          </cell>
          <cell r="H1176" t="str">
            <v>-</v>
          </cell>
          <cell r="I1176" t="str">
            <v>-</v>
          </cell>
          <cell r="K1176" t="str">
            <v>-</v>
          </cell>
          <cell r="L1176">
            <v>4</v>
          </cell>
          <cell r="M1176">
            <v>4.75</v>
          </cell>
          <cell r="O1176" t="str">
            <v>-</v>
          </cell>
          <cell r="T1176">
            <v>0.125</v>
          </cell>
          <cell r="U1176" t="str">
            <v>-</v>
          </cell>
        </row>
        <row r="1177">
          <cell r="B1177" t="str">
            <v>LL8x6x16x0</v>
          </cell>
          <cell r="C1177">
            <v>26.2</v>
          </cell>
          <cell r="D1177">
            <v>6</v>
          </cell>
          <cell r="F1177" t="str">
            <v>-</v>
          </cell>
          <cell r="H1177" t="str">
            <v>-</v>
          </cell>
          <cell r="I1177" t="str">
            <v>-</v>
          </cell>
          <cell r="K1177" t="str">
            <v>-</v>
          </cell>
          <cell r="L1177">
            <v>8</v>
          </cell>
          <cell r="M1177">
            <v>12</v>
          </cell>
          <cell r="O1177" t="str">
            <v>-</v>
          </cell>
          <cell r="T1177">
            <v>1</v>
          </cell>
          <cell r="U1177" t="str">
            <v>-</v>
          </cell>
        </row>
        <row r="1178">
          <cell r="B1178" t="str">
            <v>LL8x6x16x3</v>
          </cell>
          <cell r="C1178">
            <v>26.2</v>
          </cell>
          <cell r="D1178">
            <v>6</v>
          </cell>
          <cell r="F1178" t="str">
            <v>-</v>
          </cell>
          <cell r="H1178" t="str">
            <v>-</v>
          </cell>
          <cell r="I1178" t="str">
            <v>-</v>
          </cell>
          <cell r="K1178" t="str">
            <v>-</v>
          </cell>
          <cell r="L1178">
            <v>8</v>
          </cell>
          <cell r="M1178">
            <v>12.375</v>
          </cell>
          <cell r="O1178" t="str">
            <v>-</v>
          </cell>
          <cell r="T1178">
            <v>1</v>
          </cell>
          <cell r="U1178" t="str">
            <v>-</v>
          </cell>
        </row>
        <row r="1179">
          <cell r="B1179" t="str">
            <v>LL8x6x16x6</v>
          </cell>
          <cell r="C1179">
            <v>26.2</v>
          </cell>
          <cell r="D1179">
            <v>6</v>
          </cell>
          <cell r="F1179" t="str">
            <v>-</v>
          </cell>
          <cell r="H1179" t="str">
            <v>-</v>
          </cell>
          <cell r="I1179" t="str">
            <v>-</v>
          </cell>
          <cell r="K1179" t="str">
            <v>-</v>
          </cell>
          <cell r="L1179">
            <v>8</v>
          </cell>
          <cell r="M1179">
            <v>12.75</v>
          </cell>
          <cell r="O1179" t="str">
            <v>-</v>
          </cell>
          <cell r="T1179">
            <v>1</v>
          </cell>
          <cell r="U1179" t="str">
            <v>-</v>
          </cell>
        </row>
        <row r="1180">
          <cell r="B1180" t="str">
            <v>LL8x6x14x0</v>
          </cell>
          <cell r="C1180">
            <v>23</v>
          </cell>
          <cell r="D1180">
            <v>6</v>
          </cell>
          <cell r="F1180" t="str">
            <v>-</v>
          </cell>
          <cell r="H1180" t="str">
            <v>-</v>
          </cell>
          <cell r="I1180" t="str">
            <v>-</v>
          </cell>
          <cell r="K1180" t="str">
            <v>-</v>
          </cell>
          <cell r="L1180">
            <v>8</v>
          </cell>
          <cell r="M1180">
            <v>12</v>
          </cell>
          <cell r="O1180" t="str">
            <v>-</v>
          </cell>
          <cell r="T1180">
            <v>0.875</v>
          </cell>
          <cell r="U1180" t="str">
            <v>-</v>
          </cell>
        </row>
        <row r="1181">
          <cell r="B1181" t="str">
            <v>LL8x6x14x3</v>
          </cell>
          <cell r="C1181">
            <v>23</v>
          </cell>
          <cell r="D1181">
            <v>6</v>
          </cell>
          <cell r="F1181" t="str">
            <v>-</v>
          </cell>
          <cell r="H1181" t="str">
            <v>-</v>
          </cell>
          <cell r="I1181" t="str">
            <v>-</v>
          </cell>
          <cell r="K1181" t="str">
            <v>-</v>
          </cell>
          <cell r="L1181">
            <v>8</v>
          </cell>
          <cell r="M1181">
            <v>12.375</v>
          </cell>
          <cell r="O1181" t="str">
            <v>-</v>
          </cell>
          <cell r="T1181">
            <v>0.875</v>
          </cell>
          <cell r="U1181" t="str">
            <v>-</v>
          </cell>
        </row>
        <row r="1182">
          <cell r="B1182" t="str">
            <v>LL8x6x14x6</v>
          </cell>
          <cell r="C1182">
            <v>23</v>
          </cell>
          <cell r="D1182">
            <v>6</v>
          </cell>
          <cell r="F1182" t="str">
            <v>-</v>
          </cell>
          <cell r="H1182" t="str">
            <v>-</v>
          </cell>
          <cell r="I1182" t="str">
            <v>-</v>
          </cell>
          <cell r="K1182" t="str">
            <v>-</v>
          </cell>
          <cell r="L1182">
            <v>8</v>
          </cell>
          <cell r="M1182">
            <v>12.75</v>
          </cell>
          <cell r="O1182" t="str">
            <v>-</v>
          </cell>
          <cell r="T1182">
            <v>0.875</v>
          </cell>
          <cell r="U1182" t="str">
            <v>-</v>
          </cell>
        </row>
        <row r="1183">
          <cell r="B1183" t="str">
            <v>LL8x6x12x0</v>
          </cell>
          <cell r="C1183">
            <v>20</v>
          </cell>
          <cell r="D1183">
            <v>6</v>
          </cell>
          <cell r="F1183" t="str">
            <v>-</v>
          </cell>
          <cell r="H1183" t="str">
            <v>-</v>
          </cell>
          <cell r="I1183" t="str">
            <v>-</v>
          </cell>
          <cell r="K1183" t="str">
            <v>-</v>
          </cell>
          <cell r="L1183">
            <v>8</v>
          </cell>
          <cell r="M1183">
            <v>12</v>
          </cell>
          <cell r="O1183" t="str">
            <v>-</v>
          </cell>
          <cell r="T1183">
            <v>0.75</v>
          </cell>
          <cell r="U1183" t="str">
            <v>-</v>
          </cell>
        </row>
        <row r="1184">
          <cell r="B1184" t="str">
            <v>LL8x6x12x3</v>
          </cell>
          <cell r="C1184">
            <v>20</v>
          </cell>
          <cell r="D1184">
            <v>6</v>
          </cell>
          <cell r="F1184" t="str">
            <v>-</v>
          </cell>
          <cell r="H1184" t="str">
            <v>-</v>
          </cell>
          <cell r="I1184" t="str">
            <v>-</v>
          </cell>
          <cell r="K1184" t="str">
            <v>-</v>
          </cell>
          <cell r="L1184">
            <v>8</v>
          </cell>
          <cell r="M1184">
            <v>12.375</v>
          </cell>
          <cell r="O1184" t="str">
            <v>-</v>
          </cell>
          <cell r="T1184">
            <v>0.75</v>
          </cell>
          <cell r="U1184" t="str">
            <v>-</v>
          </cell>
        </row>
        <row r="1185">
          <cell r="B1185" t="str">
            <v>LL8x6x12x6</v>
          </cell>
          <cell r="C1185">
            <v>20</v>
          </cell>
          <cell r="D1185">
            <v>6</v>
          </cell>
          <cell r="F1185" t="str">
            <v>-</v>
          </cell>
          <cell r="H1185" t="str">
            <v>-</v>
          </cell>
          <cell r="I1185" t="str">
            <v>-</v>
          </cell>
          <cell r="K1185" t="str">
            <v>-</v>
          </cell>
          <cell r="L1185">
            <v>8</v>
          </cell>
          <cell r="M1185">
            <v>12.75</v>
          </cell>
          <cell r="O1185" t="str">
            <v>-</v>
          </cell>
          <cell r="T1185">
            <v>0.75</v>
          </cell>
          <cell r="U1185" t="str">
            <v>-</v>
          </cell>
        </row>
        <row r="1186">
          <cell r="B1186" t="str">
            <v>LL8x6x10x0</v>
          </cell>
          <cell r="C1186">
            <v>16.8</v>
          </cell>
          <cell r="D1186">
            <v>6</v>
          </cell>
          <cell r="F1186" t="str">
            <v>-</v>
          </cell>
          <cell r="H1186" t="str">
            <v>-</v>
          </cell>
          <cell r="I1186" t="str">
            <v>-</v>
          </cell>
          <cell r="K1186" t="str">
            <v>-</v>
          </cell>
          <cell r="L1186">
            <v>8</v>
          </cell>
          <cell r="M1186">
            <v>12</v>
          </cell>
          <cell r="O1186" t="str">
            <v>-</v>
          </cell>
          <cell r="T1186">
            <v>0.625</v>
          </cell>
          <cell r="U1186" t="str">
            <v>-</v>
          </cell>
        </row>
        <row r="1187">
          <cell r="B1187" t="str">
            <v>LL8x6x10x3</v>
          </cell>
          <cell r="C1187">
            <v>16.8</v>
          </cell>
          <cell r="D1187">
            <v>6</v>
          </cell>
          <cell r="F1187" t="str">
            <v>-</v>
          </cell>
          <cell r="H1187" t="str">
            <v>-</v>
          </cell>
          <cell r="I1187" t="str">
            <v>-</v>
          </cell>
          <cell r="K1187" t="str">
            <v>-</v>
          </cell>
          <cell r="L1187">
            <v>8</v>
          </cell>
          <cell r="M1187">
            <v>12.375</v>
          </cell>
          <cell r="O1187" t="str">
            <v>-</v>
          </cell>
          <cell r="T1187">
            <v>0.625</v>
          </cell>
          <cell r="U1187" t="str">
            <v>-</v>
          </cell>
        </row>
        <row r="1188">
          <cell r="B1188" t="str">
            <v>LL8x6x10x6</v>
          </cell>
          <cell r="C1188">
            <v>16.8</v>
          </cell>
          <cell r="D1188">
            <v>6</v>
          </cell>
          <cell r="F1188" t="str">
            <v>-</v>
          </cell>
          <cell r="H1188" t="str">
            <v>-</v>
          </cell>
          <cell r="I1188" t="str">
            <v>-</v>
          </cell>
          <cell r="K1188" t="str">
            <v>-</v>
          </cell>
          <cell r="L1188">
            <v>8</v>
          </cell>
          <cell r="M1188">
            <v>12.75</v>
          </cell>
          <cell r="O1188" t="str">
            <v>-</v>
          </cell>
          <cell r="T1188">
            <v>0.625</v>
          </cell>
          <cell r="U1188" t="str">
            <v>-</v>
          </cell>
        </row>
        <row r="1189">
          <cell r="B1189" t="str">
            <v>LL8x6x9x0</v>
          </cell>
          <cell r="C1189">
            <v>15.2</v>
          </cell>
          <cell r="D1189">
            <v>6</v>
          </cell>
          <cell r="F1189" t="str">
            <v>-</v>
          </cell>
          <cell r="H1189" t="str">
            <v>-</v>
          </cell>
          <cell r="I1189" t="str">
            <v>-</v>
          </cell>
          <cell r="K1189" t="str">
            <v>-</v>
          </cell>
          <cell r="L1189">
            <v>8</v>
          </cell>
          <cell r="M1189">
            <v>12</v>
          </cell>
          <cell r="O1189" t="str">
            <v>-</v>
          </cell>
          <cell r="T1189">
            <v>0.56299999999999994</v>
          </cell>
          <cell r="U1189" t="str">
            <v>-</v>
          </cell>
        </row>
        <row r="1190">
          <cell r="B1190" t="str">
            <v>LL8x6x9x3</v>
          </cell>
          <cell r="C1190">
            <v>15.2</v>
          </cell>
          <cell r="D1190">
            <v>6</v>
          </cell>
          <cell r="F1190" t="str">
            <v>-</v>
          </cell>
          <cell r="H1190" t="str">
            <v>-</v>
          </cell>
          <cell r="I1190" t="str">
            <v>-</v>
          </cell>
          <cell r="K1190" t="str">
            <v>-</v>
          </cell>
          <cell r="L1190">
            <v>8</v>
          </cell>
          <cell r="M1190">
            <v>12.375</v>
          </cell>
          <cell r="O1190" t="str">
            <v>-</v>
          </cell>
          <cell r="T1190">
            <v>0.56299999999999994</v>
          </cell>
          <cell r="U1190" t="str">
            <v>-</v>
          </cell>
        </row>
        <row r="1191">
          <cell r="B1191" t="str">
            <v>LL8x6x9x6</v>
          </cell>
          <cell r="C1191">
            <v>15.2</v>
          </cell>
          <cell r="D1191">
            <v>6</v>
          </cell>
          <cell r="F1191" t="str">
            <v>-</v>
          </cell>
          <cell r="H1191" t="str">
            <v>-</v>
          </cell>
          <cell r="I1191" t="str">
            <v>-</v>
          </cell>
          <cell r="K1191" t="str">
            <v>-</v>
          </cell>
          <cell r="L1191">
            <v>8</v>
          </cell>
          <cell r="M1191">
            <v>12.75</v>
          </cell>
          <cell r="O1191" t="str">
            <v>-</v>
          </cell>
          <cell r="T1191">
            <v>0.56299999999999994</v>
          </cell>
          <cell r="U1191" t="str">
            <v>-</v>
          </cell>
        </row>
        <row r="1192">
          <cell r="B1192" t="str">
            <v>LL8x6x8x0</v>
          </cell>
          <cell r="C1192">
            <v>13.6</v>
          </cell>
          <cell r="D1192">
            <v>6</v>
          </cell>
          <cell r="F1192" t="str">
            <v>-</v>
          </cell>
          <cell r="H1192" t="str">
            <v>-</v>
          </cell>
          <cell r="I1192" t="str">
            <v>-</v>
          </cell>
          <cell r="K1192" t="str">
            <v>-</v>
          </cell>
          <cell r="L1192">
            <v>8</v>
          </cell>
          <cell r="M1192">
            <v>12</v>
          </cell>
          <cell r="O1192" t="str">
            <v>-</v>
          </cell>
          <cell r="T1192">
            <v>0.5</v>
          </cell>
          <cell r="U1192" t="str">
            <v>-</v>
          </cell>
        </row>
        <row r="1193">
          <cell r="B1193" t="str">
            <v>LL8x6x8x3</v>
          </cell>
          <cell r="C1193">
            <v>13.6</v>
          </cell>
          <cell r="D1193">
            <v>6</v>
          </cell>
          <cell r="F1193" t="str">
            <v>-</v>
          </cell>
          <cell r="H1193" t="str">
            <v>-</v>
          </cell>
          <cell r="I1193" t="str">
            <v>-</v>
          </cell>
          <cell r="K1193" t="str">
            <v>-</v>
          </cell>
          <cell r="L1193">
            <v>8</v>
          </cell>
          <cell r="M1193">
            <v>12.375</v>
          </cell>
          <cell r="O1193" t="str">
            <v>-</v>
          </cell>
          <cell r="T1193">
            <v>0.5</v>
          </cell>
          <cell r="U1193" t="str">
            <v>-</v>
          </cell>
        </row>
        <row r="1194">
          <cell r="B1194" t="str">
            <v>LL8x6x8x6</v>
          </cell>
          <cell r="C1194">
            <v>13.6</v>
          </cell>
          <cell r="D1194">
            <v>6</v>
          </cell>
          <cell r="F1194" t="str">
            <v>-</v>
          </cell>
          <cell r="H1194" t="str">
            <v>-</v>
          </cell>
          <cell r="I1194" t="str">
            <v>-</v>
          </cell>
          <cell r="K1194" t="str">
            <v>-</v>
          </cell>
          <cell r="L1194">
            <v>8</v>
          </cell>
          <cell r="M1194">
            <v>12.75</v>
          </cell>
          <cell r="O1194" t="str">
            <v>-</v>
          </cell>
          <cell r="T1194">
            <v>0.5</v>
          </cell>
          <cell r="U1194" t="str">
            <v>-</v>
          </cell>
        </row>
        <row r="1195">
          <cell r="B1195" t="str">
            <v>LL8x6x7x0</v>
          </cell>
          <cell r="C1195">
            <v>12</v>
          </cell>
          <cell r="D1195">
            <v>6</v>
          </cell>
          <cell r="F1195" t="str">
            <v>-</v>
          </cell>
          <cell r="H1195" t="str">
            <v>-</v>
          </cell>
          <cell r="I1195" t="str">
            <v>-</v>
          </cell>
          <cell r="K1195" t="str">
            <v>-</v>
          </cell>
          <cell r="L1195">
            <v>8</v>
          </cell>
          <cell r="M1195">
            <v>12</v>
          </cell>
          <cell r="O1195" t="str">
            <v>-</v>
          </cell>
          <cell r="T1195">
            <v>0.438</v>
          </cell>
          <cell r="U1195" t="str">
            <v>-</v>
          </cell>
        </row>
        <row r="1196">
          <cell r="B1196" t="str">
            <v>LL8x6x7x3</v>
          </cell>
          <cell r="C1196">
            <v>12</v>
          </cell>
          <cell r="D1196">
            <v>6</v>
          </cell>
          <cell r="F1196" t="str">
            <v>-</v>
          </cell>
          <cell r="H1196" t="str">
            <v>-</v>
          </cell>
          <cell r="I1196" t="str">
            <v>-</v>
          </cell>
          <cell r="K1196" t="str">
            <v>-</v>
          </cell>
          <cell r="L1196">
            <v>8</v>
          </cell>
          <cell r="M1196">
            <v>12.375</v>
          </cell>
          <cell r="O1196" t="str">
            <v>-</v>
          </cell>
          <cell r="T1196">
            <v>0.438</v>
          </cell>
          <cell r="U1196" t="str">
            <v>-</v>
          </cell>
        </row>
        <row r="1197">
          <cell r="B1197" t="str">
            <v>LL8x6x7x6</v>
          </cell>
          <cell r="C1197">
            <v>12</v>
          </cell>
          <cell r="D1197">
            <v>6</v>
          </cell>
          <cell r="F1197" t="str">
            <v>-</v>
          </cell>
          <cell r="H1197" t="str">
            <v>-</v>
          </cell>
          <cell r="I1197" t="str">
            <v>-</v>
          </cell>
          <cell r="K1197" t="str">
            <v>-</v>
          </cell>
          <cell r="L1197">
            <v>8</v>
          </cell>
          <cell r="M1197">
            <v>12.75</v>
          </cell>
          <cell r="O1197" t="str">
            <v>-</v>
          </cell>
          <cell r="T1197">
            <v>0.438</v>
          </cell>
          <cell r="U1197" t="str">
            <v>-</v>
          </cell>
        </row>
        <row r="1198">
          <cell r="B1198" t="str">
            <v>LL8x4x16x0</v>
          </cell>
          <cell r="C1198">
            <v>22.2</v>
          </cell>
          <cell r="D1198">
            <v>4</v>
          </cell>
          <cell r="F1198" t="str">
            <v>-</v>
          </cell>
          <cell r="H1198" t="str">
            <v>-</v>
          </cell>
          <cell r="I1198" t="str">
            <v>-</v>
          </cell>
          <cell r="K1198" t="str">
            <v>-</v>
          </cell>
          <cell r="L1198">
            <v>8</v>
          </cell>
          <cell r="M1198">
            <v>8</v>
          </cell>
          <cell r="O1198" t="str">
            <v>-</v>
          </cell>
          <cell r="T1198">
            <v>1</v>
          </cell>
          <cell r="U1198" t="str">
            <v>-</v>
          </cell>
        </row>
        <row r="1199">
          <cell r="B1199" t="str">
            <v>LL8x4x16x3</v>
          </cell>
          <cell r="C1199">
            <v>22.2</v>
          </cell>
          <cell r="D1199">
            <v>4</v>
          </cell>
          <cell r="F1199" t="str">
            <v>-</v>
          </cell>
          <cell r="H1199" t="str">
            <v>-</v>
          </cell>
          <cell r="I1199" t="str">
            <v>-</v>
          </cell>
          <cell r="K1199" t="str">
            <v>-</v>
          </cell>
          <cell r="L1199">
            <v>8</v>
          </cell>
          <cell r="M1199">
            <v>8.375</v>
          </cell>
          <cell r="O1199" t="str">
            <v>-</v>
          </cell>
          <cell r="T1199">
            <v>1</v>
          </cell>
          <cell r="U1199" t="str">
            <v>-</v>
          </cell>
        </row>
        <row r="1200">
          <cell r="B1200" t="str">
            <v>LL8x4x16x6</v>
          </cell>
          <cell r="C1200">
            <v>22.2</v>
          </cell>
          <cell r="D1200">
            <v>4</v>
          </cell>
          <cell r="F1200" t="str">
            <v>-</v>
          </cell>
          <cell r="H1200" t="str">
            <v>-</v>
          </cell>
          <cell r="I1200" t="str">
            <v>-</v>
          </cell>
          <cell r="K1200" t="str">
            <v>-</v>
          </cell>
          <cell r="L1200">
            <v>8</v>
          </cell>
          <cell r="M1200">
            <v>8.75</v>
          </cell>
          <cell r="O1200" t="str">
            <v>-</v>
          </cell>
          <cell r="T1200">
            <v>1</v>
          </cell>
          <cell r="U1200" t="str">
            <v>-</v>
          </cell>
        </row>
        <row r="1201">
          <cell r="B1201" t="str">
            <v>LL8x4x14x0</v>
          </cell>
          <cell r="C1201">
            <v>19.600000000000001</v>
          </cell>
          <cell r="D1201">
            <v>4</v>
          </cell>
          <cell r="F1201" t="str">
            <v>-</v>
          </cell>
          <cell r="H1201" t="str">
            <v>-</v>
          </cell>
          <cell r="I1201" t="str">
            <v>-</v>
          </cell>
          <cell r="K1201" t="str">
            <v>-</v>
          </cell>
          <cell r="L1201">
            <v>8</v>
          </cell>
          <cell r="M1201">
            <v>8</v>
          </cell>
          <cell r="O1201" t="str">
            <v>-</v>
          </cell>
          <cell r="T1201">
            <v>0.875</v>
          </cell>
          <cell r="U1201" t="str">
            <v>-</v>
          </cell>
        </row>
        <row r="1202">
          <cell r="B1202" t="str">
            <v>LL8x4x14x3</v>
          </cell>
          <cell r="C1202">
            <v>19.600000000000001</v>
          </cell>
          <cell r="D1202">
            <v>4</v>
          </cell>
          <cell r="F1202" t="str">
            <v>-</v>
          </cell>
          <cell r="H1202" t="str">
            <v>-</v>
          </cell>
          <cell r="I1202" t="str">
            <v>-</v>
          </cell>
          <cell r="K1202" t="str">
            <v>-</v>
          </cell>
          <cell r="L1202">
            <v>8</v>
          </cell>
          <cell r="M1202">
            <v>8.375</v>
          </cell>
          <cell r="O1202" t="str">
            <v>-</v>
          </cell>
          <cell r="T1202">
            <v>0.875</v>
          </cell>
          <cell r="U1202" t="str">
            <v>-</v>
          </cell>
        </row>
        <row r="1203">
          <cell r="B1203" t="str">
            <v>LL8x4x14x6</v>
          </cell>
          <cell r="C1203">
            <v>19.600000000000001</v>
          </cell>
          <cell r="D1203">
            <v>4</v>
          </cell>
          <cell r="F1203" t="str">
            <v>-</v>
          </cell>
          <cell r="H1203" t="str">
            <v>-</v>
          </cell>
          <cell r="I1203" t="str">
            <v>-</v>
          </cell>
          <cell r="K1203" t="str">
            <v>-</v>
          </cell>
          <cell r="L1203">
            <v>8</v>
          </cell>
          <cell r="M1203">
            <v>8.75</v>
          </cell>
          <cell r="O1203" t="str">
            <v>-</v>
          </cell>
          <cell r="T1203">
            <v>0.875</v>
          </cell>
          <cell r="U1203" t="str">
            <v>-</v>
          </cell>
        </row>
        <row r="1204">
          <cell r="B1204" t="str">
            <v>LL8x4x12x0</v>
          </cell>
          <cell r="C1204">
            <v>17</v>
          </cell>
          <cell r="D1204">
            <v>4</v>
          </cell>
          <cell r="F1204" t="str">
            <v>-</v>
          </cell>
          <cell r="H1204" t="str">
            <v>-</v>
          </cell>
          <cell r="I1204" t="str">
            <v>-</v>
          </cell>
          <cell r="K1204" t="str">
            <v>-</v>
          </cell>
          <cell r="L1204">
            <v>8</v>
          </cell>
          <cell r="M1204">
            <v>8</v>
          </cell>
          <cell r="O1204" t="str">
            <v>-</v>
          </cell>
          <cell r="T1204">
            <v>0.75</v>
          </cell>
          <cell r="U1204" t="str">
            <v>-</v>
          </cell>
        </row>
        <row r="1205">
          <cell r="B1205" t="str">
            <v>LL8x4x12x3</v>
          </cell>
          <cell r="C1205">
            <v>17</v>
          </cell>
          <cell r="D1205">
            <v>4</v>
          </cell>
          <cell r="F1205" t="str">
            <v>-</v>
          </cell>
          <cell r="H1205" t="str">
            <v>-</v>
          </cell>
          <cell r="I1205" t="str">
            <v>-</v>
          </cell>
          <cell r="K1205" t="str">
            <v>-</v>
          </cell>
          <cell r="L1205">
            <v>8</v>
          </cell>
          <cell r="M1205">
            <v>8.375</v>
          </cell>
          <cell r="O1205" t="str">
            <v>-</v>
          </cell>
          <cell r="T1205">
            <v>0.75</v>
          </cell>
          <cell r="U1205" t="str">
            <v>-</v>
          </cell>
        </row>
        <row r="1206">
          <cell r="B1206" t="str">
            <v>LL8x4x12x6</v>
          </cell>
          <cell r="C1206">
            <v>17</v>
          </cell>
          <cell r="D1206">
            <v>4</v>
          </cell>
          <cell r="F1206" t="str">
            <v>-</v>
          </cell>
          <cell r="H1206" t="str">
            <v>-</v>
          </cell>
          <cell r="I1206" t="str">
            <v>-</v>
          </cell>
          <cell r="K1206" t="str">
            <v>-</v>
          </cell>
          <cell r="L1206">
            <v>8</v>
          </cell>
          <cell r="M1206">
            <v>8.75</v>
          </cell>
          <cell r="O1206" t="str">
            <v>-</v>
          </cell>
          <cell r="T1206">
            <v>0.75</v>
          </cell>
          <cell r="U1206" t="str">
            <v>-</v>
          </cell>
        </row>
        <row r="1207">
          <cell r="B1207" t="str">
            <v>LL8x4x10x0</v>
          </cell>
          <cell r="C1207">
            <v>14.3</v>
          </cell>
          <cell r="D1207">
            <v>4</v>
          </cell>
          <cell r="F1207" t="str">
            <v>-</v>
          </cell>
          <cell r="H1207" t="str">
            <v>-</v>
          </cell>
          <cell r="I1207" t="str">
            <v>-</v>
          </cell>
          <cell r="K1207" t="str">
            <v>-</v>
          </cell>
          <cell r="L1207">
            <v>8</v>
          </cell>
          <cell r="M1207">
            <v>8</v>
          </cell>
          <cell r="O1207" t="str">
            <v>-</v>
          </cell>
          <cell r="T1207">
            <v>0.625</v>
          </cell>
          <cell r="U1207" t="str">
            <v>-</v>
          </cell>
        </row>
        <row r="1208">
          <cell r="B1208" t="str">
            <v>LL8x4x10x3</v>
          </cell>
          <cell r="C1208">
            <v>14.3</v>
          </cell>
          <cell r="D1208">
            <v>4</v>
          </cell>
          <cell r="F1208" t="str">
            <v>-</v>
          </cell>
          <cell r="H1208" t="str">
            <v>-</v>
          </cell>
          <cell r="I1208" t="str">
            <v>-</v>
          </cell>
          <cell r="K1208" t="str">
            <v>-</v>
          </cell>
          <cell r="L1208">
            <v>8</v>
          </cell>
          <cell r="M1208">
            <v>8.375</v>
          </cell>
          <cell r="O1208" t="str">
            <v>-</v>
          </cell>
          <cell r="T1208">
            <v>0.625</v>
          </cell>
          <cell r="U1208" t="str">
            <v>-</v>
          </cell>
        </row>
        <row r="1209">
          <cell r="B1209" t="str">
            <v>LL8x4x10x6</v>
          </cell>
          <cell r="C1209">
            <v>14.3</v>
          </cell>
          <cell r="D1209">
            <v>4</v>
          </cell>
          <cell r="F1209" t="str">
            <v>-</v>
          </cell>
          <cell r="H1209" t="str">
            <v>-</v>
          </cell>
          <cell r="I1209" t="str">
            <v>-</v>
          </cell>
          <cell r="K1209" t="str">
            <v>-</v>
          </cell>
          <cell r="L1209">
            <v>8</v>
          </cell>
          <cell r="M1209">
            <v>8.75</v>
          </cell>
          <cell r="O1209" t="str">
            <v>-</v>
          </cell>
          <cell r="T1209">
            <v>0.625</v>
          </cell>
          <cell r="U1209" t="str">
            <v>-</v>
          </cell>
        </row>
        <row r="1210">
          <cell r="B1210" t="str">
            <v>LL8x4x9x0</v>
          </cell>
          <cell r="C1210">
            <v>13</v>
          </cell>
          <cell r="D1210">
            <v>4</v>
          </cell>
          <cell r="F1210" t="str">
            <v>-</v>
          </cell>
          <cell r="H1210" t="str">
            <v>-</v>
          </cell>
          <cell r="I1210" t="str">
            <v>-</v>
          </cell>
          <cell r="K1210" t="str">
            <v>-</v>
          </cell>
          <cell r="L1210">
            <v>8</v>
          </cell>
          <cell r="M1210">
            <v>8</v>
          </cell>
          <cell r="O1210" t="str">
            <v>-</v>
          </cell>
          <cell r="T1210">
            <v>0.56299999999999994</v>
          </cell>
          <cell r="U1210" t="str">
            <v>-</v>
          </cell>
        </row>
        <row r="1211">
          <cell r="B1211" t="str">
            <v>LL8x4x9x3</v>
          </cell>
          <cell r="C1211">
            <v>13</v>
          </cell>
          <cell r="D1211">
            <v>4</v>
          </cell>
          <cell r="F1211" t="str">
            <v>-</v>
          </cell>
          <cell r="H1211" t="str">
            <v>-</v>
          </cell>
          <cell r="I1211" t="str">
            <v>-</v>
          </cell>
          <cell r="K1211" t="str">
            <v>-</v>
          </cell>
          <cell r="L1211">
            <v>8</v>
          </cell>
          <cell r="M1211">
            <v>8.375</v>
          </cell>
          <cell r="O1211" t="str">
            <v>-</v>
          </cell>
          <cell r="T1211">
            <v>0.56299999999999994</v>
          </cell>
          <cell r="U1211" t="str">
            <v>-</v>
          </cell>
        </row>
        <row r="1212">
          <cell r="B1212" t="str">
            <v>LL8x4x9x6</v>
          </cell>
          <cell r="C1212">
            <v>13</v>
          </cell>
          <cell r="D1212">
            <v>4</v>
          </cell>
          <cell r="F1212" t="str">
            <v>-</v>
          </cell>
          <cell r="H1212" t="str">
            <v>-</v>
          </cell>
          <cell r="I1212" t="str">
            <v>-</v>
          </cell>
          <cell r="K1212" t="str">
            <v>-</v>
          </cell>
          <cell r="L1212">
            <v>8</v>
          </cell>
          <cell r="M1212">
            <v>8.75</v>
          </cell>
          <cell r="O1212" t="str">
            <v>-</v>
          </cell>
          <cell r="T1212">
            <v>0.56299999999999994</v>
          </cell>
          <cell r="U1212" t="str">
            <v>-</v>
          </cell>
        </row>
        <row r="1213">
          <cell r="B1213" t="str">
            <v>LL8x4x8x0</v>
          </cell>
          <cell r="C1213">
            <v>11.6</v>
          </cell>
          <cell r="D1213">
            <v>4</v>
          </cell>
          <cell r="F1213" t="str">
            <v>-</v>
          </cell>
          <cell r="H1213" t="str">
            <v>-</v>
          </cell>
          <cell r="I1213" t="str">
            <v>-</v>
          </cell>
          <cell r="K1213" t="str">
            <v>-</v>
          </cell>
          <cell r="L1213">
            <v>8</v>
          </cell>
          <cell r="M1213">
            <v>8</v>
          </cell>
          <cell r="O1213" t="str">
            <v>-</v>
          </cell>
          <cell r="T1213">
            <v>0.5</v>
          </cell>
          <cell r="U1213" t="str">
            <v>-</v>
          </cell>
        </row>
        <row r="1214">
          <cell r="B1214" t="str">
            <v>LL8x4x8x3</v>
          </cell>
          <cell r="C1214">
            <v>11.6</v>
          </cell>
          <cell r="D1214">
            <v>4</v>
          </cell>
          <cell r="F1214" t="str">
            <v>-</v>
          </cell>
          <cell r="H1214" t="str">
            <v>-</v>
          </cell>
          <cell r="I1214" t="str">
            <v>-</v>
          </cell>
          <cell r="K1214" t="str">
            <v>-</v>
          </cell>
          <cell r="L1214">
            <v>8</v>
          </cell>
          <cell r="M1214">
            <v>8.375</v>
          </cell>
          <cell r="O1214" t="str">
            <v>-</v>
          </cell>
          <cell r="T1214">
            <v>0.5</v>
          </cell>
          <cell r="U1214" t="str">
            <v>-</v>
          </cell>
        </row>
        <row r="1215">
          <cell r="B1215" t="str">
            <v>LL8x4x8x6</v>
          </cell>
          <cell r="C1215">
            <v>11.6</v>
          </cell>
          <cell r="D1215">
            <v>4</v>
          </cell>
          <cell r="F1215" t="str">
            <v>-</v>
          </cell>
          <cell r="H1215" t="str">
            <v>-</v>
          </cell>
          <cell r="I1215" t="str">
            <v>-</v>
          </cell>
          <cell r="K1215" t="str">
            <v>-</v>
          </cell>
          <cell r="L1215">
            <v>8</v>
          </cell>
          <cell r="M1215">
            <v>8.75</v>
          </cell>
          <cell r="O1215" t="str">
            <v>-</v>
          </cell>
          <cell r="T1215">
            <v>0.5</v>
          </cell>
          <cell r="U1215" t="str">
            <v>-</v>
          </cell>
        </row>
        <row r="1216">
          <cell r="B1216" t="str">
            <v>LL8x4x7x0</v>
          </cell>
          <cell r="C1216">
            <v>10.199999999999999</v>
          </cell>
          <cell r="D1216">
            <v>4</v>
          </cell>
          <cell r="F1216" t="str">
            <v>-</v>
          </cell>
          <cell r="H1216" t="str">
            <v>-</v>
          </cell>
          <cell r="I1216" t="str">
            <v>-</v>
          </cell>
          <cell r="K1216" t="str">
            <v>-</v>
          </cell>
          <cell r="L1216">
            <v>8</v>
          </cell>
          <cell r="M1216">
            <v>8</v>
          </cell>
          <cell r="O1216" t="str">
            <v>-</v>
          </cell>
          <cell r="T1216">
            <v>0.438</v>
          </cell>
          <cell r="U1216" t="str">
            <v>-</v>
          </cell>
        </row>
        <row r="1217">
          <cell r="B1217" t="str">
            <v>LL8x4x7x3</v>
          </cell>
          <cell r="C1217">
            <v>10.199999999999999</v>
          </cell>
          <cell r="D1217">
            <v>4</v>
          </cell>
          <cell r="F1217" t="str">
            <v>-</v>
          </cell>
          <cell r="H1217" t="str">
            <v>-</v>
          </cell>
          <cell r="I1217" t="str">
            <v>-</v>
          </cell>
          <cell r="K1217" t="str">
            <v>-</v>
          </cell>
          <cell r="L1217">
            <v>8</v>
          </cell>
          <cell r="M1217">
            <v>8.375</v>
          </cell>
          <cell r="O1217" t="str">
            <v>-</v>
          </cell>
          <cell r="T1217">
            <v>0.438</v>
          </cell>
          <cell r="U1217" t="str">
            <v>-</v>
          </cell>
        </row>
        <row r="1218">
          <cell r="B1218" t="str">
            <v>LL8x4x7x6</v>
          </cell>
          <cell r="C1218">
            <v>10.199999999999999</v>
          </cell>
          <cell r="D1218">
            <v>4</v>
          </cell>
          <cell r="F1218" t="str">
            <v>-</v>
          </cell>
          <cell r="H1218" t="str">
            <v>-</v>
          </cell>
          <cell r="I1218" t="str">
            <v>-</v>
          </cell>
          <cell r="K1218" t="str">
            <v>-</v>
          </cell>
          <cell r="L1218">
            <v>8</v>
          </cell>
          <cell r="M1218">
            <v>8.75</v>
          </cell>
          <cell r="O1218" t="str">
            <v>-</v>
          </cell>
          <cell r="T1218">
            <v>0.438</v>
          </cell>
          <cell r="U1218" t="str">
            <v>-</v>
          </cell>
        </row>
        <row r="1219">
          <cell r="B1219" t="str">
            <v>LL7x4x12x0</v>
          </cell>
          <cell r="C1219">
            <v>15.5</v>
          </cell>
          <cell r="D1219">
            <v>4</v>
          </cell>
          <cell r="F1219" t="str">
            <v>-</v>
          </cell>
          <cell r="H1219" t="str">
            <v>-</v>
          </cell>
          <cell r="I1219" t="str">
            <v>-</v>
          </cell>
          <cell r="K1219" t="str">
            <v>-</v>
          </cell>
          <cell r="L1219">
            <v>7</v>
          </cell>
          <cell r="M1219">
            <v>8</v>
          </cell>
          <cell r="O1219" t="str">
            <v>-</v>
          </cell>
          <cell r="T1219">
            <v>0.75</v>
          </cell>
          <cell r="U1219" t="str">
            <v>-</v>
          </cell>
        </row>
        <row r="1220">
          <cell r="B1220" t="str">
            <v>LL7x4x12x3</v>
          </cell>
          <cell r="C1220">
            <v>15.5</v>
          </cell>
          <cell r="D1220">
            <v>4</v>
          </cell>
          <cell r="F1220" t="str">
            <v>-</v>
          </cell>
          <cell r="H1220" t="str">
            <v>-</v>
          </cell>
          <cell r="I1220" t="str">
            <v>-</v>
          </cell>
          <cell r="K1220" t="str">
            <v>-</v>
          </cell>
          <cell r="L1220">
            <v>7</v>
          </cell>
          <cell r="M1220">
            <v>8.375</v>
          </cell>
          <cell r="O1220" t="str">
            <v>-</v>
          </cell>
          <cell r="T1220">
            <v>0.75</v>
          </cell>
          <cell r="U1220" t="str">
            <v>-</v>
          </cell>
        </row>
        <row r="1221">
          <cell r="B1221" t="str">
            <v>LL7x4x12x6</v>
          </cell>
          <cell r="C1221">
            <v>15.5</v>
          </cell>
          <cell r="D1221">
            <v>4</v>
          </cell>
          <cell r="F1221" t="str">
            <v>-</v>
          </cell>
          <cell r="H1221" t="str">
            <v>-</v>
          </cell>
          <cell r="I1221" t="str">
            <v>-</v>
          </cell>
          <cell r="K1221" t="str">
            <v>-</v>
          </cell>
          <cell r="L1221">
            <v>7</v>
          </cell>
          <cell r="M1221">
            <v>8.75</v>
          </cell>
          <cell r="O1221" t="str">
            <v>-</v>
          </cell>
          <cell r="T1221">
            <v>0.75</v>
          </cell>
          <cell r="U1221" t="str">
            <v>-</v>
          </cell>
        </row>
        <row r="1222">
          <cell r="B1222" t="str">
            <v>LL7x4x10x0</v>
          </cell>
          <cell r="C1222">
            <v>13</v>
          </cell>
          <cell r="D1222">
            <v>4</v>
          </cell>
          <cell r="F1222" t="str">
            <v>-</v>
          </cell>
          <cell r="H1222" t="str">
            <v>-</v>
          </cell>
          <cell r="I1222" t="str">
            <v>-</v>
          </cell>
          <cell r="K1222" t="str">
            <v>-</v>
          </cell>
          <cell r="L1222">
            <v>7</v>
          </cell>
          <cell r="M1222">
            <v>8</v>
          </cell>
          <cell r="O1222" t="str">
            <v>-</v>
          </cell>
          <cell r="T1222">
            <v>0.625</v>
          </cell>
          <cell r="U1222" t="str">
            <v>-</v>
          </cell>
        </row>
        <row r="1223">
          <cell r="B1223" t="str">
            <v>LL7x4x10x3</v>
          </cell>
          <cell r="C1223">
            <v>13</v>
          </cell>
          <cell r="D1223">
            <v>4</v>
          </cell>
          <cell r="F1223" t="str">
            <v>-</v>
          </cell>
          <cell r="H1223" t="str">
            <v>-</v>
          </cell>
          <cell r="I1223" t="str">
            <v>-</v>
          </cell>
          <cell r="K1223" t="str">
            <v>-</v>
          </cell>
          <cell r="L1223">
            <v>7</v>
          </cell>
          <cell r="M1223">
            <v>8.375</v>
          </cell>
          <cell r="O1223" t="str">
            <v>-</v>
          </cell>
          <cell r="T1223">
            <v>0.625</v>
          </cell>
          <cell r="U1223" t="str">
            <v>-</v>
          </cell>
        </row>
        <row r="1224">
          <cell r="B1224" t="str">
            <v>LL7x4x10x6</v>
          </cell>
          <cell r="C1224">
            <v>13</v>
          </cell>
          <cell r="D1224">
            <v>4</v>
          </cell>
          <cell r="F1224" t="str">
            <v>-</v>
          </cell>
          <cell r="H1224" t="str">
            <v>-</v>
          </cell>
          <cell r="I1224" t="str">
            <v>-</v>
          </cell>
          <cell r="K1224" t="str">
            <v>-</v>
          </cell>
          <cell r="L1224">
            <v>7</v>
          </cell>
          <cell r="M1224">
            <v>8.75</v>
          </cell>
          <cell r="O1224" t="str">
            <v>-</v>
          </cell>
          <cell r="T1224">
            <v>0.625</v>
          </cell>
          <cell r="U1224" t="str">
            <v>-</v>
          </cell>
        </row>
        <row r="1225">
          <cell r="B1225" t="str">
            <v>LL7x4x8x0</v>
          </cell>
          <cell r="C1225">
            <v>10.5</v>
          </cell>
          <cell r="D1225">
            <v>4</v>
          </cell>
          <cell r="F1225" t="str">
            <v>-</v>
          </cell>
          <cell r="H1225" t="str">
            <v>-</v>
          </cell>
          <cell r="I1225" t="str">
            <v>-</v>
          </cell>
          <cell r="K1225" t="str">
            <v>-</v>
          </cell>
          <cell r="L1225">
            <v>7</v>
          </cell>
          <cell r="M1225">
            <v>8</v>
          </cell>
          <cell r="O1225" t="str">
            <v>-</v>
          </cell>
          <cell r="T1225">
            <v>0.5</v>
          </cell>
          <cell r="U1225" t="str">
            <v>-</v>
          </cell>
        </row>
        <row r="1226">
          <cell r="B1226" t="str">
            <v>LL7x4x8x3</v>
          </cell>
          <cell r="C1226">
            <v>10.5</v>
          </cell>
          <cell r="D1226">
            <v>4</v>
          </cell>
          <cell r="F1226" t="str">
            <v>-</v>
          </cell>
          <cell r="H1226" t="str">
            <v>-</v>
          </cell>
          <cell r="I1226" t="str">
            <v>-</v>
          </cell>
          <cell r="K1226" t="str">
            <v>-</v>
          </cell>
          <cell r="L1226">
            <v>7</v>
          </cell>
          <cell r="M1226">
            <v>8.375</v>
          </cell>
          <cell r="O1226" t="str">
            <v>-</v>
          </cell>
          <cell r="T1226">
            <v>0.5</v>
          </cell>
          <cell r="U1226" t="str">
            <v>-</v>
          </cell>
        </row>
        <row r="1227">
          <cell r="B1227" t="str">
            <v>LL7x4x8x6</v>
          </cell>
          <cell r="C1227">
            <v>10.5</v>
          </cell>
          <cell r="D1227">
            <v>4</v>
          </cell>
          <cell r="F1227" t="str">
            <v>-</v>
          </cell>
          <cell r="H1227" t="str">
            <v>-</v>
          </cell>
          <cell r="I1227" t="str">
            <v>-</v>
          </cell>
          <cell r="K1227" t="str">
            <v>-</v>
          </cell>
          <cell r="L1227">
            <v>7</v>
          </cell>
          <cell r="M1227">
            <v>8.75</v>
          </cell>
          <cell r="O1227" t="str">
            <v>-</v>
          </cell>
          <cell r="T1227">
            <v>0.5</v>
          </cell>
          <cell r="U1227" t="str">
            <v>-</v>
          </cell>
        </row>
        <row r="1228">
          <cell r="B1228" t="str">
            <v>LL7x4x7x0</v>
          </cell>
          <cell r="C1228">
            <v>9.26</v>
          </cell>
          <cell r="D1228">
            <v>4</v>
          </cell>
          <cell r="F1228" t="str">
            <v>-</v>
          </cell>
          <cell r="H1228" t="str">
            <v>-</v>
          </cell>
          <cell r="I1228" t="str">
            <v>-</v>
          </cell>
          <cell r="K1228" t="str">
            <v>-</v>
          </cell>
          <cell r="L1228">
            <v>7</v>
          </cell>
          <cell r="M1228">
            <v>8</v>
          </cell>
          <cell r="O1228" t="str">
            <v>-</v>
          </cell>
          <cell r="T1228">
            <v>0.438</v>
          </cell>
          <cell r="U1228" t="str">
            <v>-</v>
          </cell>
        </row>
        <row r="1229">
          <cell r="B1229" t="str">
            <v>LL7x4x7x3</v>
          </cell>
          <cell r="C1229">
            <v>9.26</v>
          </cell>
          <cell r="D1229">
            <v>4</v>
          </cell>
          <cell r="F1229" t="str">
            <v>-</v>
          </cell>
          <cell r="H1229" t="str">
            <v>-</v>
          </cell>
          <cell r="I1229" t="str">
            <v>-</v>
          </cell>
          <cell r="K1229" t="str">
            <v>-</v>
          </cell>
          <cell r="L1229">
            <v>7</v>
          </cell>
          <cell r="M1229">
            <v>8.375</v>
          </cell>
          <cell r="O1229" t="str">
            <v>-</v>
          </cell>
          <cell r="T1229">
            <v>0.438</v>
          </cell>
          <cell r="U1229" t="str">
            <v>-</v>
          </cell>
        </row>
        <row r="1230">
          <cell r="B1230" t="str">
            <v>LL7x4x7x6</v>
          </cell>
          <cell r="C1230">
            <v>9.26</v>
          </cell>
          <cell r="D1230">
            <v>4</v>
          </cell>
          <cell r="F1230" t="str">
            <v>-</v>
          </cell>
          <cell r="H1230" t="str">
            <v>-</v>
          </cell>
          <cell r="I1230" t="str">
            <v>-</v>
          </cell>
          <cell r="K1230" t="str">
            <v>-</v>
          </cell>
          <cell r="L1230">
            <v>7</v>
          </cell>
          <cell r="M1230">
            <v>8.75</v>
          </cell>
          <cell r="O1230" t="str">
            <v>-</v>
          </cell>
          <cell r="T1230">
            <v>0.438</v>
          </cell>
          <cell r="U1230" t="str">
            <v>-</v>
          </cell>
        </row>
        <row r="1231">
          <cell r="B1231" t="str">
            <v>LL7x4x6x0</v>
          </cell>
          <cell r="C1231">
            <v>8</v>
          </cell>
          <cell r="D1231">
            <v>4</v>
          </cell>
          <cell r="F1231" t="str">
            <v>-</v>
          </cell>
          <cell r="H1231" t="str">
            <v>-</v>
          </cell>
          <cell r="I1231" t="str">
            <v>-</v>
          </cell>
          <cell r="K1231" t="str">
            <v>-</v>
          </cell>
          <cell r="L1231">
            <v>7</v>
          </cell>
          <cell r="M1231">
            <v>8</v>
          </cell>
          <cell r="O1231" t="str">
            <v>-</v>
          </cell>
          <cell r="T1231">
            <v>0.375</v>
          </cell>
          <cell r="U1231" t="str">
            <v>-</v>
          </cell>
        </row>
        <row r="1232">
          <cell r="B1232" t="str">
            <v>LL7x4x6x3</v>
          </cell>
          <cell r="C1232">
            <v>8</v>
          </cell>
          <cell r="D1232">
            <v>4</v>
          </cell>
          <cell r="F1232" t="str">
            <v>-</v>
          </cell>
          <cell r="H1232" t="str">
            <v>-</v>
          </cell>
          <cell r="I1232" t="str">
            <v>-</v>
          </cell>
          <cell r="K1232" t="str">
            <v>-</v>
          </cell>
          <cell r="L1232">
            <v>7</v>
          </cell>
          <cell r="M1232">
            <v>8.375</v>
          </cell>
          <cell r="O1232" t="str">
            <v>-</v>
          </cell>
          <cell r="T1232">
            <v>0.375</v>
          </cell>
          <cell r="U1232" t="str">
            <v>-</v>
          </cell>
        </row>
        <row r="1233">
          <cell r="B1233" t="str">
            <v>LL7x4x6x6</v>
          </cell>
          <cell r="C1233">
            <v>8</v>
          </cell>
          <cell r="D1233">
            <v>4</v>
          </cell>
          <cell r="F1233" t="str">
            <v>-</v>
          </cell>
          <cell r="H1233" t="str">
            <v>-</v>
          </cell>
          <cell r="I1233" t="str">
            <v>-</v>
          </cell>
          <cell r="K1233" t="str">
            <v>-</v>
          </cell>
          <cell r="L1233">
            <v>7</v>
          </cell>
          <cell r="M1233">
            <v>8.75</v>
          </cell>
          <cell r="O1233" t="str">
            <v>-</v>
          </cell>
          <cell r="T1233">
            <v>0.375</v>
          </cell>
          <cell r="U1233" t="str">
            <v>-</v>
          </cell>
        </row>
        <row r="1234">
          <cell r="B1234" t="str">
            <v>LL6x4x14x0</v>
          </cell>
          <cell r="C1234">
            <v>16</v>
          </cell>
          <cell r="D1234">
            <v>4</v>
          </cell>
          <cell r="F1234" t="str">
            <v>-</v>
          </cell>
          <cell r="H1234" t="str">
            <v>-</v>
          </cell>
          <cell r="I1234" t="str">
            <v>-</v>
          </cell>
          <cell r="K1234" t="str">
            <v>-</v>
          </cell>
          <cell r="L1234">
            <v>6</v>
          </cell>
          <cell r="M1234">
            <v>8</v>
          </cell>
          <cell r="O1234" t="str">
            <v>-</v>
          </cell>
          <cell r="T1234">
            <v>0.875</v>
          </cell>
          <cell r="U1234" t="str">
            <v>-</v>
          </cell>
        </row>
        <row r="1235">
          <cell r="B1235" t="str">
            <v>LL6x4x14x3</v>
          </cell>
          <cell r="C1235">
            <v>16</v>
          </cell>
          <cell r="D1235">
            <v>4</v>
          </cell>
          <cell r="F1235" t="str">
            <v>-</v>
          </cell>
          <cell r="H1235" t="str">
            <v>-</v>
          </cell>
          <cell r="I1235" t="str">
            <v>-</v>
          </cell>
          <cell r="K1235" t="str">
            <v>-</v>
          </cell>
          <cell r="L1235">
            <v>6</v>
          </cell>
          <cell r="M1235">
            <v>8.375</v>
          </cell>
          <cell r="O1235" t="str">
            <v>-</v>
          </cell>
          <cell r="T1235">
            <v>0.875</v>
          </cell>
          <cell r="U1235" t="str">
            <v>-</v>
          </cell>
        </row>
        <row r="1236">
          <cell r="B1236" t="str">
            <v>LL6x4x14x6</v>
          </cell>
          <cell r="C1236">
            <v>16</v>
          </cell>
          <cell r="D1236">
            <v>4</v>
          </cell>
          <cell r="F1236" t="str">
            <v>-</v>
          </cell>
          <cell r="H1236" t="str">
            <v>-</v>
          </cell>
          <cell r="I1236" t="str">
            <v>-</v>
          </cell>
          <cell r="K1236" t="str">
            <v>-</v>
          </cell>
          <cell r="L1236">
            <v>6</v>
          </cell>
          <cell r="M1236">
            <v>8.75</v>
          </cell>
          <cell r="O1236" t="str">
            <v>-</v>
          </cell>
          <cell r="T1236">
            <v>0.875</v>
          </cell>
          <cell r="U1236" t="str">
            <v>-</v>
          </cell>
        </row>
        <row r="1237">
          <cell r="B1237" t="str">
            <v>LL6x4x12x0</v>
          </cell>
          <cell r="C1237">
            <v>13.9</v>
          </cell>
          <cell r="D1237">
            <v>4</v>
          </cell>
          <cell r="F1237" t="str">
            <v>-</v>
          </cell>
          <cell r="H1237" t="str">
            <v>-</v>
          </cell>
          <cell r="I1237" t="str">
            <v>-</v>
          </cell>
          <cell r="K1237" t="str">
            <v>-</v>
          </cell>
          <cell r="L1237">
            <v>6</v>
          </cell>
          <cell r="M1237">
            <v>8</v>
          </cell>
          <cell r="O1237" t="str">
            <v>-</v>
          </cell>
          <cell r="T1237">
            <v>0.75</v>
          </cell>
          <cell r="U1237" t="str">
            <v>-</v>
          </cell>
        </row>
        <row r="1238">
          <cell r="B1238" t="str">
            <v>LL6x4x12x3</v>
          </cell>
          <cell r="C1238">
            <v>13.9</v>
          </cell>
          <cell r="D1238">
            <v>4</v>
          </cell>
          <cell r="F1238" t="str">
            <v>-</v>
          </cell>
          <cell r="H1238" t="str">
            <v>-</v>
          </cell>
          <cell r="I1238" t="str">
            <v>-</v>
          </cell>
          <cell r="K1238" t="str">
            <v>-</v>
          </cell>
          <cell r="L1238">
            <v>6</v>
          </cell>
          <cell r="M1238">
            <v>8.375</v>
          </cell>
          <cell r="O1238" t="str">
            <v>-</v>
          </cell>
          <cell r="T1238">
            <v>0.75</v>
          </cell>
          <cell r="U1238" t="str">
            <v>-</v>
          </cell>
        </row>
        <row r="1239">
          <cell r="B1239" t="str">
            <v>LL6x4x12x6</v>
          </cell>
          <cell r="C1239">
            <v>13.9</v>
          </cell>
          <cell r="D1239">
            <v>4</v>
          </cell>
          <cell r="F1239" t="str">
            <v>-</v>
          </cell>
          <cell r="H1239" t="str">
            <v>-</v>
          </cell>
          <cell r="I1239" t="str">
            <v>-</v>
          </cell>
          <cell r="K1239" t="str">
            <v>-</v>
          </cell>
          <cell r="L1239">
            <v>6</v>
          </cell>
          <cell r="M1239">
            <v>8.75</v>
          </cell>
          <cell r="O1239" t="str">
            <v>-</v>
          </cell>
          <cell r="T1239">
            <v>0.75</v>
          </cell>
          <cell r="U1239" t="str">
            <v>-</v>
          </cell>
        </row>
        <row r="1240">
          <cell r="B1240" t="str">
            <v>LL6x4x10x0</v>
          </cell>
          <cell r="C1240">
            <v>11.7</v>
          </cell>
          <cell r="D1240">
            <v>4</v>
          </cell>
          <cell r="F1240" t="str">
            <v>-</v>
          </cell>
          <cell r="H1240" t="str">
            <v>-</v>
          </cell>
          <cell r="I1240" t="str">
            <v>-</v>
          </cell>
          <cell r="K1240" t="str">
            <v>-</v>
          </cell>
          <cell r="L1240">
            <v>6</v>
          </cell>
          <cell r="M1240">
            <v>8</v>
          </cell>
          <cell r="O1240" t="str">
            <v>-</v>
          </cell>
          <cell r="T1240">
            <v>0.625</v>
          </cell>
          <cell r="U1240" t="str">
            <v>-</v>
          </cell>
        </row>
        <row r="1241">
          <cell r="B1241" t="str">
            <v>LL6x4x10x3</v>
          </cell>
          <cell r="C1241">
            <v>11.7</v>
          </cell>
          <cell r="D1241">
            <v>4</v>
          </cell>
          <cell r="F1241" t="str">
            <v>-</v>
          </cell>
          <cell r="H1241" t="str">
            <v>-</v>
          </cell>
          <cell r="I1241" t="str">
            <v>-</v>
          </cell>
          <cell r="K1241" t="str">
            <v>-</v>
          </cell>
          <cell r="L1241">
            <v>6</v>
          </cell>
          <cell r="M1241">
            <v>8.375</v>
          </cell>
          <cell r="O1241" t="str">
            <v>-</v>
          </cell>
          <cell r="T1241">
            <v>0.625</v>
          </cell>
          <cell r="U1241" t="str">
            <v>-</v>
          </cell>
        </row>
        <row r="1242">
          <cell r="B1242" t="str">
            <v>LL6x4x10x6</v>
          </cell>
          <cell r="C1242">
            <v>11.7</v>
          </cell>
          <cell r="D1242">
            <v>4</v>
          </cell>
          <cell r="F1242" t="str">
            <v>-</v>
          </cell>
          <cell r="H1242" t="str">
            <v>-</v>
          </cell>
          <cell r="I1242" t="str">
            <v>-</v>
          </cell>
          <cell r="K1242" t="str">
            <v>-</v>
          </cell>
          <cell r="L1242">
            <v>6</v>
          </cell>
          <cell r="M1242">
            <v>8.75</v>
          </cell>
          <cell r="O1242" t="str">
            <v>-</v>
          </cell>
          <cell r="T1242">
            <v>0.625</v>
          </cell>
          <cell r="U1242" t="str">
            <v>-</v>
          </cell>
        </row>
        <row r="1243">
          <cell r="B1243" t="str">
            <v>LL6x4x9x0</v>
          </cell>
          <cell r="C1243">
            <v>10.6</v>
          </cell>
          <cell r="D1243">
            <v>4</v>
          </cell>
          <cell r="F1243" t="str">
            <v>-</v>
          </cell>
          <cell r="H1243" t="str">
            <v>-</v>
          </cell>
          <cell r="I1243" t="str">
            <v>-</v>
          </cell>
          <cell r="K1243" t="str">
            <v>-</v>
          </cell>
          <cell r="L1243">
            <v>6</v>
          </cell>
          <cell r="M1243">
            <v>8</v>
          </cell>
          <cell r="O1243" t="str">
            <v>-</v>
          </cell>
          <cell r="T1243">
            <v>0.56299999999999994</v>
          </cell>
          <cell r="U1243" t="str">
            <v>-</v>
          </cell>
        </row>
        <row r="1244">
          <cell r="B1244" t="str">
            <v>LL6x4x9x3</v>
          </cell>
          <cell r="C1244">
            <v>10.6</v>
          </cell>
          <cell r="D1244">
            <v>4</v>
          </cell>
          <cell r="F1244" t="str">
            <v>-</v>
          </cell>
          <cell r="H1244" t="str">
            <v>-</v>
          </cell>
          <cell r="I1244" t="str">
            <v>-</v>
          </cell>
          <cell r="K1244" t="str">
            <v>-</v>
          </cell>
          <cell r="L1244">
            <v>6</v>
          </cell>
          <cell r="M1244">
            <v>8.375</v>
          </cell>
          <cell r="O1244" t="str">
            <v>-</v>
          </cell>
          <cell r="T1244">
            <v>0.56299999999999994</v>
          </cell>
          <cell r="U1244" t="str">
            <v>-</v>
          </cell>
        </row>
        <row r="1245">
          <cell r="B1245" t="str">
            <v>LL6x4x9x6</v>
          </cell>
          <cell r="C1245">
            <v>10.6</v>
          </cell>
          <cell r="D1245">
            <v>4</v>
          </cell>
          <cell r="F1245" t="str">
            <v>-</v>
          </cell>
          <cell r="H1245" t="str">
            <v>-</v>
          </cell>
          <cell r="I1245" t="str">
            <v>-</v>
          </cell>
          <cell r="K1245" t="str">
            <v>-</v>
          </cell>
          <cell r="L1245">
            <v>6</v>
          </cell>
          <cell r="M1245">
            <v>8.75</v>
          </cell>
          <cell r="O1245" t="str">
            <v>-</v>
          </cell>
          <cell r="T1245">
            <v>0.56299999999999994</v>
          </cell>
          <cell r="U1245" t="str">
            <v>-</v>
          </cell>
        </row>
        <row r="1246">
          <cell r="B1246" t="str">
            <v>LL6x4x8x0</v>
          </cell>
          <cell r="C1246">
            <v>9.5</v>
          </cell>
          <cell r="D1246">
            <v>4</v>
          </cell>
          <cell r="F1246" t="str">
            <v>-</v>
          </cell>
          <cell r="H1246" t="str">
            <v>-</v>
          </cell>
          <cell r="I1246" t="str">
            <v>-</v>
          </cell>
          <cell r="K1246" t="str">
            <v>-</v>
          </cell>
          <cell r="L1246">
            <v>6</v>
          </cell>
          <cell r="M1246">
            <v>8</v>
          </cell>
          <cell r="O1246" t="str">
            <v>-</v>
          </cell>
          <cell r="T1246">
            <v>0.5</v>
          </cell>
          <cell r="U1246" t="str">
            <v>-</v>
          </cell>
        </row>
        <row r="1247">
          <cell r="B1247" t="str">
            <v>LL6x4x8x3</v>
          </cell>
          <cell r="C1247">
            <v>9.5</v>
          </cell>
          <cell r="D1247">
            <v>4</v>
          </cell>
          <cell r="F1247" t="str">
            <v>-</v>
          </cell>
          <cell r="H1247" t="str">
            <v>-</v>
          </cell>
          <cell r="I1247" t="str">
            <v>-</v>
          </cell>
          <cell r="K1247" t="str">
            <v>-</v>
          </cell>
          <cell r="L1247">
            <v>6</v>
          </cell>
          <cell r="M1247">
            <v>8.375</v>
          </cell>
          <cell r="O1247" t="str">
            <v>-</v>
          </cell>
          <cell r="T1247">
            <v>0.5</v>
          </cell>
          <cell r="U1247" t="str">
            <v>-</v>
          </cell>
        </row>
        <row r="1248">
          <cell r="B1248" t="str">
            <v>LL6x4x8x6</v>
          </cell>
          <cell r="C1248">
            <v>9.5</v>
          </cell>
          <cell r="D1248">
            <v>4</v>
          </cell>
          <cell r="F1248" t="str">
            <v>-</v>
          </cell>
          <cell r="H1248" t="str">
            <v>-</v>
          </cell>
          <cell r="I1248" t="str">
            <v>-</v>
          </cell>
          <cell r="K1248" t="str">
            <v>-</v>
          </cell>
          <cell r="L1248">
            <v>6</v>
          </cell>
          <cell r="M1248">
            <v>8.75</v>
          </cell>
          <cell r="O1248" t="str">
            <v>-</v>
          </cell>
          <cell r="T1248">
            <v>0.5</v>
          </cell>
          <cell r="U1248" t="str">
            <v>-</v>
          </cell>
        </row>
        <row r="1249">
          <cell r="B1249" t="str">
            <v>LL6x4x7x0</v>
          </cell>
          <cell r="C1249">
            <v>8.36</v>
          </cell>
          <cell r="D1249">
            <v>4</v>
          </cell>
          <cell r="F1249" t="str">
            <v>-</v>
          </cell>
          <cell r="H1249" t="str">
            <v>-</v>
          </cell>
          <cell r="I1249" t="str">
            <v>-</v>
          </cell>
          <cell r="K1249" t="str">
            <v>-</v>
          </cell>
          <cell r="L1249">
            <v>6</v>
          </cell>
          <cell r="M1249">
            <v>8</v>
          </cell>
          <cell r="O1249" t="str">
            <v>-</v>
          </cell>
          <cell r="T1249">
            <v>0.438</v>
          </cell>
          <cell r="U1249" t="str">
            <v>-</v>
          </cell>
        </row>
        <row r="1250">
          <cell r="B1250" t="str">
            <v>LL6x4x7x3</v>
          </cell>
          <cell r="C1250">
            <v>8.36</v>
          </cell>
          <cell r="D1250">
            <v>4</v>
          </cell>
          <cell r="F1250" t="str">
            <v>-</v>
          </cell>
          <cell r="H1250" t="str">
            <v>-</v>
          </cell>
          <cell r="I1250" t="str">
            <v>-</v>
          </cell>
          <cell r="K1250" t="str">
            <v>-</v>
          </cell>
          <cell r="L1250">
            <v>6</v>
          </cell>
          <cell r="M1250">
            <v>8.375</v>
          </cell>
          <cell r="O1250" t="str">
            <v>-</v>
          </cell>
          <cell r="T1250">
            <v>0.438</v>
          </cell>
          <cell r="U1250" t="str">
            <v>-</v>
          </cell>
        </row>
        <row r="1251">
          <cell r="B1251" t="str">
            <v>LL6x4x7x6</v>
          </cell>
          <cell r="C1251">
            <v>8.36</v>
          </cell>
          <cell r="D1251">
            <v>4</v>
          </cell>
          <cell r="F1251" t="str">
            <v>-</v>
          </cell>
          <cell r="H1251" t="str">
            <v>-</v>
          </cell>
          <cell r="I1251" t="str">
            <v>-</v>
          </cell>
          <cell r="K1251" t="str">
            <v>-</v>
          </cell>
          <cell r="L1251">
            <v>6</v>
          </cell>
          <cell r="M1251">
            <v>8.75</v>
          </cell>
          <cell r="O1251" t="str">
            <v>-</v>
          </cell>
          <cell r="T1251">
            <v>0.438</v>
          </cell>
          <cell r="U1251" t="str">
            <v>-</v>
          </cell>
        </row>
        <row r="1252">
          <cell r="B1252" t="str">
            <v>LL6x4x6x0</v>
          </cell>
          <cell r="C1252">
            <v>7.22</v>
          </cell>
          <cell r="D1252">
            <v>4</v>
          </cell>
          <cell r="F1252" t="str">
            <v>-</v>
          </cell>
          <cell r="H1252" t="str">
            <v>-</v>
          </cell>
          <cell r="I1252" t="str">
            <v>-</v>
          </cell>
          <cell r="K1252" t="str">
            <v>-</v>
          </cell>
          <cell r="L1252">
            <v>6</v>
          </cell>
          <cell r="M1252">
            <v>8</v>
          </cell>
          <cell r="O1252" t="str">
            <v>-</v>
          </cell>
          <cell r="T1252">
            <v>0.375</v>
          </cell>
          <cell r="U1252" t="str">
            <v>-</v>
          </cell>
        </row>
        <row r="1253">
          <cell r="B1253" t="str">
            <v>LL6x4x6x3</v>
          </cell>
          <cell r="C1253">
            <v>7.22</v>
          </cell>
          <cell r="D1253">
            <v>4</v>
          </cell>
          <cell r="F1253" t="str">
            <v>-</v>
          </cell>
          <cell r="H1253" t="str">
            <v>-</v>
          </cell>
          <cell r="I1253" t="str">
            <v>-</v>
          </cell>
          <cell r="K1253" t="str">
            <v>-</v>
          </cell>
          <cell r="L1253">
            <v>6</v>
          </cell>
          <cell r="M1253">
            <v>8.375</v>
          </cell>
          <cell r="O1253" t="str">
            <v>-</v>
          </cell>
          <cell r="T1253">
            <v>0.375</v>
          </cell>
          <cell r="U1253" t="str">
            <v>-</v>
          </cell>
        </row>
        <row r="1254">
          <cell r="B1254" t="str">
            <v>LL6x4x6x6</v>
          </cell>
          <cell r="C1254">
            <v>7.22</v>
          </cell>
          <cell r="D1254">
            <v>4</v>
          </cell>
          <cell r="F1254" t="str">
            <v>-</v>
          </cell>
          <cell r="H1254" t="str">
            <v>-</v>
          </cell>
          <cell r="I1254" t="str">
            <v>-</v>
          </cell>
          <cell r="K1254" t="str">
            <v>-</v>
          </cell>
          <cell r="L1254">
            <v>6</v>
          </cell>
          <cell r="M1254">
            <v>8.75</v>
          </cell>
          <cell r="O1254" t="str">
            <v>-</v>
          </cell>
          <cell r="T1254">
            <v>0.375</v>
          </cell>
          <cell r="U1254" t="str">
            <v>-</v>
          </cell>
        </row>
        <row r="1255">
          <cell r="B1255" t="str">
            <v>LL6x4x5x0</v>
          </cell>
          <cell r="C1255">
            <v>6.06</v>
          </cell>
          <cell r="D1255">
            <v>4</v>
          </cell>
          <cell r="F1255" t="str">
            <v>-</v>
          </cell>
          <cell r="H1255" t="str">
            <v>-</v>
          </cell>
          <cell r="I1255" t="str">
            <v>-</v>
          </cell>
          <cell r="K1255" t="str">
            <v>-</v>
          </cell>
          <cell r="L1255">
            <v>6</v>
          </cell>
          <cell r="M1255">
            <v>8</v>
          </cell>
          <cell r="O1255" t="str">
            <v>-</v>
          </cell>
          <cell r="T1255">
            <v>0.313</v>
          </cell>
          <cell r="U1255" t="str">
            <v>-</v>
          </cell>
        </row>
        <row r="1256">
          <cell r="B1256" t="str">
            <v>LL6x4x5x3</v>
          </cell>
          <cell r="C1256">
            <v>6.06</v>
          </cell>
          <cell r="D1256">
            <v>4</v>
          </cell>
          <cell r="F1256" t="str">
            <v>-</v>
          </cell>
          <cell r="H1256" t="str">
            <v>-</v>
          </cell>
          <cell r="I1256" t="str">
            <v>-</v>
          </cell>
          <cell r="K1256" t="str">
            <v>-</v>
          </cell>
          <cell r="L1256">
            <v>6</v>
          </cell>
          <cell r="M1256">
            <v>8.375</v>
          </cell>
          <cell r="O1256" t="str">
            <v>-</v>
          </cell>
          <cell r="T1256">
            <v>0.313</v>
          </cell>
          <cell r="U1256" t="str">
            <v>-</v>
          </cell>
        </row>
        <row r="1257">
          <cell r="B1257" t="str">
            <v>LL6x4x5x6</v>
          </cell>
          <cell r="C1257">
            <v>6.06</v>
          </cell>
          <cell r="D1257">
            <v>4</v>
          </cell>
          <cell r="F1257" t="str">
            <v>-</v>
          </cell>
          <cell r="H1257" t="str">
            <v>-</v>
          </cell>
          <cell r="I1257" t="str">
            <v>-</v>
          </cell>
          <cell r="K1257" t="str">
            <v>-</v>
          </cell>
          <cell r="L1257">
            <v>6</v>
          </cell>
          <cell r="M1257">
            <v>8.75</v>
          </cell>
          <cell r="O1257" t="str">
            <v>-</v>
          </cell>
          <cell r="T1257">
            <v>0.313</v>
          </cell>
          <cell r="U1257" t="str">
            <v>-</v>
          </cell>
        </row>
        <row r="1258">
          <cell r="B1258" t="str">
            <v>LL6x3.5x8x0</v>
          </cell>
          <cell r="C1258">
            <v>9</v>
          </cell>
          <cell r="D1258">
            <v>3.5</v>
          </cell>
          <cell r="F1258" t="str">
            <v>-</v>
          </cell>
          <cell r="H1258" t="str">
            <v>-</v>
          </cell>
          <cell r="I1258" t="str">
            <v>-</v>
          </cell>
          <cell r="K1258" t="str">
            <v>-</v>
          </cell>
          <cell r="L1258">
            <v>6</v>
          </cell>
          <cell r="M1258">
            <v>7</v>
          </cell>
          <cell r="O1258" t="str">
            <v>-</v>
          </cell>
          <cell r="T1258">
            <v>0.5</v>
          </cell>
          <cell r="U1258" t="str">
            <v>-</v>
          </cell>
        </row>
        <row r="1259">
          <cell r="B1259" t="str">
            <v>LL6x3.5x8x3</v>
          </cell>
          <cell r="C1259">
            <v>9</v>
          </cell>
          <cell r="D1259">
            <v>3.5</v>
          </cell>
          <cell r="F1259" t="str">
            <v>-</v>
          </cell>
          <cell r="H1259" t="str">
            <v>-</v>
          </cell>
          <cell r="I1259" t="str">
            <v>-</v>
          </cell>
          <cell r="K1259" t="str">
            <v>-</v>
          </cell>
          <cell r="L1259">
            <v>6</v>
          </cell>
          <cell r="M1259">
            <v>7.375</v>
          </cell>
          <cell r="O1259" t="str">
            <v>-</v>
          </cell>
          <cell r="T1259">
            <v>0.5</v>
          </cell>
          <cell r="U1259" t="str">
            <v>-</v>
          </cell>
        </row>
        <row r="1260">
          <cell r="B1260" t="str">
            <v>LL6x3.5x8x6</v>
          </cell>
          <cell r="C1260">
            <v>9</v>
          </cell>
          <cell r="D1260">
            <v>3.5</v>
          </cell>
          <cell r="F1260" t="str">
            <v>-</v>
          </cell>
          <cell r="H1260" t="str">
            <v>-</v>
          </cell>
          <cell r="I1260" t="str">
            <v>-</v>
          </cell>
          <cell r="K1260" t="str">
            <v>-</v>
          </cell>
          <cell r="L1260">
            <v>6</v>
          </cell>
          <cell r="M1260">
            <v>7.75</v>
          </cell>
          <cell r="O1260" t="str">
            <v>-</v>
          </cell>
          <cell r="T1260">
            <v>0.5</v>
          </cell>
          <cell r="U1260" t="str">
            <v>-</v>
          </cell>
        </row>
        <row r="1261">
          <cell r="B1261" t="str">
            <v>LL6x3.5x6x0</v>
          </cell>
          <cell r="C1261">
            <v>6.88</v>
          </cell>
          <cell r="D1261">
            <v>3.5</v>
          </cell>
          <cell r="F1261" t="str">
            <v>-</v>
          </cell>
          <cell r="H1261" t="str">
            <v>-</v>
          </cell>
          <cell r="I1261" t="str">
            <v>-</v>
          </cell>
          <cell r="K1261" t="str">
            <v>-</v>
          </cell>
          <cell r="L1261">
            <v>6</v>
          </cell>
          <cell r="M1261">
            <v>7</v>
          </cell>
          <cell r="O1261" t="str">
            <v>-</v>
          </cell>
          <cell r="T1261">
            <v>0.375</v>
          </cell>
          <cell r="U1261" t="str">
            <v>-</v>
          </cell>
        </row>
        <row r="1262">
          <cell r="B1262" t="str">
            <v>LL6x3.5x6x3</v>
          </cell>
          <cell r="C1262">
            <v>6.88</v>
          </cell>
          <cell r="D1262">
            <v>3.5</v>
          </cell>
          <cell r="F1262" t="str">
            <v>-</v>
          </cell>
          <cell r="H1262" t="str">
            <v>-</v>
          </cell>
          <cell r="I1262" t="str">
            <v>-</v>
          </cell>
          <cell r="K1262" t="str">
            <v>-</v>
          </cell>
          <cell r="L1262">
            <v>6</v>
          </cell>
          <cell r="M1262">
            <v>7.375</v>
          </cell>
          <cell r="O1262" t="str">
            <v>-</v>
          </cell>
          <cell r="T1262">
            <v>0.375</v>
          </cell>
          <cell r="U1262" t="str">
            <v>-</v>
          </cell>
        </row>
        <row r="1263">
          <cell r="B1263" t="str">
            <v>LL6x3.5x6x6</v>
          </cell>
          <cell r="C1263">
            <v>6.88</v>
          </cell>
          <cell r="D1263">
            <v>3.5</v>
          </cell>
          <cell r="F1263" t="str">
            <v>-</v>
          </cell>
          <cell r="H1263" t="str">
            <v>-</v>
          </cell>
          <cell r="I1263" t="str">
            <v>-</v>
          </cell>
          <cell r="K1263" t="str">
            <v>-</v>
          </cell>
          <cell r="L1263">
            <v>6</v>
          </cell>
          <cell r="M1263">
            <v>7.75</v>
          </cell>
          <cell r="O1263" t="str">
            <v>-</v>
          </cell>
          <cell r="T1263">
            <v>0.375</v>
          </cell>
          <cell r="U1263" t="str">
            <v>-</v>
          </cell>
        </row>
        <row r="1264">
          <cell r="B1264" t="str">
            <v>LL6x3.5x5x0</v>
          </cell>
          <cell r="C1264">
            <v>5.78</v>
          </cell>
          <cell r="D1264">
            <v>3.5</v>
          </cell>
          <cell r="F1264" t="str">
            <v>-</v>
          </cell>
          <cell r="H1264" t="str">
            <v>-</v>
          </cell>
          <cell r="I1264" t="str">
            <v>-</v>
          </cell>
          <cell r="K1264" t="str">
            <v>-</v>
          </cell>
          <cell r="L1264">
            <v>6</v>
          </cell>
          <cell r="M1264">
            <v>7</v>
          </cell>
          <cell r="O1264" t="str">
            <v>-</v>
          </cell>
          <cell r="T1264">
            <v>0.313</v>
          </cell>
          <cell r="U1264" t="str">
            <v>-</v>
          </cell>
        </row>
        <row r="1265">
          <cell r="B1265" t="str">
            <v>LL6x3.5x5x3</v>
          </cell>
          <cell r="C1265">
            <v>5.78</v>
          </cell>
          <cell r="D1265">
            <v>3.5</v>
          </cell>
          <cell r="F1265" t="str">
            <v>-</v>
          </cell>
          <cell r="H1265" t="str">
            <v>-</v>
          </cell>
          <cell r="I1265" t="str">
            <v>-</v>
          </cell>
          <cell r="K1265" t="str">
            <v>-</v>
          </cell>
          <cell r="L1265">
            <v>6</v>
          </cell>
          <cell r="M1265">
            <v>7.375</v>
          </cell>
          <cell r="O1265" t="str">
            <v>-</v>
          </cell>
          <cell r="T1265">
            <v>0.313</v>
          </cell>
          <cell r="U1265" t="str">
            <v>-</v>
          </cell>
        </row>
        <row r="1266">
          <cell r="B1266" t="str">
            <v>LL6x3.5x5x6</v>
          </cell>
          <cell r="C1266">
            <v>5.78</v>
          </cell>
          <cell r="D1266">
            <v>3.5</v>
          </cell>
          <cell r="F1266" t="str">
            <v>-</v>
          </cell>
          <cell r="H1266" t="str">
            <v>-</v>
          </cell>
          <cell r="I1266" t="str">
            <v>-</v>
          </cell>
          <cell r="K1266" t="str">
            <v>-</v>
          </cell>
          <cell r="L1266">
            <v>6</v>
          </cell>
          <cell r="M1266">
            <v>7.75</v>
          </cell>
          <cell r="O1266" t="str">
            <v>-</v>
          </cell>
          <cell r="T1266">
            <v>0.313</v>
          </cell>
          <cell r="U1266" t="str">
            <v>-</v>
          </cell>
        </row>
        <row r="1267">
          <cell r="B1267" t="str">
            <v>LL5x3.5x12x0</v>
          </cell>
          <cell r="C1267">
            <v>11.7</v>
          </cell>
          <cell r="D1267">
            <v>3.5</v>
          </cell>
          <cell r="F1267" t="str">
            <v>-</v>
          </cell>
          <cell r="H1267" t="str">
            <v>-</v>
          </cell>
          <cell r="I1267" t="str">
            <v>-</v>
          </cell>
          <cell r="K1267" t="str">
            <v>-</v>
          </cell>
          <cell r="L1267">
            <v>5</v>
          </cell>
          <cell r="M1267">
            <v>7</v>
          </cell>
          <cell r="O1267" t="str">
            <v>-</v>
          </cell>
          <cell r="T1267">
            <v>0.75</v>
          </cell>
          <cell r="U1267" t="str">
            <v>-</v>
          </cell>
        </row>
        <row r="1268">
          <cell r="B1268" t="str">
            <v>LL5x3.5x12x3</v>
          </cell>
          <cell r="C1268">
            <v>11.7</v>
          </cell>
          <cell r="D1268">
            <v>3.5</v>
          </cell>
          <cell r="F1268" t="str">
            <v>-</v>
          </cell>
          <cell r="H1268" t="str">
            <v>-</v>
          </cell>
          <cell r="I1268" t="str">
            <v>-</v>
          </cell>
          <cell r="K1268" t="str">
            <v>-</v>
          </cell>
          <cell r="L1268">
            <v>5</v>
          </cell>
          <cell r="M1268">
            <v>7.375</v>
          </cell>
          <cell r="O1268" t="str">
            <v>-</v>
          </cell>
          <cell r="T1268">
            <v>0.75</v>
          </cell>
          <cell r="U1268" t="str">
            <v>-</v>
          </cell>
        </row>
        <row r="1269">
          <cell r="B1269" t="str">
            <v>LL5x3.5x12x6</v>
          </cell>
          <cell r="C1269">
            <v>11.7</v>
          </cell>
          <cell r="D1269">
            <v>3.5</v>
          </cell>
          <cell r="F1269" t="str">
            <v>-</v>
          </cell>
          <cell r="H1269" t="str">
            <v>-</v>
          </cell>
          <cell r="I1269" t="str">
            <v>-</v>
          </cell>
          <cell r="K1269" t="str">
            <v>-</v>
          </cell>
          <cell r="L1269">
            <v>5</v>
          </cell>
          <cell r="M1269">
            <v>7.75</v>
          </cell>
          <cell r="O1269" t="str">
            <v>-</v>
          </cell>
          <cell r="T1269">
            <v>0.75</v>
          </cell>
          <cell r="U1269" t="str">
            <v>-</v>
          </cell>
        </row>
        <row r="1270">
          <cell r="B1270" t="str">
            <v>LL5x3.5x10x0</v>
          </cell>
          <cell r="C1270">
            <v>9.86</v>
          </cell>
          <cell r="D1270">
            <v>3.5</v>
          </cell>
          <cell r="F1270" t="str">
            <v>-</v>
          </cell>
          <cell r="H1270" t="str">
            <v>-</v>
          </cell>
          <cell r="I1270" t="str">
            <v>-</v>
          </cell>
          <cell r="K1270" t="str">
            <v>-</v>
          </cell>
          <cell r="L1270">
            <v>5</v>
          </cell>
          <cell r="M1270">
            <v>7</v>
          </cell>
          <cell r="O1270" t="str">
            <v>-</v>
          </cell>
          <cell r="T1270">
            <v>0.625</v>
          </cell>
          <cell r="U1270" t="str">
            <v>-</v>
          </cell>
        </row>
        <row r="1271">
          <cell r="B1271" t="str">
            <v>LL5x3.5x10x3</v>
          </cell>
          <cell r="C1271">
            <v>9.86</v>
          </cell>
          <cell r="D1271">
            <v>3.5</v>
          </cell>
          <cell r="F1271" t="str">
            <v>-</v>
          </cell>
          <cell r="H1271" t="str">
            <v>-</v>
          </cell>
          <cell r="I1271" t="str">
            <v>-</v>
          </cell>
          <cell r="K1271" t="str">
            <v>-</v>
          </cell>
          <cell r="L1271">
            <v>5</v>
          </cell>
          <cell r="M1271">
            <v>7.375</v>
          </cell>
          <cell r="O1271" t="str">
            <v>-</v>
          </cell>
          <cell r="T1271">
            <v>0.625</v>
          </cell>
          <cell r="U1271" t="str">
            <v>-</v>
          </cell>
        </row>
        <row r="1272">
          <cell r="B1272" t="str">
            <v>LL5x3.5x10x6</v>
          </cell>
          <cell r="C1272">
            <v>9.86</v>
          </cell>
          <cell r="D1272">
            <v>3.5</v>
          </cell>
          <cell r="F1272" t="str">
            <v>-</v>
          </cell>
          <cell r="H1272" t="str">
            <v>-</v>
          </cell>
          <cell r="I1272" t="str">
            <v>-</v>
          </cell>
          <cell r="K1272" t="str">
            <v>-</v>
          </cell>
          <cell r="L1272">
            <v>5</v>
          </cell>
          <cell r="M1272">
            <v>7.75</v>
          </cell>
          <cell r="O1272" t="str">
            <v>-</v>
          </cell>
          <cell r="T1272">
            <v>0.625</v>
          </cell>
          <cell r="U1272" t="str">
            <v>-</v>
          </cell>
        </row>
        <row r="1273">
          <cell r="B1273" t="str">
            <v>LL5x3.5x8x0</v>
          </cell>
          <cell r="C1273">
            <v>8</v>
          </cell>
          <cell r="D1273">
            <v>3.5</v>
          </cell>
          <cell r="F1273" t="str">
            <v>-</v>
          </cell>
          <cell r="H1273" t="str">
            <v>-</v>
          </cell>
          <cell r="I1273" t="str">
            <v>-</v>
          </cell>
          <cell r="K1273" t="str">
            <v>-</v>
          </cell>
          <cell r="L1273">
            <v>5</v>
          </cell>
          <cell r="M1273">
            <v>7</v>
          </cell>
          <cell r="O1273" t="str">
            <v>-</v>
          </cell>
          <cell r="T1273">
            <v>0.5</v>
          </cell>
          <cell r="U1273" t="str">
            <v>-</v>
          </cell>
        </row>
        <row r="1274">
          <cell r="B1274" t="str">
            <v>LL5x3.5x8x3</v>
          </cell>
          <cell r="C1274">
            <v>8</v>
          </cell>
          <cell r="D1274">
            <v>3.5</v>
          </cell>
          <cell r="F1274" t="str">
            <v>-</v>
          </cell>
          <cell r="H1274" t="str">
            <v>-</v>
          </cell>
          <cell r="I1274" t="str">
            <v>-</v>
          </cell>
          <cell r="K1274" t="str">
            <v>-</v>
          </cell>
          <cell r="L1274">
            <v>5</v>
          </cell>
          <cell r="M1274">
            <v>7.375</v>
          </cell>
          <cell r="O1274" t="str">
            <v>-</v>
          </cell>
          <cell r="T1274">
            <v>0.5</v>
          </cell>
          <cell r="U1274" t="str">
            <v>-</v>
          </cell>
        </row>
        <row r="1275">
          <cell r="B1275" t="str">
            <v>LL5x3.5x8x6</v>
          </cell>
          <cell r="C1275">
            <v>8</v>
          </cell>
          <cell r="D1275">
            <v>3.5</v>
          </cell>
          <cell r="F1275" t="str">
            <v>-</v>
          </cell>
          <cell r="H1275" t="str">
            <v>-</v>
          </cell>
          <cell r="I1275" t="str">
            <v>-</v>
          </cell>
          <cell r="K1275" t="str">
            <v>-</v>
          </cell>
          <cell r="L1275">
            <v>5</v>
          </cell>
          <cell r="M1275">
            <v>7.75</v>
          </cell>
          <cell r="O1275" t="str">
            <v>-</v>
          </cell>
          <cell r="T1275">
            <v>0.5</v>
          </cell>
          <cell r="U1275" t="str">
            <v>-</v>
          </cell>
        </row>
        <row r="1276">
          <cell r="B1276" t="str">
            <v>LL5x3.5x6x0</v>
          </cell>
          <cell r="C1276">
            <v>6.1</v>
          </cell>
          <cell r="D1276">
            <v>3.5</v>
          </cell>
          <cell r="F1276" t="str">
            <v>-</v>
          </cell>
          <cell r="H1276" t="str">
            <v>-</v>
          </cell>
          <cell r="I1276" t="str">
            <v>-</v>
          </cell>
          <cell r="K1276" t="str">
            <v>-</v>
          </cell>
          <cell r="L1276">
            <v>5</v>
          </cell>
          <cell r="M1276">
            <v>7</v>
          </cell>
          <cell r="O1276" t="str">
            <v>-</v>
          </cell>
          <cell r="T1276">
            <v>0.375</v>
          </cell>
          <cell r="U1276" t="str">
            <v>-</v>
          </cell>
        </row>
        <row r="1277">
          <cell r="B1277" t="str">
            <v>LL5x3.5x6x3</v>
          </cell>
          <cell r="C1277">
            <v>6.1</v>
          </cell>
          <cell r="D1277">
            <v>3.5</v>
          </cell>
          <cell r="F1277" t="str">
            <v>-</v>
          </cell>
          <cell r="H1277" t="str">
            <v>-</v>
          </cell>
          <cell r="I1277" t="str">
            <v>-</v>
          </cell>
          <cell r="K1277" t="str">
            <v>-</v>
          </cell>
          <cell r="L1277">
            <v>5</v>
          </cell>
          <cell r="M1277">
            <v>7.375</v>
          </cell>
          <cell r="O1277" t="str">
            <v>-</v>
          </cell>
          <cell r="T1277">
            <v>0.375</v>
          </cell>
          <cell r="U1277" t="str">
            <v>-</v>
          </cell>
        </row>
        <row r="1278">
          <cell r="B1278" t="str">
            <v>LL5x3.5x6x6</v>
          </cell>
          <cell r="C1278">
            <v>6.1</v>
          </cell>
          <cell r="D1278">
            <v>3.5</v>
          </cell>
          <cell r="F1278" t="str">
            <v>-</v>
          </cell>
          <cell r="H1278" t="str">
            <v>-</v>
          </cell>
          <cell r="I1278" t="str">
            <v>-</v>
          </cell>
          <cell r="K1278" t="str">
            <v>-</v>
          </cell>
          <cell r="L1278">
            <v>5</v>
          </cell>
          <cell r="M1278">
            <v>7.75</v>
          </cell>
          <cell r="O1278" t="str">
            <v>-</v>
          </cell>
          <cell r="T1278">
            <v>0.375</v>
          </cell>
          <cell r="U1278" t="str">
            <v>-</v>
          </cell>
        </row>
        <row r="1279">
          <cell r="B1279" t="str">
            <v>LL5x3.5x5x0</v>
          </cell>
          <cell r="C1279">
            <v>5.12</v>
          </cell>
          <cell r="D1279">
            <v>3.5</v>
          </cell>
          <cell r="F1279" t="str">
            <v>-</v>
          </cell>
          <cell r="H1279" t="str">
            <v>-</v>
          </cell>
          <cell r="I1279" t="str">
            <v>-</v>
          </cell>
          <cell r="K1279" t="str">
            <v>-</v>
          </cell>
          <cell r="L1279">
            <v>5</v>
          </cell>
          <cell r="M1279">
            <v>7</v>
          </cell>
          <cell r="O1279" t="str">
            <v>-</v>
          </cell>
          <cell r="T1279">
            <v>0.313</v>
          </cell>
          <cell r="U1279" t="str">
            <v>-</v>
          </cell>
        </row>
        <row r="1280">
          <cell r="B1280" t="str">
            <v>LL5x3.5x5x3</v>
          </cell>
          <cell r="C1280">
            <v>5.12</v>
          </cell>
          <cell r="D1280">
            <v>3.5</v>
          </cell>
          <cell r="F1280" t="str">
            <v>-</v>
          </cell>
          <cell r="H1280" t="str">
            <v>-</v>
          </cell>
          <cell r="I1280" t="str">
            <v>-</v>
          </cell>
          <cell r="K1280" t="str">
            <v>-</v>
          </cell>
          <cell r="L1280">
            <v>5</v>
          </cell>
          <cell r="M1280">
            <v>7.375</v>
          </cell>
          <cell r="O1280" t="str">
            <v>-</v>
          </cell>
          <cell r="T1280">
            <v>0.313</v>
          </cell>
          <cell r="U1280" t="str">
            <v>-</v>
          </cell>
        </row>
        <row r="1281">
          <cell r="B1281" t="str">
            <v>LL5x3.5x5x6</v>
          </cell>
          <cell r="C1281">
            <v>5.12</v>
          </cell>
          <cell r="D1281">
            <v>3.5</v>
          </cell>
          <cell r="F1281" t="str">
            <v>-</v>
          </cell>
          <cell r="H1281" t="str">
            <v>-</v>
          </cell>
          <cell r="I1281" t="str">
            <v>-</v>
          </cell>
          <cell r="K1281" t="str">
            <v>-</v>
          </cell>
          <cell r="L1281">
            <v>5</v>
          </cell>
          <cell r="M1281">
            <v>7.75</v>
          </cell>
          <cell r="O1281" t="str">
            <v>-</v>
          </cell>
          <cell r="T1281">
            <v>0.313</v>
          </cell>
          <cell r="U1281" t="str">
            <v>-</v>
          </cell>
        </row>
        <row r="1282">
          <cell r="B1282" t="str">
            <v>LL5x3.5x4x0</v>
          </cell>
          <cell r="C1282">
            <v>4.1399999999999997</v>
          </cell>
          <cell r="D1282">
            <v>3.5</v>
          </cell>
          <cell r="F1282" t="str">
            <v>-</v>
          </cell>
          <cell r="H1282" t="str">
            <v>-</v>
          </cell>
          <cell r="I1282" t="str">
            <v>-</v>
          </cell>
          <cell r="K1282" t="str">
            <v>-</v>
          </cell>
          <cell r="L1282">
            <v>5</v>
          </cell>
          <cell r="M1282">
            <v>7</v>
          </cell>
          <cell r="O1282" t="str">
            <v>-</v>
          </cell>
          <cell r="T1282">
            <v>0.25</v>
          </cell>
          <cell r="U1282" t="str">
            <v>-</v>
          </cell>
        </row>
        <row r="1283">
          <cell r="B1283" t="str">
            <v>LL5x3.5x4x3</v>
          </cell>
          <cell r="C1283">
            <v>4.1399999999999997</v>
          </cell>
          <cell r="D1283">
            <v>3.5</v>
          </cell>
          <cell r="F1283" t="str">
            <v>-</v>
          </cell>
          <cell r="H1283" t="str">
            <v>-</v>
          </cell>
          <cell r="I1283" t="str">
            <v>-</v>
          </cell>
          <cell r="K1283" t="str">
            <v>-</v>
          </cell>
          <cell r="L1283">
            <v>5</v>
          </cell>
          <cell r="M1283">
            <v>7.375</v>
          </cell>
          <cell r="O1283" t="str">
            <v>-</v>
          </cell>
          <cell r="T1283">
            <v>0.25</v>
          </cell>
          <cell r="U1283" t="str">
            <v>-</v>
          </cell>
        </row>
        <row r="1284">
          <cell r="B1284" t="str">
            <v>LL5x3.5x4x6</v>
          </cell>
          <cell r="C1284">
            <v>4.1399999999999997</v>
          </cell>
          <cell r="D1284">
            <v>3.5</v>
          </cell>
          <cell r="F1284" t="str">
            <v>-</v>
          </cell>
          <cell r="H1284" t="str">
            <v>-</v>
          </cell>
          <cell r="I1284" t="str">
            <v>-</v>
          </cell>
          <cell r="K1284" t="str">
            <v>-</v>
          </cell>
          <cell r="L1284">
            <v>5</v>
          </cell>
          <cell r="M1284">
            <v>7.75</v>
          </cell>
          <cell r="O1284" t="str">
            <v>-</v>
          </cell>
          <cell r="T1284">
            <v>0.25</v>
          </cell>
          <cell r="U1284" t="str">
            <v>-</v>
          </cell>
        </row>
        <row r="1285">
          <cell r="B1285" t="str">
            <v>LL5x3x8x0</v>
          </cell>
          <cell r="C1285">
            <v>7.5</v>
          </cell>
          <cell r="D1285">
            <v>3</v>
          </cell>
          <cell r="F1285" t="str">
            <v>-</v>
          </cell>
          <cell r="H1285" t="str">
            <v>-</v>
          </cell>
          <cell r="I1285" t="str">
            <v>-</v>
          </cell>
          <cell r="K1285" t="str">
            <v>-</v>
          </cell>
          <cell r="L1285">
            <v>5</v>
          </cell>
          <cell r="M1285">
            <v>6</v>
          </cell>
          <cell r="O1285" t="str">
            <v>-</v>
          </cell>
          <cell r="T1285">
            <v>0.5</v>
          </cell>
          <cell r="U1285" t="str">
            <v>-</v>
          </cell>
        </row>
        <row r="1286">
          <cell r="B1286" t="str">
            <v>LL5x3x8x3</v>
          </cell>
          <cell r="C1286">
            <v>7.5</v>
          </cell>
          <cell r="D1286">
            <v>3</v>
          </cell>
          <cell r="F1286" t="str">
            <v>-</v>
          </cell>
          <cell r="H1286" t="str">
            <v>-</v>
          </cell>
          <cell r="I1286" t="str">
            <v>-</v>
          </cell>
          <cell r="K1286" t="str">
            <v>-</v>
          </cell>
          <cell r="L1286">
            <v>5</v>
          </cell>
          <cell r="M1286">
            <v>6.375</v>
          </cell>
          <cell r="O1286" t="str">
            <v>-</v>
          </cell>
          <cell r="T1286">
            <v>0.5</v>
          </cell>
          <cell r="U1286" t="str">
            <v>-</v>
          </cell>
        </row>
        <row r="1287">
          <cell r="B1287" t="str">
            <v>LL5x3x8x6</v>
          </cell>
          <cell r="C1287">
            <v>7.5</v>
          </cell>
          <cell r="D1287">
            <v>3</v>
          </cell>
          <cell r="F1287" t="str">
            <v>-</v>
          </cell>
          <cell r="H1287" t="str">
            <v>-</v>
          </cell>
          <cell r="I1287" t="str">
            <v>-</v>
          </cell>
          <cell r="K1287" t="str">
            <v>-</v>
          </cell>
          <cell r="L1287">
            <v>5</v>
          </cell>
          <cell r="M1287">
            <v>6.75</v>
          </cell>
          <cell r="O1287" t="str">
            <v>-</v>
          </cell>
          <cell r="T1287">
            <v>0.5</v>
          </cell>
          <cell r="U1287" t="str">
            <v>-</v>
          </cell>
        </row>
        <row r="1288">
          <cell r="B1288" t="str">
            <v>LL5x3x7x0</v>
          </cell>
          <cell r="C1288">
            <v>6.62</v>
          </cell>
          <cell r="D1288">
            <v>3</v>
          </cell>
          <cell r="F1288" t="str">
            <v>-</v>
          </cell>
          <cell r="H1288" t="str">
            <v>-</v>
          </cell>
          <cell r="I1288" t="str">
            <v>-</v>
          </cell>
          <cell r="K1288" t="str">
            <v>-</v>
          </cell>
          <cell r="L1288">
            <v>5</v>
          </cell>
          <cell r="M1288">
            <v>6</v>
          </cell>
          <cell r="O1288" t="str">
            <v>-</v>
          </cell>
          <cell r="T1288">
            <v>0.438</v>
          </cell>
          <cell r="U1288" t="str">
            <v>-</v>
          </cell>
        </row>
        <row r="1289">
          <cell r="B1289" t="str">
            <v>LL5x3x7x3</v>
          </cell>
          <cell r="C1289">
            <v>6.62</v>
          </cell>
          <cell r="D1289">
            <v>3</v>
          </cell>
          <cell r="F1289" t="str">
            <v>-</v>
          </cell>
          <cell r="H1289" t="str">
            <v>-</v>
          </cell>
          <cell r="I1289" t="str">
            <v>-</v>
          </cell>
          <cell r="K1289" t="str">
            <v>-</v>
          </cell>
          <cell r="L1289">
            <v>5</v>
          </cell>
          <cell r="M1289">
            <v>6.375</v>
          </cell>
          <cell r="O1289" t="str">
            <v>-</v>
          </cell>
          <cell r="T1289">
            <v>0.438</v>
          </cell>
          <cell r="U1289" t="str">
            <v>-</v>
          </cell>
        </row>
        <row r="1290">
          <cell r="B1290" t="str">
            <v>LL5x3x7x6</v>
          </cell>
          <cell r="C1290">
            <v>6.62</v>
          </cell>
          <cell r="D1290">
            <v>3</v>
          </cell>
          <cell r="F1290" t="str">
            <v>-</v>
          </cell>
          <cell r="H1290" t="str">
            <v>-</v>
          </cell>
          <cell r="I1290" t="str">
            <v>-</v>
          </cell>
          <cell r="K1290" t="str">
            <v>-</v>
          </cell>
          <cell r="L1290">
            <v>5</v>
          </cell>
          <cell r="M1290">
            <v>6.75</v>
          </cell>
          <cell r="O1290" t="str">
            <v>-</v>
          </cell>
          <cell r="T1290">
            <v>0.438</v>
          </cell>
          <cell r="U1290" t="str">
            <v>-</v>
          </cell>
        </row>
        <row r="1291">
          <cell r="B1291" t="str">
            <v>LL5x3x6x0</v>
          </cell>
          <cell r="C1291">
            <v>5.72</v>
          </cell>
          <cell r="D1291">
            <v>3</v>
          </cell>
          <cell r="F1291" t="str">
            <v>-</v>
          </cell>
          <cell r="H1291" t="str">
            <v>-</v>
          </cell>
          <cell r="I1291" t="str">
            <v>-</v>
          </cell>
          <cell r="K1291" t="str">
            <v>-</v>
          </cell>
          <cell r="L1291">
            <v>5</v>
          </cell>
          <cell r="M1291">
            <v>6</v>
          </cell>
          <cell r="O1291" t="str">
            <v>-</v>
          </cell>
          <cell r="T1291">
            <v>0.375</v>
          </cell>
          <cell r="U1291" t="str">
            <v>-</v>
          </cell>
        </row>
        <row r="1292">
          <cell r="B1292" t="str">
            <v>LL5x3x6x3</v>
          </cell>
          <cell r="C1292">
            <v>5.72</v>
          </cell>
          <cell r="D1292">
            <v>3</v>
          </cell>
          <cell r="F1292" t="str">
            <v>-</v>
          </cell>
          <cell r="H1292" t="str">
            <v>-</v>
          </cell>
          <cell r="I1292" t="str">
            <v>-</v>
          </cell>
          <cell r="K1292" t="str">
            <v>-</v>
          </cell>
          <cell r="L1292">
            <v>5</v>
          </cell>
          <cell r="M1292">
            <v>6.375</v>
          </cell>
          <cell r="O1292" t="str">
            <v>-</v>
          </cell>
          <cell r="T1292">
            <v>0.375</v>
          </cell>
          <cell r="U1292" t="str">
            <v>-</v>
          </cell>
        </row>
        <row r="1293">
          <cell r="B1293" t="str">
            <v>LL5x3x6x6</v>
          </cell>
          <cell r="C1293">
            <v>5.72</v>
          </cell>
          <cell r="D1293">
            <v>3</v>
          </cell>
          <cell r="F1293" t="str">
            <v>-</v>
          </cell>
          <cell r="H1293" t="str">
            <v>-</v>
          </cell>
          <cell r="I1293" t="str">
            <v>-</v>
          </cell>
          <cell r="K1293" t="str">
            <v>-</v>
          </cell>
          <cell r="L1293">
            <v>5</v>
          </cell>
          <cell r="M1293">
            <v>6.75</v>
          </cell>
          <cell r="O1293" t="str">
            <v>-</v>
          </cell>
          <cell r="T1293">
            <v>0.375</v>
          </cell>
          <cell r="U1293" t="str">
            <v>-</v>
          </cell>
        </row>
        <row r="1294">
          <cell r="B1294" t="str">
            <v>LL5x3x5x0</v>
          </cell>
          <cell r="C1294">
            <v>4.82</v>
          </cell>
          <cell r="D1294">
            <v>3</v>
          </cell>
          <cell r="F1294" t="str">
            <v>-</v>
          </cell>
          <cell r="H1294" t="str">
            <v>-</v>
          </cell>
          <cell r="I1294" t="str">
            <v>-</v>
          </cell>
          <cell r="K1294" t="str">
            <v>-</v>
          </cell>
          <cell r="L1294">
            <v>5</v>
          </cell>
          <cell r="M1294">
            <v>6</v>
          </cell>
          <cell r="O1294" t="str">
            <v>-</v>
          </cell>
          <cell r="T1294">
            <v>0.313</v>
          </cell>
          <cell r="U1294" t="str">
            <v>-</v>
          </cell>
        </row>
        <row r="1295">
          <cell r="B1295" t="str">
            <v>LL5x3x5x3</v>
          </cell>
          <cell r="C1295">
            <v>4.82</v>
          </cell>
          <cell r="D1295">
            <v>3</v>
          </cell>
          <cell r="F1295" t="str">
            <v>-</v>
          </cell>
          <cell r="H1295" t="str">
            <v>-</v>
          </cell>
          <cell r="I1295" t="str">
            <v>-</v>
          </cell>
          <cell r="K1295" t="str">
            <v>-</v>
          </cell>
          <cell r="L1295">
            <v>5</v>
          </cell>
          <cell r="M1295">
            <v>6.375</v>
          </cell>
          <cell r="O1295" t="str">
            <v>-</v>
          </cell>
          <cell r="T1295">
            <v>0.313</v>
          </cell>
          <cell r="U1295" t="str">
            <v>-</v>
          </cell>
        </row>
        <row r="1296">
          <cell r="B1296" t="str">
            <v>LL5x3x5x6</v>
          </cell>
          <cell r="C1296">
            <v>4.82</v>
          </cell>
          <cell r="D1296">
            <v>3</v>
          </cell>
          <cell r="F1296" t="str">
            <v>-</v>
          </cell>
          <cell r="H1296" t="str">
            <v>-</v>
          </cell>
          <cell r="I1296" t="str">
            <v>-</v>
          </cell>
          <cell r="K1296" t="str">
            <v>-</v>
          </cell>
          <cell r="L1296">
            <v>5</v>
          </cell>
          <cell r="M1296">
            <v>6.75</v>
          </cell>
          <cell r="O1296" t="str">
            <v>-</v>
          </cell>
          <cell r="T1296">
            <v>0.313</v>
          </cell>
          <cell r="U1296" t="str">
            <v>-</v>
          </cell>
        </row>
        <row r="1297">
          <cell r="B1297" t="str">
            <v>LL5x3x4x0</v>
          </cell>
          <cell r="C1297">
            <v>3.88</v>
          </cell>
          <cell r="D1297">
            <v>3</v>
          </cell>
          <cell r="F1297" t="str">
            <v>-</v>
          </cell>
          <cell r="H1297" t="str">
            <v>-</v>
          </cell>
          <cell r="I1297" t="str">
            <v>-</v>
          </cell>
          <cell r="K1297" t="str">
            <v>-</v>
          </cell>
          <cell r="L1297">
            <v>5</v>
          </cell>
          <cell r="M1297">
            <v>6</v>
          </cell>
          <cell r="O1297" t="str">
            <v>-</v>
          </cell>
          <cell r="T1297">
            <v>0.25</v>
          </cell>
          <cell r="U1297" t="str">
            <v>-</v>
          </cell>
        </row>
        <row r="1298">
          <cell r="B1298" t="str">
            <v>LL5x3x4x3</v>
          </cell>
          <cell r="C1298">
            <v>3.88</v>
          </cell>
          <cell r="D1298">
            <v>3</v>
          </cell>
          <cell r="F1298" t="str">
            <v>-</v>
          </cell>
          <cell r="H1298" t="str">
            <v>-</v>
          </cell>
          <cell r="I1298" t="str">
            <v>-</v>
          </cell>
          <cell r="K1298" t="str">
            <v>-</v>
          </cell>
          <cell r="L1298">
            <v>5</v>
          </cell>
          <cell r="M1298">
            <v>6.375</v>
          </cell>
          <cell r="O1298" t="str">
            <v>-</v>
          </cell>
          <cell r="T1298">
            <v>0.25</v>
          </cell>
          <cell r="U1298" t="str">
            <v>-</v>
          </cell>
        </row>
        <row r="1299">
          <cell r="B1299" t="str">
            <v>LL5x3x4x6</v>
          </cell>
          <cell r="C1299">
            <v>3.88</v>
          </cell>
          <cell r="D1299">
            <v>3</v>
          </cell>
          <cell r="F1299" t="str">
            <v>-</v>
          </cell>
          <cell r="H1299" t="str">
            <v>-</v>
          </cell>
          <cell r="I1299" t="str">
            <v>-</v>
          </cell>
          <cell r="K1299" t="str">
            <v>-</v>
          </cell>
          <cell r="L1299">
            <v>5</v>
          </cell>
          <cell r="M1299">
            <v>6.75</v>
          </cell>
          <cell r="O1299" t="str">
            <v>-</v>
          </cell>
          <cell r="T1299">
            <v>0.25</v>
          </cell>
          <cell r="U1299" t="str">
            <v>-</v>
          </cell>
        </row>
        <row r="1300">
          <cell r="B1300" t="str">
            <v>LL4x3.5x8x0</v>
          </cell>
          <cell r="C1300">
            <v>7</v>
          </cell>
          <cell r="D1300">
            <v>3.5</v>
          </cell>
          <cell r="F1300" t="str">
            <v>-</v>
          </cell>
          <cell r="H1300" t="str">
            <v>-</v>
          </cell>
          <cell r="I1300" t="str">
            <v>-</v>
          </cell>
          <cell r="K1300" t="str">
            <v>-</v>
          </cell>
          <cell r="L1300">
            <v>4</v>
          </cell>
          <cell r="M1300">
            <v>7</v>
          </cell>
          <cell r="O1300" t="str">
            <v>-</v>
          </cell>
          <cell r="T1300">
            <v>0.5</v>
          </cell>
          <cell r="U1300" t="str">
            <v>-</v>
          </cell>
        </row>
        <row r="1301">
          <cell r="B1301" t="str">
            <v>LL4x3.5x8x3</v>
          </cell>
          <cell r="C1301">
            <v>7</v>
          </cell>
          <cell r="D1301">
            <v>3.5</v>
          </cell>
          <cell r="F1301" t="str">
            <v>-</v>
          </cell>
          <cell r="H1301" t="str">
            <v>-</v>
          </cell>
          <cell r="I1301" t="str">
            <v>-</v>
          </cell>
          <cell r="K1301" t="str">
            <v>-</v>
          </cell>
          <cell r="L1301">
            <v>4</v>
          </cell>
          <cell r="M1301">
            <v>7.375</v>
          </cell>
          <cell r="O1301" t="str">
            <v>-</v>
          </cell>
          <cell r="T1301">
            <v>0.5</v>
          </cell>
          <cell r="U1301" t="str">
            <v>-</v>
          </cell>
        </row>
        <row r="1302">
          <cell r="B1302" t="str">
            <v>LL4x3.5x8x6</v>
          </cell>
          <cell r="C1302">
            <v>7</v>
          </cell>
          <cell r="D1302">
            <v>3.5</v>
          </cell>
          <cell r="F1302" t="str">
            <v>-</v>
          </cell>
          <cell r="H1302" t="str">
            <v>-</v>
          </cell>
          <cell r="I1302" t="str">
            <v>-</v>
          </cell>
          <cell r="K1302" t="str">
            <v>-</v>
          </cell>
          <cell r="L1302">
            <v>4</v>
          </cell>
          <cell r="M1302">
            <v>7.75</v>
          </cell>
          <cell r="O1302" t="str">
            <v>-</v>
          </cell>
          <cell r="T1302">
            <v>0.5</v>
          </cell>
          <cell r="U1302" t="str">
            <v>-</v>
          </cell>
        </row>
        <row r="1303">
          <cell r="B1303" t="str">
            <v>LL4x3.5x6x0</v>
          </cell>
          <cell r="C1303">
            <v>5.36</v>
          </cell>
          <cell r="D1303">
            <v>3.5</v>
          </cell>
          <cell r="F1303" t="str">
            <v>-</v>
          </cell>
          <cell r="H1303" t="str">
            <v>-</v>
          </cell>
          <cell r="I1303" t="str">
            <v>-</v>
          </cell>
          <cell r="K1303" t="str">
            <v>-</v>
          </cell>
          <cell r="L1303">
            <v>4</v>
          </cell>
          <cell r="M1303">
            <v>7</v>
          </cell>
          <cell r="O1303" t="str">
            <v>-</v>
          </cell>
          <cell r="T1303">
            <v>0.375</v>
          </cell>
          <cell r="U1303" t="str">
            <v>-</v>
          </cell>
        </row>
        <row r="1304">
          <cell r="B1304" t="str">
            <v>LL4x3.5x6x3</v>
          </cell>
          <cell r="C1304">
            <v>5.36</v>
          </cell>
          <cell r="D1304">
            <v>3.5</v>
          </cell>
          <cell r="F1304" t="str">
            <v>-</v>
          </cell>
          <cell r="H1304" t="str">
            <v>-</v>
          </cell>
          <cell r="I1304" t="str">
            <v>-</v>
          </cell>
          <cell r="K1304" t="str">
            <v>-</v>
          </cell>
          <cell r="L1304">
            <v>4</v>
          </cell>
          <cell r="M1304">
            <v>7.375</v>
          </cell>
          <cell r="O1304" t="str">
            <v>-</v>
          </cell>
          <cell r="T1304">
            <v>0.375</v>
          </cell>
          <cell r="U1304" t="str">
            <v>-</v>
          </cell>
        </row>
        <row r="1305">
          <cell r="B1305" t="str">
            <v>LL4x3.5x6x6</v>
          </cell>
          <cell r="C1305">
            <v>5.36</v>
          </cell>
          <cell r="D1305">
            <v>3.5</v>
          </cell>
          <cell r="F1305" t="str">
            <v>-</v>
          </cell>
          <cell r="H1305" t="str">
            <v>-</v>
          </cell>
          <cell r="I1305" t="str">
            <v>-</v>
          </cell>
          <cell r="K1305" t="str">
            <v>-</v>
          </cell>
          <cell r="L1305">
            <v>4</v>
          </cell>
          <cell r="M1305">
            <v>7.75</v>
          </cell>
          <cell r="O1305" t="str">
            <v>-</v>
          </cell>
          <cell r="T1305">
            <v>0.375</v>
          </cell>
          <cell r="U1305" t="str">
            <v>-</v>
          </cell>
        </row>
        <row r="1306">
          <cell r="B1306" t="str">
            <v>LL4x3.5x5x0</v>
          </cell>
          <cell r="C1306">
            <v>4.5</v>
          </cell>
          <cell r="D1306">
            <v>3.5</v>
          </cell>
          <cell r="F1306" t="str">
            <v>-</v>
          </cell>
          <cell r="H1306" t="str">
            <v>-</v>
          </cell>
          <cell r="I1306" t="str">
            <v>-</v>
          </cell>
          <cell r="K1306" t="str">
            <v>-</v>
          </cell>
          <cell r="L1306">
            <v>4</v>
          </cell>
          <cell r="M1306">
            <v>7</v>
          </cell>
          <cell r="O1306" t="str">
            <v>-</v>
          </cell>
          <cell r="T1306">
            <v>0.313</v>
          </cell>
          <cell r="U1306" t="str">
            <v>-</v>
          </cell>
        </row>
        <row r="1307">
          <cell r="B1307" t="str">
            <v>LL4x3.5x5x3</v>
          </cell>
          <cell r="C1307">
            <v>4.5</v>
          </cell>
          <cell r="D1307">
            <v>3.5</v>
          </cell>
          <cell r="F1307" t="str">
            <v>-</v>
          </cell>
          <cell r="H1307" t="str">
            <v>-</v>
          </cell>
          <cell r="I1307" t="str">
            <v>-</v>
          </cell>
          <cell r="K1307" t="str">
            <v>-</v>
          </cell>
          <cell r="L1307">
            <v>4</v>
          </cell>
          <cell r="M1307">
            <v>7.375</v>
          </cell>
          <cell r="O1307" t="str">
            <v>-</v>
          </cell>
          <cell r="T1307">
            <v>0.313</v>
          </cell>
          <cell r="U1307" t="str">
            <v>-</v>
          </cell>
        </row>
        <row r="1308">
          <cell r="B1308" t="str">
            <v>LL4x3.5x5x6</v>
          </cell>
          <cell r="C1308">
            <v>4.5</v>
          </cell>
          <cell r="D1308">
            <v>3.5</v>
          </cell>
          <cell r="F1308" t="str">
            <v>-</v>
          </cell>
          <cell r="H1308" t="str">
            <v>-</v>
          </cell>
          <cell r="I1308" t="str">
            <v>-</v>
          </cell>
          <cell r="K1308" t="str">
            <v>-</v>
          </cell>
          <cell r="L1308">
            <v>4</v>
          </cell>
          <cell r="M1308">
            <v>7.75</v>
          </cell>
          <cell r="O1308" t="str">
            <v>-</v>
          </cell>
          <cell r="T1308">
            <v>0.313</v>
          </cell>
          <cell r="U1308" t="str">
            <v>-</v>
          </cell>
        </row>
        <row r="1309">
          <cell r="B1309" t="str">
            <v>LL4x3.5x4x0</v>
          </cell>
          <cell r="C1309">
            <v>3.64</v>
          </cell>
          <cell r="D1309">
            <v>3.5</v>
          </cell>
          <cell r="F1309" t="str">
            <v>-</v>
          </cell>
          <cell r="H1309" t="str">
            <v>-</v>
          </cell>
          <cell r="I1309" t="str">
            <v>-</v>
          </cell>
          <cell r="K1309" t="str">
            <v>-</v>
          </cell>
          <cell r="L1309">
            <v>4</v>
          </cell>
          <cell r="M1309">
            <v>7</v>
          </cell>
          <cell r="O1309" t="str">
            <v>-</v>
          </cell>
          <cell r="T1309">
            <v>0.25</v>
          </cell>
          <cell r="U1309" t="str">
            <v>-</v>
          </cell>
        </row>
        <row r="1310">
          <cell r="B1310" t="str">
            <v>LL4x3.5x4x3</v>
          </cell>
          <cell r="C1310">
            <v>3.64</v>
          </cell>
          <cell r="D1310">
            <v>3.5</v>
          </cell>
          <cell r="F1310" t="str">
            <v>-</v>
          </cell>
          <cell r="H1310" t="str">
            <v>-</v>
          </cell>
          <cell r="I1310" t="str">
            <v>-</v>
          </cell>
          <cell r="K1310" t="str">
            <v>-</v>
          </cell>
          <cell r="L1310">
            <v>4</v>
          </cell>
          <cell r="M1310">
            <v>7.375</v>
          </cell>
          <cell r="O1310" t="str">
            <v>-</v>
          </cell>
          <cell r="T1310">
            <v>0.25</v>
          </cell>
          <cell r="U1310" t="str">
            <v>-</v>
          </cell>
        </row>
        <row r="1311">
          <cell r="B1311" t="str">
            <v>LL4x3.5x4x6</v>
          </cell>
          <cell r="C1311">
            <v>3.64</v>
          </cell>
          <cell r="D1311">
            <v>3.5</v>
          </cell>
          <cell r="F1311" t="str">
            <v>-</v>
          </cell>
          <cell r="H1311" t="str">
            <v>-</v>
          </cell>
          <cell r="I1311" t="str">
            <v>-</v>
          </cell>
          <cell r="K1311" t="str">
            <v>-</v>
          </cell>
          <cell r="L1311">
            <v>4</v>
          </cell>
          <cell r="M1311">
            <v>7.75</v>
          </cell>
          <cell r="O1311" t="str">
            <v>-</v>
          </cell>
          <cell r="T1311">
            <v>0.25</v>
          </cell>
          <cell r="U1311" t="str">
            <v>-</v>
          </cell>
        </row>
        <row r="1312">
          <cell r="B1312" t="str">
            <v>LL4x3x10x0</v>
          </cell>
          <cell r="C1312">
            <v>7.98</v>
          </cell>
          <cell r="D1312">
            <v>3</v>
          </cell>
          <cell r="F1312" t="str">
            <v>-</v>
          </cell>
          <cell r="H1312" t="str">
            <v>-</v>
          </cell>
          <cell r="I1312" t="str">
            <v>-</v>
          </cell>
          <cell r="K1312" t="str">
            <v>-</v>
          </cell>
          <cell r="L1312">
            <v>4</v>
          </cell>
          <cell r="M1312">
            <v>6</v>
          </cell>
          <cell r="O1312" t="str">
            <v>-</v>
          </cell>
          <cell r="T1312">
            <v>0.625</v>
          </cell>
          <cell r="U1312" t="str">
            <v>-</v>
          </cell>
        </row>
        <row r="1313">
          <cell r="B1313" t="str">
            <v>LL4x3x10x3</v>
          </cell>
          <cell r="C1313">
            <v>7.98</v>
          </cell>
          <cell r="D1313">
            <v>3</v>
          </cell>
          <cell r="F1313" t="str">
            <v>-</v>
          </cell>
          <cell r="H1313" t="str">
            <v>-</v>
          </cell>
          <cell r="I1313" t="str">
            <v>-</v>
          </cell>
          <cell r="K1313" t="str">
            <v>-</v>
          </cell>
          <cell r="L1313">
            <v>4</v>
          </cell>
          <cell r="M1313">
            <v>6.375</v>
          </cell>
          <cell r="O1313" t="str">
            <v>-</v>
          </cell>
          <cell r="T1313">
            <v>0.625</v>
          </cell>
          <cell r="U1313" t="str">
            <v>-</v>
          </cell>
        </row>
        <row r="1314">
          <cell r="B1314" t="str">
            <v>LL4x3x10x6</v>
          </cell>
          <cell r="C1314">
            <v>7.98</v>
          </cell>
          <cell r="D1314">
            <v>3</v>
          </cell>
          <cell r="F1314" t="str">
            <v>-</v>
          </cell>
          <cell r="H1314" t="str">
            <v>-</v>
          </cell>
          <cell r="I1314" t="str">
            <v>-</v>
          </cell>
          <cell r="K1314" t="str">
            <v>-</v>
          </cell>
          <cell r="L1314">
            <v>4</v>
          </cell>
          <cell r="M1314">
            <v>6.75</v>
          </cell>
          <cell r="O1314" t="str">
            <v>-</v>
          </cell>
          <cell r="T1314">
            <v>0.625</v>
          </cell>
          <cell r="U1314" t="str">
            <v>-</v>
          </cell>
        </row>
        <row r="1315">
          <cell r="B1315" t="str">
            <v>LL4x3x8x0</v>
          </cell>
          <cell r="C1315">
            <v>6.5</v>
          </cell>
          <cell r="D1315">
            <v>3</v>
          </cell>
          <cell r="F1315" t="str">
            <v>-</v>
          </cell>
          <cell r="H1315" t="str">
            <v>-</v>
          </cell>
          <cell r="I1315" t="str">
            <v>-</v>
          </cell>
          <cell r="K1315" t="str">
            <v>-</v>
          </cell>
          <cell r="L1315">
            <v>4</v>
          </cell>
          <cell r="M1315">
            <v>6</v>
          </cell>
          <cell r="O1315" t="str">
            <v>-</v>
          </cell>
          <cell r="T1315">
            <v>0.5</v>
          </cell>
          <cell r="U1315" t="str">
            <v>-</v>
          </cell>
        </row>
        <row r="1316">
          <cell r="B1316" t="str">
            <v>LL4x3x8x3</v>
          </cell>
          <cell r="C1316">
            <v>6.5</v>
          </cell>
          <cell r="D1316">
            <v>3</v>
          </cell>
          <cell r="F1316" t="str">
            <v>-</v>
          </cell>
          <cell r="H1316" t="str">
            <v>-</v>
          </cell>
          <cell r="I1316" t="str">
            <v>-</v>
          </cell>
          <cell r="K1316" t="str">
            <v>-</v>
          </cell>
          <cell r="L1316">
            <v>4</v>
          </cell>
          <cell r="M1316">
            <v>6.375</v>
          </cell>
          <cell r="O1316" t="str">
            <v>-</v>
          </cell>
          <cell r="T1316">
            <v>0.5</v>
          </cell>
          <cell r="U1316" t="str">
            <v>-</v>
          </cell>
        </row>
        <row r="1317">
          <cell r="B1317" t="str">
            <v>LL4x3x8x6</v>
          </cell>
          <cell r="C1317">
            <v>6.5</v>
          </cell>
          <cell r="D1317">
            <v>3</v>
          </cell>
          <cell r="F1317" t="str">
            <v>-</v>
          </cell>
          <cell r="H1317" t="str">
            <v>-</v>
          </cell>
          <cell r="I1317" t="str">
            <v>-</v>
          </cell>
          <cell r="K1317" t="str">
            <v>-</v>
          </cell>
          <cell r="L1317">
            <v>4</v>
          </cell>
          <cell r="M1317">
            <v>6.75</v>
          </cell>
          <cell r="O1317" t="str">
            <v>-</v>
          </cell>
          <cell r="T1317">
            <v>0.5</v>
          </cell>
          <cell r="U1317" t="str">
            <v>-</v>
          </cell>
        </row>
        <row r="1318">
          <cell r="B1318" t="str">
            <v>LL4x3x6x0</v>
          </cell>
          <cell r="C1318">
            <v>4.9800000000000004</v>
          </cell>
          <cell r="D1318">
            <v>3</v>
          </cell>
          <cell r="F1318" t="str">
            <v>-</v>
          </cell>
          <cell r="H1318" t="str">
            <v>-</v>
          </cell>
          <cell r="I1318" t="str">
            <v>-</v>
          </cell>
          <cell r="K1318" t="str">
            <v>-</v>
          </cell>
          <cell r="L1318">
            <v>4</v>
          </cell>
          <cell r="M1318">
            <v>6</v>
          </cell>
          <cell r="O1318" t="str">
            <v>-</v>
          </cell>
          <cell r="T1318">
            <v>0.375</v>
          </cell>
          <cell r="U1318" t="str">
            <v>-</v>
          </cell>
        </row>
        <row r="1319">
          <cell r="B1319" t="str">
            <v>LL4x3x6x3</v>
          </cell>
          <cell r="C1319">
            <v>4.9800000000000004</v>
          </cell>
          <cell r="D1319">
            <v>3</v>
          </cell>
          <cell r="F1319" t="str">
            <v>-</v>
          </cell>
          <cell r="H1319" t="str">
            <v>-</v>
          </cell>
          <cell r="I1319" t="str">
            <v>-</v>
          </cell>
          <cell r="K1319" t="str">
            <v>-</v>
          </cell>
          <cell r="L1319">
            <v>4</v>
          </cell>
          <cell r="M1319">
            <v>6.375</v>
          </cell>
          <cell r="O1319" t="str">
            <v>-</v>
          </cell>
          <cell r="T1319">
            <v>0.375</v>
          </cell>
          <cell r="U1319" t="str">
            <v>-</v>
          </cell>
        </row>
        <row r="1320">
          <cell r="B1320" t="str">
            <v>LL4x3x6x6</v>
          </cell>
          <cell r="C1320">
            <v>4.9800000000000004</v>
          </cell>
          <cell r="D1320">
            <v>3</v>
          </cell>
          <cell r="F1320" t="str">
            <v>-</v>
          </cell>
          <cell r="H1320" t="str">
            <v>-</v>
          </cell>
          <cell r="I1320" t="str">
            <v>-</v>
          </cell>
          <cell r="K1320" t="str">
            <v>-</v>
          </cell>
          <cell r="L1320">
            <v>4</v>
          </cell>
          <cell r="M1320">
            <v>6.75</v>
          </cell>
          <cell r="O1320" t="str">
            <v>-</v>
          </cell>
          <cell r="T1320">
            <v>0.375</v>
          </cell>
          <cell r="U1320" t="str">
            <v>-</v>
          </cell>
        </row>
        <row r="1321">
          <cell r="B1321" t="str">
            <v>LL4x3x5x0</v>
          </cell>
          <cell r="C1321">
            <v>4.18</v>
          </cell>
          <cell r="D1321">
            <v>3</v>
          </cell>
          <cell r="F1321" t="str">
            <v>-</v>
          </cell>
          <cell r="H1321" t="str">
            <v>-</v>
          </cell>
          <cell r="I1321" t="str">
            <v>-</v>
          </cell>
          <cell r="K1321" t="str">
            <v>-</v>
          </cell>
          <cell r="L1321">
            <v>4</v>
          </cell>
          <cell r="M1321">
            <v>6</v>
          </cell>
          <cell r="O1321" t="str">
            <v>-</v>
          </cell>
          <cell r="T1321">
            <v>0.313</v>
          </cell>
          <cell r="U1321" t="str">
            <v>-</v>
          </cell>
        </row>
        <row r="1322">
          <cell r="B1322" t="str">
            <v>LL4x3x5x3</v>
          </cell>
          <cell r="C1322">
            <v>4.18</v>
          </cell>
          <cell r="D1322">
            <v>3</v>
          </cell>
          <cell r="F1322" t="str">
            <v>-</v>
          </cell>
          <cell r="H1322" t="str">
            <v>-</v>
          </cell>
          <cell r="I1322" t="str">
            <v>-</v>
          </cell>
          <cell r="K1322" t="str">
            <v>-</v>
          </cell>
          <cell r="L1322">
            <v>4</v>
          </cell>
          <cell r="M1322">
            <v>6.375</v>
          </cell>
          <cell r="O1322" t="str">
            <v>-</v>
          </cell>
          <cell r="T1322">
            <v>0.313</v>
          </cell>
          <cell r="U1322" t="str">
            <v>-</v>
          </cell>
        </row>
        <row r="1323">
          <cell r="B1323" t="str">
            <v>LL4x3x5x6</v>
          </cell>
          <cell r="C1323">
            <v>4.18</v>
          </cell>
          <cell r="D1323">
            <v>3</v>
          </cell>
          <cell r="F1323" t="str">
            <v>-</v>
          </cell>
          <cell r="H1323" t="str">
            <v>-</v>
          </cell>
          <cell r="I1323" t="str">
            <v>-</v>
          </cell>
          <cell r="K1323" t="str">
            <v>-</v>
          </cell>
          <cell r="L1323">
            <v>4</v>
          </cell>
          <cell r="M1323">
            <v>6.75</v>
          </cell>
          <cell r="O1323" t="str">
            <v>-</v>
          </cell>
          <cell r="T1323">
            <v>0.313</v>
          </cell>
          <cell r="U1323" t="str">
            <v>-</v>
          </cell>
        </row>
        <row r="1324">
          <cell r="B1324" t="str">
            <v>LL4x3x4x0</v>
          </cell>
          <cell r="C1324">
            <v>3.38</v>
          </cell>
          <cell r="D1324">
            <v>3</v>
          </cell>
          <cell r="F1324" t="str">
            <v>-</v>
          </cell>
          <cell r="H1324" t="str">
            <v>-</v>
          </cell>
          <cell r="I1324" t="str">
            <v>-</v>
          </cell>
          <cell r="K1324" t="str">
            <v>-</v>
          </cell>
          <cell r="L1324">
            <v>4</v>
          </cell>
          <cell r="M1324">
            <v>6</v>
          </cell>
          <cell r="O1324" t="str">
            <v>-</v>
          </cell>
          <cell r="T1324">
            <v>0.25</v>
          </cell>
          <cell r="U1324" t="str">
            <v>-</v>
          </cell>
        </row>
        <row r="1325">
          <cell r="B1325" t="str">
            <v>LL4x3x4x3</v>
          </cell>
          <cell r="C1325">
            <v>3.38</v>
          </cell>
          <cell r="D1325">
            <v>3</v>
          </cell>
          <cell r="F1325" t="str">
            <v>-</v>
          </cell>
          <cell r="H1325" t="str">
            <v>-</v>
          </cell>
          <cell r="I1325" t="str">
            <v>-</v>
          </cell>
          <cell r="K1325" t="str">
            <v>-</v>
          </cell>
          <cell r="L1325">
            <v>4</v>
          </cell>
          <cell r="M1325">
            <v>6.375</v>
          </cell>
          <cell r="O1325" t="str">
            <v>-</v>
          </cell>
          <cell r="T1325">
            <v>0.25</v>
          </cell>
          <cell r="U1325" t="str">
            <v>-</v>
          </cell>
        </row>
        <row r="1326">
          <cell r="B1326" t="str">
            <v>LL4x3x4x6</v>
          </cell>
          <cell r="C1326">
            <v>3.38</v>
          </cell>
          <cell r="D1326">
            <v>3</v>
          </cell>
          <cell r="F1326" t="str">
            <v>-</v>
          </cell>
          <cell r="H1326" t="str">
            <v>-</v>
          </cell>
          <cell r="I1326" t="str">
            <v>-</v>
          </cell>
          <cell r="K1326" t="str">
            <v>-</v>
          </cell>
          <cell r="L1326">
            <v>4</v>
          </cell>
          <cell r="M1326">
            <v>6.75</v>
          </cell>
          <cell r="O1326" t="str">
            <v>-</v>
          </cell>
          <cell r="T1326">
            <v>0.25</v>
          </cell>
          <cell r="U1326" t="str">
            <v>-</v>
          </cell>
        </row>
        <row r="1327">
          <cell r="B1327" t="str">
            <v>LL3.5x3x8x0</v>
          </cell>
          <cell r="C1327">
            <v>6.04</v>
          </cell>
          <cell r="D1327">
            <v>3</v>
          </cell>
          <cell r="F1327" t="str">
            <v>-</v>
          </cell>
          <cell r="H1327" t="str">
            <v>-</v>
          </cell>
          <cell r="I1327" t="str">
            <v>-</v>
          </cell>
          <cell r="K1327" t="str">
            <v>-</v>
          </cell>
          <cell r="L1327">
            <v>3.5</v>
          </cell>
          <cell r="M1327">
            <v>6</v>
          </cell>
          <cell r="O1327" t="str">
            <v>-</v>
          </cell>
          <cell r="T1327">
            <v>0.5</v>
          </cell>
          <cell r="U1327" t="str">
            <v>-</v>
          </cell>
        </row>
        <row r="1328">
          <cell r="B1328" t="str">
            <v>LL3.5x3x8x3</v>
          </cell>
          <cell r="C1328">
            <v>6.04</v>
          </cell>
          <cell r="D1328">
            <v>3</v>
          </cell>
          <cell r="F1328" t="str">
            <v>-</v>
          </cell>
          <cell r="H1328" t="str">
            <v>-</v>
          </cell>
          <cell r="I1328" t="str">
            <v>-</v>
          </cell>
          <cell r="K1328" t="str">
            <v>-</v>
          </cell>
          <cell r="L1328">
            <v>3.5</v>
          </cell>
          <cell r="M1328">
            <v>6.375</v>
          </cell>
          <cell r="O1328" t="str">
            <v>-</v>
          </cell>
          <cell r="T1328">
            <v>0.5</v>
          </cell>
          <cell r="U1328" t="str">
            <v>-</v>
          </cell>
        </row>
        <row r="1329">
          <cell r="B1329" t="str">
            <v>LL3.5x3x8x6</v>
          </cell>
          <cell r="C1329">
            <v>6.04</v>
          </cell>
          <cell r="D1329">
            <v>3</v>
          </cell>
          <cell r="F1329" t="str">
            <v>-</v>
          </cell>
          <cell r="H1329" t="str">
            <v>-</v>
          </cell>
          <cell r="I1329" t="str">
            <v>-</v>
          </cell>
          <cell r="K1329" t="str">
            <v>-</v>
          </cell>
          <cell r="L1329">
            <v>3.5</v>
          </cell>
          <cell r="M1329">
            <v>6.75</v>
          </cell>
          <cell r="O1329" t="str">
            <v>-</v>
          </cell>
          <cell r="T1329">
            <v>0.5</v>
          </cell>
          <cell r="U1329" t="str">
            <v>-</v>
          </cell>
        </row>
        <row r="1330">
          <cell r="B1330" t="str">
            <v>LL3.5x3x7x0</v>
          </cell>
          <cell r="C1330">
            <v>5.34</v>
          </cell>
          <cell r="D1330">
            <v>3</v>
          </cell>
          <cell r="F1330" t="str">
            <v>-</v>
          </cell>
          <cell r="H1330" t="str">
            <v>-</v>
          </cell>
          <cell r="I1330" t="str">
            <v>-</v>
          </cell>
          <cell r="K1330" t="str">
            <v>-</v>
          </cell>
          <cell r="L1330">
            <v>3.5</v>
          </cell>
          <cell r="M1330">
            <v>6</v>
          </cell>
          <cell r="O1330" t="str">
            <v>-</v>
          </cell>
          <cell r="T1330">
            <v>0.438</v>
          </cell>
          <cell r="U1330" t="str">
            <v>-</v>
          </cell>
        </row>
        <row r="1331">
          <cell r="B1331" t="str">
            <v>LL3.5x3x7x3</v>
          </cell>
          <cell r="C1331">
            <v>5.34</v>
          </cell>
          <cell r="D1331">
            <v>3</v>
          </cell>
          <cell r="F1331" t="str">
            <v>-</v>
          </cell>
          <cell r="H1331" t="str">
            <v>-</v>
          </cell>
          <cell r="I1331" t="str">
            <v>-</v>
          </cell>
          <cell r="K1331" t="str">
            <v>-</v>
          </cell>
          <cell r="L1331">
            <v>3.5</v>
          </cell>
          <cell r="M1331">
            <v>6.375</v>
          </cell>
          <cell r="O1331" t="str">
            <v>-</v>
          </cell>
          <cell r="T1331">
            <v>0.438</v>
          </cell>
          <cell r="U1331" t="str">
            <v>-</v>
          </cell>
        </row>
        <row r="1332">
          <cell r="B1332" t="str">
            <v>LL3.5x3x7x6</v>
          </cell>
          <cell r="C1332">
            <v>5.34</v>
          </cell>
          <cell r="D1332">
            <v>3</v>
          </cell>
          <cell r="F1332" t="str">
            <v>-</v>
          </cell>
          <cell r="H1332" t="str">
            <v>-</v>
          </cell>
          <cell r="I1332" t="str">
            <v>-</v>
          </cell>
          <cell r="K1332" t="str">
            <v>-</v>
          </cell>
          <cell r="L1332">
            <v>3.5</v>
          </cell>
          <cell r="M1332">
            <v>6.75</v>
          </cell>
          <cell r="O1332" t="str">
            <v>-</v>
          </cell>
          <cell r="T1332">
            <v>0.438</v>
          </cell>
          <cell r="U1332" t="str">
            <v>-</v>
          </cell>
        </row>
        <row r="1333">
          <cell r="B1333" t="str">
            <v>LL3.5x3x6x0</v>
          </cell>
          <cell r="C1333">
            <v>4.6399999999999997</v>
          </cell>
          <cell r="D1333">
            <v>3</v>
          </cell>
          <cell r="F1333" t="str">
            <v>-</v>
          </cell>
          <cell r="H1333" t="str">
            <v>-</v>
          </cell>
          <cell r="I1333" t="str">
            <v>-</v>
          </cell>
          <cell r="K1333" t="str">
            <v>-</v>
          </cell>
          <cell r="L1333">
            <v>3.5</v>
          </cell>
          <cell r="M1333">
            <v>6</v>
          </cell>
          <cell r="O1333" t="str">
            <v>-</v>
          </cell>
          <cell r="T1333">
            <v>0.375</v>
          </cell>
          <cell r="U1333" t="str">
            <v>-</v>
          </cell>
        </row>
        <row r="1334">
          <cell r="B1334" t="str">
            <v>LL3.5x3x6x3</v>
          </cell>
          <cell r="C1334">
            <v>4.6399999999999997</v>
          </cell>
          <cell r="D1334">
            <v>3</v>
          </cell>
          <cell r="F1334" t="str">
            <v>-</v>
          </cell>
          <cell r="H1334" t="str">
            <v>-</v>
          </cell>
          <cell r="I1334" t="str">
            <v>-</v>
          </cell>
          <cell r="K1334" t="str">
            <v>-</v>
          </cell>
          <cell r="L1334">
            <v>3.5</v>
          </cell>
          <cell r="M1334">
            <v>6.375</v>
          </cell>
          <cell r="O1334" t="str">
            <v>-</v>
          </cell>
          <cell r="T1334">
            <v>0.375</v>
          </cell>
          <cell r="U1334" t="str">
            <v>-</v>
          </cell>
        </row>
        <row r="1335">
          <cell r="B1335" t="str">
            <v>LL3.5x3x6x6</v>
          </cell>
          <cell r="C1335">
            <v>4.6399999999999997</v>
          </cell>
          <cell r="D1335">
            <v>3</v>
          </cell>
          <cell r="F1335" t="str">
            <v>-</v>
          </cell>
          <cell r="H1335" t="str">
            <v>-</v>
          </cell>
          <cell r="I1335" t="str">
            <v>-</v>
          </cell>
          <cell r="K1335" t="str">
            <v>-</v>
          </cell>
          <cell r="L1335">
            <v>3.5</v>
          </cell>
          <cell r="M1335">
            <v>6.75</v>
          </cell>
          <cell r="O1335" t="str">
            <v>-</v>
          </cell>
          <cell r="T1335">
            <v>0.375</v>
          </cell>
          <cell r="U1335" t="str">
            <v>-</v>
          </cell>
        </row>
        <row r="1336">
          <cell r="B1336" t="str">
            <v>LL3.5x3x5x0</v>
          </cell>
          <cell r="C1336">
            <v>3.9</v>
          </cell>
          <cell r="D1336">
            <v>3</v>
          </cell>
          <cell r="F1336" t="str">
            <v>-</v>
          </cell>
          <cell r="H1336" t="str">
            <v>-</v>
          </cell>
          <cell r="I1336" t="str">
            <v>-</v>
          </cell>
          <cell r="K1336" t="str">
            <v>-</v>
          </cell>
          <cell r="L1336">
            <v>3.5</v>
          </cell>
          <cell r="M1336">
            <v>6</v>
          </cell>
          <cell r="O1336" t="str">
            <v>-</v>
          </cell>
          <cell r="T1336">
            <v>0.313</v>
          </cell>
          <cell r="U1336" t="str">
            <v>-</v>
          </cell>
        </row>
        <row r="1337">
          <cell r="B1337" t="str">
            <v>LL3.5x3x5x3</v>
          </cell>
          <cell r="C1337">
            <v>3.9</v>
          </cell>
          <cell r="D1337">
            <v>3</v>
          </cell>
          <cell r="F1337" t="str">
            <v>-</v>
          </cell>
          <cell r="H1337" t="str">
            <v>-</v>
          </cell>
          <cell r="I1337" t="str">
            <v>-</v>
          </cell>
          <cell r="K1337" t="str">
            <v>-</v>
          </cell>
          <cell r="L1337">
            <v>3.5</v>
          </cell>
          <cell r="M1337">
            <v>6.375</v>
          </cell>
          <cell r="O1337" t="str">
            <v>-</v>
          </cell>
          <cell r="T1337">
            <v>0.313</v>
          </cell>
          <cell r="U1337" t="str">
            <v>-</v>
          </cell>
        </row>
        <row r="1338">
          <cell r="B1338" t="str">
            <v>LL3.5x3x5x6</v>
          </cell>
          <cell r="C1338">
            <v>3.9</v>
          </cell>
          <cell r="D1338">
            <v>3</v>
          </cell>
          <cell r="F1338" t="str">
            <v>-</v>
          </cell>
          <cell r="H1338" t="str">
            <v>-</v>
          </cell>
          <cell r="I1338" t="str">
            <v>-</v>
          </cell>
          <cell r="K1338" t="str">
            <v>-</v>
          </cell>
          <cell r="L1338">
            <v>3.5</v>
          </cell>
          <cell r="M1338">
            <v>6.75</v>
          </cell>
          <cell r="O1338" t="str">
            <v>-</v>
          </cell>
          <cell r="T1338">
            <v>0.313</v>
          </cell>
          <cell r="U1338" t="str">
            <v>-</v>
          </cell>
        </row>
        <row r="1339">
          <cell r="B1339" t="str">
            <v>LL3.5x3x4x0</v>
          </cell>
          <cell r="C1339">
            <v>3.16</v>
          </cell>
          <cell r="D1339">
            <v>3</v>
          </cell>
          <cell r="F1339" t="str">
            <v>-</v>
          </cell>
          <cell r="H1339" t="str">
            <v>-</v>
          </cell>
          <cell r="I1339" t="str">
            <v>-</v>
          </cell>
          <cell r="K1339" t="str">
            <v>-</v>
          </cell>
          <cell r="L1339">
            <v>3.5</v>
          </cell>
          <cell r="M1339">
            <v>6</v>
          </cell>
          <cell r="O1339" t="str">
            <v>-</v>
          </cell>
          <cell r="T1339">
            <v>0.25</v>
          </cell>
          <cell r="U1339" t="str">
            <v>-</v>
          </cell>
        </row>
        <row r="1340">
          <cell r="B1340" t="str">
            <v>LL3.5x3x4x3</v>
          </cell>
          <cell r="C1340">
            <v>3.16</v>
          </cell>
          <cell r="D1340">
            <v>3</v>
          </cell>
          <cell r="F1340" t="str">
            <v>-</v>
          </cell>
          <cell r="H1340" t="str">
            <v>-</v>
          </cell>
          <cell r="I1340" t="str">
            <v>-</v>
          </cell>
          <cell r="K1340" t="str">
            <v>-</v>
          </cell>
          <cell r="L1340">
            <v>3.5</v>
          </cell>
          <cell r="M1340">
            <v>6.375</v>
          </cell>
          <cell r="O1340" t="str">
            <v>-</v>
          </cell>
          <cell r="T1340">
            <v>0.25</v>
          </cell>
          <cell r="U1340" t="str">
            <v>-</v>
          </cell>
        </row>
        <row r="1341">
          <cell r="B1341" t="str">
            <v>LL3.5x3x4x6</v>
          </cell>
          <cell r="C1341">
            <v>3.16</v>
          </cell>
          <cell r="D1341">
            <v>3</v>
          </cell>
          <cell r="F1341" t="str">
            <v>-</v>
          </cell>
          <cell r="H1341" t="str">
            <v>-</v>
          </cell>
          <cell r="I1341" t="str">
            <v>-</v>
          </cell>
          <cell r="K1341" t="str">
            <v>-</v>
          </cell>
          <cell r="L1341">
            <v>3.5</v>
          </cell>
          <cell r="M1341">
            <v>6.75</v>
          </cell>
          <cell r="O1341" t="str">
            <v>-</v>
          </cell>
          <cell r="T1341">
            <v>0.25</v>
          </cell>
          <cell r="U1341" t="str">
            <v>-</v>
          </cell>
        </row>
        <row r="1342">
          <cell r="B1342" t="str">
            <v>LL3.5x2.5x8x0</v>
          </cell>
          <cell r="C1342">
            <v>5.54</v>
          </cell>
          <cell r="D1342">
            <v>2.5</v>
          </cell>
          <cell r="F1342" t="str">
            <v>-</v>
          </cell>
          <cell r="H1342" t="str">
            <v>-</v>
          </cell>
          <cell r="I1342" t="str">
            <v>-</v>
          </cell>
          <cell r="K1342" t="str">
            <v>-</v>
          </cell>
          <cell r="L1342">
            <v>3.5</v>
          </cell>
          <cell r="M1342">
            <v>5</v>
          </cell>
          <cell r="O1342" t="str">
            <v>-</v>
          </cell>
          <cell r="T1342">
            <v>0.5</v>
          </cell>
          <cell r="U1342" t="str">
            <v>-</v>
          </cell>
        </row>
        <row r="1343">
          <cell r="B1343" t="str">
            <v>LL3.5x2.5x8x3</v>
          </cell>
          <cell r="C1343">
            <v>5.54</v>
          </cell>
          <cell r="D1343">
            <v>2.5</v>
          </cell>
          <cell r="F1343" t="str">
            <v>-</v>
          </cell>
          <cell r="H1343" t="str">
            <v>-</v>
          </cell>
          <cell r="I1343" t="str">
            <v>-</v>
          </cell>
          <cell r="K1343" t="str">
            <v>-</v>
          </cell>
          <cell r="L1343">
            <v>3.5</v>
          </cell>
          <cell r="M1343">
            <v>5.375</v>
          </cell>
          <cell r="O1343" t="str">
            <v>-</v>
          </cell>
          <cell r="T1343">
            <v>0.5</v>
          </cell>
          <cell r="U1343" t="str">
            <v>-</v>
          </cell>
        </row>
        <row r="1344">
          <cell r="B1344" t="str">
            <v>LL3.5x2.5x8x6</v>
          </cell>
          <cell r="C1344">
            <v>5.54</v>
          </cell>
          <cell r="D1344">
            <v>2.5</v>
          </cell>
          <cell r="F1344" t="str">
            <v>-</v>
          </cell>
          <cell r="H1344" t="str">
            <v>-</v>
          </cell>
          <cell r="I1344" t="str">
            <v>-</v>
          </cell>
          <cell r="K1344" t="str">
            <v>-</v>
          </cell>
          <cell r="L1344">
            <v>3.5</v>
          </cell>
          <cell r="M1344">
            <v>5.75</v>
          </cell>
          <cell r="O1344" t="str">
            <v>-</v>
          </cell>
          <cell r="T1344">
            <v>0.5</v>
          </cell>
          <cell r="U1344" t="str">
            <v>-</v>
          </cell>
        </row>
        <row r="1345">
          <cell r="B1345" t="str">
            <v>LL3.5x2.5x6x0</v>
          </cell>
          <cell r="C1345">
            <v>4.24</v>
          </cell>
          <cell r="D1345">
            <v>2.5</v>
          </cell>
          <cell r="F1345" t="str">
            <v>-</v>
          </cell>
          <cell r="H1345" t="str">
            <v>-</v>
          </cell>
          <cell r="I1345" t="str">
            <v>-</v>
          </cell>
          <cell r="K1345" t="str">
            <v>-</v>
          </cell>
          <cell r="L1345">
            <v>3.5</v>
          </cell>
          <cell r="M1345">
            <v>5</v>
          </cell>
          <cell r="O1345" t="str">
            <v>-</v>
          </cell>
          <cell r="T1345">
            <v>0.375</v>
          </cell>
          <cell r="U1345" t="str">
            <v>-</v>
          </cell>
        </row>
        <row r="1346">
          <cell r="B1346" t="str">
            <v>LL3.5x2.5x6x3</v>
          </cell>
          <cell r="C1346">
            <v>4.24</v>
          </cell>
          <cell r="D1346">
            <v>2.5</v>
          </cell>
          <cell r="F1346" t="str">
            <v>-</v>
          </cell>
          <cell r="H1346" t="str">
            <v>-</v>
          </cell>
          <cell r="I1346" t="str">
            <v>-</v>
          </cell>
          <cell r="K1346" t="str">
            <v>-</v>
          </cell>
          <cell r="L1346">
            <v>3.5</v>
          </cell>
          <cell r="M1346">
            <v>5.375</v>
          </cell>
          <cell r="O1346" t="str">
            <v>-</v>
          </cell>
          <cell r="T1346">
            <v>0.375</v>
          </cell>
          <cell r="U1346" t="str">
            <v>-</v>
          </cell>
        </row>
        <row r="1347">
          <cell r="B1347" t="str">
            <v>LL3.5x2.5x6x6</v>
          </cell>
          <cell r="C1347">
            <v>4.24</v>
          </cell>
          <cell r="D1347">
            <v>2.5</v>
          </cell>
          <cell r="F1347" t="str">
            <v>-</v>
          </cell>
          <cell r="H1347" t="str">
            <v>-</v>
          </cell>
          <cell r="I1347" t="str">
            <v>-</v>
          </cell>
          <cell r="K1347" t="str">
            <v>-</v>
          </cell>
          <cell r="L1347">
            <v>3.5</v>
          </cell>
          <cell r="M1347">
            <v>5.75</v>
          </cell>
          <cell r="O1347" t="str">
            <v>-</v>
          </cell>
          <cell r="T1347">
            <v>0.375</v>
          </cell>
          <cell r="U1347" t="str">
            <v>-</v>
          </cell>
        </row>
        <row r="1348">
          <cell r="B1348" t="str">
            <v>LL3.5x2.5x5x0</v>
          </cell>
          <cell r="C1348">
            <v>3.58</v>
          </cell>
          <cell r="D1348">
            <v>2.5</v>
          </cell>
          <cell r="F1348" t="str">
            <v>-</v>
          </cell>
          <cell r="H1348" t="str">
            <v>-</v>
          </cell>
          <cell r="I1348" t="str">
            <v>-</v>
          </cell>
          <cell r="K1348" t="str">
            <v>-</v>
          </cell>
          <cell r="L1348">
            <v>3.5</v>
          </cell>
          <cell r="M1348">
            <v>5</v>
          </cell>
          <cell r="O1348" t="str">
            <v>-</v>
          </cell>
          <cell r="T1348">
            <v>0.313</v>
          </cell>
          <cell r="U1348" t="str">
            <v>-</v>
          </cell>
        </row>
        <row r="1349">
          <cell r="B1349" t="str">
            <v>LL3.5x2.5x5x3</v>
          </cell>
          <cell r="C1349">
            <v>3.58</v>
          </cell>
          <cell r="D1349">
            <v>2.5</v>
          </cell>
          <cell r="F1349" t="str">
            <v>-</v>
          </cell>
          <cell r="H1349" t="str">
            <v>-</v>
          </cell>
          <cell r="I1349" t="str">
            <v>-</v>
          </cell>
          <cell r="K1349" t="str">
            <v>-</v>
          </cell>
          <cell r="L1349">
            <v>3.5</v>
          </cell>
          <cell r="M1349">
            <v>5.375</v>
          </cell>
          <cell r="O1349" t="str">
            <v>-</v>
          </cell>
          <cell r="T1349">
            <v>0.313</v>
          </cell>
          <cell r="U1349" t="str">
            <v>-</v>
          </cell>
        </row>
        <row r="1350">
          <cell r="B1350" t="str">
            <v>LL3.5x2.5x5x6</v>
          </cell>
          <cell r="C1350">
            <v>3.58</v>
          </cell>
          <cell r="D1350">
            <v>2.5</v>
          </cell>
          <cell r="F1350" t="str">
            <v>-</v>
          </cell>
          <cell r="H1350" t="str">
            <v>-</v>
          </cell>
          <cell r="I1350" t="str">
            <v>-</v>
          </cell>
          <cell r="K1350" t="str">
            <v>-</v>
          </cell>
          <cell r="L1350">
            <v>3.5</v>
          </cell>
          <cell r="M1350">
            <v>5.75</v>
          </cell>
          <cell r="O1350" t="str">
            <v>-</v>
          </cell>
          <cell r="T1350">
            <v>0.313</v>
          </cell>
          <cell r="U1350" t="str">
            <v>-</v>
          </cell>
        </row>
        <row r="1351">
          <cell r="B1351" t="str">
            <v>LL3.5x2.5x4x0</v>
          </cell>
          <cell r="C1351">
            <v>2.9</v>
          </cell>
          <cell r="D1351">
            <v>2.5</v>
          </cell>
          <cell r="F1351" t="str">
            <v>-</v>
          </cell>
          <cell r="H1351" t="str">
            <v>-</v>
          </cell>
          <cell r="I1351" t="str">
            <v>-</v>
          </cell>
          <cell r="K1351" t="str">
            <v>-</v>
          </cell>
          <cell r="L1351">
            <v>3.5</v>
          </cell>
          <cell r="M1351">
            <v>5</v>
          </cell>
          <cell r="O1351" t="str">
            <v>-</v>
          </cell>
          <cell r="T1351">
            <v>0.25</v>
          </cell>
          <cell r="U1351" t="str">
            <v>-</v>
          </cell>
        </row>
        <row r="1352">
          <cell r="B1352" t="str">
            <v>LL3.5x2.5x4x3</v>
          </cell>
          <cell r="C1352">
            <v>2.9</v>
          </cell>
          <cell r="D1352">
            <v>2.5</v>
          </cell>
          <cell r="F1352" t="str">
            <v>-</v>
          </cell>
          <cell r="H1352" t="str">
            <v>-</v>
          </cell>
          <cell r="I1352" t="str">
            <v>-</v>
          </cell>
          <cell r="K1352" t="str">
            <v>-</v>
          </cell>
          <cell r="L1352">
            <v>3.5</v>
          </cell>
          <cell r="M1352">
            <v>5.375</v>
          </cell>
          <cell r="O1352" t="str">
            <v>-</v>
          </cell>
          <cell r="T1352">
            <v>0.25</v>
          </cell>
          <cell r="U1352" t="str">
            <v>-</v>
          </cell>
        </row>
        <row r="1353">
          <cell r="B1353" t="str">
            <v>LL3.5x2.5x4x6</v>
          </cell>
          <cell r="C1353">
            <v>2.9</v>
          </cell>
          <cell r="D1353">
            <v>2.5</v>
          </cell>
          <cell r="F1353" t="str">
            <v>-</v>
          </cell>
          <cell r="H1353" t="str">
            <v>-</v>
          </cell>
          <cell r="I1353" t="str">
            <v>-</v>
          </cell>
          <cell r="K1353" t="str">
            <v>-</v>
          </cell>
          <cell r="L1353">
            <v>3.5</v>
          </cell>
          <cell r="M1353">
            <v>5.75</v>
          </cell>
          <cell r="O1353" t="str">
            <v>-</v>
          </cell>
          <cell r="T1353">
            <v>0.25</v>
          </cell>
          <cell r="U1353" t="str">
            <v>-</v>
          </cell>
        </row>
        <row r="1354">
          <cell r="B1354" t="str">
            <v>LL3x2.5x8x0</v>
          </cell>
          <cell r="C1354">
            <v>5</v>
          </cell>
          <cell r="D1354">
            <v>2.5</v>
          </cell>
          <cell r="F1354" t="str">
            <v>-</v>
          </cell>
          <cell r="H1354" t="str">
            <v>-</v>
          </cell>
          <cell r="I1354" t="str">
            <v>-</v>
          </cell>
          <cell r="K1354" t="str">
            <v>-</v>
          </cell>
          <cell r="L1354">
            <v>3</v>
          </cell>
          <cell r="M1354">
            <v>5</v>
          </cell>
          <cell r="O1354" t="str">
            <v>-</v>
          </cell>
          <cell r="T1354">
            <v>0.5</v>
          </cell>
          <cell r="U1354" t="str">
            <v>-</v>
          </cell>
        </row>
        <row r="1355">
          <cell r="B1355" t="str">
            <v>LL3x2.5x8x3</v>
          </cell>
          <cell r="C1355">
            <v>5</v>
          </cell>
          <cell r="D1355">
            <v>2.5</v>
          </cell>
          <cell r="F1355" t="str">
            <v>-</v>
          </cell>
          <cell r="H1355" t="str">
            <v>-</v>
          </cell>
          <cell r="I1355" t="str">
            <v>-</v>
          </cell>
          <cell r="K1355" t="str">
            <v>-</v>
          </cell>
          <cell r="L1355">
            <v>3</v>
          </cell>
          <cell r="M1355">
            <v>5.375</v>
          </cell>
          <cell r="O1355" t="str">
            <v>-</v>
          </cell>
          <cell r="T1355">
            <v>0.5</v>
          </cell>
          <cell r="U1355" t="str">
            <v>-</v>
          </cell>
        </row>
        <row r="1356">
          <cell r="B1356" t="str">
            <v>LL3x2.5x8x6</v>
          </cell>
          <cell r="C1356">
            <v>5</v>
          </cell>
          <cell r="D1356">
            <v>2.5</v>
          </cell>
          <cell r="F1356" t="str">
            <v>-</v>
          </cell>
          <cell r="H1356" t="str">
            <v>-</v>
          </cell>
          <cell r="I1356" t="str">
            <v>-</v>
          </cell>
          <cell r="K1356" t="str">
            <v>-</v>
          </cell>
          <cell r="L1356">
            <v>3</v>
          </cell>
          <cell r="M1356">
            <v>5.75</v>
          </cell>
          <cell r="O1356" t="str">
            <v>-</v>
          </cell>
          <cell r="T1356">
            <v>0.5</v>
          </cell>
          <cell r="U1356" t="str">
            <v>-</v>
          </cell>
        </row>
        <row r="1357">
          <cell r="B1357" t="str">
            <v>LL3x2.5x7x0</v>
          </cell>
          <cell r="C1357">
            <v>4.4400000000000004</v>
          </cell>
          <cell r="D1357">
            <v>2.5</v>
          </cell>
          <cell r="F1357" t="str">
            <v>-</v>
          </cell>
          <cell r="H1357" t="str">
            <v>-</v>
          </cell>
          <cell r="I1357" t="str">
            <v>-</v>
          </cell>
          <cell r="K1357" t="str">
            <v>-</v>
          </cell>
          <cell r="L1357">
            <v>3</v>
          </cell>
          <cell r="M1357">
            <v>5</v>
          </cell>
          <cell r="O1357" t="str">
            <v>-</v>
          </cell>
          <cell r="T1357">
            <v>0.438</v>
          </cell>
          <cell r="U1357" t="str">
            <v>-</v>
          </cell>
        </row>
        <row r="1358">
          <cell r="B1358" t="str">
            <v>LL3x2.5x7x3</v>
          </cell>
          <cell r="C1358">
            <v>4.4400000000000004</v>
          </cell>
          <cell r="D1358">
            <v>2.5</v>
          </cell>
          <cell r="F1358" t="str">
            <v>-</v>
          </cell>
          <cell r="H1358" t="str">
            <v>-</v>
          </cell>
          <cell r="I1358" t="str">
            <v>-</v>
          </cell>
          <cell r="K1358" t="str">
            <v>-</v>
          </cell>
          <cell r="L1358">
            <v>3</v>
          </cell>
          <cell r="M1358">
            <v>5.375</v>
          </cell>
          <cell r="O1358" t="str">
            <v>-</v>
          </cell>
          <cell r="T1358">
            <v>0.438</v>
          </cell>
          <cell r="U1358" t="str">
            <v>-</v>
          </cell>
        </row>
        <row r="1359">
          <cell r="B1359" t="str">
            <v>LL3x2.5x7x6</v>
          </cell>
          <cell r="C1359">
            <v>4.4400000000000004</v>
          </cell>
          <cell r="D1359">
            <v>2.5</v>
          </cell>
          <cell r="F1359" t="str">
            <v>-</v>
          </cell>
          <cell r="H1359" t="str">
            <v>-</v>
          </cell>
          <cell r="I1359" t="str">
            <v>-</v>
          </cell>
          <cell r="K1359" t="str">
            <v>-</v>
          </cell>
          <cell r="L1359">
            <v>3</v>
          </cell>
          <cell r="M1359">
            <v>5.75</v>
          </cell>
          <cell r="O1359" t="str">
            <v>-</v>
          </cell>
          <cell r="T1359">
            <v>0.438</v>
          </cell>
          <cell r="U1359" t="str">
            <v>-</v>
          </cell>
        </row>
        <row r="1360">
          <cell r="B1360" t="str">
            <v>LL3x2.5x6x0</v>
          </cell>
          <cell r="C1360">
            <v>3.86</v>
          </cell>
          <cell r="D1360">
            <v>2.5</v>
          </cell>
          <cell r="F1360" t="str">
            <v>-</v>
          </cell>
          <cell r="H1360" t="str">
            <v>-</v>
          </cell>
          <cell r="I1360" t="str">
            <v>-</v>
          </cell>
          <cell r="K1360" t="str">
            <v>-</v>
          </cell>
          <cell r="L1360">
            <v>3</v>
          </cell>
          <cell r="M1360">
            <v>5</v>
          </cell>
          <cell r="O1360" t="str">
            <v>-</v>
          </cell>
          <cell r="T1360">
            <v>0.375</v>
          </cell>
          <cell r="U1360" t="str">
            <v>-</v>
          </cell>
        </row>
        <row r="1361">
          <cell r="B1361" t="str">
            <v>LL3x2.5x6x3</v>
          </cell>
          <cell r="C1361">
            <v>3.86</v>
          </cell>
          <cell r="D1361">
            <v>2.5</v>
          </cell>
          <cell r="F1361" t="str">
            <v>-</v>
          </cell>
          <cell r="H1361" t="str">
            <v>-</v>
          </cell>
          <cell r="I1361" t="str">
            <v>-</v>
          </cell>
          <cell r="K1361" t="str">
            <v>-</v>
          </cell>
          <cell r="L1361">
            <v>3</v>
          </cell>
          <cell r="M1361">
            <v>5.375</v>
          </cell>
          <cell r="O1361" t="str">
            <v>-</v>
          </cell>
          <cell r="T1361">
            <v>0.375</v>
          </cell>
          <cell r="U1361" t="str">
            <v>-</v>
          </cell>
        </row>
        <row r="1362">
          <cell r="B1362" t="str">
            <v>LL3x2.5x6x6</v>
          </cell>
          <cell r="C1362">
            <v>3.86</v>
          </cell>
          <cell r="D1362">
            <v>2.5</v>
          </cell>
          <cell r="F1362" t="str">
            <v>-</v>
          </cell>
          <cell r="H1362" t="str">
            <v>-</v>
          </cell>
          <cell r="I1362" t="str">
            <v>-</v>
          </cell>
          <cell r="K1362" t="str">
            <v>-</v>
          </cell>
          <cell r="L1362">
            <v>3</v>
          </cell>
          <cell r="M1362">
            <v>5.75</v>
          </cell>
          <cell r="O1362" t="str">
            <v>-</v>
          </cell>
          <cell r="T1362">
            <v>0.375</v>
          </cell>
          <cell r="U1362" t="str">
            <v>-</v>
          </cell>
        </row>
        <row r="1363">
          <cell r="B1363" t="str">
            <v>LL3x2.5x5x0</v>
          </cell>
          <cell r="C1363">
            <v>3.26</v>
          </cell>
          <cell r="D1363">
            <v>2.5</v>
          </cell>
          <cell r="F1363" t="str">
            <v>-</v>
          </cell>
          <cell r="H1363" t="str">
            <v>-</v>
          </cell>
          <cell r="I1363" t="str">
            <v>-</v>
          </cell>
          <cell r="K1363" t="str">
            <v>-</v>
          </cell>
          <cell r="L1363">
            <v>3</v>
          </cell>
          <cell r="M1363">
            <v>5</v>
          </cell>
          <cell r="O1363" t="str">
            <v>-</v>
          </cell>
          <cell r="T1363">
            <v>0.313</v>
          </cell>
          <cell r="U1363" t="str">
            <v>-</v>
          </cell>
        </row>
        <row r="1364">
          <cell r="B1364" t="str">
            <v>LL3x2.5x5x3</v>
          </cell>
          <cell r="C1364">
            <v>3.26</v>
          </cell>
          <cell r="D1364">
            <v>2.5</v>
          </cell>
          <cell r="F1364" t="str">
            <v>-</v>
          </cell>
          <cell r="H1364" t="str">
            <v>-</v>
          </cell>
          <cell r="I1364" t="str">
            <v>-</v>
          </cell>
          <cell r="K1364" t="str">
            <v>-</v>
          </cell>
          <cell r="L1364">
            <v>3</v>
          </cell>
          <cell r="M1364">
            <v>5.375</v>
          </cell>
          <cell r="O1364" t="str">
            <v>-</v>
          </cell>
          <cell r="T1364">
            <v>0.313</v>
          </cell>
          <cell r="U1364" t="str">
            <v>-</v>
          </cell>
        </row>
        <row r="1365">
          <cell r="B1365" t="str">
            <v>LL3x2.5x5x6</v>
          </cell>
          <cell r="C1365">
            <v>3.26</v>
          </cell>
          <cell r="D1365">
            <v>2.5</v>
          </cell>
          <cell r="F1365" t="str">
            <v>-</v>
          </cell>
          <cell r="H1365" t="str">
            <v>-</v>
          </cell>
          <cell r="I1365" t="str">
            <v>-</v>
          </cell>
          <cell r="K1365" t="str">
            <v>-</v>
          </cell>
          <cell r="L1365">
            <v>3</v>
          </cell>
          <cell r="M1365">
            <v>5.75</v>
          </cell>
          <cell r="O1365" t="str">
            <v>-</v>
          </cell>
          <cell r="T1365">
            <v>0.313</v>
          </cell>
          <cell r="U1365" t="str">
            <v>-</v>
          </cell>
        </row>
        <row r="1366">
          <cell r="B1366" t="str">
            <v>LL3x2.5x4x0</v>
          </cell>
          <cell r="C1366">
            <v>2.64</v>
          </cell>
          <cell r="D1366">
            <v>2.5</v>
          </cell>
          <cell r="F1366" t="str">
            <v>-</v>
          </cell>
          <cell r="H1366" t="str">
            <v>-</v>
          </cell>
          <cell r="I1366" t="str">
            <v>-</v>
          </cell>
          <cell r="K1366" t="str">
            <v>-</v>
          </cell>
          <cell r="L1366">
            <v>3</v>
          </cell>
          <cell r="M1366">
            <v>5</v>
          </cell>
          <cell r="O1366" t="str">
            <v>-</v>
          </cell>
          <cell r="T1366">
            <v>0.25</v>
          </cell>
          <cell r="U1366" t="str">
            <v>-</v>
          </cell>
        </row>
        <row r="1367">
          <cell r="B1367" t="str">
            <v>LL3x2.5x4x3</v>
          </cell>
          <cell r="C1367">
            <v>2.64</v>
          </cell>
          <cell r="D1367">
            <v>2.5</v>
          </cell>
          <cell r="F1367" t="str">
            <v>-</v>
          </cell>
          <cell r="H1367" t="str">
            <v>-</v>
          </cell>
          <cell r="I1367" t="str">
            <v>-</v>
          </cell>
          <cell r="K1367" t="str">
            <v>-</v>
          </cell>
          <cell r="L1367">
            <v>3</v>
          </cell>
          <cell r="M1367">
            <v>5.375</v>
          </cell>
          <cell r="O1367" t="str">
            <v>-</v>
          </cell>
          <cell r="T1367">
            <v>0.25</v>
          </cell>
          <cell r="U1367" t="str">
            <v>-</v>
          </cell>
        </row>
        <row r="1368">
          <cell r="B1368" t="str">
            <v>LL3x2.5x4x6</v>
          </cell>
          <cell r="C1368">
            <v>2.64</v>
          </cell>
          <cell r="D1368">
            <v>2.5</v>
          </cell>
          <cell r="F1368" t="str">
            <v>-</v>
          </cell>
          <cell r="H1368" t="str">
            <v>-</v>
          </cell>
          <cell r="I1368" t="str">
            <v>-</v>
          </cell>
          <cell r="K1368" t="str">
            <v>-</v>
          </cell>
          <cell r="L1368">
            <v>3</v>
          </cell>
          <cell r="M1368">
            <v>5.75</v>
          </cell>
          <cell r="O1368" t="str">
            <v>-</v>
          </cell>
          <cell r="T1368">
            <v>0.25</v>
          </cell>
          <cell r="U1368" t="str">
            <v>-</v>
          </cell>
        </row>
        <row r="1369">
          <cell r="B1369" t="str">
            <v>LL3x2.5x3x0</v>
          </cell>
          <cell r="C1369">
            <v>2</v>
          </cell>
          <cell r="D1369">
            <v>2.5</v>
          </cell>
          <cell r="F1369" t="str">
            <v>-</v>
          </cell>
          <cell r="H1369" t="str">
            <v>-</v>
          </cell>
          <cell r="I1369" t="str">
            <v>-</v>
          </cell>
          <cell r="K1369" t="str">
            <v>-</v>
          </cell>
          <cell r="L1369">
            <v>3</v>
          </cell>
          <cell r="M1369">
            <v>5</v>
          </cell>
          <cell r="O1369" t="str">
            <v>-</v>
          </cell>
          <cell r="T1369">
            <v>0.188</v>
          </cell>
          <cell r="U1369" t="str">
            <v>-</v>
          </cell>
        </row>
        <row r="1370">
          <cell r="B1370" t="str">
            <v>LL3x2.5x3x3</v>
          </cell>
          <cell r="C1370">
            <v>2</v>
          </cell>
          <cell r="D1370">
            <v>2.5</v>
          </cell>
          <cell r="F1370" t="str">
            <v>-</v>
          </cell>
          <cell r="H1370" t="str">
            <v>-</v>
          </cell>
          <cell r="I1370" t="str">
            <v>-</v>
          </cell>
          <cell r="K1370" t="str">
            <v>-</v>
          </cell>
          <cell r="L1370">
            <v>3</v>
          </cell>
          <cell r="M1370">
            <v>5.375</v>
          </cell>
          <cell r="O1370" t="str">
            <v>-</v>
          </cell>
          <cell r="T1370">
            <v>0.188</v>
          </cell>
          <cell r="U1370" t="str">
            <v>-</v>
          </cell>
        </row>
        <row r="1371">
          <cell r="B1371" t="str">
            <v>LL3x2.5x3x6</v>
          </cell>
          <cell r="C1371">
            <v>2</v>
          </cell>
          <cell r="D1371">
            <v>2.5</v>
          </cell>
          <cell r="F1371" t="str">
            <v>-</v>
          </cell>
          <cell r="H1371" t="str">
            <v>-</v>
          </cell>
          <cell r="I1371" t="str">
            <v>-</v>
          </cell>
          <cell r="K1371" t="str">
            <v>-</v>
          </cell>
          <cell r="L1371">
            <v>3</v>
          </cell>
          <cell r="M1371">
            <v>5.75</v>
          </cell>
          <cell r="O1371" t="str">
            <v>-</v>
          </cell>
          <cell r="T1371">
            <v>0.188</v>
          </cell>
          <cell r="U1371" t="str">
            <v>-</v>
          </cell>
        </row>
        <row r="1372">
          <cell r="B1372" t="str">
            <v>LL3x2x8x0</v>
          </cell>
          <cell r="C1372">
            <v>4.5199999999999996</v>
          </cell>
          <cell r="D1372">
            <v>2</v>
          </cell>
          <cell r="F1372" t="str">
            <v>-</v>
          </cell>
          <cell r="H1372" t="str">
            <v>-</v>
          </cell>
          <cell r="I1372" t="str">
            <v>-</v>
          </cell>
          <cell r="K1372" t="str">
            <v>-</v>
          </cell>
          <cell r="L1372">
            <v>3</v>
          </cell>
          <cell r="M1372">
            <v>4</v>
          </cell>
          <cell r="O1372" t="str">
            <v>-</v>
          </cell>
          <cell r="T1372">
            <v>0.5</v>
          </cell>
          <cell r="U1372" t="str">
            <v>-</v>
          </cell>
        </row>
        <row r="1373">
          <cell r="B1373" t="str">
            <v>LL3x2x8x3</v>
          </cell>
          <cell r="C1373">
            <v>4.5199999999999996</v>
          </cell>
          <cell r="D1373">
            <v>2</v>
          </cell>
          <cell r="F1373" t="str">
            <v>-</v>
          </cell>
          <cell r="H1373" t="str">
            <v>-</v>
          </cell>
          <cell r="I1373" t="str">
            <v>-</v>
          </cell>
          <cell r="K1373" t="str">
            <v>-</v>
          </cell>
          <cell r="L1373">
            <v>3</v>
          </cell>
          <cell r="M1373">
            <v>4.375</v>
          </cell>
          <cell r="O1373" t="str">
            <v>-</v>
          </cell>
          <cell r="T1373">
            <v>0.5</v>
          </cell>
          <cell r="U1373" t="str">
            <v>-</v>
          </cell>
        </row>
        <row r="1374">
          <cell r="B1374" t="str">
            <v>LL3x2x8x6</v>
          </cell>
          <cell r="C1374">
            <v>4.5199999999999996</v>
          </cell>
          <cell r="D1374">
            <v>2</v>
          </cell>
          <cell r="F1374" t="str">
            <v>-</v>
          </cell>
          <cell r="H1374" t="str">
            <v>-</v>
          </cell>
          <cell r="I1374" t="str">
            <v>-</v>
          </cell>
          <cell r="K1374" t="str">
            <v>-</v>
          </cell>
          <cell r="L1374">
            <v>3</v>
          </cell>
          <cell r="M1374">
            <v>4.75</v>
          </cell>
          <cell r="O1374" t="str">
            <v>-</v>
          </cell>
          <cell r="T1374">
            <v>0.5</v>
          </cell>
          <cell r="U1374" t="str">
            <v>-</v>
          </cell>
        </row>
        <row r="1375">
          <cell r="B1375" t="str">
            <v>LL3x2x6x0</v>
          </cell>
          <cell r="C1375">
            <v>3.5</v>
          </cell>
          <cell r="D1375">
            <v>2</v>
          </cell>
          <cell r="F1375" t="str">
            <v>-</v>
          </cell>
          <cell r="H1375" t="str">
            <v>-</v>
          </cell>
          <cell r="I1375" t="str">
            <v>-</v>
          </cell>
          <cell r="K1375" t="str">
            <v>-</v>
          </cell>
          <cell r="L1375">
            <v>3</v>
          </cell>
          <cell r="M1375">
            <v>4</v>
          </cell>
          <cell r="O1375" t="str">
            <v>-</v>
          </cell>
          <cell r="T1375">
            <v>0.375</v>
          </cell>
          <cell r="U1375" t="str">
            <v>-</v>
          </cell>
        </row>
        <row r="1376">
          <cell r="B1376" t="str">
            <v>LL3x2x6x3</v>
          </cell>
          <cell r="C1376">
            <v>3.5</v>
          </cell>
          <cell r="D1376">
            <v>2</v>
          </cell>
          <cell r="F1376" t="str">
            <v>-</v>
          </cell>
          <cell r="H1376" t="str">
            <v>-</v>
          </cell>
          <cell r="I1376" t="str">
            <v>-</v>
          </cell>
          <cell r="K1376" t="str">
            <v>-</v>
          </cell>
          <cell r="L1376">
            <v>3</v>
          </cell>
          <cell r="M1376">
            <v>4.375</v>
          </cell>
          <cell r="O1376" t="str">
            <v>-</v>
          </cell>
          <cell r="T1376">
            <v>0.375</v>
          </cell>
          <cell r="U1376" t="str">
            <v>-</v>
          </cell>
        </row>
        <row r="1377">
          <cell r="B1377" t="str">
            <v>LL3x2x6x6</v>
          </cell>
          <cell r="C1377">
            <v>3.5</v>
          </cell>
          <cell r="D1377">
            <v>2</v>
          </cell>
          <cell r="F1377" t="str">
            <v>-</v>
          </cell>
          <cell r="H1377" t="str">
            <v>-</v>
          </cell>
          <cell r="I1377" t="str">
            <v>-</v>
          </cell>
          <cell r="K1377" t="str">
            <v>-</v>
          </cell>
          <cell r="L1377">
            <v>3</v>
          </cell>
          <cell r="M1377">
            <v>4.75</v>
          </cell>
          <cell r="O1377" t="str">
            <v>-</v>
          </cell>
          <cell r="T1377">
            <v>0.375</v>
          </cell>
          <cell r="U1377" t="str">
            <v>-</v>
          </cell>
        </row>
        <row r="1378">
          <cell r="B1378" t="str">
            <v>LL3x2x5x0</v>
          </cell>
          <cell r="C1378">
            <v>2.96</v>
          </cell>
          <cell r="D1378">
            <v>2</v>
          </cell>
          <cell r="F1378" t="str">
            <v>-</v>
          </cell>
          <cell r="H1378" t="str">
            <v>-</v>
          </cell>
          <cell r="I1378" t="str">
            <v>-</v>
          </cell>
          <cell r="K1378" t="str">
            <v>-</v>
          </cell>
          <cell r="L1378">
            <v>3</v>
          </cell>
          <cell r="M1378">
            <v>4</v>
          </cell>
          <cell r="O1378" t="str">
            <v>-</v>
          </cell>
          <cell r="T1378">
            <v>0.313</v>
          </cell>
          <cell r="U1378" t="str">
            <v>-</v>
          </cell>
        </row>
        <row r="1379">
          <cell r="B1379" t="str">
            <v>LL3x2x5x3</v>
          </cell>
          <cell r="C1379">
            <v>2.96</v>
          </cell>
          <cell r="D1379">
            <v>2</v>
          </cell>
          <cell r="F1379" t="str">
            <v>-</v>
          </cell>
          <cell r="H1379" t="str">
            <v>-</v>
          </cell>
          <cell r="I1379" t="str">
            <v>-</v>
          </cell>
          <cell r="K1379" t="str">
            <v>-</v>
          </cell>
          <cell r="L1379">
            <v>3</v>
          </cell>
          <cell r="M1379">
            <v>4.375</v>
          </cell>
          <cell r="O1379" t="str">
            <v>-</v>
          </cell>
          <cell r="T1379">
            <v>0.313</v>
          </cell>
          <cell r="U1379" t="str">
            <v>-</v>
          </cell>
        </row>
        <row r="1380">
          <cell r="B1380" t="str">
            <v>LL3x2x5x6</v>
          </cell>
          <cell r="C1380">
            <v>2.96</v>
          </cell>
          <cell r="D1380">
            <v>2</v>
          </cell>
          <cell r="F1380" t="str">
            <v>-</v>
          </cell>
          <cell r="H1380" t="str">
            <v>-</v>
          </cell>
          <cell r="I1380" t="str">
            <v>-</v>
          </cell>
          <cell r="K1380" t="str">
            <v>-</v>
          </cell>
          <cell r="L1380">
            <v>3</v>
          </cell>
          <cell r="M1380">
            <v>4.75</v>
          </cell>
          <cell r="O1380" t="str">
            <v>-</v>
          </cell>
          <cell r="T1380">
            <v>0.313</v>
          </cell>
          <cell r="U1380" t="str">
            <v>-</v>
          </cell>
        </row>
        <row r="1381">
          <cell r="B1381" t="str">
            <v>LL3x2x4x0</v>
          </cell>
          <cell r="C1381">
            <v>2.4</v>
          </cell>
          <cell r="D1381">
            <v>2</v>
          </cell>
          <cell r="F1381" t="str">
            <v>-</v>
          </cell>
          <cell r="H1381" t="str">
            <v>-</v>
          </cell>
          <cell r="I1381" t="str">
            <v>-</v>
          </cell>
          <cell r="K1381" t="str">
            <v>-</v>
          </cell>
          <cell r="L1381">
            <v>3</v>
          </cell>
          <cell r="M1381">
            <v>4</v>
          </cell>
          <cell r="O1381" t="str">
            <v>-</v>
          </cell>
          <cell r="T1381">
            <v>0.25</v>
          </cell>
          <cell r="U1381" t="str">
            <v>-</v>
          </cell>
        </row>
        <row r="1382">
          <cell r="B1382" t="str">
            <v>LL3x2x4x3</v>
          </cell>
          <cell r="C1382">
            <v>2.4</v>
          </cell>
          <cell r="D1382">
            <v>2</v>
          </cell>
          <cell r="F1382" t="str">
            <v>-</v>
          </cell>
          <cell r="H1382" t="str">
            <v>-</v>
          </cell>
          <cell r="I1382" t="str">
            <v>-</v>
          </cell>
          <cell r="K1382" t="str">
            <v>-</v>
          </cell>
          <cell r="L1382">
            <v>3</v>
          </cell>
          <cell r="M1382">
            <v>4.375</v>
          </cell>
          <cell r="O1382" t="str">
            <v>-</v>
          </cell>
          <cell r="T1382">
            <v>0.25</v>
          </cell>
          <cell r="U1382" t="str">
            <v>-</v>
          </cell>
        </row>
        <row r="1383">
          <cell r="B1383" t="str">
            <v>LL3x2x4x6</v>
          </cell>
          <cell r="C1383">
            <v>2.4</v>
          </cell>
          <cell r="D1383">
            <v>2</v>
          </cell>
          <cell r="F1383" t="str">
            <v>-</v>
          </cell>
          <cell r="H1383" t="str">
            <v>-</v>
          </cell>
          <cell r="I1383" t="str">
            <v>-</v>
          </cell>
          <cell r="K1383" t="str">
            <v>-</v>
          </cell>
          <cell r="L1383">
            <v>3</v>
          </cell>
          <cell r="M1383">
            <v>4.75</v>
          </cell>
          <cell r="O1383" t="str">
            <v>-</v>
          </cell>
          <cell r="T1383">
            <v>0.25</v>
          </cell>
          <cell r="U1383" t="str">
            <v>-</v>
          </cell>
        </row>
        <row r="1384">
          <cell r="B1384" t="str">
            <v>LL3x2x3x0</v>
          </cell>
          <cell r="C1384">
            <v>1.83</v>
          </cell>
          <cell r="D1384">
            <v>2</v>
          </cell>
          <cell r="F1384" t="str">
            <v>-</v>
          </cell>
          <cell r="H1384" t="str">
            <v>-</v>
          </cell>
          <cell r="I1384" t="str">
            <v>-</v>
          </cell>
          <cell r="K1384" t="str">
            <v>-</v>
          </cell>
          <cell r="L1384">
            <v>3</v>
          </cell>
          <cell r="M1384">
            <v>4</v>
          </cell>
          <cell r="O1384" t="str">
            <v>-</v>
          </cell>
          <cell r="T1384">
            <v>0.188</v>
          </cell>
          <cell r="U1384" t="str">
            <v>-</v>
          </cell>
        </row>
        <row r="1385">
          <cell r="B1385" t="str">
            <v>LL3x2x3x3</v>
          </cell>
          <cell r="C1385">
            <v>1.83</v>
          </cell>
          <cell r="D1385">
            <v>2</v>
          </cell>
          <cell r="F1385" t="str">
            <v>-</v>
          </cell>
          <cell r="H1385" t="str">
            <v>-</v>
          </cell>
          <cell r="I1385" t="str">
            <v>-</v>
          </cell>
          <cell r="K1385" t="str">
            <v>-</v>
          </cell>
          <cell r="L1385">
            <v>3</v>
          </cell>
          <cell r="M1385">
            <v>4.375</v>
          </cell>
          <cell r="O1385" t="str">
            <v>-</v>
          </cell>
          <cell r="T1385">
            <v>0.188</v>
          </cell>
          <cell r="U1385" t="str">
            <v>-</v>
          </cell>
        </row>
        <row r="1386">
          <cell r="B1386" t="str">
            <v>LL3x2x3x6</v>
          </cell>
          <cell r="C1386">
            <v>1.83</v>
          </cell>
          <cell r="D1386">
            <v>2</v>
          </cell>
          <cell r="F1386" t="str">
            <v>-</v>
          </cell>
          <cell r="H1386" t="str">
            <v>-</v>
          </cell>
          <cell r="I1386" t="str">
            <v>-</v>
          </cell>
          <cell r="K1386" t="str">
            <v>-</v>
          </cell>
          <cell r="L1386">
            <v>3</v>
          </cell>
          <cell r="M1386">
            <v>4.75</v>
          </cell>
          <cell r="O1386" t="str">
            <v>-</v>
          </cell>
          <cell r="T1386">
            <v>0.188</v>
          </cell>
          <cell r="U1386" t="str">
            <v>-</v>
          </cell>
        </row>
        <row r="1387">
          <cell r="B1387" t="str">
            <v>LL2.5x2x6x0</v>
          </cell>
          <cell r="C1387">
            <v>3.1</v>
          </cell>
          <cell r="D1387">
            <v>2</v>
          </cell>
          <cell r="F1387" t="str">
            <v>-</v>
          </cell>
          <cell r="H1387" t="str">
            <v>-</v>
          </cell>
          <cell r="I1387" t="str">
            <v>-</v>
          </cell>
          <cell r="K1387" t="str">
            <v>-</v>
          </cell>
          <cell r="L1387">
            <v>2.5</v>
          </cell>
          <cell r="M1387">
            <v>4</v>
          </cell>
          <cell r="O1387" t="str">
            <v>-</v>
          </cell>
          <cell r="T1387">
            <v>0.375</v>
          </cell>
          <cell r="U1387" t="str">
            <v>-</v>
          </cell>
        </row>
        <row r="1388">
          <cell r="B1388" t="str">
            <v>LL2.5x2x6x3</v>
          </cell>
          <cell r="C1388">
            <v>3.1</v>
          </cell>
          <cell r="D1388">
            <v>2</v>
          </cell>
          <cell r="F1388" t="str">
            <v>-</v>
          </cell>
          <cell r="H1388" t="str">
            <v>-</v>
          </cell>
          <cell r="I1388" t="str">
            <v>-</v>
          </cell>
          <cell r="K1388" t="str">
            <v>-</v>
          </cell>
          <cell r="L1388">
            <v>2.5</v>
          </cell>
          <cell r="M1388">
            <v>4.375</v>
          </cell>
          <cell r="O1388" t="str">
            <v>-</v>
          </cell>
          <cell r="T1388">
            <v>0.375</v>
          </cell>
          <cell r="U1388" t="str">
            <v>-</v>
          </cell>
        </row>
        <row r="1389">
          <cell r="B1389" t="str">
            <v>LL2.5x2x6x6</v>
          </cell>
          <cell r="C1389">
            <v>3.1</v>
          </cell>
          <cell r="D1389">
            <v>2</v>
          </cell>
          <cell r="F1389" t="str">
            <v>-</v>
          </cell>
          <cell r="H1389" t="str">
            <v>-</v>
          </cell>
          <cell r="I1389" t="str">
            <v>-</v>
          </cell>
          <cell r="K1389" t="str">
            <v>-</v>
          </cell>
          <cell r="L1389">
            <v>2.5</v>
          </cell>
          <cell r="M1389">
            <v>4.75</v>
          </cell>
          <cell r="O1389" t="str">
            <v>-</v>
          </cell>
          <cell r="T1389">
            <v>0.375</v>
          </cell>
          <cell r="U1389" t="str">
            <v>-</v>
          </cell>
        </row>
        <row r="1390">
          <cell r="B1390" t="str">
            <v>LL2.5x2x5x0</v>
          </cell>
          <cell r="C1390">
            <v>2.64</v>
          </cell>
          <cell r="D1390">
            <v>2</v>
          </cell>
          <cell r="F1390" t="str">
            <v>-</v>
          </cell>
          <cell r="H1390" t="str">
            <v>-</v>
          </cell>
          <cell r="I1390" t="str">
            <v>-</v>
          </cell>
          <cell r="K1390" t="str">
            <v>-</v>
          </cell>
          <cell r="L1390">
            <v>2.5</v>
          </cell>
          <cell r="M1390">
            <v>4</v>
          </cell>
          <cell r="O1390" t="str">
            <v>-</v>
          </cell>
          <cell r="T1390">
            <v>0.313</v>
          </cell>
          <cell r="U1390" t="str">
            <v>-</v>
          </cell>
        </row>
        <row r="1391">
          <cell r="B1391" t="str">
            <v>LL2.5x2x5x3</v>
          </cell>
          <cell r="C1391">
            <v>2.64</v>
          </cell>
          <cell r="D1391">
            <v>2</v>
          </cell>
          <cell r="F1391" t="str">
            <v>-</v>
          </cell>
          <cell r="H1391" t="str">
            <v>-</v>
          </cell>
          <cell r="I1391" t="str">
            <v>-</v>
          </cell>
          <cell r="K1391" t="str">
            <v>-</v>
          </cell>
          <cell r="L1391">
            <v>2.5</v>
          </cell>
          <cell r="M1391">
            <v>4.375</v>
          </cell>
          <cell r="O1391" t="str">
            <v>-</v>
          </cell>
          <cell r="T1391">
            <v>0.313</v>
          </cell>
          <cell r="U1391" t="str">
            <v>-</v>
          </cell>
        </row>
        <row r="1392">
          <cell r="B1392" t="str">
            <v>LL2.5x2x5x6</v>
          </cell>
          <cell r="C1392">
            <v>2.64</v>
          </cell>
          <cell r="D1392">
            <v>2</v>
          </cell>
          <cell r="F1392" t="str">
            <v>-</v>
          </cell>
          <cell r="H1392" t="str">
            <v>-</v>
          </cell>
          <cell r="I1392" t="str">
            <v>-</v>
          </cell>
          <cell r="K1392" t="str">
            <v>-</v>
          </cell>
          <cell r="L1392">
            <v>2.5</v>
          </cell>
          <cell r="M1392">
            <v>4.75</v>
          </cell>
          <cell r="O1392" t="str">
            <v>-</v>
          </cell>
          <cell r="T1392">
            <v>0.313</v>
          </cell>
          <cell r="U1392" t="str">
            <v>-</v>
          </cell>
        </row>
        <row r="1393">
          <cell r="B1393" t="str">
            <v>LL2.5x2x4x0</v>
          </cell>
          <cell r="C1393">
            <v>2.14</v>
          </cell>
          <cell r="D1393">
            <v>2</v>
          </cell>
          <cell r="F1393" t="str">
            <v>-</v>
          </cell>
          <cell r="H1393" t="str">
            <v>-</v>
          </cell>
          <cell r="I1393" t="str">
            <v>-</v>
          </cell>
          <cell r="K1393" t="str">
            <v>-</v>
          </cell>
          <cell r="L1393">
            <v>2.5</v>
          </cell>
          <cell r="M1393">
            <v>4</v>
          </cell>
          <cell r="O1393" t="str">
            <v>-</v>
          </cell>
          <cell r="T1393">
            <v>0.25</v>
          </cell>
          <cell r="U1393" t="str">
            <v>-</v>
          </cell>
        </row>
        <row r="1394">
          <cell r="B1394" t="str">
            <v>LL2.5x2x4x3</v>
          </cell>
          <cell r="C1394">
            <v>2.14</v>
          </cell>
          <cell r="D1394">
            <v>2</v>
          </cell>
          <cell r="F1394" t="str">
            <v>-</v>
          </cell>
          <cell r="H1394" t="str">
            <v>-</v>
          </cell>
          <cell r="I1394" t="str">
            <v>-</v>
          </cell>
          <cell r="K1394" t="str">
            <v>-</v>
          </cell>
          <cell r="L1394">
            <v>2.5</v>
          </cell>
          <cell r="M1394">
            <v>4.375</v>
          </cell>
          <cell r="O1394" t="str">
            <v>-</v>
          </cell>
          <cell r="T1394">
            <v>0.25</v>
          </cell>
          <cell r="U1394" t="str">
            <v>-</v>
          </cell>
        </row>
        <row r="1395">
          <cell r="B1395" t="str">
            <v>LL2.5x2x4x6</v>
          </cell>
          <cell r="C1395">
            <v>2.14</v>
          </cell>
          <cell r="D1395">
            <v>2</v>
          </cell>
          <cell r="F1395" t="str">
            <v>-</v>
          </cell>
          <cell r="H1395" t="str">
            <v>-</v>
          </cell>
          <cell r="I1395" t="str">
            <v>-</v>
          </cell>
          <cell r="K1395" t="str">
            <v>-</v>
          </cell>
          <cell r="L1395">
            <v>2.5</v>
          </cell>
          <cell r="M1395">
            <v>4.75</v>
          </cell>
          <cell r="O1395" t="str">
            <v>-</v>
          </cell>
          <cell r="T1395">
            <v>0.25</v>
          </cell>
          <cell r="U1395" t="str">
            <v>-</v>
          </cell>
        </row>
        <row r="1396">
          <cell r="B1396" t="str">
            <v>LL2.5x2x3x0</v>
          </cell>
          <cell r="C1396">
            <v>1.64</v>
          </cell>
          <cell r="D1396">
            <v>2</v>
          </cell>
          <cell r="F1396" t="str">
            <v>-</v>
          </cell>
          <cell r="H1396" t="str">
            <v>-</v>
          </cell>
          <cell r="I1396" t="str">
            <v>-</v>
          </cell>
          <cell r="K1396" t="str">
            <v>-</v>
          </cell>
          <cell r="L1396">
            <v>2.5</v>
          </cell>
          <cell r="M1396">
            <v>4</v>
          </cell>
          <cell r="O1396" t="str">
            <v>-</v>
          </cell>
          <cell r="T1396">
            <v>0.188</v>
          </cell>
          <cell r="U1396" t="str">
            <v>-</v>
          </cell>
        </row>
        <row r="1397">
          <cell r="B1397" t="str">
            <v>LL2.5x2x3x3</v>
          </cell>
          <cell r="C1397">
            <v>1.64</v>
          </cell>
          <cell r="D1397">
            <v>2</v>
          </cell>
          <cell r="F1397" t="str">
            <v>-</v>
          </cell>
          <cell r="H1397" t="str">
            <v>-</v>
          </cell>
          <cell r="I1397" t="str">
            <v>-</v>
          </cell>
          <cell r="K1397" t="str">
            <v>-</v>
          </cell>
          <cell r="L1397">
            <v>2.5</v>
          </cell>
          <cell r="M1397">
            <v>4.375</v>
          </cell>
          <cell r="O1397" t="str">
            <v>-</v>
          </cell>
          <cell r="T1397">
            <v>0.188</v>
          </cell>
          <cell r="U1397" t="str">
            <v>-</v>
          </cell>
        </row>
        <row r="1398">
          <cell r="B1398" t="str">
            <v>LL2.5x2x3x6</v>
          </cell>
          <cell r="C1398">
            <v>1.64</v>
          </cell>
          <cell r="D1398">
            <v>2</v>
          </cell>
          <cell r="F1398" t="str">
            <v>-</v>
          </cell>
          <cell r="H1398" t="str">
            <v>-</v>
          </cell>
          <cell r="I1398" t="str">
            <v>-</v>
          </cell>
          <cell r="K1398" t="str">
            <v>-</v>
          </cell>
          <cell r="L1398">
            <v>2.5</v>
          </cell>
          <cell r="M1398">
            <v>4.75</v>
          </cell>
          <cell r="O1398" t="str">
            <v>-</v>
          </cell>
          <cell r="T1398">
            <v>0.188</v>
          </cell>
          <cell r="U1398" t="str">
            <v>-</v>
          </cell>
        </row>
        <row r="1399">
          <cell r="B1399" t="str">
            <v>LL2.5x1.5x4x0</v>
          </cell>
          <cell r="C1399">
            <v>1.89</v>
          </cell>
          <cell r="D1399">
            <v>1.5</v>
          </cell>
          <cell r="F1399" t="str">
            <v>-</v>
          </cell>
          <cell r="H1399" t="str">
            <v>-</v>
          </cell>
          <cell r="I1399" t="str">
            <v>-</v>
          </cell>
          <cell r="K1399" t="str">
            <v>-</v>
          </cell>
          <cell r="L1399">
            <v>2.5</v>
          </cell>
          <cell r="M1399">
            <v>3</v>
          </cell>
          <cell r="O1399" t="str">
            <v>-</v>
          </cell>
          <cell r="T1399">
            <v>0.25</v>
          </cell>
          <cell r="U1399" t="str">
            <v>-</v>
          </cell>
        </row>
        <row r="1400">
          <cell r="B1400" t="str">
            <v>LL2.5x1.5x4x3</v>
          </cell>
          <cell r="C1400">
            <v>1.89</v>
          </cell>
          <cell r="D1400">
            <v>1.5</v>
          </cell>
          <cell r="F1400" t="str">
            <v>-</v>
          </cell>
          <cell r="H1400" t="str">
            <v>-</v>
          </cell>
          <cell r="I1400" t="str">
            <v>-</v>
          </cell>
          <cell r="K1400" t="str">
            <v>-</v>
          </cell>
          <cell r="L1400">
            <v>2.5</v>
          </cell>
          <cell r="M1400">
            <v>3.375</v>
          </cell>
          <cell r="O1400" t="str">
            <v>-</v>
          </cell>
          <cell r="T1400">
            <v>0.25</v>
          </cell>
          <cell r="U1400" t="str">
            <v>-</v>
          </cell>
        </row>
        <row r="1401">
          <cell r="B1401" t="str">
            <v>LL2.5x1.5x4x6</v>
          </cell>
          <cell r="C1401">
            <v>1.89</v>
          </cell>
          <cell r="D1401">
            <v>1.5</v>
          </cell>
          <cell r="F1401" t="str">
            <v>-</v>
          </cell>
          <cell r="H1401" t="str">
            <v>-</v>
          </cell>
          <cell r="I1401" t="str">
            <v>-</v>
          </cell>
          <cell r="K1401" t="str">
            <v>-</v>
          </cell>
          <cell r="L1401">
            <v>2.5</v>
          </cell>
          <cell r="M1401">
            <v>3.75</v>
          </cell>
          <cell r="O1401" t="str">
            <v>-</v>
          </cell>
          <cell r="T1401">
            <v>0.25</v>
          </cell>
          <cell r="U1401" t="str">
            <v>-</v>
          </cell>
        </row>
        <row r="1402">
          <cell r="B1402" t="str">
            <v>LL2.5x1.5x3x0</v>
          </cell>
          <cell r="C1402">
            <v>1.45</v>
          </cell>
          <cell r="D1402">
            <v>1.5</v>
          </cell>
          <cell r="F1402" t="str">
            <v>-</v>
          </cell>
          <cell r="H1402" t="str">
            <v>-</v>
          </cell>
          <cell r="I1402" t="str">
            <v>-</v>
          </cell>
          <cell r="K1402" t="str">
            <v>-</v>
          </cell>
          <cell r="L1402">
            <v>2.5</v>
          </cell>
          <cell r="M1402">
            <v>3</v>
          </cell>
          <cell r="O1402" t="str">
            <v>-</v>
          </cell>
          <cell r="T1402">
            <v>0.188</v>
          </cell>
          <cell r="U1402" t="str">
            <v>-</v>
          </cell>
        </row>
        <row r="1403">
          <cell r="B1403" t="str">
            <v>LL2.5x1.5x3x3</v>
          </cell>
          <cell r="C1403">
            <v>1.45</v>
          </cell>
          <cell r="D1403">
            <v>1.5</v>
          </cell>
          <cell r="F1403" t="str">
            <v>-</v>
          </cell>
          <cell r="H1403" t="str">
            <v>-</v>
          </cell>
          <cell r="I1403" t="str">
            <v>-</v>
          </cell>
          <cell r="K1403" t="str">
            <v>-</v>
          </cell>
          <cell r="L1403">
            <v>2.5</v>
          </cell>
          <cell r="M1403">
            <v>3.375</v>
          </cell>
          <cell r="O1403" t="str">
            <v>-</v>
          </cell>
          <cell r="T1403">
            <v>0.188</v>
          </cell>
          <cell r="U1403" t="str">
            <v>-</v>
          </cell>
        </row>
        <row r="1404">
          <cell r="B1404" t="str">
            <v>LL2.5x1.5x3x6</v>
          </cell>
          <cell r="C1404">
            <v>1.45</v>
          </cell>
          <cell r="D1404">
            <v>1.5</v>
          </cell>
          <cell r="F1404" t="str">
            <v>-</v>
          </cell>
          <cell r="H1404" t="str">
            <v>-</v>
          </cell>
          <cell r="I1404" t="str">
            <v>-</v>
          </cell>
          <cell r="K1404" t="str">
            <v>-</v>
          </cell>
          <cell r="L1404">
            <v>2.5</v>
          </cell>
          <cell r="M1404">
            <v>3.75</v>
          </cell>
          <cell r="O1404" t="str">
            <v>-</v>
          </cell>
          <cell r="T1404">
            <v>0.188</v>
          </cell>
          <cell r="U1404" t="str">
            <v>-</v>
          </cell>
        </row>
        <row r="1405">
          <cell r="B1405" t="str">
            <v>2L12X12X1-3/8</v>
          </cell>
          <cell r="C1405">
            <v>62.2</v>
          </cell>
          <cell r="D1405">
            <v>12</v>
          </cell>
          <cell r="F1405" t="str">
            <v>-</v>
          </cell>
          <cell r="H1405" t="str">
            <v>-</v>
          </cell>
          <cell r="I1405" t="str">
            <v>-</v>
          </cell>
          <cell r="K1405" t="str">
            <v>-</v>
          </cell>
          <cell r="L1405">
            <v>12</v>
          </cell>
          <cell r="M1405" t="e">
            <v>#VALUE!</v>
          </cell>
          <cell r="O1405" t="str">
            <v>-</v>
          </cell>
          <cell r="T1405">
            <v>1.38</v>
          </cell>
          <cell r="U1405" t="str">
            <v>-</v>
          </cell>
        </row>
        <row r="1406">
          <cell r="B1406" t="str">
            <v>2L12X12X1-3/8X3/4</v>
          </cell>
          <cell r="C1406">
            <v>62.2</v>
          </cell>
          <cell r="D1406">
            <v>12</v>
          </cell>
          <cell r="F1406" t="str">
            <v>-</v>
          </cell>
          <cell r="H1406" t="str">
            <v>-</v>
          </cell>
          <cell r="I1406" t="str">
            <v>-</v>
          </cell>
          <cell r="K1406" t="str">
            <v>-</v>
          </cell>
          <cell r="L1406">
            <v>12</v>
          </cell>
          <cell r="M1406" t="e">
            <v>#VALUE!</v>
          </cell>
          <cell r="O1406" t="str">
            <v>-</v>
          </cell>
          <cell r="T1406">
            <v>1.38</v>
          </cell>
          <cell r="U1406" t="str">
            <v>-</v>
          </cell>
        </row>
        <row r="1407">
          <cell r="B1407" t="str">
            <v>2L12X12X1-3/8X1-1/2</v>
          </cell>
          <cell r="C1407">
            <v>62.2</v>
          </cell>
          <cell r="D1407">
            <v>12</v>
          </cell>
          <cell r="F1407" t="str">
            <v>-</v>
          </cell>
          <cell r="H1407" t="str">
            <v>-</v>
          </cell>
          <cell r="I1407" t="str">
            <v>-</v>
          </cell>
          <cell r="K1407" t="str">
            <v>-</v>
          </cell>
          <cell r="L1407">
            <v>12</v>
          </cell>
          <cell r="M1407" t="e">
            <v>#VALUE!</v>
          </cell>
          <cell r="O1407" t="str">
            <v>-</v>
          </cell>
          <cell r="T1407">
            <v>1.38</v>
          </cell>
          <cell r="U1407" t="str">
            <v>-</v>
          </cell>
        </row>
        <row r="1408">
          <cell r="B1408" t="str">
            <v>2L12X12X1-1/4</v>
          </cell>
          <cell r="C1408">
            <v>56.8</v>
          </cell>
          <cell r="D1408">
            <v>12</v>
          </cell>
          <cell r="F1408" t="str">
            <v>-</v>
          </cell>
          <cell r="H1408" t="str">
            <v>-</v>
          </cell>
          <cell r="I1408" t="str">
            <v>-</v>
          </cell>
          <cell r="K1408" t="str">
            <v>-</v>
          </cell>
          <cell r="L1408">
            <v>12</v>
          </cell>
          <cell r="M1408" t="e">
            <v>#VALUE!</v>
          </cell>
          <cell r="O1408" t="str">
            <v>-</v>
          </cell>
          <cell r="T1408">
            <v>1.25</v>
          </cell>
          <cell r="U1408" t="str">
            <v>-</v>
          </cell>
        </row>
        <row r="1409">
          <cell r="B1409" t="str">
            <v>2L12X12X1-1/4X3/4</v>
          </cell>
          <cell r="C1409">
            <v>56.8</v>
          </cell>
          <cell r="D1409">
            <v>12</v>
          </cell>
          <cell r="F1409" t="str">
            <v>-</v>
          </cell>
          <cell r="H1409" t="str">
            <v>-</v>
          </cell>
          <cell r="I1409" t="str">
            <v>-</v>
          </cell>
          <cell r="K1409" t="str">
            <v>-</v>
          </cell>
          <cell r="L1409">
            <v>12</v>
          </cell>
          <cell r="M1409" t="e">
            <v>#VALUE!</v>
          </cell>
          <cell r="O1409" t="str">
            <v>-</v>
          </cell>
          <cell r="T1409">
            <v>1.25</v>
          </cell>
          <cell r="U1409" t="str">
            <v>-</v>
          </cell>
        </row>
        <row r="1410">
          <cell r="B1410" t="str">
            <v>2L12X12X1-1/4X1-1/2</v>
          </cell>
          <cell r="C1410">
            <v>56.8</v>
          </cell>
          <cell r="D1410">
            <v>12</v>
          </cell>
          <cell r="F1410" t="str">
            <v>-</v>
          </cell>
          <cell r="H1410" t="str">
            <v>-</v>
          </cell>
          <cell r="I1410" t="str">
            <v>-</v>
          </cell>
          <cell r="K1410" t="str">
            <v>-</v>
          </cell>
          <cell r="L1410">
            <v>12</v>
          </cell>
          <cell r="M1410" t="e">
            <v>#VALUE!</v>
          </cell>
          <cell r="O1410" t="str">
            <v>-</v>
          </cell>
          <cell r="T1410">
            <v>1.25</v>
          </cell>
          <cell r="U1410" t="str">
            <v>-</v>
          </cell>
        </row>
        <row r="1411">
          <cell r="B1411" t="str">
            <v>2L12X12X1-1/8</v>
          </cell>
          <cell r="C1411">
            <v>51.6</v>
          </cell>
          <cell r="D1411">
            <v>12</v>
          </cell>
          <cell r="F1411" t="str">
            <v>-</v>
          </cell>
          <cell r="H1411" t="str">
            <v>-</v>
          </cell>
          <cell r="I1411" t="str">
            <v>-</v>
          </cell>
          <cell r="K1411" t="str">
            <v>-</v>
          </cell>
          <cell r="L1411">
            <v>12</v>
          </cell>
          <cell r="M1411" t="e">
            <v>#VALUE!</v>
          </cell>
          <cell r="O1411" t="str">
            <v>-</v>
          </cell>
          <cell r="T1411">
            <v>1.1299999999999999</v>
          </cell>
          <cell r="U1411" t="str">
            <v>-</v>
          </cell>
        </row>
        <row r="1412">
          <cell r="B1412" t="str">
            <v>2L12X12X1-1/8X3/4</v>
          </cell>
          <cell r="C1412">
            <v>51.6</v>
          </cell>
          <cell r="D1412">
            <v>12</v>
          </cell>
          <cell r="F1412" t="str">
            <v>-</v>
          </cell>
          <cell r="H1412" t="str">
            <v>-</v>
          </cell>
          <cell r="I1412" t="str">
            <v>-</v>
          </cell>
          <cell r="K1412" t="str">
            <v>-</v>
          </cell>
          <cell r="L1412">
            <v>12</v>
          </cell>
          <cell r="M1412" t="e">
            <v>#VALUE!</v>
          </cell>
          <cell r="O1412" t="str">
            <v>-</v>
          </cell>
          <cell r="T1412">
            <v>1.1299999999999999</v>
          </cell>
          <cell r="U1412" t="str">
            <v>-</v>
          </cell>
        </row>
        <row r="1413">
          <cell r="B1413" t="str">
            <v>2L12X12X1-1/8X1-1/2</v>
          </cell>
          <cell r="C1413">
            <v>51.6</v>
          </cell>
          <cell r="D1413">
            <v>12</v>
          </cell>
          <cell r="F1413" t="str">
            <v>-</v>
          </cell>
          <cell r="H1413" t="str">
            <v>-</v>
          </cell>
          <cell r="I1413" t="str">
            <v>-</v>
          </cell>
          <cell r="K1413" t="str">
            <v>-</v>
          </cell>
          <cell r="L1413">
            <v>12</v>
          </cell>
          <cell r="M1413" t="e">
            <v>#VALUE!</v>
          </cell>
          <cell r="O1413" t="str">
            <v>-</v>
          </cell>
          <cell r="T1413">
            <v>1.1299999999999999</v>
          </cell>
          <cell r="U1413" t="str">
            <v>-</v>
          </cell>
        </row>
        <row r="1414">
          <cell r="B1414" t="str">
            <v>2L12X12X1</v>
          </cell>
          <cell r="C1414">
            <v>46</v>
          </cell>
          <cell r="D1414">
            <v>12</v>
          </cell>
          <cell r="F1414" t="str">
            <v>-</v>
          </cell>
          <cell r="H1414" t="str">
            <v>-</v>
          </cell>
          <cell r="I1414" t="str">
            <v>-</v>
          </cell>
          <cell r="K1414" t="str">
            <v>-</v>
          </cell>
          <cell r="L1414">
            <v>12</v>
          </cell>
          <cell r="M1414" t="e">
            <v>#VALUE!</v>
          </cell>
          <cell r="O1414" t="str">
            <v>-</v>
          </cell>
          <cell r="T1414">
            <v>1</v>
          </cell>
          <cell r="U1414" t="str">
            <v>-</v>
          </cell>
        </row>
        <row r="1415">
          <cell r="B1415" t="str">
            <v>2L12X12X1X3/4</v>
          </cell>
          <cell r="C1415">
            <v>46</v>
          </cell>
          <cell r="D1415">
            <v>12</v>
          </cell>
          <cell r="F1415" t="str">
            <v>-</v>
          </cell>
          <cell r="H1415" t="str">
            <v>-</v>
          </cell>
          <cell r="I1415" t="str">
            <v>-</v>
          </cell>
          <cell r="K1415" t="str">
            <v>-</v>
          </cell>
          <cell r="L1415">
            <v>12</v>
          </cell>
          <cell r="M1415" t="e">
            <v>#VALUE!</v>
          </cell>
          <cell r="O1415" t="str">
            <v>-</v>
          </cell>
          <cell r="T1415">
            <v>1</v>
          </cell>
          <cell r="U1415" t="str">
            <v>-</v>
          </cell>
        </row>
        <row r="1416">
          <cell r="B1416" t="str">
            <v>2L12X12X1X1-1/2</v>
          </cell>
          <cell r="C1416">
            <v>46</v>
          </cell>
          <cell r="D1416">
            <v>12</v>
          </cell>
          <cell r="F1416" t="str">
            <v>-</v>
          </cell>
          <cell r="H1416" t="str">
            <v>-</v>
          </cell>
          <cell r="I1416" t="str">
            <v>-</v>
          </cell>
          <cell r="K1416" t="str">
            <v>-</v>
          </cell>
          <cell r="L1416">
            <v>12</v>
          </cell>
          <cell r="M1416" t="e">
            <v>#VALUE!</v>
          </cell>
          <cell r="O1416" t="str">
            <v>-</v>
          </cell>
          <cell r="T1416">
            <v>1</v>
          </cell>
          <cell r="U1416" t="str">
            <v>-</v>
          </cell>
        </row>
        <row r="1417">
          <cell r="B1417" t="str">
            <v>2L10X10X1-3/8</v>
          </cell>
          <cell r="C1417">
            <v>51.2</v>
          </cell>
          <cell r="D1417">
            <v>10</v>
          </cell>
          <cell r="F1417" t="str">
            <v>-</v>
          </cell>
          <cell r="H1417" t="str">
            <v>-</v>
          </cell>
          <cell r="I1417" t="str">
            <v>-</v>
          </cell>
          <cell r="K1417" t="str">
            <v>-</v>
          </cell>
          <cell r="L1417">
            <v>10</v>
          </cell>
          <cell r="M1417" t="e">
            <v>#VALUE!</v>
          </cell>
          <cell r="O1417" t="str">
            <v>-</v>
          </cell>
          <cell r="T1417">
            <v>1.38</v>
          </cell>
          <cell r="U1417" t="str">
            <v>-</v>
          </cell>
        </row>
        <row r="1418">
          <cell r="B1418" t="str">
            <v>2L10X10X1-3/8X3/4</v>
          </cell>
          <cell r="C1418">
            <v>51.2</v>
          </cell>
          <cell r="D1418">
            <v>10</v>
          </cell>
          <cell r="F1418" t="str">
            <v>-</v>
          </cell>
          <cell r="H1418" t="str">
            <v>-</v>
          </cell>
          <cell r="I1418" t="str">
            <v>-</v>
          </cell>
          <cell r="K1418" t="str">
            <v>-</v>
          </cell>
          <cell r="L1418">
            <v>10</v>
          </cell>
          <cell r="M1418" t="e">
            <v>#VALUE!</v>
          </cell>
          <cell r="O1418" t="str">
            <v>-</v>
          </cell>
          <cell r="T1418">
            <v>1.38</v>
          </cell>
          <cell r="U1418" t="str">
            <v>-</v>
          </cell>
        </row>
        <row r="1419">
          <cell r="B1419" t="str">
            <v>2L10X10X1-3/8X1-1/2</v>
          </cell>
          <cell r="C1419">
            <v>51.2</v>
          </cell>
          <cell r="D1419">
            <v>10</v>
          </cell>
          <cell r="F1419" t="str">
            <v>-</v>
          </cell>
          <cell r="H1419" t="str">
            <v>-</v>
          </cell>
          <cell r="I1419" t="str">
            <v>-</v>
          </cell>
          <cell r="K1419" t="str">
            <v>-</v>
          </cell>
          <cell r="L1419">
            <v>10</v>
          </cell>
          <cell r="M1419" t="e">
            <v>#VALUE!</v>
          </cell>
          <cell r="O1419" t="str">
            <v>-</v>
          </cell>
          <cell r="T1419">
            <v>1.38</v>
          </cell>
          <cell r="U1419" t="str">
            <v>-</v>
          </cell>
        </row>
        <row r="1420">
          <cell r="B1420" t="str">
            <v>2L10X10X1-1/4</v>
          </cell>
          <cell r="C1420">
            <v>46.8</v>
          </cell>
          <cell r="D1420">
            <v>10</v>
          </cell>
          <cell r="F1420" t="str">
            <v>-</v>
          </cell>
          <cell r="H1420" t="str">
            <v>-</v>
          </cell>
          <cell r="I1420" t="str">
            <v>-</v>
          </cell>
          <cell r="K1420" t="str">
            <v>-</v>
          </cell>
          <cell r="L1420">
            <v>10</v>
          </cell>
          <cell r="M1420" t="e">
            <v>#VALUE!</v>
          </cell>
          <cell r="O1420" t="str">
            <v>-</v>
          </cell>
          <cell r="T1420">
            <v>1.25</v>
          </cell>
          <cell r="U1420" t="str">
            <v>-</v>
          </cell>
        </row>
        <row r="1421">
          <cell r="B1421" t="str">
            <v>2L10X10X1-1/4X3/4</v>
          </cell>
          <cell r="C1421">
            <v>46.8</v>
          </cell>
          <cell r="D1421">
            <v>10</v>
          </cell>
          <cell r="F1421" t="str">
            <v>-</v>
          </cell>
          <cell r="H1421" t="str">
            <v>-</v>
          </cell>
          <cell r="I1421" t="str">
            <v>-</v>
          </cell>
          <cell r="K1421" t="str">
            <v>-</v>
          </cell>
          <cell r="L1421">
            <v>10</v>
          </cell>
          <cell r="M1421" t="e">
            <v>#VALUE!</v>
          </cell>
          <cell r="O1421" t="str">
            <v>-</v>
          </cell>
          <cell r="T1421">
            <v>1.25</v>
          </cell>
          <cell r="U1421" t="str">
            <v>-</v>
          </cell>
        </row>
        <row r="1422">
          <cell r="B1422" t="str">
            <v>2L10X10X1-1/4X1-1/2</v>
          </cell>
          <cell r="C1422">
            <v>46.8</v>
          </cell>
          <cell r="D1422">
            <v>10</v>
          </cell>
          <cell r="F1422" t="str">
            <v>-</v>
          </cell>
          <cell r="H1422" t="str">
            <v>-</v>
          </cell>
          <cell r="I1422" t="str">
            <v>-</v>
          </cell>
          <cell r="K1422" t="str">
            <v>-</v>
          </cell>
          <cell r="L1422">
            <v>10</v>
          </cell>
          <cell r="M1422" t="e">
            <v>#VALUE!</v>
          </cell>
          <cell r="O1422" t="str">
            <v>-</v>
          </cell>
          <cell r="T1422">
            <v>1.25</v>
          </cell>
          <cell r="U1422" t="str">
            <v>-</v>
          </cell>
        </row>
        <row r="1423">
          <cell r="B1423" t="str">
            <v>2L10X10X1-1/8</v>
          </cell>
          <cell r="C1423">
            <v>42.6</v>
          </cell>
          <cell r="D1423">
            <v>10</v>
          </cell>
          <cell r="F1423" t="str">
            <v>-</v>
          </cell>
          <cell r="H1423" t="str">
            <v>-</v>
          </cell>
          <cell r="I1423" t="str">
            <v>-</v>
          </cell>
          <cell r="K1423" t="str">
            <v>-</v>
          </cell>
          <cell r="L1423">
            <v>10</v>
          </cell>
          <cell r="M1423" t="e">
            <v>#VALUE!</v>
          </cell>
          <cell r="O1423" t="str">
            <v>-</v>
          </cell>
          <cell r="T1423">
            <v>1.1299999999999999</v>
          </cell>
          <cell r="U1423" t="str">
            <v>-</v>
          </cell>
        </row>
        <row r="1424">
          <cell r="B1424" t="str">
            <v>2L10X10X1-1/8X3/4</v>
          </cell>
          <cell r="C1424">
            <v>42.6</v>
          </cell>
          <cell r="D1424">
            <v>10</v>
          </cell>
          <cell r="F1424" t="str">
            <v>-</v>
          </cell>
          <cell r="H1424" t="str">
            <v>-</v>
          </cell>
          <cell r="I1424" t="str">
            <v>-</v>
          </cell>
          <cell r="K1424" t="str">
            <v>-</v>
          </cell>
          <cell r="L1424">
            <v>10</v>
          </cell>
          <cell r="M1424" t="e">
            <v>#VALUE!</v>
          </cell>
          <cell r="O1424" t="str">
            <v>-</v>
          </cell>
          <cell r="T1424">
            <v>1.1299999999999999</v>
          </cell>
          <cell r="U1424" t="str">
            <v>-</v>
          </cell>
        </row>
        <row r="1425">
          <cell r="B1425" t="str">
            <v>2L10X10X1-1/8X1-1/2</v>
          </cell>
          <cell r="C1425">
            <v>42.6</v>
          </cell>
          <cell r="D1425">
            <v>10</v>
          </cell>
          <cell r="F1425" t="str">
            <v>-</v>
          </cell>
          <cell r="H1425" t="str">
            <v>-</v>
          </cell>
          <cell r="I1425" t="str">
            <v>-</v>
          </cell>
          <cell r="K1425" t="str">
            <v>-</v>
          </cell>
          <cell r="L1425">
            <v>10</v>
          </cell>
          <cell r="M1425" t="e">
            <v>#VALUE!</v>
          </cell>
          <cell r="O1425" t="str">
            <v>-</v>
          </cell>
          <cell r="T1425">
            <v>1.1299999999999999</v>
          </cell>
          <cell r="U1425" t="str">
            <v>-</v>
          </cell>
        </row>
        <row r="1426">
          <cell r="B1426" t="str">
            <v>2L10X10X1</v>
          </cell>
          <cell r="C1426">
            <v>38</v>
          </cell>
          <cell r="D1426">
            <v>10</v>
          </cell>
          <cell r="F1426" t="str">
            <v>-</v>
          </cell>
          <cell r="H1426" t="str">
            <v>-</v>
          </cell>
          <cell r="I1426" t="str">
            <v>-</v>
          </cell>
          <cell r="K1426" t="str">
            <v>-</v>
          </cell>
          <cell r="L1426">
            <v>10</v>
          </cell>
          <cell r="M1426" t="e">
            <v>#VALUE!</v>
          </cell>
          <cell r="O1426" t="str">
            <v>-</v>
          </cell>
          <cell r="T1426">
            <v>1</v>
          </cell>
          <cell r="U1426" t="str">
            <v>-</v>
          </cell>
        </row>
        <row r="1427">
          <cell r="B1427" t="str">
            <v>2L10X10X1X3/4</v>
          </cell>
          <cell r="C1427">
            <v>38</v>
          </cell>
          <cell r="D1427">
            <v>10</v>
          </cell>
          <cell r="F1427" t="str">
            <v>-</v>
          </cell>
          <cell r="H1427" t="str">
            <v>-</v>
          </cell>
          <cell r="I1427" t="str">
            <v>-</v>
          </cell>
          <cell r="K1427" t="str">
            <v>-</v>
          </cell>
          <cell r="L1427">
            <v>10</v>
          </cell>
          <cell r="M1427" t="e">
            <v>#VALUE!</v>
          </cell>
          <cell r="O1427" t="str">
            <v>-</v>
          </cell>
          <cell r="T1427">
            <v>1</v>
          </cell>
          <cell r="U1427" t="str">
            <v>-</v>
          </cell>
        </row>
        <row r="1428">
          <cell r="B1428" t="str">
            <v>2L10X10X1X1-1/2</v>
          </cell>
          <cell r="C1428">
            <v>38</v>
          </cell>
          <cell r="D1428">
            <v>10</v>
          </cell>
          <cell r="F1428" t="str">
            <v>-</v>
          </cell>
          <cell r="H1428" t="str">
            <v>-</v>
          </cell>
          <cell r="I1428" t="str">
            <v>-</v>
          </cell>
          <cell r="K1428" t="str">
            <v>-</v>
          </cell>
          <cell r="L1428">
            <v>10</v>
          </cell>
          <cell r="M1428" t="e">
            <v>#VALUE!</v>
          </cell>
          <cell r="O1428" t="str">
            <v>-</v>
          </cell>
          <cell r="T1428">
            <v>1</v>
          </cell>
          <cell r="U1428" t="str">
            <v>-</v>
          </cell>
        </row>
        <row r="1429">
          <cell r="B1429" t="str">
            <v>2L10X10X7/8</v>
          </cell>
          <cell r="C1429">
            <v>33.6</v>
          </cell>
          <cell r="D1429">
            <v>10</v>
          </cell>
          <cell r="F1429" t="str">
            <v>-</v>
          </cell>
          <cell r="H1429" t="str">
            <v>-</v>
          </cell>
          <cell r="I1429" t="str">
            <v>-</v>
          </cell>
          <cell r="K1429" t="str">
            <v>-</v>
          </cell>
          <cell r="L1429">
            <v>10</v>
          </cell>
          <cell r="M1429" t="e">
            <v>#VALUE!</v>
          </cell>
          <cell r="O1429" t="str">
            <v>-</v>
          </cell>
          <cell r="T1429">
            <v>0.875</v>
          </cell>
          <cell r="U1429" t="str">
            <v>-</v>
          </cell>
        </row>
        <row r="1430">
          <cell r="B1430" t="str">
            <v>2L10X10X7/8X3/4</v>
          </cell>
          <cell r="C1430">
            <v>33.6</v>
          </cell>
          <cell r="D1430">
            <v>10</v>
          </cell>
          <cell r="F1430" t="str">
            <v>-</v>
          </cell>
          <cell r="H1430" t="str">
            <v>-</v>
          </cell>
          <cell r="I1430" t="str">
            <v>-</v>
          </cell>
          <cell r="K1430" t="str">
            <v>-</v>
          </cell>
          <cell r="L1430">
            <v>10</v>
          </cell>
          <cell r="M1430" t="e">
            <v>#VALUE!</v>
          </cell>
          <cell r="O1430" t="str">
            <v>-</v>
          </cell>
          <cell r="T1430">
            <v>0.875</v>
          </cell>
          <cell r="U1430" t="str">
            <v>-</v>
          </cell>
        </row>
        <row r="1431">
          <cell r="B1431" t="str">
            <v>2L10X10X7/8X1-1/2</v>
          </cell>
          <cell r="C1431">
            <v>33.6</v>
          </cell>
          <cell r="D1431">
            <v>10</v>
          </cell>
          <cell r="F1431" t="str">
            <v>-</v>
          </cell>
          <cell r="H1431" t="str">
            <v>-</v>
          </cell>
          <cell r="I1431" t="str">
            <v>-</v>
          </cell>
          <cell r="K1431" t="str">
            <v>-</v>
          </cell>
          <cell r="L1431">
            <v>10</v>
          </cell>
          <cell r="M1431" t="e">
            <v>#VALUE!</v>
          </cell>
          <cell r="O1431" t="str">
            <v>-</v>
          </cell>
          <cell r="T1431">
            <v>0.875</v>
          </cell>
          <cell r="U1431" t="str">
            <v>-</v>
          </cell>
        </row>
        <row r="1432">
          <cell r="B1432" t="str">
            <v>2L10X10X3/4</v>
          </cell>
          <cell r="C1432">
            <v>29</v>
          </cell>
          <cell r="D1432">
            <v>10</v>
          </cell>
          <cell r="F1432" t="str">
            <v>-</v>
          </cell>
          <cell r="H1432" t="str">
            <v>-</v>
          </cell>
          <cell r="I1432" t="str">
            <v>-</v>
          </cell>
          <cell r="K1432" t="str">
            <v>-</v>
          </cell>
          <cell r="L1432">
            <v>10</v>
          </cell>
          <cell r="M1432" t="e">
            <v>#VALUE!</v>
          </cell>
          <cell r="O1432" t="str">
            <v>-</v>
          </cell>
          <cell r="T1432">
            <v>0.75</v>
          </cell>
          <cell r="U1432" t="str">
            <v>-</v>
          </cell>
        </row>
        <row r="1433">
          <cell r="B1433" t="str">
            <v>2L10X10X3/4X3/4</v>
          </cell>
          <cell r="C1433">
            <v>29</v>
          </cell>
          <cell r="D1433">
            <v>10</v>
          </cell>
          <cell r="F1433" t="str">
            <v>-</v>
          </cell>
          <cell r="H1433" t="str">
            <v>-</v>
          </cell>
          <cell r="I1433" t="str">
            <v>-</v>
          </cell>
          <cell r="K1433" t="str">
            <v>-</v>
          </cell>
          <cell r="L1433">
            <v>10</v>
          </cell>
          <cell r="M1433" t="e">
            <v>#VALUE!</v>
          </cell>
          <cell r="O1433" t="str">
            <v>-</v>
          </cell>
          <cell r="T1433">
            <v>0.75</v>
          </cell>
          <cell r="U1433" t="str">
            <v>-</v>
          </cell>
        </row>
        <row r="1434">
          <cell r="B1434" t="str">
            <v>2L10X10X3/4X1-1/2</v>
          </cell>
          <cell r="C1434">
            <v>29</v>
          </cell>
          <cell r="D1434">
            <v>10</v>
          </cell>
          <cell r="F1434" t="str">
            <v>-</v>
          </cell>
          <cell r="H1434" t="str">
            <v>-</v>
          </cell>
          <cell r="I1434" t="str">
            <v>-</v>
          </cell>
          <cell r="K1434" t="str">
            <v>-</v>
          </cell>
          <cell r="L1434">
            <v>10</v>
          </cell>
          <cell r="M1434" t="e">
            <v>#VALUE!</v>
          </cell>
          <cell r="O1434" t="str">
            <v>-</v>
          </cell>
          <cell r="T1434">
            <v>0.75</v>
          </cell>
          <cell r="U1434" t="str">
            <v>-</v>
          </cell>
        </row>
        <row r="1435">
          <cell r="B1435" t="str">
            <v>2L8X8X1-1/8</v>
          </cell>
          <cell r="C1435">
            <v>33.6</v>
          </cell>
          <cell r="D1435">
            <v>8</v>
          </cell>
          <cell r="F1435" t="str">
            <v>-</v>
          </cell>
          <cell r="H1435" t="str">
            <v>-</v>
          </cell>
          <cell r="I1435" t="str">
            <v>-</v>
          </cell>
          <cell r="K1435" t="str">
            <v>-</v>
          </cell>
          <cell r="L1435">
            <v>8</v>
          </cell>
          <cell r="M1435" t="e">
            <v>#VALUE!</v>
          </cell>
          <cell r="O1435" t="str">
            <v>-</v>
          </cell>
          <cell r="T1435">
            <v>1.1299999999999999</v>
          </cell>
          <cell r="U1435" t="str">
            <v>-</v>
          </cell>
        </row>
        <row r="1436">
          <cell r="B1436" t="str">
            <v>2L8X8X1-1/8X3/8</v>
          </cell>
          <cell r="C1436">
            <v>33.6</v>
          </cell>
          <cell r="D1436">
            <v>8</v>
          </cell>
          <cell r="F1436" t="str">
            <v>-</v>
          </cell>
          <cell r="H1436" t="str">
            <v>-</v>
          </cell>
          <cell r="I1436" t="str">
            <v>-</v>
          </cell>
          <cell r="K1436" t="str">
            <v>-</v>
          </cell>
          <cell r="L1436">
            <v>8</v>
          </cell>
          <cell r="M1436" t="e">
            <v>#VALUE!</v>
          </cell>
          <cell r="O1436" t="str">
            <v>-</v>
          </cell>
          <cell r="T1436">
            <v>1.1299999999999999</v>
          </cell>
          <cell r="U1436" t="str">
            <v>-</v>
          </cell>
        </row>
        <row r="1437">
          <cell r="B1437" t="str">
            <v>2L8X8X1-1/8X3/4</v>
          </cell>
          <cell r="C1437">
            <v>33.6</v>
          </cell>
          <cell r="D1437">
            <v>8</v>
          </cell>
          <cell r="F1437" t="str">
            <v>-</v>
          </cell>
          <cell r="H1437" t="str">
            <v>-</v>
          </cell>
          <cell r="I1437" t="str">
            <v>-</v>
          </cell>
          <cell r="K1437" t="str">
            <v>-</v>
          </cell>
          <cell r="L1437">
            <v>8</v>
          </cell>
          <cell r="M1437" t="e">
            <v>#VALUE!</v>
          </cell>
          <cell r="O1437" t="str">
            <v>-</v>
          </cell>
          <cell r="T1437">
            <v>1.1299999999999999</v>
          </cell>
          <cell r="U1437" t="str">
            <v>-</v>
          </cell>
        </row>
        <row r="1438">
          <cell r="B1438" t="str">
            <v>2L8X8X1</v>
          </cell>
          <cell r="C1438">
            <v>30.2</v>
          </cell>
          <cell r="D1438">
            <v>8</v>
          </cell>
          <cell r="F1438" t="str">
            <v>-</v>
          </cell>
          <cell r="H1438" t="str">
            <v>-</v>
          </cell>
          <cell r="I1438" t="str">
            <v>-</v>
          </cell>
          <cell r="K1438" t="str">
            <v>-</v>
          </cell>
          <cell r="L1438">
            <v>8</v>
          </cell>
          <cell r="M1438" t="e">
            <v>#VALUE!</v>
          </cell>
          <cell r="O1438" t="str">
            <v>-</v>
          </cell>
          <cell r="T1438">
            <v>1</v>
          </cell>
          <cell r="U1438" t="str">
            <v>-</v>
          </cell>
        </row>
        <row r="1439">
          <cell r="B1439" t="str">
            <v>2L8X8X1X3/8</v>
          </cell>
          <cell r="C1439">
            <v>30.2</v>
          </cell>
          <cell r="D1439">
            <v>8</v>
          </cell>
          <cell r="F1439" t="str">
            <v>-</v>
          </cell>
          <cell r="H1439" t="str">
            <v>-</v>
          </cell>
          <cell r="I1439" t="str">
            <v>-</v>
          </cell>
          <cell r="K1439" t="str">
            <v>-</v>
          </cell>
          <cell r="L1439">
            <v>8</v>
          </cell>
          <cell r="M1439" t="e">
            <v>#VALUE!</v>
          </cell>
          <cell r="O1439" t="str">
            <v>-</v>
          </cell>
          <cell r="T1439">
            <v>1</v>
          </cell>
          <cell r="U1439" t="str">
            <v>-</v>
          </cell>
        </row>
        <row r="1440">
          <cell r="B1440" t="str">
            <v>2L8X8X1X3/4</v>
          </cell>
          <cell r="C1440">
            <v>30.2</v>
          </cell>
          <cell r="D1440">
            <v>8</v>
          </cell>
          <cell r="F1440" t="str">
            <v>-</v>
          </cell>
          <cell r="H1440" t="str">
            <v>-</v>
          </cell>
          <cell r="I1440" t="str">
            <v>-</v>
          </cell>
          <cell r="K1440" t="str">
            <v>-</v>
          </cell>
          <cell r="L1440">
            <v>8</v>
          </cell>
          <cell r="M1440" t="e">
            <v>#VALUE!</v>
          </cell>
          <cell r="O1440" t="str">
            <v>-</v>
          </cell>
          <cell r="T1440">
            <v>1</v>
          </cell>
          <cell r="U1440" t="str">
            <v>-</v>
          </cell>
        </row>
        <row r="1441">
          <cell r="B1441" t="str">
            <v>2L8X8X7/8</v>
          </cell>
          <cell r="C1441">
            <v>26.6</v>
          </cell>
          <cell r="D1441">
            <v>8</v>
          </cell>
          <cell r="F1441" t="str">
            <v>-</v>
          </cell>
          <cell r="H1441" t="str">
            <v>-</v>
          </cell>
          <cell r="I1441" t="str">
            <v>-</v>
          </cell>
          <cell r="K1441" t="str">
            <v>-</v>
          </cell>
          <cell r="L1441">
            <v>8</v>
          </cell>
          <cell r="M1441" t="e">
            <v>#VALUE!</v>
          </cell>
          <cell r="O1441" t="str">
            <v>-</v>
          </cell>
          <cell r="T1441">
            <v>0.875</v>
          </cell>
          <cell r="U1441" t="str">
            <v>-</v>
          </cell>
        </row>
        <row r="1442">
          <cell r="B1442" t="str">
            <v>2L8X8X7/8X3/8</v>
          </cell>
          <cell r="C1442">
            <v>26.6</v>
          </cell>
          <cell r="D1442">
            <v>8</v>
          </cell>
          <cell r="F1442" t="str">
            <v>-</v>
          </cell>
          <cell r="H1442" t="str">
            <v>-</v>
          </cell>
          <cell r="I1442" t="str">
            <v>-</v>
          </cell>
          <cell r="K1442" t="str">
            <v>-</v>
          </cell>
          <cell r="L1442">
            <v>8</v>
          </cell>
          <cell r="M1442" t="e">
            <v>#VALUE!</v>
          </cell>
          <cell r="O1442" t="str">
            <v>-</v>
          </cell>
          <cell r="T1442">
            <v>0.875</v>
          </cell>
          <cell r="U1442" t="str">
            <v>-</v>
          </cell>
        </row>
        <row r="1443">
          <cell r="B1443" t="str">
            <v>2L8X8X7/8X3/4</v>
          </cell>
          <cell r="C1443">
            <v>26.6</v>
          </cell>
          <cell r="D1443">
            <v>8</v>
          </cell>
          <cell r="F1443" t="str">
            <v>-</v>
          </cell>
          <cell r="H1443" t="str">
            <v>-</v>
          </cell>
          <cell r="I1443" t="str">
            <v>-</v>
          </cell>
          <cell r="K1443" t="str">
            <v>-</v>
          </cell>
          <cell r="L1443">
            <v>8</v>
          </cell>
          <cell r="M1443" t="e">
            <v>#VALUE!</v>
          </cell>
          <cell r="O1443" t="str">
            <v>-</v>
          </cell>
          <cell r="T1443">
            <v>0.875</v>
          </cell>
          <cell r="U1443" t="str">
            <v>-</v>
          </cell>
        </row>
        <row r="1444">
          <cell r="B1444" t="str">
            <v>2L8X8X3/4</v>
          </cell>
          <cell r="C1444">
            <v>23</v>
          </cell>
          <cell r="D1444">
            <v>8</v>
          </cell>
          <cell r="F1444" t="str">
            <v>-</v>
          </cell>
          <cell r="H1444" t="str">
            <v>-</v>
          </cell>
          <cell r="I1444" t="str">
            <v>-</v>
          </cell>
          <cell r="K1444" t="str">
            <v>-</v>
          </cell>
          <cell r="L1444">
            <v>8</v>
          </cell>
          <cell r="M1444" t="e">
            <v>#VALUE!</v>
          </cell>
          <cell r="O1444" t="str">
            <v>-</v>
          </cell>
          <cell r="T1444">
            <v>0.75</v>
          </cell>
          <cell r="U1444" t="str">
            <v>-</v>
          </cell>
        </row>
        <row r="1445">
          <cell r="B1445" t="str">
            <v>2L8X8X3/4X3/8</v>
          </cell>
          <cell r="C1445">
            <v>23</v>
          </cell>
          <cell r="D1445">
            <v>8</v>
          </cell>
          <cell r="F1445" t="str">
            <v>-</v>
          </cell>
          <cell r="H1445" t="str">
            <v>-</v>
          </cell>
          <cell r="I1445" t="str">
            <v>-</v>
          </cell>
          <cell r="K1445" t="str">
            <v>-</v>
          </cell>
          <cell r="L1445">
            <v>8</v>
          </cell>
          <cell r="M1445" t="e">
            <v>#VALUE!</v>
          </cell>
          <cell r="O1445" t="str">
            <v>-</v>
          </cell>
          <cell r="T1445">
            <v>0.75</v>
          </cell>
          <cell r="U1445" t="str">
            <v>-</v>
          </cell>
        </row>
        <row r="1446">
          <cell r="B1446" t="str">
            <v>2L8X8X3/4X3/4</v>
          </cell>
          <cell r="C1446">
            <v>23</v>
          </cell>
          <cell r="D1446">
            <v>8</v>
          </cell>
          <cell r="F1446" t="str">
            <v>-</v>
          </cell>
          <cell r="H1446" t="str">
            <v>-</v>
          </cell>
          <cell r="I1446" t="str">
            <v>-</v>
          </cell>
          <cell r="K1446" t="str">
            <v>-</v>
          </cell>
          <cell r="L1446">
            <v>8</v>
          </cell>
          <cell r="M1446" t="e">
            <v>#VALUE!</v>
          </cell>
          <cell r="O1446" t="str">
            <v>-</v>
          </cell>
          <cell r="T1446">
            <v>0.75</v>
          </cell>
          <cell r="U1446" t="str">
            <v>-</v>
          </cell>
        </row>
        <row r="1447">
          <cell r="B1447" t="str">
            <v>2L8X8X5/8</v>
          </cell>
          <cell r="C1447">
            <v>19.399999999999999</v>
          </cell>
          <cell r="D1447">
            <v>8</v>
          </cell>
          <cell r="F1447" t="str">
            <v>-</v>
          </cell>
          <cell r="H1447" t="str">
            <v>-</v>
          </cell>
          <cell r="I1447" t="str">
            <v>-</v>
          </cell>
          <cell r="K1447" t="str">
            <v>-</v>
          </cell>
          <cell r="L1447">
            <v>8</v>
          </cell>
          <cell r="M1447" t="e">
            <v>#VALUE!</v>
          </cell>
          <cell r="O1447" t="str">
            <v>-</v>
          </cell>
          <cell r="T1447">
            <v>0.625</v>
          </cell>
          <cell r="U1447" t="str">
            <v>-</v>
          </cell>
        </row>
        <row r="1448">
          <cell r="B1448" t="str">
            <v>2L8X8X5/8X3/8</v>
          </cell>
          <cell r="C1448">
            <v>19.399999999999999</v>
          </cell>
          <cell r="D1448">
            <v>8</v>
          </cell>
          <cell r="F1448" t="str">
            <v>-</v>
          </cell>
          <cell r="H1448" t="str">
            <v>-</v>
          </cell>
          <cell r="I1448" t="str">
            <v>-</v>
          </cell>
          <cell r="K1448" t="str">
            <v>-</v>
          </cell>
          <cell r="L1448">
            <v>8</v>
          </cell>
          <cell r="M1448" t="e">
            <v>#VALUE!</v>
          </cell>
          <cell r="O1448" t="str">
            <v>-</v>
          </cell>
          <cell r="T1448">
            <v>0.625</v>
          </cell>
          <cell r="U1448" t="str">
            <v>-</v>
          </cell>
        </row>
        <row r="1449">
          <cell r="B1449" t="str">
            <v>2L8X8X5/8X3/4</v>
          </cell>
          <cell r="C1449">
            <v>19.399999999999999</v>
          </cell>
          <cell r="D1449">
            <v>8</v>
          </cell>
          <cell r="F1449" t="str">
            <v>-</v>
          </cell>
          <cell r="H1449" t="str">
            <v>-</v>
          </cell>
          <cell r="I1449" t="str">
            <v>-</v>
          </cell>
          <cell r="K1449" t="str">
            <v>-</v>
          </cell>
          <cell r="L1449">
            <v>8</v>
          </cell>
          <cell r="M1449" t="e">
            <v>#VALUE!</v>
          </cell>
          <cell r="O1449" t="str">
            <v>-</v>
          </cell>
          <cell r="T1449">
            <v>0.625</v>
          </cell>
          <cell r="U1449" t="str">
            <v>-</v>
          </cell>
        </row>
        <row r="1450">
          <cell r="B1450" t="str">
            <v>2L8X8X9/16</v>
          </cell>
          <cell r="C1450">
            <v>17.5</v>
          </cell>
          <cell r="D1450">
            <v>8</v>
          </cell>
          <cell r="F1450" t="str">
            <v>-</v>
          </cell>
          <cell r="H1450" t="str">
            <v>-</v>
          </cell>
          <cell r="I1450" t="str">
            <v>-</v>
          </cell>
          <cell r="K1450" t="str">
            <v>-</v>
          </cell>
          <cell r="L1450">
            <v>8</v>
          </cell>
          <cell r="M1450" t="e">
            <v>#VALUE!</v>
          </cell>
          <cell r="O1450" t="str">
            <v>-</v>
          </cell>
          <cell r="T1450">
            <v>0.56299999999999994</v>
          </cell>
          <cell r="U1450" t="str">
            <v>-</v>
          </cell>
        </row>
        <row r="1451">
          <cell r="B1451" t="str">
            <v>2L8X8X9/16X3/8</v>
          </cell>
          <cell r="C1451">
            <v>17.5</v>
          </cell>
          <cell r="D1451">
            <v>8</v>
          </cell>
          <cell r="F1451" t="str">
            <v>-</v>
          </cell>
          <cell r="H1451" t="str">
            <v>-</v>
          </cell>
          <cell r="I1451" t="str">
            <v>-</v>
          </cell>
          <cell r="K1451" t="str">
            <v>-</v>
          </cell>
          <cell r="L1451">
            <v>8</v>
          </cell>
          <cell r="M1451" t="e">
            <v>#VALUE!</v>
          </cell>
          <cell r="O1451" t="str">
            <v>-</v>
          </cell>
          <cell r="T1451">
            <v>0.56299999999999994</v>
          </cell>
          <cell r="U1451" t="str">
            <v>-</v>
          </cell>
        </row>
        <row r="1452">
          <cell r="B1452" t="str">
            <v>2L8X8X9/16X3/4</v>
          </cell>
          <cell r="C1452">
            <v>17.5</v>
          </cell>
          <cell r="D1452">
            <v>8</v>
          </cell>
          <cell r="F1452" t="str">
            <v>-</v>
          </cell>
          <cell r="H1452" t="str">
            <v>-</v>
          </cell>
          <cell r="I1452" t="str">
            <v>-</v>
          </cell>
          <cell r="K1452" t="str">
            <v>-</v>
          </cell>
          <cell r="L1452">
            <v>8</v>
          </cell>
          <cell r="M1452" t="e">
            <v>#VALUE!</v>
          </cell>
          <cell r="O1452" t="str">
            <v>-</v>
          </cell>
          <cell r="T1452">
            <v>0.56299999999999994</v>
          </cell>
          <cell r="U1452" t="str">
            <v>-</v>
          </cell>
        </row>
        <row r="1453">
          <cell r="B1453" t="str">
            <v>2L8X8X1/2</v>
          </cell>
          <cell r="C1453">
            <v>15.7</v>
          </cell>
          <cell r="D1453">
            <v>8</v>
          </cell>
          <cell r="F1453" t="str">
            <v>-</v>
          </cell>
          <cell r="H1453" t="str">
            <v>-</v>
          </cell>
          <cell r="I1453" t="str">
            <v>-</v>
          </cell>
          <cell r="K1453" t="str">
            <v>-</v>
          </cell>
          <cell r="L1453">
            <v>8</v>
          </cell>
          <cell r="M1453" t="e">
            <v>#VALUE!</v>
          </cell>
          <cell r="O1453" t="str">
            <v>-</v>
          </cell>
          <cell r="T1453">
            <v>0.5</v>
          </cell>
          <cell r="U1453" t="str">
            <v>-</v>
          </cell>
        </row>
        <row r="1454">
          <cell r="B1454" t="str">
            <v>2L8X8X1/2X3/8</v>
          </cell>
          <cell r="C1454">
            <v>15.7</v>
          </cell>
          <cell r="D1454">
            <v>8</v>
          </cell>
          <cell r="F1454" t="str">
            <v>-</v>
          </cell>
          <cell r="H1454" t="str">
            <v>-</v>
          </cell>
          <cell r="I1454" t="str">
            <v>-</v>
          </cell>
          <cell r="K1454" t="str">
            <v>-</v>
          </cell>
          <cell r="L1454">
            <v>8</v>
          </cell>
          <cell r="M1454" t="e">
            <v>#VALUE!</v>
          </cell>
          <cell r="O1454" t="str">
            <v>-</v>
          </cell>
          <cell r="T1454">
            <v>0.5</v>
          </cell>
          <cell r="U1454" t="str">
            <v>-</v>
          </cell>
        </row>
        <row r="1455">
          <cell r="B1455" t="str">
            <v>2L8X8X1/2X3/4</v>
          </cell>
          <cell r="C1455">
            <v>15.7</v>
          </cell>
          <cell r="D1455">
            <v>8</v>
          </cell>
          <cell r="F1455" t="str">
            <v>-</v>
          </cell>
          <cell r="H1455" t="str">
            <v>-</v>
          </cell>
          <cell r="I1455" t="str">
            <v>-</v>
          </cell>
          <cell r="K1455" t="str">
            <v>-</v>
          </cell>
          <cell r="L1455">
            <v>8</v>
          </cell>
          <cell r="M1455" t="e">
            <v>#VALUE!</v>
          </cell>
          <cell r="O1455" t="str">
            <v>-</v>
          </cell>
          <cell r="T1455">
            <v>0.5</v>
          </cell>
          <cell r="U1455" t="str">
            <v>-</v>
          </cell>
        </row>
        <row r="1456">
          <cell r="B1456" t="str">
            <v>2L6X6X1</v>
          </cell>
          <cell r="C1456">
            <v>22</v>
          </cell>
          <cell r="D1456">
            <v>6</v>
          </cell>
          <cell r="F1456" t="str">
            <v>-</v>
          </cell>
          <cell r="H1456" t="str">
            <v>-</v>
          </cell>
          <cell r="I1456" t="str">
            <v>-</v>
          </cell>
          <cell r="K1456" t="str">
            <v>-</v>
          </cell>
          <cell r="L1456">
            <v>6</v>
          </cell>
          <cell r="M1456" t="e">
            <v>#VALUE!</v>
          </cell>
          <cell r="O1456" t="str">
            <v>-</v>
          </cell>
          <cell r="T1456">
            <v>1</v>
          </cell>
          <cell r="U1456" t="str">
            <v>-</v>
          </cell>
        </row>
        <row r="1457">
          <cell r="B1457" t="str">
            <v>2L6X6X1X3/8</v>
          </cell>
          <cell r="C1457">
            <v>22</v>
          </cell>
          <cell r="D1457">
            <v>6</v>
          </cell>
          <cell r="F1457" t="str">
            <v>-</v>
          </cell>
          <cell r="H1457" t="str">
            <v>-</v>
          </cell>
          <cell r="I1457" t="str">
            <v>-</v>
          </cell>
          <cell r="K1457" t="str">
            <v>-</v>
          </cell>
          <cell r="L1457">
            <v>6</v>
          </cell>
          <cell r="M1457" t="e">
            <v>#VALUE!</v>
          </cell>
          <cell r="O1457" t="str">
            <v>-</v>
          </cell>
          <cell r="T1457">
            <v>1</v>
          </cell>
          <cell r="U1457" t="str">
            <v>-</v>
          </cell>
        </row>
        <row r="1458">
          <cell r="B1458" t="str">
            <v>2L6X6X1X3/4</v>
          </cell>
          <cell r="C1458">
            <v>22</v>
          </cell>
          <cell r="D1458">
            <v>6</v>
          </cell>
          <cell r="F1458" t="str">
            <v>-</v>
          </cell>
          <cell r="H1458" t="str">
            <v>-</v>
          </cell>
          <cell r="I1458" t="str">
            <v>-</v>
          </cell>
          <cell r="K1458" t="str">
            <v>-</v>
          </cell>
          <cell r="L1458">
            <v>6</v>
          </cell>
          <cell r="M1458" t="e">
            <v>#VALUE!</v>
          </cell>
          <cell r="O1458" t="str">
            <v>-</v>
          </cell>
          <cell r="T1458">
            <v>1</v>
          </cell>
          <cell r="U1458" t="str">
            <v>-</v>
          </cell>
        </row>
        <row r="1459">
          <cell r="B1459" t="str">
            <v>2L6X6X7/8</v>
          </cell>
          <cell r="C1459">
            <v>19.5</v>
          </cell>
          <cell r="D1459">
            <v>6</v>
          </cell>
          <cell r="F1459" t="str">
            <v>-</v>
          </cell>
          <cell r="H1459" t="str">
            <v>-</v>
          </cell>
          <cell r="I1459" t="str">
            <v>-</v>
          </cell>
          <cell r="K1459" t="str">
            <v>-</v>
          </cell>
          <cell r="L1459">
            <v>6</v>
          </cell>
          <cell r="M1459" t="e">
            <v>#VALUE!</v>
          </cell>
          <cell r="O1459" t="str">
            <v>-</v>
          </cell>
          <cell r="T1459">
            <v>0.875</v>
          </cell>
          <cell r="U1459" t="str">
            <v>-</v>
          </cell>
        </row>
        <row r="1460">
          <cell r="B1460" t="str">
            <v>2L6X6X7/8X3/8</v>
          </cell>
          <cell r="C1460">
            <v>19.5</v>
          </cell>
          <cell r="D1460">
            <v>6</v>
          </cell>
          <cell r="F1460" t="str">
            <v>-</v>
          </cell>
          <cell r="H1460" t="str">
            <v>-</v>
          </cell>
          <cell r="I1460" t="str">
            <v>-</v>
          </cell>
          <cell r="K1460" t="str">
            <v>-</v>
          </cell>
          <cell r="L1460">
            <v>6</v>
          </cell>
          <cell r="M1460" t="e">
            <v>#VALUE!</v>
          </cell>
          <cell r="O1460" t="str">
            <v>-</v>
          </cell>
          <cell r="T1460">
            <v>0.875</v>
          </cell>
          <cell r="U1460" t="str">
            <v>-</v>
          </cell>
        </row>
        <row r="1461">
          <cell r="B1461" t="str">
            <v>2L6X6X7/8X3/4</v>
          </cell>
          <cell r="C1461">
            <v>19.5</v>
          </cell>
          <cell r="D1461">
            <v>6</v>
          </cell>
          <cell r="F1461" t="str">
            <v>-</v>
          </cell>
          <cell r="H1461" t="str">
            <v>-</v>
          </cell>
          <cell r="I1461" t="str">
            <v>-</v>
          </cell>
          <cell r="K1461" t="str">
            <v>-</v>
          </cell>
          <cell r="L1461">
            <v>6</v>
          </cell>
          <cell r="M1461" t="e">
            <v>#VALUE!</v>
          </cell>
          <cell r="O1461" t="str">
            <v>-</v>
          </cell>
          <cell r="T1461">
            <v>0.875</v>
          </cell>
          <cell r="U1461" t="str">
            <v>-</v>
          </cell>
        </row>
        <row r="1462">
          <cell r="B1462" t="str">
            <v>2L6X6X3/4</v>
          </cell>
          <cell r="C1462">
            <v>16.899999999999999</v>
          </cell>
          <cell r="D1462">
            <v>6</v>
          </cell>
          <cell r="F1462" t="str">
            <v>-</v>
          </cell>
          <cell r="H1462" t="str">
            <v>-</v>
          </cell>
          <cell r="I1462" t="str">
            <v>-</v>
          </cell>
          <cell r="K1462" t="str">
            <v>-</v>
          </cell>
          <cell r="L1462">
            <v>6</v>
          </cell>
          <cell r="M1462" t="e">
            <v>#VALUE!</v>
          </cell>
          <cell r="O1462" t="str">
            <v>-</v>
          </cell>
          <cell r="T1462">
            <v>0.75</v>
          </cell>
          <cell r="U1462" t="str">
            <v>-</v>
          </cell>
        </row>
        <row r="1463">
          <cell r="B1463" t="str">
            <v>2L6X6X3/4X3/8</v>
          </cell>
          <cell r="C1463">
            <v>16.899999999999999</v>
          </cell>
          <cell r="D1463">
            <v>6</v>
          </cell>
          <cell r="F1463" t="str">
            <v>-</v>
          </cell>
          <cell r="H1463" t="str">
            <v>-</v>
          </cell>
          <cell r="I1463" t="str">
            <v>-</v>
          </cell>
          <cell r="K1463" t="str">
            <v>-</v>
          </cell>
          <cell r="L1463">
            <v>6</v>
          </cell>
          <cell r="M1463" t="e">
            <v>#VALUE!</v>
          </cell>
          <cell r="O1463" t="str">
            <v>-</v>
          </cell>
          <cell r="T1463">
            <v>0.75</v>
          </cell>
          <cell r="U1463" t="str">
            <v>-</v>
          </cell>
        </row>
        <row r="1464">
          <cell r="B1464" t="str">
            <v>2L6X6X3/4X3/4</v>
          </cell>
          <cell r="C1464">
            <v>16.899999999999999</v>
          </cell>
          <cell r="D1464">
            <v>6</v>
          </cell>
          <cell r="F1464" t="str">
            <v>-</v>
          </cell>
          <cell r="H1464" t="str">
            <v>-</v>
          </cell>
          <cell r="I1464" t="str">
            <v>-</v>
          </cell>
          <cell r="K1464" t="str">
            <v>-</v>
          </cell>
          <cell r="L1464">
            <v>6</v>
          </cell>
          <cell r="M1464" t="e">
            <v>#VALUE!</v>
          </cell>
          <cell r="O1464" t="str">
            <v>-</v>
          </cell>
          <cell r="T1464">
            <v>0.75</v>
          </cell>
          <cell r="U1464" t="str">
            <v>-</v>
          </cell>
        </row>
        <row r="1465">
          <cell r="B1465" t="str">
            <v>2L6X6X5/8</v>
          </cell>
          <cell r="C1465">
            <v>14.3</v>
          </cell>
          <cell r="D1465">
            <v>6</v>
          </cell>
          <cell r="F1465" t="str">
            <v>-</v>
          </cell>
          <cell r="H1465" t="str">
            <v>-</v>
          </cell>
          <cell r="I1465" t="str">
            <v>-</v>
          </cell>
          <cell r="K1465" t="str">
            <v>-</v>
          </cell>
          <cell r="L1465">
            <v>6</v>
          </cell>
          <cell r="M1465" t="e">
            <v>#VALUE!</v>
          </cell>
          <cell r="O1465" t="str">
            <v>-</v>
          </cell>
          <cell r="T1465">
            <v>0.625</v>
          </cell>
          <cell r="U1465" t="str">
            <v>-</v>
          </cell>
        </row>
        <row r="1466">
          <cell r="B1466" t="str">
            <v>2L6X6X5/8X3/8</v>
          </cell>
          <cell r="C1466">
            <v>14.3</v>
          </cell>
          <cell r="D1466">
            <v>6</v>
          </cell>
          <cell r="F1466" t="str">
            <v>-</v>
          </cell>
          <cell r="H1466" t="str">
            <v>-</v>
          </cell>
          <cell r="I1466" t="str">
            <v>-</v>
          </cell>
          <cell r="K1466" t="str">
            <v>-</v>
          </cell>
          <cell r="L1466">
            <v>6</v>
          </cell>
          <cell r="M1466" t="e">
            <v>#VALUE!</v>
          </cell>
          <cell r="O1466" t="str">
            <v>-</v>
          </cell>
          <cell r="T1466">
            <v>0.625</v>
          </cell>
          <cell r="U1466" t="str">
            <v>-</v>
          </cell>
        </row>
        <row r="1467">
          <cell r="B1467" t="str">
            <v>2L6X6X5/8X3/4</v>
          </cell>
          <cell r="C1467">
            <v>14.3</v>
          </cell>
          <cell r="D1467">
            <v>6</v>
          </cell>
          <cell r="F1467" t="str">
            <v>-</v>
          </cell>
          <cell r="H1467" t="str">
            <v>-</v>
          </cell>
          <cell r="I1467" t="str">
            <v>-</v>
          </cell>
          <cell r="K1467" t="str">
            <v>-</v>
          </cell>
          <cell r="L1467">
            <v>6</v>
          </cell>
          <cell r="M1467" t="e">
            <v>#VALUE!</v>
          </cell>
          <cell r="O1467" t="str">
            <v>-</v>
          </cell>
          <cell r="T1467">
            <v>0.625</v>
          </cell>
          <cell r="U1467" t="str">
            <v>-</v>
          </cell>
        </row>
        <row r="1468">
          <cell r="B1468" t="str">
            <v>2L6X6X9/16</v>
          </cell>
          <cell r="C1468">
            <v>12.9</v>
          </cell>
          <cell r="D1468">
            <v>6</v>
          </cell>
          <cell r="F1468" t="str">
            <v>-</v>
          </cell>
          <cell r="H1468" t="str">
            <v>-</v>
          </cell>
          <cell r="I1468" t="str">
            <v>-</v>
          </cell>
          <cell r="K1468" t="str">
            <v>-</v>
          </cell>
          <cell r="L1468">
            <v>6</v>
          </cell>
          <cell r="M1468" t="e">
            <v>#VALUE!</v>
          </cell>
          <cell r="O1468" t="str">
            <v>-</v>
          </cell>
          <cell r="T1468">
            <v>0.56299999999999994</v>
          </cell>
          <cell r="U1468" t="str">
            <v>-</v>
          </cell>
        </row>
        <row r="1469">
          <cell r="B1469" t="str">
            <v>2L6X6X9/16X3/8</v>
          </cell>
          <cell r="C1469">
            <v>12.9</v>
          </cell>
          <cell r="D1469">
            <v>6</v>
          </cell>
          <cell r="F1469" t="str">
            <v>-</v>
          </cell>
          <cell r="H1469" t="str">
            <v>-</v>
          </cell>
          <cell r="I1469" t="str">
            <v>-</v>
          </cell>
          <cell r="K1469" t="str">
            <v>-</v>
          </cell>
          <cell r="L1469">
            <v>6</v>
          </cell>
          <cell r="M1469" t="e">
            <v>#VALUE!</v>
          </cell>
          <cell r="O1469" t="str">
            <v>-</v>
          </cell>
          <cell r="T1469">
            <v>0.56299999999999994</v>
          </cell>
          <cell r="U1469" t="str">
            <v>-</v>
          </cell>
        </row>
        <row r="1470">
          <cell r="B1470" t="str">
            <v>2L6X6X9/16X3/4</v>
          </cell>
          <cell r="C1470">
            <v>12.9</v>
          </cell>
          <cell r="D1470">
            <v>6</v>
          </cell>
          <cell r="F1470" t="str">
            <v>-</v>
          </cell>
          <cell r="H1470" t="str">
            <v>-</v>
          </cell>
          <cell r="I1470" t="str">
            <v>-</v>
          </cell>
          <cell r="K1470" t="str">
            <v>-</v>
          </cell>
          <cell r="L1470">
            <v>6</v>
          </cell>
          <cell r="M1470" t="e">
            <v>#VALUE!</v>
          </cell>
          <cell r="O1470" t="str">
            <v>-</v>
          </cell>
          <cell r="T1470">
            <v>0.56299999999999994</v>
          </cell>
          <cell r="U1470" t="str">
            <v>-</v>
          </cell>
        </row>
        <row r="1471">
          <cell r="B1471" t="str">
            <v>2L6X6X1/2</v>
          </cell>
          <cell r="C1471">
            <v>11.5</v>
          </cell>
          <cell r="D1471">
            <v>6</v>
          </cell>
          <cell r="F1471" t="str">
            <v>-</v>
          </cell>
          <cell r="H1471" t="str">
            <v>-</v>
          </cell>
          <cell r="I1471" t="str">
            <v>-</v>
          </cell>
          <cell r="K1471" t="str">
            <v>-</v>
          </cell>
          <cell r="L1471">
            <v>6</v>
          </cell>
          <cell r="M1471" t="e">
            <v>#VALUE!</v>
          </cell>
          <cell r="O1471" t="str">
            <v>-</v>
          </cell>
          <cell r="T1471">
            <v>0.5</v>
          </cell>
          <cell r="U1471" t="str">
            <v>-</v>
          </cell>
        </row>
        <row r="1472">
          <cell r="B1472" t="str">
            <v>2L6X6X1/2X3/8</v>
          </cell>
          <cell r="C1472">
            <v>11.5</v>
          </cell>
          <cell r="D1472">
            <v>6</v>
          </cell>
          <cell r="F1472" t="str">
            <v>-</v>
          </cell>
          <cell r="H1472" t="str">
            <v>-</v>
          </cell>
          <cell r="I1472" t="str">
            <v>-</v>
          </cell>
          <cell r="K1472" t="str">
            <v>-</v>
          </cell>
          <cell r="L1472">
            <v>6</v>
          </cell>
          <cell r="M1472" t="e">
            <v>#VALUE!</v>
          </cell>
          <cell r="O1472" t="str">
            <v>-</v>
          </cell>
          <cell r="T1472">
            <v>0.5</v>
          </cell>
          <cell r="U1472" t="str">
            <v>-</v>
          </cell>
        </row>
        <row r="1473">
          <cell r="B1473" t="str">
            <v>2L6X6X1/2X3/4</v>
          </cell>
          <cell r="C1473">
            <v>11.5</v>
          </cell>
          <cell r="D1473">
            <v>6</v>
          </cell>
          <cell r="F1473" t="str">
            <v>-</v>
          </cell>
          <cell r="H1473" t="str">
            <v>-</v>
          </cell>
          <cell r="I1473" t="str">
            <v>-</v>
          </cell>
          <cell r="K1473" t="str">
            <v>-</v>
          </cell>
          <cell r="L1473">
            <v>6</v>
          </cell>
          <cell r="M1473" t="e">
            <v>#VALUE!</v>
          </cell>
          <cell r="O1473" t="str">
            <v>-</v>
          </cell>
          <cell r="T1473">
            <v>0.5</v>
          </cell>
          <cell r="U1473" t="str">
            <v>-</v>
          </cell>
        </row>
        <row r="1474">
          <cell r="B1474" t="str">
            <v>2L6X6X7/16</v>
          </cell>
          <cell r="C1474">
            <v>10.199999999999999</v>
          </cell>
          <cell r="D1474">
            <v>6</v>
          </cell>
          <cell r="F1474" t="str">
            <v>-</v>
          </cell>
          <cell r="H1474" t="str">
            <v>-</v>
          </cell>
          <cell r="I1474" t="str">
            <v>-</v>
          </cell>
          <cell r="K1474" t="str">
            <v>-</v>
          </cell>
          <cell r="L1474">
            <v>6</v>
          </cell>
          <cell r="M1474" t="e">
            <v>#VALUE!</v>
          </cell>
          <cell r="O1474" t="str">
            <v>-</v>
          </cell>
          <cell r="T1474">
            <v>0.438</v>
          </cell>
          <cell r="U1474" t="str">
            <v>-</v>
          </cell>
        </row>
        <row r="1475">
          <cell r="B1475" t="str">
            <v>2L6X6X7/16X3/8</v>
          </cell>
          <cell r="C1475">
            <v>10.199999999999999</v>
          </cell>
          <cell r="D1475">
            <v>6</v>
          </cell>
          <cell r="F1475" t="str">
            <v>-</v>
          </cell>
          <cell r="H1475" t="str">
            <v>-</v>
          </cell>
          <cell r="I1475" t="str">
            <v>-</v>
          </cell>
          <cell r="K1475" t="str">
            <v>-</v>
          </cell>
          <cell r="L1475">
            <v>6</v>
          </cell>
          <cell r="M1475" t="e">
            <v>#VALUE!</v>
          </cell>
          <cell r="O1475" t="str">
            <v>-</v>
          </cell>
          <cell r="T1475">
            <v>0.438</v>
          </cell>
          <cell r="U1475" t="str">
            <v>-</v>
          </cell>
        </row>
        <row r="1476">
          <cell r="B1476" t="str">
            <v>2L6X6X7/16X3/4</v>
          </cell>
          <cell r="C1476">
            <v>10.199999999999999</v>
          </cell>
          <cell r="D1476">
            <v>6</v>
          </cell>
          <cell r="F1476" t="str">
            <v>-</v>
          </cell>
          <cell r="H1476" t="str">
            <v>-</v>
          </cell>
          <cell r="I1476" t="str">
            <v>-</v>
          </cell>
          <cell r="K1476" t="str">
            <v>-</v>
          </cell>
          <cell r="L1476">
            <v>6</v>
          </cell>
          <cell r="M1476" t="e">
            <v>#VALUE!</v>
          </cell>
          <cell r="O1476" t="str">
            <v>-</v>
          </cell>
          <cell r="T1476">
            <v>0.438</v>
          </cell>
          <cell r="U1476" t="str">
            <v>-</v>
          </cell>
        </row>
        <row r="1477">
          <cell r="B1477" t="str">
            <v>2L6X6X3/8</v>
          </cell>
          <cell r="C1477">
            <v>8.76</v>
          </cell>
          <cell r="D1477">
            <v>6</v>
          </cell>
          <cell r="F1477" t="str">
            <v>-</v>
          </cell>
          <cell r="H1477" t="str">
            <v>-</v>
          </cell>
          <cell r="I1477" t="str">
            <v>-</v>
          </cell>
          <cell r="K1477" t="str">
            <v>-</v>
          </cell>
          <cell r="L1477">
            <v>6</v>
          </cell>
          <cell r="M1477" t="e">
            <v>#VALUE!</v>
          </cell>
          <cell r="O1477" t="str">
            <v>-</v>
          </cell>
          <cell r="T1477">
            <v>0.375</v>
          </cell>
          <cell r="U1477" t="str">
            <v>-</v>
          </cell>
        </row>
        <row r="1478">
          <cell r="B1478" t="str">
            <v>2L6X6X3/8X3/8</v>
          </cell>
          <cell r="C1478">
            <v>8.76</v>
          </cell>
          <cell r="D1478">
            <v>6</v>
          </cell>
          <cell r="F1478" t="str">
            <v>-</v>
          </cell>
          <cell r="H1478" t="str">
            <v>-</v>
          </cell>
          <cell r="I1478" t="str">
            <v>-</v>
          </cell>
          <cell r="K1478" t="str">
            <v>-</v>
          </cell>
          <cell r="L1478">
            <v>6</v>
          </cell>
          <cell r="M1478" t="e">
            <v>#VALUE!</v>
          </cell>
          <cell r="O1478" t="str">
            <v>-</v>
          </cell>
          <cell r="T1478">
            <v>0.375</v>
          </cell>
          <cell r="U1478" t="str">
            <v>-</v>
          </cell>
        </row>
        <row r="1479">
          <cell r="B1479" t="str">
            <v>2L6X6X3/8X3/4</v>
          </cell>
          <cell r="C1479">
            <v>8.76</v>
          </cell>
          <cell r="D1479">
            <v>6</v>
          </cell>
          <cell r="F1479" t="str">
            <v>-</v>
          </cell>
          <cell r="H1479" t="str">
            <v>-</v>
          </cell>
          <cell r="I1479" t="str">
            <v>-</v>
          </cell>
          <cell r="K1479" t="str">
            <v>-</v>
          </cell>
          <cell r="L1479">
            <v>6</v>
          </cell>
          <cell r="M1479" t="e">
            <v>#VALUE!</v>
          </cell>
          <cell r="O1479" t="str">
            <v>-</v>
          </cell>
          <cell r="T1479">
            <v>0.375</v>
          </cell>
          <cell r="U1479" t="str">
            <v>-</v>
          </cell>
        </row>
        <row r="1480">
          <cell r="B1480" t="str">
            <v>2L6X6X5/16</v>
          </cell>
          <cell r="C1480">
            <v>7.34</v>
          </cell>
          <cell r="D1480">
            <v>6</v>
          </cell>
          <cell r="F1480" t="str">
            <v>-</v>
          </cell>
          <cell r="H1480" t="str">
            <v>-</v>
          </cell>
          <cell r="I1480" t="str">
            <v>-</v>
          </cell>
          <cell r="K1480" t="str">
            <v>-</v>
          </cell>
          <cell r="L1480">
            <v>6</v>
          </cell>
          <cell r="M1480" t="e">
            <v>#VALUE!</v>
          </cell>
          <cell r="O1480" t="str">
            <v>-</v>
          </cell>
          <cell r="T1480">
            <v>0.313</v>
          </cell>
          <cell r="U1480" t="str">
            <v>-</v>
          </cell>
        </row>
        <row r="1481">
          <cell r="B1481" t="str">
            <v>2L6X6X5/16X3/8</v>
          </cell>
          <cell r="C1481">
            <v>7.34</v>
          </cell>
          <cell r="D1481">
            <v>6</v>
          </cell>
          <cell r="F1481" t="str">
            <v>-</v>
          </cell>
          <cell r="H1481" t="str">
            <v>-</v>
          </cell>
          <cell r="I1481" t="str">
            <v>-</v>
          </cell>
          <cell r="K1481" t="str">
            <v>-</v>
          </cell>
          <cell r="L1481">
            <v>6</v>
          </cell>
          <cell r="M1481" t="e">
            <v>#VALUE!</v>
          </cell>
          <cell r="O1481" t="str">
            <v>-</v>
          </cell>
          <cell r="T1481">
            <v>0.313</v>
          </cell>
          <cell r="U1481" t="str">
            <v>-</v>
          </cell>
        </row>
        <row r="1482">
          <cell r="B1482" t="str">
            <v>2L6X6X5/16X3/4</v>
          </cell>
          <cell r="C1482">
            <v>7.34</v>
          </cell>
          <cell r="D1482">
            <v>6</v>
          </cell>
          <cell r="F1482" t="str">
            <v>-</v>
          </cell>
          <cell r="H1482" t="str">
            <v>-</v>
          </cell>
          <cell r="I1482" t="str">
            <v>-</v>
          </cell>
          <cell r="K1482" t="str">
            <v>-</v>
          </cell>
          <cell r="L1482">
            <v>6</v>
          </cell>
          <cell r="M1482" t="e">
            <v>#VALUE!</v>
          </cell>
          <cell r="O1482" t="str">
            <v>-</v>
          </cell>
          <cell r="T1482">
            <v>0.313</v>
          </cell>
          <cell r="U1482" t="str">
            <v>-</v>
          </cell>
        </row>
        <row r="1483">
          <cell r="B1483" t="str">
            <v>2L5X5X7/8</v>
          </cell>
          <cell r="C1483">
            <v>16</v>
          </cell>
          <cell r="D1483">
            <v>5</v>
          </cell>
          <cell r="F1483" t="str">
            <v>-</v>
          </cell>
          <cell r="H1483" t="str">
            <v>-</v>
          </cell>
          <cell r="I1483" t="str">
            <v>-</v>
          </cell>
          <cell r="K1483" t="str">
            <v>-</v>
          </cell>
          <cell r="L1483">
            <v>5</v>
          </cell>
          <cell r="M1483" t="e">
            <v>#VALUE!</v>
          </cell>
          <cell r="O1483" t="str">
            <v>-</v>
          </cell>
          <cell r="T1483">
            <v>0.875</v>
          </cell>
          <cell r="U1483" t="str">
            <v>-</v>
          </cell>
        </row>
        <row r="1484">
          <cell r="B1484" t="str">
            <v>2L5X5X7/8X3/8</v>
          </cell>
          <cell r="C1484">
            <v>16</v>
          </cell>
          <cell r="D1484">
            <v>5</v>
          </cell>
          <cell r="F1484" t="str">
            <v>-</v>
          </cell>
          <cell r="H1484" t="str">
            <v>-</v>
          </cell>
          <cell r="I1484" t="str">
            <v>-</v>
          </cell>
          <cell r="K1484" t="str">
            <v>-</v>
          </cell>
          <cell r="L1484">
            <v>5</v>
          </cell>
          <cell r="M1484" t="e">
            <v>#VALUE!</v>
          </cell>
          <cell r="O1484" t="str">
            <v>-</v>
          </cell>
          <cell r="T1484">
            <v>0.875</v>
          </cell>
          <cell r="U1484" t="str">
            <v>-</v>
          </cell>
        </row>
        <row r="1485">
          <cell r="B1485" t="str">
            <v>2L5X5X7/8X3/4</v>
          </cell>
          <cell r="C1485">
            <v>16</v>
          </cell>
          <cell r="D1485">
            <v>5</v>
          </cell>
          <cell r="F1485" t="str">
            <v>-</v>
          </cell>
          <cell r="H1485" t="str">
            <v>-</v>
          </cell>
          <cell r="I1485" t="str">
            <v>-</v>
          </cell>
          <cell r="K1485" t="str">
            <v>-</v>
          </cell>
          <cell r="L1485">
            <v>5</v>
          </cell>
          <cell r="M1485" t="e">
            <v>#VALUE!</v>
          </cell>
          <cell r="O1485" t="str">
            <v>-</v>
          </cell>
          <cell r="T1485">
            <v>0.875</v>
          </cell>
          <cell r="U1485" t="str">
            <v>-</v>
          </cell>
        </row>
        <row r="1486">
          <cell r="B1486" t="str">
            <v>2L5X5X3/4</v>
          </cell>
          <cell r="C1486">
            <v>14</v>
          </cell>
          <cell r="D1486">
            <v>5</v>
          </cell>
          <cell r="F1486" t="str">
            <v>-</v>
          </cell>
          <cell r="H1486" t="str">
            <v>-</v>
          </cell>
          <cell r="I1486" t="str">
            <v>-</v>
          </cell>
          <cell r="K1486" t="str">
            <v>-</v>
          </cell>
          <cell r="L1486">
            <v>5</v>
          </cell>
          <cell r="M1486" t="e">
            <v>#VALUE!</v>
          </cell>
          <cell r="O1486" t="str">
            <v>-</v>
          </cell>
          <cell r="T1486">
            <v>0.75</v>
          </cell>
          <cell r="U1486" t="str">
            <v>-</v>
          </cell>
        </row>
        <row r="1487">
          <cell r="B1487" t="str">
            <v>2L5X5X3/4X3/8</v>
          </cell>
          <cell r="C1487">
            <v>14</v>
          </cell>
          <cell r="D1487">
            <v>5</v>
          </cell>
          <cell r="F1487" t="str">
            <v>-</v>
          </cell>
          <cell r="H1487" t="str">
            <v>-</v>
          </cell>
          <cell r="I1487" t="str">
            <v>-</v>
          </cell>
          <cell r="K1487" t="str">
            <v>-</v>
          </cell>
          <cell r="L1487">
            <v>5</v>
          </cell>
          <cell r="M1487" t="e">
            <v>#VALUE!</v>
          </cell>
          <cell r="O1487" t="str">
            <v>-</v>
          </cell>
          <cell r="T1487">
            <v>0.75</v>
          </cell>
          <cell r="U1487" t="str">
            <v>-</v>
          </cell>
        </row>
        <row r="1488">
          <cell r="B1488" t="str">
            <v>2L5X5X3/4X3/4</v>
          </cell>
          <cell r="C1488">
            <v>14</v>
          </cell>
          <cell r="D1488">
            <v>5</v>
          </cell>
          <cell r="F1488" t="str">
            <v>-</v>
          </cell>
          <cell r="H1488" t="str">
            <v>-</v>
          </cell>
          <cell r="I1488" t="str">
            <v>-</v>
          </cell>
          <cell r="K1488" t="str">
            <v>-</v>
          </cell>
          <cell r="L1488">
            <v>5</v>
          </cell>
          <cell r="M1488" t="e">
            <v>#VALUE!</v>
          </cell>
          <cell r="O1488" t="str">
            <v>-</v>
          </cell>
          <cell r="T1488">
            <v>0.75</v>
          </cell>
          <cell r="U1488" t="str">
            <v>-</v>
          </cell>
        </row>
        <row r="1489">
          <cell r="B1489" t="str">
            <v>2L5X5X5/8</v>
          </cell>
          <cell r="C1489">
            <v>11.8</v>
          </cell>
          <cell r="D1489">
            <v>5</v>
          </cell>
          <cell r="F1489" t="str">
            <v>-</v>
          </cell>
          <cell r="H1489" t="str">
            <v>-</v>
          </cell>
          <cell r="I1489" t="str">
            <v>-</v>
          </cell>
          <cell r="K1489" t="str">
            <v>-</v>
          </cell>
          <cell r="L1489">
            <v>5</v>
          </cell>
          <cell r="M1489" t="e">
            <v>#VALUE!</v>
          </cell>
          <cell r="O1489" t="str">
            <v>-</v>
          </cell>
          <cell r="T1489">
            <v>0.625</v>
          </cell>
          <cell r="U1489" t="str">
            <v>-</v>
          </cell>
        </row>
        <row r="1490">
          <cell r="B1490" t="str">
            <v>2L5X5X5/8X3/8</v>
          </cell>
          <cell r="C1490">
            <v>11.8</v>
          </cell>
          <cell r="D1490">
            <v>5</v>
          </cell>
          <cell r="F1490" t="str">
            <v>-</v>
          </cell>
          <cell r="H1490" t="str">
            <v>-</v>
          </cell>
          <cell r="I1490" t="str">
            <v>-</v>
          </cell>
          <cell r="K1490" t="str">
            <v>-</v>
          </cell>
          <cell r="L1490">
            <v>5</v>
          </cell>
          <cell r="M1490" t="e">
            <v>#VALUE!</v>
          </cell>
          <cell r="O1490" t="str">
            <v>-</v>
          </cell>
          <cell r="T1490">
            <v>0.625</v>
          </cell>
          <cell r="U1490" t="str">
            <v>-</v>
          </cell>
        </row>
        <row r="1491">
          <cell r="B1491" t="str">
            <v>2L5X5X5/8X3/4</v>
          </cell>
          <cell r="C1491">
            <v>11.8</v>
          </cell>
          <cell r="D1491">
            <v>5</v>
          </cell>
          <cell r="F1491" t="str">
            <v>-</v>
          </cell>
          <cell r="H1491" t="str">
            <v>-</v>
          </cell>
          <cell r="I1491" t="str">
            <v>-</v>
          </cell>
          <cell r="K1491" t="str">
            <v>-</v>
          </cell>
          <cell r="L1491">
            <v>5</v>
          </cell>
          <cell r="M1491" t="e">
            <v>#VALUE!</v>
          </cell>
          <cell r="O1491" t="str">
            <v>-</v>
          </cell>
          <cell r="T1491">
            <v>0.625</v>
          </cell>
          <cell r="U1491" t="str">
            <v>-</v>
          </cell>
        </row>
        <row r="1492">
          <cell r="B1492" t="str">
            <v>2L5X5X1/2</v>
          </cell>
          <cell r="C1492">
            <v>9.58</v>
          </cell>
          <cell r="D1492">
            <v>5</v>
          </cell>
          <cell r="F1492" t="str">
            <v>-</v>
          </cell>
          <cell r="H1492" t="str">
            <v>-</v>
          </cell>
          <cell r="I1492" t="str">
            <v>-</v>
          </cell>
          <cell r="K1492" t="str">
            <v>-</v>
          </cell>
          <cell r="L1492">
            <v>5</v>
          </cell>
          <cell r="M1492" t="e">
            <v>#VALUE!</v>
          </cell>
          <cell r="O1492" t="str">
            <v>-</v>
          </cell>
          <cell r="T1492">
            <v>0.5</v>
          </cell>
          <cell r="U1492" t="str">
            <v>-</v>
          </cell>
        </row>
        <row r="1493">
          <cell r="B1493" t="str">
            <v>2L5X5X1/2X3/8</v>
          </cell>
          <cell r="C1493">
            <v>9.58</v>
          </cell>
          <cell r="D1493">
            <v>5</v>
          </cell>
          <cell r="F1493" t="str">
            <v>-</v>
          </cell>
          <cell r="H1493" t="str">
            <v>-</v>
          </cell>
          <cell r="I1493" t="str">
            <v>-</v>
          </cell>
          <cell r="K1493" t="str">
            <v>-</v>
          </cell>
          <cell r="L1493">
            <v>5</v>
          </cell>
          <cell r="M1493" t="e">
            <v>#VALUE!</v>
          </cell>
          <cell r="O1493" t="str">
            <v>-</v>
          </cell>
          <cell r="T1493">
            <v>0.5</v>
          </cell>
          <cell r="U1493" t="str">
            <v>-</v>
          </cell>
        </row>
        <row r="1494">
          <cell r="B1494" t="str">
            <v>2L5X5X1/2X3/4</v>
          </cell>
          <cell r="C1494">
            <v>9.58</v>
          </cell>
          <cell r="D1494">
            <v>5</v>
          </cell>
          <cell r="F1494" t="str">
            <v>-</v>
          </cell>
          <cell r="H1494" t="str">
            <v>-</v>
          </cell>
          <cell r="I1494" t="str">
            <v>-</v>
          </cell>
          <cell r="K1494" t="str">
            <v>-</v>
          </cell>
          <cell r="L1494">
            <v>5</v>
          </cell>
          <cell r="M1494" t="e">
            <v>#VALUE!</v>
          </cell>
          <cell r="O1494" t="str">
            <v>-</v>
          </cell>
          <cell r="T1494">
            <v>0.5</v>
          </cell>
          <cell r="U1494" t="str">
            <v>-</v>
          </cell>
        </row>
        <row r="1495">
          <cell r="B1495" t="str">
            <v>2L5X5X7/16</v>
          </cell>
          <cell r="C1495">
            <v>8.44</v>
          </cell>
          <cell r="D1495">
            <v>5</v>
          </cell>
          <cell r="F1495" t="str">
            <v>-</v>
          </cell>
          <cell r="H1495" t="str">
            <v>-</v>
          </cell>
          <cell r="I1495" t="str">
            <v>-</v>
          </cell>
          <cell r="K1495" t="str">
            <v>-</v>
          </cell>
          <cell r="L1495">
            <v>5</v>
          </cell>
          <cell r="M1495" t="e">
            <v>#VALUE!</v>
          </cell>
          <cell r="O1495" t="str">
            <v>-</v>
          </cell>
          <cell r="T1495">
            <v>0.438</v>
          </cell>
          <cell r="U1495" t="str">
            <v>-</v>
          </cell>
        </row>
        <row r="1496">
          <cell r="B1496" t="str">
            <v>2L5X5X7/16X3/8</v>
          </cell>
          <cell r="C1496">
            <v>8.44</v>
          </cell>
          <cell r="D1496">
            <v>5</v>
          </cell>
          <cell r="F1496" t="str">
            <v>-</v>
          </cell>
          <cell r="H1496" t="str">
            <v>-</v>
          </cell>
          <cell r="I1496" t="str">
            <v>-</v>
          </cell>
          <cell r="K1496" t="str">
            <v>-</v>
          </cell>
          <cell r="L1496">
            <v>5</v>
          </cell>
          <cell r="M1496" t="e">
            <v>#VALUE!</v>
          </cell>
          <cell r="O1496" t="str">
            <v>-</v>
          </cell>
          <cell r="T1496">
            <v>0.438</v>
          </cell>
          <cell r="U1496" t="str">
            <v>-</v>
          </cell>
        </row>
        <row r="1497">
          <cell r="B1497" t="str">
            <v>2L5X5X7/16X3/4</v>
          </cell>
          <cell r="C1497">
            <v>8.44</v>
          </cell>
          <cell r="D1497">
            <v>5</v>
          </cell>
          <cell r="F1497" t="str">
            <v>-</v>
          </cell>
          <cell r="H1497" t="str">
            <v>-</v>
          </cell>
          <cell r="I1497" t="str">
            <v>-</v>
          </cell>
          <cell r="K1497" t="str">
            <v>-</v>
          </cell>
          <cell r="L1497">
            <v>5</v>
          </cell>
          <cell r="M1497" t="e">
            <v>#VALUE!</v>
          </cell>
          <cell r="O1497" t="str">
            <v>-</v>
          </cell>
          <cell r="T1497">
            <v>0.438</v>
          </cell>
          <cell r="U1497" t="str">
            <v>-</v>
          </cell>
        </row>
        <row r="1498">
          <cell r="B1498" t="str">
            <v>2L5X5X3/8</v>
          </cell>
          <cell r="C1498">
            <v>7.3</v>
          </cell>
          <cell r="D1498">
            <v>5</v>
          </cell>
          <cell r="F1498" t="str">
            <v>-</v>
          </cell>
          <cell r="H1498" t="str">
            <v>-</v>
          </cell>
          <cell r="I1498" t="str">
            <v>-</v>
          </cell>
          <cell r="K1498" t="str">
            <v>-</v>
          </cell>
          <cell r="L1498">
            <v>5</v>
          </cell>
          <cell r="M1498" t="e">
            <v>#VALUE!</v>
          </cell>
          <cell r="O1498" t="str">
            <v>-</v>
          </cell>
          <cell r="T1498">
            <v>0.375</v>
          </cell>
          <cell r="U1498" t="str">
            <v>-</v>
          </cell>
        </row>
        <row r="1499">
          <cell r="B1499" t="str">
            <v>2L5X5X3/8X3/8</v>
          </cell>
          <cell r="C1499">
            <v>7.3</v>
          </cell>
          <cell r="D1499">
            <v>5</v>
          </cell>
          <cell r="F1499" t="str">
            <v>-</v>
          </cell>
          <cell r="H1499" t="str">
            <v>-</v>
          </cell>
          <cell r="I1499" t="str">
            <v>-</v>
          </cell>
          <cell r="K1499" t="str">
            <v>-</v>
          </cell>
          <cell r="L1499">
            <v>5</v>
          </cell>
          <cell r="M1499" t="e">
            <v>#VALUE!</v>
          </cell>
          <cell r="O1499" t="str">
            <v>-</v>
          </cell>
          <cell r="T1499">
            <v>0.375</v>
          </cell>
          <cell r="U1499" t="str">
            <v>-</v>
          </cell>
        </row>
        <row r="1500">
          <cell r="B1500" t="str">
            <v>2L5X5X3/8X3/4</v>
          </cell>
          <cell r="C1500">
            <v>7.3</v>
          </cell>
          <cell r="D1500">
            <v>5</v>
          </cell>
          <cell r="F1500" t="str">
            <v>-</v>
          </cell>
          <cell r="H1500" t="str">
            <v>-</v>
          </cell>
          <cell r="I1500" t="str">
            <v>-</v>
          </cell>
          <cell r="K1500" t="str">
            <v>-</v>
          </cell>
          <cell r="L1500">
            <v>5</v>
          </cell>
          <cell r="M1500" t="e">
            <v>#VALUE!</v>
          </cell>
          <cell r="O1500" t="str">
            <v>-</v>
          </cell>
          <cell r="T1500">
            <v>0.375</v>
          </cell>
          <cell r="U1500" t="str">
            <v>-</v>
          </cell>
        </row>
        <row r="1501">
          <cell r="B1501" t="str">
            <v>2L5X5X5/16</v>
          </cell>
          <cell r="C1501">
            <v>6.14</v>
          </cell>
          <cell r="D1501">
            <v>5</v>
          </cell>
          <cell r="F1501" t="str">
            <v>-</v>
          </cell>
          <cell r="H1501" t="str">
            <v>-</v>
          </cell>
          <cell r="I1501" t="str">
            <v>-</v>
          </cell>
          <cell r="K1501" t="str">
            <v>-</v>
          </cell>
          <cell r="L1501">
            <v>5</v>
          </cell>
          <cell r="M1501" t="e">
            <v>#VALUE!</v>
          </cell>
          <cell r="O1501" t="str">
            <v>-</v>
          </cell>
          <cell r="T1501">
            <v>0.313</v>
          </cell>
          <cell r="U1501" t="str">
            <v>-</v>
          </cell>
        </row>
        <row r="1502">
          <cell r="B1502" t="str">
            <v>2L5X5X5/16X3/8</v>
          </cell>
          <cell r="C1502">
            <v>6.14</v>
          </cell>
          <cell r="D1502">
            <v>5</v>
          </cell>
          <cell r="F1502" t="str">
            <v>-</v>
          </cell>
          <cell r="H1502" t="str">
            <v>-</v>
          </cell>
          <cell r="I1502" t="str">
            <v>-</v>
          </cell>
          <cell r="K1502" t="str">
            <v>-</v>
          </cell>
          <cell r="L1502">
            <v>5</v>
          </cell>
          <cell r="M1502" t="e">
            <v>#VALUE!</v>
          </cell>
          <cell r="O1502" t="str">
            <v>-</v>
          </cell>
          <cell r="T1502">
            <v>0.313</v>
          </cell>
          <cell r="U1502" t="str">
            <v>-</v>
          </cell>
        </row>
        <row r="1503">
          <cell r="B1503" t="str">
            <v>2L5X5X5/16X3/4</v>
          </cell>
          <cell r="C1503">
            <v>6.14</v>
          </cell>
          <cell r="D1503">
            <v>5</v>
          </cell>
          <cell r="F1503" t="str">
            <v>-</v>
          </cell>
          <cell r="H1503" t="str">
            <v>-</v>
          </cell>
          <cell r="I1503" t="str">
            <v>-</v>
          </cell>
          <cell r="K1503" t="str">
            <v>-</v>
          </cell>
          <cell r="L1503">
            <v>5</v>
          </cell>
          <cell r="M1503" t="e">
            <v>#VALUE!</v>
          </cell>
          <cell r="O1503" t="str">
            <v>-</v>
          </cell>
          <cell r="T1503">
            <v>0.313</v>
          </cell>
          <cell r="U1503" t="str">
            <v>-</v>
          </cell>
        </row>
        <row r="1504">
          <cell r="B1504" t="str">
            <v>2L4X4X3/4</v>
          </cell>
          <cell r="C1504">
            <v>10.9</v>
          </cell>
          <cell r="D1504">
            <v>4</v>
          </cell>
          <cell r="F1504" t="str">
            <v>-</v>
          </cell>
          <cell r="H1504" t="str">
            <v>-</v>
          </cell>
          <cell r="I1504" t="str">
            <v>-</v>
          </cell>
          <cell r="K1504" t="str">
            <v>-</v>
          </cell>
          <cell r="L1504">
            <v>4</v>
          </cell>
          <cell r="M1504" t="e">
            <v>#VALUE!</v>
          </cell>
          <cell r="O1504" t="str">
            <v>-</v>
          </cell>
          <cell r="T1504">
            <v>0.75</v>
          </cell>
          <cell r="U1504" t="str">
            <v>-</v>
          </cell>
        </row>
        <row r="1505">
          <cell r="B1505" t="str">
            <v>2L4X4X3/4X3/8</v>
          </cell>
          <cell r="C1505">
            <v>10.9</v>
          </cell>
          <cell r="D1505">
            <v>4</v>
          </cell>
          <cell r="F1505" t="str">
            <v>-</v>
          </cell>
          <cell r="H1505" t="str">
            <v>-</v>
          </cell>
          <cell r="I1505" t="str">
            <v>-</v>
          </cell>
          <cell r="K1505" t="str">
            <v>-</v>
          </cell>
          <cell r="L1505">
            <v>4</v>
          </cell>
          <cell r="M1505" t="e">
            <v>#VALUE!</v>
          </cell>
          <cell r="O1505" t="str">
            <v>-</v>
          </cell>
          <cell r="T1505">
            <v>0.75</v>
          </cell>
          <cell r="U1505" t="str">
            <v>-</v>
          </cell>
        </row>
        <row r="1506">
          <cell r="B1506" t="str">
            <v>2L4X4X3/4X3/4</v>
          </cell>
          <cell r="C1506">
            <v>10.9</v>
          </cell>
          <cell r="D1506">
            <v>4</v>
          </cell>
          <cell r="F1506" t="str">
            <v>-</v>
          </cell>
          <cell r="H1506" t="str">
            <v>-</v>
          </cell>
          <cell r="I1506" t="str">
            <v>-</v>
          </cell>
          <cell r="K1506" t="str">
            <v>-</v>
          </cell>
          <cell r="L1506">
            <v>4</v>
          </cell>
          <cell r="M1506" t="e">
            <v>#VALUE!</v>
          </cell>
          <cell r="O1506" t="str">
            <v>-</v>
          </cell>
          <cell r="T1506">
            <v>0.75</v>
          </cell>
          <cell r="U1506" t="str">
            <v>-</v>
          </cell>
        </row>
        <row r="1507">
          <cell r="B1507" t="str">
            <v>2L4X4X5/8</v>
          </cell>
          <cell r="C1507">
            <v>9.2200000000000006</v>
          </cell>
          <cell r="D1507">
            <v>4</v>
          </cell>
          <cell r="F1507" t="str">
            <v>-</v>
          </cell>
          <cell r="H1507" t="str">
            <v>-</v>
          </cell>
          <cell r="I1507" t="str">
            <v>-</v>
          </cell>
          <cell r="K1507" t="str">
            <v>-</v>
          </cell>
          <cell r="L1507">
            <v>4</v>
          </cell>
          <cell r="M1507" t="e">
            <v>#VALUE!</v>
          </cell>
          <cell r="O1507" t="str">
            <v>-</v>
          </cell>
          <cell r="T1507">
            <v>0.625</v>
          </cell>
          <cell r="U1507" t="str">
            <v>-</v>
          </cell>
        </row>
        <row r="1508">
          <cell r="B1508" t="str">
            <v>2L4X4X5/8X3/8</v>
          </cell>
          <cell r="C1508">
            <v>9.2200000000000006</v>
          </cell>
          <cell r="D1508">
            <v>4</v>
          </cell>
          <cell r="F1508" t="str">
            <v>-</v>
          </cell>
          <cell r="H1508" t="str">
            <v>-</v>
          </cell>
          <cell r="I1508" t="str">
            <v>-</v>
          </cell>
          <cell r="K1508" t="str">
            <v>-</v>
          </cell>
          <cell r="L1508">
            <v>4</v>
          </cell>
          <cell r="M1508" t="e">
            <v>#VALUE!</v>
          </cell>
          <cell r="O1508" t="str">
            <v>-</v>
          </cell>
          <cell r="T1508">
            <v>0.625</v>
          </cell>
          <cell r="U1508" t="str">
            <v>-</v>
          </cell>
        </row>
        <row r="1509">
          <cell r="B1509" t="str">
            <v>2L4X4X5/8X3/4</v>
          </cell>
          <cell r="C1509">
            <v>9.2200000000000006</v>
          </cell>
          <cell r="D1509">
            <v>4</v>
          </cell>
          <cell r="F1509" t="str">
            <v>-</v>
          </cell>
          <cell r="H1509" t="str">
            <v>-</v>
          </cell>
          <cell r="I1509" t="str">
            <v>-</v>
          </cell>
          <cell r="K1509" t="str">
            <v>-</v>
          </cell>
          <cell r="L1509">
            <v>4</v>
          </cell>
          <cell r="M1509" t="e">
            <v>#VALUE!</v>
          </cell>
          <cell r="O1509" t="str">
            <v>-</v>
          </cell>
          <cell r="T1509">
            <v>0.625</v>
          </cell>
          <cell r="U1509" t="str">
            <v>-</v>
          </cell>
        </row>
        <row r="1510">
          <cell r="B1510" t="str">
            <v>2L4X4X1/2</v>
          </cell>
          <cell r="C1510">
            <v>7.5</v>
          </cell>
          <cell r="D1510">
            <v>4</v>
          </cell>
          <cell r="F1510" t="str">
            <v>-</v>
          </cell>
          <cell r="H1510" t="str">
            <v>-</v>
          </cell>
          <cell r="I1510" t="str">
            <v>-</v>
          </cell>
          <cell r="K1510" t="str">
            <v>-</v>
          </cell>
          <cell r="L1510">
            <v>4</v>
          </cell>
          <cell r="M1510" t="e">
            <v>#VALUE!</v>
          </cell>
          <cell r="O1510" t="str">
            <v>-</v>
          </cell>
          <cell r="T1510">
            <v>0.5</v>
          </cell>
          <cell r="U1510" t="str">
            <v>-</v>
          </cell>
        </row>
        <row r="1511">
          <cell r="B1511" t="str">
            <v>2L4X4X1/2X3/8</v>
          </cell>
          <cell r="C1511">
            <v>7.5</v>
          </cell>
          <cell r="D1511">
            <v>4</v>
          </cell>
          <cell r="F1511" t="str">
            <v>-</v>
          </cell>
          <cell r="H1511" t="str">
            <v>-</v>
          </cell>
          <cell r="I1511" t="str">
            <v>-</v>
          </cell>
          <cell r="K1511" t="str">
            <v>-</v>
          </cell>
          <cell r="L1511">
            <v>4</v>
          </cell>
          <cell r="M1511" t="e">
            <v>#VALUE!</v>
          </cell>
          <cell r="O1511" t="str">
            <v>-</v>
          </cell>
          <cell r="T1511">
            <v>0.5</v>
          </cell>
          <cell r="U1511" t="str">
            <v>-</v>
          </cell>
        </row>
        <row r="1512">
          <cell r="B1512" t="str">
            <v>2L4X4X1/2X3/4</v>
          </cell>
          <cell r="C1512">
            <v>7.5</v>
          </cell>
          <cell r="D1512">
            <v>4</v>
          </cell>
          <cell r="F1512" t="str">
            <v>-</v>
          </cell>
          <cell r="H1512" t="str">
            <v>-</v>
          </cell>
          <cell r="I1512" t="str">
            <v>-</v>
          </cell>
          <cell r="K1512" t="str">
            <v>-</v>
          </cell>
          <cell r="L1512">
            <v>4</v>
          </cell>
          <cell r="M1512" t="e">
            <v>#VALUE!</v>
          </cell>
          <cell r="O1512" t="str">
            <v>-</v>
          </cell>
          <cell r="T1512">
            <v>0.5</v>
          </cell>
          <cell r="U1512" t="str">
            <v>-</v>
          </cell>
        </row>
        <row r="1513">
          <cell r="B1513" t="str">
            <v>2L4X4X7/16</v>
          </cell>
          <cell r="C1513">
            <v>6.6</v>
          </cell>
          <cell r="D1513">
            <v>4</v>
          </cell>
          <cell r="F1513" t="str">
            <v>-</v>
          </cell>
          <cell r="H1513" t="str">
            <v>-</v>
          </cell>
          <cell r="I1513" t="str">
            <v>-</v>
          </cell>
          <cell r="K1513" t="str">
            <v>-</v>
          </cell>
          <cell r="L1513">
            <v>4</v>
          </cell>
          <cell r="M1513" t="e">
            <v>#VALUE!</v>
          </cell>
          <cell r="O1513" t="str">
            <v>-</v>
          </cell>
          <cell r="T1513">
            <v>0.438</v>
          </cell>
          <cell r="U1513" t="str">
            <v>-</v>
          </cell>
        </row>
        <row r="1514">
          <cell r="B1514" t="str">
            <v>2L4X4X7/16X3/8</v>
          </cell>
          <cell r="C1514">
            <v>6.6</v>
          </cell>
          <cell r="D1514">
            <v>4</v>
          </cell>
          <cell r="F1514" t="str">
            <v>-</v>
          </cell>
          <cell r="H1514" t="str">
            <v>-</v>
          </cell>
          <cell r="I1514" t="str">
            <v>-</v>
          </cell>
          <cell r="K1514" t="str">
            <v>-</v>
          </cell>
          <cell r="L1514">
            <v>4</v>
          </cell>
          <cell r="M1514" t="e">
            <v>#VALUE!</v>
          </cell>
          <cell r="O1514" t="str">
            <v>-</v>
          </cell>
          <cell r="T1514">
            <v>0.438</v>
          </cell>
          <cell r="U1514" t="str">
            <v>-</v>
          </cell>
        </row>
        <row r="1515">
          <cell r="B1515" t="str">
            <v>2L4X4X7/16X3/4</v>
          </cell>
          <cell r="C1515">
            <v>6.6</v>
          </cell>
          <cell r="D1515">
            <v>4</v>
          </cell>
          <cell r="F1515" t="str">
            <v>-</v>
          </cell>
          <cell r="H1515" t="str">
            <v>-</v>
          </cell>
          <cell r="I1515" t="str">
            <v>-</v>
          </cell>
          <cell r="K1515" t="str">
            <v>-</v>
          </cell>
          <cell r="L1515">
            <v>4</v>
          </cell>
          <cell r="M1515" t="e">
            <v>#VALUE!</v>
          </cell>
          <cell r="O1515" t="str">
            <v>-</v>
          </cell>
          <cell r="T1515">
            <v>0.438</v>
          </cell>
          <cell r="U1515" t="str">
            <v>-</v>
          </cell>
        </row>
        <row r="1516">
          <cell r="B1516" t="str">
            <v>2L4X4X3/8</v>
          </cell>
          <cell r="C1516">
            <v>5.72</v>
          </cell>
          <cell r="D1516">
            <v>4</v>
          </cell>
          <cell r="F1516" t="str">
            <v>-</v>
          </cell>
          <cell r="H1516" t="str">
            <v>-</v>
          </cell>
          <cell r="I1516" t="str">
            <v>-</v>
          </cell>
          <cell r="K1516" t="str">
            <v>-</v>
          </cell>
          <cell r="L1516">
            <v>4</v>
          </cell>
          <cell r="M1516" t="e">
            <v>#VALUE!</v>
          </cell>
          <cell r="O1516" t="str">
            <v>-</v>
          </cell>
          <cell r="T1516">
            <v>0.375</v>
          </cell>
          <cell r="U1516" t="str">
            <v>-</v>
          </cell>
        </row>
        <row r="1517">
          <cell r="B1517" t="str">
            <v>2L4X4X3/8X3/8</v>
          </cell>
          <cell r="C1517">
            <v>5.72</v>
          </cell>
          <cell r="D1517">
            <v>4</v>
          </cell>
          <cell r="F1517" t="str">
            <v>-</v>
          </cell>
          <cell r="H1517" t="str">
            <v>-</v>
          </cell>
          <cell r="I1517" t="str">
            <v>-</v>
          </cell>
          <cell r="K1517" t="str">
            <v>-</v>
          </cell>
          <cell r="L1517">
            <v>4</v>
          </cell>
          <cell r="M1517" t="e">
            <v>#VALUE!</v>
          </cell>
          <cell r="O1517" t="str">
            <v>-</v>
          </cell>
          <cell r="T1517">
            <v>0.375</v>
          </cell>
          <cell r="U1517" t="str">
            <v>-</v>
          </cell>
        </row>
        <row r="1518">
          <cell r="B1518" t="str">
            <v>2L4X4X3/8X3/4</v>
          </cell>
          <cell r="C1518">
            <v>5.72</v>
          </cell>
          <cell r="D1518">
            <v>4</v>
          </cell>
          <cell r="F1518" t="str">
            <v>-</v>
          </cell>
          <cell r="H1518" t="str">
            <v>-</v>
          </cell>
          <cell r="I1518" t="str">
            <v>-</v>
          </cell>
          <cell r="K1518" t="str">
            <v>-</v>
          </cell>
          <cell r="L1518">
            <v>4</v>
          </cell>
          <cell r="M1518" t="e">
            <v>#VALUE!</v>
          </cell>
          <cell r="O1518" t="str">
            <v>-</v>
          </cell>
          <cell r="T1518">
            <v>0.375</v>
          </cell>
          <cell r="U1518" t="str">
            <v>-</v>
          </cell>
        </row>
        <row r="1519">
          <cell r="B1519" t="str">
            <v>2L4X4X5/16</v>
          </cell>
          <cell r="C1519">
            <v>4.8</v>
          </cell>
          <cell r="D1519">
            <v>4</v>
          </cell>
          <cell r="F1519" t="str">
            <v>-</v>
          </cell>
          <cell r="H1519" t="str">
            <v>-</v>
          </cell>
          <cell r="I1519" t="str">
            <v>-</v>
          </cell>
          <cell r="K1519" t="str">
            <v>-</v>
          </cell>
          <cell r="L1519">
            <v>4</v>
          </cell>
          <cell r="M1519" t="e">
            <v>#VALUE!</v>
          </cell>
          <cell r="O1519" t="str">
            <v>-</v>
          </cell>
          <cell r="T1519">
            <v>0.313</v>
          </cell>
          <cell r="U1519" t="str">
            <v>-</v>
          </cell>
        </row>
        <row r="1520">
          <cell r="B1520" t="str">
            <v>2L4X4X5/16X3/8</v>
          </cell>
          <cell r="C1520">
            <v>4.8</v>
          </cell>
          <cell r="D1520">
            <v>4</v>
          </cell>
          <cell r="F1520" t="str">
            <v>-</v>
          </cell>
          <cell r="H1520" t="str">
            <v>-</v>
          </cell>
          <cell r="I1520" t="str">
            <v>-</v>
          </cell>
          <cell r="K1520" t="str">
            <v>-</v>
          </cell>
          <cell r="L1520">
            <v>4</v>
          </cell>
          <cell r="M1520" t="e">
            <v>#VALUE!</v>
          </cell>
          <cell r="O1520" t="str">
            <v>-</v>
          </cell>
          <cell r="T1520">
            <v>0.313</v>
          </cell>
          <cell r="U1520" t="str">
            <v>-</v>
          </cell>
        </row>
        <row r="1521">
          <cell r="B1521" t="str">
            <v>2L4X4X5/16X3/4</v>
          </cell>
          <cell r="C1521">
            <v>4.8</v>
          </cell>
          <cell r="D1521">
            <v>4</v>
          </cell>
          <cell r="F1521" t="str">
            <v>-</v>
          </cell>
          <cell r="H1521" t="str">
            <v>-</v>
          </cell>
          <cell r="I1521" t="str">
            <v>-</v>
          </cell>
          <cell r="K1521" t="str">
            <v>-</v>
          </cell>
          <cell r="L1521">
            <v>4</v>
          </cell>
          <cell r="M1521" t="e">
            <v>#VALUE!</v>
          </cell>
          <cell r="O1521" t="str">
            <v>-</v>
          </cell>
          <cell r="T1521">
            <v>0.313</v>
          </cell>
          <cell r="U1521" t="str">
            <v>-</v>
          </cell>
        </row>
        <row r="1522">
          <cell r="B1522" t="str">
            <v>2L4X4X1/4</v>
          </cell>
          <cell r="C1522">
            <v>3.86</v>
          </cell>
          <cell r="D1522">
            <v>4</v>
          </cell>
          <cell r="F1522" t="str">
            <v>-</v>
          </cell>
          <cell r="H1522" t="str">
            <v>-</v>
          </cell>
          <cell r="I1522" t="str">
            <v>-</v>
          </cell>
          <cell r="K1522" t="str">
            <v>-</v>
          </cell>
          <cell r="L1522">
            <v>4</v>
          </cell>
          <cell r="M1522" t="e">
            <v>#VALUE!</v>
          </cell>
          <cell r="O1522" t="str">
            <v>-</v>
          </cell>
          <cell r="T1522">
            <v>0.25</v>
          </cell>
          <cell r="U1522" t="str">
            <v>-</v>
          </cell>
        </row>
        <row r="1523">
          <cell r="B1523" t="str">
            <v>2L4X4X1/4X3/8</v>
          </cell>
          <cell r="C1523">
            <v>3.86</v>
          </cell>
          <cell r="D1523">
            <v>4</v>
          </cell>
          <cell r="F1523" t="str">
            <v>-</v>
          </cell>
          <cell r="H1523" t="str">
            <v>-</v>
          </cell>
          <cell r="I1523" t="str">
            <v>-</v>
          </cell>
          <cell r="K1523" t="str">
            <v>-</v>
          </cell>
          <cell r="L1523">
            <v>4</v>
          </cell>
          <cell r="M1523" t="e">
            <v>#VALUE!</v>
          </cell>
          <cell r="O1523" t="str">
            <v>-</v>
          </cell>
          <cell r="T1523">
            <v>0.25</v>
          </cell>
          <cell r="U1523" t="str">
            <v>-</v>
          </cell>
        </row>
        <row r="1524">
          <cell r="B1524" t="str">
            <v>2L4X4X1/4X3/4</v>
          </cell>
          <cell r="C1524">
            <v>3.86</v>
          </cell>
          <cell r="D1524">
            <v>4</v>
          </cell>
          <cell r="F1524" t="str">
            <v>-</v>
          </cell>
          <cell r="H1524" t="str">
            <v>-</v>
          </cell>
          <cell r="I1524" t="str">
            <v>-</v>
          </cell>
          <cell r="K1524" t="str">
            <v>-</v>
          </cell>
          <cell r="L1524">
            <v>4</v>
          </cell>
          <cell r="M1524" t="e">
            <v>#VALUE!</v>
          </cell>
          <cell r="O1524" t="str">
            <v>-</v>
          </cell>
          <cell r="T1524">
            <v>0.25</v>
          </cell>
          <cell r="U1524" t="str">
            <v>-</v>
          </cell>
        </row>
        <row r="1525">
          <cell r="B1525" t="str">
            <v>2L3-1/2X3-1/2X1/2</v>
          </cell>
          <cell r="C1525">
            <v>6.5</v>
          </cell>
          <cell r="D1525">
            <v>3.5</v>
          </cell>
          <cell r="F1525" t="str">
            <v>-</v>
          </cell>
          <cell r="H1525" t="str">
            <v>-</v>
          </cell>
          <cell r="I1525" t="str">
            <v>-</v>
          </cell>
          <cell r="K1525" t="str">
            <v>-</v>
          </cell>
          <cell r="L1525">
            <v>3.5</v>
          </cell>
          <cell r="M1525" t="e">
            <v>#VALUE!</v>
          </cell>
          <cell r="O1525" t="str">
            <v>-</v>
          </cell>
          <cell r="T1525">
            <v>0.5</v>
          </cell>
          <cell r="U1525" t="str">
            <v>-</v>
          </cell>
        </row>
        <row r="1526">
          <cell r="B1526" t="str">
            <v>2L3-1/2X3-1/2X1/2X3/8</v>
          </cell>
          <cell r="C1526">
            <v>6.5</v>
          </cell>
          <cell r="D1526">
            <v>3.5</v>
          </cell>
          <cell r="F1526" t="str">
            <v>-</v>
          </cell>
          <cell r="H1526" t="str">
            <v>-</v>
          </cell>
          <cell r="I1526" t="str">
            <v>-</v>
          </cell>
          <cell r="K1526" t="str">
            <v>-</v>
          </cell>
          <cell r="L1526">
            <v>3.5</v>
          </cell>
          <cell r="M1526" t="e">
            <v>#VALUE!</v>
          </cell>
          <cell r="O1526" t="str">
            <v>-</v>
          </cell>
          <cell r="T1526">
            <v>0.5</v>
          </cell>
          <cell r="U1526" t="str">
            <v>-</v>
          </cell>
        </row>
        <row r="1527">
          <cell r="B1527" t="str">
            <v>2L3-1/2X3-1/2X1/2X3/4</v>
          </cell>
          <cell r="C1527">
            <v>6.5</v>
          </cell>
          <cell r="D1527">
            <v>3.5</v>
          </cell>
          <cell r="F1527" t="str">
            <v>-</v>
          </cell>
          <cell r="H1527" t="str">
            <v>-</v>
          </cell>
          <cell r="I1527" t="str">
            <v>-</v>
          </cell>
          <cell r="K1527" t="str">
            <v>-</v>
          </cell>
          <cell r="L1527">
            <v>3.5</v>
          </cell>
          <cell r="M1527" t="e">
            <v>#VALUE!</v>
          </cell>
          <cell r="O1527" t="str">
            <v>-</v>
          </cell>
          <cell r="T1527">
            <v>0.5</v>
          </cell>
          <cell r="U1527" t="str">
            <v>-</v>
          </cell>
        </row>
        <row r="1528">
          <cell r="B1528" t="str">
            <v>2L3-1/2X3-1/2X7/16</v>
          </cell>
          <cell r="C1528">
            <v>5.78</v>
          </cell>
          <cell r="D1528">
            <v>3.5</v>
          </cell>
          <cell r="F1528" t="str">
            <v>-</v>
          </cell>
          <cell r="H1528" t="str">
            <v>-</v>
          </cell>
          <cell r="I1528" t="str">
            <v>-</v>
          </cell>
          <cell r="K1528" t="str">
            <v>-</v>
          </cell>
          <cell r="L1528">
            <v>3.5</v>
          </cell>
          <cell r="M1528" t="e">
            <v>#VALUE!</v>
          </cell>
          <cell r="O1528" t="str">
            <v>-</v>
          </cell>
          <cell r="T1528">
            <v>0.438</v>
          </cell>
          <cell r="U1528" t="str">
            <v>-</v>
          </cell>
        </row>
        <row r="1529">
          <cell r="B1529" t="str">
            <v>2L3-1/2X3-1/2X7/16X3/8</v>
          </cell>
          <cell r="C1529">
            <v>5.78</v>
          </cell>
          <cell r="D1529">
            <v>3.5</v>
          </cell>
          <cell r="F1529" t="str">
            <v>-</v>
          </cell>
          <cell r="H1529" t="str">
            <v>-</v>
          </cell>
          <cell r="I1529" t="str">
            <v>-</v>
          </cell>
          <cell r="K1529" t="str">
            <v>-</v>
          </cell>
          <cell r="L1529">
            <v>3.5</v>
          </cell>
          <cell r="M1529" t="e">
            <v>#VALUE!</v>
          </cell>
          <cell r="O1529" t="str">
            <v>-</v>
          </cell>
          <cell r="T1529">
            <v>0.438</v>
          </cell>
          <cell r="U1529" t="str">
            <v>-</v>
          </cell>
        </row>
        <row r="1530">
          <cell r="B1530" t="str">
            <v>2L3-1/2X3-1/2X7/16X3/4</v>
          </cell>
          <cell r="C1530">
            <v>5.78</v>
          </cell>
          <cell r="D1530">
            <v>3.5</v>
          </cell>
          <cell r="F1530" t="str">
            <v>-</v>
          </cell>
          <cell r="H1530" t="str">
            <v>-</v>
          </cell>
          <cell r="I1530" t="str">
            <v>-</v>
          </cell>
          <cell r="K1530" t="str">
            <v>-</v>
          </cell>
          <cell r="L1530">
            <v>3.5</v>
          </cell>
          <cell r="M1530" t="e">
            <v>#VALUE!</v>
          </cell>
          <cell r="O1530" t="str">
            <v>-</v>
          </cell>
          <cell r="T1530">
            <v>0.438</v>
          </cell>
          <cell r="U1530" t="str">
            <v>-</v>
          </cell>
        </row>
        <row r="1531">
          <cell r="B1531" t="str">
            <v>2L3-1/2X3-1/2X3/8</v>
          </cell>
          <cell r="C1531">
            <v>5</v>
          </cell>
          <cell r="D1531">
            <v>3.5</v>
          </cell>
          <cell r="F1531" t="str">
            <v>-</v>
          </cell>
          <cell r="H1531" t="str">
            <v>-</v>
          </cell>
          <cell r="I1531" t="str">
            <v>-</v>
          </cell>
          <cell r="K1531" t="str">
            <v>-</v>
          </cell>
          <cell r="L1531">
            <v>3.5</v>
          </cell>
          <cell r="M1531" t="e">
            <v>#VALUE!</v>
          </cell>
          <cell r="O1531" t="str">
            <v>-</v>
          </cell>
          <cell r="T1531">
            <v>0.375</v>
          </cell>
          <cell r="U1531" t="str">
            <v>-</v>
          </cell>
        </row>
        <row r="1532">
          <cell r="B1532" t="str">
            <v>2L3-1/2X3-1/2X3/8X3/8</v>
          </cell>
          <cell r="C1532">
            <v>5</v>
          </cell>
          <cell r="D1532">
            <v>3.5</v>
          </cell>
          <cell r="F1532" t="str">
            <v>-</v>
          </cell>
          <cell r="H1532" t="str">
            <v>-</v>
          </cell>
          <cell r="I1532" t="str">
            <v>-</v>
          </cell>
          <cell r="K1532" t="str">
            <v>-</v>
          </cell>
          <cell r="L1532">
            <v>3.5</v>
          </cell>
          <cell r="M1532" t="e">
            <v>#VALUE!</v>
          </cell>
          <cell r="O1532" t="str">
            <v>-</v>
          </cell>
          <cell r="T1532">
            <v>0.375</v>
          </cell>
          <cell r="U1532" t="str">
            <v>-</v>
          </cell>
        </row>
        <row r="1533">
          <cell r="B1533" t="str">
            <v>2L3-1/2X3-1/2X3/8X3/4</v>
          </cell>
          <cell r="C1533">
            <v>5</v>
          </cell>
          <cell r="D1533">
            <v>3.5</v>
          </cell>
          <cell r="F1533" t="str">
            <v>-</v>
          </cell>
          <cell r="H1533" t="str">
            <v>-</v>
          </cell>
          <cell r="I1533" t="str">
            <v>-</v>
          </cell>
          <cell r="K1533" t="str">
            <v>-</v>
          </cell>
          <cell r="L1533">
            <v>3.5</v>
          </cell>
          <cell r="M1533" t="e">
            <v>#VALUE!</v>
          </cell>
          <cell r="O1533" t="str">
            <v>-</v>
          </cell>
          <cell r="T1533">
            <v>0.375</v>
          </cell>
          <cell r="U1533" t="str">
            <v>-</v>
          </cell>
        </row>
        <row r="1534">
          <cell r="B1534" t="str">
            <v>2L3-1/2X3-1/2X5/16</v>
          </cell>
          <cell r="C1534">
            <v>4.2</v>
          </cell>
          <cell r="D1534">
            <v>3.5</v>
          </cell>
          <cell r="F1534" t="str">
            <v>-</v>
          </cell>
          <cell r="H1534" t="str">
            <v>-</v>
          </cell>
          <cell r="I1534" t="str">
            <v>-</v>
          </cell>
          <cell r="K1534" t="str">
            <v>-</v>
          </cell>
          <cell r="L1534">
            <v>3.5</v>
          </cell>
          <cell r="M1534" t="e">
            <v>#VALUE!</v>
          </cell>
          <cell r="O1534" t="str">
            <v>-</v>
          </cell>
          <cell r="T1534">
            <v>0.313</v>
          </cell>
          <cell r="U1534" t="str">
            <v>-</v>
          </cell>
        </row>
        <row r="1535">
          <cell r="B1535" t="str">
            <v>2L3-1/2X3-1/2X5/16X3/8</v>
          </cell>
          <cell r="C1535">
            <v>4.2</v>
          </cell>
          <cell r="D1535">
            <v>3.5</v>
          </cell>
          <cell r="F1535" t="str">
            <v>-</v>
          </cell>
          <cell r="H1535" t="str">
            <v>-</v>
          </cell>
          <cell r="I1535" t="str">
            <v>-</v>
          </cell>
          <cell r="K1535" t="str">
            <v>-</v>
          </cell>
          <cell r="L1535">
            <v>3.5</v>
          </cell>
          <cell r="M1535" t="e">
            <v>#VALUE!</v>
          </cell>
          <cell r="O1535" t="str">
            <v>-</v>
          </cell>
          <cell r="T1535">
            <v>0.313</v>
          </cell>
          <cell r="U1535" t="str">
            <v>-</v>
          </cell>
        </row>
        <row r="1536">
          <cell r="B1536" t="str">
            <v>2L3-1/2X3-1/2X5/16X3/4</v>
          </cell>
          <cell r="C1536">
            <v>4.2</v>
          </cell>
          <cell r="D1536">
            <v>3.5</v>
          </cell>
          <cell r="F1536" t="str">
            <v>-</v>
          </cell>
          <cell r="H1536" t="str">
            <v>-</v>
          </cell>
          <cell r="I1536" t="str">
            <v>-</v>
          </cell>
          <cell r="K1536" t="str">
            <v>-</v>
          </cell>
          <cell r="L1536">
            <v>3.5</v>
          </cell>
          <cell r="M1536" t="e">
            <v>#VALUE!</v>
          </cell>
          <cell r="O1536" t="str">
            <v>-</v>
          </cell>
          <cell r="T1536">
            <v>0.313</v>
          </cell>
          <cell r="U1536" t="str">
            <v>-</v>
          </cell>
        </row>
        <row r="1537">
          <cell r="B1537" t="str">
            <v>2L3-1/2X3-1/2X1/4</v>
          </cell>
          <cell r="C1537">
            <v>3.4</v>
          </cell>
          <cell r="D1537">
            <v>3.5</v>
          </cell>
          <cell r="F1537" t="str">
            <v>-</v>
          </cell>
          <cell r="H1537" t="str">
            <v>-</v>
          </cell>
          <cell r="I1537" t="str">
            <v>-</v>
          </cell>
          <cell r="K1537" t="str">
            <v>-</v>
          </cell>
          <cell r="L1537">
            <v>3.5</v>
          </cell>
          <cell r="M1537" t="e">
            <v>#VALUE!</v>
          </cell>
          <cell r="O1537" t="str">
            <v>-</v>
          </cell>
          <cell r="T1537">
            <v>0.25</v>
          </cell>
          <cell r="U1537" t="str">
            <v>-</v>
          </cell>
        </row>
        <row r="1538">
          <cell r="B1538" t="str">
            <v>2L3-1/2X3-1/2X1/4X3/8</v>
          </cell>
          <cell r="C1538">
            <v>3.4</v>
          </cell>
          <cell r="D1538">
            <v>3.5</v>
          </cell>
          <cell r="F1538" t="str">
            <v>-</v>
          </cell>
          <cell r="H1538" t="str">
            <v>-</v>
          </cell>
          <cell r="I1538" t="str">
            <v>-</v>
          </cell>
          <cell r="K1538" t="str">
            <v>-</v>
          </cell>
          <cell r="L1538">
            <v>3.5</v>
          </cell>
          <cell r="M1538" t="e">
            <v>#VALUE!</v>
          </cell>
          <cell r="O1538" t="str">
            <v>-</v>
          </cell>
          <cell r="T1538">
            <v>0.25</v>
          </cell>
          <cell r="U1538" t="str">
            <v>-</v>
          </cell>
        </row>
        <row r="1539">
          <cell r="B1539" t="str">
            <v>2L3-1/2X3-1/2X1/4X3/4</v>
          </cell>
          <cell r="C1539">
            <v>3.4</v>
          </cell>
          <cell r="D1539">
            <v>3.5</v>
          </cell>
          <cell r="F1539" t="str">
            <v>-</v>
          </cell>
          <cell r="H1539" t="str">
            <v>-</v>
          </cell>
          <cell r="I1539" t="str">
            <v>-</v>
          </cell>
          <cell r="K1539" t="str">
            <v>-</v>
          </cell>
          <cell r="L1539">
            <v>3.5</v>
          </cell>
          <cell r="M1539" t="e">
            <v>#VALUE!</v>
          </cell>
          <cell r="O1539" t="str">
            <v>-</v>
          </cell>
          <cell r="T1539">
            <v>0.25</v>
          </cell>
          <cell r="U1539" t="str">
            <v>-</v>
          </cell>
        </row>
        <row r="1540">
          <cell r="B1540" t="str">
            <v>2L3X3X1/2</v>
          </cell>
          <cell r="C1540">
            <v>5.52</v>
          </cell>
          <cell r="D1540">
            <v>3</v>
          </cell>
          <cell r="F1540" t="str">
            <v>-</v>
          </cell>
          <cell r="H1540" t="str">
            <v>-</v>
          </cell>
          <cell r="I1540" t="str">
            <v>-</v>
          </cell>
          <cell r="K1540" t="str">
            <v>-</v>
          </cell>
          <cell r="L1540">
            <v>3</v>
          </cell>
          <cell r="M1540" t="e">
            <v>#VALUE!</v>
          </cell>
          <cell r="O1540" t="str">
            <v>-</v>
          </cell>
          <cell r="T1540">
            <v>0.5</v>
          </cell>
          <cell r="U1540" t="str">
            <v>-</v>
          </cell>
        </row>
        <row r="1541">
          <cell r="B1541" t="str">
            <v>2L3X3X1/2X3/8</v>
          </cell>
          <cell r="C1541">
            <v>5.52</v>
          </cell>
          <cell r="D1541">
            <v>3</v>
          </cell>
          <cell r="F1541" t="str">
            <v>-</v>
          </cell>
          <cell r="H1541" t="str">
            <v>-</v>
          </cell>
          <cell r="I1541" t="str">
            <v>-</v>
          </cell>
          <cell r="K1541" t="str">
            <v>-</v>
          </cell>
          <cell r="L1541">
            <v>3</v>
          </cell>
          <cell r="M1541" t="e">
            <v>#VALUE!</v>
          </cell>
          <cell r="O1541" t="str">
            <v>-</v>
          </cell>
          <cell r="T1541">
            <v>0.5</v>
          </cell>
          <cell r="U1541" t="str">
            <v>-</v>
          </cell>
        </row>
        <row r="1542">
          <cell r="B1542" t="str">
            <v>2L3X3X1/2X3/4</v>
          </cell>
          <cell r="C1542">
            <v>5.52</v>
          </cell>
          <cell r="D1542">
            <v>3</v>
          </cell>
          <cell r="F1542" t="str">
            <v>-</v>
          </cell>
          <cell r="H1542" t="str">
            <v>-</v>
          </cell>
          <cell r="I1542" t="str">
            <v>-</v>
          </cell>
          <cell r="K1542" t="str">
            <v>-</v>
          </cell>
          <cell r="L1542">
            <v>3</v>
          </cell>
          <cell r="M1542" t="e">
            <v>#VALUE!</v>
          </cell>
          <cell r="O1542" t="str">
            <v>-</v>
          </cell>
          <cell r="T1542">
            <v>0.5</v>
          </cell>
          <cell r="U1542" t="str">
            <v>-</v>
          </cell>
        </row>
        <row r="1543">
          <cell r="B1543" t="str">
            <v>2L3X3X7/16</v>
          </cell>
          <cell r="C1543">
            <v>4.8600000000000003</v>
          </cell>
          <cell r="D1543">
            <v>3</v>
          </cell>
          <cell r="F1543" t="str">
            <v>-</v>
          </cell>
          <cell r="H1543" t="str">
            <v>-</v>
          </cell>
          <cell r="I1543" t="str">
            <v>-</v>
          </cell>
          <cell r="K1543" t="str">
            <v>-</v>
          </cell>
          <cell r="L1543">
            <v>3</v>
          </cell>
          <cell r="M1543" t="e">
            <v>#VALUE!</v>
          </cell>
          <cell r="O1543" t="str">
            <v>-</v>
          </cell>
          <cell r="T1543">
            <v>0.438</v>
          </cell>
          <cell r="U1543" t="str">
            <v>-</v>
          </cell>
        </row>
        <row r="1544">
          <cell r="B1544" t="str">
            <v>2L3X3X7/16X3/8</v>
          </cell>
          <cell r="C1544">
            <v>4.8600000000000003</v>
          </cell>
          <cell r="D1544">
            <v>3</v>
          </cell>
          <cell r="F1544" t="str">
            <v>-</v>
          </cell>
          <cell r="H1544" t="str">
            <v>-</v>
          </cell>
          <cell r="I1544" t="str">
            <v>-</v>
          </cell>
          <cell r="K1544" t="str">
            <v>-</v>
          </cell>
          <cell r="L1544">
            <v>3</v>
          </cell>
          <cell r="M1544" t="e">
            <v>#VALUE!</v>
          </cell>
          <cell r="O1544" t="str">
            <v>-</v>
          </cell>
          <cell r="T1544">
            <v>0.438</v>
          </cell>
          <cell r="U1544" t="str">
            <v>-</v>
          </cell>
        </row>
        <row r="1545">
          <cell r="B1545" t="str">
            <v>2L3X3X7/16X3/4</v>
          </cell>
          <cell r="C1545">
            <v>4.8600000000000003</v>
          </cell>
          <cell r="D1545">
            <v>3</v>
          </cell>
          <cell r="F1545" t="str">
            <v>-</v>
          </cell>
          <cell r="H1545" t="str">
            <v>-</v>
          </cell>
          <cell r="I1545" t="str">
            <v>-</v>
          </cell>
          <cell r="K1545" t="str">
            <v>-</v>
          </cell>
          <cell r="L1545">
            <v>3</v>
          </cell>
          <cell r="M1545" t="e">
            <v>#VALUE!</v>
          </cell>
          <cell r="O1545" t="str">
            <v>-</v>
          </cell>
          <cell r="T1545">
            <v>0.438</v>
          </cell>
          <cell r="U1545" t="str">
            <v>-</v>
          </cell>
        </row>
        <row r="1546">
          <cell r="B1546" t="str">
            <v>2L3X3X3/8</v>
          </cell>
          <cell r="C1546">
            <v>4.22</v>
          </cell>
          <cell r="D1546">
            <v>3</v>
          </cell>
          <cell r="F1546" t="str">
            <v>-</v>
          </cell>
          <cell r="H1546" t="str">
            <v>-</v>
          </cell>
          <cell r="I1546" t="str">
            <v>-</v>
          </cell>
          <cell r="K1546" t="str">
            <v>-</v>
          </cell>
          <cell r="L1546">
            <v>3</v>
          </cell>
          <cell r="M1546" t="e">
            <v>#VALUE!</v>
          </cell>
          <cell r="O1546" t="str">
            <v>-</v>
          </cell>
          <cell r="T1546">
            <v>0.375</v>
          </cell>
          <cell r="U1546" t="str">
            <v>-</v>
          </cell>
        </row>
        <row r="1547">
          <cell r="B1547" t="str">
            <v>2L3X3X3/8X3/8</v>
          </cell>
          <cell r="C1547">
            <v>4.22</v>
          </cell>
          <cell r="D1547">
            <v>3</v>
          </cell>
          <cell r="F1547" t="str">
            <v>-</v>
          </cell>
          <cell r="H1547" t="str">
            <v>-</v>
          </cell>
          <cell r="I1547" t="str">
            <v>-</v>
          </cell>
          <cell r="K1547" t="str">
            <v>-</v>
          </cell>
          <cell r="L1547">
            <v>3</v>
          </cell>
          <cell r="M1547" t="e">
            <v>#VALUE!</v>
          </cell>
          <cell r="O1547" t="str">
            <v>-</v>
          </cell>
          <cell r="T1547">
            <v>0.375</v>
          </cell>
          <cell r="U1547" t="str">
            <v>-</v>
          </cell>
        </row>
        <row r="1548">
          <cell r="B1548" t="str">
            <v>2L3X3X3/8X3/4</v>
          </cell>
          <cell r="C1548">
            <v>4.22</v>
          </cell>
          <cell r="D1548">
            <v>3</v>
          </cell>
          <cell r="F1548" t="str">
            <v>-</v>
          </cell>
          <cell r="H1548" t="str">
            <v>-</v>
          </cell>
          <cell r="I1548" t="str">
            <v>-</v>
          </cell>
          <cell r="K1548" t="str">
            <v>-</v>
          </cell>
          <cell r="L1548">
            <v>3</v>
          </cell>
          <cell r="M1548" t="e">
            <v>#VALUE!</v>
          </cell>
          <cell r="O1548" t="str">
            <v>-</v>
          </cell>
          <cell r="T1548">
            <v>0.375</v>
          </cell>
          <cell r="U1548" t="str">
            <v>-</v>
          </cell>
        </row>
        <row r="1549">
          <cell r="B1549" t="str">
            <v>2L3X3X5/16</v>
          </cell>
          <cell r="C1549">
            <v>3.56</v>
          </cell>
          <cell r="D1549">
            <v>3</v>
          </cell>
          <cell r="F1549" t="str">
            <v>-</v>
          </cell>
          <cell r="H1549" t="str">
            <v>-</v>
          </cell>
          <cell r="I1549" t="str">
            <v>-</v>
          </cell>
          <cell r="K1549" t="str">
            <v>-</v>
          </cell>
          <cell r="L1549">
            <v>3</v>
          </cell>
          <cell r="M1549" t="e">
            <v>#VALUE!</v>
          </cell>
          <cell r="O1549" t="str">
            <v>-</v>
          </cell>
          <cell r="T1549">
            <v>0.313</v>
          </cell>
          <cell r="U1549" t="str">
            <v>-</v>
          </cell>
        </row>
        <row r="1550">
          <cell r="B1550" t="str">
            <v>2L3X3X5/16X3/8</v>
          </cell>
          <cell r="C1550">
            <v>3.56</v>
          </cell>
          <cell r="D1550">
            <v>3</v>
          </cell>
          <cell r="F1550" t="str">
            <v>-</v>
          </cell>
          <cell r="H1550" t="str">
            <v>-</v>
          </cell>
          <cell r="I1550" t="str">
            <v>-</v>
          </cell>
          <cell r="K1550" t="str">
            <v>-</v>
          </cell>
          <cell r="L1550">
            <v>3</v>
          </cell>
          <cell r="M1550" t="e">
            <v>#VALUE!</v>
          </cell>
          <cell r="O1550" t="str">
            <v>-</v>
          </cell>
          <cell r="T1550">
            <v>0.313</v>
          </cell>
          <cell r="U1550" t="str">
            <v>-</v>
          </cell>
        </row>
        <row r="1551">
          <cell r="B1551" t="str">
            <v>2L3X3X5/16X3/4</v>
          </cell>
          <cell r="C1551">
            <v>3.56</v>
          </cell>
          <cell r="D1551">
            <v>3</v>
          </cell>
          <cell r="F1551" t="str">
            <v>-</v>
          </cell>
          <cell r="H1551" t="str">
            <v>-</v>
          </cell>
          <cell r="I1551" t="str">
            <v>-</v>
          </cell>
          <cell r="K1551" t="str">
            <v>-</v>
          </cell>
          <cell r="L1551">
            <v>3</v>
          </cell>
          <cell r="M1551" t="e">
            <v>#VALUE!</v>
          </cell>
          <cell r="O1551" t="str">
            <v>-</v>
          </cell>
          <cell r="T1551">
            <v>0.313</v>
          </cell>
          <cell r="U1551" t="str">
            <v>-</v>
          </cell>
        </row>
        <row r="1552">
          <cell r="B1552" t="str">
            <v>2L3X3X1/4</v>
          </cell>
          <cell r="C1552">
            <v>2.88</v>
          </cell>
          <cell r="D1552">
            <v>3</v>
          </cell>
          <cell r="F1552" t="str">
            <v>-</v>
          </cell>
          <cell r="H1552" t="str">
            <v>-</v>
          </cell>
          <cell r="I1552" t="str">
            <v>-</v>
          </cell>
          <cell r="K1552" t="str">
            <v>-</v>
          </cell>
          <cell r="L1552">
            <v>3</v>
          </cell>
          <cell r="M1552" t="e">
            <v>#VALUE!</v>
          </cell>
          <cell r="O1552" t="str">
            <v>-</v>
          </cell>
          <cell r="T1552">
            <v>0.25</v>
          </cell>
          <cell r="U1552" t="str">
            <v>-</v>
          </cell>
        </row>
        <row r="1553">
          <cell r="B1553" t="str">
            <v>2L3X3X1/4X3/8</v>
          </cell>
          <cell r="C1553">
            <v>2.88</v>
          </cell>
          <cell r="D1553">
            <v>3</v>
          </cell>
          <cell r="F1553" t="str">
            <v>-</v>
          </cell>
          <cell r="H1553" t="str">
            <v>-</v>
          </cell>
          <cell r="I1553" t="str">
            <v>-</v>
          </cell>
          <cell r="K1553" t="str">
            <v>-</v>
          </cell>
          <cell r="L1553">
            <v>3</v>
          </cell>
          <cell r="M1553" t="e">
            <v>#VALUE!</v>
          </cell>
          <cell r="O1553" t="str">
            <v>-</v>
          </cell>
          <cell r="T1553">
            <v>0.25</v>
          </cell>
          <cell r="U1553" t="str">
            <v>-</v>
          </cell>
        </row>
        <row r="1554">
          <cell r="B1554" t="str">
            <v>2L3X3X1/4X3/4</v>
          </cell>
          <cell r="C1554">
            <v>2.88</v>
          </cell>
          <cell r="D1554">
            <v>3</v>
          </cell>
          <cell r="F1554" t="str">
            <v>-</v>
          </cell>
          <cell r="H1554" t="str">
            <v>-</v>
          </cell>
          <cell r="I1554" t="str">
            <v>-</v>
          </cell>
          <cell r="K1554" t="str">
            <v>-</v>
          </cell>
          <cell r="L1554">
            <v>3</v>
          </cell>
          <cell r="M1554" t="e">
            <v>#VALUE!</v>
          </cell>
          <cell r="O1554" t="str">
            <v>-</v>
          </cell>
          <cell r="T1554">
            <v>0.25</v>
          </cell>
          <cell r="U1554" t="str">
            <v>-</v>
          </cell>
        </row>
        <row r="1555">
          <cell r="B1555" t="str">
            <v>2L3X3X3/16</v>
          </cell>
          <cell r="C1555">
            <v>2.1800000000000002</v>
          </cell>
          <cell r="D1555">
            <v>3</v>
          </cell>
          <cell r="F1555" t="str">
            <v>-</v>
          </cell>
          <cell r="H1555" t="str">
            <v>-</v>
          </cell>
          <cell r="I1555" t="str">
            <v>-</v>
          </cell>
          <cell r="K1555" t="str">
            <v>-</v>
          </cell>
          <cell r="L1555">
            <v>3</v>
          </cell>
          <cell r="M1555" t="e">
            <v>#VALUE!</v>
          </cell>
          <cell r="O1555" t="str">
            <v>-</v>
          </cell>
          <cell r="T1555">
            <v>0.188</v>
          </cell>
          <cell r="U1555" t="str">
            <v>-</v>
          </cell>
        </row>
        <row r="1556">
          <cell r="B1556" t="str">
            <v>2L3X3X3/16X3/8</v>
          </cell>
          <cell r="C1556">
            <v>2.1800000000000002</v>
          </cell>
          <cell r="D1556">
            <v>3</v>
          </cell>
          <cell r="F1556" t="str">
            <v>-</v>
          </cell>
          <cell r="H1556" t="str">
            <v>-</v>
          </cell>
          <cell r="I1556" t="str">
            <v>-</v>
          </cell>
          <cell r="K1556" t="str">
            <v>-</v>
          </cell>
          <cell r="L1556">
            <v>3</v>
          </cell>
          <cell r="M1556" t="e">
            <v>#VALUE!</v>
          </cell>
          <cell r="O1556" t="str">
            <v>-</v>
          </cell>
          <cell r="T1556">
            <v>0.188</v>
          </cell>
          <cell r="U1556" t="str">
            <v>-</v>
          </cell>
        </row>
        <row r="1557">
          <cell r="B1557" t="str">
            <v>2L3X3X3/16X3/4</v>
          </cell>
          <cell r="C1557">
            <v>2.1800000000000002</v>
          </cell>
          <cell r="D1557">
            <v>3</v>
          </cell>
          <cell r="F1557" t="str">
            <v>-</v>
          </cell>
          <cell r="H1557" t="str">
            <v>-</v>
          </cell>
          <cell r="I1557" t="str">
            <v>-</v>
          </cell>
          <cell r="K1557" t="str">
            <v>-</v>
          </cell>
          <cell r="L1557">
            <v>3</v>
          </cell>
          <cell r="M1557" t="e">
            <v>#VALUE!</v>
          </cell>
          <cell r="O1557" t="str">
            <v>-</v>
          </cell>
          <cell r="T1557">
            <v>0.188</v>
          </cell>
          <cell r="U1557" t="str">
            <v>-</v>
          </cell>
        </row>
        <row r="1558">
          <cell r="B1558" t="str">
            <v>2L2-1/2X2-1/2X1/2</v>
          </cell>
          <cell r="C1558">
            <v>4.5199999999999996</v>
          </cell>
          <cell r="D1558">
            <v>2.5</v>
          </cell>
          <cell r="F1558" t="str">
            <v>-</v>
          </cell>
          <cell r="H1558" t="str">
            <v>-</v>
          </cell>
          <cell r="I1558" t="str">
            <v>-</v>
          </cell>
          <cell r="K1558" t="str">
            <v>-</v>
          </cell>
          <cell r="L1558">
            <v>2.5</v>
          </cell>
          <cell r="M1558" t="e">
            <v>#VALUE!</v>
          </cell>
          <cell r="O1558" t="str">
            <v>-</v>
          </cell>
          <cell r="T1558">
            <v>0.5</v>
          </cell>
          <cell r="U1558" t="str">
            <v>-</v>
          </cell>
        </row>
        <row r="1559">
          <cell r="B1559" t="str">
            <v>2L2-1/2X2-1/2X1/2X3/8</v>
          </cell>
          <cell r="C1559">
            <v>4.5199999999999996</v>
          </cell>
          <cell r="D1559">
            <v>2.5</v>
          </cell>
          <cell r="F1559" t="str">
            <v>-</v>
          </cell>
          <cell r="H1559" t="str">
            <v>-</v>
          </cell>
          <cell r="I1559" t="str">
            <v>-</v>
          </cell>
          <cell r="K1559" t="str">
            <v>-</v>
          </cell>
          <cell r="L1559">
            <v>2.5</v>
          </cell>
          <cell r="M1559" t="e">
            <v>#VALUE!</v>
          </cell>
          <cell r="O1559" t="str">
            <v>-</v>
          </cell>
          <cell r="T1559">
            <v>0.5</v>
          </cell>
          <cell r="U1559" t="str">
            <v>-</v>
          </cell>
        </row>
        <row r="1560">
          <cell r="B1560" t="str">
            <v>2L2-1/2X2-1/2X1/2X3/4</v>
          </cell>
          <cell r="C1560">
            <v>4.5199999999999996</v>
          </cell>
          <cell r="D1560">
            <v>2.5</v>
          </cell>
          <cell r="F1560" t="str">
            <v>-</v>
          </cell>
          <cell r="H1560" t="str">
            <v>-</v>
          </cell>
          <cell r="I1560" t="str">
            <v>-</v>
          </cell>
          <cell r="K1560" t="str">
            <v>-</v>
          </cell>
          <cell r="L1560">
            <v>2.5</v>
          </cell>
          <cell r="M1560" t="e">
            <v>#VALUE!</v>
          </cell>
          <cell r="O1560" t="str">
            <v>-</v>
          </cell>
          <cell r="T1560">
            <v>0.5</v>
          </cell>
          <cell r="U1560" t="str">
            <v>-</v>
          </cell>
        </row>
        <row r="1561">
          <cell r="B1561" t="str">
            <v>2L2-1/2X2-1/2X3/8</v>
          </cell>
          <cell r="C1561">
            <v>3.46</v>
          </cell>
          <cell r="D1561">
            <v>2.5</v>
          </cell>
          <cell r="F1561" t="str">
            <v>-</v>
          </cell>
          <cell r="H1561" t="str">
            <v>-</v>
          </cell>
          <cell r="I1561" t="str">
            <v>-</v>
          </cell>
          <cell r="K1561" t="str">
            <v>-</v>
          </cell>
          <cell r="L1561">
            <v>2.5</v>
          </cell>
          <cell r="M1561" t="e">
            <v>#VALUE!</v>
          </cell>
          <cell r="O1561" t="str">
            <v>-</v>
          </cell>
          <cell r="T1561">
            <v>0.375</v>
          </cell>
          <cell r="U1561" t="str">
            <v>-</v>
          </cell>
        </row>
        <row r="1562">
          <cell r="B1562" t="str">
            <v>2L2-1/2X2-1/2X3/8X3/8</v>
          </cell>
          <cell r="C1562">
            <v>3.46</v>
          </cell>
          <cell r="D1562">
            <v>2.5</v>
          </cell>
          <cell r="F1562" t="str">
            <v>-</v>
          </cell>
          <cell r="H1562" t="str">
            <v>-</v>
          </cell>
          <cell r="I1562" t="str">
            <v>-</v>
          </cell>
          <cell r="K1562" t="str">
            <v>-</v>
          </cell>
          <cell r="L1562">
            <v>2.5</v>
          </cell>
          <cell r="M1562" t="e">
            <v>#VALUE!</v>
          </cell>
          <cell r="O1562" t="str">
            <v>-</v>
          </cell>
          <cell r="T1562">
            <v>0.375</v>
          </cell>
          <cell r="U1562" t="str">
            <v>-</v>
          </cell>
        </row>
        <row r="1563">
          <cell r="B1563" t="str">
            <v>2L2-1/2X2-1/2X3/8X3/4</v>
          </cell>
          <cell r="C1563">
            <v>3.46</v>
          </cell>
          <cell r="D1563">
            <v>2.5</v>
          </cell>
          <cell r="F1563" t="str">
            <v>-</v>
          </cell>
          <cell r="H1563" t="str">
            <v>-</v>
          </cell>
          <cell r="I1563" t="str">
            <v>-</v>
          </cell>
          <cell r="K1563" t="str">
            <v>-</v>
          </cell>
          <cell r="L1563">
            <v>2.5</v>
          </cell>
          <cell r="M1563" t="e">
            <v>#VALUE!</v>
          </cell>
          <cell r="O1563" t="str">
            <v>-</v>
          </cell>
          <cell r="T1563">
            <v>0.375</v>
          </cell>
          <cell r="U1563" t="str">
            <v>-</v>
          </cell>
        </row>
        <row r="1564">
          <cell r="B1564" t="str">
            <v>2L2-1/2X2-1/2X5/16</v>
          </cell>
          <cell r="C1564">
            <v>2.92</v>
          </cell>
          <cell r="D1564">
            <v>2.5</v>
          </cell>
          <cell r="F1564" t="str">
            <v>-</v>
          </cell>
          <cell r="H1564" t="str">
            <v>-</v>
          </cell>
          <cell r="I1564" t="str">
            <v>-</v>
          </cell>
          <cell r="K1564" t="str">
            <v>-</v>
          </cell>
          <cell r="L1564">
            <v>2.5</v>
          </cell>
          <cell r="M1564" t="e">
            <v>#VALUE!</v>
          </cell>
          <cell r="O1564" t="str">
            <v>-</v>
          </cell>
          <cell r="T1564">
            <v>0.313</v>
          </cell>
          <cell r="U1564" t="str">
            <v>-</v>
          </cell>
        </row>
        <row r="1565">
          <cell r="B1565" t="str">
            <v>2L2-1/2X2-1/2X5/16X3/8</v>
          </cell>
          <cell r="C1565">
            <v>2.92</v>
          </cell>
          <cell r="D1565">
            <v>2.5</v>
          </cell>
          <cell r="F1565" t="str">
            <v>-</v>
          </cell>
          <cell r="H1565" t="str">
            <v>-</v>
          </cell>
          <cell r="I1565" t="str">
            <v>-</v>
          </cell>
          <cell r="K1565" t="str">
            <v>-</v>
          </cell>
          <cell r="L1565">
            <v>2.5</v>
          </cell>
          <cell r="M1565" t="e">
            <v>#VALUE!</v>
          </cell>
          <cell r="O1565" t="str">
            <v>-</v>
          </cell>
          <cell r="T1565">
            <v>0.313</v>
          </cell>
          <cell r="U1565" t="str">
            <v>-</v>
          </cell>
        </row>
        <row r="1566">
          <cell r="B1566" t="str">
            <v>2L2-1/2X2-1/2X5/16X3/4</v>
          </cell>
          <cell r="C1566">
            <v>2.92</v>
          </cell>
          <cell r="D1566">
            <v>2.5</v>
          </cell>
          <cell r="F1566" t="str">
            <v>-</v>
          </cell>
          <cell r="H1566" t="str">
            <v>-</v>
          </cell>
          <cell r="I1566" t="str">
            <v>-</v>
          </cell>
          <cell r="K1566" t="str">
            <v>-</v>
          </cell>
          <cell r="L1566">
            <v>2.5</v>
          </cell>
          <cell r="M1566" t="e">
            <v>#VALUE!</v>
          </cell>
          <cell r="O1566" t="str">
            <v>-</v>
          </cell>
          <cell r="T1566">
            <v>0.313</v>
          </cell>
          <cell r="U1566" t="str">
            <v>-</v>
          </cell>
        </row>
        <row r="1567">
          <cell r="B1567" t="str">
            <v>2L2-1/2X2-1/2X1/4</v>
          </cell>
          <cell r="C1567">
            <v>2.38</v>
          </cell>
          <cell r="D1567">
            <v>2.5</v>
          </cell>
          <cell r="F1567" t="str">
            <v>-</v>
          </cell>
          <cell r="H1567" t="str">
            <v>-</v>
          </cell>
          <cell r="I1567" t="str">
            <v>-</v>
          </cell>
          <cell r="K1567" t="str">
            <v>-</v>
          </cell>
          <cell r="L1567">
            <v>2.5</v>
          </cell>
          <cell r="M1567" t="e">
            <v>#VALUE!</v>
          </cell>
          <cell r="O1567" t="str">
            <v>-</v>
          </cell>
          <cell r="T1567">
            <v>0.25</v>
          </cell>
          <cell r="U1567" t="str">
            <v>-</v>
          </cell>
        </row>
        <row r="1568">
          <cell r="B1568" t="str">
            <v>2L2-1/2X2-1/2X1/4X3/8</v>
          </cell>
          <cell r="C1568">
            <v>2.38</v>
          </cell>
          <cell r="D1568">
            <v>2.5</v>
          </cell>
          <cell r="F1568" t="str">
            <v>-</v>
          </cell>
          <cell r="H1568" t="str">
            <v>-</v>
          </cell>
          <cell r="I1568" t="str">
            <v>-</v>
          </cell>
          <cell r="K1568" t="str">
            <v>-</v>
          </cell>
          <cell r="L1568">
            <v>2.5</v>
          </cell>
          <cell r="M1568" t="e">
            <v>#VALUE!</v>
          </cell>
          <cell r="O1568" t="str">
            <v>-</v>
          </cell>
          <cell r="T1568">
            <v>0.25</v>
          </cell>
          <cell r="U1568" t="str">
            <v>-</v>
          </cell>
        </row>
        <row r="1569">
          <cell r="B1569" t="str">
            <v>2L2-1/2X2-1/2X1/4X3/4</v>
          </cell>
          <cell r="C1569">
            <v>2.38</v>
          </cell>
          <cell r="D1569">
            <v>2.5</v>
          </cell>
          <cell r="F1569" t="str">
            <v>-</v>
          </cell>
          <cell r="H1569" t="str">
            <v>-</v>
          </cell>
          <cell r="I1569" t="str">
            <v>-</v>
          </cell>
          <cell r="K1569" t="str">
            <v>-</v>
          </cell>
          <cell r="L1569">
            <v>2.5</v>
          </cell>
          <cell r="M1569" t="e">
            <v>#VALUE!</v>
          </cell>
          <cell r="O1569" t="str">
            <v>-</v>
          </cell>
          <cell r="T1569">
            <v>0.25</v>
          </cell>
          <cell r="U1569" t="str">
            <v>-</v>
          </cell>
        </row>
        <row r="1570">
          <cell r="B1570" t="str">
            <v>2L2-1/2X2-1/2X3/16</v>
          </cell>
          <cell r="C1570">
            <v>1.8</v>
          </cell>
          <cell r="D1570">
            <v>2.5</v>
          </cell>
          <cell r="F1570" t="str">
            <v>-</v>
          </cell>
          <cell r="H1570" t="str">
            <v>-</v>
          </cell>
          <cell r="I1570" t="str">
            <v>-</v>
          </cell>
          <cell r="K1570" t="str">
            <v>-</v>
          </cell>
          <cell r="L1570">
            <v>2.5</v>
          </cell>
          <cell r="M1570" t="e">
            <v>#VALUE!</v>
          </cell>
          <cell r="O1570" t="str">
            <v>-</v>
          </cell>
          <cell r="T1570">
            <v>0.188</v>
          </cell>
          <cell r="U1570" t="str">
            <v>-</v>
          </cell>
        </row>
        <row r="1571">
          <cell r="B1571" t="str">
            <v>2L2-1/2X2-1/2X3/16X3/8</v>
          </cell>
          <cell r="C1571">
            <v>1.8</v>
          </cell>
          <cell r="D1571">
            <v>2.5</v>
          </cell>
          <cell r="F1571" t="str">
            <v>-</v>
          </cell>
          <cell r="H1571" t="str">
            <v>-</v>
          </cell>
          <cell r="I1571" t="str">
            <v>-</v>
          </cell>
          <cell r="K1571" t="str">
            <v>-</v>
          </cell>
          <cell r="L1571">
            <v>2.5</v>
          </cell>
          <cell r="M1571" t="e">
            <v>#VALUE!</v>
          </cell>
          <cell r="O1571" t="str">
            <v>-</v>
          </cell>
          <cell r="T1571">
            <v>0.188</v>
          </cell>
          <cell r="U1571" t="str">
            <v>-</v>
          </cell>
        </row>
        <row r="1572">
          <cell r="B1572" t="str">
            <v>2L2-1/2X2-1/2X3/16X3/4</v>
          </cell>
          <cell r="C1572">
            <v>1.8</v>
          </cell>
          <cell r="D1572">
            <v>2.5</v>
          </cell>
          <cell r="F1572" t="str">
            <v>-</v>
          </cell>
          <cell r="H1572" t="str">
            <v>-</v>
          </cell>
          <cell r="I1572" t="str">
            <v>-</v>
          </cell>
          <cell r="K1572" t="str">
            <v>-</v>
          </cell>
          <cell r="L1572">
            <v>2.5</v>
          </cell>
          <cell r="M1572" t="e">
            <v>#VALUE!</v>
          </cell>
          <cell r="O1572" t="str">
            <v>-</v>
          </cell>
          <cell r="T1572">
            <v>0.188</v>
          </cell>
          <cell r="U1572" t="str">
            <v>-</v>
          </cell>
        </row>
        <row r="1573">
          <cell r="B1573" t="str">
            <v>2L2X2X3/8</v>
          </cell>
          <cell r="C1573">
            <v>2.74</v>
          </cell>
          <cell r="D1573">
            <v>2</v>
          </cell>
          <cell r="F1573" t="str">
            <v>-</v>
          </cell>
          <cell r="H1573" t="str">
            <v>-</v>
          </cell>
          <cell r="I1573" t="str">
            <v>-</v>
          </cell>
          <cell r="K1573" t="str">
            <v>-</v>
          </cell>
          <cell r="L1573">
            <v>2</v>
          </cell>
          <cell r="M1573" t="e">
            <v>#VALUE!</v>
          </cell>
          <cell r="O1573" t="str">
            <v>-</v>
          </cell>
          <cell r="T1573">
            <v>0.375</v>
          </cell>
          <cell r="U1573" t="str">
            <v>-</v>
          </cell>
        </row>
        <row r="1574">
          <cell r="B1574" t="str">
            <v>2L2X2X3/8X3/8</v>
          </cell>
          <cell r="C1574">
            <v>2.74</v>
          </cell>
          <cell r="D1574">
            <v>2</v>
          </cell>
          <cell r="F1574" t="str">
            <v>-</v>
          </cell>
          <cell r="H1574" t="str">
            <v>-</v>
          </cell>
          <cell r="I1574" t="str">
            <v>-</v>
          </cell>
          <cell r="K1574" t="str">
            <v>-</v>
          </cell>
          <cell r="L1574">
            <v>2</v>
          </cell>
          <cell r="M1574" t="e">
            <v>#VALUE!</v>
          </cell>
          <cell r="O1574" t="str">
            <v>-</v>
          </cell>
          <cell r="T1574">
            <v>0.375</v>
          </cell>
          <cell r="U1574" t="str">
            <v>-</v>
          </cell>
        </row>
        <row r="1575">
          <cell r="B1575" t="str">
            <v>2L2X2X3/8X3/4</v>
          </cell>
          <cell r="C1575">
            <v>2.74</v>
          </cell>
          <cell r="D1575">
            <v>2</v>
          </cell>
          <cell r="F1575" t="str">
            <v>-</v>
          </cell>
          <cell r="H1575" t="str">
            <v>-</v>
          </cell>
          <cell r="I1575" t="str">
            <v>-</v>
          </cell>
          <cell r="K1575" t="str">
            <v>-</v>
          </cell>
          <cell r="L1575">
            <v>2</v>
          </cell>
          <cell r="M1575" t="e">
            <v>#VALUE!</v>
          </cell>
          <cell r="O1575" t="str">
            <v>-</v>
          </cell>
          <cell r="T1575">
            <v>0.375</v>
          </cell>
          <cell r="U1575" t="str">
            <v>-</v>
          </cell>
        </row>
        <row r="1576">
          <cell r="B1576" t="str">
            <v>2L2X2X5/16</v>
          </cell>
          <cell r="C1576">
            <v>2.3199999999999998</v>
          </cell>
          <cell r="D1576">
            <v>2</v>
          </cell>
          <cell r="F1576" t="str">
            <v>-</v>
          </cell>
          <cell r="H1576" t="str">
            <v>-</v>
          </cell>
          <cell r="I1576" t="str">
            <v>-</v>
          </cell>
          <cell r="K1576" t="str">
            <v>-</v>
          </cell>
          <cell r="L1576">
            <v>2</v>
          </cell>
          <cell r="M1576" t="e">
            <v>#VALUE!</v>
          </cell>
          <cell r="O1576" t="str">
            <v>-</v>
          </cell>
          <cell r="T1576">
            <v>0.313</v>
          </cell>
          <cell r="U1576" t="str">
            <v>-</v>
          </cell>
        </row>
        <row r="1577">
          <cell r="B1577" t="str">
            <v>2L2X2X5/16X3/8</v>
          </cell>
          <cell r="C1577">
            <v>2.3199999999999998</v>
          </cell>
          <cell r="D1577">
            <v>2</v>
          </cell>
          <cell r="F1577" t="str">
            <v>-</v>
          </cell>
          <cell r="H1577" t="str">
            <v>-</v>
          </cell>
          <cell r="I1577" t="str">
            <v>-</v>
          </cell>
          <cell r="K1577" t="str">
            <v>-</v>
          </cell>
          <cell r="L1577">
            <v>2</v>
          </cell>
          <cell r="M1577" t="e">
            <v>#VALUE!</v>
          </cell>
          <cell r="O1577" t="str">
            <v>-</v>
          </cell>
          <cell r="T1577">
            <v>0.313</v>
          </cell>
          <cell r="U1577" t="str">
            <v>-</v>
          </cell>
        </row>
        <row r="1578">
          <cell r="B1578" t="str">
            <v>2L2X2X5/16X3/4</v>
          </cell>
          <cell r="C1578">
            <v>2.3199999999999998</v>
          </cell>
          <cell r="D1578">
            <v>2</v>
          </cell>
          <cell r="F1578" t="str">
            <v>-</v>
          </cell>
          <cell r="H1578" t="str">
            <v>-</v>
          </cell>
          <cell r="I1578" t="str">
            <v>-</v>
          </cell>
          <cell r="K1578" t="str">
            <v>-</v>
          </cell>
          <cell r="L1578">
            <v>2</v>
          </cell>
          <cell r="M1578" t="e">
            <v>#VALUE!</v>
          </cell>
          <cell r="O1578" t="str">
            <v>-</v>
          </cell>
          <cell r="T1578">
            <v>0.313</v>
          </cell>
          <cell r="U1578" t="str">
            <v>-</v>
          </cell>
        </row>
        <row r="1579">
          <cell r="B1579" t="str">
            <v>2L2X2X1/4</v>
          </cell>
          <cell r="C1579">
            <v>1.89</v>
          </cell>
          <cell r="D1579">
            <v>2</v>
          </cell>
          <cell r="F1579" t="str">
            <v>-</v>
          </cell>
          <cell r="H1579" t="str">
            <v>-</v>
          </cell>
          <cell r="I1579" t="str">
            <v>-</v>
          </cell>
          <cell r="K1579" t="str">
            <v>-</v>
          </cell>
          <cell r="L1579">
            <v>2</v>
          </cell>
          <cell r="M1579" t="e">
            <v>#VALUE!</v>
          </cell>
          <cell r="O1579" t="str">
            <v>-</v>
          </cell>
          <cell r="T1579">
            <v>0.25</v>
          </cell>
          <cell r="U1579" t="str">
            <v>-</v>
          </cell>
        </row>
        <row r="1580">
          <cell r="B1580" t="str">
            <v>2L2X2X1/4X3/8</v>
          </cell>
          <cell r="C1580">
            <v>1.89</v>
          </cell>
          <cell r="D1580">
            <v>2</v>
          </cell>
          <cell r="F1580" t="str">
            <v>-</v>
          </cell>
          <cell r="H1580" t="str">
            <v>-</v>
          </cell>
          <cell r="I1580" t="str">
            <v>-</v>
          </cell>
          <cell r="K1580" t="str">
            <v>-</v>
          </cell>
          <cell r="L1580">
            <v>2</v>
          </cell>
          <cell r="M1580" t="e">
            <v>#VALUE!</v>
          </cell>
          <cell r="O1580" t="str">
            <v>-</v>
          </cell>
          <cell r="T1580">
            <v>0.25</v>
          </cell>
          <cell r="U1580" t="str">
            <v>-</v>
          </cell>
        </row>
        <row r="1581">
          <cell r="B1581" t="str">
            <v>2L2X2X1/4X3/4</v>
          </cell>
          <cell r="C1581">
            <v>1.89</v>
          </cell>
          <cell r="D1581">
            <v>2</v>
          </cell>
          <cell r="F1581" t="str">
            <v>-</v>
          </cell>
          <cell r="H1581" t="str">
            <v>-</v>
          </cell>
          <cell r="I1581" t="str">
            <v>-</v>
          </cell>
          <cell r="K1581" t="str">
            <v>-</v>
          </cell>
          <cell r="L1581">
            <v>2</v>
          </cell>
          <cell r="M1581" t="e">
            <v>#VALUE!</v>
          </cell>
          <cell r="O1581" t="str">
            <v>-</v>
          </cell>
          <cell r="T1581">
            <v>0.25</v>
          </cell>
          <cell r="U1581" t="str">
            <v>-</v>
          </cell>
        </row>
        <row r="1582">
          <cell r="B1582" t="str">
            <v>2L2X2X3/16</v>
          </cell>
          <cell r="C1582">
            <v>1.44</v>
          </cell>
          <cell r="D1582">
            <v>2</v>
          </cell>
          <cell r="F1582" t="str">
            <v>-</v>
          </cell>
          <cell r="H1582" t="str">
            <v>-</v>
          </cell>
          <cell r="I1582" t="str">
            <v>-</v>
          </cell>
          <cell r="K1582" t="str">
            <v>-</v>
          </cell>
          <cell r="L1582">
            <v>2</v>
          </cell>
          <cell r="M1582" t="e">
            <v>#VALUE!</v>
          </cell>
          <cell r="O1582" t="str">
            <v>-</v>
          </cell>
          <cell r="T1582">
            <v>0.188</v>
          </cell>
          <cell r="U1582" t="str">
            <v>-</v>
          </cell>
        </row>
        <row r="1583">
          <cell r="B1583" t="str">
            <v>2L2X2X3/16X3/8</v>
          </cell>
          <cell r="C1583">
            <v>1.44</v>
          </cell>
          <cell r="D1583">
            <v>2</v>
          </cell>
          <cell r="F1583" t="str">
            <v>-</v>
          </cell>
          <cell r="H1583" t="str">
            <v>-</v>
          </cell>
          <cell r="I1583" t="str">
            <v>-</v>
          </cell>
          <cell r="K1583" t="str">
            <v>-</v>
          </cell>
          <cell r="L1583">
            <v>2</v>
          </cell>
          <cell r="M1583" t="e">
            <v>#VALUE!</v>
          </cell>
          <cell r="O1583" t="str">
            <v>-</v>
          </cell>
          <cell r="T1583">
            <v>0.188</v>
          </cell>
          <cell r="U1583" t="str">
            <v>-</v>
          </cell>
        </row>
        <row r="1584">
          <cell r="B1584" t="str">
            <v>2L2X2X3/16X3/4</v>
          </cell>
          <cell r="C1584">
            <v>1.44</v>
          </cell>
          <cell r="D1584">
            <v>2</v>
          </cell>
          <cell r="F1584" t="str">
            <v>-</v>
          </cell>
          <cell r="H1584" t="str">
            <v>-</v>
          </cell>
          <cell r="I1584" t="str">
            <v>-</v>
          </cell>
          <cell r="K1584" t="str">
            <v>-</v>
          </cell>
          <cell r="L1584">
            <v>2</v>
          </cell>
          <cell r="M1584" t="e">
            <v>#VALUE!</v>
          </cell>
          <cell r="O1584" t="str">
            <v>-</v>
          </cell>
          <cell r="T1584">
            <v>0.188</v>
          </cell>
          <cell r="U1584" t="str">
            <v>-</v>
          </cell>
        </row>
        <row r="1585">
          <cell r="B1585" t="str">
            <v>2L2X2X1/8</v>
          </cell>
          <cell r="C1585">
            <v>0.98199999999999998</v>
          </cell>
          <cell r="D1585">
            <v>2</v>
          </cell>
          <cell r="F1585" t="str">
            <v>-</v>
          </cell>
          <cell r="H1585" t="str">
            <v>-</v>
          </cell>
          <cell r="I1585" t="str">
            <v>-</v>
          </cell>
          <cell r="K1585" t="str">
            <v>-</v>
          </cell>
          <cell r="L1585">
            <v>2</v>
          </cell>
          <cell r="M1585" t="e">
            <v>#VALUE!</v>
          </cell>
          <cell r="O1585" t="str">
            <v>-</v>
          </cell>
          <cell r="T1585">
            <v>0.125</v>
          </cell>
          <cell r="U1585" t="str">
            <v>-</v>
          </cell>
        </row>
        <row r="1586">
          <cell r="B1586" t="str">
            <v>2L2X2X1/8X3/8</v>
          </cell>
          <cell r="C1586">
            <v>0.98199999999999998</v>
          </cell>
          <cell r="D1586">
            <v>2</v>
          </cell>
          <cell r="F1586" t="str">
            <v>-</v>
          </cell>
          <cell r="H1586" t="str">
            <v>-</v>
          </cell>
          <cell r="I1586" t="str">
            <v>-</v>
          </cell>
          <cell r="K1586" t="str">
            <v>-</v>
          </cell>
          <cell r="L1586">
            <v>2</v>
          </cell>
          <cell r="M1586" t="e">
            <v>#VALUE!</v>
          </cell>
          <cell r="O1586" t="str">
            <v>-</v>
          </cell>
          <cell r="T1586">
            <v>0.125</v>
          </cell>
          <cell r="U1586" t="str">
            <v>-</v>
          </cell>
        </row>
        <row r="1587">
          <cell r="B1587" t="str">
            <v>2L2X2X1/8X3/4</v>
          </cell>
          <cell r="C1587">
            <v>0.98199999999999998</v>
          </cell>
          <cell r="D1587">
            <v>2</v>
          </cell>
          <cell r="F1587" t="str">
            <v>-</v>
          </cell>
          <cell r="H1587" t="str">
            <v>-</v>
          </cell>
          <cell r="I1587" t="str">
            <v>-</v>
          </cell>
          <cell r="K1587" t="str">
            <v>-</v>
          </cell>
          <cell r="L1587">
            <v>2</v>
          </cell>
          <cell r="M1587" t="e">
            <v>#VALUE!</v>
          </cell>
          <cell r="O1587" t="str">
            <v>-</v>
          </cell>
          <cell r="T1587">
            <v>0.125</v>
          </cell>
          <cell r="U1587" t="str">
            <v>-</v>
          </cell>
        </row>
        <row r="1588">
          <cell r="B1588" t="str">
            <v>2L8X6X1LLBB</v>
          </cell>
          <cell r="C1588">
            <v>26.2</v>
          </cell>
          <cell r="D1588">
            <v>8</v>
          </cell>
          <cell r="F1588" t="str">
            <v>-</v>
          </cell>
          <cell r="H1588" t="str">
            <v>-</v>
          </cell>
          <cell r="I1588" t="str">
            <v>-</v>
          </cell>
          <cell r="K1588" t="str">
            <v>-</v>
          </cell>
          <cell r="L1588">
            <v>6</v>
          </cell>
          <cell r="M1588" t="e">
            <v>#VALUE!</v>
          </cell>
          <cell r="O1588" t="str">
            <v>-</v>
          </cell>
          <cell r="T1588">
            <v>1</v>
          </cell>
          <cell r="U1588" t="str">
            <v>-</v>
          </cell>
        </row>
        <row r="1589">
          <cell r="B1589" t="str">
            <v>2L8X6X1X3/8LLBB</v>
          </cell>
          <cell r="C1589">
            <v>26.2</v>
          </cell>
          <cell r="D1589">
            <v>8</v>
          </cell>
          <cell r="F1589" t="str">
            <v>-</v>
          </cell>
          <cell r="H1589" t="str">
            <v>-</v>
          </cell>
          <cell r="I1589" t="str">
            <v>-</v>
          </cell>
          <cell r="K1589" t="str">
            <v>-</v>
          </cell>
          <cell r="L1589">
            <v>6</v>
          </cell>
          <cell r="M1589" t="e">
            <v>#VALUE!</v>
          </cell>
          <cell r="O1589" t="str">
            <v>-</v>
          </cell>
          <cell r="T1589">
            <v>1</v>
          </cell>
          <cell r="U1589" t="str">
            <v>-</v>
          </cell>
        </row>
        <row r="1590">
          <cell r="B1590" t="str">
            <v>2L8X6X1X3/4LLBB</v>
          </cell>
          <cell r="C1590">
            <v>26.2</v>
          </cell>
          <cell r="D1590">
            <v>8</v>
          </cell>
          <cell r="F1590" t="str">
            <v>-</v>
          </cell>
          <cell r="H1590" t="str">
            <v>-</v>
          </cell>
          <cell r="I1590" t="str">
            <v>-</v>
          </cell>
          <cell r="K1590" t="str">
            <v>-</v>
          </cell>
          <cell r="L1590">
            <v>6</v>
          </cell>
          <cell r="M1590" t="e">
            <v>#VALUE!</v>
          </cell>
          <cell r="O1590" t="str">
            <v>-</v>
          </cell>
          <cell r="T1590">
            <v>1</v>
          </cell>
          <cell r="U1590" t="str">
            <v>-</v>
          </cell>
        </row>
        <row r="1591">
          <cell r="B1591" t="str">
            <v>2L8X6X7/8LLBB</v>
          </cell>
          <cell r="C1591">
            <v>23</v>
          </cell>
          <cell r="D1591">
            <v>8</v>
          </cell>
          <cell r="F1591" t="str">
            <v>-</v>
          </cell>
          <cell r="H1591" t="str">
            <v>-</v>
          </cell>
          <cell r="I1591" t="str">
            <v>-</v>
          </cell>
          <cell r="K1591" t="str">
            <v>-</v>
          </cell>
          <cell r="L1591">
            <v>6</v>
          </cell>
          <cell r="M1591" t="e">
            <v>#VALUE!</v>
          </cell>
          <cell r="O1591" t="str">
            <v>-</v>
          </cell>
          <cell r="T1591">
            <v>0.875</v>
          </cell>
          <cell r="U1591" t="str">
            <v>-</v>
          </cell>
        </row>
        <row r="1592">
          <cell r="B1592" t="str">
            <v>2L8X6X7/8X3/8LLBB</v>
          </cell>
          <cell r="C1592">
            <v>23</v>
          </cell>
          <cell r="D1592">
            <v>8</v>
          </cell>
          <cell r="F1592" t="str">
            <v>-</v>
          </cell>
          <cell r="H1592" t="str">
            <v>-</v>
          </cell>
          <cell r="I1592" t="str">
            <v>-</v>
          </cell>
          <cell r="K1592" t="str">
            <v>-</v>
          </cell>
          <cell r="L1592">
            <v>6</v>
          </cell>
          <cell r="M1592" t="e">
            <v>#VALUE!</v>
          </cell>
          <cell r="O1592" t="str">
            <v>-</v>
          </cell>
          <cell r="T1592">
            <v>0.875</v>
          </cell>
          <cell r="U1592" t="str">
            <v>-</v>
          </cell>
        </row>
        <row r="1593">
          <cell r="B1593" t="str">
            <v>2L8X6X7/8X3/4LLBB</v>
          </cell>
          <cell r="C1593">
            <v>23</v>
          </cell>
          <cell r="D1593">
            <v>8</v>
          </cell>
          <cell r="F1593" t="str">
            <v>-</v>
          </cell>
          <cell r="H1593" t="str">
            <v>-</v>
          </cell>
          <cell r="I1593" t="str">
            <v>-</v>
          </cell>
          <cell r="K1593" t="str">
            <v>-</v>
          </cell>
          <cell r="L1593">
            <v>6</v>
          </cell>
          <cell r="M1593" t="e">
            <v>#VALUE!</v>
          </cell>
          <cell r="O1593" t="str">
            <v>-</v>
          </cell>
          <cell r="T1593">
            <v>0.875</v>
          </cell>
          <cell r="U1593" t="str">
            <v>-</v>
          </cell>
        </row>
        <row r="1594">
          <cell r="B1594" t="str">
            <v>2L8X6X3/4LLBB</v>
          </cell>
          <cell r="C1594">
            <v>20</v>
          </cell>
          <cell r="D1594">
            <v>8</v>
          </cell>
          <cell r="F1594" t="str">
            <v>-</v>
          </cell>
          <cell r="H1594" t="str">
            <v>-</v>
          </cell>
          <cell r="I1594" t="str">
            <v>-</v>
          </cell>
          <cell r="K1594" t="str">
            <v>-</v>
          </cell>
          <cell r="L1594">
            <v>6</v>
          </cell>
          <cell r="M1594" t="e">
            <v>#VALUE!</v>
          </cell>
          <cell r="O1594" t="str">
            <v>-</v>
          </cell>
          <cell r="T1594">
            <v>0.75</v>
          </cell>
          <cell r="U1594" t="str">
            <v>-</v>
          </cell>
        </row>
        <row r="1595">
          <cell r="B1595" t="str">
            <v>2L8X6X3/4X3/8LLBB</v>
          </cell>
          <cell r="C1595">
            <v>20</v>
          </cell>
          <cell r="D1595">
            <v>8</v>
          </cell>
          <cell r="F1595" t="str">
            <v>-</v>
          </cell>
          <cell r="H1595" t="str">
            <v>-</v>
          </cell>
          <cell r="I1595" t="str">
            <v>-</v>
          </cell>
          <cell r="K1595" t="str">
            <v>-</v>
          </cell>
          <cell r="L1595">
            <v>6</v>
          </cell>
          <cell r="M1595" t="e">
            <v>#VALUE!</v>
          </cell>
          <cell r="O1595" t="str">
            <v>-</v>
          </cell>
          <cell r="T1595">
            <v>0.75</v>
          </cell>
          <cell r="U1595" t="str">
            <v>-</v>
          </cell>
        </row>
        <row r="1596">
          <cell r="B1596" t="str">
            <v>2L8X6X3/4X3/4LLBB</v>
          </cell>
          <cell r="C1596">
            <v>20</v>
          </cell>
          <cell r="D1596">
            <v>8</v>
          </cell>
          <cell r="F1596" t="str">
            <v>-</v>
          </cell>
          <cell r="H1596" t="str">
            <v>-</v>
          </cell>
          <cell r="I1596" t="str">
            <v>-</v>
          </cell>
          <cell r="K1596" t="str">
            <v>-</v>
          </cell>
          <cell r="L1596">
            <v>6</v>
          </cell>
          <cell r="M1596" t="e">
            <v>#VALUE!</v>
          </cell>
          <cell r="O1596" t="str">
            <v>-</v>
          </cell>
          <cell r="T1596">
            <v>0.75</v>
          </cell>
          <cell r="U1596" t="str">
            <v>-</v>
          </cell>
        </row>
        <row r="1597">
          <cell r="B1597" t="str">
            <v>2L8X6X5/8LLBB</v>
          </cell>
          <cell r="C1597">
            <v>16.8</v>
          </cell>
          <cell r="D1597">
            <v>8</v>
          </cell>
          <cell r="F1597" t="str">
            <v>-</v>
          </cell>
          <cell r="H1597" t="str">
            <v>-</v>
          </cell>
          <cell r="I1597" t="str">
            <v>-</v>
          </cell>
          <cell r="K1597" t="str">
            <v>-</v>
          </cell>
          <cell r="L1597">
            <v>6</v>
          </cell>
          <cell r="M1597" t="e">
            <v>#VALUE!</v>
          </cell>
          <cell r="O1597" t="str">
            <v>-</v>
          </cell>
          <cell r="T1597">
            <v>0.625</v>
          </cell>
          <cell r="U1597" t="str">
            <v>-</v>
          </cell>
        </row>
        <row r="1598">
          <cell r="B1598" t="str">
            <v>2L8X6X5/8X3/8LLBB</v>
          </cell>
          <cell r="C1598">
            <v>16.8</v>
          </cell>
          <cell r="D1598">
            <v>8</v>
          </cell>
          <cell r="F1598" t="str">
            <v>-</v>
          </cell>
          <cell r="H1598" t="str">
            <v>-</v>
          </cell>
          <cell r="I1598" t="str">
            <v>-</v>
          </cell>
          <cell r="K1598" t="str">
            <v>-</v>
          </cell>
          <cell r="L1598">
            <v>6</v>
          </cell>
          <cell r="M1598" t="e">
            <v>#VALUE!</v>
          </cell>
          <cell r="O1598" t="str">
            <v>-</v>
          </cell>
          <cell r="T1598">
            <v>0.625</v>
          </cell>
          <cell r="U1598" t="str">
            <v>-</v>
          </cell>
        </row>
        <row r="1599">
          <cell r="B1599" t="str">
            <v>2L8X6X5/8X3/4LLBB</v>
          </cell>
          <cell r="C1599">
            <v>16.8</v>
          </cell>
          <cell r="D1599">
            <v>8</v>
          </cell>
          <cell r="F1599" t="str">
            <v>-</v>
          </cell>
          <cell r="H1599" t="str">
            <v>-</v>
          </cell>
          <cell r="I1599" t="str">
            <v>-</v>
          </cell>
          <cell r="K1599" t="str">
            <v>-</v>
          </cell>
          <cell r="L1599">
            <v>6</v>
          </cell>
          <cell r="M1599" t="e">
            <v>#VALUE!</v>
          </cell>
          <cell r="O1599" t="str">
            <v>-</v>
          </cell>
          <cell r="T1599">
            <v>0.625</v>
          </cell>
          <cell r="U1599" t="str">
            <v>-</v>
          </cell>
        </row>
        <row r="1600">
          <cell r="B1600" t="str">
            <v>2L8X6X9/16LLBB</v>
          </cell>
          <cell r="C1600">
            <v>15.2</v>
          </cell>
          <cell r="D1600">
            <v>8</v>
          </cell>
          <cell r="F1600" t="str">
            <v>-</v>
          </cell>
          <cell r="H1600" t="str">
            <v>-</v>
          </cell>
          <cell r="I1600" t="str">
            <v>-</v>
          </cell>
          <cell r="K1600" t="str">
            <v>-</v>
          </cell>
          <cell r="L1600">
            <v>6</v>
          </cell>
          <cell r="M1600" t="e">
            <v>#VALUE!</v>
          </cell>
          <cell r="O1600" t="str">
            <v>-</v>
          </cell>
          <cell r="T1600">
            <v>0.56299999999999994</v>
          </cell>
          <cell r="U1600" t="str">
            <v>-</v>
          </cell>
        </row>
        <row r="1601">
          <cell r="B1601" t="str">
            <v>2L8X6X9/16X3/8LLBB</v>
          </cell>
          <cell r="C1601">
            <v>15.2</v>
          </cell>
          <cell r="D1601">
            <v>8</v>
          </cell>
          <cell r="F1601" t="str">
            <v>-</v>
          </cell>
          <cell r="H1601" t="str">
            <v>-</v>
          </cell>
          <cell r="I1601" t="str">
            <v>-</v>
          </cell>
          <cell r="K1601" t="str">
            <v>-</v>
          </cell>
          <cell r="L1601">
            <v>6</v>
          </cell>
          <cell r="M1601" t="e">
            <v>#VALUE!</v>
          </cell>
          <cell r="O1601" t="str">
            <v>-</v>
          </cell>
          <cell r="T1601">
            <v>0.56299999999999994</v>
          </cell>
          <cell r="U1601" t="str">
            <v>-</v>
          </cell>
        </row>
        <row r="1602">
          <cell r="B1602" t="str">
            <v>2L8X6X9/16X3/4LLBB</v>
          </cell>
          <cell r="C1602">
            <v>15.2</v>
          </cell>
          <cell r="D1602">
            <v>8</v>
          </cell>
          <cell r="F1602" t="str">
            <v>-</v>
          </cell>
          <cell r="H1602" t="str">
            <v>-</v>
          </cell>
          <cell r="I1602" t="str">
            <v>-</v>
          </cell>
          <cell r="K1602" t="str">
            <v>-</v>
          </cell>
          <cell r="L1602">
            <v>6</v>
          </cell>
          <cell r="M1602" t="e">
            <v>#VALUE!</v>
          </cell>
          <cell r="O1602" t="str">
            <v>-</v>
          </cell>
          <cell r="T1602">
            <v>0.56299999999999994</v>
          </cell>
          <cell r="U1602" t="str">
            <v>-</v>
          </cell>
        </row>
        <row r="1603">
          <cell r="B1603" t="str">
            <v>2L8X6X1/2LLBB</v>
          </cell>
          <cell r="C1603">
            <v>13.6</v>
          </cell>
          <cell r="D1603">
            <v>8</v>
          </cell>
          <cell r="F1603" t="str">
            <v>-</v>
          </cell>
          <cell r="H1603" t="str">
            <v>-</v>
          </cell>
          <cell r="I1603" t="str">
            <v>-</v>
          </cell>
          <cell r="K1603" t="str">
            <v>-</v>
          </cell>
          <cell r="L1603">
            <v>6</v>
          </cell>
          <cell r="M1603" t="e">
            <v>#VALUE!</v>
          </cell>
          <cell r="O1603" t="str">
            <v>-</v>
          </cell>
          <cell r="T1603">
            <v>0.5</v>
          </cell>
          <cell r="U1603" t="str">
            <v>-</v>
          </cell>
        </row>
        <row r="1604">
          <cell r="B1604" t="str">
            <v>2L8X6X1/2X3/8LLBB</v>
          </cell>
          <cell r="C1604">
            <v>13.6</v>
          </cell>
          <cell r="D1604">
            <v>8</v>
          </cell>
          <cell r="F1604" t="str">
            <v>-</v>
          </cell>
          <cell r="H1604" t="str">
            <v>-</v>
          </cell>
          <cell r="I1604" t="str">
            <v>-</v>
          </cell>
          <cell r="K1604" t="str">
            <v>-</v>
          </cell>
          <cell r="L1604">
            <v>6</v>
          </cell>
          <cell r="M1604" t="e">
            <v>#VALUE!</v>
          </cell>
          <cell r="O1604" t="str">
            <v>-</v>
          </cell>
          <cell r="T1604">
            <v>0.5</v>
          </cell>
          <cell r="U1604" t="str">
            <v>-</v>
          </cell>
        </row>
        <row r="1605">
          <cell r="B1605" t="str">
            <v>2L8X6X1/2X3/4LLBB</v>
          </cell>
          <cell r="C1605">
            <v>13.6</v>
          </cell>
          <cell r="D1605">
            <v>8</v>
          </cell>
          <cell r="F1605" t="str">
            <v>-</v>
          </cell>
          <cell r="H1605" t="str">
            <v>-</v>
          </cell>
          <cell r="I1605" t="str">
            <v>-</v>
          </cell>
          <cell r="K1605" t="str">
            <v>-</v>
          </cell>
          <cell r="L1605">
            <v>6</v>
          </cell>
          <cell r="M1605" t="e">
            <v>#VALUE!</v>
          </cell>
          <cell r="O1605" t="str">
            <v>-</v>
          </cell>
          <cell r="T1605">
            <v>0.5</v>
          </cell>
          <cell r="U1605" t="str">
            <v>-</v>
          </cell>
        </row>
        <row r="1606">
          <cell r="B1606" t="str">
            <v>2L8X6X7/16LLBB</v>
          </cell>
          <cell r="C1606">
            <v>12</v>
          </cell>
          <cell r="D1606">
            <v>8</v>
          </cell>
          <cell r="F1606" t="str">
            <v>-</v>
          </cell>
          <cell r="H1606" t="str">
            <v>-</v>
          </cell>
          <cell r="I1606" t="str">
            <v>-</v>
          </cell>
          <cell r="K1606" t="str">
            <v>-</v>
          </cell>
          <cell r="L1606">
            <v>6</v>
          </cell>
          <cell r="M1606" t="e">
            <v>#VALUE!</v>
          </cell>
          <cell r="O1606" t="str">
            <v>-</v>
          </cell>
          <cell r="T1606">
            <v>0.438</v>
          </cell>
          <cell r="U1606" t="str">
            <v>-</v>
          </cell>
        </row>
        <row r="1607">
          <cell r="B1607" t="str">
            <v>2L8X6X7/16X3/8LLBB</v>
          </cell>
          <cell r="C1607">
            <v>12</v>
          </cell>
          <cell r="D1607">
            <v>8</v>
          </cell>
          <cell r="F1607" t="str">
            <v>-</v>
          </cell>
          <cell r="H1607" t="str">
            <v>-</v>
          </cell>
          <cell r="I1607" t="str">
            <v>-</v>
          </cell>
          <cell r="K1607" t="str">
            <v>-</v>
          </cell>
          <cell r="L1607">
            <v>6</v>
          </cell>
          <cell r="M1607" t="e">
            <v>#VALUE!</v>
          </cell>
          <cell r="O1607" t="str">
            <v>-</v>
          </cell>
          <cell r="T1607">
            <v>0.438</v>
          </cell>
          <cell r="U1607" t="str">
            <v>-</v>
          </cell>
        </row>
        <row r="1608">
          <cell r="B1608" t="str">
            <v>2L8X6X7/16X3/4LLBB</v>
          </cell>
          <cell r="C1608">
            <v>12</v>
          </cell>
          <cell r="D1608">
            <v>8</v>
          </cell>
          <cell r="F1608" t="str">
            <v>-</v>
          </cell>
          <cell r="H1608" t="str">
            <v>-</v>
          </cell>
          <cell r="I1608" t="str">
            <v>-</v>
          </cell>
          <cell r="K1608" t="str">
            <v>-</v>
          </cell>
          <cell r="L1608">
            <v>6</v>
          </cell>
          <cell r="M1608" t="e">
            <v>#VALUE!</v>
          </cell>
          <cell r="O1608" t="str">
            <v>-</v>
          </cell>
          <cell r="T1608">
            <v>0.438</v>
          </cell>
          <cell r="U1608" t="str">
            <v>-</v>
          </cell>
        </row>
        <row r="1609">
          <cell r="B1609" t="str">
            <v>2L8X4X1LLBB</v>
          </cell>
          <cell r="C1609">
            <v>22.2</v>
          </cell>
          <cell r="D1609">
            <v>8</v>
          </cell>
          <cell r="F1609" t="str">
            <v>-</v>
          </cell>
          <cell r="H1609" t="str">
            <v>-</v>
          </cell>
          <cell r="I1609" t="str">
            <v>-</v>
          </cell>
          <cell r="K1609" t="str">
            <v>-</v>
          </cell>
          <cell r="L1609">
            <v>4</v>
          </cell>
          <cell r="M1609" t="e">
            <v>#VALUE!</v>
          </cell>
          <cell r="O1609" t="str">
            <v>-</v>
          </cell>
          <cell r="T1609">
            <v>1</v>
          </cell>
          <cell r="U1609" t="str">
            <v>-</v>
          </cell>
        </row>
        <row r="1610">
          <cell r="B1610" t="str">
            <v>2L8X4X1X3/8LLBB</v>
          </cell>
          <cell r="C1610">
            <v>22.2</v>
          </cell>
          <cell r="D1610">
            <v>8</v>
          </cell>
          <cell r="F1610" t="str">
            <v>-</v>
          </cell>
          <cell r="H1610" t="str">
            <v>-</v>
          </cell>
          <cell r="I1610" t="str">
            <v>-</v>
          </cell>
          <cell r="K1610" t="str">
            <v>-</v>
          </cell>
          <cell r="L1610">
            <v>4</v>
          </cell>
          <cell r="M1610" t="e">
            <v>#VALUE!</v>
          </cell>
          <cell r="O1610" t="str">
            <v>-</v>
          </cell>
          <cell r="T1610">
            <v>1</v>
          </cell>
          <cell r="U1610" t="str">
            <v>-</v>
          </cell>
        </row>
        <row r="1611">
          <cell r="B1611" t="str">
            <v>2L8X4X1X3/4LLBB</v>
          </cell>
          <cell r="C1611">
            <v>22.2</v>
          </cell>
          <cell r="D1611">
            <v>8</v>
          </cell>
          <cell r="F1611" t="str">
            <v>-</v>
          </cell>
          <cell r="H1611" t="str">
            <v>-</v>
          </cell>
          <cell r="I1611" t="str">
            <v>-</v>
          </cell>
          <cell r="K1611" t="str">
            <v>-</v>
          </cell>
          <cell r="L1611">
            <v>4</v>
          </cell>
          <cell r="M1611" t="e">
            <v>#VALUE!</v>
          </cell>
          <cell r="O1611" t="str">
            <v>-</v>
          </cell>
          <cell r="T1611">
            <v>1</v>
          </cell>
          <cell r="U1611" t="str">
            <v>-</v>
          </cell>
        </row>
        <row r="1612">
          <cell r="B1612" t="str">
            <v>2L8X4X7/8LLBB</v>
          </cell>
          <cell r="C1612">
            <v>19.600000000000001</v>
          </cell>
          <cell r="D1612">
            <v>8</v>
          </cell>
          <cell r="F1612" t="str">
            <v>-</v>
          </cell>
          <cell r="H1612" t="str">
            <v>-</v>
          </cell>
          <cell r="I1612" t="str">
            <v>-</v>
          </cell>
          <cell r="K1612" t="str">
            <v>-</v>
          </cell>
          <cell r="L1612">
            <v>4</v>
          </cell>
          <cell r="M1612" t="e">
            <v>#VALUE!</v>
          </cell>
          <cell r="O1612" t="str">
            <v>-</v>
          </cell>
          <cell r="T1612">
            <v>0.875</v>
          </cell>
          <cell r="U1612" t="str">
            <v>-</v>
          </cell>
        </row>
        <row r="1613">
          <cell r="B1613" t="str">
            <v>2L8X4X7/8X3/8LLBB</v>
          </cell>
          <cell r="C1613">
            <v>19.600000000000001</v>
          </cell>
          <cell r="D1613">
            <v>8</v>
          </cell>
          <cell r="F1613" t="str">
            <v>-</v>
          </cell>
          <cell r="H1613" t="str">
            <v>-</v>
          </cell>
          <cell r="I1613" t="str">
            <v>-</v>
          </cell>
          <cell r="K1613" t="str">
            <v>-</v>
          </cell>
          <cell r="L1613">
            <v>4</v>
          </cell>
          <cell r="M1613" t="e">
            <v>#VALUE!</v>
          </cell>
          <cell r="O1613" t="str">
            <v>-</v>
          </cell>
          <cell r="T1613">
            <v>0.875</v>
          </cell>
          <cell r="U1613" t="str">
            <v>-</v>
          </cell>
        </row>
        <row r="1614">
          <cell r="B1614" t="str">
            <v>2L8X4X7/8X3/4LLBB</v>
          </cell>
          <cell r="C1614">
            <v>19.600000000000001</v>
          </cell>
          <cell r="D1614">
            <v>8</v>
          </cell>
          <cell r="F1614" t="str">
            <v>-</v>
          </cell>
          <cell r="H1614" t="str">
            <v>-</v>
          </cell>
          <cell r="I1614" t="str">
            <v>-</v>
          </cell>
          <cell r="K1614" t="str">
            <v>-</v>
          </cell>
          <cell r="L1614">
            <v>4</v>
          </cell>
          <cell r="M1614" t="e">
            <v>#VALUE!</v>
          </cell>
          <cell r="O1614" t="str">
            <v>-</v>
          </cell>
          <cell r="T1614">
            <v>0.875</v>
          </cell>
          <cell r="U1614" t="str">
            <v>-</v>
          </cell>
        </row>
        <row r="1615">
          <cell r="B1615" t="str">
            <v>2L8X4X3/4LLBB</v>
          </cell>
          <cell r="C1615">
            <v>17</v>
          </cell>
          <cell r="D1615">
            <v>8</v>
          </cell>
          <cell r="F1615" t="str">
            <v>-</v>
          </cell>
          <cell r="H1615" t="str">
            <v>-</v>
          </cell>
          <cell r="I1615" t="str">
            <v>-</v>
          </cell>
          <cell r="K1615" t="str">
            <v>-</v>
          </cell>
          <cell r="L1615">
            <v>4</v>
          </cell>
          <cell r="M1615" t="e">
            <v>#VALUE!</v>
          </cell>
          <cell r="O1615" t="str">
            <v>-</v>
          </cell>
          <cell r="T1615">
            <v>0.75</v>
          </cell>
          <cell r="U1615" t="str">
            <v>-</v>
          </cell>
        </row>
        <row r="1616">
          <cell r="B1616" t="str">
            <v>2L8X4X3/4X3/8LLBB</v>
          </cell>
          <cell r="C1616">
            <v>17</v>
          </cell>
          <cell r="D1616">
            <v>8</v>
          </cell>
          <cell r="F1616" t="str">
            <v>-</v>
          </cell>
          <cell r="H1616" t="str">
            <v>-</v>
          </cell>
          <cell r="I1616" t="str">
            <v>-</v>
          </cell>
          <cell r="K1616" t="str">
            <v>-</v>
          </cell>
          <cell r="L1616">
            <v>4</v>
          </cell>
          <cell r="M1616" t="e">
            <v>#VALUE!</v>
          </cell>
          <cell r="O1616" t="str">
            <v>-</v>
          </cell>
          <cell r="T1616">
            <v>0.75</v>
          </cell>
          <cell r="U1616" t="str">
            <v>-</v>
          </cell>
        </row>
        <row r="1617">
          <cell r="B1617" t="str">
            <v>2L8X4X3/4X3/4LLBB</v>
          </cell>
          <cell r="C1617">
            <v>17</v>
          </cell>
          <cell r="D1617">
            <v>8</v>
          </cell>
          <cell r="F1617" t="str">
            <v>-</v>
          </cell>
          <cell r="H1617" t="str">
            <v>-</v>
          </cell>
          <cell r="I1617" t="str">
            <v>-</v>
          </cell>
          <cell r="K1617" t="str">
            <v>-</v>
          </cell>
          <cell r="L1617">
            <v>4</v>
          </cell>
          <cell r="M1617" t="e">
            <v>#VALUE!</v>
          </cell>
          <cell r="O1617" t="str">
            <v>-</v>
          </cell>
          <cell r="T1617">
            <v>0.75</v>
          </cell>
          <cell r="U1617" t="str">
            <v>-</v>
          </cell>
        </row>
        <row r="1618">
          <cell r="B1618" t="str">
            <v>2L8X4X5/8LLBB</v>
          </cell>
          <cell r="C1618">
            <v>14.3</v>
          </cell>
          <cell r="D1618">
            <v>8</v>
          </cell>
          <cell r="F1618" t="str">
            <v>-</v>
          </cell>
          <cell r="H1618" t="str">
            <v>-</v>
          </cell>
          <cell r="I1618" t="str">
            <v>-</v>
          </cell>
          <cell r="K1618" t="str">
            <v>-</v>
          </cell>
          <cell r="L1618">
            <v>4</v>
          </cell>
          <cell r="M1618" t="e">
            <v>#VALUE!</v>
          </cell>
          <cell r="O1618" t="str">
            <v>-</v>
          </cell>
          <cell r="T1618">
            <v>0.625</v>
          </cell>
          <cell r="U1618" t="str">
            <v>-</v>
          </cell>
        </row>
        <row r="1619">
          <cell r="B1619" t="str">
            <v>2L8X4X5/8X3/8LLBB</v>
          </cell>
          <cell r="C1619">
            <v>14.3</v>
          </cell>
          <cell r="D1619">
            <v>8</v>
          </cell>
          <cell r="F1619" t="str">
            <v>-</v>
          </cell>
          <cell r="H1619" t="str">
            <v>-</v>
          </cell>
          <cell r="I1619" t="str">
            <v>-</v>
          </cell>
          <cell r="K1619" t="str">
            <v>-</v>
          </cell>
          <cell r="L1619">
            <v>4</v>
          </cell>
          <cell r="M1619" t="e">
            <v>#VALUE!</v>
          </cell>
          <cell r="O1619" t="str">
            <v>-</v>
          </cell>
          <cell r="T1619">
            <v>0.625</v>
          </cell>
          <cell r="U1619" t="str">
            <v>-</v>
          </cell>
        </row>
        <row r="1620">
          <cell r="B1620" t="str">
            <v>2L8X4X5/8X3/4LLBB</v>
          </cell>
          <cell r="C1620">
            <v>14.3</v>
          </cell>
          <cell r="D1620">
            <v>8</v>
          </cell>
          <cell r="F1620" t="str">
            <v>-</v>
          </cell>
          <cell r="H1620" t="str">
            <v>-</v>
          </cell>
          <cell r="I1620" t="str">
            <v>-</v>
          </cell>
          <cell r="K1620" t="str">
            <v>-</v>
          </cell>
          <cell r="L1620">
            <v>4</v>
          </cell>
          <cell r="M1620" t="e">
            <v>#VALUE!</v>
          </cell>
          <cell r="O1620" t="str">
            <v>-</v>
          </cell>
          <cell r="T1620">
            <v>0.625</v>
          </cell>
          <cell r="U1620" t="str">
            <v>-</v>
          </cell>
        </row>
        <row r="1621">
          <cell r="B1621" t="str">
            <v>2L8X4X9/16LLBB</v>
          </cell>
          <cell r="C1621">
            <v>13</v>
          </cell>
          <cell r="D1621">
            <v>8</v>
          </cell>
          <cell r="F1621" t="str">
            <v>-</v>
          </cell>
          <cell r="H1621" t="str">
            <v>-</v>
          </cell>
          <cell r="I1621" t="str">
            <v>-</v>
          </cell>
          <cell r="K1621" t="str">
            <v>-</v>
          </cell>
          <cell r="L1621">
            <v>4</v>
          </cell>
          <cell r="M1621" t="e">
            <v>#VALUE!</v>
          </cell>
          <cell r="O1621" t="str">
            <v>-</v>
          </cell>
          <cell r="T1621">
            <v>0.56299999999999994</v>
          </cell>
          <cell r="U1621" t="str">
            <v>-</v>
          </cell>
        </row>
        <row r="1622">
          <cell r="B1622" t="str">
            <v>2L8X4X9/16X3/8LLBB</v>
          </cell>
          <cell r="C1622">
            <v>13</v>
          </cell>
          <cell r="D1622">
            <v>8</v>
          </cell>
          <cell r="F1622" t="str">
            <v>-</v>
          </cell>
          <cell r="H1622" t="str">
            <v>-</v>
          </cell>
          <cell r="I1622" t="str">
            <v>-</v>
          </cell>
          <cell r="K1622" t="str">
            <v>-</v>
          </cell>
          <cell r="L1622">
            <v>4</v>
          </cell>
          <cell r="M1622" t="e">
            <v>#VALUE!</v>
          </cell>
          <cell r="O1622" t="str">
            <v>-</v>
          </cell>
          <cell r="T1622">
            <v>0.56299999999999994</v>
          </cell>
          <cell r="U1622" t="str">
            <v>-</v>
          </cell>
        </row>
        <row r="1623">
          <cell r="B1623" t="str">
            <v>2L8X4X9/16X3/4LLBB</v>
          </cell>
          <cell r="C1623">
            <v>13</v>
          </cell>
          <cell r="D1623">
            <v>8</v>
          </cell>
          <cell r="F1623" t="str">
            <v>-</v>
          </cell>
          <cell r="H1623" t="str">
            <v>-</v>
          </cell>
          <cell r="I1623" t="str">
            <v>-</v>
          </cell>
          <cell r="K1623" t="str">
            <v>-</v>
          </cell>
          <cell r="L1623">
            <v>4</v>
          </cell>
          <cell r="M1623" t="e">
            <v>#VALUE!</v>
          </cell>
          <cell r="O1623" t="str">
            <v>-</v>
          </cell>
          <cell r="T1623">
            <v>0.56299999999999994</v>
          </cell>
          <cell r="U1623" t="str">
            <v>-</v>
          </cell>
        </row>
        <row r="1624">
          <cell r="B1624" t="str">
            <v>2L8X4X1/2LLBB</v>
          </cell>
          <cell r="C1624">
            <v>11.6</v>
          </cell>
          <cell r="D1624">
            <v>8</v>
          </cell>
          <cell r="F1624" t="str">
            <v>-</v>
          </cell>
          <cell r="H1624" t="str">
            <v>-</v>
          </cell>
          <cell r="I1624" t="str">
            <v>-</v>
          </cell>
          <cell r="K1624" t="str">
            <v>-</v>
          </cell>
          <cell r="L1624">
            <v>4</v>
          </cell>
          <cell r="M1624" t="e">
            <v>#VALUE!</v>
          </cell>
          <cell r="O1624" t="str">
            <v>-</v>
          </cell>
          <cell r="T1624">
            <v>0.5</v>
          </cell>
          <cell r="U1624" t="str">
            <v>-</v>
          </cell>
        </row>
        <row r="1625">
          <cell r="B1625" t="str">
            <v>2L8X4X1/2X3/8LLBB</v>
          </cell>
          <cell r="C1625">
            <v>11.6</v>
          </cell>
          <cell r="D1625">
            <v>8</v>
          </cell>
          <cell r="F1625" t="str">
            <v>-</v>
          </cell>
          <cell r="H1625" t="str">
            <v>-</v>
          </cell>
          <cell r="I1625" t="str">
            <v>-</v>
          </cell>
          <cell r="K1625" t="str">
            <v>-</v>
          </cell>
          <cell r="L1625">
            <v>4</v>
          </cell>
          <cell r="M1625" t="e">
            <v>#VALUE!</v>
          </cell>
          <cell r="O1625" t="str">
            <v>-</v>
          </cell>
          <cell r="T1625">
            <v>0.5</v>
          </cell>
          <cell r="U1625" t="str">
            <v>-</v>
          </cell>
        </row>
        <row r="1626">
          <cell r="B1626" t="str">
            <v>2L8X4X1/2X3/4LLBB</v>
          </cell>
          <cell r="C1626">
            <v>11.6</v>
          </cell>
          <cell r="D1626">
            <v>8</v>
          </cell>
          <cell r="F1626" t="str">
            <v>-</v>
          </cell>
          <cell r="H1626" t="str">
            <v>-</v>
          </cell>
          <cell r="I1626" t="str">
            <v>-</v>
          </cell>
          <cell r="K1626" t="str">
            <v>-</v>
          </cell>
          <cell r="L1626">
            <v>4</v>
          </cell>
          <cell r="M1626" t="e">
            <v>#VALUE!</v>
          </cell>
          <cell r="O1626" t="str">
            <v>-</v>
          </cell>
          <cell r="T1626">
            <v>0.5</v>
          </cell>
          <cell r="U1626" t="str">
            <v>-</v>
          </cell>
        </row>
        <row r="1627">
          <cell r="B1627" t="str">
            <v>2L8X4X7/16LLBB</v>
          </cell>
          <cell r="C1627">
            <v>10.199999999999999</v>
          </cell>
          <cell r="D1627">
            <v>8</v>
          </cell>
          <cell r="F1627" t="str">
            <v>-</v>
          </cell>
          <cell r="H1627" t="str">
            <v>-</v>
          </cell>
          <cell r="I1627" t="str">
            <v>-</v>
          </cell>
          <cell r="K1627" t="str">
            <v>-</v>
          </cell>
          <cell r="L1627">
            <v>4</v>
          </cell>
          <cell r="M1627" t="e">
            <v>#VALUE!</v>
          </cell>
          <cell r="O1627" t="str">
            <v>-</v>
          </cell>
          <cell r="T1627">
            <v>0.438</v>
          </cell>
          <cell r="U1627" t="str">
            <v>-</v>
          </cell>
        </row>
        <row r="1628">
          <cell r="B1628" t="str">
            <v>2L8X4X7/16X3/8LLBB</v>
          </cell>
          <cell r="C1628">
            <v>10.199999999999999</v>
          </cell>
          <cell r="D1628">
            <v>8</v>
          </cell>
          <cell r="F1628" t="str">
            <v>-</v>
          </cell>
          <cell r="H1628" t="str">
            <v>-</v>
          </cell>
          <cell r="I1628" t="str">
            <v>-</v>
          </cell>
          <cell r="K1628" t="str">
            <v>-</v>
          </cell>
          <cell r="L1628">
            <v>4</v>
          </cell>
          <cell r="M1628" t="e">
            <v>#VALUE!</v>
          </cell>
          <cell r="O1628" t="str">
            <v>-</v>
          </cell>
          <cell r="T1628">
            <v>0.438</v>
          </cell>
          <cell r="U1628" t="str">
            <v>-</v>
          </cell>
        </row>
        <row r="1629">
          <cell r="B1629" t="str">
            <v>2L8X4X7/16X3/4LLBB</v>
          </cell>
          <cell r="C1629">
            <v>10.199999999999999</v>
          </cell>
          <cell r="D1629">
            <v>8</v>
          </cell>
          <cell r="F1629" t="str">
            <v>-</v>
          </cell>
          <cell r="H1629" t="str">
            <v>-</v>
          </cell>
          <cell r="I1629" t="str">
            <v>-</v>
          </cell>
          <cell r="K1629" t="str">
            <v>-</v>
          </cell>
          <cell r="L1629">
            <v>4</v>
          </cell>
          <cell r="M1629" t="e">
            <v>#VALUE!</v>
          </cell>
          <cell r="O1629" t="str">
            <v>-</v>
          </cell>
          <cell r="T1629">
            <v>0.438</v>
          </cell>
          <cell r="U1629" t="str">
            <v>-</v>
          </cell>
        </row>
        <row r="1630">
          <cell r="B1630" t="str">
            <v>2L7X4X3/4LLBB</v>
          </cell>
          <cell r="C1630">
            <v>15.5</v>
          </cell>
          <cell r="D1630">
            <v>7</v>
          </cell>
          <cell r="F1630" t="str">
            <v>-</v>
          </cell>
          <cell r="H1630" t="str">
            <v>-</v>
          </cell>
          <cell r="I1630" t="str">
            <v>-</v>
          </cell>
          <cell r="K1630" t="str">
            <v>-</v>
          </cell>
          <cell r="L1630">
            <v>4</v>
          </cell>
          <cell r="M1630" t="e">
            <v>#VALUE!</v>
          </cell>
          <cell r="O1630" t="str">
            <v>-</v>
          </cell>
          <cell r="T1630">
            <v>0.75</v>
          </cell>
          <cell r="U1630" t="str">
            <v>-</v>
          </cell>
        </row>
        <row r="1631">
          <cell r="B1631" t="str">
            <v>2L7X4X3/4X3/8LLBB</v>
          </cell>
          <cell r="C1631">
            <v>15.5</v>
          </cell>
          <cell r="D1631">
            <v>7</v>
          </cell>
          <cell r="F1631" t="str">
            <v>-</v>
          </cell>
          <cell r="H1631" t="str">
            <v>-</v>
          </cell>
          <cell r="I1631" t="str">
            <v>-</v>
          </cell>
          <cell r="K1631" t="str">
            <v>-</v>
          </cell>
          <cell r="L1631">
            <v>4</v>
          </cell>
          <cell r="M1631" t="e">
            <v>#VALUE!</v>
          </cell>
          <cell r="O1631" t="str">
            <v>-</v>
          </cell>
          <cell r="T1631">
            <v>0.75</v>
          </cell>
          <cell r="U1631" t="str">
            <v>-</v>
          </cell>
        </row>
        <row r="1632">
          <cell r="B1632" t="str">
            <v>2L7X4X3/4X3/4LLBB</v>
          </cell>
          <cell r="C1632">
            <v>15.5</v>
          </cell>
          <cell r="D1632">
            <v>7</v>
          </cell>
          <cell r="F1632" t="str">
            <v>-</v>
          </cell>
          <cell r="H1632" t="str">
            <v>-</v>
          </cell>
          <cell r="I1632" t="str">
            <v>-</v>
          </cell>
          <cell r="K1632" t="str">
            <v>-</v>
          </cell>
          <cell r="L1632">
            <v>4</v>
          </cell>
          <cell r="M1632" t="e">
            <v>#VALUE!</v>
          </cell>
          <cell r="O1632" t="str">
            <v>-</v>
          </cell>
          <cell r="T1632">
            <v>0.75</v>
          </cell>
          <cell r="U1632" t="str">
            <v>-</v>
          </cell>
        </row>
        <row r="1633">
          <cell r="B1633" t="str">
            <v>2L7X4X5/8LLBB</v>
          </cell>
          <cell r="C1633">
            <v>13</v>
          </cell>
          <cell r="D1633">
            <v>7</v>
          </cell>
          <cell r="F1633" t="str">
            <v>-</v>
          </cell>
          <cell r="H1633" t="str">
            <v>-</v>
          </cell>
          <cell r="I1633" t="str">
            <v>-</v>
          </cell>
          <cell r="K1633" t="str">
            <v>-</v>
          </cell>
          <cell r="L1633">
            <v>4</v>
          </cell>
          <cell r="M1633" t="e">
            <v>#VALUE!</v>
          </cell>
          <cell r="O1633" t="str">
            <v>-</v>
          </cell>
          <cell r="T1633">
            <v>0.625</v>
          </cell>
          <cell r="U1633" t="str">
            <v>-</v>
          </cell>
        </row>
        <row r="1634">
          <cell r="B1634" t="str">
            <v>2L7X4X5/8X3/8LLBB</v>
          </cell>
          <cell r="C1634">
            <v>13</v>
          </cell>
          <cell r="D1634">
            <v>7</v>
          </cell>
          <cell r="F1634" t="str">
            <v>-</v>
          </cell>
          <cell r="H1634" t="str">
            <v>-</v>
          </cell>
          <cell r="I1634" t="str">
            <v>-</v>
          </cell>
          <cell r="K1634" t="str">
            <v>-</v>
          </cell>
          <cell r="L1634">
            <v>4</v>
          </cell>
          <cell r="M1634" t="e">
            <v>#VALUE!</v>
          </cell>
          <cell r="O1634" t="str">
            <v>-</v>
          </cell>
          <cell r="T1634">
            <v>0.625</v>
          </cell>
          <cell r="U1634" t="str">
            <v>-</v>
          </cell>
        </row>
        <row r="1635">
          <cell r="B1635" t="str">
            <v>2L7X4X5/8X3/4LLBB</v>
          </cell>
          <cell r="C1635">
            <v>13</v>
          </cell>
          <cell r="D1635">
            <v>7</v>
          </cell>
          <cell r="F1635" t="str">
            <v>-</v>
          </cell>
          <cell r="H1635" t="str">
            <v>-</v>
          </cell>
          <cell r="I1635" t="str">
            <v>-</v>
          </cell>
          <cell r="K1635" t="str">
            <v>-</v>
          </cell>
          <cell r="L1635">
            <v>4</v>
          </cell>
          <cell r="M1635" t="e">
            <v>#VALUE!</v>
          </cell>
          <cell r="O1635" t="str">
            <v>-</v>
          </cell>
          <cell r="T1635">
            <v>0.625</v>
          </cell>
          <cell r="U1635" t="str">
            <v>-</v>
          </cell>
        </row>
        <row r="1636">
          <cell r="B1636" t="str">
            <v>2L7X4X1/2LLBB</v>
          </cell>
          <cell r="C1636">
            <v>10.5</v>
          </cell>
          <cell r="D1636">
            <v>7</v>
          </cell>
          <cell r="F1636" t="str">
            <v>-</v>
          </cell>
          <cell r="H1636" t="str">
            <v>-</v>
          </cell>
          <cell r="I1636" t="str">
            <v>-</v>
          </cell>
          <cell r="K1636" t="str">
            <v>-</v>
          </cell>
          <cell r="L1636">
            <v>4</v>
          </cell>
          <cell r="M1636" t="e">
            <v>#VALUE!</v>
          </cell>
          <cell r="O1636" t="str">
            <v>-</v>
          </cell>
          <cell r="T1636">
            <v>0.5</v>
          </cell>
          <cell r="U1636" t="str">
            <v>-</v>
          </cell>
        </row>
        <row r="1637">
          <cell r="B1637" t="str">
            <v>2L7X4X1/2X3/8LLBB</v>
          </cell>
          <cell r="C1637">
            <v>10.5</v>
          </cell>
          <cell r="D1637">
            <v>7</v>
          </cell>
          <cell r="F1637" t="str">
            <v>-</v>
          </cell>
          <cell r="H1637" t="str">
            <v>-</v>
          </cell>
          <cell r="I1637" t="str">
            <v>-</v>
          </cell>
          <cell r="K1637" t="str">
            <v>-</v>
          </cell>
          <cell r="L1637">
            <v>4</v>
          </cell>
          <cell r="M1637" t="e">
            <v>#VALUE!</v>
          </cell>
          <cell r="O1637" t="str">
            <v>-</v>
          </cell>
          <cell r="T1637">
            <v>0.5</v>
          </cell>
          <cell r="U1637" t="str">
            <v>-</v>
          </cell>
        </row>
        <row r="1638">
          <cell r="B1638" t="str">
            <v>2L7X4X1/2X3/4LLBB</v>
          </cell>
          <cell r="C1638">
            <v>10.5</v>
          </cell>
          <cell r="D1638">
            <v>7</v>
          </cell>
          <cell r="F1638" t="str">
            <v>-</v>
          </cell>
          <cell r="H1638" t="str">
            <v>-</v>
          </cell>
          <cell r="I1638" t="str">
            <v>-</v>
          </cell>
          <cell r="K1638" t="str">
            <v>-</v>
          </cell>
          <cell r="L1638">
            <v>4</v>
          </cell>
          <cell r="M1638" t="e">
            <v>#VALUE!</v>
          </cell>
          <cell r="O1638" t="str">
            <v>-</v>
          </cell>
          <cell r="T1638">
            <v>0.5</v>
          </cell>
          <cell r="U1638" t="str">
            <v>-</v>
          </cell>
        </row>
        <row r="1639">
          <cell r="B1639" t="str">
            <v>2L7X4X7/16LLBB</v>
          </cell>
          <cell r="C1639">
            <v>9.26</v>
          </cell>
          <cell r="D1639">
            <v>7</v>
          </cell>
          <cell r="F1639" t="str">
            <v>-</v>
          </cell>
          <cell r="H1639" t="str">
            <v>-</v>
          </cell>
          <cell r="I1639" t="str">
            <v>-</v>
          </cell>
          <cell r="K1639" t="str">
            <v>-</v>
          </cell>
          <cell r="L1639">
            <v>4</v>
          </cell>
          <cell r="M1639" t="e">
            <v>#VALUE!</v>
          </cell>
          <cell r="O1639" t="str">
            <v>-</v>
          </cell>
          <cell r="T1639">
            <v>0.438</v>
          </cell>
          <cell r="U1639" t="str">
            <v>-</v>
          </cell>
        </row>
        <row r="1640">
          <cell r="B1640" t="str">
            <v>2L7X4X7/16X3/8LLBB</v>
          </cell>
          <cell r="C1640">
            <v>9.26</v>
          </cell>
          <cell r="D1640">
            <v>7</v>
          </cell>
          <cell r="F1640" t="str">
            <v>-</v>
          </cell>
          <cell r="H1640" t="str">
            <v>-</v>
          </cell>
          <cell r="I1640" t="str">
            <v>-</v>
          </cell>
          <cell r="K1640" t="str">
            <v>-</v>
          </cell>
          <cell r="L1640">
            <v>4</v>
          </cell>
          <cell r="M1640" t="e">
            <v>#VALUE!</v>
          </cell>
          <cell r="O1640" t="str">
            <v>-</v>
          </cell>
          <cell r="T1640">
            <v>0.438</v>
          </cell>
          <cell r="U1640" t="str">
            <v>-</v>
          </cell>
        </row>
        <row r="1641">
          <cell r="B1641" t="str">
            <v>2L7X4X7/16X3/4LLBB</v>
          </cell>
          <cell r="C1641">
            <v>9.26</v>
          </cell>
          <cell r="D1641">
            <v>7</v>
          </cell>
          <cell r="F1641" t="str">
            <v>-</v>
          </cell>
          <cell r="H1641" t="str">
            <v>-</v>
          </cell>
          <cell r="I1641" t="str">
            <v>-</v>
          </cell>
          <cell r="K1641" t="str">
            <v>-</v>
          </cell>
          <cell r="L1641">
            <v>4</v>
          </cell>
          <cell r="M1641" t="e">
            <v>#VALUE!</v>
          </cell>
          <cell r="O1641" t="str">
            <v>-</v>
          </cell>
          <cell r="T1641">
            <v>0.438</v>
          </cell>
          <cell r="U1641" t="str">
            <v>-</v>
          </cell>
        </row>
        <row r="1642">
          <cell r="B1642" t="str">
            <v>2L7X4X3/8LLBB</v>
          </cell>
          <cell r="C1642">
            <v>8</v>
          </cell>
          <cell r="D1642">
            <v>7</v>
          </cell>
          <cell r="F1642" t="str">
            <v>-</v>
          </cell>
          <cell r="H1642" t="str">
            <v>-</v>
          </cell>
          <cell r="I1642" t="str">
            <v>-</v>
          </cell>
          <cell r="K1642" t="str">
            <v>-</v>
          </cell>
          <cell r="L1642">
            <v>4</v>
          </cell>
          <cell r="M1642" t="e">
            <v>#VALUE!</v>
          </cell>
          <cell r="O1642" t="str">
            <v>-</v>
          </cell>
          <cell r="T1642">
            <v>0.375</v>
          </cell>
          <cell r="U1642" t="str">
            <v>-</v>
          </cell>
        </row>
        <row r="1643">
          <cell r="B1643" t="str">
            <v>2L7X4X3/8X3/8LLBB</v>
          </cell>
          <cell r="C1643">
            <v>8</v>
          </cell>
          <cell r="D1643">
            <v>7</v>
          </cell>
          <cell r="F1643" t="str">
            <v>-</v>
          </cell>
          <cell r="H1643" t="str">
            <v>-</v>
          </cell>
          <cell r="I1643" t="str">
            <v>-</v>
          </cell>
          <cell r="K1643" t="str">
            <v>-</v>
          </cell>
          <cell r="L1643">
            <v>4</v>
          </cell>
          <cell r="M1643" t="e">
            <v>#VALUE!</v>
          </cell>
          <cell r="O1643" t="str">
            <v>-</v>
          </cell>
          <cell r="T1643">
            <v>0.375</v>
          </cell>
          <cell r="U1643" t="str">
            <v>-</v>
          </cell>
        </row>
        <row r="1644">
          <cell r="B1644" t="str">
            <v>2L7X4X3/8X3/4LLBB</v>
          </cell>
          <cell r="C1644">
            <v>8</v>
          </cell>
          <cell r="D1644">
            <v>7</v>
          </cell>
          <cell r="F1644" t="str">
            <v>-</v>
          </cell>
          <cell r="H1644" t="str">
            <v>-</v>
          </cell>
          <cell r="I1644" t="str">
            <v>-</v>
          </cell>
          <cell r="K1644" t="str">
            <v>-</v>
          </cell>
          <cell r="L1644">
            <v>4</v>
          </cell>
          <cell r="M1644" t="e">
            <v>#VALUE!</v>
          </cell>
          <cell r="O1644" t="str">
            <v>-</v>
          </cell>
          <cell r="T1644">
            <v>0.375</v>
          </cell>
          <cell r="U1644" t="str">
            <v>-</v>
          </cell>
        </row>
        <row r="1645">
          <cell r="B1645" t="str">
            <v>2L6X4X7/8LLBB</v>
          </cell>
          <cell r="C1645">
            <v>16</v>
          </cell>
          <cell r="D1645">
            <v>6</v>
          </cell>
          <cell r="F1645" t="str">
            <v>-</v>
          </cell>
          <cell r="H1645" t="str">
            <v>-</v>
          </cell>
          <cell r="I1645" t="str">
            <v>-</v>
          </cell>
          <cell r="K1645" t="str">
            <v>-</v>
          </cell>
          <cell r="L1645">
            <v>4</v>
          </cell>
          <cell r="M1645" t="e">
            <v>#VALUE!</v>
          </cell>
          <cell r="O1645" t="str">
            <v>-</v>
          </cell>
          <cell r="T1645">
            <v>0.875</v>
          </cell>
          <cell r="U1645" t="str">
            <v>-</v>
          </cell>
        </row>
        <row r="1646">
          <cell r="B1646" t="str">
            <v>2L6X4X7/8X3/8LLBB</v>
          </cell>
          <cell r="C1646">
            <v>16</v>
          </cell>
          <cell r="D1646">
            <v>6</v>
          </cell>
          <cell r="F1646" t="str">
            <v>-</v>
          </cell>
          <cell r="H1646" t="str">
            <v>-</v>
          </cell>
          <cell r="I1646" t="str">
            <v>-</v>
          </cell>
          <cell r="K1646" t="str">
            <v>-</v>
          </cell>
          <cell r="L1646">
            <v>4</v>
          </cell>
          <cell r="M1646" t="e">
            <v>#VALUE!</v>
          </cell>
          <cell r="O1646" t="str">
            <v>-</v>
          </cell>
          <cell r="T1646">
            <v>0.875</v>
          </cell>
          <cell r="U1646" t="str">
            <v>-</v>
          </cell>
        </row>
        <row r="1647">
          <cell r="B1647" t="str">
            <v>2L6X4X7/8X3/4LLBB</v>
          </cell>
          <cell r="C1647">
            <v>16</v>
          </cell>
          <cell r="D1647">
            <v>6</v>
          </cell>
          <cell r="F1647" t="str">
            <v>-</v>
          </cell>
          <cell r="H1647" t="str">
            <v>-</v>
          </cell>
          <cell r="I1647" t="str">
            <v>-</v>
          </cell>
          <cell r="K1647" t="str">
            <v>-</v>
          </cell>
          <cell r="L1647">
            <v>4</v>
          </cell>
          <cell r="M1647" t="e">
            <v>#VALUE!</v>
          </cell>
          <cell r="O1647" t="str">
            <v>-</v>
          </cell>
          <cell r="T1647">
            <v>0.875</v>
          </cell>
          <cell r="U1647" t="str">
            <v>-</v>
          </cell>
        </row>
        <row r="1648">
          <cell r="B1648" t="str">
            <v>2L6X4X3/4LLBB</v>
          </cell>
          <cell r="C1648">
            <v>13.9</v>
          </cell>
          <cell r="D1648">
            <v>6</v>
          </cell>
          <cell r="F1648" t="str">
            <v>-</v>
          </cell>
          <cell r="H1648" t="str">
            <v>-</v>
          </cell>
          <cell r="I1648" t="str">
            <v>-</v>
          </cell>
          <cell r="K1648" t="str">
            <v>-</v>
          </cell>
          <cell r="L1648">
            <v>4</v>
          </cell>
          <cell r="M1648" t="e">
            <v>#VALUE!</v>
          </cell>
          <cell r="O1648" t="str">
            <v>-</v>
          </cell>
          <cell r="T1648">
            <v>0.75</v>
          </cell>
          <cell r="U1648" t="str">
            <v>-</v>
          </cell>
        </row>
        <row r="1649">
          <cell r="B1649" t="str">
            <v>2L6X4X3/4X3/8LLBB</v>
          </cell>
          <cell r="C1649">
            <v>13.9</v>
          </cell>
          <cell r="D1649">
            <v>6</v>
          </cell>
          <cell r="F1649" t="str">
            <v>-</v>
          </cell>
          <cell r="H1649" t="str">
            <v>-</v>
          </cell>
          <cell r="I1649" t="str">
            <v>-</v>
          </cell>
          <cell r="K1649" t="str">
            <v>-</v>
          </cell>
          <cell r="L1649">
            <v>4</v>
          </cell>
          <cell r="M1649" t="e">
            <v>#VALUE!</v>
          </cell>
          <cell r="O1649" t="str">
            <v>-</v>
          </cell>
          <cell r="T1649">
            <v>0.75</v>
          </cell>
          <cell r="U1649" t="str">
            <v>-</v>
          </cell>
        </row>
        <row r="1650">
          <cell r="B1650" t="str">
            <v>2L6X4X3/4X3/4LLBB</v>
          </cell>
          <cell r="C1650">
            <v>13.9</v>
          </cell>
          <cell r="D1650">
            <v>6</v>
          </cell>
          <cell r="F1650" t="str">
            <v>-</v>
          </cell>
          <cell r="H1650" t="str">
            <v>-</v>
          </cell>
          <cell r="I1650" t="str">
            <v>-</v>
          </cell>
          <cell r="K1650" t="str">
            <v>-</v>
          </cell>
          <cell r="L1650">
            <v>4</v>
          </cell>
          <cell r="M1650" t="e">
            <v>#VALUE!</v>
          </cell>
          <cell r="O1650" t="str">
            <v>-</v>
          </cell>
          <cell r="T1650">
            <v>0.75</v>
          </cell>
          <cell r="U1650" t="str">
            <v>-</v>
          </cell>
        </row>
        <row r="1651">
          <cell r="B1651" t="str">
            <v>2L6X4X5/8LLBB</v>
          </cell>
          <cell r="C1651">
            <v>11.7</v>
          </cell>
          <cell r="D1651">
            <v>6</v>
          </cell>
          <cell r="F1651" t="str">
            <v>-</v>
          </cell>
          <cell r="H1651" t="str">
            <v>-</v>
          </cell>
          <cell r="I1651" t="str">
            <v>-</v>
          </cell>
          <cell r="K1651" t="str">
            <v>-</v>
          </cell>
          <cell r="L1651">
            <v>4</v>
          </cell>
          <cell r="M1651" t="e">
            <v>#VALUE!</v>
          </cell>
          <cell r="O1651" t="str">
            <v>-</v>
          </cell>
          <cell r="T1651">
            <v>0.625</v>
          </cell>
          <cell r="U1651" t="str">
            <v>-</v>
          </cell>
        </row>
        <row r="1652">
          <cell r="B1652" t="str">
            <v>2L6X4X5/8X3/8LLBB</v>
          </cell>
          <cell r="C1652">
            <v>11.7</v>
          </cell>
          <cell r="D1652">
            <v>6</v>
          </cell>
          <cell r="F1652" t="str">
            <v>-</v>
          </cell>
          <cell r="H1652" t="str">
            <v>-</v>
          </cell>
          <cell r="I1652" t="str">
            <v>-</v>
          </cell>
          <cell r="K1652" t="str">
            <v>-</v>
          </cell>
          <cell r="L1652">
            <v>4</v>
          </cell>
          <cell r="M1652" t="e">
            <v>#VALUE!</v>
          </cell>
          <cell r="O1652" t="str">
            <v>-</v>
          </cell>
          <cell r="T1652">
            <v>0.625</v>
          </cell>
          <cell r="U1652" t="str">
            <v>-</v>
          </cell>
        </row>
        <row r="1653">
          <cell r="B1653" t="str">
            <v>2L6X4X5/8X3/4LLBB</v>
          </cell>
          <cell r="C1653">
            <v>11.7</v>
          </cell>
          <cell r="D1653">
            <v>6</v>
          </cell>
          <cell r="F1653" t="str">
            <v>-</v>
          </cell>
          <cell r="H1653" t="str">
            <v>-</v>
          </cell>
          <cell r="I1653" t="str">
            <v>-</v>
          </cell>
          <cell r="K1653" t="str">
            <v>-</v>
          </cell>
          <cell r="L1653">
            <v>4</v>
          </cell>
          <cell r="M1653" t="e">
            <v>#VALUE!</v>
          </cell>
          <cell r="O1653" t="str">
            <v>-</v>
          </cell>
          <cell r="T1653">
            <v>0.625</v>
          </cell>
          <cell r="U1653" t="str">
            <v>-</v>
          </cell>
        </row>
        <row r="1654">
          <cell r="B1654" t="str">
            <v>2L6X4X9/16LLBB</v>
          </cell>
          <cell r="C1654">
            <v>10.6</v>
          </cell>
          <cell r="D1654">
            <v>6</v>
          </cell>
          <cell r="F1654" t="str">
            <v>-</v>
          </cell>
          <cell r="H1654" t="str">
            <v>-</v>
          </cell>
          <cell r="I1654" t="str">
            <v>-</v>
          </cell>
          <cell r="K1654" t="str">
            <v>-</v>
          </cell>
          <cell r="L1654">
            <v>4</v>
          </cell>
          <cell r="M1654" t="e">
            <v>#VALUE!</v>
          </cell>
          <cell r="O1654" t="str">
            <v>-</v>
          </cell>
          <cell r="T1654">
            <v>0.56299999999999994</v>
          </cell>
          <cell r="U1654" t="str">
            <v>-</v>
          </cell>
        </row>
        <row r="1655">
          <cell r="B1655" t="str">
            <v>2L6X4X9/16X3/8LLBB</v>
          </cell>
          <cell r="C1655">
            <v>10.6</v>
          </cell>
          <cell r="D1655">
            <v>6</v>
          </cell>
          <cell r="F1655" t="str">
            <v>-</v>
          </cell>
          <cell r="H1655" t="str">
            <v>-</v>
          </cell>
          <cell r="I1655" t="str">
            <v>-</v>
          </cell>
          <cell r="K1655" t="str">
            <v>-</v>
          </cell>
          <cell r="L1655">
            <v>4</v>
          </cell>
          <cell r="M1655" t="e">
            <v>#VALUE!</v>
          </cell>
          <cell r="O1655" t="str">
            <v>-</v>
          </cell>
          <cell r="T1655">
            <v>0.56299999999999994</v>
          </cell>
          <cell r="U1655" t="str">
            <v>-</v>
          </cell>
        </row>
        <row r="1656">
          <cell r="B1656" t="str">
            <v>2L6X4X9/16X3/4LLBB</v>
          </cell>
          <cell r="C1656">
            <v>10.6</v>
          </cell>
          <cell r="D1656">
            <v>6</v>
          </cell>
          <cell r="F1656" t="str">
            <v>-</v>
          </cell>
          <cell r="H1656" t="str">
            <v>-</v>
          </cell>
          <cell r="I1656" t="str">
            <v>-</v>
          </cell>
          <cell r="K1656" t="str">
            <v>-</v>
          </cell>
          <cell r="L1656">
            <v>4</v>
          </cell>
          <cell r="M1656" t="e">
            <v>#VALUE!</v>
          </cell>
          <cell r="O1656" t="str">
            <v>-</v>
          </cell>
          <cell r="T1656">
            <v>0.56299999999999994</v>
          </cell>
          <cell r="U1656" t="str">
            <v>-</v>
          </cell>
        </row>
        <row r="1657">
          <cell r="B1657" t="str">
            <v>2L6X4X1/2LLBB</v>
          </cell>
          <cell r="C1657">
            <v>9.5</v>
          </cell>
          <cell r="D1657">
            <v>6</v>
          </cell>
          <cell r="F1657" t="str">
            <v>-</v>
          </cell>
          <cell r="H1657" t="str">
            <v>-</v>
          </cell>
          <cell r="I1657" t="str">
            <v>-</v>
          </cell>
          <cell r="K1657" t="str">
            <v>-</v>
          </cell>
          <cell r="L1657">
            <v>4</v>
          </cell>
          <cell r="M1657" t="e">
            <v>#VALUE!</v>
          </cell>
          <cell r="O1657" t="str">
            <v>-</v>
          </cell>
          <cell r="T1657">
            <v>0.5</v>
          </cell>
          <cell r="U1657" t="str">
            <v>-</v>
          </cell>
        </row>
        <row r="1658">
          <cell r="B1658" t="str">
            <v>2L6X4X1/2X3/8LLBB</v>
          </cell>
          <cell r="C1658">
            <v>9.5</v>
          </cell>
          <cell r="D1658">
            <v>6</v>
          </cell>
          <cell r="F1658" t="str">
            <v>-</v>
          </cell>
          <cell r="H1658" t="str">
            <v>-</v>
          </cell>
          <cell r="I1658" t="str">
            <v>-</v>
          </cell>
          <cell r="K1658" t="str">
            <v>-</v>
          </cell>
          <cell r="L1658">
            <v>4</v>
          </cell>
          <cell r="M1658" t="e">
            <v>#VALUE!</v>
          </cell>
          <cell r="O1658" t="str">
            <v>-</v>
          </cell>
          <cell r="T1658">
            <v>0.5</v>
          </cell>
          <cell r="U1658" t="str">
            <v>-</v>
          </cell>
        </row>
        <row r="1659">
          <cell r="B1659" t="str">
            <v>2L6X4X1/2X3/4LLBB</v>
          </cell>
          <cell r="C1659">
            <v>9.5</v>
          </cell>
          <cell r="D1659">
            <v>6</v>
          </cell>
          <cell r="F1659" t="str">
            <v>-</v>
          </cell>
          <cell r="H1659" t="str">
            <v>-</v>
          </cell>
          <cell r="I1659" t="str">
            <v>-</v>
          </cell>
          <cell r="K1659" t="str">
            <v>-</v>
          </cell>
          <cell r="L1659">
            <v>4</v>
          </cell>
          <cell r="M1659" t="e">
            <v>#VALUE!</v>
          </cell>
          <cell r="O1659" t="str">
            <v>-</v>
          </cell>
          <cell r="T1659">
            <v>0.5</v>
          </cell>
          <cell r="U1659" t="str">
            <v>-</v>
          </cell>
        </row>
        <row r="1660">
          <cell r="B1660" t="str">
            <v>2L6X4X7/16LLBB</v>
          </cell>
          <cell r="C1660">
            <v>8.36</v>
          </cell>
          <cell r="D1660">
            <v>6</v>
          </cell>
          <cell r="F1660" t="str">
            <v>-</v>
          </cell>
          <cell r="H1660" t="str">
            <v>-</v>
          </cell>
          <cell r="I1660" t="str">
            <v>-</v>
          </cell>
          <cell r="K1660" t="str">
            <v>-</v>
          </cell>
          <cell r="L1660">
            <v>4</v>
          </cell>
          <cell r="M1660" t="e">
            <v>#VALUE!</v>
          </cell>
          <cell r="O1660" t="str">
            <v>-</v>
          </cell>
          <cell r="T1660">
            <v>0.438</v>
          </cell>
          <cell r="U1660" t="str">
            <v>-</v>
          </cell>
        </row>
        <row r="1661">
          <cell r="B1661" t="str">
            <v>2L6X4X7/16X3/8LLBB</v>
          </cell>
          <cell r="C1661">
            <v>8.36</v>
          </cell>
          <cell r="D1661">
            <v>6</v>
          </cell>
          <cell r="F1661" t="str">
            <v>-</v>
          </cell>
          <cell r="H1661" t="str">
            <v>-</v>
          </cell>
          <cell r="I1661" t="str">
            <v>-</v>
          </cell>
          <cell r="K1661" t="str">
            <v>-</v>
          </cell>
          <cell r="L1661">
            <v>4</v>
          </cell>
          <cell r="M1661" t="e">
            <v>#VALUE!</v>
          </cell>
          <cell r="O1661" t="str">
            <v>-</v>
          </cell>
          <cell r="T1661">
            <v>0.438</v>
          </cell>
          <cell r="U1661" t="str">
            <v>-</v>
          </cell>
        </row>
        <row r="1662">
          <cell r="B1662" t="str">
            <v>2L6X4X7/16X3/4LLBB</v>
          </cell>
          <cell r="C1662">
            <v>8.36</v>
          </cell>
          <cell r="D1662">
            <v>6</v>
          </cell>
          <cell r="F1662" t="str">
            <v>-</v>
          </cell>
          <cell r="H1662" t="str">
            <v>-</v>
          </cell>
          <cell r="I1662" t="str">
            <v>-</v>
          </cell>
          <cell r="K1662" t="str">
            <v>-</v>
          </cell>
          <cell r="L1662">
            <v>4</v>
          </cell>
          <cell r="M1662" t="e">
            <v>#VALUE!</v>
          </cell>
          <cell r="O1662" t="str">
            <v>-</v>
          </cell>
          <cell r="T1662">
            <v>0.438</v>
          </cell>
          <cell r="U1662" t="str">
            <v>-</v>
          </cell>
        </row>
        <row r="1663">
          <cell r="B1663" t="str">
            <v>2L6X4X3/8LLBB</v>
          </cell>
          <cell r="C1663">
            <v>7.22</v>
          </cell>
          <cell r="D1663">
            <v>6</v>
          </cell>
          <cell r="F1663" t="str">
            <v>-</v>
          </cell>
          <cell r="H1663" t="str">
            <v>-</v>
          </cell>
          <cell r="I1663" t="str">
            <v>-</v>
          </cell>
          <cell r="K1663" t="str">
            <v>-</v>
          </cell>
          <cell r="L1663">
            <v>4</v>
          </cell>
          <cell r="M1663" t="e">
            <v>#VALUE!</v>
          </cell>
          <cell r="O1663" t="str">
            <v>-</v>
          </cell>
          <cell r="T1663">
            <v>0.375</v>
          </cell>
          <cell r="U1663" t="str">
            <v>-</v>
          </cell>
        </row>
        <row r="1664">
          <cell r="B1664" t="str">
            <v>2L6X4X3/8X3/8LLBB</v>
          </cell>
          <cell r="C1664">
            <v>7.22</v>
          </cell>
          <cell r="D1664">
            <v>6</v>
          </cell>
          <cell r="F1664" t="str">
            <v>-</v>
          </cell>
          <cell r="H1664" t="str">
            <v>-</v>
          </cell>
          <cell r="I1664" t="str">
            <v>-</v>
          </cell>
          <cell r="K1664" t="str">
            <v>-</v>
          </cell>
          <cell r="L1664">
            <v>4</v>
          </cell>
          <cell r="M1664" t="e">
            <v>#VALUE!</v>
          </cell>
          <cell r="O1664" t="str">
            <v>-</v>
          </cell>
          <cell r="T1664">
            <v>0.375</v>
          </cell>
          <cell r="U1664" t="str">
            <v>-</v>
          </cell>
        </row>
        <row r="1665">
          <cell r="B1665" t="str">
            <v>2L6X4X3/8X3/4LLBB</v>
          </cell>
          <cell r="C1665">
            <v>7.22</v>
          </cell>
          <cell r="D1665">
            <v>6</v>
          </cell>
          <cell r="F1665" t="str">
            <v>-</v>
          </cell>
          <cell r="H1665" t="str">
            <v>-</v>
          </cell>
          <cell r="I1665" t="str">
            <v>-</v>
          </cell>
          <cell r="K1665" t="str">
            <v>-</v>
          </cell>
          <cell r="L1665">
            <v>4</v>
          </cell>
          <cell r="M1665" t="e">
            <v>#VALUE!</v>
          </cell>
          <cell r="O1665" t="str">
            <v>-</v>
          </cell>
          <cell r="T1665">
            <v>0.375</v>
          </cell>
          <cell r="U1665" t="str">
            <v>-</v>
          </cell>
        </row>
        <row r="1666">
          <cell r="B1666" t="str">
            <v>2L6X4X5/16LLBB</v>
          </cell>
          <cell r="C1666">
            <v>6.06</v>
          </cell>
          <cell r="D1666">
            <v>6</v>
          </cell>
          <cell r="F1666" t="str">
            <v>-</v>
          </cell>
          <cell r="H1666" t="str">
            <v>-</v>
          </cell>
          <cell r="I1666" t="str">
            <v>-</v>
          </cell>
          <cell r="K1666" t="str">
            <v>-</v>
          </cell>
          <cell r="L1666">
            <v>4</v>
          </cell>
          <cell r="M1666" t="e">
            <v>#VALUE!</v>
          </cell>
          <cell r="O1666" t="str">
            <v>-</v>
          </cell>
          <cell r="T1666">
            <v>0.313</v>
          </cell>
          <cell r="U1666" t="str">
            <v>-</v>
          </cell>
        </row>
        <row r="1667">
          <cell r="B1667" t="str">
            <v>2L6X4X5/16X3/8LLBB</v>
          </cell>
          <cell r="C1667">
            <v>6.06</v>
          </cell>
          <cell r="D1667">
            <v>6</v>
          </cell>
          <cell r="F1667" t="str">
            <v>-</v>
          </cell>
          <cell r="H1667" t="str">
            <v>-</v>
          </cell>
          <cell r="I1667" t="str">
            <v>-</v>
          </cell>
          <cell r="K1667" t="str">
            <v>-</v>
          </cell>
          <cell r="L1667">
            <v>4</v>
          </cell>
          <cell r="M1667" t="e">
            <v>#VALUE!</v>
          </cell>
          <cell r="O1667" t="str">
            <v>-</v>
          </cell>
          <cell r="T1667">
            <v>0.313</v>
          </cell>
          <cell r="U1667" t="str">
            <v>-</v>
          </cell>
        </row>
        <row r="1668">
          <cell r="B1668" t="str">
            <v>2L6X4X5/16X3/4LLBB</v>
          </cell>
          <cell r="C1668">
            <v>6.06</v>
          </cell>
          <cell r="D1668">
            <v>6</v>
          </cell>
          <cell r="F1668" t="str">
            <v>-</v>
          </cell>
          <cell r="H1668" t="str">
            <v>-</v>
          </cell>
          <cell r="I1668" t="str">
            <v>-</v>
          </cell>
          <cell r="K1668" t="str">
            <v>-</v>
          </cell>
          <cell r="L1668">
            <v>4</v>
          </cell>
          <cell r="M1668" t="e">
            <v>#VALUE!</v>
          </cell>
          <cell r="O1668" t="str">
            <v>-</v>
          </cell>
          <cell r="T1668">
            <v>0.313</v>
          </cell>
          <cell r="U1668" t="str">
            <v>-</v>
          </cell>
        </row>
        <row r="1669">
          <cell r="B1669" t="str">
            <v>2L6X3-1/2X1/2LLBB</v>
          </cell>
          <cell r="C1669">
            <v>9</v>
          </cell>
          <cell r="D1669">
            <v>6</v>
          </cell>
          <cell r="F1669" t="str">
            <v>-</v>
          </cell>
          <cell r="H1669" t="str">
            <v>-</v>
          </cell>
          <cell r="I1669" t="str">
            <v>-</v>
          </cell>
          <cell r="K1669" t="str">
            <v>-</v>
          </cell>
          <cell r="L1669">
            <v>3.5</v>
          </cell>
          <cell r="M1669" t="e">
            <v>#VALUE!</v>
          </cell>
          <cell r="O1669" t="str">
            <v>-</v>
          </cell>
          <cell r="T1669">
            <v>0.5</v>
          </cell>
          <cell r="U1669" t="str">
            <v>-</v>
          </cell>
        </row>
        <row r="1670">
          <cell r="B1670" t="str">
            <v>2L6X3-1/2X1/2X3/8LLBB</v>
          </cell>
          <cell r="C1670">
            <v>9</v>
          </cell>
          <cell r="D1670">
            <v>6</v>
          </cell>
          <cell r="F1670" t="str">
            <v>-</v>
          </cell>
          <cell r="H1670" t="str">
            <v>-</v>
          </cell>
          <cell r="I1670" t="str">
            <v>-</v>
          </cell>
          <cell r="K1670" t="str">
            <v>-</v>
          </cell>
          <cell r="L1670">
            <v>3.5</v>
          </cell>
          <cell r="M1670" t="e">
            <v>#VALUE!</v>
          </cell>
          <cell r="O1670" t="str">
            <v>-</v>
          </cell>
          <cell r="T1670">
            <v>0.5</v>
          </cell>
          <cell r="U1670" t="str">
            <v>-</v>
          </cell>
        </row>
        <row r="1671">
          <cell r="B1671" t="str">
            <v>2L6X3-1/2X1/2X3/4LLBB</v>
          </cell>
          <cell r="C1671">
            <v>9</v>
          </cell>
          <cell r="D1671">
            <v>6</v>
          </cell>
          <cell r="F1671" t="str">
            <v>-</v>
          </cell>
          <cell r="H1671" t="str">
            <v>-</v>
          </cell>
          <cell r="I1671" t="str">
            <v>-</v>
          </cell>
          <cell r="K1671" t="str">
            <v>-</v>
          </cell>
          <cell r="L1671">
            <v>3.5</v>
          </cell>
          <cell r="M1671" t="e">
            <v>#VALUE!</v>
          </cell>
          <cell r="O1671" t="str">
            <v>-</v>
          </cell>
          <cell r="T1671">
            <v>0.5</v>
          </cell>
          <cell r="U1671" t="str">
            <v>-</v>
          </cell>
        </row>
        <row r="1672">
          <cell r="B1672" t="str">
            <v>2L6X3-1/2X3/8LLBB</v>
          </cell>
          <cell r="C1672">
            <v>6.88</v>
          </cell>
          <cell r="D1672">
            <v>6</v>
          </cell>
          <cell r="F1672" t="str">
            <v>-</v>
          </cell>
          <cell r="H1672" t="str">
            <v>-</v>
          </cell>
          <cell r="I1672" t="str">
            <v>-</v>
          </cell>
          <cell r="K1672" t="str">
            <v>-</v>
          </cell>
          <cell r="L1672">
            <v>3.5</v>
          </cell>
          <cell r="M1672" t="e">
            <v>#VALUE!</v>
          </cell>
          <cell r="O1672" t="str">
            <v>-</v>
          </cell>
          <cell r="T1672">
            <v>0.375</v>
          </cell>
          <cell r="U1672" t="str">
            <v>-</v>
          </cell>
        </row>
        <row r="1673">
          <cell r="B1673" t="str">
            <v>2L6X3-1/2X3/8X3/8LLBB</v>
          </cell>
          <cell r="C1673">
            <v>6.88</v>
          </cell>
          <cell r="D1673">
            <v>6</v>
          </cell>
          <cell r="F1673" t="str">
            <v>-</v>
          </cell>
          <cell r="H1673" t="str">
            <v>-</v>
          </cell>
          <cell r="I1673" t="str">
            <v>-</v>
          </cell>
          <cell r="K1673" t="str">
            <v>-</v>
          </cell>
          <cell r="L1673">
            <v>3.5</v>
          </cell>
          <cell r="M1673" t="e">
            <v>#VALUE!</v>
          </cell>
          <cell r="O1673" t="str">
            <v>-</v>
          </cell>
          <cell r="T1673">
            <v>0.375</v>
          </cell>
          <cell r="U1673" t="str">
            <v>-</v>
          </cell>
        </row>
        <row r="1674">
          <cell r="B1674" t="str">
            <v>2L6X3-1/2X3/8X3/4LLBB</v>
          </cell>
          <cell r="C1674">
            <v>6.88</v>
          </cell>
          <cell r="D1674">
            <v>6</v>
          </cell>
          <cell r="F1674" t="str">
            <v>-</v>
          </cell>
          <cell r="H1674" t="str">
            <v>-</v>
          </cell>
          <cell r="I1674" t="str">
            <v>-</v>
          </cell>
          <cell r="K1674" t="str">
            <v>-</v>
          </cell>
          <cell r="L1674">
            <v>3.5</v>
          </cell>
          <cell r="M1674" t="e">
            <v>#VALUE!</v>
          </cell>
          <cell r="O1674" t="str">
            <v>-</v>
          </cell>
          <cell r="T1674">
            <v>0.375</v>
          </cell>
          <cell r="U1674" t="str">
            <v>-</v>
          </cell>
        </row>
        <row r="1675">
          <cell r="B1675" t="str">
            <v>2L6X3-1/2X5/16LLBB</v>
          </cell>
          <cell r="C1675">
            <v>5.78</v>
          </cell>
          <cell r="D1675">
            <v>6</v>
          </cell>
          <cell r="F1675" t="str">
            <v>-</v>
          </cell>
          <cell r="H1675" t="str">
            <v>-</v>
          </cell>
          <cell r="I1675" t="str">
            <v>-</v>
          </cell>
          <cell r="K1675" t="str">
            <v>-</v>
          </cell>
          <cell r="L1675">
            <v>3.5</v>
          </cell>
          <cell r="M1675" t="e">
            <v>#VALUE!</v>
          </cell>
          <cell r="O1675" t="str">
            <v>-</v>
          </cell>
          <cell r="T1675">
            <v>0.313</v>
          </cell>
          <cell r="U1675" t="str">
            <v>-</v>
          </cell>
        </row>
        <row r="1676">
          <cell r="B1676" t="str">
            <v>2L6X3-1/2X5/16X3/8LLBB</v>
          </cell>
          <cell r="C1676">
            <v>5.78</v>
          </cell>
          <cell r="D1676">
            <v>6</v>
          </cell>
          <cell r="F1676" t="str">
            <v>-</v>
          </cell>
          <cell r="H1676" t="str">
            <v>-</v>
          </cell>
          <cell r="I1676" t="str">
            <v>-</v>
          </cell>
          <cell r="K1676" t="str">
            <v>-</v>
          </cell>
          <cell r="L1676">
            <v>3.5</v>
          </cell>
          <cell r="M1676" t="e">
            <v>#VALUE!</v>
          </cell>
          <cell r="O1676" t="str">
            <v>-</v>
          </cell>
          <cell r="T1676">
            <v>0.313</v>
          </cell>
          <cell r="U1676" t="str">
            <v>-</v>
          </cell>
        </row>
        <row r="1677">
          <cell r="B1677" t="str">
            <v>2L6X3-1/2X5/16X3/4LLBB</v>
          </cell>
          <cell r="C1677">
            <v>5.78</v>
          </cell>
          <cell r="D1677">
            <v>6</v>
          </cell>
          <cell r="F1677" t="str">
            <v>-</v>
          </cell>
          <cell r="H1677" t="str">
            <v>-</v>
          </cell>
          <cell r="I1677" t="str">
            <v>-</v>
          </cell>
          <cell r="K1677" t="str">
            <v>-</v>
          </cell>
          <cell r="L1677">
            <v>3.5</v>
          </cell>
          <cell r="M1677" t="e">
            <v>#VALUE!</v>
          </cell>
          <cell r="O1677" t="str">
            <v>-</v>
          </cell>
          <cell r="T1677">
            <v>0.313</v>
          </cell>
          <cell r="U1677" t="str">
            <v>-</v>
          </cell>
        </row>
        <row r="1678">
          <cell r="B1678" t="str">
            <v>2L5X3-1/2X3/4LLBB</v>
          </cell>
          <cell r="C1678">
            <v>11.7</v>
          </cell>
          <cell r="D1678">
            <v>5</v>
          </cell>
          <cell r="F1678" t="str">
            <v>-</v>
          </cell>
          <cell r="H1678" t="str">
            <v>-</v>
          </cell>
          <cell r="I1678" t="str">
            <v>-</v>
          </cell>
          <cell r="K1678" t="str">
            <v>-</v>
          </cell>
          <cell r="L1678">
            <v>3.5</v>
          </cell>
          <cell r="M1678" t="e">
            <v>#VALUE!</v>
          </cell>
          <cell r="O1678" t="str">
            <v>-</v>
          </cell>
          <cell r="T1678">
            <v>0.75</v>
          </cell>
          <cell r="U1678" t="str">
            <v>-</v>
          </cell>
        </row>
        <row r="1679">
          <cell r="B1679" t="str">
            <v>2L5X3-1/2X3/4X3/8LLBB</v>
          </cell>
          <cell r="C1679">
            <v>11.7</v>
          </cell>
          <cell r="D1679">
            <v>5</v>
          </cell>
          <cell r="F1679" t="str">
            <v>-</v>
          </cell>
          <cell r="H1679" t="str">
            <v>-</v>
          </cell>
          <cell r="I1679" t="str">
            <v>-</v>
          </cell>
          <cell r="K1679" t="str">
            <v>-</v>
          </cell>
          <cell r="L1679">
            <v>3.5</v>
          </cell>
          <cell r="M1679" t="e">
            <v>#VALUE!</v>
          </cell>
          <cell r="O1679" t="str">
            <v>-</v>
          </cell>
          <cell r="T1679">
            <v>0.75</v>
          </cell>
          <cell r="U1679" t="str">
            <v>-</v>
          </cell>
        </row>
        <row r="1680">
          <cell r="B1680" t="str">
            <v>2L5X3-1/2X3/4X3/4LLBB</v>
          </cell>
          <cell r="C1680">
            <v>11.7</v>
          </cell>
          <cell r="D1680">
            <v>5</v>
          </cell>
          <cell r="F1680" t="str">
            <v>-</v>
          </cell>
          <cell r="H1680" t="str">
            <v>-</v>
          </cell>
          <cell r="I1680" t="str">
            <v>-</v>
          </cell>
          <cell r="K1680" t="str">
            <v>-</v>
          </cell>
          <cell r="L1680">
            <v>3.5</v>
          </cell>
          <cell r="M1680" t="e">
            <v>#VALUE!</v>
          </cell>
          <cell r="O1680" t="str">
            <v>-</v>
          </cell>
          <cell r="T1680">
            <v>0.75</v>
          </cell>
          <cell r="U1680" t="str">
            <v>-</v>
          </cell>
        </row>
        <row r="1681">
          <cell r="B1681" t="str">
            <v>2L5X3-1/2X5/8LLBB</v>
          </cell>
          <cell r="C1681">
            <v>9.86</v>
          </cell>
          <cell r="D1681">
            <v>5</v>
          </cell>
          <cell r="F1681" t="str">
            <v>-</v>
          </cell>
          <cell r="H1681" t="str">
            <v>-</v>
          </cell>
          <cell r="I1681" t="str">
            <v>-</v>
          </cell>
          <cell r="K1681" t="str">
            <v>-</v>
          </cell>
          <cell r="L1681">
            <v>3.5</v>
          </cell>
          <cell r="M1681" t="e">
            <v>#VALUE!</v>
          </cell>
          <cell r="O1681" t="str">
            <v>-</v>
          </cell>
          <cell r="T1681">
            <v>0.625</v>
          </cell>
          <cell r="U1681" t="str">
            <v>-</v>
          </cell>
        </row>
        <row r="1682">
          <cell r="B1682" t="str">
            <v>2L5X3-1/2X5/8X3/8LLBB</v>
          </cell>
          <cell r="C1682">
            <v>9.86</v>
          </cell>
          <cell r="D1682">
            <v>5</v>
          </cell>
          <cell r="F1682" t="str">
            <v>-</v>
          </cell>
          <cell r="H1682" t="str">
            <v>-</v>
          </cell>
          <cell r="I1682" t="str">
            <v>-</v>
          </cell>
          <cell r="K1682" t="str">
            <v>-</v>
          </cell>
          <cell r="L1682">
            <v>3.5</v>
          </cell>
          <cell r="M1682" t="e">
            <v>#VALUE!</v>
          </cell>
          <cell r="O1682" t="str">
            <v>-</v>
          </cell>
          <cell r="T1682">
            <v>0.625</v>
          </cell>
          <cell r="U1682" t="str">
            <v>-</v>
          </cell>
        </row>
        <row r="1683">
          <cell r="B1683" t="str">
            <v>2L5X3-1/2X5/8X3/4LLBB</v>
          </cell>
          <cell r="C1683">
            <v>9.86</v>
          </cell>
          <cell r="D1683">
            <v>5</v>
          </cell>
          <cell r="F1683" t="str">
            <v>-</v>
          </cell>
          <cell r="H1683" t="str">
            <v>-</v>
          </cell>
          <cell r="I1683" t="str">
            <v>-</v>
          </cell>
          <cell r="K1683" t="str">
            <v>-</v>
          </cell>
          <cell r="L1683">
            <v>3.5</v>
          </cell>
          <cell r="M1683" t="e">
            <v>#VALUE!</v>
          </cell>
          <cell r="O1683" t="str">
            <v>-</v>
          </cell>
          <cell r="T1683">
            <v>0.625</v>
          </cell>
          <cell r="U1683" t="str">
            <v>-</v>
          </cell>
        </row>
        <row r="1684">
          <cell r="B1684" t="str">
            <v>2L5X3-1/2X1/2LLBB</v>
          </cell>
          <cell r="C1684">
            <v>8</v>
          </cell>
          <cell r="D1684">
            <v>5</v>
          </cell>
          <cell r="F1684" t="str">
            <v>-</v>
          </cell>
          <cell r="H1684" t="str">
            <v>-</v>
          </cell>
          <cell r="I1684" t="str">
            <v>-</v>
          </cell>
          <cell r="K1684" t="str">
            <v>-</v>
          </cell>
          <cell r="L1684">
            <v>3.5</v>
          </cell>
          <cell r="M1684" t="e">
            <v>#VALUE!</v>
          </cell>
          <cell r="O1684" t="str">
            <v>-</v>
          </cell>
          <cell r="T1684">
            <v>0.5</v>
          </cell>
          <cell r="U1684" t="str">
            <v>-</v>
          </cell>
        </row>
        <row r="1685">
          <cell r="B1685" t="str">
            <v>2L5X3-1/2X1/2X3/8LLBB</v>
          </cell>
          <cell r="C1685">
            <v>8</v>
          </cell>
          <cell r="D1685">
            <v>5</v>
          </cell>
          <cell r="F1685" t="str">
            <v>-</v>
          </cell>
          <cell r="H1685" t="str">
            <v>-</v>
          </cell>
          <cell r="I1685" t="str">
            <v>-</v>
          </cell>
          <cell r="K1685" t="str">
            <v>-</v>
          </cell>
          <cell r="L1685">
            <v>3.5</v>
          </cell>
          <cell r="M1685" t="e">
            <v>#VALUE!</v>
          </cell>
          <cell r="O1685" t="str">
            <v>-</v>
          </cell>
          <cell r="T1685">
            <v>0.5</v>
          </cell>
          <cell r="U1685" t="str">
            <v>-</v>
          </cell>
        </row>
        <row r="1686">
          <cell r="B1686" t="str">
            <v>2L5X3-1/2X1/2X3/4LLBB</v>
          </cell>
          <cell r="C1686">
            <v>8</v>
          </cell>
          <cell r="D1686">
            <v>5</v>
          </cell>
          <cell r="F1686" t="str">
            <v>-</v>
          </cell>
          <cell r="H1686" t="str">
            <v>-</v>
          </cell>
          <cell r="I1686" t="str">
            <v>-</v>
          </cell>
          <cell r="K1686" t="str">
            <v>-</v>
          </cell>
          <cell r="L1686">
            <v>3.5</v>
          </cell>
          <cell r="M1686" t="e">
            <v>#VALUE!</v>
          </cell>
          <cell r="O1686" t="str">
            <v>-</v>
          </cell>
          <cell r="T1686">
            <v>0.5</v>
          </cell>
          <cell r="U1686" t="str">
            <v>-</v>
          </cell>
        </row>
        <row r="1687">
          <cell r="B1687" t="str">
            <v>2L5X3-1/2X3/8LLBB</v>
          </cell>
          <cell r="C1687">
            <v>6.1</v>
          </cell>
          <cell r="D1687">
            <v>5</v>
          </cell>
          <cell r="F1687" t="str">
            <v>-</v>
          </cell>
          <cell r="H1687" t="str">
            <v>-</v>
          </cell>
          <cell r="I1687" t="str">
            <v>-</v>
          </cell>
          <cell r="K1687" t="str">
            <v>-</v>
          </cell>
          <cell r="L1687">
            <v>3.5</v>
          </cell>
          <cell r="M1687" t="e">
            <v>#VALUE!</v>
          </cell>
          <cell r="O1687" t="str">
            <v>-</v>
          </cell>
          <cell r="T1687">
            <v>0.375</v>
          </cell>
          <cell r="U1687" t="str">
            <v>-</v>
          </cell>
        </row>
        <row r="1688">
          <cell r="B1688" t="str">
            <v>2L5X3-1/2X3/8X3/8LLBB</v>
          </cell>
          <cell r="C1688">
            <v>6.1</v>
          </cell>
          <cell r="D1688">
            <v>5</v>
          </cell>
          <cell r="F1688" t="str">
            <v>-</v>
          </cell>
          <cell r="H1688" t="str">
            <v>-</v>
          </cell>
          <cell r="I1688" t="str">
            <v>-</v>
          </cell>
          <cell r="K1688" t="str">
            <v>-</v>
          </cell>
          <cell r="L1688">
            <v>3.5</v>
          </cell>
          <cell r="M1688" t="e">
            <v>#VALUE!</v>
          </cell>
          <cell r="O1688" t="str">
            <v>-</v>
          </cell>
          <cell r="T1688">
            <v>0.375</v>
          </cell>
          <cell r="U1688" t="str">
            <v>-</v>
          </cell>
        </row>
        <row r="1689">
          <cell r="B1689" t="str">
            <v>2L5X3-1/2X3/8X3/4LLBB</v>
          </cell>
          <cell r="C1689">
            <v>6.1</v>
          </cell>
          <cell r="D1689">
            <v>5</v>
          </cell>
          <cell r="F1689" t="str">
            <v>-</v>
          </cell>
          <cell r="H1689" t="str">
            <v>-</v>
          </cell>
          <cell r="I1689" t="str">
            <v>-</v>
          </cell>
          <cell r="K1689" t="str">
            <v>-</v>
          </cell>
          <cell r="L1689">
            <v>3.5</v>
          </cell>
          <cell r="M1689" t="e">
            <v>#VALUE!</v>
          </cell>
          <cell r="O1689" t="str">
            <v>-</v>
          </cell>
          <cell r="T1689">
            <v>0.375</v>
          </cell>
          <cell r="U1689" t="str">
            <v>-</v>
          </cell>
        </row>
        <row r="1690">
          <cell r="B1690" t="str">
            <v>2L5X3-1/2X5/16LLBB</v>
          </cell>
          <cell r="C1690">
            <v>5.12</v>
          </cell>
          <cell r="D1690">
            <v>5</v>
          </cell>
          <cell r="F1690" t="str">
            <v>-</v>
          </cell>
          <cell r="H1690" t="str">
            <v>-</v>
          </cell>
          <cell r="I1690" t="str">
            <v>-</v>
          </cell>
          <cell r="K1690" t="str">
            <v>-</v>
          </cell>
          <cell r="L1690">
            <v>3.5</v>
          </cell>
          <cell r="M1690" t="e">
            <v>#VALUE!</v>
          </cell>
          <cell r="O1690" t="str">
            <v>-</v>
          </cell>
          <cell r="T1690">
            <v>0.313</v>
          </cell>
          <cell r="U1690" t="str">
            <v>-</v>
          </cell>
        </row>
        <row r="1691">
          <cell r="B1691" t="str">
            <v>2L5X3-1/2X5/16X3/8LLBB</v>
          </cell>
          <cell r="C1691">
            <v>5.12</v>
          </cell>
          <cell r="D1691">
            <v>5</v>
          </cell>
          <cell r="F1691" t="str">
            <v>-</v>
          </cell>
          <cell r="H1691" t="str">
            <v>-</v>
          </cell>
          <cell r="I1691" t="str">
            <v>-</v>
          </cell>
          <cell r="K1691" t="str">
            <v>-</v>
          </cell>
          <cell r="L1691">
            <v>3.5</v>
          </cell>
          <cell r="M1691" t="e">
            <v>#VALUE!</v>
          </cell>
          <cell r="O1691" t="str">
            <v>-</v>
          </cell>
          <cell r="T1691">
            <v>0.313</v>
          </cell>
          <cell r="U1691" t="str">
            <v>-</v>
          </cell>
        </row>
        <row r="1692">
          <cell r="B1692" t="str">
            <v>2L5X3-1/2X5/16X3/4LLBB</v>
          </cell>
          <cell r="C1692">
            <v>5.12</v>
          </cell>
          <cell r="D1692">
            <v>5</v>
          </cell>
          <cell r="F1692" t="str">
            <v>-</v>
          </cell>
          <cell r="H1692" t="str">
            <v>-</v>
          </cell>
          <cell r="I1692" t="str">
            <v>-</v>
          </cell>
          <cell r="K1692" t="str">
            <v>-</v>
          </cell>
          <cell r="L1692">
            <v>3.5</v>
          </cell>
          <cell r="M1692" t="e">
            <v>#VALUE!</v>
          </cell>
          <cell r="O1692" t="str">
            <v>-</v>
          </cell>
          <cell r="T1692">
            <v>0.313</v>
          </cell>
          <cell r="U1692" t="str">
            <v>-</v>
          </cell>
        </row>
        <row r="1693">
          <cell r="B1693" t="str">
            <v>2L5X3-1/2X1/4LLBB</v>
          </cell>
          <cell r="C1693">
            <v>4.1399999999999997</v>
          </cell>
          <cell r="D1693">
            <v>5</v>
          </cell>
          <cell r="F1693" t="str">
            <v>-</v>
          </cell>
          <cell r="H1693" t="str">
            <v>-</v>
          </cell>
          <cell r="I1693" t="str">
            <v>-</v>
          </cell>
          <cell r="K1693" t="str">
            <v>-</v>
          </cell>
          <cell r="L1693">
            <v>3.5</v>
          </cell>
          <cell r="M1693" t="e">
            <v>#VALUE!</v>
          </cell>
          <cell r="O1693" t="str">
            <v>-</v>
          </cell>
          <cell r="T1693">
            <v>0.25</v>
          </cell>
          <cell r="U1693" t="str">
            <v>-</v>
          </cell>
        </row>
        <row r="1694">
          <cell r="B1694" t="str">
            <v>2L5X3-1/2X1/4X3/8LLBB</v>
          </cell>
          <cell r="C1694">
            <v>4.1399999999999997</v>
          </cell>
          <cell r="D1694">
            <v>5</v>
          </cell>
          <cell r="F1694" t="str">
            <v>-</v>
          </cell>
          <cell r="H1694" t="str">
            <v>-</v>
          </cell>
          <cell r="I1694" t="str">
            <v>-</v>
          </cell>
          <cell r="K1694" t="str">
            <v>-</v>
          </cell>
          <cell r="L1694">
            <v>3.5</v>
          </cell>
          <cell r="M1694" t="e">
            <v>#VALUE!</v>
          </cell>
          <cell r="O1694" t="str">
            <v>-</v>
          </cell>
          <cell r="T1694">
            <v>0.25</v>
          </cell>
          <cell r="U1694" t="str">
            <v>-</v>
          </cell>
        </row>
        <row r="1695">
          <cell r="B1695" t="str">
            <v>2L5X3-1/2X1/4X3/4LLBB</v>
          </cell>
          <cell r="C1695">
            <v>4.1399999999999997</v>
          </cell>
          <cell r="D1695">
            <v>5</v>
          </cell>
          <cell r="F1695" t="str">
            <v>-</v>
          </cell>
          <cell r="H1695" t="str">
            <v>-</v>
          </cell>
          <cell r="I1695" t="str">
            <v>-</v>
          </cell>
          <cell r="K1695" t="str">
            <v>-</v>
          </cell>
          <cell r="L1695">
            <v>3.5</v>
          </cell>
          <cell r="M1695" t="e">
            <v>#VALUE!</v>
          </cell>
          <cell r="O1695" t="str">
            <v>-</v>
          </cell>
          <cell r="T1695">
            <v>0.25</v>
          </cell>
          <cell r="U1695" t="str">
            <v>-</v>
          </cell>
        </row>
        <row r="1696">
          <cell r="B1696" t="str">
            <v>2L5X3X1/2LLBB</v>
          </cell>
          <cell r="C1696">
            <v>7.5</v>
          </cell>
          <cell r="D1696">
            <v>5</v>
          </cell>
          <cell r="F1696" t="str">
            <v>-</v>
          </cell>
          <cell r="H1696" t="str">
            <v>-</v>
          </cell>
          <cell r="I1696" t="str">
            <v>-</v>
          </cell>
          <cell r="K1696" t="str">
            <v>-</v>
          </cell>
          <cell r="L1696">
            <v>3</v>
          </cell>
          <cell r="M1696" t="e">
            <v>#VALUE!</v>
          </cell>
          <cell r="O1696" t="str">
            <v>-</v>
          </cell>
          <cell r="T1696">
            <v>0.5</v>
          </cell>
          <cell r="U1696" t="str">
            <v>-</v>
          </cell>
        </row>
        <row r="1697">
          <cell r="B1697" t="str">
            <v>2L5X3X1/2X3/8LLBB</v>
          </cell>
          <cell r="C1697">
            <v>7.5</v>
          </cell>
          <cell r="D1697">
            <v>5</v>
          </cell>
          <cell r="F1697" t="str">
            <v>-</v>
          </cell>
          <cell r="H1697" t="str">
            <v>-</v>
          </cell>
          <cell r="I1697" t="str">
            <v>-</v>
          </cell>
          <cell r="K1697" t="str">
            <v>-</v>
          </cell>
          <cell r="L1697">
            <v>3</v>
          </cell>
          <cell r="M1697" t="e">
            <v>#VALUE!</v>
          </cell>
          <cell r="O1697" t="str">
            <v>-</v>
          </cell>
          <cell r="T1697">
            <v>0.5</v>
          </cell>
          <cell r="U1697" t="str">
            <v>-</v>
          </cell>
        </row>
        <row r="1698">
          <cell r="B1698" t="str">
            <v>2L5X3X1/2X3/4LLBB</v>
          </cell>
          <cell r="C1698">
            <v>7.5</v>
          </cell>
          <cell r="D1698">
            <v>5</v>
          </cell>
          <cell r="F1698" t="str">
            <v>-</v>
          </cell>
          <cell r="H1698" t="str">
            <v>-</v>
          </cell>
          <cell r="I1698" t="str">
            <v>-</v>
          </cell>
          <cell r="K1698" t="str">
            <v>-</v>
          </cell>
          <cell r="L1698">
            <v>3</v>
          </cell>
          <cell r="M1698" t="e">
            <v>#VALUE!</v>
          </cell>
          <cell r="O1698" t="str">
            <v>-</v>
          </cell>
          <cell r="T1698">
            <v>0.5</v>
          </cell>
          <cell r="U1698" t="str">
            <v>-</v>
          </cell>
        </row>
        <row r="1699">
          <cell r="B1699" t="str">
            <v>2L5X3X7/16LLBB</v>
          </cell>
          <cell r="C1699">
            <v>6.62</v>
          </cell>
          <cell r="D1699">
            <v>5</v>
          </cell>
          <cell r="F1699" t="str">
            <v>-</v>
          </cell>
          <cell r="H1699" t="str">
            <v>-</v>
          </cell>
          <cell r="I1699" t="str">
            <v>-</v>
          </cell>
          <cell r="K1699" t="str">
            <v>-</v>
          </cell>
          <cell r="L1699">
            <v>3</v>
          </cell>
          <cell r="M1699" t="e">
            <v>#VALUE!</v>
          </cell>
          <cell r="O1699" t="str">
            <v>-</v>
          </cell>
          <cell r="T1699">
            <v>0.438</v>
          </cell>
          <cell r="U1699" t="str">
            <v>-</v>
          </cell>
        </row>
        <row r="1700">
          <cell r="B1700" t="str">
            <v>2L5X3X7/16X3/8LLBB</v>
          </cell>
          <cell r="C1700">
            <v>6.62</v>
          </cell>
          <cell r="D1700">
            <v>5</v>
          </cell>
          <cell r="F1700" t="str">
            <v>-</v>
          </cell>
          <cell r="H1700" t="str">
            <v>-</v>
          </cell>
          <cell r="I1700" t="str">
            <v>-</v>
          </cell>
          <cell r="K1700" t="str">
            <v>-</v>
          </cell>
          <cell r="L1700">
            <v>3</v>
          </cell>
          <cell r="M1700" t="e">
            <v>#VALUE!</v>
          </cell>
          <cell r="O1700" t="str">
            <v>-</v>
          </cell>
          <cell r="T1700">
            <v>0.438</v>
          </cell>
          <cell r="U1700" t="str">
            <v>-</v>
          </cell>
        </row>
        <row r="1701">
          <cell r="B1701" t="str">
            <v>2L5X3X7/16X3/4LLBB</v>
          </cell>
          <cell r="C1701">
            <v>6.62</v>
          </cell>
          <cell r="D1701">
            <v>5</v>
          </cell>
          <cell r="F1701" t="str">
            <v>-</v>
          </cell>
          <cell r="H1701" t="str">
            <v>-</v>
          </cell>
          <cell r="I1701" t="str">
            <v>-</v>
          </cell>
          <cell r="K1701" t="str">
            <v>-</v>
          </cell>
          <cell r="L1701">
            <v>3</v>
          </cell>
          <cell r="M1701" t="e">
            <v>#VALUE!</v>
          </cell>
          <cell r="O1701" t="str">
            <v>-</v>
          </cell>
          <cell r="T1701">
            <v>0.438</v>
          </cell>
          <cell r="U1701" t="str">
            <v>-</v>
          </cell>
        </row>
        <row r="1702">
          <cell r="B1702" t="str">
            <v>2L5X3X3/8LLBB</v>
          </cell>
          <cell r="C1702">
            <v>5.72</v>
          </cell>
          <cell r="D1702">
            <v>5</v>
          </cell>
          <cell r="F1702" t="str">
            <v>-</v>
          </cell>
          <cell r="H1702" t="str">
            <v>-</v>
          </cell>
          <cell r="I1702" t="str">
            <v>-</v>
          </cell>
          <cell r="K1702" t="str">
            <v>-</v>
          </cell>
          <cell r="L1702">
            <v>3</v>
          </cell>
          <cell r="M1702" t="e">
            <v>#VALUE!</v>
          </cell>
          <cell r="O1702" t="str">
            <v>-</v>
          </cell>
          <cell r="T1702">
            <v>0.375</v>
          </cell>
          <cell r="U1702" t="str">
            <v>-</v>
          </cell>
        </row>
        <row r="1703">
          <cell r="B1703" t="str">
            <v>2L5X3X3/8X3/8LLBB</v>
          </cell>
          <cell r="C1703">
            <v>5.72</v>
          </cell>
          <cell r="D1703">
            <v>5</v>
          </cell>
          <cell r="F1703" t="str">
            <v>-</v>
          </cell>
          <cell r="H1703" t="str">
            <v>-</v>
          </cell>
          <cell r="I1703" t="str">
            <v>-</v>
          </cell>
          <cell r="K1703" t="str">
            <v>-</v>
          </cell>
          <cell r="L1703">
            <v>3</v>
          </cell>
          <cell r="M1703" t="e">
            <v>#VALUE!</v>
          </cell>
          <cell r="O1703" t="str">
            <v>-</v>
          </cell>
          <cell r="T1703">
            <v>0.375</v>
          </cell>
          <cell r="U1703" t="str">
            <v>-</v>
          </cell>
        </row>
        <row r="1704">
          <cell r="B1704" t="str">
            <v>2L5X3X3/8X3/4LLBB</v>
          </cell>
          <cell r="C1704">
            <v>5.72</v>
          </cell>
          <cell r="D1704">
            <v>5</v>
          </cell>
          <cell r="F1704" t="str">
            <v>-</v>
          </cell>
          <cell r="H1704" t="str">
            <v>-</v>
          </cell>
          <cell r="I1704" t="str">
            <v>-</v>
          </cell>
          <cell r="K1704" t="str">
            <v>-</v>
          </cell>
          <cell r="L1704">
            <v>3</v>
          </cell>
          <cell r="M1704" t="e">
            <v>#VALUE!</v>
          </cell>
          <cell r="O1704" t="str">
            <v>-</v>
          </cell>
          <cell r="T1704">
            <v>0.375</v>
          </cell>
          <cell r="U1704" t="str">
            <v>-</v>
          </cell>
        </row>
        <row r="1705">
          <cell r="B1705" t="str">
            <v>2L5X3X5/16LLBB</v>
          </cell>
          <cell r="C1705">
            <v>4.82</v>
          </cell>
          <cell r="D1705">
            <v>5</v>
          </cell>
          <cell r="F1705" t="str">
            <v>-</v>
          </cell>
          <cell r="H1705" t="str">
            <v>-</v>
          </cell>
          <cell r="I1705" t="str">
            <v>-</v>
          </cell>
          <cell r="K1705" t="str">
            <v>-</v>
          </cell>
          <cell r="L1705">
            <v>3</v>
          </cell>
          <cell r="M1705" t="e">
            <v>#VALUE!</v>
          </cell>
          <cell r="O1705" t="str">
            <v>-</v>
          </cell>
          <cell r="T1705">
            <v>0.313</v>
          </cell>
          <cell r="U1705" t="str">
            <v>-</v>
          </cell>
        </row>
        <row r="1706">
          <cell r="B1706" t="str">
            <v>2L5X3X5/16X3/8LLBB</v>
          </cell>
          <cell r="C1706">
            <v>4.82</v>
          </cell>
          <cell r="D1706">
            <v>5</v>
          </cell>
          <cell r="F1706" t="str">
            <v>-</v>
          </cell>
          <cell r="H1706" t="str">
            <v>-</v>
          </cell>
          <cell r="I1706" t="str">
            <v>-</v>
          </cell>
          <cell r="K1706" t="str">
            <v>-</v>
          </cell>
          <cell r="L1706">
            <v>3</v>
          </cell>
          <cell r="M1706" t="e">
            <v>#VALUE!</v>
          </cell>
          <cell r="O1706" t="str">
            <v>-</v>
          </cell>
          <cell r="T1706">
            <v>0.313</v>
          </cell>
          <cell r="U1706" t="str">
            <v>-</v>
          </cell>
        </row>
        <row r="1707">
          <cell r="B1707" t="str">
            <v>2L5X3X5/16X3/4LLBB</v>
          </cell>
          <cell r="C1707">
            <v>4.82</v>
          </cell>
          <cell r="D1707">
            <v>5</v>
          </cell>
          <cell r="F1707" t="str">
            <v>-</v>
          </cell>
          <cell r="H1707" t="str">
            <v>-</v>
          </cell>
          <cell r="I1707" t="str">
            <v>-</v>
          </cell>
          <cell r="K1707" t="str">
            <v>-</v>
          </cell>
          <cell r="L1707">
            <v>3</v>
          </cell>
          <cell r="M1707" t="e">
            <v>#VALUE!</v>
          </cell>
          <cell r="O1707" t="str">
            <v>-</v>
          </cell>
          <cell r="T1707">
            <v>0.313</v>
          </cell>
          <cell r="U1707" t="str">
            <v>-</v>
          </cell>
        </row>
        <row r="1708">
          <cell r="B1708" t="str">
            <v>2L5X3X1/4LLBB</v>
          </cell>
          <cell r="C1708">
            <v>3.88</v>
          </cell>
          <cell r="D1708">
            <v>5</v>
          </cell>
          <cell r="F1708" t="str">
            <v>-</v>
          </cell>
          <cell r="H1708" t="str">
            <v>-</v>
          </cell>
          <cell r="I1708" t="str">
            <v>-</v>
          </cell>
          <cell r="K1708" t="str">
            <v>-</v>
          </cell>
          <cell r="L1708">
            <v>3</v>
          </cell>
          <cell r="M1708" t="e">
            <v>#VALUE!</v>
          </cell>
          <cell r="O1708" t="str">
            <v>-</v>
          </cell>
          <cell r="T1708">
            <v>0.25</v>
          </cell>
          <cell r="U1708" t="str">
            <v>-</v>
          </cell>
        </row>
        <row r="1709">
          <cell r="B1709" t="str">
            <v>2L5X3X1/4X3/8LLBB</v>
          </cell>
          <cell r="C1709">
            <v>3.88</v>
          </cell>
          <cell r="D1709">
            <v>5</v>
          </cell>
          <cell r="F1709" t="str">
            <v>-</v>
          </cell>
          <cell r="H1709" t="str">
            <v>-</v>
          </cell>
          <cell r="I1709" t="str">
            <v>-</v>
          </cell>
          <cell r="K1709" t="str">
            <v>-</v>
          </cell>
          <cell r="L1709">
            <v>3</v>
          </cell>
          <cell r="M1709" t="e">
            <v>#VALUE!</v>
          </cell>
          <cell r="O1709" t="str">
            <v>-</v>
          </cell>
          <cell r="T1709">
            <v>0.25</v>
          </cell>
          <cell r="U1709" t="str">
            <v>-</v>
          </cell>
        </row>
        <row r="1710">
          <cell r="B1710" t="str">
            <v>2L5X3X1/4X3/4LLBB</v>
          </cell>
          <cell r="C1710">
            <v>3.88</v>
          </cell>
          <cell r="D1710">
            <v>5</v>
          </cell>
          <cell r="F1710" t="str">
            <v>-</v>
          </cell>
          <cell r="H1710" t="str">
            <v>-</v>
          </cell>
          <cell r="I1710" t="str">
            <v>-</v>
          </cell>
          <cell r="K1710" t="str">
            <v>-</v>
          </cell>
          <cell r="L1710">
            <v>3</v>
          </cell>
          <cell r="M1710" t="e">
            <v>#VALUE!</v>
          </cell>
          <cell r="O1710" t="str">
            <v>-</v>
          </cell>
          <cell r="T1710">
            <v>0.25</v>
          </cell>
          <cell r="U1710" t="str">
            <v>-</v>
          </cell>
        </row>
        <row r="1711">
          <cell r="B1711" t="str">
            <v>2L4X3-1/2X1/2LLBB</v>
          </cell>
          <cell r="C1711">
            <v>7</v>
          </cell>
          <cell r="D1711">
            <v>4</v>
          </cell>
          <cell r="F1711" t="str">
            <v>-</v>
          </cell>
          <cell r="H1711" t="str">
            <v>-</v>
          </cell>
          <cell r="I1711" t="str">
            <v>-</v>
          </cell>
          <cell r="K1711" t="str">
            <v>-</v>
          </cell>
          <cell r="L1711">
            <v>3.5</v>
          </cell>
          <cell r="M1711" t="e">
            <v>#VALUE!</v>
          </cell>
          <cell r="O1711" t="str">
            <v>-</v>
          </cell>
          <cell r="T1711">
            <v>0.5</v>
          </cell>
          <cell r="U1711" t="str">
            <v>-</v>
          </cell>
        </row>
        <row r="1712">
          <cell r="B1712" t="str">
            <v>2L4X3-1/2X1/2X3/8LLBB</v>
          </cell>
          <cell r="C1712">
            <v>7</v>
          </cell>
          <cell r="D1712">
            <v>4</v>
          </cell>
          <cell r="F1712" t="str">
            <v>-</v>
          </cell>
          <cell r="H1712" t="str">
            <v>-</v>
          </cell>
          <cell r="I1712" t="str">
            <v>-</v>
          </cell>
          <cell r="K1712" t="str">
            <v>-</v>
          </cell>
          <cell r="L1712">
            <v>3.5</v>
          </cell>
          <cell r="M1712" t="e">
            <v>#VALUE!</v>
          </cell>
          <cell r="O1712" t="str">
            <v>-</v>
          </cell>
          <cell r="T1712">
            <v>0.5</v>
          </cell>
          <cell r="U1712" t="str">
            <v>-</v>
          </cell>
        </row>
        <row r="1713">
          <cell r="B1713" t="str">
            <v>2L4X3-1/2X1/2X3/4LLBB</v>
          </cell>
          <cell r="C1713">
            <v>7</v>
          </cell>
          <cell r="D1713">
            <v>4</v>
          </cell>
          <cell r="F1713" t="str">
            <v>-</v>
          </cell>
          <cell r="H1713" t="str">
            <v>-</v>
          </cell>
          <cell r="I1713" t="str">
            <v>-</v>
          </cell>
          <cell r="K1713" t="str">
            <v>-</v>
          </cell>
          <cell r="L1713">
            <v>3.5</v>
          </cell>
          <cell r="M1713" t="e">
            <v>#VALUE!</v>
          </cell>
          <cell r="O1713" t="str">
            <v>-</v>
          </cell>
          <cell r="T1713">
            <v>0.5</v>
          </cell>
          <cell r="U1713" t="str">
            <v>-</v>
          </cell>
        </row>
        <row r="1714">
          <cell r="B1714" t="str">
            <v>2L4X3-1/2X3/8LLBB</v>
          </cell>
          <cell r="C1714">
            <v>5.36</v>
          </cell>
          <cell r="D1714">
            <v>4</v>
          </cell>
          <cell r="F1714" t="str">
            <v>-</v>
          </cell>
          <cell r="H1714" t="str">
            <v>-</v>
          </cell>
          <cell r="I1714" t="str">
            <v>-</v>
          </cell>
          <cell r="K1714" t="str">
            <v>-</v>
          </cell>
          <cell r="L1714">
            <v>3.5</v>
          </cell>
          <cell r="M1714" t="e">
            <v>#VALUE!</v>
          </cell>
          <cell r="O1714" t="str">
            <v>-</v>
          </cell>
          <cell r="T1714">
            <v>0.375</v>
          </cell>
          <cell r="U1714" t="str">
            <v>-</v>
          </cell>
        </row>
        <row r="1715">
          <cell r="B1715" t="str">
            <v>2L4X3-1/2X3/8X3/8LLBB</v>
          </cell>
          <cell r="C1715">
            <v>5.36</v>
          </cell>
          <cell r="D1715">
            <v>4</v>
          </cell>
          <cell r="F1715" t="str">
            <v>-</v>
          </cell>
          <cell r="H1715" t="str">
            <v>-</v>
          </cell>
          <cell r="I1715" t="str">
            <v>-</v>
          </cell>
          <cell r="K1715" t="str">
            <v>-</v>
          </cell>
          <cell r="L1715">
            <v>3.5</v>
          </cell>
          <cell r="M1715" t="e">
            <v>#VALUE!</v>
          </cell>
          <cell r="O1715" t="str">
            <v>-</v>
          </cell>
          <cell r="T1715">
            <v>0.375</v>
          </cell>
          <cell r="U1715" t="str">
            <v>-</v>
          </cell>
        </row>
        <row r="1716">
          <cell r="B1716" t="str">
            <v>2L4X3-1/2X3/8X3/4LLBB</v>
          </cell>
          <cell r="C1716">
            <v>5.36</v>
          </cell>
          <cell r="D1716">
            <v>4</v>
          </cell>
          <cell r="F1716" t="str">
            <v>-</v>
          </cell>
          <cell r="H1716" t="str">
            <v>-</v>
          </cell>
          <cell r="I1716" t="str">
            <v>-</v>
          </cell>
          <cell r="K1716" t="str">
            <v>-</v>
          </cell>
          <cell r="L1716">
            <v>3.5</v>
          </cell>
          <cell r="M1716" t="e">
            <v>#VALUE!</v>
          </cell>
          <cell r="O1716" t="str">
            <v>-</v>
          </cell>
          <cell r="T1716">
            <v>0.375</v>
          </cell>
          <cell r="U1716" t="str">
            <v>-</v>
          </cell>
        </row>
        <row r="1717">
          <cell r="B1717" t="str">
            <v>2L4X3-1/2X5/16LLBB</v>
          </cell>
          <cell r="C1717">
            <v>4.5</v>
          </cell>
          <cell r="D1717">
            <v>4</v>
          </cell>
          <cell r="F1717" t="str">
            <v>-</v>
          </cell>
          <cell r="H1717" t="str">
            <v>-</v>
          </cell>
          <cell r="I1717" t="str">
            <v>-</v>
          </cell>
          <cell r="K1717" t="str">
            <v>-</v>
          </cell>
          <cell r="L1717">
            <v>3.5</v>
          </cell>
          <cell r="M1717" t="e">
            <v>#VALUE!</v>
          </cell>
          <cell r="O1717" t="str">
            <v>-</v>
          </cell>
          <cell r="T1717">
            <v>0.313</v>
          </cell>
          <cell r="U1717" t="str">
            <v>-</v>
          </cell>
        </row>
        <row r="1718">
          <cell r="B1718" t="str">
            <v>2L4X3-1/2X5/16X3/8LLBB</v>
          </cell>
          <cell r="C1718">
            <v>4.5</v>
          </cell>
          <cell r="D1718">
            <v>4</v>
          </cell>
          <cell r="F1718" t="str">
            <v>-</v>
          </cell>
          <cell r="H1718" t="str">
            <v>-</v>
          </cell>
          <cell r="I1718" t="str">
            <v>-</v>
          </cell>
          <cell r="K1718" t="str">
            <v>-</v>
          </cell>
          <cell r="L1718">
            <v>3.5</v>
          </cell>
          <cell r="M1718" t="e">
            <v>#VALUE!</v>
          </cell>
          <cell r="O1718" t="str">
            <v>-</v>
          </cell>
          <cell r="T1718">
            <v>0.313</v>
          </cell>
          <cell r="U1718" t="str">
            <v>-</v>
          </cell>
        </row>
        <row r="1719">
          <cell r="B1719" t="str">
            <v>2L4X3-1/2X5/16X3/4LLBB</v>
          </cell>
          <cell r="C1719">
            <v>4.5</v>
          </cell>
          <cell r="D1719">
            <v>4</v>
          </cell>
          <cell r="F1719" t="str">
            <v>-</v>
          </cell>
          <cell r="H1719" t="str">
            <v>-</v>
          </cell>
          <cell r="I1719" t="str">
            <v>-</v>
          </cell>
          <cell r="K1719" t="str">
            <v>-</v>
          </cell>
          <cell r="L1719">
            <v>3.5</v>
          </cell>
          <cell r="M1719" t="e">
            <v>#VALUE!</v>
          </cell>
          <cell r="O1719" t="str">
            <v>-</v>
          </cell>
          <cell r="T1719">
            <v>0.313</v>
          </cell>
          <cell r="U1719" t="str">
            <v>-</v>
          </cell>
        </row>
        <row r="1720">
          <cell r="B1720" t="str">
            <v>2L4X3-1/2X1/4LLBB</v>
          </cell>
          <cell r="C1720">
            <v>3.64</v>
          </cell>
          <cell r="D1720">
            <v>4</v>
          </cell>
          <cell r="F1720" t="str">
            <v>-</v>
          </cell>
          <cell r="H1720" t="str">
            <v>-</v>
          </cell>
          <cell r="I1720" t="str">
            <v>-</v>
          </cell>
          <cell r="K1720" t="str">
            <v>-</v>
          </cell>
          <cell r="L1720">
            <v>3.5</v>
          </cell>
          <cell r="M1720" t="e">
            <v>#VALUE!</v>
          </cell>
          <cell r="O1720" t="str">
            <v>-</v>
          </cell>
          <cell r="T1720">
            <v>0.25</v>
          </cell>
          <cell r="U1720" t="str">
            <v>-</v>
          </cell>
        </row>
        <row r="1721">
          <cell r="B1721" t="str">
            <v>2L4X3-1/2X1/4X3/8LLBB</v>
          </cell>
          <cell r="C1721">
            <v>3.64</v>
          </cell>
          <cell r="D1721">
            <v>4</v>
          </cell>
          <cell r="F1721" t="str">
            <v>-</v>
          </cell>
          <cell r="H1721" t="str">
            <v>-</v>
          </cell>
          <cell r="I1721" t="str">
            <v>-</v>
          </cell>
          <cell r="K1721" t="str">
            <v>-</v>
          </cell>
          <cell r="L1721">
            <v>3.5</v>
          </cell>
          <cell r="M1721" t="e">
            <v>#VALUE!</v>
          </cell>
          <cell r="O1721" t="str">
            <v>-</v>
          </cell>
          <cell r="T1721">
            <v>0.25</v>
          </cell>
          <cell r="U1721" t="str">
            <v>-</v>
          </cell>
        </row>
        <row r="1722">
          <cell r="B1722" t="str">
            <v>2L4X3-1/2X1/4X3/4LLBB</v>
          </cell>
          <cell r="C1722">
            <v>3.64</v>
          </cell>
          <cell r="D1722">
            <v>4</v>
          </cell>
          <cell r="F1722" t="str">
            <v>-</v>
          </cell>
          <cell r="H1722" t="str">
            <v>-</v>
          </cell>
          <cell r="I1722" t="str">
            <v>-</v>
          </cell>
          <cell r="K1722" t="str">
            <v>-</v>
          </cell>
          <cell r="L1722">
            <v>3.5</v>
          </cell>
          <cell r="M1722" t="e">
            <v>#VALUE!</v>
          </cell>
          <cell r="O1722" t="str">
            <v>-</v>
          </cell>
          <cell r="T1722">
            <v>0.25</v>
          </cell>
          <cell r="U1722" t="str">
            <v>-</v>
          </cell>
        </row>
        <row r="1723">
          <cell r="B1723" t="str">
            <v>2L4X3X5/8LLBB</v>
          </cell>
          <cell r="C1723">
            <v>7.98</v>
          </cell>
          <cell r="D1723">
            <v>4</v>
          </cell>
          <cell r="F1723" t="str">
            <v>-</v>
          </cell>
          <cell r="H1723" t="str">
            <v>-</v>
          </cell>
          <cell r="I1723" t="str">
            <v>-</v>
          </cell>
          <cell r="K1723" t="str">
            <v>-</v>
          </cell>
          <cell r="L1723">
            <v>3</v>
          </cell>
          <cell r="M1723" t="e">
            <v>#VALUE!</v>
          </cell>
          <cell r="O1723" t="str">
            <v>-</v>
          </cell>
          <cell r="T1723">
            <v>0.625</v>
          </cell>
          <cell r="U1723" t="str">
            <v>-</v>
          </cell>
        </row>
        <row r="1724">
          <cell r="B1724" t="str">
            <v>2L4X3X5/8X3/8LLBB</v>
          </cell>
          <cell r="C1724">
            <v>7.98</v>
          </cell>
          <cell r="D1724">
            <v>4</v>
          </cell>
          <cell r="F1724" t="str">
            <v>-</v>
          </cell>
          <cell r="H1724" t="str">
            <v>-</v>
          </cell>
          <cell r="I1724" t="str">
            <v>-</v>
          </cell>
          <cell r="K1724" t="str">
            <v>-</v>
          </cell>
          <cell r="L1724">
            <v>3</v>
          </cell>
          <cell r="M1724" t="e">
            <v>#VALUE!</v>
          </cell>
          <cell r="O1724" t="str">
            <v>-</v>
          </cell>
          <cell r="T1724">
            <v>0.625</v>
          </cell>
          <cell r="U1724" t="str">
            <v>-</v>
          </cell>
        </row>
        <row r="1725">
          <cell r="B1725" t="str">
            <v>2L4X3X5/8X3/4LLBB</v>
          </cell>
          <cell r="C1725">
            <v>7.98</v>
          </cell>
          <cell r="D1725">
            <v>4</v>
          </cell>
          <cell r="F1725" t="str">
            <v>-</v>
          </cell>
          <cell r="H1725" t="str">
            <v>-</v>
          </cell>
          <cell r="I1725" t="str">
            <v>-</v>
          </cell>
          <cell r="K1725" t="str">
            <v>-</v>
          </cell>
          <cell r="L1725">
            <v>3</v>
          </cell>
          <cell r="M1725" t="e">
            <v>#VALUE!</v>
          </cell>
          <cell r="O1725" t="str">
            <v>-</v>
          </cell>
          <cell r="T1725">
            <v>0.625</v>
          </cell>
          <cell r="U1725" t="str">
            <v>-</v>
          </cell>
        </row>
        <row r="1726">
          <cell r="B1726" t="str">
            <v>2L4X3X1/2LLBB</v>
          </cell>
          <cell r="C1726">
            <v>6.5</v>
          </cell>
          <cell r="D1726">
            <v>4</v>
          </cell>
          <cell r="F1726" t="str">
            <v>-</v>
          </cell>
          <cell r="H1726" t="str">
            <v>-</v>
          </cell>
          <cell r="I1726" t="str">
            <v>-</v>
          </cell>
          <cell r="K1726" t="str">
            <v>-</v>
          </cell>
          <cell r="L1726">
            <v>3</v>
          </cell>
          <cell r="M1726" t="e">
            <v>#VALUE!</v>
          </cell>
          <cell r="O1726" t="str">
            <v>-</v>
          </cell>
          <cell r="T1726">
            <v>0.5</v>
          </cell>
          <cell r="U1726" t="str">
            <v>-</v>
          </cell>
        </row>
        <row r="1727">
          <cell r="B1727" t="str">
            <v>2L4X3X1/2X3/8LLBB</v>
          </cell>
          <cell r="C1727">
            <v>6.5</v>
          </cell>
          <cell r="D1727">
            <v>4</v>
          </cell>
          <cell r="F1727" t="str">
            <v>-</v>
          </cell>
          <cell r="H1727" t="str">
            <v>-</v>
          </cell>
          <cell r="I1727" t="str">
            <v>-</v>
          </cell>
          <cell r="K1727" t="str">
            <v>-</v>
          </cell>
          <cell r="L1727">
            <v>3</v>
          </cell>
          <cell r="M1727" t="e">
            <v>#VALUE!</v>
          </cell>
          <cell r="O1727" t="str">
            <v>-</v>
          </cell>
          <cell r="T1727">
            <v>0.5</v>
          </cell>
          <cell r="U1727" t="str">
            <v>-</v>
          </cell>
        </row>
        <row r="1728">
          <cell r="B1728" t="str">
            <v>2L4X3X1/2X3/4LLBB</v>
          </cell>
          <cell r="C1728">
            <v>6.5</v>
          </cell>
          <cell r="D1728">
            <v>4</v>
          </cell>
          <cell r="F1728" t="str">
            <v>-</v>
          </cell>
          <cell r="H1728" t="str">
            <v>-</v>
          </cell>
          <cell r="I1728" t="str">
            <v>-</v>
          </cell>
          <cell r="K1728" t="str">
            <v>-</v>
          </cell>
          <cell r="L1728">
            <v>3</v>
          </cell>
          <cell r="M1728" t="e">
            <v>#VALUE!</v>
          </cell>
          <cell r="O1728" t="str">
            <v>-</v>
          </cell>
          <cell r="T1728">
            <v>0.5</v>
          </cell>
          <cell r="U1728" t="str">
            <v>-</v>
          </cell>
        </row>
        <row r="1729">
          <cell r="B1729" t="str">
            <v>2L4X3X3/8LLBB</v>
          </cell>
          <cell r="C1729">
            <v>4.9800000000000004</v>
          </cell>
          <cell r="D1729">
            <v>4</v>
          </cell>
          <cell r="F1729" t="str">
            <v>-</v>
          </cell>
          <cell r="H1729" t="str">
            <v>-</v>
          </cell>
          <cell r="I1729" t="str">
            <v>-</v>
          </cell>
          <cell r="K1729" t="str">
            <v>-</v>
          </cell>
          <cell r="L1729">
            <v>3</v>
          </cell>
          <cell r="M1729" t="e">
            <v>#VALUE!</v>
          </cell>
          <cell r="O1729" t="str">
            <v>-</v>
          </cell>
          <cell r="T1729">
            <v>0.375</v>
          </cell>
          <cell r="U1729" t="str">
            <v>-</v>
          </cell>
        </row>
        <row r="1730">
          <cell r="B1730" t="str">
            <v>2L4X3X3/8X3/8LLBB</v>
          </cell>
          <cell r="C1730">
            <v>4.9800000000000004</v>
          </cell>
          <cell r="D1730">
            <v>4</v>
          </cell>
          <cell r="F1730" t="str">
            <v>-</v>
          </cell>
          <cell r="H1730" t="str">
            <v>-</v>
          </cell>
          <cell r="I1730" t="str">
            <v>-</v>
          </cell>
          <cell r="K1730" t="str">
            <v>-</v>
          </cell>
          <cell r="L1730">
            <v>3</v>
          </cell>
          <cell r="M1730" t="e">
            <v>#VALUE!</v>
          </cell>
          <cell r="O1730" t="str">
            <v>-</v>
          </cell>
          <cell r="T1730">
            <v>0.375</v>
          </cell>
          <cell r="U1730" t="str">
            <v>-</v>
          </cell>
        </row>
        <row r="1731">
          <cell r="B1731" t="str">
            <v>2L4X3X3/8X3/4LLBB</v>
          </cell>
          <cell r="C1731">
            <v>4.9800000000000004</v>
          </cell>
          <cell r="D1731">
            <v>4</v>
          </cell>
          <cell r="F1731" t="str">
            <v>-</v>
          </cell>
          <cell r="H1731" t="str">
            <v>-</v>
          </cell>
          <cell r="I1731" t="str">
            <v>-</v>
          </cell>
          <cell r="K1731" t="str">
            <v>-</v>
          </cell>
          <cell r="L1731">
            <v>3</v>
          </cell>
          <cell r="M1731" t="e">
            <v>#VALUE!</v>
          </cell>
          <cell r="O1731" t="str">
            <v>-</v>
          </cell>
          <cell r="T1731">
            <v>0.375</v>
          </cell>
          <cell r="U1731" t="str">
            <v>-</v>
          </cell>
        </row>
        <row r="1732">
          <cell r="B1732" t="str">
            <v>2L4X3X5/16LLBB</v>
          </cell>
          <cell r="C1732">
            <v>4.18</v>
          </cell>
          <cell r="D1732">
            <v>4</v>
          </cell>
          <cell r="F1732" t="str">
            <v>-</v>
          </cell>
          <cell r="H1732" t="str">
            <v>-</v>
          </cell>
          <cell r="I1732" t="str">
            <v>-</v>
          </cell>
          <cell r="K1732" t="str">
            <v>-</v>
          </cell>
          <cell r="L1732">
            <v>3</v>
          </cell>
          <cell r="M1732" t="e">
            <v>#VALUE!</v>
          </cell>
          <cell r="O1732" t="str">
            <v>-</v>
          </cell>
          <cell r="T1732">
            <v>0.313</v>
          </cell>
          <cell r="U1732" t="str">
            <v>-</v>
          </cell>
        </row>
        <row r="1733">
          <cell r="B1733" t="str">
            <v>2L4X3X5/16X3/8LLBB</v>
          </cell>
          <cell r="C1733">
            <v>4.18</v>
          </cell>
          <cell r="D1733">
            <v>4</v>
          </cell>
          <cell r="F1733" t="str">
            <v>-</v>
          </cell>
          <cell r="H1733" t="str">
            <v>-</v>
          </cell>
          <cell r="I1733" t="str">
            <v>-</v>
          </cell>
          <cell r="K1733" t="str">
            <v>-</v>
          </cell>
          <cell r="L1733">
            <v>3</v>
          </cell>
          <cell r="M1733" t="e">
            <v>#VALUE!</v>
          </cell>
          <cell r="O1733" t="str">
            <v>-</v>
          </cell>
          <cell r="T1733">
            <v>0.313</v>
          </cell>
          <cell r="U1733" t="str">
            <v>-</v>
          </cell>
        </row>
        <row r="1734">
          <cell r="B1734" t="str">
            <v>2L4X3X5/16X3/4LLBB</v>
          </cell>
          <cell r="C1734">
            <v>4.18</v>
          </cell>
          <cell r="D1734">
            <v>4</v>
          </cell>
          <cell r="F1734" t="str">
            <v>-</v>
          </cell>
          <cell r="H1734" t="str">
            <v>-</v>
          </cell>
          <cell r="I1734" t="str">
            <v>-</v>
          </cell>
          <cell r="K1734" t="str">
            <v>-</v>
          </cell>
          <cell r="L1734">
            <v>3</v>
          </cell>
          <cell r="M1734" t="e">
            <v>#VALUE!</v>
          </cell>
          <cell r="O1734" t="str">
            <v>-</v>
          </cell>
          <cell r="T1734">
            <v>0.313</v>
          </cell>
          <cell r="U1734" t="str">
            <v>-</v>
          </cell>
        </row>
        <row r="1735">
          <cell r="B1735" t="str">
            <v>2L4X3X1/4LLBB</v>
          </cell>
          <cell r="C1735">
            <v>3.38</v>
          </cell>
          <cell r="D1735">
            <v>4</v>
          </cell>
          <cell r="F1735" t="str">
            <v>-</v>
          </cell>
          <cell r="H1735" t="str">
            <v>-</v>
          </cell>
          <cell r="I1735" t="str">
            <v>-</v>
          </cell>
          <cell r="K1735" t="str">
            <v>-</v>
          </cell>
          <cell r="L1735">
            <v>3</v>
          </cell>
          <cell r="M1735" t="e">
            <v>#VALUE!</v>
          </cell>
          <cell r="O1735" t="str">
            <v>-</v>
          </cell>
          <cell r="T1735">
            <v>0.25</v>
          </cell>
          <cell r="U1735" t="str">
            <v>-</v>
          </cell>
        </row>
        <row r="1736">
          <cell r="B1736" t="str">
            <v>2L4X3X1/4X3/8LLBB</v>
          </cell>
          <cell r="C1736">
            <v>3.38</v>
          </cell>
          <cell r="D1736">
            <v>4</v>
          </cell>
          <cell r="F1736" t="str">
            <v>-</v>
          </cell>
          <cell r="H1736" t="str">
            <v>-</v>
          </cell>
          <cell r="I1736" t="str">
            <v>-</v>
          </cell>
          <cell r="K1736" t="str">
            <v>-</v>
          </cell>
          <cell r="L1736">
            <v>3</v>
          </cell>
          <cell r="M1736" t="e">
            <v>#VALUE!</v>
          </cell>
          <cell r="O1736" t="str">
            <v>-</v>
          </cell>
          <cell r="T1736">
            <v>0.25</v>
          </cell>
          <cell r="U1736" t="str">
            <v>-</v>
          </cell>
        </row>
        <row r="1737">
          <cell r="B1737" t="str">
            <v>2L4X3X1/4X3/4LLBB</v>
          </cell>
          <cell r="C1737">
            <v>3.38</v>
          </cell>
          <cell r="D1737">
            <v>4</v>
          </cell>
          <cell r="F1737" t="str">
            <v>-</v>
          </cell>
          <cell r="H1737" t="str">
            <v>-</v>
          </cell>
          <cell r="I1737" t="str">
            <v>-</v>
          </cell>
          <cell r="K1737" t="str">
            <v>-</v>
          </cell>
          <cell r="L1737">
            <v>3</v>
          </cell>
          <cell r="M1737" t="e">
            <v>#VALUE!</v>
          </cell>
          <cell r="O1737" t="str">
            <v>-</v>
          </cell>
          <cell r="T1737">
            <v>0.25</v>
          </cell>
          <cell r="U1737" t="str">
            <v>-</v>
          </cell>
        </row>
        <row r="1738">
          <cell r="B1738" t="str">
            <v>2L3-1/2X3X1/2LLBB</v>
          </cell>
          <cell r="C1738">
            <v>6.04</v>
          </cell>
          <cell r="D1738">
            <v>3.5</v>
          </cell>
          <cell r="F1738" t="str">
            <v>-</v>
          </cell>
          <cell r="H1738" t="str">
            <v>-</v>
          </cell>
          <cell r="I1738" t="str">
            <v>-</v>
          </cell>
          <cell r="K1738" t="str">
            <v>-</v>
          </cell>
          <cell r="L1738">
            <v>3</v>
          </cell>
          <cell r="M1738" t="e">
            <v>#VALUE!</v>
          </cell>
          <cell r="O1738" t="str">
            <v>-</v>
          </cell>
          <cell r="T1738">
            <v>0.5</v>
          </cell>
          <cell r="U1738" t="str">
            <v>-</v>
          </cell>
        </row>
        <row r="1739">
          <cell r="B1739" t="str">
            <v>2L3-1/2X3X1/2X3/8LLBB</v>
          </cell>
          <cell r="C1739">
            <v>6.04</v>
          </cell>
          <cell r="D1739">
            <v>3.5</v>
          </cell>
          <cell r="F1739" t="str">
            <v>-</v>
          </cell>
          <cell r="H1739" t="str">
            <v>-</v>
          </cell>
          <cell r="I1739" t="str">
            <v>-</v>
          </cell>
          <cell r="K1739" t="str">
            <v>-</v>
          </cell>
          <cell r="L1739">
            <v>3</v>
          </cell>
          <cell r="M1739" t="e">
            <v>#VALUE!</v>
          </cell>
          <cell r="O1739" t="str">
            <v>-</v>
          </cell>
          <cell r="T1739">
            <v>0.5</v>
          </cell>
          <cell r="U1739" t="str">
            <v>-</v>
          </cell>
        </row>
        <row r="1740">
          <cell r="B1740" t="str">
            <v>2L3-1/2X3X1/2X3/4LLBB</v>
          </cell>
          <cell r="C1740">
            <v>6.04</v>
          </cell>
          <cell r="D1740">
            <v>3.5</v>
          </cell>
          <cell r="F1740" t="str">
            <v>-</v>
          </cell>
          <cell r="H1740" t="str">
            <v>-</v>
          </cell>
          <cell r="I1740" t="str">
            <v>-</v>
          </cell>
          <cell r="K1740" t="str">
            <v>-</v>
          </cell>
          <cell r="L1740">
            <v>3</v>
          </cell>
          <cell r="M1740" t="e">
            <v>#VALUE!</v>
          </cell>
          <cell r="O1740" t="str">
            <v>-</v>
          </cell>
          <cell r="T1740">
            <v>0.5</v>
          </cell>
          <cell r="U1740" t="str">
            <v>-</v>
          </cell>
        </row>
        <row r="1741">
          <cell r="B1741" t="str">
            <v>2L3-1/2X3X7/16LLBB</v>
          </cell>
          <cell r="C1741">
            <v>5.34</v>
          </cell>
          <cell r="D1741">
            <v>3.5</v>
          </cell>
          <cell r="F1741" t="str">
            <v>-</v>
          </cell>
          <cell r="H1741" t="str">
            <v>-</v>
          </cell>
          <cell r="I1741" t="str">
            <v>-</v>
          </cell>
          <cell r="K1741" t="str">
            <v>-</v>
          </cell>
          <cell r="L1741">
            <v>3</v>
          </cell>
          <cell r="M1741" t="e">
            <v>#VALUE!</v>
          </cell>
          <cell r="O1741" t="str">
            <v>-</v>
          </cell>
          <cell r="T1741">
            <v>0.438</v>
          </cell>
          <cell r="U1741" t="str">
            <v>-</v>
          </cell>
        </row>
        <row r="1742">
          <cell r="B1742" t="str">
            <v>2L3-1/2X3X7/16X3/8LLBB</v>
          </cell>
          <cell r="C1742">
            <v>5.34</v>
          </cell>
          <cell r="D1742">
            <v>3.5</v>
          </cell>
          <cell r="F1742" t="str">
            <v>-</v>
          </cell>
          <cell r="H1742" t="str">
            <v>-</v>
          </cell>
          <cell r="I1742" t="str">
            <v>-</v>
          </cell>
          <cell r="K1742" t="str">
            <v>-</v>
          </cell>
          <cell r="L1742">
            <v>3</v>
          </cell>
          <cell r="M1742" t="e">
            <v>#VALUE!</v>
          </cell>
          <cell r="O1742" t="str">
            <v>-</v>
          </cell>
          <cell r="T1742">
            <v>0.438</v>
          </cell>
          <cell r="U1742" t="str">
            <v>-</v>
          </cell>
        </row>
        <row r="1743">
          <cell r="B1743" t="str">
            <v>2L3-1/2X3X7/16X3/4LLBB</v>
          </cell>
          <cell r="C1743">
            <v>5.34</v>
          </cell>
          <cell r="D1743">
            <v>3.5</v>
          </cell>
          <cell r="F1743" t="str">
            <v>-</v>
          </cell>
          <cell r="H1743" t="str">
            <v>-</v>
          </cell>
          <cell r="I1743" t="str">
            <v>-</v>
          </cell>
          <cell r="K1743" t="str">
            <v>-</v>
          </cell>
          <cell r="L1743">
            <v>3</v>
          </cell>
          <cell r="M1743" t="e">
            <v>#VALUE!</v>
          </cell>
          <cell r="O1743" t="str">
            <v>-</v>
          </cell>
          <cell r="T1743">
            <v>0.438</v>
          </cell>
          <cell r="U1743" t="str">
            <v>-</v>
          </cell>
        </row>
        <row r="1744">
          <cell r="B1744" t="str">
            <v>2L3-1/2X3X3/8LLBB</v>
          </cell>
          <cell r="C1744">
            <v>4.6399999999999997</v>
          </cell>
          <cell r="D1744">
            <v>3.5</v>
          </cell>
          <cell r="F1744" t="str">
            <v>-</v>
          </cell>
          <cell r="H1744" t="str">
            <v>-</v>
          </cell>
          <cell r="I1744" t="str">
            <v>-</v>
          </cell>
          <cell r="K1744" t="str">
            <v>-</v>
          </cell>
          <cell r="L1744">
            <v>3</v>
          </cell>
          <cell r="M1744" t="e">
            <v>#VALUE!</v>
          </cell>
          <cell r="O1744" t="str">
            <v>-</v>
          </cell>
          <cell r="T1744">
            <v>0.375</v>
          </cell>
          <cell r="U1744" t="str">
            <v>-</v>
          </cell>
        </row>
        <row r="1745">
          <cell r="B1745" t="str">
            <v>2L3-1/2X3X3/8X3/8LLBB</v>
          </cell>
          <cell r="C1745">
            <v>4.6399999999999997</v>
          </cell>
          <cell r="D1745">
            <v>3.5</v>
          </cell>
          <cell r="F1745" t="str">
            <v>-</v>
          </cell>
          <cell r="H1745" t="str">
            <v>-</v>
          </cell>
          <cell r="I1745" t="str">
            <v>-</v>
          </cell>
          <cell r="K1745" t="str">
            <v>-</v>
          </cell>
          <cell r="L1745">
            <v>3</v>
          </cell>
          <cell r="M1745" t="e">
            <v>#VALUE!</v>
          </cell>
          <cell r="O1745" t="str">
            <v>-</v>
          </cell>
          <cell r="T1745">
            <v>0.375</v>
          </cell>
          <cell r="U1745" t="str">
            <v>-</v>
          </cell>
        </row>
        <row r="1746">
          <cell r="B1746" t="str">
            <v>2L3-1/2X3X3/8X3/4LLBB</v>
          </cell>
          <cell r="C1746">
            <v>4.6399999999999997</v>
          </cell>
          <cell r="D1746">
            <v>3.5</v>
          </cell>
          <cell r="F1746" t="str">
            <v>-</v>
          </cell>
          <cell r="H1746" t="str">
            <v>-</v>
          </cell>
          <cell r="I1746" t="str">
            <v>-</v>
          </cell>
          <cell r="K1746" t="str">
            <v>-</v>
          </cell>
          <cell r="L1746">
            <v>3</v>
          </cell>
          <cell r="M1746" t="e">
            <v>#VALUE!</v>
          </cell>
          <cell r="O1746" t="str">
            <v>-</v>
          </cell>
          <cell r="T1746">
            <v>0.375</v>
          </cell>
          <cell r="U1746" t="str">
            <v>-</v>
          </cell>
        </row>
        <row r="1747">
          <cell r="B1747" t="str">
            <v>2L3-1/2X3X5/16LLBB</v>
          </cell>
          <cell r="C1747">
            <v>3.9</v>
          </cell>
          <cell r="D1747">
            <v>3.5</v>
          </cell>
          <cell r="F1747" t="str">
            <v>-</v>
          </cell>
          <cell r="H1747" t="str">
            <v>-</v>
          </cell>
          <cell r="I1747" t="str">
            <v>-</v>
          </cell>
          <cell r="K1747" t="str">
            <v>-</v>
          </cell>
          <cell r="L1747">
            <v>3</v>
          </cell>
          <cell r="M1747" t="e">
            <v>#VALUE!</v>
          </cell>
          <cell r="O1747" t="str">
            <v>-</v>
          </cell>
          <cell r="T1747">
            <v>0.313</v>
          </cell>
          <cell r="U1747" t="str">
            <v>-</v>
          </cell>
        </row>
        <row r="1748">
          <cell r="B1748" t="str">
            <v>2L3-1/2X3X5/16X3/8LLBB</v>
          </cell>
          <cell r="C1748">
            <v>3.9</v>
          </cell>
          <cell r="D1748">
            <v>3.5</v>
          </cell>
          <cell r="F1748" t="str">
            <v>-</v>
          </cell>
          <cell r="H1748" t="str">
            <v>-</v>
          </cell>
          <cell r="I1748" t="str">
            <v>-</v>
          </cell>
          <cell r="K1748" t="str">
            <v>-</v>
          </cell>
          <cell r="L1748">
            <v>3</v>
          </cell>
          <cell r="M1748" t="e">
            <v>#VALUE!</v>
          </cell>
          <cell r="O1748" t="str">
            <v>-</v>
          </cell>
          <cell r="T1748">
            <v>0.313</v>
          </cell>
          <cell r="U1748" t="str">
            <v>-</v>
          </cell>
        </row>
        <row r="1749">
          <cell r="B1749" t="str">
            <v>2L3-1/2X3X5/16X3/4LLBB</v>
          </cell>
          <cell r="C1749">
            <v>3.9</v>
          </cell>
          <cell r="D1749">
            <v>3.5</v>
          </cell>
          <cell r="F1749" t="str">
            <v>-</v>
          </cell>
          <cell r="H1749" t="str">
            <v>-</v>
          </cell>
          <cell r="I1749" t="str">
            <v>-</v>
          </cell>
          <cell r="K1749" t="str">
            <v>-</v>
          </cell>
          <cell r="L1749">
            <v>3</v>
          </cell>
          <cell r="M1749" t="e">
            <v>#VALUE!</v>
          </cell>
          <cell r="O1749" t="str">
            <v>-</v>
          </cell>
          <cell r="T1749">
            <v>0.313</v>
          </cell>
          <cell r="U1749" t="str">
            <v>-</v>
          </cell>
        </row>
        <row r="1750">
          <cell r="B1750" t="str">
            <v>2L3-1/2X3X1/4LLBB</v>
          </cell>
          <cell r="C1750">
            <v>3.16</v>
          </cell>
          <cell r="D1750">
            <v>3.5</v>
          </cell>
          <cell r="F1750" t="str">
            <v>-</v>
          </cell>
          <cell r="H1750" t="str">
            <v>-</v>
          </cell>
          <cell r="I1750" t="str">
            <v>-</v>
          </cell>
          <cell r="K1750" t="str">
            <v>-</v>
          </cell>
          <cell r="L1750">
            <v>3</v>
          </cell>
          <cell r="M1750" t="e">
            <v>#VALUE!</v>
          </cell>
          <cell r="O1750" t="str">
            <v>-</v>
          </cell>
          <cell r="T1750">
            <v>0.25</v>
          </cell>
          <cell r="U1750" t="str">
            <v>-</v>
          </cell>
        </row>
        <row r="1751">
          <cell r="B1751" t="str">
            <v>2L3-1/2X3X1/4X3/8LLBB</v>
          </cell>
          <cell r="C1751">
            <v>3.16</v>
          </cell>
          <cell r="D1751">
            <v>3.5</v>
          </cell>
          <cell r="F1751" t="str">
            <v>-</v>
          </cell>
          <cell r="H1751" t="str">
            <v>-</v>
          </cell>
          <cell r="I1751" t="str">
            <v>-</v>
          </cell>
          <cell r="K1751" t="str">
            <v>-</v>
          </cell>
          <cell r="L1751">
            <v>3</v>
          </cell>
          <cell r="M1751" t="e">
            <v>#VALUE!</v>
          </cell>
          <cell r="O1751" t="str">
            <v>-</v>
          </cell>
          <cell r="T1751">
            <v>0.25</v>
          </cell>
          <cell r="U1751" t="str">
            <v>-</v>
          </cell>
        </row>
        <row r="1752">
          <cell r="B1752" t="str">
            <v>2L3-1/2X3X1/4X3/4LLBB</v>
          </cell>
          <cell r="C1752">
            <v>3.16</v>
          </cell>
          <cell r="D1752">
            <v>3.5</v>
          </cell>
          <cell r="F1752" t="str">
            <v>-</v>
          </cell>
          <cell r="H1752" t="str">
            <v>-</v>
          </cell>
          <cell r="I1752" t="str">
            <v>-</v>
          </cell>
          <cell r="K1752" t="str">
            <v>-</v>
          </cell>
          <cell r="L1752">
            <v>3</v>
          </cell>
          <cell r="M1752" t="e">
            <v>#VALUE!</v>
          </cell>
          <cell r="O1752" t="str">
            <v>-</v>
          </cell>
          <cell r="T1752">
            <v>0.25</v>
          </cell>
          <cell r="U1752" t="str">
            <v>-</v>
          </cell>
        </row>
        <row r="1753">
          <cell r="B1753" t="str">
            <v>2L3-1/2X2-1/2X1/2LLBB</v>
          </cell>
          <cell r="C1753">
            <v>5.54</v>
          </cell>
          <cell r="D1753">
            <v>3.5</v>
          </cell>
          <cell r="F1753" t="str">
            <v>-</v>
          </cell>
          <cell r="H1753" t="str">
            <v>-</v>
          </cell>
          <cell r="I1753" t="str">
            <v>-</v>
          </cell>
          <cell r="K1753" t="str">
            <v>-</v>
          </cell>
          <cell r="L1753">
            <v>2.5</v>
          </cell>
          <cell r="M1753" t="e">
            <v>#VALUE!</v>
          </cell>
          <cell r="O1753" t="str">
            <v>-</v>
          </cell>
          <cell r="T1753">
            <v>0.5</v>
          </cell>
          <cell r="U1753" t="str">
            <v>-</v>
          </cell>
        </row>
        <row r="1754">
          <cell r="B1754" t="str">
            <v>2L3-1/2X2-1/2X1/2X3/8LLBB</v>
          </cell>
          <cell r="C1754">
            <v>5.54</v>
          </cell>
          <cell r="D1754">
            <v>3.5</v>
          </cell>
          <cell r="F1754" t="str">
            <v>-</v>
          </cell>
          <cell r="H1754" t="str">
            <v>-</v>
          </cell>
          <cell r="I1754" t="str">
            <v>-</v>
          </cell>
          <cell r="K1754" t="str">
            <v>-</v>
          </cell>
          <cell r="L1754">
            <v>2.5</v>
          </cell>
          <cell r="M1754" t="e">
            <v>#VALUE!</v>
          </cell>
          <cell r="O1754" t="str">
            <v>-</v>
          </cell>
          <cell r="T1754">
            <v>0.5</v>
          </cell>
          <cell r="U1754" t="str">
            <v>-</v>
          </cell>
        </row>
        <row r="1755">
          <cell r="B1755" t="str">
            <v>2L3-1/2X2-1/2X1/2X3/4LLBB</v>
          </cell>
          <cell r="C1755">
            <v>5.54</v>
          </cell>
          <cell r="D1755">
            <v>3.5</v>
          </cell>
          <cell r="F1755" t="str">
            <v>-</v>
          </cell>
          <cell r="H1755" t="str">
            <v>-</v>
          </cell>
          <cell r="I1755" t="str">
            <v>-</v>
          </cell>
          <cell r="K1755" t="str">
            <v>-</v>
          </cell>
          <cell r="L1755">
            <v>2.5</v>
          </cell>
          <cell r="M1755" t="e">
            <v>#VALUE!</v>
          </cell>
          <cell r="O1755" t="str">
            <v>-</v>
          </cell>
          <cell r="T1755">
            <v>0.5</v>
          </cell>
          <cell r="U1755" t="str">
            <v>-</v>
          </cell>
        </row>
        <row r="1756">
          <cell r="B1756" t="str">
            <v>2L3-1/2X2-1/2X3/8LLBB</v>
          </cell>
          <cell r="C1756">
            <v>4.24</v>
          </cell>
          <cell r="D1756">
            <v>3.5</v>
          </cell>
          <cell r="F1756" t="str">
            <v>-</v>
          </cell>
          <cell r="H1756" t="str">
            <v>-</v>
          </cell>
          <cell r="I1756" t="str">
            <v>-</v>
          </cell>
          <cell r="K1756" t="str">
            <v>-</v>
          </cell>
          <cell r="L1756">
            <v>2.5</v>
          </cell>
          <cell r="M1756" t="e">
            <v>#VALUE!</v>
          </cell>
          <cell r="O1756" t="str">
            <v>-</v>
          </cell>
          <cell r="T1756">
            <v>0.375</v>
          </cell>
          <cell r="U1756" t="str">
            <v>-</v>
          </cell>
        </row>
        <row r="1757">
          <cell r="B1757" t="str">
            <v>2L3-1/2X2-1/2X3/8X3/8LLBB</v>
          </cell>
          <cell r="C1757">
            <v>4.24</v>
          </cell>
          <cell r="D1757">
            <v>3.5</v>
          </cell>
          <cell r="F1757" t="str">
            <v>-</v>
          </cell>
          <cell r="H1757" t="str">
            <v>-</v>
          </cell>
          <cell r="I1757" t="str">
            <v>-</v>
          </cell>
          <cell r="K1757" t="str">
            <v>-</v>
          </cell>
          <cell r="L1757">
            <v>2.5</v>
          </cell>
          <cell r="M1757" t="e">
            <v>#VALUE!</v>
          </cell>
          <cell r="O1757" t="str">
            <v>-</v>
          </cell>
          <cell r="T1757">
            <v>0.375</v>
          </cell>
          <cell r="U1757" t="str">
            <v>-</v>
          </cell>
        </row>
        <row r="1758">
          <cell r="B1758" t="str">
            <v>2L3-1/2X2-1/2X3/8X3/4LLBB</v>
          </cell>
          <cell r="C1758">
            <v>4.24</v>
          </cell>
          <cell r="D1758">
            <v>3.5</v>
          </cell>
          <cell r="F1758" t="str">
            <v>-</v>
          </cell>
          <cell r="H1758" t="str">
            <v>-</v>
          </cell>
          <cell r="I1758" t="str">
            <v>-</v>
          </cell>
          <cell r="K1758" t="str">
            <v>-</v>
          </cell>
          <cell r="L1758">
            <v>2.5</v>
          </cell>
          <cell r="M1758" t="e">
            <v>#VALUE!</v>
          </cell>
          <cell r="O1758" t="str">
            <v>-</v>
          </cell>
          <cell r="T1758">
            <v>0.375</v>
          </cell>
          <cell r="U1758" t="str">
            <v>-</v>
          </cell>
        </row>
        <row r="1759">
          <cell r="B1759" t="str">
            <v>2L3-1/2X2-1/2X5/16LLBB</v>
          </cell>
          <cell r="C1759">
            <v>3.58</v>
          </cell>
          <cell r="D1759">
            <v>3.5</v>
          </cell>
          <cell r="F1759" t="str">
            <v>-</v>
          </cell>
          <cell r="H1759" t="str">
            <v>-</v>
          </cell>
          <cell r="I1759" t="str">
            <v>-</v>
          </cell>
          <cell r="K1759" t="str">
            <v>-</v>
          </cell>
          <cell r="L1759">
            <v>2.5</v>
          </cell>
          <cell r="M1759" t="e">
            <v>#VALUE!</v>
          </cell>
          <cell r="O1759" t="str">
            <v>-</v>
          </cell>
          <cell r="T1759">
            <v>0.313</v>
          </cell>
          <cell r="U1759" t="str">
            <v>-</v>
          </cell>
        </row>
        <row r="1760">
          <cell r="B1760" t="str">
            <v>2L3-1/2X2-1/2X5/16X3/8LLBB</v>
          </cell>
          <cell r="C1760">
            <v>3.58</v>
          </cell>
          <cell r="D1760">
            <v>3.5</v>
          </cell>
          <cell r="F1760" t="str">
            <v>-</v>
          </cell>
          <cell r="H1760" t="str">
            <v>-</v>
          </cell>
          <cell r="I1760" t="str">
            <v>-</v>
          </cell>
          <cell r="K1760" t="str">
            <v>-</v>
          </cell>
          <cell r="L1760">
            <v>2.5</v>
          </cell>
          <cell r="M1760" t="e">
            <v>#VALUE!</v>
          </cell>
          <cell r="O1760" t="str">
            <v>-</v>
          </cell>
          <cell r="T1760">
            <v>0.313</v>
          </cell>
          <cell r="U1760" t="str">
            <v>-</v>
          </cell>
        </row>
        <row r="1761">
          <cell r="B1761" t="str">
            <v>2L3-1/2X2-1/2X5/16X3/4LLBB</v>
          </cell>
          <cell r="C1761">
            <v>3.58</v>
          </cell>
          <cell r="D1761">
            <v>3.5</v>
          </cell>
          <cell r="F1761" t="str">
            <v>-</v>
          </cell>
          <cell r="H1761" t="str">
            <v>-</v>
          </cell>
          <cell r="I1761" t="str">
            <v>-</v>
          </cell>
          <cell r="K1761" t="str">
            <v>-</v>
          </cell>
          <cell r="L1761">
            <v>2.5</v>
          </cell>
          <cell r="M1761" t="e">
            <v>#VALUE!</v>
          </cell>
          <cell r="O1761" t="str">
            <v>-</v>
          </cell>
          <cell r="T1761">
            <v>0.313</v>
          </cell>
          <cell r="U1761" t="str">
            <v>-</v>
          </cell>
        </row>
        <row r="1762">
          <cell r="B1762" t="str">
            <v>2L3-1/2X2-1/2X1/4LLBB</v>
          </cell>
          <cell r="C1762">
            <v>2.9</v>
          </cell>
          <cell r="D1762">
            <v>3.5</v>
          </cell>
          <cell r="F1762" t="str">
            <v>-</v>
          </cell>
          <cell r="H1762" t="str">
            <v>-</v>
          </cell>
          <cell r="I1762" t="str">
            <v>-</v>
          </cell>
          <cell r="K1762" t="str">
            <v>-</v>
          </cell>
          <cell r="L1762">
            <v>2.5</v>
          </cell>
          <cell r="M1762" t="e">
            <v>#VALUE!</v>
          </cell>
          <cell r="O1762" t="str">
            <v>-</v>
          </cell>
          <cell r="T1762">
            <v>0.25</v>
          </cell>
          <cell r="U1762" t="str">
            <v>-</v>
          </cell>
        </row>
        <row r="1763">
          <cell r="B1763" t="str">
            <v>2L3-1/2X2-1/2X1/4X3/8LLBB</v>
          </cell>
          <cell r="C1763">
            <v>2.9</v>
          </cell>
          <cell r="D1763">
            <v>3.5</v>
          </cell>
          <cell r="F1763" t="str">
            <v>-</v>
          </cell>
          <cell r="H1763" t="str">
            <v>-</v>
          </cell>
          <cell r="I1763" t="str">
            <v>-</v>
          </cell>
          <cell r="K1763" t="str">
            <v>-</v>
          </cell>
          <cell r="L1763">
            <v>2.5</v>
          </cell>
          <cell r="M1763" t="e">
            <v>#VALUE!</v>
          </cell>
          <cell r="O1763" t="str">
            <v>-</v>
          </cell>
          <cell r="T1763">
            <v>0.25</v>
          </cell>
          <cell r="U1763" t="str">
            <v>-</v>
          </cell>
        </row>
        <row r="1764">
          <cell r="B1764" t="str">
            <v>2L3-1/2X2-1/2X1/4X3/4LLBB</v>
          </cell>
          <cell r="C1764">
            <v>2.9</v>
          </cell>
          <cell r="D1764">
            <v>3.5</v>
          </cell>
          <cell r="F1764" t="str">
            <v>-</v>
          </cell>
          <cell r="H1764" t="str">
            <v>-</v>
          </cell>
          <cell r="I1764" t="str">
            <v>-</v>
          </cell>
          <cell r="K1764" t="str">
            <v>-</v>
          </cell>
          <cell r="L1764">
            <v>2.5</v>
          </cell>
          <cell r="M1764" t="e">
            <v>#VALUE!</v>
          </cell>
          <cell r="O1764" t="str">
            <v>-</v>
          </cell>
          <cell r="T1764">
            <v>0.25</v>
          </cell>
          <cell r="U1764" t="str">
            <v>-</v>
          </cell>
        </row>
        <row r="1765">
          <cell r="B1765" t="str">
            <v>2L3X2-1/2X1/2LLBB</v>
          </cell>
          <cell r="C1765">
            <v>5</v>
          </cell>
          <cell r="D1765">
            <v>3</v>
          </cell>
          <cell r="F1765" t="str">
            <v>-</v>
          </cell>
          <cell r="H1765" t="str">
            <v>-</v>
          </cell>
          <cell r="I1765" t="str">
            <v>-</v>
          </cell>
          <cell r="K1765" t="str">
            <v>-</v>
          </cell>
          <cell r="L1765">
            <v>2.5</v>
          </cell>
          <cell r="M1765" t="e">
            <v>#VALUE!</v>
          </cell>
          <cell r="O1765" t="str">
            <v>-</v>
          </cell>
          <cell r="T1765">
            <v>0.5</v>
          </cell>
          <cell r="U1765" t="str">
            <v>-</v>
          </cell>
        </row>
        <row r="1766">
          <cell r="B1766" t="str">
            <v>2L3X2-1/2X1/2X3/8LLBB</v>
          </cell>
          <cell r="C1766">
            <v>5</v>
          </cell>
          <cell r="D1766">
            <v>3</v>
          </cell>
          <cell r="F1766" t="str">
            <v>-</v>
          </cell>
          <cell r="H1766" t="str">
            <v>-</v>
          </cell>
          <cell r="I1766" t="str">
            <v>-</v>
          </cell>
          <cell r="K1766" t="str">
            <v>-</v>
          </cell>
          <cell r="L1766">
            <v>2.5</v>
          </cell>
          <cell r="M1766" t="e">
            <v>#VALUE!</v>
          </cell>
          <cell r="O1766" t="str">
            <v>-</v>
          </cell>
          <cell r="T1766">
            <v>0.5</v>
          </cell>
          <cell r="U1766" t="str">
            <v>-</v>
          </cell>
        </row>
        <row r="1767">
          <cell r="B1767" t="str">
            <v>2L3X2-1/2X1/2X3/4LLBB</v>
          </cell>
          <cell r="C1767">
            <v>5</v>
          </cell>
          <cell r="D1767">
            <v>3</v>
          </cell>
          <cell r="F1767" t="str">
            <v>-</v>
          </cell>
          <cell r="H1767" t="str">
            <v>-</v>
          </cell>
          <cell r="I1767" t="str">
            <v>-</v>
          </cell>
          <cell r="K1767" t="str">
            <v>-</v>
          </cell>
          <cell r="L1767">
            <v>2.5</v>
          </cell>
          <cell r="M1767" t="e">
            <v>#VALUE!</v>
          </cell>
          <cell r="O1767" t="str">
            <v>-</v>
          </cell>
          <cell r="T1767">
            <v>0.5</v>
          </cell>
          <cell r="U1767" t="str">
            <v>-</v>
          </cell>
        </row>
        <row r="1768">
          <cell r="B1768" t="str">
            <v>2L3X2-1/2X7/16LLBB</v>
          </cell>
          <cell r="C1768">
            <v>4.4400000000000004</v>
          </cell>
          <cell r="D1768">
            <v>3</v>
          </cell>
          <cell r="F1768" t="str">
            <v>-</v>
          </cell>
          <cell r="H1768" t="str">
            <v>-</v>
          </cell>
          <cell r="I1768" t="str">
            <v>-</v>
          </cell>
          <cell r="K1768" t="str">
            <v>-</v>
          </cell>
          <cell r="L1768">
            <v>2.5</v>
          </cell>
          <cell r="M1768" t="e">
            <v>#VALUE!</v>
          </cell>
          <cell r="O1768" t="str">
            <v>-</v>
          </cell>
          <cell r="T1768">
            <v>0.438</v>
          </cell>
          <cell r="U1768" t="str">
            <v>-</v>
          </cell>
        </row>
        <row r="1769">
          <cell r="B1769" t="str">
            <v>2L3X2-1/2X7/16X3/8LLBB</v>
          </cell>
          <cell r="C1769">
            <v>4.4400000000000004</v>
          </cell>
          <cell r="D1769">
            <v>3</v>
          </cell>
          <cell r="F1769" t="str">
            <v>-</v>
          </cell>
          <cell r="H1769" t="str">
            <v>-</v>
          </cell>
          <cell r="I1769" t="str">
            <v>-</v>
          </cell>
          <cell r="K1769" t="str">
            <v>-</v>
          </cell>
          <cell r="L1769">
            <v>2.5</v>
          </cell>
          <cell r="M1769" t="e">
            <v>#VALUE!</v>
          </cell>
          <cell r="O1769" t="str">
            <v>-</v>
          </cell>
          <cell r="T1769">
            <v>0.438</v>
          </cell>
          <cell r="U1769" t="str">
            <v>-</v>
          </cell>
        </row>
        <row r="1770">
          <cell r="B1770" t="str">
            <v>2L3X2-1/2X7/16X3/4LLBB</v>
          </cell>
          <cell r="C1770">
            <v>4.4400000000000004</v>
          </cell>
          <cell r="D1770">
            <v>3</v>
          </cell>
          <cell r="F1770" t="str">
            <v>-</v>
          </cell>
          <cell r="H1770" t="str">
            <v>-</v>
          </cell>
          <cell r="I1770" t="str">
            <v>-</v>
          </cell>
          <cell r="K1770" t="str">
            <v>-</v>
          </cell>
          <cell r="L1770">
            <v>2.5</v>
          </cell>
          <cell r="M1770" t="e">
            <v>#VALUE!</v>
          </cell>
          <cell r="O1770" t="str">
            <v>-</v>
          </cell>
          <cell r="T1770">
            <v>0.438</v>
          </cell>
          <cell r="U1770" t="str">
            <v>-</v>
          </cell>
        </row>
        <row r="1771">
          <cell r="B1771" t="str">
            <v>2L3X2-1/2X3/8LLBB</v>
          </cell>
          <cell r="C1771">
            <v>3.86</v>
          </cell>
          <cell r="D1771">
            <v>3</v>
          </cell>
          <cell r="F1771" t="str">
            <v>-</v>
          </cell>
          <cell r="H1771" t="str">
            <v>-</v>
          </cell>
          <cell r="I1771" t="str">
            <v>-</v>
          </cell>
          <cell r="K1771" t="str">
            <v>-</v>
          </cell>
          <cell r="L1771">
            <v>2.5</v>
          </cell>
          <cell r="M1771" t="e">
            <v>#VALUE!</v>
          </cell>
          <cell r="O1771" t="str">
            <v>-</v>
          </cell>
          <cell r="T1771">
            <v>0.375</v>
          </cell>
          <cell r="U1771" t="str">
            <v>-</v>
          </cell>
        </row>
        <row r="1772">
          <cell r="B1772" t="str">
            <v>2L3X2-1/2X3/8X3/8LLBB</v>
          </cell>
          <cell r="C1772">
            <v>3.86</v>
          </cell>
          <cell r="D1772">
            <v>3</v>
          </cell>
          <cell r="F1772" t="str">
            <v>-</v>
          </cell>
          <cell r="H1772" t="str">
            <v>-</v>
          </cell>
          <cell r="I1772" t="str">
            <v>-</v>
          </cell>
          <cell r="K1772" t="str">
            <v>-</v>
          </cell>
          <cell r="L1772">
            <v>2.5</v>
          </cell>
          <cell r="M1772" t="e">
            <v>#VALUE!</v>
          </cell>
          <cell r="O1772" t="str">
            <v>-</v>
          </cell>
          <cell r="T1772">
            <v>0.375</v>
          </cell>
          <cell r="U1772" t="str">
            <v>-</v>
          </cell>
        </row>
        <row r="1773">
          <cell r="B1773" t="str">
            <v>2L3X2-1/2X3/8X3/4LLBB</v>
          </cell>
          <cell r="C1773">
            <v>3.86</v>
          </cell>
          <cell r="D1773">
            <v>3</v>
          </cell>
          <cell r="F1773" t="str">
            <v>-</v>
          </cell>
          <cell r="H1773" t="str">
            <v>-</v>
          </cell>
          <cell r="I1773" t="str">
            <v>-</v>
          </cell>
          <cell r="K1773" t="str">
            <v>-</v>
          </cell>
          <cell r="L1773">
            <v>2.5</v>
          </cell>
          <cell r="M1773" t="e">
            <v>#VALUE!</v>
          </cell>
          <cell r="O1773" t="str">
            <v>-</v>
          </cell>
          <cell r="T1773">
            <v>0.375</v>
          </cell>
          <cell r="U1773" t="str">
            <v>-</v>
          </cell>
        </row>
        <row r="1774">
          <cell r="B1774" t="str">
            <v>2L3X2-1/2X5/16LLBB</v>
          </cell>
          <cell r="C1774">
            <v>3.26</v>
          </cell>
          <cell r="D1774">
            <v>3</v>
          </cell>
          <cell r="F1774" t="str">
            <v>-</v>
          </cell>
          <cell r="H1774" t="str">
            <v>-</v>
          </cell>
          <cell r="I1774" t="str">
            <v>-</v>
          </cell>
          <cell r="K1774" t="str">
            <v>-</v>
          </cell>
          <cell r="L1774">
            <v>2.5</v>
          </cell>
          <cell r="M1774" t="e">
            <v>#VALUE!</v>
          </cell>
          <cell r="O1774" t="str">
            <v>-</v>
          </cell>
          <cell r="T1774">
            <v>0.313</v>
          </cell>
          <cell r="U1774" t="str">
            <v>-</v>
          </cell>
        </row>
        <row r="1775">
          <cell r="B1775" t="str">
            <v>2L3X2-1/2X5/16X3/8LLBB</v>
          </cell>
          <cell r="C1775">
            <v>3.26</v>
          </cell>
          <cell r="D1775">
            <v>3</v>
          </cell>
          <cell r="F1775" t="str">
            <v>-</v>
          </cell>
          <cell r="H1775" t="str">
            <v>-</v>
          </cell>
          <cell r="I1775" t="str">
            <v>-</v>
          </cell>
          <cell r="K1775" t="str">
            <v>-</v>
          </cell>
          <cell r="L1775">
            <v>2.5</v>
          </cell>
          <cell r="M1775" t="e">
            <v>#VALUE!</v>
          </cell>
          <cell r="O1775" t="str">
            <v>-</v>
          </cell>
          <cell r="T1775">
            <v>0.313</v>
          </cell>
          <cell r="U1775" t="str">
            <v>-</v>
          </cell>
        </row>
        <row r="1776">
          <cell r="B1776" t="str">
            <v>2L3X2-1/2X5/16X3/4LLBB</v>
          </cell>
          <cell r="C1776">
            <v>3.26</v>
          </cell>
          <cell r="D1776">
            <v>3</v>
          </cell>
          <cell r="F1776" t="str">
            <v>-</v>
          </cell>
          <cell r="H1776" t="str">
            <v>-</v>
          </cell>
          <cell r="I1776" t="str">
            <v>-</v>
          </cell>
          <cell r="K1776" t="str">
            <v>-</v>
          </cell>
          <cell r="L1776">
            <v>2.5</v>
          </cell>
          <cell r="M1776" t="e">
            <v>#VALUE!</v>
          </cell>
          <cell r="O1776" t="str">
            <v>-</v>
          </cell>
          <cell r="T1776">
            <v>0.313</v>
          </cell>
          <cell r="U1776" t="str">
            <v>-</v>
          </cell>
        </row>
        <row r="1777">
          <cell r="B1777" t="str">
            <v>2L3X2-1/2X1/4LLBB</v>
          </cell>
          <cell r="C1777">
            <v>2.64</v>
          </cell>
          <cell r="D1777">
            <v>3</v>
          </cell>
          <cell r="F1777" t="str">
            <v>-</v>
          </cell>
          <cell r="H1777" t="str">
            <v>-</v>
          </cell>
          <cell r="I1777" t="str">
            <v>-</v>
          </cell>
          <cell r="K1777" t="str">
            <v>-</v>
          </cell>
          <cell r="L1777">
            <v>2.5</v>
          </cell>
          <cell r="M1777" t="e">
            <v>#VALUE!</v>
          </cell>
          <cell r="O1777" t="str">
            <v>-</v>
          </cell>
          <cell r="T1777">
            <v>0.25</v>
          </cell>
          <cell r="U1777" t="str">
            <v>-</v>
          </cell>
        </row>
        <row r="1778">
          <cell r="B1778" t="str">
            <v>2L3X2-1/2X1/4X3/8LLBB</v>
          </cell>
          <cell r="C1778">
            <v>2.64</v>
          </cell>
          <cell r="D1778">
            <v>3</v>
          </cell>
          <cell r="F1778" t="str">
            <v>-</v>
          </cell>
          <cell r="H1778" t="str">
            <v>-</v>
          </cell>
          <cell r="I1778" t="str">
            <v>-</v>
          </cell>
          <cell r="K1778" t="str">
            <v>-</v>
          </cell>
          <cell r="L1778">
            <v>2.5</v>
          </cell>
          <cell r="M1778" t="e">
            <v>#VALUE!</v>
          </cell>
          <cell r="O1778" t="str">
            <v>-</v>
          </cell>
          <cell r="T1778">
            <v>0.25</v>
          </cell>
          <cell r="U1778" t="str">
            <v>-</v>
          </cell>
        </row>
        <row r="1779">
          <cell r="B1779" t="str">
            <v>2L3X2-1/2X1/4X3/4LLBB</v>
          </cell>
          <cell r="C1779">
            <v>2.64</v>
          </cell>
          <cell r="D1779">
            <v>3</v>
          </cell>
          <cell r="F1779" t="str">
            <v>-</v>
          </cell>
          <cell r="H1779" t="str">
            <v>-</v>
          </cell>
          <cell r="I1779" t="str">
            <v>-</v>
          </cell>
          <cell r="K1779" t="str">
            <v>-</v>
          </cell>
          <cell r="L1779">
            <v>2.5</v>
          </cell>
          <cell r="M1779" t="e">
            <v>#VALUE!</v>
          </cell>
          <cell r="O1779" t="str">
            <v>-</v>
          </cell>
          <cell r="T1779">
            <v>0.25</v>
          </cell>
          <cell r="U1779" t="str">
            <v>-</v>
          </cell>
        </row>
        <row r="1780">
          <cell r="B1780" t="str">
            <v>2L3X2-1/2X3/16LLBB</v>
          </cell>
          <cell r="C1780">
            <v>2</v>
          </cell>
          <cell r="D1780">
            <v>3</v>
          </cell>
          <cell r="F1780" t="str">
            <v>-</v>
          </cell>
          <cell r="H1780" t="str">
            <v>-</v>
          </cell>
          <cell r="I1780" t="str">
            <v>-</v>
          </cell>
          <cell r="K1780" t="str">
            <v>-</v>
          </cell>
          <cell r="L1780">
            <v>2.5</v>
          </cell>
          <cell r="M1780" t="e">
            <v>#VALUE!</v>
          </cell>
          <cell r="O1780" t="str">
            <v>-</v>
          </cell>
          <cell r="T1780">
            <v>0.188</v>
          </cell>
          <cell r="U1780" t="str">
            <v>-</v>
          </cell>
        </row>
        <row r="1781">
          <cell r="B1781" t="str">
            <v>2L3X2-1/2X3/16X3/8LLBB</v>
          </cell>
          <cell r="C1781">
            <v>2</v>
          </cell>
          <cell r="D1781">
            <v>3</v>
          </cell>
          <cell r="F1781" t="str">
            <v>-</v>
          </cell>
          <cell r="H1781" t="str">
            <v>-</v>
          </cell>
          <cell r="I1781" t="str">
            <v>-</v>
          </cell>
          <cell r="K1781" t="str">
            <v>-</v>
          </cell>
          <cell r="L1781">
            <v>2.5</v>
          </cell>
          <cell r="M1781" t="e">
            <v>#VALUE!</v>
          </cell>
          <cell r="O1781" t="str">
            <v>-</v>
          </cell>
          <cell r="T1781">
            <v>0.188</v>
          </cell>
          <cell r="U1781" t="str">
            <v>-</v>
          </cell>
        </row>
        <row r="1782">
          <cell r="B1782" t="str">
            <v>2L3X2-1/2X3/16X3/4LLBB</v>
          </cell>
          <cell r="C1782">
            <v>2</v>
          </cell>
          <cell r="D1782">
            <v>3</v>
          </cell>
          <cell r="F1782" t="str">
            <v>-</v>
          </cell>
          <cell r="H1782" t="str">
            <v>-</v>
          </cell>
          <cell r="I1782" t="str">
            <v>-</v>
          </cell>
          <cell r="K1782" t="str">
            <v>-</v>
          </cell>
          <cell r="L1782">
            <v>2.5</v>
          </cell>
          <cell r="M1782" t="e">
            <v>#VALUE!</v>
          </cell>
          <cell r="O1782" t="str">
            <v>-</v>
          </cell>
          <cell r="T1782">
            <v>0.188</v>
          </cell>
          <cell r="U1782" t="str">
            <v>-</v>
          </cell>
        </row>
        <row r="1783">
          <cell r="B1783" t="str">
            <v>2L3X2X1/2LLBB</v>
          </cell>
          <cell r="C1783">
            <v>4.5199999999999996</v>
          </cell>
          <cell r="D1783">
            <v>3</v>
          </cell>
          <cell r="F1783" t="str">
            <v>-</v>
          </cell>
          <cell r="H1783" t="str">
            <v>-</v>
          </cell>
          <cell r="I1783" t="str">
            <v>-</v>
          </cell>
          <cell r="K1783" t="str">
            <v>-</v>
          </cell>
          <cell r="L1783">
            <v>2</v>
          </cell>
          <cell r="M1783" t="e">
            <v>#VALUE!</v>
          </cell>
          <cell r="O1783" t="str">
            <v>-</v>
          </cell>
          <cell r="T1783">
            <v>0.5</v>
          </cell>
          <cell r="U1783" t="str">
            <v>-</v>
          </cell>
        </row>
        <row r="1784">
          <cell r="B1784" t="str">
            <v>2L3X2X1/2X3/8LLBB</v>
          </cell>
          <cell r="C1784">
            <v>4.5199999999999996</v>
          </cell>
          <cell r="D1784">
            <v>3</v>
          </cell>
          <cell r="F1784" t="str">
            <v>-</v>
          </cell>
          <cell r="H1784" t="str">
            <v>-</v>
          </cell>
          <cell r="I1784" t="str">
            <v>-</v>
          </cell>
          <cell r="K1784" t="str">
            <v>-</v>
          </cell>
          <cell r="L1784">
            <v>2</v>
          </cell>
          <cell r="M1784" t="e">
            <v>#VALUE!</v>
          </cell>
          <cell r="O1784" t="str">
            <v>-</v>
          </cell>
          <cell r="T1784">
            <v>0.5</v>
          </cell>
          <cell r="U1784" t="str">
            <v>-</v>
          </cell>
        </row>
        <row r="1785">
          <cell r="B1785" t="str">
            <v>2L3X2X1/2X3/4LLBB</v>
          </cell>
          <cell r="C1785">
            <v>4.5199999999999996</v>
          </cell>
          <cell r="D1785">
            <v>3</v>
          </cell>
          <cell r="F1785" t="str">
            <v>-</v>
          </cell>
          <cell r="H1785" t="str">
            <v>-</v>
          </cell>
          <cell r="I1785" t="str">
            <v>-</v>
          </cell>
          <cell r="K1785" t="str">
            <v>-</v>
          </cell>
          <cell r="L1785">
            <v>2</v>
          </cell>
          <cell r="M1785" t="e">
            <v>#VALUE!</v>
          </cell>
          <cell r="O1785" t="str">
            <v>-</v>
          </cell>
          <cell r="T1785">
            <v>0.5</v>
          </cell>
          <cell r="U1785" t="str">
            <v>-</v>
          </cell>
        </row>
        <row r="1786">
          <cell r="B1786" t="str">
            <v>2L3X2X3/8LLBB</v>
          </cell>
          <cell r="C1786">
            <v>3.5</v>
          </cell>
          <cell r="D1786">
            <v>3</v>
          </cell>
          <cell r="F1786" t="str">
            <v>-</v>
          </cell>
          <cell r="H1786" t="str">
            <v>-</v>
          </cell>
          <cell r="I1786" t="str">
            <v>-</v>
          </cell>
          <cell r="K1786" t="str">
            <v>-</v>
          </cell>
          <cell r="L1786">
            <v>2</v>
          </cell>
          <cell r="M1786" t="e">
            <v>#VALUE!</v>
          </cell>
          <cell r="O1786" t="str">
            <v>-</v>
          </cell>
          <cell r="T1786">
            <v>0.375</v>
          </cell>
          <cell r="U1786" t="str">
            <v>-</v>
          </cell>
        </row>
        <row r="1787">
          <cell r="B1787" t="str">
            <v>2L3X2X3/8X3/8LLBB</v>
          </cell>
          <cell r="C1787">
            <v>3.5</v>
          </cell>
          <cell r="D1787">
            <v>3</v>
          </cell>
          <cell r="F1787" t="str">
            <v>-</v>
          </cell>
          <cell r="H1787" t="str">
            <v>-</v>
          </cell>
          <cell r="I1787" t="str">
            <v>-</v>
          </cell>
          <cell r="K1787" t="str">
            <v>-</v>
          </cell>
          <cell r="L1787">
            <v>2</v>
          </cell>
          <cell r="M1787" t="e">
            <v>#VALUE!</v>
          </cell>
          <cell r="O1787" t="str">
            <v>-</v>
          </cell>
          <cell r="T1787">
            <v>0.375</v>
          </cell>
          <cell r="U1787" t="str">
            <v>-</v>
          </cell>
        </row>
        <row r="1788">
          <cell r="B1788" t="str">
            <v>2L3X2X3/8X3/4LLBB</v>
          </cell>
          <cell r="C1788">
            <v>3.5</v>
          </cell>
          <cell r="D1788">
            <v>3</v>
          </cell>
          <cell r="F1788" t="str">
            <v>-</v>
          </cell>
          <cell r="H1788" t="str">
            <v>-</v>
          </cell>
          <cell r="I1788" t="str">
            <v>-</v>
          </cell>
          <cell r="K1788" t="str">
            <v>-</v>
          </cell>
          <cell r="L1788">
            <v>2</v>
          </cell>
          <cell r="M1788" t="e">
            <v>#VALUE!</v>
          </cell>
          <cell r="O1788" t="str">
            <v>-</v>
          </cell>
          <cell r="T1788">
            <v>0.375</v>
          </cell>
          <cell r="U1788" t="str">
            <v>-</v>
          </cell>
        </row>
        <row r="1789">
          <cell r="B1789" t="str">
            <v>2L3X2X5/16LLBB</v>
          </cell>
          <cell r="C1789">
            <v>2.96</v>
          </cell>
          <cell r="D1789">
            <v>3</v>
          </cell>
          <cell r="F1789" t="str">
            <v>-</v>
          </cell>
          <cell r="H1789" t="str">
            <v>-</v>
          </cell>
          <cell r="I1789" t="str">
            <v>-</v>
          </cell>
          <cell r="K1789" t="str">
            <v>-</v>
          </cell>
          <cell r="L1789">
            <v>2</v>
          </cell>
          <cell r="M1789" t="e">
            <v>#VALUE!</v>
          </cell>
          <cell r="O1789" t="str">
            <v>-</v>
          </cell>
          <cell r="T1789">
            <v>0.313</v>
          </cell>
          <cell r="U1789" t="str">
            <v>-</v>
          </cell>
        </row>
        <row r="1790">
          <cell r="B1790" t="str">
            <v>2L3X2X5/16X3/8LLBB</v>
          </cell>
          <cell r="C1790">
            <v>2.96</v>
          </cell>
          <cell r="D1790">
            <v>3</v>
          </cell>
          <cell r="F1790" t="str">
            <v>-</v>
          </cell>
          <cell r="H1790" t="str">
            <v>-</v>
          </cell>
          <cell r="I1790" t="str">
            <v>-</v>
          </cell>
          <cell r="K1790" t="str">
            <v>-</v>
          </cell>
          <cell r="L1790">
            <v>2</v>
          </cell>
          <cell r="M1790" t="e">
            <v>#VALUE!</v>
          </cell>
          <cell r="O1790" t="str">
            <v>-</v>
          </cell>
          <cell r="T1790">
            <v>0.313</v>
          </cell>
          <cell r="U1790" t="str">
            <v>-</v>
          </cell>
        </row>
        <row r="1791">
          <cell r="B1791" t="str">
            <v>2L3X2X5/16X3/4LLBB</v>
          </cell>
          <cell r="C1791">
            <v>2.96</v>
          </cell>
          <cell r="D1791">
            <v>3</v>
          </cell>
          <cell r="F1791" t="str">
            <v>-</v>
          </cell>
          <cell r="H1791" t="str">
            <v>-</v>
          </cell>
          <cell r="I1791" t="str">
            <v>-</v>
          </cell>
          <cell r="K1791" t="str">
            <v>-</v>
          </cell>
          <cell r="L1791">
            <v>2</v>
          </cell>
          <cell r="M1791" t="e">
            <v>#VALUE!</v>
          </cell>
          <cell r="O1791" t="str">
            <v>-</v>
          </cell>
          <cell r="T1791">
            <v>0.313</v>
          </cell>
          <cell r="U1791" t="str">
            <v>-</v>
          </cell>
        </row>
        <row r="1792">
          <cell r="B1792" t="str">
            <v>2L3X2X1/4LLBB</v>
          </cell>
          <cell r="C1792">
            <v>2.4</v>
          </cell>
          <cell r="D1792">
            <v>3</v>
          </cell>
          <cell r="F1792" t="str">
            <v>-</v>
          </cell>
          <cell r="H1792" t="str">
            <v>-</v>
          </cell>
          <cell r="I1792" t="str">
            <v>-</v>
          </cell>
          <cell r="K1792" t="str">
            <v>-</v>
          </cell>
          <cell r="L1792">
            <v>2</v>
          </cell>
          <cell r="M1792" t="e">
            <v>#VALUE!</v>
          </cell>
          <cell r="O1792" t="str">
            <v>-</v>
          </cell>
          <cell r="T1792">
            <v>0.25</v>
          </cell>
          <cell r="U1792" t="str">
            <v>-</v>
          </cell>
        </row>
        <row r="1793">
          <cell r="B1793" t="str">
            <v>2L3X2X1/4X3/8LLBB</v>
          </cell>
          <cell r="C1793">
            <v>2.4</v>
          </cell>
          <cell r="D1793">
            <v>3</v>
          </cell>
          <cell r="F1793" t="str">
            <v>-</v>
          </cell>
          <cell r="H1793" t="str">
            <v>-</v>
          </cell>
          <cell r="I1793" t="str">
            <v>-</v>
          </cell>
          <cell r="K1793" t="str">
            <v>-</v>
          </cell>
          <cell r="L1793">
            <v>2</v>
          </cell>
          <cell r="M1793" t="e">
            <v>#VALUE!</v>
          </cell>
          <cell r="O1793" t="str">
            <v>-</v>
          </cell>
          <cell r="T1793">
            <v>0.25</v>
          </cell>
          <cell r="U1793" t="str">
            <v>-</v>
          </cell>
        </row>
        <row r="1794">
          <cell r="B1794" t="str">
            <v>2L3X2X1/4X3/4LLBB</v>
          </cell>
          <cell r="C1794">
            <v>2.4</v>
          </cell>
          <cell r="D1794">
            <v>3</v>
          </cell>
          <cell r="F1794" t="str">
            <v>-</v>
          </cell>
          <cell r="H1794" t="str">
            <v>-</v>
          </cell>
          <cell r="I1794" t="str">
            <v>-</v>
          </cell>
          <cell r="K1794" t="str">
            <v>-</v>
          </cell>
          <cell r="L1794">
            <v>2</v>
          </cell>
          <cell r="M1794" t="e">
            <v>#VALUE!</v>
          </cell>
          <cell r="O1794" t="str">
            <v>-</v>
          </cell>
          <cell r="T1794">
            <v>0.25</v>
          </cell>
          <cell r="U1794" t="str">
            <v>-</v>
          </cell>
        </row>
        <row r="1795">
          <cell r="B1795" t="str">
            <v>2L3X2X3/16LLBB</v>
          </cell>
          <cell r="C1795">
            <v>1.83</v>
          </cell>
          <cell r="D1795">
            <v>3</v>
          </cell>
          <cell r="F1795" t="str">
            <v>-</v>
          </cell>
          <cell r="H1795" t="str">
            <v>-</v>
          </cell>
          <cell r="I1795" t="str">
            <v>-</v>
          </cell>
          <cell r="K1795" t="str">
            <v>-</v>
          </cell>
          <cell r="L1795">
            <v>2</v>
          </cell>
          <cell r="M1795" t="e">
            <v>#VALUE!</v>
          </cell>
          <cell r="O1795" t="str">
            <v>-</v>
          </cell>
          <cell r="T1795">
            <v>0.188</v>
          </cell>
          <cell r="U1795" t="str">
            <v>-</v>
          </cell>
        </row>
        <row r="1796">
          <cell r="B1796" t="str">
            <v>2L3X2X3/16X3/8LLBB</v>
          </cell>
          <cell r="C1796">
            <v>1.83</v>
          </cell>
          <cell r="D1796">
            <v>3</v>
          </cell>
          <cell r="F1796" t="str">
            <v>-</v>
          </cell>
          <cell r="H1796" t="str">
            <v>-</v>
          </cell>
          <cell r="I1796" t="str">
            <v>-</v>
          </cell>
          <cell r="K1796" t="str">
            <v>-</v>
          </cell>
          <cell r="L1796">
            <v>2</v>
          </cell>
          <cell r="M1796" t="e">
            <v>#VALUE!</v>
          </cell>
          <cell r="O1796" t="str">
            <v>-</v>
          </cell>
          <cell r="T1796">
            <v>0.188</v>
          </cell>
          <cell r="U1796" t="str">
            <v>-</v>
          </cell>
        </row>
        <row r="1797">
          <cell r="B1797" t="str">
            <v>2L3X2X3/16X3/4LLBB</v>
          </cell>
          <cell r="C1797">
            <v>1.83</v>
          </cell>
          <cell r="D1797">
            <v>3</v>
          </cell>
          <cell r="F1797" t="str">
            <v>-</v>
          </cell>
          <cell r="H1797" t="str">
            <v>-</v>
          </cell>
          <cell r="I1797" t="str">
            <v>-</v>
          </cell>
          <cell r="K1797" t="str">
            <v>-</v>
          </cell>
          <cell r="L1797">
            <v>2</v>
          </cell>
          <cell r="M1797" t="e">
            <v>#VALUE!</v>
          </cell>
          <cell r="O1797" t="str">
            <v>-</v>
          </cell>
          <cell r="T1797">
            <v>0.188</v>
          </cell>
          <cell r="U1797" t="str">
            <v>-</v>
          </cell>
        </row>
        <row r="1798">
          <cell r="B1798" t="str">
            <v>2L2-1/2X2X3/8LLBB</v>
          </cell>
          <cell r="C1798">
            <v>3.1</v>
          </cell>
          <cell r="D1798">
            <v>2.5</v>
          </cell>
          <cell r="F1798" t="str">
            <v>-</v>
          </cell>
          <cell r="H1798" t="str">
            <v>-</v>
          </cell>
          <cell r="I1798" t="str">
            <v>-</v>
          </cell>
          <cell r="K1798" t="str">
            <v>-</v>
          </cell>
          <cell r="L1798">
            <v>2</v>
          </cell>
          <cell r="M1798" t="e">
            <v>#VALUE!</v>
          </cell>
          <cell r="O1798" t="str">
            <v>-</v>
          </cell>
          <cell r="T1798">
            <v>0.375</v>
          </cell>
          <cell r="U1798" t="str">
            <v>-</v>
          </cell>
        </row>
        <row r="1799">
          <cell r="B1799" t="str">
            <v>2L2-1/2X2X3/8X3/8LLBB</v>
          </cell>
          <cell r="C1799">
            <v>3.1</v>
          </cell>
          <cell r="D1799">
            <v>2.5</v>
          </cell>
          <cell r="F1799" t="str">
            <v>-</v>
          </cell>
          <cell r="H1799" t="str">
            <v>-</v>
          </cell>
          <cell r="I1799" t="str">
            <v>-</v>
          </cell>
          <cell r="K1799" t="str">
            <v>-</v>
          </cell>
          <cell r="L1799">
            <v>2</v>
          </cell>
          <cell r="M1799" t="e">
            <v>#VALUE!</v>
          </cell>
          <cell r="O1799" t="str">
            <v>-</v>
          </cell>
          <cell r="T1799">
            <v>0.375</v>
          </cell>
          <cell r="U1799" t="str">
            <v>-</v>
          </cell>
        </row>
        <row r="1800">
          <cell r="B1800" t="str">
            <v>2L2-1/2X2X3/8X3/4LLBB</v>
          </cell>
          <cell r="C1800">
            <v>3.1</v>
          </cell>
          <cell r="D1800">
            <v>2.5</v>
          </cell>
          <cell r="F1800" t="str">
            <v>-</v>
          </cell>
          <cell r="H1800" t="str">
            <v>-</v>
          </cell>
          <cell r="I1800" t="str">
            <v>-</v>
          </cell>
          <cell r="K1800" t="str">
            <v>-</v>
          </cell>
          <cell r="L1800">
            <v>2</v>
          </cell>
          <cell r="M1800" t="e">
            <v>#VALUE!</v>
          </cell>
          <cell r="O1800" t="str">
            <v>-</v>
          </cell>
          <cell r="T1800">
            <v>0.375</v>
          </cell>
          <cell r="U1800" t="str">
            <v>-</v>
          </cell>
        </row>
        <row r="1801">
          <cell r="B1801" t="str">
            <v>2L2-1/2X2X5/16LLBB</v>
          </cell>
          <cell r="C1801">
            <v>2.64</v>
          </cell>
          <cell r="D1801">
            <v>2.5</v>
          </cell>
          <cell r="F1801" t="str">
            <v>-</v>
          </cell>
          <cell r="H1801" t="str">
            <v>-</v>
          </cell>
          <cell r="I1801" t="str">
            <v>-</v>
          </cell>
          <cell r="K1801" t="str">
            <v>-</v>
          </cell>
          <cell r="L1801">
            <v>2</v>
          </cell>
          <cell r="M1801" t="e">
            <v>#VALUE!</v>
          </cell>
          <cell r="O1801" t="str">
            <v>-</v>
          </cell>
          <cell r="T1801">
            <v>0.313</v>
          </cell>
          <cell r="U1801" t="str">
            <v>-</v>
          </cell>
        </row>
        <row r="1802">
          <cell r="B1802" t="str">
            <v>2L2-1/2X2X5/16X3/8LLBB</v>
          </cell>
          <cell r="C1802">
            <v>2.64</v>
          </cell>
          <cell r="D1802">
            <v>2.5</v>
          </cell>
          <cell r="F1802" t="str">
            <v>-</v>
          </cell>
          <cell r="H1802" t="str">
            <v>-</v>
          </cell>
          <cell r="I1802" t="str">
            <v>-</v>
          </cell>
          <cell r="K1802" t="str">
            <v>-</v>
          </cell>
          <cell r="L1802">
            <v>2</v>
          </cell>
          <cell r="M1802" t="e">
            <v>#VALUE!</v>
          </cell>
          <cell r="O1802" t="str">
            <v>-</v>
          </cell>
          <cell r="T1802">
            <v>0.313</v>
          </cell>
          <cell r="U1802" t="str">
            <v>-</v>
          </cell>
        </row>
        <row r="1803">
          <cell r="B1803" t="str">
            <v>2L2-1/2X2X5/16X3/4LLBB</v>
          </cell>
          <cell r="C1803">
            <v>2.64</v>
          </cell>
          <cell r="D1803">
            <v>2.5</v>
          </cell>
          <cell r="F1803" t="str">
            <v>-</v>
          </cell>
          <cell r="H1803" t="str">
            <v>-</v>
          </cell>
          <cell r="I1803" t="str">
            <v>-</v>
          </cell>
          <cell r="K1803" t="str">
            <v>-</v>
          </cell>
          <cell r="L1803">
            <v>2</v>
          </cell>
          <cell r="M1803" t="e">
            <v>#VALUE!</v>
          </cell>
          <cell r="O1803" t="str">
            <v>-</v>
          </cell>
          <cell r="T1803">
            <v>0.313</v>
          </cell>
          <cell r="U1803" t="str">
            <v>-</v>
          </cell>
        </row>
        <row r="1804">
          <cell r="B1804" t="str">
            <v>2L2-1/2X2X1/4LLBB</v>
          </cell>
          <cell r="C1804">
            <v>2.14</v>
          </cell>
          <cell r="D1804">
            <v>2.5</v>
          </cell>
          <cell r="F1804" t="str">
            <v>-</v>
          </cell>
          <cell r="H1804" t="str">
            <v>-</v>
          </cell>
          <cell r="I1804" t="str">
            <v>-</v>
          </cell>
          <cell r="K1804" t="str">
            <v>-</v>
          </cell>
          <cell r="L1804">
            <v>2</v>
          </cell>
          <cell r="M1804" t="e">
            <v>#VALUE!</v>
          </cell>
          <cell r="O1804" t="str">
            <v>-</v>
          </cell>
          <cell r="T1804">
            <v>0.25</v>
          </cell>
          <cell r="U1804" t="str">
            <v>-</v>
          </cell>
        </row>
        <row r="1805">
          <cell r="B1805" t="str">
            <v>2L2-1/2X2X1/4X3/8LLBB</v>
          </cell>
          <cell r="C1805">
            <v>2.14</v>
          </cell>
          <cell r="D1805">
            <v>2.5</v>
          </cell>
          <cell r="F1805" t="str">
            <v>-</v>
          </cell>
          <cell r="H1805" t="str">
            <v>-</v>
          </cell>
          <cell r="I1805" t="str">
            <v>-</v>
          </cell>
          <cell r="K1805" t="str">
            <v>-</v>
          </cell>
          <cell r="L1805">
            <v>2</v>
          </cell>
          <cell r="M1805" t="e">
            <v>#VALUE!</v>
          </cell>
          <cell r="O1805" t="str">
            <v>-</v>
          </cell>
          <cell r="T1805">
            <v>0.25</v>
          </cell>
          <cell r="U1805" t="str">
            <v>-</v>
          </cell>
        </row>
        <row r="1806">
          <cell r="B1806" t="str">
            <v>2L2-1/2X2X1/4X3/4LLBB</v>
          </cell>
          <cell r="C1806">
            <v>2.14</v>
          </cell>
          <cell r="D1806">
            <v>2.5</v>
          </cell>
          <cell r="F1806" t="str">
            <v>-</v>
          </cell>
          <cell r="H1806" t="str">
            <v>-</v>
          </cell>
          <cell r="I1806" t="str">
            <v>-</v>
          </cell>
          <cell r="K1806" t="str">
            <v>-</v>
          </cell>
          <cell r="L1806">
            <v>2</v>
          </cell>
          <cell r="M1806" t="e">
            <v>#VALUE!</v>
          </cell>
          <cell r="O1806" t="str">
            <v>-</v>
          </cell>
          <cell r="T1806">
            <v>0.25</v>
          </cell>
          <cell r="U1806" t="str">
            <v>-</v>
          </cell>
        </row>
        <row r="1807">
          <cell r="B1807" t="str">
            <v>2L2-1/2X2X3/16LLBB</v>
          </cell>
          <cell r="C1807">
            <v>1.64</v>
          </cell>
          <cell r="D1807">
            <v>2.5</v>
          </cell>
          <cell r="F1807" t="str">
            <v>-</v>
          </cell>
          <cell r="H1807" t="str">
            <v>-</v>
          </cell>
          <cell r="I1807" t="str">
            <v>-</v>
          </cell>
          <cell r="K1807" t="str">
            <v>-</v>
          </cell>
          <cell r="L1807">
            <v>2</v>
          </cell>
          <cell r="M1807" t="e">
            <v>#VALUE!</v>
          </cell>
          <cell r="O1807" t="str">
            <v>-</v>
          </cell>
          <cell r="T1807">
            <v>0.188</v>
          </cell>
          <cell r="U1807" t="str">
            <v>-</v>
          </cell>
        </row>
        <row r="1808">
          <cell r="B1808" t="str">
            <v>2L2-1/2X2X3/16X3/8LLBB</v>
          </cell>
          <cell r="C1808">
            <v>1.64</v>
          </cell>
          <cell r="D1808">
            <v>2.5</v>
          </cell>
          <cell r="F1808" t="str">
            <v>-</v>
          </cell>
          <cell r="H1808" t="str">
            <v>-</v>
          </cell>
          <cell r="I1808" t="str">
            <v>-</v>
          </cell>
          <cell r="K1808" t="str">
            <v>-</v>
          </cell>
          <cell r="L1808">
            <v>2</v>
          </cell>
          <cell r="M1808" t="e">
            <v>#VALUE!</v>
          </cell>
          <cell r="O1808" t="str">
            <v>-</v>
          </cell>
          <cell r="T1808">
            <v>0.188</v>
          </cell>
          <cell r="U1808" t="str">
            <v>-</v>
          </cell>
        </row>
        <row r="1809">
          <cell r="B1809" t="str">
            <v>2L2-1/2X2X3/16X3/4LLBB</v>
          </cell>
          <cell r="C1809">
            <v>1.64</v>
          </cell>
          <cell r="D1809">
            <v>2.5</v>
          </cell>
          <cell r="F1809" t="str">
            <v>-</v>
          </cell>
          <cell r="H1809" t="str">
            <v>-</v>
          </cell>
          <cell r="I1809" t="str">
            <v>-</v>
          </cell>
          <cell r="K1809" t="str">
            <v>-</v>
          </cell>
          <cell r="L1809">
            <v>2</v>
          </cell>
          <cell r="M1809" t="e">
            <v>#VALUE!</v>
          </cell>
          <cell r="O1809" t="str">
            <v>-</v>
          </cell>
          <cell r="T1809">
            <v>0.188</v>
          </cell>
          <cell r="U1809" t="str">
            <v>-</v>
          </cell>
        </row>
        <row r="1810">
          <cell r="B1810" t="str">
            <v>2L2-1/2X1-1/2X1/4LLBB</v>
          </cell>
          <cell r="C1810">
            <v>1.89</v>
          </cell>
          <cell r="D1810">
            <v>2.5</v>
          </cell>
          <cell r="F1810" t="str">
            <v>-</v>
          </cell>
          <cell r="H1810" t="str">
            <v>-</v>
          </cell>
          <cell r="I1810" t="str">
            <v>-</v>
          </cell>
          <cell r="K1810" t="str">
            <v>-</v>
          </cell>
          <cell r="L1810">
            <v>1.5</v>
          </cell>
          <cell r="M1810" t="e">
            <v>#VALUE!</v>
          </cell>
          <cell r="O1810" t="str">
            <v>-</v>
          </cell>
          <cell r="T1810">
            <v>0.25</v>
          </cell>
          <cell r="U1810" t="str">
            <v>-</v>
          </cell>
        </row>
        <row r="1811">
          <cell r="B1811" t="str">
            <v>2L2-1/2X1-1/2X1/4X3/8LLBB</v>
          </cell>
          <cell r="C1811">
            <v>1.89</v>
          </cell>
          <cell r="D1811">
            <v>2.5</v>
          </cell>
          <cell r="F1811" t="str">
            <v>-</v>
          </cell>
          <cell r="H1811" t="str">
            <v>-</v>
          </cell>
          <cell r="I1811" t="str">
            <v>-</v>
          </cell>
          <cell r="K1811" t="str">
            <v>-</v>
          </cell>
          <cell r="L1811">
            <v>1.5</v>
          </cell>
          <cell r="M1811" t="e">
            <v>#VALUE!</v>
          </cell>
          <cell r="O1811" t="str">
            <v>-</v>
          </cell>
          <cell r="T1811">
            <v>0.25</v>
          </cell>
          <cell r="U1811" t="str">
            <v>-</v>
          </cell>
        </row>
        <row r="1812">
          <cell r="B1812" t="str">
            <v>2L2-1/2X1-1/2X1/4X3/4LLBB</v>
          </cell>
          <cell r="C1812">
            <v>1.89</v>
          </cell>
          <cell r="D1812">
            <v>2.5</v>
          </cell>
          <cell r="F1812" t="str">
            <v>-</v>
          </cell>
          <cell r="H1812" t="str">
            <v>-</v>
          </cell>
          <cell r="I1812" t="str">
            <v>-</v>
          </cell>
          <cell r="K1812" t="str">
            <v>-</v>
          </cell>
          <cell r="L1812">
            <v>1.5</v>
          </cell>
          <cell r="M1812" t="e">
            <v>#VALUE!</v>
          </cell>
          <cell r="O1812" t="str">
            <v>-</v>
          </cell>
          <cell r="T1812">
            <v>0.25</v>
          </cell>
          <cell r="U1812" t="str">
            <v>-</v>
          </cell>
        </row>
        <row r="1813">
          <cell r="B1813" t="str">
            <v>2L2-1/2X1-1/2X3/16LLBB</v>
          </cell>
          <cell r="C1813">
            <v>1.45</v>
          </cell>
          <cell r="D1813">
            <v>2.5</v>
          </cell>
          <cell r="F1813" t="str">
            <v>-</v>
          </cell>
          <cell r="H1813" t="str">
            <v>-</v>
          </cell>
          <cell r="I1813" t="str">
            <v>-</v>
          </cell>
          <cell r="K1813" t="str">
            <v>-</v>
          </cell>
          <cell r="L1813">
            <v>1.5</v>
          </cell>
          <cell r="M1813" t="e">
            <v>#VALUE!</v>
          </cell>
          <cell r="O1813" t="str">
            <v>-</v>
          </cell>
          <cell r="T1813">
            <v>0.188</v>
          </cell>
          <cell r="U1813" t="str">
            <v>-</v>
          </cell>
        </row>
        <row r="1814">
          <cell r="B1814" t="str">
            <v>2L2-1/2X1-1/2X3/16X3/8LLBB</v>
          </cell>
          <cell r="C1814">
            <v>1.45</v>
          </cell>
          <cell r="D1814">
            <v>2.5</v>
          </cell>
          <cell r="F1814" t="str">
            <v>-</v>
          </cell>
          <cell r="H1814" t="str">
            <v>-</v>
          </cell>
          <cell r="I1814" t="str">
            <v>-</v>
          </cell>
          <cell r="K1814" t="str">
            <v>-</v>
          </cell>
          <cell r="L1814">
            <v>1.5</v>
          </cell>
          <cell r="M1814" t="e">
            <v>#VALUE!</v>
          </cell>
          <cell r="O1814" t="str">
            <v>-</v>
          </cell>
          <cell r="T1814">
            <v>0.188</v>
          </cell>
          <cell r="U1814" t="str">
            <v>-</v>
          </cell>
        </row>
        <row r="1815">
          <cell r="B1815" t="str">
            <v>2L2-1/2X1-1/2X3/16X3/4LLBB</v>
          </cell>
          <cell r="C1815">
            <v>1.45</v>
          </cell>
          <cell r="D1815">
            <v>2.5</v>
          </cell>
          <cell r="F1815" t="str">
            <v>-</v>
          </cell>
          <cell r="H1815" t="str">
            <v>-</v>
          </cell>
          <cell r="I1815" t="str">
            <v>-</v>
          </cell>
          <cell r="K1815" t="str">
            <v>-</v>
          </cell>
          <cell r="L1815">
            <v>1.5</v>
          </cell>
          <cell r="M1815" t="e">
            <v>#VALUE!</v>
          </cell>
          <cell r="O1815" t="str">
            <v>-</v>
          </cell>
          <cell r="T1815">
            <v>0.188</v>
          </cell>
          <cell r="U1815" t="str">
            <v>-</v>
          </cell>
        </row>
        <row r="1816">
          <cell r="B1816" t="str">
            <v>2L8X6X1SLBB</v>
          </cell>
          <cell r="C1816">
            <v>26.2</v>
          </cell>
          <cell r="D1816">
            <v>6</v>
          </cell>
          <cell r="F1816" t="str">
            <v>-</v>
          </cell>
          <cell r="H1816" t="str">
            <v>-</v>
          </cell>
          <cell r="I1816" t="str">
            <v>-</v>
          </cell>
          <cell r="K1816" t="str">
            <v>-</v>
          </cell>
          <cell r="L1816">
            <v>8</v>
          </cell>
          <cell r="M1816" t="e">
            <v>#VALUE!</v>
          </cell>
          <cell r="O1816" t="str">
            <v>-</v>
          </cell>
          <cell r="T1816">
            <v>1</v>
          </cell>
          <cell r="U1816" t="str">
            <v>-</v>
          </cell>
        </row>
        <row r="1817">
          <cell r="B1817" t="str">
            <v>2L8X6X1X3/8SLBB</v>
          </cell>
          <cell r="C1817">
            <v>26.2</v>
          </cell>
          <cell r="D1817">
            <v>6</v>
          </cell>
          <cell r="F1817" t="str">
            <v>-</v>
          </cell>
          <cell r="H1817" t="str">
            <v>-</v>
          </cell>
          <cell r="I1817" t="str">
            <v>-</v>
          </cell>
          <cell r="K1817" t="str">
            <v>-</v>
          </cell>
          <cell r="L1817">
            <v>8</v>
          </cell>
          <cell r="M1817" t="e">
            <v>#VALUE!</v>
          </cell>
          <cell r="O1817" t="str">
            <v>-</v>
          </cell>
          <cell r="T1817">
            <v>1</v>
          </cell>
          <cell r="U1817" t="str">
            <v>-</v>
          </cell>
        </row>
        <row r="1818">
          <cell r="B1818" t="str">
            <v>2L8X6X1X3/4SLBB</v>
          </cell>
          <cell r="C1818">
            <v>26.2</v>
          </cell>
          <cell r="D1818">
            <v>6</v>
          </cell>
          <cell r="F1818" t="str">
            <v>-</v>
          </cell>
          <cell r="H1818" t="str">
            <v>-</v>
          </cell>
          <cell r="I1818" t="str">
            <v>-</v>
          </cell>
          <cell r="K1818" t="str">
            <v>-</v>
          </cell>
          <cell r="L1818">
            <v>8</v>
          </cell>
          <cell r="M1818" t="e">
            <v>#VALUE!</v>
          </cell>
          <cell r="O1818" t="str">
            <v>-</v>
          </cell>
          <cell r="T1818">
            <v>1</v>
          </cell>
          <cell r="U1818" t="str">
            <v>-</v>
          </cell>
        </row>
        <row r="1819">
          <cell r="B1819" t="str">
            <v>2L8X6X7/8SLBB</v>
          </cell>
          <cell r="C1819">
            <v>23</v>
          </cell>
          <cell r="D1819">
            <v>6</v>
          </cell>
          <cell r="F1819" t="str">
            <v>-</v>
          </cell>
          <cell r="H1819" t="str">
            <v>-</v>
          </cell>
          <cell r="I1819" t="str">
            <v>-</v>
          </cell>
          <cell r="K1819" t="str">
            <v>-</v>
          </cell>
          <cell r="L1819">
            <v>8</v>
          </cell>
          <cell r="M1819" t="e">
            <v>#VALUE!</v>
          </cell>
          <cell r="O1819" t="str">
            <v>-</v>
          </cell>
          <cell r="T1819">
            <v>0.875</v>
          </cell>
          <cell r="U1819" t="str">
            <v>-</v>
          </cell>
        </row>
        <row r="1820">
          <cell r="B1820" t="str">
            <v>2L8X6X7/8X3/8SLBB</v>
          </cell>
          <cell r="C1820">
            <v>23</v>
          </cell>
          <cell r="D1820">
            <v>6</v>
          </cell>
          <cell r="F1820" t="str">
            <v>-</v>
          </cell>
          <cell r="H1820" t="str">
            <v>-</v>
          </cell>
          <cell r="I1820" t="str">
            <v>-</v>
          </cell>
          <cell r="K1820" t="str">
            <v>-</v>
          </cell>
          <cell r="L1820">
            <v>8</v>
          </cell>
          <cell r="M1820" t="e">
            <v>#VALUE!</v>
          </cell>
          <cell r="O1820" t="str">
            <v>-</v>
          </cell>
          <cell r="T1820">
            <v>0.875</v>
          </cell>
          <cell r="U1820" t="str">
            <v>-</v>
          </cell>
        </row>
        <row r="1821">
          <cell r="B1821" t="str">
            <v>2L8X6X7/8X3/4SLBB</v>
          </cell>
          <cell r="C1821">
            <v>23</v>
          </cell>
          <cell r="D1821">
            <v>6</v>
          </cell>
          <cell r="F1821" t="str">
            <v>-</v>
          </cell>
          <cell r="H1821" t="str">
            <v>-</v>
          </cell>
          <cell r="I1821" t="str">
            <v>-</v>
          </cell>
          <cell r="K1821" t="str">
            <v>-</v>
          </cell>
          <cell r="L1821">
            <v>8</v>
          </cell>
          <cell r="M1821" t="e">
            <v>#VALUE!</v>
          </cell>
          <cell r="O1821" t="str">
            <v>-</v>
          </cell>
          <cell r="T1821">
            <v>0.875</v>
          </cell>
          <cell r="U1821" t="str">
            <v>-</v>
          </cell>
        </row>
        <row r="1822">
          <cell r="B1822" t="str">
            <v>2L8X6X3/4SLBB</v>
          </cell>
          <cell r="C1822">
            <v>20</v>
          </cell>
          <cell r="D1822">
            <v>6</v>
          </cell>
          <cell r="F1822" t="str">
            <v>-</v>
          </cell>
          <cell r="H1822" t="str">
            <v>-</v>
          </cell>
          <cell r="I1822" t="str">
            <v>-</v>
          </cell>
          <cell r="K1822" t="str">
            <v>-</v>
          </cell>
          <cell r="L1822">
            <v>8</v>
          </cell>
          <cell r="M1822" t="e">
            <v>#VALUE!</v>
          </cell>
          <cell r="O1822" t="str">
            <v>-</v>
          </cell>
          <cell r="T1822">
            <v>0.75</v>
          </cell>
          <cell r="U1822" t="str">
            <v>-</v>
          </cell>
        </row>
        <row r="1823">
          <cell r="B1823" t="str">
            <v>2L8X6X3/4X3/8SLBB</v>
          </cell>
          <cell r="C1823">
            <v>20</v>
          </cell>
          <cell r="D1823">
            <v>6</v>
          </cell>
          <cell r="F1823" t="str">
            <v>-</v>
          </cell>
          <cell r="H1823" t="str">
            <v>-</v>
          </cell>
          <cell r="I1823" t="str">
            <v>-</v>
          </cell>
          <cell r="K1823" t="str">
            <v>-</v>
          </cell>
          <cell r="L1823">
            <v>8</v>
          </cell>
          <cell r="M1823" t="e">
            <v>#VALUE!</v>
          </cell>
          <cell r="O1823" t="str">
            <v>-</v>
          </cell>
          <cell r="T1823">
            <v>0.75</v>
          </cell>
          <cell r="U1823" t="str">
            <v>-</v>
          </cell>
        </row>
        <row r="1824">
          <cell r="B1824" t="str">
            <v>2L8X6X3/4X3/4SLBB</v>
          </cell>
          <cell r="C1824">
            <v>20</v>
          </cell>
          <cell r="D1824">
            <v>6</v>
          </cell>
          <cell r="F1824" t="str">
            <v>-</v>
          </cell>
          <cell r="H1824" t="str">
            <v>-</v>
          </cell>
          <cell r="I1824" t="str">
            <v>-</v>
          </cell>
          <cell r="K1824" t="str">
            <v>-</v>
          </cell>
          <cell r="L1824">
            <v>8</v>
          </cell>
          <cell r="M1824" t="e">
            <v>#VALUE!</v>
          </cell>
          <cell r="O1824" t="str">
            <v>-</v>
          </cell>
          <cell r="T1824">
            <v>0.75</v>
          </cell>
          <cell r="U1824" t="str">
            <v>-</v>
          </cell>
        </row>
        <row r="1825">
          <cell r="B1825" t="str">
            <v>2L8X6X5/8SLBB</v>
          </cell>
          <cell r="C1825">
            <v>16.8</v>
          </cell>
          <cell r="D1825">
            <v>6</v>
          </cell>
          <cell r="F1825" t="str">
            <v>-</v>
          </cell>
          <cell r="H1825" t="str">
            <v>-</v>
          </cell>
          <cell r="I1825" t="str">
            <v>-</v>
          </cell>
          <cell r="K1825" t="str">
            <v>-</v>
          </cell>
          <cell r="L1825">
            <v>8</v>
          </cell>
          <cell r="M1825" t="e">
            <v>#VALUE!</v>
          </cell>
          <cell r="O1825" t="str">
            <v>-</v>
          </cell>
          <cell r="T1825">
            <v>0.625</v>
          </cell>
          <cell r="U1825" t="str">
            <v>-</v>
          </cell>
        </row>
        <row r="1826">
          <cell r="B1826" t="str">
            <v>2L8X6X5/8X3/8SLBB</v>
          </cell>
          <cell r="C1826">
            <v>16.8</v>
          </cell>
          <cell r="D1826">
            <v>6</v>
          </cell>
          <cell r="F1826" t="str">
            <v>-</v>
          </cell>
          <cell r="H1826" t="str">
            <v>-</v>
          </cell>
          <cell r="I1826" t="str">
            <v>-</v>
          </cell>
          <cell r="K1826" t="str">
            <v>-</v>
          </cell>
          <cell r="L1826">
            <v>8</v>
          </cell>
          <cell r="M1826" t="e">
            <v>#VALUE!</v>
          </cell>
          <cell r="O1826" t="str">
            <v>-</v>
          </cell>
          <cell r="T1826">
            <v>0.625</v>
          </cell>
          <cell r="U1826" t="str">
            <v>-</v>
          </cell>
        </row>
        <row r="1827">
          <cell r="B1827" t="str">
            <v>2L8X6X5/8X3/4SLBB</v>
          </cell>
          <cell r="C1827">
            <v>16.8</v>
          </cell>
          <cell r="D1827">
            <v>6</v>
          </cell>
          <cell r="F1827" t="str">
            <v>-</v>
          </cell>
          <cell r="H1827" t="str">
            <v>-</v>
          </cell>
          <cell r="I1827" t="str">
            <v>-</v>
          </cell>
          <cell r="K1827" t="str">
            <v>-</v>
          </cell>
          <cell r="L1827">
            <v>8</v>
          </cell>
          <cell r="M1827" t="e">
            <v>#VALUE!</v>
          </cell>
          <cell r="O1827" t="str">
            <v>-</v>
          </cell>
          <cell r="T1827">
            <v>0.625</v>
          </cell>
          <cell r="U1827" t="str">
            <v>-</v>
          </cell>
        </row>
        <row r="1828">
          <cell r="B1828" t="str">
            <v>2L8X6X9/16SLBB</v>
          </cell>
          <cell r="C1828">
            <v>15.2</v>
          </cell>
          <cell r="D1828">
            <v>6</v>
          </cell>
          <cell r="F1828" t="str">
            <v>-</v>
          </cell>
          <cell r="H1828" t="str">
            <v>-</v>
          </cell>
          <cell r="I1828" t="str">
            <v>-</v>
          </cell>
          <cell r="K1828" t="str">
            <v>-</v>
          </cell>
          <cell r="L1828">
            <v>8</v>
          </cell>
          <cell r="M1828" t="e">
            <v>#VALUE!</v>
          </cell>
          <cell r="O1828" t="str">
            <v>-</v>
          </cell>
          <cell r="T1828">
            <v>0.56299999999999994</v>
          </cell>
          <cell r="U1828" t="str">
            <v>-</v>
          </cell>
        </row>
        <row r="1829">
          <cell r="B1829" t="str">
            <v>2L8X6X9/16X3/8SLBB</v>
          </cell>
          <cell r="C1829">
            <v>15.2</v>
          </cell>
          <cell r="D1829">
            <v>6</v>
          </cell>
          <cell r="F1829" t="str">
            <v>-</v>
          </cell>
          <cell r="H1829" t="str">
            <v>-</v>
          </cell>
          <cell r="I1829" t="str">
            <v>-</v>
          </cell>
          <cell r="K1829" t="str">
            <v>-</v>
          </cell>
          <cell r="L1829">
            <v>8</v>
          </cell>
          <cell r="M1829" t="e">
            <v>#VALUE!</v>
          </cell>
          <cell r="O1829" t="str">
            <v>-</v>
          </cell>
          <cell r="T1829">
            <v>0.56299999999999994</v>
          </cell>
          <cell r="U1829" t="str">
            <v>-</v>
          </cell>
        </row>
        <row r="1830">
          <cell r="B1830" t="str">
            <v>2L8X6X9/16X3/4SLBB</v>
          </cell>
          <cell r="C1830">
            <v>15.2</v>
          </cell>
          <cell r="D1830">
            <v>6</v>
          </cell>
          <cell r="F1830" t="str">
            <v>-</v>
          </cell>
          <cell r="H1830" t="str">
            <v>-</v>
          </cell>
          <cell r="I1830" t="str">
            <v>-</v>
          </cell>
          <cell r="K1830" t="str">
            <v>-</v>
          </cell>
          <cell r="L1830">
            <v>8</v>
          </cell>
          <cell r="M1830" t="e">
            <v>#VALUE!</v>
          </cell>
          <cell r="O1830" t="str">
            <v>-</v>
          </cell>
          <cell r="T1830">
            <v>0.56299999999999994</v>
          </cell>
          <cell r="U1830" t="str">
            <v>-</v>
          </cell>
        </row>
        <row r="1831">
          <cell r="B1831" t="str">
            <v>2L8X6X1/2SLBB</v>
          </cell>
          <cell r="C1831">
            <v>13.6</v>
          </cell>
          <cell r="D1831">
            <v>6</v>
          </cell>
          <cell r="F1831" t="str">
            <v>-</v>
          </cell>
          <cell r="H1831" t="str">
            <v>-</v>
          </cell>
          <cell r="I1831" t="str">
            <v>-</v>
          </cell>
          <cell r="K1831" t="str">
            <v>-</v>
          </cell>
          <cell r="L1831">
            <v>8</v>
          </cell>
          <cell r="M1831" t="e">
            <v>#VALUE!</v>
          </cell>
          <cell r="O1831" t="str">
            <v>-</v>
          </cell>
          <cell r="T1831">
            <v>0.5</v>
          </cell>
          <cell r="U1831" t="str">
            <v>-</v>
          </cell>
        </row>
        <row r="1832">
          <cell r="B1832" t="str">
            <v>2L8X6X1/2X3/8SLBB</v>
          </cell>
          <cell r="C1832">
            <v>13.6</v>
          </cell>
          <cell r="D1832">
            <v>6</v>
          </cell>
          <cell r="F1832" t="str">
            <v>-</v>
          </cell>
          <cell r="H1832" t="str">
            <v>-</v>
          </cell>
          <cell r="I1832" t="str">
            <v>-</v>
          </cell>
          <cell r="K1832" t="str">
            <v>-</v>
          </cell>
          <cell r="L1832">
            <v>8</v>
          </cell>
          <cell r="M1832" t="e">
            <v>#VALUE!</v>
          </cell>
          <cell r="O1832" t="str">
            <v>-</v>
          </cell>
          <cell r="T1832">
            <v>0.5</v>
          </cell>
          <cell r="U1832" t="str">
            <v>-</v>
          </cell>
        </row>
        <row r="1833">
          <cell r="B1833" t="str">
            <v>2L8X6X1/2X3/4SLBB</v>
          </cell>
          <cell r="C1833">
            <v>13.6</v>
          </cell>
          <cell r="D1833">
            <v>6</v>
          </cell>
          <cell r="F1833" t="str">
            <v>-</v>
          </cell>
          <cell r="H1833" t="str">
            <v>-</v>
          </cell>
          <cell r="I1833" t="str">
            <v>-</v>
          </cell>
          <cell r="K1833" t="str">
            <v>-</v>
          </cell>
          <cell r="L1833">
            <v>8</v>
          </cell>
          <cell r="M1833" t="e">
            <v>#VALUE!</v>
          </cell>
          <cell r="O1833" t="str">
            <v>-</v>
          </cell>
          <cell r="T1833">
            <v>0.5</v>
          </cell>
          <cell r="U1833" t="str">
            <v>-</v>
          </cell>
        </row>
        <row r="1834">
          <cell r="B1834" t="str">
            <v>2L8X6X7/16SLBB</v>
          </cell>
          <cell r="C1834">
            <v>12</v>
          </cell>
          <cell r="D1834">
            <v>6</v>
          </cell>
          <cell r="F1834" t="str">
            <v>-</v>
          </cell>
          <cell r="H1834" t="str">
            <v>-</v>
          </cell>
          <cell r="I1834" t="str">
            <v>-</v>
          </cell>
          <cell r="K1834" t="str">
            <v>-</v>
          </cell>
          <cell r="L1834">
            <v>8</v>
          </cell>
          <cell r="M1834" t="e">
            <v>#VALUE!</v>
          </cell>
          <cell r="O1834" t="str">
            <v>-</v>
          </cell>
          <cell r="T1834">
            <v>0.438</v>
          </cell>
          <cell r="U1834" t="str">
            <v>-</v>
          </cell>
        </row>
        <row r="1835">
          <cell r="B1835" t="str">
            <v>2L8X6X7/16X3/8SLBB</v>
          </cell>
          <cell r="C1835">
            <v>12</v>
          </cell>
          <cell r="D1835">
            <v>6</v>
          </cell>
          <cell r="F1835" t="str">
            <v>-</v>
          </cell>
          <cell r="H1835" t="str">
            <v>-</v>
          </cell>
          <cell r="I1835" t="str">
            <v>-</v>
          </cell>
          <cell r="K1835" t="str">
            <v>-</v>
          </cell>
          <cell r="L1835">
            <v>8</v>
          </cell>
          <cell r="M1835" t="e">
            <v>#VALUE!</v>
          </cell>
          <cell r="O1835" t="str">
            <v>-</v>
          </cell>
          <cell r="T1835">
            <v>0.438</v>
          </cell>
          <cell r="U1835" t="str">
            <v>-</v>
          </cell>
        </row>
        <row r="1836">
          <cell r="B1836" t="str">
            <v>2L8X6X7/16X3/4SLBB</v>
          </cell>
          <cell r="C1836">
            <v>12</v>
          </cell>
          <cell r="D1836">
            <v>6</v>
          </cell>
          <cell r="F1836" t="str">
            <v>-</v>
          </cell>
          <cell r="H1836" t="str">
            <v>-</v>
          </cell>
          <cell r="I1836" t="str">
            <v>-</v>
          </cell>
          <cell r="K1836" t="str">
            <v>-</v>
          </cell>
          <cell r="L1836">
            <v>8</v>
          </cell>
          <cell r="M1836" t="e">
            <v>#VALUE!</v>
          </cell>
          <cell r="O1836" t="str">
            <v>-</v>
          </cell>
          <cell r="T1836">
            <v>0.438</v>
          </cell>
          <cell r="U1836" t="str">
            <v>-</v>
          </cell>
        </row>
        <row r="1837">
          <cell r="B1837" t="str">
            <v>2L8X4X1SLBB</v>
          </cell>
          <cell r="C1837">
            <v>22.2</v>
          </cell>
          <cell r="D1837">
            <v>4</v>
          </cell>
          <cell r="F1837" t="str">
            <v>-</v>
          </cell>
          <cell r="H1837" t="str">
            <v>-</v>
          </cell>
          <cell r="I1837" t="str">
            <v>-</v>
          </cell>
          <cell r="K1837" t="str">
            <v>-</v>
          </cell>
          <cell r="L1837">
            <v>8</v>
          </cell>
          <cell r="M1837" t="e">
            <v>#VALUE!</v>
          </cell>
          <cell r="O1837" t="str">
            <v>-</v>
          </cell>
          <cell r="T1837">
            <v>1</v>
          </cell>
          <cell r="U1837" t="str">
            <v>-</v>
          </cell>
        </row>
        <row r="1838">
          <cell r="B1838" t="str">
            <v>2L8X4X1X3/8SLBB</v>
          </cell>
          <cell r="C1838">
            <v>22.2</v>
          </cell>
          <cell r="D1838">
            <v>4</v>
          </cell>
          <cell r="F1838" t="str">
            <v>-</v>
          </cell>
          <cell r="H1838" t="str">
            <v>-</v>
          </cell>
          <cell r="I1838" t="str">
            <v>-</v>
          </cell>
          <cell r="K1838" t="str">
            <v>-</v>
          </cell>
          <cell r="L1838">
            <v>8</v>
          </cell>
          <cell r="M1838" t="e">
            <v>#VALUE!</v>
          </cell>
          <cell r="O1838" t="str">
            <v>-</v>
          </cell>
          <cell r="T1838">
            <v>1</v>
          </cell>
          <cell r="U1838" t="str">
            <v>-</v>
          </cell>
        </row>
        <row r="1839">
          <cell r="B1839" t="str">
            <v>2L8X4X1X3/4SLBB</v>
          </cell>
          <cell r="C1839">
            <v>22.2</v>
          </cell>
          <cell r="D1839">
            <v>4</v>
          </cell>
          <cell r="F1839" t="str">
            <v>-</v>
          </cell>
          <cell r="H1839" t="str">
            <v>-</v>
          </cell>
          <cell r="I1839" t="str">
            <v>-</v>
          </cell>
          <cell r="K1839" t="str">
            <v>-</v>
          </cell>
          <cell r="L1839">
            <v>8</v>
          </cell>
          <cell r="M1839" t="e">
            <v>#VALUE!</v>
          </cell>
          <cell r="O1839" t="str">
            <v>-</v>
          </cell>
          <cell r="T1839">
            <v>1</v>
          </cell>
          <cell r="U1839" t="str">
            <v>-</v>
          </cell>
        </row>
        <row r="1840">
          <cell r="B1840" t="str">
            <v>2L8X4X7/8SLBB</v>
          </cell>
          <cell r="C1840">
            <v>19.600000000000001</v>
          </cell>
          <cell r="D1840">
            <v>4</v>
          </cell>
          <cell r="F1840" t="str">
            <v>-</v>
          </cell>
          <cell r="H1840" t="str">
            <v>-</v>
          </cell>
          <cell r="I1840" t="str">
            <v>-</v>
          </cell>
          <cell r="K1840" t="str">
            <v>-</v>
          </cell>
          <cell r="L1840">
            <v>8</v>
          </cell>
          <cell r="M1840" t="e">
            <v>#VALUE!</v>
          </cell>
          <cell r="O1840" t="str">
            <v>-</v>
          </cell>
          <cell r="T1840">
            <v>0.875</v>
          </cell>
          <cell r="U1840" t="str">
            <v>-</v>
          </cell>
        </row>
        <row r="1841">
          <cell r="B1841" t="str">
            <v>2L8X4X7/8X3/8SLBB</v>
          </cell>
          <cell r="C1841">
            <v>19.600000000000001</v>
          </cell>
          <cell r="D1841">
            <v>4</v>
          </cell>
          <cell r="F1841" t="str">
            <v>-</v>
          </cell>
          <cell r="H1841" t="str">
            <v>-</v>
          </cell>
          <cell r="I1841" t="str">
            <v>-</v>
          </cell>
          <cell r="K1841" t="str">
            <v>-</v>
          </cell>
          <cell r="L1841">
            <v>8</v>
          </cell>
          <cell r="M1841" t="e">
            <v>#VALUE!</v>
          </cell>
          <cell r="O1841" t="str">
            <v>-</v>
          </cell>
          <cell r="T1841">
            <v>0.875</v>
          </cell>
          <cell r="U1841" t="str">
            <v>-</v>
          </cell>
        </row>
        <row r="1842">
          <cell r="B1842" t="str">
            <v>2L8X4X7/8X3/4SLBB</v>
          </cell>
          <cell r="C1842">
            <v>19.600000000000001</v>
          </cell>
          <cell r="D1842">
            <v>4</v>
          </cell>
          <cell r="F1842" t="str">
            <v>-</v>
          </cell>
          <cell r="H1842" t="str">
            <v>-</v>
          </cell>
          <cell r="I1842" t="str">
            <v>-</v>
          </cell>
          <cell r="K1842" t="str">
            <v>-</v>
          </cell>
          <cell r="L1842">
            <v>8</v>
          </cell>
          <cell r="M1842" t="e">
            <v>#VALUE!</v>
          </cell>
          <cell r="O1842" t="str">
            <v>-</v>
          </cell>
          <cell r="T1842">
            <v>0.875</v>
          </cell>
          <cell r="U1842" t="str">
            <v>-</v>
          </cell>
        </row>
        <row r="1843">
          <cell r="B1843" t="str">
            <v>2L8X4X3/4SLBB</v>
          </cell>
          <cell r="C1843">
            <v>17</v>
          </cell>
          <cell r="D1843">
            <v>4</v>
          </cell>
          <cell r="F1843" t="str">
            <v>-</v>
          </cell>
          <cell r="H1843" t="str">
            <v>-</v>
          </cell>
          <cell r="I1843" t="str">
            <v>-</v>
          </cell>
          <cell r="K1843" t="str">
            <v>-</v>
          </cell>
          <cell r="L1843">
            <v>8</v>
          </cell>
          <cell r="M1843" t="e">
            <v>#VALUE!</v>
          </cell>
          <cell r="O1843" t="str">
            <v>-</v>
          </cell>
          <cell r="T1843">
            <v>0.75</v>
          </cell>
          <cell r="U1843" t="str">
            <v>-</v>
          </cell>
        </row>
        <row r="1844">
          <cell r="B1844" t="str">
            <v>2L8X4X3/4X3/8SLBB</v>
          </cell>
          <cell r="C1844">
            <v>17</v>
          </cell>
          <cell r="D1844">
            <v>4</v>
          </cell>
          <cell r="F1844" t="str">
            <v>-</v>
          </cell>
          <cell r="H1844" t="str">
            <v>-</v>
          </cell>
          <cell r="I1844" t="str">
            <v>-</v>
          </cell>
          <cell r="K1844" t="str">
            <v>-</v>
          </cell>
          <cell r="L1844">
            <v>8</v>
          </cell>
          <cell r="M1844" t="e">
            <v>#VALUE!</v>
          </cell>
          <cell r="O1844" t="str">
            <v>-</v>
          </cell>
          <cell r="T1844">
            <v>0.75</v>
          </cell>
          <cell r="U1844" t="str">
            <v>-</v>
          </cell>
        </row>
        <row r="1845">
          <cell r="B1845" t="str">
            <v>2L8X4X3/4X3/4SLBB</v>
          </cell>
          <cell r="C1845">
            <v>17</v>
          </cell>
          <cell r="D1845">
            <v>4</v>
          </cell>
          <cell r="F1845" t="str">
            <v>-</v>
          </cell>
          <cell r="H1845" t="str">
            <v>-</v>
          </cell>
          <cell r="I1845" t="str">
            <v>-</v>
          </cell>
          <cell r="K1845" t="str">
            <v>-</v>
          </cell>
          <cell r="L1845">
            <v>8</v>
          </cell>
          <cell r="M1845" t="e">
            <v>#VALUE!</v>
          </cell>
          <cell r="O1845" t="str">
            <v>-</v>
          </cell>
          <cell r="T1845">
            <v>0.75</v>
          </cell>
          <cell r="U1845" t="str">
            <v>-</v>
          </cell>
        </row>
        <row r="1846">
          <cell r="B1846" t="str">
            <v>2L8X4X5/8SLBB</v>
          </cell>
          <cell r="C1846">
            <v>14.3</v>
          </cell>
          <cell r="D1846">
            <v>4</v>
          </cell>
          <cell r="F1846" t="str">
            <v>-</v>
          </cell>
          <cell r="H1846" t="str">
            <v>-</v>
          </cell>
          <cell r="I1846" t="str">
            <v>-</v>
          </cell>
          <cell r="K1846" t="str">
            <v>-</v>
          </cell>
          <cell r="L1846">
            <v>8</v>
          </cell>
          <cell r="M1846" t="e">
            <v>#VALUE!</v>
          </cell>
          <cell r="O1846" t="str">
            <v>-</v>
          </cell>
          <cell r="T1846">
            <v>0.625</v>
          </cell>
          <cell r="U1846" t="str">
            <v>-</v>
          </cell>
        </row>
        <row r="1847">
          <cell r="B1847" t="str">
            <v>2L8X4X5/8X3/8SLBB</v>
          </cell>
          <cell r="C1847">
            <v>14.3</v>
          </cell>
          <cell r="D1847">
            <v>4</v>
          </cell>
          <cell r="F1847" t="str">
            <v>-</v>
          </cell>
          <cell r="H1847" t="str">
            <v>-</v>
          </cell>
          <cell r="I1847" t="str">
            <v>-</v>
          </cell>
          <cell r="K1847" t="str">
            <v>-</v>
          </cell>
          <cell r="L1847">
            <v>8</v>
          </cell>
          <cell r="M1847" t="e">
            <v>#VALUE!</v>
          </cell>
          <cell r="O1847" t="str">
            <v>-</v>
          </cell>
          <cell r="T1847">
            <v>0.625</v>
          </cell>
          <cell r="U1847" t="str">
            <v>-</v>
          </cell>
        </row>
        <row r="1848">
          <cell r="B1848" t="str">
            <v>2L8X4X5/8X3/4SLBB</v>
          </cell>
          <cell r="C1848">
            <v>14.3</v>
          </cell>
          <cell r="D1848">
            <v>4</v>
          </cell>
          <cell r="F1848" t="str">
            <v>-</v>
          </cell>
          <cell r="H1848" t="str">
            <v>-</v>
          </cell>
          <cell r="I1848" t="str">
            <v>-</v>
          </cell>
          <cell r="K1848" t="str">
            <v>-</v>
          </cell>
          <cell r="L1848">
            <v>8</v>
          </cell>
          <cell r="M1848" t="e">
            <v>#VALUE!</v>
          </cell>
          <cell r="O1848" t="str">
            <v>-</v>
          </cell>
          <cell r="T1848">
            <v>0.625</v>
          </cell>
          <cell r="U1848" t="str">
            <v>-</v>
          </cell>
        </row>
        <row r="1849">
          <cell r="B1849" t="str">
            <v>2L8X4X9/16SLBB</v>
          </cell>
          <cell r="C1849">
            <v>13</v>
          </cell>
          <cell r="D1849">
            <v>4</v>
          </cell>
          <cell r="F1849" t="str">
            <v>-</v>
          </cell>
          <cell r="H1849" t="str">
            <v>-</v>
          </cell>
          <cell r="I1849" t="str">
            <v>-</v>
          </cell>
          <cell r="K1849" t="str">
            <v>-</v>
          </cell>
          <cell r="L1849">
            <v>8</v>
          </cell>
          <cell r="M1849" t="e">
            <v>#VALUE!</v>
          </cell>
          <cell r="O1849" t="str">
            <v>-</v>
          </cell>
          <cell r="T1849">
            <v>0.56299999999999994</v>
          </cell>
          <cell r="U1849" t="str">
            <v>-</v>
          </cell>
        </row>
        <row r="1850">
          <cell r="B1850" t="str">
            <v>2L8X4X9/16X3/8SLBB</v>
          </cell>
          <cell r="C1850">
            <v>13</v>
          </cell>
          <cell r="D1850">
            <v>4</v>
          </cell>
          <cell r="F1850" t="str">
            <v>-</v>
          </cell>
          <cell r="H1850" t="str">
            <v>-</v>
          </cell>
          <cell r="I1850" t="str">
            <v>-</v>
          </cell>
          <cell r="K1850" t="str">
            <v>-</v>
          </cell>
          <cell r="L1850">
            <v>8</v>
          </cell>
          <cell r="M1850" t="e">
            <v>#VALUE!</v>
          </cell>
          <cell r="O1850" t="str">
            <v>-</v>
          </cell>
          <cell r="T1850">
            <v>0.56299999999999994</v>
          </cell>
          <cell r="U1850" t="str">
            <v>-</v>
          </cell>
        </row>
        <row r="1851">
          <cell r="B1851" t="str">
            <v>2L8X4X9/16X3/4SLBB</v>
          </cell>
          <cell r="C1851">
            <v>13</v>
          </cell>
          <cell r="D1851">
            <v>4</v>
          </cell>
          <cell r="F1851" t="str">
            <v>-</v>
          </cell>
          <cell r="H1851" t="str">
            <v>-</v>
          </cell>
          <cell r="I1851" t="str">
            <v>-</v>
          </cell>
          <cell r="K1851" t="str">
            <v>-</v>
          </cell>
          <cell r="L1851">
            <v>8</v>
          </cell>
          <cell r="M1851" t="e">
            <v>#VALUE!</v>
          </cell>
          <cell r="O1851" t="str">
            <v>-</v>
          </cell>
          <cell r="T1851">
            <v>0.56299999999999994</v>
          </cell>
          <cell r="U1851" t="str">
            <v>-</v>
          </cell>
        </row>
        <row r="1852">
          <cell r="B1852" t="str">
            <v>2L8X4X1/2SLBB</v>
          </cell>
          <cell r="C1852">
            <v>11.6</v>
          </cell>
          <cell r="D1852">
            <v>4</v>
          </cell>
          <cell r="F1852" t="str">
            <v>-</v>
          </cell>
          <cell r="H1852" t="str">
            <v>-</v>
          </cell>
          <cell r="I1852" t="str">
            <v>-</v>
          </cell>
          <cell r="K1852" t="str">
            <v>-</v>
          </cell>
          <cell r="L1852">
            <v>8</v>
          </cell>
          <cell r="M1852" t="e">
            <v>#VALUE!</v>
          </cell>
          <cell r="O1852" t="str">
            <v>-</v>
          </cell>
          <cell r="T1852">
            <v>0.5</v>
          </cell>
          <cell r="U1852" t="str">
            <v>-</v>
          </cell>
        </row>
        <row r="1853">
          <cell r="B1853" t="str">
            <v>2L8X4X1/2X3/8SLBB</v>
          </cell>
          <cell r="C1853">
            <v>11.6</v>
          </cell>
          <cell r="D1853">
            <v>4</v>
          </cell>
          <cell r="F1853" t="str">
            <v>-</v>
          </cell>
          <cell r="H1853" t="str">
            <v>-</v>
          </cell>
          <cell r="I1853" t="str">
            <v>-</v>
          </cell>
          <cell r="K1853" t="str">
            <v>-</v>
          </cell>
          <cell r="L1853">
            <v>8</v>
          </cell>
          <cell r="M1853" t="e">
            <v>#VALUE!</v>
          </cell>
          <cell r="O1853" t="str">
            <v>-</v>
          </cell>
          <cell r="T1853">
            <v>0.5</v>
          </cell>
          <cell r="U1853" t="str">
            <v>-</v>
          </cell>
        </row>
        <row r="1854">
          <cell r="B1854" t="str">
            <v>2L8X4X1/2X3/4SLBB</v>
          </cell>
          <cell r="C1854">
            <v>11.6</v>
          </cell>
          <cell r="D1854">
            <v>4</v>
          </cell>
          <cell r="F1854" t="str">
            <v>-</v>
          </cell>
          <cell r="H1854" t="str">
            <v>-</v>
          </cell>
          <cell r="I1854" t="str">
            <v>-</v>
          </cell>
          <cell r="K1854" t="str">
            <v>-</v>
          </cell>
          <cell r="L1854">
            <v>8</v>
          </cell>
          <cell r="M1854" t="e">
            <v>#VALUE!</v>
          </cell>
          <cell r="O1854" t="str">
            <v>-</v>
          </cell>
          <cell r="T1854">
            <v>0.5</v>
          </cell>
          <cell r="U1854" t="str">
            <v>-</v>
          </cell>
        </row>
        <row r="1855">
          <cell r="B1855" t="str">
            <v>2L8X4X7/16SLBB</v>
          </cell>
          <cell r="C1855">
            <v>10.199999999999999</v>
          </cell>
          <cell r="D1855">
            <v>4</v>
          </cell>
          <cell r="F1855" t="str">
            <v>-</v>
          </cell>
          <cell r="H1855" t="str">
            <v>-</v>
          </cell>
          <cell r="I1855" t="str">
            <v>-</v>
          </cell>
          <cell r="K1855" t="str">
            <v>-</v>
          </cell>
          <cell r="L1855">
            <v>8</v>
          </cell>
          <cell r="M1855" t="e">
            <v>#VALUE!</v>
          </cell>
          <cell r="O1855" t="str">
            <v>-</v>
          </cell>
          <cell r="T1855">
            <v>0.438</v>
          </cell>
          <cell r="U1855" t="str">
            <v>-</v>
          </cell>
        </row>
        <row r="1856">
          <cell r="B1856" t="str">
            <v>2L8X4X7/16X3/8SLBB</v>
          </cell>
          <cell r="C1856">
            <v>10.199999999999999</v>
          </cell>
          <cell r="D1856">
            <v>4</v>
          </cell>
          <cell r="F1856" t="str">
            <v>-</v>
          </cell>
          <cell r="H1856" t="str">
            <v>-</v>
          </cell>
          <cell r="I1856" t="str">
            <v>-</v>
          </cell>
          <cell r="K1856" t="str">
            <v>-</v>
          </cell>
          <cell r="L1856">
            <v>8</v>
          </cell>
          <cell r="M1856" t="e">
            <v>#VALUE!</v>
          </cell>
          <cell r="O1856" t="str">
            <v>-</v>
          </cell>
          <cell r="T1856">
            <v>0.438</v>
          </cell>
          <cell r="U1856" t="str">
            <v>-</v>
          </cell>
        </row>
        <row r="1857">
          <cell r="B1857" t="str">
            <v>2L8X4X7/16X3/4SLBB</v>
          </cell>
          <cell r="C1857">
            <v>10.199999999999999</v>
          </cell>
          <cell r="D1857">
            <v>4</v>
          </cell>
          <cell r="F1857" t="str">
            <v>-</v>
          </cell>
          <cell r="H1857" t="str">
            <v>-</v>
          </cell>
          <cell r="I1857" t="str">
            <v>-</v>
          </cell>
          <cell r="K1857" t="str">
            <v>-</v>
          </cell>
          <cell r="L1857">
            <v>8</v>
          </cell>
          <cell r="M1857" t="e">
            <v>#VALUE!</v>
          </cell>
          <cell r="O1857" t="str">
            <v>-</v>
          </cell>
          <cell r="T1857">
            <v>0.438</v>
          </cell>
          <cell r="U1857" t="str">
            <v>-</v>
          </cell>
        </row>
        <row r="1858">
          <cell r="B1858" t="str">
            <v>2L7X4X3/4SLBB</v>
          </cell>
          <cell r="C1858">
            <v>15.5</v>
          </cell>
          <cell r="D1858">
            <v>4</v>
          </cell>
          <cell r="F1858" t="str">
            <v>-</v>
          </cell>
          <cell r="H1858" t="str">
            <v>-</v>
          </cell>
          <cell r="I1858" t="str">
            <v>-</v>
          </cell>
          <cell r="K1858" t="str">
            <v>-</v>
          </cell>
          <cell r="L1858">
            <v>7</v>
          </cell>
          <cell r="M1858" t="e">
            <v>#VALUE!</v>
          </cell>
          <cell r="O1858" t="str">
            <v>-</v>
          </cell>
          <cell r="T1858">
            <v>0.75</v>
          </cell>
          <cell r="U1858" t="str">
            <v>-</v>
          </cell>
        </row>
        <row r="1859">
          <cell r="B1859" t="str">
            <v>2L7X4X3/4X3/8SLBB</v>
          </cell>
          <cell r="C1859">
            <v>15.5</v>
          </cell>
          <cell r="D1859">
            <v>4</v>
          </cell>
          <cell r="F1859" t="str">
            <v>-</v>
          </cell>
          <cell r="H1859" t="str">
            <v>-</v>
          </cell>
          <cell r="I1859" t="str">
            <v>-</v>
          </cell>
          <cell r="K1859" t="str">
            <v>-</v>
          </cell>
          <cell r="L1859">
            <v>7</v>
          </cell>
          <cell r="M1859" t="e">
            <v>#VALUE!</v>
          </cell>
          <cell r="O1859" t="str">
            <v>-</v>
          </cell>
          <cell r="T1859">
            <v>0.75</v>
          </cell>
          <cell r="U1859" t="str">
            <v>-</v>
          </cell>
        </row>
        <row r="1860">
          <cell r="B1860" t="str">
            <v>2L7X4X3/4X3/4SLBB</v>
          </cell>
          <cell r="C1860">
            <v>15.5</v>
          </cell>
          <cell r="D1860">
            <v>4</v>
          </cell>
          <cell r="F1860" t="str">
            <v>-</v>
          </cell>
          <cell r="H1860" t="str">
            <v>-</v>
          </cell>
          <cell r="I1860" t="str">
            <v>-</v>
          </cell>
          <cell r="K1860" t="str">
            <v>-</v>
          </cell>
          <cell r="L1860">
            <v>7</v>
          </cell>
          <cell r="M1860" t="e">
            <v>#VALUE!</v>
          </cell>
          <cell r="O1860" t="str">
            <v>-</v>
          </cell>
          <cell r="T1860">
            <v>0.75</v>
          </cell>
          <cell r="U1860" t="str">
            <v>-</v>
          </cell>
        </row>
        <row r="1861">
          <cell r="B1861" t="str">
            <v>2L7X4X5/8SLBB</v>
          </cell>
          <cell r="C1861">
            <v>13</v>
          </cell>
          <cell r="D1861">
            <v>4</v>
          </cell>
          <cell r="F1861" t="str">
            <v>-</v>
          </cell>
          <cell r="H1861" t="str">
            <v>-</v>
          </cell>
          <cell r="I1861" t="str">
            <v>-</v>
          </cell>
          <cell r="K1861" t="str">
            <v>-</v>
          </cell>
          <cell r="L1861">
            <v>7</v>
          </cell>
          <cell r="M1861" t="e">
            <v>#VALUE!</v>
          </cell>
          <cell r="O1861" t="str">
            <v>-</v>
          </cell>
          <cell r="T1861">
            <v>0.625</v>
          </cell>
          <cell r="U1861" t="str">
            <v>-</v>
          </cell>
        </row>
        <row r="1862">
          <cell r="B1862" t="str">
            <v>2L7X4X5/8X3/8SLBB</v>
          </cell>
          <cell r="C1862">
            <v>13</v>
          </cell>
          <cell r="D1862">
            <v>4</v>
          </cell>
          <cell r="F1862" t="str">
            <v>-</v>
          </cell>
          <cell r="H1862" t="str">
            <v>-</v>
          </cell>
          <cell r="I1862" t="str">
            <v>-</v>
          </cell>
          <cell r="K1862" t="str">
            <v>-</v>
          </cell>
          <cell r="L1862">
            <v>7</v>
          </cell>
          <cell r="M1862" t="e">
            <v>#VALUE!</v>
          </cell>
          <cell r="O1862" t="str">
            <v>-</v>
          </cell>
          <cell r="T1862">
            <v>0.625</v>
          </cell>
          <cell r="U1862" t="str">
            <v>-</v>
          </cell>
        </row>
        <row r="1863">
          <cell r="B1863" t="str">
            <v>2L7X4X5/8X3/4SLBB</v>
          </cell>
          <cell r="C1863">
            <v>13</v>
          </cell>
          <cell r="D1863">
            <v>4</v>
          </cell>
          <cell r="F1863" t="str">
            <v>-</v>
          </cell>
          <cell r="H1863" t="str">
            <v>-</v>
          </cell>
          <cell r="I1863" t="str">
            <v>-</v>
          </cell>
          <cell r="K1863" t="str">
            <v>-</v>
          </cell>
          <cell r="L1863">
            <v>7</v>
          </cell>
          <cell r="M1863" t="e">
            <v>#VALUE!</v>
          </cell>
          <cell r="O1863" t="str">
            <v>-</v>
          </cell>
          <cell r="T1863">
            <v>0.625</v>
          </cell>
          <cell r="U1863" t="str">
            <v>-</v>
          </cell>
        </row>
        <row r="1864">
          <cell r="B1864" t="str">
            <v>2L7X4X1/2SLBB</v>
          </cell>
          <cell r="C1864">
            <v>10.5</v>
          </cell>
          <cell r="D1864">
            <v>4</v>
          </cell>
          <cell r="F1864" t="str">
            <v>-</v>
          </cell>
          <cell r="H1864" t="str">
            <v>-</v>
          </cell>
          <cell r="I1864" t="str">
            <v>-</v>
          </cell>
          <cell r="K1864" t="str">
            <v>-</v>
          </cell>
          <cell r="L1864">
            <v>7</v>
          </cell>
          <cell r="M1864" t="e">
            <v>#VALUE!</v>
          </cell>
          <cell r="O1864" t="str">
            <v>-</v>
          </cell>
          <cell r="T1864">
            <v>0.5</v>
          </cell>
          <cell r="U1864" t="str">
            <v>-</v>
          </cell>
        </row>
        <row r="1865">
          <cell r="B1865" t="str">
            <v>2L7X4X1/2X3/8SLBB</v>
          </cell>
          <cell r="C1865">
            <v>10.5</v>
          </cell>
          <cell r="D1865">
            <v>4</v>
          </cell>
          <cell r="F1865" t="str">
            <v>-</v>
          </cell>
          <cell r="H1865" t="str">
            <v>-</v>
          </cell>
          <cell r="I1865" t="str">
            <v>-</v>
          </cell>
          <cell r="K1865" t="str">
            <v>-</v>
          </cell>
          <cell r="L1865">
            <v>7</v>
          </cell>
          <cell r="M1865" t="e">
            <v>#VALUE!</v>
          </cell>
          <cell r="O1865" t="str">
            <v>-</v>
          </cell>
          <cell r="T1865">
            <v>0.5</v>
          </cell>
          <cell r="U1865" t="str">
            <v>-</v>
          </cell>
        </row>
        <row r="1866">
          <cell r="B1866" t="str">
            <v>2L7X4X1/2X3/4SLBB</v>
          </cell>
          <cell r="C1866">
            <v>10.5</v>
          </cell>
          <cell r="D1866">
            <v>4</v>
          </cell>
          <cell r="F1866" t="str">
            <v>-</v>
          </cell>
          <cell r="H1866" t="str">
            <v>-</v>
          </cell>
          <cell r="I1866" t="str">
            <v>-</v>
          </cell>
          <cell r="K1866" t="str">
            <v>-</v>
          </cell>
          <cell r="L1866">
            <v>7</v>
          </cell>
          <cell r="M1866" t="e">
            <v>#VALUE!</v>
          </cell>
          <cell r="O1866" t="str">
            <v>-</v>
          </cell>
          <cell r="T1866">
            <v>0.5</v>
          </cell>
          <cell r="U1866" t="str">
            <v>-</v>
          </cell>
        </row>
        <row r="1867">
          <cell r="B1867" t="str">
            <v>2L7X4X7/16SLBB</v>
          </cell>
          <cell r="C1867">
            <v>9.26</v>
          </cell>
          <cell r="D1867">
            <v>4</v>
          </cell>
          <cell r="F1867" t="str">
            <v>-</v>
          </cell>
          <cell r="H1867" t="str">
            <v>-</v>
          </cell>
          <cell r="I1867" t="str">
            <v>-</v>
          </cell>
          <cell r="K1867" t="str">
            <v>-</v>
          </cell>
          <cell r="L1867">
            <v>7</v>
          </cell>
          <cell r="M1867" t="e">
            <v>#VALUE!</v>
          </cell>
          <cell r="O1867" t="str">
            <v>-</v>
          </cell>
          <cell r="T1867">
            <v>0.438</v>
          </cell>
          <cell r="U1867" t="str">
            <v>-</v>
          </cell>
        </row>
        <row r="1868">
          <cell r="B1868" t="str">
            <v>2L7X4X7/16X3/8SLBB</v>
          </cell>
          <cell r="C1868">
            <v>9.26</v>
          </cell>
          <cell r="D1868">
            <v>4</v>
          </cell>
          <cell r="F1868" t="str">
            <v>-</v>
          </cell>
          <cell r="H1868" t="str">
            <v>-</v>
          </cell>
          <cell r="I1868" t="str">
            <v>-</v>
          </cell>
          <cell r="K1868" t="str">
            <v>-</v>
          </cell>
          <cell r="L1868">
            <v>7</v>
          </cell>
          <cell r="M1868" t="e">
            <v>#VALUE!</v>
          </cell>
          <cell r="O1868" t="str">
            <v>-</v>
          </cell>
          <cell r="T1868">
            <v>0.438</v>
          </cell>
          <cell r="U1868" t="str">
            <v>-</v>
          </cell>
        </row>
        <row r="1869">
          <cell r="B1869" t="str">
            <v>2L7X4X7/16X3/4SLBB</v>
          </cell>
          <cell r="C1869">
            <v>9.26</v>
          </cell>
          <cell r="D1869">
            <v>4</v>
          </cell>
          <cell r="F1869" t="str">
            <v>-</v>
          </cell>
          <cell r="H1869" t="str">
            <v>-</v>
          </cell>
          <cell r="I1869" t="str">
            <v>-</v>
          </cell>
          <cell r="K1869" t="str">
            <v>-</v>
          </cell>
          <cell r="L1869">
            <v>7</v>
          </cell>
          <cell r="M1869" t="e">
            <v>#VALUE!</v>
          </cell>
          <cell r="O1869" t="str">
            <v>-</v>
          </cell>
          <cell r="T1869">
            <v>0.438</v>
          </cell>
          <cell r="U1869" t="str">
            <v>-</v>
          </cell>
        </row>
        <row r="1870">
          <cell r="B1870" t="str">
            <v>2L7X4X3/8SLBB</v>
          </cell>
          <cell r="C1870">
            <v>8</v>
          </cell>
          <cell r="D1870">
            <v>4</v>
          </cell>
          <cell r="F1870" t="str">
            <v>-</v>
          </cell>
          <cell r="H1870" t="str">
            <v>-</v>
          </cell>
          <cell r="I1870" t="str">
            <v>-</v>
          </cell>
          <cell r="K1870" t="str">
            <v>-</v>
          </cell>
          <cell r="L1870">
            <v>7</v>
          </cell>
          <cell r="M1870" t="e">
            <v>#VALUE!</v>
          </cell>
          <cell r="O1870" t="str">
            <v>-</v>
          </cell>
          <cell r="T1870">
            <v>0.375</v>
          </cell>
          <cell r="U1870" t="str">
            <v>-</v>
          </cell>
        </row>
        <row r="1871">
          <cell r="B1871" t="str">
            <v>2L7X4X3/8X3/8SLBB</v>
          </cell>
          <cell r="C1871">
            <v>8</v>
          </cell>
          <cell r="D1871">
            <v>4</v>
          </cell>
          <cell r="F1871" t="str">
            <v>-</v>
          </cell>
          <cell r="H1871" t="str">
            <v>-</v>
          </cell>
          <cell r="I1871" t="str">
            <v>-</v>
          </cell>
          <cell r="K1871" t="str">
            <v>-</v>
          </cell>
          <cell r="L1871">
            <v>7</v>
          </cell>
          <cell r="M1871" t="e">
            <v>#VALUE!</v>
          </cell>
          <cell r="O1871" t="str">
            <v>-</v>
          </cell>
          <cell r="T1871">
            <v>0.375</v>
          </cell>
          <cell r="U1871" t="str">
            <v>-</v>
          </cell>
        </row>
        <row r="1872">
          <cell r="B1872" t="str">
            <v>2L7X4X3/8X3/4SLBB</v>
          </cell>
          <cell r="C1872">
            <v>8</v>
          </cell>
          <cell r="D1872">
            <v>4</v>
          </cell>
          <cell r="F1872" t="str">
            <v>-</v>
          </cell>
          <cell r="H1872" t="str">
            <v>-</v>
          </cell>
          <cell r="I1872" t="str">
            <v>-</v>
          </cell>
          <cell r="K1872" t="str">
            <v>-</v>
          </cell>
          <cell r="L1872">
            <v>7</v>
          </cell>
          <cell r="M1872" t="e">
            <v>#VALUE!</v>
          </cell>
          <cell r="O1872" t="str">
            <v>-</v>
          </cell>
          <cell r="T1872">
            <v>0.375</v>
          </cell>
          <cell r="U1872" t="str">
            <v>-</v>
          </cell>
        </row>
        <row r="1873">
          <cell r="B1873" t="str">
            <v>2L6X4X7/8SLBB</v>
          </cell>
          <cell r="C1873">
            <v>16</v>
          </cell>
          <cell r="D1873">
            <v>4</v>
          </cell>
          <cell r="F1873" t="str">
            <v>-</v>
          </cell>
          <cell r="H1873" t="str">
            <v>-</v>
          </cell>
          <cell r="I1873" t="str">
            <v>-</v>
          </cell>
          <cell r="K1873" t="str">
            <v>-</v>
          </cell>
          <cell r="L1873">
            <v>6</v>
          </cell>
          <cell r="M1873" t="e">
            <v>#VALUE!</v>
          </cell>
          <cell r="O1873" t="str">
            <v>-</v>
          </cell>
          <cell r="T1873">
            <v>0.875</v>
          </cell>
          <cell r="U1873" t="str">
            <v>-</v>
          </cell>
        </row>
        <row r="1874">
          <cell r="B1874" t="str">
            <v>2L6X4X7/8X3/8SLBB</v>
          </cell>
          <cell r="C1874">
            <v>16</v>
          </cell>
          <cell r="D1874">
            <v>4</v>
          </cell>
          <cell r="F1874" t="str">
            <v>-</v>
          </cell>
          <cell r="H1874" t="str">
            <v>-</v>
          </cell>
          <cell r="I1874" t="str">
            <v>-</v>
          </cell>
          <cell r="K1874" t="str">
            <v>-</v>
          </cell>
          <cell r="L1874">
            <v>6</v>
          </cell>
          <cell r="M1874" t="e">
            <v>#VALUE!</v>
          </cell>
          <cell r="O1874" t="str">
            <v>-</v>
          </cell>
          <cell r="T1874">
            <v>0.875</v>
          </cell>
          <cell r="U1874" t="str">
            <v>-</v>
          </cell>
        </row>
        <row r="1875">
          <cell r="B1875" t="str">
            <v>2L6X4X7/8X3/4SLBB</v>
          </cell>
          <cell r="C1875">
            <v>16</v>
          </cell>
          <cell r="D1875">
            <v>4</v>
          </cell>
          <cell r="F1875" t="str">
            <v>-</v>
          </cell>
          <cell r="H1875" t="str">
            <v>-</v>
          </cell>
          <cell r="I1875" t="str">
            <v>-</v>
          </cell>
          <cell r="K1875" t="str">
            <v>-</v>
          </cell>
          <cell r="L1875">
            <v>6</v>
          </cell>
          <cell r="M1875" t="e">
            <v>#VALUE!</v>
          </cell>
          <cell r="O1875" t="str">
            <v>-</v>
          </cell>
          <cell r="T1875">
            <v>0.875</v>
          </cell>
          <cell r="U1875" t="str">
            <v>-</v>
          </cell>
        </row>
        <row r="1876">
          <cell r="B1876" t="str">
            <v>2L6X4X3/4SLBB</v>
          </cell>
          <cell r="C1876">
            <v>13.9</v>
          </cell>
          <cell r="D1876">
            <v>4</v>
          </cell>
          <cell r="F1876" t="str">
            <v>-</v>
          </cell>
          <cell r="H1876" t="str">
            <v>-</v>
          </cell>
          <cell r="I1876" t="str">
            <v>-</v>
          </cell>
          <cell r="K1876" t="str">
            <v>-</v>
          </cell>
          <cell r="L1876">
            <v>6</v>
          </cell>
          <cell r="M1876" t="e">
            <v>#VALUE!</v>
          </cell>
          <cell r="O1876" t="str">
            <v>-</v>
          </cell>
          <cell r="T1876">
            <v>0.75</v>
          </cell>
          <cell r="U1876" t="str">
            <v>-</v>
          </cell>
        </row>
        <row r="1877">
          <cell r="B1877" t="str">
            <v>2L6X4X3/4X3/8SLBB</v>
          </cell>
          <cell r="C1877">
            <v>13.9</v>
          </cell>
          <cell r="D1877">
            <v>4</v>
          </cell>
          <cell r="F1877" t="str">
            <v>-</v>
          </cell>
          <cell r="H1877" t="str">
            <v>-</v>
          </cell>
          <cell r="I1877" t="str">
            <v>-</v>
          </cell>
          <cell r="K1877" t="str">
            <v>-</v>
          </cell>
          <cell r="L1877">
            <v>6</v>
          </cell>
          <cell r="M1877" t="e">
            <v>#VALUE!</v>
          </cell>
          <cell r="O1877" t="str">
            <v>-</v>
          </cell>
          <cell r="T1877">
            <v>0.75</v>
          </cell>
          <cell r="U1877" t="str">
            <v>-</v>
          </cell>
        </row>
        <row r="1878">
          <cell r="B1878" t="str">
            <v>2L6X4X3/4X3/4SLBB</v>
          </cell>
          <cell r="C1878">
            <v>13.9</v>
          </cell>
          <cell r="D1878">
            <v>4</v>
          </cell>
          <cell r="F1878" t="str">
            <v>-</v>
          </cell>
          <cell r="H1878" t="str">
            <v>-</v>
          </cell>
          <cell r="I1878" t="str">
            <v>-</v>
          </cell>
          <cell r="K1878" t="str">
            <v>-</v>
          </cell>
          <cell r="L1878">
            <v>6</v>
          </cell>
          <cell r="M1878" t="e">
            <v>#VALUE!</v>
          </cell>
          <cell r="O1878" t="str">
            <v>-</v>
          </cell>
          <cell r="T1878">
            <v>0.75</v>
          </cell>
          <cell r="U1878" t="str">
            <v>-</v>
          </cell>
        </row>
        <row r="1879">
          <cell r="B1879" t="str">
            <v>2L6X4X5/8SLBB</v>
          </cell>
          <cell r="C1879">
            <v>11.7</v>
          </cell>
          <cell r="D1879">
            <v>4</v>
          </cell>
          <cell r="F1879" t="str">
            <v>-</v>
          </cell>
          <cell r="H1879" t="str">
            <v>-</v>
          </cell>
          <cell r="I1879" t="str">
            <v>-</v>
          </cell>
          <cell r="K1879" t="str">
            <v>-</v>
          </cell>
          <cell r="L1879">
            <v>6</v>
          </cell>
          <cell r="M1879" t="e">
            <v>#VALUE!</v>
          </cell>
          <cell r="O1879" t="str">
            <v>-</v>
          </cell>
          <cell r="T1879">
            <v>0.625</v>
          </cell>
          <cell r="U1879" t="str">
            <v>-</v>
          </cell>
        </row>
        <row r="1880">
          <cell r="B1880" t="str">
            <v>2L6X4X5/8X3/8SLBB</v>
          </cell>
          <cell r="C1880">
            <v>11.7</v>
          </cell>
          <cell r="D1880">
            <v>4</v>
          </cell>
          <cell r="F1880" t="str">
            <v>-</v>
          </cell>
          <cell r="H1880" t="str">
            <v>-</v>
          </cell>
          <cell r="I1880" t="str">
            <v>-</v>
          </cell>
          <cell r="K1880" t="str">
            <v>-</v>
          </cell>
          <cell r="L1880">
            <v>6</v>
          </cell>
          <cell r="M1880" t="e">
            <v>#VALUE!</v>
          </cell>
          <cell r="O1880" t="str">
            <v>-</v>
          </cell>
          <cell r="T1880">
            <v>0.625</v>
          </cell>
          <cell r="U1880" t="str">
            <v>-</v>
          </cell>
        </row>
        <row r="1881">
          <cell r="B1881" t="str">
            <v>2L6X4X5/8X3/4SLBB</v>
          </cell>
          <cell r="C1881">
            <v>11.7</v>
          </cell>
          <cell r="D1881">
            <v>4</v>
          </cell>
          <cell r="F1881" t="str">
            <v>-</v>
          </cell>
          <cell r="H1881" t="str">
            <v>-</v>
          </cell>
          <cell r="I1881" t="str">
            <v>-</v>
          </cell>
          <cell r="K1881" t="str">
            <v>-</v>
          </cell>
          <cell r="L1881">
            <v>6</v>
          </cell>
          <cell r="M1881" t="e">
            <v>#VALUE!</v>
          </cell>
          <cell r="O1881" t="str">
            <v>-</v>
          </cell>
          <cell r="T1881">
            <v>0.625</v>
          </cell>
          <cell r="U1881" t="str">
            <v>-</v>
          </cell>
        </row>
        <row r="1882">
          <cell r="B1882" t="str">
            <v>2L6X4X9/16SLBB</v>
          </cell>
          <cell r="C1882">
            <v>10.6</v>
          </cell>
          <cell r="D1882">
            <v>4</v>
          </cell>
          <cell r="F1882" t="str">
            <v>-</v>
          </cell>
          <cell r="H1882" t="str">
            <v>-</v>
          </cell>
          <cell r="I1882" t="str">
            <v>-</v>
          </cell>
          <cell r="K1882" t="str">
            <v>-</v>
          </cell>
          <cell r="L1882">
            <v>6</v>
          </cell>
          <cell r="M1882" t="e">
            <v>#VALUE!</v>
          </cell>
          <cell r="O1882" t="str">
            <v>-</v>
          </cell>
          <cell r="T1882">
            <v>0.56299999999999994</v>
          </cell>
          <cell r="U1882" t="str">
            <v>-</v>
          </cell>
        </row>
        <row r="1883">
          <cell r="B1883" t="str">
            <v>2L6X4X9/16X3/8SLBB</v>
          </cell>
          <cell r="C1883">
            <v>10.6</v>
          </cell>
          <cell r="D1883">
            <v>4</v>
          </cell>
          <cell r="F1883" t="str">
            <v>-</v>
          </cell>
          <cell r="H1883" t="str">
            <v>-</v>
          </cell>
          <cell r="I1883" t="str">
            <v>-</v>
          </cell>
          <cell r="K1883" t="str">
            <v>-</v>
          </cell>
          <cell r="L1883">
            <v>6</v>
          </cell>
          <cell r="M1883" t="e">
            <v>#VALUE!</v>
          </cell>
          <cell r="O1883" t="str">
            <v>-</v>
          </cell>
          <cell r="T1883">
            <v>0.56299999999999994</v>
          </cell>
          <cell r="U1883" t="str">
            <v>-</v>
          </cell>
        </row>
        <row r="1884">
          <cell r="B1884" t="str">
            <v>2L6X4X9/16X3/4SLBB</v>
          </cell>
          <cell r="C1884">
            <v>10.6</v>
          </cell>
          <cell r="D1884">
            <v>4</v>
          </cell>
          <cell r="F1884" t="str">
            <v>-</v>
          </cell>
          <cell r="H1884" t="str">
            <v>-</v>
          </cell>
          <cell r="I1884" t="str">
            <v>-</v>
          </cell>
          <cell r="K1884" t="str">
            <v>-</v>
          </cell>
          <cell r="L1884">
            <v>6</v>
          </cell>
          <cell r="M1884" t="e">
            <v>#VALUE!</v>
          </cell>
          <cell r="O1884" t="str">
            <v>-</v>
          </cell>
          <cell r="T1884">
            <v>0.56299999999999994</v>
          </cell>
          <cell r="U1884" t="str">
            <v>-</v>
          </cell>
        </row>
        <row r="1885">
          <cell r="B1885" t="str">
            <v>2L6X4X1/2SLBB</v>
          </cell>
          <cell r="C1885">
            <v>9.5</v>
          </cell>
          <cell r="D1885">
            <v>4</v>
          </cell>
          <cell r="F1885" t="str">
            <v>-</v>
          </cell>
          <cell r="H1885" t="str">
            <v>-</v>
          </cell>
          <cell r="I1885" t="str">
            <v>-</v>
          </cell>
          <cell r="K1885" t="str">
            <v>-</v>
          </cell>
          <cell r="L1885">
            <v>6</v>
          </cell>
          <cell r="M1885" t="e">
            <v>#VALUE!</v>
          </cell>
          <cell r="O1885" t="str">
            <v>-</v>
          </cell>
          <cell r="T1885">
            <v>0.5</v>
          </cell>
          <cell r="U1885" t="str">
            <v>-</v>
          </cell>
        </row>
        <row r="1886">
          <cell r="B1886" t="str">
            <v>2L6X4X1/2X3/8SLBB</v>
          </cell>
          <cell r="C1886">
            <v>9.5</v>
          </cell>
          <cell r="D1886">
            <v>4</v>
          </cell>
          <cell r="F1886" t="str">
            <v>-</v>
          </cell>
          <cell r="H1886" t="str">
            <v>-</v>
          </cell>
          <cell r="I1886" t="str">
            <v>-</v>
          </cell>
          <cell r="K1886" t="str">
            <v>-</v>
          </cell>
          <cell r="L1886">
            <v>6</v>
          </cell>
          <cell r="M1886" t="e">
            <v>#VALUE!</v>
          </cell>
          <cell r="O1886" t="str">
            <v>-</v>
          </cell>
          <cell r="T1886">
            <v>0.5</v>
          </cell>
          <cell r="U1886" t="str">
            <v>-</v>
          </cell>
        </row>
        <row r="1887">
          <cell r="B1887" t="str">
            <v>2L6X4X1/2X3/4SLBB</v>
          </cell>
          <cell r="C1887">
            <v>9.5</v>
          </cell>
          <cell r="D1887">
            <v>4</v>
          </cell>
          <cell r="F1887" t="str">
            <v>-</v>
          </cell>
          <cell r="H1887" t="str">
            <v>-</v>
          </cell>
          <cell r="I1887" t="str">
            <v>-</v>
          </cell>
          <cell r="K1887" t="str">
            <v>-</v>
          </cell>
          <cell r="L1887">
            <v>6</v>
          </cell>
          <cell r="M1887" t="e">
            <v>#VALUE!</v>
          </cell>
          <cell r="O1887" t="str">
            <v>-</v>
          </cell>
          <cell r="T1887">
            <v>0.5</v>
          </cell>
          <cell r="U1887" t="str">
            <v>-</v>
          </cell>
        </row>
        <row r="1888">
          <cell r="B1888" t="str">
            <v>2L6X4X7/16SLBB</v>
          </cell>
          <cell r="C1888">
            <v>8.36</v>
          </cell>
          <cell r="D1888">
            <v>4</v>
          </cell>
          <cell r="F1888" t="str">
            <v>-</v>
          </cell>
          <cell r="H1888" t="str">
            <v>-</v>
          </cell>
          <cell r="I1888" t="str">
            <v>-</v>
          </cell>
          <cell r="K1888" t="str">
            <v>-</v>
          </cell>
          <cell r="L1888">
            <v>6</v>
          </cell>
          <cell r="M1888" t="e">
            <v>#VALUE!</v>
          </cell>
          <cell r="O1888" t="str">
            <v>-</v>
          </cell>
          <cell r="T1888">
            <v>0.438</v>
          </cell>
          <cell r="U1888" t="str">
            <v>-</v>
          </cell>
        </row>
        <row r="1889">
          <cell r="B1889" t="str">
            <v>2L6X4X7/16X3/8SLBB</v>
          </cell>
          <cell r="C1889">
            <v>8.36</v>
          </cell>
          <cell r="D1889">
            <v>4</v>
          </cell>
          <cell r="F1889" t="str">
            <v>-</v>
          </cell>
          <cell r="H1889" t="str">
            <v>-</v>
          </cell>
          <cell r="I1889" t="str">
            <v>-</v>
          </cell>
          <cell r="K1889" t="str">
            <v>-</v>
          </cell>
          <cell r="L1889">
            <v>6</v>
          </cell>
          <cell r="M1889" t="e">
            <v>#VALUE!</v>
          </cell>
          <cell r="O1889" t="str">
            <v>-</v>
          </cell>
          <cell r="T1889">
            <v>0.438</v>
          </cell>
          <cell r="U1889" t="str">
            <v>-</v>
          </cell>
        </row>
        <row r="1890">
          <cell r="B1890" t="str">
            <v>2L6X4X7/16X3/4SLBB</v>
          </cell>
          <cell r="C1890">
            <v>8.36</v>
          </cell>
          <cell r="D1890">
            <v>4</v>
          </cell>
          <cell r="F1890" t="str">
            <v>-</v>
          </cell>
          <cell r="H1890" t="str">
            <v>-</v>
          </cell>
          <cell r="I1890" t="str">
            <v>-</v>
          </cell>
          <cell r="K1890" t="str">
            <v>-</v>
          </cell>
          <cell r="L1890">
            <v>6</v>
          </cell>
          <cell r="M1890" t="e">
            <v>#VALUE!</v>
          </cell>
          <cell r="O1890" t="str">
            <v>-</v>
          </cell>
          <cell r="T1890">
            <v>0.438</v>
          </cell>
          <cell r="U1890" t="str">
            <v>-</v>
          </cell>
        </row>
        <row r="1891">
          <cell r="B1891" t="str">
            <v>2L6X4X3/8SLBB</v>
          </cell>
          <cell r="C1891">
            <v>7.22</v>
          </cell>
          <cell r="D1891">
            <v>4</v>
          </cell>
          <cell r="F1891" t="str">
            <v>-</v>
          </cell>
          <cell r="H1891" t="str">
            <v>-</v>
          </cell>
          <cell r="I1891" t="str">
            <v>-</v>
          </cell>
          <cell r="K1891" t="str">
            <v>-</v>
          </cell>
          <cell r="L1891">
            <v>6</v>
          </cell>
          <cell r="M1891" t="e">
            <v>#VALUE!</v>
          </cell>
          <cell r="O1891" t="str">
            <v>-</v>
          </cell>
          <cell r="T1891">
            <v>0.375</v>
          </cell>
          <cell r="U1891" t="str">
            <v>-</v>
          </cell>
        </row>
        <row r="1892">
          <cell r="B1892" t="str">
            <v>2L6X4X3/8X3/8SLBB</v>
          </cell>
          <cell r="C1892">
            <v>7.22</v>
          </cell>
          <cell r="D1892">
            <v>4</v>
          </cell>
          <cell r="F1892" t="str">
            <v>-</v>
          </cell>
          <cell r="H1892" t="str">
            <v>-</v>
          </cell>
          <cell r="I1892" t="str">
            <v>-</v>
          </cell>
          <cell r="K1892" t="str">
            <v>-</v>
          </cell>
          <cell r="L1892">
            <v>6</v>
          </cell>
          <cell r="M1892" t="e">
            <v>#VALUE!</v>
          </cell>
          <cell r="O1892" t="str">
            <v>-</v>
          </cell>
          <cell r="T1892">
            <v>0.375</v>
          </cell>
          <cell r="U1892" t="str">
            <v>-</v>
          </cell>
        </row>
        <row r="1893">
          <cell r="B1893" t="str">
            <v>2L6X4X3/8X3/4SLBB</v>
          </cell>
          <cell r="C1893">
            <v>7.22</v>
          </cell>
          <cell r="D1893">
            <v>4</v>
          </cell>
          <cell r="F1893" t="str">
            <v>-</v>
          </cell>
          <cell r="H1893" t="str">
            <v>-</v>
          </cell>
          <cell r="I1893" t="str">
            <v>-</v>
          </cell>
          <cell r="K1893" t="str">
            <v>-</v>
          </cell>
          <cell r="L1893">
            <v>6</v>
          </cell>
          <cell r="M1893" t="e">
            <v>#VALUE!</v>
          </cell>
          <cell r="O1893" t="str">
            <v>-</v>
          </cell>
          <cell r="T1893">
            <v>0.375</v>
          </cell>
          <cell r="U1893" t="str">
            <v>-</v>
          </cell>
        </row>
        <row r="1894">
          <cell r="B1894" t="str">
            <v>2L6X4X5/16SLBB</v>
          </cell>
          <cell r="C1894">
            <v>6.06</v>
          </cell>
          <cell r="D1894">
            <v>4</v>
          </cell>
          <cell r="F1894" t="str">
            <v>-</v>
          </cell>
          <cell r="H1894" t="str">
            <v>-</v>
          </cell>
          <cell r="I1894" t="str">
            <v>-</v>
          </cell>
          <cell r="K1894" t="str">
            <v>-</v>
          </cell>
          <cell r="L1894">
            <v>6</v>
          </cell>
          <cell r="M1894" t="e">
            <v>#VALUE!</v>
          </cell>
          <cell r="O1894" t="str">
            <v>-</v>
          </cell>
          <cell r="T1894">
            <v>0.313</v>
          </cell>
          <cell r="U1894" t="str">
            <v>-</v>
          </cell>
        </row>
        <row r="1895">
          <cell r="B1895" t="str">
            <v>2L6X4X5/16X3/8SLBB</v>
          </cell>
          <cell r="C1895">
            <v>6.06</v>
          </cell>
          <cell r="D1895">
            <v>4</v>
          </cell>
          <cell r="F1895" t="str">
            <v>-</v>
          </cell>
          <cell r="H1895" t="str">
            <v>-</v>
          </cell>
          <cell r="I1895" t="str">
            <v>-</v>
          </cell>
          <cell r="K1895" t="str">
            <v>-</v>
          </cell>
          <cell r="L1895">
            <v>6</v>
          </cell>
          <cell r="M1895" t="e">
            <v>#VALUE!</v>
          </cell>
          <cell r="O1895" t="str">
            <v>-</v>
          </cell>
          <cell r="T1895">
            <v>0.313</v>
          </cell>
          <cell r="U1895" t="str">
            <v>-</v>
          </cell>
        </row>
        <row r="1896">
          <cell r="B1896" t="str">
            <v>2L6X4X5/16X3/4SLBB</v>
          </cell>
          <cell r="C1896">
            <v>6.06</v>
          </cell>
          <cell r="D1896">
            <v>4</v>
          </cell>
          <cell r="F1896" t="str">
            <v>-</v>
          </cell>
          <cell r="H1896" t="str">
            <v>-</v>
          </cell>
          <cell r="I1896" t="str">
            <v>-</v>
          </cell>
          <cell r="K1896" t="str">
            <v>-</v>
          </cell>
          <cell r="L1896">
            <v>6</v>
          </cell>
          <cell r="M1896" t="e">
            <v>#VALUE!</v>
          </cell>
          <cell r="O1896" t="str">
            <v>-</v>
          </cell>
          <cell r="T1896">
            <v>0.313</v>
          </cell>
          <cell r="U1896" t="str">
            <v>-</v>
          </cell>
        </row>
        <row r="1897">
          <cell r="B1897" t="str">
            <v>2L6X3-1/2X1/2SLBB</v>
          </cell>
          <cell r="C1897">
            <v>9</v>
          </cell>
          <cell r="D1897">
            <v>3.5</v>
          </cell>
          <cell r="F1897" t="str">
            <v>-</v>
          </cell>
          <cell r="H1897" t="str">
            <v>-</v>
          </cell>
          <cell r="I1897" t="str">
            <v>-</v>
          </cell>
          <cell r="K1897" t="str">
            <v>-</v>
          </cell>
          <cell r="L1897">
            <v>6</v>
          </cell>
          <cell r="M1897" t="e">
            <v>#VALUE!</v>
          </cell>
          <cell r="O1897" t="str">
            <v>-</v>
          </cell>
          <cell r="T1897">
            <v>0.5</v>
          </cell>
          <cell r="U1897" t="str">
            <v>-</v>
          </cell>
        </row>
        <row r="1898">
          <cell r="B1898" t="str">
            <v>2L6X3-1/2X1/2X3/8SLBB</v>
          </cell>
          <cell r="C1898">
            <v>9</v>
          </cell>
          <cell r="D1898">
            <v>3.5</v>
          </cell>
          <cell r="F1898" t="str">
            <v>-</v>
          </cell>
          <cell r="H1898" t="str">
            <v>-</v>
          </cell>
          <cell r="I1898" t="str">
            <v>-</v>
          </cell>
          <cell r="K1898" t="str">
            <v>-</v>
          </cell>
          <cell r="L1898">
            <v>6</v>
          </cell>
          <cell r="M1898" t="e">
            <v>#VALUE!</v>
          </cell>
          <cell r="O1898" t="str">
            <v>-</v>
          </cell>
          <cell r="T1898">
            <v>0.5</v>
          </cell>
          <cell r="U1898" t="str">
            <v>-</v>
          </cell>
        </row>
        <row r="1899">
          <cell r="B1899" t="str">
            <v>2L6X3-1/2X1/2X3/4SLBB</v>
          </cell>
          <cell r="C1899">
            <v>9</v>
          </cell>
          <cell r="D1899">
            <v>3.5</v>
          </cell>
          <cell r="F1899" t="str">
            <v>-</v>
          </cell>
          <cell r="H1899" t="str">
            <v>-</v>
          </cell>
          <cell r="I1899" t="str">
            <v>-</v>
          </cell>
          <cell r="K1899" t="str">
            <v>-</v>
          </cell>
          <cell r="L1899">
            <v>6</v>
          </cell>
          <cell r="M1899" t="e">
            <v>#VALUE!</v>
          </cell>
          <cell r="O1899" t="str">
            <v>-</v>
          </cell>
          <cell r="T1899">
            <v>0.5</v>
          </cell>
          <cell r="U1899" t="str">
            <v>-</v>
          </cell>
        </row>
        <row r="1900">
          <cell r="B1900" t="str">
            <v>2L6X3-1/2X3/8SLBB</v>
          </cell>
          <cell r="C1900">
            <v>6.88</v>
          </cell>
          <cell r="D1900">
            <v>3.5</v>
          </cell>
          <cell r="F1900" t="str">
            <v>-</v>
          </cell>
          <cell r="H1900" t="str">
            <v>-</v>
          </cell>
          <cell r="I1900" t="str">
            <v>-</v>
          </cell>
          <cell r="K1900" t="str">
            <v>-</v>
          </cell>
          <cell r="L1900">
            <v>6</v>
          </cell>
          <cell r="M1900" t="e">
            <v>#VALUE!</v>
          </cell>
          <cell r="O1900" t="str">
            <v>-</v>
          </cell>
          <cell r="T1900">
            <v>0.375</v>
          </cell>
          <cell r="U1900" t="str">
            <v>-</v>
          </cell>
        </row>
        <row r="1901">
          <cell r="B1901" t="str">
            <v>2L6X3-1/2X3/8X3/8SLBB</v>
          </cell>
          <cell r="C1901">
            <v>6.88</v>
          </cell>
          <cell r="D1901">
            <v>3.5</v>
          </cell>
          <cell r="F1901" t="str">
            <v>-</v>
          </cell>
          <cell r="H1901" t="str">
            <v>-</v>
          </cell>
          <cell r="I1901" t="str">
            <v>-</v>
          </cell>
          <cell r="K1901" t="str">
            <v>-</v>
          </cell>
          <cell r="L1901">
            <v>6</v>
          </cell>
          <cell r="M1901" t="e">
            <v>#VALUE!</v>
          </cell>
          <cell r="O1901" t="str">
            <v>-</v>
          </cell>
          <cell r="T1901">
            <v>0.375</v>
          </cell>
          <cell r="U1901" t="str">
            <v>-</v>
          </cell>
        </row>
        <row r="1902">
          <cell r="B1902" t="str">
            <v>2L6X3-1/2X3/8X3/4SLBB</v>
          </cell>
          <cell r="C1902">
            <v>6.88</v>
          </cell>
          <cell r="D1902">
            <v>3.5</v>
          </cell>
          <cell r="F1902" t="str">
            <v>-</v>
          </cell>
          <cell r="H1902" t="str">
            <v>-</v>
          </cell>
          <cell r="I1902" t="str">
            <v>-</v>
          </cell>
          <cell r="K1902" t="str">
            <v>-</v>
          </cell>
          <cell r="L1902">
            <v>6</v>
          </cell>
          <cell r="M1902" t="e">
            <v>#VALUE!</v>
          </cell>
          <cell r="O1902" t="str">
            <v>-</v>
          </cell>
          <cell r="T1902">
            <v>0.375</v>
          </cell>
          <cell r="U1902" t="str">
            <v>-</v>
          </cell>
        </row>
        <row r="1903">
          <cell r="B1903" t="str">
            <v>2L6X3-1/2X5/16SLBB</v>
          </cell>
          <cell r="C1903">
            <v>5.78</v>
          </cell>
          <cell r="D1903">
            <v>3.5</v>
          </cell>
          <cell r="F1903" t="str">
            <v>-</v>
          </cell>
          <cell r="H1903" t="str">
            <v>-</v>
          </cell>
          <cell r="I1903" t="str">
            <v>-</v>
          </cell>
          <cell r="K1903" t="str">
            <v>-</v>
          </cell>
          <cell r="L1903">
            <v>6</v>
          </cell>
          <cell r="M1903" t="e">
            <v>#VALUE!</v>
          </cell>
          <cell r="O1903" t="str">
            <v>-</v>
          </cell>
          <cell r="T1903">
            <v>0.313</v>
          </cell>
          <cell r="U1903" t="str">
            <v>-</v>
          </cell>
        </row>
        <row r="1904">
          <cell r="B1904" t="str">
            <v>2L6X3-1/2X5/16X3/8SLBB</v>
          </cell>
          <cell r="C1904">
            <v>5.78</v>
          </cell>
          <cell r="D1904">
            <v>3.5</v>
          </cell>
          <cell r="F1904" t="str">
            <v>-</v>
          </cell>
          <cell r="H1904" t="str">
            <v>-</v>
          </cell>
          <cell r="I1904" t="str">
            <v>-</v>
          </cell>
          <cell r="K1904" t="str">
            <v>-</v>
          </cell>
          <cell r="L1904">
            <v>6</v>
          </cell>
          <cell r="M1904" t="e">
            <v>#VALUE!</v>
          </cell>
          <cell r="O1904" t="str">
            <v>-</v>
          </cell>
          <cell r="T1904">
            <v>0.313</v>
          </cell>
          <cell r="U1904" t="str">
            <v>-</v>
          </cell>
        </row>
        <row r="1905">
          <cell r="B1905" t="str">
            <v>2L6X3-1/2X5/16X3/4SLBB</v>
          </cell>
          <cell r="C1905">
            <v>5.78</v>
          </cell>
          <cell r="D1905">
            <v>3.5</v>
          </cell>
          <cell r="F1905" t="str">
            <v>-</v>
          </cell>
          <cell r="H1905" t="str">
            <v>-</v>
          </cell>
          <cell r="I1905" t="str">
            <v>-</v>
          </cell>
          <cell r="K1905" t="str">
            <v>-</v>
          </cell>
          <cell r="L1905">
            <v>6</v>
          </cell>
          <cell r="M1905" t="e">
            <v>#VALUE!</v>
          </cell>
          <cell r="O1905" t="str">
            <v>-</v>
          </cell>
          <cell r="T1905">
            <v>0.313</v>
          </cell>
          <cell r="U1905" t="str">
            <v>-</v>
          </cell>
        </row>
        <row r="1906">
          <cell r="B1906" t="str">
            <v>2L5X3-1/2X3/4SLBB</v>
          </cell>
          <cell r="C1906">
            <v>11.7</v>
          </cell>
          <cell r="D1906">
            <v>3.5</v>
          </cell>
          <cell r="F1906" t="str">
            <v>-</v>
          </cell>
          <cell r="H1906" t="str">
            <v>-</v>
          </cell>
          <cell r="I1906" t="str">
            <v>-</v>
          </cell>
          <cell r="K1906" t="str">
            <v>-</v>
          </cell>
          <cell r="L1906">
            <v>5</v>
          </cell>
          <cell r="M1906" t="e">
            <v>#VALUE!</v>
          </cell>
          <cell r="O1906" t="str">
            <v>-</v>
          </cell>
          <cell r="T1906">
            <v>0.75</v>
          </cell>
          <cell r="U1906" t="str">
            <v>-</v>
          </cell>
        </row>
        <row r="1907">
          <cell r="B1907" t="str">
            <v>2L5X3-1/2X3/4X3/8SLBB</v>
          </cell>
          <cell r="C1907">
            <v>11.7</v>
          </cell>
          <cell r="D1907">
            <v>3.5</v>
          </cell>
          <cell r="F1907" t="str">
            <v>-</v>
          </cell>
          <cell r="H1907" t="str">
            <v>-</v>
          </cell>
          <cell r="I1907" t="str">
            <v>-</v>
          </cell>
          <cell r="K1907" t="str">
            <v>-</v>
          </cell>
          <cell r="L1907">
            <v>5</v>
          </cell>
          <cell r="M1907" t="e">
            <v>#VALUE!</v>
          </cell>
          <cell r="O1907" t="str">
            <v>-</v>
          </cell>
          <cell r="T1907">
            <v>0.75</v>
          </cell>
          <cell r="U1907" t="str">
            <v>-</v>
          </cell>
        </row>
        <row r="1908">
          <cell r="B1908" t="str">
            <v>2L5X3-1/2X3/4X3/4SLBB</v>
          </cell>
          <cell r="C1908">
            <v>11.7</v>
          </cell>
          <cell r="D1908">
            <v>3.5</v>
          </cell>
          <cell r="F1908" t="str">
            <v>-</v>
          </cell>
          <cell r="H1908" t="str">
            <v>-</v>
          </cell>
          <cell r="I1908" t="str">
            <v>-</v>
          </cell>
          <cell r="K1908" t="str">
            <v>-</v>
          </cell>
          <cell r="L1908">
            <v>5</v>
          </cell>
          <cell r="M1908" t="e">
            <v>#VALUE!</v>
          </cell>
          <cell r="O1908" t="str">
            <v>-</v>
          </cell>
          <cell r="T1908">
            <v>0.75</v>
          </cell>
          <cell r="U1908" t="str">
            <v>-</v>
          </cell>
        </row>
        <row r="1909">
          <cell r="B1909" t="str">
            <v>2L5X3-1/2X5/8SLBB</v>
          </cell>
          <cell r="C1909">
            <v>9.86</v>
          </cell>
          <cell r="D1909">
            <v>3.5</v>
          </cell>
          <cell r="F1909" t="str">
            <v>-</v>
          </cell>
          <cell r="H1909" t="str">
            <v>-</v>
          </cell>
          <cell r="I1909" t="str">
            <v>-</v>
          </cell>
          <cell r="K1909" t="str">
            <v>-</v>
          </cell>
          <cell r="L1909">
            <v>5</v>
          </cell>
          <cell r="M1909" t="e">
            <v>#VALUE!</v>
          </cell>
          <cell r="O1909" t="str">
            <v>-</v>
          </cell>
          <cell r="T1909">
            <v>0.625</v>
          </cell>
          <cell r="U1909" t="str">
            <v>-</v>
          </cell>
        </row>
        <row r="1910">
          <cell r="B1910" t="str">
            <v>2L5X3-1/2X5/8X3/8SLBB</v>
          </cell>
          <cell r="C1910">
            <v>9.86</v>
          </cell>
          <cell r="D1910">
            <v>3.5</v>
          </cell>
          <cell r="F1910" t="str">
            <v>-</v>
          </cell>
          <cell r="H1910" t="str">
            <v>-</v>
          </cell>
          <cell r="I1910" t="str">
            <v>-</v>
          </cell>
          <cell r="K1910" t="str">
            <v>-</v>
          </cell>
          <cell r="L1910">
            <v>5</v>
          </cell>
          <cell r="M1910" t="e">
            <v>#VALUE!</v>
          </cell>
          <cell r="O1910" t="str">
            <v>-</v>
          </cell>
          <cell r="T1910">
            <v>0.625</v>
          </cell>
          <cell r="U1910" t="str">
            <v>-</v>
          </cell>
        </row>
        <row r="1911">
          <cell r="B1911" t="str">
            <v>2L5X3-1/2X5/8X3/4SLBB</v>
          </cell>
          <cell r="C1911">
            <v>9.86</v>
          </cell>
          <cell r="D1911">
            <v>3.5</v>
          </cell>
          <cell r="F1911" t="str">
            <v>-</v>
          </cell>
          <cell r="H1911" t="str">
            <v>-</v>
          </cell>
          <cell r="I1911" t="str">
            <v>-</v>
          </cell>
          <cell r="K1911" t="str">
            <v>-</v>
          </cell>
          <cell r="L1911">
            <v>5</v>
          </cell>
          <cell r="M1911" t="e">
            <v>#VALUE!</v>
          </cell>
          <cell r="O1911" t="str">
            <v>-</v>
          </cell>
          <cell r="T1911">
            <v>0.625</v>
          </cell>
          <cell r="U1911" t="str">
            <v>-</v>
          </cell>
        </row>
        <row r="1912">
          <cell r="B1912" t="str">
            <v>2L5X3-1/2X1/2SLBB</v>
          </cell>
          <cell r="C1912">
            <v>8</v>
          </cell>
          <cell r="D1912">
            <v>3.5</v>
          </cell>
          <cell r="F1912" t="str">
            <v>-</v>
          </cell>
          <cell r="H1912" t="str">
            <v>-</v>
          </cell>
          <cell r="I1912" t="str">
            <v>-</v>
          </cell>
          <cell r="K1912" t="str">
            <v>-</v>
          </cell>
          <cell r="L1912">
            <v>5</v>
          </cell>
          <cell r="M1912" t="e">
            <v>#VALUE!</v>
          </cell>
          <cell r="O1912" t="str">
            <v>-</v>
          </cell>
          <cell r="T1912">
            <v>0.5</v>
          </cell>
          <cell r="U1912" t="str">
            <v>-</v>
          </cell>
        </row>
        <row r="1913">
          <cell r="B1913" t="str">
            <v>2L5X3-1/2X1/2X3/8SLBB</v>
          </cell>
          <cell r="C1913">
            <v>8</v>
          </cell>
          <cell r="D1913">
            <v>3.5</v>
          </cell>
          <cell r="F1913" t="str">
            <v>-</v>
          </cell>
          <cell r="H1913" t="str">
            <v>-</v>
          </cell>
          <cell r="I1913" t="str">
            <v>-</v>
          </cell>
          <cell r="K1913" t="str">
            <v>-</v>
          </cell>
          <cell r="L1913">
            <v>5</v>
          </cell>
          <cell r="M1913" t="e">
            <v>#VALUE!</v>
          </cell>
          <cell r="O1913" t="str">
            <v>-</v>
          </cell>
          <cell r="T1913">
            <v>0.5</v>
          </cell>
          <cell r="U1913" t="str">
            <v>-</v>
          </cell>
        </row>
        <row r="1914">
          <cell r="B1914" t="str">
            <v>2L5X3-1/2X1/2X3/4SLBB</v>
          </cell>
          <cell r="C1914">
            <v>8</v>
          </cell>
          <cell r="D1914">
            <v>3.5</v>
          </cell>
          <cell r="F1914" t="str">
            <v>-</v>
          </cell>
          <cell r="H1914" t="str">
            <v>-</v>
          </cell>
          <cell r="I1914" t="str">
            <v>-</v>
          </cell>
          <cell r="K1914" t="str">
            <v>-</v>
          </cell>
          <cell r="L1914">
            <v>5</v>
          </cell>
          <cell r="M1914" t="e">
            <v>#VALUE!</v>
          </cell>
          <cell r="O1914" t="str">
            <v>-</v>
          </cell>
          <cell r="T1914">
            <v>0.5</v>
          </cell>
          <cell r="U1914" t="str">
            <v>-</v>
          </cell>
        </row>
        <row r="1915">
          <cell r="B1915" t="str">
            <v>2L5X3-1/2X3/8SLBB</v>
          </cell>
          <cell r="C1915">
            <v>6.1</v>
          </cell>
          <cell r="D1915">
            <v>3.5</v>
          </cell>
          <cell r="F1915" t="str">
            <v>-</v>
          </cell>
          <cell r="H1915" t="str">
            <v>-</v>
          </cell>
          <cell r="I1915" t="str">
            <v>-</v>
          </cell>
          <cell r="K1915" t="str">
            <v>-</v>
          </cell>
          <cell r="L1915">
            <v>5</v>
          </cell>
          <cell r="M1915" t="e">
            <v>#VALUE!</v>
          </cell>
          <cell r="O1915" t="str">
            <v>-</v>
          </cell>
          <cell r="T1915">
            <v>0.375</v>
          </cell>
          <cell r="U1915" t="str">
            <v>-</v>
          </cell>
        </row>
        <row r="1916">
          <cell r="B1916" t="str">
            <v>2L5X3-1/2X3/8X3/8SLBB</v>
          </cell>
          <cell r="C1916">
            <v>6.1</v>
          </cell>
          <cell r="D1916">
            <v>3.5</v>
          </cell>
          <cell r="F1916" t="str">
            <v>-</v>
          </cell>
          <cell r="H1916" t="str">
            <v>-</v>
          </cell>
          <cell r="I1916" t="str">
            <v>-</v>
          </cell>
          <cell r="K1916" t="str">
            <v>-</v>
          </cell>
          <cell r="L1916">
            <v>5</v>
          </cell>
          <cell r="M1916" t="e">
            <v>#VALUE!</v>
          </cell>
          <cell r="O1916" t="str">
            <v>-</v>
          </cell>
          <cell r="T1916">
            <v>0.375</v>
          </cell>
          <cell r="U1916" t="str">
            <v>-</v>
          </cell>
        </row>
        <row r="1917">
          <cell r="B1917" t="str">
            <v>2L5X3-1/2X3/8X3/4SLBB</v>
          </cell>
          <cell r="C1917">
            <v>6.1</v>
          </cell>
          <cell r="D1917">
            <v>3.5</v>
          </cell>
          <cell r="F1917" t="str">
            <v>-</v>
          </cell>
          <cell r="H1917" t="str">
            <v>-</v>
          </cell>
          <cell r="I1917" t="str">
            <v>-</v>
          </cell>
          <cell r="K1917" t="str">
            <v>-</v>
          </cell>
          <cell r="L1917">
            <v>5</v>
          </cell>
          <cell r="M1917" t="e">
            <v>#VALUE!</v>
          </cell>
          <cell r="O1917" t="str">
            <v>-</v>
          </cell>
          <cell r="T1917">
            <v>0.375</v>
          </cell>
          <cell r="U1917" t="str">
            <v>-</v>
          </cell>
        </row>
        <row r="1918">
          <cell r="B1918" t="str">
            <v>2L5X3-1/2X5/16SLBB</v>
          </cell>
          <cell r="C1918">
            <v>5.12</v>
          </cell>
          <cell r="D1918">
            <v>3.5</v>
          </cell>
          <cell r="F1918" t="str">
            <v>-</v>
          </cell>
          <cell r="H1918" t="str">
            <v>-</v>
          </cell>
          <cell r="I1918" t="str">
            <v>-</v>
          </cell>
          <cell r="K1918" t="str">
            <v>-</v>
          </cell>
          <cell r="L1918">
            <v>5</v>
          </cell>
          <cell r="M1918" t="e">
            <v>#VALUE!</v>
          </cell>
          <cell r="O1918" t="str">
            <v>-</v>
          </cell>
          <cell r="T1918">
            <v>0.313</v>
          </cell>
          <cell r="U1918" t="str">
            <v>-</v>
          </cell>
        </row>
        <row r="1919">
          <cell r="B1919" t="str">
            <v>2L5X3-1/2X5/16X3/8SLBB</v>
          </cell>
          <cell r="C1919">
            <v>5.12</v>
          </cell>
          <cell r="D1919">
            <v>3.5</v>
          </cell>
          <cell r="F1919" t="str">
            <v>-</v>
          </cell>
          <cell r="H1919" t="str">
            <v>-</v>
          </cell>
          <cell r="I1919" t="str">
            <v>-</v>
          </cell>
          <cell r="K1919" t="str">
            <v>-</v>
          </cell>
          <cell r="L1919">
            <v>5</v>
          </cell>
          <cell r="M1919" t="e">
            <v>#VALUE!</v>
          </cell>
          <cell r="O1919" t="str">
            <v>-</v>
          </cell>
          <cell r="T1919">
            <v>0.313</v>
          </cell>
          <cell r="U1919" t="str">
            <v>-</v>
          </cell>
        </row>
        <row r="1920">
          <cell r="B1920" t="str">
            <v>2L5X3-1/2X5/16X3/4SLBB</v>
          </cell>
          <cell r="C1920">
            <v>5.12</v>
          </cell>
          <cell r="D1920">
            <v>3.5</v>
          </cell>
          <cell r="F1920" t="str">
            <v>-</v>
          </cell>
          <cell r="H1920" t="str">
            <v>-</v>
          </cell>
          <cell r="I1920" t="str">
            <v>-</v>
          </cell>
          <cell r="K1920" t="str">
            <v>-</v>
          </cell>
          <cell r="L1920">
            <v>5</v>
          </cell>
          <cell r="M1920" t="e">
            <v>#VALUE!</v>
          </cell>
          <cell r="O1920" t="str">
            <v>-</v>
          </cell>
          <cell r="T1920">
            <v>0.313</v>
          </cell>
          <cell r="U1920" t="str">
            <v>-</v>
          </cell>
        </row>
        <row r="1921">
          <cell r="B1921" t="str">
            <v>2L5X3-1/2X1/4SLBB</v>
          </cell>
          <cell r="C1921">
            <v>4.1399999999999997</v>
          </cell>
          <cell r="D1921">
            <v>3.5</v>
          </cell>
          <cell r="F1921" t="str">
            <v>-</v>
          </cell>
          <cell r="H1921" t="str">
            <v>-</v>
          </cell>
          <cell r="I1921" t="str">
            <v>-</v>
          </cell>
          <cell r="K1921" t="str">
            <v>-</v>
          </cell>
          <cell r="L1921">
            <v>5</v>
          </cell>
          <cell r="M1921" t="e">
            <v>#VALUE!</v>
          </cell>
          <cell r="O1921" t="str">
            <v>-</v>
          </cell>
          <cell r="T1921">
            <v>0.25</v>
          </cell>
          <cell r="U1921" t="str">
            <v>-</v>
          </cell>
        </row>
        <row r="1922">
          <cell r="B1922" t="str">
            <v>2L5X3-1/2X1/4X3/8SLBB</v>
          </cell>
          <cell r="C1922">
            <v>4.1399999999999997</v>
          </cell>
          <cell r="D1922">
            <v>3.5</v>
          </cell>
          <cell r="F1922" t="str">
            <v>-</v>
          </cell>
          <cell r="H1922" t="str">
            <v>-</v>
          </cell>
          <cell r="I1922" t="str">
            <v>-</v>
          </cell>
          <cell r="K1922" t="str">
            <v>-</v>
          </cell>
          <cell r="L1922">
            <v>5</v>
          </cell>
          <cell r="M1922" t="e">
            <v>#VALUE!</v>
          </cell>
          <cell r="O1922" t="str">
            <v>-</v>
          </cell>
          <cell r="T1922">
            <v>0.25</v>
          </cell>
          <cell r="U1922" t="str">
            <v>-</v>
          </cell>
        </row>
        <row r="1923">
          <cell r="B1923" t="str">
            <v>2L5X3-1/2X1/4X3/4SLBB</v>
          </cell>
          <cell r="C1923">
            <v>4.1399999999999997</v>
          </cell>
          <cell r="D1923">
            <v>3.5</v>
          </cell>
          <cell r="F1923" t="str">
            <v>-</v>
          </cell>
          <cell r="H1923" t="str">
            <v>-</v>
          </cell>
          <cell r="I1923" t="str">
            <v>-</v>
          </cell>
          <cell r="K1923" t="str">
            <v>-</v>
          </cell>
          <cell r="L1923">
            <v>5</v>
          </cell>
          <cell r="M1923" t="e">
            <v>#VALUE!</v>
          </cell>
          <cell r="O1923" t="str">
            <v>-</v>
          </cell>
          <cell r="T1923">
            <v>0.25</v>
          </cell>
          <cell r="U1923" t="str">
            <v>-</v>
          </cell>
        </row>
        <row r="1924">
          <cell r="B1924" t="str">
            <v>2L5X3X1/2SLBB</v>
          </cell>
          <cell r="C1924">
            <v>7.5</v>
          </cell>
          <cell r="D1924">
            <v>3</v>
          </cell>
          <cell r="F1924" t="str">
            <v>-</v>
          </cell>
          <cell r="H1924" t="str">
            <v>-</v>
          </cell>
          <cell r="I1924" t="str">
            <v>-</v>
          </cell>
          <cell r="K1924" t="str">
            <v>-</v>
          </cell>
          <cell r="L1924">
            <v>5</v>
          </cell>
          <cell r="M1924" t="e">
            <v>#VALUE!</v>
          </cell>
          <cell r="O1924" t="str">
            <v>-</v>
          </cell>
          <cell r="T1924">
            <v>0.5</v>
          </cell>
          <cell r="U1924" t="str">
            <v>-</v>
          </cell>
        </row>
        <row r="1925">
          <cell r="B1925" t="str">
            <v>2L5X3X1/2X3/8SLBB</v>
          </cell>
          <cell r="C1925">
            <v>7.5</v>
          </cell>
          <cell r="D1925">
            <v>3</v>
          </cell>
          <cell r="F1925" t="str">
            <v>-</v>
          </cell>
          <cell r="H1925" t="str">
            <v>-</v>
          </cell>
          <cell r="I1925" t="str">
            <v>-</v>
          </cell>
          <cell r="K1925" t="str">
            <v>-</v>
          </cell>
          <cell r="L1925">
            <v>5</v>
          </cell>
          <cell r="M1925" t="e">
            <v>#VALUE!</v>
          </cell>
          <cell r="O1925" t="str">
            <v>-</v>
          </cell>
          <cell r="T1925">
            <v>0.5</v>
          </cell>
          <cell r="U1925" t="str">
            <v>-</v>
          </cell>
        </row>
        <row r="1926">
          <cell r="B1926" t="str">
            <v>2L5X3X1/2X3/4SLBB</v>
          </cell>
          <cell r="C1926">
            <v>7.5</v>
          </cell>
          <cell r="D1926">
            <v>3</v>
          </cell>
          <cell r="F1926" t="str">
            <v>-</v>
          </cell>
          <cell r="H1926" t="str">
            <v>-</v>
          </cell>
          <cell r="I1926" t="str">
            <v>-</v>
          </cell>
          <cell r="K1926" t="str">
            <v>-</v>
          </cell>
          <cell r="L1926">
            <v>5</v>
          </cell>
          <cell r="M1926" t="e">
            <v>#VALUE!</v>
          </cell>
          <cell r="O1926" t="str">
            <v>-</v>
          </cell>
          <cell r="T1926">
            <v>0.5</v>
          </cell>
          <cell r="U1926" t="str">
            <v>-</v>
          </cell>
        </row>
        <row r="1927">
          <cell r="B1927" t="str">
            <v>2L5X3X7/16SLBB</v>
          </cell>
          <cell r="C1927">
            <v>6.62</v>
          </cell>
          <cell r="D1927">
            <v>3</v>
          </cell>
          <cell r="F1927" t="str">
            <v>-</v>
          </cell>
          <cell r="H1927" t="str">
            <v>-</v>
          </cell>
          <cell r="I1927" t="str">
            <v>-</v>
          </cell>
          <cell r="K1927" t="str">
            <v>-</v>
          </cell>
          <cell r="L1927">
            <v>5</v>
          </cell>
          <cell r="M1927" t="e">
            <v>#VALUE!</v>
          </cell>
          <cell r="O1927" t="str">
            <v>-</v>
          </cell>
          <cell r="T1927">
            <v>0.438</v>
          </cell>
          <cell r="U1927" t="str">
            <v>-</v>
          </cell>
        </row>
        <row r="1928">
          <cell r="B1928" t="str">
            <v>2L5X3X7/16X3/8SLBB</v>
          </cell>
          <cell r="C1928">
            <v>6.62</v>
          </cell>
          <cell r="D1928">
            <v>3</v>
          </cell>
          <cell r="F1928" t="str">
            <v>-</v>
          </cell>
          <cell r="H1928" t="str">
            <v>-</v>
          </cell>
          <cell r="I1928" t="str">
            <v>-</v>
          </cell>
          <cell r="K1928" t="str">
            <v>-</v>
          </cell>
          <cell r="L1928">
            <v>5</v>
          </cell>
          <cell r="M1928" t="e">
            <v>#VALUE!</v>
          </cell>
          <cell r="O1928" t="str">
            <v>-</v>
          </cell>
          <cell r="T1928">
            <v>0.438</v>
          </cell>
          <cell r="U1928" t="str">
            <v>-</v>
          </cell>
        </row>
        <row r="1929">
          <cell r="B1929" t="str">
            <v>2L5X3X7/16X3/4SLBB</v>
          </cell>
          <cell r="C1929">
            <v>6.62</v>
          </cell>
          <cell r="D1929">
            <v>3</v>
          </cell>
          <cell r="F1929" t="str">
            <v>-</v>
          </cell>
          <cell r="H1929" t="str">
            <v>-</v>
          </cell>
          <cell r="I1929" t="str">
            <v>-</v>
          </cell>
          <cell r="K1929" t="str">
            <v>-</v>
          </cell>
          <cell r="L1929">
            <v>5</v>
          </cell>
          <cell r="M1929" t="e">
            <v>#VALUE!</v>
          </cell>
          <cell r="O1929" t="str">
            <v>-</v>
          </cell>
          <cell r="T1929">
            <v>0.438</v>
          </cell>
          <cell r="U1929" t="str">
            <v>-</v>
          </cell>
        </row>
        <row r="1930">
          <cell r="B1930" t="str">
            <v>2L5X3X3/8SLBB</v>
          </cell>
          <cell r="C1930">
            <v>5.72</v>
          </cell>
          <cell r="D1930">
            <v>3</v>
          </cell>
          <cell r="F1930" t="str">
            <v>-</v>
          </cell>
          <cell r="H1930" t="str">
            <v>-</v>
          </cell>
          <cell r="I1930" t="str">
            <v>-</v>
          </cell>
          <cell r="K1930" t="str">
            <v>-</v>
          </cell>
          <cell r="L1930">
            <v>5</v>
          </cell>
          <cell r="M1930" t="e">
            <v>#VALUE!</v>
          </cell>
          <cell r="O1930" t="str">
            <v>-</v>
          </cell>
          <cell r="T1930">
            <v>0.375</v>
          </cell>
          <cell r="U1930" t="str">
            <v>-</v>
          </cell>
        </row>
        <row r="1931">
          <cell r="B1931" t="str">
            <v>2L5X3X3/8X3/8SLBB</v>
          </cell>
          <cell r="C1931">
            <v>5.72</v>
          </cell>
          <cell r="D1931">
            <v>3</v>
          </cell>
          <cell r="F1931" t="str">
            <v>-</v>
          </cell>
          <cell r="H1931" t="str">
            <v>-</v>
          </cell>
          <cell r="I1931" t="str">
            <v>-</v>
          </cell>
          <cell r="K1931" t="str">
            <v>-</v>
          </cell>
          <cell r="L1931">
            <v>5</v>
          </cell>
          <cell r="M1931" t="e">
            <v>#VALUE!</v>
          </cell>
          <cell r="O1931" t="str">
            <v>-</v>
          </cell>
          <cell r="T1931">
            <v>0.375</v>
          </cell>
          <cell r="U1931" t="str">
            <v>-</v>
          </cell>
        </row>
        <row r="1932">
          <cell r="B1932" t="str">
            <v>2L5X3X3/8X3/4SLBB</v>
          </cell>
          <cell r="C1932">
            <v>5.72</v>
          </cell>
          <cell r="D1932">
            <v>3</v>
          </cell>
          <cell r="F1932" t="str">
            <v>-</v>
          </cell>
          <cell r="H1932" t="str">
            <v>-</v>
          </cell>
          <cell r="I1932" t="str">
            <v>-</v>
          </cell>
          <cell r="K1932" t="str">
            <v>-</v>
          </cell>
          <cell r="L1932">
            <v>5</v>
          </cell>
          <cell r="M1932" t="e">
            <v>#VALUE!</v>
          </cell>
          <cell r="O1932" t="str">
            <v>-</v>
          </cell>
          <cell r="T1932">
            <v>0.375</v>
          </cell>
          <cell r="U1932" t="str">
            <v>-</v>
          </cell>
        </row>
        <row r="1933">
          <cell r="B1933" t="str">
            <v>2L5X3X5/16SLBB</v>
          </cell>
          <cell r="C1933">
            <v>4.82</v>
          </cell>
          <cell r="D1933">
            <v>3</v>
          </cell>
          <cell r="F1933" t="str">
            <v>-</v>
          </cell>
          <cell r="H1933" t="str">
            <v>-</v>
          </cell>
          <cell r="I1933" t="str">
            <v>-</v>
          </cell>
          <cell r="K1933" t="str">
            <v>-</v>
          </cell>
          <cell r="L1933">
            <v>5</v>
          </cell>
          <cell r="M1933" t="e">
            <v>#VALUE!</v>
          </cell>
          <cell r="O1933" t="str">
            <v>-</v>
          </cell>
          <cell r="T1933">
            <v>0.313</v>
          </cell>
          <cell r="U1933" t="str">
            <v>-</v>
          </cell>
        </row>
        <row r="1934">
          <cell r="B1934" t="str">
            <v>2L5X3X5/16X3/8SLBB</v>
          </cell>
          <cell r="C1934">
            <v>4.82</v>
          </cell>
          <cell r="D1934">
            <v>3</v>
          </cell>
          <cell r="F1934" t="str">
            <v>-</v>
          </cell>
          <cell r="H1934" t="str">
            <v>-</v>
          </cell>
          <cell r="I1934" t="str">
            <v>-</v>
          </cell>
          <cell r="K1934" t="str">
            <v>-</v>
          </cell>
          <cell r="L1934">
            <v>5</v>
          </cell>
          <cell r="M1934" t="e">
            <v>#VALUE!</v>
          </cell>
          <cell r="O1934" t="str">
            <v>-</v>
          </cell>
          <cell r="T1934">
            <v>0.313</v>
          </cell>
          <cell r="U1934" t="str">
            <v>-</v>
          </cell>
        </row>
        <row r="1935">
          <cell r="B1935" t="str">
            <v>2L5X3X5/16X3/4SLBB</v>
          </cell>
          <cell r="C1935">
            <v>4.82</v>
          </cell>
          <cell r="D1935">
            <v>3</v>
          </cell>
          <cell r="F1935" t="str">
            <v>-</v>
          </cell>
          <cell r="H1935" t="str">
            <v>-</v>
          </cell>
          <cell r="I1935" t="str">
            <v>-</v>
          </cell>
          <cell r="K1935" t="str">
            <v>-</v>
          </cell>
          <cell r="L1935">
            <v>5</v>
          </cell>
          <cell r="M1935" t="e">
            <v>#VALUE!</v>
          </cell>
          <cell r="O1935" t="str">
            <v>-</v>
          </cell>
          <cell r="T1935">
            <v>0.313</v>
          </cell>
          <cell r="U1935" t="str">
            <v>-</v>
          </cell>
        </row>
        <row r="1936">
          <cell r="B1936" t="str">
            <v>2L5X3X1/4SLBB</v>
          </cell>
          <cell r="C1936">
            <v>3.88</v>
          </cell>
          <cell r="D1936">
            <v>3</v>
          </cell>
          <cell r="F1936" t="str">
            <v>-</v>
          </cell>
          <cell r="H1936" t="str">
            <v>-</v>
          </cell>
          <cell r="I1936" t="str">
            <v>-</v>
          </cell>
          <cell r="K1936" t="str">
            <v>-</v>
          </cell>
          <cell r="L1936">
            <v>5</v>
          </cell>
          <cell r="M1936" t="e">
            <v>#VALUE!</v>
          </cell>
          <cell r="O1936" t="str">
            <v>-</v>
          </cell>
          <cell r="T1936">
            <v>0.25</v>
          </cell>
          <cell r="U1936" t="str">
            <v>-</v>
          </cell>
        </row>
        <row r="1937">
          <cell r="B1937" t="str">
            <v>2L5X3X1/4X3/8SLBB</v>
          </cell>
          <cell r="C1937">
            <v>3.88</v>
          </cell>
          <cell r="D1937">
            <v>3</v>
          </cell>
          <cell r="F1937" t="str">
            <v>-</v>
          </cell>
          <cell r="H1937" t="str">
            <v>-</v>
          </cell>
          <cell r="I1937" t="str">
            <v>-</v>
          </cell>
          <cell r="K1937" t="str">
            <v>-</v>
          </cell>
          <cell r="L1937">
            <v>5</v>
          </cell>
          <cell r="M1937" t="e">
            <v>#VALUE!</v>
          </cell>
          <cell r="O1937" t="str">
            <v>-</v>
          </cell>
          <cell r="T1937">
            <v>0.25</v>
          </cell>
          <cell r="U1937" t="str">
            <v>-</v>
          </cell>
        </row>
        <row r="1938">
          <cell r="B1938" t="str">
            <v>2L5X3X1/4X3/4SLBB</v>
          </cell>
          <cell r="C1938">
            <v>3.88</v>
          </cell>
          <cell r="D1938">
            <v>3</v>
          </cell>
          <cell r="F1938" t="str">
            <v>-</v>
          </cell>
          <cell r="H1938" t="str">
            <v>-</v>
          </cell>
          <cell r="I1938" t="str">
            <v>-</v>
          </cell>
          <cell r="K1938" t="str">
            <v>-</v>
          </cell>
          <cell r="L1938">
            <v>5</v>
          </cell>
          <cell r="M1938" t="e">
            <v>#VALUE!</v>
          </cell>
          <cell r="O1938" t="str">
            <v>-</v>
          </cell>
          <cell r="T1938">
            <v>0.25</v>
          </cell>
          <cell r="U1938" t="str">
            <v>-</v>
          </cell>
        </row>
        <row r="1939">
          <cell r="B1939" t="str">
            <v>2L4X3-1/2X1/2SLBB</v>
          </cell>
          <cell r="C1939">
            <v>7</v>
          </cell>
          <cell r="D1939">
            <v>3.5</v>
          </cell>
          <cell r="F1939" t="str">
            <v>-</v>
          </cell>
          <cell r="H1939" t="str">
            <v>-</v>
          </cell>
          <cell r="I1939" t="str">
            <v>-</v>
          </cell>
          <cell r="K1939" t="str">
            <v>-</v>
          </cell>
          <cell r="L1939">
            <v>4</v>
          </cell>
          <cell r="M1939" t="e">
            <v>#VALUE!</v>
          </cell>
          <cell r="O1939" t="str">
            <v>-</v>
          </cell>
          <cell r="T1939">
            <v>0.5</v>
          </cell>
          <cell r="U1939" t="str">
            <v>-</v>
          </cell>
        </row>
        <row r="1940">
          <cell r="B1940" t="str">
            <v>2L4X3-1/2X1/2X3/8SLBB</v>
          </cell>
          <cell r="C1940">
            <v>7</v>
          </cell>
          <cell r="D1940">
            <v>3.5</v>
          </cell>
          <cell r="F1940" t="str">
            <v>-</v>
          </cell>
          <cell r="H1940" t="str">
            <v>-</v>
          </cell>
          <cell r="I1940" t="str">
            <v>-</v>
          </cell>
          <cell r="K1940" t="str">
            <v>-</v>
          </cell>
          <cell r="L1940">
            <v>4</v>
          </cell>
          <cell r="M1940" t="e">
            <v>#VALUE!</v>
          </cell>
          <cell r="O1940" t="str">
            <v>-</v>
          </cell>
          <cell r="T1940">
            <v>0.5</v>
          </cell>
          <cell r="U1940" t="str">
            <v>-</v>
          </cell>
        </row>
        <row r="1941">
          <cell r="B1941" t="str">
            <v>2L4X3-1/2X1/2X3/4SLBB</v>
          </cell>
          <cell r="C1941">
            <v>7</v>
          </cell>
          <cell r="D1941">
            <v>3.5</v>
          </cell>
          <cell r="F1941" t="str">
            <v>-</v>
          </cell>
          <cell r="H1941" t="str">
            <v>-</v>
          </cell>
          <cell r="I1941" t="str">
            <v>-</v>
          </cell>
          <cell r="K1941" t="str">
            <v>-</v>
          </cell>
          <cell r="L1941">
            <v>4</v>
          </cell>
          <cell r="M1941" t="e">
            <v>#VALUE!</v>
          </cell>
          <cell r="O1941" t="str">
            <v>-</v>
          </cell>
          <cell r="T1941">
            <v>0.5</v>
          </cell>
          <cell r="U1941" t="str">
            <v>-</v>
          </cell>
        </row>
        <row r="1942">
          <cell r="B1942" t="str">
            <v>2L4X3-1/2X3/8SLBB</v>
          </cell>
          <cell r="C1942">
            <v>5.36</v>
          </cell>
          <cell r="D1942">
            <v>3.5</v>
          </cell>
          <cell r="F1942" t="str">
            <v>-</v>
          </cell>
          <cell r="H1942" t="str">
            <v>-</v>
          </cell>
          <cell r="I1942" t="str">
            <v>-</v>
          </cell>
          <cell r="K1942" t="str">
            <v>-</v>
          </cell>
          <cell r="L1942">
            <v>4</v>
          </cell>
          <cell r="M1942" t="e">
            <v>#VALUE!</v>
          </cell>
          <cell r="O1942" t="str">
            <v>-</v>
          </cell>
          <cell r="T1942">
            <v>0.375</v>
          </cell>
          <cell r="U1942" t="str">
            <v>-</v>
          </cell>
        </row>
        <row r="1943">
          <cell r="B1943" t="str">
            <v>2L4X3-1/2X3/8X3/8SLBB</v>
          </cell>
          <cell r="C1943">
            <v>5.36</v>
          </cell>
          <cell r="D1943">
            <v>3.5</v>
          </cell>
          <cell r="F1943" t="str">
            <v>-</v>
          </cell>
          <cell r="H1943" t="str">
            <v>-</v>
          </cell>
          <cell r="I1943" t="str">
            <v>-</v>
          </cell>
          <cell r="K1943" t="str">
            <v>-</v>
          </cell>
          <cell r="L1943">
            <v>4</v>
          </cell>
          <cell r="M1943" t="e">
            <v>#VALUE!</v>
          </cell>
          <cell r="O1943" t="str">
            <v>-</v>
          </cell>
          <cell r="T1943">
            <v>0.375</v>
          </cell>
          <cell r="U1943" t="str">
            <v>-</v>
          </cell>
        </row>
        <row r="1944">
          <cell r="B1944" t="str">
            <v>2L4X3-1/2X3/8X3/4SLBB</v>
          </cell>
          <cell r="C1944">
            <v>5.36</v>
          </cell>
          <cell r="D1944">
            <v>3.5</v>
          </cell>
          <cell r="F1944" t="str">
            <v>-</v>
          </cell>
          <cell r="H1944" t="str">
            <v>-</v>
          </cell>
          <cell r="I1944" t="str">
            <v>-</v>
          </cell>
          <cell r="K1944" t="str">
            <v>-</v>
          </cell>
          <cell r="L1944">
            <v>4</v>
          </cell>
          <cell r="M1944" t="e">
            <v>#VALUE!</v>
          </cell>
          <cell r="O1944" t="str">
            <v>-</v>
          </cell>
          <cell r="T1944">
            <v>0.375</v>
          </cell>
          <cell r="U1944" t="str">
            <v>-</v>
          </cell>
        </row>
        <row r="1945">
          <cell r="B1945" t="str">
            <v>2L4X3-1/2X5/16SLBB</v>
          </cell>
          <cell r="C1945">
            <v>4.5</v>
          </cell>
          <cell r="D1945">
            <v>3.5</v>
          </cell>
          <cell r="F1945" t="str">
            <v>-</v>
          </cell>
          <cell r="H1945" t="str">
            <v>-</v>
          </cell>
          <cell r="I1945" t="str">
            <v>-</v>
          </cell>
          <cell r="K1945" t="str">
            <v>-</v>
          </cell>
          <cell r="L1945">
            <v>4</v>
          </cell>
          <cell r="M1945" t="e">
            <v>#VALUE!</v>
          </cell>
          <cell r="O1945" t="str">
            <v>-</v>
          </cell>
          <cell r="T1945">
            <v>0.313</v>
          </cell>
          <cell r="U1945" t="str">
            <v>-</v>
          </cell>
        </row>
        <row r="1946">
          <cell r="B1946" t="str">
            <v>2L4X3-1/2X5/16X3/8SLBB</v>
          </cell>
          <cell r="C1946">
            <v>4.5</v>
          </cell>
          <cell r="D1946">
            <v>3.5</v>
          </cell>
          <cell r="F1946" t="str">
            <v>-</v>
          </cell>
          <cell r="H1946" t="str">
            <v>-</v>
          </cell>
          <cell r="I1946" t="str">
            <v>-</v>
          </cell>
          <cell r="K1946" t="str">
            <v>-</v>
          </cell>
          <cell r="L1946">
            <v>4</v>
          </cell>
          <cell r="M1946" t="e">
            <v>#VALUE!</v>
          </cell>
          <cell r="O1946" t="str">
            <v>-</v>
          </cell>
          <cell r="T1946">
            <v>0.313</v>
          </cell>
          <cell r="U1946" t="str">
            <v>-</v>
          </cell>
        </row>
        <row r="1947">
          <cell r="B1947" t="str">
            <v>2L4X3-1/2X5/16X3/4SLBB</v>
          </cell>
          <cell r="C1947">
            <v>4.5</v>
          </cell>
          <cell r="D1947">
            <v>3.5</v>
          </cell>
          <cell r="F1947" t="str">
            <v>-</v>
          </cell>
          <cell r="H1947" t="str">
            <v>-</v>
          </cell>
          <cell r="I1947" t="str">
            <v>-</v>
          </cell>
          <cell r="K1947" t="str">
            <v>-</v>
          </cell>
          <cell r="L1947">
            <v>4</v>
          </cell>
          <cell r="M1947" t="e">
            <v>#VALUE!</v>
          </cell>
          <cell r="O1947" t="str">
            <v>-</v>
          </cell>
          <cell r="T1947">
            <v>0.313</v>
          </cell>
          <cell r="U1947" t="str">
            <v>-</v>
          </cell>
        </row>
        <row r="1948">
          <cell r="B1948" t="str">
            <v>2L4X3-1/2X1/4SLBB</v>
          </cell>
          <cell r="C1948">
            <v>3.64</v>
          </cell>
          <cell r="D1948">
            <v>3.5</v>
          </cell>
          <cell r="F1948" t="str">
            <v>-</v>
          </cell>
          <cell r="H1948" t="str">
            <v>-</v>
          </cell>
          <cell r="I1948" t="str">
            <v>-</v>
          </cell>
          <cell r="K1948" t="str">
            <v>-</v>
          </cell>
          <cell r="L1948">
            <v>4</v>
          </cell>
          <cell r="M1948" t="e">
            <v>#VALUE!</v>
          </cell>
          <cell r="O1948" t="str">
            <v>-</v>
          </cell>
          <cell r="T1948">
            <v>0.25</v>
          </cell>
          <cell r="U1948" t="str">
            <v>-</v>
          </cell>
        </row>
        <row r="1949">
          <cell r="B1949" t="str">
            <v>2L4X3-1/2X1/4X3/8SLBB</v>
          </cell>
          <cell r="C1949">
            <v>3.64</v>
          </cell>
          <cell r="D1949">
            <v>3.5</v>
          </cell>
          <cell r="F1949" t="str">
            <v>-</v>
          </cell>
          <cell r="H1949" t="str">
            <v>-</v>
          </cell>
          <cell r="I1949" t="str">
            <v>-</v>
          </cell>
          <cell r="K1949" t="str">
            <v>-</v>
          </cell>
          <cell r="L1949">
            <v>4</v>
          </cell>
          <cell r="M1949" t="e">
            <v>#VALUE!</v>
          </cell>
          <cell r="O1949" t="str">
            <v>-</v>
          </cell>
          <cell r="T1949">
            <v>0.25</v>
          </cell>
          <cell r="U1949" t="str">
            <v>-</v>
          </cell>
        </row>
        <row r="1950">
          <cell r="B1950" t="str">
            <v>2L4X3-1/2X1/4X3/4SLBB</v>
          </cell>
          <cell r="C1950">
            <v>3.64</v>
          </cell>
          <cell r="D1950">
            <v>3.5</v>
          </cell>
          <cell r="F1950" t="str">
            <v>-</v>
          </cell>
          <cell r="H1950" t="str">
            <v>-</v>
          </cell>
          <cell r="I1950" t="str">
            <v>-</v>
          </cell>
          <cell r="K1950" t="str">
            <v>-</v>
          </cell>
          <cell r="L1950">
            <v>4</v>
          </cell>
          <cell r="M1950" t="e">
            <v>#VALUE!</v>
          </cell>
          <cell r="O1950" t="str">
            <v>-</v>
          </cell>
          <cell r="T1950">
            <v>0.25</v>
          </cell>
          <cell r="U1950" t="str">
            <v>-</v>
          </cell>
        </row>
        <row r="1951">
          <cell r="B1951" t="str">
            <v>2L4X3X5/8SLBB</v>
          </cell>
          <cell r="C1951">
            <v>7.98</v>
          </cell>
          <cell r="D1951">
            <v>3</v>
          </cell>
          <cell r="F1951" t="str">
            <v>-</v>
          </cell>
          <cell r="H1951" t="str">
            <v>-</v>
          </cell>
          <cell r="I1951" t="str">
            <v>-</v>
          </cell>
          <cell r="K1951" t="str">
            <v>-</v>
          </cell>
          <cell r="L1951">
            <v>4</v>
          </cell>
          <cell r="M1951" t="e">
            <v>#VALUE!</v>
          </cell>
          <cell r="O1951" t="str">
            <v>-</v>
          </cell>
          <cell r="T1951">
            <v>0.625</v>
          </cell>
          <cell r="U1951" t="str">
            <v>-</v>
          </cell>
        </row>
        <row r="1952">
          <cell r="B1952" t="str">
            <v>2L4X3X5/8X3/8SLBB</v>
          </cell>
          <cell r="C1952">
            <v>7.98</v>
          </cell>
          <cell r="D1952">
            <v>3</v>
          </cell>
          <cell r="F1952" t="str">
            <v>-</v>
          </cell>
          <cell r="H1952" t="str">
            <v>-</v>
          </cell>
          <cell r="I1952" t="str">
            <v>-</v>
          </cell>
          <cell r="K1952" t="str">
            <v>-</v>
          </cell>
          <cell r="L1952">
            <v>4</v>
          </cell>
          <cell r="M1952" t="e">
            <v>#VALUE!</v>
          </cell>
          <cell r="O1952" t="str">
            <v>-</v>
          </cell>
          <cell r="T1952">
            <v>0.625</v>
          </cell>
          <cell r="U1952" t="str">
            <v>-</v>
          </cell>
        </row>
        <row r="1953">
          <cell r="B1953" t="str">
            <v>2L4X3X5/8X3/4SLBB</v>
          </cell>
          <cell r="C1953">
            <v>7.98</v>
          </cell>
          <cell r="D1953">
            <v>3</v>
          </cell>
          <cell r="F1953" t="str">
            <v>-</v>
          </cell>
          <cell r="H1953" t="str">
            <v>-</v>
          </cell>
          <cell r="I1953" t="str">
            <v>-</v>
          </cell>
          <cell r="K1953" t="str">
            <v>-</v>
          </cell>
          <cell r="L1953">
            <v>4</v>
          </cell>
          <cell r="M1953" t="e">
            <v>#VALUE!</v>
          </cell>
          <cell r="O1953" t="str">
            <v>-</v>
          </cell>
          <cell r="T1953">
            <v>0.625</v>
          </cell>
          <cell r="U1953" t="str">
            <v>-</v>
          </cell>
        </row>
        <row r="1954">
          <cell r="B1954" t="str">
            <v>2L4X3X1/2SLBB</v>
          </cell>
          <cell r="C1954">
            <v>6.5</v>
          </cell>
          <cell r="D1954">
            <v>3</v>
          </cell>
          <cell r="F1954" t="str">
            <v>-</v>
          </cell>
          <cell r="H1954" t="str">
            <v>-</v>
          </cell>
          <cell r="I1954" t="str">
            <v>-</v>
          </cell>
          <cell r="K1954" t="str">
            <v>-</v>
          </cell>
          <cell r="L1954">
            <v>4</v>
          </cell>
          <cell r="M1954" t="e">
            <v>#VALUE!</v>
          </cell>
          <cell r="O1954" t="str">
            <v>-</v>
          </cell>
          <cell r="T1954">
            <v>0.5</v>
          </cell>
          <cell r="U1954" t="str">
            <v>-</v>
          </cell>
        </row>
        <row r="1955">
          <cell r="B1955" t="str">
            <v>2L4X3X1/2X3/8SLBB</v>
          </cell>
          <cell r="C1955">
            <v>6.5</v>
          </cell>
          <cell r="D1955">
            <v>3</v>
          </cell>
          <cell r="F1955" t="str">
            <v>-</v>
          </cell>
          <cell r="H1955" t="str">
            <v>-</v>
          </cell>
          <cell r="I1955" t="str">
            <v>-</v>
          </cell>
          <cell r="K1955" t="str">
            <v>-</v>
          </cell>
          <cell r="L1955">
            <v>4</v>
          </cell>
          <cell r="M1955" t="e">
            <v>#VALUE!</v>
          </cell>
          <cell r="O1955" t="str">
            <v>-</v>
          </cell>
          <cell r="T1955">
            <v>0.5</v>
          </cell>
          <cell r="U1955" t="str">
            <v>-</v>
          </cell>
        </row>
        <row r="1956">
          <cell r="B1956" t="str">
            <v>2L4X3X1/2X3/4SLBB</v>
          </cell>
          <cell r="C1956">
            <v>6.5</v>
          </cell>
          <cell r="D1956">
            <v>3</v>
          </cell>
          <cell r="F1956" t="str">
            <v>-</v>
          </cell>
          <cell r="H1956" t="str">
            <v>-</v>
          </cell>
          <cell r="I1956" t="str">
            <v>-</v>
          </cell>
          <cell r="K1956" t="str">
            <v>-</v>
          </cell>
          <cell r="L1956">
            <v>4</v>
          </cell>
          <cell r="M1956" t="e">
            <v>#VALUE!</v>
          </cell>
          <cell r="O1956" t="str">
            <v>-</v>
          </cell>
          <cell r="T1956">
            <v>0.5</v>
          </cell>
          <cell r="U1956" t="str">
            <v>-</v>
          </cell>
        </row>
        <row r="1957">
          <cell r="B1957" t="str">
            <v>2L4X3X3/8SLBB</v>
          </cell>
          <cell r="C1957">
            <v>4.9800000000000004</v>
          </cell>
          <cell r="D1957">
            <v>3</v>
          </cell>
          <cell r="F1957" t="str">
            <v>-</v>
          </cell>
          <cell r="H1957" t="str">
            <v>-</v>
          </cell>
          <cell r="I1957" t="str">
            <v>-</v>
          </cell>
          <cell r="K1957" t="str">
            <v>-</v>
          </cell>
          <cell r="L1957">
            <v>4</v>
          </cell>
          <cell r="M1957" t="e">
            <v>#VALUE!</v>
          </cell>
          <cell r="O1957" t="str">
            <v>-</v>
          </cell>
          <cell r="T1957">
            <v>0.375</v>
          </cell>
          <cell r="U1957" t="str">
            <v>-</v>
          </cell>
        </row>
        <row r="1958">
          <cell r="B1958" t="str">
            <v>2L4X3X3/8X3/8SLBB</v>
          </cell>
          <cell r="C1958">
            <v>4.9800000000000004</v>
          </cell>
          <cell r="D1958">
            <v>3</v>
          </cell>
          <cell r="F1958" t="str">
            <v>-</v>
          </cell>
          <cell r="H1958" t="str">
            <v>-</v>
          </cell>
          <cell r="I1958" t="str">
            <v>-</v>
          </cell>
          <cell r="K1958" t="str">
            <v>-</v>
          </cell>
          <cell r="L1958">
            <v>4</v>
          </cell>
          <cell r="M1958" t="e">
            <v>#VALUE!</v>
          </cell>
          <cell r="O1958" t="str">
            <v>-</v>
          </cell>
          <cell r="T1958">
            <v>0.375</v>
          </cell>
          <cell r="U1958" t="str">
            <v>-</v>
          </cell>
        </row>
        <row r="1959">
          <cell r="B1959" t="str">
            <v>2L4X3X3/8X3/4SLBB</v>
          </cell>
          <cell r="C1959">
            <v>4.9800000000000004</v>
          </cell>
          <cell r="D1959">
            <v>3</v>
          </cell>
          <cell r="F1959" t="str">
            <v>-</v>
          </cell>
          <cell r="H1959" t="str">
            <v>-</v>
          </cell>
          <cell r="I1959" t="str">
            <v>-</v>
          </cell>
          <cell r="K1959" t="str">
            <v>-</v>
          </cell>
          <cell r="L1959">
            <v>4</v>
          </cell>
          <cell r="M1959" t="e">
            <v>#VALUE!</v>
          </cell>
          <cell r="O1959" t="str">
            <v>-</v>
          </cell>
          <cell r="T1959">
            <v>0.375</v>
          </cell>
          <cell r="U1959" t="str">
            <v>-</v>
          </cell>
        </row>
        <row r="1960">
          <cell r="B1960" t="str">
            <v>2L4X3X5/16SLBB</v>
          </cell>
          <cell r="C1960">
            <v>4.18</v>
          </cell>
          <cell r="D1960">
            <v>3</v>
          </cell>
          <cell r="F1960" t="str">
            <v>-</v>
          </cell>
          <cell r="H1960" t="str">
            <v>-</v>
          </cell>
          <cell r="I1960" t="str">
            <v>-</v>
          </cell>
          <cell r="K1960" t="str">
            <v>-</v>
          </cell>
          <cell r="L1960">
            <v>4</v>
          </cell>
          <cell r="M1960" t="e">
            <v>#VALUE!</v>
          </cell>
          <cell r="O1960" t="str">
            <v>-</v>
          </cell>
          <cell r="T1960">
            <v>0.313</v>
          </cell>
          <cell r="U1960" t="str">
            <v>-</v>
          </cell>
        </row>
        <row r="1961">
          <cell r="B1961" t="str">
            <v>2L4X3X5/16X3/8SLBB</v>
          </cell>
          <cell r="C1961">
            <v>4.18</v>
          </cell>
          <cell r="D1961">
            <v>3</v>
          </cell>
          <cell r="F1961" t="str">
            <v>-</v>
          </cell>
          <cell r="H1961" t="str">
            <v>-</v>
          </cell>
          <cell r="I1961" t="str">
            <v>-</v>
          </cell>
          <cell r="K1961" t="str">
            <v>-</v>
          </cell>
          <cell r="L1961">
            <v>4</v>
          </cell>
          <cell r="M1961" t="e">
            <v>#VALUE!</v>
          </cell>
          <cell r="O1961" t="str">
            <v>-</v>
          </cell>
          <cell r="T1961">
            <v>0.313</v>
          </cell>
          <cell r="U1961" t="str">
            <v>-</v>
          </cell>
        </row>
        <row r="1962">
          <cell r="B1962" t="str">
            <v>2L4X3X5/16X3/4SLBB</v>
          </cell>
          <cell r="C1962">
            <v>4.18</v>
          </cell>
          <cell r="D1962">
            <v>3</v>
          </cell>
          <cell r="F1962" t="str">
            <v>-</v>
          </cell>
          <cell r="H1962" t="str">
            <v>-</v>
          </cell>
          <cell r="I1962" t="str">
            <v>-</v>
          </cell>
          <cell r="K1962" t="str">
            <v>-</v>
          </cell>
          <cell r="L1962">
            <v>4</v>
          </cell>
          <cell r="M1962" t="e">
            <v>#VALUE!</v>
          </cell>
          <cell r="O1962" t="str">
            <v>-</v>
          </cell>
          <cell r="T1962">
            <v>0.313</v>
          </cell>
          <cell r="U1962" t="str">
            <v>-</v>
          </cell>
        </row>
        <row r="1963">
          <cell r="B1963" t="str">
            <v>2L4X3X1/4SLBB</v>
          </cell>
          <cell r="C1963">
            <v>3.38</v>
          </cell>
          <cell r="D1963">
            <v>3</v>
          </cell>
          <cell r="F1963" t="str">
            <v>-</v>
          </cell>
          <cell r="H1963" t="str">
            <v>-</v>
          </cell>
          <cell r="I1963" t="str">
            <v>-</v>
          </cell>
          <cell r="K1963" t="str">
            <v>-</v>
          </cell>
          <cell r="L1963">
            <v>4</v>
          </cell>
          <cell r="M1963" t="e">
            <v>#VALUE!</v>
          </cell>
          <cell r="O1963" t="str">
            <v>-</v>
          </cell>
          <cell r="T1963">
            <v>0.25</v>
          </cell>
          <cell r="U1963" t="str">
            <v>-</v>
          </cell>
        </row>
        <row r="1964">
          <cell r="B1964" t="str">
            <v>2L4X3X1/4X3/8SLBB</v>
          </cell>
          <cell r="C1964">
            <v>3.38</v>
          </cell>
          <cell r="D1964">
            <v>3</v>
          </cell>
          <cell r="F1964" t="str">
            <v>-</v>
          </cell>
          <cell r="H1964" t="str">
            <v>-</v>
          </cell>
          <cell r="I1964" t="str">
            <v>-</v>
          </cell>
          <cell r="K1964" t="str">
            <v>-</v>
          </cell>
          <cell r="L1964">
            <v>4</v>
          </cell>
          <cell r="M1964" t="e">
            <v>#VALUE!</v>
          </cell>
          <cell r="O1964" t="str">
            <v>-</v>
          </cell>
          <cell r="T1964">
            <v>0.25</v>
          </cell>
          <cell r="U1964" t="str">
            <v>-</v>
          </cell>
        </row>
        <row r="1965">
          <cell r="B1965" t="str">
            <v>2L4X3X1/4X3/4SLBB</v>
          </cell>
          <cell r="C1965">
            <v>3.38</v>
          </cell>
          <cell r="D1965">
            <v>3</v>
          </cell>
          <cell r="F1965" t="str">
            <v>-</v>
          </cell>
          <cell r="H1965" t="str">
            <v>-</v>
          </cell>
          <cell r="I1965" t="str">
            <v>-</v>
          </cell>
          <cell r="K1965" t="str">
            <v>-</v>
          </cell>
          <cell r="L1965">
            <v>4</v>
          </cell>
          <cell r="M1965" t="e">
            <v>#VALUE!</v>
          </cell>
          <cell r="O1965" t="str">
            <v>-</v>
          </cell>
          <cell r="T1965">
            <v>0.25</v>
          </cell>
          <cell r="U1965" t="str">
            <v>-</v>
          </cell>
        </row>
        <row r="1966">
          <cell r="B1966" t="str">
            <v>2L3-1/2X3X1/2SLBB</v>
          </cell>
          <cell r="C1966">
            <v>6.04</v>
          </cell>
          <cell r="D1966">
            <v>3</v>
          </cell>
          <cell r="F1966" t="str">
            <v>-</v>
          </cell>
          <cell r="H1966" t="str">
            <v>-</v>
          </cell>
          <cell r="I1966" t="str">
            <v>-</v>
          </cell>
          <cell r="K1966" t="str">
            <v>-</v>
          </cell>
          <cell r="L1966">
            <v>3.5</v>
          </cell>
          <cell r="M1966" t="e">
            <v>#VALUE!</v>
          </cell>
          <cell r="O1966" t="str">
            <v>-</v>
          </cell>
          <cell r="T1966">
            <v>0.5</v>
          </cell>
          <cell r="U1966" t="str">
            <v>-</v>
          </cell>
        </row>
        <row r="1967">
          <cell r="B1967" t="str">
            <v>2L3-1/2X3X1/2X3/8SLBB</v>
          </cell>
          <cell r="C1967">
            <v>6.04</v>
          </cell>
          <cell r="D1967">
            <v>3</v>
          </cell>
          <cell r="F1967" t="str">
            <v>-</v>
          </cell>
          <cell r="H1967" t="str">
            <v>-</v>
          </cell>
          <cell r="I1967" t="str">
            <v>-</v>
          </cell>
          <cell r="K1967" t="str">
            <v>-</v>
          </cell>
          <cell r="L1967">
            <v>3.5</v>
          </cell>
          <cell r="M1967" t="e">
            <v>#VALUE!</v>
          </cell>
          <cell r="O1967" t="str">
            <v>-</v>
          </cell>
          <cell r="T1967">
            <v>0.5</v>
          </cell>
          <cell r="U1967" t="str">
            <v>-</v>
          </cell>
        </row>
        <row r="1968">
          <cell r="B1968" t="str">
            <v>2L3-1/2X3X1/2X3/4SLBB</v>
          </cell>
          <cell r="C1968">
            <v>6.04</v>
          </cell>
          <cell r="D1968">
            <v>3</v>
          </cell>
          <cell r="F1968" t="str">
            <v>-</v>
          </cell>
          <cell r="H1968" t="str">
            <v>-</v>
          </cell>
          <cell r="I1968" t="str">
            <v>-</v>
          </cell>
          <cell r="K1968" t="str">
            <v>-</v>
          </cell>
          <cell r="L1968">
            <v>3.5</v>
          </cell>
          <cell r="M1968" t="e">
            <v>#VALUE!</v>
          </cell>
          <cell r="O1968" t="str">
            <v>-</v>
          </cell>
          <cell r="T1968">
            <v>0.5</v>
          </cell>
          <cell r="U1968" t="str">
            <v>-</v>
          </cell>
        </row>
        <row r="1969">
          <cell r="B1969" t="str">
            <v>2L3-1/2X3X7/16SLBB</v>
          </cell>
          <cell r="C1969">
            <v>5.34</v>
          </cell>
          <cell r="D1969">
            <v>3</v>
          </cell>
          <cell r="F1969" t="str">
            <v>-</v>
          </cell>
          <cell r="H1969" t="str">
            <v>-</v>
          </cell>
          <cell r="I1969" t="str">
            <v>-</v>
          </cell>
          <cell r="K1969" t="str">
            <v>-</v>
          </cell>
          <cell r="L1969">
            <v>3.5</v>
          </cell>
          <cell r="M1969" t="e">
            <v>#VALUE!</v>
          </cell>
          <cell r="O1969" t="str">
            <v>-</v>
          </cell>
          <cell r="T1969">
            <v>0.438</v>
          </cell>
          <cell r="U1969" t="str">
            <v>-</v>
          </cell>
        </row>
        <row r="1970">
          <cell r="B1970" t="str">
            <v>2L3-1/2X3X7/16X3/8SLBB</v>
          </cell>
          <cell r="C1970">
            <v>5.34</v>
          </cell>
          <cell r="D1970">
            <v>3</v>
          </cell>
          <cell r="F1970" t="str">
            <v>-</v>
          </cell>
          <cell r="H1970" t="str">
            <v>-</v>
          </cell>
          <cell r="I1970" t="str">
            <v>-</v>
          </cell>
          <cell r="K1970" t="str">
            <v>-</v>
          </cell>
          <cell r="L1970">
            <v>3.5</v>
          </cell>
          <cell r="M1970" t="e">
            <v>#VALUE!</v>
          </cell>
          <cell r="O1970" t="str">
            <v>-</v>
          </cell>
          <cell r="T1970">
            <v>0.438</v>
          </cell>
          <cell r="U1970" t="str">
            <v>-</v>
          </cell>
        </row>
        <row r="1971">
          <cell r="B1971" t="str">
            <v>2L3-1/2X3X7/16X3/4SLBB</v>
          </cell>
          <cell r="C1971">
            <v>5.34</v>
          </cell>
          <cell r="D1971">
            <v>3</v>
          </cell>
          <cell r="F1971" t="str">
            <v>-</v>
          </cell>
          <cell r="H1971" t="str">
            <v>-</v>
          </cell>
          <cell r="I1971" t="str">
            <v>-</v>
          </cell>
          <cell r="K1971" t="str">
            <v>-</v>
          </cell>
          <cell r="L1971">
            <v>3.5</v>
          </cell>
          <cell r="M1971" t="e">
            <v>#VALUE!</v>
          </cell>
          <cell r="O1971" t="str">
            <v>-</v>
          </cell>
          <cell r="T1971">
            <v>0.438</v>
          </cell>
          <cell r="U1971" t="str">
            <v>-</v>
          </cell>
        </row>
        <row r="1972">
          <cell r="B1972" t="str">
            <v>2L3-1/2X3X3/8SLBB</v>
          </cell>
          <cell r="C1972">
            <v>4.6399999999999997</v>
          </cell>
          <cell r="D1972">
            <v>3</v>
          </cell>
          <cell r="F1972" t="str">
            <v>-</v>
          </cell>
          <cell r="H1972" t="str">
            <v>-</v>
          </cell>
          <cell r="I1972" t="str">
            <v>-</v>
          </cell>
          <cell r="K1972" t="str">
            <v>-</v>
          </cell>
          <cell r="L1972">
            <v>3.5</v>
          </cell>
          <cell r="M1972" t="e">
            <v>#VALUE!</v>
          </cell>
          <cell r="O1972" t="str">
            <v>-</v>
          </cell>
          <cell r="T1972">
            <v>0.375</v>
          </cell>
          <cell r="U1972" t="str">
            <v>-</v>
          </cell>
        </row>
        <row r="1973">
          <cell r="B1973" t="str">
            <v>2L3-1/2X3X3/8X3/8SLBB</v>
          </cell>
          <cell r="C1973">
            <v>4.6399999999999997</v>
          </cell>
          <cell r="D1973">
            <v>3</v>
          </cell>
          <cell r="F1973" t="str">
            <v>-</v>
          </cell>
          <cell r="H1973" t="str">
            <v>-</v>
          </cell>
          <cell r="I1973" t="str">
            <v>-</v>
          </cell>
          <cell r="K1973" t="str">
            <v>-</v>
          </cell>
          <cell r="L1973">
            <v>3.5</v>
          </cell>
          <cell r="M1973" t="e">
            <v>#VALUE!</v>
          </cell>
          <cell r="O1973" t="str">
            <v>-</v>
          </cell>
          <cell r="T1973">
            <v>0.375</v>
          </cell>
          <cell r="U1973" t="str">
            <v>-</v>
          </cell>
        </row>
        <row r="1974">
          <cell r="B1974" t="str">
            <v>2L3-1/2X3X3/8X3/4SLBB</v>
          </cell>
          <cell r="C1974">
            <v>4.6399999999999997</v>
          </cell>
          <cell r="D1974">
            <v>3</v>
          </cell>
          <cell r="F1974" t="str">
            <v>-</v>
          </cell>
          <cell r="H1974" t="str">
            <v>-</v>
          </cell>
          <cell r="I1974" t="str">
            <v>-</v>
          </cell>
          <cell r="K1974" t="str">
            <v>-</v>
          </cell>
          <cell r="L1974">
            <v>3.5</v>
          </cell>
          <cell r="M1974" t="e">
            <v>#VALUE!</v>
          </cell>
          <cell r="O1974" t="str">
            <v>-</v>
          </cell>
          <cell r="T1974">
            <v>0.375</v>
          </cell>
          <cell r="U1974" t="str">
            <v>-</v>
          </cell>
        </row>
        <row r="1975">
          <cell r="B1975" t="str">
            <v>2L3-1/2X3X5/16SLBB</v>
          </cell>
          <cell r="C1975">
            <v>3.9</v>
          </cell>
          <cell r="D1975">
            <v>3</v>
          </cell>
          <cell r="F1975" t="str">
            <v>-</v>
          </cell>
          <cell r="H1975" t="str">
            <v>-</v>
          </cell>
          <cell r="I1975" t="str">
            <v>-</v>
          </cell>
          <cell r="K1975" t="str">
            <v>-</v>
          </cell>
          <cell r="L1975">
            <v>3.5</v>
          </cell>
          <cell r="M1975" t="e">
            <v>#VALUE!</v>
          </cell>
          <cell r="O1975" t="str">
            <v>-</v>
          </cell>
          <cell r="T1975">
            <v>0.313</v>
          </cell>
          <cell r="U1975" t="str">
            <v>-</v>
          </cell>
        </row>
        <row r="1976">
          <cell r="B1976" t="str">
            <v>2L3-1/2X3X5/16X3/8SLBB</v>
          </cell>
          <cell r="C1976">
            <v>3.9</v>
          </cell>
          <cell r="D1976">
            <v>3</v>
          </cell>
          <cell r="F1976" t="str">
            <v>-</v>
          </cell>
          <cell r="H1976" t="str">
            <v>-</v>
          </cell>
          <cell r="I1976" t="str">
            <v>-</v>
          </cell>
          <cell r="K1976" t="str">
            <v>-</v>
          </cell>
          <cell r="L1976">
            <v>3.5</v>
          </cell>
          <cell r="M1976" t="e">
            <v>#VALUE!</v>
          </cell>
          <cell r="O1976" t="str">
            <v>-</v>
          </cell>
          <cell r="T1976">
            <v>0.313</v>
          </cell>
          <cell r="U1976" t="str">
            <v>-</v>
          </cell>
        </row>
        <row r="1977">
          <cell r="B1977" t="str">
            <v>2L3-1/2X3X5/16X3/4SLBB</v>
          </cell>
          <cell r="C1977">
            <v>3.9</v>
          </cell>
          <cell r="D1977">
            <v>3</v>
          </cell>
          <cell r="F1977" t="str">
            <v>-</v>
          </cell>
          <cell r="H1977" t="str">
            <v>-</v>
          </cell>
          <cell r="I1977" t="str">
            <v>-</v>
          </cell>
          <cell r="K1977" t="str">
            <v>-</v>
          </cell>
          <cell r="L1977">
            <v>3.5</v>
          </cell>
          <cell r="M1977" t="e">
            <v>#VALUE!</v>
          </cell>
          <cell r="O1977" t="str">
            <v>-</v>
          </cell>
          <cell r="T1977">
            <v>0.313</v>
          </cell>
          <cell r="U1977" t="str">
            <v>-</v>
          </cell>
        </row>
        <row r="1978">
          <cell r="B1978" t="str">
            <v>2L3-1/2X3X1/4SLBB</v>
          </cell>
          <cell r="C1978">
            <v>3.16</v>
          </cell>
          <cell r="D1978">
            <v>3</v>
          </cell>
          <cell r="F1978" t="str">
            <v>-</v>
          </cell>
          <cell r="H1978" t="str">
            <v>-</v>
          </cell>
          <cell r="I1978" t="str">
            <v>-</v>
          </cell>
          <cell r="K1978" t="str">
            <v>-</v>
          </cell>
          <cell r="L1978">
            <v>3.5</v>
          </cell>
          <cell r="M1978" t="e">
            <v>#VALUE!</v>
          </cell>
          <cell r="O1978" t="str">
            <v>-</v>
          </cell>
          <cell r="T1978">
            <v>0.25</v>
          </cell>
          <cell r="U1978" t="str">
            <v>-</v>
          </cell>
        </row>
        <row r="1979">
          <cell r="B1979" t="str">
            <v>2L3-1/2X3X1/4X3/8SLBB</v>
          </cell>
          <cell r="C1979">
            <v>3.16</v>
          </cell>
          <cell r="D1979">
            <v>3</v>
          </cell>
          <cell r="F1979" t="str">
            <v>-</v>
          </cell>
          <cell r="H1979" t="str">
            <v>-</v>
          </cell>
          <cell r="I1979" t="str">
            <v>-</v>
          </cell>
          <cell r="K1979" t="str">
            <v>-</v>
          </cell>
          <cell r="L1979">
            <v>3.5</v>
          </cell>
          <cell r="M1979" t="e">
            <v>#VALUE!</v>
          </cell>
          <cell r="O1979" t="str">
            <v>-</v>
          </cell>
          <cell r="T1979">
            <v>0.25</v>
          </cell>
          <cell r="U1979" t="str">
            <v>-</v>
          </cell>
        </row>
        <row r="1980">
          <cell r="B1980" t="str">
            <v>2L3-1/2X3X1/4X3/4SLBB</v>
          </cell>
          <cell r="C1980">
            <v>3.16</v>
          </cell>
          <cell r="D1980">
            <v>3</v>
          </cell>
          <cell r="F1980" t="str">
            <v>-</v>
          </cell>
          <cell r="H1980" t="str">
            <v>-</v>
          </cell>
          <cell r="I1980" t="str">
            <v>-</v>
          </cell>
          <cell r="K1980" t="str">
            <v>-</v>
          </cell>
          <cell r="L1980">
            <v>3.5</v>
          </cell>
          <cell r="M1980" t="e">
            <v>#VALUE!</v>
          </cell>
          <cell r="O1980" t="str">
            <v>-</v>
          </cell>
          <cell r="T1980">
            <v>0.25</v>
          </cell>
          <cell r="U1980" t="str">
            <v>-</v>
          </cell>
        </row>
        <row r="1981">
          <cell r="B1981" t="str">
            <v>2L3-1/2X2-1/2X1/2SLBB</v>
          </cell>
          <cell r="C1981">
            <v>5.54</v>
          </cell>
          <cell r="D1981">
            <v>2.5</v>
          </cell>
          <cell r="F1981" t="str">
            <v>-</v>
          </cell>
          <cell r="H1981" t="str">
            <v>-</v>
          </cell>
          <cell r="I1981" t="str">
            <v>-</v>
          </cell>
          <cell r="K1981" t="str">
            <v>-</v>
          </cell>
          <cell r="L1981">
            <v>3.5</v>
          </cell>
          <cell r="M1981" t="e">
            <v>#VALUE!</v>
          </cell>
          <cell r="O1981" t="str">
            <v>-</v>
          </cell>
          <cell r="T1981">
            <v>0.5</v>
          </cell>
          <cell r="U1981" t="str">
            <v>-</v>
          </cell>
        </row>
        <row r="1982">
          <cell r="B1982" t="str">
            <v>2L3-1/2X2-1/2X1/2X3/8SLBB</v>
          </cell>
          <cell r="C1982">
            <v>5.54</v>
          </cell>
          <cell r="D1982">
            <v>2.5</v>
          </cell>
          <cell r="F1982" t="str">
            <v>-</v>
          </cell>
          <cell r="H1982" t="str">
            <v>-</v>
          </cell>
          <cell r="I1982" t="str">
            <v>-</v>
          </cell>
          <cell r="K1982" t="str">
            <v>-</v>
          </cell>
          <cell r="L1982">
            <v>3.5</v>
          </cell>
          <cell r="M1982" t="e">
            <v>#VALUE!</v>
          </cell>
          <cell r="O1982" t="str">
            <v>-</v>
          </cell>
          <cell r="T1982">
            <v>0.5</v>
          </cell>
          <cell r="U1982" t="str">
            <v>-</v>
          </cell>
        </row>
        <row r="1983">
          <cell r="B1983" t="str">
            <v>2L3-1/2X2-1/2X1/2X3/4SLBB</v>
          </cell>
          <cell r="C1983">
            <v>5.54</v>
          </cell>
          <cell r="D1983">
            <v>2.5</v>
          </cell>
          <cell r="F1983" t="str">
            <v>-</v>
          </cell>
          <cell r="H1983" t="str">
            <v>-</v>
          </cell>
          <cell r="I1983" t="str">
            <v>-</v>
          </cell>
          <cell r="K1983" t="str">
            <v>-</v>
          </cell>
          <cell r="L1983">
            <v>3.5</v>
          </cell>
          <cell r="M1983" t="e">
            <v>#VALUE!</v>
          </cell>
          <cell r="O1983" t="str">
            <v>-</v>
          </cell>
          <cell r="T1983">
            <v>0.5</v>
          </cell>
          <cell r="U1983" t="str">
            <v>-</v>
          </cell>
        </row>
        <row r="1984">
          <cell r="B1984" t="str">
            <v>2L3-1/2X2-1/2X3/8SLBB</v>
          </cell>
          <cell r="C1984">
            <v>4.24</v>
          </cell>
          <cell r="D1984">
            <v>2.5</v>
          </cell>
          <cell r="F1984" t="str">
            <v>-</v>
          </cell>
          <cell r="H1984" t="str">
            <v>-</v>
          </cell>
          <cell r="I1984" t="str">
            <v>-</v>
          </cell>
          <cell r="K1984" t="str">
            <v>-</v>
          </cell>
          <cell r="L1984">
            <v>3.5</v>
          </cell>
          <cell r="M1984" t="e">
            <v>#VALUE!</v>
          </cell>
          <cell r="O1984" t="str">
            <v>-</v>
          </cell>
          <cell r="T1984">
            <v>0.375</v>
          </cell>
          <cell r="U1984" t="str">
            <v>-</v>
          </cell>
        </row>
        <row r="1985">
          <cell r="B1985" t="str">
            <v>2L3-1/2X2-1/2X3/8X3/8SLBB</v>
          </cell>
          <cell r="C1985">
            <v>4.24</v>
          </cell>
          <cell r="D1985">
            <v>2.5</v>
          </cell>
          <cell r="F1985" t="str">
            <v>-</v>
          </cell>
          <cell r="H1985" t="str">
            <v>-</v>
          </cell>
          <cell r="I1985" t="str">
            <v>-</v>
          </cell>
          <cell r="K1985" t="str">
            <v>-</v>
          </cell>
          <cell r="L1985">
            <v>3.5</v>
          </cell>
          <cell r="M1985" t="e">
            <v>#VALUE!</v>
          </cell>
          <cell r="O1985" t="str">
            <v>-</v>
          </cell>
          <cell r="T1985">
            <v>0.375</v>
          </cell>
          <cell r="U1985" t="str">
            <v>-</v>
          </cell>
        </row>
        <row r="1986">
          <cell r="B1986" t="str">
            <v>2L3-1/2X2-1/2X3/8X3/4SLBB</v>
          </cell>
          <cell r="C1986">
            <v>4.24</v>
          </cell>
          <cell r="D1986">
            <v>2.5</v>
          </cell>
          <cell r="F1986" t="str">
            <v>-</v>
          </cell>
          <cell r="H1986" t="str">
            <v>-</v>
          </cell>
          <cell r="I1986" t="str">
            <v>-</v>
          </cell>
          <cell r="K1986" t="str">
            <v>-</v>
          </cell>
          <cell r="L1986">
            <v>3.5</v>
          </cell>
          <cell r="M1986" t="e">
            <v>#VALUE!</v>
          </cell>
          <cell r="O1986" t="str">
            <v>-</v>
          </cell>
          <cell r="T1986">
            <v>0.375</v>
          </cell>
          <cell r="U1986" t="str">
            <v>-</v>
          </cell>
        </row>
        <row r="1987">
          <cell r="B1987" t="str">
            <v>2L3-1/2X2-1/2X5/16SLBB</v>
          </cell>
          <cell r="C1987">
            <v>3.58</v>
          </cell>
          <cell r="D1987">
            <v>2.5</v>
          </cell>
          <cell r="F1987" t="str">
            <v>-</v>
          </cell>
          <cell r="H1987" t="str">
            <v>-</v>
          </cell>
          <cell r="I1987" t="str">
            <v>-</v>
          </cell>
          <cell r="K1987" t="str">
            <v>-</v>
          </cell>
          <cell r="L1987">
            <v>3.5</v>
          </cell>
          <cell r="M1987" t="e">
            <v>#VALUE!</v>
          </cell>
          <cell r="O1987" t="str">
            <v>-</v>
          </cell>
          <cell r="T1987">
            <v>0.313</v>
          </cell>
          <cell r="U1987" t="str">
            <v>-</v>
          </cell>
        </row>
        <row r="1988">
          <cell r="B1988" t="str">
            <v>2L3-1/2X2-1/2X5/16X3/8SLBB</v>
          </cell>
          <cell r="C1988">
            <v>3.58</v>
          </cell>
          <cell r="D1988">
            <v>2.5</v>
          </cell>
          <cell r="F1988" t="str">
            <v>-</v>
          </cell>
          <cell r="H1988" t="str">
            <v>-</v>
          </cell>
          <cell r="I1988" t="str">
            <v>-</v>
          </cell>
          <cell r="K1988" t="str">
            <v>-</v>
          </cell>
          <cell r="L1988">
            <v>3.5</v>
          </cell>
          <cell r="M1988" t="e">
            <v>#VALUE!</v>
          </cell>
          <cell r="O1988" t="str">
            <v>-</v>
          </cell>
          <cell r="T1988">
            <v>0.313</v>
          </cell>
          <cell r="U1988" t="str">
            <v>-</v>
          </cell>
        </row>
        <row r="1989">
          <cell r="B1989" t="str">
            <v>2L3-1/2X2-1/2X5/16X3/4SLBB</v>
          </cell>
          <cell r="C1989">
            <v>3.58</v>
          </cell>
          <cell r="D1989">
            <v>2.5</v>
          </cell>
          <cell r="F1989" t="str">
            <v>-</v>
          </cell>
          <cell r="H1989" t="str">
            <v>-</v>
          </cell>
          <cell r="I1989" t="str">
            <v>-</v>
          </cell>
          <cell r="K1989" t="str">
            <v>-</v>
          </cell>
          <cell r="L1989">
            <v>3.5</v>
          </cell>
          <cell r="M1989" t="e">
            <v>#VALUE!</v>
          </cell>
          <cell r="O1989" t="str">
            <v>-</v>
          </cell>
          <cell r="T1989">
            <v>0.313</v>
          </cell>
          <cell r="U1989" t="str">
            <v>-</v>
          </cell>
        </row>
        <row r="1990">
          <cell r="B1990" t="str">
            <v>2L3-1/2X2-1/2X1/4SLBB</v>
          </cell>
          <cell r="C1990">
            <v>2.9</v>
          </cell>
          <cell r="D1990">
            <v>2.5</v>
          </cell>
          <cell r="F1990" t="str">
            <v>-</v>
          </cell>
          <cell r="H1990" t="str">
            <v>-</v>
          </cell>
          <cell r="I1990" t="str">
            <v>-</v>
          </cell>
          <cell r="K1990" t="str">
            <v>-</v>
          </cell>
          <cell r="L1990">
            <v>3.5</v>
          </cell>
          <cell r="M1990" t="e">
            <v>#VALUE!</v>
          </cell>
          <cell r="O1990" t="str">
            <v>-</v>
          </cell>
          <cell r="T1990">
            <v>0.25</v>
          </cell>
          <cell r="U1990" t="str">
            <v>-</v>
          </cell>
        </row>
        <row r="1991">
          <cell r="B1991" t="str">
            <v>2L3-1/2X2-1/2X1/4X3/8SLBB</v>
          </cell>
          <cell r="C1991">
            <v>2.9</v>
          </cell>
          <cell r="D1991">
            <v>2.5</v>
          </cell>
          <cell r="F1991" t="str">
            <v>-</v>
          </cell>
          <cell r="H1991" t="str">
            <v>-</v>
          </cell>
          <cell r="I1991" t="str">
            <v>-</v>
          </cell>
          <cell r="K1991" t="str">
            <v>-</v>
          </cell>
          <cell r="L1991">
            <v>3.5</v>
          </cell>
          <cell r="M1991" t="e">
            <v>#VALUE!</v>
          </cell>
          <cell r="O1991" t="str">
            <v>-</v>
          </cell>
          <cell r="T1991">
            <v>0.25</v>
          </cell>
          <cell r="U1991" t="str">
            <v>-</v>
          </cell>
        </row>
        <row r="1992">
          <cell r="B1992" t="str">
            <v>2L3-1/2X2-1/2X1/4X3/4SLBB</v>
          </cell>
          <cell r="C1992">
            <v>2.9</v>
          </cell>
          <cell r="D1992">
            <v>2.5</v>
          </cell>
          <cell r="F1992" t="str">
            <v>-</v>
          </cell>
          <cell r="H1992" t="str">
            <v>-</v>
          </cell>
          <cell r="I1992" t="str">
            <v>-</v>
          </cell>
          <cell r="K1992" t="str">
            <v>-</v>
          </cell>
          <cell r="L1992">
            <v>3.5</v>
          </cell>
          <cell r="M1992" t="e">
            <v>#VALUE!</v>
          </cell>
          <cell r="O1992" t="str">
            <v>-</v>
          </cell>
          <cell r="T1992">
            <v>0.25</v>
          </cell>
          <cell r="U1992" t="str">
            <v>-</v>
          </cell>
        </row>
        <row r="1993">
          <cell r="B1993" t="str">
            <v>2L3X2-1/2X1/2SLBB</v>
          </cell>
          <cell r="C1993">
            <v>5</v>
          </cell>
          <cell r="D1993">
            <v>2.5</v>
          </cell>
          <cell r="F1993" t="str">
            <v>-</v>
          </cell>
          <cell r="H1993" t="str">
            <v>-</v>
          </cell>
          <cell r="I1993" t="str">
            <v>-</v>
          </cell>
          <cell r="K1993" t="str">
            <v>-</v>
          </cell>
          <cell r="L1993">
            <v>3</v>
          </cell>
          <cell r="M1993" t="e">
            <v>#VALUE!</v>
          </cell>
          <cell r="O1993" t="str">
            <v>-</v>
          </cell>
          <cell r="T1993">
            <v>0.5</v>
          </cell>
          <cell r="U1993" t="str">
            <v>-</v>
          </cell>
        </row>
        <row r="1994">
          <cell r="B1994" t="str">
            <v>2L3X2-1/2X1/2X3/8SLBB</v>
          </cell>
          <cell r="C1994">
            <v>5</v>
          </cell>
          <cell r="D1994">
            <v>2.5</v>
          </cell>
          <cell r="F1994" t="str">
            <v>-</v>
          </cell>
          <cell r="H1994" t="str">
            <v>-</v>
          </cell>
          <cell r="I1994" t="str">
            <v>-</v>
          </cell>
          <cell r="K1994" t="str">
            <v>-</v>
          </cell>
          <cell r="L1994">
            <v>3</v>
          </cell>
          <cell r="M1994" t="e">
            <v>#VALUE!</v>
          </cell>
          <cell r="O1994" t="str">
            <v>-</v>
          </cell>
          <cell r="T1994">
            <v>0.5</v>
          </cell>
          <cell r="U1994" t="str">
            <v>-</v>
          </cell>
        </row>
        <row r="1995">
          <cell r="B1995" t="str">
            <v>2L3X2-1/2X1/2X3/4SLBB</v>
          </cell>
          <cell r="C1995">
            <v>5</v>
          </cell>
          <cell r="D1995">
            <v>2.5</v>
          </cell>
          <cell r="F1995" t="str">
            <v>-</v>
          </cell>
          <cell r="H1995" t="str">
            <v>-</v>
          </cell>
          <cell r="I1995" t="str">
            <v>-</v>
          </cell>
          <cell r="K1995" t="str">
            <v>-</v>
          </cell>
          <cell r="L1995">
            <v>3</v>
          </cell>
          <cell r="M1995" t="e">
            <v>#VALUE!</v>
          </cell>
          <cell r="O1995" t="str">
            <v>-</v>
          </cell>
          <cell r="T1995">
            <v>0.5</v>
          </cell>
          <cell r="U1995" t="str">
            <v>-</v>
          </cell>
        </row>
        <row r="1996">
          <cell r="B1996" t="str">
            <v>2L3X2-1/2X7/16SLBB</v>
          </cell>
          <cell r="C1996">
            <v>4.4400000000000004</v>
          </cell>
          <cell r="D1996">
            <v>2.5</v>
          </cell>
          <cell r="F1996" t="str">
            <v>-</v>
          </cell>
          <cell r="H1996" t="str">
            <v>-</v>
          </cell>
          <cell r="I1996" t="str">
            <v>-</v>
          </cell>
          <cell r="K1996" t="str">
            <v>-</v>
          </cell>
          <cell r="L1996">
            <v>3</v>
          </cell>
          <cell r="M1996" t="e">
            <v>#VALUE!</v>
          </cell>
          <cell r="O1996" t="str">
            <v>-</v>
          </cell>
          <cell r="T1996">
            <v>0.438</v>
          </cell>
          <cell r="U1996" t="str">
            <v>-</v>
          </cell>
        </row>
        <row r="1997">
          <cell r="B1997" t="str">
            <v>2L3X2-1/2X7/16X3/8SLBB</v>
          </cell>
          <cell r="C1997">
            <v>4.4400000000000004</v>
          </cell>
          <cell r="D1997">
            <v>2.5</v>
          </cell>
          <cell r="F1997" t="str">
            <v>-</v>
          </cell>
          <cell r="H1997" t="str">
            <v>-</v>
          </cell>
          <cell r="I1997" t="str">
            <v>-</v>
          </cell>
          <cell r="K1997" t="str">
            <v>-</v>
          </cell>
          <cell r="L1997">
            <v>3</v>
          </cell>
          <cell r="M1997" t="e">
            <v>#VALUE!</v>
          </cell>
          <cell r="O1997" t="str">
            <v>-</v>
          </cell>
          <cell r="T1997">
            <v>0.438</v>
          </cell>
          <cell r="U1997" t="str">
            <v>-</v>
          </cell>
        </row>
        <row r="1998">
          <cell r="B1998" t="str">
            <v>2L3X2-1/2X7/16X3/4SLBB</v>
          </cell>
          <cell r="C1998">
            <v>4.4400000000000004</v>
          </cell>
          <cell r="D1998">
            <v>2.5</v>
          </cell>
          <cell r="F1998" t="str">
            <v>-</v>
          </cell>
          <cell r="H1998" t="str">
            <v>-</v>
          </cell>
          <cell r="I1998" t="str">
            <v>-</v>
          </cell>
          <cell r="K1998" t="str">
            <v>-</v>
          </cell>
          <cell r="L1998">
            <v>3</v>
          </cell>
          <cell r="M1998" t="e">
            <v>#VALUE!</v>
          </cell>
          <cell r="O1998" t="str">
            <v>-</v>
          </cell>
          <cell r="T1998">
            <v>0.438</v>
          </cell>
          <cell r="U1998" t="str">
            <v>-</v>
          </cell>
        </row>
        <row r="1999">
          <cell r="B1999" t="str">
            <v>2L3X2-1/2X3/8SLBB</v>
          </cell>
          <cell r="C1999">
            <v>3.86</v>
          </cell>
          <cell r="D1999">
            <v>2.5</v>
          </cell>
          <cell r="F1999" t="str">
            <v>-</v>
          </cell>
          <cell r="H1999" t="str">
            <v>-</v>
          </cell>
          <cell r="I1999" t="str">
            <v>-</v>
          </cell>
          <cell r="K1999" t="str">
            <v>-</v>
          </cell>
          <cell r="L1999">
            <v>3</v>
          </cell>
          <cell r="M1999" t="e">
            <v>#VALUE!</v>
          </cell>
          <cell r="O1999" t="str">
            <v>-</v>
          </cell>
          <cell r="T1999">
            <v>0.375</v>
          </cell>
          <cell r="U1999" t="str">
            <v>-</v>
          </cell>
        </row>
        <row r="2000">
          <cell r="B2000" t="str">
            <v>2L3X2-1/2X3/8X3/8SLBB</v>
          </cell>
          <cell r="C2000">
            <v>3.86</v>
          </cell>
          <cell r="D2000">
            <v>2.5</v>
          </cell>
          <cell r="F2000" t="str">
            <v>-</v>
          </cell>
          <cell r="H2000" t="str">
            <v>-</v>
          </cell>
          <cell r="I2000" t="str">
            <v>-</v>
          </cell>
          <cell r="K2000" t="str">
            <v>-</v>
          </cell>
          <cell r="L2000">
            <v>3</v>
          </cell>
          <cell r="M2000" t="e">
            <v>#VALUE!</v>
          </cell>
          <cell r="O2000" t="str">
            <v>-</v>
          </cell>
          <cell r="T2000">
            <v>0.375</v>
          </cell>
          <cell r="U2000" t="str">
            <v>-</v>
          </cell>
        </row>
        <row r="2001">
          <cell r="B2001" t="str">
            <v>2L3X2-1/2X3/8X3/4SLBB</v>
          </cell>
          <cell r="C2001">
            <v>3.86</v>
          </cell>
          <cell r="D2001">
            <v>2.5</v>
          </cell>
          <cell r="F2001" t="str">
            <v>-</v>
          </cell>
          <cell r="H2001" t="str">
            <v>-</v>
          </cell>
          <cell r="I2001" t="str">
            <v>-</v>
          </cell>
          <cell r="K2001" t="str">
            <v>-</v>
          </cell>
          <cell r="L2001">
            <v>3</v>
          </cell>
          <cell r="M2001" t="e">
            <v>#VALUE!</v>
          </cell>
          <cell r="O2001" t="str">
            <v>-</v>
          </cell>
          <cell r="T2001">
            <v>0.375</v>
          </cell>
          <cell r="U2001" t="str">
            <v>-</v>
          </cell>
        </row>
        <row r="2002">
          <cell r="B2002" t="str">
            <v>2L3X2-1/2X5/16SLBB</v>
          </cell>
          <cell r="C2002">
            <v>3.26</v>
          </cell>
          <cell r="D2002">
            <v>2.5</v>
          </cell>
          <cell r="F2002" t="str">
            <v>-</v>
          </cell>
          <cell r="H2002" t="str">
            <v>-</v>
          </cell>
          <cell r="I2002" t="str">
            <v>-</v>
          </cell>
          <cell r="K2002" t="str">
            <v>-</v>
          </cell>
          <cell r="L2002">
            <v>3</v>
          </cell>
          <cell r="M2002" t="e">
            <v>#VALUE!</v>
          </cell>
          <cell r="O2002" t="str">
            <v>-</v>
          </cell>
          <cell r="T2002">
            <v>0.313</v>
          </cell>
          <cell r="U2002" t="str">
            <v>-</v>
          </cell>
        </row>
        <row r="2003">
          <cell r="B2003" t="str">
            <v>2L3X2-1/2X5/16X3/8SLBB</v>
          </cell>
          <cell r="C2003">
            <v>3.26</v>
          </cell>
          <cell r="D2003">
            <v>2.5</v>
          </cell>
          <cell r="F2003" t="str">
            <v>-</v>
          </cell>
          <cell r="H2003" t="str">
            <v>-</v>
          </cell>
          <cell r="I2003" t="str">
            <v>-</v>
          </cell>
          <cell r="K2003" t="str">
            <v>-</v>
          </cell>
          <cell r="L2003">
            <v>3</v>
          </cell>
          <cell r="M2003" t="e">
            <v>#VALUE!</v>
          </cell>
          <cell r="O2003" t="str">
            <v>-</v>
          </cell>
          <cell r="T2003">
            <v>0.313</v>
          </cell>
          <cell r="U2003" t="str">
            <v>-</v>
          </cell>
        </row>
        <row r="2004">
          <cell r="B2004" t="str">
            <v>2L3X2-1/2X5/16X3/4SLBB</v>
          </cell>
          <cell r="C2004">
            <v>3.26</v>
          </cell>
          <cell r="D2004">
            <v>2.5</v>
          </cell>
          <cell r="F2004" t="str">
            <v>-</v>
          </cell>
          <cell r="H2004" t="str">
            <v>-</v>
          </cell>
          <cell r="I2004" t="str">
            <v>-</v>
          </cell>
          <cell r="K2004" t="str">
            <v>-</v>
          </cell>
          <cell r="L2004">
            <v>3</v>
          </cell>
          <cell r="M2004" t="e">
            <v>#VALUE!</v>
          </cell>
          <cell r="O2004" t="str">
            <v>-</v>
          </cell>
          <cell r="T2004">
            <v>0.313</v>
          </cell>
          <cell r="U2004" t="str">
            <v>-</v>
          </cell>
        </row>
        <row r="2005">
          <cell r="B2005" t="str">
            <v>2L3X2-1/2X1/4SLBB</v>
          </cell>
          <cell r="C2005">
            <v>2.64</v>
          </cell>
          <cell r="D2005">
            <v>2.5</v>
          </cell>
          <cell r="F2005" t="str">
            <v>-</v>
          </cell>
          <cell r="H2005" t="str">
            <v>-</v>
          </cell>
          <cell r="I2005" t="str">
            <v>-</v>
          </cell>
          <cell r="K2005" t="str">
            <v>-</v>
          </cell>
          <cell r="L2005">
            <v>3</v>
          </cell>
          <cell r="M2005" t="e">
            <v>#VALUE!</v>
          </cell>
          <cell r="O2005" t="str">
            <v>-</v>
          </cell>
          <cell r="T2005">
            <v>0.25</v>
          </cell>
          <cell r="U2005" t="str">
            <v>-</v>
          </cell>
        </row>
        <row r="2006">
          <cell r="B2006" t="str">
            <v>2L3X2-1/2X1/4X3/8SLBB</v>
          </cell>
          <cell r="C2006">
            <v>2.64</v>
          </cell>
          <cell r="D2006">
            <v>2.5</v>
          </cell>
          <cell r="F2006" t="str">
            <v>-</v>
          </cell>
          <cell r="H2006" t="str">
            <v>-</v>
          </cell>
          <cell r="I2006" t="str">
            <v>-</v>
          </cell>
          <cell r="K2006" t="str">
            <v>-</v>
          </cell>
          <cell r="L2006">
            <v>3</v>
          </cell>
          <cell r="M2006" t="e">
            <v>#VALUE!</v>
          </cell>
          <cell r="O2006" t="str">
            <v>-</v>
          </cell>
          <cell r="T2006">
            <v>0.25</v>
          </cell>
          <cell r="U2006" t="str">
            <v>-</v>
          </cell>
        </row>
        <row r="2007">
          <cell r="B2007" t="str">
            <v>2L3X2-1/2X1/4X3/4SLBB</v>
          </cell>
          <cell r="C2007">
            <v>2.64</v>
          </cell>
          <cell r="D2007">
            <v>2.5</v>
          </cell>
          <cell r="F2007" t="str">
            <v>-</v>
          </cell>
          <cell r="H2007" t="str">
            <v>-</v>
          </cell>
          <cell r="I2007" t="str">
            <v>-</v>
          </cell>
          <cell r="K2007" t="str">
            <v>-</v>
          </cell>
          <cell r="L2007">
            <v>3</v>
          </cell>
          <cell r="M2007" t="e">
            <v>#VALUE!</v>
          </cell>
          <cell r="O2007" t="str">
            <v>-</v>
          </cell>
          <cell r="T2007">
            <v>0.25</v>
          </cell>
          <cell r="U2007" t="str">
            <v>-</v>
          </cell>
        </row>
        <row r="2008">
          <cell r="B2008" t="str">
            <v>2L3X2-1/2X3/16SLBB</v>
          </cell>
          <cell r="C2008">
            <v>2</v>
          </cell>
          <cell r="D2008">
            <v>2.5</v>
          </cell>
          <cell r="F2008" t="str">
            <v>-</v>
          </cell>
          <cell r="H2008" t="str">
            <v>-</v>
          </cell>
          <cell r="I2008" t="str">
            <v>-</v>
          </cell>
          <cell r="K2008" t="str">
            <v>-</v>
          </cell>
          <cell r="L2008">
            <v>3</v>
          </cell>
          <cell r="M2008" t="e">
            <v>#VALUE!</v>
          </cell>
          <cell r="O2008" t="str">
            <v>-</v>
          </cell>
          <cell r="T2008">
            <v>0.188</v>
          </cell>
          <cell r="U2008" t="str">
            <v>-</v>
          </cell>
        </row>
        <row r="2009">
          <cell r="B2009" t="str">
            <v>2L3X2-1/2X3/16X3/8SLBB</v>
          </cell>
          <cell r="C2009">
            <v>2</v>
          </cell>
          <cell r="D2009">
            <v>2.5</v>
          </cell>
          <cell r="F2009" t="str">
            <v>-</v>
          </cell>
          <cell r="H2009" t="str">
            <v>-</v>
          </cell>
          <cell r="I2009" t="str">
            <v>-</v>
          </cell>
          <cell r="K2009" t="str">
            <v>-</v>
          </cell>
          <cell r="L2009">
            <v>3</v>
          </cell>
          <cell r="M2009" t="e">
            <v>#VALUE!</v>
          </cell>
          <cell r="O2009" t="str">
            <v>-</v>
          </cell>
          <cell r="T2009">
            <v>0.188</v>
          </cell>
          <cell r="U2009" t="str">
            <v>-</v>
          </cell>
        </row>
        <row r="2010">
          <cell r="B2010" t="str">
            <v>2L3X2-1/2X3/16X3/4SLBB</v>
          </cell>
          <cell r="C2010">
            <v>2</v>
          </cell>
          <cell r="D2010">
            <v>2.5</v>
          </cell>
          <cell r="F2010" t="str">
            <v>-</v>
          </cell>
          <cell r="H2010" t="str">
            <v>-</v>
          </cell>
          <cell r="I2010" t="str">
            <v>-</v>
          </cell>
          <cell r="K2010" t="str">
            <v>-</v>
          </cell>
          <cell r="L2010">
            <v>3</v>
          </cell>
          <cell r="M2010" t="e">
            <v>#VALUE!</v>
          </cell>
          <cell r="O2010" t="str">
            <v>-</v>
          </cell>
          <cell r="T2010">
            <v>0.188</v>
          </cell>
          <cell r="U2010" t="str">
            <v>-</v>
          </cell>
        </row>
        <row r="2011">
          <cell r="B2011" t="str">
            <v>2L3X2X1/2SLBB</v>
          </cell>
          <cell r="C2011">
            <v>4.5199999999999996</v>
          </cell>
          <cell r="D2011">
            <v>2</v>
          </cell>
          <cell r="F2011" t="str">
            <v>-</v>
          </cell>
          <cell r="H2011" t="str">
            <v>-</v>
          </cell>
          <cell r="I2011" t="str">
            <v>-</v>
          </cell>
          <cell r="K2011" t="str">
            <v>-</v>
          </cell>
          <cell r="L2011">
            <v>3</v>
          </cell>
          <cell r="M2011" t="e">
            <v>#VALUE!</v>
          </cell>
          <cell r="O2011" t="str">
            <v>-</v>
          </cell>
          <cell r="T2011">
            <v>0.5</v>
          </cell>
          <cell r="U2011" t="str">
            <v>-</v>
          </cell>
        </row>
        <row r="2012">
          <cell r="B2012" t="str">
            <v>2L3X2X1/2X3/8SLBB</v>
          </cell>
          <cell r="C2012">
            <v>4.5199999999999996</v>
          </cell>
          <cell r="D2012">
            <v>2</v>
          </cell>
          <cell r="F2012" t="str">
            <v>-</v>
          </cell>
          <cell r="H2012" t="str">
            <v>-</v>
          </cell>
          <cell r="I2012" t="str">
            <v>-</v>
          </cell>
          <cell r="K2012" t="str">
            <v>-</v>
          </cell>
          <cell r="L2012">
            <v>3</v>
          </cell>
          <cell r="M2012" t="e">
            <v>#VALUE!</v>
          </cell>
          <cell r="O2012" t="str">
            <v>-</v>
          </cell>
          <cell r="T2012">
            <v>0.5</v>
          </cell>
          <cell r="U2012" t="str">
            <v>-</v>
          </cell>
        </row>
        <row r="2013">
          <cell r="B2013" t="str">
            <v>2L3X2X1/2X3/4SLBB</v>
          </cell>
          <cell r="C2013">
            <v>4.5199999999999996</v>
          </cell>
          <cell r="D2013">
            <v>2</v>
          </cell>
          <cell r="F2013" t="str">
            <v>-</v>
          </cell>
          <cell r="H2013" t="str">
            <v>-</v>
          </cell>
          <cell r="I2013" t="str">
            <v>-</v>
          </cell>
          <cell r="K2013" t="str">
            <v>-</v>
          </cell>
          <cell r="L2013">
            <v>3</v>
          </cell>
          <cell r="M2013" t="e">
            <v>#VALUE!</v>
          </cell>
          <cell r="O2013" t="str">
            <v>-</v>
          </cell>
          <cell r="T2013">
            <v>0.5</v>
          </cell>
          <cell r="U2013" t="str">
            <v>-</v>
          </cell>
        </row>
        <row r="2014">
          <cell r="B2014" t="str">
            <v>2L3X2X3/8SLBB</v>
          </cell>
          <cell r="C2014">
            <v>3.5</v>
          </cell>
          <cell r="D2014">
            <v>2</v>
          </cell>
          <cell r="F2014" t="str">
            <v>-</v>
          </cell>
          <cell r="H2014" t="str">
            <v>-</v>
          </cell>
          <cell r="I2014" t="str">
            <v>-</v>
          </cell>
          <cell r="K2014" t="str">
            <v>-</v>
          </cell>
          <cell r="L2014">
            <v>3</v>
          </cell>
          <cell r="M2014" t="e">
            <v>#VALUE!</v>
          </cell>
          <cell r="O2014" t="str">
            <v>-</v>
          </cell>
          <cell r="T2014">
            <v>0.375</v>
          </cell>
          <cell r="U2014" t="str">
            <v>-</v>
          </cell>
        </row>
        <row r="2015">
          <cell r="B2015" t="str">
            <v>2L3X2X3/8X3/8SLBB</v>
          </cell>
          <cell r="C2015">
            <v>3.5</v>
          </cell>
          <cell r="D2015">
            <v>2</v>
          </cell>
          <cell r="F2015" t="str">
            <v>-</v>
          </cell>
          <cell r="H2015" t="str">
            <v>-</v>
          </cell>
          <cell r="I2015" t="str">
            <v>-</v>
          </cell>
          <cell r="K2015" t="str">
            <v>-</v>
          </cell>
          <cell r="L2015">
            <v>3</v>
          </cell>
          <cell r="M2015" t="e">
            <v>#VALUE!</v>
          </cell>
          <cell r="O2015" t="str">
            <v>-</v>
          </cell>
          <cell r="T2015">
            <v>0.375</v>
          </cell>
          <cell r="U2015" t="str">
            <v>-</v>
          </cell>
        </row>
        <row r="2016">
          <cell r="B2016" t="str">
            <v>2L3X2X3/8X3/4SLBB</v>
          </cell>
          <cell r="C2016">
            <v>3.5</v>
          </cell>
          <cell r="D2016">
            <v>2</v>
          </cell>
          <cell r="F2016" t="str">
            <v>-</v>
          </cell>
          <cell r="H2016" t="str">
            <v>-</v>
          </cell>
          <cell r="I2016" t="str">
            <v>-</v>
          </cell>
          <cell r="K2016" t="str">
            <v>-</v>
          </cell>
          <cell r="L2016">
            <v>3</v>
          </cell>
          <cell r="M2016" t="e">
            <v>#VALUE!</v>
          </cell>
          <cell r="O2016" t="str">
            <v>-</v>
          </cell>
          <cell r="T2016">
            <v>0.375</v>
          </cell>
          <cell r="U2016" t="str">
            <v>-</v>
          </cell>
        </row>
        <row r="2017">
          <cell r="B2017" t="str">
            <v>2L3X2X5/16SLBB</v>
          </cell>
          <cell r="C2017">
            <v>2.96</v>
          </cell>
          <cell r="D2017">
            <v>2</v>
          </cell>
          <cell r="F2017" t="str">
            <v>-</v>
          </cell>
          <cell r="H2017" t="str">
            <v>-</v>
          </cell>
          <cell r="I2017" t="str">
            <v>-</v>
          </cell>
          <cell r="K2017" t="str">
            <v>-</v>
          </cell>
          <cell r="L2017">
            <v>3</v>
          </cell>
          <cell r="M2017" t="e">
            <v>#VALUE!</v>
          </cell>
          <cell r="O2017" t="str">
            <v>-</v>
          </cell>
          <cell r="T2017">
            <v>0.313</v>
          </cell>
          <cell r="U2017" t="str">
            <v>-</v>
          </cell>
        </row>
        <row r="2018">
          <cell r="B2018" t="str">
            <v>2L3X2X5/16X3/8SLBB</v>
          </cell>
          <cell r="C2018">
            <v>2.96</v>
          </cell>
          <cell r="D2018">
            <v>2</v>
          </cell>
          <cell r="F2018" t="str">
            <v>-</v>
          </cell>
          <cell r="H2018" t="str">
            <v>-</v>
          </cell>
          <cell r="I2018" t="str">
            <v>-</v>
          </cell>
          <cell r="K2018" t="str">
            <v>-</v>
          </cell>
          <cell r="L2018">
            <v>3</v>
          </cell>
          <cell r="M2018" t="e">
            <v>#VALUE!</v>
          </cell>
          <cell r="O2018" t="str">
            <v>-</v>
          </cell>
          <cell r="T2018">
            <v>0.313</v>
          </cell>
          <cell r="U2018" t="str">
            <v>-</v>
          </cell>
        </row>
        <row r="2019">
          <cell r="B2019" t="str">
            <v>2L3X2X5/16X3/4SLBB</v>
          </cell>
          <cell r="C2019">
            <v>2.96</v>
          </cell>
          <cell r="D2019">
            <v>2</v>
          </cell>
          <cell r="F2019" t="str">
            <v>-</v>
          </cell>
          <cell r="H2019" t="str">
            <v>-</v>
          </cell>
          <cell r="I2019" t="str">
            <v>-</v>
          </cell>
          <cell r="K2019" t="str">
            <v>-</v>
          </cell>
          <cell r="L2019">
            <v>3</v>
          </cell>
          <cell r="M2019" t="e">
            <v>#VALUE!</v>
          </cell>
          <cell r="O2019" t="str">
            <v>-</v>
          </cell>
          <cell r="T2019">
            <v>0.313</v>
          </cell>
          <cell r="U2019" t="str">
            <v>-</v>
          </cell>
        </row>
        <row r="2020">
          <cell r="B2020" t="str">
            <v>2L3X2X1/4SLBB</v>
          </cell>
          <cell r="C2020">
            <v>2.4</v>
          </cell>
          <cell r="D2020">
            <v>2</v>
          </cell>
          <cell r="F2020" t="str">
            <v>-</v>
          </cell>
          <cell r="H2020" t="str">
            <v>-</v>
          </cell>
          <cell r="I2020" t="str">
            <v>-</v>
          </cell>
          <cell r="K2020" t="str">
            <v>-</v>
          </cell>
          <cell r="L2020">
            <v>3</v>
          </cell>
          <cell r="M2020" t="e">
            <v>#VALUE!</v>
          </cell>
          <cell r="O2020" t="str">
            <v>-</v>
          </cell>
          <cell r="T2020">
            <v>0.25</v>
          </cell>
          <cell r="U2020" t="str">
            <v>-</v>
          </cell>
        </row>
        <row r="2021">
          <cell r="B2021" t="str">
            <v>2L3X2X1/4X3/8SLBB</v>
          </cell>
          <cell r="C2021">
            <v>2.4</v>
          </cell>
          <cell r="D2021">
            <v>2</v>
          </cell>
          <cell r="F2021" t="str">
            <v>-</v>
          </cell>
          <cell r="H2021" t="str">
            <v>-</v>
          </cell>
          <cell r="I2021" t="str">
            <v>-</v>
          </cell>
          <cell r="K2021" t="str">
            <v>-</v>
          </cell>
          <cell r="L2021">
            <v>3</v>
          </cell>
          <cell r="M2021" t="e">
            <v>#VALUE!</v>
          </cell>
          <cell r="O2021" t="str">
            <v>-</v>
          </cell>
          <cell r="T2021">
            <v>0.25</v>
          </cell>
          <cell r="U2021" t="str">
            <v>-</v>
          </cell>
        </row>
        <row r="2022">
          <cell r="B2022" t="str">
            <v>2L3X2X1/4X3/4SLBB</v>
          </cell>
          <cell r="C2022">
            <v>2.4</v>
          </cell>
          <cell r="D2022">
            <v>2</v>
          </cell>
          <cell r="F2022" t="str">
            <v>-</v>
          </cell>
          <cell r="H2022" t="str">
            <v>-</v>
          </cell>
          <cell r="I2022" t="str">
            <v>-</v>
          </cell>
          <cell r="K2022" t="str">
            <v>-</v>
          </cell>
          <cell r="L2022">
            <v>3</v>
          </cell>
          <cell r="M2022" t="e">
            <v>#VALUE!</v>
          </cell>
          <cell r="O2022" t="str">
            <v>-</v>
          </cell>
          <cell r="T2022">
            <v>0.25</v>
          </cell>
          <cell r="U2022" t="str">
            <v>-</v>
          </cell>
        </row>
        <row r="2023">
          <cell r="B2023" t="str">
            <v>2L3X2X3/16SLBB</v>
          </cell>
          <cell r="C2023">
            <v>1.83</v>
          </cell>
          <cell r="D2023">
            <v>2</v>
          </cell>
          <cell r="F2023" t="str">
            <v>-</v>
          </cell>
          <cell r="H2023" t="str">
            <v>-</v>
          </cell>
          <cell r="I2023" t="str">
            <v>-</v>
          </cell>
          <cell r="K2023" t="str">
            <v>-</v>
          </cell>
          <cell r="L2023">
            <v>3</v>
          </cell>
          <cell r="M2023" t="e">
            <v>#VALUE!</v>
          </cell>
          <cell r="O2023" t="str">
            <v>-</v>
          </cell>
          <cell r="T2023">
            <v>0.188</v>
          </cell>
          <cell r="U2023" t="str">
            <v>-</v>
          </cell>
        </row>
        <row r="2024">
          <cell r="B2024" t="str">
            <v>2L3X2X3/16X3/8SLBB</v>
          </cell>
          <cell r="C2024">
            <v>1.83</v>
          </cell>
          <cell r="D2024">
            <v>2</v>
          </cell>
          <cell r="F2024" t="str">
            <v>-</v>
          </cell>
          <cell r="H2024" t="str">
            <v>-</v>
          </cell>
          <cell r="I2024" t="str">
            <v>-</v>
          </cell>
          <cell r="K2024" t="str">
            <v>-</v>
          </cell>
          <cell r="L2024">
            <v>3</v>
          </cell>
          <cell r="M2024" t="e">
            <v>#VALUE!</v>
          </cell>
          <cell r="O2024" t="str">
            <v>-</v>
          </cell>
          <cell r="T2024">
            <v>0.188</v>
          </cell>
          <cell r="U2024" t="str">
            <v>-</v>
          </cell>
        </row>
        <row r="2025">
          <cell r="B2025" t="str">
            <v>2L3X2X3/16X3/4SLBB</v>
          </cell>
          <cell r="C2025">
            <v>1.83</v>
          </cell>
          <cell r="D2025">
            <v>2</v>
          </cell>
          <cell r="F2025" t="str">
            <v>-</v>
          </cell>
          <cell r="H2025" t="str">
            <v>-</v>
          </cell>
          <cell r="I2025" t="str">
            <v>-</v>
          </cell>
          <cell r="K2025" t="str">
            <v>-</v>
          </cell>
          <cell r="L2025">
            <v>3</v>
          </cell>
          <cell r="M2025" t="e">
            <v>#VALUE!</v>
          </cell>
          <cell r="O2025" t="str">
            <v>-</v>
          </cell>
          <cell r="T2025">
            <v>0.188</v>
          </cell>
          <cell r="U2025" t="str">
            <v>-</v>
          </cell>
        </row>
        <row r="2026">
          <cell r="B2026" t="str">
            <v>2L2-1/2X2X3/8SLBB</v>
          </cell>
          <cell r="C2026">
            <v>3.1</v>
          </cell>
          <cell r="D2026">
            <v>2</v>
          </cell>
          <cell r="F2026" t="str">
            <v>-</v>
          </cell>
          <cell r="H2026" t="str">
            <v>-</v>
          </cell>
          <cell r="I2026" t="str">
            <v>-</v>
          </cell>
          <cell r="K2026" t="str">
            <v>-</v>
          </cell>
          <cell r="L2026">
            <v>2.5</v>
          </cell>
          <cell r="M2026" t="e">
            <v>#VALUE!</v>
          </cell>
          <cell r="O2026" t="str">
            <v>-</v>
          </cell>
          <cell r="T2026">
            <v>0.375</v>
          </cell>
          <cell r="U2026" t="str">
            <v>-</v>
          </cell>
        </row>
        <row r="2027">
          <cell r="B2027" t="str">
            <v>2L2-1/2X2X3/8X3/8SLBB</v>
          </cell>
          <cell r="C2027">
            <v>3.1</v>
          </cell>
          <cell r="D2027">
            <v>2</v>
          </cell>
          <cell r="F2027" t="str">
            <v>-</v>
          </cell>
          <cell r="H2027" t="str">
            <v>-</v>
          </cell>
          <cell r="I2027" t="str">
            <v>-</v>
          </cell>
          <cell r="K2027" t="str">
            <v>-</v>
          </cell>
          <cell r="L2027">
            <v>2.5</v>
          </cell>
          <cell r="M2027" t="e">
            <v>#VALUE!</v>
          </cell>
          <cell r="O2027" t="str">
            <v>-</v>
          </cell>
          <cell r="T2027">
            <v>0.375</v>
          </cell>
          <cell r="U2027" t="str">
            <v>-</v>
          </cell>
        </row>
        <row r="2028">
          <cell r="B2028" t="str">
            <v>2L2-1/2X2X3/8X3/4SLBB</v>
          </cell>
          <cell r="C2028">
            <v>3.1</v>
          </cell>
          <cell r="D2028">
            <v>2</v>
          </cell>
          <cell r="F2028" t="str">
            <v>-</v>
          </cell>
          <cell r="H2028" t="str">
            <v>-</v>
          </cell>
          <cell r="I2028" t="str">
            <v>-</v>
          </cell>
          <cell r="K2028" t="str">
            <v>-</v>
          </cell>
          <cell r="L2028">
            <v>2.5</v>
          </cell>
          <cell r="M2028" t="e">
            <v>#VALUE!</v>
          </cell>
          <cell r="O2028" t="str">
            <v>-</v>
          </cell>
          <cell r="T2028">
            <v>0.375</v>
          </cell>
          <cell r="U2028" t="str">
            <v>-</v>
          </cell>
        </row>
        <row r="2029">
          <cell r="B2029" t="str">
            <v>2L2-1/2X2X5/16SLBB</v>
          </cell>
          <cell r="C2029">
            <v>2.64</v>
          </cell>
          <cell r="D2029">
            <v>2</v>
          </cell>
          <cell r="F2029" t="str">
            <v>-</v>
          </cell>
          <cell r="H2029" t="str">
            <v>-</v>
          </cell>
          <cell r="I2029" t="str">
            <v>-</v>
          </cell>
          <cell r="K2029" t="str">
            <v>-</v>
          </cell>
          <cell r="L2029">
            <v>2.5</v>
          </cell>
          <cell r="M2029" t="e">
            <v>#VALUE!</v>
          </cell>
          <cell r="O2029" t="str">
            <v>-</v>
          </cell>
          <cell r="T2029">
            <v>0.313</v>
          </cell>
          <cell r="U2029" t="str">
            <v>-</v>
          </cell>
        </row>
        <row r="2030">
          <cell r="B2030" t="str">
            <v>2L2-1/2X2X5/16X3/8SLBB</v>
          </cell>
          <cell r="C2030">
            <v>2.64</v>
          </cell>
          <cell r="D2030">
            <v>2</v>
          </cell>
          <cell r="F2030" t="str">
            <v>-</v>
          </cell>
          <cell r="H2030" t="str">
            <v>-</v>
          </cell>
          <cell r="I2030" t="str">
            <v>-</v>
          </cell>
          <cell r="K2030" t="str">
            <v>-</v>
          </cell>
          <cell r="L2030">
            <v>2.5</v>
          </cell>
          <cell r="M2030" t="e">
            <v>#VALUE!</v>
          </cell>
          <cell r="O2030" t="str">
            <v>-</v>
          </cell>
          <cell r="T2030">
            <v>0.313</v>
          </cell>
          <cell r="U2030" t="str">
            <v>-</v>
          </cell>
        </row>
        <row r="2031">
          <cell r="B2031" t="str">
            <v>2L2-1/2X2X5/16X3/4SLBB</v>
          </cell>
          <cell r="C2031">
            <v>2.64</v>
          </cell>
          <cell r="D2031">
            <v>2</v>
          </cell>
          <cell r="F2031" t="str">
            <v>-</v>
          </cell>
          <cell r="H2031" t="str">
            <v>-</v>
          </cell>
          <cell r="I2031" t="str">
            <v>-</v>
          </cell>
          <cell r="K2031" t="str">
            <v>-</v>
          </cell>
          <cell r="L2031">
            <v>2.5</v>
          </cell>
          <cell r="M2031" t="e">
            <v>#VALUE!</v>
          </cell>
          <cell r="O2031" t="str">
            <v>-</v>
          </cell>
          <cell r="T2031">
            <v>0.313</v>
          </cell>
          <cell r="U2031" t="str">
            <v>-</v>
          </cell>
        </row>
        <row r="2032">
          <cell r="B2032" t="str">
            <v>2L2-1/2X2X1/4SLBB</v>
          </cell>
          <cell r="C2032">
            <v>2.14</v>
          </cell>
          <cell r="D2032">
            <v>2</v>
          </cell>
          <cell r="F2032" t="str">
            <v>-</v>
          </cell>
          <cell r="H2032" t="str">
            <v>-</v>
          </cell>
          <cell r="I2032" t="str">
            <v>-</v>
          </cell>
          <cell r="K2032" t="str">
            <v>-</v>
          </cell>
          <cell r="L2032">
            <v>2.5</v>
          </cell>
          <cell r="M2032" t="e">
            <v>#VALUE!</v>
          </cell>
          <cell r="O2032" t="str">
            <v>-</v>
          </cell>
          <cell r="T2032">
            <v>0.25</v>
          </cell>
          <cell r="U2032" t="str">
            <v>-</v>
          </cell>
        </row>
        <row r="2033">
          <cell r="B2033" t="str">
            <v>2L2-1/2X2X1/4X3/8SLBB</v>
          </cell>
          <cell r="C2033">
            <v>2.14</v>
          </cell>
          <cell r="D2033">
            <v>2</v>
          </cell>
          <cell r="F2033" t="str">
            <v>-</v>
          </cell>
          <cell r="H2033" t="str">
            <v>-</v>
          </cell>
          <cell r="I2033" t="str">
            <v>-</v>
          </cell>
          <cell r="K2033" t="str">
            <v>-</v>
          </cell>
          <cell r="L2033">
            <v>2.5</v>
          </cell>
          <cell r="M2033" t="e">
            <v>#VALUE!</v>
          </cell>
          <cell r="O2033" t="str">
            <v>-</v>
          </cell>
          <cell r="T2033">
            <v>0.25</v>
          </cell>
          <cell r="U2033" t="str">
            <v>-</v>
          </cell>
        </row>
        <row r="2034">
          <cell r="B2034" t="str">
            <v>2L2-1/2X2X1/4X3/4SLBB</v>
          </cell>
          <cell r="C2034">
            <v>2.14</v>
          </cell>
          <cell r="D2034">
            <v>2</v>
          </cell>
          <cell r="F2034" t="str">
            <v>-</v>
          </cell>
          <cell r="H2034" t="str">
            <v>-</v>
          </cell>
          <cell r="I2034" t="str">
            <v>-</v>
          </cell>
          <cell r="K2034" t="str">
            <v>-</v>
          </cell>
          <cell r="L2034">
            <v>2.5</v>
          </cell>
          <cell r="M2034" t="e">
            <v>#VALUE!</v>
          </cell>
          <cell r="O2034" t="str">
            <v>-</v>
          </cell>
          <cell r="T2034">
            <v>0.25</v>
          </cell>
          <cell r="U2034" t="str">
            <v>-</v>
          </cell>
        </row>
        <row r="2035">
          <cell r="B2035" t="str">
            <v>2L2-1/2X2X3/16SLBB</v>
          </cell>
          <cell r="C2035">
            <v>1.64</v>
          </cell>
          <cell r="D2035">
            <v>2</v>
          </cell>
          <cell r="F2035" t="str">
            <v>-</v>
          </cell>
          <cell r="H2035" t="str">
            <v>-</v>
          </cell>
          <cell r="I2035" t="str">
            <v>-</v>
          </cell>
          <cell r="K2035" t="str">
            <v>-</v>
          </cell>
          <cell r="L2035">
            <v>2.5</v>
          </cell>
          <cell r="M2035" t="e">
            <v>#VALUE!</v>
          </cell>
          <cell r="O2035" t="str">
            <v>-</v>
          </cell>
          <cell r="T2035">
            <v>0.188</v>
          </cell>
          <cell r="U2035" t="str">
            <v>-</v>
          </cell>
        </row>
        <row r="2036">
          <cell r="B2036" t="str">
            <v>2L2-1/2X2X3/16X3/8SLBB</v>
          </cell>
          <cell r="C2036">
            <v>1.64</v>
          </cell>
          <cell r="D2036">
            <v>2</v>
          </cell>
          <cell r="F2036" t="str">
            <v>-</v>
          </cell>
          <cell r="H2036" t="str">
            <v>-</v>
          </cell>
          <cell r="I2036" t="str">
            <v>-</v>
          </cell>
          <cell r="K2036" t="str">
            <v>-</v>
          </cell>
          <cell r="L2036">
            <v>2.5</v>
          </cell>
          <cell r="M2036" t="e">
            <v>#VALUE!</v>
          </cell>
          <cell r="O2036" t="str">
            <v>-</v>
          </cell>
          <cell r="T2036">
            <v>0.188</v>
          </cell>
          <cell r="U2036" t="str">
            <v>-</v>
          </cell>
        </row>
        <row r="2037">
          <cell r="B2037" t="str">
            <v>2L2-1/2X2X3/16X3/4SLBB</v>
          </cell>
          <cell r="C2037">
            <v>1.64</v>
          </cell>
          <cell r="D2037">
            <v>2</v>
          </cell>
          <cell r="F2037" t="str">
            <v>-</v>
          </cell>
          <cell r="H2037" t="str">
            <v>-</v>
          </cell>
          <cell r="I2037" t="str">
            <v>-</v>
          </cell>
          <cell r="K2037" t="str">
            <v>-</v>
          </cell>
          <cell r="L2037">
            <v>2.5</v>
          </cell>
          <cell r="M2037" t="e">
            <v>#VALUE!</v>
          </cell>
          <cell r="O2037" t="str">
            <v>-</v>
          </cell>
          <cell r="T2037">
            <v>0.188</v>
          </cell>
          <cell r="U2037" t="str">
            <v>-</v>
          </cell>
        </row>
        <row r="2038">
          <cell r="B2038" t="str">
            <v>2L2-1/2X1-1/2X1/4SLBB</v>
          </cell>
          <cell r="C2038">
            <v>1.89</v>
          </cell>
          <cell r="D2038">
            <v>1.5</v>
          </cell>
          <cell r="F2038" t="str">
            <v>-</v>
          </cell>
          <cell r="H2038" t="str">
            <v>-</v>
          </cell>
          <cell r="I2038" t="str">
            <v>-</v>
          </cell>
          <cell r="K2038" t="str">
            <v>-</v>
          </cell>
          <cell r="L2038">
            <v>2.5</v>
          </cell>
          <cell r="M2038" t="e">
            <v>#VALUE!</v>
          </cell>
          <cell r="O2038" t="str">
            <v>-</v>
          </cell>
          <cell r="T2038">
            <v>0.25</v>
          </cell>
          <cell r="U2038" t="str">
            <v>-</v>
          </cell>
        </row>
        <row r="2039">
          <cell r="B2039" t="str">
            <v>2L2-1/2X1-1/2X1/4X3/8SLBB</v>
          </cell>
          <cell r="C2039">
            <v>1.89</v>
          </cell>
          <cell r="D2039">
            <v>1.5</v>
          </cell>
          <cell r="F2039" t="str">
            <v>-</v>
          </cell>
          <cell r="H2039" t="str">
            <v>-</v>
          </cell>
          <cell r="I2039" t="str">
            <v>-</v>
          </cell>
          <cell r="K2039" t="str">
            <v>-</v>
          </cell>
          <cell r="L2039">
            <v>2.5</v>
          </cell>
          <cell r="M2039" t="e">
            <v>#VALUE!</v>
          </cell>
          <cell r="O2039" t="str">
            <v>-</v>
          </cell>
          <cell r="T2039">
            <v>0.25</v>
          </cell>
          <cell r="U2039" t="str">
            <v>-</v>
          </cell>
        </row>
        <row r="2040">
          <cell r="B2040" t="str">
            <v>2L2-1/2X1-1/2X1/4X3/4SLBB</v>
          </cell>
          <cell r="C2040">
            <v>1.89</v>
          </cell>
          <cell r="D2040">
            <v>1.5</v>
          </cell>
          <cell r="F2040" t="str">
            <v>-</v>
          </cell>
          <cell r="H2040" t="str">
            <v>-</v>
          </cell>
          <cell r="I2040" t="str">
            <v>-</v>
          </cell>
          <cell r="K2040" t="str">
            <v>-</v>
          </cell>
          <cell r="L2040">
            <v>2.5</v>
          </cell>
          <cell r="M2040" t="e">
            <v>#VALUE!</v>
          </cell>
          <cell r="O2040" t="str">
            <v>-</v>
          </cell>
          <cell r="T2040">
            <v>0.25</v>
          </cell>
          <cell r="U2040" t="str">
            <v>-</v>
          </cell>
        </row>
        <row r="2041">
          <cell r="B2041" t="str">
            <v>2L2-1/2X1-1/2X3/16SLBB</v>
          </cell>
          <cell r="C2041">
            <v>1.45</v>
          </cell>
          <cell r="D2041">
            <v>1.5</v>
          </cell>
          <cell r="F2041" t="str">
            <v>-</v>
          </cell>
          <cell r="H2041" t="str">
            <v>-</v>
          </cell>
          <cell r="I2041" t="str">
            <v>-</v>
          </cell>
          <cell r="K2041" t="str">
            <v>-</v>
          </cell>
          <cell r="L2041">
            <v>2.5</v>
          </cell>
          <cell r="M2041" t="e">
            <v>#VALUE!</v>
          </cell>
          <cell r="O2041" t="str">
            <v>-</v>
          </cell>
          <cell r="T2041">
            <v>0.188</v>
          </cell>
          <cell r="U2041" t="str">
            <v>-</v>
          </cell>
        </row>
        <row r="2042">
          <cell r="B2042" t="str">
            <v>2L2-1/2X1-1/2X3/16X3/8SLBB</v>
          </cell>
          <cell r="C2042">
            <v>1.45</v>
          </cell>
          <cell r="D2042">
            <v>1.5</v>
          </cell>
          <cell r="F2042" t="str">
            <v>-</v>
          </cell>
          <cell r="H2042" t="str">
            <v>-</v>
          </cell>
          <cell r="I2042" t="str">
            <v>-</v>
          </cell>
          <cell r="K2042" t="str">
            <v>-</v>
          </cell>
          <cell r="L2042">
            <v>2.5</v>
          </cell>
          <cell r="M2042" t="e">
            <v>#VALUE!</v>
          </cell>
          <cell r="O2042" t="str">
            <v>-</v>
          </cell>
          <cell r="T2042">
            <v>0.188</v>
          </cell>
          <cell r="U2042" t="str">
            <v>-</v>
          </cell>
        </row>
        <row r="2043">
          <cell r="B2043" t="str">
            <v>2L2-1/2X1-1/2X3/16X3/4SLBB</v>
          </cell>
          <cell r="C2043">
            <v>1.45</v>
          </cell>
          <cell r="D2043">
            <v>1.5</v>
          </cell>
          <cell r="F2043" t="str">
            <v>-</v>
          </cell>
          <cell r="H2043" t="str">
            <v>-</v>
          </cell>
          <cell r="I2043" t="str">
            <v>-</v>
          </cell>
          <cell r="K2043" t="str">
            <v>-</v>
          </cell>
          <cell r="L2043">
            <v>2.5</v>
          </cell>
          <cell r="M2043" t="e">
            <v>#VALUE!</v>
          </cell>
          <cell r="O2043" t="str">
            <v>-</v>
          </cell>
          <cell r="T2043">
            <v>0.188</v>
          </cell>
          <cell r="U2043" t="str">
            <v>-</v>
          </cell>
        </row>
        <row r="2044">
          <cell r="B2044" t="str">
            <v>HSS20X12X10</v>
          </cell>
          <cell r="C2044">
            <v>35</v>
          </cell>
          <cell r="D2044" t="str">
            <v>-</v>
          </cell>
          <cell r="F2044">
            <v>20</v>
          </cell>
          <cell r="H2044" t="str">
            <v>-</v>
          </cell>
          <cell r="I2044" t="str">
            <v>-</v>
          </cell>
          <cell r="K2044">
            <v>12</v>
          </cell>
          <cell r="L2044">
            <v>10.3</v>
          </cell>
          <cell r="M2044">
            <v>23.323807579381203</v>
          </cell>
          <cell r="O2044" t="str">
            <v>-</v>
          </cell>
          <cell r="T2044" t="str">
            <v>-</v>
          </cell>
          <cell r="U2044">
            <v>0.625</v>
          </cell>
        </row>
        <row r="2045">
          <cell r="B2045" t="str">
            <v>HSS20X12X8</v>
          </cell>
          <cell r="C2045">
            <v>28.3</v>
          </cell>
          <cell r="D2045" t="str">
            <v>-</v>
          </cell>
          <cell r="F2045">
            <v>20</v>
          </cell>
          <cell r="H2045" t="str">
            <v>-</v>
          </cell>
          <cell r="I2045" t="str">
            <v>-</v>
          </cell>
          <cell r="K2045">
            <v>12</v>
          </cell>
          <cell r="L2045">
            <v>10.6</v>
          </cell>
          <cell r="M2045">
            <v>23.323807579381203</v>
          </cell>
          <cell r="O2045" t="str">
            <v>-</v>
          </cell>
          <cell r="T2045" t="str">
            <v>-</v>
          </cell>
          <cell r="U2045">
            <v>0.5</v>
          </cell>
        </row>
        <row r="2046">
          <cell r="B2046" t="str">
            <v>HSS20X12X6</v>
          </cell>
          <cell r="C2046">
            <v>21.5</v>
          </cell>
          <cell r="D2046" t="str">
            <v>-</v>
          </cell>
          <cell r="F2046">
            <v>20</v>
          </cell>
          <cell r="H2046" t="str">
            <v>-</v>
          </cell>
          <cell r="I2046" t="str">
            <v>-</v>
          </cell>
          <cell r="K2046">
            <v>12</v>
          </cell>
          <cell r="L2046">
            <v>11</v>
          </cell>
          <cell r="M2046">
            <v>23.323807579381203</v>
          </cell>
          <cell r="O2046" t="str">
            <v>-</v>
          </cell>
          <cell r="T2046" t="str">
            <v>-</v>
          </cell>
          <cell r="U2046">
            <v>0.375</v>
          </cell>
        </row>
        <row r="2047">
          <cell r="B2047" t="str">
            <v>HSS20X12X5</v>
          </cell>
          <cell r="C2047">
            <v>18.100000000000001</v>
          </cell>
          <cell r="D2047" t="str">
            <v>-</v>
          </cell>
          <cell r="F2047">
            <v>20</v>
          </cell>
          <cell r="H2047" t="str">
            <v>-</v>
          </cell>
          <cell r="I2047" t="str">
            <v>-</v>
          </cell>
          <cell r="K2047">
            <v>12</v>
          </cell>
          <cell r="L2047">
            <v>11.1</v>
          </cell>
          <cell r="M2047">
            <v>23.323807579381203</v>
          </cell>
          <cell r="O2047" t="str">
            <v>-</v>
          </cell>
          <cell r="T2047" t="str">
            <v>-</v>
          </cell>
          <cell r="U2047">
            <v>0.3125</v>
          </cell>
        </row>
        <row r="2048">
          <cell r="B2048" t="str">
            <v>HSS20X8X10</v>
          </cell>
          <cell r="C2048">
            <v>30.3</v>
          </cell>
          <cell r="D2048" t="str">
            <v>-</v>
          </cell>
          <cell r="F2048">
            <v>20</v>
          </cell>
          <cell r="H2048" t="str">
            <v>-</v>
          </cell>
          <cell r="I2048" t="str">
            <v>-</v>
          </cell>
          <cell r="K2048">
            <v>8</v>
          </cell>
          <cell r="L2048">
            <v>6.26</v>
          </cell>
          <cell r="M2048">
            <v>21.540659228538015</v>
          </cell>
          <cell r="O2048" t="str">
            <v>-</v>
          </cell>
          <cell r="T2048" t="str">
            <v>-</v>
          </cell>
          <cell r="U2048">
            <v>0.625</v>
          </cell>
        </row>
        <row r="2049">
          <cell r="B2049" t="str">
            <v>HSS20X8X8</v>
          </cell>
          <cell r="C2049">
            <v>24.6</v>
          </cell>
          <cell r="D2049" t="str">
            <v>-</v>
          </cell>
          <cell r="F2049">
            <v>20</v>
          </cell>
          <cell r="H2049" t="str">
            <v>-</v>
          </cell>
          <cell r="I2049" t="str">
            <v>-</v>
          </cell>
          <cell r="K2049">
            <v>8</v>
          </cell>
          <cell r="L2049">
            <v>6.6</v>
          </cell>
          <cell r="M2049">
            <v>21.540659228538015</v>
          </cell>
          <cell r="O2049" t="str">
            <v>-</v>
          </cell>
          <cell r="T2049" t="str">
            <v>-</v>
          </cell>
          <cell r="U2049">
            <v>0.5</v>
          </cell>
        </row>
        <row r="2050">
          <cell r="B2050" t="str">
            <v>HSS20X8X6</v>
          </cell>
          <cell r="C2050">
            <v>18.7</v>
          </cell>
          <cell r="D2050" t="str">
            <v>-</v>
          </cell>
          <cell r="F2050">
            <v>20</v>
          </cell>
          <cell r="H2050" t="str">
            <v>-</v>
          </cell>
          <cell r="I2050" t="str">
            <v>-</v>
          </cell>
          <cell r="K2050">
            <v>8</v>
          </cell>
          <cell r="L2050">
            <v>6.95</v>
          </cell>
          <cell r="M2050">
            <v>21.540659228538015</v>
          </cell>
          <cell r="O2050" t="str">
            <v>-</v>
          </cell>
          <cell r="T2050" t="str">
            <v>-</v>
          </cell>
          <cell r="U2050">
            <v>0.375</v>
          </cell>
        </row>
        <row r="2051">
          <cell r="B2051" t="str">
            <v>HSS20X8X5</v>
          </cell>
          <cell r="C2051">
            <v>15.7</v>
          </cell>
          <cell r="D2051" t="str">
            <v>-</v>
          </cell>
          <cell r="F2051">
            <v>20</v>
          </cell>
          <cell r="H2051" t="str">
            <v>-</v>
          </cell>
          <cell r="I2051" t="str">
            <v>-</v>
          </cell>
          <cell r="K2051">
            <v>8</v>
          </cell>
          <cell r="L2051">
            <v>7.13</v>
          </cell>
          <cell r="M2051">
            <v>21.540659228538015</v>
          </cell>
          <cell r="O2051" t="str">
            <v>-</v>
          </cell>
          <cell r="T2051" t="str">
            <v>-</v>
          </cell>
          <cell r="U2051">
            <v>0.3125</v>
          </cell>
        </row>
        <row r="2052">
          <cell r="B2052" t="str">
            <v>HSS20X4X8</v>
          </cell>
          <cell r="C2052">
            <v>20.9</v>
          </cell>
          <cell r="D2052" t="str">
            <v>-</v>
          </cell>
          <cell r="F2052">
            <v>20</v>
          </cell>
          <cell r="H2052" t="str">
            <v>-</v>
          </cell>
          <cell r="I2052" t="str">
            <v>-</v>
          </cell>
          <cell r="K2052">
            <v>4</v>
          </cell>
          <cell r="L2052">
            <v>2.6</v>
          </cell>
          <cell r="M2052">
            <v>20.396078054371138</v>
          </cell>
          <cell r="O2052" t="str">
            <v>-</v>
          </cell>
          <cell r="T2052" t="str">
            <v>-</v>
          </cell>
          <cell r="U2052">
            <v>0.5</v>
          </cell>
        </row>
        <row r="2053">
          <cell r="B2053" t="str">
            <v>HSS20X4X6</v>
          </cell>
          <cell r="C2053">
            <v>16</v>
          </cell>
          <cell r="D2053" t="str">
            <v>-</v>
          </cell>
          <cell r="F2053">
            <v>20</v>
          </cell>
          <cell r="H2053" t="str">
            <v>-</v>
          </cell>
          <cell r="I2053" t="str">
            <v>-</v>
          </cell>
          <cell r="K2053">
            <v>4</v>
          </cell>
          <cell r="L2053">
            <v>2.95</v>
          </cell>
          <cell r="M2053">
            <v>20.396078054371138</v>
          </cell>
          <cell r="O2053" t="str">
            <v>-</v>
          </cell>
          <cell r="T2053" t="str">
            <v>-</v>
          </cell>
          <cell r="U2053">
            <v>0.375</v>
          </cell>
        </row>
        <row r="2054">
          <cell r="B2054" t="str">
            <v>HSS20X4X5</v>
          </cell>
          <cell r="C2054">
            <v>13.4</v>
          </cell>
          <cell r="D2054" t="str">
            <v>-</v>
          </cell>
          <cell r="F2054">
            <v>20</v>
          </cell>
          <cell r="H2054" t="str">
            <v>-</v>
          </cell>
          <cell r="I2054" t="str">
            <v>-</v>
          </cell>
          <cell r="K2054">
            <v>4</v>
          </cell>
          <cell r="L2054">
            <v>3.13</v>
          </cell>
          <cell r="M2054">
            <v>20.396078054371138</v>
          </cell>
          <cell r="O2054" t="str">
            <v>-</v>
          </cell>
          <cell r="T2054" t="str">
            <v>-</v>
          </cell>
          <cell r="U2054">
            <v>0.3125</v>
          </cell>
        </row>
        <row r="2055">
          <cell r="B2055" t="str">
            <v>HSS20X4X4</v>
          </cell>
          <cell r="C2055">
            <v>10.8</v>
          </cell>
          <cell r="D2055" t="str">
            <v>-</v>
          </cell>
          <cell r="F2055">
            <v>20</v>
          </cell>
          <cell r="H2055" t="str">
            <v>-</v>
          </cell>
          <cell r="I2055" t="str">
            <v>-</v>
          </cell>
          <cell r="K2055">
            <v>4</v>
          </cell>
          <cell r="L2055">
            <v>3.3</v>
          </cell>
          <cell r="M2055">
            <v>20.396078054371138</v>
          </cell>
          <cell r="O2055" t="str">
            <v>-</v>
          </cell>
          <cell r="T2055" t="str">
            <v>-</v>
          </cell>
          <cell r="U2055">
            <v>0.25</v>
          </cell>
        </row>
        <row r="2056">
          <cell r="B2056" t="str">
            <v>HSS18X6X10</v>
          </cell>
          <cell r="C2056">
            <v>25.7</v>
          </cell>
          <cell r="D2056" t="str">
            <v>-</v>
          </cell>
          <cell r="F2056">
            <v>18</v>
          </cell>
          <cell r="H2056" t="str">
            <v>-</v>
          </cell>
          <cell r="I2056" t="str">
            <v>-</v>
          </cell>
          <cell r="K2056">
            <v>6</v>
          </cell>
          <cell r="L2056">
            <v>4.26</v>
          </cell>
          <cell r="M2056">
            <v>18.973665961010276</v>
          </cell>
          <cell r="O2056" t="str">
            <v>-</v>
          </cell>
          <cell r="T2056" t="str">
            <v>-</v>
          </cell>
          <cell r="U2056">
            <v>0.625</v>
          </cell>
        </row>
        <row r="2057">
          <cell r="B2057" t="str">
            <v>HSS18X6X8</v>
          </cell>
          <cell r="C2057">
            <v>20.9</v>
          </cell>
          <cell r="D2057" t="str">
            <v>-</v>
          </cell>
          <cell r="F2057">
            <v>18</v>
          </cell>
          <cell r="H2057" t="str">
            <v>-</v>
          </cell>
          <cell r="I2057" t="str">
            <v>-</v>
          </cell>
          <cell r="K2057">
            <v>6</v>
          </cell>
          <cell r="L2057">
            <v>4.6100000000000003</v>
          </cell>
          <cell r="M2057">
            <v>18.973665961010276</v>
          </cell>
          <cell r="O2057" t="str">
            <v>-</v>
          </cell>
          <cell r="T2057" t="str">
            <v>-</v>
          </cell>
          <cell r="U2057">
            <v>0.5</v>
          </cell>
        </row>
        <row r="2058">
          <cell r="B2058" t="str">
            <v>HSS18X6X6</v>
          </cell>
          <cell r="C2058">
            <v>16</v>
          </cell>
          <cell r="D2058" t="str">
            <v>-</v>
          </cell>
          <cell r="F2058">
            <v>18</v>
          </cell>
          <cell r="H2058" t="str">
            <v>-</v>
          </cell>
          <cell r="I2058" t="str">
            <v>-</v>
          </cell>
          <cell r="K2058">
            <v>6</v>
          </cell>
          <cell r="L2058">
            <v>4.95</v>
          </cell>
          <cell r="M2058">
            <v>18.973665961010276</v>
          </cell>
          <cell r="O2058" t="str">
            <v>-</v>
          </cell>
          <cell r="T2058" t="str">
            <v>-</v>
          </cell>
          <cell r="U2058">
            <v>0.375</v>
          </cell>
        </row>
        <row r="2059">
          <cell r="B2059" t="str">
            <v>HSS18X6X5</v>
          </cell>
          <cell r="C2059">
            <v>13.4</v>
          </cell>
          <cell r="D2059" t="str">
            <v>-</v>
          </cell>
          <cell r="F2059">
            <v>18</v>
          </cell>
          <cell r="H2059" t="str">
            <v>-</v>
          </cell>
          <cell r="I2059" t="str">
            <v>-</v>
          </cell>
          <cell r="K2059">
            <v>6</v>
          </cell>
          <cell r="L2059">
            <v>5.13</v>
          </cell>
          <cell r="M2059">
            <v>18.973665961010276</v>
          </cell>
          <cell r="O2059" t="str">
            <v>-</v>
          </cell>
          <cell r="T2059" t="str">
            <v>-</v>
          </cell>
          <cell r="U2059">
            <v>0.3125</v>
          </cell>
        </row>
        <row r="2060">
          <cell r="B2060" t="str">
            <v>HSS18X6X4</v>
          </cell>
          <cell r="C2060">
            <v>10.8</v>
          </cell>
          <cell r="D2060" t="str">
            <v>-</v>
          </cell>
          <cell r="F2060">
            <v>18</v>
          </cell>
          <cell r="H2060" t="str">
            <v>-</v>
          </cell>
          <cell r="I2060" t="str">
            <v>-</v>
          </cell>
          <cell r="K2060">
            <v>6</v>
          </cell>
          <cell r="L2060">
            <v>5.3</v>
          </cell>
          <cell r="M2060">
            <v>18.973665961010276</v>
          </cell>
          <cell r="O2060" t="str">
            <v>-</v>
          </cell>
          <cell r="T2060" t="str">
            <v>-</v>
          </cell>
          <cell r="U2060">
            <v>0.25</v>
          </cell>
        </row>
        <row r="2061">
          <cell r="B2061" t="str">
            <v>HSS16X16X10</v>
          </cell>
          <cell r="C2061">
            <v>35</v>
          </cell>
          <cell r="D2061" t="str">
            <v>-</v>
          </cell>
          <cell r="F2061">
            <v>16</v>
          </cell>
          <cell r="H2061" t="str">
            <v>-</v>
          </cell>
          <cell r="I2061" t="str">
            <v>-</v>
          </cell>
          <cell r="K2061">
            <v>16</v>
          </cell>
          <cell r="L2061">
            <v>14.3</v>
          </cell>
          <cell r="M2061">
            <v>22.627416997969522</v>
          </cell>
          <cell r="O2061" t="str">
            <v>-</v>
          </cell>
          <cell r="T2061" t="str">
            <v>-</v>
          </cell>
          <cell r="U2061">
            <v>0.625</v>
          </cell>
        </row>
        <row r="2062">
          <cell r="B2062" t="str">
            <v>HSS16X16X8</v>
          </cell>
          <cell r="C2062">
            <v>28.3</v>
          </cell>
          <cell r="D2062" t="str">
            <v>-</v>
          </cell>
          <cell r="F2062">
            <v>16</v>
          </cell>
          <cell r="H2062" t="str">
            <v>-</v>
          </cell>
          <cell r="I2062" t="str">
            <v>-</v>
          </cell>
          <cell r="K2062">
            <v>16</v>
          </cell>
          <cell r="L2062">
            <v>14.6</v>
          </cell>
          <cell r="M2062">
            <v>22.627416997969522</v>
          </cell>
          <cell r="O2062" t="str">
            <v>-</v>
          </cell>
          <cell r="T2062" t="str">
            <v>-</v>
          </cell>
          <cell r="U2062">
            <v>0.5</v>
          </cell>
        </row>
        <row r="2063">
          <cell r="B2063" t="str">
            <v>HSS16X16X6</v>
          </cell>
          <cell r="C2063">
            <v>21.5</v>
          </cell>
          <cell r="D2063" t="str">
            <v>-</v>
          </cell>
          <cell r="F2063">
            <v>16</v>
          </cell>
          <cell r="H2063" t="str">
            <v>-</v>
          </cell>
          <cell r="I2063" t="str">
            <v>-</v>
          </cell>
          <cell r="K2063">
            <v>16</v>
          </cell>
          <cell r="L2063">
            <v>15</v>
          </cell>
          <cell r="M2063">
            <v>22.627416997969522</v>
          </cell>
          <cell r="O2063" t="str">
            <v>-</v>
          </cell>
          <cell r="T2063" t="str">
            <v>-</v>
          </cell>
          <cell r="U2063">
            <v>0.375</v>
          </cell>
        </row>
        <row r="2064">
          <cell r="B2064" t="str">
            <v>HSS16X16X5</v>
          </cell>
          <cell r="C2064">
            <v>18.100000000000001</v>
          </cell>
          <cell r="D2064" t="str">
            <v>-</v>
          </cell>
          <cell r="F2064">
            <v>16</v>
          </cell>
          <cell r="H2064" t="str">
            <v>-</v>
          </cell>
          <cell r="I2064" t="str">
            <v>-</v>
          </cell>
          <cell r="K2064">
            <v>16</v>
          </cell>
          <cell r="L2064">
            <v>15.1</v>
          </cell>
          <cell r="M2064">
            <v>22.627416997969522</v>
          </cell>
          <cell r="O2064" t="str">
            <v>-</v>
          </cell>
          <cell r="T2064" t="str">
            <v>-</v>
          </cell>
          <cell r="U2064">
            <v>0.3125</v>
          </cell>
        </row>
        <row r="2065">
          <cell r="B2065" t="str">
            <v>HSS16X12X10</v>
          </cell>
          <cell r="C2065">
            <v>30.3</v>
          </cell>
          <cell r="D2065" t="str">
            <v>-</v>
          </cell>
          <cell r="F2065">
            <v>16</v>
          </cell>
          <cell r="H2065" t="str">
            <v>-</v>
          </cell>
          <cell r="I2065" t="str">
            <v>-</v>
          </cell>
          <cell r="K2065">
            <v>12</v>
          </cell>
          <cell r="L2065">
            <v>10.3</v>
          </cell>
          <cell r="M2065">
            <v>20</v>
          </cell>
          <cell r="O2065" t="str">
            <v>-</v>
          </cell>
          <cell r="T2065" t="str">
            <v>-</v>
          </cell>
          <cell r="U2065">
            <v>0.625</v>
          </cell>
        </row>
        <row r="2066">
          <cell r="B2066" t="str">
            <v>HSS16X12X8</v>
          </cell>
          <cell r="C2066">
            <v>24.6</v>
          </cell>
          <cell r="D2066" t="str">
            <v>-</v>
          </cell>
          <cell r="F2066">
            <v>16</v>
          </cell>
          <cell r="H2066" t="str">
            <v>-</v>
          </cell>
          <cell r="I2066" t="str">
            <v>-</v>
          </cell>
          <cell r="K2066">
            <v>12</v>
          </cell>
          <cell r="L2066">
            <v>10.6</v>
          </cell>
          <cell r="M2066">
            <v>20</v>
          </cell>
          <cell r="O2066" t="str">
            <v>-</v>
          </cell>
          <cell r="T2066" t="str">
            <v>-</v>
          </cell>
          <cell r="U2066">
            <v>0.5</v>
          </cell>
        </row>
        <row r="2067">
          <cell r="B2067" t="str">
            <v>HSS16X12X6</v>
          </cell>
          <cell r="C2067">
            <v>18.7</v>
          </cell>
          <cell r="D2067" t="str">
            <v>-</v>
          </cell>
          <cell r="F2067">
            <v>16</v>
          </cell>
          <cell r="H2067" t="str">
            <v>-</v>
          </cell>
          <cell r="I2067" t="str">
            <v>-</v>
          </cell>
          <cell r="K2067">
            <v>12</v>
          </cell>
          <cell r="L2067">
            <v>11</v>
          </cell>
          <cell r="M2067">
            <v>20</v>
          </cell>
          <cell r="O2067" t="str">
            <v>-</v>
          </cell>
          <cell r="T2067" t="str">
            <v>-</v>
          </cell>
          <cell r="U2067">
            <v>0.375</v>
          </cell>
        </row>
        <row r="2068">
          <cell r="B2068" t="str">
            <v>HSS16X12X5</v>
          </cell>
          <cell r="C2068">
            <v>15.7</v>
          </cell>
          <cell r="D2068" t="str">
            <v>-</v>
          </cell>
          <cell r="F2068">
            <v>16</v>
          </cell>
          <cell r="H2068" t="str">
            <v>-</v>
          </cell>
          <cell r="I2068" t="str">
            <v>-</v>
          </cell>
          <cell r="K2068">
            <v>12</v>
          </cell>
          <cell r="L2068">
            <v>11.1</v>
          </cell>
          <cell r="M2068">
            <v>20</v>
          </cell>
          <cell r="O2068" t="str">
            <v>-</v>
          </cell>
          <cell r="T2068" t="str">
            <v>-</v>
          </cell>
          <cell r="U2068">
            <v>0.3125</v>
          </cell>
        </row>
        <row r="2069">
          <cell r="B2069" t="str">
            <v>HSS16X8X10</v>
          </cell>
          <cell r="C2069">
            <v>25.7</v>
          </cell>
          <cell r="D2069" t="str">
            <v>-</v>
          </cell>
          <cell r="F2069">
            <v>16</v>
          </cell>
          <cell r="H2069" t="str">
            <v>-</v>
          </cell>
          <cell r="I2069" t="str">
            <v>-</v>
          </cell>
          <cell r="K2069">
            <v>8</v>
          </cell>
          <cell r="L2069">
            <v>6.26</v>
          </cell>
          <cell r="M2069">
            <v>17.888543819998318</v>
          </cell>
          <cell r="O2069" t="str">
            <v>-</v>
          </cell>
          <cell r="T2069" t="str">
            <v>-</v>
          </cell>
          <cell r="U2069">
            <v>0.625</v>
          </cell>
        </row>
        <row r="2070">
          <cell r="B2070" t="str">
            <v>HSS16X8X8</v>
          </cell>
          <cell r="C2070">
            <v>20.9</v>
          </cell>
          <cell r="D2070" t="str">
            <v>-</v>
          </cell>
          <cell r="F2070">
            <v>16</v>
          </cell>
          <cell r="H2070" t="str">
            <v>-</v>
          </cell>
          <cell r="I2070" t="str">
            <v>-</v>
          </cell>
          <cell r="K2070">
            <v>8</v>
          </cell>
          <cell r="L2070">
            <v>6.6</v>
          </cell>
          <cell r="M2070">
            <v>17.888543819998318</v>
          </cell>
          <cell r="O2070" t="str">
            <v>-</v>
          </cell>
          <cell r="T2070" t="str">
            <v>-</v>
          </cell>
          <cell r="U2070">
            <v>0.5</v>
          </cell>
        </row>
        <row r="2071">
          <cell r="B2071" t="str">
            <v>HSS16X8X6</v>
          </cell>
          <cell r="C2071">
            <v>16</v>
          </cell>
          <cell r="D2071" t="str">
            <v>-</v>
          </cell>
          <cell r="F2071">
            <v>16</v>
          </cell>
          <cell r="H2071" t="str">
            <v>-</v>
          </cell>
          <cell r="I2071" t="str">
            <v>-</v>
          </cell>
          <cell r="K2071">
            <v>8</v>
          </cell>
          <cell r="L2071">
            <v>6.95</v>
          </cell>
          <cell r="M2071">
            <v>17.888543819998318</v>
          </cell>
          <cell r="O2071" t="str">
            <v>-</v>
          </cell>
          <cell r="T2071" t="str">
            <v>-</v>
          </cell>
          <cell r="U2071">
            <v>0.375</v>
          </cell>
        </row>
        <row r="2072">
          <cell r="B2072" t="str">
            <v>HSS16X8X5</v>
          </cell>
          <cell r="C2072">
            <v>13.4</v>
          </cell>
          <cell r="D2072" t="str">
            <v>-</v>
          </cell>
          <cell r="F2072">
            <v>16</v>
          </cell>
          <cell r="H2072" t="str">
            <v>-</v>
          </cell>
          <cell r="I2072" t="str">
            <v>-</v>
          </cell>
          <cell r="K2072">
            <v>8</v>
          </cell>
          <cell r="L2072">
            <v>7.13</v>
          </cell>
          <cell r="M2072">
            <v>17.888543819998318</v>
          </cell>
          <cell r="O2072" t="str">
            <v>-</v>
          </cell>
          <cell r="T2072" t="str">
            <v>-</v>
          </cell>
          <cell r="U2072">
            <v>0.3125</v>
          </cell>
        </row>
        <row r="2073">
          <cell r="B2073" t="str">
            <v>HSS16X8X4</v>
          </cell>
          <cell r="C2073">
            <v>10.8</v>
          </cell>
          <cell r="D2073" t="str">
            <v>-</v>
          </cell>
          <cell r="F2073">
            <v>16</v>
          </cell>
          <cell r="H2073" t="str">
            <v>-</v>
          </cell>
          <cell r="I2073" t="str">
            <v>-</v>
          </cell>
          <cell r="K2073">
            <v>8</v>
          </cell>
          <cell r="L2073">
            <v>7.3</v>
          </cell>
          <cell r="M2073">
            <v>17.888543819998318</v>
          </cell>
          <cell r="O2073" t="str">
            <v>-</v>
          </cell>
          <cell r="T2073" t="str">
            <v>-</v>
          </cell>
          <cell r="U2073">
            <v>0.25</v>
          </cell>
        </row>
        <row r="2074">
          <cell r="B2074" t="str">
            <v>HSS16X4X10</v>
          </cell>
          <cell r="C2074">
            <v>21</v>
          </cell>
          <cell r="D2074" t="str">
            <v>-</v>
          </cell>
          <cell r="F2074">
            <v>16</v>
          </cell>
          <cell r="H2074" t="str">
            <v>-</v>
          </cell>
          <cell r="I2074" t="str">
            <v>-</v>
          </cell>
          <cell r="K2074">
            <v>4</v>
          </cell>
          <cell r="L2074">
            <v>2.2599999999999998</v>
          </cell>
          <cell r="M2074">
            <v>16.492422502470642</v>
          </cell>
          <cell r="O2074" t="str">
            <v>-</v>
          </cell>
          <cell r="T2074" t="str">
            <v>-</v>
          </cell>
          <cell r="U2074">
            <v>0.625</v>
          </cell>
        </row>
        <row r="2075">
          <cell r="B2075" t="str">
            <v>HSS16X4X8</v>
          </cell>
          <cell r="C2075">
            <v>17.2</v>
          </cell>
          <cell r="D2075" t="str">
            <v>-</v>
          </cell>
          <cell r="F2075">
            <v>16</v>
          </cell>
          <cell r="H2075" t="str">
            <v>-</v>
          </cell>
          <cell r="I2075" t="str">
            <v>-</v>
          </cell>
          <cell r="K2075">
            <v>4</v>
          </cell>
          <cell r="L2075">
            <v>2.6</v>
          </cell>
          <cell r="M2075">
            <v>16.492422502470642</v>
          </cell>
          <cell r="O2075" t="str">
            <v>-</v>
          </cell>
          <cell r="T2075" t="str">
            <v>-</v>
          </cell>
          <cell r="U2075">
            <v>0.5</v>
          </cell>
        </row>
        <row r="2076">
          <cell r="B2076" t="str">
            <v>HSS16X4X6</v>
          </cell>
          <cell r="C2076">
            <v>13.2</v>
          </cell>
          <cell r="D2076" t="str">
            <v>-</v>
          </cell>
          <cell r="F2076">
            <v>16</v>
          </cell>
          <cell r="H2076" t="str">
            <v>-</v>
          </cell>
          <cell r="I2076" t="str">
            <v>-</v>
          </cell>
          <cell r="K2076">
            <v>4</v>
          </cell>
          <cell r="L2076">
            <v>2.95</v>
          </cell>
          <cell r="M2076">
            <v>16.492422502470642</v>
          </cell>
          <cell r="O2076" t="str">
            <v>-</v>
          </cell>
          <cell r="T2076" t="str">
            <v>-</v>
          </cell>
          <cell r="U2076">
            <v>0.375</v>
          </cell>
        </row>
        <row r="2077">
          <cell r="B2077" t="str">
            <v>HSS16X4X5</v>
          </cell>
          <cell r="C2077">
            <v>11.1</v>
          </cell>
          <cell r="D2077" t="str">
            <v>-</v>
          </cell>
          <cell r="F2077">
            <v>16</v>
          </cell>
          <cell r="H2077" t="str">
            <v>-</v>
          </cell>
          <cell r="I2077" t="str">
            <v>-</v>
          </cell>
          <cell r="K2077">
            <v>4</v>
          </cell>
          <cell r="L2077">
            <v>3.13</v>
          </cell>
          <cell r="M2077">
            <v>16.492422502470642</v>
          </cell>
          <cell r="O2077" t="str">
            <v>-</v>
          </cell>
          <cell r="T2077" t="str">
            <v>-</v>
          </cell>
          <cell r="U2077">
            <v>0.3125</v>
          </cell>
        </row>
        <row r="2078">
          <cell r="B2078" t="str">
            <v>HSS16X4X4</v>
          </cell>
          <cell r="C2078">
            <v>8.9600000000000009</v>
          </cell>
          <cell r="D2078" t="str">
            <v>-</v>
          </cell>
          <cell r="F2078">
            <v>16</v>
          </cell>
          <cell r="H2078" t="str">
            <v>-</v>
          </cell>
          <cell r="I2078" t="str">
            <v>-</v>
          </cell>
          <cell r="K2078">
            <v>4</v>
          </cell>
          <cell r="L2078">
            <v>3.3</v>
          </cell>
          <cell r="M2078">
            <v>16.492422502470642</v>
          </cell>
          <cell r="O2078" t="str">
            <v>-</v>
          </cell>
          <cell r="T2078" t="str">
            <v>-</v>
          </cell>
          <cell r="U2078">
            <v>0.25</v>
          </cell>
        </row>
        <row r="2079">
          <cell r="B2079" t="str">
            <v>HSS16X4X3</v>
          </cell>
          <cell r="C2079">
            <v>6.76</v>
          </cell>
          <cell r="D2079" t="str">
            <v>-</v>
          </cell>
          <cell r="F2079">
            <v>16</v>
          </cell>
          <cell r="H2079" t="str">
            <v>-</v>
          </cell>
          <cell r="I2079" t="str">
            <v>-</v>
          </cell>
          <cell r="K2079">
            <v>4</v>
          </cell>
          <cell r="L2079">
            <v>3.48</v>
          </cell>
          <cell r="M2079">
            <v>16.492422502470642</v>
          </cell>
          <cell r="O2079" t="str">
            <v>-</v>
          </cell>
          <cell r="T2079" t="str">
            <v>-</v>
          </cell>
          <cell r="U2079">
            <v>0.1875</v>
          </cell>
        </row>
        <row r="2080">
          <cell r="B2080" t="str">
            <v>HSS14X14X10</v>
          </cell>
          <cell r="C2080">
            <v>30.3</v>
          </cell>
          <cell r="D2080" t="str">
            <v>-</v>
          </cell>
          <cell r="F2080">
            <v>14</v>
          </cell>
          <cell r="H2080" t="str">
            <v>-</v>
          </cell>
          <cell r="I2080" t="str">
            <v>-</v>
          </cell>
          <cell r="K2080">
            <v>14</v>
          </cell>
          <cell r="L2080">
            <v>12.3</v>
          </cell>
          <cell r="M2080">
            <v>19.798989873223331</v>
          </cell>
          <cell r="O2080" t="str">
            <v>-</v>
          </cell>
          <cell r="T2080" t="str">
            <v>-</v>
          </cell>
          <cell r="U2080">
            <v>0.625</v>
          </cell>
        </row>
        <row r="2081">
          <cell r="B2081" t="str">
            <v>HSS14X14X8</v>
          </cell>
          <cell r="C2081">
            <v>24.6</v>
          </cell>
          <cell r="D2081" t="str">
            <v>-</v>
          </cell>
          <cell r="F2081">
            <v>14</v>
          </cell>
          <cell r="H2081" t="str">
            <v>-</v>
          </cell>
          <cell r="I2081" t="str">
            <v>-</v>
          </cell>
          <cell r="K2081">
            <v>14</v>
          </cell>
          <cell r="L2081">
            <v>12.6</v>
          </cell>
          <cell r="M2081">
            <v>19.798989873223331</v>
          </cell>
          <cell r="O2081" t="str">
            <v>-</v>
          </cell>
          <cell r="T2081" t="str">
            <v>-</v>
          </cell>
          <cell r="U2081">
            <v>0.5</v>
          </cell>
        </row>
        <row r="2082">
          <cell r="B2082" t="str">
            <v>HSS14X14X6</v>
          </cell>
          <cell r="C2082">
            <v>18.7</v>
          </cell>
          <cell r="D2082" t="str">
            <v>-</v>
          </cell>
          <cell r="F2082">
            <v>14</v>
          </cell>
          <cell r="H2082" t="str">
            <v>-</v>
          </cell>
          <cell r="I2082" t="str">
            <v>-</v>
          </cell>
          <cell r="K2082">
            <v>14</v>
          </cell>
          <cell r="L2082">
            <v>13</v>
          </cell>
          <cell r="M2082">
            <v>19.798989873223331</v>
          </cell>
          <cell r="O2082" t="str">
            <v>-</v>
          </cell>
          <cell r="T2082" t="str">
            <v>-</v>
          </cell>
          <cell r="U2082">
            <v>0.375</v>
          </cell>
        </row>
        <row r="2083">
          <cell r="B2083" t="str">
            <v>HSS14X14X5</v>
          </cell>
          <cell r="C2083">
            <v>15.7</v>
          </cell>
          <cell r="D2083" t="str">
            <v>-</v>
          </cell>
          <cell r="F2083">
            <v>14</v>
          </cell>
          <cell r="H2083" t="str">
            <v>-</v>
          </cell>
          <cell r="I2083" t="str">
            <v>-</v>
          </cell>
          <cell r="K2083">
            <v>14</v>
          </cell>
          <cell r="L2083">
            <v>13.1</v>
          </cell>
          <cell r="M2083">
            <v>19.798989873223331</v>
          </cell>
          <cell r="O2083" t="str">
            <v>-</v>
          </cell>
          <cell r="T2083" t="str">
            <v>-</v>
          </cell>
          <cell r="U2083">
            <v>0.3125</v>
          </cell>
        </row>
        <row r="2084">
          <cell r="B2084" t="str">
            <v>HSS14X10X10</v>
          </cell>
          <cell r="C2084">
            <v>25.7</v>
          </cell>
          <cell r="D2084" t="str">
            <v>-</v>
          </cell>
          <cell r="F2084">
            <v>14</v>
          </cell>
          <cell r="H2084" t="str">
            <v>-</v>
          </cell>
          <cell r="I2084" t="str">
            <v>-</v>
          </cell>
          <cell r="K2084">
            <v>10</v>
          </cell>
          <cell r="L2084">
            <v>8.26</v>
          </cell>
          <cell r="M2084">
            <v>17.204650534085253</v>
          </cell>
          <cell r="O2084" t="str">
            <v>-</v>
          </cell>
          <cell r="T2084" t="str">
            <v>-</v>
          </cell>
          <cell r="U2084">
            <v>0.625</v>
          </cell>
        </row>
        <row r="2085">
          <cell r="B2085" t="str">
            <v>HSS14X10X8</v>
          </cell>
          <cell r="C2085">
            <v>20.9</v>
          </cell>
          <cell r="D2085" t="str">
            <v>-</v>
          </cell>
          <cell r="F2085">
            <v>14</v>
          </cell>
          <cell r="H2085" t="str">
            <v>-</v>
          </cell>
          <cell r="I2085" t="str">
            <v>-</v>
          </cell>
          <cell r="K2085">
            <v>10</v>
          </cell>
          <cell r="L2085">
            <v>8.6</v>
          </cell>
          <cell r="M2085">
            <v>17.204650534085253</v>
          </cell>
          <cell r="O2085" t="str">
            <v>-</v>
          </cell>
          <cell r="T2085" t="str">
            <v>-</v>
          </cell>
          <cell r="U2085">
            <v>0.5</v>
          </cell>
        </row>
        <row r="2086">
          <cell r="B2086" t="str">
            <v>HSS14X10X6</v>
          </cell>
          <cell r="C2086">
            <v>16</v>
          </cell>
          <cell r="D2086" t="str">
            <v>-</v>
          </cell>
          <cell r="F2086">
            <v>14</v>
          </cell>
          <cell r="H2086" t="str">
            <v>-</v>
          </cell>
          <cell r="I2086" t="str">
            <v>-</v>
          </cell>
          <cell r="K2086">
            <v>10</v>
          </cell>
          <cell r="L2086">
            <v>8.9499999999999993</v>
          </cell>
          <cell r="M2086">
            <v>17.204650534085253</v>
          </cell>
          <cell r="O2086" t="str">
            <v>-</v>
          </cell>
          <cell r="T2086" t="str">
            <v>-</v>
          </cell>
          <cell r="U2086">
            <v>0.375</v>
          </cell>
        </row>
        <row r="2087">
          <cell r="B2087" t="str">
            <v>HSS14X10X5</v>
          </cell>
          <cell r="C2087">
            <v>13.4</v>
          </cell>
          <cell r="D2087" t="str">
            <v>-</v>
          </cell>
          <cell r="F2087">
            <v>14</v>
          </cell>
          <cell r="H2087" t="str">
            <v>-</v>
          </cell>
          <cell r="I2087" t="str">
            <v>-</v>
          </cell>
          <cell r="K2087">
            <v>10</v>
          </cell>
          <cell r="L2087">
            <v>9.1300000000000008</v>
          </cell>
          <cell r="M2087">
            <v>17.204650534085253</v>
          </cell>
          <cell r="O2087" t="str">
            <v>-</v>
          </cell>
          <cell r="T2087" t="str">
            <v>-</v>
          </cell>
          <cell r="U2087">
            <v>0.3125</v>
          </cell>
        </row>
        <row r="2088">
          <cell r="B2088" t="str">
            <v>HSS14X10X4</v>
          </cell>
          <cell r="C2088">
            <v>10.8</v>
          </cell>
          <cell r="D2088" t="str">
            <v>-</v>
          </cell>
          <cell r="F2088">
            <v>14</v>
          </cell>
          <cell r="H2088" t="str">
            <v>-</v>
          </cell>
          <cell r="I2088" t="str">
            <v>-</v>
          </cell>
          <cell r="K2088">
            <v>10</v>
          </cell>
          <cell r="L2088">
            <v>9.3000000000000007</v>
          </cell>
          <cell r="M2088">
            <v>17.204650534085253</v>
          </cell>
          <cell r="O2088" t="str">
            <v>-</v>
          </cell>
          <cell r="T2088" t="str">
            <v>-</v>
          </cell>
          <cell r="U2088">
            <v>0.25</v>
          </cell>
        </row>
        <row r="2089">
          <cell r="B2089" t="str">
            <v>HSS14X6X10</v>
          </cell>
          <cell r="C2089">
            <v>21</v>
          </cell>
          <cell r="D2089" t="str">
            <v>-</v>
          </cell>
          <cell r="F2089">
            <v>14</v>
          </cell>
          <cell r="H2089" t="str">
            <v>-</v>
          </cell>
          <cell r="I2089" t="str">
            <v>-</v>
          </cell>
          <cell r="K2089">
            <v>6</v>
          </cell>
          <cell r="L2089">
            <v>4.26</v>
          </cell>
          <cell r="M2089">
            <v>15.231546211727817</v>
          </cell>
          <cell r="O2089" t="str">
            <v>-</v>
          </cell>
          <cell r="T2089" t="str">
            <v>-</v>
          </cell>
          <cell r="U2089">
            <v>0.625</v>
          </cell>
        </row>
        <row r="2090">
          <cell r="B2090" t="str">
            <v>HSS14X6X8</v>
          </cell>
          <cell r="C2090">
            <v>17.2</v>
          </cell>
          <cell r="D2090" t="str">
            <v>-</v>
          </cell>
          <cell r="F2090">
            <v>14</v>
          </cell>
          <cell r="H2090" t="str">
            <v>-</v>
          </cell>
          <cell r="I2090" t="str">
            <v>-</v>
          </cell>
          <cell r="K2090">
            <v>6</v>
          </cell>
          <cell r="L2090">
            <v>4.6100000000000003</v>
          </cell>
          <cell r="M2090">
            <v>15.231546211727817</v>
          </cell>
          <cell r="O2090" t="str">
            <v>-</v>
          </cell>
          <cell r="T2090" t="str">
            <v>-</v>
          </cell>
          <cell r="U2090">
            <v>0.5</v>
          </cell>
        </row>
        <row r="2091">
          <cell r="B2091" t="str">
            <v>HSS14X6X6</v>
          </cell>
          <cell r="C2091">
            <v>13.2</v>
          </cell>
          <cell r="D2091" t="str">
            <v>-</v>
          </cell>
          <cell r="F2091">
            <v>14</v>
          </cell>
          <cell r="H2091" t="str">
            <v>-</v>
          </cell>
          <cell r="I2091" t="str">
            <v>-</v>
          </cell>
          <cell r="K2091">
            <v>6</v>
          </cell>
          <cell r="L2091">
            <v>4.95</v>
          </cell>
          <cell r="M2091">
            <v>15.231546211727817</v>
          </cell>
          <cell r="O2091" t="str">
            <v>-</v>
          </cell>
          <cell r="T2091" t="str">
            <v>-</v>
          </cell>
          <cell r="U2091">
            <v>0.375</v>
          </cell>
        </row>
        <row r="2092">
          <cell r="B2092" t="str">
            <v>HSS14X6X5</v>
          </cell>
          <cell r="C2092">
            <v>11.1</v>
          </cell>
          <cell r="D2092" t="str">
            <v>-</v>
          </cell>
          <cell r="F2092">
            <v>14</v>
          </cell>
          <cell r="H2092" t="str">
            <v>-</v>
          </cell>
          <cell r="I2092" t="str">
            <v>-</v>
          </cell>
          <cell r="K2092">
            <v>6</v>
          </cell>
          <cell r="L2092">
            <v>5.13</v>
          </cell>
          <cell r="M2092">
            <v>15.231546211727817</v>
          </cell>
          <cell r="O2092" t="str">
            <v>-</v>
          </cell>
          <cell r="T2092" t="str">
            <v>-</v>
          </cell>
          <cell r="U2092">
            <v>0.3125</v>
          </cell>
        </row>
        <row r="2093">
          <cell r="B2093" t="str">
            <v>HSS14X6X4</v>
          </cell>
          <cell r="C2093">
            <v>8.9600000000000009</v>
          </cell>
          <cell r="D2093" t="str">
            <v>-</v>
          </cell>
          <cell r="F2093">
            <v>14</v>
          </cell>
          <cell r="H2093" t="str">
            <v>-</v>
          </cell>
          <cell r="I2093" t="str">
            <v>-</v>
          </cell>
          <cell r="K2093">
            <v>6</v>
          </cell>
          <cell r="L2093">
            <v>5.3</v>
          </cell>
          <cell r="M2093">
            <v>15.231546211727817</v>
          </cell>
          <cell r="O2093" t="str">
            <v>-</v>
          </cell>
          <cell r="T2093" t="str">
            <v>-</v>
          </cell>
          <cell r="U2093">
            <v>0.25</v>
          </cell>
        </row>
        <row r="2094">
          <cell r="B2094" t="str">
            <v>HSS14X6X3</v>
          </cell>
          <cell r="C2094">
            <v>6.76</v>
          </cell>
          <cell r="D2094" t="str">
            <v>-</v>
          </cell>
          <cell r="F2094">
            <v>14</v>
          </cell>
          <cell r="H2094" t="str">
            <v>-</v>
          </cell>
          <cell r="I2094" t="str">
            <v>-</v>
          </cell>
          <cell r="K2094">
            <v>6</v>
          </cell>
          <cell r="L2094">
            <v>5.48</v>
          </cell>
          <cell r="M2094">
            <v>15.231546211727817</v>
          </cell>
          <cell r="O2094" t="str">
            <v>-</v>
          </cell>
          <cell r="T2094" t="str">
            <v>-</v>
          </cell>
          <cell r="U2094">
            <v>0.1875</v>
          </cell>
        </row>
        <row r="2095">
          <cell r="B2095" t="str">
            <v>HSS14X4X10</v>
          </cell>
          <cell r="C2095">
            <v>18.7</v>
          </cell>
          <cell r="D2095" t="str">
            <v>-</v>
          </cell>
          <cell r="F2095">
            <v>14</v>
          </cell>
          <cell r="H2095" t="str">
            <v>-</v>
          </cell>
          <cell r="I2095" t="str">
            <v>-</v>
          </cell>
          <cell r="K2095">
            <v>4</v>
          </cell>
          <cell r="L2095">
            <v>2.2599999999999998</v>
          </cell>
          <cell r="M2095">
            <v>14.560219778561036</v>
          </cell>
          <cell r="O2095" t="str">
            <v>-</v>
          </cell>
          <cell r="T2095" t="str">
            <v>-</v>
          </cell>
          <cell r="U2095">
            <v>0.625</v>
          </cell>
        </row>
        <row r="2096">
          <cell r="B2096" t="str">
            <v>HSS14X4X8</v>
          </cell>
          <cell r="C2096">
            <v>15.3</v>
          </cell>
          <cell r="D2096" t="str">
            <v>-</v>
          </cell>
          <cell r="F2096">
            <v>14</v>
          </cell>
          <cell r="H2096" t="str">
            <v>-</v>
          </cell>
          <cell r="I2096" t="str">
            <v>-</v>
          </cell>
          <cell r="K2096">
            <v>4</v>
          </cell>
          <cell r="L2096">
            <v>2.6</v>
          </cell>
          <cell r="M2096">
            <v>14.560219778561036</v>
          </cell>
          <cell r="O2096" t="str">
            <v>-</v>
          </cell>
          <cell r="T2096" t="str">
            <v>-</v>
          </cell>
          <cell r="U2096">
            <v>0.5</v>
          </cell>
        </row>
        <row r="2097">
          <cell r="B2097" t="str">
            <v>HSS14X4X6</v>
          </cell>
          <cell r="C2097">
            <v>11.8</v>
          </cell>
          <cell r="D2097" t="str">
            <v>-</v>
          </cell>
          <cell r="F2097">
            <v>14</v>
          </cell>
          <cell r="H2097" t="str">
            <v>-</v>
          </cell>
          <cell r="I2097" t="str">
            <v>-</v>
          </cell>
          <cell r="K2097">
            <v>4</v>
          </cell>
          <cell r="L2097">
            <v>2.95</v>
          </cell>
          <cell r="M2097">
            <v>14.560219778561036</v>
          </cell>
          <cell r="O2097" t="str">
            <v>-</v>
          </cell>
          <cell r="T2097" t="str">
            <v>-</v>
          </cell>
          <cell r="U2097">
            <v>0.375</v>
          </cell>
        </row>
        <row r="2098">
          <cell r="B2098" t="str">
            <v>HSS14X4X5</v>
          </cell>
          <cell r="C2098">
            <v>9.92</v>
          </cell>
          <cell r="D2098" t="str">
            <v>-</v>
          </cell>
          <cell r="F2098">
            <v>14</v>
          </cell>
          <cell r="H2098" t="str">
            <v>-</v>
          </cell>
          <cell r="I2098" t="str">
            <v>-</v>
          </cell>
          <cell r="K2098">
            <v>4</v>
          </cell>
          <cell r="L2098">
            <v>3.13</v>
          </cell>
          <cell r="M2098">
            <v>14.560219778561036</v>
          </cell>
          <cell r="O2098" t="str">
            <v>-</v>
          </cell>
          <cell r="T2098" t="str">
            <v>-</v>
          </cell>
          <cell r="U2098">
            <v>0.3125</v>
          </cell>
        </row>
        <row r="2099">
          <cell r="B2099" t="str">
            <v>HSS14X4X4</v>
          </cell>
          <cell r="C2099">
            <v>8.0299999999999994</v>
          </cell>
          <cell r="D2099" t="str">
            <v>-</v>
          </cell>
          <cell r="F2099">
            <v>14</v>
          </cell>
          <cell r="H2099" t="str">
            <v>-</v>
          </cell>
          <cell r="I2099" t="str">
            <v>-</v>
          </cell>
          <cell r="K2099">
            <v>4</v>
          </cell>
          <cell r="L2099">
            <v>3.3</v>
          </cell>
          <cell r="M2099">
            <v>14.560219778561036</v>
          </cell>
          <cell r="O2099" t="str">
            <v>-</v>
          </cell>
          <cell r="T2099" t="str">
            <v>-</v>
          </cell>
          <cell r="U2099">
            <v>0.25</v>
          </cell>
        </row>
        <row r="2100">
          <cell r="B2100" t="str">
            <v>HSS14X4X3</v>
          </cell>
          <cell r="C2100">
            <v>6.06</v>
          </cell>
          <cell r="D2100" t="str">
            <v>-</v>
          </cell>
          <cell r="F2100">
            <v>14</v>
          </cell>
          <cell r="H2100" t="str">
            <v>-</v>
          </cell>
          <cell r="I2100" t="str">
            <v>-</v>
          </cell>
          <cell r="K2100">
            <v>4</v>
          </cell>
          <cell r="L2100">
            <v>3.48</v>
          </cell>
          <cell r="M2100">
            <v>14.560219778561036</v>
          </cell>
          <cell r="O2100" t="str">
            <v>-</v>
          </cell>
          <cell r="T2100" t="str">
            <v>-</v>
          </cell>
          <cell r="U2100">
            <v>0.1875</v>
          </cell>
        </row>
        <row r="2101">
          <cell r="B2101" t="str">
            <v>HSS12X12X10</v>
          </cell>
          <cell r="C2101">
            <v>25.7</v>
          </cell>
          <cell r="D2101" t="str">
            <v>-</v>
          </cell>
          <cell r="F2101">
            <v>12</v>
          </cell>
          <cell r="H2101" t="str">
            <v>-</v>
          </cell>
          <cell r="I2101" t="str">
            <v>-</v>
          </cell>
          <cell r="K2101">
            <v>12</v>
          </cell>
          <cell r="L2101">
            <v>10.3</v>
          </cell>
          <cell r="M2101">
            <v>16.970562748477139</v>
          </cell>
          <cell r="O2101" t="str">
            <v>-</v>
          </cell>
          <cell r="T2101" t="str">
            <v>-</v>
          </cell>
          <cell r="U2101">
            <v>0.625</v>
          </cell>
        </row>
        <row r="2102">
          <cell r="B2102" t="str">
            <v>HSS12X12X8</v>
          </cell>
          <cell r="C2102">
            <v>20.9</v>
          </cell>
          <cell r="D2102" t="str">
            <v>-</v>
          </cell>
          <cell r="F2102">
            <v>12</v>
          </cell>
          <cell r="H2102" t="str">
            <v>-</v>
          </cell>
          <cell r="I2102" t="str">
            <v>-</v>
          </cell>
          <cell r="K2102">
            <v>12</v>
          </cell>
          <cell r="L2102">
            <v>10.6</v>
          </cell>
          <cell r="M2102">
            <v>16.970562748477139</v>
          </cell>
          <cell r="O2102" t="str">
            <v>-</v>
          </cell>
          <cell r="T2102" t="str">
            <v>-</v>
          </cell>
          <cell r="U2102">
            <v>0.5</v>
          </cell>
        </row>
        <row r="2103">
          <cell r="B2103" t="str">
            <v>HSS12X12X6</v>
          </cell>
          <cell r="C2103">
            <v>16</v>
          </cell>
          <cell r="D2103" t="str">
            <v>-</v>
          </cell>
          <cell r="F2103">
            <v>12</v>
          </cell>
          <cell r="H2103" t="str">
            <v>-</v>
          </cell>
          <cell r="I2103" t="str">
            <v>-</v>
          </cell>
          <cell r="K2103">
            <v>12</v>
          </cell>
          <cell r="L2103">
            <v>11</v>
          </cell>
          <cell r="M2103">
            <v>16.970562748477139</v>
          </cell>
          <cell r="O2103" t="str">
            <v>-</v>
          </cell>
          <cell r="T2103" t="str">
            <v>-</v>
          </cell>
          <cell r="U2103">
            <v>0.375</v>
          </cell>
        </row>
        <row r="2104">
          <cell r="B2104" t="str">
            <v>HSS12X12X5</v>
          </cell>
          <cell r="C2104">
            <v>13.4</v>
          </cell>
          <cell r="D2104" t="str">
            <v>-</v>
          </cell>
          <cell r="F2104">
            <v>12</v>
          </cell>
          <cell r="H2104" t="str">
            <v>-</v>
          </cell>
          <cell r="I2104" t="str">
            <v>-</v>
          </cell>
          <cell r="K2104">
            <v>12</v>
          </cell>
          <cell r="L2104">
            <v>11.1</v>
          </cell>
          <cell r="M2104">
            <v>16.970562748477139</v>
          </cell>
          <cell r="O2104" t="str">
            <v>-</v>
          </cell>
          <cell r="T2104" t="str">
            <v>-</v>
          </cell>
          <cell r="U2104">
            <v>0.3125</v>
          </cell>
        </row>
        <row r="2105">
          <cell r="B2105" t="str">
            <v>HSS12X12X4</v>
          </cell>
          <cell r="C2105">
            <v>10.8</v>
          </cell>
          <cell r="D2105" t="str">
            <v>-</v>
          </cell>
          <cell r="F2105">
            <v>12</v>
          </cell>
          <cell r="H2105" t="str">
            <v>-</v>
          </cell>
          <cell r="I2105" t="str">
            <v>-</v>
          </cell>
          <cell r="K2105">
            <v>12</v>
          </cell>
          <cell r="L2105">
            <v>11.3</v>
          </cell>
          <cell r="M2105">
            <v>16.970562748477139</v>
          </cell>
          <cell r="O2105" t="str">
            <v>-</v>
          </cell>
          <cell r="T2105" t="str">
            <v>-</v>
          </cell>
          <cell r="U2105">
            <v>0.25</v>
          </cell>
        </row>
        <row r="2106">
          <cell r="B2106" t="str">
            <v>HSS12X12X3</v>
          </cell>
          <cell r="C2106">
            <v>8.15</v>
          </cell>
          <cell r="D2106" t="str">
            <v>-</v>
          </cell>
          <cell r="F2106">
            <v>12</v>
          </cell>
          <cell r="H2106" t="str">
            <v>-</v>
          </cell>
          <cell r="I2106" t="str">
            <v>-</v>
          </cell>
          <cell r="K2106">
            <v>12</v>
          </cell>
          <cell r="L2106">
            <v>11.5</v>
          </cell>
          <cell r="M2106">
            <v>16.970562748477139</v>
          </cell>
          <cell r="O2106" t="str">
            <v>-</v>
          </cell>
          <cell r="T2106" t="str">
            <v>-</v>
          </cell>
          <cell r="U2106">
            <v>0.1875</v>
          </cell>
        </row>
        <row r="2107">
          <cell r="B2107" t="str">
            <v>HSS12X10X8</v>
          </cell>
          <cell r="C2107">
            <v>19</v>
          </cell>
          <cell r="D2107" t="str">
            <v>-</v>
          </cell>
          <cell r="F2107">
            <v>12</v>
          </cell>
          <cell r="H2107" t="str">
            <v>-</v>
          </cell>
          <cell r="I2107" t="str">
            <v>-</v>
          </cell>
          <cell r="K2107">
            <v>10</v>
          </cell>
          <cell r="L2107">
            <v>8.6</v>
          </cell>
          <cell r="M2107">
            <v>15.620499351813308</v>
          </cell>
          <cell r="O2107" t="str">
            <v>-</v>
          </cell>
          <cell r="T2107" t="str">
            <v>-</v>
          </cell>
          <cell r="U2107">
            <v>0.5</v>
          </cell>
        </row>
        <row r="2108">
          <cell r="B2108" t="str">
            <v>HSS12X10X6</v>
          </cell>
          <cell r="C2108">
            <v>14.6</v>
          </cell>
          <cell r="D2108" t="str">
            <v>-</v>
          </cell>
          <cell r="F2108">
            <v>12</v>
          </cell>
          <cell r="H2108" t="str">
            <v>-</v>
          </cell>
          <cell r="I2108" t="str">
            <v>-</v>
          </cell>
          <cell r="K2108">
            <v>10</v>
          </cell>
          <cell r="L2108">
            <v>8.9499999999999993</v>
          </cell>
          <cell r="M2108">
            <v>15.620499351813308</v>
          </cell>
          <cell r="O2108" t="str">
            <v>-</v>
          </cell>
          <cell r="T2108" t="str">
            <v>-</v>
          </cell>
          <cell r="U2108">
            <v>0.375</v>
          </cell>
        </row>
        <row r="2109">
          <cell r="B2109" t="str">
            <v>HSS12X10X5</v>
          </cell>
          <cell r="C2109">
            <v>12.2</v>
          </cell>
          <cell r="D2109" t="str">
            <v>-</v>
          </cell>
          <cell r="F2109">
            <v>12</v>
          </cell>
          <cell r="H2109" t="str">
            <v>-</v>
          </cell>
          <cell r="I2109" t="str">
            <v>-</v>
          </cell>
          <cell r="K2109">
            <v>10</v>
          </cell>
          <cell r="L2109">
            <v>9.1300000000000008</v>
          </cell>
          <cell r="M2109">
            <v>15.620499351813308</v>
          </cell>
          <cell r="O2109" t="str">
            <v>-</v>
          </cell>
          <cell r="T2109" t="str">
            <v>-</v>
          </cell>
          <cell r="U2109">
            <v>0.3125</v>
          </cell>
        </row>
        <row r="2110">
          <cell r="B2110" t="str">
            <v>HSS12X10X4</v>
          </cell>
          <cell r="C2110">
            <v>9.9</v>
          </cell>
          <cell r="D2110" t="str">
            <v>-</v>
          </cell>
          <cell r="F2110">
            <v>12</v>
          </cell>
          <cell r="H2110" t="str">
            <v>-</v>
          </cell>
          <cell r="I2110" t="str">
            <v>-</v>
          </cell>
          <cell r="K2110">
            <v>10</v>
          </cell>
          <cell r="L2110">
            <v>9.3000000000000007</v>
          </cell>
          <cell r="M2110">
            <v>15.620499351813308</v>
          </cell>
          <cell r="O2110" t="str">
            <v>-</v>
          </cell>
          <cell r="T2110" t="str">
            <v>-</v>
          </cell>
          <cell r="U2110">
            <v>0.25</v>
          </cell>
        </row>
        <row r="2111">
          <cell r="B2111" t="str">
            <v>HSS12X8X10</v>
          </cell>
          <cell r="C2111">
            <v>21</v>
          </cell>
          <cell r="D2111" t="str">
            <v>-</v>
          </cell>
          <cell r="F2111">
            <v>12</v>
          </cell>
          <cell r="H2111" t="str">
            <v>-</v>
          </cell>
          <cell r="I2111" t="str">
            <v>-</v>
          </cell>
          <cell r="K2111">
            <v>8</v>
          </cell>
          <cell r="L2111">
            <v>6.26</v>
          </cell>
          <cell r="M2111">
            <v>14.422205101855956</v>
          </cell>
          <cell r="O2111" t="str">
            <v>-</v>
          </cell>
          <cell r="T2111" t="str">
            <v>-</v>
          </cell>
          <cell r="U2111">
            <v>0.625</v>
          </cell>
        </row>
        <row r="2112">
          <cell r="B2112" t="str">
            <v>HSS12X8X8</v>
          </cell>
          <cell r="C2112">
            <v>17.2</v>
          </cell>
          <cell r="D2112" t="str">
            <v>-</v>
          </cell>
          <cell r="F2112">
            <v>12</v>
          </cell>
          <cell r="H2112" t="str">
            <v>-</v>
          </cell>
          <cell r="I2112" t="str">
            <v>-</v>
          </cell>
          <cell r="K2112">
            <v>8</v>
          </cell>
          <cell r="L2112">
            <v>6.6</v>
          </cell>
          <cell r="M2112">
            <v>14.422205101855956</v>
          </cell>
          <cell r="O2112" t="str">
            <v>-</v>
          </cell>
          <cell r="T2112" t="str">
            <v>-</v>
          </cell>
          <cell r="U2112">
            <v>0.5</v>
          </cell>
        </row>
        <row r="2113">
          <cell r="B2113" t="str">
            <v>HSS12X8X6</v>
          </cell>
          <cell r="C2113">
            <v>13.2</v>
          </cell>
          <cell r="D2113" t="str">
            <v>-</v>
          </cell>
          <cell r="F2113">
            <v>12</v>
          </cell>
          <cell r="H2113" t="str">
            <v>-</v>
          </cell>
          <cell r="I2113" t="str">
            <v>-</v>
          </cell>
          <cell r="K2113">
            <v>8</v>
          </cell>
          <cell r="L2113">
            <v>6.95</v>
          </cell>
          <cell r="M2113">
            <v>14.422205101855956</v>
          </cell>
          <cell r="O2113" t="str">
            <v>-</v>
          </cell>
          <cell r="T2113" t="str">
            <v>-</v>
          </cell>
          <cell r="U2113">
            <v>0.375</v>
          </cell>
        </row>
        <row r="2114">
          <cell r="B2114" t="str">
            <v>HSS12X8X5</v>
          </cell>
          <cell r="C2114">
            <v>11.1</v>
          </cell>
          <cell r="D2114" t="str">
            <v>-</v>
          </cell>
          <cell r="F2114">
            <v>12</v>
          </cell>
          <cell r="H2114" t="str">
            <v>-</v>
          </cell>
          <cell r="I2114" t="str">
            <v>-</v>
          </cell>
          <cell r="K2114">
            <v>8</v>
          </cell>
          <cell r="L2114">
            <v>7.13</v>
          </cell>
          <cell r="M2114">
            <v>14.422205101855956</v>
          </cell>
          <cell r="O2114" t="str">
            <v>-</v>
          </cell>
          <cell r="T2114" t="str">
            <v>-</v>
          </cell>
          <cell r="U2114">
            <v>0.3125</v>
          </cell>
        </row>
        <row r="2115">
          <cell r="B2115" t="str">
            <v>HSS12X8X4</v>
          </cell>
          <cell r="C2115">
            <v>8.9600000000000009</v>
          </cell>
          <cell r="D2115" t="str">
            <v>-</v>
          </cell>
          <cell r="F2115">
            <v>12</v>
          </cell>
          <cell r="H2115" t="str">
            <v>-</v>
          </cell>
          <cell r="I2115" t="str">
            <v>-</v>
          </cell>
          <cell r="K2115">
            <v>8</v>
          </cell>
          <cell r="L2115">
            <v>7.3</v>
          </cell>
          <cell r="M2115">
            <v>14.422205101855956</v>
          </cell>
          <cell r="O2115" t="str">
            <v>-</v>
          </cell>
          <cell r="T2115" t="str">
            <v>-</v>
          </cell>
          <cell r="U2115">
            <v>0.25</v>
          </cell>
        </row>
        <row r="2116">
          <cell r="B2116" t="str">
            <v>HSS12X8X3</v>
          </cell>
          <cell r="C2116">
            <v>6.76</v>
          </cell>
          <cell r="D2116" t="str">
            <v>-</v>
          </cell>
          <cell r="F2116">
            <v>12</v>
          </cell>
          <cell r="H2116" t="str">
            <v>-</v>
          </cell>
          <cell r="I2116" t="str">
            <v>-</v>
          </cell>
          <cell r="K2116">
            <v>8</v>
          </cell>
          <cell r="L2116">
            <v>7.48</v>
          </cell>
          <cell r="M2116">
            <v>14.422205101855956</v>
          </cell>
          <cell r="O2116" t="str">
            <v>-</v>
          </cell>
          <cell r="T2116" t="str">
            <v>-</v>
          </cell>
          <cell r="U2116">
            <v>0.1875</v>
          </cell>
        </row>
        <row r="2117">
          <cell r="B2117" t="str">
            <v>HSS12X6X10</v>
          </cell>
          <cell r="C2117">
            <v>18.7</v>
          </cell>
          <cell r="D2117" t="str">
            <v>-</v>
          </cell>
          <cell r="F2117">
            <v>12</v>
          </cell>
          <cell r="H2117" t="str">
            <v>-</v>
          </cell>
          <cell r="I2117" t="str">
            <v>-</v>
          </cell>
          <cell r="K2117">
            <v>6</v>
          </cell>
          <cell r="L2117">
            <v>4.26</v>
          </cell>
          <cell r="M2117">
            <v>13.416407864998739</v>
          </cell>
          <cell r="O2117" t="str">
            <v>-</v>
          </cell>
          <cell r="T2117" t="str">
            <v>-</v>
          </cell>
          <cell r="U2117">
            <v>0.625</v>
          </cell>
        </row>
        <row r="2118">
          <cell r="B2118" t="str">
            <v>HSS12X6X8</v>
          </cell>
          <cell r="C2118">
            <v>15.3</v>
          </cell>
          <cell r="D2118" t="str">
            <v>-</v>
          </cell>
          <cell r="F2118">
            <v>12</v>
          </cell>
          <cell r="H2118" t="str">
            <v>-</v>
          </cell>
          <cell r="I2118" t="str">
            <v>-</v>
          </cell>
          <cell r="K2118">
            <v>6</v>
          </cell>
          <cell r="L2118">
            <v>4.6100000000000003</v>
          </cell>
          <cell r="M2118">
            <v>13.416407864998739</v>
          </cell>
          <cell r="O2118" t="str">
            <v>-</v>
          </cell>
          <cell r="T2118" t="str">
            <v>-</v>
          </cell>
          <cell r="U2118">
            <v>0.5</v>
          </cell>
        </row>
        <row r="2119">
          <cell r="B2119" t="str">
            <v>HSS12X6X6</v>
          </cell>
          <cell r="C2119">
            <v>11.8</v>
          </cell>
          <cell r="D2119" t="str">
            <v>-</v>
          </cell>
          <cell r="F2119">
            <v>12</v>
          </cell>
          <cell r="H2119" t="str">
            <v>-</v>
          </cell>
          <cell r="I2119" t="str">
            <v>-</v>
          </cell>
          <cell r="K2119">
            <v>6</v>
          </cell>
          <cell r="L2119">
            <v>4.95</v>
          </cell>
          <cell r="M2119">
            <v>13.416407864998739</v>
          </cell>
          <cell r="O2119" t="str">
            <v>-</v>
          </cell>
          <cell r="T2119" t="str">
            <v>-</v>
          </cell>
          <cell r="U2119">
            <v>0.375</v>
          </cell>
        </row>
        <row r="2120">
          <cell r="B2120" t="str">
            <v>HSS12X6X5</v>
          </cell>
          <cell r="C2120">
            <v>9.92</v>
          </cell>
          <cell r="D2120" t="str">
            <v>-</v>
          </cell>
          <cell r="F2120">
            <v>12</v>
          </cell>
          <cell r="H2120" t="str">
            <v>-</v>
          </cell>
          <cell r="I2120" t="str">
            <v>-</v>
          </cell>
          <cell r="K2120">
            <v>6</v>
          </cell>
          <cell r="L2120">
            <v>5.13</v>
          </cell>
          <cell r="M2120">
            <v>13.416407864998739</v>
          </cell>
          <cell r="O2120" t="str">
            <v>-</v>
          </cell>
          <cell r="T2120" t="str">
            <v>-</v>
          </cell>
          <cell r="U2120">
            <v>0.3125</v>
          </cell>
        </row>
        <row r="2121">
          <cell r="B2121" t="str">
            <v>HSS12X6X4</v>
          </cell>
          <cell r="C2121">
            <v>8.0299999999999994</v>
          </cell>
          <cell r="D2121" t="str">
            <v>-</v>
          </cell>
          <cell r="F2121">
            <v>12</v>
          </cell>
          <cell r="H2121" t="str">
            <v>-</v>
          </cell>
          <cell r="I2121" t="str">
            <v>-</v>
          </cell>
          <cell r="K2121">
            <v>6</v>
          </cell>
          <cell r="L2121">
            <v>5.3</v>
          </cell>
          <cell r="M2121">
            <v>13.416407864998739</v>
          </cell>
          <cell r="O2121" t="str">
            <v>-</v>
          </cell>
          <cell r="T2121" t="str">
            <v>-</v>
          </cell>
          <cell r="U2121">
            <v>0.25</v>
          </cell>
        </row>
        <row r="2122">
          <cell r="B2122" t="str">
            <v>HSS12X6X3</v>
          </cell>
          <cell r="C2122">
            <v>6.06</v>
          </cell>
          <cell r="D2122" t="str">
            <v>-</v>
          </cell>
          <cell r="F2122">
            <v>12</v>
          </cell>
          <cell r="H2122" t="str">
            <v>-</v>
          </cell>
          <cell r="I2122" t="str">
            <v>-</v>
          </cell>
          <cell r="K2122">
            <v>6</v>
          </cell>
          <cell r="L2122">
            <v>5.48</v>
          </cell>
          <cell r="M2122">
            <v>13.416407864998739</v>
          </cell>
          <cell r="O2122" t="str">
            <v>-</v>
          </cell>
          <cell r="T2122" t="str">
            <v>-</v>
          </cell>
          <cell r="U2122">
            <v>0.1875</v>
          </cell>
        </row>
        <row r="2123">
          <cell r="B2123" t="str">
            <v>HSS12X4X10</v>
          </cell>
          <cell r="C2123">
            <v>16.399999999999999</v>
          </cell>
          <cell r="D2123" t="str">
            <v>-</v>
          </cell>
          <cell r="F2123">
            <v>12</v>
          </cell>
          <cell r="H2123" t="str">
            <v>-</v>
          </cell>
          <cell r="I2123" t="str">
            <v>-</v>
          </cell>
          <cell r="K2123">
            <v>4</v>
          </cell>
          <cell r="L2123">
            <v>2.2599999999999998</v>
          </cell>
          <cell r="M2123">
            <v>12.649110640673518</v>
          </cell>
          <cell r="O2123" t="str">
            <v>-</v>
          </cell>
          <cell r="T2123" t="str">
            <v>-</v>
          </cell>
          <cell r="U2123">
            <v>0.625</v>
          </cell>
        </row>
        <row r="2124">
          <cell r="B2124" t="str">
            <v>HSS12X4X8</v>
          </cell>
          <cell r="C2124">
            <v>13.5</v>
          </cell>
          <cell r="D2124" t="str">
            <v>-</v>
          </cell>
          <cell r="F2124">
            <v>12</v>
          </cell>
          <cell r="H2124" t="str">
            <v>-</v>
          </cell>
          <cell r="I2124" t="str">
            <v>-</v>
          </cell>
          <cell r="K2124">
            <v>4</v>
          </cell>
          <cell r="L2124">
            <v>2.6</v>
          </cell>
          <cell r="M2124">
            <v>12.649110640673518</v>
          </cell>
          <cell r="O2124" t="str">
            <v>-</v>
          </cell>
          <cell r="T2124" t="str">
            <v>-</v>
          </cell>
          <cell r="U2124">
            <v>0.5</v>
          </cell>
        </row>
        <row r="2125">
          <cell r="B2125" t="str">
            <v>HSS12X4X6</v>
          </cell>
          <cell r="C2125">
            <v>10.4</v>
          </cell>
          <cell r="D2125" t="str">
            <v>-</v>
          </cell>
          <cell r="F2125">
            <v>12</v>
          </cell>
          <cell r="H2125" t="str">
            <v>-</v>
          </cell>
          <cell r="I2125" t="str">
            <v>-</v>
          </cell>
          <cell r="K2125">
            <v>4</v>
          </cell>
          <cell r="L2125">
            <v>2.95</v>
          </cell>
          <cell r="M2125">
            <v>12.649110640673518</v>
          </cell>
          <cell r="O2125" t="str">
            <v>-</v>
          </cell>
          <cell r="T2125" t="str">
            <v>-</v>
          </cell>
          <cell r="U2125">
            <v>0.375</v>
          </cell>
        </row>
        <row r="2126">
          <cell r="B2126" t="str">
            <v>HSS12X4X5</v>
          </cell>
          <cell r="C2126">
            <v>8.76</v>
          </cell>
          <cell r="D2126" t="str">
            <v>-</v>
          </cell>
          <cell r="F2126">
            <v>12</v>
          </cell>
          <cell r="H2126" t="str">
            <v>-</v>
          </cell>
          <cell r="I2126" t="str">
            <v>-</v>
          </cell>
          <cell r="K2126">
            <v>4</v>
          </cell>
          <cell r="L2126">
            <v>3.13</v>
          </cell>
          <cell r="M2126">
            <v>12.649110640673518</v>
          </cell>
          <cell r="O2126" t="str">
            <v>-</v>
          </cell>
          <cell r="T2126" t="str">
            <v>-</v>
          </cell>
          <cell r="U2126">
            <v>0.3125</v>
          </cell>
        </row>
        <row r="2127">
          <cell r="B2127" t="str">
            <v>HSS12X4X4</v>
          </cell>
          <cell r="C2127">
            <v>7.1</v>
          </cell>
          <cell r="D2127" t="str">
            <v>-</v>
          </cell>
          <cell r="F2127">
            <v>12</v>
          </cell>
          <cell r="H2127" t="str">
            <v>-</v>
          </cell>
          <cell r="I2127" t="str">
            <v>-</v>
          </cell>
          <cell r="K2127">
            <v>4</v>
          </cell>
          <cell r="L2127">
            <v>3.3</v>
          </cell>
          <cell r="M2127">
            <v>12.649110640673518</v>
          </cell>
          <cell r="O2127" t="str">
            <v>-</v>
          </cell>
          <cell r="T2127" t="str">
            <v>-</v>
          </cell>
          <cell r="U2127">
            <v>0.25</v>
          </cell>
        </row>
        <row r="2128">
          <cell r="B2128" t="str">
            <v>HSS12X4X3</v>
          </cell>
          <cell r="C2128">
            <v>5.37</v>
          </cell>
          <cell r="D2128" t="str">
            <v>-</v>
          </cell>
          <cell r="F2128">
            <v>12</v>
          </cell>
          <cell r="H2128" t="str">
            <v>-</v>
          </cell>
          <cell r="I2128" t="str">
            <v>-</v>
          </cell>
          <cell r="K2128">
            <v>4</v>
          </cell>
          <cell r="L2128">
            <v>3.48</v>
          </cell>
          <cell r="M2128">
            <v>12.649110640673518</v>
          </cell>
          <cell r="O2128" t="str">
            <v>-</v>
          </cell>
          <cell r="T2128" t="str">
            <v>-</v>
          </cell>
          <cell r="U2128">
            <v>0.1875</v>
          </cell>
        </row>
        <row r="2129">
          <cell r="B2129" t="str">
            <v>HSS12X3.5X6</v>
          </cell>
          <cell r="C2129">
            <v>10</v>
          </cell>
          <cell r="D2129" t="str">
            <v>-</v>
          </cell>
          <cell r="F2129">
            <v>12</v>
          </cell>
          <cell r="H2129" t="str">
            <v>-</v>
          </cell>
          <cell r="I2129" t="str">
            <v>-</v>
          </cell>
          <cell r="K2129">
            <v>3.5</v>
          </cell>
          <cell r="L2129">
            <v>2.4500000000000002</v>
          </cell>
          <cell r="M2129">
            <v>12.5</v>
          </cell>
          <cell r="O2129" t="str">
            <v>-</v>
          </cell>
          <cell r="T2129" t="str">
            <v>-</v>
          </cell>
          <cell r="U2129">
            <v>0.375</v>
          </cell>
        </row>
        <row r="2130">
          <cell r="B2130" t="str">
            <v>HSS12X3.5X5</v>
          </cell>
          <cell r="C2130">
            <v>8.4600000000000009</v>
          </cell>
          <cell r="D2130" t="str">
            <v>-</v>
          </cell>
          <cell r="F2130">
            <v>12</v>
          </cell>
          <cell r="H2130" t="str">
            <v>-</v>
          </cell>
          <cell r="I2130" t="str">
            <v>-</v>
          </cell>
          <cell r="K2130">
            <v>3.5</v>
          </cell>
          <cell r="L2130">
            <v>2.63</v>
          </cell>
          <cell r="M2130">
            <v>12.5</v>
          </cell>
          <cell r="O2130" t="str">
            <v>-</v>
          </cell>
          <cell r="T2130" t="str">
            <v>-</v>
          </cell>
          <cell r="U2130">
            <v>0.3125</v>
          </cell>
        </row>
        <row r="2131">
          <cell r="B2131" t="str">
            <v>HSS12X3X5</v>
          </cell>
          <cell r="C2131">
            <v>8.17</v>
          </cell>
          <cell r="D2131" t="str">
            <v>-</v>
          </cell>
          <cell r="F2131">
            <v>12</v>
          </cell>
          <cell r="H2131" t="str">
            <v>-</v>
          </cell>
          <cell r="I2131" t="str">
            <v>-</v>
          </cell>
          <cell r="K2131">
            <v>3</v>
          </cell>
          <cell r="L2131">
            <v>2.13</v>
          </cell>
          <cell r="M2131">
            <v>12.369316876852981</v>
          </cell>
          <cell r="O2131" t="str">
            <v>-</v>
          </cell>
          <cell r="T2131" t="str">
            <v>-</v>
          </cell>
          <cell r="U2131">
            <v>0.3125</v>
          </cell>
        </row>
        <row r="2132">
          <cell r="B2132" t="str">
            <v>HSS12X3X4</v>
          </cell>
          <cell r="C2132">
            <v>6.63</v>
          </cell>
          <cell r="D2132" t="str">
            <v>-</v>
          </cell>
          <cell r="F2132">
            <v>12</v>
          </cell>
          <cell r="H2132" t="str">
            <v>-</v>
          </cell>
          <cell r="I2132" t="str">
            <v>-</v>
          </cell>
          <cell r="K2132">
            <v>3</v>
          </cell>
          <cell r="L2132">
            <v>2.2999999999999998</v>
          </cell>
          <cell r="M2132">
            <v>12.369316876852981</v>
          </cell>
          <cell r="O2132" t="str">
            <v>-</v>
          </cell>
          <cell r="T2132" t="str">
            <v>-</v>
          </cell>
          <cell r="U2132">
            <v>0.25</v>
          </cell>
        </row>
        <row r="2133">
          <cell r="B2133" t="str">
            <v>HSS12X3X3</v>
          </cell>
          <cell r="C2133">
            <v>5.0199999999999996</v>
          </cell>
          <cell r="D2133" t="str">
            <v>-</v>
          </cell>
          <cell r="F2133">
            <v>12</v>
          </cell>
          <cell r="H2133" t="str">
            <v>-</v>
          </cell>
          <cell r="I2133" t="str">
            <v>-</v>
          </cell>
          <cell r="K2133">
            <v>3</v>
          </cell>
          <cell r="L2133">
            <v>2.48</v>
          </cell>
          <cell r="M2133">
            <v>12.369316876852981</v>
          </cell>
          <cell r="O2133" t="str">
            <v>-</v>
          </cell>
          <cell r="T2133" t="str">
            <v>-</v>
          </cell>
          <cell r="U2133">
            <v>0.1875</v>
          </cell>
        </row>
        <row r="2134">
          <cell r="B2134" t="str">
            <v>HSS12X2X5</v>
          </cell>
          <cell r="C2134">
            <v>7.59</v>
          </cell>
          <cell r="D2134" t="str">
            <v>-</v>
          </cell>
          <cell r="F2134">
            <v>12</v>
          </cell>
          <cell r="H2134" t="str">
            <v>-</v>
          </cell>
          <cell r="I2134" t="str">
            <v>-</v>
          </cell>
          <cell r="K2134">
            <v>2</v>
          </cell>
          <cell r="L2134">
            <v>1.1299999999999999</v>
          </cell>
          <cell r="M2134">
            <v>12.165525060596439</v>
          </cell>
          <cell r="O2134" t="str">
            <v>-</v>
          </cell>
          <cell r="T2134" t="str">
            <v>-</v>
          </cell>
          <cell r="U2134">
            <v>0.3125</v>
          </cell>
        </row>
        <row r="2135">
          <cell r="B2135" t="str">
            <v>HSS12X2X4</v>
          </cell>
          <cell r="C2135">
            <v>6.17</v>
          </cell>
          <cell r="D2135" t="str">
            <v>-</v>
          </cell>
          <cell r="F2135">
            <v>12</v>
          </cell>
          <cell r="H2135" t="str">
            <v>-</v>
          </cell>
          <cell r="I2135" t="str">
            <v>-</v>
          </cell>
          <cell r="K2135">
            <v>2</v>
          </cell>
          <cell r="L2135">
            <v>1.3</v>
          </cell>
          <cell r="M2135">
            <v>12.165525060596439</v>
          </cell>
          <cell r="O2135" t="str">
            <v>-</v>
          </cell>
          <cell r="T2135" t="str">
            <v>-</v>
          </cell>
          <cell r="U2135">
            <v>0.25</v>
          </cell>
        </row>
        <row r="2136">
          <cell r="B2136" t="str">
            <v>HSS12X2X3</v>
          </cell>
          <cell r="C2136">
            <v>4.67</v>
          </cell>
          <cell r="D2136" t="str">
            <v>-</v>
          </cell>
          <cell r="F2136">
            <v>12</v>
          </cell>
          <cell r="H2136" t="str">
            <v>-</v>
          </cell>
          <cell r="I2136" t="str">
            <v>-</v>
          </cell>
          <cell r="K2136">
            <v>2</v>
          </cell>
          <cell r="L2136">
            <v>1.48</v>
          </cell>
          <cell r="M2136">
            <v>12.165525060596439</v>
          </cell>
          <cell r="O2136" t="str">
            <v>-</v>
          </cell>
          <cell r="T2136" t="str">
            <v>-</v>
          </cell>
          <cell r="U2136">
            <v>0.1875</v>
          </cell>
        </row>
        <row r="2137">
          <cell r="B2137" t="str">
            <v>HSS10X10X10</v>
          </cell>
          <cell r="C2137">
            <v>21</v>
          </cell>
          <cell r="D2137" t="str">
            <v>-</v>
          </cell>
          <cell r="F2137">
            <v>10</v>
          </cell>
          <cell r="H2137" t="str">
            <v>-</v>
          </cell>
          <cell r="I2137" t="str">
            <v>-</v>
          </cell>
          <cell r="K2137">
            <v>10</v>
          </cell>
          <cell r="L2137">
            <v>8.26</v>
          </cell>
          <cell r="M2137">
            <v>14.142135623730951</v>
          </cell>
          <cell r="O2137" t="str">
            <v>-</v>
          </cell>
          <cell r="T2137" t="str">
            <v>-</v>
          </cell>
          <cell r="U2137">
            <v>0.625</v>
          </cell>
        </row>
        <row r="2138">
          <cell r="B2138" t="str">
            <v>HSS10X10X8</v>
          </cell>
          <cell r="C2138">
            <v>17.2</v>
          </cell>
          <cell r="D2138" t="str">
            <v>-</v>
          </cell>
          <cell r="F2138">
            <v>10</v>
          </cell>
          <cell r="H2138" t="str">
            <v>-</v>
          </cell>
          <cell r="I2138" t="str">
            <v>-</v>
          </cell>
          <cell r="K2138">
            <v>10</v>
          </cell>
          <cell r="L2138">
            <v>8.6</v>
          </cell>
          <cell r="M2138">
            <v>14.142135623730951</v>
          </cell>
          <cell r="O2138" t="str">
            <v>-</v>
          </cell>
          <cell r="T2138" t="str">
            <v>-</v>
          </cell>
          <cell r="U2138">
            <v>0.5</v>
          </cell>
        </row>
        <row r="2139">
          <cell r="B2139" t="str">
            <v>HSS10X10X6</v>
          </cell>
          <cell r="C2139">
            <v>13.2</v>
          </cell>
          <cell r="D2139" t="str">
            <v>-</v>
          </cell>
          <cell r="F2139">
            <v>10</v>
          </cell>
          <cell r="H2139" t="str">
            <v>-</v>
          </cell>
          <cell r="I2139" t="str">
            <v>-</v>
          </cell>
          <cell r="K2139">
            <v>10</v>
          </cell>
          <cell r="L2139">
            <v>8.9499999999999993</v>
          </cell>
          <cell r="M2139">
            <v>14.142135623730951</v>
          </cell>
          <cell r="O2139" t="str">
            <v>-</v>
          </cell>
          <cell r="T2139" t="str">
            <v>-</v>
          </cell>
          <cell r="U2139">
            <v>0.375</v>
          </cell>
        </row>
        <row r="2140">
          <cell r="B2140" t="str">
            <v>HSS10X10X5</v>
          </cell>
          <cell r="C2140">
            <v>11.1</v>
          </cell>
          <cell r="D2140" t="str">
            <v>-</v>
          </cell>
          <cell r="F2140">
            <v>10</v>
          </cell>
          <cell r="H2140" t="str">
            <v>-</v>
          </cell>
          <cell r="I2140" t="str">
            <v>-</v>
          </cell>
          <cell r="K2140">
            <v>10</v>
          </cell>
          <cell r="L2140">
            <v>9.1300000000000008</v>
          </cell>
          <cell r="M2140">
            <v>14.142135623730951</v>
          </cell>
          <cell r="O2140" t="str">
            <v>-</v>
          </cell>
          <cell r="T2140" t="str">
            <v>-</v>
          </cell>
          <cell r="U2140">
            <v>0.3125</v>
          </cell>
        </row>
        <row r="2141">
          <cell r="B2141" t="str">
            <v>HSS10X10X4</v>
          </cell>
          <cell r="C2141">
            <v>8.9600000000000009</v>
          </cell>
          <cell r="D2141" t="str">
            <v>-</v>
          </cell>
          <cell r="F2141">
            <v>10</v>
          </cell>
          <cell r="H2141" t="str">
            <v>-</v>
          </cell>
          <cell r="I2141" t="str">
            <v>-</v>
          </cell>
          <cell r="K2141">
            <v>10</v>
          </cell>
          <cell r="L2141">
            <v>9.3000000000000007</v>
          </cell>
          <cell r="M2141">
            <v>14.142135623730951</v>
          </cell>
          <cell r="O2141" t="str">
            <v>-</v>
          </cell>
          <cell r="T2141" t="str">
            <v>-</v>
          </cell>
          <cell r="U2141">
            <v>0.25</v>
          </cell>
        </row>
        <row r="2142">
          <cell r="B2142" t="str">
            <v>HSS10X10X3</v>
          </cell>
          <cell r="C2142">
            <v>6.76</v>
          </cell>
          <cell r="D2142" t="str">
            <v>-</v>
          </cell>
          <cell r="F2142">
            <v>10</v>
          </cell>
          <cell r="H2142" t="str">
            <v>-</v>
          </cell>
          <cell r="I2142" t="str">
            <v>-</v>
          </cell>
          <cell r="K2142">
            <v>10</v>
          </cell>
          <cell r="L2142">
            <v>9.48</v>
          </cell>
          <cell r="M2142">
            <v>14.142135623730951</v>
          </cell>
          <cell r="O2142" t="str">
            <v>-</v>
          </cell>
          <cell r="T2142" t="str">
            <v>-</v>
          </cell>
          <cell r="U2142">
            <v>0.1875</v>
          </cell>
        </row>
        <row r="2143">
          <cell r="B2143" t="str">
            <v>HSS10X8X10</v>
          </cell>
          <cell r="C2143">
            <v>18.7</v>
          </cell>
          <cell r="D2143" t="str">
            <v>-</v>
          </cell>
          <cell r="F2143">
            <v>10</v>
          </cell>
          <cell r="H2143" t="str">
            <v>-</v>
          </cell>
          <cell r="I2143" t="str">
            <v>-</v>
          </cell>
          <cell r="K2143">
            <v>8</v>
          </cell>
          <cell r="L2143">
            <v>6.26</v>
          </cell>
          <cell r="M2143">
            <v>12.806248474865697</v>
          </cell>
          <cell r="O2143" t="str">
            <v>-</v>
          </cell>
          <cell r="T2143" t="str">
            <v>-</v>
          </cell>
          <cell r="U2143">
            <v>0.625</v>
          </cell>
        </row>
        <row r="2144">
          <cell r="B2144" t="str">
            <v>HSS10X8X8</v>
          </cell>
          <cell r="C2144">
            <v>15.3</v>
          </cell>
          <cell r="D2144" t="str">
            <v>-</v>
          </cell>
          <cell r="F2144">
            <v>10</v>
          </cell>
          <cell r="H2144" t="str">
            <v>-</v>
          </cell>
          <cell r="I2144" t="str">
            <v>-</v>
          </cell>
          <cell r="K2144">
            <v>8</v>
          </cell>
          <cell r="L2144">
            <v>6.6</v>
          </cell>
          <cell r="M2144">
            <v>12.806248474865697</v>
          </cell>
          <cell r="O2144" t="str">
            <v>-</v>
          </cell>
          <cell r="T2144" t="str">
            <v>-</v>
          </cell>
          <cell r="U2144">
            <v>0.5</v>
          </cell>
        </row>
        <row r="2145">
          <cell r="B2145" t="str">
            <v>HSS10X8X6</v>
          </cell>
          <cell r="C2145">
            <v>11.8</v>
          </cell>
          <cell r="D2145" t="str">
            <v>-</v>
          </cell>
          <cell r="F2145">
            <v>10</v>
          </cell>
          <cell r="H2145" t="str">
            <v>-</v>
          </cell>
          <cell r="I2145" t="str">
            <v>-</v>
          </cell>
          <cell r="K2145">
            <v>8</v>
          </cell>
          <cell r="L2145">
            <v>6.95</v>
          </cell>
          <cell r="M2145">
            <v>12.806248474865697</v>
          </cell>
          <cell r="O2145" t="str">
            <v>-</v>
          </cell>
          <cell r="T2145" t="str">
            <v>-</v>
          </cell>
          <cell r="U2145">
            <v>0.375</v>
          </cell>
        </row>
        <row r="2146">
          <cell r="B2146" t="str">
            <v>HSS10X8X5</v>
          </cell>
          <cell r="C2146">
            <v>9.92</v>
          </cell>
          <cell r="D2146" t="str">
            <v>-</v>
          </cell>
          <cell r="F2146">
            <v>10</v>
          </cell>
          <cell r="H2146" t="str">
            <v>-</v>
          </cell>
          <cell r="I2146" t="str">
            <v>-</v>
          </cell>
          <cell r="K2146">
            <v>8</v>
          </cell>
          <cell r="L2146">
            <v>7.13</v>
          </cell>
          <cell r="M2146">
            <v>12.806248474865697</v>
          </cell>
          <cell r="O2146" t="str">
            <v>-</v>
          </cell>
          <cell r="T2146" t="str">
            <v>-</v>
          </cell>
          <cell r="U2146">
            <v>0.3125</v>
          </cell>
        </row>
        <row r="2147">
          <cell r="B2147" t="str">
            <v>HSS10X8X4</v>
          </cell>
          <cell r="C2147">
            <v>8.0299999999999994</v>
          </cell>
          <cell r="D2147" t="str">
            <v>-</v>
          </cell>
          <cell r="F2147">
            <v>10</v>
          </cell>
          <cell r="H2147" t="str">
            <v>-</v>
          </cell>
          <cell r="I2147" t="str">
            <v>-</v>
          </cell>
          <cell r="K2147">
            <v>8</v>
          </cell>
          <cell r="L2147">
            <v>7.3</v>
          </cell>
          <cell r="M2147">
            <v>12.806248474865697</v>
          </cell>
          <cell r="O2147" t="str">
            <v>-</v>
          </cell>
          <cell r="T2147" t="str">
            <v>-</v>
          </cell>
          <cell r="U2147">
            <v>0.25</v>
          </cell>
        </row>
        <row r="2148">
          <cell r="B2148" t="str">
            <v>HSS10X8X3</v>
          </cell>
          <cell r="C2148">
            <v>6.06</v>
          </cell>
          <cell r="D2148" t="str">
            <v>-</v>
          </cell>
          <cell r="F2148">
            <v>10</v>
          </cell>
          <cell r="H2148" t="str">
            <v>-</v>
          </cell>
          <cell r="I2148" t="str">
            <v>-</v>
          </cell>
          <cell r="K2148">
            <v>8</v>
          </cell>
          <cell r="L2148">
            <v>7.48</v>
          </cell>
          <cell r="M2148">
            <v>12.806248474865697</v>
          </cell>
          <cell r="O2148" t="str">
            <v>-</v>
          </cell>
          <cell r="T2148" t="str">
            <v>-</v>
          </cell>
          <cell r="U2148">
            <v>0.1875</v>
          </cell>
        </row>
        <row r="2149">
          <cell r="B2149" t="str">
            <v>HSS10X6X10</v>
          </cell>
          <cell r="C2149">
            <v>16.399999999999999</v>
          </cell>
          <cell r="D2149" t="str">
            <v>-</v>
          </cell>
          <cell r="F2149">
            <v>10</v>
          </cell>
          <cell r="H2149" t="str">
            <v>-</v>
          </cell>
          <cell r="I2149" t="str">
            <v>-</v>
          </cell>
          <cell r="K2149">
            <v>6</v>
          </cell>
          <cell r="L2149">
            <v>4.26</v>
          </cell>
          <cell r="M2149">
            <v>11.661903789690601</v>
          </cell>
          <cell r="O2149" t="str">
            <v>-</v>
          </cell>
          <cell r="T2149" t="str">
            <v>-</v>
          </cell>
          <cell r="U2149">
            <v>0.625</v>
          </cell>
        </row>
        <row r="2150">
          <cell r="B2150" t="str">
            <v>HSS10X6X8</v>
          </cell>
          <cell r="C2150">
            <v>13.5</v>
          </cell>
          <cell r="D2150" t="str">
            <v>-</v>
          </cell>
          <cell r="F2150">
            <v>10</v>
          </cell>
          <cell r="H2150" t="str">
            <v>-</v>
          </cell>
          <cell r="I2150" t="str">
            <v>-</v>
          </cell>
          <cell r="K2150">
            <v>6</v>
          </cell>
          <cell r="L2150">
            <v>4.6100000000000003</v>
          </cell>
          <cell r="M2150">
            <v>11.661903789690601</v>
          </cell>
          <cell r="O2150" t="str">
            <v>-</v>
          </cell>
          <cell r="T2150" t="str">
            <v>-</v>
          </cell>
          <cell r="U2150">
            <v>0.5</v>
          </cell>
        </row>
        <row r="2151">
          <cell r="B2151" t="str">
            <v>HSS10X6X6</v>
          </cell>
          <cell r="C2151">
            <v>10.4</v>
          </cell>
          <cell r="D2151" t="str">
            <v>-</v>
          </cell>
          <cell r="F2151">
            <v>10</v>
          </cell>
          <cell r="H2151" t="str">
            <v>-</v>
          </cell>
          <cell r="I2151" t="str">
            <v>-</v>
          </cell>
          <cell r="K2151">
            <v>6</v>
          </cell>
          <cell r="L2151">
            <v>4.95</v>
          </cell>
          <cell r="M2151">
            <v>11.661903789690601</v>
          </cell>
          <cell r="O2151" t="str">
            <v>-</v>
          </cell>
          <cell r="T2151" t="str">
            <v>-</v>
          </cell>
          <cell r="U2151">
            <v>0.375</v>
          </cell>
        </row>
        <row r="2152">
          <cell r="B2152" t="str">
            <v>HSS10X6X5</v>
          </cell>
          <cell r="C2152">
            <v>8.76</v>
          </cell>
          <cell r="D2152" t="str">
            <v>-</v>
          </cell>
          <cell r="F2152">
            <v>10</v>
          </cell>
          <cell r="H2152" t="str">
            <v>-</v>
          </cell>
          <cell r="I2152" t="str">
            <v>-</v>
          </cell>
          <cell r="K2152">
            <v>6</v>
          </cell>
          <cell r="L2152">
            <v>5.13</v>
          </cell>
          <cell r="M2152">
            <v>11.661903789690601</v>
          </cell>
          <cell r="O2152" t="str">
            <v>-</v>
          </cell>
          <cell r="T2152" t="str">
            <v>-</v>
          </cell>
          <cell r="U2152">
            <v>0.3125</v>
          </cell>
        </row>
        <row r="2153">
          <cell r="B2153" t="str">
            <v>HSS10X6X4</v>
          </cell>
          <cell r="C2153">
            <v>7.1</v>
          </cell>
          <cell r="D2153" t="str">
            <v>-</v>
          </cell>
          <cell r="F2153">
            <v>10</v>
          </cell>
          <cell r="H2153" t="str">
            <v>-</v>
          </cell>
          <cell r="I2153" t="str">
            <v>-</v>
          </cell>
          <cell r="K2153">
            <v>6</v>
          </cell>
          <cell r="L2153">
            <v>5.3</v>
          </cell>
          <cell r="M2153">
            <v>11.661903789690601</v>
          </cell>
          <cell r="O2153" t="str">
            <v>-</v>
          </cell>
          <cell r="T2153" t="str">
            <v>-</v>
          </cell>
          <cell r="U2153">
            <v>0.25</v>
          </cell>
        </row>
        <row r="2154">
          <cell r="B2154" t="str">
            <v>HSS10X6X3</v>
          </cell>
          <cell r="C2154">
            <v>5.37</v>
          </cell>
          <cell r="D2154" t="str">
            <v>-</v>
          </cell>
          <cell r="F2154">
            <v>10</v>
          </cell>
          <cell r="H2154" t="str">
            <v>-</v>
          </cell>
          <cell r="I2154" t="str">
            <v>-</v>
          </cell>
          <cell r="K2154">
            <v>6</v>
          </cell>
          <cell r="L2154">
            <v>5.48</v>
          </cell>
          <cell r="M2154">
            <v>11.661903789690601</v>
          </cell>
          <cell r="O2154" t="str">
            <v>-</v>
          </cell>
          <cell r="T2154" t="str">
            <v>-</v>
          </cell>
          <cell r="U2154">
            <v>0.1875</v>
          </cell>
        </row>
        <row r="2155">
          <cell r="B2155" t="str">
            <v>HSS10X5X6</v>
          </cell>
          <cell r="C2155">
            <v>9.67</v>
          </cell>
          <cell r="D2155" t="str">
            <v>-</v>
          </cell>
          <cell r="F2155">
            <v>10</v>
          </cell>
          <cell r="H2155" t="str">
            <v>-</v>
          </cell>
          <cell r="I2155" t="str">
            <v>-</v>
          </cell>
          <cell r="K2155">
            <v>5</v>
          </cell>
          <cell r="L2155">
            <v>3.95</v>
          </cell>
          <cell r="M2155">
            <v>11.180339887498949</v>
          </cell>
          <cell r="O2155" t="str">
            <v>-</v>
          </cell>
          <cell r="T2155" t="str">
            <v>-</v>
          </cell>
          <cell r="U2155">
            <v>0.375</v>
          </cell>
        </row>
        <row r="2156">
          <cell r="B2156" t="str">
            <v>HSS10X5X5</v>
          </cell>
          <cell r="C2156">
            <v>8.17</v>
          </cell>
          <cell r="D2156" t="str">
            <v>-</v>
          </cell>
          <cell r="F2156">
            <v>10</v>
          </cell>
          <cell r="H2156" t="str">
            <v>-</v>
          </cell>
          <cell r="I2156" t="str">
            <v>-</v>
          </cell>
          <cell r="K2156">
            <v>5</v>
          </cell>
          <cell r="L2156">
            <v>4.13</v>
          </cell>
          <cell r="M2156">
            <v>11.180339887498949</v>
          </cell>
          <cell r="O2156" t="str">
            <v>-</v>
          </cell>
          <cell r="T2156" t="str">
            <v>-</v>
          </cell>
          <cell r="U2156">
            <v>0.3125</v>
          </cell>
        </row>
        <row r="2157">
          <cell r="B2157" t="str">
            <v>HSS10X5X4</v>
          </cell>
          <cell r="C2157">
            <v>6.63</v>
          </cell>
          <cell r="D2157" t="str">
            <v>-</v>
          </cell>
          <cell r="F2157">
            <v>10</v>
          </cell>
          <cell r="H2157" t="str">
            <v>-</v>
          </cell>
          <cell r="I2157" t="str">
            <v>-</v>
          </cell>
          <cell r="K2157">
            <v>5</v>
          </cell>
          <cell r="L2157">
            <v>4.3</v>
          </cell>
          <cell r="M2157">
            <v>11.180339887498949</v>
          </cell>
          <cell r="O2157" t="str">
            <v>-</v>
          </cell>
          <cell r="T2157" t="str">
            <v>-</v>
          </cell>
          <cell r="U2157">
            <v>0.25</v>
          </cell>
        </row>
        <row r="2158">
          <cell r="B2158" t="str">
            <v>HSS10X5X3</v>
          </cell>
          <cell r="C2158">
            <v>5.0199999999999996</v>
          </cell>
          <cell r="D2158" t="str">
            <v>-</v>
          </cell>
          <cell r="F2158">
            <v>10</v>
          </cell>
          <cell r="H2158" t="str">
            <v>-</v>
          </cell>
          <cell r="I2158" t="str">
            <v>-</v>
          </cell>
          <cell r="K2158">
            <v>5</v>
          </cell>
          <cell r="L2158">
            <v>4.4800000000000004</v>
          </cell>
          <cell r="M2158">
            <v>11.180339887498949</v>
          </cell>
          <cell r="O2158" t="str">
            <v>-</v>
          </cell>
          <cell r="T2158" t="str">
            <v>-</v>
          </cell>
          <cell r="U2158">
            <v>0.1875</v>
          </cell>
        </row>
        <row r="2159">
          <cell r="B2159" t="str">
            <v>HSS10X4X10</v>
          </cell>
          <cell r="C2159">
            <v>14</v>
          </cell>
          <cell r="D2159" t="str">
            <v>-</v>
          </cell>
          <cell r="F2159">
            <v>10</v>
          </cell>
          <cell r="H2159" t="str">
            <v>-</v>
          </cell>
          <cell r="I2159" t="str">
            <v>-</v>
          </cell>
          <cell r="K2159">
            <v>4</v>
          </cell>
          <cell r="L2159">
            <v>2.2599999999999998</v>
          </cell>
          <cell r="M2159">
            <v>10.770329614269007</v>
          </cell>
          <cell r="O2159" t="str">
            <v>-</v>
          </cell>
          <cell r="T2159" t="str">
            <v>-</v>
          </cell>
          <cell r="U2159">
            <v>0.625</v>
          </cell>
        </row>
        <row r="2160">
          <cell r="B2160" t="str">
            <v>HSS10X4X8</v>
          </cell>
          <cell r="C2160">
            <v>11.6</v>
          </cell>
          <cell r="D2160" t="str">
            <v>-</v>
          </cell>
          <cell r="F2160">
            <v>10</v>
          </cell>
          <cell r="H2160" t="str">
            <v>-</v>
          </cell>
          <cell r="I2160" t="str">
            <v>-</v>
          </cell>
          <cell r="K2160">
            <v>4</v>
          </cell>
          <cell r="L2160">
            <v>2.6</v>
          </cell>
          <cell r="M2160">
            <v>10.770329614269007</v>
          </cell>
          <cell r="O2160" t="str">
            <v>-</v>
          </cell>
          <cell r="T2160" t="str">
            <v>-</v>
          </cell>
          <cell r="U2160">
            <v>0.5</v>
          </cell>
        </row>
        <row r="2161">
          <cell r="B2161" t="str">
            <v>HSS10X4X6</v>
          </cell>
          <cell r="C2161">
            <v>8.9700000000000006</v>
          </cell>
          <cell r="D2161" t="str">
            <v>-</v>
          </cell>
          <cell r="F2161">
            <v>10</v>
          </cell>
          <cell r="H2161" t="str">
            <v>-</v>
          </cell>
          <cell r="I2161" t="str">
            <v>-</v>
          </cell>
          <cell r="K2161">
            <v>4</v>
          </cell>
          <cell r="L2161">
            <v>2.95</v>
          </cell>
          <cell r="M2161">
            <v>10.770329614269007</v>
          </cell>
          <cell r="O2161" t="str">
            <v>-</v>
          </cell>
          <cell r="T2161" t="str">
            <v>-</v>
          </cell>
          <cell r="U2161">
            <v>0.375</v>
          </cell>
        </row>
        <row r="2162">
          <cell r="B2162" t="str">
            <v>HSS10X4X5</v>
          </cell>
          <cell r="C2162">
            <v>7.59</v>
          </cell>
          <cell r="D2162" t="str">
            <v>-</v>
          </cell>
          <cell r="F2162">
            <v>10</v>
          </cell>
          <cell r="H2162" t="str">
            <v>-</v>
          </cell>
          <cell r="I2162" t="str">
            <v>-</v>
          </cell>
          <cell r="K2162">
            <v>4</v>
          </cell>
          <cell r="L2162">
            <v>3.13</v>
          </cell>
          <cell r="M2162">
            <v>10.770329614269007</v>
          </cell>
          <cell r="O2162" t="str">
            <v>-</v>
          </cell>
          <cell r="T2162" t="str">
            <v>-</v>
          </cell>
          <cell r="U2162">
            <v>0.3125</v>
          </cell>
        </row>
        <row r="2163">
          <cell r="B2163" t="str">
            <v>HSS10X4X4</v>
          </cell>
          <cell r="C2163">
            <v>6.17</v>
          </cell>
          <cell r="D2163" t="str">
            <v>-</v>
          </cell>
          <cell r="F2163">
            <v>10</v>
          </cell>
          <cell r="H2163" t="str">
            <v>-</v>
          </cell>
          <cell r="I2163" t="str">
            <v>-</v>
          </cell>
          <cell r="K2163">
            <v>4</v>
          </cell>
          <cell r="L2163">
            <v>3.3</v>
          </cell>
          <cell r="M2163">
            <v>10.770329614269007</v>
          </cell>
          <cell r="O2163" t="str">
            <v>-</v>
          </cell>
          <cell r="T2163" t="str">
            <v>-</v>
          </cell>
          <cell r="U2163">
            <v>0.25</v>
          </cell>
        </row>
        <row r="2164">
          <cell r="B2164" t="str">
            <v>HSS10X4X3</v>
          </cell>
          <cell r="C2164">
            <v>4.67</v>
          </cell>
          <cell r="D2164" t="str">
            <v>-</v>
          </cell>
          <cell r="F2164">
            <v>10</v>
          </cell>
          <cell r="H2164" t="str">
            <v>-</v>
          </cell>
          <cell r="I2164" t="str">
            <v>-</v>
          </cell>
          <cell r="K2164">
            <v>4</v>
          </cell>
          <cell r="L2164">
            <v>3.48</v>
          </cell>
          <cell r="M2164">
            <v>10.770329614269007</v>
          </cell>
          <cell r="O2164" t="str">
            <v>-</v>
          </cell>
          <cell r="T2164" t="str">
            <v>-</v>
          </cell>
          <cell r="U2164">
            <v>0.1875</v>
          </cell>
        </row>
        <row r="2165">
          <cell r="B2165" t="str">
            <v>HSS10X4X2</v>
          </cell>
          <cell r="C2165">
            <v>3.16</v>
          </cell>
          <cell r="D2165" t="str">
            <v>-</v>
          </cell>
          <cell r="F2165">
            <v>10</v>
          </cell>
          <cell r="H2165" t="str">
            <v>-</v>
          </cell>
          <cell r="I2165" t="str">
            <v>-</v>
          </cell>
          <cell r="K2165">
            <v>4</v>
          </cell>
          <cell r="L2165">
            <v>3.65</v>
          </cell>
          <cell r="M2165">
            <v>10.770329614269007</v>
          </cell>
          <cell r="O2165" t="str">
            <v>-</v>
          </cell>
          <cell r="T2165" t="str">
            <v>-</v>
          </cell>
          <cell r="U2165">
            <v>0.125</v>
          </cell>
        </row>
        <row r="2166">
          <cell r="B2166" t="str">
            <v>HSS10X3.5X8</v>
          </cell>
          <cell r="C2166">
            <v>11.1</v>
          </cell>
          <cell r="D2166" t="str">
            <v>-</v>
          </cell>
          <cell r="F2166">
            <v>10</v>
          </cell>
          <cell r="H2166" t="str">
            <v>-</v>
          </cell>
          <cell r="I2166" t="str">
            <v>-</v>
          </cell>
          <cell r="K2166">
            <v>3.5</v>
          </cell>
          <cell r="L2166">
            <v>2.1</v>
          </cell>
          <cell r="M2166">
            <v>10.594810050208546</v>
          </cell>
          <cell r="O2166" t="str">
            <v>-</v>
          </cell>
          <cell r="T2166" t="str">
            <v>-</v>
          </cell>
          <cell r="U2166">
            <v>0.5</v>
          </cell>
        </row>
        <row r="2167">
          <cell r="B2167" t="str">
            <v>HSS10X3.5X6</v>
          </cell>
          <cell r="C2167">
            <v>8.6199999999999992</v>
          </cell>
          <cell r="D2167" t="str">
            <v>-</v>
          </cell>
          <cell r="F2167">
            <v>10</v>
          </cell>
          <cell r="H2167" t="str">
            <v>-</v>
          </cell>
          <cell r="I2167" t="str">
            <v>-</v>
          </cell>
          <cell r="K2167">
            <v>3.5</v>
          </cell>
          <cell r="L2167">
            <v>2.4500000000000002</v>
          </cell>
          <cell r="M2167">
            <v>10.594810050208546</v>
          </cell>
          <cell r="O2167" t="str">
            <v>-</v>
          </cell>
          <cell r="T2167" t="str">
            <v>-</v>
          </cell>
          <cell r="U2167">
            <v>0.375</v>
          </cell>
        </row>
        <row r="2168">
          <cell r="B2168" t="str">
            <v>HSS10X3.5X5</v>
          </cell>
          <cell r="C2168">
            <v>7.3</v>
          </cell>
          <cell r="D2168" t="str">
            <v>-</v>
          </cell>
          <cell r="F2168">
            <v>10</v>
          </cell>
          <cell r="H2168" t="str">
            <v>-</v>
          </cell>
          <cell r="I2168" t="str">
            <v>-</v>
          </cell>
          <cell r="K2168">
            <v>3.5</v>
          </cell>
          <cell r="L2168">
            <v>2.63</v>
          </cell>
          <cell r="M2168">
            <v>10.594810050208546</v>
          </cell>
          <cell r="O2168" t="str">
            <v>-</v>
          </cell>
          <cell r="T2168" t="str">
            <v>-</v>
          </cell>
          <cell r="U2168">
            <v>0.3125</v>
          </cell>
        </row>
        <row r="2169">
          <cell r="B2169" t="str">
            <v>HSS10X3.5X4</v>
          </cell>
          <cell r="C2169">
            <v>5.93</v>
          </cell>
          <cell r="D2169" t="str">
            <v>-</v>
          </cell>
          <cell r="F2169">
            <v>10</v>
          </cell>
          <cell r="H2169" t="str">
            <v>-</v>
          </cell>
          <cell r="I2169" t="str">
            <v>-</v>
          </cell>
          <cell r="K2169">
            <v>3.5</v>
          </cell>
          <cell r="L2169">
            <v>2.8</v>
          </cell>
          <cell r="M2169">
            <v>10.594810050208546</v>
          </cell>
          <cell r="O2169" t="str">
            <v>-</v>
          </cell>
          <cell r="T2169" t="str">
            <v>-</v>
          </cell>
          <cell r="U2169">
            <v>0.25</v>
          </cell>
        </row>
        <row r="2170">
          <cell r="B2170" t="str">
            <v>HSS10X3.5X3</v>
          </cell>
          <cell r="C2170">
            <v>4.5</v>
          </cell>
          <cell r="D2170" t="str">
            <v>-</v>
          </cell>
          <cell r="F2170">
            <v>10</v>
          </cell>
          <cell r="H2170" t="str">
            <v>-</v>
          </cell>
          <cell r="I2170" t="str">
            <v>-</v>
          </cell>
          <cell r="K2170">
            <v>3.5</v>
          </cell>
          <cell r="L2170">
            <v>2.98</v>
          </cell>
          <cell r="M2170">
            <v>10.594810050208546</v>
          </cell>
          <cell r="O2170" t="str">
            <v>-</v>
          </cell>
          <cell r="T2170" t="str">
            <v>-</v>
          </cell>
          <cell r="U2170">
            <v>0.1875</v>
          </cell>
        </row>
        <row r="2171">
          <cell r="B2171" t="str">
            <v>HSS10X3.5X2</v>
          </cell>
          <cell r="C2171">
            <v>3.04</v>
          </cell>
          <cell r="D2171" t="str">
            <v>-</v>
          </cell>
          <cell r="F2171">
            <v>10</v>
          </cell>
          <cell r="H2171" t="str">
            <v>-</v>
          </cell>
          <cell r="I2171" t="str">
            <v>-</v>
          </cell>
          <cell r="K2171">
            <v>3.5</v>
          </cell>
          <cell r="L2171">
            <v>3.15</v>
          </cell>
          <cell r="M2171">
            <v>10.594810050208546</v>
          </cell>
          <cell r="O2171" t="str">
            <v>-</v>
          </cell>
          <cell r="T2171" t="str">
            <v>-</v>
          </cell>
          <cell r="U2171">
            <v>0.125</v>
          </cell>
        </row>
        <row r="2172">
          <cell r="B2172" t="str">
            <v>HSS10X3x6</v>
          </cell>
          <cell r="C2172">
            <v>8.27</v>
          </cell>
          <cell r="D2172" t="str">
            <v>-</v>
          </cell>
          <cell r="F2172">
            <v>10</v>
          </cell>
          <cell r="H2172" t="str">
            <v>-</v>
          </cell>
          <cell r="I2172" t="str">
            <v>-</v>
          </cell>
          <cell r="K2172">
            <v>3</v>
          </cell>
          <cell r="L2172">
            <v>1.95</v>
          </cell>
          <cell r="M2172">
            <v>10.440306508910551</v>
          </cell>
          <cell r="O2172" t="str">
            <v>-</v>
          </cell>
          <cell r="T2172" t="str">
            <v>-</v>
          </cell>
          <cell r="U2172">
            <v>0.375</v>
          </cell>
        </row>
        <row r="2173">
          <cell r="B2173" t="str">
            <v>HSS10X3X5</v>
          </cell>
          <cell r="C2173">
            <v>7.01</v>
          </cell>
          <cell r="D2173" t="str">
            <v>-</v>
          </cell>
          <cell r="F2173">
            <v>10</v>
          </cell>
          <cell r="H2173" t="str">
            <v>-</v>
          </cell>
          <cell r="I2173" t="str">
            <v>-</v>
          </cell>
          <cell r="K2173">
            <v>3</v>
          </cell>
          <cell r="L2173">
            <v>2.13</v>
          </cell>
          <cell r="M2173">
            <v>10.440306508910551</v>
          </cell>
          <cell r="O2173" t="str">
            <v>-</v>
          </cell>
          <cell r="T2173" t="str">
            <v>-</v>
          </cell>
          <cell r="U2173">
            <v>0.3125</v>
          </cell>
        </row>
        <row r="2174">
          <cell r="B2174" t="str">
            <v>HSS10X3X4</v>
          </cell>
          <cell r="C2174">
            <v>5.7</v>
          </cell>
          <cell r="D2174" t="str">
            <v>-</v>
          </cell>
          <cell r="F2174">
            <v>10</v>
          </cell>
          <cell r="H2174" t="str">
            <v>-</v>
          </cell>
          <cell r="I2174" t="str">
            <v>-</v>
          </cell>
          <cell r="K2174">
            <v>3</v>
          </cell>
          <cell r="L2174">
            <v>2.2999999999999998</v>
          </cell>
          <cell r="M2174">
            <v>10.440306508910551</v>
          </cell>
          <cell r="O2174" t="str">
            <v>-</v>
          </cell>
          <cell r="T2174" t="str">
            <v>-</v>
          </cell>
          <cell r="U2174">
            <v>0.25</v>
          </cell>
        </row>
        <row r="2175">
          <cell r="B2175" t="str">
            <v>HSS10X3X3</v>
          </cell>
          <cell r="C2175">
            <v>4.32</v>
          </cell>
          <cell r="D2175" t="str">
            <v>-</v>
          </cell>
          <cell r="F2175">
            <v>10</v>
          </cell>
          <cell r="H2175" t="str">
            <v>-</v>
          </cell>
          <cell r="I2175" t="str">
            <v>-</v>
          </cell>
          <cell r="K2175">
            <v>3</v>
          </cell>
          <cell r="L2175">
            <v>2.48</v>
          </cell>
          <cell r="M2175">
            <v>10.440306508910551</v>
          </cell>
          <cell r="O2175" t="str">
            <v>-</v>
          </cell>
          <cell r="T2175" t="str">
            <v>-</v>
          </cell>
          <cell r="U2175">
            <v>0.1875</v>
          </cell>
        </row>
        <row r="2176">
          <cell r="B2176" t="str">
            <v>HSS10X3X2</v>
          </cell>
          <cell r="C2176">
            <v>2.93</v>
          </cell>
          <cell r="D2176" t="str">
            <v>-</v>
          </cell>
          <cell r="F2176">
            <v>10</v>
          </cell>
          <cell r="H2176" t="str">
            <v>-</v>
          </cell>
          <cell r="I2176" t="str">
            <v>-</v>
          </cell>
          <cell r="K2176">
            <v>3</v>
          </cell>
          <cell r="L2176">
            <v>2.65</v>
          </cell>
          <cell r="M2176">
            <v>10.440306508910551</v>
          </cell>
          <cell r="O2176" t="str">
            <v>-</v>
          </cell>
          <cell r="T2176" t="str">
            <v>-</v>
          </cell>
          <cell r="U2176">
            <v>0.125</v>
          </cell>
        </row>
        <row r="2177">
          <cell r="B2177" t="str">
            <v>HSS10X2X6</v>
          </cell>
          <cell r="C2177">
            <v>7.58</v>
          </cell>
          <cell r="D2177" t="str">
            <v>-</v>
          </cell>
          <cell r="F2177">
            <v>10</v>
          </cell>
          <cell r="H2177" t="str">
            <v>-</v>
          </cell>
          <cell r="I2177" t="str">
            <v>-</v>
          </cell>
          <cell r="K2177">
            <v>2</v>
          </cell>
          <cell r="L2177">
            <v>0.95299999999999996</v>
          </cell>
          <cell r="M2177">
            <v>10.198039027185569</v>
          </cell>
          <cell r="O2177" t="str">
            <v>-</v>
          </cell>
          <cell r="T2177" t="str">
            <v>-</v>
          </cell>
          <cell r="U2177">
            <v>0.375</v>
          </cell>
        </row>
        <row r="2178">
          <cell r="B2178" t="str">
            <v>HSS10X2X5</v>
          </cell>
          <cell r="C2178">
            <v>6.43</v>
          </cell>
          <cell r="D2178" t="str">
            <v>-</v>
          </cell>
          <cell r="F2178">
            <v>10</v>
          </cell>
          <cell r="H2178" t="str">
            <v>-</v>
          </cell>
          <cell r="I2178" t="str">
            <v>-</v>
          </cell>
          <cell r="K2178">
            <v>2</v>
          </cell>
          <cell r="L2178">
            <v>1.1299999999999999</v>
          </cell>
          <cell r="M2178">
            <v>10.198039027185569</v>
          </cell>
          <cell r="O2178" t="str">
            <v>-</v>
          </cell>
          <cell r="T2178" t="str">
            <v>-</v>
          </cell>
          <cell r="U2178">
            <v>0.3125</v>
          </cell>
        </row>
        <row r="2179">
          <cell r="B2179" t="str">
            <v>HSS10X2X4</v>
          </cell>
          <cell r="C2179">
            <v>5.24</v>
          </cell>
          <cell r="D2179" t="str">
            <v>-</v>
          </cell>
          <cell r="F2179">
            <v>10</v>
          </cell>
          <cell r="H2179" t="str">
            <v>-</v>
          </cell>
          <cell r="I2179" t="str">
            <v>-</v>
          </cell>
          <cell r="K2179">
            <v>2</v>
          </cell>
          <cell r="L2179">
            <v>1.3</v>
          </cell>
          <cell r="M2179">
            <v>10.198039027185569</v>
          </cell>
          <cell r="O2179" t="str">
            <v>-</v>
          </cell>
          <cell r="T2179" t="str">
            <v>-</v>
          </cell>
          <cell r="U2179">
            <v>0.25</v>
          </cell>
        </row>
        <row r="2180">
          <cell r="B2180" t="str">
            <v>HSS10X2X3</v>
          </cell>
          <cell r="C2180">
            <v>3.98</v>
          </cell>
          <cell r="D2180" t="str">
            <v>-</v>
          </cell>
          <cell r="F2180">
            <v>10</v>
          </cell>
          <cell r="H2180" t="str">
            <v>-</v>
          </cell>
          <cell r="I2180" t="str">
            <v>-</v>
          </cell>
          <cell r="K2180">
            <v>2</v>
          </cell>
          <cell r="L2180">
            <v>1.48</v>
          </cell>
          <cell r="M2180">
            <v>10.198039027185569</v>
          </cell>
          <cell r="O2180" t="str">
            <v>-</v>
          </cell>
          <cell r="T2180" t="str">
            <v>-</v>
          </cell>
          <cell r="U2180">
            <v>0.1875</v>
          </cell>
        </row>
        <row r="2181">
          <cell r="B2181" t="str">
            <v>HSS10X2X2</v>
          </cell>
          <cell r="C2181">
            <v>2.7</v>
          </cell>
          <cell r="D2181" t="str">
            <v>-</v>
          </cell>
          <cell r="F2181">
            <v>10</v>
          </cell>
          <cell r="H2181" t="str">
            <v>-</v>
          </cell>
          <cell r="I2181" t="str">
            <v>-</v>
          </cell>
          <cell r="K2181">
            <v>2</v>
          </cell>
          <cell r="L2181">
            <v>1.65</v>
          </cell>
          <cell r="M2181">
            <v>10.198039027185569</v>
          </cell>
          <cell r="O2181" t="str">
            <v>-</v>
          </cell>
          <cell r="T2181" t="str">
            <v>-</v>
          </cell>
          <cell r="U2181">
            <v>0.125</v>
          </cell>
        </row>
        <row r="2182">
          <cell r="B2182" t="str">
            <v>HSS9X9X10</v>
          </cell>
          <cell r="C2182">
            <v>18.7</v>
          </cell>
          <cell r="D2182" t="str">
            <v>-</v>
          </cell>
          <cell r="F2182">
            <v>9</v>
          </cell>
          <cell r="H2182" t="str">
            <v>-</v>
          </cell>
          <cell r="I2182" t="str">
            <v>-</v>
          </cell>
          <cell r="K2182">
            <v>9</v>
          </cell>
          <cell r="L2182">
            <v>7.26</v>
          </cell>
          <cell r="M2182">
            <v>12.727922061357855</v>
          </cell>
          <cell r="O2182" t="str">
            <v>-</v>
          </cell>
          <cell r="T2182" t="str">
            <v>-</v>
          </cell>
          <cell r="U2182">
            <v>0.625</v>
          </cell>
        </row>
        <row r="2183">
          <cell r="B2183" t="str">
            <v>HSS9X9X8</v>
          </cell>
          <cell r="C2183">
            <v>15.3</v>
          </cell>
          <cell r="D2183" t="str">
            <v>-</v>
          </cell>
          <cell r="F2183">
            <v>9</v>
          </cell>
          <cell r="H2183" t="str">
            <v>-</v>
          </cell>
          <cell r="I2183" t="str">
            <v>-</v>
          </cell>
          <cell r="K2183">
            <v>9</v>
          </cell>
          <cell r="L2183">
            <v>7.6</v>
          </cell>
          <cell r="M2183">
            <v>12.727922061357855</v>
          </cell>
          <cell r="O2183" t="str">
            <v>-</v>
          </cell>
          <cell r="T2183" t="str">
            <v>-</v>
          </cell>
          <cell r="U2183">
            <v>0.5</v>
          </cell>
        </row>
        <row r="2184">
          <cell r="B2184" t="str">
            <v>HSS9X9X6</v>
          </cell>
          <cell r="C2184">
            <v>11.8</v>
          </cell>
          <cell r="D2184" t="str">
            <v>-</v>
          </cell>
          <cell r="F2184">
            <v>9</v>
          </cell>
          <cell r="H2184" t="str">
            <v>-</v>
          </cell>
          <cell r="I2184" t="str">
            <v>-</v>
          </cell>
          <cell r="K2184">
            <v>9</v>
          </cell>
          <cell r="L2184">
            <v>7.95</v>
          </cell>
          <cell r="M2184">
            <v>12.727922061357855</v>
          </cell>
          <cell r="O2184" t="str">
            <v>-</v>
          </cell>
          <cell r="T2184" t="str">
            <v>-</v>
          </cell>
          <cell r="U2184">
            <v>0.375</v>
          </cell>
        </row>
        <row r="2185">
          <cell r="B2185" t="str">
            <v>HSS9X9X5</v>
          </cell>
          <cell r="C2185">
            <v>9.92</v>
          </cell>
          <cell r="D2185" t="str">
            <v>-</v>
          </cell>
          <cell r="F2185">
            <v>9</v>
          </cell>
          <cell r="H2185" t="str">
            <v>-</v>
          </cell>
          <cell r="I2185" t="str">
            <v>-</v>
          </cell>
          <cell r="K2185">
            <v>9</v>
          </cell>
          <cell r="L2185">
            <v>8.1300000000000008</v>
          </cell>
          <cell r="M2185">
            <v>12.727922061357855</v>
          </cell>
          <cell r="O2185" t="str">
            <v>-</v>
          </cell>
          <cell r="T2185" t="str">
            <v>-</v>
          </cell>
          <cell r="U2185">
            <v>0.3125</v>
          </cell>
        </row>
        <row r="2186">
          <cell r="B2186" t="str">
            <v>HSS9X9X4</v>
          </cell>
          <cell r="C2186">
            <v>8.0299999999999994</v>
          </cell>
          <cell r="D2186" t="str">
            <v>-</v>
          </cell>
          <cell r="F2186">
            <v>9</v>
          </cell>
          <cell r="H2186" t="str">
            <v>-</v>
          </cell>
          <cell r="I2186" t="str">
            <v>-</v>
          </cell>
          <cell r="K2186">
            <v>9</v>
          </cell>
          <cell r="L2186">
            <v>8.3000000000000007</v>
          </cell>
          <cell r="M2186">
            <v>12.727922061357855</v>
          </cell>
          <cell r="O2186" t="str">
            <v>-</v>
          </cell>
          <cell r="T2186" t="str">
            <v>-</v>
          </cell>
          <cell r="U2186">
            <v>0.25</v>
          </cell>
        </row>
        <row r="2187">
          <cell r="B2187" t="str">
            <v>HSS9X9X3</v>
          </cell>
          <cell r="C2187">
            <v>6.06</v>
          </cell>
          <cell r="D2187" t="str">
            <v>-</v>
          </cell>
          <cell r="F2187">
            <v>9</v>
          </cell>
          <cell r="H2187" t="str">
            <v>-</v>
          </cell>
          <cell r="I2187" t="str">
            <v>-</v>
          </cell>
          <cell r="K2187">
            <v>9</v>
          </cell>
          <cell r="L2187">
            <v>8.48</v>
          </cell>
          <cell r="M2187">
            <v>12.727922061357855</v>
          </cell>
          <cell r="O2187" t="str">
            <v>-</v>
          </cell>
          <cell r="T2187" t="str">
            <v>-</v>
          </cell>
          <cell r="U2187">
            <v>0.1875</v>
          </cell>
        </row>
        <row r="2188">
          <cell r="B2188" t="str">
            <v>HSS9X9X2</v>
          </cell>
          <cell r="C2188">
            <v>4.09</v>
          </cell>
          <cell r="D2188" t="str">
            <v>-</v>
          </cell>
          <cell r="F2188">
            <v>9</v>
          </cell>
          <cell r="H2188" t="str">
            <v>-</v>
          </cell>
          <cell r="I2188" t="str">
            <v>-</v>
          </cell>
          <cell r="K2188">
            <v>9</v>
          </cell>
          <cell r="L2188">
            <v>8.65</v>
          </cell>
          <cell r="M2188">
            <v>12.727922061357855</v>
          </cell>
          <cell r="O2188" t="str">
            <v>-</v>
          </cell>
          <cell r="T2188" t="str">
            <v>-</v>
          </cell>
          <cell r="U2188">
            <v>0.125</v>
          </cell>
        </row>
        <row r="2189">
          <cell r="B2189" t="str">
            <v>HSS9X7X10</v>
          </cell>
          <cell r="C2189">
            <v>16.399999999999999</v>
          </cell>
          <cell r="D2189" t="str">
            <v>-</v>
          </cell>
          <cell r="F2189">
            <v>9</v>
          </cell>
          <cell r="H2189" t="str">
            <v>-</v>
          </cell>
          <cell r="I2189" t="str">
            <v>-</v>
          </cell>
          <cell r="K2189">
            <v>7</v>
          </cell>
          <cell r="L2189">
            <v>5.26</v>
          </cell>
          <cell r="M2189">
            <v>11.401754250991379</v>
          </cell>
          <cell r="O2189" t="str">
            <v>-</v>
          </cell>
          <cell r="T2189" t="str">
            <v>-</v>
          </cell>
          <cell r="U2189">
            <v>0.625</v>
          </cell>
        </row>
        <row r="2190">
          <cell r="B2190" t="str">
            <v>HSS9X7X8</v>
          </cell>
          <cell r="C2190">
            <v>13.5</v>
          </cell>
          <cell r="D2190" t="str">
            <v>-</v>
          </cell>
          <cell r="F2190">
            <v>9</v>
          </cell>
          <cell r="H2190" t="str">
            <v>-</v>
          </cell>
          <cell r="I2190" t="str">
            <v>-</v>
          </cell>
          <cell r="K2190">
            <v>7</v>
          </cell>
          <cell r="L2190">
            <v>5.6</v>
          </cell>
          <cell r="M2190">
            <v>11.401754250991379</v>
          </cell>
          <cell r="O2190" t="str">
            <v>-</v>
          </cell>
          <cell r="T2190" t="str">
            <v>-</v>
          </cell>
          <cell r="U2190">
            <v>0.5</v>
          </cell>
        </row>
        <row r="2191">
          <cell r="B2191" t="str">
            <v>HSS9X7X6</v>
          </cell>
          <cell r="C2191">
            <v>10.4</v>
          </cell>
          <cell r="D2191" t="str">
            <v>-</v>
          </cell>
          <cell r="F2191">
            <v>9</v>
          </cell>
          <cell r="H2191" t="str">
            <v>-</v>
          </cell>
          <cell r="I2191" t="str">
            <v>-</v>
          </cell>
          <cell r="K2191">
            <v>7</v>
          </cell>
          <cell r="L2191">
            <v>5.95</v>
          </cell>
          <cell r="M2191">
            <v>11.401754250991379</v>
          </cell>
          <cell r="O2191" t="str">
            <v>-</v>
          </cell>
          <cell r="T2191" t="str">
            <v>-</v>
          </cell>
          <cell r="U2191">
            <v>0.375</v>
          </cell>
        </row>
        <row r="2192">
          <cell r="B2192" t="str">
            <v>HSS9X7X5</v>
          </cell>
          <cell r="C2192">
            <v>8.76</v>
          </cell>
          <cell r="D2192" t="str">
            <v>-</v>
          </cell>
          <cell r="F2192">
            <v>9</v>
          </cell>
          <cell r="H2192" t="str">
            <v>-</v>
          </cell>
          <cell r="I2192" t="str">
            <v>-</v>
          </cell>
          <cell r="K2192">
            <v>7</v>
          </cell>
          <cell r="L2192">
            <v>6.13</v>
          </cell>
          <cell r="M2192">
            <v>11.401754250991379</v>
          </cell>
          <cell r="O2192" t="str">
            <v>-</v>
          </cell>
          <cell r="T2192" t="str">
            <v>-</v>
          </cell>
          <cell r="U2192">
            <v>0.3125</v>
          </cell>
        </row>
        <row r="2193">
          <cell r="B2193" t="str">
            <v>HSS9X7X4</v>
          </cell>
          <cell r="C2193">
            <v>7.1</v>
          </cell>
          <cell r="D2193" t="str">
            <v>-</v>
          </cell>
          <cell r="F2193">
            <v>9</v>
          </cell>
          <cell r="H2193" t="str">
            <v>-</v>
          </cell>
          <cell r="I2193" t="str">
            <v>-</v>
          </cell>
          <cell r="K2193">
            <v>7</v>
          </cell>
          <cell r="L2193">
            <v>6.3</v>
          </cell>
          <cell r="M2193">
            <v>11.401754250991379</v>
          </cell>
          <cell r="O2193" t="str">
            <v>-</v>
          </cell>
          <cell r="T2193" t="str">
            <v>-</v>
          </cell>
          <cell r="U2193">
            <v>0.25</v>
          </cell>
        </row>
        <row r="2194">
          <cell r="B2194" t="str">
            <v>HSS9X7X3</v>
          </cell>
          <cell r="C2194">
            <v>5.37</v>
          </cell>
          <cell r="D2194" t="str">
            <v>-</v>
          </cell>
          <cell r="F2194">
            <v>9</v>
          </cell>
          <cell r="H2194" t="str">
            <v>-</v>
          </cell>
          <cell r="I2194" t="str">
            <v>-</v>
          </cell>
          <cell r="K2194">
            <v>7</v>
          </cell>
          <cell r="L2194">
            <v>6.48</v>
          </cell>
          <cell r="M2194">
            <v>11.401754250991379</v>
          </cell>
          <cell r="O2194" t="str">
            <v>-</v>
          </cell>
          <cell r="T2194" t="str">
            <v>-</v>
          </cell>
          <cell r="U2194">
            <v>0.1875</v>
          </cell>
        </row>
        <row r="2195">
          <cell r="B2195" t="str">
            <v>HSS9X5X10</v>
          </cell>
          <cell r="C2195">
            <v>14</v>
          </cell>
          <cell r="D2195" t="str">
            <v>-</v>
          </cell>
          <cell r="F2195">
            <v>9</v>
          </cell>
          <cell r="H2195" t="str">
            <v>-</v>
          </cell>
          <cell r="I2195" t="str">
            <v>-</v>
          </cell>
          <cell r="K2195">
            <v>5</v>
          </cell>
          <cell r="L2195">
            <v>3.26</v>
          </cell>
          <cell r="M2195">
            <v>10.295630140987001</v>
          </cell>
          <cell r="O2195" t="str">
            <v>-</v>
          </cell>
          <cell r="T2195" t="str">
            <v>-</v>
          </cell>
          <cell r="U2195">
            <v>0.625</v>
          </cell>
        </row>
        <row r="2196">
          <cell r="B2196" t="str">
            <v>HSS9X5X8</v>
          </cell>
          <cell r="C2196">
            <v>11.6</v>
          </cell>
          <cell r="D2196" t="str">
            <v>-</v>
          </cell>
          <cell r="F2196">
            <v>9</v>
          </cell>
          <cell r="H2196" t="str">
            <v>-</v>
          </cell>
          <cell r="I2196" t="str">
            <v>-</v>
          </cell>
          <cell r="K2196">
            <v>5</v>
          </cell>
          <cell r="L2196">
            <v>3.6</v>
          </cell>
          <cell r="M2196">
            <v>10.295630140987001</v>
          </cell>
          <cell r="O2196" t="str">
            <v>-</v>
          </cell>
          <cell r="T2196" t="str">
            <v>-</v>
          </cell>
          <cell r="U2196">
            <v>0.5</v>
          </cell>
        </row>
        <row r="2197">
          <cell r="B2197" t="str">
            <v>HSS9X5X6</v>
          </cell>
          <cell r="C2197">
            <v>8.9700000000000006</v>
          </cell>
          <cell r="D2197" t="str">
            <v>-</v>
          </cell>
          <cell r="F2197">
            <v>9</v>
          </cell>
          <cell r="H2197" t="str">
            <v>-</v>
          </cell>
          <cell r="I2197" t="str">
            <v>-</v>
          </cell>
          <cell r="K2197">
            <v>5</v>
          </cell>
          <cell r="L2197">
            <v>3.95</v>
          </cell>
          <cell r="M2197">
            <v>10.295630140987001</v>
          </cell>
          <cell r="O2197" t="str">
            <v>-</v>
          </cell>
          <cell r="T2197" t="str">
            <v>-</v>
          </cell>
          <cell r="U2197">
            <v>0.375</v>
          </cell>
        </row>
        <row r="2198">
          <cell r="B2198" t="str">
            <v>HSS9X5X5</v>
          </cell>
          <cell r="C2198">
            <v>7.59</v>
          </cell>
          <cell r="D2198" t="str">
            <v>-</v>
          </cell>
          <cell r="F2198">
            <v>9</v>
          </cell>
          <cell r="H2198" t="str">
            <v>-</v>
          </cell>
          <cell r="I2198" t="str">
            <v>-</v>
          </cell>
          <cell r="K2198">
            <v>5</v>
          </cell>
          <cell r="L2198">
            <v>4.13</v>
          </cell>
          <cell r="M2198">
            <v>10.295630140987001</v>
          </cell>
          <cell r="O2198" t="str">
            <v>-</v>
          </cell>
          <cell r="T2198" t="str">
            <v>-</v>
          </cell>
          <cell r="U2198">
            <v>0.3125</v>
          </cell>
        </row>
        <row r="2199">
          <cell r="B2199" t="str">
            <v>HSS9X5X4</v>
          </cell>
          <cell r="C2199">
            <v>6.17</v>
          </cell>
          <cell r="D2199" t="str">
            <v>-</v>
          </cell>
          <cell r="F2199">
            <v>9</v>
          </cell>
          <cell r="H2199" t="str">
            <v>-</v>
          </cell>
          <cell r="I2199" t="str">
            <v>-</v>
          </cell>
          <cell r="K2199">
            <v>5</v>
          </cell>
          <cell r="L2199">
            <v>4.3</v>
          </cell>
          <cell r="M2199">
            <v>10.295630140987001</v>
          </cell>
          <cell r="O2199" t="str">
            <v>-</v>
          </cell>
          <cell r="T2199" t="str">
            <v>-</v>
          </cell>
          <cell r="U2199">
            <v>0.25</v>
          </cell>
        </row>
        <row r="2200">
          <cell r="B2200" t="str">
            <v>HSS9X5X3</v>
          </cell>
          <cell r="C2200">
            <v>4.67</v>
          </cell>
          <cell r="D2200" t="str">
            <v>-</v>
          </cell>
          <cell r="F2200">
            <v>9</v>
          </cell>
          <cell r="H2200" t="str">
            <v>-</v>
          </cell>
          <cell r="I2200" t="str">
            <v>-</v>
          </cell>
          <cell r="K2200">
            <v>5</v>
          </cell>
          <cell r="L2200">
            <v>4.4800000000000004</v>
          </cell>
          <cell r="M2200">
            <v>10.295630140987001</v>
          </cell>
          <cell r="O2200" t="str">
            <v>-</v>
          </cell>
          <cell r="T2200" t="str">
            <v>-</v>
          </cell>
          <cell r="U2200">
            <v>0.1875</v>
          </cell>
        </row>
        <row r="2201">
          <cell r="B2201" t="str">
            <v>HSS9X3X8</v>
          </cell>
          <cell r="C2201">
            <v>9.74</v>
          </cell>
          <cell r="D2201" t="str">
            <v>-</v>
          </cell>
          <cell r="F2201">
            <v>9</v>
          </cell>
          <cell r="H2201" t="str">
            <v>-</v>
          </cell>
          <cell r="I2201" t="str">
            <v>-</v>
          </cell>
          <cell r="K2201">
            <v>3</v>
          </cell>
          <cell r="L2201">
            <v>1.6</v>
          </cell>
          <cell r="M2201">
            <v>9.4868329805051381</v>
          </cell>
          <cell r="O2201" t="str">
            <v>-</v>
          </cell>
          <cell r="T2201" t="str">
            <v>-</v>
          </cell>
          <cell r="U2201">
            <v>0.5</v>
          </cell>
        </row>
        <row r="2202">
          <cell r="B2202" t="str">
            <v>HSS9X3X6</v>
          </cell>
          <cell r="C2202">
            <v>7.58</v>
          </cell>
          <cell r="D2202" t="str">
            <v>-</v>
          </cell>
          <cell r="F2202">
            <v>9</v>
          </cell>
          <cell r="H2202" t="str">
            <v>-</v>
          </cell>
          <cell r="I2202" t="str">
            <v>-</v>
          </cell>
          <cell r="K2202">
            <v>3</v>
          </cell>
          <cell r="L2202">
            <v>1.95</v>
          </cell>
          <cell r="M2202">
            <v>9.4868329805051381</v>
          </cell>
          <cell r="O2202" t="str">
            <v>-</v>
          </cell>
          <cell r="T2202" t="str">
            <v>-</v>
          </cell>
          <cell r="U2202">
            <v>0.375</v>
          </cell>
        </row>
        <row r="2203">
          <cell r="B2203" t="str">
            <v>HSS9X3X5</v>
          </cell>
          <cell r="C2203">
            <v>6.43</v>
          </cell>
          <cell r="D2203" t="str">
            <v>-</v>
          </cell>
          <cell r="F2203">
            <v>9</v>
          </cell>
          <cell r="H2203" t="str">
            <v>-</v>
          </cell>
          <cell r="I2203" t="str">
            <v>-</v>
          </cell>
          <cell r="K2203">
            <v>3</v>
          </cell>
          <cell r="L2203">
            <v>2.13</v>
          </cell>
          <cell r="M2203">
            <v>9.4868329805051381</v>
          </cell>
          <cell r="O2203" t="str">
            <v>-</v>
          </cell>
          <cell r="T2203" t="str">
            <v>-</v>
          </cell>
          <cell r="U2203">
            <v>0.3125</v>
          </cell>
        </row>
        <row r="2204">
          <cell r="B2204" t="str">
            <v>HSS9X3X4</v>
          </cell>
          <cell r="C2204">
            <v>5.24</v>
          </cell>
          <cell r="D2204" t="str">
            <v>-</v>
          </cell>
          <cell r="F2204">
            <v>9</v>
          </cell>
          <cell r="H2204" t="str">
            <v>-</v>
          </cell>
          <cell r="I2204" t="str">
            <v>-</v>
          </cell>
          <cell r="K2204">
            <v>3</v>
          </cell>
          <cell r="L2204">
            <v>2.2999999999999998</v>
          </cell>
          <cell r="M2204">
            <v>9.4868329805051381</v>
          </cell>
          <cell r="O2204" t="str">
            <v>-</v>
          </cell>
          <cell r="T2204" t="str">
            <v>-</v>
          </cell>
          <cell r="U2204">
            <v>0.25</v>
          </cell>
        </row>
        <row r="2205">
          <cell r="B2205" t="str">
            <v>HSS9X3X3</v>
          </cell>
          <cell r="C2205">
            <v>3.98</v>
          </cell>
          <cell r="D2205" t="str">
            <v>-</v>
          </cell>
          <cell r="F2205">
            <v>9</v>
          </cell>
          <cell r="H2205" t="str">
            <v>-</v>
          </cell>
          <cell r="I2205" t="str">
            <v>-</v>
          </cell>
          <cell r="K2205">
            <v>3</v>
          </cell>
          <cell r="L2205">
            <v>2.48</v>
          </cell>
          <cell r="M2205">
            <v>9.4868329805051381</v>
          </cell>
          <cell r="O2205" t="str">
            <v>-</v>
          </cell>
          <cell r="T2205" t="str">
            <v>-</v>
          </cell>
          <cell r="U2205">
            <v>0.1875</v>
          </cell>
        </row>
        <row r="2206">
          <cell r="B2206" t="str">
            <v>HSS8X8X10</v>
          </cell>
          <cell r="C2206">
            <v>16.399999999999999</v>
          </cell>
          <cell r="D2206" t="str">
            <v>-</v>
          </cell>
          <cell r="F2206">
            <v>8</v>
          </cell>
          <cell r="H2206" t="str">
            <v>-</v>
          </cell>
          <cell r="I2206" t="str">
            <v>-</v>
          </cell>
          <cell r="K2206">
            <v>8</v>
          </cell>
          <cell r="L2206">
            <v>6.26</v>
          </cell>
          <cell r="M2206">
            <v>11.313708498984761</v>
          </cell>
          <cell r="O2206" t="str">
            <v>-</v>
          </cell>
          <cell r="T2206" t="str">
            <v>-</v>
          </cell>
          <cell r="U2206">
            <v>0.625</v>
          </cell>
        </row>
        <row r="2207">
          <cell r="B2207" t="str">
            <v>HSS8X8X8</v>
          </cell>
          <cell r="C2207">
            <v>13.5</v>
          </cell>
          <cell r="D2207" t="str">
            <v>-</v>
          </cell>
          <cell r="F2207">
            <v>8</v>
          </cell>
          <cell r="H2207" t="str">
            <v>-</v>
          </cell>
          <cell r="I2207" t="str">
            <v>-</v>
          </cell>
          <cell r="K2207">
            <v>8</v>
          </cell>
          <cell r="L2207">
            <v>6.6</v>
          </cell>
          <cell r="M2207">
            <v>11.313708498984761</v>
          </cell>
          <cell r="O2207" t="str">
            <v>-</v>
          </cell>
          <cell r="T2207" t="str">
            <v>-</v>
          </cell>
          <cell r="U2207">
            <v>0.5</v>
          </cell>
        </row>
        <row r="2208">
          <cell r="B2208" t="str">
            <v>HSS8X8X6</v>
          </cell>
          <cell r="C2208">
            <v>10.4</v>
          </cell>
          <cell r="D2208" t="str">
            <v>-</v>
          </cell>
          <cell r="F2208">
            <v>8</v>
          </cell>
          <cell r="H2208" t="str">
            <v>-</v>
          </cell>
          <cell r="I2208" t="str">
            <v>-</v>
          </cell>
          <cell r="K2208">
            <v>8</v>
          </cell>
          <cell r="L2208">
            <v>6.95</v>
          </cell>
          <cell r="M2208">
            <v>11.313708498984761</v>
          </cell>
          <cell r="O2208" t="str">
            <v>-</v>
          </cell>
          <cell r="T2208" t="str">
            <v>-</v>
          </cell>
          <cell r="U2208">
            <v>0.375</v>
          </cell>
        </row>
        <row r="2209">
          <cell r="B2209" t="str">
            <v>HSS8X8X5</v>
          </cell>
          <cell r="C2209">
            <v>8.76</v>
          </cell>
          <cell r="D2209" t="str">
            <v>-</v>
          </cell>
          <cell r="F2209">
            <v>8</v>
          </cell>
          <cell r="H2209" t="str">
            <v>-</v>
          </cell>
          <cell r="I2209" t="str">
            <v>-</v>
          </cell>
          <cell r="K2209">
            <v>8</v>
          </cell>
          <cell r="L2209">
            <v>7.13</v>
          </cell>
          <cell r="M2209">
            <v>11.313708498984761</v>
          </cell>
          <cell r="O2209" t="str">
            <v>-</v>
          </cell>
          <cell r="T2209" t="str">
            <v>-</v>
          </cell>
          <cell r="U2209">
            <v>0.3125</v>
          </cell>
        </row>
        <row r="2210">
          <cell r="B2210" t="str">
            <v>HSS8X8X4</v>
          </cell>
          <cell r="C2210">
            <v>7.1</v>
          </cell>
          <cell r="D2210" t="str">
            <v>-</v>
          </cell>
          <cell r="F2210">
            <v>8</v>
          </cell>
          <cell r="H2210" t="str">
            <v>-</v>
          </cell>
          <cell r="I2210" t="str">
            <v>-</v>
          </cell>
          <cell r="K2210">
            <v>8</v>
          </cell>
          <cell r="L2210">
            <v>7.3</v>
          </cell>
          <cell r="M2210">
            <v>11.313708498984761</v>
          </cell>
          <cell r="O2210" t="str">
            <v>-</v>
          </cell>
          <cell r="T2210" t="str">
            <v>-</v>
          </cell>
          <cell r="U2210">
            <v>0.25</v>
          </cell>
        </row>
        <row r="2211">
          <cell r="B2211" t="str">
            <v>HSS8X8X3</v>
          </cell>
          <cell r="C2211">
            <v>5.37</v>
          </cell>
          <cell r="D2211" t="str">
            <v>-</v>
          </cell>
          <cell r="F2211">
            <v>8</v>
          </cell>
          <cell r="H2211" t="str">
            <v>-</v>
          </cell>
          <cell r="I2211" t="str">
            <v>-</v>
          </cell>
          <cell r="K2211">
            <v>8</v>
          </cell>
          <cell r="L2211">
            <v>7.48</v>
          </cell>
          <cell r="M2211">
            <v>11.313708498984761</v>
          </cell>
          <cell r="O2211" t="str">
            <v>-</v>
          </cell>
          <cell r="T2211" t="str">
            <v>-</v>
          </cell>
          <cell r="U2211">
            <v>0.1875</v>
          </cell>
        </row>
        <row r="2212">
          <cell r="B2212" t="str">
            <v>HSS8X8X2</v>
          </cell>
          <cell r="C2212">
            <v>3.62</v>
          </cell>
          <cell r="D2212" t="str">
            <v>-</v>
          </cell>
          <cell r="F2212">
            <v>8</v>
          </cell>
          <cell r="H2212" t="str">
            <v>-</v>
          </cell>
          <cell r="I2212" t="str">
            <v>-</v>
          </cell>
          <cell r="K2212">
            <v>8</v>
          </cell>
          <cell r="L2212">
            <v>7.65</v>
          </cell>
          <cell r="M2212">
            <v>11.313708498984761</v>
          </cell>
          <cell r="O2212" t="str">
            <v>-</v>
          </cell>
          <cell r="T2212" t="str">
            <v>-</v>
          </cell>
          <cell r="U2212">
            <v>0.125</v>
          </cell>
        </row>
        <row r="2213">
          <cell r="B2213" t="str">
            <v>HSS8X6X10</v>
          </cell>
          <cell r="C2213">
            <v>14</v>
          </cell>
          <cell r="D2213" t="str">
            <v>-</v>
          </cell>
          <cell r="F2213">
            <v>8</v>
          </cell>
          <cell r="H2213" t="str">
            <v>-</v>
          </cell>
          <cell r="I2213" t="str">
            <v>-</v>
          </cell>
          <cell r="K2213">
            <v>6</v>
          </cell>
          <cell r="L2213">
            <v>4.26</v>
          </cell>
          <cell r="M2213">
            <v>10</v>
          </cell>
          <cell r="O2213" t="str">
            <v>-</v>
          </cell>
          <cell r="T2213" t="str">
            <v>-</v>
          </cell>
          <cell r="U2213">
            <v>0.625</v>
          </cell>
        </row>
        <row r="2214">
          <cell r="B2214" t="str">
            <v>HSS8X6X8</v>
          </cell>
          <cell r="C2214">
            <v>11.6</v>
          </cell>
          <cell r="D2214" t="str">
            <v>-</v>
          </cell>
          <cell r="F2214">
            <v>8</v>
          </cell>
          <cell r="H2214" t="str">
            <v>-</v>
          </cell>
          <cell r="I2214" t="str">
            <v>-</v>
          </cell>
          <cell r="K2214">
            <v>6</v>
          </cell>
          <cell r="L2214">
            <v>4.6100000000000003</v>
          </cell>
          <cell r="M2214">
            <v>10</v>
          </cell>
          <cell r="O2214" t="str">
            <v>-</v>
          </cell>
          <cell r="T2214" t="str">
            <v>-</v>
          </cell>
          <cell r="U2214">
            <v>0.5</v>
          </cell>
        </row>
        <row r="2215">
          <cell r="B2215" t="str">
            <v>HSS8X6X6</v>
          </cell>
          <cell r="C2215">
            <v>8.9700000000000006</v>
          </cell>
          <cell r="D2215" t="str">
            <v>-</v>
          </cell>
          <cell r="F2215">
            <v>8</v>
          </cell>
          <cell r="H2215" t="str">
            <v>-</v>
          </cell>
          <cell r="I2215" t="str">
            <v>-</v>
          </cell>
          <cell r="K2215">
            <v>6</v>
          </cell>
          <cell r="L2215">
            <v>4.95</v>
          </cell>
          <cell r="M2215">
            <v>10</v>
          </cell>
          <cell r="O2215" t="str">
            <v>-</v>
          </cell>
          <cell r="T2215" t="str">
            <v>-</v>
          </cell>
          <cell r="U2215">
            <v>0.375</v>
          </cell>
        </row>
        <row r="2216">
          <cell r="B2216" t="str">
            <v>HSS8X6X5</v>
          </cell>
          <cell r="C2216">
            <v>7.59</v>
          </cell>
          <cell r="D2216" t="str">
            <v>-</v>
          </cell>
          <cell r="F2216">
            <v>8</v>
          </cell>
          <cell r="H2216" t="str">
            <v>-</v>
          </cell>
          <cell r="I2216" t="str">
            <v>-</v>
          </cell>
          <cell r="K2216">
            <v>6</v>
          </cell>
          <cell r="L2216">
            <v>5.13</v>
          </cell>
          <cell r="M2216">
            <v>10</v>
          </cell>
          <cell r="O2216" t="str">
            <v>-</v>
          </cell>
          <cell r="T2216" t="str">
            <v>-</v>
          </cell>
          <cell r="U2216">
            <v>0.3125</v>
          </cell>
        </row>
        <row r="2217">
          <cell r="B2217" t="str">
            <v>HSS8X6X4</v>
          </cell>
          <cell r="C2217">
            <v>6.17</v>
          </cell>
          <cell r="D2217" t="str">
            <v>-</v>
          </cell>
          <cell r="F2217">
            <v>8</v>
          </cell>
          <cell r="H2217" t="str">
            <v>-</v>
          </cell>
          <cell r="I2217" t="str">
            <v>-</v>
          </cell>
          <cell r="K2217">
            <v>6</v>
          </cell>
          <cell r="L2217">
            <v>5.3</v>
          </cell>
          <cell r="M2217">
            <v>10</v>
          </cell>
          <cell r="O2217" t="str">
            <v>-</v>
          </cell>
          <cell r="T2217" t="str">
            <v>-</v>
          </cell>
          <cell r="U2217">
            <v>0.25</v>
          </cell>
        </row>
        <row r="2218">
          <cell r="B2218" t="str">
            <v>HSS8X6X3</v>
          </cell>
          <cell r="C2218">
            <v>4.67</v>
          </cell>
          <cell r="D2218" t="str">
            <v>-</v>
          </cell>
          <cell r="F2218">
            <v>8</v>
          </cell>
          <cell r="H2218" t="str">
            <v>-</v>
          </cell>
          <cell r="I2218" t="str">
            <v>-</v>
          </cell>
          <cell r="K2218">
            <v>6</v>
          </cell>
          <cell r="L2218">
            <v>5.48</v>
          </cell>
          <cell r="M2218">
            <v>10</v>
          </cell>
          <cell r="O2218" t="str">
            <v>-</v>
          </cell>
          <cell r="T2218" t="str">
            <v>-</v>
          </cell>
          <cell r="U2218">
            <v>0.1875</v>
          </cell>
        </row>
        <row r="2219">
          <cell r="B2219" t="str">
            <v>HSS8X4X10</v>
          </cell>
          <cell r="C2219">
            <v>11.7</v>
          </cell>
          <cell r="D2219" t="str">
            <v>-</v>
          </cell>
          <cell r="F2219">
            <v>8</v>
          </cell>
          <cell r="H2219" t="str">
            <v>-</v>
          </cell>
          <cell r="I2219" t="str">
            <v>-</v>
          </cell>
          <cell r="K2219">
            <v>4</v>
          </cell>
          <cell r="L2219">
            <v>2.2599999999999998</v>
          </cell>
          <cell r="M2219">
            <v>8.9442719099991592</v>
          </cell>
          <cell r="O2219" t="str">
            <v>-</v>
          </cell>
          <cell r="T2219" t="str">
            <v>-</v>
          </cell>
          <cell r="U2219">
            <v>0.625</v>
          </cell>
        </row>
        <row r="2220">
          <cell r="B2220" t="str">
            <v>HSS8X4X8</v>
          </cell>
          <cell r="C2220">
            <v>9.74</v>
          </cell>
          <cell r="D2220" t="str">
            <v>-</v>
          </cell>
          <cell r="F2220">
            <v>8</v>
          </cell>
          <cell r="H2220" t="str">
            <v>-</v>
          </cell>
          <cell r="I2220" t="str">
            <v>-</v>
          </cell>
          <cell r="K2220">
            <v>4</v>
          </cell>
          <cell r="L2220">
            <v>2.6</v>
          </cell>
          <cell r="M2220">
            <v>8.9442719099991592</v>
          </cell>
          <cell r="O2220" t="str">
            <v>-</v>
          </cell>
          <cell r="T2220" t="str">
            <v>-</v>
          </cell>
          <cell r="U2220">
            <v>0.5</v>
          </cell>
        </row>
        <row r="2221">
          <cell r="B2221" t="str">
            <v>HSS8X4X6</v>
          </cell>
          <cell r="C2221">
            <v>7.58</v>
          </cell>
          <cell r="D2221" t="str">
            <v>-</v>
          </cell>
          <cell r="F2221">
            <v>8</v>
          </cell>
          <cell r="H2221" t="str">
            <v>-</v>
          </cell>
          <cell r="I2221" t="str">
            <v>-</v>
          </cell>
          <cell r="K2221">
            <v>4</v>
          </cell>
          <cell r="L2221">
            <v>2.95</v>
          </cell>
          <cell r="M2221">
            <v>8.9442719099991592</v>
          </cell>
          <cell r="O2221" t="str">
            <v>-</v>
          </cell>
          <cell r="T2221" t="str">
            <v>-</v>
          </cell>
          <cell r="U2221">
            <v>0.375</v>
          </cell>
        </row>
        <row r="2222">
          <cell r="B2222" t="str">
            <v>HSS8X4X5</v>
          </cell>
          <cell r="C2222">
            <v>6.43</v>
          </cell>
          <cell r="D2222" t="str">
            <v>-</v>
          </cell>
          <cell r="F2222">
            <v>8</v>
          </cell>
          <cell r="H2222" t="str">
            <v>-</v>
          </cell>
          <cell r="I2222" t="str">
            <v>-</v>
          </cell>
          <cell r="K2222">
            <v>4</v>
          </cell>
          <cell r="L2222">
            <v>3.13</v>
          </cell>
          <cell r="M2222">
            <v>8.9442719099991592</v>
          </cell>
          <cell r="O2222" t="str">
            <v>-</v>
          </cell>
          <cell r="T2222" t="str">
            <v>-</v>
          </cell>
          <cell r="U2222">
            <v>0.3125</v>
          </cell>
        </row>
        <row r="2223">
          <cell r="B2223" t="str">
            <v>HSS8X4X4</v>
          </cell>
          <cell r="C2223">
            <v>5.24</v>
          </cell>
          <cell r="D2223" t="str">
            <v>-</v>
          </cell>
          <cell r="F2223">
            <v>8</v>
          </cell>
          <cell r="H2223" t="str">
            <v>-</v>
          </cell>
          <cell r="I2223" t="str">
            <v>-</v>
          </cell>
          <cell r="K2223">
            <v>4</v>
          </cell>
          <cell r="L2223">
            <v>3.3</v>
          </cell>
          <cell r="M2223">
            <v>8.9442719099991592</v>
          </cell>
          <cell r="O2223" t="str">
            <v>-</v>
          </cell>
          <cell r="T2223" t="str">
            <v>-</v>
          </cell>
          <cell r="U2223">
            <v>0.25</v>
          </cell>
        </row>
        <row r="2224">
          <cell r="B2224" t="str">
            <v>HSS8X4X3</v>
          </cell>
          <cell r="C2224">
            <v>3.98</v>
          </cell>
          <cell r="D2224" t="str">
            <v>-</v>
          </cell>
          <cell r="F2224">
            <v>8</v>
          </cell>
          <cell r="H2224" t="str">
            <v>-</v>
          </cell>
          <cell r="I2224" t="str">
            <v>-</v>
          </cell>
          <cell r="K2224">
            <v>4</v>
          </cell>
          <cell r="L2224">
            <v>3.48</v>
          </cell>
          <cell r="M2224">
            <v>8.9442719099991592</v>
          </cell>
          <cell r="O2224" t="str">
            <v>-</v>
          </cell>
          <cell r="T2224" t="str">
            <v>-</v>
          </cell>
          <cell r="U2224">
            <v>0.1875</v>
          </cell>
        </row>
        <row r="2225">
          <cell r="B2225" t="str">
            <v>HSS8X4X2</v>
          </cell>
          <cell r="C2225">
            <v>2.7</v>
          </cell>
          <cell r="D2225" t="str">
            <v>-</v>
          </cell>
          <cell r="F2225">
            <v>8</v>
          </cell>
          <cell r="H2225" t="str">
            <v>-</v>
          </cell>
          <cell r="I2225" t="str">
            <v>-</v>
          </cell>
          <cell r="K2225">
            <v>4</v>
          </cell>
          <cell r="L2225">
            <v>3.65</v>
          </cell>
          <cell r="M2225">
            <v>8.9442719099991592</v>
          </cell>
          <cell r="O2225" t="str">
            <v>-</v>
          </cell>
          <cell r="T2225" t="str">
            <v>-</v>
          </cell>
          <cell r="U2225">
            <v>0.125</v>
          </cell>
        </row>
        <row r="2226">
          <cell r="B2226" t="str">
            <v>HSS8X3X8</v>
          </cell>
          <cell r="C2226">
            <v>8.81</v>
          </cell>
          <cell r="D2226" t="str">
            <v>-</v>
          </cell>
          <cell r="F2226">
            <v>8</v>
          </cell>
          <cell r="H2226" t="str">
            <v>-</v>
          </cell>
          <cell r="I2226" t="str">
            <v>-</v>
          </cell>
          <cell r="K2226">
            <v>3</v>
          </cell>
          <cell r="L2226">
            <v>1.6</v>
          </cell>
          <cell r="M2226">
            <v>8.5440037453175304</v>
          </cell>
          <cell r="O2226" t="str">
            <v>-</v>
          </cell>
          <cell r="T2226" t="str">
            <v>-</v>
          </cell>
          <cell r="U2226">
            <v>0.5</v>
          </cell>
        </row>
        <row r="2227">
          <cell r="B2227" t="str">
            <v>HSS8X3X6</v>
          </cell>
          <cell r="C2227">
            <v>6.88</v>
          </cell>
          <cell r="D2227" t="str">
            <v>-</v>
          </cell>
          <cell r="F2227">
            <v>8</v>
          </cell>
          <cell r="H2227" t="str">
            <v>-</v>
          </cell>
          <cell r="I2227" t="str">
            <v>-</v>
          </cell>
          <cell r="K2227">
            <v>3</v>
          </cell>
          <cell r="L2227">
            <v>1.95</v>
          </cell>
          <cell r="M2227">
            <v>8.5440037453175304</v>
          </cell>
          <cell r="O2227" t="str">
            <v>-</v>
          </cell>
          <cell r="T2227" t="str">
            <v>-</v>
          </cell>
          <cell r="U2227">
            <v>0.375</v>
          </cell>
        </row>
        <row r="2228">
          <cell r="B2228" t="str">
            <v>HSS8X3X5</v>
          </cell>
          <cell r="C2228">
            <v>5.85</v>
          </cell>
          <cell r="D2228" t="str">
            <v>-</v>
          </cell>
          <cell r="F2228">
            <v>8</v>
          </cell>
          <cell r="H2228" t="str">
            <v>-</v>
          </cell>
          <cell r="I2228" t="str">
            <v>-</v>
          </cell>
          <cell r="K2228">
            <v>3</v>
          </cell>
          <cell r="L2228">
            <v>2.13</v>
          </cell>
          <cell r="M2228">
            <v>8.5440037453175304</v>
          </cell>
          <cell r="O2228" t="str">
            <v>-</v>
          </cell>
          <cell r="T2228" t="str">
            <v>-</v>
          </cell>
          <cell r="U2228">
            <v>0.3125</v>
          </cell>
        </row>
        <row r="2229">
          <cell r="B2229" t="str">
            <v>HSS8X3X4</v>
          </cell>
          <cell r="C2229">
            <v>4.7699999999999996</v>
          </cell>
          <cell r="D2229" t="str">
            <v>-</v>
          </cell>
          <cell r="F2229">
            <v>8</v>
          </cell>
          <cell r="H2229" t="str">
            <v>-</v>
          </cell>
          <cell r="I2229" t="str">
            <v>-</v>
          </cell>
          <cell r="K2229">
            <v>3</v>
          </cell>
          <cell r="L2229">
            <v>2.2999999999999998</v>
          </cell>
          <cell r="M2229">
            <v>8.5440037453175304</v>
          </cell>
          <cell r="O2229" t="str">
            <v>-</v>
          </cell>
          <cell r="T2229" t="str">
            <v>-</v>
          </cell>
          <cell r="U2229">
            <v>0.25</v>
          </cell>
        </row>
        <row r="2230">
          <cell r="B2230" t="str">
            <v>HSS8X3X3</v>
          </cell>
          <cell r="C2230">
            <v>3.63</v>
          </cell>
          <cell r="D2230" t="str">
            <v>-</v>
          </cell>
          <cell r="F2230">
            <v>8</v>
          </cell>
          <cell r="H2230" t="str">
            <v>-</v>
          </cell>
          <cell r="I2230" t="str">
            <v>-</v>
          </cell>
          <cell r="K2230">
            <v>3</v>
          </cell>
          <cell r="L2230">
            <v>2.48</v>
          </cell>
          <cell r="M2230">
            <v>8.5440037453175304</v>
          </cell>
          <cell r="O2230" t="str">
            <v>-</v>
          </cell>
          <cell r="T2230" t="str">
            <v>-</v>
          </cell>
          <cell r="U2230">
            <v>0.1875</v>
          </cell>
        </row>
        <row r="2231">
          <cell r="B2231" t="str">
            <v>HSS8X3X2</v>
          </cell>
          <cell r="C2231">
            <v>2.46</v>
          </cell>
          <cell r="D2231" t="str">
            <v>-</v>
          </cell>
          <cell r="F2231">
            <v>8</v>
          </cell>
          <cell r="H2231" t="str">
            <v>-</v>
          </cell>
          <cell r="I2231" t="str">
            <v>-</v>
          </cell>
          <cell r="K2231">
            <v>3</v>
          </cell>
          <cell r="L2231">
            <v>2.65</v>
          </cell>
          <cell r="M2231">
            <v>8.5440037453175304</v>
          </cell>
          <cell r="O2231" t="str">
            <v>-</v>
          </cell>
          <cell r="T2231" t="str">
            <v>-</v>
          </cell>
          <cell r="U2231">
            <v>0.125</v>
          </cell>
        </row>
        <row r="2232">
          <cell r="B2232" t="str">
            <v>HSS8X2X6</v>
          </cell>
          <cell r="C2232">
            <v>6.18</v>
          </cell>
          <cell r="D2232" t="str">
            <v>-</v>
          </cell>
          <cell r="F2232">
            <v>8</v>
          </cell>
          <cell r="H2232" t="str">
            <v>-</v>
          </cell>
          <cell r="I2232" t="str">
            <v>-</v>
          </cell>
          <cell r="K2232">
            <v>2</v>
          </cell>
          <cell r="L2232">
            <v>0.95299999999999996</v>
          </cell>
          <cell r="M2232">
            <v>8.2462112512353212</v>
          </cell>
          <cell r="O2232" t="str">
            <v>-</v>
          </cell>
          <cell r="T2232" t="str">
            <v>-</v>
          </cell>
          <cell r="U2232">
            <v>0.375</v>
          </cell>
        </row>
        <row r="2233">
          <cell r="B2233" t="str">
            <v>HSS8X2X5</v>
          </cell>
          <cell r="C2233">
            <v>5.26</v>
          </cell>
          <cell r="D2233" t="str">
            <v>-</v>
          </cell>
          <cell r="F2233">
            <v>8</v>
          </cell>
          <cell r="H2233" t="str">
            <v>-</v>
          </cell>
          <cell r="I2233" t="str">
            <v>-</v>
          </cell>
          <cell r="K2233">
            <v>2</v>
          </cell>
          <cell r="L2233">
            <v>1.1299999999999999</v>
          </cell>
          <cell r="M2233">
            <v>8.2462112512353212</v>
          </cell>
          <cell r="O2233" t="str">
            <v>-</v>
          </cell>
          <cell r="T2233" t="str">
            <v>-</v>
          </cell>
          <cell r="U2233">
            <v>0.3125</v>
          </cell>
        </row>
        <row r="2234">
          <cell r="B2234" t="str">
            <v>HSS8X2X4</v>
          </cell>
          <cell r="C2234">
            <v>4.3</v>
          </cell>
          <cell r="D2234" t="str">
            <v>-</v>
          </cell>
          <cell r="F2234">
            <v>8</v>
          </cell>
          <cell r="H2234" t="str">
            <v>-</v>
          </cell>
          <cell r="I2234" t="str">
            <v>-</v>
          </cell>
          <cell r="K2234">
            <v>2</v>
          </cell>
          <cell r="L2234">
            <v>1.3</v>
          </cell>
          <cell r="M2234">
            <v>8.2462112512353212</v>
          </cell>
          <cell r="O2234" t="str">
            <v>-</v>
          </cell>
          <cell r="T2234" t="str">
            <v>-</v>
          </cell>
          <cell r="U2234">
            <v>0.25</v>
          </cell>
        </row>
        <row r="2235">
          <cell r="B2235" t="str">
            <v>HSS8X2X3</v>
          </cell>
          <cell r="C2235">
            <v>3.28</v>
          </cell>
          <cell r="D2235" t="str">
            <v>-</v>
          </cell>
          <cell r="F2235">
            <v>8</v>
          </cell>
          <cell r="H2235" t="str">
            <v>-</v>
          </cell>
          <cell r="I2235" t="str">
            <v>-</v>
          </cell>
          <cell r="K2235">
            <v>2</v>
          </cell>
          <cell r="L2235">
            <v>1.48</v>
          </cell>
          <cell r="M2235">
            <v>8.2462112512353212</v>
          </cell>
          <cell r="O2235" t="str">
            <v>-</v>
          </cell>
          <cell r="T2235" t="str">
            <v>-</v>
          </cell>
          <cell r="U2235">
            <v>0.1875</v>
          </cell>
        </row>
        <row r="2236">
          <cell r="B2236" t="str">
            <v>HSS8X2X2</v>
          </cell>
          <cell r="C2236">
            <v>2.23</v>
          </cell>
          <cell r="D2236" t="str">
            <v>-</v>
          </cell>
          <cell r="F2236">
            <v>8</v>
          </cell>
          <cell r="H2236" t="str">
            <v>-</v>
          </cell>
          <cell r="I2236" t="str">
            <v>-</v>
          </cell>
          <cell r="K2236">
            <v>2</v>
          </cell>
          <cell r="L2236">
            <v>1.65</v>
          </cell>
          <cell r="M2236">
            <v>8.2462112512353212</v>
          </cell>
          <cell r="O2236" t="str">
            <v>-</v>
          </cell>
          <cell r="T2236" t="str">
            <v>-</v>
          </cell>
          <cell r="U2236">
            <v>0.125</v>
          </cell>
        </row>
        <row r="2237">
          <cell r="B2237" t="str">
            <v>HSS7X7X10</v>
          </cell>
          <cell r="C2237">
            <v>14</v>
          </cell>
          <cell r="D2237" t="str">
            <v>-</v>
          </cell>
          <cell r="F2237">
            <v>7</v>
          </cell>
          <cell r="H2237" t="str">
            <v>-</v>
          </cell>
          <cell r="I2237" t="str">
            <v>-</v>
          </cell>
          <cell r="K2237">
            <v>7</v>
          </cell>
          <cell r="L2237">
            <v>5.26</v>
          </cell>
          <cell r="M2237">
            <v>9.8994949366116654</v>
          </cell>
          <cell r="O2237" t="str">
            <v>-</v>
          </cell>
          <cell r="T2237" t="str">
            <v>-</v>
          </cell>
          <cell r="U2237">
            <v>0.625</v>
          </cell>
        </row>
        <row r="2238">
          <cell r="B2238" t="str">
            <v>HSS7X7X8</v>
          </cell>
          <cell r="C2238">
            <v>11.6</v>
          </cell>
          <cell r="D2238" t="str">
            <v>-</v>
          </cell>
          <cell r="F2238">
            <v>7</v>
          </cell>
          <cell r="H2238" t="str">
            <v>-</v>
          </cell>
          <cell r="I2238" t="str">
            <v>-</v>
          </cell>
          <cell r="K2238">
            <v>7</v>
          </cell>
          <cell r="L2238">
            <v>5.6</v>
          </cell>
          <cell r="M2238">
            <v>9.8994949366116654</v>
          </cell>
          <cell r="O2238" t="str">
            <v>-</v>
          </cell>
          <cell r="T2238" t="str">
            <v>-</v>
          </cell>
          <cell r="U2238">
            <v>0.5</v>
          </cell>
        </row>
        <row r="2239">
          <cell r="B2239" t="str">
            <v>HSS7X7X6</v>
          </cell>
          <cell r="C2239">
            <v>8.9700000000000006</v>
          </cell>
          <cell r="D2239" t="str">
            <v>-</v>
          </cell>
          <cell r="F2239">
            <v>7</v>
          </cell>
          <cell r="H2239" t="str">
            <v>-</v>
          </cell>
          <cell r="I2239" t="str">
            <v>-</v>
          </cell>
          <cell r="K2239">
            <v>7</v>
          </cell>
          <cell r="L2239">
            <v>5.95</v>
          </cell>
          <cell r="M2239">
            <v>9.8994949366116654</v>
          </cell>
          <cell r="O2239" t="str">
            <v>-</v>
          </cell>
          <cell r="T2239" t="str">
            <v>-</v>
          </cell>
          <cell r="U2239">
            <v>0.375</v>
          </cell>
        </row>
        <row r="2240">
          <cell r="B2240" t="str">
            <v>HSS7X7X5</v>
          </cell>
          <cell r="C2240">
            <v>7.59</v>
          </cell>
          <cell r="D2240" t="str">
            <v>-</v>
          </cell>
          <cell r="F2240">
            <v>7</v>
          </cell>
          <cell r="H2240" t="str">
            <v>-</v>
          </cell>
          <cell r="I2240" t="str">
            <v>-</v>
          </cell>
          <cell r="K2240">
            <v>7</v>
          </cell>
          <cell r="L2240">
            <v>6.13</v>
          </cell>
          <cell r="M2240">
            <v>9.8994949366116654</v>
          </cell>
          <cell r="O2240" t="str">
            <v>-</v>
          </cell>
          <cell r="T2240" t="str">
            <v>-</v>
          </cell>
          <cell r="U2240">
            <v>0.3125</v>
          </cell>
        </row>
        <row r="2241">
          <cell r="B2241" t="str">
            <v>HSS7X7X4</v>
          </cell>
          <cell r="C2241">
            <v>6.17</v>
          </cell>
          <cell r="D2241" t="str">
            <v>-</v>
          </cell>
          <cell r="F2241">
            <v>7</v>
          </cell>
          <cell r="H2241" t="str">
            <v>-</v>
          </cell>
          <cell r="I2241" t="str">
            <v>-</v>
          </cell>
          <cell r="K2241">
            <v>7</v>
          </cell>
          <cell r="L2241">
            <v>6.3</v>
          </cell>
          <cell r="M2241">
            <v>9.8994949366116654</v>
          </cell>
          <cell r="O2241" t="str">
            <v>-</v>
          </cell>
          <cell r="T2241" t="str">
            <v>-</v>
          </cell>
          <cell r="U2241">
            <v>0.25</v>
          </cell>
        </row>
        <row r="2242">
          <cell r="B2242" t="str">
            <v>HSS7X7X3</v>
          </cell>
          <cell r="C2242">
            <v>4.67</v>
          </cell>
          <cell r="D2242" t="str">
            <v>-</v>
          </cell>
          <cell r="F2242">
            <v>7</v>
          </cell>
          <cell r="H2242" t="str">
            <v>-</v>
          </cell>
          <cell r="I2242" t="str">
            <v>-</v>
          </cell>
          <cell r="K2242">
            <v>7</v>
          </cell>
          <cell r="L2242">
            <v>6.48</v>
          </cell>
          <cell r="M2242">
            <v>9.8994949366116654</v>
          </cell>
          <cell r="O2242" t="str">
            <v>-</v>
          </cell>
          <cell r="T2242" t="str">
            <v>-</v>
          </cell>
          <cell r="U2242">
            <v>0.1875</v>
          </cell>
        </row>
        <row r="2243">
          <cell r="B2243" t="str">
            <v>HSS7X7X2</v>
          </cell>
          <cell r="C2243">
            <v>3.16</v>
          </cell>
          <cell r="D2243" t="str">
            <v>-</v>
          </cell>
          <cell r="F2243">
            <v>7</v>
          </cell>
          <cell r="H2243" t="str">
            <v>-</v>
          </cell>
          <cell r="I2243" t="str">
            <v>-</v>
          </cell>
          <cell r="K2243">
            <v>7</v>
          </cell>
          <cell r="L2243">
            <v>6.65</v>
          </cell>
          <cell r="M2243">
            <v>9.8994949366116654</v>
          </cell>
          <cell r="O2243" t="str">
            <v>-</v>
          </cell>
          <cell r="T2243" t="str">
            <v>-</v>
          </cell>
          <cell r="U2243">
            <v>0.125</v>
          </cell>
        </row>
        <row r="2244">
          <cell r="B2244" t="str">
            <v>HSS7X5X8</v>
          </cell>
          <cell r="C2244">
            <v>9.74</v>
          </cell>
          <cell r="D2244" t="str">
            <v>-</v>
          </cell>
          <cell r="F2244">
            <v>7</v>
          </cell>
          <cell r="H2244" t="str">
            <v>-</v>
          </cell>
          <cell r="I2244" t="str">
            <v>-</v>
          </cell>
          <cell r="K2244">
            <v>5</v>
          </cell>
          <cell r="L2244">
            <v>3.6</v>
          </cell>
          <cell r="M2244">
            <v>8.6023252670426267</v>
          </cell>
          <cell r="O2244" t="str">
            <v>-</v>
          </cell>
          <cell r="T2244" t="str">
            <v>-</v>
          </cell>
          <cell r="U2244">
            <v>0.5</v>
          </cell>
        </row>
        <row r="2245">
          <cell r="B2245" t="str">
            <v>HSS7X5X6</v>
          </cell>
          <cell r="C2245">
            <v>7.58</v>
          </cell>
          <cell r="D2245" t="str">
            <v>-</v>
          </cell>
          <cell r="F2245">
            <v>7</v>
          </cell>
          <cell r="H2245" t="str">
            <v>-</v>
          </cell>
          <cell r="I2245" t="str">
            <v>-</v>
          </cell>
          <cell r="K2245">
            <v>5</v>
          </cell>
          <cell r="L2245">
            <v>3.95</v>
          </cell>
          <cell r="M2245">
            <v>8.6023252670426267</v>
          </cell>
          <cell r="O2245" t="str">
            <v>-</v>
          </cell>
          <cell r="T2245" t="str">
            <v>-</v>
          </cell>
          <cell r="U2245">
            <v>0.375</v>
          </cell>
        </row>
        <row r="2246">
          <cell r="B2246" t="str">
            <v>HSS7X5X5</v>
          </cell>
          <cell r="C2246">
            <v>6.43</v>
          </cell>
          <cell r="D2246" t="str">
            <v>-</v>
          </cell>
          <cell r="F2246">
            <v>7</v>
          </cell>
          <cell r="H2246" t="str">
            <v>-</v>
          </cell>
          <cell r="I2246" t="str">
            <v>-</v>
          </cell>
          <cell r="K2246">
            <v>5</v>
          </cell>
          <cell r="L2246">
            <v>4.13</v>
          </cell>
          <cell r="M2246">
            <v>8.6023252670426267</v>
          </cell>
          <cell r="O2246" t="str">
            <v>-</v>
          </cell>
          <cell r="T2246" t="str">
            <v>-</v>
          </cell>
          <cell r="U2246">
            <v>0.3125</v>
          </cell>
        </row>
        <row r="2247">
          <cell r="B2247" t="str">
            <v>HSS7X5X4</v>
          </cell>
          <cell r="C2247">
            <v>5.24</v>
          </cell>
          <cell r="D2247" t="str">
            <v>-</v>
          </cell>
          <cell r="F2247">
            <v>7</v>
          </cell>
          <cell r="H2247" t="str">
            <v>-</v>
          </cell>
          <cell r="I2247" t="str">
            <v>-</v>
          </cell>
          <cell r="K2247">
            <v>5</v>
          </cell>
          <cell r="L2247">
            <v>4.3</v>
          </cell>
          <cell r="M2247">
            <v>8.6023252670426267</v>
          </cell>
          <cell r="O2247" t="str">
            <v>-</v>
          </cell>
          <cell r="T2247" t="str">
            <v>-</v>
          </cell>
          <cell r="U2247">
            <v>0.25</v>
          </cell>
        </row>
        <row r="2248">
          <cell r="B2248" t="str">
            <v>HSS7X5X3</v>
          </cell>
          <cell r="C2248">
            <v>3.98</v>
          </cell>
          <cell r="D2248" t="str">
            <v>-</v>
          </cell>
          <cell r="F2248">
            <v>7</v>
          </cell>
          <cell r="H2248" t="str">
            <v>-</v>
          </cell>
          <cell r="I2248" t="str">
            <v>-</v>
          </cell>
          <cell r="K2248">
            <v>5</v>
          </cell>
          <cell r="L2248">
            <v>4.4800000000000004</v>
          </cell>
          <cell r="M2248">
            <v>8.6023252670426267</v>
          </cell>
          <cell r="O2248" t="str">
            <v>-</v>
          </cell>
          <cell r="T2248" t="str">
            <v>-</v>
          </cell>
          <cell r="U2248">
            <v>0.1875</v>
          </cell>
        </row>
        <row r="2249">
          <cell r="B2249" t="str">
            <v>HSS7X5X2</v>
          </cell>
          <cell r="C2249">
            <v>2.7</v>
          </cell>
          <cell r="D2249" t="str">
            <v>-</v>
          </cell>
          <cell r="F2249">
            <v>7</v>
          </cell>
          <cell r="H2249" t="str">
            <v>-</v>
          </cell>
          <cell r="I2249" t="str">
            <v>-</v>
          </cell>
          <cell r="K2249">
            <v>5</v>
          </cell>
          <cell r="L2249">
            <v>4.6500000000000004</v>
          </cell>
          <cell r="M2249">
            <v>8.6023252670426267</v>
          </cell>
          <cell r="O2249" t="str">
            <v>-</v>
          </cell>
          <cell r="T2249" t="str">
            <v>-</v>
          </cell>
          <cell r="U2249">
            <v>0.125</v>
          </cell>
        </row>
        <row r="2250">
          <cell r="B2250" t="str">
            <v>HSS7X4X8</v>
          </cell>
          <cell r="C2250">
            <v>8.81</v>
          </cell>
          <cell r="D2250" t="str">
            <v>-</v>
          </cell>
          <cell r="F2250">
            <v>7</v>
          </cell>
          <cell r="H2250" t="str">
            <v>-</v>
          </cell>
          <cell r="I2250" t="str">
            <v>-</v>
          </cell>
          <cell r="K2250">
            <v>4</v>
          </cell>
          <cell r="L2250">
            <v>2.6</v>
          </cell>
          <cell r="M2250">
            <v>8.0622577482985491</v>
          </cell>
          <cell r="O2250" t="str">
            <v>-</v>
          </cell>
          <cell r="T2250" t="str">
            <v>-</v>
          </cell>
          <cell r="U2250">
            <v>0.5</v>
          </cell>
        </row>
        <row r="2251">
          <cell r="B2251" t="str">
            <v>HSS7X4X6</v>
          </cell>
          <cell r="C2251">
            <v>6.88</v>
          </cell>
          <cell r="D2251" t="str">
            <v>-</v>
          </cell>
          <cell r="F2251">
            <v>7</v>
          </cell>
          <cell r="H2251" t="str">
            <v>-</v>
          </cell>
          <cell r="I2251" t="str">
            <v>-</v>
          </cell>
          <cell r="K2251">
            <v>4</v>
          </cell>
          <cell r="L2251">
            <v>2.95</v>
          </cell>
          <cell r="M2251">
            <v>8.0622577482985491</v>
          </cell>
          <cell r="O2251" t="str">
            <v>-</v>
          </cell>
          <cell r="T2251" t="str">
            <v>-</v>
          </cell>
          <cell r="U2251">
            <v>0.375</v>
          </cell>
        </row>
        <row r="2252">
          <cell r="B2252" t="str">
            <v>HSS7X4X5</v>
          </cell>
          <cell r="C2252">
            <v>5.85</v>
          </cell>
          <cell r="D2252" t="str">
            <v>-</v>
          </cell>
          <cell r="F2252">
            <v>7</v>
          </cell>
          <cell r="H2252" t="str">
            <v>-</v>
          </cell>
          <cell r="I2252" t="str">
            <v>-</v>
          </cell>
          <cell r="K2252">
            <v>4</v>
          </cell>
          <cell r="L2252">
            <v>3.13</v>
          </cell>
          <cell r="M2252">
            <v>8.0622577482985491</v>
          </cell>
          <cell r="O2252" t="str">
            <v>-</v>
          </cell>
          <cell r="T2252" t="str">
            <v>-</v>
          </cell>
          <cell r="U2252">
            <v>0.3125</v>
          </cell>
        </row>
        <row r="2253">
          <cell r="B2253" t="str">
            <v>HSS7X4X4</v>
          </cell>
          <cell r="C2253">
            <v>4.7699999999999996</v>
          </cell>
          <cell r="D2253" t="str">
            <v>-</v>
          </cell>
          <cell r="F2253">
            <v>7</v>
          </cell>
          <cell r="H2253" t="str">
            <v>-</v>
          </cell>
          <cell r="I2253" t="str">
            <v>-</v>
          </cell>
          <cell r="K2253">
            <v>4</v>
          </cell>
          <cell r="L2253">
            <v>3.3</v>
          </cell>
          <cell r="M2253">
            <v>8.0622577482985491</v>
          </cell>
          <cell r="O2253" t="str">
            <v>-</v>
          </cell>
          <cell r="T2253" t="str">
            <v>-</v>
          </cell>
          <cell r="U2253">
            <v>0.25</v>
          </cell>
        </row>
        <row r="2254">
          <cell r="B2254" t="str">
            <v>HSS7X4X3</v>
          </cell>
          <cell r="C2254">
            <v>3.63</v>
          </cell>
          <cell r="D2254" t="str">
            <v>-</v>
          </cell>
          <cell r="F2254">
            <v>7</v>
          </cell>
          <cell r="H2254" t="str">
            <v>-</v>
          </cell>
          <cell r="I2254" t="str">
            <v>-</v>
          </cell>
          <cell r="K2254">
            <v>4</v>
          </cell>
          <cell r="L2254">
            <v>3.48</v>
          </cell>
          <cell r="M2254">
            <v>8.0622577482985491</v>
          </cell>
          <cell r="O2254" t="str">
            <v>-</v>
          </cell>
          <cell r="T2254" t="str">
            <v>-</v>
          </cell>
          <cell r="U2254">
            <v>0.1875</v>
          </cell>
        </row>
        <row r="2255">
          <cell r="B2255" t="str">
            <v>HSS7X4X2</v>
          </cell>
          <cell r="C2255">
            <v>2.46</v>
          </cell>
          <cell r="D2255" t="str">
            <v>-</v>
          </cell>
          <cell r="F2255">
            <v>7</v>
          </cell>
          <cell r="H2255" t="str">
            <v>-</v>
          </cell>
          <cell r="I2255" t="str">
            <v>-</v>
          </cell>
          <cell r="K2255">
            <v>4</v>
          </cell>
          <cell r="L2255">
            <v>3.65</v>
          </cell>
          <cell r="M2255">
            <v>8.0622577482985491</v>
          </cell>
          <cell r="O2255" t="str">
            <v>-</v>
          </cell>
          <cell r="T2255" t="str">
            <v>-</v>
          </cell>
          <cell r="U2255">
            <v>0.125</v>
          </cell>
        </row>
        <row r="2256">
          <cell r="B2256" t="str">
            <v>HSS7X3X8</v>
          </cell>
          <cell r="C2256">
            <v>7.88</v>
          </cell>
          <cell r="D2256" t="str">
            <v>-</v>
          </cell>
          <cell r="F2256">
            <v>7</v>
          </cell>
          <cell r="H2256" t="str">
            <v>-</v>
          </cell>
          <cell r="I2256" t="str">
            <v>-</v>
          </cell>
          <cell r="K2256">
            <v>3</v>
          </cell>
          <cell r="L2256">
            <v>1.6</v>
          </cell>
          <cell r="M2256">
            <v>7.6157731058639087</v>
          </cell>
          <cell r="O2256" t="str">
            <v>-</v>
          </cell>
          <cell r="T2256" t="str">
            <v>-</v>
          </cell>
          <cell r="U2256">
            <v>0.5</v>
          </cell>
        </row>
        <row r="2257">
          <cell r="B2257" t="str">
            <v>HSS7X3X6</v>
          </cell>
          <cell r="C2257">
            <v>6.18</v>
          </cell>
          <cell r="D2257" t="str">
            <v>-</v>
          </cell>
          <cell r="F2257">
            <v>7</v>
          </cell>
          <cell r="H2257" t="str">
            <v>-</v>
          </cell>
          <cell r="I2257" t="str">
            <v>-</v>
          </cell>
          <cell r="K2257">
            <v>3</v>
          </cell>
          <cell r="L2257">
            <v>1.95</v>
          </cell>
          <cell r="M2257">
            <v>7.6157731058639087</v>
          </cell>
          <cell r="O2257" t="str">
            <v>-</v>
          </cell>
          <cell r="T2257" t="str">
            <v>-</v>
          </cell>
          <cell r="U2257">
            <v>0.375</v>
          </cell>
        </row>
        <row r="2258">
          <cell r="B2258" t="str">
            <v>HSS7X3X10</v>
          </cell>
          <cell r="C2258">
            <v>5.26</v>
          </cell>
          <cell r="D2258" t="str">
            <v>-</v>
          </cell>
          <cell r="F2258">
            <v>7</v>
          </cell>
          <cell r="H2258" t="str">
            <v>-</v>
          </cell>
          <cell r="I2258" t="str">
            <v>-</v>
          </cell>
          <cell r="K2258">
            <v>3</v>
          </cell>
          <cell r="L2258">
            <v>2.13</v>
          </cell>
          <cell r="M2258">
            <v>7.6157731058639087</v>
          </cell>
          <cell r="O2258" t="str">
            <v>-</v>
          </cell>
          <cell r="T2258" t="str">
            <v>-</v>
          </cell>
          <cell r="U2258">
            <v>0.3125</v>
          </cell>
        </row>
        <row r="2259">
          <cell r="B2259" t="str">
            <v>HSS7X3X4</v>
          </cell>
          <cell r="C2259">
            <v>4.3</v>
          </cell>
          <cell r="D2259" t="str">
            <v>-</v>
          </cell>
          <cell r="F2259">
            <v>7</v>
          </cell>
          <cell r="H2259" t="str">
            <v>-</v>
          </cell>
          <cell r="I2259" t="str">
            <v>-</v>
          </cell>
          <cell r="K2259">
            <v>3</v>
          </cell>
          <cell r="L2259">
            <v>2.2999999999999998</v>
          </cell>
          <cell r="M2259">
            <v>7.6157731058639087</v>
          </cell>
          <cell r="O2259" t="str">
            <v>-</v>
          </cell>
          <cell r="T2259" t="str">
            <v>-</v>
          </cell>
          <cell r="U2259">
            <v>0.25</v>
          </cell>
        </row>
        <row r="2260">
          <cell r="B2260" t="str">
            <v>HSS7X3X3</v>
          </cell>
          <cell r="C2260">
            <v>3.28</v>
          </cell>
          <cell r="D2260" t="str">
            <v>-</v>
          </cell>
          <cell r="F2260">
            <v>7</v>
          </cell>
          <cell r="H2260" t="str">
            <v>-</v>
          </cell>
          <cell r="I2260" t="str">
            <v>-</v>
          </cell>
          <cell r="K2260">
            <v>3</v>
          </cell>
          <cell r="L2260">
            <v>2.48</v>
          </cell>
          <cell r="M2260">
            <v>7.6157731058639087</v>
          </cell>
          <cell r="O2260" t="str">
            <v>-</v>
          </cell>
          <cell r="T2260" t="str">
            <v>-</v>
          </cell>
          <cell r="U2260">
            <v>0.1875</v>
          </cell>
        </row>
        <row r="2261">
          <cell r="B2261" t="str">
            <v>HSS7X3X2</v>
          </cell>
          <cell r="C2261">
            <v>2.23</v>
          </cell>
          <cell r="D2261" t="str">
            <v>-</v>
          </cell>
          <cell r="F2261">
            <v>7</v>
          </cell>
          <cell r="H2261" t="str">
            <v>-</v>
          </cell>
          <cell r="I2261" t="str">
            <v>-</v>
          </cell>
          <cell r="K2261">
            <v>3</v>
          </cell>
          <cell r="L2261">
            <v>2.65</v>
          </cell>
          <cell r="M2261">
            <v>7.6157731058639087</v>
          </cell>
          <cell r="O2261" t="str">
            <v>-</v>
          </cell>
          <cell r="T2261" t="str">
            <v>-</v>
          </cell>
          <cell r="U2261">
            <v>0.125</v>
          </cell>
        </row>
        <row r="2262">
          <cell r="B2262" t="str">
            <v>HSS7X2X4</v>
          </cell>
          <cell r="C2262">
            <v>3.84</v>
          </cell>
          <cell r="D2262" t="str">
            <v>-</v>
          </cell>
          <cell r="F2262">
            <v>7</v>
          </cell>
          <cell r="H2262" t="str">
            <v>-</v>
          </cell>
          <cell r="I2262" t="str">
            <v>-</v>
          </cell>
          <cell r="K2262">
            <v>2</v>
          </cell>
          <cell r="L2262">
            <v>1.3</v>
          </cell>
          <cell r="M2262">
            <v>7.2801098892805181</v>
          </cell>
          <cell r="O2262" t="str">
            <v>-</v>
          </cell>
          <cell r="T2262" t="str">
            <v>-</v>
          </cell>
          <cell r="U2262">
            <v>0.25</v>
          </cell>
        </row>
        <row r="2263">
          <cell r="B2263" t="str">
            <v>HSS7X2X3</v>
          </cell>
          <cell r="C2263">
            <v>2.93</v>
          </cell>
          <cell r="D2263" t="str">
            <v>-</v>
          </cell>
          <cell r="F2263">
            <v>7</v>
          </cell>
          <cell r="H2263" t="str">
            <v>-</v>
          </cell>
          <cell r="I2263" t="str">
            <v>-</v>
          </cell>
          <cell r="K2263">
            <v>2</v>
          </cell>
          <cell r="L2263">
            <v>1.48</v>
          </cell>
          <cell r="M2263">
            <v>7.2801098892805181</v>
          </cell>
          <cell r="O2263" t="str">
            <v>-</v>
          </cell>
          <cell r="T2263" t="str">
            <v>-</v>
          </cell>
          <cell r="U2263">
            <v>0.1875</v>
          </cell>
        </row>
        <row r="2264">
          <cell r="B2264" t="str">
            <v>HSS7X2X2</v>
          </cell>
          <cell r="C2264">
            <v>2</v>
          </cell>
          <cell r="D2264" t="str">
            <v>-</v>
          </cell>
          <cell r="F2264">
            <v>7</v>
          </cell>
          <cell r="H2264" t="str">
            <v>-</v>
          </cell>
          <cell r="I2264" t="str">
            <v>-</v>
          </cell>
          <cell r="K2264">
            <v>2</v>
          </cell>
          <cell r="L2264">
            <v>1.65</v>
          </cell>
          <cell r="M2264">
            <v>7.2801098892805181</v>
          </cell>
          <cell r="O2264" t="str">
            <v>-</v>
          </cell>
          <cell r="T2264" t="str">
            <v>-</v>
          </cell>
          <cell r="U2264">
            <v>0.125</v>
          </cell>
        </row>
        <row r="2265">
          <cell r="B2265" t="str">
            <v>HSS6X6X10</v>
          </cell>
          <cell r="C2265">
            <v>11.7</v>
          </cell>
          <cell r="D2265" t="str">
            <v>-</v>
          </cell>
          <cell r="F2265">
            <v>6</v>
          </cell>
          <cell r="H2265" t="str">
            <v>-</v>
          </cell>
          <cell r="I2265" t="str">
            <v>-</v>
          </cell>
          <cell r="K2265">
            <v>6</v>
          </cell>
          <cell r="L2265">
            <v>4.26</v>
          </cell>
          <cell r="M2265">
            <v>8.4852813742385695</v>
          </cell>
          <cell r="O2265" t="str">
            <v>-</v>
          </cell>
          <cell r="T2265" t="str">
            <v>-</v>
          </cell>
          <cell r="U2265">
            <v>0.625</v>
          </cell>
        </row>
        <row r="2266">
          <cell r="B2266" t="str">
            <v>HSS6X6X8</v>
          </cell>
          <cell r="C2266">
            <v>9.74</v>
          </cell>
          <cell r="D2266" t="str">
            <v>-</v>
          </cell>
          <cell r="F2266">
            <v>6</v>
          </cell>
          <cell r="H2266" t="str">
            <v>-</v>
          </cell>
          <cell r="I2266" t="str">
            <v>-</v>
          </cell>
          <cell r="K2266">
            <v>6</v>
          </cell>
          <cell r="L2266">
            <v>4.6100000000000003</v>
          </cell>
          <cell r="M2266">
            <v>8.4852813742385695</v>
          </cell>
          <cell r="O2266" t="str">
            <v>-</v>
          </cell>
          <cell r="T2266" t="str">
            <v>-</v>
          </cell>
          <cell r="U2266">
            <v>0.5</v>
          </cell>
        </row>
        <row r="2267">
          <cell r="B2267" t="str">
            <v>HSS6X6X6</v>
          </cell>
          <cell r="C2267">
            <v>7.58</v>
          </cell>
          <cell r="D2267" t="str">
            <v>-</v>
          </cell>
          <cell r="F2267">
            <v>6</v>
          </cell>
          <cell r="H2267" t="str">
            <v>-</v>
          </cell>
          <cell r="I2267" t="str">
            <v>-</v>
          </cell>
          <cell r="K2267">
            <v>6</v>
          </cell>
          <cell r="L2267">
            <v>4.95</v>
          </cell>
          <cell r="M2267">
            <v>8.4852813742385695</v>
          </cell>
          <cell r="O2267" t="str">
            <v>-</v>
          </cell>
          <cell r="T2267" t="str">
            <v>-</v>
          </cell>
          <cell r="U2267">
            <v>0.375</v>
          </cell>
        </row>
        <row r="2268">
          <cell r="B2268" t="str">
            <v>HSS6X6X5</v>
          </cell>
          <cell r="C2268">
            <v>6.43</v>
          </cell>
          <cell r="D2268" t="str">
            <v>-</v>
          </cell>
          <cell r="F2268">
            <v>6</v>
          </cell>
          <cell r="H2268" t="str">
            <v>-</v>
          </cell>
          <cell r="I2268" t="str">
            <v>-</v>
          </cell>
          <cell r="K2268">
            <v>6</v>
          </cell>
          <cell r="L2268">
            <v>5.13</v>
          </cell>
          <cell r="M2268">
            <v>8.4852813742385695</v>
          </cell>
          <cell r="O2268" t="str">
            <v>-</v>
          </cell>
          <cell r="T2268" t="str">
            <v>-</v>
          </cell>
          <cell r="U2268">
            <v>0.3125</v>
          </cell>
        </row>
        <row r="2269">
          <cell r="B2269" t="str">
            <v>HSS6X6X4</v>
          </cell>
          <cell r="C2269">
            <v>5.24</v>
          </cell>
          <cell r="D2269" t="str">
            <v>-</v>
          </cell>
          <cell r="F2269">
            <v>6</v>
          </cell>
          <cell r="H2269" t="str">
            <v>-</v>
          </cell>
          <cell r="I2269" t="str">
            <v>-</v>
          </cell>
          <cell r="K2269">
            <v>6</v>
          </cell>
          <cell r="L2269">
            <v>5.3</v>
          </cell>
          <cell r="M2269">
            <v>8.4852813742385695</v>
          </cell>
          <cell r="O2269" t="str">
            <v>-</v>
          </cell>
          <cell r="T2269" t="str">
            <v>-</v>
          </cell>
          <cell r="U2269">
            <v>0.25</v>
          </cell>
        </row>
        <row r="2270">
          <cell r="B2270" t="str">
            <v>HSS6X6X3</v>
          </cell>
          <cell r="C2270">
            <v>3.98</v>
          </cell>
          <cell r="D2270" t="str">
            <v>-</v>
          </cell>
          <cell r="F2270">
            <v>6</v>
          </cell>
          <cell r="H2270" t="str">
            <v>-</v>
          </cell>
          <cell r="I2270" t="str">
            <v>-</v>
          </cell>
          <cell r="K2270">
            <v>6</v>
          </cell>
          <cell r="L2270">
            <v>5.48</v>
          </cell>
          <cell r="M2270">
            <v>8.4852813742385695</v>
          </cell>
          <cell r="O2270" t="str">
            <v>-</v>
          </cell>
          <cell r="T2270" t="str">
            <v>-</v>
          </cell>
          <cell r="U2270">
            <v>0.1875</v>
          </cell>
        </row>
        <row r="2271">
          <cell r="B2271" t="str">
            <v>HSS6X6X2</v>
          </cell>
          <cell r="C2271">
            <v>2.7</v>
          </cell>
          <cell r="D2271" t="str">
            <v>-</v>
          </cell>
          <cell r="F2271">
            <v>6</v>
          </cell>
          <cell r="H2271" t="str">
            <v>-</v>
          </cell>
          <cell r="I2271" t="str">
            <v>-</v>
          </cell>
          <cell r="K2271">
            <v>6</v>
          </cell>
          <cell r="L2271">
            <v>5.65</v>
          </cell>
          <cell r="M2271">
            <v>8.4852813742385695</v>
          </cell>
          <cell r="O2271" t="str">
            <v>-</v>
          </cell>
          <cell r="T2271" t="str">
            <v>-</v>
          </cell>
          <cell r="U2271">
            <v>0.125</v>
          </cell>
        </row>
        <row r="2272">
          <cell r="B2272" t="str">
            <v>HSS6X5X8</v>
          </cell>
          <cell r="C2272">
            <v>8.81</v>
          </cell>
          <cell r="D2272" t="str">
            <v>-</v>
          </cell>
          <cell r="F2272">
            <v>6</v>
          </cell>
          <cell r="H2272" t="str">
            <v>-</v>
          </cell>
          <cell r="I2272" t="str">
            <v>-</v>
          </cell>
          <cell r="K2272">
            <v>5</v>
          </cell>
          <cell r="L2272">
            <v>3.6</v>
          </cell>
          <cell r="M2272">
            <v>7.810249675906654</v>
          </cell>
          <cell r="O2272" t="str">
            <v>-</v>
          </cell>
          <cell r="T2272" t="str">
            <v>-</v>
          </cell>
          <cell r="U2272">
            <v>0.5</v>
          </cell>
        </row>
        <row r="2273">
          <cell r="B2273" t="str">
            <v>HSS6X5X6</v>
          </cell>
          <cell r="C2273">
            <v>6.88</v>
          </cell>
          <cell r="D2273" t="str">
            <v>-</v>
          </cell>
          <cell r="F2273">
            <v>6</v>
          </cell>
          <cell r="H2273" t="str">
            <v>-</v>
          </cell>
          <cell r="I2273" t="str">
            <v>-</v>
          </cell>
          <cell r="K2273">
            <v>5</v>
          </cell>
          <cell r="L2273">
            <v>3.95</v>
          </cell>
          <cell r="M2273">
            <v>7.810249675906654</v>
          </cell>
          <cell r="O2273" t="str">
            <v>-</v>
          </cell>
          <cell r="T2273" t="str">
            <v>-</v>
          </cell>
          <cell r="U2273">
            <v>0.375</v>
          </cell>
        </row>
        <row r="2274">
          <cell r="B2274" t="str">
            <v>HSS6X5X5</v>
          </cell>
          <cell r="C2274">
            <v>5.85</v>
          </cell>
          <cell r="D2274" t="str">
            <v>-</v>
          </cell>
          <cell r="F2274">
            <v>6</v>
          </cell>
          <cell r="H2274" t="str">
            <v>-</v>
          </cell>
          <cell r="I2274" t="str">
            <v>-</v>
          </cell>
          <cell r="K2274">
            <v>5</v>
          </cell>
          <cell r="L2274">
            <v>4.13</v>
          </cell>
          <cell r="M2274">
            <v>7.810249675906654</v>
          </cell>
          <cell r="O2274" t="str">
            <v>-</v>
          </cell>
          <cell r="T2274" t="str">
            <v>-</v>
          </cell>
          <cell r="U2274">
            <v>0.3125</v>
          </cell>
        </row>
        <row r="2275">
          <cell r="B2275" t="str">
            <v>HSS6X5X4</v>
          </cell>
          <cell r="C2275">
            <v>4.7699999999999996</v>
          </cell>
          <cell r="D2275" t="str">
            <v>-</v>
          </cell>
          <cell r="F2275">
            <v>6</v>
          </cell>
          <cell r="H2275" t="str">
            <v>-</v>
          </cell>
          <cell r="I2275" t="str">
            <v>-</v>
          </cell>
          <cell r="K2275">
            <v>5</v>
          </cell>
          <cell r="L2275">
            <v>4.3</v>
          </cell>
          <cell r="M2275">
            <v>7.810249675906654</v>
          </cell>
          <cell r="O2275" t="str">
            <v>-</v>
          </cell>
          <cell r="T2275" t="str">
            <v>-</v>
          </cell>
          <cell r="U2275">
            <v>0.25</v>
          </cell>
        </row>
        <row r="2276">
          <cell r="B2276" t="str">
            <v>HSS6X5X3</v>
          </cell>
          <cell r="C2276">
            <v>3.63</v>
          </cell>
          <cell r="D2276" t="str">
            <v>-</v>
          </cell>
          <cell r="F2276">
            <v>6</v>
          </cell>
          <cell r="H2276" t="str">
            <v>-</v>
          </cell>
          <cell r="I2276" t="str">
            <v>-</v>
          </cell>
          <cell r="K2276">
            <v>5</v>
          </cell>
          <cell r="L2276">
            <v>4.4800000000000004</v>
          </cell>
          <cell r="M2276">
            <v>7.810249675906654</v>
          </cell>
          <cell r="O2276" t="str">
            <v>-</v>
          </cell>
          <cell r="T2276" t="str">
            <v>-</v>
          </cell>
          <cell r="U2276">
            <v>0.1875</v>
          </cell>
        </row>
        <row r="2277">
          <cell r="B2277" t="str">
            <v>HSS6X5X2</v>
          </cell>
          <cell r="C2277">
            <v>2.46</v>
          </cell>
          <cell r="D2277" t="str">
            <v>-</v>
          </cell>
          <cell r="F2277">
            <v>6</v>
          </cell>
          <cell r="H2277" t="str">
            <v>-</v>
          </cell>
          <cell r="I2277" t="str">
            <v>-</v>
          </cell>
          <cell r="K2277">
            <v>5</v>
          </cell>
          <cell r="L2277">
            <v>4.6500000000000004</v>
          </cell>
          <cell r="M2277">
            <v>7.810249675906654</v>
          </cell>
          <cell r="O2277" t="str">
            <v>-</v>
          </cell>
          <cell r="T2277" t="str">
            <v>-</v>
          </cell>
          <cell r="U2277">
            <v>0.125</v>
          </cell>
        </row>
        <row r="2278">
          <cell r="B2278" t="str">
            <v>HSS6X4X8</v>
          </cell>
          <cell r="C2278">
            <v>7.88</v>
          </cell>
          <cell r="D2278" t="str">
            <v>-</v>
          </cell>
          <cell r="F2278">
            <v>6</v>
          </cell>
          <cell r="H2278" t="str">
            <v>-</v>
          </cell>
          <cell r="I2278" t="str">
            <v>-</v>
          </cell>
          <cell r="K2278">
            <v>4</v>
          </cell>
          <cell r="L2278">
            <v>2.6</v>
          </cell>
          <cell r="M2278">
            <v>7.2111025509279782</v>
          </cell>
          <cell r="O2278" t="str">
            <v>-</v>
          </cell>
          <cell r="T2278" t="str">
            <v>-</v>
          </cell>
          <cell r="U2278">
            <v>0.5</v>
          </cell>
        </row>
        <row r="2279">
          <cell r="B2279" t="str">
            <v>HSS6X4X6</v>
          </cell>
          <cell r="C2279">
            <v>6.18</v>
          </cell>
          <cell r="D2279" t="str">
            <v>-</v>
          </cell>
          <cell r="F2279">
            <v>6</v>
          </cell>
          <cell r="H2279" t="str">
            <v>-</v>
          </cell>
          <cell r="I2279" t="str">
            <v>-</v>
          </cell>
          <cell r="K2279">
            <v>4</v>
          </cell>
          <cell r="L2279">
            <v>2.95</v>
          </cell>
          <cell r="M2279">
            <v>7.2111025509279782</v>
          </cell>
          <cell r="O2279" t="str">
            <v>-</v>
          </cell>
          <cell r="T2279" t="str">
            <v>-</v>
          </cell>
          <cell r="U2279">
            <v>0.375</v>
          </cell>
        </row>
        <row r="2280">
          <cell r="B2280" t="str">
            <v>HSS6X4X5</v>
          </cell>
          <cell r="C2280">
            <v>5.26</v>
          </cell>
          <cell r="D2280" t="str">
            <v>-</v>
          </cell>
          <cell r="F2280">
            <v>6</v>
          </cell>
          <cell r="H2280" t="str">
            <v>-</v>
          </cell>
          <cell r="I2280" t="str">
            <v>-</v>
          </cell>
          <cell r="K2280">
            <v>4</v>
          </cell>
          <cell r="L2280">
            <v>3.13</v>
          </cell>
          <cell r="M2280">
            <v>7.2111025509279782</v>
          </cell>
          <cell r="O2280" t="str">
            <v>-</v>
          </cell>
          <cell r="T2280" t="str">
            <v>-</v>
          </cell>
          <cell r="U2280">
            <v>0.3125</v>
          </cell>
        </row>
        <row r="2281">
          <cell r="B2281" t="str">
            <v>HSS6X4X4</v>
          </cell>
          <cell r="C2281">
            <v>4.3</v>
          </cell>
          <cell r="D2281" t="str">
            <v>-</v>
          </cell>
          <cell r="F2281">
            <v>6</v>
          </cell>
          <cell r="H2281" t="str">
            <v>-</v>
          </cell>
          <cell r="I2281" t="str">
            <v>-</v>
          </cell>
          <cell r="K2281">
            <v>4</v>
          </cell>
          <cell r="L2281">
            <v>3.3</v>
          </cell>
          <cell r="M2281">
            <v>7.2111025509279782</v>
          </cell>
          <cell r="O2281" t="str">
            <v>-</v>
          </cell>
          <cell r="T2281" t="str">
            <v>-</v>
          </cell>
          <cell r="U2281">
            <v>0.25</v>
          </cell>
        </row>
        <row r="2282">
          <cell r="B2282" t="str">
            <v>HSS6X4X3</v>
          </cell>
          <cell r="C2282">
            <v>3.28</v>
          </cell>
          <cell r="D2282" t="str">
            <v>-</v>
          </cell>
          <cell r="F2282">
            <v>6</v>
          </cell>
          <cell r="H2282" t="str">
            <v>-</v>
          </cell>
          <cell r="I2282" t="str">
            <v>-</v>
          </cell>
          <cell r="K2282">
            <v>4</v>
          </cell>
          <cell r="L2282">
            <v>3.48</v>
          </cell>
          <cell r="M2282">
            <v>7.2111025509279782</v>
          </cell>
          <cell r="O2282" t="str">
            <v>-</v>
          </cell>
          <cell r="T2282" t="str">
            <v>-</v>
          </cell>
          <cell r="U2282">
            <v>0.1875</v>
          </cell>
        </row>
        <row r="2283">
          <cell r="B2283" t="str">
            <v>HSS6X4X2</v>
          </cell>
          <cell r="C2283">
            <v>2.23</v>
          </cell>
          <cell r="D2283" t="str">
            <v>-</v>
          </cell>
          <cell r="F2283">
            <v>6</v>
          </cell>
          <cell r="H2283" t="str">
            <v>-</v>
          </cell>
          <cell r="I2283" t="str">
            <v>-</v>
          </cell>
          <cell r="K2283">
            <v>4</v>
          </cell>
          <cell r="L2283">
            <v>3.65</v>
          </cell>
          <cell r="M2283">
            <v>7.2111025509279782</v>
          </cell>
          <cell r="O2283" t="str">
            <v>-</v>
          </cell>
          <cell r="T2283" t="str">
            <v>-</v>
          </cell>
          <cell r="U2283">
            <v>0.125</v>
          </cell>
        </row>
        <row r="2284">
          <cell r="B2284" t="str">
            <v>HSS6X3X8</v>
          </cell>
          <cell r="C2284">
            <v>6.95</v>
          </cell>
          <cell r="D2284" t="str">
            <v>-</v>
          </cell>
          <cell r="F2284">
            <v>6</v>
          </cell>
          <cell r="H2284" t="str">
            <v>-</v>
          </cell>
          <cell r="I2284" t="str">
            <v>-</v>
          </cell>
          <cell r="K2284">
            <v>3</v>
          </cell>
          <cell r="L2284">
            <v>1.6</v>
          </cell>
          <cell r="M2284">
            <v>6.7082039324993694</v>
          </cell>
          <cell r="O2284" t="str">
            <v>-</v>
          </cell>
          <cell r="T2284" t="str">
            <v>-</v>
          </cell>
          <cell r="U2284">
            <v>0.5</v>
          </cell>
        </row>
        <row r="2285">
          <cell r="B2285" t="str">
            <v>HSS6X3X6</v>
          </cell>
          <cell r="C2285">
            <v>5.48</v>
          </cell>
          <cell r="D2285" t="str">
            <v>-</v>
          </cell>
          <cell r="F2285">
            <v>6</v>
          </cell>
          <cell r="H2285" t="str">
            <v>-</v>
          </cell>
          <cell r="I2285" t="str">
            <v>-</v>
          </cell>
          <cell r="K2285">
            <v>3</v>
          </cell>
          <cell r="L2285">
            <v>1.95</v>
          </cell>
          <cell r="M2285">
            <v>6.7082039324993694</v>
          </cell>
          <cell r="O2285" t="str">
            <v>-</v>
          </cell>
          <cell r="T2285" t="str">
            <v>-</v>
          </cell>
          <cell r="U2285">
            <v>0.375</v>
          </cell>
        </row>
        <row r="2286">
          <cell r="B2286" t="str">
            <v>HSS6X3X5</v>
          </cell>
          <cell r="C2286">
            <v>4.68</v>
          </cell>
          <cell r="D2286" t="str">
            <v>-</v>
          </cell>
          <cell r="F2286">
            <v>6</v>
          </cell>
          <cell r="H2286" t="str">
            <v>-</v>
          </cell>
          <cell r="I2286" t="str">
            <v>-</v>
          </cell>
          <cell r="K2286">
            <v>3</v>
          </cell>
          <cell r="L2286">
            <v>2.13</v>
          </cell>
          <cell r="M2286">
            <v>6.7082039324993694</v>
          </cell>
          <cell r="O2286" t="str">
            <v>-</v>
          </cell>
          <cell r="T2286" t="str">
            <v>-</v>
          </cell>
          <cell r="U2286">
            <v>0.3125</v>
          </cell>
        </row>
        <row r="2287">
          <cell r="B2287" t="str">
            <v>HSS6X3X4</v>
          </cell>
          <cell r="C2287">
            <v>3.84</v>
          </cell>
          <cell r="D2287" t="str">
            <v>-</v>
          </cell>
          <cell r="F2287">
            <v>6</v>
          </cell>
          <cell r="H2287" t="str">
            <v>-</v>
          </cell>
          <cell r="I2287" t="str">
            <v>-</v>
          </cell>
          <cell r="K2287">
            <v>3</v>
          </cell>
          <cell r="L2287">
            <v>2.2999999999999998</v>
          </cell>
          <cell r="M2287">
            <v>6.7082039324993694</v>
          </cell>
          <cell r="O2287" t="str">
            <v>-</v>
          </cell>
          <cell r="T2287" t="str">
            <v>-</v>
          </cell>
          <cell r="U2287">
            <v>0.25</v>
          </cell>
        </row>
        <row r="2288">
          <cell r="B2288" t="str">
            <v>HSS6X3X3</v>
          </cell>
          <cell r="C2288">
            <v>2.93</v>
          </cell>
          <cell r="D2288" t="str">
            <v>-</v>
          </cell>
          <cell r="F2288">
            <v>6</v>
          </cell>
          <cell r="H2288" t="str">
            <v>-</v>
          </cell>
          <cell r="I2288" t="str">
            <v>-</v>
          </cell>
          <cell r="K2288">
            <v>3</v>
          </cell>
          <cell r="L2288">
            <v>2.48</v>
          </cell>
          <cell r="M2288">
            <v>6.7082039324993694</v>
          </cell>
          <cell r="O2288" t="str">
            <v>-</v>
          </cell>
          <cell r="T2288" t="str">
            <v>-</v>
          </cell>
          <cell r="U2288">
            <v>0.1875</v>
          </cell>
        </row>
        <row r="2289">
          <cell r="B2289" t="str">
            <v>HSS6X3X2</v>
          </cell>
          <cell r="C2289">
            <v>2</v>
          </cell>
          <cell r="D2289" t="str">
            <v>-</v>
          </cell>
          <cell r="F2289">
            <v>6</v>
          </cell>
          <cell r="H2289" t="str">
            <v>-</v>
          </cell>
          <cell r="I2289" t="str">
            <v>-</v>
          </cell>
          <cell r="K2289">
            <v>3</v>
          </cell>
          <cell r="L2289">
            <v>2.65</v>
          </cell>
          <cell r="M2289">
            <v>6.7082039324993694</v>
          </cell>
          <cell r="O2289" t="str">
            <v>-</v>
          </cell>
          <cell r="T2289" t="str">
            <v>-</v>
          </cell>
          <cell r="U2289">
            <v>0.125</v>
          </cell>
        </row>
        <row r="2290">
          <cell r="B2290" t="str">
            <v>HSS6X2X6</v>
          </cell>
          <cell r="C2290">
            <v>4.78</v>
          </cell>
          <cell r="D2290" t="str">
            <v>-</v>
          </cell>
          <cell r="F2290">
            <v>6</v>
          </cell>
          <cell r="H2290" t="str">
            <v>-</v>
          </cell>
          <cell r="I2290" t="str">
            <v>-</v>
          </cell>
          <cell r="K2290">
            <v>2</v>
          </cell>
          <cell r="L2290">
            <v>0.95299999999999996</v>
          </cell>
          <cell r="M2290">
            <v>6.324555320336759</v>
          </cell>
          <cell r="O2290" t="str">
            <v>-</v>
          </cell>
          <cell r="T2290" t="str">
            <v>-</v>
          </cell>
          <cell r="U2290">
            <v>0.375</v>
          </cell>
        </row>
        <row r="2291">
          <cell r="B2291" t="str">
            <v>HSS6X2X5</v>
          </cell>
          <cell r="C2291">
            <v>4.0999999999999996</v>
          </cell>
          <cell r="D2291" t="str">
            <v>-</v>
          </cell>
          <cell r="F2291">
            <v>6</v>
          </cell>
          <cell r="H2291" t="str">
            <v>-</v>
          </cell>
          <cell r="I2291" t="str">
            <v>-</v>
          </cell>
          <cell r="K2291">
            <v>2</v>
          </cell>
          <cell r="L2291">
            <v>1.1299999999999999</v>
          </cell>
          <cell r="M2291">
            <v>6.324555320336759</v>
          </cell>
          <cell r="O2291" t="str">
            <v>-</v>
          </cell>
          <cell r="T2291" t="str">
            <v>-</v>
          </cell>
          <cell r="U2291">
            <v>0.3125</v>
          </cell>
        </row>
        <row r="2292">
          <cell r="B2292" t="str">
            <v>HSS6X2X4</v>
          </cell>
          <cell r="C2292">
            <v>3.37</v>
          </cell>
          <cell r="D2292" t="str">
            <v>-</v>
          </cell>
          <cell r="F2292">
            <v>6</v>
          </cell>
          <cell r="H2292" t="str">
            <v>-</v>
          </cell>
          <cell r="I2292" t="str">
            <v>-</v>
          </cell>
          <cell r="K2292">
            <v>2</v>
          </cell>
          <cell r="L2292">
            <v>1.3</v>
          </cell>
          <cell r="M2292">
            <v>6.324555320336759</v>
          </cell>
          <cell r="O2292" t="str">
            <v>-</v>
          </cell>
          <cell r="T2292" t="str">
            <v>-</v>
          </cell>
          <cell r="U2292">
            <v>0.25</v>
          </cell>
        </row>
        <row r="2293">
          <cell r="B2293" t="str">
            <v>HSS6X2X3</v>
          </cell>
          <cell r="C2293">
            <v>2.58</v>
          </cell>
          <cell r="D2293" t="str">
            <v>-</v>
          </cell>
          <cell r="F2293">
            <v>6</v>
          </cell>
          <cell r="H2293" t="str">
            <v>-</v>
          </cell>
          <cell r="I2293" t="str">
            <v>-</v>
          </cell>
          <cell r="K2293">
            <v>2</v>
          </cell>
          <cell r="L2293">
            <v>1.48</v>
          </cell>
          <cell r="M2293">
            <v>6.324555320336759</v>
          </cell>
          <cell r="O2293" t="str">
            <v>-</v>
          </cell>
          <cell r="T2293" t="str">
            <v>-</v>
          </cell>
          <cell r="U2293">
            <v>0.1875</v>
          </cell>
        </row>
        <row r="2294">
          <cell r="B2294" t="str">
            <v>HSS6X2X2</v>
          </cell>
          <cell r="C2294">
            <v>1.77</v>
          </cell>
          <cell r="D2294" t="str">
            <v>-</v>
          </cell>
          <cell r="F2294">
            <v>6</v>
          </cell>
          <cell r="H2294" t="str">
            <v>-</v>
          </cell>
          <cell r="I2294" t="str">
            <v>-</v>
          </cell>
          <cell r="K2294">
            <v>2</v>
          </cell>
          <cell r="L2294">
            <v>1.65</v>
          </cell>
          <cell r="M2294">
            <v>6.324555320336759</v>
          </cell>
          <cell r="O2294" t="str">
            <v>-</v>
          </cell>
          <cell r="T2294" t="str">
            <v>-</v>
          </cell>
          <cell r="U2294">
            <v>0.125</v>
          </cell>
        </row>
        <row r="2295">
          <cell r="B2295" t="str">
            <v>HSS5.5X5.5X6</v>
          </cell>
          <cell r="C2295">
            <v>6.88</v>
          </cell>
          <cell r="D2295" t="str">
            <v>-</v>
          </cell>
          <cell r="F2295">
            <v>5.5</v>
          </cell>
          <cell r="H2295" t="str">
            <v>-</v>
          </cell>
          <cell r="I2295" t="str">
            <v>-</v>
          </cell>
          <cell r="K2295">
            <v>5.5</v>
          </cell>
          <cell r="L2295">
            <v>4.45</v>
          </cell>
          <cell r="M2295">
            <v>7.7781745930520225</v>
          </cell>
          <cell r="O2295" t="str">
            <v>-</v>
          </cell>
          <cell r="T2295" t="str">
            <v>-</v>
          </cell>
          <cell r="U2295">
            <v>0.375</v>
          </cell>
        </row>
        <row r="2296">
          <cell r="B2296" t="str">
            <v>HSS5.5X5.5X5</v>
          </cell>
          <cell r="C2296">
            <v>5.85</v>
          </cell>
          <cell r="D2296" t="str">
            <v>-</v>
          </cell>
          <cell r="F2296">
            <v>5.5</v>
          </cell>
          <cell r="H2296" t="str">
            <v>-</v>
          </cell>
          <cell r="I2296" t="str">
            <v>-</v>
          </cell>
          <cell r="K2296">
            <v>5.5</v>
          </cell>
          <cell r="L2296">
            <v>4.63</v>
          </cell>
          <cell r="M2296">
            <v>7.7781745930520225</v>
          </cell>
          <cell r="O2296" t="str">
            <v>-</v>
          </cell>
          <cell r="T2296" t="str">
            <v>-</v>
          </cell>
          <cell r="U2296">
            <v>0.3125</v>
          </cell>
        </row>
        <row r="2297">
          <cell r="B2297" t="str">
            <v>HSS5.5X5.5X4</v>
          </cell>
          <cell r="C2297">
            <v>4.7699999999999996</v>
          </cell>
          <cell r="D2297" t="str">
            <v>-</v>
          </cell>
          <cell r="F2297">
            <v>5.5</v>
          </cell>
          <cell r="H2297" t="str">
            <v>-</v>
          </cell>
          <cell r="I2297" t="str">
            <v>-</v>
          </cell>
          <cell r="K2297">
            <v>5.5</v>
          </cell>
          <cell r="L2297">
            <v>4.8</v>
          </cell>
          <cell r="M2297">
            <v>7.7781745930520225</v>
          </cell>
          <cell r="O2297" t="str">
            <v>-</v>
          </cell>
          <cell r="T2297" t="str">
            <v>-</v>
          </cell>
          <cell r="U2297">
            <v>0.25</v>
          </cell>
        </row>
        <row r="2298">
          <cell r="B2298" t="str">
            <v>HSS5.5X5.5X3</v>
          </cell>
          <cell r="C2298">
            <v>3.63</v>
          </cell>
          <cell r="D2298" t="str">
            <v>-</v>
          </cell>
          <cell r="F2298">
            <v>5.5</v>
          </cell>
          <cell r="H2298" t="str">
            <v>-</v>
          </cell>
          <cell r="I2298" t="str">
            <v>-</v>
          </cell>
          <cell r="K2298">
            <v>5.5</v>
          </cell>
          <cell r="L2298">
            <v>4.9800000000000004</v>
          </cell>
          <cell r="M2298">
            <v>7.7781745930520225</v>
          </cell>
          <cell r="O2298" t="str">
            <v>-</v>
          </cell>
          <cell r="T2298" t="str">
            <v>-</v>
          </cell>
          <cell r="U2298">
            <v>0.1875</v>
          </cell>
        </row>
        <row r="2299">
          <cell r="B2299" t="str">
            <v>HSS5.5X5.5X2</v>
          </cell>
          <cell r="C2299">
            <v>2.46</v>
          </cell>
          <cell r="D2299" t="str">
            <v>-</v>
          </cell>
          <cell r="F2299">
            <v>5.5</v>
          </cell>
          <cell r="H2299" t="str">
            <v>-</v>
          </cell>
          <cell r="I2299" t="str">
            <v>-</v>
          </cell>
          <cell r="K2299">
            <v>5.5</v>
          </cell>
          <cell r="L2299">
            <v>5.15</v>
          </cell>
          <cell r="M2299">
            <v>7.7781745930520225</v>
          </cell>
          <cell r="O2299" t="str">
            <v>-</v>
          </cell>
          <cell r="T2299" t="str">
            <v>-</v>
          </cell>
          <cell r="U2299">
            <v>0.125</v>
          </cell>
        </row>
        <row r="2300">
          <cell r="B2300" t="str">
            <v>HSS5X5X8</v>
          </cell>
          <cell r="C2300">
            <v>7.88</v>
          </cell>
          <cell r="D2300" t="str">
            <v>-</v>
          </cell>
          <cell r="F2300">
            <v>5</v>
          </cell>
          <cell r="H2300" t="str">
            <v>-</v>
          </cell>
          <cell r="I2300" t="str">
            <v>-</v>
          </cell>
          <cell r="K2300">
            <v>5</v>
          </cell>
          <cell r="L2300">
            <v>3.6</v>
          </cell>
          <cell r="M2300">
            <v>7.0710678118654755</v>
          </cell>
          <cell r="O2300" t="str">
            <v>-</v>
          </cell>
          <cell r="T2300" t="str">
            <v>-</v>
          </cell>
          <cell r="U2300">
            <v>0.5</v>
          </cell>
        </row>
        <row r="2301">
          <cell r="B2301" t="str">
            <v>HSS5X5X6</v>
          </cell>
          <cell r="C2301">
            <v>6.18</v>
          </cell>
          <cell r="D2301" t="str">
            <v>-</v>
          </cell>
          <cell r="F2301">
            <v>5</v>
          </cell>
          <cell r="H2301" t="str">
            <v>-</v>
          </cell>
          <cell r="I2301" t="str">
            <v>-</v>
          </cell>
          <cell r="K2301">
            <v>5</v>
          </cell>
          <cell r="L2301">
            <v>3.95</v>
          </cell>
          <cell r="M2301">
            <v>7.0710678118654755</v>
          </cell>
          <cell r="O2301" t="str">
            <v>-</v>
          </cell>
          <cell r="T2301" t="str">
            <v>-</v>
          </cell>
          <cell r="U2301">
            <v>0.375</v>
          </cell>
        </row>
        <row r="2302">
          <cell r="B2302" t="str">
            <v>HSS5X5X5</v>
          </cell>
          <cell r="C2302">
            <v>5.26</v>
          </cell>
          <cell r="D2302" t="str">
            <v>-</v>
          </cell>
          <cell r="F2302">
            <v>5</v>
          </cell>
          <cell r="H2302" t="str">
            <v>-</v>
          </cell>
          <cell r="I2302" t="str">
            <v>-</v>
          </cell>
          <cell r="K2302">
            <v>5</v>
          </cell>
          <cell r="L2302">
            <v>4.13</v>
          </cell>
          <cell r="M2302">
            <v>7.0710678118654755</v>
          </cell>
          <cell r="O2302" t="str">
            <v>-</v>
          </cell>
          <cell r="T2302" t="str">
            <v>-</v>
          </cell>
          <cell r="U2302">
            <v>0.3125</v>
          </cell>
        </row>
        <row r="2303">
          <cell r="B2303" t="str">
            <v>HSS5X5X4</v>
          </cell>
          <cell r="C2303">
            <v>4.3</v>
          </cell>
          <cell r="D2303" t="str">
            <v>-</v>
          </cell>
          <cell r="F2303">
            <v>5</v>
          </cell>
          <cell r="H2303" t="str">
            <v>-</v>
          </cell>
          <cell r="I2303" t="str">
            <v>-</v>
          </cell>
          <cell r="K2303">
            <v>5</v>
          </cell>
          <cell r="L2303">
            <v>4.3</v>
          </cell>
          <cell r="M2303">
            <v>7.0710678118654755</v>
          </cell>
          <cell r="O2303" t="str">
            <v>-</v>
          </cell>
          <cell r="T2303" t="str">
            <v>-</v>
          </cell>
          <cell r="U2303">
            <v>0.25</v>
          </cell>
        </row>
        <row r="2304">
          <cell r="B2304" t="str">
            <v>HSS5X5X3</v>
          </cell>
          <cell r="C2304">
            <v>3.28</v>
          </cell>
          <cell r="D2304" t="str">
            <v>-</v>
          </cell>
          <cell r="F2304">
            <v>5</v>
          </cell>
          <cell r="H2304" t="str">
            <v>-</v>
          </cell>
          <cell r="I2304" t="str">
            <v>-</v>
          </cell>
          <cell r="K2304">
            <v>5</v>
          </cell>
          <cell r="L2304">
            <v>4.4800000000000004</v>
          </cell>
          <cell r="M2304">
            <v>7.0710678118654755</v>
          </cell>
          <cell r="O2304" t="str">
            <v>-</v>
          </cell>
          <cell r="T2304" t="str">
            <v>-</v>
          </cell>
          <cell r="U2304">
            <v>0.1875</v>
          </cell>
        </row>
        <row r="2305">
          <cell r="B2305" t="str">
            <v>HSS5X5X2</v>
          </cell>
          <cell r="C2305">
            <v>2.23</v>
          </cell>
          <cell r="D2305" t="str">
            <v>-</v>
          </cell>
          <cell r="F2305">
            <v>5</v>
          </cell>
          <cell r="H2305" t="str">
            <v>-</v>
          </cell>
          <cell r="I2305" t="str">
            <v>-</v>
          </cell>
          <cell r="K2305">
            <v>5</v>
          </cell>
          <cell r="L2305">
            <v>4.6500000000000004</v>
          </cell>
          <cell r="M2305">
            <v>7.0710678118654755</v>
          </cell>
          <cell r="O2305" t="str">
            <v>-</v>
          </cell>
          <cell r="T2305" t="str">
            <v>-</v>
          </cell>
          <cell r="U2305">
            <v>0.125</v>
          </cell>
        </row>
        <row r="2306">
          <cell r="B2306" t="str">
            <v>HSS5X4X8</v>
          </cell>
          <cell r="C2306">
            <v>6.95</v>
          </cell>
          <cell r="D2306" t="str">
            <v>-</v>
          </cell>
          <cell r="F2306">
            <v>5</v>
          </cell>
          <cell r="H2306" t="str">
            <v>-</v>
          </cell>
          <cell r="I2306" t="str">
            <v>-</v>
          </cell>
          <cell r="K2306">
            <v>4</v>
          </cell>
          <cell r="L2306">
            <v>2.6</v>
          </cell>
          <cell r="M2306">
            <v>6.4031242374328485</v>
          </cell>
          <cell r="O2306" t="str">
            <v>-</v>
          </cell>
          <cell r="T2306" t="str">
            <v>-</v>
          </cell>
          <cell r="U2306">
            <v>0.5</v>
          </cell>
        </row>
        <row r="2307">
          <cell r="B2307" t="str">
            <v>HSS5X4X6</v>
          </cell>
          <cell r="C2307">
            <v>5.48</v>
          </cell>
          <cell r="D2307" t="str">
            <v>-</v>
          </cell>
          <cell r="F2307">
            <v>5</v>
          </cell>
          <cell r="H2307" t="str">
            <v>-</v>
          </cell>
          <cell r="I2307" t="str">
            <v>-</v>
          </cell>
          <cell r="K2307">
            <v>4</v>
          </cell>
          <cell r="L2307">
            <v>2.95</v>
          </cell>
          <cell r="M2307">
            <v>6.4031242374328485</v>
          </cell>
          <cell r="O2307" t="str">
            <v>-</v>
          </cell>
          <cell r="T2307" t="str">
            <v>-</v>
          </cell>
          <cell r="U2307">
            <v>0.375</v>
          </cell>
        </row>
        <row r="2308">
          <cell r="B2308" t="str">
            <v>HSS5X4X5</v>
          </cell>
          <cell r="C2308">
            <v>4.68</v>
          </cell>
          <cell r="D2308" t="str">
            <v>-</v>
          </cell>
          <cell r="F2308">
            <v>5</v>
          </cell>
          <cell r="H2308" t="str">
            <v>-</v>
          </cell>
          <cell r="I2308" t="str">
            <v>-</v>
          </cell>
          <cell r="K2308">
            <v>4</v>
          </cell>
          <cell r="L2308">
            <v>3.13</v>
          </cell>
          <cell r="M2308">
            <v>6.4031242374328485</v>
          </cell>
          <cell r="O2308" t="str">
            <v>-</v>
          </cell>
          <cell r="T2308" t="str">
            <v>-</v>
          </cell>
          <cell r="U2308">
            <v>0.3125</v>
          </cell>
        </row>
        <row r="2309">
          <cell r="B2309" t="str">
            <v>HSS5X4X4</v>
          </cell>
          <cell r="C2309">
            <v>3.84</v>
          </cell>
          <cell r="D2309" t="str">
            <v>-</v>
          </cell>
          <cell r="F2309">
            <v>5</v>
          </cell>
          <cell r="H2309" t="str">
            <v>-</v>
          </cell>
          <cell r="I2309" t="str">
            <v>-</v>
          </cell>
          <cell r="K2309">
            <v>4</v>
          </cell>
          <cell r="L2309">
            <v>3.3</v>
          </cell>
          <cell r="M2309">
            <v>6.4031242374328485</v>
          </cell>
          <cell r="O2309" t="str">
            <v>-</v>
          </cell>
          <cell r="T2309" t="str">
            <v>-</v>
          </cell>
          <cell r="U2309">
            <v>0.25</v>
          </cell>
        </row>
        <row r="2310">
          <cell r="B2310" t="str">
            <v>HSS5X4X3</v>
          </cell>
          <cell r="C2310">
            <v>2.93</v>
          </cell>
          <cell r="D2310" t="str">
            <v>-</v>
          </cell>
          <cell r="F2310">
            <v>5</v>
          </cell>
          <cell r="H2310" t="str">
            <v>-</v>
          </cell>
          <cell r="I2310" t="str">
            <v>-</v>
          </cell>
          <cell r="K2310">
            <v>4</v>
          </cell>
          <cell r="L2310">
            <v>3.48</v>
          </cell>
          <cell r="M2310">
            <v>6.4031242374328485</v>
          </cell>
          <cell r="O2310" t="str">
            <v>-</v>
          </cell>
          <cell r="T2310" t="str">
            <v>-</v>
          </cell>
          <cell r="U2310">
            <v>0.1875</v>
          </cell>
        </row>
        <row r="2311">
          <cell r="B2311" t="str">
            <v>HSS5X4X2</v>
          </cell>
          <cell r="C2311">
            <v>2</v>
          </cell>
          <cell r="D2311" t="str">
            <v>-</v>
          </cell>
          <cell r="F2311">
            <v>5</v>
          </cell>
          <cell r="H2311" t="str">
            <v>-</v>
          </cell>
          <cell r="I2311" t="str">
            <v>-</v>
          </cell>
          <cell r="K2311">
            <v>4</v>
          </cell>
          <cell r="L2311">
            <v>3.65</v>
          </cell>
          <cell r="M2311">
            <v>6.4031242374328485</v>
          </cell>
          <cell r="O2311" t="str">
            <v>-</v>
          </cell>
          <cell r="T2311" t="str">
            <v>-</v>
          </cell>
          <cell r="U2311">
            <v>0.125</v>
          </cell>
        </row>
        <row r="2312">
          <cell r="B2312" t="str">
            <v>HSS5X3X8</v>
          </cell>
          <cell r="C2312">
            <v>6.02</v>
          </cell>
          <cell r="D2312" t="str">
            <v>-</v>
          </cell>
          <cell r="F2312">
            <v>5</v>
          </cell>
          <cell r="H2312" t="str">
            <v>-</v>
          </cell>
          <cell r="I2312" t="str">
            <v>-</v>
          </cell>
          <cell r="K2312">
            <v>3</v>
          </cell>
          <cell r="L2312">
            <v>1.6</v>
          </cell>
          <cell r="M2312">
            <v>5.8309518948453007</v>
          </cell>
          <cell r="O2312" t="str">
            <v>-</v>
          </cell>
          <cell r="T2312" t="str">
            <v>-</v>
          </cell>
          <cell r="U2312">
            <v>0.5</v>
          </cell>
        </row>
        <row r="2313">
          <cell r="B2313" t="str">
            <v>HSS5X3X6</v>
          </cell>
          <cell r="C2313">
            <v>4.78</v>
          </cell>
          <cell r="D2313" t="str">
            <v>-</v>
          </cell>
          <cell r="F2313">
            <v>5</v>
          </cell>
          <cell r="H2313" t="str">
            <v>-</v>
          </cell>
          <cell r="I2313" t="str">
            <v>-</v>
          </cell>
          <cell r="K2313">
            <v>3</v>
          </cell>
          <cell r="L2313">
            <v>1.95</v>
          </cell>
          <cell r="M2313">
            <v>5.8309518948453007</v>
          </cell>
          <cell r="O2313" t="str">
            <v>-</v>
          </cell>
          <cell r="T2313" t="str">
            <v>-</v>
          </cell>
          <cell r="U2313">
            <v>0.375</v>
          </cell>
        </row>
        <row r="2314">
          <cell r="B2314" t="str">
            <v>HSS5X3X5</v>
          </cell>
          <cell r="C2314">
            <v>4.0999999999999996</v>
          </cell>
          <cell r="D2314" t="str">
            <v>-</v>
          </cell>
          <cell r="F2314">
            <v>5</v>
          </cell>
          <cell r="H2314" t="str">
            <v>-</v>
          </cell>
          <cell r="I2314" t="str">
            <v>-</v>
          </cell>
          <cell r="K2314">
            <v>3</v>
          </cell>
          <cell r="L2314">
            <v>2.13</v>
          </cell>
          <cell r="M2314">
            <v>5.8309518948453007</v>
          </cell>
          <cell r="O2314" t="str">
            <v>-</v>
          </cell>
          <cell r="T2314" t="str">
            <v>-</v>
          </cell>
          <cell r="U2314">
            <v>0.3125</v>
          </cell>
        </row>
        <row r="2315">
          <cell r="B2315" t="str">
            <v>HSS5X3X4</v>
          </cell>
          <cell r="C2315">
            <v>3.37</v>
          </cell>
          <cell r="D2315" t="str">
            <v>-</v>
          </cell>
          <cell r="F2315">
            <v>5</v>
          </cell>
          <cell r="H2315" t="str">
            <v>-</v>
          </cell>
          <cell r="I2315" t="str">
            <v>-</v>
          </cell>
          <cell r="K2315">
            <v>3</v>
          </cell>
          <cell r="L2315">
            <v>2.2999999999999998</v>
          </cell>
          <cell r="M2315">
            <v>5.8309518948453007</v>
          </cell>
          <cell r="O2315" t="str">
            <v>-</v>
          </cell>
          <cell r="T2315" t="str">
            <v>-</v>
          </cell>
          <cell r="U2315">
            <v>0.25</v>
          </cell>
        </row>
        <row r="2316">
          <cell r="B2316" t="str">
            <v>HSS5X3X3</v>
          </cell>
          <cell r="C2316">
            <v>2.58</v>
          </cell>
          <cell r="D2316" t="str">
            <v>-</v>
          </cell>
          <cell r="F2316">
            <v>5</v>
          </cell>
          <cell r="H2316" t="str">
            <v>-</v>
          </cell>
          <cell r="I2316" t="str">
            <v>-</v>
          </cell>
          <cell r="K2316">
            <v>3</v>
          </cell>
          <cell r="L2316">
            <v>2.48</v>
          </cell>
          <cell r="M2316">
            <v>5.8309518948453007</v>
          </cell>
          <cell r="O2316" t="str">
            <v>-</v>
          </cell>
          <cell r="T2316" t="str">
            <v>-</v>
          </cell>
          <cell r="U2316">
            <v>0.1875</v>
          </cell>
        </row>
        <row r="2317">
          <cell r="B2317" t="str">
            <v>HSS5X3X2</v>
          </cell>
          <cell r="C2317">
            <v>1.77</v>
          </cell>
          <cell r="D2317" t="str">
            <v>-</v>
          </cell>
          <cell r="F2317">
            <v>5</v>
          </cell>
          <cell r="H2317" t="str">
            <v>-</v>
          </cell>
          <cell r="I2317" t="str">
            <v>-</v>
          </cell>
          <cell r="K2317">
            <v>3</v>
          </cell>
          <cell r="L2317">
            <v>2.65</v>
          </cell>
          <cell r="M2317">
            <v>5.8309518948453007</v>
          </cell>
          <cell r="O2317" t="str">
            <v>-</v>
          </cell>
          <cell r="T2317" t="str">
            <v>-</v>
          </cell>
          <cell r="U2317">
            <v>0.125</v>
          </cell>
        </row>
        <row r="2318">
          <cell r="B2318" t="str">
            <v>HSS5X2.5X4</v>
          </cell>
          <cell r="C2318">
            <v>3.14</v>
          </cell>
          <cell r="D2318" t="str">
            <v>-</v>
          </cell>
          <cell r="F2318">
            <v>5</v>
          </cell>
          <cell r="H2318" t="str">
            <v>-</v>
          </cell>
          <cell r="I2318" t="str">
            <v>-</v>
          </cell>
          <cell r="K2318">
            <v>2.5</v>
          </cell>
          <cell r="L2318">
            <v>1.8</v>
          </cell>
          <cell r="M2318">
            <v>5.5901699437494745</v>
          </cell>
          <cell r="O2318" t="str">
            <v>-</v>
          </cell>
          <cell r="T2318" t="str">
            <v>-</v>
          </cell>
          <cell r="U2318">
            <v>0.25</v>
          </cell>
        </row>
        <row r="2319">
          <cell r="B2319" t="str">
            <v>HSS5X2.5X3</v>
          </cell>
          <cell r="C2319">
            <v>2.41</v>
          </cell>
          <cell r="D2319" t="str">
            <v>-</v>
          </cell>
          <cell r="F2319">
            <v>5</v>
          </cell>
          <cell r="H2319" t="str">
            <v>-</v>
          </cell>
          <cell r="I2319" t="str">
            <v>-</v>
          </cell>
          <cell r="K2319">
            <v>2.5</v>
          </cell>
          <cell r="L2319">
            <v>1.98</v>
          </cell>
          <cell r="M2319">
            <v>5.5901699437494745</v>
          </cell>
          <cell r="O2319" t="str">
            <v>-</v>
          </cell>
          <cell r="T2319" t="str">
            <v>-</v>
          </cell>
          <cell r="U2319">
            <v>0.1875</v>
          </cell>
        </row>
        <row r="2320">
          <cell r="B2320" t="str">
            <v>HSS5X2.5X2</v>
          </cell>
          <cell r="C2320">
            <v>1.65</v>
          </cell>
          <cell r="D2320" t="str">
            <v>-</v>
          </cell>
          <cell r="F2320">
            <v>5</v>
          </cell>
          <cell r="H2320" t="str">
            <v>-</v>
          </cell>
          <cell r="I2320" t="str">
            <v>-</v>
          </cell>
          <cell r="K2320">
            <v>2.5</v>
          </cell>
          <cell r="L2320">
            <v>2.15</v>
          </cell>
          <cell r="M2320">
            <v>5.5901699437494745</v>
          </cell>
          <cell r="O2320" t="str">
            <v>-</v>
          </cell>
          <cell r="T2320" t="str">
            <v>-</v>
          </cell>
          <cell r="U2320">
            <v>0.125</v>
          </cell>
        </row>
        <row r="2321">
          <cell r="B2321" t="str">
            <v>HSS5X2X6</v>
          </cell>
          <cell r="C2321">
            <v>4.09</v>
          </cell>
          <cell r="D2321" t="str">
            <v>-</v>
          </cell>
          <cell r="F2321">
            <v>5</v>
          </cell>
          <cell r="H2321" t="str">
            <v>-</v>
          </cell>
          <cell r="I2321" t="str">
            <v>-</v>
          </cell>
          <cell r="K2321">
            <v>2</v>
          </cell>
          <cell r="L2321">
            <v>0.95299999999999996</v>
          </cell>
          <cell r="M2321">
            <v>5.3851648071345037</v>
          </cell>
          <cell r="O2321" t="str">
            <v>-</v>
          </cell>
          <cell r="T2321" t="str">
            <v>-</v>
          </cell>
          <cell r="U2321">
            <v>0.375</v>
          </cell>
        </row>
        <row r="2322">
          <cell r="B2322" t="str">
            <v>HSS5X2X5</v>
          </cell>
          <cell r="C2322">
            <v>3.52</v>
          </cell>
          <cell r="D2322" t="str">
            <v>-</v>
          </cell>
          <cell r="F2322">
            <v>5</v>
          </cell>
          <cell r="H2322" t="str">
            <v>-</v>
          </cell>
          <cell r="I2322" t="str">
            <v>-</v>
          </cell>
          <cell r="K2322">
            <v>2</v>
          </cell>
          <cell r="L2322">
            <v>1.1299999999999999</v>
          </cell>
          <cell r="M2322">
            <v>5.3851648071345037</v>
          </cell>
          <cell r="O2322" t="str">
            <v>-</v>
          </cell>
          <cell r="T2322" t="str">
            <v>-</v>
          </cell>
          <cell r="U2322">
            <v>0.3125</v>
          </cell>
        </row>
        <row r="2323">
          <cell r="B2323" t="str">
            <v>HSS5X2X4</v>
          </cell>
          <cell r="C2323">
            <v>2.91</v>
          </cell>
          <cell r="D2323" t="str">
            <v>-</v>
          </cell>
          <cell r="F2323">
            <v>5</v>
          </cell>
          <cell r="H2323" t="str">
            <v>-</v>
          </cell>
          <cell r="I2323" t="str">
            <v>-</v>
          </cell>
          <cell r="K2323">
            <v>2</v>
          </cell>
          <cell r="L2323">
            <v>1.3</v>
          </cell>
          <cell r="M2323">
            <v>5.3851648071345037</v>
          </cell>
          <cell r="O2323" t="str">
            <v>-</v>
          </cell>
          <cell r="T2323" t="str">
            <v>-</v>
          </cell>
          <cell r="U2323">
            <v>0.25</v>
          </cell>
        </row>
        <row r="2324">
          <cell r="B2324" t="str">
            <v>HSS5X2X3</v>
          </cell>
          <cell r="C2324">
            <v>2.2400000000000002</v>
          </cell>
          <cell r="D2324" t="str">
            <v>-</v>
          </cell>
          <cell r="F2324">
            <v>5</v>
          </cell>
          <cell r="H2324" t="str">
            <v>-</v>
          </cell>
          <cell r="I2324" t="str">
            <v>-</v>
          </cell>
          <cell r="K2324">
            <v>2</v>
          </cell>
          <cell r="L2324">
            <v>1.48</v>
          </cell>
          <cell r="M2324">
            <v>5.3851648071345037</v>
          </cell>
          <cell r="O2324" t="str">
            <v>-</v>
          </cell>
          <cell r="T2324" t="str">
            <v>-</v>
          </cell>
          <cell r="U2324">
            <v>0.1875</v>
          </cell>
        </row>
        <row r="2325">
          <cell r="B2325" t="str">
            <v>HSS5X2X2</v>
          </cell>
          <cell r="C2325">
            <v>1.54</v>
          </cell>
          <cell r="D2325" t="str">
            <v>-</v>
          </cell>
          <cell r="F2325">
            <v>5</v>
          </cell>
          <cell r="H2325" t="str">
            <v>-</v>
          </cell>
          <cell r="I2325" t="str">
            <v>-</v>
          </cell>
          <cell r="K2325">
            <v>2</v>
          </cell>
          <cell r="L2325">
            <v>1.65</v>
          </cell>
          <cell r="M2325">
            <v>5.3851648071345037</v>
          </cell>
          <cell r="O2325" t="str">
            <v>-</v>
          </cell>
          <cell r="T2325" t="str">
            <v>-</v>
          </cell>
          <cell r="U2325">
            <v>0.125</v>
          </cell>
        </row>
        <row r="2326">
          <cell r="B2326" t="str">
            <v>HSS4.5X4.5X8</v>
          </cell>
          <cell r="C2326">
            <v>6.95</v>
          </cell>
          <cell r="D2326" t="str">
            <v>-</v>
          </cell>
          <cell r="F2326">
            <v>4.5</v>
          </cell>
          <cell r="H2326" t="str">
            <v>-</v>
          </cell>
          <cell r="I2326" t="str">
            <v>-</v>
          </cell>
          <cell r="K2326">
            <v>4.5</v>
          </cell>
          <cell r="L2326">
            <v>3.1</v>
          </cell>
          <cell r="M2326">
            <v>6.3639610306789276</v>
          </cell>
          <cell r="O2326" t="str">
            <v>-</v>
          </cell>
          <cell r="T2326" t="str">
            <v>-</v>
          </cell>
          <cell r="U2326">
            <v>0.5</v>
          </cell>
        </row>
        <row r="2327">
          <cell r="B2327" t="str">
            <v>HSS4.5X4.5X6</v>
          </cell>
          <cell r="C2327">
            <v>5.48</v>
          </cell>
          <cell r="D2327" t="str">
            <v>-</v>
          </cell>
          <cell r="F2327">
            <v>4.5</v>
          </cell>
          <cell r="H2327" t="str">
            <v>-</v>
          </cell>
          <cell r="I2327" t="str">
            <v>-</v>
          </cell>
          <cell r="K2327">
            <v>4.5</v>
          </cell>
          <cell r="L2327">
            <v>3.45</v>
          </cell>
          <cell r="M2327">
            <v>6.3639610306789276</v>
          </cell>
          <cell r="O2327" t="str">
            <v>-</v>
          </cell>
          <cell r="T2327" t="str">
            <v>-</v>
          </cell>
          <cell r="U2327">
            <v>0.375</v>
          </cell>
        </row>
        <row r="2328">
          <cell r="B2328" t="str">
            <v>HSS4.5X4.5X5</v>
          </cell>
          <cell r="C2328">
            <v>4.68</v>
          </cell>
          <cell r="D2328" t="str">
            <v>-</v>
          </cell>
          <cell r="F2328">
            <v>4.5</v>
          </cell>
          <cell r="H2328" t="str">
            <v>-</v>
          </cell>
          <cell r="I2328" t="str">
            <v>-</v>
          </cell>
          <cell r="K2328">
            <v>4.5</v>
          </cell>
          <cell r="L2328">
            <v>3.63</v>
          </cell>
          <cell r="M2328">
            <v>6.3639610306789276</v>
          </cell>
          <cell r="O2328" t="str">
            <v>-</v>
          </cell>
          <cell r="T2328" t="str">
            <v>-</v>
          </cell>
          <cell r="U2328">
            <v>0.3125</v>
          </cell>
        </row>
        <row r="2329">
          <cell r="B2329" t="str">
            <v>HSS4.5X4.5X4</v>
          </cell>
          <cell r="C2329">
            <v>3.84</v>
          </cell>
          <cell r="D2329" t="str">
            <v>-</v>
          </cell>
          <cell r="F2329">
            <v>4.5</v>
          </cell>
          <cell r="H2329" t="str">
            <v>-</v>
          </cell>
          <cell r="I2329" t="str">
            <v>-</v>
          </cell>
          <cell r="K2329">
            <v>4.5</v>
          </cell>
          <cell r="L2329">
            <v>3.8</v>
          </cell>
          <cell r="M2329">
            <v>6.3639610306789276</v>
          </cell>
          <cell r="O2329" t="str">
            <v>-</v>
          </cell>
          <cell r="T2329" t="str">
            <v>-</v>
          </cell>
          <cell r="U2329">
            <v>0.25</v>
          </cell>
        </row>
        <row r="2330">
          <cell r="B2330" t="str">
            <v>HSS4.5X4.5X3</v>
          </cell>
          <cell r="C2330">
            <v>2.93</v>
          </cell>
          <cell r="D2330" t="str">
            <v>-</v>
          </cell>
          <cell r="F2330">
            <v>4.5</v>
          </cell>
          <cell r="H2330" t="str">
            <v>-</v>
          </cell>
          <cell r="I2330" t="str">
            <v>-</v>
          </cell>
          <cell r="K2330">
            <v>4.5</v>
          </cell>
          <cell r="L2330">
            <v>3.98</v>
          </cell>
          <cell r="M2330">
            <v>6.3639610306789276</v>
          </cell>
          <cell r="O2330" t="str">
            <v>-</v>
          </cell>
          <cell r="T2330" t="str">
            <v>-</v>
          </cell>
          <cell r="U2330">
            <v>0.1875</v>
          </cell>
        </row>
        <row r="2331">
          <cell r="B2331" t="str">
            <v>HSS4.5X4.5X2</v>
          </cell>
          <cell r="C2331">
            <v>2</v>
          </cell>
          <cell r="D2331" t="str">
            <v>-</v>
          </cell>
          <cell r="F2331">
            <v>4.5</v>
          </cell>
          <cell r="H2331" t="str">
            <v>-</v>
          </cell>
          <cell r="I2331" t="str">
            <v>-</v>
          </cell>
          <cell r="K2331">
            <v>4.5</v>
          </cell>
          <cell r="L2331">
            <v>4.1500000000000004</v>
          </cell>
          <cell r="M2331">
            <v>6.3639610306789276</v>
          </cell>
          <cell r="O2331" t="str">
            <v>-</v>
          </cell>
          <cell r="T2331" t="str">
            <v>-</v>
          </cell>
          <cell r="U2331">
            <v>0.125</v>
          </cell>
        </row>
        <row r="2332">
          <cell r="B2332" t="str">
            <v>HSS4X4X8</v>
          </cell>
          <cell r="C2332">
            <v>6.02</v>
          </cell>
          <cell r="D2332" t="str">
            <v>-</v>
          </cell>
          <cell r="F2332">
            <v>4</v>
          </cell>
          <cell r="H2332" t="str">
            <v>-</v>
          </cell>
          <cell r="I2332" t="str">
            <v>-</v>
          </cell>
          <cell r="K2332">
            <v>4</v>
          </cell>
          <cell r="L2332">
            <v>2.6</v>
          </cell>
          <cell r="M2332">
            <v>5.6568542494923806</v>
          </cell>
          <cell r="O2332" t="str">
            <v>-</v>
          </cell>
          <cell r="T2332" t="str">
            <v>-</v>
          </cell>
          <cell r="U2332">
            <v>0.5</v>
          </cell>
        </row>
        <row r="2333">
          <cell r="B2333" t="str">
            <v>HSS4X4X6</v>
          </cell>
          <cell r="C2333">
            <v>4.78</v>
          </cell>
          <cell r="D2333" t="str">
            <v>-</v>
          </cell>
          <cell r="F2333">
            <v>4</v>
          </cell>
          <cell r="H2333" t="str">
            <v>-</v>
          </cell>
          <cell r="I2333" t="str">
            <v>-</v>
          </cell>
          <cell r="K2333">
            <v>4</v>
          </cell>
          <cell r="L2333">
            <v>2.95</v>
          </cell>
          <cell r="M2333">
            <v>5.6568542494923806</v>
          </cell>
          <cell r="O2333" t="str">
            <v>-</v>
          </cell>
          <cell r="T2333" t="str">
            <v>-</v>
          </cell>
          <cell r="U2333">
            <v>0.375</v>
          </cell>
        </row>
        <row r="2334">
          <cell r="B2334" t="str">
            <v>HSS4X4X5</v>
          </cell>
          <cell r="C2334">
            <v>4.0999999999999996</v>
          </cell>
          <cell r="D2334" t="str">
            <v>-</v>
          </cell>
          <cell r="F2334">
            <v>4</v>
          </cell>
          <cell r="H2334" t="str">
            <v>-</v>
          </cell>
          <cell r="I2334" t="str">
            <v>-</v>
          </cell>
          <cell r="K2334">
            <v>4</v>
          </cell>
          <cell r="L2334">
            <v>3.13</v>
          </cell>
          <cell r="M2334">
            <v>5.6568542494923806</v>
          </cell>
          <cell r="O2334" t="str">
            <v>-</v>
          </cell>
          <cell r="T2334" t="str">
            <v>-</v>
          </cell>
          <cell r="U2334">
            <v>0.3125</v>
          </cell>
        </row>
        <row r="2335">
          <cell r="B2335" t="str">
            <v>HSS4X4X4</v>
          </cell>
          <cell r="C2335">
            <v>3.37</v>
          </cell>
          <cell r="D2335" t="str">
            <v>-</v>
          </cell>
          <cell r="F2335">
            <v>4</v>
          </cell>
          <cell r="H2335" t="str">
            <v>-</v>
          </cell>
          <cell r="I2335" t="str">
            <v>-</v>
          </cell>
          <cell r="K2335">
            <v>4</v>
          </cell>
          <cell r="L2335">
            <v>3.3</v>
          </cell>
          <cell r="M2335">
            <v>5.6568542494923806</v>
          </cell>
          <cell r="O2335" t="str">
            <v>-</v>
          </cell>
          <cell r="T2335" t="str">
            <v>-</v>
          </cell>
          <cell r="U2335">
            <v>0.25</v>
          </cell>
        </row>
        <row r="2336">
          <cell r="B2336" t="str">
            <v>HSS4X4X3</v>
          </cell>
          <cell r="C2336">
            <v>2.58</v>
          </cell>
          <cell r="D2336" t="str">
            <v>-</v>
          </cell>
          <cell r="F2336">
            <v>4</v>
          </cell>
          <cell r="H2336" t="str">
            <v>-</v>
          </cell>
          <cell r="I2336" t="str">
            <v>-</v>
          </cell>
          <cell r="K2336">
            <v>4</v>
          </cell>
          <cell r="L2336">
            <v>3.48</v>
          </cell>
          <cell r="M2336">
            <v>5.6568542494923806</v>
          </cell>
          <cell r="O2336" t="str">
            <v>-</v>
          </cell>
          <cell r="T2336" t="str">
            <v>-</v>
          </cell>
          <cell r="U2336">
            <v>0.1875</v>
          </cell>
        </row>
        <row r="2337">
          <cell r="B2337" t="str">
            <v>HSS4X4X2</v>
          </cell>
          <cell r="C2337">
            <v>1.77</v>
          </cell>
          <cell r="D2337" t="str">
            <v>-</v>
          </cell>
          <cell r="F2337">
            <v>4</v>
          </cell>
          <cell r="H2337" t="str">
            <v>-</v>
          </cell>
          <cell r="I2337" t="str">
            <v>-</v>
          </cell>
          <cell r="K2337">
            <v>4</v>
          </cell>
          <cell r="L2337">
            <v>3.65</v>
          </cell>
          <cell r="M2337">
            <v>5.6568542494923806</v>
          </cell>
          <cell r="O2337" t="str">
            <v>-</v>
          </cell>
          <cell r="T2337" t="str">
            <v>-</v>
          </cell>
          <cell r="U2337">
            <v>0.125</v>
          </cell>
        </row>
        <row r="2338">
          <cell r="B2338" t="str">
            <v>HSS4X3X6</v>
          </cell>
          <cell r="C2338">
            <v>4.09</v>
          </cell>
          <cell r="D2338" t="str">
            <v>-</v>
          </cell>
          <cell r="F2338">
            <v>4</v>
          </cell>
          <cell r="H2338" t="str">
            <v>-</v>
          </cell>
          <cell r="I2338" t="str">
            <v>-</v>
          </cell>
          <cell r="K2338">
            <v>3</v>
          </cell>
          <cell r="L2338">
            <v>1.95</v>
          </cell>
          <cell r="M2338">
            <v>5</v>
          </cell>
          <cell r="O2338" t="str">
            <v>-</v>
          </cell>
          <cell r="T2338" t="str">
            <v>-</v>
          </cell>
          <cell r="U2338">
            <v>0.375</v>
          </cell>
        </row>
        <row r="2339">
          <cell r="B2339" t="str">
            <v>HSS4X3X5</v>
          </cell>
          <cell r="C2339">
            <v>3.52</v>
          </cell>
          <cell r="D2339" t="str">
            <v>-</v>
          </cell>
          <cell r="F2339">
            <v>4</v>
          </cell>
          <cell r="H2339" t="str">
            <v>-</v>
          </cell>
          <cell r="I2339" t="str">
            <v>-</v>
          </cell>
          <cell r="K2339">
            <v>3</v>
          </cell>
          <cell r="L2339">
            <v>2.13</v>
          </cell>
          <cell r="M2339">
            <v>5</v>
          </cell>
          <cell r="O2339" t="str">
            <v>-</v>
          </cell>
          <cell r="T2339" t="str">
            <v>-</v>
          </cell>
          <cell r="U2339">
            <v>0.3125</v>
          </cell>
        </row>
        <row r="2340">
          <cell r="B2340" t="str">
            <v>HSS4X3X4</v>
          </cell>
          <cell r="C2340">
            <v>2.91</v>
          </cell>
          <cell r="D2340" t="str">
            <v>-</v>
          </cell>
          <cell r="F2340">
            <v>4</v>
          </cell>
          <cell r="H2340" t="str">
            <v>-</v>
          </cell>
          <cell r="I2340" t="str">
            <v>-</v>
          </cell>
          <cell r="K2340">
            <v>3</v>
          </cell>
          <cell r="L2340">
            <v>2.2999999999999998</v>
          </cell>
          <cell r="M2340">
            <v>5</v>
          </cell>
          <cell r="O2340" t="str">
            <v>-</v>
          </cell>
          <cell r="T2340" t="str">
            <v>-</v>
          </cell>
          <cell r="U2340">
            <v>0.25</v>
          </cell>
        </row>
        <row r="2341">
          <cell r="B2341" t="str">
            <v>HSS4X3X3</v>
          </cell>
          <cell r="C2341">
            <v>2.2400000000000002</v>
          </cell>
          <cell r="D2341" t="str">
            <v>-</v>
          </cell>
          <cell r="F2341">
            <v>4</v>
          </cell>
          <cell r="H2341" t="str">
            <v>-</v>
          </cell>
          <cell r="I2341" t="str">
            <v>-</v>
          </cell>
          <cell r="K2341">
            <v>3</v>
          </cell>
          <cell r="L2341">
            <v>2.48</v>
          </cell>
          <cell r="M2341">
            <v>5</v>
          </cell>
          <cell r="O2341" t="str">
            <v>-</v>
          </cell>
          <cell r="T2341" t="str">
            <v>-</v>
          </cell>
          <cell r="U2341">
            <v>0.1875</v>
          </cell>
        </row>
        <row r="2342">
          <cell r="B2342" t="str">
            <v>HSS4X3X2</v>
          </cell>
          <cell r="C2342">
            <v>1.54</v>
          </cell>
          <cell r="D2342" t="str">
            <v>-</v>
          </cell>
          <cell r="F2342">
            <v>4</v>
          </cell>
          <cell r="H2342" t="str">
            <v>-</v>
          </cell>
          <cell r="I2342" t="str">
            <v>-</v>
          </cell>
          <cell r="K2342">
            <v>3</v>
          </cell>
          <cell r="L2342">
            <v>2.65</v>
          </cell>
          <cell r="M2342">
            <v>5</v>
          </cell>
          <cell r="O2342" t="str">
            <v>-</v>
          </cell>
          <cell r="T2342" t="str">
            <v>-</v>
          </cell>
          <cell r="U2342">
            <v>0.125</v>
          </cell>
        </row>
        <row r="2343">
          <cell r="B2343" t="str">
            <v>HSS4X2.5X6</v>
          </cell>
          <cell r="C2343">
            <v>3.74</v>
          </cell>
          <cell r="D2343" t="str">
            <v>-</v>
          </cell>
          <cell r="F2343">
            <v>4</v>
          </cell>
          <cell r="H2343" t="str">
            <v>-</v>
          </cell>
          <cell r="I2343" t="str">
            <v>-</v>
          </cell>
          <cell r="K2343">
            <v>2.5</v>
          </cell>
          <cell r="L2343">
            <v>1.45</v>
          </cell>
          <cell r="M2343">
            <v>4.7169905660283016</v>
          </cell>
          <cell r="O2343" t="str">
            <v>-</v>
          </cell>
          <cell r="T2343" t="str">
            <v>-</v>
          </cell>
          <cell r="U2343">
            <v>0.375</v>
          </cell>
        </row>
        <row r="2344">
          <cell r="B2344" t="str">
            <v>HSS4X2.5X5</v>
          </cell>
          <cell r="C2344">
            <v>3.23</v>
          </cell>
          <cell r="D2344" t="str">
            <v>-</v>
          </cell>
          <cell r="F2344">
            <v>4</v>
          </cell>
          <cell r="H2344" t="str">
            <v>-</v>
          </cell>
          <cell r="I2344" t="str">
            <v>-</v>
          </cell>
          <cell r="K2344">
            <v>2.5</v>
          </cell>
          <cell r="L2344">
            <v>1.63</v>
          </cell>
          <cell r="M2344">
            <v>4.7169905660283016</v>
          </cell>
          <cell r="O2344" t="str">
            <v>-</v>
          </cell>
          <cell r="T2344" t="str">
            <v>-</v>
          </cell>
          <cell r="U2344">
            <v>0.3125</v>
          </cell>
        </row>
        <row r="2345">
          <cell r="B2345" t="str">
            <v>HSS4X2.5X4</v>
          </cell>
          <cell r="C2345">
            <v>2.67</v>
          </cell>
          <cell r="D2345" t="str">
            <v>-</v>
          </cell>
          <cell r="F2345">
            <v>4</v>
          </cell>
          <cell r="H2345" t="str">
            <v>-</v>
          </cell>
          <cell r="I2345" t="str">
            <v>-</v>
          </cell>
          <cell r="K2345">
            <v>2.5</v>
          </cell>
          <cell r="L2345">
            <v>1.8</v>
          </cell>
          <cell r="M2345">
            <v>4.7169905660283016</v>
          </cell>
          <cell r="O2345" t="str">
            <v>-</v>
          </cell>
          <cell r="T2345" t="str">
            <v>-</v>
          </cell>
          <cell r="U2345">
            <v>0.25</v>
          </cell>
        </row>
        <row r="2346">
          <cell r="B2346" t="str">
            <v>HSS4X2.5X3</v>
          </cell>
          <cell r="C2346">
            <v>2.06</v>
          </cell>
          <cell r="D2346" t="str">
            <v>-</v>
          </cell>
          <cell r="F2346">
            <v>4</v>
          </cell>
          <cell r="H2346" t="str">
            <v>-</v>
          </cell>
          <cell r="I2346" t="str">
            <v>-</v>
          </cell>
          <cell r="K2346">
            <v>2.5</v>
          </cell>
          <cell r="L2346">
            <v>1.98</v>
          </cell>
          <cell r="M2346">
            <v>4.7169905660283016</v>
          </cell>
          <cell r="O2346" t="str">
            <v>-</v>
          </cell>
          <cell r="T2346" t="str">
            <v>-</v>
          </cell>
          <cell r="U2346">
            <v>0.1875</v>
          </cell>
        </row>
        <row r="2347">
          <cell r="B2347" t="str">
            <v>HSS4X2.5X2</v>
          </cell>
          <cell r="C2347">
            <v>1.42</v>
          </cell>
          <cell r="D2347" t="str">
            <v>-</v>
          </cell>
          <cell r="F2347">
            <v>4</v>
          </cell>
          <cell r="H2347" t="str">
            <v>-</v>
          </cell>
          <cell r="I2347" t="str">
            <v>-</v>
          </cell>
          <cell r="K2347">
            <v>2.5</v>
          </cell>
          <cell r="L2347">
            <v>2.15</v>
          </cell>
          <cell r="M2347">
            <v>4.7169905660283016</v>
          </cell>
          <cell r="O2347" t="str">
            <v>-</v>
          </cell>
          <cell r="T2347" t="str">
            <v>-</v>
          </cell>
          <cell r="U2347">
            <v>0.125</v>
          </cell>
        </row>
        <row r="2348">
          <cell r="B2348" t="str">
            <v>HSS4X2X6</v>
          </cell>
          <cell r="C2348">
            <v>3.39</v>
          </cell>
          <cell r="D2348" t="str">
            <v>-</v>
          </cell>
          <cell r="F2348">
            <v>4</v>
          </cell>
          <cell r="H2348" t="str">
            <v>-</v>
          </cell>
          <cell r="I2348" t="str">
            <v>-</v>
          </cell>
          <cell r="K2348">
            <v>2</v>
          </cell>
          <cell r="L2348">
            <v>0.95299999999999996</v>
          </cell>
          <cell r="M2348">
            <v>4.4721359549995796</v>
          </cell>
          <cell r="O2348" t="str">
            <v>-</v>
          </cell>
          <cell r="T2348" t="str">
            <v>-</v>
          </cell>
          <cell r="U2348">
            <v>0.375</v>
          </cell>
        </row>
        <row r="2349">
          <cell r="B2349" t="str">
            <v>HSS4X2X5</v>
          </cell>
          <cell r="C2349">
            <v>2.94</v>
          </cell>
          <cell r="D2349" t="str">
            <v>-</v>
          </cell>
          <cell r="F2349">
            <v>4</v>
          </cell>
          <cell r="H2349" t="str">
            <v>-</v>
          </cell>
          <cell r="I2349" t="str">
            <v>-</v>
          </cell>
          <cell r="K2349">
            <v>2</v>
          </cell>
          <cell r="L2349">
            <v>1.1299999999999999</v>
          </cell>
          <cell r="M2349">
            <v>4.4721359549995796</v>
          </cell>
          <cell r="O2349" t="str">
            <v>-</v>
          </cell>
          <cell r="T2349" t="str">
            <v>-</v>
          </cell>
          <cell r="U2349">
            <v>0.3125</v>
          </cell>
        </row>
        <row r="2350">
          <cell r="B2350" t="str">
            <v>HSS4X2X4</v>
          </cell>
          <cell r="C2350">
            <v>2.44</v>
          </cell>
          <cell r="D2350" t="str">
            <v>-</v>
          </cell>
          <cell r="F2350">
            <v>4</v>
          </cell>
          <cell r="H2350" t="str">
            <v>-</v>
          </cell>
          <cell r="I2350" t="str">
            <v>-</v>
          </cell>
          <cell r="K2350">
            <v>2</v>
          </cell>
          <cell r="L2350">
            <v>1.3</v>
          </cell>
          <cell r="M2350">
            <v>4.4721359549995796</v>
          </cell>
          <cell r="O2350" t="str">
            <v>-</v>
          </cell>
          <cell r="T2350" t="str">
            <v>-</v>
          </cell>
          <cell r="U2350">
            <v>0.25</v>
          </cell>
        </row>
        <row r="2351">
          <cell r="B2351" t="str">
            <v>HSS4X2X3</v>
          </cell>
          <cell r="C2351">
            <v>1.89</v>
          </cell>
          <cell r="D2351" t="str">
            <v>-</v>
          </cell>
          <cell r="F2351">
            <v>4</v>
          </cell>
          <cell r="H2351" t="str">
            <v>-</v>
          </cell>
          <cell r="I2351" t="str">
            <v>-</v>
          </cell>
          <cell r="K2351">
            <v>2</v>
          </cell>
          <cell r="L2351">
            <v>1.48</v>
          </cell>
          <cell r="M2351">
            <v>4.4721359549995796</v>
          </cell>
          <cell r="O2351" t="str">
            <v>-</v>
          </cell>
          <cell r="T2351" t="str">
            <v>-</v>
          </cell>
          <cell r="U2351">
            <v>0.1875</v>
          </cell>
        </row>
        <row r="2352">
          <cell r="B2352" t="str">
            <v>HSS4X2X2</v>
          </cell>
          <cell r="C2352">
            <v>1.3</v>
          </cell>
          <cell r="D2352" t="str">
            <v>-</v>
          </cell>
          <cell r="F2352">
            <v>4</v>
          </cell>
          <cell r="H2352" t="str">
            <v>-</v>
          </cell>
          <cell r="I2352" t="str">
            <v>-</v>
          </cell>
          <cell r="K2352">
            <v>2</v>
          </cell>
          <cell r="L2352">
            <v>1.65</v>
          </cell>
          <cell r="M2352">
            <v>4.4721359549995796</v>
          </cell>
          <cell r="O2352" t="str">
            <v>-</v>
          </cell>
          <cell r="T2352" t="str">
            <v>-</v>
          </cell>
          <cell r="U2352">
            <v>0.125</v>
          </cell>
        </row>
        <row r="2353">
          <cell r="B2353" t="str">
            <v>HSS3.5X3.5X6</v>
          </cell>
          <cell r="C2353">
            <v>4.09</v>
          </cell>
          <cell r="D2353" t="str">
            <v>-</v>
          </cell>
          <cell r="F2353">
            <v>3.5</v>
          </cell>
          <cell r="H2353" t="str">
            <v>-</v>
          </cell>
          <cell r="I2353" t="str">
            <v>-</v>
          </cell>
          <cell r="K2353">
            <v>3.5</v>
          </cell>
          <cell r="L2353">
            <v>2.4500000000000002</v>
          </cell>
          <cell r="M2353">
            <v>4.9497474683058327</v>
          </cell>
          <cell r="O2353" t="str">
            <v>-</v>
          </cell>
          <cell r="T2353" t="str">
            <v>-</v>
          </cell>
          <cell r="U2353">
            <v>0.375</v>
          </cell>
        </row>
        <row r="2354">
          <cell r="B2354" t="str">
            <v>HSS3.5X3.5X5</v>
          </cell>
          <cell r="C2354">
            <v>3.52</v>
          </cell>
          <cell r="D2354" t="str">
            <v>-</v>
          </cell>
          <cell r="F2354">
            <v>3.5</v>
          </cell>
          <cell r="H2354" t="str">
            <v>-</v>
          </cell>
          <cell r="I2354" t="str">
            <v>-</v>
          </cell>
          <cell r="K2354">
            <v>3.5</v>
          </cell>
          <cell r="L2354">
            <v>2.63</v>
          </cell>
          <cell r="M2354">
            <v>4.9497474683058327</v>
          </cell>
          <cell r="O2354" t="str">
            <v>-</v>
          </cell>
          <cell r="T2354" t="str">
            <v>-</v>
          </cell>
          <cell r="U2354">
            <v>0.3125</v>
          </cell>
        </row>
        <row r="2355">
          <cell r="B2355" t="str">
            <v>HSS3.5X3.5X4</v>
          </cell>
          <cell r="C2355">
            <v>2.91</v>
          </cell>
          <cell r="D2355" t="str">
            <v>-</v>
          </cell>
          <cell r="F2355">
            <v>3.5</v>
          </cell>
          <cell r="H2355" t="str">
            <v>-</v>
          </cell>
          <cell r="I2355" t="str">
            <v>-</v>
          </cell>
          <cell r="K2355">
            <v>3.5</v>
          </cell>
          <cell r="L2355">
            <v>2.8</v>
          </cell>
          <cell r="M2355">
            <v>4.9497474683058327</v>
          </cell>
          <cell r="O2355" t="str">
            <v>-</v>
          </cell>
          <cell r="T2355" t="str">
            <v>-</v>
          </cell>
          <cell r="U2355">
            <v>0.25</v>
          </cell>
        </row>
        <row r="2356">
          <cell r="B2356" t="str">
            <v>HSS3.5X3.5X3</v>
          </cell>
          <cell r="C2356">
            <v>2.2400000000000002</v>
          </cell>
          <cell r="D2356" t="str">
            <v>-</v>
          </cell>
          <cell r="F2356">
            <v>3.5</v>
          </cell>
          <cell r="H2356" t="str">
            <v>-</v>
          </cell>
          <cell r="I2356" t="str">
            <v>-</v>
          </cell>
          <cell r="K2356">
            <v>3.5</v>
          </cell>
          <cell r="L2356">
            <v>2.98</v>
          </cell>
          <cell r="M2356">
            <v>4.9497474683058327</v>
          </cell>
          <cell r="O2356" t="str">
            <v>-</v>
          </cell>
          <cell r="T2356" t="str">
            <v>-</v>
          </cell>
          <cell r="U2356">
            <v>0.1875</v>
          </cell>
        </row>
        <row r="2357">
          <cell r="B2357" t="str">
            <v>HSS3.5X3.5X2</v>
          </cell>
          <cell r="C2357">
            <v>1.54</v>
          </cell>
          <cell r="D2357" t="str">
            <v>-</v>
          </cell>
          <cell r="F2357">
            <v>3.5</v>
          </cell>
          <cell r="H2357" t="str">
            <v>-</v>
          </cell>
          <cell r="I2357" t="str">
            <v>-</v>
          </cell>
          <cell r="K2357">
            <v>3.5</v>
          </cell>
          <cell r="L2357">
            <v>3.15</v>
          </cell>
          <cell r="M2357">
            <v>4.9497474683058327</v>
          </cell>
          <cell r="O2357" t="str">
            <v>-</v>
          </cell>
          <cell r="T2357" t="str">
            <v>-</v>
          </cell>
          <cell r="U2357">
            <v>0.125</v>
          </cell>
        </row>
        <row r="2358">
          <cell r="B2358" t="str">
            <v>HSS3.5X2.5X6</v>
          </cell>
          <cell r="C2358">
            <v>3.39</v>
          </cell>
          <cell r="D2358" t="str">
            <v>-</v>
          </cell>
          <cell r="F2358">
            <v>3.5</v>
          </cell>
          <cell r="H2358" t="str">
            <v>-</v>
          </cell>
          <cell r="I2358" t="str">
            <v>-</v>
          </cell>
          <cell r="K2358">
            <v>2.5</v>
          </cell>
          <cell r="L2358">
            <v>1.45</v>
          </cell>
          <cell r="M2358">
            <v>4.3011626335213133</v>
          </cell>
          <cell r="O2358" t="str">
            <v>-</v>
          </cell>
          <cell r="T2358" t="str">
            <v>-</v>
          </cell>
          <cell r="U2358">
            <v>0.375</v>
          </cell>
        </row>
        <row r="2359">
          <cell r="B2359" t="str">
            <v>HSS3.5X2.5X5</v>
          </cell>
          <cell r="C2359">
            <v>2.94</v>
          </cell>
          <cell r="D2359" t="str">
            <v>-</v>
          </cell>
          <cell r="F2359">
            <v>3.5</v>
          </cell>
          <cell r="H2359" t="str">
            <v>-</v>
          </cell>
          <cell r="I2359" t="str">
            <v>-</v>
          </cell>
          <cell r="K2359">
            <v>2.5</v>
          </cell>
          <cell r="L2359">
            <v>1.63</v>
          </cell>
          <cell r="M2359">
            <v>4.3011626335213133</v>
          </cell>
          <cell r="O2359" t="str">
            <v>-</v>
          </cell>
          <cell r="T2359" t="str">
            <v>-</v>
          </cell>
          <cell r="U2359">
            <v>0.3125</v>
          </cell>
        </row>
        <row r="2360">
          <cell r="B2360" t="str">
            <v>HSS3.5X2.5X4</v>
          </cell>
          <cell r="C2360">
            <v>2.44</v>
          </cell>
          <cell r="D2360" t="str">
            <v>-</v>
          </cell>
          <cell r="F2360">
            <v>3.5</v>
          </cell>
          <cell r="H2360" t="str">
            <v>-</v>
          </cell>
          <cell r="I2360" t="str">
            <v>-</v>
          </cell>
          <cell r="K2360">
            <v>2.5</v>
          </cell>
          <cell r="L2360">
            <v>1.8</v>
          </cell>
          <cell r="M2360">
            <v>4.3011626335213133</v>
          </cell>
          <cell r="O2360" t="str">
            <v>-</v>
          </cell>
          <cell r="T2360" t="str">
            <v>-</v>
          </cell>
          <cell r="U2360">
            <v>0.25</v>
          </cell>
        </row>
        <row r="2361">
          <cell r="B2361" t="str">
            <v>HSS3.5X2.5X3</v>
          </cell>
          <cell r="C2361">
            <v>1.89</v>
          </cell>
          <cell r="D2361" t="str">
            <v>-</v>
          </cell>
          <cell r="F2361">
            <v>3.5</v>
          </cell>
          <cell r="H2361" t="str">
            <v>-</v>
          </cell>
          <cell r="I2361" t="str">
            <v>-</v>
          </cell>
          <cell r="K2361">
            <v>2.5</v>
          </cell>
          <cell r="L2361">
            <v>1.98</v>
          </cell>
          <cell r="M2361">
            <v>4.3011626335213133</v>
          </cell>
          <cell r="O2361" t="str">
            <v>-</v>
          </cell>
          <cell r="T2361" t="str">
            <v>-</v>
          </cell>
          <cell r="U2361">
            <v>0.1875</v>
          </cell>
        </row>
        <row r="2362">
          <cell r="B2362" t="str">
            <v>HSS3.5X2.5X2</v>
          </cell>
          <cell r="C2362">
            <v>1.3</v>
          </cell>
          <cell r="D2362" t="str">
            <v>-</v>
          </cell>
          <cell r="F2362">
            <v>3.5</v>
          </cell>
          <cell r="H2362" t="str">
            <v>-</v>
          </cell>
          <cell r="I2362" t="str">
            <v>-</v>
          </cell>
          <cell r="K2362">
            <v>2.5</v>
          </cell>
          <cell r="L2362">
            <v>2.15</v>
          </cell>
          <cell r="M2362">
            <v>4.3011626335213133</v>
          </cell>
          <cell r="O2362" t="str">
            <v>-</v>
          </cell>
          <cell r="T2362" t="str">
            <v>-</v>
          </cell>
          <cell r="U2362">
            <v>0.125</v>
          </cell>
        </row>
        <row r="2363">
          <cell r="B2363" t="str">
            <v>HSS3.5X2X4</v>
          </cell>
          <cell r="C2363">
            <v>2.21</v>
          </cell>
          <cell r="D2363" t="str">
            <v>-</v>
          </cell>
          <cell r="F2363">
            <v>3.5</v>
          </cell>
          <cell r="H2363" t="str">
            <v>-</v>
          </cell>
          <cell r="I2363" t="str">
            <v>-</v>
          </cell>
          <cell r="K2363">
            <v>2</v>
          </cell>
          <cell r="L2363">
            <v>1.3</v>
          </cell>
          <cell r="M2363">
            <v>4.0311288741492746</v>
          </cell>
          <cell r="O2363" t="str">
            <v>-</v>
          </cell>
          <cell r="T2363" t="str">
            <v>-</v>
          </cell>
          <cell r="U2363">
            <v>0.25</v>
          </cell>
        </row>
        <row r="2364">
          <cell r="B2364" t="str">
            <v>HSS3.5X2X3</v>
          </cell>
          <cell r="C2364">
            <v>1.71</v>
          </cell>
          <cell r="D2364" t="str">
            <v>-</v>
          </cell>
          <cell r="F2364">
            <v>3.5</v>
          </cell>
          <cell r="H2364" t="str">
            <v>-</v>
          </cell>
          <cell r="I2364" t="str">
            <v>-</v>
          </cell>
          <cell r="K2364">
            <v>2</v>
          </cell>
          <cell r="L2364">
            <v>1.48</v>
          </cell>
          <cell r="M2364">
            <v>4.0311288741492746</v>
          </cell>
          <cell r="O2364" t="str">
            <v>-</v>
          </cell>
          <cell r="T2364" t="str">
            <v>-</v>
          </cell>
          <cell r="U2364">
            <v>0.1875</v>
          </cell>
        </row>
        <row r="2365">
          <cell r="B2365" t="str">
            <v>HSS3.5X2X2</v>
          </cell>
          <cell r="C2365">
            <v>1.19</v>
          </cell>
          <cell r="D2365" t="str">
            <v>-</v>
          </cell>
          <cell r="F2365">
            <v>3.5</v>
          </cell>
          <cell r="H2365" t="str">
            <v>-</v>
          </cell>
          <cell r="I2365" t="str">
            <v>-</v>
          </cell>
          <cell r="K2365">
            <v>2</v>
          </cell>
          <cell r="L2365">
            <v>1.65</v>
          </cell>
          <cell r="M2365">
            <v>4.0311288741492746</v>
          </cell>
          <cell r="O2365" t="str">
            <v>-</v>
          </cell>
          <cell r="T2365" t="str">
            <v>-</v>
          </cell>
          <cell r="U2365">
            <v>0.125</v>
          </cell>
        </row>
        <row r="2366">
          <cell r="B2366" t="str">
            <v>HSS3.5X1.5X4</v>
          </cell>
          <cell r="C2366">
            <v>1.97</v>
          </cell>
          <cell r="D2366" t="str">
            <v>-</v>
          </cell>
          <cell r="F2366">
            <v>3.5</v>
          </cell>
          <cell r="H2366" t="str">
            <v>-</v>
          </cell>
          <cell r="I2366" t="str">
            <v>-</v>
          </cell>
          <cell r="K2366">
            <v>1.5</v>
          </cell>
          <cell r="L2366">
            <v>0.80100000000000005</v>
          </cell>
          <cell r="M2366">
            <v>3.8078865529319543</v>
          </cell>
          <cell r="O2366" t="str">
            <v>-</v>
          </cell>
          <cell r="T2366" t="str">
            <v>-</v>
          </cell>
          <cell r="U2366">
            <v>0.25</v>
          </cell>
        </row>
        <row r="2367">
          <cell r="B2367" t="str">
            <v>HSS3.5X1.5X3</v>
          </cell>
          <cell r="C2367">
            <v>1.54</v>
          </cell>
          <cell r="D2367" t="str">
            <v>-</v>
          </cell>
          <cell r="F2367">
            <v>3.5</v>
          </cell>
          <cell r="H2367" t="str">
            <v>-</v>
          </cell>
          <cell r="I2367" t="str">
            <v>-</v>
          </cell>
          <cell r="K2367">
            <v>1.5</v>
          </cell>
          <cell r="L2367">
            <v>0.97799999999999998</v>
          </cell>
          <cell r="M2367">
            <v>3.8078865529319543</v>
          </cell>
          <cell r="O2367" t="str">
            <v>-</v>
          </cell>
          <cell r="T2367" t="str">
            <v>-</v>
          </cell>
          <cell r="U2367">
            <v>0.1875</v>
          </cell>
        </row>
        <row r="2368">
          <cell r="B2368" t="str">
            <v>HSS3.5X1.5X2</v>
          </cell>
          <cell r="C2368">
            <v>1.07</v>
          </cell>
          <cell r="D2368" t="str">
            <v>-</v>
          </cell>
          <cell r="F2368">
            <v>3.5</v>
          </cell>
          <cell r="H2368" t="str">
            <v>-</v>
          </cell>
          <cell r="I2368" t="str">
            <v>-</v>
          </cell>
          <cell r="K2368">
            <v>1.5</v>
          </cell>
          <cell r="L2368">
            <v>1.1499999999999999</v>
          </cell>
          <cell r="M2368">
            <v>3.8078865529319543</v>
          </cell>
          <cell r="O2368" t="str">
            <v>-</v>
          </cell>
          <cell r="T2368" t="str">
            <v>-</v>
          </cell>
          <cell r="U2368">
            <v>0.125</v>
          </cell>
        </row>
        <row r="2369">
          <cell r="B2369" t="str">
            <v>HSS3X3X6</v>
          </cell>
          <cell r="C2369">
            <v>3.39</v>
          </cell>
          <cell r="D2369" t="str">
            <v>-</v>
          </cell>
          <cell r="F2369">
            <v>3</v>
          </cell>
          <cell r="H2369" t="str">
            <v>-</v>
          </cell>
          <cell r="I2369" t="str">
            <v>-</v>
          </cell>
          <cell r="K2369">
            <v>3</v>
          </cell>
          <cell r="L2369">
            <v>1.95</v>
          </cell>
          <cell r="M2369">
            <v>4.2426406871192848</v>
          </cell>
          <cell r="O2369" t="str">
            <v>-</v>
          </cell>
          <cell r="T2369" t="str">
            <v>-</v>
          </cell>
          <cell r="U2369">
            <v>0.375</v>
          </cell>
        </row>
        <row r="2370">
          <cell r="B2370" t="str">
            <v>HSS3X3X5</v>
          </cell>
          <cell r="C2370">
            <v>2.94</v>
          </cell>
          <cell r="D2370" t="str">
            <v>-</v>
          </cell>
          <cell r="F2370">
            <v>3</v>
          </cell>
          <cell r="H2370" t="str">
            <v>-</v>
          </cell>
          <cell r="I2370" t="str">
            <v>-</v>
          </cell>
          <cell r="K2370">
            <v>3</v>
          </cell>
          <cell r="L2370">
            <v>2.13</v>
          </cell>
          <cell r="M2370">
            <v>4.2426406871192848</v>
          </cell>
          <cell r="O2370" t="str">
            <v>-</v>
          </cell>
          <cell r="T2370" t="str">
            <v>-</v>
          </cell>
          <cell r="U2370">
            <v>0.3125</v>
          </cell>
        </row>
        <row r="2371">
          <cell r="B2371" t="str">
            <v>HSS3X3X4</v>
          </cell>
          <cell r="C2371">
            <v>2.44</v>
          </cell>
          <cell r="D2371" t="str">
            <v>-</v>
          </cell>
          <cell r="F2371">
            <v>3</v>
          </cell>
          <cell r="H2371" t="str">
            <v>-</v>
          </cell>
          <cell r="I2371" t="str">
            <v>-</v>
          </cell>
          <cell r="K2371">
            <v>3</v>
          </cell>
          <cell r="L2371">
            <v>2.2999999999999998</v>
          </cell>
          <cell r="M2371">
            <v>4.2426406871192848</v>
          </cell>
          <cell r="O2371" t="str">
            <v>-</v>
          </cell>
          <cell r="T2371" t="str">
            <v>-</v>
          </cell>
          <cell r="U2371">
            <v>0.25</v>
          </cell>
        </row>
        <row r="2372">
          <cell r="B2372" t="str">
            <v>HSS3X3X3</v>
          </cell>
          <cell r="C2372">
            <v>1.89</v>
          </cell>
          <cell r="D2372" t="str">
            <v>-</v>
          </cell>
          <cell r="F2372">
            <v>3</v>
          </cell>
          <cell r="H2372" t="str">
            <v>-</v>
          </cell>
          <cell r="I2372" t="str">
            <v>-</v>
          </cell>
          <cell r="K2372">
            <v>3</v>
          </cell>
          <cell r="L2372">
            <v>2.48</v>
          </cell>
          <cell r="M2372">
            <v>4.2426406871192848</v>
          </cell>
          <cell r="O2372" t="str">
            <v>-</v>
          </cell>
          <cell r="T2372" t="str">
            <v>-</v>
          </cell>
          <cell r="U2372">
            <v>0.1875</v>
          </cell>
        </row>
        <row r="2373">
          <cell r="B2373" t="str">
            <v>HSS3X3X2</v>
          </cell>
          <cell r="C2373">
            <v>1.3</v>
          </cell>
          <cell r="D2373" t="str">
            <v>-</v>
          </cell>
          <cell r="F2373">
            <v>3</v>
          </cell>
          <cell r="H2373" t="str">
            <v>-</v>
          </cell>
          <cell r="I2373" t="str">
            <v>-</v>
          </cell>
          <cell r="K2373">
            <v>3</v>
          </cell>
          <cell r="L2373">
            <v>2.65</v>
          </cell>
          <cell r="M2373">
            <v>4.2426406871192848</v>
          </cell>
          <cell r="O2373" t="str">
            <v>-</v>
          </cell>
          <cell r="T2373" t="str">
            <v>-</v>
          </cell>
          <cell r="U2373">
            <v>0.125</v>
          </cell>
        </row>
        <row r="2374">
          <cell r="B2374" t="str">
            <v>HSS3X2.5X5</v>
          </cell>
          <cell r="C2374">
            <v>2.64</v>
          </cell>
          <cell r="D2374" t="str">
            <v>-</v>
          </cell>
          <cell r="F2374">
            <v>3</v>
          </cell>
          <cell r="H2374" t="str">
            <v>-</v>
          </cell>
          <cell r="I2374" t="str">
            <v>-</v>
          </cell>
          <cell r="K2374">
            <v>2.5</v>
          </cell>
          <cell r="L2374">
            <v>1.63</v>
          </cell>
          <cell r="M2374">
            <v>3.905124837953327</v>
          </cell>
          <cell r="O2374" t="str">
            <v>-</v>
          </cell>
          <cell r="T2374" t="str">
            <v>-</v>
          </cell>
          <cell r="U2374">
            <v>0.3125</v>
          </cell>
        </row>
        <row r="2375">
          <cell r="B2375" t="str">
            <v>HSS3X2.5X4</v>
          </cell>
          <cell r="C2375">
            <v>2.21</v>
          </cell>
          <cell r="D2375" t="str">
            <v>-</v>
          </cell>
          <cell r="F2375">
            <v>3</v>
          </cell>
          <cell r="H2375" t="str">
            <v>-</v>
          </cell>
          <cell r="I2375" t="str">
            <v>-</v>
          </cell>
          <cell r="K2375">
            <v>2.5</v>
          </cell>
          <cell r="L2375">
            <v>1.8</v>
          </cell>
          <cell r="M2375">
            <v>3.905124837953327</v>
          </cell>
          <cell r="O2375" t="str">
            <v>-</v>
          </cell>
          <cell r="T2375" t="str">
            <v>-</v>
          </cell>
          <cell r="U2375">
            <v>0.25</v>
          </cell>
        </row>
        <row r="2376">
          <cell r="B2376" t="str">
            <v>HSS3X2.5X3</v>
          </cell>
          <cell r="C2376">
            <v>1.71</v>
          </cell>
          <cell r="D2376" t="str">
            <v>-</v>
          </cell>
          <cell r="F2376">
            <v>3</v>
          </cell>
          <cell r="H2376" t="str">
            <v>-</v>
          </cell>
          <cell r="I2376" t="str">
            <v>-</v>
          </cell>
          <cell r="K2376">
            <v>2.5</v>
          </cell>
          <cell r="L2376">
            <v>1.98</v>
          </cell>
          <cell r="M2376">
            <v>3.905124837953327</v>
          </cell>
          <cell r="O2376" t="str">
            <v>-</v>
          </cell>
          <cell r="T2376" t="str">
            <v>-</v>
          </cell>
          <cell r="U2376">
            <v>0.1875</v>
          </cell>
        </row>
        <row r="2377">
          <cell r="B2377" t="str">
            <v>HSS3X2.5X2</v>
          </cell>
          <cell r="C2377">
            <v>1.19</v>
          </cell>
          <cell r="D2377" t="str">
            <v>-</v>
          </cell>
          <cell r="F2377">
            <v>3</v>
          </cell>
          <cell r="H2377" t="str">
            <v>-</v>
          </cell>
          <cell r="I2377" t="str">
            <v>-</v>
          </cell>
          <cell r="K2377">
            <v>2.5</v>
          </cell>
          <cell r="L2377">
            <v>2.15</v>
          </cell>
          <cell r="M2377">
            <v>3.905124837953327</v>
          </cell>
          <cell r="O2377" t="str">
            <v>-</v>
          </cell>
          <cell r="T2377" t="str">
            <v>-</v>
          </cell>
          <cell r="U2377">
            <v>0.125</v>
          </cell>
        </row>
        <row r="2378">
          <cell r="B2378" t="str">
            <v>HSS3X2X5</v>
          </cell>
          <cell r="C2378">
            <v>2.35</v>
          </cell>
          <cell r="D2378" t="str">
            <v>-</v>
          </cell>
          <cell r="F2378">
            <v>3</v>
          </cell>
          <cell r="H2378" t="str">
            <v>-</v>
          </cell>
          <cell r="I2378" t="str">
            <v>-</v>
          </cell>
          <cell r="K2378">
            <v>2</v>
          </cell>
          <cell r="L2378">
            <v>1.1299999999999999</v>
          </cell>
          <cell r="M2378">
            <v>3.6055512754639891</v>
          </cell>
          <cell r="O2378" t="str">
            <v>-</v>
          </cell>
          <cell r="T2378" t="str">
            <v>-</v>
          </cell>
          <cell r="U2378">
            <v>0.3125</v>
          </cell>
        </row>
        <row r="2379">
          <cell r="B2379" t="str">
            <v>HSS3X2X4</v>
          </cell>
          <cell r="C2379">
            <v>1.97</v>
          </cell>
          <cell r="D2379" t="str">
            <v>-</v>
          </cell>
          <cell r="F2379">
            <v>3</v>
          </cell>
          <cell r="H2379" t="str">
            <v>-</v>
          </cell>
          <cell r="I2379" t="str">
            <v>-</v>
          </cell>
          <cell r="K2379">
            <v>2</v>
          </cell>
          <cell r="L2379">
            <v>1.3</v>
          </cell>
          <cell r="M2379">
            <v>3.6055512754639891</v>
          </cell>
          <cell r="O2379" t="str">
            <v>-</v>
          </cell>
          <cell r="T2379" t="str">
            <v>-</v>
          </cell>
          <cell r="U2379">
            <v>0.25</v>
          </cell>
        </row>
        <row r="2380">
          <cell r="B2380" t="str">
            <v>HSS3X2X3</v>
          </cell>
          <cell r="C2380">
            <v>1.54</v>
          </cell>
          <cell r="D2380" t="str">
            <v>-</v>
          </cell>
          <cell r="F2380">
            <v>3</v>
          </cell>
          <cell r="H2380" t="str">
            <v>-</v>
          </cell>
          <cell r="I2380" t="str">
            <v>-</v>
          </cell>
          <cell r="K2380">
            <v>2</v>
          </cell>
          <cell r="L2380">
            <v>1.48</v>
          </cell>
          <cell r="M2380">
            <v>3.6055512754639891</v>
          </cell>
          <cell r="O2380" t="str">
            <v>-</v>
          </cell>
          <cell r="T2380" t="str">
            <v>-</v>
          </cell>
          <cell r="U2380">
            <v>0.1875</v>
          </cell>
        </row>
        <row r="2381">
          <cell r="B2381" t="str">
            <v>HSS3X2X2</v>
          </cell>
          <cell r="C2381">
            <v>1.07</v>
          </cell>
          <cell r="D2381" t="str">
            <v>-</v>
          </cell>
          <cell r="F2381">
            <v>3</v>
          </cell>
          <cell r="H2381" t="str">
            <v>-</v>
          </cell>
          <cell r="I2381" t="str">
            <v>-</v>
          </cell>
          <cell r="K2381">
            <v>2</v>
          </cell>
          <cell r="L2381">
            <v>1.65</v>
          </cell>
          <cell r="M2381">
            <v>3.6055512754639891</v>
          </cell>
          <cell r="O2381" t="str">
            <v>-</v>
          </cell>
          <cell r="T2381" t="str">
            <v>-</v>
          </cell>
          <cell r="U2381">
            <v>0.125</v>
          </cell>
        </row>
        <row r="2382">
          <cell r="B2382" t="str">
            <v>HSS3X1.5X4</v>
          </cell>
          <cell r="C2382">
            <v>1.74</v>
          </cell>
          <cell r="D2382" t="str">
            <v>-</v>
          </cell>
          <cell r="F2382">
            <v>3</v>
          </cell>
          <cell r="H2382" t="str">
            <v>-</v>
          </cell>
          <cell r="I2382" t="str">
            <v>-</v>
          </cell>
          <cell r="K2382">
            <v>1.5</v>
          </cell>
          <cell r="L2382">
            <v>0.80100000000000005</v>
          </cell>
          <cell r="M2382">
            <v>3.3541019662496847</v>
          </cell>
          <cell r="O2382" t="str">
            <v>-</v>
          </cell>
          <cell r="T2382" t="str">
            <v>-</v>
          </cell>
          <cell r="U2382">
            <v>0.25</v>
          </cell>
        </row>
        <row r="2383">
          <cell r="B2383" t="str">
            <v>HSS3X1.5X3</v>
          </cell>
          <cell r="C2383">
            <v>1.37</v>
          </cell>
          <cell r="D2383" t="str">
            <v>-</v>
          </cell>
          <cell r="F2383">
            <v>3</v>
          </cell>
          <cell r="H2383" t="str">
            <v>-</v>
          </cell>
          <cell r="I2383" t="str">
            <v>-</v>
          </cell>
          <cell r="K2383">
            <v>1.5</v>
          </cell>
          <cell r="L2383">
            <v>0.97799999999999998</v>
          </cell>
          <cell r="M2383">
            <v>3.3541019662496847</v>
          </cell>
          <cell r="O2383" t="str">
            <v>-</v>
          </cell>
          <cell r="T2383" t="str">
            <v>-</v>
          </cell>
          <cell r="U2383">
            <v>0.1875</v>
          </cell>
        </row>
        <row r="2384">
          <cell r="B2384" t="str">
            <v>HSS3X1.5X2</v>
          </cell>
          <cell r="C2384">
            <v>0.95599999999999996</v>
          </cell>
          <cell r="D2384" t="str">
            <v>-</v>
          </cell>
          <cell r="F2384">
            <v>3</v>
          </cell>
          <cell r="H2384" t="str">
            <v>-</v>
          </cell>
          <cell r="I2384" t="str">
            <v>-</v>
          </cell>
          <cell r="K2384">
            <v>1.5</v>
          </cell>
          <cell r="L2384">
            <v>1.1499999999999999</v>
          </cell>
          <cell r="M2384">
            <v>3.3541019662496847</v>
          </cell>
          <cell r="O2384" t="str">
            <v>-</v>
          </cell>
          <cell r="T2384" t="str">
            <v>-</v>
          </cell>
          <cell r="U2384">
            <v>0.125</v>
          </cell>
        </row>
        <row r="2385">
          <cell r="B2385" t="str">
            <v>HSS3X1X3</v>
          </cell>
          <cell r="C2385">
            <v>1.19</v>
          </cell>
          <cell r="D2385" t="str">
            <v>-</v>
          </cell>
          <cell r="F2385">
            <v>3</v>
          </cell>
          <cell r="H2385" t="str">
            <v>-</v>
          </cell>
          <cell r="I2385" t="str">
            <v>-</v>
          </cell>
          <cell r="K2385">
            <v>1</v>
          </cell>
          <cell r="L2385">
            <v>0.47799999999999998</v>
          </cell>
          <cell r="M2385">
            <v>3.1622776601683795</v>
          </cell>
          <cell r="O2385" t="str">
            <v>-</v>
          </cell>
          <cell r="T2385" t="str">
            <v>-</v>
          </cell>
          <cell r="U2385">
            <v>0.1875</v>
          </cell>
        </row>
        <row r="2386">
          <cell r="B2386" t="str">
            <v>HSS3X1X2</v>
          </cell>
          <cell r="C2386">
            <v>0.84</v>
          </cell>
          <cell r="D2386" t="str">
            <v>-</v>
          </cell>
          <cell r="F2386">
            <v>3</v>
          </cell>
          <cell r="H2386" t="str">
            <v>-</v>
          </cell>
          <cell r="I2386" t="str">
            <v>-</v>
          </cell>
          <cell r="K2386">
            <v>1</v>
          </cell>
          <cell r="L2386">
            <v>0.65200000000000002</v>
          </cell>
          <cell r="M2386">
            <v>3.1622776601683795</v>
          </cell>
          <cell r="O2386" t="str">
            <v>-</v>
          </cell>
          <cell r="T2386" t="str">
            <v>-</v>
          </cell>
          <cell r="U2386">
            <v>0.125</v>
          </cell>
        </row>
        <row r="2387">
          <cell r="B2387" t="str">
            <v>HSS2.5X2.5X5</v>
          </cell>
          <cell r="C2387">
            <v>2.35</v>
          </cell>
          <cell r="D2387" t="str">
            <v>-</v>
          </cell>
          <cell r="F2387">
            <v>2.5</v>
          </cell>
          <cell r="H2387" t="str">
            <v>-</v>
          </cell>
          <cell r="I2387" t="str">
            <v>-</v>
          </cell>
          <cell r="K2387">
            <v>2.5</v>
          </cell>
          <cell r="L2387">
            <v>1.63</v>
          </cell>
          <cell r="M2387">
            <v>3.5355339059327378</v>
          </cell>
          <cell r="O2387" t="str">
            <v>-</v>
          </cell>
          <cell r="T2387" t="str">
            <v>-</v>
          </cell>
          <cell r="U2387">
            <v>0.3125</v>
          </cell>
        </row>
        <row r="2388">
          <cell r="B2388" t="str">
            <v>HSS2.5X2.5X4</v>
          </cell>
          <cell r="C2388">
            <v>1.97</v>
          </cell>
          <cell r="D2388" t="str">
            <v>-</v>
          </cell>
          <cell r="F2388">
            <v>2.5</v>
          </cell>
          <cell r="H2388" t="str">
            <v>-</v>
          </cell>
          <cell r="I2388" t="str">
            <v>-</v>
          </cell>
          <cell r="K2388">
            <v>2.5</v>
          </cell>
          <cell r="L2388">
            <v>1.8</v>
          </cell>
          <cell r="M2388">
            <v>3.5355339059327378</v>
          </cell>
          <cell r="O2388" t="str">
            <v>-</v>
          </cell>
          <cell r="T2388" t="str">
            <v>-</v>
          </cell>
          <cell r="U2388">
            <v>0.25</v>
          </cell>
        </row>
        <row r="2389">
          <cell r="B2389" t="str">
            <v>HSS2.5X2.5X3</v>
          </cell>
          <cell r="C2389">
            <v>1.54</v>
          </cell>
          <cell r="D2389" t="str">
            <v>-</v>
          </cell>
          <cell r="F2389">
            <v>2.5</v>
          </cell>
          <cell r="H2389" t="str">
            <v>-</v>
          </cell>
          <cell r="I2389" t="str">
            <v>-</v>
          </cell>
          <cell r="K2389">
            <v>2.5</v>
          </cell>
          <cell r="L2389">
            <v>1.98</v>
          </cell>
          <cell r="M2389">
            <v>3.5355339059327378</v>
          </cell>
          <cell r="O2389" t="str">
            <v>-</v>
          </cell>
          <cell r="T2389" t="str">
            <v>-</v>
          </cell>
          <cell r="U2389">
            <v>0.1875</v>
          </cell>
        </row>
        <row r="2390">
          <cell r="B2390" t="str">
            <v>HSS2.5X2.5X2</v>
          </cell>
          <cell r="C2390">
            <v>1.07</v>
          </cell>
          <cell r="D2390" t="str">
            <v>-</v>
          </cell>
          <cell r="F2390">
            <v>2.5</v>
          </cell>
          <cell r="H2390" t="str">
            <v>-</v>
          </cell>
          <cell r="I2390" t="str">
            <v>-</v>
          </cell>
          <cell r="K2390">
            <v>2.5</v>
          </cell>
          <cell r="L2390">
            <v>2.15</v>
          </cell>
          <cell r="M2390">
            <v>3.5355339059327378</v>
          </cell>
          <cell r="O2390" t="str">
            <v>-</v>
          </cell>
          <cell r="T2390" t="str">
            <v>-</v>
          </cell>
          <cell r="U2390">
            <v>0.125</v>
          </cell>
        </row>
        <row r="2391">
          <cell r="B2391" t="str">
            <v>HSS2.5X2X4</v>
          </cell>
          <cell r="C2391">
            <v>1.74</v>
          </cell>
          <cell r="D2391" t="str">
            <v>-</v>
          </cell>
          <cell r="F2391">
            <v>2.5</v>
          </cell>
          <cell r="H2391" t="str">
            <v>-</v>
          </cell>
          <cell r="I2391" t="str">
            <v>-</v>
          </cell>
          <cell r="K2391">
            <v>2</v>
          </cell>
          <cell r="L2391">
            <v>1.3</v>
          </cell>
          <cell r="M2391">
            <v>3.2015621187164243</v>
          </cell>
          <cell r="O2391" t="str">
            <v>-</v>
          </cell>
          <cell r="T2391" t="str">
            <v>-</v>
          </cell>
          <cell r="U2391">
            <v>0.25</v>
          </cell>
        </row>
        <row r="2392">
          <cell r="B2392" t="str">
            <v>HSS2.5X2X3</v>
          </cell>
          <cell r="C2392">
            <v>1.37</v>
          </cell>
          <cell r="D2392" t="str">
            <v>-</v>
          </cell>
          <cell r="F2392">
            <v>2.5</v>
          </cell>
          <cell r="H2392" t="str">
            <v>-</v>
          </cell>
          <cell r="I2392" t="str">
            <v>-</v>
          </cell>
          <cell r="K2392">
            <v>2</v>
          </cell>
          <cell r="L2392">
            <v>1.48</v>
          </cell>
          <cell r="M2392">
            <v>3.2015621187164243</v>
          </cell>
          <cell r="O2392" t="str">
            <v>-</v>
          </cell>
          <cell r="T2392" t="str">
            <v>-</v>
          </cell>
          <cell r="U2392">
            <v>0.1875</v>
          </cell>
        </row>
        <row r="2393">
          <cell r="B2393" t="str">
            <v>HSS2.5X2X2</v>
          </cell>
          <cell r="C2393">
            <v>0.95599999999999996</v>
          </cell>
          <cell r="D2393" t="str">
            <v>-</v>
          </cell>
          <cell r="F2393">
            <v>2.5</v>
          </cell>
          <cell r="H2393" t="str">
            <v>-</v>
          </cell>
          <cell r="I2393" t="str">
            <v>-</v>
          </cell>
          <cell r="K2393">
            <v>2</v>
          </cell>
          <cell r="L2393">
            <v>1.65</v>
          </cell>
          <cell r="M2393">
            <v>3.2015621187164243</v>
          </cell>
          <cell r="O2393" t="str">
            <v>-</v>
          </cell>
          <cell r="T2393" t="str">
            <v>-</v>
          </cell>
          <cell r="U2393">
            <v>0.125</v>
          </cell>
        </row>
        <row r="2394">
          <cell r="B2394" t="str">
            <v>HSS2.5X1.5X4</v>
          </cell>
          <cell r="C2394">
            <v>1.51</v>
          </cell>
          <cell r="D2394" t="str">
            <v>-</v>
          </cell>
          <cell r="F2394">
            <v>2.5</v>
          </cell>
          <cell r="H2394" t="str">
            <v>-</v>
          </cell>
          <cell r="I2394" t="str">
            <v>-</v>
          </cell>
          <cell r="K2394">
            <v>1.5</v>
          </cell>
          <cell r="L2394">
            <v>0.80100000000000005</v>
          </cell>
          <cell r="M2394">
            <v>2.9154759474226504</v>
          </cell>
          <cell r="O2394" t="str">
            <v>-</v>
          </cell>
          <cell r="T2394" t="str">
            <v>-</v>
          </cell>
          <cell r="U2394">
            <v>0.25</v>
          </cell>
        </row>
        <row r="2395">
          <cell r="B2395" t="str">
            <v>HSS2.5X1.5X3</v>
          </cell>
          <cell r="C2395">
            <v>1.19</v>
          </cell>
          <cell r="D2395" t="str">
            <v>-</v>
          </cell>
          <cell r="F2395">
            <v>2.5</v>
          </cell>
          <cell r="H2395" t="str">
            <v>-</v>
          </cell>
          <cell r="I2395" t="str">
            <v>-</v>
          </cell>
          <cell r="K2395">
            <v>1.5</v>
          </cell>
          <cell r="L2395">
            <v>0.97799999999999998</v>
          </cell>
          <cell r="M2395">
            <v>2.9154759474226504</v>
          </cell>
          <cell r="O2395" t="str">
            <v>-</v>
          </cell>
          <cell r="T2395" t="str">
            <v>-</v>
          </cell>
          <cell r="U2395">
            <v>0.1875</v>
          </cell>
        </row>
        <row r="2396">
          <cell r="B2396" t="str">
            <v>HSS2.5X1.5X2</v>
          </cell>
          <cell r="C2396">
            <v>0.84</v>
          </cell>
          <cell r="D2396" t="str">
            <v>-</v>
          </cell>
          <cell r="F2396">
            <v>2.5</v>
          </cell>
          <cell r="H2396" t="str">
            <v>-</v>
          </cell>
          <cell r="I2396" t="str">
            <v>-</v>
          </cell>
          <cell r="K2396">
            <v>1.5</v>
          </cell>
          <cell r="L2396">
            <v>1.1499999999999999</v>
          </cell>
          <cell r="M2396">
            <v>2.9154759474226504</v>
          </cell>
          <cell r="O2396" t="str">
            <v>-</v>
          </cell>
          <cell r="T2396" t="str">
            <v>-</v>
          </cell>
          <cell r="U2396">
            <v>0.125</v>
          </cell>
        </row>
        <row r="2397">
          <cell r="B2397" t="str">
            <v>HSS2.5X1X3</v>
          </cell>
          <cell r="C2397">
            <v>1.02</v>
          </cell>
          <cell r="D2397" t="str">
            <v>-</v>
          </cell>
          <cell r="F2397">
            <v>2.5</v>
          </cell>
          <cell r="H2397" t="str">
            <v>-</v>
          </cell>
          <cell r="I2397" t="str">
            <v>-</v>
          </cell>
          <cell r="K2397">
            <v>1</v>
          </cell>
          <cell r="L2397">
            <v>0.47799999999999998</v>
          </cell>
          <cell r="M2397">
            <v>2.6925824035672519</v>
          </cell>
          <cell r="O2397" t="str">
            <v>-</v>
          </cell>
          <cell r="T2397" t="str">
            <v>-</v>
          </cell>
          <cell r="U2397">
            <v>0.1875</v>
          </cell>
        </row>
        <row r="2398">
          <cell r="B2398" t="str">
            <v>HSS2.5X1X2</v>
          </cell>
          <cell r="C2398">
            <v>0.72399999999999998</v>
          </cell>
          <cell r="D2398" t="str">
            <v>-</v>
          </cell>
          <cell r="F2398">
            <v>2.5</v>
          </cell>
          <cell r="H2398" t="str">
            <v>-</v>
          </cell>
          <cell r="I2398" t="str">
            <v>-</v>
          </cell>
          <cell r="K2398">
            <v>1</v>
          </cell>
          <cell r="L2398">
            <v>0.65200000000000002</v>
          </cell>
          <cell r="M2398">
            <v>2.6925824035672519</v>
          </cell>
          <cell r="O2398" t="str">
            <v>-</v>
          </cell>
          <cell r="T2398" t="str">
            <v>-</v>
          </cell>
          <cell r="U2398">
            <v>0.125</v>
          </cell>
        </row>
        <row r="2399">
          <cell r="B2399" t="str">
            <v>HSS2.25X2.25X4</v>
          </cell>
          <cell r="C2399">
            <v>1.74</v>
          </cell>
          <cell r="D2399" t="str">
            <v>-</v>
          </cell>
          <cell r="F2399">
            <v>2.25</v>
          </cell>
          <cell r="H2399" t="str">
            <v>-</v>
          </cell>
          <cell r="I2399" t="str">
            <v>-</v>
          </cell>
          <cell r="K2399">
            <v>2.25</v>
          </cell>
          <cell r="L2399">
            <v>1.55</v>
          </cell>
          <cell r="M2399">
            <v>3.1819805153394638</v>
          </cell>
          <cell r="O2399" t="str">
            <v>-</v>
          </cell>
          <cell r="T2399" t="str">
            <v>-</v>
          </cell>
          <cell r="U2399">
            <v>0.25</v>
          </cell>
        </row>
        <row r="2400">
          <cell r="B2400" t="str">
            <v>HSS2.25X2.25X3</v>
          </cell>
          <cell r="C2400">
            <v>1.37</v>
          </cell>
          <cell r="D2400" t="str">
            <v>-</v>
          </cell>
          <cell r="F2400">
            <v>2.25</v>
          </cell>
          <cell r="H2400" t="str">
            <v>-</v>
          </cell>
          <cell r="I2400" t="str">
            <v>-</v>
          </cell>
          <cell r="K2400">
            <v>2.25</v>
          </cell>
          <cell r="L2400">
            <v>1.73</v>
          </cell>
          <cell r="M2400">
            <v>3.1819805153394638</v>
          </cell>
          <cell r="O2400" t="str">
            <v>-</v>
          </cell>
          <cell r="T2400" t="str">
            <v>-</v>
          </cell>
          <cell r="U2400">
            <v>0.1875</v>
          </cell>
        </row>
        <row r="2401">
          <cell r="B2401" t="str">
            <v>HSS2.25X2.25X2</v>
          </cell>
          <cell r="C2401">
            <v>0.95599999999999996</v>
          </cell>
          <cell r="D2401" t="str">
            <v>-</v>
          </cell>
          <cell r="F2401">
            <v>2.25</v>
          </cell>
          <cell r="H2401" t="str">
            <v>-</v>
          </cell>
          <cell r="I2401" t="str">
            <v>-</v>
          </cell>
          <cell r="K2401">
            <v>2.25</v>
          </cell>
          <cell r="L2401">
            <v>1.9</v>
          </cell>
          <cell r="M2401">
            <v>3.1819805153394638</v>
          </cell>
          <cell r="O2401" t="str">
            <v>-</v>
          </cell>
          <cell r="T2401" t="str">
            <v>-</v>
          </cell>
          <cell r="U2401">
            <v>0.125</v>
          </cell>
        </row>
        <row r="2402">
          <cell r="B2402" t="str">
            <v>HSS2.25X2X3</v>
          </cell>
          <cell r="C2402">
            <v>1.28</v>
          </cell>
          <cell r="D2402" t="str">
            <v>-</v>
          </cell>
          <cell r="F2402">
            <v>2.25</v>
          </cell>
          <cell r="H2402" t="str">
            <v>-</v>
          </cell>
          <cell r="I2402" t="str">
            <v>-</v>
          </cell>
          <cell r="K2402">
            <v>2</v>
          </cell>
          <cell r="L2402">
            <v>1.48</v>
          </cell>
          <cell r="M2402">
            <v>3.0103986446980739</v>
          </cell>
          <cell r="O2402" t="str">
            <v>-</v>
          </cell>
          <cell r="T2402" t="str">
            <v>-</v>
          </cell>
          <cell r="U2402">
            <v>0.1875</v>
          </cell>
        </row>
        <row r="2403">
          <cell r="B2403" t="str">
            <v>HSS2.25X2X2</v>
          </cell>
          <cell r="C2403">
            <v>0.89800000000000002</v>
          </cell>
          <cell r="D2403" t="str">
            <v>-</v>
          </cell>
          <cell r="F2403">
            <v>2.25</v>
          </cell>
          <cell r="H2403" t="str">
            <v>-</v>
          </cell>
          <cell r="I2403" t="str">
            <v>-</v>
          </cell>
          <cell r="K2403">
            <v>2</v>
          </cell>
          <cell r="L2403">
            <v>1.65</v>
          </cell>
          <cell r="M2403">
            <v>3.0103986446980739</v>
          </cell>
          <cell r="O2403" t="str">
            <v>-</v>
          </cell>
          <cell r="T2403" t="str">
            <v>-</v>
          </cell>
          <cell r="U2403">
            <v>0.125</v>
          </cell>
        </row>
        <row r="2404">
          <cell r="B2404" t="str">
            <v>HSS2X2X4</v>
          </cell>
          <cell r="C2404">
            <v>1.51</v>
          </cell>
          <cell r="D2404" t="str">
            <v>-</v>
          </cell>
          <cell r="F2404">
            <v>2</v>
          </cell>
          <cell r="H2404" t="str">
            <v>-</v>
          </cell>
          <cell r="I2404" t="str">
            <v>-</v>
          </cell>
          <cell r="K2404">
            <v>2</v>
          </cell>
          <cell r="L2404">
            <v>1.3</v>
          </cell>
          <cell r="M2404">
            <v>2.8284271247461903</v>
          </cell>
          <cell r="O2404" t="str">
            <v>-</v>
          </cell>
          <cell r="T2404" t="str">
            <v>-</v>
          </cell>
          <cell r="U2404">
            <v>0.25</v>
          </cell>
        </row>
        <row r="2405">
          <cell r="B2405" t="str">
            <v>HSS2X2X3</v>
          </cell>
          <cell r="C2405">
            <v>1.19</v>
          </cell>
          <cell r="D2405" t="str">
            <v>-</v>
          </cell>
          <cell r="F2405">
            <v>2</v>
          </cell>
          <cell r="H2405" t="str">
            <v>-</v>
          </cell>
          <cell r="I2405" t="str">
            <v>-</v>
          </cell>
          <cell r="K2405">
            <v>2</v>
          </cell>
          <cell r="L2405">
            <v>1.48</v>
          </cell>
          <cell r="M2405">
            <v>2.8284271247461903</v>
          </cell>
          <cell r="O2405" t="str">
            <v>-</v>
          </cell>
          <cell r="T2405" t="str">
            <v>-</v>
          </cell>
          <cell r="U2405">
            <v>0.1875</v>
          </cell>
        </row>
        <row r="2406">
          <cell r="B2406" t="str">
            <v>HSS2X2X2</v>
          </cell>
          <cell r="C2406">
            <v>0.84</v>
          </cell>
          <cell r="D2406" t="str">
            <v>-</v>
          </cell>
          <cell r="F2406">
            <v>2</v>
          </cell>
          <cell r="H2406" t="str">
            <v>-</v>
          </cell>
          <cell r="I2406" t="str">
            <v>-</v>
          </cell>
          <cell r="K2406">
            <v>2</v>
          </cell>
          <cell r="L2406">
            <v>1.65</v>
          </cell>
          <cell r="M2406">
            <v>2.8284271247461903</v>
          </cell>
          <cell r="O2406" t="str">
            <v>-</v>
          </cell>
          <cell r="T2406" t="str">
            <v>-</v>
          </cell>
          <cell r="U2406">
            <v>0.125</v>
          </cell>
        </row>
        <row r="2407">
          <cell r="B2407" t="str">
            <v>HSS2X1.5X3</v>
          </cell>
          <cell r="C2407">
            <v>1.02</v>
          </cell>
          <cell r="D2407" t="str">
            <v>-</v>
          </cell>
          <cell r="F2407">
            <v>2</v>
          </cell>
          <cell r="H2407" t="str">
            <v>-</v>
          </cell>
          <cell r="I2407" t="str">
            <v>-</v>
          </cell>
          <cell r="K2407">
            <v>1.5</v>
          </cell>
          <cell r="L2407">
            <v>0.97799999999999998</v>
          </cell>
          <cell r="M2407">
            <v>2.5</v>
          </cell>
          <cell r="O2407" t="str">
            <v>-</v>
          </cell>
          <cell r="T2407" t="str">
            <v>-</v>
          </cell>
          <cell r="U2407">
            <v>0.1875</v>
          </cell>
        </row>
        <row r="2408">
          <cell r="B2408" t="str">
            <v>HSS2X1.5X2</v>
          </cell>
          <cell r="C2408">
            <v>0.72399999999999998</v>
          </cell>
          <cell r="D2408" t="str">
            <v>-</v>
          </cell>
          <cell r="F2408">
            <v>2</v>
          </cell>
          <cell r="H2408" t="str">
            <v>-</v>
          </cell>
          <cell r="I2408" t="str">
            <v>-</v>
          </cell>
          <cell r="K2408">
            <v>1.5</v>
          </cell>
          <cell r="L2408">
            <v>1.1499999999999999</v>
          </cell>
          <cell r="M2408">
            <v>2.5</v>
          </cell>
          <cell r="O2408" t="str">
            <v>-</v>
          </cell>
          <cell r="T2408" t="str">
            <v>-</v>
          </cell>
          <cell r="U2408">
            <v>0.125</v>
          </cell>
        </row>
        <row r="2409">
          <cell r="B2409" t="str">
            <v>HSS2X1X3</v>
          </cell>
          <cell r="C2409">
            <v>0.84499999999999997</v>
          </cell>
          <cell r="D2409" t="str">
            <v>-</v>
          </cell>
          <cell r="F2409">
            <v>2</v>
          </cell>
          <cell r="H2409" t="str">
            <v>-</v>
          </cell>
          <cell r="I2409" t="str">
            <v>-</v>
          </cell>
          <cell r="K2409">
            <v>1</v>
          </cell>
          <cell r="L2409">
            <v>0.47799999999999998</v>
          </cell>
          <cell r="M2409">
            <v>2.2360679774997898</v>
          </cell>
          <cell r="O2409" t="str">
            <v>-</v>
          </cell>
          <cell r="T2409" t="str">
            <v>-</v>
          </cell>
          <cell r="U2409">
            <v>0.1875</v>
          </cell>
        </row>
        <row r="2410">
          <cell r="B2410" t="str">
            <v>HSS2X1X2</v>
          </cell>
          <cell r="C2410">
            <v>0.60799999999999998</v>
          </cell>
          <cell r="D2410" t="str">
            <v>-</v>
          </cell>
          <cell r="F2410">
            <v>2</v>
          </cell>
          <cell r="H2410" t="str">
            <v>-</v>
          </cell>
          <cell r="I2410" t="str">
            <v>-</v>
          </cell>
          <cell r="K2410">
            <v>1</v>
          </cell>
          <cell r="L2410">
            <v>0.65200000000000002</v>
          </cell>
          <cell r="M2410">
            <v>2.2360679774997898</v>
          </cell>
          <cell r="O2410" t="str">
            <v>-</v>
          </cell>
          <cell r="T2410" t="str">
            <v>-</v>
          </cell>
          <cell r="U2410">
            <v>0.125</v>
          </cell>
        </row>
        <row r="2411">
          <cell r="B2411" t="str">
            <v>HSS34X10X1</v>
          </cell>
          <cell r="C2411">
            <v>76.2</v>
          </cell>
          <cell r="D2411" t="str">
            <v>-</v>
          </cell>
          <cell r="F2411">
            <v>34</v>
          </cell>
          <cell r="H2411" t="str">
            <v>-</v>
          </cell>
          <cell r="I2411" t="str">
            <v>-</v>
          </cell>
          <cell r="K2411">
            <v>10</v>
          </cell>
          <cell r="L2411" t="str">
            <v>7.21</v>
          </cell>
          <cell r="M2411">
            <v>35.440090293338699</v>
          </cell>
          <cell r="O2411" t="str">
            <v>-</v>
          </cell>
          <cell r="T2411" t="str">
            <v>-</v>
          </cell>
          <cell r="U2411">
            <v>1</v>
          </cell>
        </row>
        <row r="2412">
          <cell r="B2412" t="str">
            <v>HSS34X10X7/8</v>
          </cell>
          <cell r="C2412">
            <v>67.3</v>
          </cell>
          <cell r="D2412" t="str">
            <v>-</v>
          </cell>
          <cell r="F2412">
            <v>34</v>
          </cell>
          <cell r="H2412" t="str">
            <v>-</v>
          </cell>
          <cell r="I2412" t="str">
            <v>-</v>
          </cell>
          <cell r="K2412">
            <v>10</v>
          </cell>
          <cell r="L2412" t="str">
            <v>7.56</v>
          </cell>
          <cell r="M2412">
            <v>35.440090293338699</v>
          </cell>
          <cell r="O2412" t="str">
            <v>-</v>
          </cell>
          <cell r="T2412" t="str">
            <v>-</v>
          </cell>
          <cell r="U2412">
            <v>0.875</v>
          </cell>
        </row>
        <row r="2413">
          <cell r="B2413" t="str">
            <v>HSS34X10X3/4</v>
          </cell>
          <cell r="C2413">
            <v>58.2</v>
          </cell>
          <cell r="D2413" t="str">
            <v>-</v>
          </cell>
          <cell r="F2413">
            <v>34</v>
          </cell>
          <cell r="H2413" t="str">
            <v>-</v>
          </cell>
          <cell r="I2413" t="str">
            <v>-</v>
          </cell>
          <cell r="K2413">
            <v>10</v>
          </cell>
          <cell r="L2413" t="str">
            <v>7.91</v>
          </cell>
          <cell r="M2413">
            <v>35.440090293338699</v>
          </cell>
          <cell r="O2413" t="str">
            <v>-</v>
          </cell>
          <cell r="T2413" t="str">
            <v>-</v>
          </cell>
          <cell r="U2413">
            <v>0.75</v>
          </cell>
        </row>
        <row r="2414">
          <cell r="B2414" t="str">
            <v>HSS34X10X5/8</v>
          </cell>
          <cell r="C2414">
            <v>48.9</v>
          </cell>
          <cell r="D2414" t="str">
            <v>-</v>
          </cell>
          <cell r="F2414">
            <v>34</v>
          </cell>
          <cell r="H2414" t="str">
            <v>-</v>
          </cell>
          <cell r="I2414" t="str">
            <v>-</v>
          </cell>
          <cell r="K2414">
            <v>10</v>
          </cell>
          <cell r="L2414" t="str">
            <v>8.26</v>
          </cell>
          <cell r="M2414">
            <v>35.440090293338699</v>
          </cell>
          <cell r="O2414" t="str">
            <v>-</v>
          </cell>
          <cell r="T2414" t="str">
            <v>-</v>
          </cell>
          <cell r="U2414">
            <v>0.625</v>
          </cell>
        </row>
        <row r="2415">
          <cell r="B2415" t="str">
            <v>HSS30X10X1</v>
          </cell>
          <cell r="C2415">
            <v>68.7</v>
          </cell>
          <cell r="D2415" t="str">
            <v>-</v>
          </cell>
          <cell r="F2415">
            <v>30</v>
          </cell>
          <cell r="H2415" t="str">
            <v>-</v>
          </cell>
          <cell r="I2415" t="str">
            <v>-</v>
          </cell>
          <cell r="K2415">
            <v>10</v>
          </cell>
          <cell r="L2415" t="str">
            <v>7.21</v>
          </cell>
          <cell r="M2415">
            <v>31.622776601683793</v>
          </cell>
          <cell r="O2415" t="str">
            <v>-</v>
          </cell>
          <cell r="T2415" t="str">
            <v>-</v>
          </cell>
          <cell r="U2415">
            <v>1</v>
          </cell>
        </row>
        <row r="2416">
          <cell r="B2416" t="str">
            <v>HSS30X10X7/8</v>
          </cell>
          <cell r="C2416">
            <v>60.8</v>
          </cell>
          <cell r="D2416" t="str">
            <v>-</v>
          </cell>
          <cell r="F2416">
            <v>30</v>
          </cell>
          <cell r="H2416" t="str">
            <v>-</v>
          </cell>
          <cell r="I2416" t="str">
            <v>-</v>
          </cell>
          <cell r="K2416">
            <v>10</v>
          </cell>
          <cell r="L2416" t="str">
            <v>7.56</v>
          </cell>
          <cell r="M2416">
            <v>31.622776601683793</v>
          </cell>
          <cell r="O2416" t="str">
            <v>-</v>
          </cell>
          <cell r="T2416" t="str">
            <v>-</v>
          </cell>
          <cell r="U2416">
            <v>0.875</v>
          </cell>
        </row>
        <row r="2417">
          <cell r="B2417" t="str">
            <v>HSS30X10X3/4</v>
          </cell>
          <cell r="C2417">
            <v>52.6</v>
          </cell>
          <cell r="D2417" t="str">
            <v>-</v>
          </cell>
          <cell r="F2417">
            <v>30</v>
          </cell>
          <cell r="H2417" t="str">
            <v>-</v>
          </cell>
          <cell r="I2417" t="str">
            <v>-</v>
          </cell>
          <cell r="K2417">
            <v>10</v>
          </cell>
          <cell r="L2417" t="str">
            <v>7.91</v>
          </cell>
          <cell r="M2417">
            <v>31.622776601683793</v>
          </cell>
          <cell r="O2417" t="str">
            <v>-</v>
          </cell>
          <cell r="T2417" t="str">
            <v>-</v>
          </cell>
          <cell r="U2417">
            <v>0.75</v>
          </cell>
        </row>
        <row r="2418">
          <cell r="B2418" t="str">
            <v>HSS30X10X5/8</v>
          </cell>
          <cell r="C2418">
            <v>44.3</v>
          </cell>
          <cell r="D2418" t="str">
            <v>-</v>
          </cell>
          <cell r="F2418">
            <v>30</v>
          </cell>
          <cell r="H2418" t="str">
            <v>-</v>
          </cell>
          <cell r="I2418" t="str">
            <v>-</v>
          </cell>
          <cell r="K2418">
            <v>10</v>
          </cell>
          <cell r="L2418" t="str">
            <v>8.26</v>
          </cell>
          <cell r="M2418">
            <v>31.622776601683793</v>
          </cell>
          <cell r="O2418" t="str">
            <v>-</v>
          </cell>
          <cell r="T2418" t="str">
            <v>-</v>
          </cell>
          <cell r="U2418">
            <v>0.625</v>
          </cell>
        </row>
        <row r="2419">
          <cell r="B2419" t="str">
            <v>HSS30X10X1/2</v>
          </cell>
          <cell r="C2419">
            <v>35.799999999999997</v>
          </cell>
          <cell r="D2419" t="str">
            <v>-</v>
          </cell>
          <cell r="F2419">
            <v>30</v>
          </cell>
          <cell r="H2419" t="str">
            <v>-</v>
          </cell>
          <cell r="I2419" t="str">
            <v>-</v>
          </cell>
          <cell r="K2419">
            <v>10</v>
          </cell>
          <cell r="L2419" t="str">
            <v>8.61</v>
          </cell>
          <cell r="M2419">
            <v>31.622776601683793</v>
          </cell>
          <cell r="O2419" t="str">
            <v>-</v>
          </cell>
          <cell r="T2419" t="str">
            <v>-</v>
          </cell>
          <cell r="U2419">
            <v>0.5</v>
          </cell>
        </row>
        <row r="2420">
          <cell r="B2420" t="str">
            <v>HSS24X20X3/4</v>
          </cell>
          <cell r="C2420">
            <v>58.2</v>
          </cell>
          <cell r="D2420" t="str">
            <v>-</v>
          </cell>
          <cell r="F2420">
            <v>24</v>
          </cell>
          <cell r="H2420" t="str">
            <v>-</v>
          </cell>
          <cell r="I2420" t="str">
            <v>-</v>
          </cell>
          <cell r="K2420">
            <v>20</v>
          </cell>
          <cell r="L2420" t="str">
            <v>17.9</v>
          </cell>
          <cell r="M2420">
            <v>31.240998703626616</v>
          </cell>
          <cell r="O2420" t="str">
            <v>-</v>
          </cell>
          <cell r="T2420" t="str">
            <v>-</v>
          </cell>
          <cell r="U2420">
            <v>0.75</v>
          </cell>
        </row>
        <row r="2421">
          <cell r="B2421" t="str">
            <v>HSS24X20X5/8</v>
          </cell>
          <cell r="C2421">
            <v>48.9</v>
          </cell>
          <cell r="D2421" t="str">
            <v>-</v>
          </cell>
          <cell r="F2421">
            <v>24</v>
          </cell>
          <cell r="H2421" t="str">
            <v>-</v>
          </cell>
          <cell r="I2421" t="str">
            <v>-</v>
          </cell>
          <cell r="K2421">
            <v>20</v>
          </cell>
          <cell r="L2421" t="str">
            <v>18.3</v>
          </cell>
          <cell r="M2421">
            <v>31.240998703626616</v>
          </cell>
          <cell r="O2421" t="str">
            <v>-</v>
          </cell>
          <cell r="T2421" t="str">
            <v>-</v>
          </cell>
          <cell r="U2421">
            <v>0.625</v>
          </cell>
        </row>
        <row r="2422">
          <cell r="B2422" t="str">
            <v>HSS24X20X1/2</v>
          </cell>
          <cell r="C2422">
            <v>39.5</v>
          </cell>
          <cell r="D2422" t="str">
            <v>-</v>
          </cell>
          <cell r="F2422">
            <v>24</v>
          </cell>
          <cell r="H2422" t="str">
            <v>-</v>
          </cell>
          <cell r="I2422" t="str">
            <v>-</v>
          </cell>
          <cell r="K2422">
            <v>20</v>
          </cell>
          <cell r="L2422" t="str">
            <v>18.6</v>
          </cell>
          <cell r="M2422">
            <v>31.240998703626616</v>
          </cell>
          <cell r="O2422" t="str">
            <v>-</v>
          </cell>
          <cell r="T2422" t="str">
            <v>-</v>
          </cell>
          <cell r="U2422">
            <v>0.5</v>
          </cell>
        </row>
        <row r="2423">
          <cell r="B2423" t="str">
            <v>HSS24X20X3/8</v>
          </cell>
          <cell r="C2423">
            <v>29.9</v>
          </cell>
          <cell r="D2423" t="str">
            <v>-</v>
          </cell>
          <cell r="F2423">
            <v>24</v>
          </cell>
          <cell r="H2423" t="str">
            <v>-</v>
          </cell>
          <cell r="I2423" t="str">
            <v>-</v>
          </cell>
          <cell r="K2423">
            <v>20</v>
          </cell>
          <cell r="L2423" t="str">
            <v>19.0</v>
          </cell>
          <cell r="M2423">
            <v>31.240998703626616</v>
          </cell>
          <cell r="O2423" t="str">
            <v>-</v>
          </cell>
          <cell r="T2423" t="str">
            <v>-</v>
          </cell>
          <cell r="U2423">
            <v>0.375</v>
          </cell>
        </row>
        <row r="2424">
          <cell r="B2424" t="str">
            <v>HSS24X20X5/16</v>
          </cell>
          <cell r="C2424">
            <v>25.1</v>
          </cell>
          <cell r="D2424" t="str">
            <v>-</v>
          </cell>
          <cell r="F2424">
            <v>24</v>
          </cell>
          <cell r="H2424" t="str">
            <v>-</v>
          </cell>
          <cell r="I2424" t="str">
            <v>-</v>
          </cell>
          <cell r="K2424">
            <v>20</v>
          </cell>
          <cell r="L2424" t="str">
            <v>19.1</v>
          </cell>
          <cell r="M2424">
            <v>31.240998703626616</v>
          </cell>
          <cell r="O2424" t="str">
            <v>-</v>
          </cell>
          <cell r="T2424" t="str">
            <v>-</v>
          </cell>
          <cell r="U2424">
            <v>0.3125</v>
          </cell>
        </row>
        <row r="2425">
          <cell r="B2425" t="str">
            <v>HSS24X18X3/4</v>
          </cell>
          <cell r="C2425">
            <v>55.4</v>
          </cell>
          <cell r="D2425" t="str">
            <v>-</v>
          </cell>
          <cell r="F2425">
            <v>24</v>
          </cell>
          <cell r="H2425" t="str">
            <v>-</v>
          </cell>
          <cell r="I2425" t="str">
            <v>-</v>
          </cell>
          <cell r="K2425">
            <v>18</v>
          </cell>
          <cell r="L2425" t="str">
            <v>15.9</v>
          </cell>
          <cell r="M2425">
            <v>30</v>
          </cell>
          <cell r="O2425" t="str">
            <v>-</v>
          </cell>
          <cell r="T2425" t="str">
            <v>-</v>
          </cell>
          <cell r="U2425">
            <v>0.75</v>
          </cell>
        </row>
        <row r="2426">
          <cell r="B2426" t="str">
            <v>HSS24X18X5/8</v>
          </cell>
          <cell r="C2426">
            <v>46.6</v>
          </cell>
          <cell r="D2426" t="str">
            <v>-</v>
          </cell>
          <cell r="F2426">
            <v>24</v>
          </cell>
          <cell r="H2426" t="str">
            <v>-</v>
          </cell>
          <cell r="I2426" t="str">
            <v>-</v>
          </cell>
          <cell r="K2426">
            <v>18</v>
          </cell>
          <cell r="L2426" t="str">
            <v>16.3</v>
          </cell>
          <cell r="M2426">
            <v>30</v>
          </cell>
          <cell r="O2426" t="str">
            <v>-</v>
          </cell>
          <cell r="T2426" t="str">
            <v>-</v>
          </cell>
          <cell r="U2426">
            <v>0.625</v>
          </cell>
        </row>
        <row r="2427">
          <cell r="B2427" t="str">
            <v>HSS24X18X1/2</v>
          </cell>
          <cell r="C2427">
            <v>37.6</v>
          </cell>
          <cell r="D2427" t="str">
            <v>-</v>
          </cell>
          <cell r="F2427">
            <v>24</v>
          </cell>
          <cell r="H2427" t="str">
            <v>-</v>
          </cell>
          <cell r="I2427" t="str">
            <v>-</v>
          </cell>
          <cell r="K2427">
            <v>18</v>
          </cell>
          <cell r="L2427" t="str">
            <v>16.6</v>
          </cell>
          <cell r="M2427">
            <v>30</v>
          </cell>
          <cell r="O2427" t="str">
            <v>-</v>
          </cell>
          <cell r="T2427" t="str">
            <v>-</v>
          </cell>
          <cell r="U2427">
            <v>0.5</v>
          </cell>
        </row>
        <row r="2428">
          <cell r="B2428" t="str">
            <v>HSS24X18X3/8</v>
          </cell>
          <cell r="C2428">
            <v>28.5</v>
          </cell>
          <cell r="D2428" t="str">
            <v>-</v>
          </cell>
          <cell r="F2428">
            <v>24</v>
          </cell>
          <cell r="H2428" t="str">
            <v>-</v>
          </cell>
          <cell r="I2428" t="str">
            <v>-</v>
          </cell>
          <cell r="K2428">
            <v>18</v>
          </cell>
          <cell r="L2428" t="str">
            <v>17.0</v>
          </cell>
          <cell r="M2428">
            <v>30</v>
          </cell>
          <cell r="O2428" t="str">
            <v>-</v>
          </cell>
          <cell r="T2428" t="str">
            <v>-</v>
          </cell>
          <cell r="U2428">
            <v>0.375</v>
          </cell>
        </row>
        <row r="2429">
          <cell r="B2429" t="str">
            <v>HSS24X18X5/16</v>
          </cell>
          <cell r="C2429">
            <v>23.9</v>
          </cell>
          <cell r="D2429" t="str">
            <v>-</v>
          </cell>
          <cell r="F2429">
            <v>24</v>
          </cell>
          <cell r="H2429" t="str">
            <v>-</v>
          </cell>
          <cell r="I2429" t="str">
            <v>-</v>
          </cell>
          <cell r="K2429">
            <v>18</v>
          </cell>
          <cell r="L2429" t="str">
            <v>17.1</v>
          </cell>
          <cell r="M2429">
            <v>30</v>
          </cell>
          <cell r="O2429" t="str">
            <v>-</v>
          </cell>
          <cell r="T2429" t="str">
            <v>-</v>
          </cell>
          <cell r="U2429">
            <v>0.3125</v>
          </cell>
        </row>
        <row r="2430">
          <cell r="B2430" t="str">
            <v>HSS24X16X3/4</v>
          </cell>
          <cell r="C2430">
            <v>52.6</v>
          </cell>
          <cell r="D2430" t="str">
            <v>-</v>
          </cell>
          <cell r="F2430">
            <v>24</v>
          </cell>
          <cell r="H2430" t="str">
            <v>-</v>
          </cell>
          <cell r="I2430" t="str">
            <v>-</v>
          </cell>
          <cell r="K2430">
            <v>16</v>
          </cell>
          <cell r="L2430" t="str">
            <v>13.9</v>
          </cell>
          <cell r="M2430">
            <v>28.844410203711913</v>
          </cell>
          <cell r="O2430" t="str">
            <v>-</v>
          </cell>
          <cell r="T2430" t="str">
            <v>-</v>
          </cell>
          <cell r="U2430">
            <v>0.75</v>
          </cell>
        </row>
        <row r="2431">
          <cell r="B2431" t="str">
            <v>HSS24X16X5/8</v>
          </cell>
          <cell r="C2431">
            <v>44.3</v>
          </cell>
          <cell r="D2431" t="str">
            <v>-</v>
          </cell>
          <cell r="F2431">
            <v>24</v>
          </cell>
          <cell r="H2431" t="str">
            <v>-</v>
          </cell>
          <cell r="I2431" t="str">
            <v>-</v>
          </cell>
          <cell r="K2431">
            <v>16</v>
          </cell>
          <cell r="L2431" t="str">
            <v>14.3</v>
          </cell>
          <cell r="M2431">
            <v>28.844410203711913</v>
          </cell>
          <cell r="O2431" t="str">
            <v>-</v>
          </cell>
          <cell r="T2431" t="str">
            <v>-</v>
          </cell>
          <cell r="U2431">
            <v>0.625</v>
          </cell>
        </row>
        <row r="2432">
          <cell r="B2432" t="str">
            <v>HSS24X16X1/2</v>
          </cell>
          <cell r="C2432">
            <v>35.799999999999997</v>
          </cell>
          <cell r="D2432" t="str">
            <v>-</v>
          </cell>
          <cell r="F2432">
            <v>24</v>
          </cell>
          <cell r="H2432" t="str">
            <v>-</v>
          </cell>
          <cell r="I2432" t="str">
            <v>-</v>
          </cell>
          <cell r="K2432">
            <v>16</v>
          </cell>
          <cell r="L2432" t="str">
            <v>14.6</v>
          </cell>
          <cell r="M2432">
            <v>28.844410203711913</v>
          </cell>
          <cell r="O2432" t="str">
            <v>-</v>
          </cell>
          <cell r="T2432" t="str">
            <v>-</v>
          </cell>
          <cell r="U2432">
            <v>0.5</v>
          </cell>
        </row>
        <row r="2433">
          <cell r="B2433" t="str">
            <v>HSS24X16X3/8</v>
          </cell>
          <cell r="C2433">
            <v>27.1</v>
          </cell>
          <cell r="D2433" t="str">
            <v>-</v>
          </cell>
          <cell r="F2433">
            <v>24</v>
          </cell>
          <cell r="H2433" t="str">
            <v>-</v>
          </cell>
          <cell r="I2433" t="str">
            <v>-</v>
          </cell>
          <cell r="K2433">
            <v>16</v>
          </cell>
          <cell r="L2433" t="str">
            <v>15.0</v>
          </cell>
          <cell r="M2433">
            <v>28.844410203711913</v>
          </cell>
          <cell r="O2433" t="str">
            <v>-</v>
          </cell>
          <cell r="T2433" t="str">
            <v>-</v>
          </cell>
          <cell r="U2433">
            <v>0.375</v>
          </cell>
        </row>
        <row r="2434">
          <cell r="B2434" t="str">
            <v>HSS24X16X5/16</v>
          </cell>
          <cell r="C2434">
            <v>22.7</v>
          </cell>
          <cell r="D2434" t="str">
            <v>-</v>
          </cell>
          <cell r="F2434">
            <v>24</v>
          </cell>
          <cell r="H2434" t="str">
            <v>-</v>
          </cell>
          <cell r="I2434" t="str">
            <v>-</v>
          </cell>
          <cell r="K2434">
            <v>16</v>
          </cell>
          <cell r="L2434" t="str">
            <v>15.1</v>
          </cell>
          <cell r="M2434">
            <v>28.844410203711913</v>
          </cell>
          <cell r="O2434" t="str">
            <v>-</v>
          </cell>
          <cell r="T2434" t="str">
            <v>-</v>
          </cell>
          <cell r="U2434">
            <v>0.3125</v>
          </cell>
        </row>
        <row r="2435">
          <cell r="B2435" t="str">
            <v>HSS24X14X3/4</v>
          </cell>
          <cell r="C2435">
            <v>49.8</v>
          </cell>
          <cell r="D2435" t="str">
            <v>-</v>
          </cell>
          <cell r="F2435">
            <v>24</v>
          </cell>
          <cell r="H2435" t="str">
            <v>-</v>
          </cell>
          <cell r="I2435" t="str">
            <v>-</v>
          </cell>
          <cell r="K2435">
            <v>14</v>
          </cell>
          <cell r="L2435" t="str">
            <v>11.9</v>
          </cell>
          <cell r="M2435">
            <v>27.784887978899608</v>
          </cell>
          <cell r="O2435" t="str">
            <v>-</v>
          </cell>
          <cell r="T2435" t="str">
            <v>-</v>
          </cell>
          <cell r="U2435">
            <v>0.75</v>
          </cell>
        </row>
        <row r="2436">
          <cell r="B2436" t="str">
            <v>HSS24X14X5/8</v>
          </cell>
          <cell r="C2436">
            <v>41.9</v>
          </cell>
          <cell r="D2436" t="str">
            <v>-</v>
          </cell>
          <cell r="F2436">
            <v>24</v>
          </cell>
          <cell r="H2436" t="str">
            <v>-</v>
          </cell>
          <cell r="I2436" t="str">
            <v>-</v>
          </cell>
          <cell r="K2436">
            <v>14</v>
          </cell>
          <cell r="L2436" t="str">
            <v>12.3</v>
          </cell>
          <cell r="M2436">
            <v>27.784887978899608</v>
          </cell>
          <cell r="O2436" t="str">
            <v>-</v>
          </cell>
          <cell r="T2436" t="str">
            <v>-</v>
          </cell>
          <cell r="U2436">
            <v>0.625</v>
          </cell>
        </row>
        <row r="2437">
          <cell r="B2437" t="str">
            <v>HSS24X14X1/2</v>
          </cell>
          <cell r="C2437">
            <v>33.9</v>
          </cell>
          <cell r="D2437" t="str">
            <v>-</v>
          </cell>
          <cell r="F2437">
            <v>24</v>
          </cell>
          <cell r="H2437" t="str">
            <v>-</v>
          </cell>
          <cell r="I2437" t="str">
            <v>-</v>
          </cell>
          <cell r="K2437">
            <v>14</v>
          </cell>
          <cell r="L2437" t="str">
            <v>12.6</v>
          </cell>
          <cell r="M2437">
            <v>27.784887978899608</v>
          </cell>
          <cell r="O2437" t="str">
            <v>-</v>
          </cell>
          <cell r="T2437" t="str">
            <v>-</v>
          </cell>
          <cell r="U2437">
            <v>0.5</v>
          </cell>
        </row>
        <row r="2438">
          <cell r="B2438" t="str">
            <v>HSS24X14X3/8</v>
          </cell>
          <cell r="C2438">
            <v>25.7</v>
          </cell>
          <cell r="D2438" t="str">
            <v>-</v>
          </cell>
          <cell r="F2438">
            <v>24</v>
          </cell>
          <cell r="H2438" t="str">
            <v>-</v>
          </cell>
          <cell r="I2438" t="str">
            <v>-</v>
          </cell>
          <cell r="K2438">
            <v>14</v>
          </cell>
          <cell r="L2438" t="str">
            <v>13.0</v>
          </cell>
          <cell r="M2438">
            <v>27.784887978899608</v>
          </cell>
          <cell r="O2438" t="str">
            <v>-</v>
          </cell>
          <cell r="T2438" t="str">
            <v>-</v>
          </cell>
          <cell r="U2438">
            <v>0.375</v>
          </cell>
        </row>
        <row r="2439">
          <cell r="B2439" t="str">
            <v>HSS24X14X5/16</v>
          </cell>
          <cell r="C2439">
            <v>21.6</v>
          </cell>
          <cell r="D2439" t="str">
            <v>-</v>
          </cell>
          <cell r="F2439">
            <v>24</v>
          </cell>
          <cell r="H2439" t="str">
            <v>-</v>
          </cell>
          <cell r="I2439" t="str">
            <v>-</v>
          </cell>
          <cell r="K2439">
            <v>14</v>
          </cell>
          <cell r="L2439" t="str">
            <v>13.1</v>
          </cell>
          <cell r="M2439">
            <v>27.784887978899608</v>
          </cell>
          <cell r="O2439" t="str">
            <v>-</v>
          </cell>
          <cell r="T2439" t="str">
            <v>-</v>
          </cell>
          <cell r="U2439">
            <v>0.3125</v>
          </cell>
        </row>
        <row r="2440">
          <cell r="B2440" t="str">
            <v>HSS24X14X1/4</v>
          </cell>
          <cell r="C2440">
            <v>17.399999999999999</v>
          </cell>
          <cell r="D2440" t="str">
            <v>-</v>
          </cell>
          <cell r="F2440">
            <v>24</v>
          </cell>
          <cell r="H2440" t="str">
            <v>-</v>
          </cell>
          <cell r="I2440" t="str">
            <v>-</v>
          </cell>
          <cell r="K2440">
            <v>14</v>
          </cell>
          <cell r="L2440" t="str">
            <v>13.3</v>
          </cell>
          <cell r="M2440">
            <v>27.784887978899608</v>
          </cell>
          <cell r="O2440" t="str">
            <v>-</v>
          </cell>
          <cell r="T2440" t="str">
            <v>-</v>
          </cell>
          <cell r="U2440">
            <v>0.25</v>
          </cell>
        </row>
        <row r="2441">
          <cell r="B2441" t="str">
            <v>HSS24X12X1</v>
          </cell>
          <cell r="C2441">
            <v>61.3</v>
          </cell>
          <cell r="D2441" t="str">
            <v>-</v>
          </cell>
          <cell r="F2441">
            <v>24</v>
          </cell>
          <cell r="H2441" t="str">
            <v>-</v>
          </cell>
          <cell r="I2441" t="str">
            <v>-</v>
          </cell>
          <cell r="K2441">
            <v>12</v>
          </cell>
          <cell r="L2441" t="str">
            <v>9.21</v>
          </cell>
          <cell r="M2441">
            <v>26.832815729997478</v>
          </cell>
          <cell r="O2441" t="str">
            <v>-</v>
          </cell>
          <cell r="T2441" t="str">
            <v>-</v>
          </cell>
          <cell r="U2441">
            <v>1</v>
          </cell>
        </row>
        <row r="2442">
          <cell r="B2442" t="str">
            <v>HSS24X12X7/8</v>
          </cell>
          <cell r="C2442">
            <v>54.3</v>
          </cell>
          <cell r="D2442" t="str">
            <v>-</v>
          </cell>
          <cell r="F2442">
            <v>24</v>
          </cell>
          <cell r="H2442" t="str">
            <v>-</v>
          </cell>
          <cell r="I2442" t="str">
            <v>-</v>
          </cell>
          <cell r="K2442">
            <v>12</v>
          </cell>
          <cell r="L2442" t="str">
            <v>9.56</v>
          </cell>
          <cell r="M2442">
            <v>26.832815729997478</v>
          </cell>
          <cell r="O2442" t="str">
            <v>-</v>
          </cell>
          <cell r="T2442" t="str">
            <v>-</v>
          </cell>
          <cell r="U2442">
            <v>0.875</v>
          </cell>
        </row>
        <row r="2443">
          <cell r="B2443" t="str">
            <v>HSS24X12X3/4</v>
          </cell>
          <cell r="C2443">
            <v>47.1</v>
          </cell>
          <cell r="D2443" t="str">
            <v>-</v>
          </cell>
          <cell r="F2443">
            <v>24</v>
          </cell>
          <cell r="H2443" t="str">
            <v>-</v>
          </cell>
          <cell r="I2443" t="str">
            <v>-</v>
          </cell>
          <cell r="K2443">
            <v>12</v>
          </cell>
          <cell r="L2443">
            <v>9.91</v>
          </cell>
          <cell r="M2443">
            <v>26.832815729997478</v>
          </cell>
          <cell r="O2443" t="str">
            <v>-</v>
          </cell>
          <cell r="T2443" t="str">
            <v>-</v>
          </cell>
          <cell r="U2443">
            <v>0.75</v>
          </cell>
        </row>
        <row r="2444">
          <cell r="B2444" t="str">
            <v>HSS24X12X5/8</v>
          </cell>
          <cell r="C2444">
            <v>39.6</v>
          </cell>
          <cell r="D2444" t="str">
            <v>-</v>
          </cell>
          <cell r="F2444">
            <v>24</v>
          </cell>
          <cell r="H2444" t="str">
            <v>-</v>
          </cell>
          <cell r="I2444" t="str">
            <v>-</v>
          </cell>
          <cell r="K2444">
            <v>12</v>
          </cell>
          <cell r="L2444">
            <v>10.3</v>
          </cell>
          <cell r="M2444">
            <v>26.832815729997478</v>
          </cell>
          <cell r="O2444" t="str">
            <v>-</v>
          </cell>
          <cell r="T2444" t="str">
            <v>-</v>
          </cell>
          <cell r="U2444">
            <v>0.625</v>
          </cell>
        </row>
        <row r="2445">
          <cell r="B2445" t="str">
            <v>HSS24X12X1/2</v>
          </cell>
          <cell r="C2445">
            <v>32.1</v>
          </cell>
          <cell r="D2445" t="str">
            <v>-</v>
          </cell>
          <cell r="F2445">
            <v>24</v>
          </cell>
          <cell r="H2445" t="str">
            <v>-</v>
          </cell>
          <cell r="I2445" t="str">
            <v>-</v>
          </cell>
          <cell r="K2445">
            <v>12</v>
          </cell>
          <cell r="L2445">
            <v>10.6</v>
          </cell>
          <cell r="M2445">
            <v>26.832815729997478</v>
          </cell>
          <cell r="O2445" t="str">
            <v>-</v>
          </cell>
          <cell r="T2445" t="str">
            <v>-</v>
          </cell>
          <cell r="U2445">
            <v>0.5</v>
          </cell>
        </row>
        <row r="2446">
          <cell r="B2446" t="str">
            <v>HSS24X12X3/8</v>
          </cell>
          <cell r="C2446">
            <v>24.3</v>
          </cell>
          <cell r="D2446" t="str">
            <v>-</v>
          </cell>
          <cell r="F2446">
            <v>24</v>
          </cell>
          <cell r="H2446" t="str">
            <v>-</v>
          </cell>
          <cell r="I2446" t="str">
            <v>-</v>
          </cell>
          <cell r="K2446">
            <v>12</v>
          </cell>
          <cell r="L2446" t="str">
            <v>11.0</v>
          </cell>
          <cell r="M2446">
            <v>26.832815729997478</v>
          </cell>
          <cell r="O2446" t="str">
            <v>-</v>
          </cell>
          <cell r="T2446" t="str">
            <v>-</v>
          </cell>
          <cell r="U2446">
            <v>0.375</v>
          </cell>
        </row>
        <row r="2447">
          <cell r="B2447" t="str">
            <v>HSS24X12X5/16</v>
          </cell>
          <cell r="C2447">
            <v>20.399999999999999</v>
          </cell>
          <cell r="D2447" t="str">
            <v>-</v>
          </cell>
          <cell r="F2447">
            <v>24</v>
          </cell>
          <cell r="H2447" t="str">
            <v>-</v>
          </cell>
          <cell r="I2447" t="str">
            <v>-</v>
          </cell>
          <cell r="K2447">
            <v>12</v>
          </cell>
          <cell r="L2447" t="str">
            <v>11.1</v>
          </cell>
          <cell r="M2447">
            <v>26.832815729997478</v>
          </cell>
          <cell r="O2447" t="str">
            <v>-</v>
          </cell>
          <cell r="T2447" t="str">
            <v>-</v>
          </cell>
          <cell r="U2447">
            <v>0.3125</v>
          </cell>
        </row>
        <row r="2448">
          <cell r="B2448" t="str">
            <v>HSS24X12X1/4</v>
          </cell>
          <cell r="C2448">
            <v>16.399999999999999</v>
          </cell>
          <cell r="D2448" t="str">
            <v>-</v>
          </cell>
          <cell r="F2448">
            <v>24</v>
          </cell>
          <cell r="H2448" t="str">
            <v>-</v>
          </cell>
          <cell r="I2448" t="str">
            <v>-</v>
          </cell>
          <cell r="K2448">
            <v>12</v>
          </cell>
          <cell r="L2448" t="str">
            <v>11.3</v>
          </cell>
          <cell r="M2448">
            <v>26.832815729997478</v>
          </cell>
          <cell r="O2448" t="str">
            <v>-</v>
          </cell>
          <cell r="T2448" t="str">
            <v>-</v>
          </cell>
          <cell r="U2448">
            <v>0.25</v>
          </cell>
        </row>
        <row r="2449">
          <cell r="B2449" t="str">
            <v>HSS24X8X1/2</v>
          </cell>
          <cell r="C2449">
            <v>28.3</v>
          </cell>
          <cell r="D2449" t="str">
            <v>-</v>
          </cell>
          <cell r="F2449">
            <v>24</v>
          </cell>
          <cell r="H2449" t="str">
            <v>-</v>
          </cell>
          <cell r="I2449" t="str">
            <v>-</v>
          </cell>
          <cell r="K2449">
            <v>8</v>
          </cell>
          <cell r="L2449" t="str">
            <v>6.61</v>
          </cell>
          <cell r="M2449">
            <v>25.298221281347036</v>
          </cell>
          <cell r="O2449" t="str">
            <v>-</v>
          </cell>
          <cell r="T2449" t="str">
            <v>-</v>
          </cell>
          <cell r="U2449">
            <v>0.5</v>
          </cell>
        </row>
        <row r="2450">
          <cell r="B2450" t="str">
            <v>HSS24X8X3/8</v>
          </cell>
          <cell r="C2450">
            <v>21.5</v>
          </cell>
          <cell r="D2450" t="str">
            <v>-</v>
          </cell>
          <cell r="F2450">
            <v>24</v>
          </cell>
          <cell r="H2450" t="str">
            <v>-</v>
          </cell>
          <cell r="I2450" t="str">
            <v>-</v>
          </cell>
          <cell r="K2450">
            <v>8</v>
          </cell>
          <cell r="L2450" t="str">
            <v>6.95</v>
          </cell>
          <cell r="M2450">
            <v>25.298221281347036</v>
          </cell>
          <cell r="O2450" t="str">
            <v>-</v>
          </cell>
          <cell r="T2450" t="str">
            <v>-</v>
          </cell>
          <cell r="U2450">
            <v>0.375</v>
          </cell>
        </row>
        <row r="2451">
          <cell r="B2451" t="str">
            <v>HSS24X8X5/16</v>
          </cell>
          <cell r="C2451">
            <v>18.100000000000001</v>
          </cell>
          <cell r="D2451" t="str">
            <v>-</v>
          </cell>
          <cell r="F2451">
            <v>24</v>
          </cell>
          <cell r="H2451" t="str">
            <v>-</v>
          </cell>
          <cell r="I2451" t="str">
            <v>-</v>
          </cell>
          <cell r="K2451">
            <v>8</v>
          </cell>
          <cell r="L2451" t="str">
            <v>7.13</v>
          </cell>
          <cell r="M2451">
            <v>25.298221281347036</v>
          </cell>
          <cell r="O2451" t="str">
            <v>-</v>
          </cell>
          <cell r="T2451" t="str">
            <v>-</v>
          </cell>
          <cell r="U2451">
            <v>0.3125</v>
          </cell>
        </row>
        <row r="2452">
          <cell r="B2452" t="str">
            <v>HSS24X8X1/4</v>
          </cell>
          <cell r="C2452">
            <v>14.6</v>
          </cell>
          <cell r="D2452" t="str">
            <v>-</v>
          </cell>
          <cell r="F2452">
            <v>24</v>
          </cell>
          <cell r="H2452" t="str">
            <v>-</v>
          </cell>
          <cell r="I2452" t="str">
            <v>-</v>
          </cell>
          <cell r="K2452">
            <v>8</v>
          </cell>
          <cell r="L2452" t="str">
            <v>7.30</v>
          </cell>
          <cell r="M2452">
            <v>25.298221281347036</v>
          </cell>
          <cell r="O2452" t="str">
            <v>-</v>
          </cell>
          <cell r="T2452" t="str">
            <v>-</v>
          </cell>
          <cell r="U2452">
            <v>0.25</v>
          </cell>
        </row>
        <row r="2453">
          <cell r="B2453" t="str">
            <v>HSS22X22X1</v>
          </cell>
          <cell r="C2453">
            <v>76.2</v>
          </cell>
          <cell r="D2453" t="str">
            <v>-</v>
          </cell>
          <cell r="F2453">
            <v>22</v>
          </cell>
          <cell r="H2453" t="str">
            <v>-</v>
          </cell>
          <cell r="I2453" t="str">
            <v>-</v>
          </cell>
          <cell r="K2453">
            <v>22</v>
          </cell>
          <cell r="L2453" t="str">
            <v>19.2</v>
          </cell>
          <cell r="M2453">
            <v>31.11269837220809</v>
          </cell>
          <cell r="O2453" t="str">
            <v>-</v>
          </cell>
          <cell r="T2453" t="str">
            <v>-</v>
          </cell>
          <cell r="U2453">
            <v>1</v>
          </cell>
        </row>
        <row r="2454">
          <cell r="B2454" t="str">
            <v>HSS22X22X7/8</v>
          </cell>
          <cell r="C2454">
            <v>67.3</v>
          </cell>
          <cell r="D2454" t="str">
            <v>-</v>
          </cell>
          <cell r="F2454">
            <v>22</v>
          </cell>
          <cell r="H2454" t="str">
            <v>-</v>
          </cell>
          <cell r="I2454" t="str">
            <v>-</v>
          </cell>
          <cell r="K2454">
            <v>22</v>
          </cell>
          <cell r="L2454">
            <v>19.600000000000001</v>
          </cell>
          <cell r="M2454">
            <v>31.11269837220809</v>
          </cell>
          <cell r="O2454" t="str">
            <v>-</v>
          </cell>
          <cell r="T2454" t="str">
            <v>-</v>
          </cell>
          <cell r="U2454">
            <v>0.875</v>
          </cell>
        </row>
        <row r="2455">
          <cell r="B2455" t="str">
            <v>HSS22X22X3/4</v>
          </cell>
          <cell r="C2455">
            <v>58.2</v>
          </cell>
          <cell r="D2455" t="str">
            <v>-</v>
          </cell>
          <cell r="F2455">
            <v>22</v>
          </cell>
          <cell r="H2455" t="str">
            <v>-</v>
          </cell>
          <cell r="I2455" t="str">
            <v>-</v>
          </cell>
          <cell r="K2455">
            <v>22</v>
          </cell>
          <cell r="L2455">
            <v>19.899999999999999</v>
          </cell>
          <cell r="M2455">
            <v>31.11269837220809</v>
          </cell>
          <cell r="O2455" t="str">
            <v>-</v>
          </cell>
          <cell r="T2455" t="str">
            <v>-</v>
          </cell>
          <cell r="U2455">
            <v>0.75</v>
          </cell>
        </row>
        <row r="2456">
          <cell r="B2456" t="str">
            <v>HSS22X22X5/8</v>
          </cell>
          <cell r="C2456">
            <v>48.9</v>
          </cell>
          <cell r="D2456" t="str">
            <v>-</v>
          </cell>
          <cell r="F2456">
            <v>22</v>
          </cell>
          <cell r="H2456" t="str">
            <v>-</v>
          </cell>
          <cell r="I2456" t="str">
            <v>-</v>
          </cell>
          <cell r="K2456">
            <v>22</v>
          </cell>
          <cell r="L2456" t="str">
            <v>20.3</v>
          </cell>
          <cell r="M2456">
            <v>31.11269837220809</v>
          </cell>
          <cell r="O2456" t="str">
            <v>-</v>
          </cell>
          <cell r="T2456" t="str">
            <v>-</v>
          </cell>
          <cell r="U2456">
            <v>0.625</v>
          </cell>
        </row>
        <row r="2457">
          <cell r="B2457" t="str">
            <v>HSS22X22X1/2</v>
          </cell>
          <cell r="C2457">
            <v>39.5</v>
          </cell>
          <cell r="D2457" t="str">
            <v>-</v>
          </cell>
          <cell r="F2457">
            <v>22</v>
          </cell>
          <cell r="H2457" t="str">
            <v>-</v>
          </cell>
          <cell r="I2457" t="str">
            <v>-</v>
          </cell>
          <cell r="K2457">
            <v>22</v>
          </cell>
          <cell r="L2457" t="str">
            <v>20.6</v>
          </cell>
          <cell r="M2457">
            <v>31.11269837220809</v>
          </cell>
          <cell r="O2457" t="str">
            <v>-</v>
          </cell>
          <cell r="T2457" t="str">
            <v>-</v>
          </cell>
          <cell r="U2457">
            <v>0.5</v>
          </cell>
        </row>
        <row r="2458">
          <cell r="B2458" t="str">
            <v>HSS22X20X3/4</v>
          </cell>
          <cell r="C2458">
            <v>55.4</v>
          </cell>
          <cell r="D2458" t="str">
            <v>-</v>
          </cell>
          <cell r="F2458">
            <v>22</v>
          </cell>
          <cell r="H2458" t="str">
            <v>-</v>
          </cell>
          <cell r="I2458" t="str">
            <v>-</v>
          </cell>
          <cell r="K2458">
            <v>20</v>
          </cell>
          <cell r="L2458" t="str">
            <v>17.9</v>
          </cell>
          <cell r="M2458">
            <v>29.732137494637012</v>
          </cell>
          <cell r="O2458" t="str">
            <v>-</v>
          </cell>
          <cell r="T2458" t="str">
            <v>-</v>
          </cell>
          <cell r="U2458">
            <v>0.75</v>
          </cell>
        </row>
        <row r="2459">
          <cell r="B2459" t="str">
            <v>HSS22X20X5/8</v>
          </cell>
          <cell r="C2459">
            <v>46.6</v>
          </cell>
          <cell r="D2459" t="str">
            <v>-</v>
          </cell>
          <cell r="F2459">
            <v>22</v>
          </cell>
          <cell r="H2459" t="str">
            <v>-</v>
          </cell>
          <cell r="I2459" t="str">
            <v>-</v>
          </cell>
          <cell r="K2459">
            <v>20</v>
          </cell>
          <cell r="L2459" t="str">
            <v>18.3</v>
          </cell>
          <cell r="M2459">
            <v>29.732137494637012</v>
          </cell>
          <cell r="O2459" t="str">
            <v>-</v>
          </cell>
          <cell r="T2459" t="str">
            <v>-</v>
          </cell>
          <cell r="U2459">
            <v>0.625</v>
          </cell>
        </row>
        <row r="2460">
          <cell r="B2460" t="str">
            <v>HSS22X20X1/2</v>
          </cell>
          <cell r="C2460">
            <v>37.6</v>
          </cell>
          <cell r="D2460" t="str">
            <v>-</v>
          </cell>
          <cell r="F2460">
            <v>22</v>
          </cell>
          <cell r="H2460" t="str">
            <v>-</v>
          </cell>
          <cell r="I2460" t="str">
            <v>-</v>
          </cell>
          <cell r="K2460">
            <v>20</v>
          </cell>
          <cell r="L2460" t="str">
            <v>18.6</v>
          </cell>
          <cell r="M2460">
            <v>29.732137494637012</v>
          </cell>
          <cell r="O2460" t="str">
            <v>-</v>
          </cell>
          <cell r="T2460" t="str">
            <v>-</v>
          </cell>
          <cell r="U2460">
            <v>0.5</v>
          </cell>
        </row>
        <row r="2461">
          <cell r="B2461" t="str">
            <v>HSS22X20X3/8</v>
          </cell>
          <cell r="C2461">
            <v>28.5</v>
          </cell>
          <cell r="D2461" t="str">
            <v>-</v>
          </cell>
          <cell r="F2461">
            <v>22</v>
          </cell>
          <cell r="H2461" t="str">
            <v>-</v>
          </cell>
          <cell r="I2461" t="str">
            <v>-</v>
          </cell>
          <cell r="K2461">
            <v>20</v>
          </cell>
          <cell r="L2461" t="str">
            <v>19.0</v>
          </cell>
          <cell r="M2461">
            <v>29.732137494637012</v>
          </cell>
          <cell r="O2461" t="str">
            <v>-</v>
          </cell>
          <cell r="T2461" t="str">
            <v>-</v>
          </cell>
          <cell r="U2461">
            <v>0.375</v>
          </cell>
        </row>
        <row r="2462">
          <cell r="B2462" t="str">
            <v>HSS22X20X5/16</v>
          </cell>
          <cell r="C2462">
            <v>23.9</v>
          </cell>
          <cell r="D2462" t="str">
            <v>-</v>
          </cell>
          <cell r="F2462">
            <v>22</v>
          </cell>
          <cell r="H2462" t="str">
            <v>-</v>
          </cell>
          <cell r="I2462" t="str">
            <v>-</v>
          </cell>
          <cell r="K2462">
            <v>20</v>
          </cell>
          <cell r="L2462" t="str">
            <v>19.1</v>
          </cell>
          <cell r="M2462">
            <v>29.732137494637012</v>
          </cell>
          <cell r="O2462" t="str">
            <v>-</v>
          </cell>
          <cell r="T2462" t="str">
            <v>-</v>
          </cell>
          <cell r="U2462">
            <v>0.3125</v>
          </cell>
        </row>
        <row r="2463">
          <cell r="B2463" t="str">
            <v>HSS22X18X3/4</v>
          </cell>
          <cell r="C2463">
            <v>52.6</v>
          </cell>
          <cell r="D2463" t="str">
            <v>-</v>
          </cell>
          <cell r="F2463">
            <v>22</v>
          </cell>
          <cell r="H2463" t="str">
            <v>-</v>
          </cell>
          <cell r="I2463" t="str">
            <v>-</v>
          </cell>
          <cell r="K2463">
            <v>18</v>
          </cell>
          <cell r="L2463" t="str">
            <v>15.9</v>
          </cell>
          <cell r="M2463">
            <v>28.42534080710379</v>
          </cell>
          <cell r="O2463" t="str">
            <v>-</v>
          </cell>
          <cell r="T2463" t="str">
            <v>-</v>
          </cell>
          <cell r="U2463">
            <v>0.75</v>
          </cell>
        </row>
        <row r="2464">
          <cell r="B2464" t="str">
            <v>HSS22X18X5/8</v>
          </cell>
          <cell r="C2464">
            <v>44.3</v>
          </cell>
          <cell r="D2464" t="str">
            <v>-</v>
          </cell>
          <cell r="F2464">
            <v>22</v>
          </cell>
          <cell r="H2464" t="str">
            <v>-</v>
          </cell>
          <cell r="I2464" t="str">
            <v>-</v>
          </cell>
          <cell r="K2464">
            <v>18</v>
          </cell>
          <cell r="L2464" t="str">
            <v>16.3</v>
          </cell>
          <cell r="M2464">
            <v>28.42534080710379</v>
          </cell>
          <cell r="O2464" t="str">
            <v>-</v>
          </cell>
          <cell r="T2464" t="str">
            <v>-</v>
          </cell>
          <cell r="U2464">
            <v>0.625</v>
          </cell>
        </row>
        <row r="2465">
          <cell r="B2465" t="str">
            <v>HSS22X18X1/2</v>
          </cell>
          <cell r="C2465">
            <v>35.799999999999997</v>
          </cell>
          <cell r="D2465" t="str">
            <v>-</v>
          </cell>
          <cell r="F2465">
            <v>22</v>
          </cell>
          <cell r="H2465" t="str">
            <v>-</v>
          </cell>
          <cell r="I2465" t="str">
            <v>-</v>
          </cell>
          <cell r="K2465">
            <v>18</v>
          </cell>
          <cell r="L2465" t="str">
            <v>16.6</v>
          </cell>
          <cell r="M2465">
            <v>28.42534080710379</v>
          </cell>
          <cell r="O2465" t="str">
            <v>-</v>
          </cell>
          <cell r="T2465" t="str">
            <v>-</v>
          </cell>
          <cell r="U2465">
            <v>0.5</v>
          </cell>
        </row>
        <row r="2466">
          <cell r="B2466" t="str">
            <v>HSS22X18X3/8</v>
          </cell>
          <cell r="C2466">
            <v>27.1</v>
          </cell>
          <cell r="D2466" t="str">
            <v>-</v>
          </cell>
          <cell r="F2466">
            <v>22</v>
          </cell>
          <cell r="H2466" t="str">
            <v>-</v>
          </cell>
          <cell r="I2466" t="str">
            <v>-</v>
          </cell>
          <cell r="K2466">
            <v>18</v>
          </cell>
          <cell r="L2466" t="str">
            <v>17.0</v>
          </cell>
          <cell r="M2466">
            <v>28.42534080710379</v>
          </cell>
          <cell r="O2466" t="str">
            <v>-</v>
          </cell>
          <cell r="T2466" t="str">
            <v>-</v>
          </cell>
          <cell r="U2466">
            <v>0.375</v>
          </cell>
        </row>
        <row r="2467">
          <cell r="B2467" t="str">
            <v>HSS22X18X5/16</v>
          </cell>
          <cell r="C2467">
            <v>22.7</v>
          </cell>
          <cell r="D2467" t="str">
            <v>-</v>
          </cell>
          <cell r="F2467">
            <v>22</v>
          </cell>
          <cell r="H2467" t="str">
            <v>-</v>
          </cell>
          <cell r="I2467" t="str">
            <v>-</v>
          </cell>
          <cell r="K2467">
            <v>18</v>
          </cell>
          <cell r="L2467" t="str">
            <v>17.1</v>
          </cell>
          <cell r="M2467">
            <v>28.42534080710379</v>
          </cell>
          <cell r="O2467" t="str">
            <v>-</v>
          </cell>
          <cell r="T2467" t="str">
            <v>-</v>
          </cell>
          <cell r="U2467">
            <v>0.3125</v>
          </cell>
        </row>
        <row r="2468">
          <cell r="B2468" t="str">
            <v>HSS22X16X3/4</v>
          </cell>
          <cell r="C2468">
            <v>49.8</v>
          </cell>
          <cell r="D2468" t="str">
            <v>-</v>
          </cell>
          <cell r="F2468">
            <v>22</v>
          </cell>
          <cell r="H2468" t="str">
            <v>-</v>
          </cell>
          <cell r="I2468" t="str">
            <v>-</v>
          </cell>
          <cell r="K2468">
            <v>16</v>
          </cell>
          <cell r="L2468" t="str">
            <v>13.9</v>
          </cell>
          <cell r="M2468">
            <v>27.202941017470888</v>
          </cell>
          <cell r="O2468" t="str">
            <v>-</v>
          </cell>
          <cell r="T2468" t="str">
            <v>-</v>
          </cell>
          <cell r="U2468">
            <v>0.75</v>
          </cell>
        </row>
        <row r="2469">
          <cell r="B2469" t="str">
            <v>HSS22X16X5/8</v>
          </cell>
          <cell r="C2469">
            <v>41.9</v>
          </cell>
          <cell r="D2469" t="str">
            <v>-</v>
          </cell>
          <cell r="F2469">
            <v>22</v>
          </cell>
          <cell r="H2469" t="str">
            <v>-</v>
          </cell>
          <cell r="I2469" t="str">
            <v>-</v>
          </cell>
          <cell r="K2469">
            <v>16</v>
          </cell>
          <cell r="L2469" t="str">
            <v>14.3</v>
          </cell>
          <cell r="M2469">
            <v>27.202941017470888</v>
          </cell>
          <cell r="O2469" t="str">
            <v>-</v>
          </cell>
          <cell r="T2469" t="str">
            <v>-</v>
          </cell>
          <cell r="U2469">
            <v>0.625</v>
          </cell>
        </row>
        <row r="2470">
          <cell r="B2470" t="str">
            <v>HSS22X16X1/2</v>
          </cell>
          <cell r="C2470">
            <v>33.9</v>
          </cell>
          <cell r="D2470" t="str">
            <v>-</v>
          </cell>
          <cell r="F2470">
            <v>22</v>
          </cell>
          <cell r="H2470" t="str">
            <v>-</v>
          </cell>
          <cell r="I2470" t="str">
            <v>-</v>
          </cell>
          <cell r="K2470">
            <v>16</v>
          </cell>
          <cell r="L2470" t="str">
            <v>14.6</v>
          </cell>
          <cell r="M2470">
            <v>27.202941017470888</v>
          </cell>
          <cell r="O2470" t="str">
            <v>-</v>
          </cell>
          <cell r="T2470" t="str">
            <v>-</v>
          </cell>
          <cell r="U2470">
            <v>0.5</v>
          </cell>
        </row>
        <row r="2471">
          <cell r="B2471" t="str">
            <v>HSS22X16X3/8</v>
          </cell>
          <cell r="C2471">
            <v>25.7</v>
          </cell>
          <cell r="D2471" t="str">
            <v>-</v>
          </cell>
          <cell r="F2471">
            <v>22</v>
          </cell>
          <cell r="H2471" t="str">
            <v>-</v>
          </cell>
          <cell r="I2471" t="str">
            <v>-</v>
          </cell>
          <cell r="K2471">
            <v>16</v>
          </cell>
          <cell r="L2471" t="str">
            <v>15.0</v>
          </cell>
          <cell r="M2471">
            <v>27.202941017470888</v>
          </cell>
          <cell r="O2471" t="str">
            <v>-</v>
          </cell>
          <cell r="T2471" t="str">
            <v>-</v>
          </cell>
          <cell r="U2471">
            <v>0.375</v>
          </cell>
        </row>
        <row r="2472">
          <cell r="B2472" t="str">
            <v>HSS22X16X5/16</v>
          </cell>
          <cell r="C2472">
            <v>21.6</v>
          </cell>
          <cell r="D2472" t="str">
            <v>-</v>
          </cell>
          <cell r="F2472">
            <v>22</v>
          </cell>
          <cell r="H2472" t="str">
            <v>-</v>
          </cell>
          <cell r="I2472" t="str">
            <v>-</v>
          </cell>
          <cell r="K2472">
            <v>16</v>
          </cell>
          <cell r="L2472" t="str">
            <v>15.1</v>
          </cell>
          <cell r="M2472">
            <v>27.202941017470888</v>
          </cell>
          <cell r="O2472" t="str">
            <v>-</v>
          </cell>
          <cell r="T2472" t="str">
            <v>-</v>
          </cell>
          <cell r="U2472">
            <v>0.3125</v>
          </cell>
        </row>
        <row r="2473">
          <cell r="B2473" t="str">
            <v>HSS22X16X1/4</v>
          </cell>
          <cell r="C2473">
            <v>17.399999999999999</v>
          </cell>
          <cell r="D2473" t="str">
            <v>-</v>
          </cell>
          <cell r="F2473">
            <v>22</v>
          </cell>
          <cell r="H2473" t="str">
            <v>-</v>
          </cell>
          <cell r="I2473" t="str">
            <v>-</v>
          </cell>
          <cell r="K2473">
            <v>16</v>
          </cell>
          <cell r="L2473" t="str">
            <v>15.3</v>
          </cell>
          <cell r="M2473">
            <v>27.202941017470888</v>
          </cell>
          <cell r="O2473" t="str">
            <v>-</v>
          </cell>
          <cell r="T2473" t="str">
            <v>-</v>
          </cell>
          <cell r="U2473">
            <v>0.25</v>
          </cell>
        </row>
        <row r="2474">
          <cell r="B2474" t="str">
            <v>HSS22X14X3/4</v>
          </cell>
          <cell r="C2474">
            <v>47.1</v>
          </cell>
          <cell r="D2474" t="str">
            <v>-</v>
          </cell>
          <cell r="F2474">
            <v>22</v>
          </cell>
          <cell r="H2474" t="str">
            <v>-</v>
          </cell>
          <cell r="I2474" t="str">
            <v>-</v>
          </cell>
          <cell r="K2474">
            <v>14</v>
          </cell>
          <cell r="L2474" t="str">
            <v>11.9</v>
          </cell>
          <cell r="M2474">
            <v>26.076809620810597</v>
          </cell>
          <cell r="O2474" t="str">
            <v>-</v>
          </cell>
          <cell r="T2474" t="str">
            <v>-</v>
          </cell>
          <cell r="U2474">
            <v>0.75</v>
          </cell>
        </row>
        <row r="2475">
          <cell r="B2475" t="str">
            <v>HSS22X14X5/8</v>
          </cell>
          <cell r="C2475">
            <v>39.6</v>
          </cell>
          <cell r="D2475" t="str">
            <v>-</v>
          </cell>
          <cell r="F2475">
            <v>22</v>
          </cell>
          <cell r="H2475" t="str">
            <v>-</v>
          </cell>
          <cell r="I2475" t="str">
            <v>-</v>
          </cell>
          <cell r="K2475">
            <v>14</v>
          </cell>
          <cell r="L2475" t="str">
            <v>12.3</v>
          </cell>
          <cell r="M2475">
            <v>26.076809620810597</v>
          </cell>
          <cell r="O2475" t="str">
            <v>-</v>
          </cell>
          <cell r="T2475" t="str">
            <v>-</v>
          </cell>
          <cell r="U2475">
            <v>0.625</v>
          </cell>
        </row>
        <row r="2476">
          <cell r="B2476" t="str">
            <v>HSS22X14X1/2</v>
          </cell>
          <cell r="C2476">
            <v>32.1</v>
          </cell>
          <cell r="D2476" t="str">
            <v>-</v>
          </cell>
          <cell r="F2476">
            <v>22</v>
          </cell>
          <cell r="H2476" t="str">
            <v>-</v>
          </cell>
          <cell r="I2476" t="str">
            <v>-</v>
          </cell>
          <cell r="K2476">
            <v>14</v>
          </cell>
          <cell r="L2476" t="str">
            <v>12.6</v>
          </cell>
          <cell r="M2476">
            <v>26.076809620810597</v>
          </cell>
          <cell r="O2476" t="str">
            <v>-</v>
          </cell>
          <cell r="T2476" t="str">
            <v>-</v>
          </cell>
          <cell r="U2476">
            <v>0.5</v>
          </cell>
        </row>
        <row r="2477">
          <cell r="B2477" t="str">
            <v>HSS22X14X3/8</v>
          </cell>
          <cell r="C2477">
            <v>24.3</v>
          </cell>
          <cell r="D2477" t="str">
            <v>-</v>
          </cell>
          <cell r="F2477">
            <v>22</v>
          </cell>
          <cell r="H2477" t="str">
            <v>-</v>
          </cell>
          <cell r="I2477" t="str">
            <v>-</v>
          </cell>
          <cell r="K2477">
            <v>14</v>
          </cell>
          <cell r="L2477" t="str">
            <v>13.0</v>
          </cell>
          <cell r="M2477">
            <v>26.076809620810597</v>
          </cell>
          <cell r="O2477" t="str">
            <v>-</v>
          </cell>
          <cell r="T2477" t="str">
            <v>-</v>
          </cell>
          <cell r="U2477">
            <v>0.375</v>
          </cell>
        </row>
        <row r="2478">
          <cell r="B2478" t="str">
            <v>HSS22X14X5/16</v>
          </cell>
          <cell r="C2478">
            <v>20.399999999999999</v>
          </cell>
          <cell r="D2478" t="str">
            <v>-</v>
          </cell>
          <cell r="F2478">
            <v>22</v>
          </cell>
          <cell r="H2478" t="str">
            <v>-</v>
          </cell>
          <cell r="I2478" t="str">
            <v>-</v>
          </cell>
          <cell r="K2478">
            <v>14</v>
          </cell>
          <cell r="L2478" t="str">
            <v>13.1</v>
          </cell>
          <cell r="M2478">
            <v>26.076809620810597</v>
          </cell>
          <cell r="O2478" t="str">
            <v>-</v>
          </cell>
          <cell r="T2478" t="str">
            <v>-</v>
          </cell>
          <cell r="U2478">
            <v>0.3125</v>
          </cell>
        </row>
        <row r="2479">
          <cell r="B2479" t="str">
            <v>HSS22X14X1/4</v>
          </cell>
          <cell r="C2479">
            <v>16.399999999999999</v>
          </cell>
          <cell r="D2479" t="str">
            <v>-</v>
          </cell>
          <cell r="F2479">
            <v>22</v>
          </cell>
          <cell r="H2479" t="str">
            <v>-</v>
          </cell>
          <cell r="I2479" t="str">
            <v>-</v>
          </cell>
          <cell r="K2479">
            <v>14</v>
          </cell>
          <cell r="L2479" t="str">
            <v>13.3</v>
          </cell>
          <cell r="M2479">
            <v>26.076809620810597</v>
          </cell>
          <cell r="O2479" t="str">
            <v>-</v>
          </cell>
          <cell r="T2479" t="str">
            <v>-</v>
          </cell>
          <cell r="U2479">
            <v>0.25</v>
          </cell>
        </row>
        <row r="2480">
          <cell r="B2480" t="str">
            <v>HSS22X10X5/8</v>
          </cell>
          <cell r="C2480">
            <v>35</v>
          </cell>
          <cell r="D2480" t="str">
            <v>-</v>
          </cell>
          <cell r="F2480">
            <v>22</v>
          </cell>
          <cell r="H2480" t="str">
            <v>-</v>
          </cell>
          <cell r="I2480" t="str">
            <v>-</v>
          </cell>
          <cell r="K2480">
            <v>10</v>
          </cell>
          <cell r="L2480" t="str">
            <v>8.26</v>
          </cell>
          <cell r="M2480">
            <v>24.166091947189145</v>
          </cell>
          <cell r="O2480" t="str">
            <v>-</v>
          </cell>
          <cell r="T2480" t="str">
            <v>-</v>
          </cell>
          <cell r="U2480">
            <v>0.625</v>
          </cell>
        </row>
        <row r="2481">
          <cell r="B2481" t="str">
            <v>HSS22X10X1/2</v>
          </cell>
          <cell r="C2481">
            <v>28.3</v>
          </cell>
          <cell r="D2481" t="str">
            <v>-</v>
          </cell>
          <cell r="F2481">
            <v>22</v>
          </cell>
          <cell r="H2481" t="str">
            <v>-</v>
          </cell>
          <cell r="I2481" t="str">
            <v>-</v>
          </cell>
          <cell r="K2481">
            <v>10</v>
          </cell>
          <cell r="L2481" t="str">
            <v>8.61</v>
          </cell>
          <cell r="M2481">
            <v>24.166091947189145</v>
          </cell>
          <cell r="O2481" t="str">
            <v>-</v>
          </cell>
          <cell r="T2481" t="str">
            <v>-</v>
          </cell>
          <cell r="U2481">
            <v>0.5</v>
          </cell>
        </row>
        <row r="2482">
          <cell r="B2482" t="str">
            <v>HSS22X10X3/8</v>
          </cell>
          <cell r="C2482">
            <v>21.5</v>
          </cell>
          <cell r="D2482" t="str">
            <v>-</v>
          </cell>
          <cell r="F2482">
            <v>22</v>
          </cell>
          <cell r="H2482" t="str">
            <v>-</v>
          </cell>
          <cell r="I2482" t="str">
            <v>-</v>
          </cell>
          <cell r="K2482">
            <v>10</v>
          </cell>
          <cell r="L2482" t="str">
            <v>8.95</v>
          </cell>
          <cell r="M2482">
            <v>24.166091947189145</v>
          </cell>
          <cell r="O2482" t="str">
            <v>-</v>
          </cell>
          <cell r="T2482" t="str">
            <v>-</v>
          </cell>
          <cell r="U2482">
            <v>0.375</v>
          </cell>
        </row>
        <row r="2483">
          <cell r="B2483" t="str">
            <v>HSS22X10X5/16</v>
          </cell>
          <cell r="C2483">
            <v>18.100000000000001</v>
          </cell>
          <cell r="D2483" t="str">
            <v>-</v>
          </cell>
          <cell r="F2483">
            <v>22</v>
          </cell>
          <cell r="H2483" t="str">
            <v>-</v>
          </cell>
          <cell r="I2483" t="str">
            <v>-</v>
          </cell>
          <cell r="K2483">
            <v>10</v>
          </cell>
          <cell r="L2483" t="str">
            <v>9.13</v>
          </cell>
          <cell r="M2483">
            <v>24.166091947189145</v>
          </cell>
          <cell r="O2483" t="str">
            <v>-</v>
          </cell>
          <cell r="T2483" t="str">
            <v>-</v>
          </cell>
          <cell r="U2483">
            <v>0.3125</v>
          </cell>
        </row>
        <row r="2484">
          <cell r="B2484" t="str">
            <v>HSS22X10X1/4</v>
          </cell>
          <cell r="C2484">
            <v>14.6</v>
          </cell>
          <cell r="D2484" t="str">
            <v>-</v>
          </cell>
          <cell r="F2484">
            <v>22</v>
          </cell>
          <cell r="H2484" t="str">
            <v>-</v>
          </cell>
          <cell r="I2484" t="str">
            <v>-</v>
          </cell>
          <cell r="K2484">
            <v>10</v>
          </cell>
          <cell r="L2484" t="str">
            <v>9.30</v>
          </cell>
          <cell r="M2484">
            <v>24.166091947189145</v>
          </cell>
          <cell r="O2484" t="str">
            <v>-</v>
          </cell>
          <cell r="T2484" t="str">
            <v>-</v>
          </cell>
          <cell r="U2484">
            <v>0.25</v>
          </cell>
        </row>
        <row r="2485">
          <cell r="B2485" t="str">
            <v>HSS20X20X1</v>
          </cell>
          <cell r="C2485">
            <v>68.7</v>
          </cell>
          <cell r="D2485" t="str">
            <v>-</v>
          </cell>
          <cell r="F2485">
            <v>20</v>
          </cell>
          <cell r="H2485" t="str">
            <v>-</v>
          </cell>
          <cell r="I2485" t="str">
            <v>-</v>
          </cell>
          <cell r="K2485">
            <v>20</v>
          </cell>
          <cell r="L2485" t="str">
            <v>17.2</v>
          </cell>
          <cell r="M2485">
            <v>28.284271247461902</v>
          </cell>
          <cell r="O2485" t="str">
            <v>-</v>
          </cell>
          <cell r="T2485" t="str">
            <v>-</v>
          </cell>
          <cell r="U2485">
            <v>1</v>
          </cell>
        </row>
        <row r="2486">
          <cell r="B2486" t="str">
            <v>HSS20X20X7/8</v>
          </cell>
          <cell r="C2486">
            <v>60.8</v>
          </cell>
          <cell r="D2486" t="str">
            <v>-</v>
          </cell>
          <cell r="F2486">
            <v>20</v>
          </cell>
          <cell r="H2486" t="str">
            <v>-</v>
          </cell>
          <cell r="I2486" t="str">
            <v>-</v>
          </cell>
          <cell r="K2486">
            <v>20</v>
          </cell>
          <cell r="L2486">
            <v>17.600000000000001</v>
          </cell>
          <cell r="M2486">
            <v>28.284271247461902</v>
          </cell>
          <cell r="O2486" t="str">
            <v>-</v>
          </cell>
          <cell r="T2486" t="str">
            <v>-</v>
          </cell>
          <cell r="U2486">
            <v>0.875</v>
          </cell>
        </row>
        <row r="2487">
          <cell r="B2487" t="str">
            <v>HSS20X20X3/4</v>
          </cell>
          <cell r="C2487">
            <v>52.6</v>
          </cell>
          <cell r="D2487" t="str">
            <v>-</v>
          </cell>
          <cell r="F2487">
            <v>20</v>
          </cell>
          <cell r="H2487" t="str">
            <v>-</v>
          </cell>
          <cell r="I2487" t="str">
            <v>-</v>
          </cell>
          <cell r="K2487">
            <v>20</v>
          </cell>
          <cell r="L2487">
            <v>17.899999999999999</v>
          </cell>
          <cell r="M2487">
            <v>28.284271247461902</v>
          </cell>
          <cell r="O2487" t="str">
            <v>-</v>
          </cell>
          <cell r="T2487" t="str">
            <v>-</v>
          </cell>
          <cell r="U2487">
            <v>0.75</v>
          </cell>
        </row>
        <row r="2488">
          <cell r="B2488" t="str">
            <v>HSS20X20X5/8</v>
          </cell>
          <cell r="C2488">
            <v>44.3</v>
          </cell>
          <cell r="D2488" t="str">
            <v>-</v>
          </cell>
          <cell r="F2488">
            <v>20</v>
          </cell>
          <cell r="H2488" t="str">
            <v>-</v>
          </cell>
          <cell r="I2488" t="str">
            <v>-</v>
          </cell>
          <cell r="K2488">
            <v>20</v>
          </cell>
          <cell r="L2488">
            <v>18.3</v>
          </cell>
          <cell r="M2488">
            <v>28.284271247461902</v>
          </cell>
          <cell r="O2488" t="str">
            <v>-</v>
          </cell>
          <cell r="T2488" t="str">
            <v>-</v>
          </cell>
          <cell r="U2488">
            <v>0.625</v>
          </cell>
        </row>
        <row r="2489">
          <cell r="B2489" t="str">
            <v>HSS20X20X1/2</v>
          </cell>
          <cell r="C2489">
            <v>35.799999999999997</v>
          </cell>
          <cell r="D2489" t="str">
            <v>-</v>
          </cell>
          <cell r="F2489">
            <v>20</v>
          </cell>
          <cell r="H2489" t="str">
            <v>-</v>
          </cell>
          <cell r="I2489" t="str">
            <v>-</v>
          </cell>
          <cell r="K2489">
            <v>20</v>
          </cell>
          <cell r="L2489">
            <v>18.600000000000001</v>
          </cell>
          <cell r="M2489">
            <v>28.284271247461902</v>
          </cell>
          <cell r="O2489" t="str">
            <v>-</v>
          </cell>
          <cell r="T2489" t="str">
            <v>-</v>
          </cell>
          <cell r="U2489">
            <v>0.5</v>
          </cell>
        </row>
        <row r="2490">
          <cell r="B2490" t="str">
            <v>HSS20X20X3/8</v>
          </cell>
          <cell r="C2490">
            <v>27.1</v>
          </cell>
          <cell r="D2490" t="str">
            <v>-</v>
          </cell>
          <cell r="F2490">
            <v>20</v>
          </cell>
          <cell r="H2490" t="str">
            <v>-</v>
          </cell>
          <cell r="I2490" t="str">
            <v>-</v>
          </cell>
          <cell r="K2490">
            <v>20</v>
          </cell>
          <cell r="L2490" t="str">
            <v>19.0</v>
          </cell>
          <cell r="M2490">
            <v>28.284271247461902</v>
          </cell>
          <cell r="O2490" t="str">
            <v>-</v>
          </cell>
          <cell r="T2490" t="str">
            <v>-</v>
          </cell>
          <cell r="U2490">
            <v>0.375</v>
          </cell>
        </row>
        <row r="2491">
          <cell r="B2491" t="str">
            <v>HSS20X20X5/16</v>
          </cell>
          <cell r="C2491">
            <v>22.7</v>
          </cell>
          <cell r="D2491" t="str">
            <v>-</v>
          </cell>
          <cell r="F2491">
            <v>20</v>
          </cell>
          <cell r="H2491" t="str">
            <v>-</v>
          </cell>
          <cell r="I2491" t="str">
            <v>-</v>
          </cell>
          <cell r="K2491">
            <v>20</v>
          </cell>
          <cell r="L2491" t="str">
            <v>19.1</v>
          </cell>
          <cell r="M2491">
            <v>28.284271247461902</v>
          </cell>
          <cell r="O2491" t="str">
            <v>-</v>
          </cell>
          <cell r="T2491" t="str">
            <v>-</v>
          </cell>
          <cell r="U2491">
            <v>0.3125</v>
          </cell>
        </row>
        <row r="2492">
          <cell r="B2492" t="str">
            <v>HSS20X16X3/4</v>
          </cell>
          <cell r="C2492">
            <v>47.1</v>
          </cell>
          <cell r="D2492" t="str">
            <v>-</v>
          </cell>
          <cell r="F2492">
            <v>20</v>
          </cell>
          <cell r="H2492" t="str">
            <v>-</v>
          </cell>
          <cell r="I2492" t="str">
            <v>-</v>
          </cell>
          <cell r="K2492">
            <v>16</v>
          </cell>
          <cell r="L2492" t="str">
            <v>13.9</v>
          </cell>
          <cell r="M2492">
            <v>25.612496949731394</v>
          </cell>
          <cell r="O2492" t="str">
            <v>-</v>
          </cell>
          <cell r="T2492" t="str">
            <v>-</v>
          </cell>
          <cell r="U2492">
            <v>0.75</v>
          </cell>
        </row>
        <row r="2493">
          <cell r="B2493" t="str">
            <v>HSS20X16X5/8</v>
          </cell>
          <cell r="C2493">
            <v>39.6</v>
          </cell>
          <cell r="D2493" t="str">
            <v>-</v>
          </cell>
          <cell r="F2493">
            <v>20</v>
          </cell>
          <cell r="H2493" t="str">
            <v>-</v>
          </cell>
          <cell r="I2493" t="str">
            <v>-</v>
          </cell>
          <cell r="K2493">
            <v>16</v>
          </cell>
          <cell r="L2493" t="str">
            <v>14.3</v>
          </cell>
          <cell r="M2493">
            <v>25.612496949731394</v>
          </cell>
          <cell r="O2493" t="str">
            <v>-</v>
          </cell>
          <cell r="T2493" t="str">
            <v>-</v>
          </cell>
          <cell r="U2493">
            <v>0.625</v>
          </cell>
        </row>
        <row r="2494">
          <cell r="B2494" t="str">
            <v>HSS20X16X1/2</v>
          </cell>
          <cell r="C2494">
            <v>32.1</v>
          </cell>
          <cell r="D2494" t="str">
            <v>-</v>
          </cell>
          <cell r="F2494">
            <v>20</v>
          </cell>
          <cell r="H2494" t="str">
            <v>-</v>
          </cell>
          <cell r="I2494" t="str">
            <v>-</v>
          </cell>
          <cell r="K2494">
            <v>16</v>
          </cell>
          <cell r="L2494" t="str">
            <v>14.6</v>
          </cell>
          <cell r="M2494">
            <v>25.612496949731394</v>
          </cell>
          <cell r="O2494" t="str">
            <v>-</v>
          </cell>
          <cell r="T2494" t="str">
            <v>-</v>
          </cell>
          <cell r="U2494">
            <v>0.5</v>
          </cell>
        </row>
        <row r="2495">
          <cell r="B2495" t="str">
            <v>HSS20X16X3/8</v>
          </cell>
          <cell r="C2495">
            <v>24.3</v>
          </cell>
          <cell r="D2495" t="str">
            <v>-</v>
          </cell>
          <cell r="F2495">
            <v>20</v>
          </cell>
          <cell r="H2495" t="str">
            <v>-</v>
          </cell>
          <cell r="I2495" t="str">
            <v>-</v>
          </cell>
          <cell r="K2495">
            <v>16</v>
          </cell>
          <cell r="L2495" t="str">
            <v>15.0</v>
          </cell>
          <cell r="M2495">
            <v>25.612496949731394</v>
          </cell>
          <cell r="O2495" t="str">
            <v>-</v>
          </cell>
          <cell r="T2495" t="str">
            <v>-</v>
          </cell>
          <cell r="U2495">
            <v>0.375</v>
          </cell>
        </row>
        <row r="2496">
          <cell r="B2496" t="str">
            <v>HSS20X16X5/16</v>
          </cell>
          <cell r="C2496">
            <v>20.399999999999999</v>
          </cell>
          <cell r="D2496" t="str">
            <v>-</v>
          </cell>
          <cell r="F2496">
            <v>20</v>
          </cell>
          <cell r="H2496" t="str">
            <v>-</v>
          </cell>
          <cell r="I2496" t="str">
            <v>-</v>
          </cell>
          <cell r="K2496">
            <v>16</v>
          </cell>
          <cell r="L2496" t="str">
            <v>15.1</v>
          </cell>
          <cell r="M2496">
            <v>25.612496949731394</v>
          </cell>
          <cell r="O2496" t="str">
            <v>-</v>
          </cell>
          <cell r="T2496" t="str">
            <v>-</v>
          </cell>
          <cell r="U2496">
            <v>0.3125</v>
          </cell>
        </row>
        <row r="2497">
          <cell r="B2497" t="str">
            <v>HSS20X16X1/4</v>
          </cell>
          <cell r="C2497">
            <v>16.399999999999999</v>
          </cell>
          <cell r="D2497" t="str">
            <v>-</v>
          </cell>
          <cell r="F2497">
            <v>20</v>
          </cell>
          <cell r="H2497" t="str">
            <v>-</v>
          </cell>
          <cell r="I2497" t="str">
            <v>-</v>
          </cell>
          <cell r="K2497">
            <v>16</v>
          </cell>
          <cell r="L2497" t="str">
            <v>15.3</v>
          </cell>
          <cell r="M2497">
            <v>25.612496949731394</v>
          </cell>
          <cell r="O2497" t="str">
            <v>-</v>
          </cell>
          <cell r="T2497" t="str">
            <v>-</v>
          </cell>
          <cell r="U2497">
            <v>0.25</v>
          </cell>
        </row>
        <row r="2498">
          <cell r="B2498" t="str">
            <v>HSS20X12X1</v>
          </cell>
          <cell r="C2498">
            <v>53.8</v>
          </cell>
          <cell r="D2498" t="str">
            <v>-</v>
          </cell>
          <cell r="F2498">
            <v>20</v>
          </cell>
          <cell r="H2498" t="str">
            <v>-</v>
          </cell>
          <cell r="I2498" t="str">
            <v>-</v>
          </cell>
          <cell r="K2498">
            <v>12</v>
          </cell>
          <cell r="L2498" t="str">
            <v>9.21</v>
          </cell>
          <cell r="M2498">
            <v>23.323807579381203</v>
          </cell>
          <cell r="O2498" t="str">
            <v>-</v>
          </cell>
          <cell r="T2498" t="str">
            <v>-</v>
          </cell>
          <cell r="U2498">
            <v>1</v>
          </cell>
        </row>
        <row r="2499">
          <cell r="B2499" t="str">
            <v>HSS20X12X7/8</v>
          </cell>
          <cell r="C2499">
            <v>47.7</v>
          </cell>
          <cell r="D2499" t="str">
            <v>-</v>
          </cell>
          <cell r="F2499">
            <v>20</v>
          </cell>
          <cell r="H2499" t="str">
            <v>-</v>
          </cell>
          <cell r="I2499" t="str">
            <v>-</v>
          </cell>
          <cell r="K2499">
            <v>12</v>
          </cell>
          <cell r="L2499" t="str">
            <v>9.56</v>
          </cell>
          <cell r="M2499">
            <v>23.323807579381203</v>
          </cell>
          <cell r="O2499" t="str">
            <v>-</v>
          </cell>
          <cell r="T2499" t="str">
            <v>-</v>
          </cell>
          <cell r="U2499">
            <v>0.875</v>
          </cell>
        </row>
        <row r="2500">
          <cell r="B2500" t="str">
            <v>HSS20X12X3/4</v>
          </cell>
          <cell r="C2500">
            <v>41.5</v>
          </cell>
          <cell r="D2500" t="str">
            <v>-</v>
          </cell>
          <cell r="F2500">
            <v>20</v>
          </cell>
          <cell r="H2500" t="str">
            <v>-</v>
          </cell>
          <cell r="I2500" t="str">
            <v>-</v>
          </cell>
          <cell r="K2500">
            <v>12</v>
          </cell>
          <cell r="L2500">
            <v>9.91</v>
          </cell>
          <cell r="M2500">
            <v>23.323807579381203</v>
          </cell>
          <cell r="O2500" t="str">
            <v>-</v>
          </cell>
          <cell r="T2500" t="str">
            <v>-</v>
          </cell>
          <cell r="U2500">
            <v>0.75</v>
          </cell>
        </row>
        <row r="2501">
          <cell r="B2501" t="str">
            <v>HSS20X12X5/8</v>
          </cell>
          <cell r="C2501">
            <v>35</v>
          </cell>
          <cell r="D2501" t="str">
            <v>-</v>
          </cell>
          <cell r="F2501">
            <v>20</v>
          </cell>
          <cell r="H2501" t="str">
            <v>-</v>
          </cell>
          <cell r="I2501" t="str">
            <v>-</v>
          </cell>
          <cell r="K2501">
            <v>12</v>
          </cell>
          <cell r="L2501">
            <v>10.3</v>
          </cell>
          <cell r="M2501">
            <v>23.323807579381203</v>
          </cell>
          <cell r="O2501" t="str">
            <v>-</v>
          </cell>
          <cell r="T2501" t="str">
            <v>-</v>
          </cell>
          <cell r="U2501">
            <v>0.625</v>
          </cell>
        </row>
        <row r="2502">
          <cell r="B2502" t="str">
            <v>HSS20X12X1/2</v>
          </cell>
          <cell r="C2502">
            <v>28.3</v>
          </cell>
          <cell r="D2502" t="str">
            <v>-</v>
          </cell>
          <cell r="F2502">
            <v>20</v>
          </cell>
          <cell r="H2502" t="str">
            <v>-</v>
          </cell>
          <cell r="I2502" t="str">
            <v>-</v>
          </cell>
          <cell r="K2502">
            <v>12</v>
          </cell>
          <cell r="L2502">
            <v>10.6</v>
          </cell>
          <cell r="M2502">
            <v>23.323807579381203</v>
          </cell>
          <cell r="O2502" t="str">
            <v>-</v>
          </cell>
          <cell r="T2502" t="str">
            <v>-</v>
          </cell>
          <cell r="U2502">
            <v>0.5</v>
          </cell>
        </row>
        <row r="2503">
          <cell r="B2503" t="str">
            <v>HSS20X12X3/8</v>
          </cell>
          <cell r="C2503">
            <v>21.5</v>
          </cell>
          <cell r="D2503" t="str">
            <v>-</v>
          </cell>
          <cell r="F2503">
            <v>20</v>
          </cell>
          <cell r="H2503" t="str">
            <v>-</v>
          </cell>
          <cell r="I2503" t="str">
            <v>-</v>
          </cell>
          <cell r="K2503">
            <v>12</v>
          </cell>
          <cell r="L2503">
            <v>11</v>
          </cell>
          <cell r="M2503">
            <v>23.323807579381203</v>
          </cell>
          <cell r="O2503" t="str">
            <v>-</v>
          </cell>
          <cell r="T2503" t="str">
            <v>-</v>
          </cell>
          <cell r="U2503">
            <v>0.375</v>
          </cell>
        </row>
        <row r="2504">
          <cell r="B2504" t="str">
            <v>HSS20X12X5/16</v>
          </cell>
          <cell r="C2504">
            <v>18.100000000000001</v>
          </cell>
          <cell r="D2504" t="str">
            <v>-</v>
          </cell>
          <cell r="F2504">
            <v>20</v>
          </cell>
          <cell r="H2504" t="str">
            <v>-</v>
          </cell>
          <cell r="I2504" t="str">
            <v>-</v>
          </cell>
          <cell r="K2504">
            <v>12</v>
          </cell>
          <cell r="L2504">
            <v>11.1</v>
          </cell>
          <cell r="M2504">
            <v>23.323807579381203</v>
          </cell>
          <cell r="O2504" t="str">
            <v>-</v>
          </cell>
          <cell r="T2504" t="str">
            <v>-</v>
          </cell>
          <cell r="U2504">
            <v>0.3125</v>
          </cell>
        </row>
        <row r="2505">
          <cell r="B2505" t="str">
            <v>HSS20X8X1</v>
          </cell>
          <cell r="C2505">
            <v>46.4</v>
          </cell>
          <cell r="D2505" t="str">
            <v>-</v>
          </cell>
          <cell r="F2505">
            <v>20</v>
          </cell>
          <cell r="H2505" t="str">
            <v>-</v>
          </cell>
          <cell r="I2505" t="str">
            <v>-</v>
          </cell>
          <cell r="K2505">
            <v>8</v>
          </cell>
          <cell r="L2505" t="str">
            <v>5.21</v>
          </cell>
          <cell r="M2505">
            <v>21.540659228538015</v>
          </cell>
          <cell r="O2505" t="str">
            <v>-</v>
          </cell>
          <cell r="T2505" t="str">
            <v>-</v>
          </cell>
          <cell r="U2505">
            <v>1</v>
          </cell>
        </row>
        <row r="2506">
          <cell r="B2506" t="str">
            <v>HSS20X8X7/8</v>
          </cell>
          <cell r="C2506">
            <v>41.2</v>
          </cell>
          <cell r="D2506" t="str">
            <v>-</v>
          </cell>
          <cell r="F2506">
            <v>20</v>
          </cell>
          <cell r="H2506" t="str">
            <v>-</v>
          </cell>
          <cell r="I2506" t="str">
            <v>-</v>
          </cell>
          <cell r="K2506">
            <v>8</v>
          </cell>
          <cell r="L2506" t="str">
            <v>5.56</v>
          </cell>
          <cell r="M2506">
            <v>21.540659228538015</v>
          </cell>
          <cell r="O2506" t="str">
            <v>-</v>
          </cell>
          <cell r="T2506" t="str">
            <v>-</v>
          </cell>
          <cell r="U2506">
            <v>0.875</v>
          </cell>
        </row>
        <row r="2507">
          <cell r="B2507" t="str">
            <v>HSS20X8X3/4</v>
          </cell>
          <cell r="C2507">
            <v>35.9</v>
          </cell>
          <cell r="D2507" t="str">
            <v>-</v>
          </cell>
          <cell r="F2507">
            <v>20</v>
          </cell>
          <cell r="H2507" t="str">
            <v>-</v>
          </cell>
          <cell r="I2507" t="str">
            <v>-</v>
          </cell>
          <cell r="K2507">
            <v>8</v>
          </cell>
          <cell r="L2507" t="str">
            <v>5.91</v>
          </cell>
          <cell r="M2507">
            <v>21.540659228538015</v>
          </cell>
          <cell r="O2507" t="str">
            <v>-</v>
          </cell>
          <cell r="T2507" t="str">
            <v>-</v>
          </cell>
          <cell r="U2507">
            <v>0.75</v>
          </cell>
        </row>
        <row r="2508">
          <cell r="B2508" t="str">
            <v>HSS20X8X5/8</v>
          </cell>
          <cell r="C2508">
            <v>30.3</v>
          </cell>
          <cell r="D2508" t="str">
            <v>-</v>
          </cell>
          <cell r="F2508">
            <v>20</v>
          </cell>
          <cell r="H2508" t="str">
            <v>-</v>
          </cell>
          <cell r="I2508" t="str">
            <v>-</v>
          </cell>
          <cell r="K2508">
            <v>8</v>
          </cell>
          <cell r="L2508">
            <v>6.26</v>
          </cell>
          <cell r="M2508">
            <v>21.540659228538015</v>
          </cell>
          <cell r="O2508" t="str">
            <v>-</v>
          </cell>
          <cell r="T2508" t="str">
            <v>-</v>
          </cell>
          <cell r="U2508">
            <v>0.625</v>
          </cell>
        </row>
        <row r="2509">
          <cell r="B2509" t="str">
            <v>HSS20X8X1/2</v>
          </cell>
          <cell r="C2509">
            <v>24.6</v>
          </cell>
          <cell r="D2509" t="str">
            <v>-</v>
          </cell>
          <cell r="F2509">
            <v>20</v>
          </cell>
          <cell r="H2509" t="str">
            <v>-</v>
          </cell>
          <cell r="I2509" t="str">
            <v>-</v>
          </cell>
          <cell r="K2509">
            <v>8</v>
          </cell>
          <cell r="L2509">
            <v>6.6</v>
          </cell>
          <cell r="M2509">
            <v>21.540659228538015</v>
          </cell>
          <cell r="O2509" t="str">
            <v>-</v>
          </cell>
          <cell r="T2509" t="str">
            <v>-</v>
          </cell>
          <cell r="U2509">
            <v>0.5</v>
          </cell>
        </row>
        <row r="2510">
          <cell r="B2510" t="str">
            <v>HSS20X8X3/8</v>
          </cell>
          <cell r="C2510">
            <v>18.7</v>
          </cell>
          <cell r="D2510" t="str">
            <v>-</v>
          </cell>
          <cell r="F2510">
            <v>20</v>
          </cell>
          <cell r="H2510" t="str">
            <v>-</v>
          </cell>
          <cell r="I2510" t="str">
            <v>-</v>
          </cell>
          <cell r="K2510">
            <v>8</v>
          </cell>
          <cell r="L2510">
            <v>6.95</v>
          </cell>
          <cell r="M2510">
            <v>21.540659228538015</v>
          </cell>
          <cell r="O2510" t="str">
            <v>-</v>
          </cell>
          <cell r="T2510" t="str">
            <v>-</v>
          </cell>
          <cell r="U2510">
            <v>0.375</v>
          </cell>
        </row>
        <row r="2511">
          <cell r="B2511" t="str">
            <v>HSS20X8X5/16</v>
          </cell>
          <cell r="C2511">
            <v>15.7</v>
          </cell>
          <cell r="D2511" t="str">
            <v>-</v>
          </cell>
          <cell r="F2511">
            <v>20</v>
          </cell>
          <cell r="H2511" t="str">
            <v>-</v>
          </cell>
          <cell r="I2511" t="str">
            <v>-</v>
          </cell>
          <cell r="K2511">
            <v>8</v>
          </cell>
          <cell r="L2511">
            <v>7.13</v>
          </cell>
          <cell r="M2511">
            <v>21.540659228538015</v>
          </cell>
          <cell r="O2511" t="str">
            <v>-</v>
          </cell>
          <cell r="T2511" t="str">
            <v>-</v>
          </cell>
          <cell r="U2511">
            <v>0.3125</v>
          </cell>
        </row>
        <row r="2512">
          <cell r="B2512" t="str">
            <v>HSS20X6X5/8</v>
          </cell>
          <cell r="C2512">
            <v>28</v>
          </cell>
          <cell r="D2512" t="str">
            <v>-</v>
          </cell>
          <cell r="F2512">
            <v>20</v>
          </cell>
          <cell r="H2512" t="str">
            <v>-</v>
          </cell>
          <cell r="I2512" t="str">
            <v>-</v>
          </cell>
          <cell r="K2512">
            <v>6</v>
          </cell>
          <cell r="L2512" t="str">
            <v>4.26</v>
          </cell>
          <cell r="M2512">
            <v>20.880613017821101</v>
          </cell>
          <cell r="O2512" t="str">
            <v>-</v>
          </cell>
          <cell r="T2512" t="str">
            <v>-</v>
          </cell>
          <cell r="U2512">
            <v>0.625</v>
          </cell>
        </row>
        <row r="2513">
          <cell r="B2513" t="str">
            <v>HSS20X6X1/2</v>
          </cell>
          <cell r="C2513">
            <v>22.8</v>
          </cell>
          <cell r="D2513" t="str">
            <v>-</v>
          </cell>
          <cell r="F2513">
            <v>20</v>
          </cell>
          <cell r="H2513" t="str">
            <v>-</v>
          </cell>
          <cell r="I2513" t="str">
            <v>-</v>
          </cell>
          <cell r="K2513">
            <v>6</v>
          </cell>
          <cell r="L2513" t="str">
            <v>4.61</v>
          </cell>
          <cell r="M2513">
            <v>20.880613017821101</v>
          </cell>
          <cell r="O2513" t="str">
            <v>-</v>
          </cell>
          <cell r="T2513" t="str">
            <v>-</v>
          </cell>
          <cell r="U2513">
            <v>0.5</v>
          </cell>
        </row>
        <row r="2514">
          <cell r="B2514" t="str">
            <v>HSS20X6X3/8</v>
          </cell>
          <cell r="C2514">
            <v>17.3</v>
          </cell>
          <cell r="D2514" t="str">
            <v>-</v>
          </cell>
          <cell r="F2514">
            <v>20</v>
          </cell>
          <cell r="H2514" t="str">
            <v>-</v>
          </cell>
          <cell r="I2514" t="str">
            <v>-</v>
          </cell>
          <cell r="K2514">
            <v>6</v>
          </cell>
          <cell r="L2514" t="str">
            <v>4.95</v>
          </cell>
          <cell r="M2514">
            <v>20.880613017821101</v>
          </cell>
          <cell r="O2514" t="str">
            <v>-</v>
          </cell>
          <cell r="T2514" t="str">
            <v>-</v>
          </cell>
          <cell r="U2514">
            <v>0.375</v>
          </cell>
        </row>
        <row r="2515">
          <cell r="B2515" t="str">
            <v>HSS20X6X5/16</v>
          </cell>
          <cell r="C2515">
            <v>14.6</v>
          </cell>
          <cell r="D2515" t="str">
            <v>-</v>
          </cell>
          <cell r="F2515">
            <v>20</v>
          </cell>
          <cell r="H2515" t="str">
            <v>-</v>
          </cell>
          <cell r="I2515" t="str">
            <v>-</v>
          </cell>
          <cell r="K2515">
            <v>6</v>
          </cell>
          <cell r="L2515" t="str">
            <v>5.13</v>
          </cell>
          <cell r="M2515">
            <v>20.880613017821101</v>
          </cell>
          <cell r="O2515" t="str">
            <v>-</v>
          </cell>
          <cell r="T2515" t="str">
            <v>-</v>
          </cell>
          <cell r="U2515">
            <v>0.3125</v>
          </cell>
        </row>
        <row r="2516">
          <cell r="B2516" t="str">
            <v>HSS20X6X1/4</v>
          </cell>
          <cell r="C2516">
            <v>11.8</v>
          </cell>
          <cell r="D2516" t="str">
            <v>-</v>
          </cell>
          <cell r="F2516">
            <v>20</v>
          </cell>
          <cell r="H2516" t="str">
            <v>-</v>
          </cell>
          <cell r="I2516" t="str">
            <v>-</v>
          </cell>
          <cell r="K2516">
            <v>6</v>
          </cell>
          <cell r="L2516" t="str">
            <v>5.30</v>
          </cell>
          <cell r="M2516">
            <v>20.880613017821101</v>
          </cell>
          <cell r="O2516" t="str">
            <v>-</v>
          </cell>
          <cell r="T2516" t="str">
            <v>-</v>
          </cell>
          <cell r="U2516">
            <v>0.25</v>
          </cell>
        </row>
        <row r="2517">
          <cell r="B2517" t="str">
            <v>HSS20X4X1/2</v>
          </cell>
          <cell r="C2517">
            <v>20.9</v>
          </cell>
          <cell r="D2517" t="str">
            <v>-</v>
          </cell>
          <cell r="F2517">
            <v>20</v>
          </cell>
          <cell r="H2517" t="str">
            <v>-</v>
          </cell>
          <cell r="I2517" t="str">
            <v>-</v>
          </cell>
          <cell r="K2517">
            <v>4</v>
          </cell>
          <cell r="L2517">
            <v>2.6</v>
          </cell>
          <cell r="M2517">
            <v>20.396078054371138</v>
          </cell>
          <cell r="O2517" t="str">
            <v>-</v>
          </cell>
          <cell r="T2517" t="str">
            <v>-</v>
          </cell>
          <cell r="U2517">
            <v>0.5</v>
          </cell>
        </row>
        <row r="2518">
          <cell r="B2518" t="str">
            <v>HSS20X4X3/8</v>
          </cell>
          <cell r="C2518">
            <v>16</v>
          </cell>
          <cell r="D2518" t="str">
            <v>-</v>
          </cell>
          <cell r="F2518">
            <v>20</v>
          </cell>
          <cell r="H2518" t="str">
            <v>-</v>
          </cell>
          <cell r="I2518" t="str">
            <v>-</v>
          </cell>
          <cell r="K2518">
            <v>4</v>
          </cell>
          <cell r="L2518">
            <v>2.95</v>
          </cell>
          <cell r="M2518">
            <v>20.396078054371138</v>
          </cell>
          <cell r="O2518" t="str">
            <v>-</v>
          </cell>
          <cell r="T2518" t="str">
            <v>-</v>
          </cell>
          <cell r="U2518">
            <v>0.375</v>
          </cell>
        </row>
        <row r="2519">
          <cell r="B2519" t="str">
            <v>HSS20X4X5/16</v>
          </cell>
          <cell r="C2519">
            <v>13.4</v>
          </cell>
          <cell r="D2519" t="str">
            <v>-</v>
          </cell>
          <cell r="F2519">
            <v>20</v>
          </cell>
          <cell r="H2519" t="str">
            <v>-</v>
          </cell>
          <cell r="I2519" t="str">
            <v>-</v>
          </cell>
          <cell r="K2519">
            <v>4</v>
          </cell>
          <cell r="L2519">
            <v>3.13</v>
          </cell>
          <cell r="M2519">
            <v>20.396078054371138</v>
          </cell>
          <cell r="O2519" t="str">
            <v>-</v>
          </cell>
          <cell r="T2519" t="str">
            <v>-</v>
          </cell>
          <cell r="U2519">
            <v>0.3125</v>
          </cell>
        </row>
        <row r="2520">
          <cell r="B2520" t="str">
            <v>HSS20X4X1/4</v>
          </cell>
          <cell r="C2520">
            <v>10.8</v>
          </cell>
          <cell r="D2520" t="str">
            <v>-</v>
          </cell>
          <cell r="F2520">
            <v>20</v>
          </cell>
          <cell r="H2520" t="str">
            <v>-</v>
          </cell>
          <cell r="I2520" t="str">
            <v>-</v>
          </cell>
          <cell r="K2520">
            <v>4</v>
          </cell>
          <cell r="L2520">
            <v>3.3</v>
          </cell>
          <cell r="M2520">
            <v>20.396078054371138</v>
          </cell>
          <cell r="O2520" t="str">
            <v>-</v>
          </cell>
          <cell r="T2520" t="str">
            <v>-</v>
          </cell>
          <cell r="U2520">
            <v>0.25</v>
          </cell>
        </row>
        <row r="2521">
          <cell r="B2521" t="str">
            <v>HSS18X18X1</v>
          </cell>
          <cell r="C2521">
            <v>61.3</v>
          </cell>
          <cell r="D2521" t="str">
            <v>-</v>
          </cell>
          <cell r="F2521">
            <v>18</v>
          </cell>
          <cell r="H2521" t="str">
            <v>-</v>
          </cell>
          <cell r="I2521" t="str">
            <v>-</v>
          </cell>
          <cell r="K2521">
            <v>18</v>
          </cell>
          <cell r="L2521" t="str">
            <v>15.2</v>
          </cell>
          <cell r="M2521">
            <v>25.45584412271571</v>
          </cell>
          <cell r="O2521" t="str">
            <v>-</v>
          </cell>
          <cell r="T2521" t="str">
            <v>-</v>
          </cell>
          <cell r="U2521">
            <v>1</v>
          </cell>
        </row>
        <row r="2522">
          <cell r="B2522" t="str">
            <v>HSS18X18X7/8</v>
          </cell>
          <cell r="C2522">
            <v>54.3</v>
          </cell>
          <cell r="D2522" t="str">
            <v>-</v>
          </cell>
          <cell r="F2522">
            <v>18</v>
          </cell>
          <cell r="H2522" t="str">
            <v>-</v>
          </cell>
          <cell r="I2522" t="str">
            <v>-</v>
          </cell>
          <cell r="K2522">
            <v>18</v>
          </cell>
          <cell r="L2522">
            <v>15.6</v>
          </cell>
          <cell r="M2522">
            <v>25.45584412271571</v>
          </cell>
          <cell r="O2522" t="str">
            <v>-</v>
          </cell>
          <cell r="T2522" t="str">
            <v>-</v>
          </cell>
          <cell r="U2522">
            <v>0.875</v>
          </cell>
        </row>
        <row r="2523">
          <cell r="B2523" t="str">
            <v>HSS18X18X3/4</v>
          </cell>
          <cell r="C2523">
            <v>47.1</v>
          </cell>
          <cell r="D2523" t="str">
            <v>-</v>
          </cell>
          <cell r="F2523">
            <v>18</v>
          </cell>
          <cell r="H2523" t="str">
            <v>-</v>
          </cell>
          <cell r="I2523" t="str">
            <v>-</v>
          </cell>
          <cell r="K2523">
            <v>18</v>
          </cell>
          <cell r="L2523">
            <v>15.9</v>
          </cell>
          <cell r="M2523">
            <v>25.45584412271571</v>
          </cell>
          <cell r="O2523" t="str">
            <v>-</v>
          </cell>
          <cell r="T2523" t="str">
            <v>-</v>
          </cell>
          <cell r="U2523">
            <v>0.75</v>
          </cell>
        </row>
        <row r="2524">
          <cell r="B2524" t="str">
            <v>HSS18X18X5/8</v>
          </cell>
          <cell r="C2524">
            <v>39.6</v>
          </cell>
          <cell r="D2524" t="str">
            <v>-</v>
          </cell>
          <cell r="F2524">
            <v>18</v>
          </cell>
          <cell r="H2524" t="str">
            <v>-</v>
          </cell>
          <cell r="I2524" t="str">
            <v>-</v>
          </cell>
          <cell r="K2524">
            <v>18</v>
          </cell>
          <cell r="L2524">
            <v>16.3</v>
          </cell>
          <cell r="M2524">
            <v>25.45584412271571</v>
          </cell>
          <cell r="O2524" t="str">
            <v>-</v>
          </cell>
          <cell r="T2524" t="str">
            <v>-</v>
          </cell>
          <cell r="U2524">
            <v>0.625</v>
          </cell>
        </row>
        <row r="2525">
          <cell r="B2525" t="str">
            <v>HSS18X18X1/2</v>
          </cell>
          <cell r="C2525">
            <v>32.1</v>
          </cell>
          <cell r="D2525" t="str">
            <v>-</v>
          </cell>
          <cell r="F2525">
            <v>18</v>
          </cell>
          <cell r="H2525" t="str">
            <v>-</v>
          </cell>
          <cell r="I2525" t="str">
            <v>-</v>
          </cell>
          <cell r="K2525">
            <v>18</v>
          </cell>
          <cell r="L2525">
            <v>16.600000000000001</v>
          </cell>
          <cell r="M2525">
            <v>25.45584412271571</v>
          </cell>
          <cell r="O2525" t="str">
            <v>-</v>
          </cell>
          <cell r="T2525" t="str">
            <v>-</v>
          </cell>
          <cell r="U2525">
            <v>0.5</v>
          </cell>
        </row>
        <row r="2526">
          <cell r="B2526" t="str">
            <v>HSS18X18X3/8</v>
          </cell>
          <cell r="C2526">
            <v>24.3</v>
          </cell>
          <cell r="D2526" t="str">
            <v>-</v>
          </cell>
          <cell r="F2526">
            <v>18</v>
          </cell>
          <cell r="H2526" t="str">
            <v>-</v>
          </cell>
          <cell r="I2526" t="str">
            <v>-</v>
          </cell>
          <cell r="K2526">
            <v>18</v>
          </cell>
          <cell r="L2526" t="str">
            <v>17.0</v>
          </cell>
          <cell r="M2526">
            <v>25.45584412271571</v>
          </cell>
          <cell r="O2526" t="str">
            <v>-</v>
          </cell>
          <cell r="T2526" t="str">
            <v>-</v>
          </cell>
          <cell r="U2526">
            <v>0.375</v>
          </cell>
        </row>
        <row r="2527">
          <cell r="B2527" t="str">
            <v>HSS18X18X5/16</v>
          </cell>
          <cell r="C2527">
            <v>20.399999999999999</v>
          </cell>
          <cell r="D2527" t="str">
            <v>-</v>
          </cell>
          <cell r="F2527">
            <v>18</v>
          </cell>
          <cell r="H2527" t="str">
            <v>-</v>
          </cell>
          <cell r="I2527" t="str">
            <v>-</v>
          </cell>
          <cell r="K2527">
            <v>18</v>
          </cell>
          <cell r="L2527" t="str">
            <v>17.1</v>
          </cell>
          <cell r="M2527">
            <v>25.45584412271571</v>
          </cell>
          <cell r="O2527" t="str">
            <v>-</v>
          </cell>
          <cell r="T2527" t="str">
            <v>-</v>
          </cell>
          <cell r="U2527">
            <v>0.3125</v>
          </cell>
        </row>
        <row r="2528">
          <cell r="B2528" t="str">
            <v>HSS18X18X1/4</v>
          </cell>
          <cell r="C2528">
            <v>16.399999999999999</v>
          </cell>
          <cell r="D2528" t="str">
            <v>-</v>
          </cell>
          <cell r="F2528">
            <v>18</v>
          </cell>
          <cell r="H2528" t="str">
            <v>-</v>
          </cell>
          <cell r="I2528" t="str">
            <v>-</v>
          </cell>
          <cell r="K2528">
            <v>18</v>
          </cell>
          <cell r="L2528" t="str">
            <v>17.3</v>
          </cell>
          <cell r="M2528">
            <v>25.45584412271571</v>
          </cell>
          <cell r="O2528" t="str">
            <v>-</v>
          </cell>
          <cell r="T2528" t="str">
            <v>-</v>
          </cell>
          <cell r="U2528">
            <v>0.25</v>
          </cell>
        </row>
        <row r="2529">
          <cell r="B2529" t="str">
            <v>HSS18X10X5/8</v>
          </cell>
          <cell r="C2529">
            <v>30.3</v>
          </cell>
          <cell r="D2529" t="str">
            <v>-</v>
          </cell>
          <cell r="F2529">
            <v>18</v>
          </cell>
          <cell r="H2529" t="str">
            <v>-</v>
          </cell>
          <cell r="I2529" t="str">
            <v>-</v>
          </cell>
          <cell r="K2529">
            <v>10</v>
          </cell>
          <cell r="L2529" t="str">
            <v>8.26</v>
          </cell>
          <cell r="M2529">
            <v>20.591260281974002</v>
          </cell>
          <cell r="O2529" t="str">
            <v>-</v>
          </cell>
          <cell r="T2529" t="str">
            <v>-</v>
          </cell>
          <cell r="U2529">
            <v>0.625</v>
          </cell>
        </row>
        <row r="2530">
          <cell r="B2530" t="str">
            <v>HSS18X10X1/2</v>
          </cell>
          <cell r="C2530">
            <v>24.6</v>
          </cell>
          <cell r="D2530" t="str">
            <v>-</v>
          </cell>
          <cell r="F2530">
            <v>18</v>
          </cell>
          <cell r="H2530" t="str">
            <v>-</v>
          </cell>
          <cell r="I2530" t="str">
            <v>-</v>
          </cell>
          <cell r="K2530">
            <v>10</v>
          </cell>
          <cell r="L2530" t="str">
            <v>8.61</v>
          </cell>
          <cell r="M2530">
            <v>20.591260281974002</v>
          </cell>
          <cell r="O2530" t="str">
            <v>-</v>
          </cell>
          <cell r="T2530" t="str">
            <v>-</v>
          </cell>
          <cell r="U2530">
            <v>0.5</v>
          </cell>
        </row>
        <row r="2531">
          <cell r="B2531" t="str">
            <v>HSS18X10X3/8</v>
          </cell>
          <cell r="C2531">
            <v>18.7</v>
          </cell>
          <cell r="D2531" t="str">
            <v>-</v>
          </cell>
          <cell r="F2531">
            <v>18</v>
          </cell>
          <cell r="H2531" t="str">
            <v>-</v>
          </cell>
          <cell r="I2531" t="str">
            <v>-</v>
          </cell>
          <cell r="K2531">
            <v>10</v>
          </cell>
          <cell r="L2531" t="str">
            <v>8.95</v>
          </cell>
          <cell r="M2531">
            <v>20.591260281974002</v>
          </cell>
          <cell r="O2531" t="str">
            <v>-</v>
          </cell>
          <cell r="T2531" t="str">
            <v>-</v>
          </cell>
          <cell r="U2531">
            <v>0.375</v>
          </cell>
        </row>
        <row r="2532">
          <cell r="B2532" t="str">
            <v>HSS18X10X5/16</v>
          </cell>
          <cell r="C2532">
            <v>15.7</v>
          </cell>
          <cell r="D2532" t="str">
            <v>-</v>
          </cell>
          <cell r="F2532">
            <v>18</v>
          </cell>
          <cell r="H2532" t="str">
            <v>-</v>
          </cell>
          <cell r="I2532" t="str">
            <v>-</v>
          </cell>
          <cell r="K2532">
            <v>10</v>
          </cell>
          <cell r="L2532" t="str">
            <v>9.13</v>
          </cell>
          <cell r="M2532">
            <v>20.591260281974002</v>
          </cell>
          <cell r="O2532" t="str">
            <v>-</v>
          </cell>
          <cell r="T2532" t="str">
            <v>-</v>
          </cell>
          <cell r="U2532">
            <v>0.3125</v>
          </cell>
        </row>
        <row r="2533">
          <cell r="B2533" t="str">
            <v>HSS18X10X1/4</v>
          </cell>
          <cell r="C2533">
            <v>12.7</v>
          </cell>
          <cell r="D2533" t="str">
            <v>-</v>
          </cell>
          <cell r="F2533">
            <v>18</v>
          </cell>
          <cell r="H2533" t="str">
            <v>-</v>
          </cell>
          <cell r="I2533" t="str">
            <v>-</v>
          </cell>
          <cell r="K2533">
            <v>10</v>
          </cell>
          <cell r="L2533" t="str">
            <v>9.30</v>
          </cell>
          <cell r="M2533">
            <v>20.591260281974002</v>
          </cell>
          <cell r="O2533" t="str">
            <v>-</v>
          </cell>
          <cell r="T2533" t="str">
            <v>-</v>
          </cell>
          <cell r="U2533">
            <v>0.25</v>
          </cell>
        </row>
        <row r="2534">
          <cell r="B2534" t="str">
            <v>HSS18X8X5/8</v>
          </cell>
          <cell r="C2534">
            <v>28</v>
          </cell>
          <cell r="D2534" t="str">
            <v>-</v>
          </cell>
          <cell r="F2534">
            <v>18</v>
          </cell>
          <cell r="H2534" t="str">
            <v>-</v>
          </cell>
          <cell r="I2534" t="str">
            <v>-</v>
          </cell>
          <cell r="K2534">
            <v>8</v>
          </cell>
          <cell r="L2534" t="str">
            <v>6.26</v>
          </cell>
          <cell r="M2534">
            <v>19.697715603592208</v>
          </cell>
          <cell r="O2534" t="str">
            <v>-</v>
          </cell>
          <cell r="T2534" t="str">
            <v>-</v>
          </cell>
          <cell r="U2534">
            <v>0.625</v>
          </cell>
        </row>
        <row r="2535">
          <cell r="B2535" t="str">
            <v>HSS18X8X1/2</v>
          </cell>
          <cell r="C2535">
            <v>22.8</v>
          </cell>
          <cell r="D2535" t="str">
            <v>-</v>
          </cell>
          <cell r="F2535">
            <v>18</v>
          </cell>
          <cell r="H2535" t="str">
            <v>-</v>
          </cell>
          <cell r="I2535" t="str">
            <v>-</v>
          </cell>
          <cell r="K2535">
            <v>8</v>
          </cell>
          <cell r="L2535" t="str">
            <v>6.61</v>
          </cell>
          <cell r="M2535">
            <v>19.697715603592208</v>
          </cell>
          <cell r="O2535" t="str">
            <v>-</v>
          </cell>
          <cell r="T2535" t="str">
            <v>-</v>
          </cell>
          <cell r="U2535">
            <v>0.5</v>
          </cell>
        </row>
        <row r="2536">
          <cell r="B2536" t="str">
            <v>HSS18X8X3/8</v>
          </cell>
          <cell r="C2536">
            <v>17.3</v>
          </cell>
          <cell r="D2536" t="str">
            <v>-</v>
          </cell>
          <cell r="F2536">
            <v>18</v>
          </cell>
          <cell r="H2536" t="str">
            <v>-</v>
          </cell>
          <cell r="I2536" t="str">
            <v>-</v>
          </cell>
          <cell r="K2536">
            <v>8</v>
          </cell>
          <cell r="L2536" t="str">
            <v>6.95</v>
          </cell>
          <cell r="M2536">
            <v>19.697715603592208</v>
          </cell>
          <cell r="O2536" t="str">
            <v>-</v>
          </cell>
          <cell r="T2536" t="str">
            <v>-</v>
          </cell>
          <cell r="U2536">
            <v>0.375</v>
          </cell>
        </row>
        <row r="2537">
          <cell r="B2537" t="str">
            <v>HSS18X8X5/16</v>
          </cell>
          <cell r="C2537">
            <v>14.6</v>
          </cell>
          <cell r="D2537" t="str">
            <v>-</v>
          </cell>
          <cell r="F2537">
            <v>18</v>
          </cell>
          <cell r="H2537" t="str">
            <v>-</v>
          </cell>
          <cell r="I2537" t="str">
            <v>-</v>
          </cell>
          <cell r="K2537">
            <v>8</v>
          </cell>
          <cell r="L2537" t="str">
            <v>7.13</v>
          </cell>
          <cell r="M2537">
            <v>19.697715603592208</v>
          </cell>
          <cell r="O2537" t="str">
            <v>-</v>
          </cell>
          <cell r="T2537" t="str">
            <v>-</v>
          </cell>
          <cell r="U2537">
            <v>0.3125</v>
          </cell>
        </row>
        <row r="2538">
          <cell r="B2538" t="str">
            <v>HSS18X8X1/4</v>
          </cell>
          <cell r="C2538">
            <v>11.8</v>
          </cell>
          <cell r="D2538" t="str">
            <v>-</v>
          </cell>
          <cell r="F2538">
            <v>18</v>
          </cell>
          <cell r="H2538" t="str">
            <v>-</v>
          </cell>
          <cell r="I2538" t="str">
            <v>-</v>
          </cell>
          <cell r="K2538">
            <v>8</v>
          </cell>
          <cell r="L2538" t="str">
            <v>7.30</v>
          </cell>
          <cell r="M2538">
            <v>19.697715603592208</v>
          </cell>
          <cell r="O2538" t="str">
            <v>-</v>
          </cell>
          <cell r="T2538" t="str">
            <v>-</v>
          </cell>
          <cell r="U2538">
            <v>0.25</v>
          </cell>
        </row>
        <row r="2539">
          <cell r="B2539" t="str">
            <v>HSS18X6X3/4</v>
          </cell>
          <cell r="C2539">
            <v>30.3</v>
          </cell>
          <cell r="D2539" t="str">
            <v>-</v>
          </cell>
          <cell r="F2539">
            <v>18</v>
          </cell>
          <cell r="H2539" t="str">
            <v>-</v>
          </cell>
          <cell r="I2539" t="str">
            <v>-</v>
          </cell>
          <cell r="K2539">
            <v>6</v>
          </cell>
          <cell r="L2539" t="str">
            <v>3.91</v>
          </cell>
          <cell r="M2539">
            <v>18.973665961010276</v>
          </cell>
          <cell r="O2539" t="str">
            <v>-</v>
          </cell>
          <cell r="T2539" t="str">
            <v>-</v>
          </cell>
          <cell r="U2539">
            <v>0.75</v>
          </cell>
        </row>
        <row r="2540">
          <cell r="B2540" t="str">
            <v>HSS18X6X5/8</v>
          </cell>
          <cell r="C2540">
            <v>25.7</v>
          </cell>
          <cell r="D2540" t="str">
            <v>-</v>
          </cell>
          <cell r="F2540">
            <v>18</v>
          </cell>
          <cell r="H2540" t="str">
            <v>-</v>
          </cell>
          <cell r="I2540" t="str">
            <v>-</v>
          </cell>
          <cell r="K2540">
            <v>6</v>
          </cell>
          <cell r="L2540">
            <v>4.26</v>
          </cell>
          <cell r="M2540">
            <v>18.973665961010276</v>
          </cell>
          <cell r="O2540" t="str">
            <v>-</v>
          </cell>
          <cell r="T2540" t="str">
            <v>-</v>
          </cell>
          <cell r="U2540">
            <v>0.625</v>
          </cell>
        </row>
        <row r="2541">
          <cell r="B2541" t="str">
            <v>HSS18X6X1/2</v>
          </cell>
          <cell r="C2541">
            <v>20.9</v>
          </cell>
          <cell r="D2541" t="str">
            <v>-</v>
          </cell>
          <cell r="F2541">
            <v>18</v>
          </cell>
          <cell r="H2541" t="str">
            <v>-</v>
          </cell>
          <cell r="I2541" t="str">
            <v>-</v>
          </cell>
          <cell r="K2541">
            <v>6</v>
          </cell>
          <cell r="L2541">
            <v>4.6100000000000003</v>
          </cell>
          <cell r="M2541">
            <v>18.973665961010276</v>
          </cell>
          <cell r="O2541" t="str">
            <v>-</v>
          </cell>
          <cell r="T2541" t="str">
            <v>-</v>
          </cell>
          <cell r="U2541">
            <v>0.5</v>
          </cell>
        </row>
        <row r="2542">
          <cell r="B2542" t="str">
            <v>HSS18X6X3/8</v>
          </cell>
          <cell r="C2542">
            <v>16</v>
          </cell>
          <cell r="D2542" t="str">
            <v>-</v>
          </cell>
          <cell r="F2542">
            <v>18</v>
          </cell>
          <cell r="H2542" t="str">
            <v>-</v>
          </cell>
          <cell r="I2542" t="str">
            <v>-</v>
          </cell>
          <cell r="K2542">
            <v>6</v>
          </cell>
          <cell r="L2542">
            <v>4.95</v>
          </cell>
          <cell r="M2542">
            <v>18.973665961010276</v>
          </cell>
          <cell r="O2542" t="str">
            <v>-</v>
          </cell>
          <cell r="T2542" t="str">
            <v>-</v>
          </cell>
          <cell r="U2542">
            <v>0.375</v>
          </cell>
        </row>
        <row r="2543">
          <cell r="B2543" t="str">
            <v>HSS18X6X5/16</v>
          </cell>
          <cell r="C2543">
            <v>13.4</v>
          </cell>
          <cell r="D2543" t="str">
            <v>-</v>
          </cell>
          <cell r="F2543">
            <v>18</v>
          </cell>
          <cell r="H2543" t="str">
            <v>-</v>
          </cell>
          <cell r="I2543" t="str">
            <v>-</v>
          </cell>
          <cell r="K2543">
            <v>6</v>
          </cell>
          <cell r="L2543">
            <v>5.13</v>
          </cell>
          <cell r="M2543">
            <v>18.973665961010276</v>
          </cell>
          <cell r="O2543" t="str">
            <v>-</v>
          </cell>
          <cell r="T2543" t="str">
            <v>-</v>
          </cell>
          <cell r="U2543">
            <v>0.3125</v>
          </cell>
        </row>
        <row r="2544">
          <cell r="B2544" t="str">
            <v>HSS18X6X1/4</v>
          </cell>
          <cell r="C2544">
            <v>10.8</v>
          </cell>
          <cell r="D2544" t="str">
            <v>-</v>
          </cell>
          <cell r="F2544">
            <v>18</v>
          </cell>
          <cell r="H2544" t="str">
            <v>-</v>
          </cell>
          <cell r="I2544" t="str">
            <v>-</v>
          </cell>
          <cell r="K2544">
            <v>6</v>
          </cell>
          <cell r="L2544">
            <v>5.3</v>
          </cell>
          <cell r="M2544">
            <v>18.973665961010276</v>
          </cell>
          <cell r="O2544" t="str">
            <v>-</v>
          </cell>
          <cell r="T2544" t="str">
            <v>-</v>
          </cell>
          <cell r="U2544">
            <v>0.25</v>
          </cell>
        </row>
        <row r="2545">
          <cell r="B2545" t="str">
            <v>HSS16X16X1</v>
          </cell>
          <cell r="C2545">
            <v>53.8</v>
          </cell>
          <cell r="D2545" t="str">
            <v>-</v>
          </cell>
          <cell r="F2545">
            <v>16</v>
          </cell>
          <cell r="H2545" t="str">
            <v>-</v>
          </cell>
          <cell r="I2545" t="str">
            <v>-</v>
          </cell>
          <cell r="K2545">
            <v>16</v>
          </cell>
          <cell r="L2545" t="str">
            <v>13.2</v>
          </cell>
          <cell r="M2545">
            <v>22.627416997969522</v>
          </cell>
          <cell r="O2545" t="str">
            <v>-</v>
          </cell>
          <cell r="T2545" t="str">
            <v>-</v>
          </cell>
          <cell r="U2545">
            <v>1</v>
          </cell>
        </row>
        <row r="2546">
          <cell r="B2546" t="str">
            <v>HSS16X16X7/8</v>
          </cell>
          <cell r="C2546">
            <v>47.7</v>
          </cell>
          <cell r="D2546" t="str">
            <v>-</v>
          </cell>
          <cell r="F2546">
            <v>16</v>
          </cell>
          <cell r="H2546" t="str">
            <v>-</v>
          </cell>
          <cell r="I2546" t="str">
            <v>-</v>
          </cell>
          <cell r="K2546">
            <v>16</v>
          </cell>
          <cell r="L2546">
            <v>13.6</v>
          </cell>
          <cell r="M2546">
            <v>22.627416997969522</v>
          </cell>
          <cell r="O2546" t="str">
            <v>-</v>
          </cell>
          <cell r="T2546" t="str">
            <v>-</v>
          </cell>
          <cell r="U2546">
            <v>0.875</v>
          </cell>
        </row>
        <row r="2547">
          <cell r="B2547" t="str">
            <v>HSS16X16X3/4</v>
          </cell>
          <cell r="C2547">
            <v>41.5</v>
          </cell>
          <cell r="D2547" t="str">
            <v>-</v>
          </cell>
          <cell r="F2547">
            <v>16</v>
          </cell>
          <cell r="H2547" t="str">
            <v>-</v>
          </cell>
          <cell r="I2547" t="str">
            <v>-</v>
          </cell>
          <cell r="K2547">
            <v>16</v>
          </cell>
          <cell r="L2547">
            <v>13.9</v>
          </cell>
          <cell r="M2547">
            <v>22.627416997969522</v>
          </cell>
          <cell r="O2547" t="str">
            <v>-</v>
          </cell>
          <cell r="T2547" t="str">
            <v>-</v>
          </cell>
          <cell r="U2547">
            <v>0.75</v>
          </cell>
        </row>
        <row r="2548">
          <cell r="B2548" t="str">
            <v>HSS16X16X5/8</v>
          </cell>
          <cell r="C2548">
            <v>35</v>
          </cell>
          <cell r="D2548" t="str">
            <v>-</v>
          </cell>
          <cell r="F2548">
            <v>16</v>
          </cell>
          <cell r="H2548" t="str">
            <v>-</v>
          </cell>
          <cell r="I2548" t="str">
            <v>-</v>
          </cell>
          <cell r="K2548">
            <v>16</v>
          </cell>
          <cell r="L2548">
            <v>14.3</v>
          </cell>
          <cell r="M2548">
            <v>22.627416997969522</v>
          </cell>
          <cell r="O2548" t="str">
            <v>-</v>
          </cell>
          <cell r="T2548" t="str">
            <v>-</v>
          </cell>
          <cell r="U2548">
            <v>0.625</v>
          </cell>
        </row>
        <row r="2549">
          <cell r="B2549" t="str">
            <v>HSS16X16X1/2</v>
          </cell>
          <cell r="C2549">
            <v>28.3</v>
          </cell>
          <cell r="D2549" t="str">
            <v>-</v>
          </cell>
          <cell r="F2549">
            <v>16</v>
          </cell>
          <cell r="H2549" t="str">
            <v>-</v>
          </cell>
          <cell r="I2549" t="str">
            <v>-</v>
          </cell>
          <cell r="K2549">
            <v>16</v>
          </cell>
          <cell r="L2549">
            <v>14.6</v>
          </cell>
          <cell r="M2549">
            <v>22.627416997969522</v>
          </cell>
          <cell r="O2549" t="str">
            <v>-</v>
          </cell>
          <cell r="T2549" t="str">
            <v>-</v>
          </cell>
          <cell r="U2549">
            <v>0.5</v>
          </cell>
        </row>
        <row r="2550">
          <cell r="B2550" t="str">
            <v>HSS16X16X3/8</v>
          </cell>
          <cell r="C2550">
            <v>21.5</v>
          </cell>
          <cell r="D2550" t="str">
            <v>-</v>
          </cell>
          <cell r="F2550">
            <v>16</v>
          </cell>
          <cell r="H2550" t="str">
            <v>-</v>
          </cell>
          <cell r="I2550" t="str">
            <v>-</v>
          </cell>
          <cell r="K2550">
            <v>16</v>
          </cell>
          <cell r="L2550">
            <v>15</v>
          </cell>
          <cell r="M2550">
            <v>22.627416997969522</v>
          </cell>
          <cell r="O2550" t="str">
            <v>-</v>
          </cell>
          <cell r="T2550" t="str">
            <v>-</v>
          </cell>
          <cell r="U2550">
            <v>0.375</v>
          </cell>
        </row>
        <row r="2551">
          <cell r="B2551" t="str">
            <v>HSS16X16X5/16</v>
          </cell>
          <cell r="C2551">
            <v>18.100000000000001</v>
          </cell>
          <cell r="D2551" t="str">
            <v>-</v>
          </cell>
          <cell r="F2551">
            <v>16</v>
          </cell>
          <cell r="H2551" t="str">
            <v>-</v>
          </cell>
          <cell r="I2551" t="str">
            <v>-</v>
          </cell>
          <cell r="K2551">
            <v>16</v>
          </cell>
          <cell r="L2551">
            <v>15.1</v>
          </cell>
          <cell r="M2551">
            <v>22.627416997969522</v>
          </cell>
          <cell r="O2551" t="str">
            <v>-</v>
          </cell>
          <cell r="T2551" t="str">
            <v>-</v>
          </cell>
          <cell r="U2551">
            <v>0.3125</v>
          </cell>
        </row>
        <row r="2552">
          <cell r="B2552" t="str">
            <v>HSS16X16X1/4</v>
          </cell>
          <cell r="C2552">
            <v>14.6</v>
          </cell>
          <cell r="D2552" t="str">
            <v>-</v>
          </cell>
          <cell r="F2552">
            <v>16</v>
          </cell>
          <cell r="H2552" t="str">
            <v>-</v>
          </cell>
          <cell r="I2552" t="str">
            <v>-</v>
          </cell>
          <cell r="K2552">
            <v>16</v>
          </cell>
          <cell r="L2552" t="str">
            <v>15.3</v>
          </cell>
          <cell r="M2552">
            <v>22.627416997969522</v>
          </cell>
          <cell r="O2552" t="str">
            <v>-</v>
          </cell>
          <cell r="T2552" t="str">
            <v>-</v>
          </cell>
          <cell r="U2552">
            <v>0.25</v>
          </cell>
        </row>
        <row r="2553">
          <cell r="B2553" t="str">
            <v>HSS16X12X1</v>
          </cell>
          <cell r="C2553">
            <v>46.4</v>
          </cell>
          <cell r="D2553" t="str">
            <v>-</v>
          </cell>
          <cell r="F2553">
            <v>16</v>
          </cell>
          <cell r="H2553" t="str">
            <v>-</v>
          </cell>
          <cell r="I2553" t="str">
            <v>-</v>
          </cell>
          <cell r="K2553">
            <v>12</v>
          </cell>
          <cell r="L2553" t="str">
            <v>9.21</v>
          </cell>
          <cell r="M2553">
            <v>20</v>
          </cell>
          <cell r="O2553" t="str">
            <v>-</v>
          </cell>
          <cell r="T2553" t="str">
            <v>-</v>
          </cell>
          <cell r="U2553">
            <v>1</v>
          </cell>
        </row>
        <row r="2554">
          <cell r="B2554" t="str">
            <v>HSS16X12X7/8</v>
          </cell>
          <cell r="C2554">
            <v>41.2</v>
          </cell>
          <cell r="D2554" t="str">
            <v>-</v>
          </cell>
          <cell r="F2554">
            <v>16</v>
          </cell>
          <cell r="H2554" t="str">
            <v>-</v>
          </cell>
          <cell r="I2554" t="str">
            <v>-</v>
          </cell>
          <cell r="K2554">
            <v>12</v>
          </cell>
          <cell r="L2554" t="str">
            <v>9.56</v>
          </cell>
          <cell r="M2554">
            <v>20</v>
          </cell>
          <cell r="O2554" t="str">
            <v>-</v>
          </cell>
          <cell r="T2554" t="str">
            <v>-</v>
          </cell>
          <cell r="U2554">
            <v>0.875</v>
          </cell>
        </row>
        <row r="2555">
          <cell r="B2555" t="str">
            <v>HSS16X12X3/4</v>
          </cell>
          <cell r="C2555">
            <v>35.9</v>
          </cell>
          <cell r="D2555" t="str">
            <v>-</v>
          </cell>
          <cell r="F2555">
            <v>16</v>
          </cell>
          <cell r="H2555" t="str">
            <v>-</v>
          </cell>
          <cell r="I2555" t="str">
            <v>-</v>
          </cell>
          <cell r="K2555">
            <v>12</v>
          </cell>
          <cell r="L2555">
            <v>9.91</v>
          </cell>
          <cell r="M2555">
            <v>20</v>
          </cell>
          <cell r="O2555" t="str">
            <v>-</v>
          </cell>
          <cell r="T2555" t="str">
            <v>-</v>
          </cell>
          <cell r="U2555">
            <v>0.75</v>
          </cell>
        </row>
        <row r="2556">
          <cell r="B2556" t="str">
            <v>HSS16X12X5/8</v>
          </cell>
          <cell r="C2556">
            <v>30.3</v>
          </cell>
          <cell r="D2556" t="str">
            <v>-</v>
          </cell>
          <cell r="F2556">
            <v>16</v>
          </cell>
          <cell r="H2556" t="str">
            <v>-</v>
          </cell>
          <cell r="I2556" t="str">
            <v>-</v>
          </cell>
          <cell r="K2556">
            <v>12</v>
          </cell>
          <cell r="L2556">
            <v>10.3</v>
          </cell>
          <cell r="M2556">
            <v>20</v>
          </cell>
          <cell r="O2556" t="str">
            <v>-</v>
          </cell>
          <cell r="T2556" t="str">
            <v>-</v>
          </cell>
          <cell r="U2556">
            <v>0.625</v>
          </cell>
        </row>
        <row r="2557">
          <cell r="B2557" t="str">
            <v>HSS16X12X1/2</v>
          </cell>
          <cell r="C2557">
            <v>24.6</v>
          </cell>
          <cell r="D2557" t="str">
            <v>-</v>
          </cell>
          <cell r="F2557">
            <v>16</v>
          </cell>
          <cell r="H2557" t="str">
            <v>-</v>
          </cell>
          <cell r="I2557" t="str">
            <v>-</v>
          </cell>
          <cell r="K2557">
            <v>12</v>
          </cell>
          <cell r="L2557">
            <v>10.6</v>
          </cell>
          <cell r="M2557">
            <v>20</v>
          </cell>
          <cell r="O2557" t="str">
            <v>-</v>
          </cell>
          <cell r="T2557" t="str">
            <v>-</v>
          </cell>
          <cell r="U2557">
            <v>0.5</v>
          </cell>
        </row>
        <row r="2558">
          <cell r="B2558" t="str">
            <v>HSS16X12X3/8</v>
          </cell>
          <cell r="C2558">
            <v>18.7</v>
          </cell>
          <cell r="D2558" t="str">
            <v>-</v>
          </cell>
          <cell r="F2558">
            <v>16</v>
          </cell>
          <cell r="H2558" t="str">
            <v>-</v>
          </cell>
          <cell r="I2558" t="str">
            <v>-</v>
          </cell>
          <cell r="K2558">
            <v>12</v>
          </cell>
          <cell r="L2558">
            <v>11</v>
          </cell>
          <cell r="M2558">
            <v>20</v>
          </cell>
          <cell r="O2558" t="str">
            <v>-</v>
          </cell>
          <cell r="T2558" t="str">
            <v>-</v>
          </cell>
          <cell r="U2558">
            <v>0.375</v>
          </cell>
        </row>
        <row r="2559">
          <cell r="B2559" t="str">
            <v>HSS16X12X5/16</v>
          </cell>
          <cell r="C2559">
            <v>15.7</v>
          </cell>
          <cell r="D2559" t="str">
            <v>-</v>
          </cell>
          <cell r="F2559">
            <v>16</v>
          </cell>
          <cell r="H2559" t="str">
            <v>-</v>
          </cell>
          <cell r="I2559" t="str">
            <v>-</v>
          </cell>
          <cell r="K2559">
            <v>12</v>
          </cell>
          <cell r="L2559">
            <v>11.1</v>
          </cell>
          <cell r="M2559">
            <v>20</v>
          </cell>
          <cell r="O2559" t="str">
            <v>-</v>
          </cell>
          <cell r="T2559" t="str">
            <v>-</v>
          </cell>
          <cell r="U2559">
            <v>0.3125</v>
          </cell>
        </row>
        <row r="2560">
          <cell r="B2560" t="str">
            <v>HSS16X10X5/8</v>
          </cell>
          <cell r="C2560">
            <v>28</v>
          </cell>
          <cell r="D2560" t="str">
            <v>-</v>
          </cell>
          <cell r="F2560">
            <v>16</v>
          </cell>
          <cell r="H2560" t="str">
            <v>-</v>
          </cell>
          <cell r="I2560" t="str">
            <v>-</v>
          </cell>
          <cell r="K2560">
            <v>10</v>
          </cell>
          <cell r="L2560" t="str">
            <v>8.26</v>
          </cell>
          <cell r="M2560">
            <v>18.867962264113206</v>
          </cell>
          <cell r="O2560" t="str">
            <v>-</v>
          </cell>
          <cell r="T2560" t="str">
            <v>-</v>
          </cell>
          <cell r="U2560">
            <v>0.625</v>
          </cell>
        </row>
        <row r="2561">
          <cell r="B2561" t="str">
            <v>HSS16X10X1/2</v>
          </cell>
          <cell r="C2561">
            <v>22.8</v>
          </cell>
          <cell r="D2561" t="str">
            <v>-</v>
          </cell>
          <cell r="F2561">
            <v>16</v>
          </cell>
          <cell r="H2561" t="str">
            <v>-</v>
          </cell>
          <cell r="I2561" t="str">
            <v>-</v>
          </cell>
          <cell r="K2561">
            <v>10</v>
          </cell>
          <cell r="L2561" t="str">
            <v>8.61</v>
          </cell>
          <cell r="M2561">
            <v>18.867962264113206</v>
          </cell>
          <cell r="O2561" t="str">
            <v>-</v>
          </cell>
          <cell r="T2561" t="str">
            <v>-</v>
          </cell>
          <cell r="U2561">
            <v>0.5</v>
          </cell>
        </row>
        <row r="2562">
          <cell r="B2562" t="str">
            <v>HSS16X10X3/8</v>
          </cell>
          <cell r="C2562">
            <v>17.3</v>
          </cell>
          <cell r="D2562" t="str">
            <v>-</v>
          </cell>
          <cell r="F2562">
            <v>16</v>
          </cell>
          <cell r="H2562" t="str">
            <v>-</v>
          </cell>
          <cell r="I2562" t="str">
            <v>-</v>
          </cell>
          <cell r="K2562">
            <v>10</v>
          </cell>
          <cell r="L2562" t="str">
            <v>8.95</v>
          </cell>
          <cell r="M2562">
            <v>18.867962264113206</v>
          </cell>
          <cell r="O2562" t="str">
            <v>-</v>
          </cell>
          <cell r="T2562" t="str">
            <v>-</v>
          </cell>
          <cell r="U2562">
            <v>0.375</v>
          </cell>
        </row>
        <row r="2563">
          <cell r="B2563" t="str">
            <v>HSS16X10X5/16</v>
          </cell>
          <cell r="C2563">
            <v>14.6</v>
          </cell>
          <cell r="D2563" t="str">
            <v>-</v>
          </cell>
          <cell r="F2563">
            <v>16</v>
          </cell>
          <cell r="H2563" t="str">
            <v>-</v>
          </cell>
          <cell r="I2563" t="str">
            <v>-</v>
          </cell>
          <cell r="K2563">
            <v>10</v>
          </cell>
          <cell r="L2563" t="str">
            <v>9.13</v>
          </cell>
          <cell r="M2563">
            <v>18.867962264113206</v>
          </cell>
          <cell r="O2563" t="str">
            <v>-</v>
          </cell>
          <cell r="T2563" t="str">
            <v>-</v>
          </cell>
          <cell r="U2563">
            <v>0.3125</v>
          </cell>
        </row>
        <row r="2564">
          <cell r="B2564" t="str">
            <v>HSS16X10X1/4</v>
          </cell>
          <cell r="C2564">
            <v>11.8</v>
          </cell>
          <cell r="D2564" t="str">
            <v>-</v>
          </cell>
          <cell r="F2564">
            <v>16</v>
          </cell>
          <cell r="H2564" t="str">
            <v>-</v>
          </cell>
          <cell r="I2564" t="str">
            <v>-</v>
          </cell>
          <cell r="K2564">
            <v>10</v>
          </cell>
          <cell r="L2564" t="str">
            <v>9.30</v>
          </cell>
          <cell r="M2564">
            <v>18.867962264113206</v>
          </cell>
          <cell r="O2564" t="str">
            <v>-</v>
          </cell>
          <cell r="T2564" t="str">
            <v>-</v>
          </cell>
          <cell r="U2564">
            <v>0.25</v>
          </cell>
        </row>
        <row r="2565">
          <cell r="B2565" t="str">
            <v>HSS16X8X7/8</v>
          </cell>
          <cell r="C2565">
            <v>34.700000000000003</v>
          </cell>
          <cell r="D2565" t="str">
            <v>-</v>
          </cell>
          <cell r="F2565">
            <v>16</v>
          </cell>
          <cell r="H2565" t="str">
            <v>-</v>
          </cell>
          <cell r="I2565" t="str">
            <v>-</v>
          </cell>
          <cell r="K2565">
            <v>8</v>
          </cell>
          <cell r="L2565" t="str">
            <v>5.56</v>
          </cell>
          <cell r="M2565">
            <v>17.888543819998318</v>
          </cell>
          <cell r="O2565" t="str">
            <v>-</v>
          </cell>
          <cell r="T2565" t="str">
            <v>-</v>
          </cell>
          <cell r="U2565">
            <v>0.875</v>
          </cell>
        </row>
        <row r="2566">
          <cell r="B2566" t="str">
            <v>HSS16X8X3/4</v>
          </cell>
          <cell r="C2566">
            <v>30.3</v>
          </cell>
          <cell r="D2566" t="str">
            <v>-</v>
          </cell>
          <cell r="F2566">
            <v>16</v>
          </cell>
          <cell r="H2566" t="str">
            <v>-</v>
          </cell>
          <cell r="I2566" t="str">
            <v>-</v>
          </cell>
          <cell r="K2566">
            <v>8</v>
          </cell>
          <cell r="L2566" t="str">
            <v>5.91</v>
          </cell>
          <cell r="M2566">
            <v>17.888543819998318</v>
          </cell>
          <cell r="O2566" t="str">
            <v>-</v>
          </cell>
          <cell r="T2566" t="str">
            <v>-</v>
          </cell>
          <cell r="U2566">
            <v>0.75</v>
          </cell>
        </row>
        <row r="2567">
          <cell r="B2567" t="str">
            <v>HSS16X8X5/8</v>
          </cell>
          <cell r="C2567">
            <v>25.7</v>
          </cell>
          <cell r="D2567" t="str">
            <v>-</v>
          </cell>
          <cell r="F2567">
            <v>16</v>
          </cell>
          <cell r="H2567" t="str">
            <v>-</v>
          </cell>
          <cell r="I2567" t="str">
            <v>-</v>
          </cell>
          <cell r="K2567">
            <v>8</v>
          </cell>
          <cell r="L2567">
            <v>6.26</v>
          </cell>
          <cell r="M2567">
            <v>17.888543819998318</v>
          </cell>
          <cell r="O2567" t="str">
            <v>-</v>
          </cell>
          <cell r="T2567" t="str">
            <v>-</v>
          </cell>
          <cell r="U2567">
            <v>0.625</v>
          </cell>
        </row>
        <row r="2568">
          <cell r="B2568" t="str">
            <v>HSS16X8X1/2</v>
          </cell>
          <cell r="C2568">
            <v>20.9</v>
          </cell>
          <cell r="D2568" t="str">
            <v>-</v>
          </cell>
          <cell r="F2568">
            <v>16</v>
          </cell>
          <cell r="H2568" t="str">
            <v>-</v>
          </cell>
          <cell r="I2568" t="str">
            <v>-</v>
          </cell>
          <cell r="K2568">
            <v>8</v>
          </cell>
          <cell r="L2568">
            <v>6.6</v>
          </cell>
          <cell r="M2568">
            <v>17.888543819998318</v>
          </cell>
          <cell r="O2568" t="str">
            <v>-</v>
          </cell>
          <cell r="T2568" t="str">
            <v>-</v>
          </cell>
          <cell r="U2568">
            <v>0.5</v>
          </cell>
        </row>
        <row r="2569">
          <cell r="B2569" t="str">
            <v>HSS16X8X3/8</v>
          </cell>
          <cell r="C2569">
            <v>16</v>
          </cell>
          <cell r="D2569" t="str">
            <v>-</v>
          </cell>
          <cell r="F2569">
            <v>16</v>
          </cell>
          <cell r="H2569" t="str">
            <v>-</v>
          </cell>
          <cell r="I2569" t="str">
            <v>-</v>
          </cell>
          <cell r="K2569">
            <v>8</v>
          </cell>
          <cell r="L2569">
            <v>6.95</v>
          </cell>
          <cell r="M2569">
            <v>17.888543819998318</v>
          </cell>
          <cell r="O2569" t="str">
            <v>-</v>
          </cell>
          <cell r="T2569" t="str">
            <v>-</v>
          </cell>
          <cell r="U2569">
            <v>0.375</v>
          </cell>
        </row>
        <row r="2570">
          <cell r="B2570" t="str">
            <v>HSS16X8X5/16</v>
          </cell>
          <cell r="C2570">
            <v>13.4</v>
          </cell>
          <cell r="D2570" t="str">
            <v>-</v>
          </cell>
          <cell r="F2570">
            <v>16</v>
          </cell>
          <cell r="H2570" t="str">
            <v>-</v>
          </cell>
          <cell r="I2570" t="str">
            <v>-</v>
          </cell>
          <cell r="K2570">
            <v>8</v>
          </cell>
          <cell r="L2570">
            <v>7.13</v>
          </cell>
          <cell r="M2570">
            <v>17.888543819998318</v>
          </cell>
          <cell r="O2570" t="str">
            <v>-</v>
          </cell>
          <cell r="T2570" t="str">
            <v>-</v>
          </cell>
          <cell r="U2570">
            <v>0.3125</v>
          </cell>
        </row>
        <row r="2571">
          <cell r="B2571" t="str">
            <v>HSS16X8X1/4</v>
          </cell>
          <cell r="C2571">
            <v>10.8</v>
          </cell>
          <cell r="D2571" t="str">
            <v>-</v>
          </cell>
          <cell r="F2571">
            <v>16</v>
          </cell>
          <cell r="H2571" t="str">
            <v>-</v>
          </cell>
          <cell r="I2571" t="str">
            <v>-</v>
          </cell>
          <cell r="K2571">
            <v>8</v>
          </cell>
          <cell r="L2571">
            <v>7.3</v>
          </cell>
          <cell r="M2571">
            <v>17.888543819998318</v>
          </cell>
          <cell r="O2571" t="str">
            <v>-</v>
          </cell>
          <cell r="T2571" t="str">
            <v>-</v>
          </cell>
          <cell r="U2571">
            <v>0.25</v>
          </cell>
        </row>
        <row r="2572">
          <cell r="B2572" t="str">
            <v>HSS16X6X5/8</v>
          </cell>
          <cell r="C2572">
            <v>23.3</v>
          </cell>
          <cell r="D2572" t="str">
            <v>-</v>
          </cell>
          <cell r="F2572">
            <v>16</v>
          </cell>
          <cell r="H2572" t="str">
            <v>-</v>
          </cell>
          <cell r="I2572" t="str">
            <v>-</v>
          </cell>
          <cell r="K2572">
            <v>6</v>
          </cell>
          <cell r="L2572" t="str">
            <v>4.26</v>
          </cell>
          <cell r="M2572">
            <v>17.088007490635061</v>
          </cell>
          <cell r="O2572" t="str">
            <v>-</v>
          </cell>
          <cell r="T2572" t="str">
            <v>-</v>
          </cell>
          <cell r="U2572">
            <v>0.625</v>
          </cell>
        </row>
        <row r="2573">
          <cell r="B2573" t="str">
            <v>HSS16X6X1/2</v>
          </cell>
          <cell r="C2573">
            <v>19</v>
          </cell>
          <cell r="D2573" t="str">
            <v>-</v>
          </cell>
          <cell r="F2573">
            <v>16</v>
          </cell>
          <cell r="H2573" t="str">
            <v>-</v>
          </cell>
          <cell r="I2573" t="str">
            <v>-</v>
          </cell>
          <cell r="K2573">
            <v>6</v>
          </cell>
          <cell r="L2573" t="str">
            <v>4.61</v>
          </cell>
          <cell r="M2573">
            <v>17.088007490635061</v>
          </cell>
          <cell r="O2573" t="str">
            <v>-</v>
          </cell>
          <cell r="T2573" t="str">
            <v>-</v>
          </cell>
          <cell r="U2573">
            <v>0.5</v>
          </cell>
        </row>
        <row r="2574">
          <cell r="B2574" t="str">
            <v>HSS16X6X3/8</v>
          </cell>
          <cell r="C2574">
            <v>14.6</v>
          </cell>
          <cell r="D2574" t="str">
            <v>-</v>
          </cell>
          <cell r="F2574">
            <v>16</v>
          </cell>
          <cell r="H2574" t="str">
            <v>-</v>
          </cell>
          <cell r="I2574" t="str">
            <v>-</v>
          </cell>
          <cell r="K2574">
            <v>6</v>
          </cell>
          <cell r="L2574" t="str">
            <v>4.95</v>
          </cell>
          <cell r="M2574">
            <v>17.088007490635061</v>
          </cell>
          <cell r="O2574" t="str">
            <v>-</v>
          </cell>
          <cell r="T2574" t="str">
            <v>-</v>
          </cell>
          <cell r="U2574">
            <v>0.375</v>
          </cell>
        </row>
        <row r="2575">
          <cell r="B2575" t="str">
            <v>HSS16X6X5/16</v>
          </cell>
          <cell r="C2575">
            <v>12.2</v>
          </cell>
          <cell r="D2575" t="str">
            <v>-</v>
          </cell>
          <cell r="F2575">
            <v>16</v>
          </cell>
          <cell r="H2575" t="str">
            <v>-</v>
          </cell>
          <cell r="I2575" t="str">
            <v>-</v>
          </cell>
          <cell r="K2575">
            <v>6</v>
          </cell>
          <cell r="L2575" t="str">
            <v>5.13</v>
          </cell>
          <cell r="M2575">
            <v>17.088007490635061</v>
          </cell>
          <cell r="O2575" t="str">
            <v>-</v>
          </cell>
          <cell r="T2575" t="str">
            <v>-</v>
          </cell>
          <cell r="U2575">
            <v>0.3125</v>
          </cell>
        </row>
        <row r="2576">
          <cell r="B2576" t="str">
            <v>HSS16X6X1/4</v>
          </cell>
          <cell r="C2576">
            <v>9.9</v>
          </cell>
          <cell r="D2576" t="str">
            <v>-</v>
          </cell>
          <cell r="F2576">
            <v>16</v>
          </cell>
          <cell r="H2576" t="str">
            <v>-</v>
          </cell>
          <cell r="I2576" t="str">
            <v>-</v>
          </cell>
          <cell r="K2576">
            <v>6</v>
          </cell>
          <cell r="L2576" t="str">
            <v>5.30</v>
          </cell>
          <cell r="M2576">
            <v>17.088007490635061</v>
          </cell>
          <cell r="O2576" t="str">
            <v>-</v>
          </cell>
          <cell r="T2576" t="str">
            <v>-</v>
          </cell>
          <cell r="U2576">
            <v>0.25</v>
          </cell>
        </row>
        <row r="2577">
          <cell r="B2577" t="str">
            <v>HSS16X6X3/16</v>
          </cell>
          <cell r="C2577">
            <v>7.46</v>
          </cell>
          <cell r="D2577" t="str">
            <v>-</v>
          </cell>
          <cell r="F2577">
            <v>16</v>
          </cell>
          <cell r="H2577" t="str">
            <v>-</v>
          </cell>
          <cell r="I2577" t="str">
            <v>-</v>
          </cell>
          <cell r="K2577">
            <v>6</v>
          </cell>
          <cell r="L2577" t="str">
            <v>5.48</v>
          </cell>
          <cell r="M2577">
            <v>17.088007490635061</v>
          </cell>
          <cell r="O2577" t="str">
            <v>-</v>
          </cell>
          <cell r="T2577" t="str">
            <v>-</v>
          </cell>
          <cell r="U2577">
            <v>0.1875</v>
          </cell>
        </row>
        <row r="2578">
          <cell r="B2578" t="str">
            <v>HSS16X4X5/8</v>
          </cell>
          <cell r="C2578">
            <v>21</v>
          </cell>
          <cell r="D2578" t="str">
            <v>-</v>
          </cell>
          <cell r="F2578">
            <v>16</v>
          </cell>
          <cell r="H2578" t="str">
            <v>-</v>
          </cell>
          <cell r="I2578" t="str">
            <v>-</v>
          </cell>
          <cell r="K2578">
            <v>4</v>
          </cell>
          <cell r="L2578">
            <v>2.2599999999999998</v>
          </cell>
          <cell r="M2578">
            <v>16.492422502470642</v>
          </cell>
          <cell r="O2578" t="str">
            <v>-</v>
          </cell>
          <cell r="T2578" t="str">
            <v>-</v>
          </cell>
          <cell r="U2578">
            <v>0.625</v>
          </cell>
        </row>
        <row r="2579">
          <cell r="B2579" t="str">
            <v>HSS16X4X1/2</v>
          </cell>
          <cell r="C2579">
            <v>17.2</v>
          </cell>
          <cell r="D2579" t="str">
            <v>-</v>
          </cell>
          <cell r="F2579">
            <v>16</v>
          </cell>
          <cell r="H2579" t="str">
            <v>-</v>
          </cell>
          <cell r="I2579" t="str">
            <v>-</v>
          </cell>
          <cell r="K2579">
            <v>4</v>
          </cell>
          <cell r="L2579">
            <v>2.6</v>
          </cell>
          <cell r="M2579">
            <v>16.492422502470642</v>
          </cell>
          <cell r="O2579" t="str">
            <v>-</v>
          </cell>
          <cell r="T2579" t="str">
            <v>-</v>
          </cell>
          <cell r="U2579">
            <v>0.5</v>
          </cell>
        </row>
        <row r="2580">
          <cell r="B2580" t="str">
            <v>HSS16X4X3/8</v>
          </cell>
          <cell r="C2580">
            <v>13.2</v>
          </cell>
          <cell r="D2580" t="str">
            <v>-</v>
          </cell>
          <cell r="F2580">
            <v>16</v>
          </cell>
          <cell r="H2580" t="str">
            <v>-</v>
          </cell>
          <cell r="I2580" t="str">
            <v>-</v>
          </cell>
          <cell r="K2580">
            <v>4</v>
          </cell>
          <cell r="L2580">
            <v>2.95</v>
          </cell>
          <cell r="M2580">
            <v>16.492422502470642</v>
          </cell>
          <cell r="O2580" t="str">
            <v>-</v>
          </cell>
          <cell r="T2580" t="str">
            <v>-</v>
          </cell>
          <cell r="U2580">
            <v>0.375</v>
          </cell>
        </row>
        <row r="2581">
          <cell r="B2581" t="str">
            <v>HSS16X4X5/16</v>
          </cell>
          <cell r="C2581">
            <v>11.1</v>
          </cell>
          <cell r="D2581" t="str">
            <v>-</v>
          </cell>
          <cell r="F2581">
            <v>16</v>
          </cell>
          <cell r="H2581" t="str">
            <v>-</v>
          </cell>
          <cell r="I2581" t="str">
            <v>-</v>
          </cell>
          <cell r="K2581">
            <v>4</v>
          </cell>
          <cell r="L2581">
            <v>3.13</v>
          </cell>
          <cell r="M2581">
            <v>16.492422502470642</v>
          </cell>
          <cell r="O2581" t="str">
            <v>-</v>
          </cell>
          <cell r="T2581" t="str">
            <v>-</v>
          </cell>
          <cell r="U2581">
            <v>0.3125</v>
          </cell>
        </row>
        <row r="2582">
          <cell r="B2582" t="str">
            <v>HSS16X4X1/4</v>
          </cell>
          <cell r="C2582">
            <v>8.9600000000000009</v>
          </cell>
          <cell r="D2582" t="str">
            <v>-</v>
          </cell>
          <cell r="F2582">
            <v>16</v>
          </cell>
          <cell r="H2582" t="str">
            <v>-</v>
          </cell>
          <cell r="I2582" t="str">
            <v>-</v>
          </cell>
          <cell r="K2582">
            <v>4</v>
          </cell>
          <cell r="L2582">
            <v>3.3</v>
          </cell>
          <cell r="M2582">
            <v>16.492422502470642</v>
          </cell>
          <cell r="O2582" t="str">
            <v>-</v>
          </cell>
          <cell r="T2582" t="str">
            <v>-</v>
          </cell>
          <cell r="U2582">
            <v>0.25</v>
          </cell>
        </row>
        <row r="2583">
          <cell r="B2583" t="str">
            <v>HSS16X4X3/16</v>
          </cell>
          <cell r="C2583">
            <v>6.76</v>
          </cell>
          <cell r="D2583" t="str">
            <v>-</v>
          </cell>
          <cell r="F2583">
            <v>16</v>
          </cell>
          <cell r="H2583" t="str">
            <v>-</v>
          </cell>
          <cell r="I2583" t="str">
            <v>-</v>
          </cell>
          <cell r="K2583">
            <v>4</v>
          </cell>
          <cell r="L2583">
            <v>3.48</v>
          </cell>
          <cell r="M2583">
            <v>16.492422502470642</v>
          </cell>
          <cell r="O2583" t="str">
            <v>-</v>
          </cell>
          <cell r="T2583" t="str">
            <v>-</v>
          </cell>
          <cell r="U2583">
            <v>0.1875</v>
          </cell>
        </row>
        <row r="2584">
          <cell r="B2584" t="str">
            <v>HSS14X14X1</v>
          </cell>
          <cell r="C2584">
            <v>46.4</v>
          </cell>
          <cell r="D2584" t="str">
            <v>-</v>
          </cell>
          <cell r="F2584">
            <v>14</v>
          </cell>
          <cell r="H2584" t="str">
            <v>-</v>
          </cell>
          <cell r="I2584" t="str">
            <v>-</v>
          </cell>
          <cell r="K2584">
            <v>14</v>
          </cell>
          <cell r="L2584" t="str">
            <v>11.2</v>
          </cell>
          <cell r="M2584">
            <v>19.798989873223331</v>
          </cell>
          <cell r="O2584" t="str">
            <v>-</v>
          </cell>
          <cell r="T2584" t="str">
            <v>-</v>
          </cell>
          <cell r="U2584">
            <v>1</v>
          </cell>
        </row>
        <row r="2585">
          <cell r="B2585" t="str">
            <v>HSS14X14X7/8</v>
          </cell>
          <cell r="C2585">
            <v>41.2</v>
          </cell>
          <cell r="D2585" t="str">
            <v>-</v>
          </cell>
          <cell r="F2585">
            <v>14</v>
          </cell>
          <cell r="H2585" t="str">
            <v>-</v>
          </cell>
          <cell r="I2585" t="str">
            <v>-</v>
          </cell>
          <cell r="K2585">
            <v>14</v>
          </cell>
          <cell r="L2585">
            <v>11.6</v>
          </cell>
          <cell r="M2585">
            <v>19.798989873223331</v>
          </cell>
          <cell r="O2585" t="str">
            <v>-</v>
          </cell>
          <cell r="T2585" t="str">
            <v>-</v>
          </cell>
          <cell r="U2585">
            <v>0.875</v>
          </cell>
        </row>
        <row r="2586">
          <cell r="B2586" t="str">
            <v>HSS14X14X3/4</v>
          </cell>
          <cell r="C2586">
            <v>35.9</v>
          </cell>
          <cell r="D2586" t="str">
            <v>-</v>
          </cell>
          <cell r="F2586">
            <v>14</v>
          </cell>
          <cell r="H2586" t="str">
            <v>-</v>
          </cell>
          <cell r="I2586" t="str">
            <v>-</v>
          </cell>
          <cell r="K2586">
            <v>14</v>
          </cell>
          <cell r="L2586">
            <v>11.9</v>
          </cell>
          <cell r="M2586">
            <v>19.798989873223331</v>
          </cell>
          <cell r="O2586" t="str">
            <v>-</v>
          </cell>
          <cell r="T2586" t="str">
            <v>-</v>
          </cell>
          <cell r="U2586">
            <v>0.75</v>
          </cell>
        </row>
        <row r="2587">
          <cell r="B2587" t="str">
            <v>HSS14X14X5/8</v>
          </cell>
          <cell r="C2587">
            <v>30.3</v>
          </cell>
          <cell r="D2587" t="str">
            <v>-</v>
          </cell>
          <cell r="F2587">
            <v>14</v>
          </cell>
          <cell r="H2587" t="str">
            <v>-</v>
          </cell>
          <cell r="I2587" t="str">
            <v>-</v>
          </cell>
          <cell r="K2587">
            <v>14</v>
          </cell>
          <cell r="L2587">
            <v>12.3</v>
          </cell>
          <cell r="M2587">
            <v>19.798989873223331</v>
          </cell>
          <cell r="O2587" t="str">
            <v>-</v>
          </cell>
          <cell r="T2587" t="str">
            <v>-</v>
          </cell>
          <cell r="U2587">
            <v>0.625</v>
          </cell>
        </row>
        <row r="2588">
          <cell r="B2588" t="str">
            <v>HSS14X14X1/2</v>
          </cell>
          <cell r="C2588">
            <v>24.6</v>
          </cell>
          <cell r="D2588" t="str">
            <v>-</v>
          </cell>
          <cell r="F2588">
            <v>14</v>
          </cell>
          <cell r="H2588" t="str">
            <v>-</v>
          </cell>
          <cell r="I2588" t="str">
            <v>-</v>
          </cell>
          <cell r="K2588">
            <v>14</v>
          </cell>
          <cell r="L2588">
            <v>12.6</v>
          </cell>
          <cell r="M2588">
            <v>19.798989873223331</v>
          </cell>
          <cell r="O2588" t="str">
            <v>-</v>
          </cell>
          <cell r="T2588" t="str">
            <v>-</v>
          </cell>
          <cell r="U2588">
            <v>0.5</v>
          </cell>
        </row>
        <row r="2589">
          <cell r="B2589" t="str">
            <v>HSS14X14X3/8</v>
          </cell>
          <cell r="C2589">
            <v>18.7</v>
          </cell>
          <cell r="D2589" t="str">
            <v>-</v>
          </cell>
          <cell r="F2589">
            <v>14</v>
          </cell>
          <cell r="H2589" t="str">
            <v>-</v>
          </cell>
          <cell r="I2589" t="str">
            <v>-</v>
          </cell>
          <cell r="K2589">
            <v>14</v>
          </cell>
          <cell r="L2589">
            <v>13</v>
          </cell>
          <cell r="M2589">
            <v>19.798989873223331</v>
          </cell>
          <cell r="O2589" t="str">
            <v>-</v>
          </cell>
          <cell r="T2589" t="str">
            <v>-</v>
          </cell>
          <cell r="U2589">
            <v>0.375</v>
          </cell>
        </row>
        <row r="2590">
          <cell r="B2590" t="str">
            <v>HSS14X14X5/16</v>
          </cell>
          <cell r="C2590">
            <v>15.7</v>
          </cell>
          <cell r="D2590" t="str">
            <v>-</v>
          </cell>
          <cell r="F2590">
            <v>14</v>
          </cell>
          <cell r="H2590" t="str">
            <v>-</v>
          </cell>
          <cell r="I2590" t="str">
            <v>-</v>
          </cell>
          <cell r="K2590">
            <v>14</v>
          </cell>
          <cell r="L2590">
            <v>13.1</v>
          </cell>
          <cell r="M2590">
            <v>19.798989873223331</v>
          </cell>
          <cell r="O2590" t="str">
            <v>-</v>
          </cell>
          <cell r="T2590" t="str">
            <v>-</v>
          </cell>
          <cell r="U2590">
            <v>0.3125</v>
          </cell>
        </row>
        <row r="2591">
          <cell r="B2591" t="str">
            <v>HSS14X14X1/4</v>
          </cell>
          <cell r="C2591">
            <v>12.7</v>
          </cell>
          <cell r="D2591" t="str">
            <v>-</v>
          </cell>
          <cell r="F2591">
            <v>14</v>
          </cell>
          <cell r="H2591" t="str">
            <v>-</v>
          </cell>
          <cell r="I2591" t="str">
            <v>-</v>
          </cell>
          <cell r="K2591">
            <v>14</v>
          </cell>
          <cell r="L2591" t="str">
            <v>13.3</v>
          </cell>
          <cell r="M2591">
            <v>19.798989873223331</v>
          </cell>
          <cell r="O2591" t="str">
            <v>-</v>
          </cell>
          <cell r="T2591" t="str">
            <v>-</v>
          </cell>
          <cell r="U2591">
            <v>0.25</v>
          </cell>
        </row>
        <row r="2592">
          <cell r="B2592" t="str">
            <v>HSS14X12X5/8</v>
          </cell>
          <cell r="C2592">
            <v>28</v>
          </cell>
          <cell r="D2592" t="str">
            <v>-</v>
          </cell>
          <cell r="F2592">
            <v>14</v>
          </cell>
          <cell r="H2592" t="str">
            <v>-</v>
          </cell>
          <cell r="I2592" t="str">
            <v>-</v>
          </cell>
          <cell r="K2592">
            <v>12</v>
          </cell>
          <cell r="L2592" t="str">
            <v>10.3</v>
          </cell>
          <cell r="M2592">
            <v>18.439088914585774</v>
          </cell>
          <cell r="O2592" t="str">
            <v>-</v>
          </cell>
          <cell r="T2592" t="str">
            <v>-</v>
          </cell>
          <cell r="U2592">
            <v>0.625</v>
          </cell>
        </row>
        <row r="2593">
          <cell r="B2593" t="str">
            <v>HSS14X12X1/2</v>
          </cell>
          <cell r="C2593">
            <v>22.8</v>
          </cell>
          <cell r="D2593" t="str">
            <v>-</v>
          </cell>
          <cell r="F2593">
            <v>14</v>
          </cell>
          <cell r="H2593" t="str">
            <v>-</v>
          </cell>
          <cell r="I2593" t="str">
            <v>-</v>
          </cell>
          <cell r="K2593">
            <v>12</v>
          </cell>
          <cell r="L2593" t="str">
            <v>10.6</v>
          </cell>
          <cell r="M2593">
            <v>18.439088914585774</v>
          </cell>
          <cell r="O2593" t="str">
            <v>-</v>
          </cell>
          <cell r="T2593" t="str">
            <v>-</v>
          </cell>
          <cell r="U2593">
            <v>0.5</v>
          </cell>
        </row>
        <row r="2594">
          <cell r="B2594" t="str">
            <v>HSS14X12X3/8</v>
          </cell>
          <cell r="C2594">
            <v>17.3</v>
          </cell>
          <cell r="D2594" t="str">
            <v>-</v>
          </cell>
          <cell r="F2594">
            <v>14</v>
          </cell>
          <cell r="H2594" t="str">
            <v>-</v>
          </cell>
          <cell r="I2594" t="str">
            <v>-</v>
          </cell>
          <cell r="K2594">
            <v>12</v>
          </cell>
          <cell r="L2594" t="str">
            <v>11.0</v>
          </cell>
          <cell r="M2594">
            <v>18.439088914585774</v>
          </cell>
          <cell r="O2594" t="str">
            <v>-</v>
          </cell>
          <cell r="T2594" t="str">
            <v>-</v>
          </cell>
          <cell r="U2594">
            <v>0.375</v>
          </cell>
        </row>
        <row r="2595">
          <cell r="B2595" t="str">
            <v>HSS14X12X5/16</v>
          </cell>
          <cell r="C2595">
            <v>14.6</v>
          </cell>
          <cell r="D2595" t="str">
            <v>-</v>
          </cell>
          <cell r="F2595">
            <v>14</v>
          </cell>
          <cell r="H2595" t="str">
            <v>-</v>
          </cell>
          <cell r="I2595" t="str">
            <v>-</v>
          </cell>
          <cell r="K2595">
            <v>12</v>
          </cell>
          <cell r="L2595" t="str">
            <v>11.1</v>
          </cell>
          <cell r="M2595">
            <v>18.439088914585774</v>
          </cell>
          <cell r="O2595" t="str">
            <v>-</v>
          </cell>
          <cell r="T2595" t="str">
            <v>-</v>
          </cell>
          <cell r="U2595">
            <v>0.3125</v>
          </cell>
        </row>
        <row r="2596">
          <cell r="B2596" t="str">
            <v>HSS14X12X1/4</v>
          </cell>
          <cell r="C2596">
            <v>11.8</v>
          </cell>
          <cell r="D2596" t="str">
            <v>-</v>
          </cell>
          <cell r="F2596">
            <v>14</v>
          </cell>
          <cell r="H2596" t="str">
            <v>-</v>
          </cell>
          <cell r="I2596" t="str">
            <v>-</v>
          </cell>
          <cell r="K2596">
            <v>12</v>
          </cell>
          <cell r="L2596" t="str">
            <v>11.3</v>
          </cell>
          <cell r="M2596">
            <v>18.439088914585774</v>
          </cell>
          <cell r="O2596" t="str">
            <v>-</v>
          </cell>
          <cell r="T2596" t="str">
            <v>-</v>
          </cell>
          <cell r="U2596">
            <v>0.25</v>
          </cell>
        </row>
        <row r="2597">
          <cell r="B2597" t="str">
            <v>HSS14X10X7/8</v>
          </cell>
          <cell r="C2597">
            <v>34.700000000000003</v>
          </cell>
          <cell r="D2597" t="str">
            <v>-</v>
          </cell>
          <cell r="F2597">
            <v>14</v>
          </cell>
          <cell r="H2597" t="str">
            <v>-</v>
          </cell>
          <cell r="I2597" t="str">
            <v>-</v>
          </cell>
          <cell r="K2597">
            <v>10</v>
          </cell>
          <cell r="L2597" t="str">
            <v>7.56</v>
          </cell>
          <cell r="M2597">
            <v>17.204650534085253</v>
          </cell>
          <cell r="O2597" t="str">
            <v>-</v>
          </cell>
          <cell r="T2597" t="str">
            <v>-</v>
          </cell>
          <cell r="U2597">
            <v>0.875</v>
          </cell>
        </row>
        <row r="2598">
          <cell r="B2598" t="str">
            <v>HSS14X10X3/4</v>
          </cell>
          <cell r="C2598">
            <v>30.3</v>
          </cell>
          <cell r="D2598" t="str">
            <v>-</v>
          </cell>
          <cell r="F2598">
            <v>14</v>
          </cell>
          <cell r="H2598" t="str">
            <v>-</v>
          </cell>
          <cell r="I2598" t="str">
            <v>-</v>
          </cell>
          <cell r="K2598">
            <v>10</v>
          </cell>
          <cell r="L2598" t="str">
            <v>7.91</v>
          </cell>
          <cell r="M2598">
            <v>17.204650534085253</v>
          </cell>
          <cell r="O2598" t="str">
            <v>-</v>
          </cell>
          <cell r="T2598" t="str">
            <v>-</v>
          </cell>
          <cell r="U2598">
            <v>0.75</v>
          </cell>
        </row>
        <row r="2599">
          <cell r="B2599" t="str">
            <v>HSS14X10X5/8</v>
          </cell>
          <cell r="C2599">
            <v>25.7</v>
          </cell>
          <cell r="D2599" t="str">
            <v>-</v>
          </cell>
          <cell r="F2599">
            <v>14</v>
          </cell>
          <cell r="H2599" t="str">
            <v>-</v>
          </cell>
          <cell r="I2599" t="str">
            <v>-</v>
          </cell>
          <cell r="K2599">
            <v>10</v>
          </cell>
          <cell r="L2599">
            <v>8.26</v>
          </cell>
          <cell r="M2599">
            <v>17.204650534085253</v>
          </cell>
          <cell r="O2599" t="str">
            <v>-</v>
          </cell>
          <cell r="T2599" t="str">
            <v>-</v>
          </cell>
          <cell r="U2599">
            <v>0.625</v>
          </cell>
        </row>
        <row r="2600">
          <cell r="B2600" t="str">
            <v>HSS14X10X1/2</v>
          </cell>
          <cell r="C2600">
            <v>20.9</v>
          </cell>
          <cell r="D2600" t="str">
            <v>-</v>
          </cell>
          <cell r="F2600">
            <v>14</v>
          </cell>
          <cell r="H2600" t="str">
            <v>-</v>
          </cell>
          <cell r="I2600" t="str">
            <v>-</v>
          </cell>
          <cell r="K2600">
            <v>10</v>
          </cell>
          <cell r="L2600">
            <v>8.6</v>
          </cell>
          <cell r="M2600">
            <v>17.204650534085253</v>
          </cell>
          <cell r="O2600" t="str">
            <v>-</v>
          </cell>
          <cell r="T2600" t="str">
            <v>-</v>
          </cell>
          <cell r="U2600">
            <v>0.5</v>
          </cell>
        </row>
        <row r="2601">
          <cell r="B2601" t="str">
            <v>HSS14X10X3/8</v>
          </cell>
          <cell r="C2601">
            <v>16</v>
          </cell>
          <cell r="D2601" t="str">
            <v>-</v>
          </cell>
          <cell r="F2601">
            <v>14</v>
          </cell>
          <cell r="H2601" t="str">
            <v>-</v>
          </cell>
          <cell r="I2601" t="str">
            <v>-</v>
          </cell>
          <cell r="K2601">
            <v>10</v>
          </cell>
          <cell r="L2601">
            <v>8.9499999999999993</v>
          </cell>
          <cell r="M2601">
            <v>17.204650534085253</v>
          </cell>
          <cell r="O2601" t="str">
            <v>-</v>
          </cell>
          <cell r="T2601" t="str">
            <v>-</v>
          </cell>
          <cell r="U2601">
            <v>0.375</v>
          </cell>
        </row>
        <row r="2602">
          <cell r="B2602" t="str">
            <v>HSS14X10X5/16</v>
          </cell>
          <cell r="C2602">
            <v>13.4</v>
          </cell>
          <cell r="D2602" t="str">
            <v>-</v>
          </cell>
          <cell r="F2602">
            <v>14</v>
          </cell>
          <cell r="H2602" t="str">
            <v>-</v>
          </cell>
          <cell r="I2602" t="str">
            <v>-</v>
          </cell>
          <cell r="K2602">
            <v>10</v>
          </cell>
          <cell r="L2602">
            <v>9.1300000000000008</v>
          </cell>
          <cell r="M2602">
            <v>17.204650534085253</v>
          </cell>
          <cell r="O2602" t="str">
            <v>-</v>
          </cell>
          <cell r="T2602" t="str">
            <v>-</v>
          </cell>
          <cell r="U2602">
            <v>0.3125</v>
          </cell>
        </row>
        <row r="2603">
          <cell r="B2603" t="str">
            <v>HSS14X10X1/4</v>
          </cell>
          <cell r="C2603">
            <v>10.8</v>
          </cell>
          <cell r="D2603" t="str">
            <v>-</v>
          </cell>
          <cell r="F2603">
            <v>14</v>
          </cell>
          <cell r="H2603" t="str">
            <v>-</v>
          </cell>
          <cell r="I2603" t="str">
            <v>-</v>
          </cell>
          <cell r="K2603">
            <v>10</v>
          </cell>
          <cell r="L2603">
            <v>9.3000000000000007</v>
          </cell>
          <cell r="M2603">
            <v>17.204650534085253</v>
          </cell>
          <cell r="O2603" t="str">
            <v>-</v>
          </cell>
          <cell r="T2603" t="str">
            <v>-</v>
          </cell>
          <cell r="U2603">
            <v>0.25</v>
          </cell>
        </row>
        <row r="2604">
          <cell r="B2604" t="str">
            <v>HSS14X8X5/8</v>
          </cell>
          <cell r="C2604">
            <v>23.3</v>
          </cell>
          <cell r="D2604" t="str">
            <v>-</v>
          </cell>
          <cell r="F2604">
            <v>14</v>
          </cell>
          <cell r="H2604" t="str">
            <v>-</v>
          </cell>
          <cell r="I2604" t="str">
            <v>-</v>
          </cell>
          <cell r="K2604">
            <v>8</v>
          </cell>
          <cell r="L2604" t="str">
            <v>6.26</v>
          </cell>
          <cell r="M2604">
            <v>16.124515496597098</v>
          </cell>
          <cell r="O2604" t="str">
            <v>-</v>
          </cell>
          <cell r="T2604" t="str">
            <v>-</v>
          </cell>
          <cell r="U2604">
            <v>0.625</v>
          </cell>
        </row>
        <row r="2605">
          <cell r="B2605" t="str">
            <v>HSS14X8X1/2</v>
          </cell>
          <cell r="C2605">
            <v>19</v>
          </cell>
          <cell r="D2605" t="str">
            <v>-</v>
          </cell>
          <cell r="F2605">
            <v>14</v>
          </cell>
          <cell r="H2605" t="str">
            <v>-</v>
          </cell>
          <cell r="I2605" t="str">
            <v>-</v>
          </cell>
          <cell r="K2605">
            <v>8</v>
          </cell>
          <cell r="L2605" t="str">
            <v>6.61</v>
          </cell>
          <cell r="M2605">
            <v>16.124515496597098</v>
          </cell>
          <cell r="O2605" t="str">
            <v>-</v>
          </cell>
          <cell r="T2605" t="str">
            <v>-</v>
          </cell>
          <cell r="U2605">
            <v>0.5</v>
          </cell>
        </row>
        <row r="2606">
          <cell r="B2606" t="str">
            <v>HSS14X8X3/8</v>
          </cell>
          <cell r="C2606">
            <v>14.6</v>
          </cell>
          <cell r="D2606" t="str">
            <v>-</v>
          </cell>
          <cell r="F2606">
            <v>14</v>
          </cell>
          <cell r="H2606" t="str">
            <v>-</v>
          </cell>
          <cell r="I2606" t="str">
            <v>-</v>
          </cell>
          <cell r="K2606">
            <v>8</v>
          </cell>
          <cell r="L2606" t="str">
            <v>6.95</v>
          </cell>
          <cell r="M2606">
            <v>16.124515496597098</v>
          </cell>
          <cell r="O2606" t="str">
            <v>-</v>
          </cell>
          <cell r="T2606" t="str">
            <v>-</v>
          </cell>
          <cell r="U2606">
            <v>0.375</v>
          </cell>
        </row>
        <row r="2607">
          <cell r="B2607" t="str">
            <v>HSS14X8X5/16</v>
          </cell>
          <cell r="C2607">
            <v>12.2</v>
          </cell>
          <cell r="D2607" t="str">
            <v>-</v>
          </cell>
          <cell r="F2607">
            <v>14</v>
          </cell>
          <cell r="H2607" t="str">
            <v>-</v>
          </cell>
          <cell r="I2607" t="str">
            <v>-</v>
          </cell>
          <cell r="K2607">
            <v>8</v>
          </cell>
          <cell r="L2607" t="str">
            <v>7.13</v>
          </cell>
          <cell r="M2607">
            <v>16.124515496597098</v>
          </cell>
          <cell r="O2607" t="str">
            <v>-</v>
          </cell>
          <cell r="T2607" t="str">
            <v>-</v>
          </cell>
          <cell r="U2607">
            <v>0.3125</v>
          </cell>
        </row>
        <row r="2608">
          <cell r="B2608" t="str">
            <v>HSS14X8X1/4</v>
          </cell>
          <cell r="C2608">
            <v>9.9</v>
          </cell>
          <cell r="D2608" t="str">
            <v>-</v>
          </cell>
          <cell r="F2608">
            <v>14</v>
          </cell>
          <cell r="H2608" t="str">
            <v>-</v>
          </cell>
          <cell r="I2608" t="str">
            <v>-</v>
          </cell>
          <cell r="K2608">
            <v>8</v>
          </cell>
          <cell r="L2608" t="str">
            <v>7.30</v>
          </cell>
          <cell r="M2608">
            <v>16.124515496597098</v>
          </cell>
          <cell r="O2608" t="str">
            <v>-</v>
          </cell>
          <cell r="T2608" t="str">
            <v>-</v>
          </cell>
          <cell r="U2608">
            <v>0.25</v>
          </cell>
        </row>
        <row r="2609">
          <cell r="B2609" t="str">
            <v>HSS14X8X3/16</v>
          </cell>
          <cell r="C2609">
            <v>7.46</v>
          </cell>
          <cell r="D2609" t="str">
            <v>-</v>
          </cell>
          <cell r="F2609">
            <v>14</v>
          </cell>
          <cell r="H2609" t="str">
            <v>-</v>
          </cell>
          <cell r="I2609" t="str">
            <v>-</v>
          </cell>
          <cell r="K2609">
            <v>8</v>
          </cell>
          <cell r="L2609" t="str">
            <v>7.48</v>
          </cell>
          <cell r="M2609">
            <v>16.124515496597098</v>
          </cell>
          <cell r="O2609" t="str">
            <v>-</v>
          </cell>
          <cell r="T2609" t="str">
            <v>-</v>
          </cell>
          <cell r="U2609">
            <v>0.1875</v>
          </cell>
        </row>
        <row r="2610">
          <cell r="B2610" t="str">
            <v>HSS14X6X5/8</v>
          </cell>
          <cell r="C2610">
            <v>21</v>
          </cell>
          <cell r="D2610" t="str">
            <v>-</v>
          </cell>
          <cell r="F2610">
            <v>14</v>
          </cell>
          <cell r="H2610" t="str">
            <v>-</v>
          </cell>
          <cell r="I2610" t="str">
            <v>-</v>
          </cell>
          <cell r="K2610">
            <v>6</v>
          </cell>
          <cell r="L2610">
            <v>4.26</v>
          </cell>
          <cell r="M2610">
            <v>15.231546211727817</v>
          </cell>
          <cell r="O2610" t="str">
            <v>-</v>
          </cell>
          <cell r="T2610" t="str">
            <v>-</v>
          </cell>
          <cell r="U2610">
            <v>0.625</v>
          </cell>
        </row>
        <row r="2611">
          <cell r="B2611" t="str">
            <v>HSS14X6X1/2</v>
          </cell>
          <cell r="C2611">
            <v>17.2</v>
          </cell>
          <cell r="D2611" t="str">
            <v>-</v>
          </cell>
          <cell r="F2611">
            <v>14</v>
          </cell>
          <cell r="H2611" t="str">
            <v>-</v>
          </cell>
          <cell r="I2611" t="str">
            <v>-</v>
          </cell>
          <cell r="K2611">
            <v>6</v>
          </cell>
          <cell r="L2611">
            <v>4.6100000000000003</v>
          </cell>
          <cell r="M2611">
            <v>15.231546211727817</v>
          </cell>
          <cell r="O2611" t="str">
            <v>-</v>
          </cell>
          <cell r="T2611" t="str">
            <v>-</v>
          </cell>
          <cell r="U2611">
            <v>0.5</v>
          </cell>
        </row>
        <row r="2612">
          <cell r="B2612" t="str">
            <v>HSS14X6X3/8</v>
          </cell>
          <cell r="C2612">
            <v>13.2</v>
          </cell>
          <cell r="D2612" t="str">
            <v>-</v>
          </cell>
          <cell r="F2612">
            <v>14</v>
          </cell>
          <cell r="H2612" t="str">
            <v>-</v>
          </cell>
          <cell r="I2612" t="str">
            <v>-</v>
          </cell>
          <cell r="K2612">
            <v>6</v>
          </cell>
          <cell r="L2612">
            <v>4.95</v>
          </cell>
          <cell r="M2612">
            <v>15.231546211727817</v>
          </cell>
          <cell r="O2612" t="str">
            <v>-</v>
          </cell>
          <cell r="T2612" t="str">
            <v>-</v>
          </cell>
          <cell r="U2612">
            <v>0.375</v>
          </cell>
        </row>
        <row r="2613">
          <cell r="B2613" t="str">
            <v>HSS14X6X5/16</v>
          </cell>
          <cell r="C2613">
            <v>11.1</v>
          </cell>
          <cell r="D2613" t="str">
            <v>-</v>
          </cell>
          <cell r="F2613">
            <v>14</v>
          </cell>
          <cell r="H2613" t="str">
            <v>-</v>
          </cell>
          <cell r="I2613" t="str">
            <v>-</v>
          </cell>
          <cell r="K2613">
            <v>6</v>
          </cell>
          <cell r="L2613">
            <v>5.13</v>
          </cell>
          <cell r="M2613">
            <v>15.231546211727817</v>
          </cell>
          <cell r="O2613" t="str">
            <v>-</v>
          </cell>
          <cell r="T2613" t="str">
            <v>-</v>
          </cell>
          <cell r="U2613">
            <v>0.3125</v>
          </cell>
        </row>
        <row r="2614">
          <cell r="B2614" t="str">
            <v>HSS14X6X1/4</v>
          </cell>
          <cell r="C2614">
            <v>8.9600000000000009</v>
          </cell>
          <cell r="D2614" t="str">
            <v>-</v>
          </cell>
          <cell r="F2614">
            <v>14</v>
          </cell>
          <cell r="H2614" t="str">
            <v>-</v>
          </cell>
          <cell r="I2614" t="str">
            <v>-</v>
          </cell>
          <cell r="K2614">
            <v>6</v>
          </cell>
          <cell r="L2614">
            <v>5.3</v>
          </cell>
          <cell r="M2614">
            <v>15.231546211727817</v>
          </cell>
          <cell r="O2614" t="str">
            <v>-</v>
          </cell>
          <cell r="T2614" t="str">
            <v>-</v>
          </cell>
          <cell r="U2614">
            <v>0.25</v>
          </cell>
        </row>
        <row r="2615">
          <cell r="B2615" t="str">
            <v>HSS14X6X3/16</v>
          </cell>
          <cell r="C2615">
            <v>6.76</v>
          </cell>
          <cell r="D2615" t="str">
            <v>-</v>
          </cell>
          <cell r="F2615">
            <v>14</v>
          </cell>
          <cell r="H2615" t="str">
            <v>-</v>
          </cell>
          <cell r="I2615" t="str">
            <v>-</v>
          </cell>
          <cell r="K2615">
            <v>6</v>
          </cell>
          <cell r="L2615">
            <v>5.48</v>
          </cell>
          <cell r="M2615">
            <v>15.231546211727817</v>
          </cell>
          <cell r="O2615" t="str">
            <v>-</v>
          </cell>
          <cell r="T2615" t="str">
            <v>-</v>
          </cell>
          <cell r="U2615">
            <v>0.1875</v>
          </cell>
        </row>
        <row r="2616">
          <cell r="B2616" t="str">
            <v>HSS14X4X5/8</v>
          </cell>
          <cell r="C2616">
            <v>18.7</v>
          </cell>
          <cell r="D2616" t="str">
            <v>-</v>
          </cell>
          <cell r="F2616">
            <v>14</v>
          </cell>
          <cell r="H2616" t="str">
            <v>-</v>
          </cell>
          <cell r="I2616" t="str">
            <v>-</v>
          </cell>
          <cell r="K2616">
            <v>4</v>
          </cell>
          <cell r="L2616">
            <v>2.2599999999999998</v>
          </cell>
          <cell r="M2616">
            <v>14.560219778561036</v>
          </cell>
          <cell r="O2616" t="str">
            <v>-</v>
          </cell>
          <cell r="T2616" t="str">
            <v>-</v>
          </cell>
          <cell r="U2616">
            <v>0.625</v>
          </cell>
        </row>
        <row r="2617">
          <cell r="B2617" t="str">
            <v>HSS14X4X1/2</v>
          </cell>
          <cell r="C2617">
            <v>15.3</v>
          </cell>
          <cell r="D2617" t="str">
            <v>-</v>
          </cell>
          <cell r="F2617">
            <v>14</v>
          </cell>
          <cell r="H2617" t="str">
            <v>-</v>
          </cell>
          <cell r="I2617" t="str">
            <v>-</v>
          </cell>
          <cell r="K2617">
            <v>4</v>
          </cell>
          <cell r="L2617">
            <v>2.6</v>
          </cell>
          <cell r="M2617">
            <v>14.560219778561036</v>
          </cell>
          <cell r="O2617" t="str">
            <v>-</v>
          </cell>
          <cell r="T2617" t="str">
            <v>-</v>
          </cell>
          <cell r="U2617">
            <v>0.5</v>
          </cell>
        </row>
        <row r="2618">
          <cell r="B2618" t="str">
            <v>HSS14X4X3/8</v>
          </cell>
          <cell r="C2618">
            <v>11.8</v>
          </cell>
          <cell r="D2618" t="str">
            <v>-</v>
          </cell>
          <cell r="F2618">
            <v>14</v>
          </cell>
          <cell r="H2618" t="str">
            <v>-</v>
          </cell>
          <cell r="I2618" t="str">
            <v>-</v>
          </cell>
          <cell r="K2618">
            <v>4</v>
          </cell>
          <cell r="L2618">
            <v>2.95</v>
          </cell>
          <cell r="M2618">
            <v>14.560219778561036</v>
          </cell>
          <cell r="O2618" t="str">
            <v>-</v>
          </cell>
          <cell r="T2618" t="str">
            <v>-</v>
          </cell>
          <cell r="U2618">
            <v>0.375</v>
          </cell>
        </row>
        <row r="2619">
          <cell r="B2619" t="str">
            <v>HSS14X4X5/16</v>
          </cell>
          <cell r="C2619">
            <v>9.92</v>
          </cell>
          <cell r="D2619" t="str">
            <v>-</v>
          </cell>
          <cell r="F2619">
            <v>14</v>
          </cell>
          <cell r="H2619" t="str">
            <v>-</v>
          </cell>
          <cell r="I2619" t="str">
            <v>-</v>
          </cell>
          <cell r="K2619">
            <v>4</v>
          </cell>
          <cell r="L2619">
            <v>3.13</v>
          </cell>
          <cell r="M2619">
            <v>14.560219778561036</v>
          </cell>
          <cell r="O2619" t="str">
            <v>-</v>
          </cell>
          <cell r="T2619" t="str">
            <v>-</v>
          </cell>
          <cell r="U2619">
            <v>0.3125</v>
          </cell>
        </row>
        <row r="2620">
          <cell r="B2620" t="str">
            <v>HSS14X4X1/4</v>
          </cell>
          <cell r="C2620">
            <v>8.0299999999999994</v>
          </cell>
          <cell r="D2620" t="str">
            <v>-</v>
          </cell>
          <cell r="F2620">
            <v>14</v>
          </cell>
          <cell r="H2620" t="str">
            <v>-</v>
          </cell>
          <cell r="I2620" t="str">
            <v>-</v>
          </cell>
          <cell r="K2620">
            <v>4</v>
          </cell>
          <cell r="L2620">
            <v>3.3</v>
          </cell>
          <cell r="M2620">
            <v>14.560219778561036</v>
          </cell>
          <cell r="O2620" t="str">
            <v>-</v>
          </cell>
          <cell r="T2620" t="str">
            <v>-</v>
          </cell>
          <cell r="U2620">
            <v>0.25</v>
          </cell>
        </row>
        <row r="2621">
          <cell r="B2621" t="str">
            <v>HSS14X4X3/16</v>
          </cell>
          <cell r="C2621">
            <v>6.06</v>
          </cell>
          <cell r="D2621" t="str">
            <v>-</v>
          </cell>
          <cell r="F2621">
            <v>14</v>
          </cell>
          <cell r="H2621" t="str">
            <v>-</v>
          </cell>
          <cell r="I2621" t="str">
            <v>-</v>
          </cell>
          <cell r="K2621">
            <v>4</v>
          </cell>
          <cell r="L2621">
            <v>3.48</v>
          </cell>
          <cell r="M2621">
            <v>14.560219778561036</v>
          </cell>
          <cell r="O2621" t="str">
            <v>-</v>
          </cell>
          <cell r="T2621" t="str">
            <v>-</v>
          </cell>
          <cell r="U2621">
            <v>0.1875</v>
          </cell>
        </row>
        <row r="2622">
          <cell r="B2622" t="str">
            <v>HSS12X12X1</v>
          </cell>
          <cell r="C2622">
            <v>39</v>
          </cell>
          <cell r="D2622" t="str">
            <v>-</v>
          </cell>
          <cell r="F2622">
            <v>12</v>
          </cell>
          <cell r="H2622" t="str">
            <v>-</v>
          </cell>
          <cell r="I2622" t="str">
            <v>-</v>
          </cell>
          <cell r="K2622">
            <v>12</v>
          </cell>
          <cell r="L2622" t="str">
            <v>9.21</v>
          </cell>
          <cell r="M2622">
            <v>16.970562748477139</v>
          </cell>
          <cell r="O2622" t="str">
            <v>-</v>
          </cell>
          <cell r="T2622" t="str">
            <v>-</v>
          </cell>
          <cell r="U2622">
            <v>1</v>
          </cell>
        </row>
        <row r="2623">
          <cell r="B2623" t="str">
            <v>HSS12X12X7/8</v>
          </cell>
          <cell r="C2623">
            <v>34.700000000000003</v>
          </cell>
          <cell r="D2623" t="str">
            <v>-</v>
          </cell>
          <cell r="F2623">
            <v>12</v>
          </cell>
          <cell r="H2623" t="str">
            <v>-</v>
          </cell>
          <cell r="I2623" t="str">
            <v>-</v>
          </cell>
          <cell r="K2623">
            <v>12</v>
          </cell>
          <cell r="L2623" t="str">
            <v>9.56</v>
          </cell>
          <cell r="M2623">
            <v>16.970562748477139</v>
          </cell>
          <cell r="O2623" t="str">
            <v>-</v>
          </cell>
          <cell r="T2623" t="str">
            <v>-</v>
          </cell>
          <cell r="U2623">
            <v>0.875</v>
          </cell>
        </row>
        <row r="2624">
          <cell r="B2624" t="str">
            <v>HSS12X12X3/4</v>
          </cell>
          <cell r="C2624">
            <v>30.3</v>
          </cell>
          <cell r="D2624" t="str">
            <v>-</v>
          </cell>
          <cell r="F2624">
            <v>12</v>
          </cell>
          <cell r="H2624" t="str">
            <v>-</v>
          </cell>
          <cell r="I2624" t="str">
            <v>-</v>
          </cell>
          <cell r="K2624">
            <v>12</v>
          </cell>
          <cell r="L2624">
            <v>9.91</v>
          </cell>
          <cell r="M2624">
            <v>16.970562748477139</v>
          </cell>
          <cell r="O2624" t="str">
            <v>-</v>
          </cell>
          <cell r="T2624" t="str">
            <v>-</v>
          </cell>
          <cell r="U2624">
            <v>0.75</v>
          </cell>
        </row>
        <row r="2625">
          <cell r="B2625" t="str">
            <v>HSS12X12X5/8</v>
          </cell>
          <cell r="C2625">
            <v>25.7</v>
          </cell>
          <cell r="D2625" t="str">
            <v>-</v>
          </cell>
          <cell r="F2625">
            <v>12</v>
          </cell>
          <cell r="H2625" t="str">
            <v>-</v>
          </cell>
          <cell r="I2625" t="str">
            <v>-</v>
          </cell>
          <cell r="K2625">
            <v>12</v>
          </cell>
          <cell r="L2625">
            <v>10.3</v>
          </cell>
          <cell r="M2625">
            <v>16.970562748477139</v>
          </cell>
          <cell r="O2625" t="str">
            <v>-</v>
          </cell>
          <cell r="T2625" t="str">
            <v>-</v>
          </cell>
          <cell r="U2625">
            <v>0.625</v>
          </cell>
        </row>
        <row r="2626">
          <cell r="B2626" t="str">
            <v>HSS12X12X1/2</v>
          </cell>
          <cell r="C2626">
            <v>20.9</v>
          </cell>
          <cell r="D2626" t="str">
            <v>-</v>
          </cell>
          <cell r="F2626">
            <v>12</v>
          </cell>
          <cell r="H2626" t="str">
            <v>-</v>
          </cell>
          <cell r="I2626" t="str">
            <v>-</v>
          </cell>
          <cell r="K2626">
            <v>12</v>
          </cell>
          <cell r="L2626">
            <v>10.6</v>
          </cell>
          <cell r="M2626">
            <v>16.970562748477139</v>
          </cell>
          <cell r="O2626" t="str">
            <v>-</v>
          </cell>
          <cell r="T2626" t="str">
            <v>-</v>
          </cell>
          <cell r="U2626">
            <v>0.5</v>
          </cell>
        </row>
        <row r="2627">
          <cell r="B2627" t="str">
            <v>HSS12X12X3/8</v>
          </cell>
          <cell r="C2627">
            <v>16</v>
          </cell>
          <cell r="D2627" t="str">
            <v>-</v>
          </cell>
          <cell r="F2627">
            <v>12</v>
          </cell>
          <cell r="H2627" t="str">
            <v>-</v>
          </cell>
          <cell r="I2627" t="str">
            <v>-</v>
          </cell>
          <cell r="K2627">
            <v>12</v>
          </cell>
          <cell r="L2627">
            <v>11</v>
          </cell>
          <cell r="M2627">
            <v>16.970562748477139</v>
          </cell>
          <cell r="O2627" t="str">
            <v>-</v>
          </cell>
          <cell r="T2627" t="str">
            <v>-</v>
          </cell>
          <cell r="U2627">
            <v>0.375</v>
          </cell>
        </row>
        <row r="2628">
          <cell r="B2628" t="str">
            <v>HSS12X12X5/16</v>
          </cell>
          <cell r="C2628">
            <v>13.4</v>
          </cell>
          <cell r="D2628" t="str">
            <v>-</v>
          </cell>
          <cell r="F2628">
            <v>12</v>
          </cell>
          <cell r="H2628" t="str">
            <v>-</v>
          </cell>
          <cell r="I2628" t="str">
            <v>-</v>
          </cell>
          <cell r="K2628">
            <v>12</v>
          </cell>
          <cell r="L2628">
            <v>11.1</v>
          </cell>
          <cell r="M2628">
            <v>16.970562748477139</v>
          </cell>
          <cell r="O2628" t="str">
            <v>-</v>
          </cell>
          <cell r="T2628" t="str">
            <v>-</v>
          </cell>
          <cell r="U2628">
            <v>0.3125</v>
          </cell>
        </row>
        <row r="2629">
          <cell r="B2629" t="str">
            <v>HSS12X12X1/4</v>
          </cell>
          <cell r="C2629">
            <v>10.8</v>
          </cell>
          <cell r="D2629" t="str">
            <v>-</v>
          </cell>
          <cell r="F2629">
            <v>12</v>
          </cell>
          <cell r="H2629" t="str">
            <v>-</v>
          </cell>
          <cell r="I2629" t="str">
            <v>-</v>
          </cell>
          <cell r="K2629">
            <v>12</v>
          </cell>
          <cell r="L2629">
            <v>11.3</v>
          </cell>
          <cell r="M2629">
            <v>16.970562748477139</v>
          </cell>
          <cell r="O2629" t="str">
            <v>-</v>
          </cell>
          <cell r="T2629" t="str">
            <v>-</v>
          </cell>
          <cell r="U2629">
            <v>0.25</v>
          </cell>
        </row>
        <row r="2630">
          <cell r="B2630" t="str">
            <v>HSS12X12X3/16</v>
          </cell>
          <cell r="C2630">
            <v>8.15</v>
          </cell>
          <cell r="D2630" t="str">
            <v>-</v>
          </cell>
          <cell r="F2630">
            <v>12</v>
          </cell>
          <cell r="H2630" t="str">
            <v>-</v>
          </cell>
          <cell r="I2630" t="str">
            <v>-</v>
          </cell>
          <cell r="K2630">
            <v>12</v>
          </cell>
          <cell r="L2630">
            <v>11.5</v>
          </cell>
          <cell r="M2630">
            <v>16.970562748477139</v>
          </cell>
          <cell r="O2630" t="str">
            <v>-</v>
          </cell>
          <cell r="T2630" t="str">
            <v>-</v>
          </cell>
          <cell r="U2630">
            <v>0.1875</v>
          </cell>
        </row>
        <row r="2631">
          <cell r="B2631" t="str">
            <v>HSS12X10X5/8</v>
          </cell>
          <cell r="C2631">
            <v>23.3</v>
          </cell>
          <cell r="D2631" t="str">
            <v>-</v>
          </cell>
          <cell r="F2631">
            <v>12</v>
          </cell>
          <cell r="H2631" t="str">
            <v>-</v>
          </cell>
          <cell r="I2631" t="str">
            <v>-</v>
          </cell>
          <cell r="K2631">
            <v>10</v>
          </cell>
          <cell r="L2631" t="str">
            <v>8.26</v>
          </cell>
          <cell r="M2631">
            <v>15.620499351813308</v>
          </cell>
          <cell r="O2631" t="str">
            <v>-</v>
          </cell>
          <cell r="T2631" t="str">
            <v>-</v>
          </cell>
          <cell r="U2631">
            <v>0.625</v>
          </cell>
        </row>
        <row r="2632">
          <cell r="B2632" t="str">
            <v>HSS12X10X1/2</v>
          </cell>
          <cell r="C2632">
            <v>19</v>
          </cell>
          <cell r="D2632" t="str">
            <v>-</v>
          </cell>
          <cell r="F2632">
            <v>12</v>
          </cell>
          <cell r="H2632" t="str">
            <v>-</v>
          </cell>
          <cell r="I2632" t="str">
            <v>-</v>
          </cell>
          <cell r="K2632">
            <v>10</v>
          </cell>
          <cell r="L2632">
            <v>8.6</v>
          </cell>
          <cell r="M2632">
            <v>15.620499351813308</v>
          </cell>
          <cell r="O2632" t="str">
            <v>-</v>
          </cell>
          <cell r="T2632" t="str">
            <v>-</v>
          </cell>
          <cell r="U2632">
            <v>0.5</v>
          </cell>
        </row>
        <row r="2633">
          <cell r="B2633" t="str">
            <v>HSS12X10X3/8</v>
          </cell>
          <cell r="C2633">
            <v>14.6</v>
          </cell>
          <cell r="D2633" t="str">
            <v>-</v>
          </cell>
          <cell r="F2633">
            <v>12</v>
          </cell>
          <cell r="H2633" t="str">
            <v>-</v>
          </cell>
          <cell r="I2633" t="str">
            <v>-</v>
          </cell>
          <cell r="K2633">
            <v>10</v>
          </cell>
          <cell r="L2633">
            <v>8.9499999999999993</v>
          </cell>
          <cell r="M2633">
            <v>15.620499351813308</v>
          </cell>
          <cell r="O2633" t="str">
            <v>-</v>
          </cell>
          <cell r="T2633" t="str">
            <v>-</v>
          </cell>
          <cell r="U2633">
            <v>0.375</v>
          </cell>
        </row>
        <row r="2634">
          <cell r="B2634" t="str">
            <v>HSS12X10X5/16</v>
          </cell>
          <cell r="C2634">
            <v>12.2</v>
          </cell>
          <cell r="D2634" t="str">
            <v>-</v>
          </cell>
          <cell r="F2634">
            <v>12</v>
          </cell>
          <cell r="H2634" t="str">
            <v>-</v>
          </cell>
          <cell r="I2634" t="str">
            <v>-</v>
          </cell>
          <cell r="K2634">
            <v>10</v>
          </cell>
          <cell r="L2634">
            <v>9.1300000000000008</v>
          </cell>
          <cell r="M2634">
            <v>15.620499351813308</v>
          </cell>
          <cell r="O2634" t="str">
            <v>-</v>
          </cell>
          <cell r="T2634" t="str">
            <v>-</v>
          </cell>
          <cell r="U2634">
            <v>0.3125</v>
          </cell>
        </row>
        <row r="2635">
          <cell r="B2635" t="str">
            <v>HSS12X10X1/4</v>
          </cell>
          <cell r="C2635">
            <v>9.9</v>
          </cell>
          <cell r="D2635" t="str">
            <v>-</v>
          </cell>
          <cell r="F2635">
            <v>12</v>
          </cell>
          <cell r="H2635" t="str">
            <v>-</v>
          </cell>
          <cell r="I2635" t="str">
            <v>-</v>
          </cell>
          <cell r="K2635">
            <v>10</v>
          </cell>
          <cell r="L2635">
            <v>9.3000000000000007</v>
          </cell>
          <cell r="M2635">
            <v>15.620499351813308</v>
          </cell>
          <cell r="O2635" t="str">
            <v>-</v>
          </cell>
          <cell r="T2635" t="str">
            <v>-</v>
          </cell>
          <cell r="U2635">
            <v>0.25</v>
          </cell>
        </row>
        <row r="2636">
          <cell r="B2636" t="str">
            <v>HSS12X10X3/16</v>
          </cell>
          <cell r="C2636">
            <v>7.46</v>
          </cell>
          <cell r="D2636" t="str">
            <v>-</v>
          </cell>
          <cell r="F2636">
            <v>12</v>
          </cell>
          <cell r="H2636" t="str">
            <v>-</v>
          </cell>
          <cell r="I2636" t="str">
            <v>-</v>
          </cell>
          <cell r="K2636">
            <v>10</v>
          </cell>
          <cell r="L2636" t="str">
            <v>9.48</v>
          </cell>
          <cell r="M2636">
            <v>15.620499351813308</v>
          </cell>
          <cell r="O2636" t="str">
            <v>-</v>
          </cell>
          <cell r="T2636" t="str">
            <v>-</v>
          </cell>
          <cell r="U2636">
            <v>0.1875</v>
          </cell>
        </row>
        <row r="2637">
          <cell r="B2637" t="str">
            <v>HSS12X8X5/8</v>
          </cell>
          <cell r="C2637">
            <v>21</v>
          </cell>
          <cell r="D2637" t="str">
            <v>-</v>
          </cell>
          <cell r="F2637">
            <v>12</v>
          </cell>
          <cell r="H2637" t="str">
            <v>-</v>
          </cell>
          <cell r="I2637" t="str">
            <v>-</v>
          </cell>
          <cell r="K2637">
            <v>8</v>
          </cell>
          <cell r="L2637">
            <v>6.26</v>
          </cell>
          <cell r="M2637">
            <v>14.422205101855956</v>
          </cell>
          <cell r="O2637" t="str">
            <v>-</v>
          </cell>
          <cell r="T2637" t="str">
            <v>-</v>
          </cell>
          <cell r="U2637">
            <v>0.625</v>
          </cell>
        </row>
        <row r="2638">
          <cell r="B2638" t="str">
            <v>HSS12X8X1/2</v>
          </cell>
          <cell r="C2638">
            <v>17.2</v>
          </cell>
          <cell r="D2638" t="str">
            <v>-</v>
          </cell>
          <cell r="F2638">
            <v>12</v>
          </cell>
          <cell r="H2638" t="str">
            <v>-</v>
          </cell>
          <cell r="I2638" t="str">
            <v>-</v>
          </cell>
          <cell r="K2638">
            <v>8</v>
          </cell>
          <cell r="L2638">
            <v>6.6</v>
          </cell>
          <cell r="M2638">
            <v>14.422205101855956</v>
          </cell>
          <cell r="O2638" t="str">
            <v>-</v>
          </cell>
          <cell r="T2638" t="str">
            <v>-</v>
          </cell>
          <cell r="U2638">
            <v>0.5</v>
          </cell>
        </row>
        <row r="2639">
          <cell r="B2639" t="str">
            <v>HSS12X8X3/8</v>
          </cell>
          <cell r="C2639">
            <v>13.2</v>
          </cell>
          <cell r="D2639" t="str">
            <v>-</v>
          </cell>
          <cell r="F2639">
            <v>12</v>
          </cell>
          <cell r="H2639" t="str">
            <v>-</v>
          </cell>
          <cell r="I2639" t="str">
            <v>-</v>
          </cell>
          <cell r="K2639">
            <v>8</v>
          </cell>
          <cell r="L2639">
            <v>6.95</v>
          </cell>
          <cell r="M2639">
            <v>14.422205101855956</v>
          </cell>
          <cell r="O2639" t="str">
            <v>-</v>
          </cell>
          <cell r="T2639" t="str">
            <v>-</v>
          </cell>
          <cell r="U2639">
            <v>0.375</v>
          </cell>
        </row>
        <row r="2640">
          <cell r="B2640" t="str">
            <v>HSS12X8X5/16</v>
          </cell>
          <cell r="C2640">
            <v>11.1</v>
          </cell>
          <cell r="D2640" t="str">
            <v>-</v>
          </cell>
          <cell r="F2640">
            <v>12</v>
          </cell>
          <cell r="H2640" t="str">
            <v>-</v>
          </cell>
          <cell r="I2640" t="str">
            <v>-</v>
          </cell>
          <cell r="K2640">
            <v>8</v>
          </cell>
          <cell r="L2640">
            <v>7.13</v>
          </cell>
          <cell r="M2640">
            <v>14.422205101855956</v>
          </cell>
          <cell r="O2640" t="str">
            <v>-</v>
          </cell>
          <cell r="T2640" t="str">
            <v>-</v>
          </cell>
          <cell r="U2640">
            <v>0.3125</v>
          </cell>
        </row>
        <row r="2641">
          <cell r="B2641" t="str">
            <v>HSS12X8X1/4</v>
          </cell>
          <cell r="C2641">
            <v>8.9600000000000009</v>
          </cell>
          <cell r="D2641" t="str">
            <v>-</v>
          </cell>
          <cell r="F2641">
            <v>12</v>
          </cell>
          <cell r="H2641" t="str">
            <v>-</v>
          </cell>
          <cell r="I2641" t="str">
            <v>-</v>
          </cell>
          <cell r="K2641">
            <v>8</v>
          </cell>
          <cell r="L2641">
            <v>7.3</v>
          </cell>
          <cell r="M2641">
            <v>14.422205101855956</v>
          </cell>
          <cell r="O2641" t="str">
            <v>-</v>
          </cell>
          <cell r="T2641" t="str">
            <v>-</v>
          </cell>
          <cell r="U2641">
            <v>0.25</v>
          </cell>
        </row>
        <row r="2642">
          <cell r="B2642" t="str">
            <v>HSS12X8X3/16</v>
          </cell>
          <cell r="C2642">
            <v>6.76</v>
          </cell>
          <cell r="D2642" t="str">
            <v>-</v>
          </cell>
          <cell r="F2642">
            <v>12</v>
          </cell>
          <cell r="H2642" t="str">
            <v>-</v>
          </cell>
          <cell r="I2642" t="str">
            <v>-</v>
          </cell>
          <cell r="K2642">
            <v>8</v>
          </cell>
          <cell r="L2642">
            <v>7.48</v>
          </cell>
          <cell r="M2642">
            <v>14.422205101855956</v>
          </cell>
          <cell r="O2642" t="str">
            <v>-</v>
          </cell>
          <cell r="T2642" t="str">
            <v>-</v>
          </cell>
          <cell r="U2642">
            <v>0.1875</v>
          </cell>
        </row>
        <row r="2643">
          <cell r="B2643" t="str">
            <v>HSS12X6X5/8</v>
          </cell>
          <cell r="C2643">
            <v>18.7</v>
          </cell>
          <cell r="D2643" t="str">
            <v>-</v>
          </cell>
          <cell r="F2643">
            <v>12</v>
          </cell>
          <cell r="H2643" t="str">
            <v>-</v>
          </cell>
          <cell r="I2643" t="str">
            <v>-</v>
          </cell>
          <cell r="K2643">
            <v>6</v>
          </cell>
          <cell r="L2643">
            <v>4.26</v>
          </cell>
          <cell r="M2643">
            <v>13.416407864998739</v>
          </cell>
          <cell r="O2643" t="str">
            <v>-</v>
          </cell>
          <cell r="T2643" t="str">
            <v>-</v>
          </cell>
          <cell r="U2643">
            <v>0.625</v>
          </cell>
        </row>
        <row r="2644">
          <cell r="B2644" t="str">
            <v>HSS12X6X1/2</v>
          </cell>
          <cell r="C2644">
            <v>15.3</v>
          </cell>
          <cell r="D2644" t="str">
            <v>-</v>
          </cell>
          <cell r="F2644">
            <v>12</v>
          </cell>
          <cell r="H2644" t="str">
            <v>-</v>
          </cell>
          <cell r="I2644" t="str">
            <v>-</v>
          </cell>
          <cell r="K2644">
            <v>6</v>
          </cell>
          <cell r="L2644">
            <v>4.6100000000000003</v>
          </cell>
          <cell r="M2644">
            <v>13.416407864998739</v>
          </cell>
          <cell r="O2644" t="str">
            <v>-</v>
          </cell>
          <cell r="T2644" t="str">
            <v>-</v>
          </cell>
          <cell r="U2644">
            <v>0.5</v>
          </cell>
        </row>
        <row r="2645">
          <cell r="B2645" t="str">
            <v>HSS12X6X3/8</v>
          </cell>
          <cell r="C2645">
            <v>11.8</v>
          </cell>
          <cell r="D2645" t="str">
            <v>-</v>
          </cell>
          <cell r="F2645">
            <v>12</v>
          </cell>
          <cell r="H2645" t="str">
            <v>-</v>
          </cell>
          <cell r="I2645" t="str">
            <v>-</v>
          </cell>
          <cell r="K2645">
            <v>6</v>
          </cell>
          <cell r="L2645">
            <v>4.95</v>
          </cell>
          <cell r="M2645">
            <v>13.416407864998739</v>
          </cell>
          <cell r="O2645" t="str">
            <v>-</v>
          </cell>
          <cell r="T2645" t="str">
            <v>-</v>
          </cell>
          <cell r="U2645">
            <v>0.375</v>
          </cell>
        </row>
        <row r="2646">
          <cell r="B2646" t="str">
            <v>HSS12X6X5/16</v>
          </cell>
          <cell r="C2646">
            <v>9.92</v>
          </cell>
          <cell r="D2646" t="str">
            <v>-</v>
          </cell>
          <cell r="F2646">
            <v>12</v>
          </cell>
          <cell r="H2646" t="str">
            <v>-</v>
          </cell>
          <cell r="I2646" t="str">
            <v>-</v>
          </cell>
          <cell r="K2646">
            <v>6</v>
          </cell>
          <cell r="L2646">
            <v>5.13</v>
          </cell>
          <cell r="M2646">
            <v>13.416407864998739</v>
          </cell>
          <cell r="O2646" t="str">
            <v>-</v>
          </cell>
          <cell r="T2646" t="str">
            <v>-</v>
          </cell>
          <cell r="U2646">
            <v>0.3125</v>
          </cell>
        </row>
        <row r="2647">
          <cell r="B2647" t="str">
            <v>HSS12X6X1/4</v>
          </cell>
          <cell r="C2647">
            <v>8.0299999999999994</v>
          </cell>
          <cell r="D2647" t="str">
            <v>-</v>
          </cell>
          <cell r="F2647">
            <v>12</v>
          </cell>
          <cell r="H2647" t="str">
            <v>-</v>
          </cell>
          <cell r="I2647" t="str">
            <v>-</v>
          </cell>
          <cell r="K2647">
            <v>6</v>
          </cell>
          <cell r="L2647">
            <v>5.3</v>
          </cell>
          <cell r="M2647">
            <v>13.416407864998739</v>
          </cell>
          <cell r="O2647" t="str">
            <v>-</v>
          </cell>
          <cell r="T2647" t="str">
            <v>-</v>
          </cell>
          <cell r="U2647">
            <v>0.25</v>
          </cell>
        </row>
        <row r="2648">
          <cell r="B2648" t="str">
            <v>HSS12X6X3/16</v>
          </cell>
          <cell r="C2648">
            <v>6.06</v>
          </cell>
          <cell r="D2648" t="str">
            <v>-</v>
          </cell>
          <cell r="F2648">
            <v>12</v>
          </cell>
          <cell r="H2648" t="str">
            <v>-</v>
          </cell>
          <cell r="I2648" t="str">
            <v>-</v>
          </cell>
          <cell r="K2648">
            <v>6</v>
          </cell>
          <cell r="L2648">
            <v>5.48</v>
          </cell>
          <cell r="M2648">
            <v>13.416407864998739</v>
          </cell>
          <cell r="O2648" t="str">
            <v>-</v>
          </cell>
          <cell r="T2648" t="str">
            <v>-</v>
          </cell>
          <cell r="U2648">
            <v>0.1875</v>
          </cell>
        </row>
        <row r="2649">
          <cell r="B2649" t="str">
            <v>HSS12X4X5/8</v>
          </cell>
          <cell r="C2649">
            <v>16.399999999999999</v>
          </cell>
          <cell r="D2649" t="str">
            <v>-</v>
          </cell>
          <cell r="F2649">
            <v>12</v>
          </cell>
          <cell r="H2649" t="str">
            <v>-</v>
          </cell>
          <cell r="I2649" t="str">
            <v>-</v>
          </cell>
          <cell r="K2649">
            <v>4</v>
          </cell>
          <cell r="L2649">
            <v>2.2599999999999998</v>
          </cell>
          <cell r="M2649">
            <v>12.649110640673518</v>
          </cell>
          <cell r="O2649" t="str">
            <v>-</v>
          </cell>
          <cell r="T2649" t="str">
            <v>-</v>
          </cell>
          <cell r="U2649">
            <v>0.625</v>
          </cell>
        </row>
        <row r="2650">
          <cell r="B2650" t="str">
            <v>HSS12X4X1/2</v>
          </cell>
          <cell r="C2650">
            <v>13.5</v>
          </cell>
          <cell r="D2650" t="str">
            <v>-</v>
          </cell>
          <cell r="F2650">
            <v>12</v>
          </cell>
          <cell r="H2650" t="str">
            <v>-</v>
          </cell>
          <cell r="I2650" t="str">
            <v>-</v>
          </cell>
          <cell r="K2650">
            <v>4</v>
          </cell>
          <cell r="L2650">
            <v>2.6</v>
          </cell>
          <cell r="M2650">
            <v>12.649110640673518</v>
          </cell>
          <cell r="O2650" t="str">
            <v>-</v>
          </cell>
          <cell r="T2650" t="str">
            <v>-</v>
          </cell>
          <cell r="U2650">
            <v>0.5</v>
          </cell>
        </row>
        <row r="2651">
          <cell r="B2651" t="str">
            <v>HSS12X4X3/8</v>
          </cell>
          <cell r="C2651">
            <v>10.4</v>
          </cell>
          <cell r="D2651" t="str">
            <v>-</v>
          </cell>
          <cell r="F2651">
            <v>12</v>
          </cell>
          <cell r="H2651" t="str">
            <v>-</v>
          </cell>
          <cell r="I2651" t="str">
            <v>-</v>
          </cell>
          <cell r="K2651">
            <v>4</v>
          </cell>
          <cell r="L2651">
            <v>2.95</v>
          </cell>
          <cell r="M2651">
            <v>12.649110640673518</v>
          </cell>
          <cell r="O2651" t="str">
            <v>-</v>
          </cell>
          <cell r="T2651" t="str">
            <v>-</v>
          </cell>
          <cell r="U2651">
            <v>0.375</v>
          </cell>
        </row>
        <row r="2652">
          <cell r="B2652" t="str">
            <v>HSS12X4X5/16</v>
          </cell>
          <cell r="C2652">
            <v>8.76</v>
          </cell>
          <cell r="D2652" t="str">
            <v>-</v>
          </cell>
          <cell r="F2652">
            <v>12</v>
          </cell>
          <cell r="H2652" t="str">
            <v>-</v>
          </cell>
          <cell r="I2652" t="str">
            <v>-</v>
          </cell>
          <cell r="K2652">
            <v>4</v>
          </cell>
          <cell r="L2652">
            <v>3.13</v>
          </cell>
          <cell r="M2652">
            <v>12.649110640673518</v>
          </cell>
          <cell r="O2652" t="str">
            <v>-</v>
          </cell>
          <cell r="T2652" t="str">
            <v>-</v>
          </cell>
          <cell r="U2652">
            <v>0.3125</v>
          </cell>
        </row>
        <row r="2653">
          <cell r="B2653" t="str">
            <v>HSS12X4X1/4</v>
          </cell>
          <cell r="C2653">
            <v>7.1</v>
          </cell>
          <cell r="D2653" t="str">
            <v>-</v>
          </cell>
          <cell r="F2653">
            <v>12</v>
          </cell>
          <cell r="H2653" t="str">
            <v>-</v>
          </cell>
          <cell r="I2653" t="str">
            <v>-</v>
          </cell>
          <cell r="K2653">
            <v>4</v>
          </cell>
          <cell r="L2653">
            <v>3.3</v>
          </cell>
          <cell r="M2653">
            <v>12.649110640673518</v>
          </cell>
          <cell r="O2653" t="str">
            <v>-</v>
          </cell>
          <cell r="T2653" t="str">
            <v>-</v>
          </cell>
          <cell r="U2653">
            <v>0.25</v>
          </cell>
        </row>
        <row r="2654">
          <cell r="B2654" t="str">
            <v>HSS12X4X3/16</v>
          </cell>
          <cell r="C2654">
            <v>5.37</v>
          </cell>
          <cell r="D2654" t="str">
            <v>-</v>
          </cell>
          <cell r="F2654">
            <v>12</v>
          </cell>
          <cell r="H2654" t="str">
            <v>-</v>
          </cell>
          <cell r="I2654" t="str">
            <v>-</v>
          </cell>
          <cell r="K2654">
            <v>4</v>
          </cell>
          <cell r="L2654">
            <v>3.48</v>
          </cell>
          <cell r="M2654">
            <v>12.649110640673518</v>
          </cell>
          <cell r="O2654" t="str">
            <v>-</v>
          </cell>
          <cell r="T2654" t="str">
            <v>-</v>
          </cell>
          <cell r="U2654">
            <v>0.1875</v>
          </cell>
        </row>
        <row r="2655">
          <cell r="B2655" t="str">
            <v>HSS12X3X5/16</v>
          </cell>
          <cell r="C2655">
            <v>8.17</v>
          </cell>
          <cell r="D2655" t="str">
            <v>-</v>
          </cell>
          <cell r="F2655">
            <v>12</v>
          </cell>
          <cell r="H2655" t="str">
            <v>-</v>
          </cell>
          <cell r="I2655" t="str">
            <v>-</v>
          </cell>
          <cell r="K2655">
            <v>3</v>
          </cell>
          <cell r="L2655">
            <v>2.13</v>
          </cell>
          <cell r="M2655">
            <v>12.369316876852981</v>
          </cell>
          <cell r="O2655" t="str">
            <v>-</v>
          </cell>
          <cell r="T2655" t="str">
            <v>-</v>
          </cell>
          <cell r="U2655">
            <v>0.3125</v>
          </cell>
        </row>
        <row r="2656">
          <cell r="B2656" t="str">
            <v>HSS12X3X1/4</v>
          </cell>
          <cell r="C2656">
            <v>6.63</v>
          </cell>
          <cell r="D2656" t="str">
            <v>-</v>
          </cell>
          <cell r="F2656">
            <v>12</v>
          </cell>
          <cell r="H2656" t="str">
            <v>-</v>
          </cell>
          <cell r="I2656" t="str">
            <v>-</v>
          </cell>
          <cell r="K2656">
            <v>3</v>
          </cell>
          <cell r="L2656">
            <v>2.2999999999999998</v>
          </cell>
          <cell r="M2656">
            <v>12.369316876852981</v>
          </cell>
          <cell r="O2656" t="str">
            <v>-</v>
          </cell>
          <cell r="T2656" t="str">
            <v>-</v>
          </cell>
          <cell r="U2656">
            <v>0.25</v>
          </cell>
        </row>
        <row r="2657">
          <cell r="B2657" t="str">
            <v>HSS12X3X3/16</v>
          </cell>
          <cell r="C2657">
            <v>5.0199999999999996</v>
          </cell>
          <cell r="D2657" t="str">
            <v>-</v>
          </cell>
          <cell r="F2657">
            <v>12</v>
          </cell>
          <cell r="H2657" t="str">
            <v>-</v>
          </cell>
          <cell r="I2657" t="str">
            <v>-</v>
          </cell>
          <cell r="K2657">
            <v>3</v>
          </cell>
          <cell r="L2657">
            <v>2.48</v>
          </cell>
          <cell r="M2657">
            <v>12.369316876852981</v>
          </cell>
          <cell r="O2657" t="str">
            <v>-</v>
          </cell>
          <cell r="T2657" t="str">
            <v>-</v>
          </cell>
          <cell r="U2657">
            <v>0.1875</v>
          </cell>
        </row>
        <row r="2658">
          <cell r="B2658" t="str">
            <v>HSS12X2X5/16</v>
          </cell>
          <cell r="C2658">
            <v>7.59</v>
          </cell>
          <cell r="D2658" t="str">
            <v>-</v>
          </cell>
          <cell r="F2658">
            <v>12</v>
          </cell>
          <cell r="H2658" t="str">
            <v>-</v>
          </cell>
          <cell r="I2658" t="str">
            <v>-</v>
          </cell>
          <cell r="K2658">
            <v>2</v>
          </cell>
          <cell r="L2658">
            <v>1.1299999999999999</v>
          </cell>
          <cell r="M2658">
            <v>12.165525060596439</v>
          </cell>
          <cell r="O2658" t="str">
            <v>-</v>
          </cell>
          <cell r="T2658" t="str">
            <v>-</v>
          </cell>
          <cell r="U2658">
            <v>0.3125</v>
          </cell>
        </row>
        <row r="2659">
          <cell r="B2659" t="str">
            <v>HSS12X2X1/4</v>
          </cell>
          <cell r="C2659">
            <v>6.17</v>
          </cell>
          <cell r="D2659" t="str">
            <v>-</v>
          </cell>
          <cell r="F2659">
            <v>12</v>
          </cell>
          <cell r="H2659" t="str">
            <v>-</v>
          </cell>
          <cell r="I2659" t="str">
            <v>-</v>
          </cell>
          <cell r="K2659">
            <v>2</v>
          </cell>
          <cell r="L2659">
            <v>1.3</v>
          </cell>
          <cell r="M2659">
            <v>12.165525060596439</v>
          </cell>
          <cell r="O2659" t="str">
            <v>-</v>
          </cell>
          <cell r="T2659" t="str">
            <v>-</v>
          </cell>
          <cell r="U2659">
            <v>0.25</v>
          </cell>
        </row>
        <row r="2660">
          <cell r="B2660" t="str">
            <v>HSS12X2X3/16</v>
          </cell>
          <cell r="C2660">
            <v>4.67</v>
          </cell>
          <cell r="D2660" t="str">
            <v>-</v>
          </cell>
          <cell r="F2660">
            <v>12</v>
          </cell>
          <cell r="H2660" t="str">
            <v>-</v>
          </cell>
          <cell r="I2660" t="str">
            <v>-</v>
          </cell>
          <cell r="K2660">
            <v>2</v>
          </cell>
          <cell r="L2660">
            <v>1.48</v>
          </cell>
          <cell r="M2660">
            <v>12.165525060596439</v>
          </cell>
          <cell r="O2660" t="str">
            <v>-</v>
          </cell>
          <cell r="T2660" t="str">
            <v>-</v>
          </cell>
          <cell r="U2660">
            <v>0.1875</v>
          </cell>
        </row>
        <row r="2661">
          <cell r="B2661" t="str">
            <v>HSS10X10X3/4</v>
          </cell>
          <cell r="C2661">
            <v>24.7</v>
          </cell>
          <cell r="D2661" t="str">
            <v>-</v>
          </cell>
          <cell r="F2661">
            <v>10</v>
          </cell>
          <cell r="H2661" t="str">
            <v>-</v>
          </cell>
          <cell r="I2661" t="str">
            <v>-</v>
          </cell>
          <cell r="K2661">
            <v>10</v>
          </cell>
          <cell r="L2661">
            <v>7.91</v>
          </cell>
          <cell r="M2661">
            <v>14.142135623730951</v>
          </cell>
          <cell r="O2661" t="str">
            <v>-</v>
          </cell>
          <cell r="T2661" t="str">
            <v>-</v>
          </cell>
          <cell r="U2661">
            <v>0.75</v>
          </cell>
        </row>
        <row r="2662">
          <cell r="B2662" t="str">
            <v>HSS10X10X5/8</v>
          </cell>
          <cell r="C2662">
            <v>21</v>
          </cell>
          <cell r="D2662" t="str">
            <v>-</v>
          </cell>
          <cell r="F2662">
            <v>10</v>
          </cell>
          <cell r="H2662" t="str">
            <v>-</v>
          </cell>
          <cell r="I2662" t="str">
            <v>-</v>
          </cell>
          <cell r="K2662">
            <v>10</v>
          </cell>
          <cell r="L2662">
            <v>8.26</v>
          </cell>
          <cell r="M2662">
            <v>14.142135623730951</v>
          </cell>
          <cell r="O2662" t="str">
            <v>-</v>
          </cell>
          <cell r="T2662" t="str">
            <v>-</v>
          </cell>
          <cell r="U2662">
            <v>0.625</v>
          </cell>
        </row>
        <row r="2663">
          <cell r="B2663" t="str">
            <v>HSS10X10X1/2</v>
          </cell>
          <cell r="C2663">
            <v>17.2</v>
          </cell>
          <cell r="D2663" t="str">
            <v>-</v>
          </cell>
          <cell r="F2663">
            <v>10</v>
          </cell>
          <cell r="H2663" t="str">
            <v>-</v>
          </cell>
          <cell r="I2663" t="str">
            <v>-</v>
          </cell>
          <cell r="K2663">
            <v>10</v>
          </cell>
          <cell r="L2663">
            <v>8.6</v>
          </cell>
          <cell r="M2663">
            <v>14.142135623730951</v>
          </cell>
          <cell r="O2663" t="str">
            <v>-</v>
          </cell>
          <cell r="T2663" t="str">
            <v>-</v>
          </cell>
          <cell r="U2663">
            <v>0.5</v>
          </cell>
        </row>
        <row r="2664">
          <cell r="B2664" t="str">
            <v>HSS10X10X3/8</v>
          </cell>
          <cell r="C2664">
            <v>13.2</v>
          </cell>
          <cell r="D2664" t="str">
            <v>-</v>
          </cell>
          <cell r="F2664">
            <v>10</v>
          </cell>
          <cell r="H2664" t="str">
            <v>-</v>
          </cell>
          <cell r="I2664" t="str">
            <v>-</v>
          </cell>
          <cell r="K2664">
            <v>10</v>
          </cell>
          <cell r="L2664">
            <v>8.9499999999999993</v>
          </cell>
          <cell r="M2664">
            <v>14.142135623730951</v>
          </cell>
          <cell r="O2664" t="str">
            <v>-</v>
          </cell>
          <cell r="T2664" t="str">
            <v>-</v>
          </cell>
          <cell r="U2664">
            <v>0.375</v>
          </cell>
        </row>
        <row r="2665">
          <cell r="B2665" t="str">
            <v>HSS10X10X5/16</v>
          </cell>
          <cell r="C2665">
            <v>11.1</v>
          </cell>
          <cell r="D2665" t="str">
            <v>-</v>
          </cell>
          <cell r="F2665">
            <v>10</v>
          </cell>
          <cell r="H2665" t="str">
            <v>-</v>
          </cell>
          <cell r="I2665" t="str">
            <v>-</v>
          </cell>
          <cell r="K2665">
            <v>10</v>
          </cell>
          <cell r="L2665">
            <v>9.1300000000000008</v>
          </cell>
          <cell r="M2665">
            <v>14.142135623730951</v>
          </cell>
          <cell r="O2665" t="str">
            <v>-</v>
          </cell>
          <cell r="T2665" t="str">
            <v>-</v>
          </cell>
          <cell r="U2665">
            <v>0.3125</v>
          </cell>
        </row>
        <row r="2666">
          <cell r="B2666" t="str">
            <v>HSS10X10X1/4</v>
          </cell>
          <cell r="C2666">
            <v>8.9600000000000009</v>
          </cell>
          <cell r="D2666" t="str">
            <v>-</v>
          </cell>
          <cell r="F2666">
            <v>10</v>
          </cell>
          <cell r="H2666" t="str">
            <v>-</v>
          </cell>
          <cell r="I2666" t="str">
            <v>-</v>
          </cell>
          <cell r="K2666">
            <v>10</v>
          </cell>
          <cell r="L2666">
            <v>9.3000000000000007</v>
          </cell>
          <cell r="M2666">
            <v>14.142135623730951</v>
          </cell>
          <cell r="O2666" t="str">
            <v>-</v>
          </cell>
          <cell r="T2666" t="str">
            <v>-</v>
          </cell>
          <cell r="U2666">
            <v>0.25</v>
          </cell>
        </row>
        <row r="2667">
          <cell r="B2667" t="str">
            <v>HSS10X10X3/16</v>
          </cell>
          <cell r="C2667">
            <v>6.76</v>
          </cell>
          <cell r="D2667" t="str">
            <v>-</v>
          </cell>
          <cell r="F2667">
            <v>10</v>
          </cell>
          <cell r="H2667" t="str">
            <v>-</v>
          </cell>
          <cell r="I2667" t="str">
            <v>-</v>
          </cell>
          <cell r="K2667">
            <v>10</v>
          </cell>
          <cell r="L2667">
            <v>9.48</v>
          </cell>
          <cell r="M2667">
            <v>14.142135623730951</v>
          </cell>
          <cell r="O2667" t="str">
            <v>-</v>
          </cell>
          <cell r="T2667" t="str">
            <v>-</v>
          </cell>
          <cell r="U2667">
            <v>0.1875</v>
          </cell>
        </row>
        <row r="2668">
          <cell r="B2668" t="str">
            <v>HSS10X8X5/8</v>
          </cell>
          <cell r="C2668">
            <v>18.7</v>
          </cell>
          <cell r="D2668" t="str">
            <v>-</v>
          </cell>
          <cell r="F2668">
            <v>10</v>
          </cell>
          <cell r="H2668" t="str">
            <v>-</v>
          </cell>
          <cell r="I2668" t="str">
            <v>-</v>
          </cell>
          <cell r="K2668">
            <v>8</v>
          </cell>
          <cell r="L2668">
            <v>6.26</v>
          </cell>
          <cell r="M2668">
            <v>12.806248474865697</v>
          </cell>
          <cell r="O2668" t="str">
            <v>-</v>
          </cell>
          <cell r="T2668" t="str">
            <v>-</v>
          </cell>
          <cell r="U2668">
            <v>0.625</v>
          </cell>
        </row>
        <row r="2669">
          <cell r="B2669" t="str">
            <v>HSS10X8X1/2</v>
          </cell>
          <cell r="C2669">
            <v>15.3</v>
          </cell>
          <cell r="D2669" t="str">
            <v>-</v>
          </cell>
          <cell r="F2669">
            <v>10</v>
          </cell>
          <cell r="H2669" t="str">
            <v>-</v>
          </cell>
          <cell r="I2669" t="str">
            <v>-</v>
          </cell>
          <cell r="K2669">
            <v>8</v>
          </cell>
          <cell r="L2669">
            <v>6.6</v>
          </cell>
          <cell r="M2669">
            <v>12.806248474865697</v>
          </cell>
          <cell r="O2669" t="str">
            <v>-</v>
          </cell>
          <cell r="T2669" t="str">
            <v>-</v>
          </cell>
          <cell r="U2669">
            <v>0.5</v>
          </cell>
        </row>
        <row r="2670">
          <cell r="B2670" t="str">
            <v>HSS10X8X3/8</v>
          </cell>
          <cell r="C2670">
            <v>11.8</v>
          </cell>
          <cell r="D2670" t="str">
            <v>-</v>
          </cell>
          <cell r="F2670">
            <v>10</v>
          </cell>
          <cell r="H2670" t="str">
            <v>-</v>
          </cell>
          <cell r="I2670" t="str">
            <v>-</v>
          </cell>
          <cell r="K2670">
            <v>8</v>
          </cell>
          <cell r="L2670">
            <v>6.95</v>
          </cell>
          <cell r="M2670">
            <v>12.806248474865697</v>
          </cell>
          <cell r="O2670" t="str">
            <v>-</v>
          </cell>
          <cell r="T2670" t="str">
            <v>-</v>
          </cell>
          <cell r="U2670">
            <v>0.375</v>
          </cell>
        </row>
        <row r="2671">
          <cell r="B2671" t="str">
            <v>HSS10X8X5/16</v>
          </cell>
          <cell r="C2671">
            <v>9.92</v>
          </cell>
          <cell r="D2671" t="str">
            <v>-</v>
          </cell>
          <cell r="F2671">
            <v>10</v>
          </cell>
          <cell r="H2671" t="str">
            <v>-</v>
          </cell>
          <cell r="I2671" t="str">
            <v>-</v>
          </cell>
          <cell r="K2671">
            <v>8</v>
          </cell>
          <cell r="L2671">
            <v>7.13</v>
          </cell>
          <cell r="M2671">
            <v>12.806248474865697</v>
          </cell>
          <cell r="O2671" t="str">
            <v>-</v>
          </cell>
          <cell r="T2671" t="str">
            <v>-</v>
          </cell>
          <cell r="U2671">
            <v>0.3125</v>
          </cell>
        </row>
        <row r="2672">
          <cell r="B2672" t="str">
            <v>HSS10X8X1/4</v>
          </cell>
          <cell r="C2672">
            <v>8.0299999999999994</v>
          </cell>
          <cell r="D2672" t="str">
            <v>-</v>
          </cell>
          <cell r="F2672">
            <v>10</v>
          </cell>
          <cell r="H2672" t="str">
            <v>-</v>
          </cell>
          <cell r="I2672" t="str">
            <v>-</v>
          </cell>
          <cell r="K2672">
            <v>8</v>
          </cell>
          <cell r="L2672">
            <v>7.3</v>
          </cell>
          <cell r="M2672">
            <v>12.806248474865697</v>
          </cell>
          <cell r="O2672" t="str">
            <v>-</v>
          </cell>
          <cell r="T2672" t="str">
            <v>-</v>
          </cell>
          <cell r="U2672">
            <v>0.25</v>
          </cell>
        </row>
        <row r="2673">
          <cell r="B2673" t="str">
            <v>HSS10X8X3/16</v>
          </cell>
          <cell r="C2673">
            <v>6.06</v>
          </cell>
          <cell r="D2673" t="str">
            <v>-</v>
          </cell>
          <cell r="F2673">
            <v>10</v>
          </cell>
          <cell r="H2673" t="str">
            <v>-</v>
          </cell>
          <cell r="I2673" t="str">
            <v>-</v>
          </cell>
          <cell r="K2673">
            <v>8</v>
          </cell>
          <cell r="L2673">
            <v>7.48</v>
          </cell>
          <cell r="M2673">
            <v>12.806248474865697</v>
          </cell>
          <cell r="O2673" t="str">
            <v>-</v>
          </cell>
          <cell r="T2673" t="str">
            <v>-</v>
          </cell>
          <cell r="U2673">
            <v>0.1875</v>
          </cell>
        </row>
        <row r="2674">
          <cell r="B2674" t="str">
            <v>HSS10X6X5/8</v>
          </cell>
          <cell r="C2674">
            <v>16.399999999999999</v>
          </cell>
          <cell r="D2674" t="str">
            <v>-</v>
          </cell>
          <cell r="F2674">
            <v>10</v>
          </cell>
          <cell r="H2674" t="str">
            <v>-</v>
          </cell>
          <cell r="I2674" t="str">
            <v>-</v>
          </cell>
          <cell r="K2674">
            <v>6</v>
          </cell>
          <cell r="L2674">
            <v>4.26</v>
          </cell>
          <cell r="M2674">
            <v>11.661903789690601</v>
          </cell>
          <cell r="O2674" t="str">
            <v>-</v>
          </cell>
          <cell r="T2674" t="str">
            <v>-</v>
          </cell>
          <cell r="U2674">
            <v>0.625</v>
          </cell>
        </row>
        <row r="2675">
          <cell r="B2675" t="str">
            <v>HSS10X6X1/2</v>
          </cell>
          <cell r="C2675">
            <v>13.5</v>
          </cell>
          <cell r="D2675" t="str">
            <v>-</v>
          </cell>
          <cell r="F2675">
            <v>10</v>
          </cell>
          <cell r="H2675" t="str">
            <v>-</v>
          </cell>
          <cell r="I2675" t="str">
            <v>-</v>
          </cell>
          <cell r="K2675">
            <v>6</v>
          </cell>
          <cell r="L2675">
            <v>4.6100000000000003</v>
          </cell>
          <cell r="M2675">
            <v>11.661903789690601</v>
          </cell>
          <cell r="O2675" t="str">
            <v>-</v>
          </cell>
          <cell r="T2675" t="str">
            <v>-</v>
          </cell>
          <cell r="U2675">
            <v>0.5</v>
          </cell>
        </row>
        <row r="2676">
          <cell r="B2676" t="str">
            <v>HSS10X6X3/8</v>
          </cell>
          <cell r="C2676">
            <v>10.4</v>
          </cell>
          <cell r="D2676" t="str">
            <v>-</v>
          </cell>
          <cell r="F2676">
            <v>10</v>
          </cell>
          <cell r="H2676" t="str">
            <v>-</v>
          </cell>
          <cell r="I2676" t="str">
            <v>-</v>
          </cell>
          <cell r="K2676">
            <v>6</v>
          </cell>
          <cell r="L2676">
            <v>4.95</v>
          </cell>
          <cell r="M2676">
            <v>11.661903789690601</v>
          </cell>
          <cell r="O2676" t="str">
            <v>-</v>
          </cell>
          <cell r="T2676" t="str">
            <v>-</v>
          </cell>
          <cell r="U2676">
            <v>0.375</v>
          </cell>
        </row>
        <row r="2677">
          <cell r="B2677" t="str">
            <v>HSS10X6X5/16</v>
          </cell>
          <cell r="C2677">
            <v>8.76</v>
          </cell>
          <cell r="D2677" t="str">
            <v>-</v>
          </cell>
          <cell r="F2677">
            <v>10</v>
          </cell>
          <cell r="H2677" t="str">
            <v>-</v>
          </cell>
          <cell r="I2677" t="str">
            <v>-</v>
          </cell>
          <cell r="K2677">
            <v>6</v>
          </cell>
          <cell r="L2677">
            <v>5.13</v>
          </cell>
          <cell r="M2677">
            <v>11.661903789690601</v>
          </cell>
          <cell r="O2677" t="str">
            <v>-</v>
          </cell>
          <cell r="T2677" t="str">
            <v>-</v>
          </cell>
          <cell r="U2677">
            <v>0.3125</v>
          </cell>
        </row>
        <row r="2678">
          <cell r="B2678" t="str">
            <v>HSS10X6X1/4</v>
          </cell>
          <cell r="C2678">
            <v>7.1</v>
          </cell>
          <cell r="D2678" t="str">
            <v>-</v>
          </cell>
          <cell r="F2678">
            <v>10</v>
          </cell>
          <cell r="H2678" t="str">
            <v>-</v>
          </cell>
          <cell r="I2678" t="str">
            <v>-</v>
          </cell>
          <cell r="K2678">
            <v>6</v>
          </cell>
          <cell r="L2678">
            <v>5.3</v>
          </cell>
          <cell r="M2678">
            <v>11.661903789690601</v>
          </cell>
          <cell r="O2678" t="str">
            <v>-</v>
          </cell>
          <cell r="T2678" t="str">
            <v>-</v>
          </cell>
          <cell r="U2678">
            <v>0.25</v>
          </cell>
        </row>
        <row r="2679">
          <cell r="B2679" t="str">
            <v>HSS10X6X3/16</v>
          </cell>
          <cell r="C2679">
            <v>5.37</v>
          </cell>
          <cell r="D2679" t="str">
            <v>-</v>
          </cell>
          <cell r="F2679">
            <v>10</v>
          </cell>
          <cell r="H2679" t="str">
            <v>-</v>
          </cell>
          <cell r="I2679" t="str">
            <v>-</v>
          </cell>
          <cell r="K2679">
            <v>6</v>
          </cell>
          <cell r="L2679">
            <v>5.48</v>
          </cell>
          <cell r="M2679">
            <v>11.661903789690601</v>
          </cell>
          <cell r="O2679" t="str">
            <v>-</v>
          </cell>
          <cell r="T2679" t="str">
            <v>-</v>
          </cell>
          <cell r="U2679">
            <v>0.1875</v>
          </cell>
        </row>
        <row r="2680">
          <cell r="B2680" t="str">
            <v>HSS10X5X3/8</v>
          </cell>
          <cell r="C2680">
            <v>9.67</v>
          </cell>
          <cell r="D2680" t="str">
            <v>-</v>
          </cell>
          <cell r="F2680">
            <v>10</v>
          </cell>
          <cell r="H2680" t="str">
            <v>-</v>
          </cell>
          <cell r="I2680" t="str">
            <v>-</v>
          </cell>
          <cell r="K2680">
            <v>5</v>
          </cell>
          <cell r="L2680">
            <v>3.95</v>
          </cell>
          <cell r="M2680">
            <v>11.180339887498949</v>
          </cell>
          <cell r="O2680" t="str">
            <v>-</v>
          </cell>
          <cell r="T2680" t="str">
            <v>-</v>
          </cell>
          <cell r="U2680">
            <v>0.375</v>
          </cell>
        </row>
        <row r="2681">
          <cell r="B2681" t="str">
            <v>HSS10X5X5/16</v>
          </cell>
          <cell r="C2681">
            <v>8.17</v>
          </cell>
          <cell r="D2681" t="str">
            <v>-</v>
          </cell>
          <cell r="F2681">
            <v>10</v>
          </cell>
          <cell r="H2681" t="str">
            <v>-</v>
          </cell>
          <cell r="I2681" t="str">
            <v>-</v>
          </cell>
          <cell r="K2681">
            <v>5</v>
          </cell>
          <cell r="L2681">
            <v>4.13</v>
          </cell>
          <cell r="M2681">
            <v>11.180339887498949</v>
          </cell>
          <cell r="O2681" t="str">
            <v>-</v>
          </cell>
          <cell r="T2681" t="str">
            <v>-</v>
          </cell>
          <cell r="U2681">
            <v>0.3125</v>
          </cell>
        </row>
        <row r="2682">
          <cell r="B2682" t="str">
            <v>HSS10X5X1/4</v>
          </cell>
          <cell r="C2682">
            <v>6.63</v>
          </cell>
          <cell r="D2682" t="str">
            <v>-</v>
          </cell>
          <cell r="F2682">
            <v>10</v>
          </cell>
          <cell r="H2682" t="str">
            <v>-</v>
          </cell>
          <cell r="I2682" t="str">
            <v>-</v>
          </cell>
          <cell r="K2682">
            <v>5</v>
          </cell>
          <cell r="L2682">
            <v>4.3</v>
          </cell>
          <cell r="M2682">
            <v>11.180339887498949</v>
          </cell>
          <cell r="O2682" t="str">
            <v>-</v>
          </cell>
          <cell r="T2682" t="str">
            <v>-</v>
          </cell>
          <cell r="U2682">
            <v>0.25</v>
          </cell>
        </row>
        <row r="2683">
          <cell r="B2683" t="str">
            <v>HSS10X4X5/8</v>
          </cell>
          <cell r="C2683">
            <v>14</v>
          </cell>
          <cell r="D2683" t="str">
            <v>-</v>
          </cell>
          <cell r="F2683">
            <v>10</v>
          </cell>
          <cell r="H2683" t="str">
            <v>-</v>
          </cell>
          <cell r="I2683" t="str">
            <v>-</v>
          </cell>
          <cell r="K2683">
            <v>4</v>
          </cell>
          <cell r="L2683">
            <v>2.2599999999999998</v>
          </cell>
          <cell r="M2683">
            <v>10.770329614269007</v>
          </cell>
          <cell r="O2683" t="str">
            <v>-</v>
          </cell>
          <cell r="T2683" t="str">
            <v>-</v>
          </cell>
          <cell r="U2683">
            <v>0.625</v>
          </cell>
        </row>
        <row r="2684">
          <cell r="B2684" t="str">
            <v>HSS10X4X1/2</v>
          </cell>
          <cell r="C2684">
            <v>11.6</v>
          </cell>
          <cell r="D2684" t="str">
            <v>-</v>
          </cell>
          <cell r="F2684">
            <v>10</v>
          </cell>
          <cell r="H2684" t="str">
            <v>-</v>
          </cell>
          <cell r="I2684" t="str">
            <v>-</v>
          </cell>
          <cell r="K2684">
            <v>4</v>
          </cell>
          <cell r="L2684">
            <v>2.6</v>
          </cell>
          <cell r="M2684">
            <v>10.770329614269007</v>
          </cell>
          <cell r="O2684" t="str">
            <v>-</v>
          </cell>
          <cell r="T2684" t="str">
            <v>-</v>
          </cell>
          <cell r="U2684">
            <v>0.5</v>
          </cell>
        </row>
        <row r="2685">
          <cell r="B2685" t="str">
            <v>HSS10X4X3/8</v>
          </cell>
          <cell r="C2685">
            <v>8.9700000000000006</v>
          </cell>
          <cell r="D2685" t="str">
            <v>-</v>
          </cell>
          <cell r="F2685">
            <v>10</v>
          </cell>
          <cell r="H2685" t="str">
            <v>-</v>
          </cell>
          <cell r="I2685" t="str">
            <v>-</v>
          </cell>
          <cell r="K2685">
            <v>4</v>
          </cell>
          <cell r="L2685">
            <v>2.95</v>
          </cell>
          <cell r="M2685">
            <v>10.770329614269007</v>
          </cell>
          <cell r="O2685" t="str">
            <v>-</v>
          </cell>
          <cell r="T2685" t="str">
            <v>-</v>
          </cell>
          <cell r="U2685">
            <v>0.375</v>
          </cell>
        </row>
        <row r="2686">
          <cell r="B2686" t="str">
            <v>HSS10X4X5/16</v>
          </cell>
          <cell r="C2686">
            <v>7.59</v>
          </cell>
          <cell r="D2686" t="str">
            <v>-</v>
          </cell>
          <cell r="F2686">
            <v>10</v>
          </cell>
          <cell r="H2686" t="str">
            <v>-</v>
          </cell>
          <cell r="I2686" t="str">
            <v>-</v>
          </cell>
          <cell r="K2686">
            <v>4</v>
          </cell>
          <cell r="L2686">
            <v>3.13</v>
          </cell>
          <cell r="M2686">
            <v>10.770329614269007</v>
          </cell>
          <cell r="O2686" t="str">
            <v>-</v>
          </cell>
          <cell r="T2686" t="str">
            <v>-</v>
          </cell>
          <cell r="U2686">
            <v>0.3125</v>
          </cell>
        </row>
        <row r="2687">
          <cell r="B2687" t="str">
            <v>HSS10X4X1/4</v>
          </cell>
          <cell r="C2687">
            <v>6.17</v>
          </cell>
          <cell r="D2687" t="str">
            <v>-</v>
          </cell>
          <cell r="F2687">
            <v>10</v>
          </cell>
          <cell r="H2687" t="str">
            <v>-</v>
          </cell>
          <cell r="I2687" t="str">
            <v>-</v>
          </cell>
          <cell r="K2687">
            <v>4</v>
          </cell>
          <cell r="L2687">
            <v>3.3</v>
          </cell>
          <cell r="M2687">
            <v>10.770329614269007</v>
          </cell>
          <cell r="O2687" t="str">
            <v>-</v>
          </cell>
          <cell r="T2687" t="str">
            <v>-</v>
          </cell>
          <cell r="U2687">
            <v>0.25</v>
          </cell>
        </row>
        <row r="2688">
          <cell r="B2688" t="str">
            <v>HSS10X4X3/16</v>
          </cell>
          <cell r="C2688">
            <v>4.67</v>
          </cell>
          <cell r="D2688" t="str">
            <v>-</v>
          </cell>
          <cell r="F2688">
            <v>10</v>
          </cell>
          <cell r="H2688" t="str">
            <v>-</v>
          </cell>
          <cell r="I2688" t="str">
            <v>-</v>
          </cell>
          <cell r="K2688">
            <v>4</v>
          </cell>
          <cell r="L2688">
            <v>3.48</v>
          </cell>
          <cell r="M2688">
            <v>10.770329614269007</v>
          </cell>
          <cell r="O2688" t="str">
            <v>-</v>
          </cell>
          <cell r="T2688" t="str">
            <v>-</v>
          </cell>
          <cell r="U2688">
            <v>0.1875</v>
          </cell>
        </row>
        <row r="2689">
          <cell r="B2689" t="str">
            <v>HSS10X4X1/8</v>
          </cell>
          <cell r="C2689">
            <v>3.16</v>
          </cell>
          <cell r="D2689" t="str">
            <v>-</v>
          </cell>
          <cell r="F2689">
            <v>10</v>
          </cell>
          <cell r="H2689" t="str">
            <v>-</v>
          </cell>
          <cell r="I2689" t="str">
            <v>-</v>
          </cell>
          <cell r="K2689">
            <v>4</v>
          </cell>
          <cell r="L2689">
            <v>3.65</v>
          </cell>
          <cell r="M2689">
            <v>10.770329614269007</v>
          </cell>
          <cell r="O2689" t="str">
            <v>-</v>
          </cell>
          <cell r="T2689" t="str">
            <v>-</v>
          </cell>
          <cell r="U2689">
            <v>0.125</v>
          </cell>
        </row>
        <row r="2690">
          <cell r="B2690" t="str">
            <v>HSS10X3-1/2X3/8</v>
          </cell>
          <cell r="C2690">
            <v>8.6199999999999992</v>
          </cell>
          <cell r="D2690" t="str">
            <v>-</v>
          </cell>
          <cell r="F2690">
            <v>10</v>
          </cell>
          <cell r="H2690" t="str">
            <v>-</v>
          </cell>
          <cell r="I2690" t="str">
            <v>-</v>
          </cell>
          <cell r="K2690">
            <v>3.5</v>
          </cell>
          <cell r="L2690">
            <v>2.4500000000000002</v>
          </cell>
          <cell r="M2690">
            <v>10.594810050208546</v>
          </cell>
          <cell r="O2690" t="str">
            <v>-</v>
          </cell>
          <cell r="T2690" t="str">
            <v>-</v>
          </cell>
          <cell r="U2690">
            <v>0.375</v>
          </cell>
        </row>
        <row r="2691">
          <cell r="B2691" t="str">
            <v>HSS10X3-1/2X5/16</v>
          </cell>
          <cell r="C2691">
            <v>7.3</v>
          </cell>
          <cell r="D2691" t="str">
            <v>-</v>
          </cell>
          <cell r="F2691">
            <v>10</v>
          </cell>
          <cell r="H2691" t="str">
            <v>-</v>
          </cell>
          <cell r="I2691" t="str">
            <v>-</v>
          </cell>
          <cell r="K2691">
            <v>3.5</v>
          </cell>
          <cell r="L2691">
            <v>2.63</v>
          </cell>
          <cell r="M2691">
            <v>10.594810050208546</v>
          </cell>
          <cell r="O2691" t="str">
            <v>-</v>
          </cell>
          <cell r="T2691" t="str">
            <v>-</v>
          </cell>
          <cell r="U2691">
            <v>0.3125</v>
          </cell>
        </row>
        <row r="2692">
          <cell r="B2692" t="str">
            <v>HSS10X3-1/2X1/4</v>
          </cell>
          <cell r="C2692">
            <v>5.93</v>
          </cell>
          <cell r="D2692" t="str">
            <v>-</v>
          </cell>
          <cell r="F2692">
            <v>10</v>
          </cell>
          <cell r="H2692" t="str">
            <v>-</v>
          </cell>
          <cell r="I2692" t="str">
            <v>-</v>
          </cell>
          <cell r="K2692">
            <v>3.5</v>
          </cell>
          <cell r="L2692">
            <v>2.8</v>
          </cell>
          <cell r="M2692">
            <v>10.594810050208546</v>
          </cell>
          <cell r="O2692" t="str">
            <v>-</v>
          </cell>
          <cell r="T2692" t="str">
            <v>-</v>
          </cell>
          <cell r="U2692">
            <v>0.25</v>
          </cell>
        </row>
        <row r="2693">
          <cell r="B2693" t="str">
            <v>HSS10X3-1/2X3/16</v>
          </cell>
          <cell r="C2693">
            <v>4.5</v>
          </cell>
          <cell r="D2693" t="str">
            <v>-</v>
          </cell>
          <cell r="F2693">
            <v>10</v>
          </cell>
          <cell r="H2693" t="str">
            <v>-</v>
          </cell>
          <cell r="I2693" t="str">
            <v>-</v>
          </cell>
          <cell r="K2693">
            <v>3.5</v>
          </cell>
          <cell r="L2693">
            <v>2.98</v>
          </cell>
          <cell r="M2693">
            <v>10.594810050208546</v>
          </cell>
          <cell r="O2693" t="str">
            <v>-</v>
          </cell>
          <cell r="T2693" t="str">
            <v>-</v>
          </cell>
          <cell r="U2693">
            <v>0.1875</v>
          </cell>
        </row>
        <row r="2694">
          <cell r="B2694" t="str">
            <v>HSS10X3X3/8</v>
          </cell>
          <cell r="C2694">
            <v>8.27</v>
          </cell>
          <cell r="D2694" t="str">
            <v>-</v>
          </cell>
          <cell r="F2694">
            <v>10</v>
          </cell>
          <cell r="H2694" t="str">
            <v>-</v>
          </cell>
          <cell r="I2694" t="str">
            <v>-</v>
          </cell>
          <cell r="K2694">
            <v>3</v>
          </cell>
          <cell r="L2694">
            <v>1.95</v>
          </cell>
          <cell r="M2694">
            <v>10.440306508910551</v>
          </cell>
          <cell r="O2694" t="str">
            <v>-</v>
          </cell>
          <cell r="T2694" t="str">
            <v>-</v>
          </cell>
          <cell r="U2694">
            <v>0.375</v>
          </cell>
        </row>
        <row r="2695">
          <cell r="B2695" t="str">
            <v>HSS10X3X5/16</v>
          </cell>
          <cell r="C2695">
            <v>7.01</v>
          </cell>
          <cell r="D2695" t="str">
            <v>-</v>
          </cell>
          <cell r="F2695">
            <v>10</v>
          </cell>
          <cell r="H2695" t="str">
            <v>-</v>
          </cell>
          <cell r="I2695" t="str">
            <v>-</v>
          </cell>
          <cell r="K2695">
            <v>3</v>
          </cell>
          <cell r="L2695">
            <v>2.13</v>
          </cell>
          <cell r="M2695">
            <v>10.440306508910551</v>
          </cell>
          <cell r="O2695" t="str">
            <v>-</v>
          </cell>
          <cell r="T2695" t="str">
            <v>-</v>
          </cell>
          <cell r="U2695">
            <v>0.3125</v>
          </cell>
        </row>
        <row r="2696">
          <cell r="B2696" t="str">
            <v>HSS10X3X1/4</v>
          </cell>
          <cell r="C2696">
            <v>5.7</v>
          </cell>
          <cell r="D2696" t="str">
            <v>-</v>
          </cell>
          <cell r="F2696">
            <v>10</v>
          </cell>
          <cell r="H2696" t="str">
            <v>-</v>
          </cell>
          <cell r="I2696" t="str">
            <v>-</v>
          </cell>
          <cell r="K2696">
            <v>3</v>
          </cell>
          <cell r="L2696">
            <v>2.2999999999999998</v>
          </cell>
          <cell r="M2696">
            <v>10.440306508910551</v>
          </cell>
          <cell r="O2696" t="str">
            <v>-</v>
          </cell>
          <cell r="T2696" t="str">
            <v>-</v>
          </cell>
          <cell r="U2696">
            <v>0.25</v>
          </cell>
        </row>
        <row r="2697">
          <cell r="B2697" t="str">
            <v>HSS10X3X3/16</v>
          </cell>
          <cell r="C2697">
            <v>4.32</v>
          </cell>
          <cell r="D2697" t="str">
            <v>-</v>
          </cell>
          <cell r="F2697">
            <v>10</v>
          </cell>
          <cell r="H2697" t="str">
            <v>-</v>
          </cell>
          <cell r="I2697" t="str">
            <v>-</v>
          </cell>
          <cell r="K2697">
            <v>3</v>
          </cell>
          <cell r="L2697">
            <v>2.48</v>
          </cell>
          <cell r="M2697">
            <v>10.440306508910551</v>
          </cell>
          <cell r="O2697" t="str">
            <v>-</v>
          </cell>
          <cell r="T2697" t="str">
            <v>-</v>
          </cell>
          <cell r="U2697">
            <v>0.1875</v>
          </cell>
        </row>
        <row r="2698">
          <cell r="B2698" t="str">
            <v>HSS10X3X1/8</v>
          </cell>
          <cell r="C2698">
            <v>2.93</v>
          </cell>
          <cell r="D2698" t="str">
            <v>-</v>
          </cell>
          <cell r="F2698">
            <v>10</v>
          </cell>
          <cell r="H2698" t="str">
            <v>-</v>
          </cell>
          <cell r="I2698" t="str">
            <v>-</v>
          </cell>
          <cell r="K2698">
            <v>3</v>
          </cell>
          <cell r="L2698">
            <v>2.65</v>
          </cell>
          <cell r="M2698">
            <v>10.440306508910551</v>
          </cell>
          <cell r="O2698" t="str">
            <v>-</v>
          </cell>
          <cell r="T2698" t="str">
            <v>-</v>
          </cell>
          <cell r="U2698">
            <v>0.125</v>
          </cell>
        </row>
        <row r="2699">
          <cell r="B2699" t="str">
            <v>HSS10X2X3/8</v>
          </cell>
          <cell r="C2699">
            <v>7.58</v>
          </cell>
          <cell r="D2699" t="str">
            <v>-</v>
          </cell>
          <cell r="F2699">
            <v>10</v>
          </cell>
          <cell r="H2699" t="str">
            <v>-</v>
          </cell>
          <cell r="I2699" t="str">
            <v>-</v>
          </cell>
          <cell r="K2699">
            <v>2</v>
          </cell>
          <cell r="L2699">
            <v>0.95299999999999996</v>
          </cell>
          <cell r="M2699">
            <v>10.198039027185569</v>
          </cell>
          <cell r="O2699" t="str">
            <v>-</v>
          </cell>
          <cell r="T2699" t="str">
            <v>-</v>
          </cell>
          <cell r="U2699">
            <v>0.375</v>
          </cell>
        </row>
        <row r="2700">
          <cell r="B2700" t="str">
            <v>HSS10X2X5/16</v>
          </cell>
          <cell r="C2700">
            <v>6.43</v>
          </cell>
          <cell r="D2700" t="str">
            <v>-</v>
          </cell>
          <cell r="F2700">
            <v>10</v>
          </cell>
          <cell r="H2700" t="str">
            <v>-</v>
          </cell>
          <cell r="I2700" t="str">
            <v>-</v>
          </cell>
          <cell r="K2700">
            <v>2</v>
          </cell>
          <cell r="L2700">
            <v>1.1299999999999999</v>
          </cell>
          <cell r="M2700">
            <v>10.198039027185569</v>
          </cell>
          <cell r="O2700" t="str">
            <v>-</v>
          </cell>
          <cell r="T2700" t="str">
            <v>-</v>
          </cell>
          <cell r="U2700">
            <v>0.3125</v>
          </cell>
        </row>
        <row r="2701">
          <cell r="B2701" t="str">
            <v>HSS10X2X1/4</v>
          </cell>
          <cell r="C2701">
            <v>5.24</v>
          </cell>
          <cell r="D2701" t="str">
            <v>-</v>
          </cell>
          <cell r="F2701">
            <v>10</v>
          </cell>
          <cell r="H2701" t="str">
            <v>-</v>
          </cell>
          <cell r="I2701" t="str">
            <v>-</v>
          </cell>
          <cell r="K2701">
            <v>2</v>
          </cell>
          <cell r="L2701">
            <v>1.3</v>
          </cell>
          <cell r="M2701">
            <v>10.198039027185569</v>
          </cell>
          <cell r="O2701" t="str">
            <v>-</v>
          </cell>
          <cell r="T2701" t="str">
            <v>-</v>
          </cell>
          <cell r="U2701">
            <v>0.25</v>
          </cell>
        </row>
        <row r="2702">
          <cell r="B2702" t="str">
            <v>HSS10X2X3/16</v>
          </cell>
          <cell r="C2702">
            <v>3.98</v>
          </cell>
          <cell r="D2702" t="str">
            <v>-</v>
          </cell>
          <cell r="F2702">
            <v>10</v>
          </cell>
          <cell r="H2702" t="str">
            <v>-</v>
          </cell>
          <cell r="I2702" t="str">
            <v>-</v>
          </cell>
          <cell r="K2702">
            <v>2</v>
          </cell>
          <cell r="L2702">
            <v>1.48</v>
          </cell>
          <cell r="M2702">
            <v>10.198039027185569</v>
          </cell>
          <cell r="O2702" t="str">
            <v>-</v>
          </cell>
          <cell r="T2702" t="str">
            <v>-</v>
          </cell>
          <cell r="U2702">
            <v>0.1875</v>
          </cell>
        </row>
        <row r="2703">
          <cell r="B2703" t="str">
            <v>HSS10X2X1/8</v>
          </cell>
          <cell r="C2703">
            <v>2.7</v>
          </cell>
          <cell r="D2703" t="str">
            <v>-</v>
          </cell>
          <cell r="F2703">
            <v>10</v>
          </cell>
          <cell r="H2703" t="str">
            <v>-</v>
          </cell>
          <cell r="I2703" t="str">
            <v>-</v>
          </cell>
          <cell r="K2703">
            <v>2</v>
          </cell>
          <cell r="L2703">
            <v>1.65</v>
          </cell>
          <cell r="M2703">
            <v>10.198039027185569</v>
          </cell>
          <cell r="O2703" t="str">
            <v>-</v>
          </cell>
          <cell r="T2703" t="str">
            <v>-</v>
          </cell>
          <cell r="U2703">
            <v>0.125</v>
          </cell>
        </row>
        <row r="2704">
          <cell r="B2704" t="str">
            <v>HSS9X9X5/8</v>
          </cell>
          <cell r="C2704">
            <v>18.7</v>
          </cell>
          <cell r="D2704" t="str">
            <v>-</v>
          </cell>
          <cell r="F2704">
            <v>9</v>
          </cell>
          <cell r="H2704" t="str">
            <v>-</v>
          </cell>
          <cell r="I2704" t="str">
            <v>-</v>
          </cell>
          <cell r="K2704">
            <v>9</v>
          </cell>
          <cell r="L2704">
            <v>7.26</v>
          </cell>
          <cell r="M2704">
            <v>12.727922061357855</v>
          </cell>
          <cell r="O2704" t="str">
            <v>-</v>
          </cell>
          <cell r="T2704" t="str">
            <v>-</v>
          </cell>
          <cell r="U2704">
            <v>0.625</v>
          </cell>
        </row>
        <row r="2705">
          <cell r="B2705" t="str">
            <v>HSS9X9X1/2</v>
          </cell>
          <cell r="C2705">
            <v>15.3</v>
          </cell>
          <cell r="D2705" t="str">
            <v>-</v>
          </cell>
          <cell r="F2705">
            <v>9</v>
          </cell>
          <cell r="H2705" t="str">
            <v>-</v>
          </cell>
          <cell r="I2705" t="str">
            <v>-</v>
          </cell>
          <cell r="K2705">
            <v>9</v>
          </cell>
          <cell r="L2705">
            <v>7.6</v>
          </cell>
          <cell r="M2705">
            <v>12.727922061357855</v>
          </cell>
          <cell r="O2705" t="str">
            <v>-</v>
          </cell>
          <cell r="T2705" t="str">
            <v>-</v>
          </cell>
          <cell r="U2705">
            <v>0.5</v>
          </cell>
        </row>
        <row r="2706">
          <cell r="B2706" t="str">
            <v>HSS9X9X3/8</v>
          </cell>
          <cell r="C2706">
            <v>11.8</v>
          </cell>
          <cell r="D2706" t="str">
            <v>-</v>
          </cell>
          <cell r="F2706">
            <v>9</v>
          </cell>
          <cell r="H2706" t="str">
            <v>-</v>
          </cell>
          <cell r="I2706" t="str">
            <v>-</v>
          </cell>
          <cell r="K2706">
            <v>9</v>
          </cell>
          <cell r="L2706">
            <v>7.95</v>
          </cell>
          <cell r="M2706">
            <v>12.727922061357855</v>
          </cell>
          <cell r="O2706" t="str">
            <v>-</v>
          </cell>
          <cell r="T2706" t="str">
            <v>-</v>
          </cell>
          <cell r="U2706">
            <v>0.375</v>
          </cell>
        </row>
        <row r="2707">
          <cell r="B2707" t="str">
            <v>HSS9X9X5/16</v>
          </cell>
          <cell r="C2707">
            <v>9.92</v>
          </cell>
          <cell r="D2707" t="str">
            <v>-</v>
          </cell>
          <cell r="F2707">
            <v>9</v>
          </cell>
          <cell r="H2707" t="str">
            <v>-</v>
          </cell>
          <cell r="I2707" t="str">
            <v>-</v>
          </cell>
          <cell r="K2707">
            <v>9</v>
          </cell>
          <cell r="L2707">
            <v>8.1300000000000008</v>
          </cell>
          <cell r="M2707">
            <v>12.727922061357855</v>
          </cell>
          <cell r="O2707" t="str">
            <v>-</v>
          </cell>
          <cell r="T2707" t="str">
            <v>-</v>
          </cell>
          <cell r="U2707">
            <v>0.3125</v>
          </cell>
        </row>
        <row r="2708">
          <cell r="B2708" t="str">
            <v>HSS9X9X1/4</v>
          </cell>
          <cell r="C2708">
            <v>8.0299999999999994</v>
          </cell>
          <cell r="D2708" t="str">
            <v>-</v>
          </cell>
          <cell r="F2708">
            <v>9</v>
          </cell>
          <cell r="H2708" t="str">
            <v>-</v>
          </cell>
          <cell r="I2708" t="str">
            <v>-</v>
          </cell>
          <cell r="K2708">
            <v>9</v>
          </cell>
          <cell r="L2708">
            <v>8.3000000000000007</v>
          </cell>
          <cell r="M2708">
            <v>12.727922061357855</v>
          </cell>
          <cell r="O2708" t="str">
            <v>-</v>
          </cell>
          <cell r="T2708" t="str">
            <v>-</v>
          </cell>
          <cell r="U2708">
            <v>0.25</v>
          </cell>
        </row>
        <row r="2709">
          <cell r="B2709" t="str">
            <v>HSS9X9X3/16</v>
          </cell>
          <cell r="C2709">
            <v>6.06</v>
          </cell>
          <cell r="D2709" t="str">
            <v>-</v>
          </cell>
          <cell r="F2709">
            <v>9</v>
          </cell>
          <cell r="H2709" t="str">
            <v>-</v>
          </cell>
          <cell r="I2709" t="str">
            <v>-</v>
          </cell>
          <cell r="K2709">
            <v>9</v>
          </cell>
          <cell r="L2709">
            <v>8.48</v>
          </cell>
          <cell r="M2709">
            <v>12.727922061357855</v>
          </cell>
          <cell r="O2709" t="str">
            <v>-</v>
          </cell>
          <cell r="T2709" t="str">
            <v>-</v>
          </cell>
          <cell r="U2709">
            <v>0.1875</v>
          </cell>
        </row>
        <row r="2710">
          <cell r="B2710" t="str">
            <v>HSS9X9X1/8</v>
          </cell>
          <cell r="C2710">
            <v>4.09</v>
          </cell>
          <cell r="D2710" t="str">
            <v>-</v>
          </cell>
          <cell r="F2710">
            <v>9</v>
          </cell>
          <cell r="H2710" t="str">
            <v>-</v>
          </cell>
          <cell r="I2710" t="str">
            <v>-</v>
          </cell>
          <cell r="K2710">
            <v>9</v>
          </cell>
          <cell r="L2710">
            <v>8.65</v>
          </cell>
          <cell r="M2710">
            <v>12.727922061357855</v>
          </cell>
          <cell r="O2710" t="str">
            <v>-</v>
          </cell>
          <cell r="T2710" t="str">
            <v>-</v>
          </cell>
          <cell r="U2710">
            <v>0.125</v>
          </cell>
        </row>
        <row r="2711">
          <cell r="B2711" t="str">
            <v>HSS9X7X5/8</v>
          </cell>
          <cell r="C2711">
            <v>16.399999999999999</v>
          </cell>
          <cell r="D2711" t="str">
            <v>-</v>
          </cell>
          <cell r="F2711">
            <v>9</v>
          </cell>
          <cell r="H2711" t="str">
            <v>-</v>
          </cell>
          <cell r="I2711" t="str">
            <v>-</v>
          </cell>
          <cell r="K2711">
            <v>7</v>
          </cell>
          <cell r="L2711">
            <v>5.26</v>
          </cell>
          <cell r="M2711">
            <v>11.401754250991379</v>
          </cell>
          <cell r="O2711" t="str">
            <v>-</v>
          </cell>
          <cell r="T2711" t="str">
            <v>-</v>
          </cell>
          <cell r="U2711">
            <v>0.625</v>
          </cell>
        </row>
        <row r="2712">
          <cell r="B2712" t="str">
            <v>HSS9X7X1/2</v>
          </cell>
          <cell r="C2712">
            <v>13.5</v>
          </cell>
          <cell r="D2712" t="str">
            <v>-</v>
          </cell>
          <cell r="F2712">
            <v>9</v>
          </cell>
          <cell r="H2712" t="str">
            <v>-</v>
          </cell>
          <cell r="I2712" t="str">
            <v>-</v>
          </cell>
          <cell r="K2712">
            <v>7</v>
          </cell>
          <cell r="L2712">
            <v>5.6</v>
          </cell>
          <cell r="M2712">
            <v>11.401754250991379</v>
          </cell>
          <cell r="O2712" t="str">
            <v>-</v>
          </cell>
          <cell r="T2712" t="str">
            <v>-</v>
          </cell>
          <cell r="U2712">
            <v>0.5</v>
          </cell>
        </row>
        <row r="2713">
          <cell r="B2713" t="str">
            <v>HSS9X7X3/8</v>
          </cell>
          <cell r="C2713">
            <v>10.4</v>
          </cell>
          <cell r="D2713" t="str">
            <v>-</v>
          </cell>
          <cell r="F2713">
            <v>9</v>
          </cell>
          <cell r="H2713" t="str">
            <v>-</v>
          </cell>
          <cell r="I2713" t="str">
            <v>-</v>
          </cell>
          <cell r="K2713">
            <v>7</v>
          </cell>
          <cell r="L2713">
            <v>5.95</v>
          </cell>
          <cell r="M2713">
            <v>11.401754250991379</v>
          </cell>
          <cell r="O2713" t="str">
            <v>-</v>
          </cell>
          <cell r="T2713" t="str">
            <v>-</v>
          </cell>
          <cell r="U2713">
            <v>0.375</v>
          </cell>
        </row>
        <row r="2714">
          <cell r="B2714" t="str">
            <v>HSS9X7X5/16</v>
          </cell>
          <cell r="C2714">
            <v>8.76</v>
          </cell>
          <cell r="D2714" t="str">
            <v>-</v>
          </cell>
          <cell r="F2714">
            <v>9</v>
          </cell>
          <cell r="H2714" t="str">
            <v>-</v>
          </cell>
          <cell r="I2714" t="str">
            <v>-</v>
          </cell>
          <cell r="K2714">
            <v>7</v>
          </cell>
          <cell r="L2714">
            <v>6.13</v>
          </cell>
          <cell r="M2714">
            <v>11.401754250991379</v>
          </cell>
          <cell r="O2714" t="str">
            <v>-</v>
          </cell>
          <cell r="T2714" t="str">
            <v>-</v>
          </cell>
          <cell r="U2714">
            <v>0.3125</v>
          </cell>
        </row>
        <row r="2715">
          <cell r="B2715" t="str">
            <v>HSS9X7X1/4</v>
          </cell>
          <cell r="C2715">
            <v>7.1</v>
          </cell>
          <cell r="D2715" t="str">
            <v>-</v>
          </cell>
          <cell r="F2715">
            <v>9</v>
          </cell>
          <cell r="H2715" t="str">
            <v>-</v>
          </cell>
          <cell r="I2715" t="str">
            <v>-</v>
          </cell>
          <cell r="K2715">
            <v>7</v>
          </cell>
          <cell r="L2715">
            <v>6.3</v>
          </cell>
          <cell r="M2715">
            <v>11.401754250991379</v>
          </cell>
          <cell r="O2715" t="str">
            <v>-</v>
          </cell>
          <cell r="T2715" t="str">
            <v>-</v>
          </cell>
          <cell r="U2715">
            <v>0.25</v>
          </cell>
        </row>
        <row r="2716">
          <cell r="B2716" t="str">
            <v>HSS9X7X3/16</v>
          </cell>
          <cell r="C2716">
            <v>5.37</v>
          </cell>
          <cell r="D2716" t="str">
            <v>-</v>
          </cell>
          <cell r="F2716">
            <v>9</v>
          </cell>
          <cell r="H2716" t="str">
            <v>-</v>
          </cell>
          <cell r="I2716" t="str">
            <v>-</v>
          </cell>
          <cell r="K2716">
            <v>7</v>
          </cell>
          <cell r="L2716">
            <v>6.48</v>
          </cell>
          <cell r="M2716">
            <v>11.401754250991379</v>
          </cell>
          <cell r="O2716" t="str">
            <v>-</v>
          </cell>
          <cell r="T2716" t="str">
            <v>-</v>
          </cell>
          <cell r="U2716">
            <v>0.1875</v>
          </cell>
        </row>
        <row r="2717">
          <cell r="B2717" t="str">
            <v>HSS9X5X5/8</v>
          </cell>
          <cell r="C2717">
            <v>14</v>
          </cell>
          <cell r="D2717" t="str">
            <v>-</v>
          </cell>
          <cell r="F2717">
            <v>9</v>
          </cell>
          <cell r="H2717" t="str">
            <v>-</v>
          </cell>
          <cell r="I2717" t="str">
            <v>-</v>
          </cell>
          <cell r="K2717">
            <v>5</v>
          </cell>
          <cell r="L2717">
            <v>3.26</v>
          </cell>
          <cell r="M2717">
            <v>10.295630140987001</v>
          </cell>
          <cell r="O2717" t="str">
            <v>-</v>
          </cell>
          <cell r="T2717" t="str">
            <v>-</v>
          </cell>
          <cell r="U2717">
            <v>0.625</v>
          </cell>
        </row>
        <row r="2718">
          <cell r="B2718" t="str">
            <v>HSS9X5X1/2</v>
          </cell>
          <cell r="C2718">
            <v>11.6</v>
          </cell>
          <cell r="D2718" t="str">
            <v>-</v>
          </cell>
          <cell r="F2718">
            <v>9</v>
          </cell>
          <cell r="H2718" t="str">
            <v>-</v>
          </cell>
          <cell r="I2718" t="str">
            <v>-</v>
          </cell>
          <cell r="K2718">
            <v>5</v>
          </cell>
          <cell r="L2718">
            <v>3.6</v>
          </cell>
          <cell r="M2718">
            <v>10.295630140987001</v>
          </cell>
          <cell r="O2718" t="str">
            <v>-</v>
          </cell>
          <cell r="T2718" t="str">
            <v>-</v>
          </cell>
          <cell r="U2718">
            <v>0.5</v>
          </cell>
        </row>
        <row r="2719">
          <cell r="B2719" t="str">
            <v>HSS9X5X3/8</v>
          </cell>
          <cell r="C2719">
            <v>8.9700000000000006</v>
          </cell>
          <cell r="D2719" t="str">
            <v>-</v>
          </cell>
          <cell r="F2719">
            <v>9</v>
          </cell>
          <cell r="H2719" t="str">
            <v>-</v>
          </cell>
          <cell r="I2719" t="str">
            <v>-</v>
          </cell>
          <cell r="K2719">
            <v>5</v>
          </cell>
          <cell r="L2719">
            <v>3.95</v>
          </cell>
          <cell r="M2719">
            <v>10.295630140987001</v>
          </cell>
          <cell r="O2719" t="str">
            <v>-</v>
          </cell>
          <cell r="T2719" t="str">
            <v>-</v>
          </cell>
          <cell r="U2719">
            <v>0.375</v>
          </cell>
        </row>
        <row r="2720">
          <cell r="B2720" t="str">
            <v>HSS9X5X5/16</v>
          </cell>
          <cell r="C2720">
            <v>7.59</v>
          </cell>
          <cell r="D2720" t="str">
            <v>-</v>
          </cell>
          <cell r="F2720">
            <v>9</v>
          </cell>
          <cell r="H2720" t="str">
            <v>-</v>
          </cell>
          <cell r="I2720" t="str">
            <v>-</v>
          </cell>
          <cell r="K2720">
            <v>5</v>
          </cell>
          <cell r="L2720">
            <v>4.13</v>
          </cell>
          <cell r="M2720">
            <v>10.295630140987001</v>
          </cell>
          <cell r="O2720" t="str">
            <v>-</v>
          </cell>
          <cell r="T2720" t="str">
            <v>-</v>
          </cell>
          <cell r="U2720">
            <v>0.3125</v>
          </cell>
        </row>
        <row r="2721">
          <cell r="B2721" t="str">
            <v>HSS9X5X1/4</v>
          </cell>
          <cell r="C2721">
            <v>6.17</v>
          </cell>
          <cell r="D2721" t="str">
            <v>-</v>
          </cell>
          <cell r="F2721">
            <v>9</v>
          </cell>
          <cell r="H2721" t="str">
            <v>-</v>
          </cell>
          <cell r="I2721" t="str">
            <v>-</v>
          </cell>
          <cell r="K2721">
            <v>5</v>
          </cell>
          <cell r="L2721">
            <v>4.3</v>
          </cell>
          <cell r="M2721">
            <v>10.295630140987001</v>
          </cell>
          <cell r="O2721" t="str">
            <v>-</v>
          </cell>
          <cell r="T2721" t="str">
            <v>-</v>
          </cell>
          <cell r="U2721">
            <v>0.25</v>
          </cell>
        </row>
        <row r="2722">
          <cell r="B2722" t="str">
            <v>HSS9X5X3/16</v>
          </cell>
          <cell r="C2722">
            <v>4.67</v>
          </cell>
          <cell r="D2722" t="str">
            <v>-</v>
          </cell>
          <cell r="F2722">
            <v>9</v>
          </cell>
          <cell r="H2722" t="str">
            <v>-</v>
          </cell>
          <cell r="I2722" t="str">
            <v>-</v>
          </cell>
          <cell r="K2722">
            <v>5</v>
          </cell>
          <cell r="L2722">
            <v>4.4800000000000004</v>
          </cell>
          <cell r="M2722">
            <v>10.295630140987001</v>
          </cell>
          <cell r="O2722" t="str">
            <v>-</v>
          </cell>
          <cell r="T2722" t="str">
            <v>-</v>
          </cell>
          <cell r="U2722">
            <v>0.1875</v>
          </cell>
        </row>
        <row r="2723">
          <cell r="B2723" t="str">
            <v>HSS9X3X1/2</v>
          </cell>
          <cell r="C2723">
            <v>9.74</v>
          </cell>
          <cell r="D2723" t="str">
            <v>-</v>
          </cell>
          <cell r="F2723">
            <v>9</v>
          </cell>
          <cell r="H2723" t="str">
            <v>-</v>
          </cell>
          <cell r="I2723" t="str">
            <v>-</v>
          </cell>
          <cell r="K2723">
            <v>3</v>
          </cell>
          <cell r="L2723">
            <v>1.6</v>
          </cell>
          <cell r="M2723">
            <v>9.4868329805051381</v>
          </cell>
          <cell r="O2723" t="str">
            <v>-</v>
          </cell>
          <cell r="T2723" t="str">
            <v>-</v>
          </cell>
          <cell r="U2723">
            <v>0.5</v>
          </cell>
        </row>
        <row r="2724">
          <cell r="B2724" t="str">
            <v>HSS9X3X3/8</v>
          </cell>
          <cell r="C2724">
            <v>7.58</v>
          </cell>
          <cell r="D2724" t="str">
            <v>-</v>
          </cell>
          <cell r="F2724">
            <v>9</v>
          </cell>
          <cell r="H2724" t="str">
            <v>-</v>
          </cell>
          <cell r="I2724" t="str">
            <v>-</v>
          </cell>
          <cell r="K2724">
            <v>3</v>
          </cell>
          <cell r="L2724">
            <v>1.95</v>
          </cell>
          <cell r="M2724">
            <v>9.4868329805051381</v>
          </cell>
          <cell r="O2724" t="str">
            <v>-</v>
          </cell>
          <cell r="T2724" t="str">
            <v>-</v>
          </cell>
          <cell r="U2724">
            <v>0.375</v>
          </cell>
        </row>
        <row r="2725">
          <cell r="B2725" t="str">
            <v>HSS9X3X5/16</v>
          </cell>
          <cell r="C2725">
            <v>6.43</v>
          </cell>
          <cell r="D2725" t="str">
            <v>-</v>
          </cell>
          <cell r="F2725">
            <v>9</v>
          </cell>
          <cell r="H2725" t="str">
            <v>-</v>
          </cell>
          <cell r="I2725" t="str">
            <v>-</v>
          </cell>
          <cell r="K2725">
            <v>3</v>
          </cell>
          <cell r="L2725">
            <v>2.13</v>
          </cell>
          <cell r="M2725">
            <v>9.4868329805051381</v>
          </cell>
          <cell r="O2725" t="str">
            <v>-</v>
          </cell>
          <cell r="T2725" t="str">
            <v>-</v>
          </cell>
          <cell r="U2725">
            <v>0.3125</v>
          </cell>
        </row>
        <row r="2726">
          <cell r="B2726" t="str">
            <v>HSS9X3X1/4</v>
          </cell>
          <cell r="C2726">
            <v>5.24</v>
          </cell>
          <cell r="D2726" t="str">
            <v>-</v>
          </cell>
          <cell r="F2726">
            <v>9</v>
          </cell>
          <cell r="H2726" t="str">
            <v>-</v>
          </cell>
          <cell r="I2726" t="str">
            <v>-</v>
          </cell>
          <cell r="K2726">
            <v>3</v>
          </cell>
          <cell r="L2726">
            <v>2.2999999999999998</v>
          </cell>
          <cell r="M2726">
            <v>9.4868329805051381</v>
          </cell>
          <cell r="O2726" t="str">
            <v>-</v>
          </cell>
          <cell r="T2726" t="str">
            <v>-</v>
          </cell>
          <cell r="U2726">
            <v>0.25</v>
          </cell>
        </row>
        <row r="2727">
          <cell r="B2727" t="str">
            <v>HSS9X3X3/16</v>
          </cell>
          <cell r="C2727">
            <v>3.98</v>
          </cell>
          <cell r="D2727" t="str">
            <v>-</v>
          </cell>
          <cell r="F2727">
            <v>9</v>
          </cell>
          <cell r="H2727" t="str">
            <v>-</v>
          </cell>
          <cell r="I2727" t="str">
            <v>-</v>
          </cell>
          <cell r="K2727">
            <v>3</v>
          </cell>
          <cell r="L2727">
            <v>2.48</v>
          </cell>
          <cell r="M2727">
            <v>9.4868329805051381</v>
          </cell>
          <cell r="O2727" t="str">
            <v>-</v>
          </cell>
          <cell r="T2727" t="str">
            <v>-</v>
          </cell>
          <cell r="U2727">
            <v>0.1875</v>
          </cell>
        </row>
        <row r="2728">
          <cell r="B2728" t="str">
            <v>HSS8X8X5/8</v>
          </cell>
          <cell r="C2728">
            <v>16.399999999999999</v>
          </cell>
          <cell r="D2728" t="str">
            <v>-</v>
          </cell>
          <cell r="F2728">
            <v>8</v>
          </cell>
          <cell r="H2728" t="str">
            <v>-</v>
          </cell>
          <cell r="I2728" t="str">
            <v>-</v>
          </cell>
          <cell r="K2728">
            <v>8</v>
          </cell>
          <cell r="L2728">
            <v>6.26</v>
          </cell>
          <cell r="M2728">
            <v>11.313708498984761</v>
          </cell>
          <cell r="O2728" t="str">
            <v>-</v>
          </cell>
          <cell r="T2728" t="str">
            <v>-</v>
          </cell>
          <cell r="U2728">
            <v>0.625</v>
          </cell>
        </row>
        <row r="2729">
          <cell r="B2729" t="str">
            <v>HSS8X8X1/2</v>
          </cell>
          <cell r="C2729">
            <v>13.5</v>
          </cell>
          <cell r="D2729" t="str">
            <v>-</v>
          </cell>
          <cell r="F2729">
            <v>8</v>
          </cell>
          <cell r="H2729" t="str">
            <v>-</v>
          </cell>
          <cell r="I2729" t="str">
            <v>-</v>
          </cell>
          <cell r="K2729">
            <v>8</v>
          </cell>
          <cell r="L2729">
            <v>6.6</v>
          </cell>
          <cell r="M2729">
            <v>11.313708498984761</v>
          </cell>
          <cell r="O2729" t="str">
            <v>-</v>
          </cell>
          <cell r="T2729" t="str">
            <v>-</v>
          </cell>
          <cell r="U2729">
            <v>0.5</v>
          </cell>
        </row>
        <row r="2730">
          <cell r="B2730" t="str">
            <v>HSS8X8X3/8</v>
          </cell>
          <cell r="C2730">
            <v>10.4</v>
          </cell>
          <cell r="D2730" t="str">
            <v>-</v>
          </cell>
          <cell r="F2730">
            <v>8</v>
          </cell>
          <cell r="H2730" t="str">
            <v>-</v>
          </cell>
          <cell r="I2730" t="str">
            <v>-</v>
          </cell>
          <cell r="K2730">
            <v>8</v>
          </cell>
          <cell r="L2730">
            <v>6.95</v>
          </cell>
          <cell r="M2730">
            <v>11.313708498984761</v>
          </cell>
          <cell r="O2730" t="str">
            <v>-</v>
          </cell>
          <cell r="T2730" t="str">
            <v>-</v>
          </cell>
          <cell r="U2730">
            <v>0.375</v>
          </cell>
        </row>
        <row r="2731">
          <cell r="B2731" t="str">
            <v>HSS8X8X5/16</v>
          </cell>
          <cell r="C2731">
            <v>8.76</v>
          </cell>
          <cell r="D2731" t="str">
            <v>-</v>
          </cell>
          <cell r="F2731">
            <v>8</v>
          </cell>
          <cell r="H2731" t="str">
            <v>-</v>
          </cell>
          <cell r="I2731" t="str">
            <v>-</v>
          </cell>
          <cell r="K2731">
            <v>8</v>
          </cell>
          <cell r="L2731">
            <v>7.13</v>
          </cell>
          <cell r="M2731">
            <v>11.313708498984761</v>
          </cell>
          <cell r="O2731" t="str">
            <v>-</v>
          </cell>
          <cell r="T2731" t="str">
            <v>-</v>
          </cell>
          <cell r="U2731">
            <v>0.3125</v>
          </cell>
        </row>
        <row r="2732">
          <cell r="B2732" t="str">
            <v>HSS8X8X1/4</v>
          </cell>
          <cell r="C2732">
            <v>7.1</v>
          </cell>
          <cell r="D2732" t="str">
            <v>-</v>
          </cell>
          <cell r="F2732">
            <v>8</v>
          </cell>
          <cell r="H2732" t="str">
            <v>-</v>
          </cell>
          <cell r="I2732" t="str">
            <v>-</v>
          </cell>
          <cell r="K2732">
            <v>8</v>
          </cell>
          <cell r="L2732">
            <v>7.3</v>
          </cell>
          <cell r="M2732">
            <v>11.313708498984761</v>
          </cell>
          <cell r="O2732" t="str">
            <v>-</v>
          </cell>
          <cell r="T2732" t="str">
            <v>-</v>
          </cell>
          <cell r="U2732">
            <v>0.25</v>
          </cell>
        </row>
        <row r="2733">
          <cell r="B2733" t="str">
            <v>HSS8X8X3/16</v>
          </cell>
          <cell r="C2733">
            <v>5.37</v>
          </cell>
          <cell r="D2733" t="str">
            <v>-</v>
          </cell>
          <cell r="F2733">
            <v>8</v>
          </cell>
          <cell r="H2733" t="str">
            <v>-</v>
          </cell>
          <cell r="I2733" t="str">
            <v>-</v>
          </cell>
          <cell r="K2733">
            <v>8</v>
          </cell>
          <cell r="L2733">
            <v>7.48</v>
          </cell>
          <cell r="M2733">
            <v>11.313708498984761</v>
          </cell>
          <cell r="O2733" t="str">
            <v>-</v>
          </cell>
          <cell r="T2733" t="str">
            <v>-</v>
          </cell>
          <cell r="U2733">
            <v>0.1875</v>
          </cell>
        </row>
        <row r="2734">
          <cell r="B2734" t="str">
            <v>HSS8X8X1/8</v>
          </cell>
          <cell r="C2734">
            <v>3.62</v>
          </cell>
          <cell r="D2734" t="str">
            <v>-</v>
          </cell>
          <cell r="F2734">
            <v>8</v>
          </cell>
          <cell r="H2734" t="str">
            <v>-</v>
          </cell>
          <cell r="I2734" t="str">
            <v>-</v>
          </cell>
          <cell r="K2734">
            <v>8</v>
          </cell>
          <cell r="L2734">
            <v>7.65</v>
          </cell>
          <cell r="M2734">
            <v>11.313708498984761</v>
          </cell>
          <cell r="O2734" t="str">
            <v>-</v>
          </cell>
          <cell r="T2734" t="str">
            <v>-</v>
          </cell>
          <cell r="U2734">
            <v>0.125</v>
          </cell>
        </row>
        <row r="2735">
          <cell r="B2735" t="str">
            <v>HSS8X6X5/8</v>
          </cell>
          <cell r="C2735">
            <v>14</v>
          </cell>
          <cell r="D2735" t="str">
            <v>-</v>
          </cell>
          <cell r="F2735">
            <v>8</v>
          </cell>
          <cell r="H2735" t="str">
            <v>-</v>
          </cell>
          <cell r="I2735" t="str">
            <v>-</v>
          </cell>
          <cell r="K2735">
            <v>6</v>
          </cell>
          <cell r="L2735">
            <v>4.26</v>
          </cell>
          <cell r="M2735">
            <v>10</v>
          </cell>
          <cell r="O2735" t="str">
            <v>-</v>
          </cell>
          <cell r="T2735" t="str">
            <v>-</v>
          </cell>
          <cell r="U2735">
            <v>0.625</v>
          </cell>
        </row>
        <row r="2736">
          <cell r="B2736" t="str">
            <v>HSS8X6X1/2</v>
          </cell>
          <cell r="C2736">
            <v>11.6</v>
          </cell>
          <cell r="D2736" t="str">
            <v>-</v>
          </cell>
          <cell r="F2736">
            <v>8</v>
          </cell>
          <cell r="H2736" t="str">
            <v>-</v>
          </cell>
          <cell r="I2736" t="str">
            <v>-</v>
          </cell>
          <cell r="K2736">
            <v>6</v>
          </cell>
          <cell r="L2736">
            <v>4.6100000000000003</v>
          </cell>
          <cell r="M2736">
            <v>10</v>
          </cell>
          <cell r="O2736" t="str">
            <v>-</v>
          </cell>
          <cell r="T2736" t="str">
            <v>-</v>
          </cell>
          <cell r="U2736">
            <v>0.5</v>
          </cell>
        </row>
        <row r="2737">
          <cell r="B2737" t="str">
            <v>HSS8X6X3/8</v>
          </cell>
          <cell r="C2737">
            <v>8.9700000000000006</v>
          </cell>
          <cell r="D2737" t="str">
            <v>-</v>
          </cell>
          <cell r="F2737">
            <v>8</v>
          </cell>
          <cell r="H2737" t="str">
            <v>-</v>
          </cell>
          <cell r="I2737" t="str">
            <v>-</v>
          </cell>
          <cell r="K2737">
            <v>6</v>
          </cell>
          <cell r="L2737">
            <v>4.95</v>
          </cell>
          <cell r="M2737">
            <v>10</v>
          </cell>
          <cell r="O2737" t="str">
            <v>-</v>
          </cell>
          <cell r="T2737" t="str">
            <v>-</v>
          </cell>
          <cell r="U2737">
            <v>0.375</v>
          </cell>
        </row>
        <row r="2738">
          <cell r="B2738" t="str">
            <v>HSS8X6X5/16</v>
          </cell>
          <cell r="C2738">
            <v>7.59</v>
          </cell>
          <cell r="D2738" t="str">
            <v>-</v>
          </cell>
          <cell r="F2738">
            <v>8</v>
          </cell>
          <cell r="H2738" t="str">
            <v>-</v>
          </cell>
          <cell r="I2738" t="str">
            <v>-</v>
          </cell>
          <cell r="K2738">
            <v>6</v>
          </cell>
          <cell r="L2738">
            <v>5.13</v>
          </cell>
          <cell r="M2738">
            <v>10</v>
          </cell>
          <cell r="O2738" t="str">
            <v>-</v>
          </cell>
          <cell r="T2738" t="str">
            <v>-</v>
          </cell>
          <cell r="U2738">
            <v>0.3125</v>
          </cell>
        </row>
        <row r="2739">
          <cell r="B2739" t="str">
            <v>HSS8X6X1/4</v>
          </cell>
          <cell r="C2739">
            <v>6.17</v>
          </cell>
          <cell r="D2739" t="str">
            <v>-</v>
          </cell>
          <cell r="F2739">
            <v>8</v>
          </cell>
          <cell r="H2739" t="str">
            <v>-</v>
          </cell>
          <cell r="I2739" t="str">
            <v>-</v>
          </cell>
          <cell r="K2739">
            <v>6</v>
          </cell>
          <cell r="L2739">
            <v>5.3</v>
          </cell>
          <cell r="M2739">
            <v>10</v>
          </cell>
          <cell r="O2739" t="str">
            <v>-</v>
          </cell>
          <cell r="T2739" t="str">
            <v>-</v>
          </cell>
          <cell r="U2739">
            <v>0.25</v>
          </cell>
        </row>
        <row r="2740">
          <cell r="B2740" t="str">
            <v>HSS8X6X3/16</v>
          </cell>
          <cell r="C2740">
            <v>4.67</v>
          </cell>
          <cell r="D2740" t="str">
            <v>-</v>
          </cell>
          <cell r="F2740">
            <v>8</v>
          </cell>
          <cell r="H2740" t="str">
            <v>-</v>
          </cell>
          <cell r="I2740" t="str">
            <v>-</v>
          </cell>
          <cell r="K2740">
            <v>6</v>
          </cell>
          <cell r="L2740">
            <v>5.48</v>
          </cell>
          <cell r="M2740">
            <v>10</v>
          </cell>
          <cell r="O2740" t="str">
            <v>-</v>
          </cell>
          <cell r="T2740" t="str">
            <v>-</v>
          </cell>
          <cell r="U2740">
            <v>0.1875</v>
          </cell>
        </row>
        <row r="2741">
          <cell r="B2741" t="str">
            <v>HSS8X4X5/8</v>
          </cell>
          <cell r="C2741">
            <v>11.7</v>
          </cell>
          <cell r="D2741" t="str">
            <v>-</v>
          </cell>
          <cell r="F2741">
            <v>8</v>
          </cell>
          <cell r="H2741" t="str">
            <v>-</v>
          </cell>
          <cell r="I2741" t="str">
            <v>-</v>
          </cell>
          <cell r="K2741">
            <v>4</v>
          </cell>
          <cell r="L2741">
            <v>2.2599999999999998</v>
          </cell>
          <cell r="M2741">
            <v>8.9442719099991592</v>
          </cell>
          <cell r="O2741" t="str">
            <v>-</v>
          </cell>
          <cell r="T2741" t="str">
            <v>-</v>
          </cell>
          <cell r="U2741">
            <v>0.625</v>
          </cell>
        </row>
        <row r="2742">
          <cell r="B2742" t="str">
            <v>HSS8X4X1/2</v>
          </cell>
          <cell r="C2742">
            <v>9.74</v>
          </cell>
          <cell r="D2742" t="str">
            <v>-</v>
          </cell>
          <cell r="F2742">
            <v>8</v>
          </cell>
          <cell r="H2742" t="str">
            <v>-</v>
          </cell>
          <cell r="I2742" t="str">
            <v>-</v>
          </cell>
          <cell r="K2742">
            <v>4</v>
          </cell>
          <cell r="L2742">
            <v>2.6</v>
          </cell>
          <cell r="M2742">
            <v>8.9442719099991592</v>
          </cell>
          <cell r="O2742" t="str">
            <v>-</v>
          </cell>
          <cell r="T2742" t="str">
            <v>-</v>
          </cell>
          <cell r="U2742">
            <v>0.5</v>
          </cell>
        </row>
        <row r="2743">
          <cell r="B2743" t="str">
            <v>HSS8X4X3/8</v>
          </cell>
          <cell r="C2743">
            <v>7.58</v>
          </cell>
          <cell r="D2743" t="str">
            <v>-</v>
          </cell>
          <cell r="F2743">
            <v>8</v>
          </cell>
          <cell r="H2743" t="str">
            <v>-</v>
          </cell>
          <cell r="I2743" t="str">
            <v>-</v>
          </cell>
          <cell r="K2743">
            <v>4</v>
          </cell>
          <cell r="L2743">
            <v>2.95</v>
          </cell>
          <cell r="M2743">
            <v>8.9442719099991592</v>
          </cell>
          <cell r="O2743" t="str">
            <v>-</v>
          </cell>
          <cell r="T2743" t="str">
            <v>-</v>
          </cell>
          <cell r="U2743">
            <v>0.375</v>
          </cell>
        </row>
        <row r="2744">
          <cell r="B2744" t="str">
            <v>HSS8X4X5/16</v>
          </cell>
          <cell r="C2744">
            <v>6.43</v>
          </cell>
          <cell r="D2744" t="str">
            <v>-</v>
          </cell>
          <cell r="F2744">
            <v>8</v>
          </cell>
          <cell r="H2744" t="str">
            <v>-</v>
          </cell>
          <cell r="I2744" t="str">
            <v>-</v>
          </cell>
          <cell r="K2744">
            <v>4</v>
          </cell>
          <cell r="L2744">
            <v>3.13</v>
          </cell>
          <cell r="M2744">
            <v>8.9442719099991592</v>
          </cell>
          <cell r="O2744" t="str">
            <v>-</v>
          </cell>
          <cell r="T2744" t="str">
            <v>-</v>
          </cell>
          <cell r="U2744">
            <v>0.3125</v>
          </cell>
        </row>
        <row r="2745">
          <cell r="B2745" t="str">
            <v>HSS8X4X1/4</v>
          </cell>
          <cell r="C2745">
            <v>5.24</v>
          </cell>
          <cell r="D2745" t="str">
            <v>-</v>
          </cell>
          <cell r="F2745">
            <v>8</v>
          </cell>
          <cell r="H2745" t="str">
            <v>-</v>
          </cell>
          <cell r="I2745" t="str">
            <v>-</v>
          </cell>
          <cell r="K2745">
            <v>4</v>
          </cell>
          <cell r="L2745">
            <v>3.3</v>
          </cell>
          <cell r="M2745">
            <v>8.9442719099991592</v>
          </cell>
          <cell r="O2745" t="str">
            <v>-</v>
          </cell>
          <cell r="T2745" t="str">
            <v>-</v>
          </cell>
          <cell r="U2745">
            <v>0.25</v>
          </cell>
        </row>
        <row r="2746">
          <cell r="B2746" t="str">
            <v>HSS8X4X3/16</v>
          </cell>
          <cell r="C2746">
            <v>3.98</v>
          </cell>
          <cell r="D2746" t="str">
            <v>-</v>
          </cell>
          <cell r="F2746">
            <v>8</v>
          </cell>
          <cell r="H2746" t="str">
            <v>-</v>
          </cell>
          <cell r="I2746" t="str">
            <v>-</v>
          </cell>
          <cell r="K2746">
            <v>4</v>
          </cell>
          <cell r="L2746">
            <v>3.48</v>
          </cell>
          <cell r="M2746">
            <v>8.9442719099991592</v>
          </cell>
          <cell r="O2746" t="str">
            <v>-</v>
          </cell>
          <cell r="T2746" t="str">
            <v>-</v>
          </cell>
          <cell r="U2746">
            <v>0.1875</v>
          </cell>
        </row>
        <row r="2747">
          <cell r="B2747" t="str">
            <v>HSS8X4X1/8</v>
          </cell>
          <cell r="C2747">
            <v>2.7</v>
          </cell>
          <cell r="D2747" t="str">
            <v>-</v>
          </cell>
          <cell r="F2747">
            <v>8</v>
          </cell>
          <cell r="H2747" t="str">
            <v>-</v>
          </cell>
          <cell r="I2747" t="str">
            <v>-</v>
          </cell>
          <cell r="K2747">
            <v>4</v>
          </cell>
          <cell r="L2747">
            <v>3.65</v>
          </cell>
          <cell r="M2747">
            <v>8.9442719099991592</v>
          </cell>
          <cell r="O2747" t="str">
            <v>-</v>
          </cell>
          <cell r="T2747" t="str">
            <v>-</v>
          </cell>
          <cell r="U2747">
            <v>0.125</v>
          </cell>
        </row>
        <row r="2748">
          <cell r="B2748" t="str">
            <v>HSS8X3X1/2</v>
          </cell>
          <cell r="C2748">
            <v>8.81</v>
          </cell>
          <cell r="D2748" t="str">
            <v>-</v>
          </cell>
          <cell r="F2748">
            <v>8</v>
          </cell>
          <cell r="H2748" t="str">
            <v>-</v>
          </cell>
          <cell r="I2748" t="str">
            <v>-</v>
          </cell>
          <cell r="K2748">
            <v>3</v>
          </cell>
          <cell r="L2748">
            <v>1.6</v>
          </cell>
          <cell r="M2748">
            <v>8.5440037453175304</v>
          </cell>
          <cell r="O2748" t="str">
            <v>-</v>
          </cell>
          <cell r="T2748" t="str">
            <v>-</v>
          </cell>
          <cell r="U2748">
            <v>0.5</v>
          </cell>
        </row>
        <row r="2749">
          <cell r="B2749" t="str">
            <v>HSS8X3X3/8</v>
          </cell>
          <cell r="C2749">
            <v>6.88</v>
          </cell>
          <cell r="D2749" t="str">
            <v>-</v>
          </cell>
          <cell r="F2749">
            <v>8</v>
          </cell>
          <cell r="H2749" t="str">
            <v>-</v>
          </cell>
          <cell r="I2749" t="str">
            <v>-</v>
          </cell>
          <cell r="K2749">
            <v>3</v>
          </cell>
          <cell r="L2749">
            <v>1.95</v>
          </cell>
          <cell r="M2749">
            <v>8.5440037453175304</v>
          </cell>
          <cell r="O2749" t="str">
            <v>-</v>
          </cell>
          <cell r="T2749" t="str">
            <v>-</v>
          </cell>
          <cell r="U2749">
            <v>0.375</v>
          </cell>
        </row>
        <row r="2750">
          <cell r="B2750" t="str">
            <v>HSS8X3X5/16</v>
          </cell>
          <cell r="C2750">
            <v>5.85</v>
          </cell>
          <cell r="D2750" t="str">
            <v>-</v>
          </cell>
          <cell r="F2750">
            <v>8</v>
          </cell>
          <cell r="H2750" t="str">
            <v>-</v>
          </cell>
          <cell r="I2750" t="str">
            <v>-</v>
          </cell>
          <cell r="K2750">
            <v>3</v>
          </cell>
          <cell r="L2750">
            <v>2.13</v>
          </cell>
          <cell r="M2750">
            <v>8.5440037453175304</v>
          </cell>
          <cell r="O2750" t="str">
            <v>-</v>
          </cell>
          <cell r="T2750" t="str">
            <v>-</v>
          </cell>
          <cell r="U2750">
            <v>0.3125</v>
          </cell>
        </row>
        <row r="2751">
          <cell r="B2751" t="str">
            <v>HSS8X3X1/4</v>
          </cell>
          <cell r="C2751">
            <v>4.7699999999999996</v>
          </cell>
          <cell r="D2751" t="str">
            <v>-</v>
          </cell>
          <cell r="F2751">
            <v>8</v>
          </cell>
          <cell r="H2751" t="str">
            <v>-</v>
          </cell>
          <cell r="I2751" t="str">
            <v>-</v>
          </cell>
          <cell r="K2751">
            <v>3</v>
          </cell>
          <cell r="L2751">
            <v>2.2999999999999998</v>
          </cell>
          <cell r="M2751">
            <v>8.5440037453175304</v>
          </cell>
          <cell r="O2751" t="str">
            <v>-</v>
          </cell>
          <cell r="T2751" t="str">
            <v>-</v>
          </cell>
          <cell r="U2751">
            <v>0.25</v>
          </cell>
        </row>
        <row r="2752">
          <cell r="B2752" t="str">
            <v>HSS8X3X3/16</v>
          </cell>
          <cell r="C2752">
            <v>3.63</v>
          </cell>
          <cell r="D2752" t="str">
            <v>-</v>
          </cell>
          <cell r="F2752">
            <v>8</v>
          </cell>
          <cell r="H2752" t="str">
            <v>-</v>
          </cell>
          <cell r="I2752" t="str">
            <v>-</v>
          </cell>
          <cell r="K2752">
            <v>3</v>
          </cell>
          <cell r="L2752">
            <v>2.48</v>
          </cell>
          <cell r="M2752">
            <v>8.5440037453175304</v>
          </cell>
          <cell r="O2752" t="str">
            <v>-</v>
          </cell>
          <cell r="T2752" t="str">
            <v>-</v>
          </cell>
          <cell r="U2752">
            <v>0.1875</v>
          </cell>
        </row>
        <row r="2753">
          <cell r="B2753" t="str">
            <v>HSS8X3X1/8</v>
          </cell>
          <cell r="C2753">
            <v>2.46</v>
          </cell>
          <cell r="D2753" t="str">
            <v>-</v>
          </cell>
          <cell r="F2753">
            <v>8</v>
          </cell>
          <cell r="H2753" t="str">
            <v>-</v>
          </cell>
          <cell r="I2753" t="str">
            <v>-</v>
          </cell>
          <cell r="K2753">
            <v>3</v>
          </cell>
          <cell r="L2753">
            <v>2.65</v>
          </cell>
          <cell r="M2753">
            <v>8.5440037453175304</v>
          </cell>
          <cell r="O2753" t="str">
            <v>-</v>
          </cell>
          <cell r="T2753" t="str">
            <v>-</v>
          </cell>
          <cell r="U2753">
            <v>0.125</v>
          </cell>
        </row>
        <row r="2754">
          <cell r="B2754" t="str">
            <v>HSS8X2X1/2</v>
          </cell>
          <cell r="C2754">
            <v>7.88</v>
          </cell>
          <cell r="D2754" t="str">
            <v>-</v>
          </cell>
          <cell r="F2754">
            <v>8</v>
          </cell>
          <cell r="H2754" t="str">
            <v>-</v>
          </cell>
          <cell r="I2754" t="str">
            <v>-</v>
          </cell>
          <cell r="K2754">
            <v>2</v>
          </cell>
          <cell r="L2754" t="str">
            <v>0.605</v>
          </cell>
          <cell r="M2754">
            <v>8.2462112512353212</v>
          </cell>
          <cell r="O2754" t="str">
            <v>-</v>
          </cell>
          <cell r="T2754" t="str">
            <v>-</v>
          </cell>
          <cell r="U2754">
            <v>0.5</v>
          </cell>
        </row>
        <row r="2755">
          <cell r="B2755" t="str">
            <v>HSS8X2X3/8</v>
          </cell>
          <cell r="C2755">
            <v>6.18</v>
          </cell>
          <cell r="D2755" t="str">
            <v>-</v>
          </cell>
          <cell r="F2755">
            <v>8</v>
          </cell>
          <cell r="H2755" t="str">
            <v>-</v>
          </cell>
          <cell r="I2755" t="str">
            <v>-</v>
          </cell>
          <cell r="K2755">
            <v>2</v>
          </cell>
          <cell r="L2755">
            <v>0.95299999999999996</v>
          </cell>
          <cell r="M2755">
            <v>8.2462112512353212</v>
          </cell>
          <cell r="O2755" t="str">
            <v>-</v>
          </cell>
          <cell r="T2755" t="str">
            <v>-</v>
          </cell>
          <cell r="U2755">
            <v>0.375</v>
          </cell>
        </row>
        <row r="2756">
          <cell r="B2756" t="str">
            <v>HSS8X2X5/16</v>
          </cell>
          <cell r="C2756">
            <v>5.26</v>
          </cell>
          <cell r="D2756" t="str">
            <v>-</v>
          </cell>
          <cell r="F2756">
            <v>8</v>
          </cell>
          <cell r="H2756" t="str">
            <v>-</v>
          </cell>
          <cell r="I2756" t="str">
            <v>-</v>
          </cell>
          <cell r="K2756">
            <v>2</v>
          </cell>
          <cell r="L2756">
            <v>1.1299999999999999</v>
          </cell>
          <cell r="M2756">
            <v>8.2462112512353212</v>
          </cell>
          <cell r="O2756" t="str">
            <v>-</v>
          </cell>
          <cell r="T2756" t="str">
            <v>-</v>
          </cell>
          <cell r="U2756">
            <v>0.3125</v>
          </cell>
        </row>
        <row r="2757">
          <cell r="B2757" t="str">
            <v>HSS8X2X1/4</v>
          </cell>
          <cell r="C2757">
            <v>4.3</v>
          </cell>
          <cell r="D2757" t="str">
            <v>-</v>
          </cell>
          <cell r="F2757">
            <v>8</v>
          </cell>
          <cell r="H2757" t="str">
            <v>-</v>
          </cell>
          <cell r="I2757" t="str">
            <v>-</v>
          </cell>
          <cell r="K2757">
            <v>2</v>
          </cell>
          <cell r="L2757">
            <v>1.3</v>
          </cell>
          <cell r="M2757">
            <v>8.2462112512353212</v>
          </cell>
          <cell r="O2757" t="str">
            <v>-</v>
          </cell>
          <cell r="T2757" t="str">
            <v>-</v>
          </cell>
          <cell r="U2757">
            <v>0.25</v>
          </cell>
        </row>
        <row r="2758">
          <cell r="B2758" t="str">
            <v>HSS8X2X3/16</v>
          </cell>
          <cell r="C2758">
            <v>3.28</v>
          </cell>
          <cell r="D2758" t="str">
            <v>-</v>
          </cell>
          <cell r="F2758">
            <v>8</v>
          </cell>
          <cell r="H2758" t="str">
            <v>-</v>
          </cell>
          <cell r="I2758" t="str">
            <v>-</v>
          </cell>
          <cell r="K2758">
            <v>2</v>
          </cell>
          <cell r="L2758">
            <v>1.48</v>
          </cell>
          <cell r="M2758">
            <v>8.2462112512353212</v>
          </cell>
          <cell r="O2758" t="str">
            <v>-</v>
          </cell>
          <cell r="T2758" t="str">
            <v>-</v>
          </cell>
          <cell r="U2758">
            <v>0.1875</v>
          </cell>
        </row>
        <row r="2759">
          <cell r="B2759" t="str">
            <v>HSS8X2X1/8</v>
          </cell>
          <cell r="C2759">
            <v>2.23</v>
          </cell>
          <cell r="D2759" t="str">
            <v>-</v>
          </cell>
          <cell r="F2759">
            <v>8</v>
          </cell>
          <cell r="H2759" t="str">
            <v>-</v>
          </cell>
          <cell r="I2759" t="str">
            <v>-</v>
          </cell>
          <cell r="K2759">
            <v>2</v>
          </cell>
          <cell r="L2759">
            <v>1.65</v>
          </cell>
          <cell r="M2759">
            <v>8.2462112512353212</v>
          </cell>
          <cell r="O2759" t="str">
            <v>-</v>
          </cell>
          <cell r="T2759" t="str">
            <v>-</v>
          </cell>
          <cell r="U2759">
            <v>0.125</v>
          </cell>
        </row>
        <row r="2760">
          <cell r="B2760" t="str">
            <v>HSS7X7X5/8</v>
          </cell>
          <cell r="C2760">
            <v>14</v>
          </cell>
          <cell r="D2760" t="str">
            <v>-</v>
          </cell>
          <cell r="F2760">
            <v>7</v>
          </cell>
          <cell r="H2760" t="str">
            <v>-</v>
          </cell>
          <cell r="I2760" t="str">
            <v>-</v>
          </cell>
          <cell r="K2760">
            <v>7</v>
          </cell>
          <cell r="L2760">
            <v>5.26</v>
          </cell>
          <cell r="M2760">
            <v>9.8994949366116654</v>
          </cell>
          <cell r="O2760" t="str">
            <v>-</v>
          </cell>
          <cell r="T2760" t="str">
            <v>-</v>
          </cell>
          <cell r="U2760">
            <v>0.625</v>
          </cell>
        </row>
        <row r="2761">
          <cell r="B2761" t="str">
            <v>HSS7X7X1/2</v>
          </cell>
          <cell r="C2761">
            <v>11.6</v>
          </cell>
          <cell r="D2761" t="str">
            <v>-</v>
          </cell>
          <cell r="F2761">
            <v>7</v>
          </cell>
          <cell r="H2761" t="str">
            <v>-</v>
          </cell>
          <cell r="I2761" t="str">
            <v>-</v>
          </cell>
          <cell r="K2761">
            <v>7</v>
          </cell>
          <cell r="L2761">
            <v>5.6</v>
          </cell>
          <cell r="M2761">
            <v>9.8994949366116654</v>
          </cell>
          <cell r="O2761" t="str">
            <v>-</v>
          </cell>
          <cell r="T2761" t="str">
            <v>-</v>
          </cell>
          <cell r="U2761">
            <v>0.5</v>
          </cell>
        </row>
        <row r="2762">
          <cell r="B2762" t="str">
            <v>HSS7X7X3/8</v>
          </cell>
          <cell r="C2762">
            <v>8.9700000000000006</v>
          </cell>
          <cell r="D2762" t="str">
            <v>-</v>
          </cell>
          <cell r="F2762">
            <v>7</v>
          </cell>
          <cell r="H2762" t="str">
            <v>-</v>
          </cell>
          <cell r="I2762" t="str">
            <v>-</v>
          </cell>
          <cell r="K2762">
            <v>7</v>
          </cell>
          <cell r="L2762">
            <v>5.95</v>
          </cell>
          <cell r="M2762">
            <v>9.8994949366116654</v>
          </cell>
          <cell r="O2762" t="str">
            <v>-</v>
          </cell>
          <cell r="T2762" t="str">
            <v>-</v>
          </cell>
          <cell r="U2762">
            <v>0.375</v>
          </cell>
        </row>
        <row r="2763">
          <cell r="B2763" t="str">
            <v>HSS7X7X5/16</v>
          </cell>
          <cell r="C2763">
            <v>7.59</v>
          </cell>
          <cell r="D2763" t="str">
            <v>-</v>
          </cell>
          <cell r="F2763">
            <v>7</v>
          </cell>
          <cell r="H2763" t="str">
            <v>-</v>
          </cell>
          <cell r="I2763" t="str">
            <v>-</v>
          </cell>
          <cell r="K2763">
            <v>7</v>
          </cell>
          <cell r="L2763">
            <v>6.13</v>
          </cell>
          <cell r="M2763">
            <v>9.8994949366116654</v>
          </cell>
          <cell r="O2763" t="str">
            <v>-</v>
          </cell>
          <cell r="T2763" t="str">
            <v>-</v>
          </cell>
          <cell r="U2763">
            <v>0.3125</v>
          </cell>
        </row>
        <row r="2764">
          <cell r="B2764" t="str">
            <v>HSS7X7X1/4</v>
          </cell>
          <cell r="C2764">
            <v>6.17</v>
          </cell>
          <cell r="D2764" t="str">
            <v>-</v>
          </cell>
          <cell r="F2764">
            <v>7</v>
          </cell>
          <cell r="H2764" t="str">
            <v>-</v>
          </cell>
          <cell r="I2764" t="str">
            <v>-</v>
          </cell>
          <cell r="K2764">
            <v>7</v>
          </cell>
          <cell r="L2764">
            <v>6.3</v>
          </cell>
          <cell r="M2764">
            <v>9.8994949366116654</v>
          </cell>
          <cell r="O2764" t="str">
            <v>-</v>
          </cell>
          <cell r="T2764" t="str">
            <v>-</v>
          </cell>
          <cell r="U2764">
            <v>0.25</v>
          </cell>
        </row>
        <row r="2765">
          <cell r="B2765" t="str">
            <v>HSS7X7X3/16</v>
          </cell>
          <cell r="C2765">
            <v>4.67</v>
          </cell>
          <cell r="D2765" t="str">
            <v>-</v>
          </cell>
          <cell r="F2765">
            <v>7</v>
          </cell>
          <cell r="H2765" t="str">
            <v>-</v>
          </cell>
          <cell r="I2765" t="str">
            <v>-</v>
          </cell>
          <cell r="K2765">
            <v>7</v>
          </cell>
          <cell r="L2765">
            <v>6.48</v>
          </cell>
          <cell r="M2765">
            <v>9.8994949366116654</v>
          </cell>
          <cell r="O2765" t="str">
            <v>-</v>
          </cell>
          <cell r="T2765" t="str">
            <v>-</v>
          </cell>
          <cell r="U2765">
            <v>0.1875</v>
          </cell>
        </row>
        <row r="2766">
          <cell r="B2766" t="str">
            <v>HSS7X7X1/8</v>
          </cell>
          <cell r="C2766">
            <v>3.16</v>
          </cell>
          <cell r="D2766" t="str">
            <v>-</v>
          </cell>
          <cell r="F2766">
            <v>7</v>
          </cell>
          <cell r="H2766" t="str">
            <v>-</v>
          </cell>
          <cell r="I2766" t="str">
            <v>-</v>
          </cell>
          <cell r="K2766">
            <v>7</v>
          </cell>
          <cell r="L2766">
            <v>6.65</v>
          </cell>
          <cell r="M2766">
            <v>9.8994949366116654</v>
          </cell>
          <cell r="O2766" t="str">
            <v>-</v>
          </cell>
          <cell r="T2766" t="str">
            <v>-</v>
          </cell>
          <cell r="U2766">
            <v>0.125</v>
          </cell>
        </row>
        <row r="2767">
          <cell r="B2767" t="str">
            <v>HSS7X5X1/2</v>
          </cell>
          <cell r="C2767">
            <v>9.74</v>
          </cell>
          <cell r="D2767" t="str">
            <v>-</v>
          </cell>
          <cell r="F2767">
            <v>7</v>
          </cell>
          <cell r="H2767" t="str">
            <v>-</v>
          </cell>
          <cell r="I2767" t="str">
            <v>-</v>
          </cell>
          <cell r="K2767">
            <v>5</v>
          </cell>
          <cell r="L2767">
            <v>3.6</v>
          </cell>
          <cell r="M2767">
            <v>8.6023252670426267</v>
          </cell>
          <cell r="O2767" t="str">
            <v>-</v>
          </cell>
          <cell r="T2767" t="str">
            <v>-</v>
          </cell>
          <cell r="U2767">
            <v>0.5</v>
          </cell>
        </row>
        <row r="2768">
          <cell r="B2768" t="str">
            <v>HSS7X5X3/8</v>
          </cell>
          <cell r="C2768">
            <v>7.58</v>
          </cell>
          <cell r="D2768" t="str">
            <v>-</v>
          </cell>
          <cell r="F2768">
            <v>7</v>
          </cell>
          <cell r="H2768" t="str">
            <v>-</v>
          </cell>
          <cell r="I2768" t="str">
            <v>-</v>
          </cell>
          <cell r="K2768">
            <v>5</v>
          </cell>
          <cell r="L2768">
            <v>3.95</v>
          </cell>
          <cell r="M2768">
            <v>8.6023252670426267</v>
          </cell>
          <cell r="O2768" t="str">
            <v>-</v>
          </cell>
          <cell r="T2768" t="str">
            <v>-</v>
          </cell>
          <cell r="U2768">
            <v>0.375</v>
          </cell>
        </row>
        <row r="2769">
          <cell r="B2769" t="str">
            <v>HSS7X5X5/16</v>
          </cell>
          <cell r="C2769">
            <v>6.43</v>
          </cell>
          <cell r="D2769" t="str">
            <v>-</v>
          </cell>
          <cell r="F2769">
            <v>7</v>
          </cell>
          <cell r="H2769" t="str">
            <v>-</v>
          </cell>
          <cell r="I2769" t="str">
            <v>-</v>
          </cell>
          <cell r="K2769">
            <v>5</v>
          </cell>
          <cell r="L2769">
            <v>4.13</v>
          </cell>
          <cell r="M2769">
            <v>8.6023252670426267</v>
          </cell>
          <cell r="O2769" t="str">
            <v>-</v>
          </cell>
          <cell r="T2769" t="str">
            <v>-</v>
          </cell>
          <cell r="U2769">
            <v>0.3125</v>
          </cell>
        </row>
        <row r="2770">
          <cell r="B2770" t="str">
            <v>HSS7X5X1/4</v>
          </cell>
          <cell r="C2770">
            <v>5.24</v>
          </cell>
          <cell r="D2770" t="str">
            <v>-</v>
          </cell>
          <cell r="F2770">
            <v>7</v>
          </cell>
          <cell r="H2770" t="str">
            <v>-</v>
          </cell>
          <cell r="I2770" t="str">
            <v>-</v>
          </cell>
          <cell r="K2770">
            <v>5</v>
          </cell>
          <cell r="L2770">
            <v>4.3</v>
          </cell>
          <cell r="M2770">
            <v>8.6023252670426267</v>
          </cell>
          <cell r="O2770" t="str">
            <v>-</v>
          </cell>
          <cell r="T2770" t="str">
            <v>-</v>
          </cell>
          <cell r="U2770">
            <v>0.25</v>
          </cell>
        </row>
        <row r="2771">
          <cell r="B2771" t="str">
            <v>HSS7X5X3/16</v>
          </cell>
          <cell r="C2771">
            <v>3.98</v>
          </cell>
          <cell r="D2771" t="str">
            <v>-</v>
          </cell>
          <cell r="F2771">
            <v>7</v>
          </cell>
          <cell r="H2771" t="str">
            <v>-</v>
          </cell>
          <cell r="I2771" t="str">
            <v>-</v>
          </cell>
          <cell r="K2771">
            <v>5</v>
          </cell>
          <cell r="L2771">
            <v>4.4800000000000004</v>
          </cell>
          <cell r="M2771">
            <v>8.6023252670426267</v>
          </cell>
          <cell r="O2771" t="str">
            <v>-</v>
          </cell>
          <cell r="T2771" t="str">
            <v>-</v>
          </cell>
          <cell r="U2771">
            <v>0.1875</v>
          </cell>
        </row>
        <row r="2772">
          <cell r="B2772" t="str">
            <v>HSS7X5X1/8</v>
          </cell>
          <cell r="C2772">
            <v>2.7</v>
          </cell>
          <cell r="D2772" t="str">
            <v>-</v>
          </cell>
          <cell r="F2772">
            <v>7</v>
          </cell>
          <cell r="H2772" t="str">
            <v>-</v>
          </cell>
          <cell r="I2772" t="str">
            <v>-</v>
          </cell>
          <cell r="K2772">
            <v>5</v>
          </cell>
          <cell r="L2772">
            <v>4.6500000000000004</v>
          </cell>
          <cell r="M2772">
            <v>8.6023252670426267</v>
          </cell>
          <cell r="O2772" t="str">
            <v>-</v>
          </cell>
          <cell r="T2772" t="str">
            <v>-</v>
          </cell>
          <cell r="U2772">
            <v>0.125</v>
          </cell>
        </row>
        <row r="2773">
          <cell r="B2773" t="str">
            <v>HSS7X4X1/2</v>
          </cell>
          <cell r="C2773">
            <v>8.81</v>
          </cell>
          <cell r="D2773" t="str">
            <v>-</v>
          </cell>
          <cell r="F2773">
            <v>7</v>
          </cell>
          <cell r="H2773" t="str">
            <v>-</v>
          </cell>
          <cell r="I2773" t="str">
            <v>-</v>
          </cell>
          <cell r="K2773">
            <v>4</v>
          </cell>
          <cell r="L2773">
            <v>2.6</v>
          </cell>
          <cell r="M2773">
            <v>8.0622577482985491</v>
          </cell>
          <cell r="O2773" t="str">
            <v>-</v>
          </cell>
          <cell r="T2773" t="str">
            <v>-</v>
          </cell>
          <cell r="U2773">
            <v>0.5</v>
          </cell>
        </row>
        <row r="2774">
          <cell r="B2774" t="str">
            <v>HSS7X4X3/8</v>
          </cell>
          <cell r="C2774">
            <v>6.88</v>
          </cell>
          <cell r="D2774" t="str">
            <v>-</v>
          </cell>
          <cell r="F2774">
            <v>7</v>
          </cell>
          <cell r="H2774" t="str">
            <v>-</v>
          </cell>
          <cell r="I2774" t="str">
            <v>-</v>
          </cell>
          <cell r="K2774">
            <v>4</v>
          </cell>
          <cell r="L2774">
            <v>2.95</v>
          </cell>
          <cell r="M2774">
            <v>8.0622577482985491</v>
          </cell>
          <cell r="O2774" t="str">
            <v>-</v>
          </cell>
          <cell r="T2774" t="str">
            <v>-</v>
          </cell>
          <cell r="U2774">
            <v>0.375</v>
          </cell>
        </row>
        <row r="2775">
          <cell r="B2775" t="str">
            <v>HSS7X4X5/16</v>
          </cell>
          <cell r="C2775">
            <v>5.85</v>
          </cell>
          <cell r="D2775" t="str">
            <v>-</v>
          </cell>
          <cell r="F2775">
            <v>7</v>
          </cell>
          <cell r="H2775" t="str">
            <v>-</v>
          </cell>
          <cell r="I2775" t="str">
            <v>-</v>
          </cell>
          <cell r="K2775">
            <v>4</v>
          </cell>
          <cell r="L2775">
            <v>3.13</v>
          </cell>
          <cell r="M2775">
            <v>8.0622577482985491</v>
          </cell>
          <cell r="O2775" t="str">
            <v>-</v>
          </cell>
          <cell r="T2775" t="str">
            <v>-</v>
          </cell>
          <cell r="U2775">
            <v>0.3125</v>
          </cell>
        </row>
        <row r="2776">
          <cell r="B2776" t="str">
            <v>HSS7X4X1/4</v>
          </cell>
          <cell r="C2776">
            <v>4.7699999999999996</v>
          </cell>
          <cell r="D2776" t="str">
            <v>-</v>
          </cell>
          <cell r="F2776">
            <v>7</v>
          </cell>
          <cell r="H2776" t="str">
            <v>-</v>
          </cell>
          <cell r="I2776" t="str">
            <v>-</v>
          </cell>
          <cell r="K2776">
            <v>4</v>
          </cell>
          <cell r="L2776">
            <v>3.3</v>
          </cell>
          <cell r="M2776">
            <v>8.0622577482985491</v>
          </cell>
          <cell r="O2776" t="str">
            <v>-</v>
          </cell>
          <cell r="T2776" t="str">
            <v>-</v>
          </cell>
          <cell r="U2776">
            <v>0.25</v>
          </cell>
        </row>
        <row r="2777">
          <cell r="B2777" t="str">
            <v>HSS7X4X3/16</v>
          </cell>
          <cell r="C2777">
            <v>3.63</v>
          </cell>
          <cell r="D2777" t="str">
            <v>-</v>
          </cell>
          <cell r="F2777">
            <v>7</v>
          </cell>
          <cell r="H2777" t="str">
            <v>-</v>
          </cell>
          <cell r="I2777" t="str">
            <v>-</v>
          </cell>
          <cell r="K2777">
            <v>4</v>
          </cell>
          <cell r="L2777">
            <v>3.48</v>
          </cell>
          <cell r="M2777">
            <v>8.0622577482985491</v>
          </cell>
          <cell r="O2777" t="str">
            <v>-</v>
          </cell>
          <cell r="T2777" t="str">
            <v>-</v>
          </cell>
          <cell r="U2777">
            <v>0.1875</v>
          </cell>
        </row>
        <row r="2778">
          <cell r="B2778" t="str">
            <v>HSS7X4X1/8</v>
          </cell>
          <cell r="C2778">
            <v>2.46</v>
          </cell>
          <cell r="D2778" t="str">
            <v>-</v>
          </cell>
          <cell r="F2778">
            <v>7</v>
          </cell>
          <cell r="H2778" t="str">
            <v>-</v>
          </cell>
          <cell r="I2778" t="str">
            <v>-</v>
          </cell>
          <cell r="K2778">
            <v>4</v>
          </cell>
          <cell r="L2778">
            <v>3.65</v>
          </cell>
          <cell r="M2778">
            <v>8.0622577482985491</v>
          </cell>
          <cell r="O2778" t="str">
            <v>-</v>
          </cell>
          <cell r="T2778" t="str">
            <v>-</v>
          </cell>
          <cell r="U2778">
            <v>0.125</v>
          </cell>
        </row>
        <row r="2779">
          <cell r="B2779" t="str">
            <v>HSS7X3X1/2</v>
          </cell>
          <cell r="C2779">
            <v>7.88</v>
          </cell>
          <cell r="D2779" t="str">
            <v>-</v>
          </cell>
          <cell r="F2779">
            <v>7</v>
          </cell>
          <cell r="H2779" t="str">
            <v>-</v>
          </cell>
          <cell r="I2779" t="str">
            <v>-</v>
          </cell>
          <cell r="K2779">
            <v>3</v>
          </cell>
          <cell r="L2779">
            <v>1.6</v>
          </cell>
          <cell r="M2779">
            <v>7.6157731058639087</v>
          </cell>
          <cell r="O2779" t="str">
            <v>-</v>
          </cell>
          <cell r="T2779" t="str">
            <v>-</v>
          </cell>
          <cell r="U2779">
            <v>0.5</v>
          </cell>
        </row>
        <row r="2780">
          <cell r="B2780" t="str">
            <v>HSS7X3X3/8</v>
          </cell>
          <cell r="C2780">
            <v>6.18</v>
          </cell>
          <cell r="D2780" t="str">
            <v>-</v>
          </cell>
          <cell r="F2780">
            <v>7</v>
          </cell>
          <cell r="H2780" t="str">
            <v>-</v>
          </cell>
          <cell r="I2780" t="str">
            <v>-</v>
          </cell>
          <cell r="K2780">
            <v>3</v>
          </cell>
          <cell r="L2780">
            <v>1.95</v>
          </cell>
          <cell r="M2780">
            <v>7.6157731058639087</v>
          </cell>
          <cell r="O2780" t="str">
            <v>-</v>
          </cell>
          <cell r="T2780" t="str">
            <v>-</v>
          </cell>
          <cell r="U2780">
            <v>0.375</v>
          </cell>
        </row>
        <row r="2781">
          <cell r="B2781" t="str">
            <v>HSS7X3X5/16</v>
          </cell>
          <cell r="C2781">
            <v>5.26</v>
          </cell>
          <cell r="D2781" t="str">
            <v>-</v>
          </cell>
          <cell r="F2781">
            <v>7</v>
          </cell>
          <cell r="H2781" t="str">
            <v>-</v>
          </cell>
          <cell r="I2781" t="str">
            <v>-</v>
          </cell>
          <cell r="K2781">
            <v>3</v>
          </cell>
          <cell r="L2781">
            <v>2.13</v>
          </cell>
          <cell r="M2781">
            <v>7.6157731058639087</v>
          </cell>
          <cell r="O2781" t="str">
            <v>-</v>
          </cell>
          <cell r="T2781" t="str">
            <v>-</v>
          </cell>
          <cell r="U2781">
            <v>0.3125</v>
          </cell>
        </row>
        <row r="2782">
          <cell r="B2782" t="str">
            <v>HSS7X3X1/4</v>
          </cell>
          <cell r="C2782">
            <v>4.3</v>
          </cell>
          <cell r="D2782" t="str">
            <v>-</v>
          </cell>
          <cell r="F2782">
            <v>7</v>
          </cell>
          <cell r="H2782" t="str">
            <v>-</v>
          </cell>
          <cell r="I2782" t="str">
            <v>-</v>
          </cell>
          <cell r="K2782">
            <v>3</v>
          </cell>
          <cell r="L2782">
            <v>2.2999999999999998</v>
          </cell>
          <cell r="M2782">
            <v>7.6157731058639087</v>
          </cell>
          <cell r="O2782" t="str">
            <v>-</v>
          </cell>
          <cell r="T2782" t="str">
            <v>-</v>
          </cell>
          <cell r="U2782">
            <v>0.25</v>
          </cell>
        </row>
        <row r="2783">
          <cell r="B2783" t="str">
            <v>HSS7X3X3/16</v>
          </cell>
          <cell r="C2783">
            <v>3.28</v>
          </cell>
          <cell r="D2783" t="str">
            <v>-</v>
          </cell>
          <cell r="F2783">
            <v>7</v>
          </cell>
          <cell r="H2783" t="str">
            <v>-</v>
          </cell>
          <cell r="I2783" t="str">
            <v>-</v>
          </cell>
          <cell r="K2783">
            <v>3</v>
          </cell>
          <cell r="L2783">
            <v>2.48</v>
          </cell>
          <cell r="M2783">
            <v>7.6157731058639087</v>
          </cell>
          <cell r="O2783" t="str">
            <v>-</v>
          </cell>
          <cell r="T2783" t="str">
            <v>-</v>
          </cell>
          <cell r="U2783">
            <v>0.1875</v>
          </cell>
        </row>
        <row r="2784">
          <cell r="B2784" t="str">
            <v>HSS7X3X1/8</v>
          </cell>
          <cell r="C2784">
            <v>2.23</v>
          </cell>
          <cell r="D2784" t="str">
            <v>-</v>
          </cell>
          <cell r="F2784">
            <v>7</v>
          </cell>
          <cell r="H2784" t="str">
            <v>-</v>
          </cell>
          <cell r="I2784" t="str">
            <v>-</v>
          </cell>
          <cell r="K2784">
            <v>3</v>
          </cell>
          <cell r="L2784">
            <v>2.65</v>
          </cell>
          <cell r="M2784">
            <v>7.6157731058639087</v>
          </cell>
          <cell r="O2784" t="str">
            <v>-</v>
          </cell>
          <cell r="T2784" t="str">
            <v>-</v>
          </cell>
          <cell r="U2784">
            <v>0.125</v>
          </cell>
        </row>
        <row r="2785">
          <cell r="B2785" t="str">
            <v>HSS7X2X1/4</v>
          </cell>
          <cell r="C2785">
            <v>3.84</v>
          </cell>
          <cell r="D2785" t="str">
            <v>-</v>
          </cell>
          <cell r="F2785">
            <v>7</v>
          </cell>
          <cell r="H2785" t="str">
            <v>-</v>
          </cell>
          <cell r="I2785" t="str">
            <v>-</v>
          </cell>
          <cell r="K2785">
            <v>2</v>
          </cell>
          <cell r="L2785">
            <v>1.3</v>
          </cell>
          <cell r="M2785">
            <v>7.2801098892805181</v>
          </cell>
          <cell r="O2785" t="str">
            <v>-</v>
          </cell>
          <cell r="T2785" t="str">
            <v>-</v>
          </cell>
          <cell r="U2785">
            <v>0.25</v>
          </cell>
        </row>
        <row r="2786">
          <cell r="B2786" t="str">
            <v>HSS7X2X3/16</v>
          </cell>
          <cell r="C2786">
            <v>2.93</v>
          </cell>
          <cell r="D2786" t="str">
            <v>-</v>
          </cell>
          <cell r="F2786">
            <v>7</v>
          </cell>
          <cell r="H2786" t="str">
            <v>-</v>
          </cell>
          <cell r="I2786" t="str">
            <v>-</v>
          </cell>
          <cell r="K2786">
            <v>2</v>
          </cell>
          <cell r="L2786">
            <v>1.48</v>
          </cell>
          <cell r="M2786">
            <v>7.2801098892805181</v>
          </cell>
          <cell r="O2786" t="str">
            <v>-</v>
          </cell>
          <cell r="T2786" t="str">
            <v>-</v>
          </cell>
          <cell r="U2786">
            <v>0.1875</v>
          </cell>
        </row>
        <row r="2787">
          <cell r="B2787" t="str">
            <v>HSS7X2X1/8</v>
          </cell>
          <cell r="C2787">
            <v>2</v>
          </cell>
          <cell r="D2787" t="str">
            <v>-</v>
          </cell>
          <cell r="F2787">
            <v>7</v>
          </cell>
          <cell r="H2787" t="str">
            <v>-</v>
          </cell>
          <cell r="I2787" t="str">
            <v>-</v>
          </cell>
          <cell r="K2787">
            <v>2</v>
          </cell>
          <cell r="L2787">
            <v>1.65</v>
          </cell>
          <cell r="M2787">
            <v>7.2801098892805181</v>
          </cell>
          <cell r="O2787" t="str">
            <v>-</v>
          </cell>
          <cell r="T2787" t="str">
            <v>-</v>
          </cell>
          <cell r="U2787">
            <v>0.125</v>
          </cell>
        </row>
        <row r="2788">
          <cell r="B2788" t="str">
            <v>HSS6X6X5/8</v>
          </cell>
          <cell r="C2788">
            <v>11.7</v>
          </cell>
          <cell r="D2788" t="str">
            <v>-</v>
          </cell>
          <cell r="F2788">
            <v>6</v>
          </cell>
          <cell r="H2788" t="str">
            <v>-</v>
          </cell>
          <cell r="I2788" t="str">
            <v>-</v>
          </cell>
          <cell r="K2788">
            <v>6</v>
          </cell>
          <cell r="L2788">
            <v>4.26</v>
          </cell>
          <cell r="M2788">
            <v>8.4852813742385695</v>
          </cell>
          <cell r="O2788" t="str">
            <v>-</v>
          </cell>
          <cell r="T2788" t="str">
            <v>-</v>
          </cell>
          <cell r="U2788">
            <v>0.625</v>
          </cell>
        </row>
        <row r="2789">
          <cell r="B2789" t="str">
            <v>HSS6X6X1/2</v>
          </cell>
          <cell r="C2789">
            <v>9.74</v>
          </cell>
          <cell r="D2789" t="str">
            <v>-</v>
          </cell>
          <cell r="F2789">
            <v>6</v>
          </cell>
          <cell r="H2789" t="str">
            <v>-</v>
          </cell>
          <cell r="I2789" t="str">
            <v>-</v>
          </cell>
          <cell r="K2789">
            <v>6</v>
          </cell>
          <cell r="L2789">
            <v>4.6100000000000003</v>
          </cell>
          <cell r="M2789">
            <v>8.4852813742385695</v>
          </cell>
          <cell r="O2789" t="str">
            <v>-</v>
          </cell>
          <cell r="T2789" t="str">
            <v>-</v>
          </cell>
          <cell r="U2789">
            <v>0.5</v>
          </cell>
        </row>
        <row r="2790">
          <cell r="B2790" t="str">
            <v>HSS6X6X3/8</v>
          </cell>
          <cell r="C2790">
            <v>7.58</v>
          </cell>
          <cell r="D2790" t="str">
            <v>-</v>
          </cell>
          <cell r="F2790">
            <v>6</v>
          </cell>
          <cell r="H2790" t="str">
            <v>-</v>
          </cell>
          <cell r="I2790" t="str">
            <v>-</v>
          </cell>
          <cell r="K2790">
            <v>6</v>
          </cell>
          <cell r="L2790">
            <v>4.95</v>
          </cell>
          <cell r="M2790">
            <v>8.4852813742385695</v>
          </cell>
          <cell r="O2790" t="str">
            <v>-</v>
          </cell>
          <cell r="T2790" t="str">
            <v>-</v>
          </cell>
          <cell r="U2790">
            <v>0.375</v>
          </cell>
        </row>
        <row r="2791">
          <cell r="B2791" t="str">
            <v>HSS6X6X5/16</v>
          </cell>
          <cell r="C2791">
            <v>6.43</v>
          </cell>
          <cell r="D2791" t="str">
            <v>-</v>
          </cell>
          <cell r="F2791">
            <v>6</v>
          </cell>
          <cell r="H2791" t="str">
            <v>-</v>
          </cell>
          <cell r="I2791" t="str">
            <v>-</v>
          </cell>
          <cell r="K2791">
            <v>6</v>
          </cell>
          <cell r="L2791">
            <v>5.13</v>
          </cell>
          <cell r="M2791">
            <v>8.4852813742385695</v>
          </cell>
          <cell r="O2791" t="str">
            <v>-</v>
          </cell>
          <cell r="T2791" t="str">
            <v>-</v>
          </cell>
          <cell r="U2791">
            <v>0.3125</v>
          </cell>
        </row>
        <row r="2792">
          <cell r="B2792" t="str">
            <v>HSS6X6X1/4</v>
          </cell>
          <cell r="C2792">
            <v>5.24</v>
          </cell>
          <cell r="D2792" t="str">
            <v>-</v>
          </cell>
          <cell r="F2792">
            <v>6</v>
          </cell>
          <cell r="H2792" t="str">
            <v>-</v>
          </cell>
          <cell r="I2792" t="str">
            <v>-</v>
          </cell>
          <cell r="K2792">
            <v>6</v>
          </cell>
          <cell r="L2792">
            <v>5.3</v>
          </cell>
          <cell r="M2792">
            <v>8.4852813742385695</v>
          </cell>
          <cell r="O2792" t="str">
            <v>-</v>
          </cell>
          <cell r="T2792" t="str">
            <v>-</v>
          </cell>
          <cell r="U2792">
            <v>0.25</v>
          </cell>
        </row>
        <row r="2793">
          <cell r="B2793" t="str">
            <v>HSS6X6X3/16</v>
          </cell>
          <cell r="C2793">
            <v>3.98</v>
          </cell>
          <cell r="D2793" t="str">
            <v>-</v>
          </cell>
          <cell r="F2793">
            <v>6</v>
          </cell>
          <cell r="H2793" t="str">
            <v>-</v>
          </cell>
          <cell r="I2793" t="str">
            <v>-</v>
          </cell>
          <cell r="K2793">
            <v>6</v>
          </cell>
          <cell r="L2793">
            <v>5.48</v>
          </cell>
          <cell r="M2793">
            <v>8.4852813742385695</v>
          </cell>
          <cell r="O2793" t="str">
            <v>-</v>
          </cell>
          <cell r="T2793" t="str">
            <v>-</v>
          </cell>
          <cell r="U2793">
            <v>0.1875</v>
          </cell>
        </row>
        <row r="2794">
          <cell r="B2794" t="str">
            <v>HSS6X6X1/8</v>
          </cell>
          <cell r="C2794">
            <v>2.7</v>
          </cell>
          <cell r="D2794" t="str">
            <v>-</v>
          </cell>
          <cell r="F2794">
            <v>6</v>
          </cell>
          <cell r="H2794" t="str">
            <v>-</v>
          </cell>
          <cell r="I2794" t="str">
            <v>-</v>
          </cell>
          <cell r="K2794">
            <v>6</v>
          </cell>
          <cell r="L2794">
            <v>5.65</v>
          </cell>
          <cell r="M2794">
            <v>8.4852813742385695</v>
          </cell>
          <cell r="O2794" t="str">
            <v>-</v>
          </cell>
          <cell r="T2794" t="str">
            <v>-</v>
          </cell>
          <cell r="U2794">
            <v>0.125</v>
          </cell>
        </row>
        <row r="2795">
          <cell r="B2795" t="str">
            <v>HSS6X5X1/2</v>
          </cell>
          <cell r="C2795">
            <v>8.81</v>
          </cell>
          <cell r="D2795" t="str">
            <v>-</v>
          </cell>
          <cell r="F2795">
            <v>6</v>
          </cell>
          <cell r="H2795" t="str">
            <v>-</v>
          </cell>
          <cell r="I2795" t="str">
            <v>-</v>
          </cell>
          <cell r="K2795">
            <v>5</v>
          </cell>
          <cell r="L2795">
            <v>3.6</v>
          </cell>
          <cell r="M2795">
            <v>7.810249675906654</v>
          </cell>
          <cell r="O2795" t="str">
            <v>-</v>
          </cell>
          <cell r="T2795" t="str">
            <v>-</v>
          </cell>
          <cell r="U2795">
            <v>0.5</v>
          </cell>
        </row>
        <row r="2796">
          <cell r="B2796" t="str">
            <v>HSS6X5X3/8</v>
          </cell>
          <cell r="C2796">
            <v>6.88</v>
          </cell>
          <cell r="D2796" t="str">
            <v>-</v>
          </cell>
          <cell r="F2796">
            <v>6</v>
          </cell>
          <cell r="H2796" t="str">
            <v>-</v>
          </cell>
          <cell r="I2796" t="str">
            <v>-</v>
          </cell>
          <cell r="K2796">
            <v>5</v>
          </cell>
          <cell r="L2796">
            <v>3.95</v>
          </cell>
          <cell r="M2796">
            <v>7.810249675906654</v>
          </cell>
          <cell r="O2796" t="str">
            <v>-</v>
          </cell>
          <cell r="T2796" t="str">
            <v>-</v>
          </cell>
          <cell r="U2796">
            <v>0.375</v>
          </cell>
        </row>
        <row r="2797">
          <cell r="B2797" t="str">
            <v>HSS6X5X5/16</v>
          </cell>
          <cell r="C2797">
            <v>5.85</v>
          </cell>
          <cell r="D2797" t="str">
            <v>-</v>
          </cell>
          <cell r="F2797">
            <v>6</v>
          </cell>
          <cell r="H2797" t="str">
            <v>-</v>
          </cell>
          <cell r="I2797" t="str">
            <v>-</v>
          </cell>
          <cell r="K2797">
            <v>5</v>
          </cell>
          <cell r="L2797">
            <v>4.13</v>
          </cell>
          <cell r="M2797">
            <v>7.810249675906654</v>
          </cell>
          <cell r="O2797" t="str">
            <v>-</v>
          </cell>
          <cell r="T2797" t="str">
            <v>-</v>
          </cell>
          <cell r="U2797">
            <v>0.3125</v>
          </cell>
        </row>
        <row r="2798">
          <cell r="B2798" t="str">
            <v>HSS6X5X1/4</v>
          </cell>
          <cell r="C2798">
            <v>4.7699999999999996</v>
          </cell>
          <cell r="D2798" t="str">
            <v>-</v>
          </cell>
          <cell r="F2798">
            <v>6</v>
          </cell>
          <cell r="H2798" t="str">
            <v>-</v>
          </cell>
          <cell r="I2798" t="str">
            <v>-</v>
          </cell>
          <cell r="K2798">
            <v>5</v>
          </cell>
          <cell r="L2798">
            <v>4.3</v>
          </cell>
          <cell r="M2798">
            <v>7.810249675906654</v>
          </cell>
          <cell r="O2798" t="str">
            <v>-</v>
          </cell>
          <cell r="T2798" t="str">
            <v>-</v>
          </cell>
          <cell r="U2798">
            <v>0.25</v>
          </cell>
        </row>
        <row r="2799">
          <cell r="B2799" t="str">
            <v>HSS6X5X3/16</v>
          </cell>
          <cell r="C2799">
            <v>3.63</v>
          </cell>
          <cell r="D2799" t="str">
            <v>-</v>
          </cell>
          <cell r="F2799">
            <v>6</v>
          </cell>
          <cell r="H2799" t="str">
            <v>-</v>
          </cell>
          <cell r="I2799" t="str">
            <v>-</v>
          </cell>
          <cell r="K2799">
            <v>5</v>
          </cell>
          <cell r="L2799">
            <v>4.4800000000000004</v>
          </cell>
          <cell r="M2799">
            <v>7.810249675906654</v>
          </cell>
          <cell r="O2799" t="str">
            <v>-</v>
          </cell>
          <cell r="T2799" t="str">
            <v>-</v>
          </cell>
          <cell r="U2799">
            <v>0.1875</v>
          </cell>
        </row>
        <row r="2800">
          <cell r="B2800" t="str">
            <v>HSS6X5X1/8</v>
          </cell>
          <cell r="C2800">
            <v>2.46</v>
          </cell>
          <cell r="D2800" t="str">
            <v>-</v>
          </cell>
          <cell r="F2800">
            <v>6</v>
          </cell>
          <cell r="H2800" t="str">
            <v>-</v>
          </cell>
          <cell r="I2800" t="str">
            <v>-</v>
          </cell>
          <cell r="K2800">
            <v>5</v>
          </cell>
          <cell r="L2800">
            <v>4.6500000000000004</v>
          </cell>
          <cell r="M2800">
            <v>7.810249675906654</v>
          </cell>
          <cell r="O2800" t="str">
            <v>-</v>
          </cell>
          <cell r="T2800" t="str">
            <v>-</v>
          </cell>
          <cell r="U2800">
            <v>0.125</v>
          </cell>
        </row>
        <row r="2801">
          <cell r="B2801" t="str">
            <v>HSS6X4X1/2</v>
          </cell>
          <cell r="C2801">
            <v>7.88</v>
          </cell>
          <cell r="D2801" t="str">
            <v>-</v>
          </cell>
          <cell r="F2801">
            <v>6</v>
          </cell>
          <cell r="H2801" t="str">
            <v>-</v>
          </cell>
          <cell r="I2801" t="str">
            <v>-</v>
          </cell>
          <cell r="K2801">
            <v>4</v>
          </cell>
          <cell r="L2801">
            <v>2.6</v>
          </cell>
          <cell r="M2801">
            <v>7.2111025509279782</v>
          </cell>
          <cell r="O2801" t="str">
            <v>-</v>
          </cell>
          <cell r="T2801" t="str">
            <v>-</v>
          </cell>
          <cell r="U2801">
            <v>0.5</v>
          </cell>
        </row>
        <row r="2802">
          <cell r="B2802" t="str">
            <v>HSS6X4X3/8</v>
          </cell>
          <cell r="C2802">
            <v>6.18</v>
          </cell>
          <cell r="D2802" t="str">
            <v>-</v>
          </cell>
          <cell r="F2802">
            <v>6</v>
          </cell>
          <cell r="H2802" t="str">
            <v>-</v>
          </cell>
          <cell r="I2802" t="str">
            <v>-</v>
          </cell>
          <cell r="K2802">
            <v>4</v>
          </cell>
          <cell r="L2802">
            <v>2.95</v>
          </cell>
          <cell r="M2802">
            <v>7.2111025509279782</v>
          </cell>
          <cell r="O2802" t="str">
            <v>-</v>
          </cell>
          <cell r="T2802" t="str">
            <v>-</v>
          </cell>
          <cell r="U2802">
            <v>0.375</v>
          </cell>
        </row>
        <row r="2803">
          <cell r="B2803" t="str">
            <v>HSS6X4X5/16</v>
          </cell>
          <cell r="C2803">
            <v>5.26</v>
          </cell>
          <cell r="D2803" t="str">
            <v>-</v>
          </cell>
          <cell r="F2803">
            <v>6</v>
          </cell>
          <cell r="H2803" t="str">
            <v>-</v>
          </cell>
          <cell r="I2803" t="str">
            <v>-</v>
          </cell>
          <cell r="K2803">
            <v>4</v>
          </cell>
          <cell r="L2803">
            <v>3.13</v>
          </cell>
          <cell r="M2803">
            <v>7.2111025509279782</v>
          </cell>
          <cell r="O2803" t="str">
            <v>-</v>
          </cell>
          <cell r="T2803" t="str">
            <v>-</v>
          </cell>
          <cell r="U2803">
            <v>0.3125</v>
          </cell>
        </row>
        <row r="2804">
          <cell r="B2804" t="str">
            <v>HSS6X4X1/4</v>
          </cell>
          <cell r="C2804">
            <v>4.3</v>
          </cell>
          <cell r="D2804" t="str">
            <v>-</v>
          </cell>
          <cell r="F2804">
            <v>6</v>
          </cell>
          <cell r="H2804" t="str">
            <v>-</v>
          </cell>
          <cell r="I2804" t="str">
            <v>-</v>
          </cell>
          <cell r="K2804">
            <v>4</v>
          </cell>
          <cell r="L2804">
            <v>3.3</v>
          </cell>
          <cell r="M2804">
            <v>7.2111025509279782</v>
          </cell>
          <cell r="O2804" t="str">
            <v>-</v>
          </cell>
          <cell r="T2804" t="str">
            <v>-</v>
          </cell>
          <cell r="U2804">
            <v>0.25</v>
          </cell>
        </row>
        <row r="2805">
          <cell r="B2805" t="str">
            <v>HSS6X4X3/16</v>
          </cell>
          <cell r="C2805">
            <v>3.28</v>
          </cell>
          <cell r="D2805" t="str">
            <v>-</v>
          </cell>
          <cell r="F2805">
            <v>6</v>
          </cell>
          <cell r="H2805" t="str">
            <v>-</v>
          </cell>
          <cell r="I2805" t="str">
            <v>-</v>
          </cell>
          <cell r="K2805">
            <v>4</v>
          </cell>
          <cell r="L2805">
            <v>3.48</v>
          </cell>
          <cell r="M2805">
            <v>7.2111025509279782</v>
          </cell>
          <cell r="O2805" t="str">
            <v>-</v>
          </cell>
          <cell r="T2805" t="str">
            <v>-</v>
          </cell>
          <cell r="U2805">
            <v>0.1875</v>
          </cell>
        </row>
        <row r="2806">
          <cell r="B2806" t="str">
            <v>HSS6X4X1/8</v>
          </cell>
          <cell r="C2806">
            <v>2.23</v>
          </cell>
          <cell r="D2806" t="str">
            <v>-</v>
          </cell>
          <cell r="F2806">
            <v>6</v>
          </cell>
          <cell r="H2806" t="str">
            <v>-</v>
          </cell>
          <cell r="I2806" t="str">
            <v>-</v>
          </cell>
          <cell r="K2806">
            <v>4</v>
          </cell>
          <cell r="L2806">
            <v>3.65</v>
          </cell>
          <cell r="M2806">
            <v>7.2111025509279782</v>
          </cell>
          <cell r="O2806" t="str">
            <v>-</v>
          </cell>
          <cell r="T2806" t="str">
            <v>-</v>
          </cell>
          <cell r="U2806">
            <v>0.125</v>
          </cell>
        </row>
        <row r="2807">
          <cell r="B2807" t="str">
            <v>HSS6X3X1/2</v>
          </cell>
          <cell r="C2807">
            <v>6.95</v>
          </cell>
          <cell r="D2807" t="str">
            <v>-</v>
          </cell>
          <cell r="F2807">
            <v>6</v>
          </cell>
          <cell r="H2807" t="str">
            <v>-</v>
          </cell>
          <cell r="I2807" t="str">
            <v>-</v>
          </cell>
          <cell r="K2807">
            <v>3</v>
          </cell>
          <cell r="L2807">
            <v>1.6</v>
          </cell>
          <cell r="M2807">
            <v>6.7082039324993694</v>
          </cell>
          <cell r="O2807" t="str">
            <v>-</v>
          </cell>
          <cell r="T2807" t="str">
            <v>-</v>
          </cell>
          <cell r="U2807">
            <v>0.5</v>
          </cell>
        </row>
        <row r="2808">
          <cell r="B2808" t="str">
            <v>HSS6X3X3/8</v>
          </cell>
          <cell r="C2808">
            <v>5.48</v>
          </cell>
          <cell r="D2808" t="str">
            <v>-</v>
          </cell>
          <cell r="F2808">
            <v>6</v>
          </cell>
          <cell r="H2808" t="str">
            <v>-</v>
          </cell>
          <cell r="I2808" t="str">
            <v>-</v>
          </cell>
          <cell r="K2808">
            <v>3</v>
          </cell>
          <cell r="L2808">
            <v>1.95</v>
          </cell>
          <cell r="M2808">
            <v>6.7082039324993694</v>
          </cell>
          <cell r="O2808" t="str">
            <v>-</v>
          </cell>
          <cell r="T2808" t="str">
            <v>-</v>
          </cell>
          <cell r="U2808">
            <v>0.375</v>
          </cell>
        </row>
        <row r="2809">
          <cell r="B2809" t="str">
            <v>HSS6X3X5/16</v>
          </cell>
          <cell r="C2809">
            <v>4.68</v>
          </cell>
          <cell r="D2809" t="str">
            <v>-</v>
          </cell>
          <cell r="F2809">
            <v>6</v>
          </cell>
          <cell r="H2809" t="str">
            <v>-</v>
          </cell>
          <cell r="I2809" t="str">
            <v>-</v>
          </cell>
          <cell r="K2809">
            <v>3</v>
          </cell>
          <cell r="L2809">
            <v>2.13</v>
          </cell>
          <cell r="M2809">
            <v>6.7082039324993694</v>
          </cell>
          <cell r="O2809" t="str">
            <v>-</v>
          </cell>
          <cell r="T2809" t="str">
            <v>-</v>
          </cell>
          <cell r="U2809">
            <v>0.3125</v>
          </cell>
        </row>
        <row r="2810">
          <cell r="B2810" t="str">
            <v>HSS6X3X1/4</v>
          </cell>
          <cell r="C2810">
            <v>3.84</v>
          </cell>
          <cell r="D2810" t="str">
            <v>-</v>
          </cell>
          <cell r="F2810">
            <v>6</v>
          </cell>
          <cell r="H2810" t="str">
            <v>-</v>
          </cell>
          <cell r="I2810" t="str">
            <v>-</v>
          </cell>
          <cell r="K2810">
            <v>3</v>
          </cell>
          <cell r="L2810">
            <v>2.2999999999999998</v>
          </cell>
          <cell r="M2810">
            <v>6.7082039324993694</v>
          </cell>
          <cell r="O2810" t="str">
            <v>-</v>
          </cell>
          <cell r="T2810" t="str">
            <v>-</v>
          </cell>
          <cell r="U2810">
            <v>0.25</v>
          </cell>
        </row>
        <row r="2811">
          <cell r="B2811" t="str">
            <v>HSS6X3X3/16</v>
          </cell>
          <cell r="C2811">
            <v>2.93</v>
          </cell>
          <cell r="D2811" t="str">
            <v>-</v>
          </cell>
          <cell r="F2811">
            <v>6</v>
          </cell>
          <cell r="H2811" t="str">
            <v>-</v>
          </cell>
          <cell r="I2811" t="str">
            <v>-</v>
          </cell>
          <cell r="K2811">
            <v>3</v>
          </cell>
          <cell r="L2811">
            <v>2.48</v>
          </cell>
          <cell r="M2811">
            <v>6.7082039324993694</v>
          </cell>
          <cell r="O2811" t="str">
            <v>-</v>
          </cell>
          <cell r="T2811" t="str">
            <v>-</v>
          </cell>
          <cell r="U2811">
            <v>0.1875</v>
          </cell>
        </row>
        <row r="2812">
          <cell r="B2812" t="str">
            <v>HSS6X3X1/8</v>
          </cell>
          <cell r="C2812">
            <v>2</v>
          </cell>
          <cell r="D2812" t="str">
            <v>-</v>
          </cell>
          <cell r="F2812">
            <v>6</v>
          </cell>
          <cell r="H2812" t="str">
            <v>-</v>
          </cell>
          <cell r="I2812" t="str">
            <v>-</v>
          </cell>
          <cell r="K2812">
            <v>3</v>
          </cell>
          <cell r="L2812">
            <v>2.65</v>
          </cell>
          <cell r="M2812">
            <v>6.7082039324993694</v>
          </cell>
          <cell r="O2812" t="str">
            <v>-</v>
          </cell>
          <cell r="T2812" t="str">
            <v>-</v>
          </cell>
          <cell r="U2812">
            <v>0.125</v>
          </cell>
        </row>
        <row r="2813">
          <cell r="B2813" t="str">
            <v>HSS6X2X3/8</v>
          </cell>
          <cell r="C2813">
            <v>4.78</v>
          </cell>
          <cell r="D2813" t="str">
            <v>-</v>
          </cell>
          <cell r="F2813">
            <v>6</v>
          </cell>
          <cell r="H2813" t="str">
            <v>-</v>
          </cell>
          <cell r="I2813" t="str">
            <v>-</v>
          </cell>
          <cell r="K2813">
            <v>2</v>
          </cell>
          <cell r="L2813">
            <v>0.95299999999999996</v>
          </cell>
          <cell r="M2813">
            <v>6.324555320336759</v>
          </cell>
          <cell r="O2813" t="str">
            <v>-</v>
          </cell>
          <cell r="T2813" t="str">
            <v>-</v>
          </cell>
          <cell r="U2813">
            <v>0.375</v>
          </cell>
        </row>
        <row r="2814">
          <cell r="B2814" t="str">
            <v>HSS6X2X5/16</v>
          </cell>
          <cell r="C2814">
            <v>4.0999999999999996</v>
          </cell>
          <cell r="D2814" t="str">
            <v>-</v>
          </cell>
          <cell r="F2814">
            <v>6</v>
          </cell>
          <cell r="H2814" t="str">
            <v>-</v>
          </cell>
          <cell r="I2814" t="str">
            <v>-</v>
          </cell>
          <cell r="K2814">
            <v>2</v>
          </cell>
          <cell r="L2814">
            <v>1.1299999999999999</v>
          </cell>
          <cell r="M2814">
            <v>6.324555320336759</v>
          </cell>
          <cell r="O2814" t="str">
            <v>-</v>
          </cell>
          <cell r="T2814" t="str">
            <v>-</v>
          </cell>
          <cell r="U2814">
            <v>0.3125</v>
          </cell>
        </row>
        <row r="2815">
          <cell r="B2815" t="str">
            <v>HSS6X2X1/4</v>
          </cell>
          <cell r="C2815">
            <v>3.37</v>
          </cell>
          <cell r="D2815" t="str">
            <v>-</v>
          </cell>
          <cell r="F2815">
            <v>6</v>
          </cell>
          <cell r="H2815" t="str">
            <v>-</v>
          </cell>
          <cell r="I2815" t="str">
            <v>-</v>
          </cell>
          <cell r="K2815">
            <v>2</v>
          </cell>
          <cell r="L2815">
            <v>1.3</v>
          </cell>
          <cell r="M2815">
            <v>6.324555320336759</v>
          </cell>
          <cell r="O2815" t="str">
            <v>-</v>
          </cell>
          <cell r="T2815" t="str">
            <v>-</v>
          </cell>
          <cell r="U2815">
            <v>0.25</v>
          </cell>
        </row>
        <row r="2816">
          <cell r="B2816" t="str">
            <v>HSS6X2X3/16</v>
          </cell>
          <cell r="C2816">
            <v>2.58</v>
          </cell>
          <cell r="D2816" t="str">
            <v>-</v>
          </cell>
          <cell r="F2816">
            <v>6</v>
          </cell>
          <cell r="H2816" t="str">
            <v>-</v>
          </cell>
          <cell r="I2816" t="str">
            <v>-</v>
          </cell>
          <cell r="K2816">
            <v>2</v>
          </cell>
          <cell r="L2816">
            <v>1.48</v>
          </cell>
          <cell r="M2816">
            <v>6.324555320336759</v>
          </cell>
          <cell r="O2816" t="str">
            <v>-</v>
          </cell>
          <cell r="T2816" t="str">
            <v>-</v>
          </cell>
          <cell r="U2816">
            <v>0.1875</v>
          </cell>
        </row>
        <row r="2817">
          <cell r="B2817" t="str">
            <v>HSS6X2X1/8</v>
          </cell>
          <cell r="C2817">
            <v>1.77</v>
          </cell>
          <cell r="D2817" t="str">
            <v>-</v>
          </cell>
          <cell r="F2817">
            <v>6</v>
          </cell>
          <cell r="H2817" t="str">
            <v>-</v>
          </cell>
          <cell r="I2817" t="str">
            <v>-</v>
          </cell>
          <cell r="K2817">
            <v>2</v>
          </cell>
          <cell r="L2817">
            <v>1.65</v>
          </cell>
          <cell r="M2817">
            <v>6.324555320336759</v>
          </cell>
          <cell r="O2817" t="str">
            <v>-</v>
          </cell>
          <cell r="T2817" t="str">
            <v>-</v>
          </cell>
          <cell r="U2817">
            <v>0.125</v>
          </cell>
        </row>
        <row r="2818">
          <cell r="B2818" t="str">
            <v>HSS5-1/2X5-1/2X3/8</v>
          </cell>
          <cell r="C2818">
            <v>6.88</v>
          </cell>
          <cell r="D2818" t="str">
            <v>-</v>
          </cell>
          <cell r="F2818">
            <v>5.5</v>
          </cell>
          <cell r="H2818" t="str">
            <v>-</v>
          </cell>
          <cell r="I2818" t="str">
            <v>-</v>
          </cell>
          <cell r="K2818">
            <v>5.5</v>
          </cell>
          <cell r="L2818">
            <v>4.45</v>
          </cell>
          <cell r="M2818">
            <v>7.7781745930520225</v>
          </cell>
          <cell r="O2818" t="str">
            <v>-</v>
          </cell>
          <cell r="T2818" t="str">
            <v>-</v>
          </cell>
          <cell r="U2818">
            <v>0.375</v>
          </cell>
        </row>
        <row r="2819">
          <cell r="B2819" t="str">
            <v>HSS5-1/2X5-1/2X5/16</v>
          </cell>
          <cell r="C2819">
            <v>5.85</v>
          </cell>
          <cell r="D2819" t="str">
            <v>-</v>
          </cell>
          <cell r="F2819">
            <v>5.5</v>
          </cell>
          <cell r="H2819" t="str">
            <v>-</v>
          </cell>
          <cell r="I2819" t="str">
            <v>-</v>
          </cell>
          <cell r="K2819">
            <v>5.5</v>
          </cell>
          <cell r="L2819">
            <v>4.63</v>
          </cell>
          <cell r="M2819">
            <v>7.7781745930520225</v>
          </cell>
          <cell r="O2819" t="str">
            <v>-</v>
          </cell>
          <cell r="T2819" t="str">
            <v>-</v>
          </cell>
          <cell r="U2819">
            <v>0.3125</v>
          </cell>
        </row>
        <row r="2820">
          <cell r="B2820" t="str">
            <v>HSS5-1/2X5-1/2X1/4</v>
          </cell>
          <cell r="C2820">
            <v>4.7699999999999996</v>
          </cell>
          <cell r="D2820" t="str">
            <v>-</v>
          </cell>
          <cell r="F2820">
            <v>5.5</v>
          </cell>
          <cell r="H2820" t="str">
            <v>-</v>
          </cell>
          <cell r="I2820" t="str">
            <v>-</v>
          </cell>
          <cell r="K2820">
            <v>5.5</v>
          </cell>
          <cell r="L2820">
            <v>4.8</v>
          </cell>
          <cell r="M2820">
            <v>7.7781745930520225</v>
          </cell>
          <cell r="O2820" t="str">
            <v>-</v>
          </cell>
          <cell r="T2820" t="str">
            <v>-</v>
          </cell>
          <cell r="U2820">
            <v>0.25</v>
          </cell>
        </row>
        <row r="2821">
          <cell r="B2821" t="str">
            <v>HSS5-1/2X5-1/2X3/16</v>
          </cell>
          <cell r="C2821">
            <v>3.63</v>
          </cell>
          <cell r="D2821" t="str">
            <v>-</v>
          </cell>
          <cell r="F2821">
            <v>5.5</v>
          </cell>
          <cell r="H2821" t="str">
            <v>-</v>
          </cell>
          <cell r="I2821" t="str">
            <v>-</v>
          </cell>
          <cell r="K2821">
            <v>5.5</v>
          </cell>
          <cell r="L2821">
            <v>4.9800000000000004</v>
          </cell>
          <cell r="M2821">
            <v>7.7781745930520225</v>
          </cell>
          <cell r="O2821" t="str">
            <v>-</v>
          </cell>
          <cell r="T2821" t="str">
            <v>-</v>
          </cell>
          <cell r="U2821">
            <v>0.1875</v>
          </cell>
        </row>
        <row r="2822">
          <cell r="B2822" t="str">
            <v>HSS5-1/2X5-1/2X1/8</v>
          </cell>
          <cell r="C2822">
            <v>2.46</v>
          </cell>
          <cell r="D2822" t="str">
            <v>-</v>
          </cell>
          <cell r="F2822">
            <v>5.5</v>
          </cell>
          <cell r="H2822" t="str">
            <v>-</v>
          </cell>
          <cell r="I2822" t="str">
            <v>-</v>
          </cell>
          <cell r="K2822">
            <v>5.5</v>
          </cell>
          <cell r="L2822">
            <v>5.15</v>
          </cell>
          <cell r="M2822">
            <v>7.7781745930520225</v>
          </cell>
          <cell r="O2822" t="str">
            <v>-</v>
          </cell>
          <cell r="T2822" t="str">
            <v>-</v>
          </cell>
          <cell r="U2822">
            <v>0.125</v>
          </cell>
        </row>
        <row r="2823">
          <cell r="B2823" t="str">
            <v>HSS5X5X1/2</v>
          </cell>
          <cell r="C2823">
            <v>7.88</v>
          </cell>
          <cell r="D2823" t="str">
            <v>-</v>
          </cell>
          <cell r="F2823">
            <v>5</v>
          </cell>
          <cell r="H2823" t="str">
            <v>-</v>
          </cell>
          <cell r="I2823" t="str">
            <v>-</v>
          </cell>
          <cell r="K2823">
            <v>5</v>
          </cell>
          <cell r="L2823">
            <v>3.6</v>
          </cell>
          <cell r="M2823">
            <v>7.0710678118654755</v>
          </cell>
          <cell r="O2823" t="str">
            <v>-</v>
          </cell>
          <cell r="T2823" t="str">
            <v>-</v>
          </cell>
          <cell r="U2823">
            <v>0.5</v>
          </cell>
        </row>
        <row r="2824">
          <cell r="B2824" t="str">
            <v>HSS5X5X3/8</v>
          </cell>
          <cell r="C2824">
            <v>6.18</v>
          </cell>
          <cell r="D2824" t="str">
            <v>-</v>
          </cell>
          <cell r="F2824">
            <v>5</v>
          </cell>
          <cell r="H2824" t="str">
            <v>-</v>
          </cell>
          <cell r="I2824" t="str">
            <v>-</v>
          </cell>
          <cell r="K2824">
            <v>5</v>
          </cell>
          <cell r="L2824">
            <v>3.95</v>
          </cell>
          <cell r="M2824">
            <v>7.0710678118654755</v>
          </cell>
          <cell r="O2824" t="str">
            <v>-</v>
          </cell>
          <cell r="T2824" t="str">
            <v>-</v>
          </cell>
          <cell r="U2824">
            <v>0.375</v>
          </cell>
        </row>
        <row r="2825">
          <cell r="B2825" t="str">
            <v>HSS5X5X5/16</v>
          </cell>
          <cell r="C2825">
            <v>5.26</v>
          </cell>
          <cell r="D2825" t="str">
            <v>-</v>
          </cell>
          <cell r="F2825">
            <v>5</v>
          </cell>
          <cell r="H2825" t="str">
            <v>-</v>
          </cell>
          <cell r="I2825" t="str">
            <v>-</v>
          </cell>
          <cell r="K2825">
            <v>5</v>
          </cell>
          <cell r="L2825">
            <v>4.13</v>
          </cell>
          <cell r="M2825">
            <v>7.0710678118654755</v>
          </cell>
          <cell r="O2825" t="str">
            <v>-</v>
          </cell>
          <cell r="T2825" t="str">
            <v>-</v>
          </cell>
          <cell r="U2825">
            <v>0.3125</v>
          </cell>
        </row>
        <row r="2826">
          <cell r="B2826" t="str">
            <v>HSS5X5X1/4</v>
          </cell>
          <cell r="C2826">
            <v>4.3</v>
          </cell>
          <cell r="D2826" t="str">
            <v>-</v>
          </cell>
          <cell r="F2826">
            <v>5</v>
          </cell>
          <cell r="H2826" t="str">
            <v>-</v>
          </cell>
          <cell r="I2826" t="str">
            <v>-</v>
          </cell>
          <cell r="K2826">
            <v>5</v>
          </cell>
          <cell r="L2826">
            <v>4.3</v>
          </cell>
          <cell r="M2826">
            <v>7.0710678118654755</v>
          </cell>
          <cell r="O2826" t="str">
            <v>-</v>
          </cell>
          <cell r="T2826" t="str">
            <v>-</v>
          </cell>
          <cell r="U2826">
            <v>0.25</v>
          </cell>
        </row>
        <row r="2827">
          <cell r="B2827" t="str">
            <v>HSS5X5X3/16</v>
          </cell>
          <cell r="C2827">
            <v>3.28</v>
          </cell>
          <cell r="D2827" t="str">
            <v>-</v>
          </cell>
          <cell r="F2827">
            <v>5</v>
          </cell>
          <cell r="H2827" t="str">
            <v>-</v>
          </cell>
          <cell r="I2827" t="str">
            <v>-</v>
          </cell>
          <cell r="K2827">
            <v>5</v>
          </cell>
          <cell r="L2827">
            <v>4.4800000000000004</v>
          </cell>
          <cell r="M2827">
            <v>7.0710678118654755</v>
          </cell>
          <cell r="O2827" t="str">
            <v>-</v>
          </cell>
          <cell r="T2827" t="str">
            <v>-</v>
          </cell>
          <cell r="U2827">
            <v>0.1875</v>
          </cell>
        </row>
        <row r="2828">
          <cell r="B2828" t="str">
            <v>HSS5X5X1/8</v>
          </cell>
          <cell r="C2828">
            <v>2.23</v>
          </cell>
          <cell r="D2828" t="str">
            <v>-</v>
          </cell>
          <cell r="F2828">
            <v>5</v>
          </cell>
          <cell r="H2828" t="str">
            <v>-</v>
          </cell>
          <cell r="I2828" t="str">
            <v>-</v>
          </cell>
          <cell r="K2828">
            <v>5</v>
          </cell>
          <cell r="L2828">
            <v>4.6500000000000004</v>
          </cell>
          <cell r="M2828">
            <v>7.0710678118654755</v>
          </cell>
          <cell r="O2828" t="str">
            <v>-</v>
          </cell>
          <cell r="T2828" t="str">
            <v>-</v>
          </cell>
          <cell r="U2828">
            <v>0.125</v>
          </cell>
        </row>
        <row r="2829">
          <cell r="B2829" t="str">
            <v>HSS5X4X1/2</v>
          </cell>
          <cell r="C2829">
            <v>6.95</v>
          </cell>
          <cell r="D2829" t="str">
            <v>-</v>
          </cell>
          <cell r="F2829">
            <v>5</v>
          </cell>
          <cell r="H2829" t="str">
            <v>-</v>
          </cell>
          <cell r="I2829" t="str">
            <v>-</v>
          </cell>
          <cell r="K2829">
            <v>4</v>
          </cell>
          <cell r="L2829">
            <v>2.6</v>
          </cell>
          <cell r="M2829">
            <v>6.4031242374328485</v>
          </cell>
          <cell r="O2829" t="str">
            <v>-</v>
          </cell>
          <cell r="T2829" t="str">
            <v>-</v>
          </cell>
          <cell r="U2829">
            <v>0.5</v>
          </cell>
        </row>
        <row r="2830">
          <cell r="B2830" t="str">
            <v>HSS5X4X3/8</v>
          </cell>
          <cell r="C2830">
            <v>5.48</v>
          </cell>
          <cell r="D2830" t="str">
            <v>-</v>
          </cell>
          <cell r="F2830">
            <v>5</v>
          </cell>
          <cell r="H2830" t="str">
            <v>-</v>
          </cell>
          <cell r="I2830" t="str">
            <v>-</v>
          </cell>
          <cell r="K2830">
            <v>4</v>
          </cell>
          <cell r="L2830">
            <v>2.95</v>
          </cell>
          <cell r="M2830">
            <v>6.4031242374328485</v>
          </cell>
          <cell r="O2830" t="str">
            <v>-</v>
          </cell>
          <cell r="T2830" t="str">
            <v>-</v>
          </cell>
          <cell r="U2830">
            <v>0.375</v>
          </cell>
        </row>
        <row r="2831">
          <cell r="B2831" t="str">
            <v>HSS5X4X5/16</v>
          </cell>
          <cell r="C2831">
            <v>4.68</v>
          </cell>
          <cell r="D2831" t="str">
            <v>-</v>
          </cell>
          <cell r="F2831">
            <v>5</v>
          </cell>
          <cell r="H2831" t="str">
            <v>-</v>
          </cell>
          <cell r="I2831" t="str">
            <v>-</v>
          </cell>
          <cell r="K2831">
            <v>4</v>
          </cell>
          <cell r="L2831">
            <v>3.13</v>
          </cell>
          <cell r="M2831">
            <v>6.4031242374328485</v>
          </cell>
          <cell r="O2831" t="str">
            <v>-</v>
          </cell>
          <cell r="T2831" t="str">
            <v>-</v>
          </cell>
          <cell r="U2831">
            <v>0.3125</v>
          </cell>
        </row>
        <row r="2832">
          <cell r="B2832" t="str">
            <v>HSS5X4X1/4</v>
          </cell>
          <cell r="C2832">
            <v>3.84</v>
          </cell>
          <cell r="D2832" t="str">
            <v>-</v>
          </cell>
          <cell r="F2832">
            <v>5</v>
          </cell>
          <cell r="H2832" t="str">
            <v>-</v>
          </cell>
          <cell r="I2832" t="str">
            <v>-</v>
          </cell>
          <cell r="K2832">
            <v>4</v>
          </cell>
          <cell r="L2832">
            <v>3.3</v>
          </cell>
          <cell r="M2832">
            <v>6.4031242374328485</v>
          </cell>
          <cell r="O2832" t="str">
            <v>-</v>
          </cell>
          <cell r="T2832" t="str">
            <v>-</v>
          </cell>
          <cell r="U2832">
            <v>0.25</v>
          </cell>
        </row>
        <row r="2833">
          <cell r="B2833" t="str">
            <v>HSS5X4X3/16</v>
          </cell>
          <cell r="C2833">
            <v>2.93</v>
          </cell>
          <cell r="D2833" t="str">
            <v>-</v>
          </cell>
          <cell r="F2833">
            <v>5</v>
          </cell>
          <cell r="H2833" t="str">
            <v>-</v>
          </cell>
          <cell r="I2833" t="str">
            <v>-</v>
          </cell>
          <cell r="K2833">
            <v>4</v>
          </cell>
          <cell r="L2833">
            <v>3.48</v>
          </cell>
          <cell r="M2833">
            <v>6.4031242374328485</v>
          </cell>
          <cell r="O2833" t="str">
            <v>-</v>
          </cell>
          <cell r="T2833" t="str">
            <v>-</v>
          </cell>
          <cell r="U2833">
            <v>0.1875</v>
          </cell>
        </row>
        <row r="2834">
          <cell r="B2834" t="str">
            <v>HSS5X4X1/8</v>
          </cell>
          <cell r="C2834">
            <v>2</v>
          </cell>
          <cell r="D2834" t="str">
            <v>-</v>
          </cell>
          <cell r="F2834">
            <v>5</v>
          </cell>
          <cell r="H2834" t="str">
            <v>-</v>
          </cell>
          <cell r="I2834" t="str">
            <v>-</v>
          </cell>
          <cell r="K2834">
            <v>4</v>
          </cell>
          <cell r="L2834">
            <v>3.65</v>
          </cell>
          <cell r="M2834">
            <v>6.4031242374328485</v>
          </cell>
          <cell r="O2834" t="str">
            <v>-</v>
          </cell>
          <cell r="T2834" t="str">
            <v>-</v>
          </cell>
          <cell r="U2834">
            <v>0.125</v>
          </cell>
        </row>
        <row r="2835">
          <cell r="B2835" t="str">
            <v>HSS5X3X1/2</v>
          </cell>
          <cell r="C2835">
            <v>6.02</v>
          </cell>
          <cell r="D2835" t="str">
            <v>-</v>
          </cell>
          <cell r="F2835">
            <v>5</v>
          </cell>
          <cell r="H2835" t="str">
            <v>-</v>
          </cell>
          <cell r="I2835" t="str">
            <v>-</v>
          </cell>
          <cell r="K2835">
            <v>3</v>
          </cell>
          <cell r="L2835">
            <v>1.6</v>
          </cell>
          <cell r="M2835">
            <v>5.8309518948453007</v>
          </cell>
          <cell r="O2835" t="str">
            <v>-</v>
          </cell>
          <cell r="T2835" t="str">
            <v>-</v>
          </cell>
          <cell r="U2835">
            <v>0.5</v>
          </cell>
        </row>
        <row r="2836">
          <cell r="B2836" t="str">
            <v>HSS5X3X3/8</v>
          </cell>
          <cell r="C2836">
            <v>4.78</v>
          </cell>
          <cell r="D2836" t="str">
            <v>-</v>
          </cell>
          <cell r="F2836">
            <v>5</v>
          </cell>
          <cell r="H2836" t="str">
            <v>-</v>
          </cell>
          <cell r="I2836" t="str">
            <v>-</v>
          </cell>
          <cell r="K2836">
            <v>3</v>
          </cell>
          <cell r="L2836">
            <v>1.95</v>
          </cell>
          <cell r="M2836">
            <v>5.8309518948453007</v>
          </cell>
          <cell r="O2836" t="str">
            <v>-</v>
          </cell>
          <cell r="T2836" t="str">
            <v>-</v>
          </cell>
          <cell r="U2836">
            <v>0.375</v>
          </cell>
        </row>
        <row r="2837">
          <cell r="B2837" t="str">
            <v>HSS5X3X5/16</v>
          </cell>
          <cell r="C2837">
            <v>4.0999999999999996</v>
          </cell>
          <cell r="D2837" t="str">
            <v>-</v>
          </cell>
          <cell r="F2837">
            <v>5</v>
          </cell>
          <cell r="H2837" t="str">
            <v>-</v>
          </cell>
          <cell r="I2837" t="str">
            <v>-</v>
          </cell>
          <cell r="K2837">
            <v>3</v>
          </cell>
          <cell r="L2837">
            <v>2.13</v>
          </cell>
          <cell r="M2837">
            <v>5.8309518948453007</v>
          </cell>
          <cell r="O2837" t="str">
            <v>-</v>
          </cell>
          <cell r="T2837" t="str">
            <v>-</v>
          </cell>
          <cell r="U2837">
            <v>0.3125</v>
          </cell>
        </row>
        <row r="2838">
          <cell r="B2838" t="str">
            <v>HSS5X3X1/4</v>
          </cell>
          <cell r="C2838">
            <v>3.37</v>
          </cell>
          <cell r="D2838" t="str">
            <v>-</v>
          </cell>
          <cell r="F2838">
            <v>5</v>
          </cell>
          <cell r="H2838" t="str">
            <v>-</v>
          </cell>
          <cell r="I2838" t="str">
            <v>-</v>
          </cell>
          <cell r="K2838">
            <v>3</v>
          </cell>
          <cell r="L2838">
            <v>2.2999999999999998</v>
          </cell>
          <cell r="M2838">
            <v>5.8309518948453007</v>
          </cell>
          <cell r="O2838" t="str">
            <v>-</v>
          </cell>
          <cell r="T2838" t="str">
            <v>-</v>
          </cell>
          <cell r="U2838">
            <v>0.25</v>
          </cell>
        </row>
        <row r="2839">
          <cell r="B2839" t="str">
            <v>HSS5X3X3/16</v>
          </cell>
          <cell r="C2839">
            <v>2.58</v>
          </cell>
          <cell r="D2839" t="str">
            <v>-</v>
          </cell>
          <cell r="F2839">
            <v>5</v>
          </cell>
          <cell r="H2839" t="str">
            <v>-</v>
          </cell>
          <cell r="I2839" t="str">
            <v>-</v>
          </cell>
          <cell r="K2839">
            <v>3</v>
          </cell>
          <cell r="L2839">
            <v>2.48</v>
          </cell>
          <cell r="M2839">
            <v>5.8309518948453007</v>
          </cell>
          <cell r="O2839" t="str">
            <v>-</v>
          </cell>
          <cell r="T2839" t="str">
            <v>-</v>
          </cell>
          <cell r="U2839">
            <v>0.1875</v>
          </cell>
        </row>
        <row r="2840">
          <cell r="B2840" t="str">
            <v>HSS5X3X1/8</v>
          </cell>
          <cell r="C2840">
            <v>1.77</v>
          </cell>
          <cell r="D2840" t="str">
            <v>-</v>
          </cell>
          <cell r="F2840">
            <v>5</v>
          </cell>
          <cell r="H2840" t="str">
            <v>-</v>
          </cell>
          <cell r="I2840" t="str">
            <v>-</v>
          </cell>
          <cell r="K2840">
            <v>3</v>
          </cell>
          <cell r="L2840">
            <v>2.65</v>
          </cell>
          <cell r="M2840">
            <v>5.8309518948453007</v>
          </cell>
          <cell r="O2840" t="str">
            <v>-</v>
          </cell>
          <cell r="T2840" t="str">
            <v>-</v>
          </cell>
          <cell r="U2840">
            <v>0.125</v>
          </cell>
        </row>
        <row r="2841">
          <cell r="B2841" t="str">
            <v>HSS5X2-1/2X1/4</v>
          </cell>
          <cell r="C2841">
            <v>3.14</v>
          </cell>
          <cell r="D2841" t="str">
            <v>-</v>
          </cell>
          <cell r="F2841">
            <v>5</v>
          </cell>
          <cell r="H2841" t="str">
            <v>-</v>
          </cell>
          <cell r="I2841" t="str">
            <v>-</v>
          </cell>
          <cell r="K2841">
            <v>2.5</v>
          </cell>
          <cell r="L2841">
            <v>1.8</v>
          </cell>
          <cell r="M2841">
            <v>5.5901699437494745</v>
          </cell>
          <cell r="O2841" t="str">
            <v>-</v>
          </cell>
          <cell r="T2841" t="str">
            <v>-</v>
          </cell>
          <cell r="U2841">
            <v>0.25</v>
          </cell>
        </row>
        <row r="2842">
          <cell r="B2842" t="str">
            <v>HSS5X2-1/2X3/16</v>
          </cell>
          <cell r="C2842">
            <v>2.41</v>
          </cell>
          <cell r="D2842" t="str">
            <v>-</v>
          </cell>
          <cell r="F2842">
            <v>5</v>
          </cell>
          <cell r="H2842" t="str">
            <v>-</v>
          </cell>
          <cell r="I2842" t="str">
            <v>-</v>
          </cell>
          <cell r="K2842">
            <v>2.5</v>
          </cell>
          <cell r="L2842">
            <v>1.98</v>
          </cell>
          <cell r="M2842">
            <v>5.5901699437494745</v>
          </cell>
          <cell r="O2842" t="str">
            <v>-</v>
          </cell>
          <cell r="T2842" t="str">
            <v>-</v>
          </cell>
          <cell r="U2842">
            <v>0.1875</v>
          </cell>
        </row>
        <row r="2843">
          <cell r="B2843" t="str">
            <v>HSS5X2-1/2X1/8</v>
          </cell>
          <cell r="C2843">
            <v>1.65</v>
          </cell>
          <cell r="D2843" t="str">
            <v>-</v>
          </cell>
          <cell r="F2843">
            <v>5</v>
          </cell>
          <cell r="H2843" t="str">
            <v>-</v>
          </cell>
          <cell r="I2843" t="str">
            <v>-</v>
          </cell>
          <cell r="K2843">
            <v>2.5</v>
          </cell>
          <cell r="L2843">
            <v>2.15</v>
          </cell>
          <cell r="M2843">
            <v>5.5901699437494745</v>
          </cell>
          <cell r="O2843" t="str">
            <v>-</v>
          </cell>
          <cell r="T2843" t="str">
            <v>-</v>
          </cell>
          <cell r="U2843">
            <v>0.125</v>
          </cell>
        </row>
        <row r="2844">
          <cell r="B2844" t="str">
            <v>HSS5X2X3/8</v>
          </cell>
          <cell r="C2844">
            <v>4.09</v>
          </cell>
          <cell r="D2844" t="str">
            <v>-</v>
          </cell>
          <cell r="F2844">
            <v>5</v>
          </cell>
          <cell r="H2844" t="str">
            <v>-</v>
          </cell>
          <cell r="I2844" t="str">
            <v>-</v>
          </cell>
          <cell r="K2844">
            <v>2</v>
          </cell>
          <cell r="L2844">
            <v>0.95299999999999996</v>
          </cell>
          <cell r="M2844">
            <v>5.3851648071345037</v>
          </cell>
          <cell r="O2844" t="str">
            <v>-</v>
          </cell>
          <cell r="T2844" t="str">
            <v>-</v>
          </cell>
          <cell r="U2844">
            <v>0.375</v>
          </cell>
        </row>
        <row r="2845">
          <cell r="B2845" t="str">
            <v>HSS5X2X5/16</v>
          </cell>
          <cell r="C2845">
            <v>3.52</v>
          </cell>
          <cell r="D2845" t="str">
            <v>-</v>
          </cell>
          <cell r="F2845">
            <v>5</v>
          </cell>
          <cell r="H2845" t="str">
            <v>-</v>
          </cell>
          <cell r="I2845" t="str">
            <v>-</v>
          </cell>
          <cell r="K2845">
            <v>2</v>
          </cell>
          <cell r="L2845">
            <v>1.1299999999999999</v>
          </cell>
          <cell r="M2845">
            <v>5.3851648071345037</v>
          </cell>
          <cell r="O2845" t="str">
            <v>-</v>
          </cell>
          <cell r="T2845" t="str">
            <v>-</v>
          </cell>
          <cell r="U2845">
            <v>0.3125</v>
          </cell>
        </row>
        <row r="2846">
          <cell r="B2846" t="str">
            <v>HSS5X2X1/4</v>
          </cell>
          <cell r="C2846">
            <v>2.91</v>
          </cell>
          <cell r="D2846" t="str">
            <v>-</v>
          </cell>
          <cell r="F2846">
            <v>5</v>
          </cell>
          <cell r="H2846" t="str">
            <v>-</v>
          </cell>
          <cell r="I2846" t="str">
            <v>-</v>
          </cell>
          <cell r="K2846">
            <v>2</v>
          </cell>
          <cell r="L2846">
            <v>1.3</v>
          </cell>
          <cell r="M2846">
            <v>5.3851648071345037</v>
          </cell>
          <cell r="O2846" t="str">
            <v>-</v>
          </cell>
          <cell r="T2846" t="str">
            <v>-</v>
          </cell>
          <cell r="U2846">
            <v>0.25</v>
          </cell>
        </row>
        <row r="2847">
          <cell r="B2847" t="str">
            <v>HSS5X2X3/16</v>
          </cell>
          <cell r="C2847">
            <v>2.2400000000000002</v>
          </cell>
          <cell r="D2847" t="str">
            <v>-</v>
          </cell>
          <cell r="F2847">
            <v>5</v>
          </cell>
          <cell r="H2847" t="str">
            <v>-</v>
          </cell>
          <cell r="I2847" t="str">
            <v>-</v>
          </cell>
          <cell r="K2847">
            <v>2</v>
          </cell>
          <cell r="L2847">
            <v>1.48</v>
          </cell>
          <cell r="M2847">
            <v>5.3851648071345037</v>
          </cell>
          <cell r="O2847" t="str">
            <v>-</v>
          </cell>
          <cell r="T2847" t="str">
            <v>-</v>
          </cell>
          <cell r="U2847">
            <v>0.1875</v>
          </cell>
        </row>
        <row r="2848">
          <cell r="B2848" t="str">
            <v>HSS5X2X1/8</v>
          </cell>
          <cell r="C2848">
            <v>1.54</v>
          </cell>
          <cell r="D2848" t="str">
            <v>-</v>
          </cell>
          <cell r="F2848">
            <v>5</v>
          </cell>
          <cell r="H2848" t="str">
            <v>-</v>
          </cell>
          <cell r="I2848" t="str">
            <v>-</v>
          </cell>
          <cell r="K2848">
            <v>2</v>
          </cell>
          <cell r="L2848">
            <v>1.65</v>
          </cell>
          <cell r="M2848">
            <v>5.3851648071345037</v>
          </cell>
          <cell r="O2848" t="str">
            <v>-</v>
          </cell>
          <cell r="T2848" t="str">
            <v>-</v>
          </cell>
          <cell r="U2848">
            <v>0.125</v>
          </cell>
        </row>
        <row r="2849">
          <cell r="B2849" t="str">
            <v>HSS4-1/2X4-1/2X1/2</v>
          </cell>
          <cell r="C2849">
            <v>6.95</v>
          </cell>
          <cell r="D2849" t="str">
            <v>-</v>
          </cell>
          <cell r="F2849">
            <v>4.5</v>
          </cell>
          <cell r="H2849" t="str">
            <v>-</v>
          </cell>
          <cell r="I2849" t="str">
            <v>-</v>
          </cell>
          <cell r="K2849">
            <v>4.5</v>
          </cell>
          <cell r="L2849">
            <v>3.1</v>
          </cell>
          <cell r="M2849">
            <v>6.3639610306789276</v>
          </cell>
          <cell r="O2849" t="str">
            <v>-</v>
          </cell>
          <cell r="T2849" t="str">
            <v>-</v>
          </cell>
          <cell r="U2849">
            <v>0.5</v>
          </cell>
        </row>
        <row r="2850">
          <cell r="B2850" t="str">
            <v>HSS4-1/2X4-1/2X3/8</v>
          </cell>
          <cell r="C2850">
            <v>5.48</v>
          </cell>
          <cell r="D2850" t="str">
            <v>-</v>
          </cell>
          <cell r="F2850">
            <v>4.5</v>
          </cell>
          <cell r="H2850" t="str">
            <v>-</v>
          </cell>
          <cell r="I2850" t="str">
            <v>-</v>
          </cell>
          <cell r="K2850">
            <v>4.5</v>
          </cell>
          <cell r="L2850">
            <v>3.45</v>
          </cell>
          <cell r="M2850">
            <v>6.3639610306789276</v>
          </cell>
          <cell r="O2850" t="str">
            <v>-</v>
          </cell>
          <cell r="T2850" t="str">
            <v>-</v>
          </cell>
          <cell r="U2850">
            <v>0.375</v>
          </cell>
        </row>
        <row r="2851">
          <cell r="B2851" t="str">
            <v>HSS4-1/2X4-1/2X5/16</v>
          </cell>
          <cell r="C2851">
            <v>4.68</v>
          </cell>
          <cell r="D2851" t="str">
            <v>-</v>
          </cell>
          <cell r="F2851">
            <v>4.5</v>
          </cell>
          <cell r="H2851" t="str">
            <v>-</v>
          </cell>
          <cell r="I2851" t="str">
            <v>-</v>
          </cell>
          <cell r="K2851">
            <v>4.5</v>
          </cell>
          <cell r="L2851">
            <v>3.63</v>
          </cell>
          <cell r="M2851">
            <v>6.3639610306789276</v>
          </cell>
          <cell r="O2851" t="str">
            <v>-</v>
          </cell>
          <cell r="T2851" t="str">
            <v>-</v>
          </cell>
          <cell r="U2851">
            <v>0.3125</v>
          </cell>
        </row>
        <row r="2852">
          <cell r="B2852" t="str">
            <v>HSS4-1/2X4-1/2X1/4</v>
          </cell>
          <cell r="C2852">
            <v>3.84</v>
          </cell>
          <cell r="D2852" t="str">
            <v>-</v>
          </cell>
          <cell r="F2852">
            <v>4.5</v>
          </cell>
          <cell r="H2852" t="str">
            <v>-</v>
          </cell>
          <cell r="I2852" t="str">
            <v>-</v>
          </cell>
          <cell r="K2852">
            <v>4.5</v>
          </cell>
          <cell r="L2852">
            <v>3.8</v>
          </cell>
          <cell r="M2852">
            <v>6.3639610306789276</v>
          </cell>
          <cell r="O2852" t="str">
            <v>-</v>
          </cell>
          <cell r="T2852" t="str">
            <v>-</v>
          </cell>
          <cell r="U2852">
            <v>0.25</v>
          </cell>
        </row>
        <row r="2853">
          <cell r="B2853" t="str">
            <v>HSS4-1/2X4-1/2X3/16</v>
          </cell>
          <cell r="C2853">
            <v>2.93</v>
          </cell>
          <cell r="D2853" t="str">
            <v>-</v>
          </cell>
          <cell r="F2853">
            <v>4.5</v>
          </cell>
          <cell r="H2853" t="str">
            <v>-</v>
          </cell>
          <cell r="I2853" t="str">
            <v>-</v>
          </cell>
          <cell r="K2853">
            <v>4.5</v>
          </cell>
          <cell r="L2853">
            <v>3.98</v>
          </cell>
          <cell r="M2853">
            <v>6.3639610306789276</v>
          </cell>
          <cell r="O2853" t="str">
            <v>-</v>
          </cell>
          <cell r="T2853" t="str">
            <v>-</v>
          </cell>
          <cell r="U2853">
            <v>0.1875</v>
          </cell>
        </row>
        <row r="2854">
          <cell r="B2854" t="str">
            <v>HSS4-1/2X4-1/2X1/8</v>
          </cell>
          <cell r="C2854">
            <v>2</v>
          </cell>
          <cell r="D2854" t="str">
            <v>-</v>
          </cell>
          <cell r="F2854">
            <v>4.5</v>
          </cell>
          <cell r="H2854" t="str">
            <v>-</v>
          </cell>
          <cell r="I2854" t="str">
            <v>-</v>
          </cell>
          <cell r="K2854">
            <v>4.5</v>
          </cell>
          <cell r="L2854">
            <v>4.1500000000000004</v>
          </cell>
          <cell r="M2854">
            <v>6.3639610306789276</v>
          </cell>
          <cell r="O2854" t="str">
            <v>-</v>
          </cell>
          <cell r="T2854" t="str">
            <v>-</v>
          </cell>
          <cell r="U2854">
            <v>0.125</v>
          </cell>
        </row>
        <row r="2855">
          <cell r="B2855" t="str">
            <v>HSS4X4X1/2</v>
          </cell>
          <cell r="C2855">
            <v>6.02</v>
          </cell>
          <cell r="D2855" t="str">
            <v>-</v>
          </cell>
          <cell r="F2855">
            <v>4</v>
          </cell>
          <cell r="H2855" t="str">
            <v>-</v>
          </cell>
          <cell r="I2855" t="str">
            <v>-</v>
          </cell>
          <cell r="K2855">
            <v>4</v>
          </cell>
          <cell r="L2855">
            <v>2.6</v>
          </cell>
          <cell r="M2855">
            <v>5.6568542494923806</v>
          </cell>
          <cell r="O2855" t="str">
            <v>-</v>
          </cell>
          <cell r="T2855" t="str">
            <v>-</v>
          </cell>
          <cell r="U2855">
            <v>0.5</v>
          </cell>
        </row>
        <row r="2856">
          <cell r="B2856" t="str">
            <v>HSS4X4X3/8</v>
          </cell>
          <cell r="C2856">
            <v>4.78</v>
          </cell>
          <cell r="D2856" t="str">
            <v>-</v>
          </cell>
          <cell r="F2856">
            <v>4</v>
          </cell>
          <cell r="H2856" t="str">
            <v>-</v>
          </cell>
          <cell r="I2856" t="str">
            <v>-</v>
          </cell>
          <cell r="K2856">
            <v>4</v>
          </cell>
          <cell r="L2856">
            <v>2.95</v>
          </cell>
          <cell r="M2856">
            <v>5.6568542494923806</v>
          </cell>
          <cell r="O2856" t="str">
            <v>-</v>
          </cell>
          <cell r="T2856" t="str">
            <v>-</v>
          </cell>
          <cell r="U2856">
            <v>0.375</v>
          </cell>
        </row>
        <row r="2857">
          <cell r="B2857" t="str">
            <v>HSS4X4X5/16</v>
          </cell>
          <cell r="C2857">
            <v>4.0999999999999996</v>
          </cell>
          <cell r="D2857" t="str">
            <v>-</v>
          </cell>
          <cell r="F2857">
            <v>4</v>
          </cell>
          <cell r="H2857" t="str">
            <v>-</v>
          </cell>
          <cell r="I2857" t="str">
            <v>-</v>
          </cell>
          <cell r="K2857">
            <v>4</v>
          </cell>
          <cell r="L2857">
            <v>3.13</v>
          </cell>
          <cell r="M2857">
            <v>5.6568542494923806</v>
          </cell>
          <cell r="O2857" t="str">
            <v>-</v>
          </cell>
          <cell r="T2857" t="str">
            <v>-</v>
          </cell>
          <cell r="U2857">
            <v>0.3125</v>
          </cell>
        </row>
        <row r="2858">
          <cell r="B2858" t="str">
            <v>HSS4X4X1/4</v>
          </cell>
          <cell r="C2858">
            <v>3.37</v>
          </cell>
          <cell r="D2858" t="str">
            <v>-</v>
          </cell>
          <cell r="F2858">
            <v>4</v>
          </cell>
          <cell r="H2858" t="str">
            <v>-</v>
          </cell>
          <cell r="I2858" t="str">
            <v>-</v>
          </cell>
          <cell r="K2858">
            <v>4</v>
          </cell>
          <cell r="L2858">
            <v>3.3</v>
          </cell>
          <cell r="M2858">
            <v>5.6568542494923806</v>
          </cell>
          <cell r="O2858" t="str">
            <v>-</v>
          </cell>
          <cell r="T2858" t="str">
            <v>-</v>
          </cell>
          <cell r="U2858">
            <v>0.25</v>
          </cell>
        </row>
        <row r="2859">
          <cell r="B2859" t="str">
            <v>HSS4X4X3/16</v>
          </cell>
          <cell r="C2859">
            <v>2.58</v>
          </cell>
          <cell r="D2859" t="str">
            <v>-</v>
          </cell>
          <cell r="F2859">
            <v>4</v>
          </cell>
          <cell r="H2859" t="str">
            <v>-</v>
          </cell>
          <cell r="I2859" t="str">
            <v>-</v>
          </cell>
          <cell r="K2859">
            <v>4</v>
          </cell>
          <cell r="L2859">
            <v>3.48</v>
          </cell>
          <cell r="M2859">
            <v>5.6568542494923806</v>
          </cell>
          <cell r="O2859" t="str">
            <v>-</v>
          </cell>
          <cell r="T2859" t="str">
            <v>-</v>
          </cell>
          <cell r="U2859">
            <v>0.1875</v>
          </cell>
        </row>
        <row r="2860">
          <cell r="B2860" t="str">
            <v>HSS4X4X1/8</v>
          </cell>
          <cell r="C2860">
            <v>1.77</v>
          </cell>
          <cell r="D2860" t="str">
            <v>-</v>
          </cell>
          <cell r="F2860">
            <v>4</v>
          </cell>
          <cell r="H2860" t="str">
            <v>-</v>
          </cell>
          <cell r="I2860" t="str">
            <v>-</v>
          </cell>
          <cell r="K2860">
            <v>4</v>
          </cell>
          <cell r="L2860">
            <v>3.65</v>
          </cell>
          <cell r="M2860">
            <v>5.6568542494923806</v>
          </cell>
          <cell r="O2860" t="str">
            <v>-</v>
          </cell>
          <cell r="T2860" t="str">
            <v>-</v>
          </cell>
          <cell r="U2860">
            <v>0.125</v>
          </cell>
        </row>
        <row r="2861">
          <cell r="B2861" t="str">
            <v>HSS4X3X3/8</v>
          </cell>
          <cell r="C2861">
            <v>4.09</v>
          </cell>
          <cell r="D2861" t="str">
            <v>-</v>
          </cell>
          <cell r="F2861">
            <v>4</v>
          </cell>
          <cell r="H2861" t="str">
            <v>-</v>
          </cell>
          <cell r="I2861" t="str">
            <v>-</v>
          </cell>
          <cell r="K2861">
            <v>3</v>
          </cell>
          <cell r="L2861">
            <v>1.95</v>
          </cell>
          <cell r="M2861">
            <v>5</v>
          </cell>
          <cell r="O2861" t="str">
            <v>-</v>
          </cell>
          <cell r="T2861" t="str">
            <v>-</v>
          </cell>
          <cell r="U2861">
            <v>0.375</v>
          </cell>
        </row>
        <row r="2862">
          <cell r="B2862" t="str">
            <v>HSS4X3X5/16</v>
          </cell>
          <cell r="C2862">
            <v>3.52</v>
          </cell>
          <cell r="D2862" t="str">
            <v>-</v>
          </cell>
          <cell r="F2862">
            <v>4</v>
          </cell>
          <cell r="H2862" t="str">
            <v>-</v>
          </cell>
          <cell r="I2862" t="str">
            <v>-</v>
          </cell>
          <cell r="K2862">
            <v>3</v>
          </cell>
          <cell r="L2862">
            <v>2.13</v>
          </cell>
          <cell r="M2862">
            <v>5</v>
          </cell>
          <cell r="O2862" t="str">
            <v>-</v>
          </cell>
          <cell r="T2862" t="str">
            <v>-</v>
          </cell>
          <cell r="U2862">
            <v>0.3125</v>
          </cell>
        </row>
        <row r="2863">
          <cell r="B2863" t="str">
            <v>HSS4X3X1/4</v>
          </cell>
          <cell r="C2863">
            <v>2.91</v>
          </cell>
          <cell r="D2863" t="str">
            <v>-</v>
          </cell>
          <cell r="F2863">
            <v>4</v>
          </cell>
          <cell r="H2863" t="str">
            <v>-</v>
          </cell>
          <cell r="I2863" t="str">
            <v>-</v>
          </cell>
          <cell r="K2863">
            <v>3</v>
          </cell>
          <cell r="L2863">
            <v>2.2999999999999998</v>
          </cell>
          <cell r="M2863">
            <v>5</v>
          </cell>
          <cell r="O2863" t="str">
            <v>-</v>
          </cell>
          <cell r="T2863" t="str">
            <v>-</v>
          </cell>
          <cell r="U2863">
            <v>0.25</v>
          </cell>
        </row>
        <row r="2864">
          <cell r="B2864" t="str">
            <v>HSS4X3X3/16</v>
          </cell>
          <cell r="C2864">
            <v>2.2400000000000002</v>
          </cell>
          <cell r="D2864" t="str">
            <v>-</v>
          </cell>
          <cell r="F2864">
            <v>4</v>
          </cell>
          <cell r="H2864" t="str">
            <v>-</v>
          </cell>
          <cell r="I2864" t="str">
            <v>-</v>
          </cell>
          <cell r="K2864">
            <v>3</v>
          </cell>
          <cell r="L2864">
            <v>2.48</v>
          </cell>
          <cell r="M2864">
            <v>5</v>
          </cell>
          <cell r="O2864" t="str">
            <v>-</v>
          </cell>
          <cell r="T2864" t="str">
            <v>-</v>
          </cell>
          <cell r="U2864">
            <v>0.1875</v>
          </cell>
        </row>
        <row r="2865">
          <cell r="B2865" t="str">
            <v>HSS4X3X1/8</v>
          </cell>
          <cell r="C2865">
            <v>1.54</v>
          </cell>
          <cell r="D2865" t="str">
            <v>-</v>
          </cell>
          <cell r="F2865">
            <v>4</v>
          </cell>
          <cell r="H2865" t="str">
            <v>-</v>
          </cell>
          <cell r="I2865" t="str">
            <v>-</v>
          </cell>
          <cell r="K2865">
            <v>3</v>
          </cell>
          <cell r="L2865">
            <v>2.65</v>
          </cell>
          <cell r="M2865">
            <v>5</v>
          </cell>
          <cell r="O2865" t="str">
            <v>-</v>
          </cell>
          <cell r="T2865" t="str">
            <v>-</v>
          </cell>
          <cell r="U2865">
            <v>0.125</v>
          </cell>
        </row>
        <row r="2866">
          <cell r="B2866" t="str">
            <v>HSS4X2-1/2X1/4</v>
          </cell>
          <cell r="C2866">
            <v>2.67</v>
          </cell>
          <cell r="D2866" t="str">
            <v>-</v>
          </cell>
          <cell r="F2866">
            <v>4</v>
          </cell>
          <cell r="H2866" t="str">
            <v>-</v>
          </cell>
          <cell r="I2866" t="str">
            <v>-</v>
          </cell>
          <cell r="K2866">
            <v>2.5</v>
          </cell>
          <cell r="L2866">
            <v>1.8</v>
          </cell>
          <cell r="M2866">
            <v>4.7169905660283016</v>
          </cell>
          <cell r="O2866" t="str">
            <v>-</v>
          </cell>
          <cell r="T2866" t="str">
            <v>-</v>
          </cell>
          <cell r="U2866">
            <v>0.25</v>
          </cell>
        </row>
        <row r="2867">
          <cell r="B2867" t="str">
            <v>HSS4X2-1/2X3/16</v>
          </cell>
          <cell r="C2867">
            <v>2.06</v>
          </cell>
          <cell r="D2867" t="str">
            <v>-</v>
          </cell>
          <cell r="F2867">
            <v>4</v>
          </cell>
          <cell r="H2867" t="str">
            <v>-</v>
          </cell>
          <cell r="I2867" t="str">
            <v>-</v>
          </cell>
          <cell r="K2867">
            <v>2.5</v>
          </cell>
          <cell r="L2867">
            <v>1.98</v>
          </cell>
          <cell r="M2867">
            <v>4.7169905660283016</v>
          </cell>
          <cell r="O2867" t="str">
            <v>-</v>
          </cell>
          <cell r="T2867" t="str">
            <v>-</v>
          </cell>
          <cell r="U2867">
            <v>0.1875</v>
          </cell>
        </row>
        <row r="2868">
          <cell r="B2868" t="str">
            <v>HSS4X2-1/2X1/8</v>
          </cell>
          <cell r="C2868">
            <v>1.42</v>
          </cell>
          <cell r="D2868" t="str">
            <v>-</v>
          </cell>
          <cell r="F2868">
            <v>4</v>
          </cell>
          <cell r="H2868" t="str">
            <v>-</v>
          </cell>
          <cell r="I2868" t="str">
            <v>-</v>
          </cell>
          <cell r="K2868">
            <v>2.5</v>
          </cell>
          <cell r="L2868">
            <v>2.15</v>
          </cell>
          <cell r="M2868">
            <v>4.7169905660283016</v>
          </cell>
          <cell r="O2868" t="str">
            <v>-</v>
          </cell>
          <cell r="T2868" t="str">
            <v>-</v>
          </cell>
          <cell r="U2868">
            <v>0.125</v>
          </cell>
        </row>
        <row r="2869">
          <cell r="B2869" t="str">
            <v>HSS4X2X3/8</v>
          </cell>
          <cell r="C2869">
            <v>3.39</v>
          </cell>
          <cell r="D2869" t="str">
            <v>-</v>
          </cell>
          <cell r="F2869">
            <v>4</v>
          </cell>
          <cell r="H2869" t="str">
            <v>-</v>
          </cell>
          <cell r="I2869" t="str">
            <v>-</v>
          </cell>
          <cell r="K2869">
            <v>2</v>
          </cell>
          <cell r="L2869">
            <v>0.95299999999999996</v>
          </cell>
          <cell r="M2869">
            <v>4.4721359549995796</v>
          </cell>
          <cell r="O2869" t="str">
            <v>-</v>
          </cell>
          <cell r="T2869" t="str">
            <v>-</v>
          </cell>
          <cell r="U2869">
            <v>0.375</v>
          </cell>
        </row>
        <row r="2870">
          <cell r="B2870" t="str">
            <v>HSS4X2X5/16</v>
          </cell>
          <cell r="C2870">
            <v>2.94</v>
          </cell>
          <cell r="D2870" t="str">
            <v>-</v>
          </cell>
          <cell r="F2870">
            <v>4</v>
          </cell>
          <cell r="H2870" t="str">
            <v>-</v>
          </cell>
          <cell r="I2870" t="str">
            <v>-</v>
          </cell>
          <cell r="K2870">
            <v>2</v>
          </cell>
          <cell r="L2870">
            <v>1.1299999999999999</v>
          </cell>
          <cell r="M2870">
            <v>4.4721359549995796</v>
          </cell>
          <cell r="O2870" t="str">
            <v>-</v>
          </cell>
          <cell r="T2870" t="str">
            <v>-</v>
          </cell>
          <cell r="U2870">
            <v>0.3125</v>
          </cell>
        </row>
        <row r="2871">
          <cell r="B2871" t="str">
            <v>HSS4X2X1/4</v>
          </cell>
          <cell r="C2871">
            <v>2.44</v>
          </cell>
          <cell r="D2871" t="str">
            <v>-</v>
          </cell>
          <cell r="F2871">
            <v>4</v>
          </cell>
          <cell r="H2871" t="str">
            <v>-</v>
          </cell>
          <cell r="I2871" t="str">
            <v>-</v>
          </cell>
          <cell r="K2871">
            <v>2</v>
          </cell>
          <cell r="L2871">
            <v>1.3</v>
          </cell>
          <cell r="M2871">
            <v>4.4721359549995796</v>
          </cell>
          <cell r="O2871" t="str">
            <v>-</v>
          </cell>
          <cell r="T2871" t="str">
            <v>-</v>
          </cell>
          <cell r="U2871">
            <v>0.25</v>
          </cell>
        </row>
        <row r="2872">
          <cell r="B2872" t="str">
            <v>HSS4X2X3/16</v>
          </cell>
          <cell r="C2872">
            <v>1.89</v>
          </cell>
          <cell r="D2872" t="str">
            <v>-</v>
          </cell>
          <cell r="F2872">
            <v>4</v>
          </cell>
          <cell r="H2872" t="str">
            <v>-</v>
          </cell>
          <cell r="I2872" t="str">
            <v>-</v>
          </cell>
          <cell r="K2872">
            <v>2</v>
          </cell>
          <cell r="L2872">
            <v>1.48</v>
          </cell>
          <cell r="M2872">
            <v>4.4721359549995796</v>
          </cell>
          <cell r="O2872" t="str">
            <v>-</v>
          </cell>
          <cell r="T2872" t="str">
            <v>-</v>
          </cell>
          <cell r="U2872">
            <v>0.1875</v>
          </cell>
        </row>
        <row r="2873">
          <cell r="B2873" t="str">
            <v>HSS4X2X1/8</v>
          </cell>
          <cell r="C2873">
            <v>1.3</v>
          </cell>
          <cell r="D2873" t="str">
            <v>-</v>
          </cell>
          <cell r="F2873">
            <v>4</v>
          </cell>
          <cell r="H2873" t="str">
            <v>-</v>
          </cell>
          <cell r="I2873" t="str">
            <v>-</v>
          </cell>
          <cell r="K2873">
            <v>2</v>
          </cell>
          <cell r="L2873">
            <v>1.65</v>
          </cell>
          <cell r="M2873">
            <v>4.4721359549995796</v>
          </cell>
          <cell r="O2873" t="str">
            <v>-</v>
          </cell>
          <cell r="T2873" t="str">
            <v>-</v>
          </cell>
          <cell r="U2873">
            <v>0.125</v>
          </cell>
        </row>
        <row r="2874">
          <cell r="B2874" t="str">
            <v>HSS4X1-1/2X1/4</v>
          </cell>
          <cell r="C2874">
            <v>2.21</v>
          </cell>
          <cell r="D2874" t="str">
            <v>-</v>
          </cell>
          <cell r="F2874">
            <v>4</v>
          </cell>
          <cell r="H2874" t="str">
            <v>-</v>
          </cell>
          <cell r="I2874" t="str">
            <v>-</v>
          </cell>
          <cell r="K2874">
            <v>1.5</v>
          </cell>
          <cell r="L2874" t="str">
            <v>0.801</v>
          </cell>
          <cell r="M2874">
            <v>4.2720018726587652</v>
          </cell>
          <cell r="O2874" t="str">
            <v>-</v>
          </cell>
          <cell r="T2874" t="str">
            <v>-</v>
          </cell>
          <cell r="U2874">
            <v>0.25</v>
          </cell>
        </row>
        <row r="2875">
          <cell r="B2875" t="str">
            <v>HSS4X1-1/2X3/16</v>
          </cell>
          <cell r="C2875">
            <v>1.71</v>
          </cell>
          <cell r="D2875" t="str">
            <v>-</v>
          </cell>
          <cell r="F2875">
            <v>4</v>
          </cell>
          <cell r="H2875" t="str">
            <v>-</v>
          </cell>
          <cell r="I2875" t="str">
            <v>-</v>
          </cell>
          <cell r="K2875">
            <v>1.5</v>
          </cell>
          <cell r="L2875" t="str">
            <v>0.978</v>
          </cell>
          <cell r="M2875">
            <v>4.2720018726587652</v>
          </cell>
          <cell r="O2875" t="str">
            <v>-</v>
          </cell>
          <cell r="T2875" t="str">
            <v>-</v>
          </cell>
          <cell r="U2875">
            <v>0.1875</v>
          </cell>
        </row>
        <row r="2876">
          <cell r="B2876" t="str">
            <v>HSS4X1-1/2X1/8</v>
          </cell>
          <cell r="C2876">
            <v>1.19</v>
          </cell>
          <cell r="D2876" t="str">
            <v>-</v>
          </cell>
          <cell r="F2876">
            <v>4</v>
          </cell>
          <cell r="H2876" t="str">
            <v>-</v>
          </cell>
          <cell r="I2876" t="str">
            <v>-</v>
          </cell>
          <cell r="K2876">
            <v>1.5</v>
          </cell>
          <cell r="L2876" t="str">
            <v>1.15</v>
          </cell>
          <cell r="M2876">
            <v>4.2720018726587652</v>
          </cell>
          <cell r="O2876" t="str">
            <v>-</v>
          </cell>
          <cell r="T2876" t="str">
            <v>-</v>
          </cell>
          <cell r="U2876">
            <v>0.125</v>
          </cell>
        </row>
        <row r="2877">
          <cell r="B2877" t="str">
            <v>HSS3-1/2X3-1/2X3/8</v>
          </cell>
          <cell r="C2877">
            <v>4.09</v>
          </cell>
          <cell r="D2877" t="str">
            <v>-</v>
          </cell>
          <cell r="F2877">
            <v>3.5</v>
          </cell>
          <cell r="H2877" t="str">
            <v>-</v>
          </cell>
          <cell r="I2877" t="str">
            <v>-</v>
          </cell>
          <cell r="K2877">
            <v>3.5</v>
          </cell>
          <cell r="L2877">
            <v>2.4500000000000002</v>
          </cell>
          <cell r="M2877">
            <v>4.9497474683058327</v>
          </cell>
          <cell r="O2877" t="str">
            <v>-</v>
          </cell>
          <cell r="T2877" t="str">
            <v>-</v>
          </cell>
          <cell r="U2877">
            <v>0.375</v>
          </cell>
        </row>
        <row r="2878">
          <cell r="B2878" t="str">
            <v>HSS3-1/2X3-1/2X5/16</v>
          </cell>
          <cell r="C2878">
            <v>3.52</v>
          </cell>
          <cell r="D2878" t="str">
            <v>-</v>
          </cell>
          <cell r="F2878">
            <v>3.5</v>
          </cell>
          <cell r="H2878" t="str">
            <v>-</v>
          </cell>
          <cell r="I2878" t="str">
            <v>-</v>
          </cell>
          <cell r="K2878">
            <v>3.5</v>
          </cell>
          <cell r="L2878">
            <v>2.63</v>
          </cell>
          <cell r="M2878">
            <v>4.9497474683058327</v>
          </cell>
          <cell r="O2878" t="str">
            <v>-</v>
          </cell>
          <cell r="T2878" t="str">
            <v>-</v>
          </cell>
          <cell r="U2878">
            <v>0.3125</v>
          </cell>
        </row>
        <row r="2879">
          <cell r="B2879" t="str">
            <v>HSS3-1/2X3-1/2X1/4</v>
          </cell>
          <cell r="C2879">
            <v>2.91</v>
          </cell>
          <cell r="D2879" t="str">
            <v>-</v>
          </cell>
          <cell r="F2879">
            <v>3.5</v>
          </cell>
          <cell r="H2879" t="str">
            <v>-</v>
          </cell>
          <cell r="I2879" t="str">
            <v>-</v>
          </cell>
          <cell r="K2879">
            <v>3.5</v>
          </cell>
          <cell r="L2879">
            <v>2.8</v>
          </cell>
          <cell r="M2879">
            <v>4.9497474683058327</v>
          </cell>
          <cell r="O2879" t="str">
            <v>-</v>
          </cell>
          <cell r="T2879" t="str">
            <v>-</v>
          </cell>
          <cell r="U2879">
            <v>0.25</v>
          </cell>
        </row>
        <row r="2880">
          <cell r="B2880" t="str">
            <v>HSS3-1/2X3-1/2X3/16</v>
          </cell>
          <cell r="C2880">
            <v>2.2400000000000002</v>
          </cell>
          <cell r="D2880" t="str">
            <v>-</v>
          </cell>
          <cell r="F2880">
            <v>3.5</v>
          </cell>
          <cell r="H2880" t="str">
            <v>-</v>
          </cell>
          <cell r="I2880" t="str">
            <v>-</v>
          </cell>
          <cell r="K2880">
            <v>3.5</v>
          </cell>
          <cell r="L2880">
            <v>2.98</v>
          </cell>
          <cell r="M2880">
            <v>4.9497474683058327</v>
          </cell>
          <cell r="O2880" t="str">
            <v>-</v>
          </cell>
          <cell r="T2880" t="str">
            <v>-</v>
          </cell>
          <cell r="U2880">
            <v>0.1875</v>
          </cell>
        </row>
        <row r="2881">
          <cell r="B2881" t="str">
            <v>HSS3-1/2X3-1/2X1/8</v>
          </cell>
          <cell r="C2881">
            <v>1.54</v>
          </cell>
          <cell r="D2881" t="str">
            <v>-</v>
          </cell>
          <cell r="F2881">
            <v>3.5</v>
          </cell>
          <cell r="H2881" t="str">
            <v>-</v>
          </cell>
          <cell r="I2881" t="str">
            <v>-</v>
          </cell>
          <cell r="K2881">
            <v>3.5</v>
          </cell>
          <cell r="L2881">
            <v>3.15</v>
          </cell>
          <cell r="M2881">
            <v>4.9497474683058327</v>
          </cell>
          <cell r="O2881" t="str">
            <v>-</v>
          </cell>
          <cell r="T2881" t="str">
            <v>-</v>
          </cell>
          <cell r="U2881">
            <v>0.125</v>
          </cell>
        </row>
        <row r="2882">
          <cell r="B2882" t="str">
            <v>HSS3-1/2X2-1/2X3/8</v>
          </cell>
          <cell r="C2882">
            <v>3.39</v>
          </cell>
          <cell r="D2882" t="str">
            <v>-</v>
          </cell>
          <cell r="F2882">
            <v>3.5</v>
          </cell>
          <cell r="H2882" t="str">
            <v>-</v>
          </cell>
          <cell r="I2882" t="str">
            <v>-</v>
          </cell>
          <cell r="K2882">
            <v>2.5</v>
          </cell>
          <cell r="L2882">
            <v>1.45</v>
          </cell>
          <cell r="M2882">
            <v>4.3011626335213133</v>
          </cell>
          <cell r="O2882" t="str">
            <v>-</v>
          </cell>
          <cell r="T2882" t="str">
            <v>-</v>
          </cell>
          <cell r="U2882">
            <v>0.375</v>
          </cell>
        </row>
        <row r="2883">
          <cell r="B2883" t="str">
            <v>HSS3-1/2X2-1/2X5/16</v>
          </cell>
          <cell r="C2883">
            <v>2.94</v>
          </cell>
          <cell r="D2883" t="str">
            <v>-</v>
          </cell>
          <cell r="F2883">
            <v>3.5</v>
          </cell>
          <cell r="H2883" t="str">
            <v>-</v>
          </cell>
          <cell r="I2883" t="str">
            <v>-</v>
          </cell>
          <cell r="K2883">
            <v>2.5</v>
          </cell>
          <cell r="L2883">
            <v>1.63</v>
          </cell>
          <cell r="M2883">
            <v>4.3011626335213133</v>
          </cell>
          <cell r="O2883" t="str">
            <v>-</v>
          </cell>
          <cell r="T2883" t="str">
            <v>-</v>
          </cell>
          <cell r="U2883">
            <v>0.3125</v>
          </cell>
        </row>
        <row r="2884">
          <cell r="B2884" t="str">
            <v>HSS3-1/2X2-1/2X1/4</v>
          </cell>
          <cell r="C2884">
            <v>2.44</v>
          </cell>
          <cell r="D2884" t="str">
            <v>-</v>
          </cell>
          <cell r="F2884">
            <v>3.5</v>
          </cell>
          <cell r="H2884" t="str">
            <v>-</v>
          </cell>
          <cell r="I2884" t="str">
            <v>-</v>
          </cell>
          <cell r="K2884">
            <v>2.5</v>
          </cell>
          <cell r="L2884">
            <v>1.8</v>
          </cell>
          <cell r="M2884">
            <v>4.3011626335213133</v>
          </cell>
          <cell r="O2884" t="str">
            <v>-</v>
          </cell>
          <cell r="T2884" t="str">
            <v>-</v>
          </cell>
          <cell r="U2884">
            <v>0.25</v>
          </cell>
        </row>
        <row r="2885">
          <cell r="B2885" t="str">
            <v>HSS3-1/2X2-1/2X3/16</v>
          </cell>
          <cell r="C2885">
            <v>1.89</v>
          </cell>
          <cell r="D2885" t="str">
            <v>-</v>
          </cell>
          <cell r="F2885">
            <v>3.5</v>
          </cell>
          <cell r="H2885" t="str">
            <v>-</v>
          </cell>
          <cell r="I2885" t="str">
            <v>-</v>
          </cell>
          <cell r="K2885">
            <v>2.5</v>
          </cell>
          <cell r="L2885">
            <v>1.98</v>
          </cell>
          <cell r="M2885">
            <v>4.3011626335213133</v>
          </cell>
          <cell r="O2885" t="str">
            <v>-</v>
          </cell>
          <cell r="T2885" t="str">
            <v>-</v>
          </cell>
          <cell r="U2885">
            <v>0.1875</v>
          </cell>
        </row>
        <row r="2886">
          <cell r="B2886" t="str">
            <v>HSS3-1/2X2-1/2X1/8</v>
          </cell>
          <cell r="C2886">
            <v>1.3</v>
          </cell>
          <cell r="D2886" t="str">
            <v>-</v>
          </cell>
          <cell r="F2886">
            <v>3.5</v>
          </cell>
          <cell r="H2886" t="str">
            <v>-</v>
          </cell>
          <cell r="I2886" t="str">
            <v>-</v>
          </cell>
          <cell r="K2886">
            <v>2.5</v>
          </cell>
          <cell r="L2886">
            <v>2.15</v>
          </cell>
          <cell r="M2886">
            <v>4.3011626335213133</v>
          </cell>
          <cell r="O2886" t="str">
            <v>-</v>
          </cell>
          <cell r="T2886" t="str">
            <v>-</v>
          </cell>
          <cell r="U2886">
            <v>0.125</v>
          </cell>
        </row>
        <row r="2887">
          <cell r="B2887" t="str">
            <v>HSS3-1/2X2X1/4</v>
          </cell>
          <cell r="C2887">
            <v>2.21</v>
          </cell>
          <cell r="D2887" t="str">
            <v>-</v>
          </cell>
          <cell r="F2887">
            <v>3.5</v>
          </cell>
          <cell r="H2887" t="str">
            <v>-</v>
          </cell>
          <cell r="I2887" t="str">
            <v>-</v>
          </cell>
          <cell r="K2887">
            <v>2</v>
          </cell>
          <cell r="L2887">
            <v>1.3</v>
          </cell>
          <cell r="M2887">
            <v>4.0311288741492746</v>
          </cell>
          <cell r="O2887" t="str">
            <v>-</v>
          </cell>
          <cell r="T2887" t="str">
            <v>-</v>
          </cell>
          <cell r="U2887">
            <v>0.25</v>
          </cell>
        </row>
        <row r="2888">
          <cell r="B2888" t="str">
            <v>HSS3-1/2X2X3/16</v>
          </cell>
          <cell r="C2888">
            <v>1.71</v>
          </cell>
          <cell r="D2888" t="str">
            <v>-</v>
          </cell>
          <cell r="F2888">
            <v>3.5</v>
          </cell>
          <cell r="H2888" t="str">
            <v>-</v>
          </cell>
          <cell r="I2888" t="str">
            <v>-</v>
          </cell>
          <cell r="K2888">
            <v>2</v>
          </cell>
          <cell r="L2888">
            <v>1.48</v>
          </cell>
          <cell r="M2888">
            <v>4.0311288741492746</v>
          </cell>
          <cell r="O2888" t="str">
            <v>-</v>
          </cell>
          <cell r="T2888" t="str">
            <v>-</v>
          </cell>
          <cell r="U2888">
            <v>0.1875</v>
          </cell>
        </row>
        <row r="2889">
          <cell r="B2889" t="str">
            <v>HSS3-1/2X2X1/8</v>
          </cell>
          <cell r="C2889">
            <v>1.19</v>
          </cell>
          <cell r="D2889" t="str">
            <v>-</v>
          </cell>
          <cell r="F2889">
            <v>3.5</v>
          </cell>
          <cell r="H2889" t="str">
            <v>-</v>
          </cell>
          <cell r="I2889" t="str">
            <v>-</v>
          </cell>
          <cell r="K2889">
            <v>2</v>
          </cell>
          <cell r="L2889">
            <v>1.65</v>
          </cell>
          <cell r="M2889">
            <v>4.0311288741492746</v>
          </cell>
          <cell r="O2889" t="str">
            <v>-</v>
          </cell>
          <cell r="T2889" t="str">
            <v>-</v>
          </cell>
          <cell r="U2889">
            <v>0.125</v>
          </cell>
        </row>
        <row r="2890">
          <cell r="B2890" t="str">
            <v>HSS3-1/2X1-1/2X1/4</v>
          </cell>
          <cell r="C2890">
            <v>1.97</v>
          </cell>
          <cell r="D2890" t="str">
            <v>-</v>
          </cell>
          <cell r="F2890">
            <v>3.5</v>
          </cell>
          <cell r="H2890" t="str">
            <v>-</v>
          </cell>
          <cell r="I2890" t="str">
            <v>-</v>
          </cell>
          <cell r="K2890">
            <v>1.5</v>
          </cell>
          <cell r="L2890">
            <v>0.80100000000000005</v>
          </cell>
          <cell r="M2890">
            <v>3.8078865529319543</v>
          </cell>
          <cell r="O2890" t="str">
            <v>-</v>
          </cell>
          <cell r="T2890" t="str">
            <v>-</v>
          </cell>
          <cell r="U2890">
            <v>0.25</v>
          </cell>
        </row>
        <row r="2891">
          <cell r="B2891" t="str">
            <v>HSS3-1/2X1-1/2X3/16</v>
          </cell>
          <cell r="C2891">
            <v>1.54</v>
          </cell>
          <cell r="D2891" t="str">
            <v>-</v>
          </cell>
          <cell r="F2891">
            <v>3.5</v>
          </cell>
          <cell r="H2891" t="str">
            <v>-</v>
          </cell>
          <cell r="I2891" t="str">
            <v>-</v>
          </cell>
          <cell r="K2891">
            <v>1.5</v>
          </cell>
          <cell r="L2891">
            <v>0.97799999999999998</v>
          </cell>
          <cell r="M2891">
            <v>3.8078865529319543</v>
          </cell>
          <cell r="O2891" t="str">
            <v>-</v>
          </cell>
          <cell r="T2891" t="str">
            <v>-</v>
          </cell>
          <cell r="U2891">
            <v>0.1875</v>
          </cell>
        </row>
        <row r="2892">
          <cell r="B2892" t="str">
            <v>HSS3-1/2X1-1/2X1/8</v>
          </cell>
          <cell r="C2892">
            <v>1.07</v>
          </cell>
          <cell r="D2892" t="str">
            <v>-</v>
          </cell>
          <cell r="F2892">
            <v>3.5</v>
          </cell>
          <cell r="H2892" t="str">
            <v>-</v>
          </cell>
          <cell r="I2892" t="str">
            <v>-</v>
          </cell>
          <cell r="K2892">
            <v>1.5</v>
          </cell>
          <cell r="L2892">
            <v>1.1499999999999999</v>
          </cell>
          <cell r="M2892">
            <v>3.8078865529319543</v>
          </cell>
          <cell r="O2892" t="str">
            <v>-</v>
          </cell>
          <cell r="T2892" t="str">
            <v>-</v>
          </cell>
          <cell r="U2892">
            <v>0.125</v>
          </cell>
        </row>
        <row r="2893">
          <cell r="B2893" t="str">
            <v>HSS3X3X3/8</v>
          </cell>
          <cell r="C2893">
            <v>3.39</v>
          </cell>
          <cell r="D2893" t="str">
            <v>-</v>
          </cell>
          <cell r="F2893">
            <v>3</v>
          </cell>
          <cell r="H2893" t="str">
            <v>-</v>
          </cell>
          <cell r="I2893" t="str">
            <v>-</v>
          </cell>
          <cell r="K2893">
            <v>3</v>
          </cell>
          <cell r="L2893">
            <v>1.95</v>
          </cell>
          <cell r="M2893">
            <v>4.2426406871192848</v>
          </cell>
          <cell r="O2893" t="str">
            <v>-</v>
          </cell>
          <cell r="T2893" t="str">
            <v>-</v>
          </cell>
          <cell r="U2893">
            <v>0.375</v>
          </cell>
        </row>
        <row r="2894">
          <cell r="B2894" t="str">
            <v>HSS3X3X5/16</v>
          </cell>
          <cell r="C2894">
            <v>2.94</v>
          </cell>
          <cell r="D2894" t="str">
            <v>-</v>
          </cell>
          <cell r="F2894">
            <v>3</v>
          </cell>
          <cell r="H2894" t="str">
            <v>-</v>
          </cell>
          <cell r="I2894" t="str">
            <v>-</v>
          </cell>
          <cell r="K2894">
            <v>3</v>
          </cell>
          <cell r="L2894">
            <v>2.13</v>
          </cell>
          <cell r="M2894">
            <v>4.2426406871192848</v>
          </cell>
          <cell r="O2894" t="str">
            <v>-</v>
          </cell>
          <cell r="T2894" t="str">
            <v>-</v>
          </cell>
          <cell r="U2894">
            <v>0.3125</v>
          </cell>
        </row>
        <row r="2895">
          <cell r="B2895" t="str">
            <v>HSS3X3X1/4</v>
          </cell>
          <cell r="C2895">
            <v>2.44</v>
          </cell>
          <cell r="D2895" t="str">
            <v>-</v>
          </cell>
          <cell r="F2895">
            <v>3</v>
          </cell>
          <cell r="H2895" t="str">
            <v>-</v>
          </cell>
          <cell r="I2895" t="str">
            <v>-</v>
          </cell>
          <cell r="K2895">
            <v>3</v>
          </cell>
          <cell r="L2895">
            <v>2.2999999999999998</v>
          </cell>
          <cell r="M2895">
            <v>4.2426406871192848</v>
          </cell>
          <cell r="O2895" t="str">
            <v>-</v>
          </cell>
          <cell r="T2895" t="str">
            <v>-</v>
          </cell>
          <cell r="U2895">
            <v>0.25</v>
          </cell>
        </row>
        <row r="2896">
          <cell r="B2896" t="str">
            <v>HSS3X3X3/16</v>
          </cell>
          <cell r="C2896">
            <v>1.89</v>
          </cell>
          <cell r="D2896" t="str">
            <v>-</v>
          </cell>
          <cell r="F2896">
            <v>3</v>
          </cell>
          <cell r="H2896" t="str">
            <v>-</v>
          </cell>
          <cell r="I2896" t="str">
            <v>-</v>
          </cell>
          <cell r="K2896">
            <v>3</v>
          </cell>
          <cell r="L2896">
            <v>2.48</v>
          </cell>
          <cell r="M2896">
            <v>4.2426406871192848</v>
          </cell>
          <cell r="O2896" t="str">
            <v>-</v>
          </cell>
          <cell r="T2896" t="str">
            <v>-</v>
          </cell>
          <cell r="U2896">
            <v>0.1875</v>
          </cell>
        </row>
        <row r="2897">
          <cell r="B2897" t="str">
            <v>HSS3X3X1/8</v>
          </cell>
          <cell r="C2897">
            <v>1.3</v>
          </cell>
          <cell r="D2897" t="str">
            <v>-</v>
          </cell>
          <cell r="F2897">
            <v>3</v>
          </cell>
          <cell r="H2897" t="str">
            <v>-</v>
          </cell>
          <cell r="I2897" t="str">
            <v>-</v>
          </cell>
          <cell r="K2897">
            <v>3</v>
          </cell>
          <cell r="L2897">
            <v>2.65</v>
          </cell>
          <cell r="M2897">
            <v>4.2426406871192848</v>
          </cell>
          <cell r="O2897" t="str">
            <v>-</v>
          </cell>
          <cell r="T2897" t="str">
            <v>-</v>
          </cell>
          <cell r="U2897">
            <v>0.125</v>
          </cell>
        </row>
        <row r="2898">
          <cell r="B2898" t="str">
            <v>HSS3X2-1/2X5/16</v>
          </cell>
          <cell r="C2898">
            <v>2.64</v>
          </cell>
          <cell r="D2898" t="str">
            <v>-</v>
          </cell>
          <cell r="F2898">
            <v>3</v>
          </cell>
          <cell r="H2898" t="str">
            <v>-</v>
          </cell>
          <cell r="I2898" t="str">
            <v>-</v>
          </cell>
          <cell r="K2898">
            <v>2.5</v>
          </cell>
          <cell r="L2898">
            <v>1.63</v>
          </cell>
          <cell r="M2898">
            <v>3.905124837953327</v>
          </cell>
          <cell r="O2898" t="str">
            <v>-</v>
          </cell>
          <cell r="T2898" t="str">
            <v>-</v>
          </cell>
          <cell r="U2898">
            <v>0.3125</v>
          </cell>
        </row>
        <row r="2899">
          <cell r="B2899" t="str">
            <v>HSS3X2-1/2X1/4</v>
          </cell>
          <cell r="C2899">
            <v>2.21</v>
          </cell>
          <cell r="D2899" t="str">
            <v>-</v>
          </cell>
          <cell r="F2899">
            <v>3</v>
          </cell>
          <cell r="H2899" t="str">
            <v>-</v>
          </cell>
          <cell r="I2899" t="str">
            <v>-</v>
          </cell>
          <cell r="K2899">
            <v>2.5</v>
          </cell>
          <cell r="L2899">
            <v>1.8</v>
          </cell>
          <cell r="M2899">
            <v>3.905124837953327</v>
          </cell>
          <cell r="O2899" t="str">
            <v>-</v>
          </cell>
          <cell r="T2899" t="str">
            <v>-</v>
          </cell>
          <cell r="U2899">
            <v>0.25</v>
          </cell>
        </row>
        <row r="2900">
          <cell r="B2900" t="str">
            <v>HSS3X2-1/2X3/16</v>
          </cell>
          <cell r="C2900">
            <v>1.71</v>
          </cell>
          <cell r="D2900" t="str">
            <v>-</v>
          </cell>
          <cell r="F2900">
            <v>3</v>
          </cell>
          <cell r="H2900" t="str">
            <v>-</v>
          </cell>
          <cell r="I2900" t="str">
            <v>-</v>
          </cell>
          <cell r="K2900">
            <v>2.5</v>
          </cell>
          <cell r="L2900">
            <v>1.98</v>
          </cell>
          <cell r="M2900">
            <v>3.905124837953327</v>
          </cell>
          <cell r="O2900" t="str">
            <v>-</v>
          </cell>
          <cell r="T2900" t="str">
            <v>-</v>
          </cell>
          <cell r="U2900">
            <v>0.1875</v>
          </cell>
        </row>
        <row r="2901">
          <cell r="B2901" t="str">
            <v>HSS3X2-1/2X1/8</v>
          </cell>
          <cell r="C2901">
            <v>1.19</v>
          </cell>
          <cell r="D2901" t="str">
            <v>-</v>
          </cell>
          <cell r="F2901">
            <v>3</v>
          </cell>
          <cell r="H2901" t="str">
            <v>-</v>
          </cell>
          <cell r="I2901" t="str">
            <v>-</v>
          </cell>
          <cell r="K2901">
            <v>2.5</v>
          </cell>
          <cell r="L2901">
            <v>2.15</v>
          </cell>
          <cell r="M2901">
            <v>3.905124837953327</v>
          </cell>
          <cell r="O2901" t="str">
            <v>-</v>
          </cell>
          <cell r="T2901" t="str">
            <v>-</v>
          </cell>
          <cell r="U2901">
            <v>0.125</v>
          </cell>
        </row>
        <row r="2902">
          <cell r="B2902" t="str">
            <v>HSS3X2X5/16</v>
          </cell>
          <cell r="C2902">
            <v>2.35</v>
          </cell>
          <cell r="D2902" t="str">
            <v>-</v>
          </cell>
          <cell r="F2902">
            <v>3</v>
          </cell>
          <cell r="H2902" t="str">
            <v>-</v>
          </cell>
          <cell r="I2902" t="str">
            <v>-</v>
          </cell>
          <cell r="K2902">
            <v>2</v>
          </cell>
          <cell r="L2902">
            <v>1.1299999999999999</v>
          </cell>
          <cell r="M2902">
            <v>3.6055512754639891</v>
          </cell>
          <cell r="O2902" t="str">
            <v>-</v>
          </cell>
          <cell r="T2902" t="str">
            <v>-</v>
          </cell>
          <cell r="U2902">
            <v>0.3125</v>
          </cell>
        </row>
        <row r="2903">
          <cell r="B2903" t="str">
            <v>HSS3X2X1/4</v>
          </cell>
          <cell r="C2903">
            <v>1.97</v>
          </cell>
          <cell r="D2903" t="str">
            <v>-</v>
          </cell>
          <cell r="F2903">
            <v>3</v>
          </cell>
          <cell r="H2903" t="str">
            <v>-</v>
          </cell>
          <cell r="I2903" t="str">
            <v>-</v>
          </cell>
          <cell r="K2903">
            <v>2</v>
          </cell>
          <cell r="L2903">
            <v>1.3</v>
          </cell>
          <cell r="M2903">
            <v>3.6055512754639891</v>
          </cell>
          <cell r="O2903" t="str">
            <v>-</v>
          </cell>
          <cell r="T2903" t="str">
            <v>-</v>
          </cell>
          <cell r="U2903">
            <v>0.25</v>
          </cell>
        </row>
        <row r="2904">
          <cell r="B2904" t="str">
            <v>HSS3X2X3/16</v>
          </cell>
          <cell r="C2904">
            <v>1.54</v>
          </cell>
          <cell r="D2904" t="str">
            <v>-</v>
          </cell>
          <cell r="F2904">
            <v>3</v>
          </cell>
          <cell r="H2904" t="str">
            <v>-</v>
          </cell>
          <cell r="I2904" t="str">
            <v>-</v>
          </cell>
          <cell r="K2904">
            <v>2</v>
          </cell>
          <cell r="L2904">
            <v>1.48</v>
          </cell>
          <cell r="M2904">
            <v>3.6055512754639891</v>
          </cell>
          <cell r="O2904" t="str">
            <v>-</v>
          </cell>
          <cell r="T2904" t="str">
            <v>-</v>
          </cell>
          <cell r="U2904">
            <v>0.1875</v>
          </cell>
        </row>
        <row r="2905">
          <cell r="B2905" t="str">
            <v>HSS3X2X1/8</v>
          </cell>
          <cell r="C2905">
            <v>1.07</v>
          </cell>
          <cell r="D2905" t="str">
            <v>-</v>
          </cell>
          <cell r="F2905">
            <v>3</v>
          </cell>
          <cell r="H2905" t="str">
            <v>-</v>
          </cell>
          <cell r="I2905" t="str">
            <v>-</v>
          </cell>
          <cell r="K2905">
            <v>2</v>
          </cell>
          <cell r="L2905">
            <v>1.65</v>
          </cell>
          <cell r="M2905">
            <v>3.6055512754639891</v>
          </cell>
          <cell r="O2905" t="str">
            <v>-</v>
          </cell>
          <cell r="T2905" t="str">
            <v>-</v>
          </cell>
          <cell r="U2905">
            <v>0.125</v>
          </cell>
        </row>
        <row r="2906">
          <cell r="B2906" t="str">
            <v>HSS3X1-1/2X1/4</v>
          </cell>
          <cell r="C2906">
            <v>1.74</v>
          </cell>
          <cell r="D2906" t="str">
            <v>-</v>
          </cell>
          <cell r="F2906">
            <v>3</v>
          </cell>
          <cell r="H2906" t="str">
            <v>-</v>
          </cell>
          <cell r="I2906" t="str">
            <v>-</v>
          </cell>
          <cell r="K2906">
            <v>1.5</v>
          </cell>
          <cell r="L2906">
            <v>0.80100000000000005</v>
          </cell>
          <cell r="M2906">
            <v>3.3541019662496847</v>
          </cell>
          <cell r="O2906" t="str">
            <v>-</v>
          </cell>
          <cell r="T2906" t="str">
            <v>-</v>
          </cell>
          <cell r="U2906">
            <v>0.25</v>
          </cell>
        </row>
        <row r="2907">
          <cell r="B2907" t="str">
            <v>HSS3X1-1/2X3/16</v>
          </cell>
          <cell r="C2907">
            <v>1.37</v>
          </cell>
          <cell r="D2907" t="str">
            <v>-</v>
          </cell>
          <cell r="F2907">
            <v>3</v>
          </cell>
          <cell r="H2907" t="str">
            <v>-</v>
          </cell>
          <cell r="I2907" t="str">
            <v>-</v>
          </cell>
          <cell r="K2907">
            <v>1.5</v>
          </cell>
          <cell r="L2907">
            <v>0.97799999999999998</v>
          </cell>
          <cell r="M2907">
            <v>3.3541019662496847</v>
          </cell>
          <cell r="O2907" t="str">
            <v>-</v>
          </cell>
          <cell r="T2907" t="str">
            <v>-</v>
          </cell>
          <cell r="U2907">
            <v>0.1875</v>
          </cell>
        </row>
        <row r="2908">
          <cell r="B2908" t="str">
            <v>HSS3X1-1/2X1/8</v>
          </cell>
          <cell r="C2908">
            <v>0.95599999999999996</v>
          </cell>
          <cell r="D2908" t="str">
            <v>-</v>
          </cell>
          <cell r="F2908">
            <v>3</v>
          </cell>
          <cell r="H2908" t="str">
            <v>-</v>
          </cell>
          <cell r="I2908" t="str">
            <v>-</v>
          </cell>
          <cell r="K2908">
            <v>1.5</v>
          </cell>
          <cell r="L2908">
            <v>1.1499999999999999</v>
          </cell>
          <cell r="M2908">
            <v>3.3541019662496847</v>
          </cell>
          <cell r="O2908" t="str">
            <v>-</v>
          </cell>
          <cell r="T2908" t="str">
            <v>-</v>
          </cell>
          <cell r="U2908">
            <v>0.125</v>
          </cell>
        </row>
        <row r="2909">
          <cell r="B2909" t="str">
            <v>HSS3X1X3/16</v>
          </cell>
          <cell r="C2909">
            <v>1.19</v>
          </cell>
          <cell r="D2909" t="str">
            <v>-</v>
          </cell>
          <cell r="F2909">
            <v>3</v>
          </cell>
          <cell r="H2909" t="str">
            <v>-</v>
          </cell>
          <cell r="I2909" t="str">
            <v>-</v>
          </cell>
          <cell r="K2909">
            <v>1</v>
          </cell>
          <cell r="L2909">
            <v>0.47799999999999998</v>
          </cell>
          <cell r="M2909">
            <v>3.1622776601683795</v>
          </cell>
          <cell r="O2909" t="str">
            <v>-</v>
          </cell>
          <cell r="T2909" t="str">
            <v>-</v>
          </cell>
          <cell r="U2909">
            <v>0.1875</v>
          </cell>
        </row>
        <row r="2910">
          <cell r="B2910" t="str">
            <v>HSS3X1X1/8</v>
          </cell>
          <cell r="C2910">
            <v>0.84</v>
          </cell>
          <cell r="D2910" t="str">
            <v>-</v>
          </cell>
          <cell r="F2910">
            <v>3</v>
          </cell>
          <cell r="H2910" t="str">
            <v>-</v>
          </cell>
          <cell r="I2910" t="str">
            <v>-</v>
          </cell>
          <cell r="K2910">
            <v>1</v>
          </cell>
          <cell r="L2910">
            <v>0.65200000000000002</v>
          </cell>
          <cell r="M2910">
            <v>3.1622776601683795</v>
          </cell>
          <cell r="O2910" t="str">
            <v>-</v>
          </cell>
          <cell r="T2910" t="str">
            <v>-</v>
          </cell>
          <cell r="U2910">
            <v>0.125</v>
          </cell>
        </row>
        <row r="2911">
          <cell r="B2911" t="str">
            <v>HSS2-1/2X2-1/2X5/16</v>
          </cell>
          <cell r="C2911">
            <v>2.35</v>
          </cell>
          <cell r="D2911" t="str">
            <v>-</v>
          </cell>
          <cell r="F2911">
            <v>2.5</v>
          </cell>
          <cell r="H2911" t="str">
            <v>-</v>
          </cell>
          <cell r="I2911" t="str">
            <v>-</v>
          </cell>
          <cell r="K2911">
            <v>2.5</v>
          </cell>
          <cell r="L2911">
            <v>1.63</v>
          </cell>
          <cell r="M2911">
            <v>3.5355339059327378</v>
          </cell>
          <cell r="O2911" t="str">
            <v>-</v>
          </cell>
          <cell r="T2911" t="str">
            <v>-</v>
          </cell>
          <cell r="U2911">
            <v>0.3125</v>
          </cell>
        </row>
        <row r="2912">
          <cell r="B2912" t="str">
            <v>HSS2-1/2X2-1/2X1/4</v>
          </cell>
          <cell r="C2912">
            <v>1.97</v>
          </cell>
          <cell r="D2912" t="str">
            <v>-</v>
          </cell>
          <cell r="F2912">
            <v>2.5</v>
          </cell>
          <cell r="H2912" t="str">
            <v>-</v>
          </cell>
          <cell r="I2912" t="str">
            <v>-</v>
          </cell>
          <cell r="K2912">
            <v>2.5</v>
          </cell>
          <cell r="L2912">
            <v>1.8</v>
          </cell>
          <cell r="M2912">
            <v>3.5355339059327378</v>
          </cell>
          <cell r="O2912" t="str">
            <v>-</v>
          </cell>
          <cell r="T2912" t="str">
            <v>-</v>
          </cell>
          <cell r="U2912">
            <v>0.25</v>
          </cell>
        </row>
        <row r="2913">
          <cell r="B2913" t="str">
            <v>HSS2-1/2X2-1/2X3/16</v>
          </cell>
          <cell r="C2913">
            <v>1.54</v>
          </cell>
          <cell r="D2913" t="str">
            <v>-</v>
          </cell>
          <cell r="F2913">
            <v>2.5</v>
          </cell>
          <cell r="H2913" t="str">
            <v>-</v>
          </cell>
          <cell r="I2913" t="str">
            <v>-</v>
          </cell>
          <cell r="K2913">
            <v>2.5</v>
          </cell>
          <cell r="L2913">
            <v>1.98</v>
          </cell>
          <cell r="M2913">
            <v>3.5355339059327378</v>
          </cell>
          <cell r="O2913" t="str">
            <v>-</v>
          </cell>
          <cell r="T2913" t="str">
            <v>-</v>
          </cell>
          <cell r="U2913">
            <v>0.1875</v>
          </cell>
        </row>
        <row r="2914">
          <cell r="B2914" t="str">
            <v>HSS2-1/2X2-1/2X1/8</v>
          </cell>
          <cell r="C2914">
            <v>1.07</v>
          </cell>
          <cell r="D2914" t="str">
            <v>-</v>
          </cell>
          <cell r="F2914">
            <v>2.5</v>
          </cell>
          <cell r="H2914" t="str">
            <v>-</v>
          </cell>
          <cell r="I2914" t="str">
            <v>-</v>
          </cell>
          <cell r="K2914">
            <v>2.5</v>
          </cell>
          <cell r="L2914">
            <v>2.15</v>
          </cell>
          <cell r="M2914">
            <v>3.5355339059327378</v>
          </cell>
          <cell r="O2914" t="str">
            <v>-</v>
          </cell>
          <cell r="T2914" t="str">
            <v>-</v>
          </cell>
          <cell r="U2914">
            <v>0.125</v>
          </cell>
        </row>
        <row r="2915">
          <cell r="B2915" t="str">
            <v>HSS2-1/2X2X1/4</v>
          </cell>
          <cell r="C2915">
            <v>1.74</v>
          </cell>
          <cell r="D2915" t="str">
            <v>-</v>
          </cell>
          <cell r="F2915">
            <v>2.5</v>
          </cell>
          <cell r="H2915" t="str">
            <v>-</v>
          </cell>
          <cell r="I2915" t="str">
            <v>-</v>
          </cell>
          <cell r="K2915">
            <v>2</v>
          </cell>
          <cell r="L2915">
            <v>1.3</v>
          </cell>
          <cell r="M2915">
            <v>3.2015621187164243</v>
          </cell>
          <cell r="O2915" t="str">
            <v>-</v>
          </cell>
          <cell r="T2915" t="str">
            <v>-</v>
          </cell>
          <cell r="U2915">
            <v>0.25</v>
          </cell>
        </row>
        <row r="2916">
          <cell r="B2916" t="str">
            <v>HSS2-1/2X2X3/16</v>
          </cell>
          <cell r="C2916">
            <v>1.37</v>
          </cell>
          <cell r="D2916" t="str">
            <v>-</v>
          </cell>
          <cell r="F2916">
            <v>2.5</v>
          </cell>
          <cell r="H2916" t="str">
            <v>-</v>
          </cell>
          <cell r="I2916" t="str">
            <v>-</v>
          </cell>
          <cell r="K2916">
            <v>2</v>
          </cell>
          <cell r="L2916">
            <v>1.48</v>
          </cell>
          <cell r="M2916">
            <v>3.2015621187164243</v>
          </cell>
          <cell r="O2916" t="str">
            <v>-</v>
          </cell>
          <cell r="T2916" t="str">
            <v>-</v>
          </cell>
          <cell r="U2916">
            <v>0.1875</v>
          </cell>
        </row>
        <row r="2917">
          <cell r="B2917" t="str">
            <v>HSS2-1/2X2X1/8</v>
          </cell>
          <cell r="C2917">
            <v>0.95599999999999996</v>
          </cell>
          <cell r="D2917" t="str">
            <v>-</v>
          </cell>
          <cell r="F2917">
            <v>2.5</v>
          </cell>
          <cell r="H2917" t="str">
            <v>-</v>
          </cell>
          <cell r="I2917" t="str">
            <v>-</v>
          </cell>
          <cell r="K2917">
            <v>2</v>
          </cell>
          <cell r="L2917">
            <v>1.65</v>
          </cell>
          <cell r="M2917">
            <v>3.2015621187164243</v>
          </cell>
          <cell r="O2917" t="str">
            <v>-</v>
          </cell>
          <cell r="T2917" t="str">
            <v>-</v>
          </cell>
          <cell r="U2917">
            <v>0.125</v>
          </cell>
        </row>
        <row r="2918">
          <cell r="B2918" t="str">
            <v>HSS2-1/2X1-1/2X1/4</v>
          </cell>
          <cell r="C2918">
            <v>1.51</v>
          </cell>
          <cell r="D2918" t="str">
            <v>-</v>
          </cell>
          <cell r="F2918">
            <v>2.5</v>
          </cell>
          <cell r="H2918" t="str">
            <v>-</v>
          </cell>
          <cell r="I2918" t="str">
            <v>-</v>
          </cell>
          <cell r="K2918">
            <v>1.5</v>
          </cell>
          <cell r="L2918">
            <v>0.80100000000000005</v>
          </cell>
          <cell r="M2918">
            <v>2.9154759474226504</v>
          </cell>
          <cell r="O2918" t="str">
            <v>-</v>
          </cell>
          <cell r="T2918" t="str">
            <v>-</v>
          </cell>
          <cell r="U2918">
            <v>0.25</v>
          </cell>
        </row>
        <row r="2919">
          <cell r="B2919" t="str">
            <v>HSS2-1/2X1-1/2X3/16</v>
          </cell>
          <cell r="C2919">
            <v>1.19</v>
          </cell>
          <cell r="D2919" t="str">
            <v>-</v>
          </cell>
          <cell r="F2919">
            <v>2.5</v>
          </cell>
          <cell r="H2919" t="str">
            <v>-</v>
          </cell>
          <cell r="I2919" t="str">
            <v>-</v>
          </cell>
          <cell r="K2919">
            <v>1.5</v>
          </cell>
          <cell r="L2919">
            <v>0.97799999999999998</v>
          </cell>
          <cell r="M2919">
            <v>2.9154759474226504</v>
          </cell>
          <cell r="O2919" t="str">
            <v>-</v>
          </cell>
          <cell r="T2919" t="str">
            <v>-</v>
          </cell>
          <cell r="U2919">
            <v>0.1875</v>
          </cell>
        </row>
        <row r="2920">
          <cell r="B2920" t="str">
            <v>HSS2-1/2X1-1/2X1/8</v>
          </cell>
          <cell r="C2920">
            <v>0.84</v>
          </cell>
          <cell r="D2920" t="str">
            <v>-</v>
          </cell>
          <cell r="F2920">
            <v>2.5</v>
          </cell>
          <cell r="H2920" t="str">
            <v>-</v>
          </cell>
          <cell r="I2920" t="str">
            <v>-</v>
          </cell>
          <cell r="K2920">
            <v>1.5</v>
          </cell>
          <cell r="L2920">
            <v>1.1499999999999999</v>
          </cell>
          <cell r="M2920">
            <v>2.9154759474226504</v>
          </cell>
          <cell r="O2920" t="str">
            <v>-</v>
          </cell>
          <cell r="T2920" t="str">
            <v>-</v>
          </cell>
          <cell r="U2920">
            <v>0.125</v>
          </cell>
        </row>
        <row r="2921">
          <cell r="B2921" t="str">
            <v>HSS2-1/2X1X3/16</v>
          </cell>
          <cell r="C2921">
            <v>1.02</v>
          </cell>
          <cell r="D2921" t="str">
            <v>-</v>
          </cell>
          <cell r="F2921">
            <v>2.5</v>
          </cell>
          <cell r="H2921" t="str">
            <v>-</v>
          </cell>
          <cell r="I2921" t="str">
            <v>-</v>
          </cell>
          <cell r="K2921">
            <v>1</v>
          </cell>
          <cell r="L2921">
            <v>0.47799999999999998</v>
          </cell>
          <cell r="M2921">
            <v>2.6925824035672519</v>
          </cell>
          <cell r="O2921" t="str">
            <v>-</v>
          </cell>
          <cell r="T2921" t="str">
            <v>-</v>
          </cell>
          <cell r="U2921">
            <v>0.1875</v>
          </cell>
        </row>
        <row r="2922">
          <cell r="B2922" t="str">
            <v>HSS2-1/2X1X1/8</v>
          </cell>
          <cell r="C2922">
            <v>0.72399999999999998</v>
          </cell>
          <cell r="D2922" t="str">
            <v>-</v>
          </cell>
          <cell r="F2922">
            <v>2.5</v>
          </cell>
          <cell r="H2922" t="str">
            <v>-</v>
          </cell>
          <cell r="I2922" t="str">
            <v>-</v>
          </cell>
          <cell r="K2922">
            <v>1</v>
          </cell>
          <cell r="L2922">
            <v>0.65200000000000002</v>
          </cell>
          <cell r="M2922">
            <v>2.6925824035672519</v>
          </cell>
          <cell r="O2922" t="str">
            <v>-</v>
          </cell>
          <cell r="T2922" t="str">
            <v>-</v>
          </cell>
          <cell r="U2922">
            <v>0.125</v>
          </cell>
        </row>
        <row r="2923">
          <cell r="B2923" t="str">
            <v>HSS2-1/4X2-1/4X1/4</v>
          </cell>
          <cell r="C2923">
            <v>1.74</v>
          </cell>
          <cell r="D2923" t="str">
            <v>-</v>
          </cell>
          <cell r="F2923">
            <v>2.25</v>
          </cell>
          <cell r="H2923" t="str">
            <v>-</v>
          </cell>
          <cell r="I2923" t="str">
            <v>-</v>
          </cell>
          <cell r="K2923">
            <v>2.25</v>
          </cell>
          <cell r="L2923">
            <v>1.55</v>
          </cell>
          <cell r="M2923">
            <v>3.1819805153394638</v>
          </cell>
          <cell r="O2923" t="str">
            <v>-</v>
          </cell>
          <cell r="T2923" t="str">
            <v>-</v>
          </cell>
          <cell r="U2923">
            <v>0.25</v>
          </cell>
        </row>
        <row r="2924">
          <cell r="B2924" t="str">
            <v>HSS2-1/4X2-1/4X3/16</v>
          </cell>
          <cell r="C2924">
            <v>1.37</v>
          </cell>
          <cell r="D2924" t="str">
            <v>-</v>
          </cell>
          <cell r="F2924">
            <v>2.25</v>
          </cell>
          <cell r="H2924" t="str">
            <v>-</v>
          </cell>
          <cell r="I2924" t="str">
            <v>-</v>
          </cell>
          <cell r="K2924">
            <v>2.25</v>
          </cell>
          <cell r="L2924">
            <v>1.73</v>
          </cell>
          <cell r="M2924">
            <v>3.1819805153394638</v>
          </cell>
          <cell r="O2924" t="str">
            <v>-</v>
          </cell>
          <cell r="T2924" t="str">
            <v>-</v>
          </cell>
          <cell r="U2924">
            <v>0.1875</v>
          </cell>
        </row>
        <row r="2925">
          <cell r="B2925" t="str">
            <v>HSS2-1/4X2-1/4X1/8</v>
          </cell>
          <cell r="C2925">
            <v>0.95599999999999996</v>
          </cell>
          <cell r="D2925" t="str">
            <v>-</v>
          </cell>
          <cell r="F2925">
            <v>2.25</v>
          </cell>
          <cell r="H2925" t="str">
            <v>-</v>
          </cell>
          <cell r="I2925" t="str">
            <v>-</v>
          </cell>
          <cell r="K2925">
            <v>2.25</v>
          </cell>
          <cell r="L2925">
            <v>1.9</v>
          </cell>
          <cell r="M2925">
            <v>3.1819805153394638</v>
          </cell>
          <cell r="O2925" t="str">
            <v>-</v>
          </cell>
          <cell r="T2925" t="str">
            <v>-</v>
          </cell>
          <cell r="U2925">
            <v>0.125</v>
          </cell>
        </row>
        <row r="2926">
          <cell r="B2926" t="str">
            <v>HSS2X2X1/4</v>
          </cell>
          <cell r="C2926">
            <v>1.51</v>
          </cell>
          <cell r="D2926" t="str">
            <v>-</v>
          </cell>
          <cell r="F2926">
            <v>2</v>
          </cell>
          <cell r="H2926" t="str">
            <v>-</v>
          </cell>
          <cell r="I2926" t="str">
            <v>-</v>
          </cell>
          <cell r="K2926">
            <v>2</v>
          </cell>
          <cell r="L2926">
            <v>1.3</v>
          </cell>
          <cell r="M2926">
            <v>2.8284271247461903</v>
          </cell>
          <cell r="O2926" t="str">
            <v>-</v>
          </cell>
          <cell r="T2926" t="str">
            <v>-</v>
          </cell>
          <cell r="U2926">
            <v>0.25</v>
          </cell>
        </row>
        <row r="2927">
          <cell r="B2927" t="str">
            <v>HSS2X2X3/16</v>
          </cell>
          <cell r="C2927">
            <v>1.19</v>
          </cell>
          <cell r="D2927" t="str">
            <v>-</v>
          </cell>
          <cell r="F2927">
            <v>2</v>
          </cell>
          <cell r="H2927" t="str">
            <v>-</v>
          </cell>
          <cell r="I2927" t="str">
            <v>-</v>
          </cell>
          <cell r="K2927">
            <v>2</v>
          </cell>
          <cell r="L2927">
            <v>1.48</v>
          </cell>
          <cell r="M2927">
            <v>2.8284271247461903</v>
          </cell>
          <cell r="O2927" t="str">
            <v>-</v>
          </cell>
          <cell r="T2927" t="str">
            <v>-</v>
          </cell>
          <cell r="U2927">
            <v>0.1875</v>
          </cell>
        </row>
        <row r="2928">
          <cell r="B2928" t="str">
            <v>HSS2X2X1/8</v>
          </cell>
          <cell r="C2928">
            <v>0.84</v>
          </cell>
          <cell r="D2928" t="str">
            <v>-</v>
          </cell>
          <cell r="F2928">
            <v>2</v>
          </cell>
          <cell r="H2928" t="str">
            <v>-</v>
          </cell>
          <cell r="I2928" t="str">
            <v>-</v>
          </cell>
          <cell r="K2928">
            <v>2</v>
          </cell>
          <cell r="L2928">
            <v>1.65</v>
          </cell>
          <cell r="M2928">
            <v>2.8284271247461903</v>
          </cell>
          <cell r="O2928" t="str">
            <v>-</v>
          </cell>
          <cell r="T2928" t="str">
            <v>-</v>
          </cell>
          <cell r="U2928">
            <v>0.125</v>
          </cell>
        </row>
        <row r="2929">
          <cell r="B2929" t="str">
            <v>HSS2X1-1/2X3/16</v>
          </cell>
          <cell r="C2929">
            <v>1.02</v>
          </cell>
          <cell r="D2929" t="str">
            <v>-</v>
          </cell>
          <cell r="F2929">
            <v>2</v>
          </cell>
          <cell r="H2929" t="str">
            <v>-</v>
          </cell>
          <cell r="I2929" t="str">
            <v>-</v>
          </cell>
          <cell r="K2929">
            <v>1.5</v>
          </cell>
          <cell r="L2929">
            <v>0.97799999999999998</v>
          </cell>
          <cell r="M2929">
            <v>2.5</v>
          </cell>
          <cell r="O2929" t="str">
            <v>-</v>
          </cell>
          <cell r="T2929" t="str">
            <v>-</v>
          </cell>
          <cell r="U2929">
            <v>0.1875</v>
          </cell>
        </row>
        <row r="2930">
          <cell r="B2930" t="str">
            <v>HSS2X1-1/2X1/8</v>
          </cell>
          <cell r="C2930">
            <v>0.72399999999999998</v>
          </cell>
          <cell r="D2930" t="str">
            <v>-</v>
          </cell>
          <cell r="F2930">
            <v>2</v>
          </cell>
          <cell r="H2930" t="str">
            <v>-</v>
          </cell>
          <cell r="I2930" t="str">
            <v>-</v>
          </cell>
          <cell r="K2930">
            <v>1.5</v>
          </cell>
          <cell r="L2930">
            <v>1.1499999999999999</v>
          </cell>
          <cell r="M2930">
            <v>2.5</v>
          </cell>
          <cell r="O2930" t="str">
            <v>-</v>
          </cell>
          <cell r="T2930" t="str">
            <v>-</v>
          </cell>
          <cell r="U2930">
            <v>0.125</v>
          </cell>
        </row>
        <row r="2931">
          <cell r="B2931" t="str">
            <v>HSS2X1X3/16</v>
          </cell>
          <cell r="C2931">
            <v>0.84499999999999997</v>
          </cell>
          <cell r="D2931" t="str">
            <v>-</v>
          </cell>
          <cell r="F2931">
            <v>2</v>
          </cell>
          <cell r="H2931" t="str">
            <v>-</v>
          </cell>
          <cell r="I2931" t="str">
            <v>-</v>
          </cell>
          <cell r="K2931">
            <v>1</v>
          </cell>
          <cell r="L2931">
            <v>0.47799999999999998</v>
          </cell>
          <cell r="M2931">
            <v>2.2360679774997898</v>
          </cell>
          <cell r="O2931" t="str">
            <v>-</v>
          </cell>
          <cell r="T2931" t="str">
            <v>-</v>
          </cell>
          <cell r="U2931">
            <v>0.1875</v>
          </cell>
        </row>
        <row r="2932">
          <cell r="B2932" t="str">
            <v>HSS2X1X1/8</v>
          </cell>
          <cell r="C2932">
            <v>0.60799999999999998</v>
          </cell>
          <cell r="D2932" t="str">
            <v>-</v>
          </cell>
          <cell r="F2932">
            <v>2</v>
          </cell>
          <cell r="H2932" t="str">
            <v>-</v>
          </cell>
          <cell r="I2932" t="str">
            <v>-</v>
          </cell>
          <cell r="K2932">
            <v>1</v>
          </cell>
          <cell r="L2932">
            <v>0.65200000000000002</v>
          </cell>
          <cell r="M2932">
            <v>2.2360679774997898</v>
          </cell>
          <cell r="O2932" t="str">
            <v>-</v>
          </cell>
          <cell r="T2932" t="str">
            <v>-</v>
          </cell>
          <cell r="U2932">
            <v>0.125</v>
          </cell>
        </row>
        <row r="2933">
          <cell r="B2933" t="str">
            <v>HSS1-1/2X1-1/2X1/4</v>
          </cell>
          <cell r="C2933">
            <v>1.04</v>
          </cell>
          <cell r="D2933" t="str">
            <v>-</v>
          </cell>
          <cell r="F2933">
            <v>1.5</v>
          </cell>
          <cell r="H2933" t="str">
            <v>-</v>
          </cell>
          <cell r="I2933" t="str">
            <v>-</v>
          </cell>
          <cell r="K2933">
            <v>1.5</v>
          </cell>
          <cell r="L2933" t="str">
            <v>0.801</v>
          </cell>
          <cell r="M2933">
            <v>2.1213203435596424</v>
          </cell>
          <cell r="O2933" t="str">
            <v>-</v>
          </cell>
          <cell r="T2933" t="str">
            <v>-</v>
          </cell>
          <cell r="U2933">
            <v>0.25</v>
          </cell>
        </row>
        <row r="2934">
          <cell r="B2934" t="str">
            <v>HSS1-1/2X1-1/2X3/16</v>
          </cell>
          <cell r="C2934">
            <v>0.84499999999999997</v>
          </cell>
          <cell r="D2934" t="str">
            <v>-</v>
          </cell>
          <cell r="F2934">
            <v>1.5</v>
          </cell>
          <cell r="H2934" t="str">
            <v>-</v>
          </cell>
          <cell r="I2934" t="str">
            <v>-</v>
          </cell>
          <cell r="K2934">
            <v>1.5</v>
          </cell>
          <cell r="L2934" t="str">
            <v>0.978</v>
          </cell>
          <cell r="M2934">
            <v>2.1213203435596424</v>
          </cell>
          <cell r="O2934" t="str">
            <v>-</v>
          </cell>
          <cell r="T2934" t="str">
            <v>-</v>
          </cell>
          <cell r="U2934">
            <v>0.188</v>
          </cell>
        </row>
        <row r="2935">
          <cell r="B2935" t="str">
            <v>HSS1-1/2X1-1/2X1/8</v>
          </cell>
          <cell r="C2935">
            <v>0.60799999999999998</v>
          </cell>
          <cell r="D2935" t="str">
            <v>-</v>
          </cell>
          <cell r="F2935">
            <v>1.5</v>
          </cell>
          <cell r="H2935" t="str">
            <v>-</v>
          </cell>
          <cell r="I2935" t="str">
            <v>-</v>
          </cell>
          <cell r="K2935">
            <v>1.5</v>
          </cell>
          <cell r="L2935" t="str">
            <v>1.15</v>
          </cell>
          <cell r="M2935">
            <v>2.1213203435596424</v>
          </cell>
          <cell r="O2935" t="str">
            <v>-</v>
          </cell>
          <cell r="T2935" t="str">
            <v>-</v>
          </cell>
          <cell r="U2935">
            <v>0.125</v>
          </cell>
        </row>
        <row r="2936">
          <cell r="B2936" t="str">
            <v>HSS28.000X1.000</v>
          </cell>
          <cell r="C2936">
            <v>79.099999999999994</v>
          </cell>
          <cell r="D2936" t="str">
            <v>-</v>
          </cell>
          <cell r="F2936" t="str">
            <v>-</v>
          </cell>
          <cell r="H2936">
            <v>28</v>
          </cell>
          <cell r="I2936" t="str">
            <v>-</v>
          </cell>
          <cell r="K2936" t="str">
            <v>-</v>
          </cell>
          <cell r="L2936" t="str">
            <v>-</v>
          </cell>
          <cell r="M2936">
            <v>28</v>
          </cell>
          <cell r="O2936" t="str">
            <v>-</v>
          </cell>
          <cell r="T2936" t="str">
            <v>-</v>
          </cell>
          <cell r="U2936">
            <v>1</v>
          </cell>
        </row>
        <row r="2937">
          <cell r="B2937" t="str">
            <v>HSS28.000X0.875</v>
          </cell>
          <cell r="C2937">
            <v>69.5</v>
          </cell>
          <cell r="D2937" t="str">
            <v>-</v>
          </cell>
          <cell r="F2937" t="str">
            <v>-</v>
          </cell>
          <cell r="H2937">
            <v>28</v>
          </cell>
          <cell r="I2937" t="str">
            <v>-</v>
          </cell>
          <cell r="K2937" t="str">
            <v>-</v>
          </cell>
          <cell r="L2937" t="str">
            <v>-</v>
          </cell>
          <cell r="M2937">
            <v>28</v>
          </cell>
          <cell r="O2937" t="str">
            <v>-</v>
          </cell>
          <cell r="T2937" t="str">
            <v>-</v>
          </cell>
          <cell r="U2937">
            <v>0.875</v>
          </cell>
        </row>
        <row r="2938">
          <cell r="B2938" t="str">
            <v>HSS28.000X0.750</v>
          </cell>
          <cell r="C2938">
            <v>59.8</v>
          </cell>
          <cell r="D2938" t="str">
            <v>-</v>
          </cell>
          <cell r="F2938" t="str">
            <v>-</v>
          </cell>
          <cell r="H2938">
            <v>28</v>
          </cell>
          <cell r="I2938" t="str">
            <v>-</v>
          </cell>
          <cell r="K2938" t="str">
            <v>-</v>
          </cell>
          <cell r="L2938" t="str">
            <v>-</v>
          </cell>
          <cell r="M2938">
            <v>28</v>
          </cell>
          <cell r="O2938" t="str">
            <v>-</v>
          </cell>
          <cell r="T2938" t="str">
            <v>-</v>
          </cell>
          <cell r="U2938">
            <v>0.75</v>
          </cell>
        </row>
        <row r="2939">
          <cell r="B2939" t="str">
            <v>HSS28.000X0.625</v>
          </cell>
          <cell r="C2939">
            <v>50.1</v>
          </cell>
          <cell r="D2939" t="str">
            <v>-</v>
          </cell>
          <cell r="F2939" t="str">
            <v>-</v>
          </cell>
          <cell r="H2939">
            <v>28</v>
          </cell>
          <cell r="I2939" t="str">
            <v>-</v>
          </cell>
          <cell r="K2939" t="str">
            <v>-</v>
          </cell>
          <cell r="L2939" t="str">
            <v>-</v>
          </cell>
          <cell r="M2939">
            <v>28</v>
          </cell>
          <cell r="O2939" t="str">
            <v>-</v>
          </cell>
          <cell r="T2939" t="str">
            <v>-</v>
          </cell>
          <cell r="U2939">
            <v>0.625</v>
          </cell>
        </row>
        <row r="2940">
          <cell r="B2940" t="str">
            <v>HSS28.000X0.500</v>
          </cell>
          <cell r="C2940">
            <v>40.200000000000003</v>
          </cell>
          <cell r="D2940" t="str">
            <v>-</v>
          </cell>
          <cell r="F2940" t="str">
            <v>-</v>
          </cell>
          <cell r="H2940">
            <v>28</v>
          </cell>
          <cell r="I2940" t="str">
            <v>-</v>
          </cell>
          <cell r="K2940" t="str">
            <v>-</v>
          </cell>
          <cell r="L2940" t="str">
            <v>-</v>
          </cell>
          <cell r="M2940">
            <v>28</v>
          </cell>
          <cell r="O2940" t="str">
            <v>-</v>
          </cell>
          <cell r="T2940" t="str">
            <v>-</v>
          </cell>
          <cell r="U2940">
            <v>0.5</v>
          </cell>
        </row>
        <row r="2941">
          <cell r="B2941" t="str">
            <v>HSS28.000X0.375</v>
          </cell>
          <cell r="C2941">
            <v>30.3</v>
          </cell>
          <cell r="D2941" t="str">
            <v>-</v>
          </cell>
          <cell r="F2941" t="str">
            <v>-</v>
          </cell>
          <cell r="H2941">
            <v>28</v>
          </cell>
          <cell r="I2941" t="str">
            <v>-</v>
          </cell>
          <cell r="K2941" t="str">
            <v>-</v>
          </cell>
          <cell r="L2941" t="str">
            <v>-</v>
          </cell>
          <cell r="M2941">
            <v>28</v>
          </cell>
          <cell r="O2941" t="str">
            <v>-</v>
          </cell>
          <cell r="T2941" t="str">
            <v>-</v>
          </cell>
          <cell r="U2941">
            <v>0.375</v>
          </cell>
        </row>
        <row r="2942">
          <cell r="B2942" t="str">
            <v>HSS26.000X0.750</v>
          </cell>
          <cell r="C2942">
            <v>55.4</v>
          </cell>
          <cell r="D2942" t="str">
            <v>-</v>
          </cell>
          <cell r="F2942" t="str">
            <v>-</v>
          </cell>
          <cell r="H2942">
            <v>26</v>
          </cell>
          <cell r="I2942" t="str">
            <v>-</v>
          </cell>
          <cell r="K2942" t="str">
            <v>-</v>
          </cell>
          <cell r="L2942" t="str">
            <v>-</v>
          </cell>
          <cell r="M2942">
            <v>26</v>
          </cell>
          <cell r="O2942" t="str">
            <v>-</v>
          </cell>
          <cell r="T2942" t="str">
            <v>-</v>
          </cell>
          <cell r="U2942">
            <v>0.75</v>
          </cell>
        </row>
        <row r="2943">
          <cell r="B2943" t="str">
            <v>HSS26.000X0.625</v>
          </cell>
          <cell r="C2943">
            <v>46.4</v>
          </cell>
          <cell r="D2943" t="str">
            <v>-</v>
          </cell>
          <cell r="F2943" t="str">
            <v>-</v>
          </cell>
          <cell r="H2943">
            <v>26</v>
          </cell>
          <cell r="I2943" t="str">
            <v>-</v>
          </cell>
          <cell r="K2943" t="str">
            <v>-</v>
          </cell>
          <cell r="L2943" t="str">
            <v>-</v>
          </cell>
          <cell r="M2943">
            <v>26</v>
          </cell>
          <cell r="O2943" t="str">
            <v>-</v>
          </cell>
          <cell r="T2943" t="str">
            <v>-</v>
          </cell>
          <cell r="U2943">
            <v>0.625</v>
          </cell>
        </row>
        <row r="2944">
          <cell r="B2944" t="str">
            <v>HSS26.000X0.500</v>
          </cell>
          <cell r="C2944">
            <v>37.299999999999997</v>
          </cell>
          <cell r="D2944" t="str">
            <v>-</v>
          </cell>
          <cell r="F2944" t="str">
            <v>-</v>
          </cell>
          <cell r="H2944">
            <v>26</v>
          </cell>
          <cell r="I2944" t="str">
            <v>-</v>
          </cell>
          <cell r="K2944" t="str">
            <v>-</v>
          </cell>
          <cell r="L2944" t="str">
            <v>-</v>
          </cell>
          <cell r="M2944">
            <v>26</v>
          </cell>
          <cell r="O2944" t="str">
            <v>-</v>
          </cell>
          <cell r="T2944" t="str">
            <v>-</v>
          </cell>
          <cell r="U2944">
            <v>0.5</v>
          </cell>
        </row>
        <row r="2945">
          <cell r="B2945" t="str">
            <v>HSS26.000X0.375</v>
          </cell>
          <cell r="C2945">
            <v>28.1</v>
          </cell>
          <cell r="D2945" t="str">
            <v>-</v>
          </cell>
          <cell r="F2945" t="str">
            <v>-</v>
          </cell>
          <cell r="H2945">
            <v>26</v>
          </cell>
          <cell r="I2945" t="str">
            <v>-</v>
          </cell>
          <cell r="K2945" t="str">
            <v>-</v>
          </cell>
          <cell r="L2945" t="str">
            <v>-</v>
          </cell>
          <cell r="M2945">
            <v>26</v>
          </cell>
          <cell r="O2945" t="str">
            <v>-</v>
          </cell>
          <cell r="T2945" t="str">
            <v>-</v>
          </cell>
          <cell r="U2945">
            <v>0.375</v>
          </cell>
        </row>
        <row r="2946">
          <cell r="B2946" t="str">
            <v>HSS26.000X0.313</v>
          </cell>
          <cell r="C2946">
            <v>23.5</v>
          </cell>
          <cell r="D2946" t="str">
            <v>-</v>
          </cell>
          <cell r="F2946" t="str">
            <v>-</v>
          </cell>
          <cell r="H2946">
            <v>26</v>
          </cell>
          <cell r="I2946" t="str">
            <v>-</v>
          </cell>
          <cell r="K2946" t="str">
            <v>-</v>
          </cell>
          <cell r="L2946" t="str">
            <v>-</v>
          </cell>
          <cell r="M2946">
            <v>26</v>
          </cell>
          <cell r="O2946" t="str">
            <v>-</v>
          </cell>
          <cell r="T2946" t="str">
            <v>-</v>
          </cell>
          <cell r="U2946">
            <v>0.313</v>
          </cell>
        </row>
        <row r="2947">
          <cell r="B2947" t="str">
            <v>HSS24.000X1.000</v>
          </cell>
          <cell r="C2947">
            <v>67.400000000000006</v>
          </cell>
          <cell r="D2947" t="str">
            <v>-</v>
          </cell>
          <cell r="F2947" t="str">
            <v>-</v>
          </cell>
          <cell r="H2947">
            <v>24</v>
          </cell>
          <cell r="I2947" t="str">
            <v>-</v>
          </cell>
          <cell r="K2947" t="str">
            <v>-</v>
          </cell>
          <cell r="L2947" t="str">
            <v>-</v>
          </cell>
          <cell r="M2947">
            <v>24</v>
          </cell>
          <cell r="O2947" t="str">
            <v>-</v>
          </cell>
          <cell r="T2947" t="str">
            <v>-</v>
          </cell>
          <cell r="U2947">
            <v>1</v>
          </cell>
        </row>
        <row r="2948">
          <cell r="B2948" t="str">
            <v>HSS24.000X0.875</v>
          </cell>
          <cell r="C2948">
            <v>59.3</v>
          </cell>
          <cell r="D2948" t="str">
            <v>-</v>
          </cell>
          <cell r="F2948" t="str">
            <v>-</v>
          </cell>
          <cell r="H2948">
            <v>24</v>
          </cell>
          <cell r="I2948" t="str">
            <v>-</v>
          </cell>
          <cell r="K2948" t="str">
            <v>-</v>
          </cell>
          <cell r="L2948" t="str">
            <v>-</v>
          </cell>
          <cell r="M2948">
            <v>24</v>
          </cell>
          <cell r="O2948" t="str">
            <v>-</v>
          </cell>
          <cell r="T2948" t="str">
            <v>-</v>
          </cell>
          <cell r="U2948">
            <v>0.875</v>
          </cell>
        </row>
        <row r="2949">
          <cell r="B2949" t="str">
            <v>HSS24.000X0.750</v>
          </cell>
          <cell r="C2949">
            <v>51.1</v>
          </cell>
          <cell r="D2949" t="str">
            <v>-</v>
          </cell>
          <cell r="F2949" t="str">
            <v>-</v>
          </cell>
          <cell r="H2949">
            <v>24</v>
          </cell>
          <cell r="I2949" t="str">
            <v>-</v>
          </cell>
          <cell r="K2949" t="str">
            <v>-</v>
          </cell>
          <cell r="L2949" t="str">
            <v>-</v>
          </cell>
          <cell r="M2949">
            <v>24</v>
          </cell>
          <cell r="O2949" t="str">
            <v>-</v>
          </cell>
          <cell r="T2949" t="str">
            <v>-</v>
          </cell>
          <cell r="U2949">
            <v>0.75</v>
          </cell>
        </row>
        <row r="2950">
          <cell r="B2950" t="str">
            <v>HSS24.000X0.625</v>
          </cell>
          <cell r="C2950">
            <v>42.8</v>
          </cell>
          <cell r="D2950" t="str">
            <v>-</v>
          </cell>
          <cell r="F2950" t="str">
            <v>-</v>
          </cell>
          <cell r="H2950">
            <v>24</v>
          </cell>
          <cell r="I2950" t="str">
            <v>-</v>
          </cell>
          <cell r="K2950" t="str">
            <v>-</v>
          </cell>
          <cell r="L2950" t="str">
            <v>-</v>
          </cell>
          <cell r="M2950">
            <v>24</v>
          </cell>
          <cell r="O2950" t="str">
            <v>-</v>
          </cell>
          <cell r="T2950" t="str">
            <v>-</v>
          </cell>
          <cell r="U2950">
            <v>0.625</v>
          </cell>
        </row>
        <row r="2951">
          <cell r="B2951" t="str">
            <v>HSS24.000X0.500</v>
          </cell>
          <cell r="C2951">
            <v>34.4</v>
          </cell>
          <cell r="D2951" t="str">
            <v>-</v>
          </cell>
          <cell r="F2951" t="str">
            <v>-</v>
          </cell>
          <cell r="H2951">
            <v>24</v>
          </cell>
          <cell r="I2951" t="str">
            <v>-</v>
          </cell>
          <cell r="K2951" t="str">
            <v>-</v>
          </cell>
          <cell r="L2951" t="str">
            <v>-</v>
          </cell>
          <cell r="M2951">
            <v>24</v>
          </cell>
          <cell r="O2951" t="str">
            <v>-</v>
          </cell>
          <cell r="T2951" t="str">
            <v>-</v>
          </cell>
          <cell r="U2951">
            <v>0.5</v>
          </cell>
        </row>
        <row r="2952">
          <cell r="B2952" t="str">
            <v>HSS24.000X0.375</v>
          </cell>
          <cell r="C2952">
            <v>25.9</v>
          </cell>
          <cell r="D2952" t="str">
            <v>-</v>
          </cell>
          <cell r="F2952" t="str">
            <v>-</v>
          </cell>
          <cell r="H2952">
            <v>24</v>
          </cell>
          <cell r="I2952" t="str">
            <v>-</v>
          </cell>
          <cell r="K2952" t="str">
            <v>-</v>
          </cell>
          <cell r="L2952" t="str">
            <v>-</v>
          </cell>
          <cell r="M2952">
            <v>24</v>
          </cell>
          <cell r="O2952" t="str">
            <v>-</v>
          </cell>
          <cell r="T2952" t="str">
            <v>-</v>
          </cell>
          <cell r="U2952">
            <v>0.375</v>
          </cell>
        </row>
        <row r="2953">
          <cell r="B2953" t="str">
            <v>HSS24.000X0.313</v>
          </cell>
          <cell r="C2953">
            <v>21.6</v>
          </cell>
          <cell r="D2953" t="str">
            <v>-</v>
          </cell>
          <cell r="F2953" t="str">
            <v>-</v>
          </cell>
          <cell r="H2953">
            <v>24</v>
          </cell>
          <cell r="I2953" t="str">
            <v>-</v>
          </cell>
          <cell r="K2953" t="str">
            <v>-</v>
          </cell>
          <cell r="L2953" t="str">
            <v>-</v>
          </cell>
          <cell r="M2953">
            <v>24</v>
          </cell>
          <cell r="O2953" t="str">
            <v>-</v>
          </cell>
          <cell r="T2953" t="str">
            <v>-</v>
          </cell>
          <cell r="U2953">
            <v>0.313</v>
          </cell>
        </row>
        <row r="2954">
          <cell r="B2954" t="str">
            <v>HSS22.000X0.750</v>
          </cell>
          <cell r="C2954">
            <v>46.7</v>
          </cell>
          <cell r="D2954" t="str">
            <v>-</v>
          </cell>
          <cell r="F2954" t="str">
            <v>-</v>
          </cell>
          <cell r="H2954">
            <v>22</v>
          </cell>
          <cell r="I2954" t="str">
            <v>-</v>
          </cell>
          <cell r="K2954" t="str">
            <v>-</v>
          </cell>
          <cell r="L2954" t="str">
            <v>-</v>
          </cell>
          <cell r="M2954">
            <v>22</v>
          </cell>
          <cell r="O2954" t="str">
            <v>-</v>
          </cell>
          <cell r="T2954" t="str">
            <v>-</v>
          </cell>
          <cell r="U2954">
            <v>0.75</v>
          </cell>
        </row>
        <row r="2955">
          <cell r="B2955" t="str">
            <v>HSS22.000X0.625</v>
          </cell>
          <cell r="C2955">
            <v>39.1</v>
          </cell>
          <cell r="D2955" t="str">
            <v>-</v>
          </cell>
          <cell r="F2955" t="str">
            <v>-</v>
          </cell>
          <cell r="H2955">
            <v>22</v>
          </cell>
          <cell r="I2955" t="str">
            <v>-</v>
          </cell>
          <cell r="K2955" t="str">
            <v>-</v>
          </cell>
          <cell r="L2955" t="str">
            <v>-</v>
          </cell>
          <cell r="M2955">
            <v>22</v>
          </cell>
          <cell r="O2955" t="str">
            <v>-</v>
          </cell>
          <cell r="T2955" t="str">
            <v>-</v>
          </cell>
          <cell r="U2955">
            <v>0.625</v>
          </cell>
        </row>
        <row r="2956">
          <cell r="B2956" t="str">
            <v>HSS22.000X0.500</v>
          </cell>
          <cell r="C2956">
            <v>31.5</v>
          </cell>
          <cell r="D2956" t="str">
            <v>-</v>
          </cell>
          <cell r="F2956" t="str">
            <v>-</v>
          </cell>
          <cell r="H2956">
            <v>22</v>
          </cell>
          <cell r="I2956" t="str">
            <v>-</v>
          </cell>
          <cell r="K2956" t="str">
            <v>-</v>
          </cell>
          <cell r="L2956" t="str">
            <v>-</v>
          </cell>
          <cell r="M2956">
            <v>22</v>
          </cell>
          <cell r="O2956" t="str">
            <v>-</v>
          </cell>
          <cell r="T2956" t="str">
            <v>-</v>
          </cell>
          <cell r="U2956">
            <v>0.5</v>
          </cell>
        </row>
        <row r="2957">
          <cell r="B2957" t="str">
            <v>HSS22.000X0.375</v>
          </cell>
          <cell r="C2957">
            <v>23.7</v>
          </cell>
          <cell r="D2957" t="str">
            <v>-</v>
          </cell>
          <cell r="F2957" t="str">
            <v>-</v>
          </cell>
          <cell r="H2957">
            <v>22</v>
          </cell>
          <cell r="I2957" t="str">
            <v>-</v>
          </cell>
          <cell r="K2957" t="str">
            <v>-</v>
          </cell>
          <cell r="L2957" t="str">
            <v>-</v>
          </cell>
          <cell r="M2957">
            <v>22</v>
          </cell>
          <cell r="O2957" t="str">
            <v>-</v>
          </cell>
          <cell r="T2957" t="str">
            <v>-</v>
          </cell>
          <cell r="U2957">
            <v>0.375</v>
          </cell>
        </row>
        <row r="2958">
          <cell r="B2958" t="str">
            <v>HSS22.000X0.313</v>
          </cell>
          <cell r="C2958">
            <v>19.8</v>
          </cell>
          <cell r="D2958" t="str">
            <v>-</v>
          </cell>
          <cell r="F2958" t="str">
            <v>-</v>
          </cell>
          <cell r="H2958">
            <v>22</v>
          </cell>
          <cell r="I2958" t="str">
            <v>-</v>
          </cell>
          <cell r="K2958" t="str">
            <v>-</v>
          </cell>
          <cell r="L2958" t="str">
            <v>-</v>
          </cell>
          <cell r="M2958">
            <v>22</v>
          </cell>
          <cell r="O2958" t="str">
            <v>-</v>
          </cell>
          <cell r="T2958" t="str">
            <v>-</v>
          </cell>
          <cell r="U2958">
            <v>0.313</v>
          </cell>
        </row>
        <row r="2959">
          <cell r="B2959" t="str">
            <v>HSS20.000X1.000</v>
          </cell>
          <cell r="C2959">
            <v>55.7</v>
          </cell>
          <cell r="D2959" t="str">
            <v>-</v>
          </cell>
          <cell r="F2959" t="str">
            <v>-</v>
          </cell>
          <cell r="H2959">
            <v>20</v>
          </cell>
          <cell r="I2959" t="str">
            <v>-</v>
          </cell>
          <cell r="K2959" t="str">
            <v>-</v>
          </cell>
          <cell r="L2959" t="str">
            <v>-</v>
          </cell>
          <cell r="M2959">
            <v>20</v>
          </cell>
          <cell r="O2959" t="str">
            <v>-</v>
          </cell>
          <cell r="T2959" t="str">
            <v>-</v>
          </cell>
          <cell r="U2959">
            <v>1</v>
          </cell>
        </row>
        <row r="2960">
          <cell r="B2960" t="str">
            <v>HSS20.000X0.875</v>
          </cell>
          <cell r="C2960">
            <v>49</v>
          </cell>
          <cell r="D2960" t="str">
            <v>-</v>
          </cell>
          <cell r="F2960" t="str">
            <v>-</v>
          </cell>
          <cell r="H2960">
            <v>20</v>
          </cell>
          <cell r="I2960" t="str">
            <v>-</v>
          </cell>
          <cell r="K2960" t="str">
            <v>-</v>
          </cell>
          <cell r="L2960" t="str">
            <v>-</v>
          </cell>
          <cell r="M2960">
            <v>20</v>
          </cell>
          <cell r="O2960" t="str">
            <v>-</v>
          </cell>
          <cell r="T2960" t="str">
            <v>-</v>
          </cell>
          <cell r="U2960">
            <v>0.875</v>
          </cell>
        </row>
        <row r="2961">
          <cell r="B2961" t="str">
            <v>HSS20.000X0.750</v>
          </cell>
          <cell r="C2961">
            <v>42.3</v>
          </cell>
          <cell r="D2961" t="str">
            <v>-</v>
          </cell>
          <cell r="F2961" t="str">
            <v>-</v>
          </cell>
          <cell r="H2961">
            <v>20</v>
          </cell>
          <cell r="I2961" t="str">
            <v>-</v>
          </cell>
          <cell r="K2961" t="str">
            <v>-</v>
          </cell>
          <cell r="L2961" t="str">
            <v>-</v>
          </cell>
          <cell r="M2961">
            <v>20</v>
          </cell>
          <cell r="O2961" t="str">
            <v>-</v>
          </cell>
          <cell r="T2961" t="str">
            <v>-</v>
          </cell>
          <cell r="U2961">
            <v>0.75</v>
          </cell>
        </row>
        <row r="2962">
          <cell r="B2962" t="str">
            <v>HSS20.000X0.625</v>
          </cell>
          <cell r="C2962">
            <v>35.5</v>
          </cell>
          <cell r="D2962" t="str">
            <v>-</v>
          </cell>
          <cell r="F2962" t="str">
            <v>-</v>
          </cell>
          <cell r="H2962">
            <v>20</v>
          </cell>
          <cell r="I2962" t="str">
            <v>-</v>
          </cell>
          <cell r="K2962" t="str">
            <v>-</v>
          </cell>
          <cell r="L2962" t="str">
            <v>-</v>
          </cell>
          <cell r="M2962">
            <v>20</v>
          </cell>
          <cell r="O2962" t="str">
            <v>-</v>
          </cell>
          <cell r="T2962" t="str">
            <v>-</v>
          </cell>
          <cell r="U2962">
            <v>0.625</v>
          </cell>
        </row>
        <row r="2963">
          <cell r="B2963" t="str">
            <v>HSS20.000X0.500</v>
          </cell>
          <cell r="C2963">
            <v>28.5</v>
          </cell>
          <cell r="D2963" t="str">
            <v>-</v>
          </cell>
          <cell r="F2963" t="str">
            <v>-</v>
          </cell>
          <cell r="H2963">
            <v>20</v>
          </cell>
          <cell r="I2963" t="str">
            <v>-</v>
          </cell>
          <cell r="K2963" t="str">
            <v>-</v>
          </cell>
          <cell r="L2963" t="str">
            <v>-</v>
          </cell>
          <cell r="M2963">
            <v>20</v>
          </cell>
          <cell r="O2963" t="str">
            <v>-</v>
          </cell>
          <cell r="T2963" t="str">
            <v>-</v>
          </cell>
          <cell r="U2963">
            <v>0.5</v>
          </cell>
        </row>
        <row r="2964">
          <cell r="B2964" t="str">
            <v>HSS20.000X0.375</v>
          </cell>
          <cell r="C2964">
            <v>21.5</v>
          </cell>
          <cell r="D2964" t="str">
            <v>-</v>
          </cell>
          <cell r="F2964" t="str">
            <v>-</v>
          </cell>
          <cell r="H2964">
            <v>20</v>
          </cell>
          <cell r="I2964" t="str">
            <v>-</v>
          </cell>
          <cell r="K2964" t="str">
            <v>-</v>
          </cell>
          <cell r="L2964" t="str">
            <v>-</v>
          </cell>
          <cell r="M2964">
            <v>20</v>
          </cell>
          <cell r="O2964" t="str">
            <v>-</v>
          </cell>
          <cell r="T2964" t="str">
            <v>-</v>
          </cell>
          <cell r="U2964">
            <v>0.375</v>
          </cell>
        </row>
        <row r="2965">
          <cell r="B2965" t="str">
            <v>HSS20.000X0.313</v>
          </cell>
          <cell r="C2965">
            <v>18</v>
          </cell>
          <cell r="D2965" t="str">
            <v>-</v>
          </cell>
          <cell r="F2965" t="str">
            <v>-</v>
          </cell>
          <cell r="H2965">
            <v>20</v>
          </cell>
          <cell r="I2965" t="str">
            <v>-</v>
          </cell>
          <cell r="K2965" t="str">
            <v>-</v>
          </cell>
          <cell r="L2965" t="str">
            <v>-</v>
          </cell>
          <cell r="M2965">
            <v>20</v>
          </cell>
          <cell r="O2965" t="str">
            <v>-</v>
          </cell>
          <cell r="T2965" t="str">
            <v>-</v>
          </cell>
          <cell r="U2965">
            <v>0.313</v>
          </cell>
        </row>
        <row r="2966">
          <cell r="B2966" t="str">
            <v>HSS20.000X0.250</v>
          </cell>
          <cell r="C2966">
            <v>14.4</v>
          </cell>
          <cell r="D2966" t="str">
            <v>-</v>
          </cell>
          <cell r="F2966" t="str">
            <v>-</v>
          </cell>
          <cell r="H2966">
            <v>20</v>
          </cell>
          <cell r="I2966" t="str">
            <v>-</v>
          </cell>
          <cell r="K2966" t="str">
            <v>-</v>
          </cell>
          <cell r="L2966" t="str">
            <v>-</v>
          </cell>
          <cell r="M2966">
            <v>20</v>
          </cell>
          <cell r="O2966" t="str">
            <v>-</v>
          </cell>
          <cell r="T2966" t="str">
            <v>-</v>
          </cell>
          <cell r="U2966">
            <v>0.25</v>
          </cell>
        </row>
        <row r="2967">
          <cell r="B2967" t="str">
            <v>HSS18.000X1.000</v>
          </cell>
          <cell r="C2967">
            <v>49.9</v>
          </cell>
          <cell r="D2967" t="str">
            <v>-</v>
          </cell>
          <cell r="F2967" t="str">
            <v>-</v>
          </cell>
          <cell r="H2967">
            <v>18</v>
          </cell>
          <cell r="I2967" t="str">
            <v>-</v>
          </cell>
          <cell r="K2967" t="str">
            <v>-</v>
          </cell>
          <cell r="L2967" t="str">
            <v>-</v>
          </cell>
          <cell r="M2967">
            <v>18</v>
          </cell>
          <cell r="O2967" t="str">
            <v>-</v>
          </cell>
          <cell r="T2967" t="str">
            <v>-</v>
          </cell>
          <cell r="U2967">
            <v>1</v>
          </cell>
        </row>
        <row r="2968">
          <cell r="B2968" t="str">
            <v>HSS18.000X0.875</v>
          </cell>
          <cell r="C2968">
            <v>43.9</v>
          </cell>
          <cell r="D2968" t="str">
            <v>-</v>
          </cell>
          <cell r="F2968" t="str">
            <v>-</v>
          </cell>
          <cell r="H2968">
            <v>18</v>
          </cell>
          <cell r="I2968" t="str">
            <v>-</v>
          </cell>
          <cell r="K2968" t="str">
            <v>-</v>
          </cell>
          <cell r="L2968" t="str">
            <v>-</v>
          </cell>
          <cell r="M2968">
            <v>18</v>
          </cell>
          <cell r="O2968" t="str">
            <v>-</v>
          </cell>
          <cell r="T2968" t="str">
            <v>-</v>
          </cell>
          <cell r="U2968">
            <v>0.875</v>
          </cell>
        </row>
        <row r="2969">
          <cell r="B2969" t="str">
            <v>HSS18.000X0.750</v>
          </cell>
          <cell r="C2969">
            <v>37.9</v>
          </cell>
          <cell r="D2969" t="str">
            <v>-</v>
          </cell>
          <cell r="F2969" t="str">
            <v>-</v>
          </cell>
          <cell r="H2969">
            <v>18</v>
          </cell>
          <cell r="I2969" t="str">
            <v>-</v>
          </cell>
          <cell r="K2969" t="str">
            <v>-</v>
          </cell>
          <cell r="L2969" t="str">
            <v>-</v>
          </cell>
          <cell r="M2969">
            <v>18</v>
          </cell>
          <cell r="O2969" t="str">
            <v>-</v>
          </cell>
          <cell r="T2969" t="str">
            <v>-</v>
          </cell>
          <cell r="U2969">
            <v>0.75</v>
          </cell>
        </row>
        <row r="2970">
          <cell r="B2970" t="str">
            <v>HSS18.000X0.625</v>
          </cell>
          <cell r="C2970">
            <v>31.8</v>
          </cell>
          <cell r="D2970" t="str">
            <v>-</v>
          </cell>
          <cell r="F2970" t="str">
            <v>-</v>
          </cell>
          <cell r="H2970">
            <v>18</v>
          </cell>
          <cell r="I2970" t="str">
            <v>-</v>
          </cell>
          <cell r="K2970" t="str">
            <v>-</v>
          </cell>
          <cell r="L2970" t="str">
            <v>-</v>
          </cell>
          <cell r="M2970">
            <v>18</v>
          </cell>
          <cell r="O2970" t="str">
            <v>-</v>
          </cell>
          <cell r="T2970" t="str">
            <v>-</v>
          </cell>
          <cell r="U2970">
            <v>0.625</v>
          </cell>
        </row>
        <row r="2971">
          <cell r="B2971" t="str">
            <v>HSS18.000X0.500</v>
          </cell>
          <cell r="C2971">
            <v>25.6</v>
          </cell>
          <cell r="D2971" t="str">
            <v>-</v>
          </cell>
          <cell r="F2971" t="str">
            <v>-</v>
          </cell>
          <cell r="H2971">
            <v>18</v>
          </cell>
          <cell r="I2971" t="str">
            <v>-</v>
          </cell>
          <cell r="K2971" t="str">
            <v>-</v>
          </cell>
          <cell r="L2971" t="str">
            <v>-</v>
          </cell>
          <cell r="M2971">
            <v>18</v>
          </cell>
          <cell r="O2971" t="str">
            <v>-</v>
          </cell>
          <cell r="T2971" t="str">
            <v>-</v>
          </cell>
          <cell r="U2971">
            <v>0.5</v>
          </cell>
        </row>
        <row r="2972">
          <cell r="B2972" t="str">
            <v>HSS18.000X0.375</v>
          </cell>
          <cell r="C2972">
            <v>19.399999999999999</v>
          </cell>
          <cell r="D2972" t="str">
            <v>-</v>
          </cell>
          <cell r="F2972" t="str">
            <v>-</v>
          </cell>
          <cell r="H2972">
            <v>18</v>
          </cell>
          <cell r="I2972" t="str">
            <v>-</v>
          </cell>
          <cell r="K2972" t="str">
            <v>-</v>
          </cell>
          <cell r="L2972" t="str">
            <v>-</v>
          </cell>
          <cell r="M2972">
            <v>18</v>
          </cell>
          <cell r="O2972" t="str">
            <v>-</v>
          </cell>
          <cell r="T2972" t="str">
            <v>-</v>
          </cell>
          <cell r="U2972">
            <v>0.375</v>
          </cell>
        </row>
        <row r="2973">
          <cell r="B2973" t="str">
            <v>HSS18.000X0.313</v>
          </cell>
          <cell r="C2973">
            <v>16.2</v>
          </cell>
          <cell r="D2973" t="str">
            <v>-</v>
          </cell>
          <cell r="F2973" t="str">
            <v>-</v>
          </cell>
          <cell r="H2973">
            <v>18</v>
          </cell>
          <cell r="I2973" t="str">
            <v>-</v>
          </cell>
          <cell r="K2973" t="str">
            <v>-</v>
          </cell>
          <cell r="L2973" t="str">
            <v>-</v>
          </cell>
          <cell r="M2973">
            <v>18</v>
          </cell>
          <cell r="O2973" t="str">
            <v>-</v>
          </cell>
          <cell r="T2973" t="str">
            <v>-</v>
          </cell>
          <cell r="U2973">
            <v>0.313</v>
          </cell>
        </row>
        <row r="2974">
          <cell r="B2974" t="str">
            <v>HSS18.000X0.250</v>
          </cell>
          <cell r="C2974">
            <v>13</v>
          </cell>
          <cell r="D2974" t="str">
            <v>-</v>
          </cell>
          <cell r="F2974" t="str">
            <v>-</v>
          </cell>
          <cell r="H2974">
            <v>18</v>
          </cell>
          <cell r="I2974" t="str">
            <v>-</v>
          </cell>
          <cell r="K2974" t="str">
            <v>-</v>
          </cell>
          <cell r="L2974" t="str">
            <v>-</v>
          </cell>
          <cell r="M2974">
            <v>18</v>
          </cell>
          <cell r="O2974" t="str">
            <v>-</v>
          </cell>
          <cell r="T2974" t="str">
            <v>-</v>
          </cell>
          <cell r="U2974">
            <v>0.25</v>
          </cell>
        </row>
        <row r="2975">
          <cell r="B2975" t="str">
            <v>HSS16.000X1.000</v>
          </cell>
          <cell r="C2975">
            <v>44</v>
          </cell>
          <cell r="D2975" t="str">
            <v>-</v>
          </cell>
          <cell r="F2975" t="str">
            <v>-</v>
          </cell>
          <cell r="H2975">
            <v>16</v>
          </cell>
          <cell r="I2975" t="str">
            <v>-</v>
          </cell>
          <cell r="K2975" t="str">
            <v>-</v>
          </cell>
          <cell r="L2975" t="str">
            <v>-</v>
          </cell>
          <cell r="M2975">
            <v>16</v>
          </cell>
          <cell r="O2975" t="str">
            <v>-</v>
          </cell>
          <cell r="T2975" t="str">
            <v>-</v>
          </cell>
          <cell r="U2975">
            <v>1</v>
          </cell>
        </row>
        <row r="2976">
          <cell r="B2976" t="str">
            <v>HSS16.000X0.875</v>
          </cell>
          <cell r="C2976">
            <v>38.799999999999997</v>
          </cell>
          <cell r="D2976" t="str">
            <v>-</v>
          </cell>
          <cell r="F2976" t="str">
            <v>-</v>
          </cell>
          <cell r="H2976">
            <v>16</v>
          </cell>
          <cell r="I2976" t="str">
            <v>-</v>
          </cell>
          <cell r="K2976" t="str">
            <v>-</v>
          </cell>
          <cell r="L2976" t="str">
            <v>-</v>
          </cell>
          <cell r="M2976">
            <v>16</v>
          </cell>
          <cell r="O2976" t="str">
            <v>-</v>
          </cell>
          <cell r="T2976" t="str">
            <v>-</v>
          </cell>
          <cell r="U2976">
            <v>0.875</v>
          </cell>
        </row>
        <row r="2977">
          <cell r="B2977" t="str">
            <v>HSS16.000X0.750</v>
          </cell>
          <cell r="C2977">
            <v>33.5</v>
          </cell>
          <cell r="D2977" t="str">
            <v>-</v>
          </cell>
          <cell r="F2977" t="str">
            <v>-</v>
          </cell>
          <cell r="H2977">
            <v>16</v>
          </cell>
          <cell r="I2977" t="str">
            <v>-</v>
          </cell>
          <cell r="K2977" t="str">
            <v>-</v>
          </cell>
          <cell r="L2977" t="str">
            <v>-</v>
          </cell>
          <cell r="M2977">
            <v>16</v>
          </cell>
          <cell r="O2977" t="str">
            <v>-</v>
          </cell>
          <cell r="T2977" t="str">
            <v>-</v>
          </cell>
          <cell r="U2977">
            <v>0.75</v>
          </cell>
        </row>
        <row r="2978">
          <cell r="B2978" t="str">
            <v>HSS16.000X0.625</v>
          </cell>
          <cell r="C2978">
            <v>28.1</v>
          </cell>
          <cell r="D2978" t="str">
            <v>-</v>
          </cell>
          <cell r="F2978" t="str">
            <v>-</v>
          </cell>
          <cell r="H2978">
            <v>16</v>
          </cell>
          <cell r="I2978" t="str">
            <v>-</v>
          </cell>
          <cell r="K2978" t="str">
            <v>-</v>
          </cell>
          <cell r="L2978" t="str">
            <v>-</v>
          </cell>
          <cell r="M2978">
            <v>16</v>
          </cell>
          <cell r="O2978" t="str">
            <v>-</v>
          </cell>
          <cell r="T2978" t="str">
            <v>-</v>
          </cell>
          <cell r="U2978">
            <v>0.625</v>
          </cell>
        </row>
        <row r="2979">
          <cell r="B2979" t="str">
            <v>HSS16.000X0.500</v>
          </cell>
          <cell r="C2979">
            <v>22.7</v>
          </cell>
          <cell r="D2979" t="str">
            <v>-</v>
          </cell>
          <cell r="F2979" t="str">
            <v>-</v>
          </cell>
          <cell r="H2979">
            <v>16</v>
          </cell>
          <cell r="I2979" t="str">
            <v>-</v>
          </cell>
          <cell r="K2979" t="str">
            <v>-</v>
          </cell>
          <cell r="L2979" t="str">
            <v>-</v>
          </cell>
          <cell r="M2979">
            <v>16</v>
          </cell>
          <cell r="O2979" t="str">
            <v>-</v>
          </cell>
          <cell r="T2979" t="str">
            <v>-</v>
          </cell>
          <cell r="U2979">
            <v>0.5</v>
          </cell>
        </row>
        <row r="2980">
          <cell r="B2980" t="str">
            <v>HSS16.000X0.438</v>
          </cell>
          <cell r="C2980">
            <v>19.899999999999999</v>
          </cell>
          <cell r="D2980" t="str">
            <v>-</v>
          </cell>
          <cell r="F2980" t="str">
            <v>-</v>
          </cell>
          <cell r="H2980">
            <v>16</v>
          </cell>
          <cell r="I2980" t="str">
            <v>-</v>
          </cell>
          <cell r="K2980" t="str">
            <v>-</v>
          </cell>
          <cell r="L2980" t="str">
            <v>-</v>
          </cell>
          <cell r="M2980">
            <v>16</v>
          </cell>
          <cell r="O2980" t="str">
            <v>-</v>
          </cell>
          <cell r="T2980" t="str">
            <v>-</v>
          </cell>
          <cell r="U2980">
            <v>0.438</v>
          </cell>
        </row>
        <row r="2981">
          <cell r="B2981" t="str">
            <v>HSS16.000X0.375</v>
          </cell>
          <cell r="C2981">
            <v>17.2</v>
          </cell>
          <cell r="D2981" t="str">
            <v>-</v>
          </cell>
          <cell r="F2981" t="str">
            <v>-</v>
          </cell>
          <cell r="H2981">
            <v>16</v>
          </cell>
          <cell r="I2981" t="str">
            <v>-</v>
          </cell>
          <cell r="K2981" t="str">
            <v>-</v>
          </cell>
          <cell r="L2981" t="str">
            <v>-</v>
          </cell>
          <cell r="M2981">
            <v>16</v>
          </cell>
          <cell r="O2981" t="str">
            <v>-</v>
          </cell>
          <cell r="T2981" t="str">
            <v>-</v>
          </cell>
          <cell r="U2981">
            <v>0.375</v>
          </cell>
        </row>
        <row r="2982">
          <cell r="B2982" t="str">
            <v>HSS16.000X0.312</v>
          </cell>
          <cell r="C2982">
            <v>14.4</v>
          </cell>
          <cell r="D2982" t="str">
            <v>-</v>
          </cell>
          <cell r="F2982" t="str">
            <v>-</v>
          </cell>
          <cell r="H2982">
            <v>16</v>
          </cell>
          <cell r="I2982" t="str">
            <v>-</v>
          </cell>
          <cell r="K2982" t="str">
            <v>-</v>
          </cell>
          <cell r="L2982" t="str">
            <v>-</v>
          </cell>
          <cell r="M2982">
            <v>16</v>
          </cell>
          <cell r="O2982" t="str">
            <v>-</v>
          </cell>
          <cell r="T2982" t="str">
            <v>-</v>
          </cell>
          <cell r="U2982">
            <v>0.312</v>
          </cell>
        </row>
        <row r="2983">
          <cell r="B2983" t="str">
            <v>HSS16.000X0.250</v>
          </cell>
          <cell r="C2983">
            <v>11.5</v>
          </cell>
          <cell r="D2983" t="str">
            <v>-</v>
          </cell>
          <cell r="F2983" t="str">
            <v>-</v>
          </cell>
          <cell r="H2983">
            <v>16</v>
          </cell>
          <cell r="I2983" t="str">
            <v>-</v>
          </cell>
          <cell r="K2983" t="str">
            <v>-</v>
          </cell>
          <cell r="L2983" t="str">
            <v>-</v>
          </cell>
          <cell r="M2983">
            <v>16</v>
          </cell>
          <cell r="O2983" t="str">
            <v>-</v>
          </cell>
          <cell r="T2983" t="str">
            <v>-</v>
          </cell>
          <cell r="U2983">
            <v>0.25</v>
          </cell>
        </row>
        <row r="2984">
          <cell r="B2984" t="str">
            <v>HSS14.000X1.000</v>
          </cell>
          <cell r="C2984">
            <v>38.200000000000003</v>
          </cell>
          <cell r="D2984" t="str">
            <v>-</v>
          </cell>
          <cell r="F2984" t="str">
            <v>-</v>
          </cell>
          <cell r="H2984">
            <v>14</v>
          </cell>
          <cell r="I2984" t="str">
            <v>-</v>
          </cell>
          <cell r="K2984" t="str">
            <v>-</v>
          </cell>
          <cell r="L2984" t="str">
            <v>-</v>
          </cell>
          <cell r="M2984">
            <v>14</v>
          </cell>
          <cell r="O2984" t="str">
            <v>-</v>
          </cell>
          <cell r="T2984" t="str">
            <v>-</v>
          </cell>
          <cell r="U2984">
            <v>1</v>
          </cell>
        </row>
        <row r="2985">
          <cell r="B2985" t="str">
            <v>HSS14.000X0.875</v>
          </cell>
          <cell r="C2985">
            <v>33.700000000000003</v>
          </cell>
          <cell r="D2985" t="str">
            <v>-</v>
          </cell>
          <cell r="F2985" t="str">
            <v>-</v>
          </cell>
          <cell r="H2985">
            <v>14</v>
          </cell>
          <cell r="I2985" t="str">
            <v>-</v>
          </cell>
          <cell r="K2985" t="str">
            <v>-</v>
          </cell>
          <cell r="L2985" t="str">
            <v>-</v>
          </cell>
          <cell r="M2985">
            <v>14</v>
          </cell>
          <cell r="O2985" t="str">
            <v>-</v>
          </cell>
          <cell r="T2985" t="str">
            <v>-</v>
          </cell>
          <cell r="U2985">
            <v>0.875</v>
          </cell>
        </row>
        <row r="2986">
          <cell r="B2986" t="str">
            <v>HSS14.000X0.750</v>
          </cell>
          <cell r="C2986">
            <v>29.1</v>
          </cell>
          <cell r="D2986" t="str">
            <v>-</v>
          </cell>
          <cell r="F2986" t="str">
            <v>-</v>
          </cell>
          <cell r="H2986">
            <v>14</v>
          </cell>
          <cell r="I2986" t="str">
            <v>-</v>
          </cell>
          <cell r="K2986" t="str">
            <v>-</v>
          </cell>
          <cell r="L2986" t="str">
            <v>-</v>
          </cell>
          <cell r="M2986">
            <v>14</v>
          </cell>
          <cell r="O2986" t="str">
            <v>-</v>
          </cell>
          <cell r="T2986" t="str">
            <v>-</v>
          </cell>
          <cell r="U2986">
            <v>0.75</v>
          </cell>
        </row>
        <row r="2987">
          <cell r="B2987" t="str">
            <v>HSS14.000X0.625</v>
          </cell>
          <cell r="C2987">
            <v>24.5</v>
          </cell>
          <cell r="D2987" t="str">
            <v>-</v>
          </cell>
          <cell r="F2987" t="str">
            <v>-</v>
          </cell>
          <cell r="H2987">
            <v>14</v>
          </cell>
          <cell r="I2987" t="str">
            <v>-</v>
          </cell>
          <cell r="K2987" t="str">
            <v>-</v>
          </cell>
          <cell r="L2987" t="str">
            <v>-</v>
          </cell>
          <cell r="M2987">
            <v>14</v>
          </cell>
          <cell r="O2987" t="str">
            <v>-</v>
          </cell>
          <cell r="T2987" t="str">
            <v>-</v>
          </cell>
          <cell r="U2987">
            <v>0.625</v>
          </cell>
        </row>
        <row r="2988">
          <cell r="B2988" t="str">
            <v>HSS14.000X0.500</v>
          </cell>
          <cell r="C2988">
            <v>19.8</v>
          </cell>
          <cell r="D2988" t="str">
            <v>-</v>
          </cell>
          <cell r="F2988" t="str">
            <v>-</v>
          </cell>
          <cell r="H2988">
            <v>14</v>
          </cell>
          <cell r="I2988" t="str">
            <v>-</v>
          </cell>
          <cell r="K2988" t="str">
            <v>-</v>
          </cell>
          <cell r="L2988" t="str">
            <v>-</v>
          </cell>
          <cell r="M2988">
            <v>14</v>
          </cell>
          <cell r="O2988" t="str">
            <v>-</v>
          </cell>
          <cell r="T2988" t="str">
            <v>-</v>
          </cell>
          <cell r="U2988">
            <v>0.5</v>
          </cell>
        </row>
        <row r="2989">
          <cell r="B2989" t="str">
            <v>HSS14.000X0.375</v>
          </cell>
          <cell r="C2989">
            <v>15</v>
          </cell>
          <cell r="D2989" t="str">
            <v>-</v>
          </cell>
          <cell r="F2989" t="str">
            <v>-</v>
          </cell>
          <cell r="H2989">
            <v>14</v>
          </cell>
          <cell r="I2989" t="str">
            <v>-</v>
          </cell>
          <cell r="K2989" t="str">
            <v>-</v>
          </cell>
          <cell r="L2989" t="str">
            <v>-</v>
          </cell>
          <cell r="M2989">
            <v>14</v>
          </cell>
          <cell r="O2989" t="str">
            <v>-</v>
          </cell>
          <cell r="T2989" t="str">
            <v>-</v>
          </cell>
          <cell r="U2989">
            <v>0.375</v>
          </cell>
        </row>
        <row r="2990">
          <cell r="B2990" t="str">
            <v>HSS14.000X0.312</v>
          </cell>
          <cell r="C2990">
            <v>12.5</v>
          </cell>
          <cell r="D2990" t="str">
            <v>-</v>
          </cell>
          <cell r="F2990" t="str">
            <v>-</v>
          </cell>
          <cell r="H2990">
            <v>14</v>
          </cell>
          <cell r="I2990" t="str">
            <v>-</v>
          </cell>
          <cell r="K2990" t="str">
            <v>-</v>
          </cell>
          <cell r="L2990" t="str">
            <v>-</v>
          </cell>
          <cell r="M2990">
            <v>14</v>
          </cell>
          <cell r="O2990" t="str">
            <v>-</v>
          </cell>
          <cell r="T2990" t="str">
            <v>-</v>
          </cell>
          <cell r="U2990">
            <v>0.312</v>
          </cell>
        </row>
        <row r="2991">
          <cell r="B2991" t="str">
            <v>HSS14.000X0.250</v>
          </cell>
          <cell r="C2991">
            <v>10.1</v>
          </cell>
          <cell r="D2991" t="str">
            <v>-</v>
          </cell>
          <cell r="F2991" t="str">
            <v>-</v>
          </cell>
          <cell r="H2991">
            <v>14</v>
          </cell>
          <cell r="I2991" t="str">
            <v>-</v>
          </cell>
          <cell r="K2991" t="str">
            <v>-</v>
          </cell>
          <cell r="L2991" t="str">
            <v>-</v>
          </cell>
          <cell r="M2991">
            <v>14</v>
          </cell>
          <cell r="O2991" t="str">
            <v>-</v>
          </cell>
          <cell r="T2991" t="str">
            <v>-</v>
          </cell>
          <cell r="U2991">
            <v>0.25</v>
          </cell>
        </row>
        <row r="2992">
          <cell r="B2992" t="str">
            <v>HSS14.000X0.188</v>
          </cell>
          <cell r="C2992">
            <v>7.57</v>
          </cell>
          <cell r="D2992" t="str">
            <v>-</v>
          </cell>
          <cell r="F2992" t="str">
            <v>-</v>
          </cell>
          <cell r="H2992">
            <v>14</v>
          </cell>
          <cell r="I2992" t="str">
            <v>-</v>
          </cell>
          <cell r="K2992" t="str">
            <v>-</v>
          </cell>
          <cell r="L2992" t="str">
            <v>-</v>
          </cell>
          <cell r="M2992">
            <v>14</v>
          </cell>
          <cell r="O2992" t="str">
            <v>-</v>
          </cell>
          <cell r="T2992" t="str">
            <v>-</v>
          </cell>
          <cell r="U2992">
            <v>0.188</v>
          </cell>
        </row>
        <row r="2993">
          <cell r="B2993" t="str">
            <v>HSS13.375X0.625</v>
          </cell>
          <cell r="C2993">
            <v>23.4</v>
          </cell>
          <cell r="D2993" t="str">
            <v>-</v>
          </cell>
          <cell r="F2993" t="str">
            <v>-</v>
          </cell>
          <cell r="H2993">
            <v>13.4</v>
          </cell>
          <cell r="I2993" t="str">
            <v>-</v>
          </cell>
          <cell r="K2993" t="str">
            <v>-</v>
          </cell>
          <cell r="L2993" t="str">
            <v>-</v>
          </cell>
          <cell r="M2993">
            <v>13.4</v>
          </cell>
          <cell r="O2993" t="str">
            <v>-</v>
          </cell>
          <cell r="T2993" t="str">
            <v>-</v>
          </cell>
          <cell r="U2993">
            <v>0.625</v>
          </cell>
        </row>
        <row r="2994">
          <cell r="B2994" t="str">
            <v>HSS13.375X0.500</v>
          </cell>
          <cell r="C2994">
            <v>18.899999999999999</v>
          </cell>
          <cell r="D2994" t="str">
            <v>-</v>
          </cell>
          <cell r="F2994" t="str">
            <v>-</v>
          </cell>
          <cell r="H2994">
            <v>13.4</v>
          </cell>
          <cell r="I2994" t="str">
            <v>-</v>
          </cell>
          <cell r="K2994" t="str">
            <v>-</v>
          </cell>
          <cell r="L2994" t="str">
            <v>-</v>
          </cell>
          <cell r="M2994">
            <v>13.4</v>
          </cell>
          <cell r="O2994" t="str">
            <v>-</v>
          </cell>
          <cell r="T2994" t="str">
            <v>-</v>
          </cell>
          <cell r="U2994">
            <v>0.5</v>
          </cell>
        </row>
        <row r="2995">
          <cell r="B2995" t="str">
            <v>HSS13.375X0.375</v>
          </cell>
          <cell r="C2995">
            <v>14.3</v>
          </cell>
          <cell r="D2995" t="str">
            <v>-</v>
          </cell>
          <cell r="F2995" t="str">
            <v>-</v>
          </cell>
          <cell r="H2995">
            <v>13.4</v>
          </cell>
          <cell r="I2995" t="str">
            <v>-</v>
          </cell>
          <cell r="K2995" t="str">
            <v>-</v>
          </cell>
          <cell r="L2995" t="str">
            <v>-</v>
          </cell>
          <cell r="M2995">
            <v>13.4</v>
          </cell>
          <cell r="O2995" t="str">
            <v>-</v>
          </cell>
          <cell r="T2995" t="str">
            <v>-</v>
          </cell>
          <cell r="U2995">
            <v>0.375</v>
          </cell>
        </row>
        <row r="2996">
          <cell r="B2996" t="str">
            <v>HSS13.375X0.313</v>
          </cell>
          <cell r="C2996">
            <v>11.9</v>
          </cell>
          <cell r="D2996" t="str">
            <v>-</v>
          </cell>
          <cell r="F2996" t="str">
            <v>-</v>
          </cell>
          <cell r="H2996">
            <v>13.4</v>
          </cell>
          <cell r="I2996" t="str">
            <v>-</v>
          </cell>
          <cell r="K2996" t="str">
            <v>-</v>
          </cell>
          <cell r="L2996" t="str">
            <v>-</v>
          </cell>
          <cell r="M2996">
            <v>13.4</v>
          </cell>
          <cell r="O2996" t="str">
            <v>-</v>
          </cell>
          <cell r="T2996" t="str">
            <v>-</v>
          </cell>
          <cell r="U2996">
            <v>0.313</v>
          </cell>
        </row>
        <row r="2997">
          <cell r="B2997" t="str">
            <v>HSS13.375X0.250</v>
          </cell>
          <cell r="C2997">
            <v>9.6</v>
          </cell>
          <cell r="D2997" t="str">
            <v>-</v>
          </cell>
          <cell r="F2997" t="str">
            <v>-</v>
          </cell>
          <cell r="H2997">
            <v>13.4</v>
          </cell>
          <cell r="I2997" t="str">
            <v>-</v>
          </cell>
          <cell r="K2997" t="str">
            <v>-</v>
          </cell>
          <cell r="L2997" t="str">
            <v>-</v>
          </cell>
          <cell r="M2997">
            <v>13.4</v>
          </cell>
          <cell r="O2997" t="str">
            <v>-</v>
          </cell>
          <cell r="T2997" t="str">
            <v>-</v>
          </cell>
          <cell r="U2997">
            <v>0.25</v>
          </cell>
        </row>
        <row r="2998">
          <cell r="B2998" t="str">
            <v>HSS13.375X0.188</v>
          </cell>
          <cell r="C2998">
            <v>7.23</v>
          </cell>
          <cell r="D2998" t="str">
            <v>-</v>
          </cell>
          <cell r="F2998" t="str">
            <v>-</v>
          </cell>
          <cell r="H2998">
            <v>13.4</v>
          </cell>
          <cell r="I2998" t="str">
            <v>-</v>
          </cell>
          <cell r="K2998" t="str">
            <v>-</v>
          </cell>
          <cell r="L2998" t="str">
            <v>-</v>
          </cell>
          <cell r="M2998">
            <v>13.4</v>
          </cell>
          <cell r="O2998" t="str">
            <v>-</v>
          </cell>
          <cell r="T2998" t="str">
            <v>-</v>
          </cell>
          <cell r="U2998">
            <v>0.188</v>
          </cell>
        </row>
        <row r="2999">
          <cell r="B2999" t="str">
            <v>HSS12.750X0.750</v>
          </cell>
          <cell r="C2999">
            <v>26.4</v>
          </cell>
          <cell r="D2999" t="str">
            <v>-</v>
          </cell>
          <cell r="F2999" t="str">
            <v>-</v>
          </cell>
          <cell r="H2999">
            <v>12.8</v>
          </cell>
          <cell r="I2999" t="str">
            <v>-</v>
          </cell>
          <cell r="K2999" t="str">
            <v>-</v>
          </cell>
          <cell r="L2999" t="str">
            <v>-</v>
          </cell>
          <cell r="M2999">
            <v>12.8</v>
          </cell>
          <cell r="O2999" t="str">
            <v>-</v>
          </cell>
          <cell r="T2999" t="str">
            <v>-</v>
          </cell>
          <cell r="U2999">
            <v>0.75</v>
          </cell>
        </row>
        <row r="3000">
          <cell r="B3000" t="str">
            <v>HSS12.750X0.625</v>
          </cell>
          <cell r="C3000">
            <v>22.2</v>
          </cell>
          <cell r="D3000" t="str">
            <v>-</v>
          </cell>
          <cell r="F3000" t="str">
            <v>-</v>
          </cell>
          <cell r="H3000">
            <v>12.8</v>
          </cell>
          <cell r="I3000" t="str">
            <v>-</v>
          </cell>
          <cell r="K3000" t="str">
            <v>-</v>
          </cell>
          <cell r="L3000" t="str">
            <v>-</v>
          </cell>
          <cell r="M3000">
            <v>12.8</v>
          </cell>
          <cell r="O3000" t="str">
            <v>-</v>
          </cell>
          <cell r="T3000" t="str">
            <v>-</v>
          </cell>
          <cell r="U3000">
            <v>0.625</v>
          </cell>
        </row>
        <row r="3001">
          <cell r="B3001" t="str">
            <v>HSS12.750X0.500</v>
          </cell>
          <cell r="C3001">
            <v>17.899999999999999</v>
          </cell>
          <cell r="D3001" t="str">
            <v>-</v>
          </cell>
          <cell r="F3001" t="str">
            <v>-</v>
          </cell>
          <cell r="H3001">
            <v>12.8</v>
          </cell>
          <cell r="I3001" t="str">
            <v>-</v>
          </cell>
          <cell r="K3001" t="str">
            <v>-</v>
          </cell>
          <cell r="L3001" t="str">
            <v>-</v>
          </cell>
          <cell r="M3001">
            <v>12.8</v>
          </cell>
          <cell r="O3001" t="str">
            <v>-</v>
          </cell>
          <cell r="T3001" t="str">
            <v>-</v>
          </cell>
          <cell r="U3001">
            <v>0.5</v>
          </cell>
        </row>
        <row r="3002">
          <cell r="B3002" t="str">
            <v>HSS12.750X0.375</v>
          </cell>
          <cell r="C3002">
            <v>13.6</v>
          </cell>
          <cell r="D3002" t="str">
            <v>-</v>
          </cell>
          <cell r="F3002" t="str">
            <v>-</v>
          </cell>
          <cell r="H3002">
            <v>12.8</v>
          </cell>
          <cell r="I3002" t="str">
            <v>-</v>
          </cell>
          <cell r="K3002" t="str">
            <v>-</v>
          </cell>
          <cell r="L3002" t="str">
            <v>-</v>
          </cell>
          <cell r="M3002">
            <v>12.8</v>
          </cell>
          <cell r="O3002" t="str">
            <v>-</v>
          </cell>
          <cell r="T3002" t="str">
            <v>-</v>
          </cell>
          <cell r="U3002">
            <v>0.375</v>
          </cell>
        </row>
        <row r="3003">
          <cell r="B3003" t="str">
            <v>HSS12.750X0.250</v>
          </cell>
          <cell r="C3003">
            <v>9.16</v>
          </cell>
          <cell r="D3003" t="str">
            <v>-</v>
          </cell>
          <cell r="F3003" t="str">
            <v>-</v>
          </cell>
          <cell r="H3003">
            <v>12.8</v>
          </cell>
          <cell r="I3003" t="str">
            <v>-</v>
          </cell>
          <cell r="K3003" t="str">
            <v>-</v>
          </cell>
          <cell r="L3003" t="str">
            <v>-</v>
          </cell>
          <cell r="M3003">
            <v>12.8</v>
          </cell>
          <cell r="O3003" t="str">
            <v>-</v>
          </cell>
          <cell r="T3003" t="str">
            <v>-</v>
          </cell>
          <cell r="U3003">
            <v>0.25</v>
          </cell>
        </row>
        <row r="3004">
          <cell r="B3004" t="str">
            <v>HSS12.750X0.188</v>
          </cell>
          <cell r="C3004">
            <v>6.89</v>
          </cell>
          <cell r="D3004" t="str">
            <v>-</v>
          </cell>
          <cell r="F3004" t="str">
            <v>-</v>
          </cell>
          <cell r="H3004">
            <v>12.8</v>
          </cell>
          <cell r="I3004" t="str">
            <v>-</v>
          </cell>
          <cell r="K3004" t="str">
            <v>-</v>
          </cell>
          <cell r="L3004" t="str">
            <v>-</v>
          </cell>
          <cell r="M3004">
            <v>12.8</v>
          </cell>
          <cell r="O3004" t="str">
            <v>-</v>
          </cell>
          <cell r="T3004" t="str">
            <v>-</v>
          </cell>
          <cell r="U3004">
            <v>0.188</v>
          </cell>
        </row>
        <row r="3005">
          <cell r="B3005" t="str">
            <v>HSS12.000X0.625</v>
          </cell>
          <cell r="C3005">
            <v>20.9</v>
          </cell>
          <cell r="D3005" t="str">
            <v>-</v>
          </cell>
          <cell r="F3005" t="str">
            <v>-</v>
          </cell>
          <cell r="H3005">
            <v>12</v>
          </cell>
          <cell r="I3005" t="str">
            <v>-</v>
          </cell>
          <cell r="K3005" t="str">
            <v>-</v>
          </cell>
          <cell r="L3005" t="str">
            <v>-</v>
          </cell>
          <cell r="M3005">
            <v>12</v>
          </cell>
          <cell r="O3005" t="str">
            <v>-</v>
          </cell>
          <cell r="T3005" t="str">
            <v>-</v>
          </cell>
          <cell r="U3005">
            <v>0.625</v>
          </cell>
        </row>
        <row r="3006">
          <cell r="B3006" t="str">
            <v>HSS12.000X0.500</v>
          </cell>
          <cell r="C3006">
            <v>16.899999999999999</v>
          </cell>
          <cell r="D3006" t="str">
            <v>-</v>
          </cell>
          <cell r="F3006" t="str">
            <v>-</v>
          </cell>
          <cell r="H3006">
            <v>12</v>
          </cell>
          <cell r="I3006" t="str">
            <v>-</v>
          </cell>
          <cell r="K3006" t="str">
            <v>-</v>
          </cell>
          <cell r="L3006" t="str">
            <v>-</v>
          </cell>
          <cell r="M3006">
            <v>12</v>
          </cell>
          <cell r="O3006" t="str">
            <v>-</v>
          </cell>
          <cell r="T3006" t="str">
            <v>-</v>
          </cell>
          <cell r="U3006">
            <v>0.5</v>
          </cell>
        </row>
        <row r="3007">
          <cell r="B3007" t="str">
            <v>HSS12.000X0.375</v>
          </cell>
          <cell r="C3007">
            <v>12.8</v>
          </cell>
          <cell r="D3007" t="str">
            <v>-</v>
          </cell>
          <cell r="F3007" t="str">
            <v>-</v>
          </cell>
          <cell r="H3007">
            <v>12</v>
          </cell>
          <cell r="I3007" t="str">
            <v>-</v>
          </cell>
          <cell r="K3007" t="str">
            <v>-</v>
          </cell>
          <cell r="L3007" t="str">
            <v>-</v>
          </cell>
          <cell r="M3007">
            <v>12</v>
          </cell>
          <cell r="O3007" t="str">
            <v>-</v>
          </cell>
          <cell r="T3007" t="str">
            <v>-</v>
          </cell>
          <cell r="U3007">
            <v>0.375</v>
          </cell>
        </row>
        <row r="3008">
          <cell r="B3008" t="str">
            <v>HSS12.000X0.250</v>
          </cell>
          <cell r="C3008">
            <v>8.6</v>
          </cell>
          <cell r="D3008" t="str">
            <v>-</v>
          </cell>
          <cell r="F3008" t="str">
            <v>-</v>
          </cell>
          <cell r="H3008">
            <v>12</v>
          </cell>
          <cell r="I3008" t="str">
            <v>-</v>
          </cell>
          <cell r="K3008" t="str">
            <v>-</v>
          </cell>
          <cell r="L3008" t="str">
            <v>-</v>
          </cell>
          <cell r="M3008">
            <v>12</v>
          </cell>
          <cell r="O3008" t="str">
            <v>-</v>
          </cell>
          <cell r="T3008" t="str">
            <v>-</v>
          </cell>
          <cell r="U3008">
            <v>0.25</v>
          </cell>
        </row>
        <row r="3009">
          <cell r="B3009" t="str">
            <v>HSS11.750X0.625</v>
          </cell>
          <cell r="C3009">
            <v>20.399999999999999</v>
          </cell>
          <cell r="D3009" t="str">
            <v>-</v>
          </cell>
          <cell r="F3009" t="str">
            <v>-</v>
          </cell>
          <cell r="H3009">
            <v>11.8</v>
          </cell>
          <cell r="I3009" t="str">
            <v>-</v>
          </cell>
          <cell r="K3009" t="str">
            <v>-</v>
          </cell>
          <cell r="L3009" t="str">
            <v>-</v>
          </cell>
          <cell r="M3009">
            <v>11.8</v>
          </cell>
          <cell r="O3009" t="str">
            <v>-</v>
          </cell>
          <cell r="T3009" t="str">
            <v>-</v>
          </cell>
          <cell r="U3009">
            <v>0.625</v>
          </cell>
        </row>
        <row r="3010">
          <cell r="B3010" t="str">
            <v>HSS11.750X0.500</v>
          </cell>
          <cell r="C3010">
            <v>16.5</v>
          </cell>
          <cell r="D3010" t="str">
            <v>-</v>
          </cell>
          <cell r="F3010" t="str">
            <v>-</v>
          </cell>
          <cell r="H3010">
            <v>11.8</v>
          </cell>
          <cell r="I3010" t="str">
            <v>-</v>
          </cell>
          <cell r="K3010" t="str">
            <v>-</v>
          </cell>
          <cell r="L3010" t="str">
            <v>-</v>
          </cell>
          <cell r="M3010">
            <v>11.8</v>
          </cell>
          <cell r="O3010" t="str">
            <v>-</v>
          </cell>
          <cell r="T3010" t="str">
            <v>-</v>
          </cell>
          <cell r="U3010">
            <v>0.5</v>
          </cell>
        </row>
        <row r="3011">
          <cell r="B3011" t="str">
            <v>HSS11.750X0.375</v>
          </cell>
          <cell r="C3011">
            <v>12.5</v>
          </cell>
          <cell r="D3011" t="str">
            <v>-</v>
          </cell>
          <cell r="F3011" t="str">
            <v>-</v>
          </cell>
          <cell r="H3011">
            <v>11.8</v>
          </cell>
          <cell r="I3011" t="str">
            <v>-</v>
          </cell>
          <cell r="K3011" t="str">
            <v>-</v>
          </cell>
          <cell r="L3011" t="str">
            <v>-</v>
          </cell>
          <cell r="M3011">
            <v>11.8</v>
          </cell>
          <cell r="O3011" t="str">
            <v>-</v>
          </cell>
          <cell r="T3011" t="str">
            <v>-</v>
          </cell>
          <cell r="U3011">
            <v>0.375</v>
          </cell>
        </row>
        <row r="3012">
          <cell r="B3012" t="str">
            <v>HSS11.750X0.337</v>
          </cell>
          <cell r="C3012">
            <v>11.3</v>
          </cell>
          <cell r="D3012" t="str">
            <v>-</v>
          </cell>
          <cell r="F3012" t="str">
            <v>-</v>
          </cell>
          <cell r="H3012">
            <v>11.8</v>
          </cell>
          <cell r="I3012" t="str">
            <v>-</v>
          </cell>
          <cell r="K3012" t="str">
            <v>-</v>
          </cell>
          <cell r="L3012" t="str">
            <v>-</v>
          </cell>
          <cell r="M3012">
            <v>11.8</v>
          </cell>
          <cell r="O3012" t="str">
            <v>-</v>
          </cell>
          <cell r="T3012" t="str">
            <v>-</v>
          </cell>
          <cell r="U3012">
            <v>0.33700000000000002</v>
          </cell>
        </row>
        <row r="3013">
          <cell r="B3013" t="str">
            <v>HSS11.750X0.250</v>
          </cell>
          <cell r="C3013">
            <v>8.41</v>
          </cell>
          <cell r="D3013" t="str">
            <v>-</v>
          </cell>
          <cell r="F3013" t="str">
            <v>-</v>
          </cell>
          <cell r="H3013">
            <v>11.8</v>
          </cell>
          <cell r="I3013" t="str">
            <v>-</v>
          </cell>
          <cell r="K3013" t="str">
            <v>-</v>
          </cell>
          <cell r="L3013" t="str">
            <v>-</v>
          </cell>
          <cell r="M3013">
            <v>11.8</v>
          </cell>
          <cell r="O3013" t="str">
            <v>-</v>
          </cell>
          <cell r="T3013" t="str">
            <v>-</v>
          </cell>
          <cell r="U3013">
            <v>0.25</v>
          </cell>
        </row>
        <row r="3014">
          <cell r="B3014" t="str">
            <v>HSS10.750X0.625</v>
          </cell>
          <cell r="C3014">
            <v>18.600000000000001</v>
          </cell>
          <cell r="D3014" t="str">
            <v>-</v>
          </cell>
          <cell r="F3014" t="str">
            <v>-</v>
          </cell>
          <cell r="H3014">
            <v>10.8</v>
          </cell>
          <cell r="I3014" t="str">
            <v>-</v>
          </cell>
          <cell r="K3014" t="str">
            <v>-</v>
          </cell>
          <cell r="L3014" t="str">
            <v>-</v>
          </cell>
          <cell r="M3014">
            <v>10.8</v>
          </cell>
          <cell r="O3014" t="str">
            <v>-</v>
          </cell>
          <cell r="T3014" t="str">
            <v>-</v>
          </cell>
          <cell r="U3014">
            <v>0.625</v>
          </cell>
        </row>
        <row r="3015">
          <cell r="B3015" t="str">
            <v>HSS10.750X0.500</v>
          </cell>
          <cell r="C3015">
            <v>15</v>
          </cell>
          <cell r="D3015" t="str">
            <v>-</v>
          </cell>
          <cell r="F3015" t="str">
            <v>-</v>
          </cell>
          <cell r="H3015">
            <v>10.8</v>
          </cell>
          <cell r="I3015" t="str">
            <v>-</v>
          </cell>
          <cell r="K3015" t="str">
            <v>-</v>
          </cell>
          <cell r="L3015" t="str">
            <v>-</v>
          </cell>
          <cell r="M3015">
            <v>10.8</v>
          </cell>
          <cell r="O3015" t="str">
            <v>-</v>
          </cell>
          <cell r="T3015" t="str">
            <v>-</v>
          </cell>
          <cell r="U3015">
            <v>0.5</v>
          </cell>
        </row>
        <row r="3016">
          <cell r="B3016" t="str">
            <v>HSS10.750X0.375</v>
          </cell>
          <cell r="C3016">
            <v>11.4</v>
          </cell>
          <cell r="D3016" t="str">
            <v>-</v>
          </cell>
          <cell r="F3016" t="str">
            <v>-</v>
          </cell>
          <cell r="H3016">
            <v>10.8</v>
          </cell>
          <cell r="I3016" t="str">
            <v>-</v>
          </cell>
          <cell r="K3016" t="str">
            <v>-</v>
          </cell>
          <cell r="L3016" t="str">
            <v>-</v>
          </cell>
          <cell r="M3016">
            <v>10.8</v>
          </cell>
          <cell r="O3016" t="str">
            <v>-</v>
          </cell>
          <cell r="T3016" t="str">
            <v>-</v>
          </cell>
          <cell r="U3016">
            <v>0.375</v>
          </cell>
        </row>
        <row r="3017">
          <cell r="B3017" t="str">
            <v>HSS10.750X0.313</v>
          </cell>
          <cell r="C3017">
            <v>9.5500000000000007</v>
          </cell>
          <cell r="D3017" t="str">
            <v>-</v>
          </cell>
          <cell r="F3017" t="str">
            <v>-</v>
          </cell>
          <cell r="H3017">
            <v>10.8</v>
          </cell>
          <cell r="I3017" t="str">
            <v>-</v>
          </cell>
          <cell r="K3017" t="str">
            <v>-</v>
          </cell>
          <cell r="L3017" t="str">
            <v>-</v>
          </cell>
          <cell r="M3017">
            <v>10.8</v>
          </cell>
          <cell r="O3017" t="str">
            <v>-</v>
          </cell>
          <cell r="T3017" t="str">
            <v>-</v>
          </cell>
          <cell r="U3017">
            <v>0.313</v>
          </cell>
        </row>
        <row r="3018">
          <cell r="B3018" t="str">
            <v>HSS10.750X0.250</v>
          </cell>
          <cell r="C3018">
            <v>7.7</v>
          </cell>
          <cell r="D3018" t="str">
            <v>-</v>
          </cell>
          <cell r="F3018" t="str">
            <v>-</v>
          </cell>
          <cell r="H3018">
            <v>10.8</v>
          </cell>
          <cell r="I3018" t="str">
            <v>-</v>
          </cell>
          <cell r="K3018" t="str">
            <v>-</v>
          </cell>
          <cell r="L3018" t="str">
            <v>-</v>
          </cell>
          <cell r="M3018">
            <v>10.8</v>
          </cell>
          <cell r="O3018" t="str">
            <v>-</v>
          </cell>
          <cell r="T3018" t="str">
            <v>-</v>
          </cell>
          <cell r="U3018">
            <v>0.25</v>
          </cell>
        </row>
        <row r="3019">
          <cell r="B3019" t="str">
            <v>HSS10.750X0.188</v>
          </cell>
          <cell r="C3019">
            <v>5.79</v>
          </cell>
          <cell r="D3019" t="str">
            <v>-</v>
          </cell>
          <cell r="F3019" t="str">
            <v>-</v>
          </cell>
          <cell r="H3019">
            <v>10.8</v>
          </cell>
          <cell r="I3019" t="str">
            <v>-</v>
          </cell>
          <cell r="K3019" t="str">
            <v>-</v>
          </cell>
          <cell r="L3019" t="str">
            <v>-</v>
          </cell>
          <cell r="M3019">
            <v>10.8</v>
          </cell>
          <cell r="O3019" t="str">
            <v>-</v>
          </cell>
          <cell r="T3019" t="str">
            <v>-</v>
          </cell>
          <cell r="U3019">
            <v>0.188</v>
          </cell>
        </row>
        <row r="3020">
          <cell r="B3020" t="str">
            <v>HSS10.000X0.625</v>
          </cell>
          <cell r="C3020">
            <v>17.2</v>
          </cell>
          <cell r="D3020" t="str">
            <v>-</v>
          </cell>
          <cell r="F3020" t="str">
            <v>-</v>
          </cell>
          <cell r="H3020">
            <v>10</v>
          </cell>
          <cell r="I3020" t="str">
            <v>-</v>
          </cell>
          <cell r="K3020" t="str">
            <v>-</v>
          </cell>
          <cell r="L3020" t="str">
            <v>-</v>
          </cell>
          <cell r="M3020">
            <v>10</v>
          </cell>
          <cell r="O3020" t="str">
            <v>-</v>
          </cell>
          <cell r="T3020" t="str">
            <v>-</v>
          </cell>
          <cell r="U3020">
            <v>0.625</v>
          </cell>
        </row>
        <row r="3021">
          <cell r="B3021" t="str">
            <v>HSS10.000X0.500</v>
          </cell>
          <cell r="C3021">
            <v>13.9</v>
          </cell>
          <cell r="D3021" t="str">
            <v>-</v>
          </cell>
          <cell r="F3021" t="str">
            <v>-</v>
          </cell>
          <cell r="H3021">
            <v>10</v>
          </cell>
          <cell r="I3021" t="str">
            <v>-</v>
          </cell>
          <cell r="K3021" t="str">
            <v>-</v>
          </cell>
          <cell r="L3021" t="str">
            <v>-</v>
          </cell>
          <cell r="M3021">
            <v>10</v>
          </cell>
          <cell r="O3021" t="str">
            <v>-</v>
          </cell>
          <cell r="T3021" t="str">
            <v>-</v>
          </cell>
          <cell r="U3021">
            <v>0.5</v>
          </cell>
        </row>
        <row r="3022">
          <cell r="B3022" t="str">
            <v>HSS10.000X0.375</v>
          </cell>
          <cell r="C3022">
            <v>10.6</v>
          </cell>
          <cell r="D3022" t="str">
            <v>-</v>
          </cell>
          <cell r="F3022" t="str">
            <v>-</v>
          </cell>
          <cell r="H3022">
            <v>10</v>
          </cell>
          <cell r="I3022" t="str">
            <v>-</v>
          </cell>
          <cell r="K3022" t="str">
            <v>-</v>
          </cell>
          <cell r="L3022" t="str">
            <v>-</v>
          </cell>
          <cell r="M3022">
            <v>10</v>
          </cell>
          <cell r="O3022" t="str">
            <v>-</v>
          </cell>
          <cell r="T3022" t="str">
            <v>-</v>
          </cell>
          <cell r="U3022">
            <v>0.375</v>
          </cell>
        </row>
        <row r="3023">
          <cell r="B3023" t="str">
            <v>HSS10.000X0.312</v>
          </cell>
          <cell r="C3023">
            <v>8.8800000000000008</v>
          </cell>
          <cell r="D3023" t="str">
            <v>-</v>
          </cell>
          <cell r="F3023" t="str">
            <v>-</v>
          </cell>
          <cell r="H3023">
            <v>10</v>
          </cell>
          <cell r="I3023" t="str">
            <v>-</v>
          </cell>
          <cell r="K3023" t="str">
            <v>-</v>
          </cell>
          <cell r="L3023" t="str">
            <v>-</v>
          </cell>
          <cell r="M3023">
            <v>10</v>
          </cell>
          <cell r="O3023" t="str">
            <v>-</v>
          </cell>
          <cell r="T3023" t="str">
            <v>-</v>
          </cell>
          <cell r="U3023">
            <v>0.312</v>
          </cell>
        </row>
        <row r="3024">
          <cell r="B3024" t="str">
            <v>HSS10.000X0.250</v>
          </cell>
          <cell r="C3024">
            <v>7.15</v>
          </cell>
          <cell r="D3024" t="str">
            <v>-</v>
          </cell>
          <cell r="F3024" t="str">
            <v>-</v>
          </cell>
          <cell r="H3024">
            <v>10</v>
          </cell>
          <cell r="I3024" t="str">
            <v>-</v>
          </cell>
          <cell r="K3024" t="str">
            <v>-</v>
          </cell>
          <cell r="L3024" t="str">
            <v>-</v>
          </cell>
          <cell r="M3024">
            <v>10</v>
          </cell>
          <cell r="O3024" t="str">
            <v>-</v>
          </cell>
          <cell r="T3024" t="str">
            <v>-</v>
          </cell>
          <cell r="U3024">
            <v>0.25</v>
          </cell>
        </row>
        <row r="3025">
          <cell r="B3025" t="str">
            <v>HSS10.000X0.188</v>
          </cell>
          <cell r="C3025">
            <v>5.37</v>
          </cell>
          <cell r="D3025" t="str">
            <v>-</v>
          </cell>
          <cell r="F3025" t="str">
            <v>-</v>
          </cell>
          <cell r="H3025">
            <v>10</v>
          </cell>
          <cell r="I3025" t="str">
            <v>-</v>
          </cell>
          <cell r="K3025" t="str">
            <v>-</v>
          </cell>
          <cell r="L3025" t="str">
            <v>-</v>
          </cell>
          <cell r="M3025">
            <v>10</v>
          </cell>
          <cell r="O3025" t="str">
            <v>-</v>
          </cell>
          <cell r="T3025" t="str">
            <v>-</v>
          </cell>
          <cell r="U3025">
            <v>0.188</v>
          </cell>
        </row>
        <row r="3026">
          <cell r="B3026" t="str">
            <v>HSS9.625X0.625</v>
          </cell>
          <cell r="C3026">
            <v>16.5</v>
          </cell>
          <cell r="D3026" t="str">
            <v>-</v>
          </cell>
          <cell r="F3026" t="str">
            <v>-</v>
          </cell>
          <cell r="H3026">
            <v>9.6300000000000008</v>
          </cell>
          <cell r="I3026" t="str">
            <v>-</v>
          </cell>
          <cell r="K3026" t="str">
            <v>-</v>
          </cell>
          <cell r="L3026" t="str">
            <v>-</v>
          </cell>
          <cell r="M3026">
            <v>9.6300000000000008</v>
          </cell>
          <cell r="O3026" t="str">
            <v>-</v>
          </cell>
          <cell r="T3026" t="str">
            <v>-</v>
          </cell>
          <cell r="U3026">
            <v>0.625</v>
          </cell>
        </row>
        <row r="3027">
          <cell r="B3027" t="str">
            <v>HSS9.625X0.500</v>
          </cell>
          <cell r="C3027">
            <v>13.4</v>
          </cell>
          <cell r="D3027" t="str">
            <v>-</v>
          </cell>
          <cell r="F3027" t="str">
            <v>-</v>
          </cell>
          <cell r="H3027">
            <v>9.6300000000000008</v>
          </cell>
          <cell r="I3027" t="str">
            <v>-</v>
          </cell>
          <cell r="K3027" t="str">
            <v>-</v>
          </cell>
          <cell r="L3027" t="str">
            <v>-</v>
          </cell>
          <cell r="M3027">
            <v>9.6300000000000008</v>
          </cell>
          <cell r="O3027" t="str">
            <v>-</v>
          </cell>
          <cell r="T3027" t="str">
            <v>-</v>
          </cell>
          <cell r="U3027">
            <v>0.5</v>
          </cell>
        </row>
        <row r="3028">
          <cell r="B3028" t="str">
            <v>HSS9.625X0.375</v>
          </cell>
          <cell r="C3028">
            <v>10.199999999999999</v>
          </cell>
          <cell r="D3028" t="str">
            <v>-</v>
          </cell>
          <cell r="F3028" t="str">
            <v>-</v>
          </cell>
          <cell r="H3028">
            <v>9.6300000000000008</v>
          </cell>
          <cell r="I3028" t="str">
            <v>-</v>
          </cell>
          <cell r="K3028" t="str">
            <v>-</v>
          </cell>
          <cell r="L3028" t="str">
            <v>-</v>
          </cell>
          <cell r="M3028">
            <v>9.6300000000000008</v>
          </cell>
          <cell r="O3028" t="str">
            <v>-</v>
          </cell>
          <cell r="T3028" t="str">
            <v>-</v>
          </cell>
          <cell r="U3028">
            <v>0.375</v>
          </cell>
        </row>
        <row r="3029">
          <cell r="B3029" t="str">
            <v>HSS9.625X0.312</v>
          </cell>
          <cell r="C3029">
            <v>8.5299999999999994</v>
          </cell>
          <cell r="D3029" t="str">
            <v>-</v>
          </cell>
          <cell r="F3029" t="str">
            <v>-</v>
          </cell>
          <cell r="H3029">
            <v>9.6300000000000008</v>
          </cell>
          <cell r="I3029" t="str">
            <v>-</v>
          </cell>
          <cell r="K3029" t="str">
            <v>-</v>
          </cell>
          <cell r="L3029" t="str">
            <v>-</v>
          </cell>
          <cell r="M3029">
            <v>9.6300000000000008</v>
          </cell>
          <cell r="O3029" t="str">
            <v>-</v>
          </cell>
          <cell r="T3029" t="str">
            <v>-</v>
          </cell>
          <cell r="U3029">
            <v>0.312</v>
          </cell>
        </row>
        <row r="3030">
          <cell r="B3030" t="str">
            <v>HSS9.625X0.250</v>
          </cell>
          <cell r="C3030">
            <v>6.87</v>
          </cell>
          <cell r="D3030" t="str">
            <v>-</v>
          </cell>
          <cell r="F3030" t="str">
            <v>-</v>
          </cell>
          <cell r="H3030">
            <v>9.6300000000000008</v>
          </cell>
          <cell r="I3030" t="str">
            <v>-</v>
          </cell>
          <cell r="K3030" t="str">
            <v>-</v>
          </cell>
          <cell r="L3030" t="str">
            <v>-</v>
          </cell>
          <cell r="M3030">
            <v>9.6300000000000008</v>
          </cell>
          <cell r="O3030" t="str">
            <v>-</v>
          </cell>
          <cell r="T3030" t="str">
            <v>-</v>
          </cell>
          <cell r="U3030">
            <v>0.25</v>
          </cell>
        </row>
        <row r="3031">
          <cell r="B3031" t="str">
            <v>HSS9.625X0.188</v>
          </cell>
          <cell r="C3031">
            <v>5.17</v>
          </cell>
          <cell r="D3031" t="str">
            <v>-</v>
          </cell>
          <cell r="F3031" t="str">
            <v>-</v>
          </cell>
          <cell r="H3031">
            <v>9.6300000000000008</v>
          </cell>
          <cell r="I3031" t="str">
            <v>-</v>
          </cell>
          <cell r="K3031" t="str">
            <v>-</v>
          </cell>
          <cell r="L3031" t="str">
            <v>-</v>
          </cell>
          <cell r="M3031">
            <v>9.6300000000000008</v>
          </cell>
          <cell r="O3031" t="str">
            <v>-</v>
          </cell>
          <cell r="T3031" t="str">
            <v>-</v>
          </cell>
          <cell r="U3031">
            <v>0.188</v>
          </cell>
        </row>
        <row r="3032">
          <cell r="B3032" t="str">
            <v>HSS8.625X0.625</v>
          </cell>
          <cell r="C3032">
            <v>14.7</v>
          </cell>
          <cell r="D3032" t="str">
            <v>-</v>
          </cell>
          <cell r="F3032" t="str">
            <v>-</v>
          </cell>
          <cell r="H3032">
            <v>8.6300000000000008</v>
          </cell>
          <cell r="I3032" t="str">
            <v>-</v>
          </cell>
          <cell r="K3032" t="str">
            <v>-</v>
          </cell>
          <cell r="L3032" t="str">
            <v>-</v>
          </cell>
          <cell r="M3032">
            <v>8.6300000000000008</v>
          </cell>
          <cell r="O3032" t="str">
            <v>-</v>
          </cell>
          <cell r="T3032" t="str">
            <v>-</v>
          </cell>
          <cell r="U3032">
            <v>0.625</v>
          </cell>
        </row>
        <row r="3033">
          <cell r="B3033" t="str">
            <v>HSS8.625X0.500</v>
          </cell>
          <cell r="C3033">
            <v>11.9</v>
          </cell>
          <cell r="D3033" t="str">
            <v>-</v>
          </cell>
          <cell r="F3033" t="str">
            <v>-</v>
          </cell>
          <cell r="H3033">
            <v>8.6300000000000008</v>
          </cell>
          <cell r="I3033" t="str">
            <v>-</v>
          </cell>
          <cell r="K3033" t="str">
            <v>-</v>
          </cell>
          <cell r="L3033" t="str">
            <v>-</v>
          </cell>
          <cell r="M3033">
            <v>8.6300000000000008</v>
          </cell>
          <cell r="O3033" t="str">
            <v>-</v>
          </cell>
          <cell r="T3033" t="str">
            <v>-</v>
          </cell>
          <cell r="U3033">
            <v>0.5</v>
          </cell>
        </row>
        <row r="3034">
          <cell r="B3034" t="str">
            <v>HSS8.625X0.375</v>
          </cell>
          <cell r="C3034">
            <v>9.07</v>
          </cell>
          <cell r="D3034" t="str">
            <v>-</v>
          </cell>
          <cell r="F3034" t="str">
            <v>-</v>
          </cell>
          <cell r="H3034">
            <v>8.6300000000000008</v>
          </cell>
          <cell r="I3034" t="str">
            <v>-</v>
          </cell>
          <cell r="K3034" t="str">
            <v>-</v>
          </cell>
          <cell r="L3034" t="str">
            <v>-</v>
          </cell>
          <cell r="M3034">
            <v>8.6300000000000008</v>
          </cell>
          <cell r="O3034" t="str">
            <v>-</v>
          </cell>
          <cell r="T3034" t="str">
            <v>-</v>
          </cell>
          <cell r="U3034">
            <v>0.375</v>
          </cell>
        </row>
        <row r="3035">
          <cell r="B3035" t="str">
            <v>HSS8.625X0.322</v>
          </cell>
          <cell r="C3035">
            <v>7.85</v>
          </cell>
          <cell r="D3035" t="str">
            <v>-</v>
          </cell>
          <cell r="F3035" t="str">
            <v>-</v>
          </cell>
          <cell r="H3035">
            <v>8.6300000000000008</v>
          </cell>
          <cell r="I3035" t="str">
            <v>-</v>
          </cell>
          <cell r="K3035" t="str">
            <v>-</v>
          </cell>
          <cell r="L3035" t="str">
            <v>-</v>
          </cell>
          <cell r="M3035">
            <v>8.6300000000000008</v>
          </cell>
          <cell r="O3035" t="str">
            <v>-</v>
          </cell>
          <cell r="T3035" t="str">
            <v>-</v>
          </cell>
          <cell r="U3035">
            <v>0.32200000000000001</v>
          </cell>
        </row>
        <row r="3036">
          <cell r="B3036" t="str">
            <v>HSS8.625X0.250</v>
          </cell>
          <cell r="C3036">
            <v>6.14</v>
          </cell>
          <cell r="D3036" t="str">
            <v>-</v>
          </cell>
          <cell r="F3036" t="str">
            <v>-</v>
          </cell>
          <cell r="H3036">
            <v>8.6300000000000008</v>
          </cell>
          <cell r="I3036" t="str">
            <v>-</v>
          </cell>
          <cell r="K3036" t="str">
            <v>-</v>
          </cell>
          <cell r="L3036" t="str">
            <v>-</v>
          </cell>
          <cell r="M3036">
            <v>8.6300000000000008</v>
          </cell>
          <cell r="O3036" t="str">
            <v>-</v>
          </cell>
          <cell r="T3036" t="str">
            <v>-</v>
          </cell>
          <cell r="U3036">
            <v>0.25</v>
          </cell>
        </row>
        <row r="3037">
          <cell r="B3037" t="str">
            <v>HSS8.625X0.188</v>
          </cell>
          <cell r="C3037">
            <v>4.62</v>
          </cell>
          <cell r="D3037" t="str">
            <v>-</v>
          </cell>
          <cell r="F3037" t="str">
            <v>-</v>
          </cell>
          <cell r="H3037">
            <v>8.6300000000000008</v>
          </cell>
          <cell r="I3037" t="str">
            <v>-</v>
          </cell>
          <cell r="K3037" t="str">
            <v>-</v>
          </cell>
          <cell r="L3037" t="str">
            <v>-</v>
          </cell>
          <cell r="M3037">
            <v>8.6300000000000008</v>
          </cell>
          <cell r="O3037" t="str">
            <v>-</v>
          </cell>
          <cell r="T3037" t="str">
            <v>-</v>
          </cell>
          <cell r="U3037">
            <v>0.188</v>
          </cell>
        </row>
        <row r="3038">
          <cell r="B3038" t="str">
            <v>HSS7.500X0.500</v>
          </cell>
          <cell r="C3038">
            <v>10.3</v>
          </cell>
          <cell r="D3038" t="str">
            <v>-</v>
          </cell>
          <cell r="F3038" t="str">
            <v>-</v>
          </cell>
          <cell r="H3038">
            <v>7.5</v>
          </cell>
          <cell r="I3038" t="str">
            <v>-</v>
          </cell>
          <cell r="K3038" t="str">
            <v>-</v>
          </cell>
          <cell r="L3038" t="str">
            <v>-</v>
          </cell>
          <cell r="M3038">
            <v>7.5</v>
          </cell>
          <cell r="O3038" t="str">
            <v>-</v>
          </cell>
          <cell r="T3038" t="str">
            <v>-</v>
          </cell>
          <cell r="U3038">
            <v>0.5</v>
          </cell>
        </row>
        <row r="3039">
          <cell r="B3039" t="str">
            <v>HSS7.500X0.375</v>
          </cell>
          <cell r="C3039">
            <v>7.84</v>
          </cell>
          <cell r="D3039" t="str">
            <v>-</v>
          </cell>
          <cell r="F3039" t="str">
            <v>-</v>
          </cell>
          <cell r="H3039">
            <v>7.5</v>
          </cell>
          <cell r="I3039" t="str">
            <v>-</v>
          </cell>
          <cell r="K3039" t="str">
            <v>-</v>
          </cell>
          <cell r="L3039" t="str">
            <v>-</v>
          </cell>
          <cell r="M3039">
            <v>7.5</v>
          </cell>
          <cell r="O3039" t="str">
            <v>-</v>
          </cell>
          <cell r="T3039" t="str">
            <v>-</v>
          </cell>
          <cell r="U3039">
            <v>0.375</v>
          </cell>
        </row>
        <row r="3040">
          <cell r="B3040" t="str">
            <v>HSS7.500X0.312</v>
          </cell>
          <cell r="C3040">
            <v>6.59</v>
          </cell>
          <cell r="D3040" t="str">
            <v>-</v>
          </cell>
          <cell r="F3040" t="str">
            <v>-</v>
          </cell>
          <cell r="H3040">
            <v>7.5</v>
          </cell>
          <cell r="I3040" t="str">
            <v>-</v>
          </cell>
          <cell r="K3040" t="str">
            <v>-</v>
          </cell>
          <cell r="L3040" t="str">
            <v>-</v>
          </cell>
          <cell r="M3040">
            <v>7.5</v>
          </cell>
          <cell r="O3040" t="str">
            <v>-</v>
          </cell>
          <cell r="T3040" t="str">
            <v>-</v>
          </cell>
          <cell r="U3040">
            <v>0.312</v>
          </cell>
        </row>
        <row r="3041">
          <cell r="B3041" t="str">
            <v>HSS7.500X0.250</v>
          </cell>
          <cell r="C3041">
            <v>5.32</v>
          </cell>
          <cell r="D3041" t="str">
            <v>-</v>
          </cell>
          <cell r="F3041" t="str">
            <v>-</v>
          </cell>
          <cell r="H3041">
            <v>7.5</v>
          </cell>
          <cell r="I3041" t="str">
            <v>-</v>
          </cell>
          <cell r="K3041" t="str">
            <v>-</v>
          </cell>
          <cell r="L3041" t="str">
            <v>-</v>
          </cell>
          <cell r="M3041">
            <v>7.5</v>
          </cell>
          <cell r="O3041" t="str">
            <v>-</v>
          </cell>
          <cell r="T3041" t="str">
            <v>-</v>
          </cell>
          <cell r="U3041">
            <v>0.25</v>
          </cell>
        </row>
        <row r="3042">
          <cell r="B3042" t="str">
            <v>HSS7.500X0.188</v>
          </cell>
          <cell r="C3042">
            <v>4</v>
          </cell>
          <cell r="D3042" t="str">
            <v>-</v>
          </cell>
          <cell r="F3042" t="str">
            <v>-</v>
          </cell>
          <cell r="H3042">
            <v>7.5</v>
          </cell>
          <cell r="I3042" t="str">
            <v>-</v>
          </cell>
          <cell r="K3042" t="str">
            <v>-</v>
          </cell>
          <cell r="L3042" t="str">
            <v>-</v>
          </cell>
          <cell r="M3042">
            <v>7.5</v>
          </cell>
          <cell r="O3042" t="str">
            <v>-</v>
          </cell>
          <cell r="T3042" t="str">
            <v>-</v>
          </cell>
          <cell r="U3042">
            <v>0.188</v>
          </cell>
        </row>
        <row r="3043">
          <cell r="B3043" t="str">
            <v>HSS7.000X0.500</v>
          </cell>
          <cell r="C3043">
            <v>9.5500000000000007</v>
          </cell>
          <cell r="D3043" t="str">
            <v>-</v>
          </cell>
          <cell r="F3043" t="str">
            <v>-</v>
          </cell>
          <cell r="H3043">
            <v>7</v>
          </cell>
          <cell r="I3043" t="str">
            <v>-</v>
          </cell>
          <cell r="K3043" t="str">
            <v>-</v>
          </cell>
          <cell r="L3043" t="str">
            <v>-</v>
          </cell>
          <cell r="M3043">
            <v>7</v>
          </cell>
          <cell r="O3043" t="str">
            <v>-</v>
          </cell>
          <cell r="T3043" t="str">
            <v>-</v>
          </cell>
          <cell r="U3043">
            <v>0.5</v>
          </cell>
        </row>
        <row r="3044">
          <cell r="B3044" t="str">
            <v>HSS7.000X0.375</v>
          </cell>
          <cell r="C3044">
            <v>7.29</v>
          </cell>
          <cell r="D3044" t="str">
            <v>-</v>
          </cell>
          <cell r="F3044" t="str">
            <v>-</v>
          </cell>
          <cell r="H3044">
            <v>7</v>
          </cell>
          <cell r="I3044" t="str">
            <v>-</v>
          </cell>
          <cell r="K3044" t="str">
            <v>-</v>
          </cell>
          <cell r="L3044" t="str">
            <v>-</v>
          </cell>
          <cell r="M3044">
            <v>7</v>
          </cell>
          <cell r="O3044" t="str">
            <v>-</v>
          </cell>
          <cell r="T3044" t="str">
            <v>-</v>
          </cell>
          <cell r="U3044">
            <v>0.375</v>
          </cell>
        </row>
        <row r="3045">
          <cell r="B3045" t="str">
            <v>HSS7.000X0.312</v>
          </cell>
          <cell r="C3045">
            <v>6.13</v>
          </cell>
          <cell r="D3045" t="str">
            <v>-</v>
          </cell>
          <cell r="F3045" t="str">
            <v>-</v>
          </cell>
          <cell r="H3045">
            <v>7</v>
          </cell>
          <cell r="I3045" t="str">
            <v>-</v>
          </cell>
          <cell r="K3045" t="str">
            <v>-</v>
          </cell>
          <cell r="L3045" t="str">
            <v>-</v>
          </cell>
          <cell r="M3045">
            <v>7</v>
          </cell>
          <cell r="O3045" t="str">
            <v>-</v>
          </cell>
          <cell r="T3045" t="str">
            <v>-</v>
          </cell>
          <cell r="U3045">
            <v>0.312</v>
          </cell>
        </row>
        <row r="3046">
          <cell r="B3046" t="str">
            <v>HSS7.000X0.250</v>
          </cell>
          <cell r="C3046">
            <v>4.95</v>
          </cell>
          <cell r="D3046" t="str">
            <v>-</v>
          </cell>
          <cell r="F3046" t="str">
            <v>-</v>
          </cell>
          <cell r="H3046">
            <v>7</v>
          </cell>
          <cell r="I3046" t="str">
            <v>-</v>
          </cell>
          <cell r="K3046" t="str">
            <v>-</v>
          </cell>
          <cell r="L3046" t="str">
            <v>-</v>
          </cell>
          <cell r="M3046">
            <v>7</v>
          </cell>
          <cell r="O3046" t="str">
            <v>-</v>
          </cell>
          <cell r="T3046" t="str">
            <v>-</v>
          </cell>
          <cell r="U3046">
            <v>0.25</v>
          </cell>
        </row>
        <row r="3047">
          <cell r="B3047" t="str">
            <v>HSS7.000X0.188</v>
          </cell>
          <cell r="C3047">
            <v>3.73</v>
          </cell>
          <cell r="D3047" t="str">
            <v>-</v>
          </cell>
          <cell r="F3047" t="str">
            <v>-</v>
          </cell>
          <cell r="H3047">
            <v>7</v>
          </cell>
          <cell r="I3047" t="str">
            <v>-</v>
          </cell>
          <cell r="K3047" t="str">
            <v>-</v>
          </cell>
          <cell r="L3047" t="str">
            <v>-</v>
          </cell>
          <cell r="M3047">
            <v>7</v>
          </cell>
          <cell r="O3047" t="str">
            <v>-</v>
          </cell>
          <cell r="T3047" t="str">
            <v>-</v>
          </cell>
          <cell r="U3047">
            <v>0.188</v>
          </cell>
        </row>
        <row r="3048">
          <cell r="B3048" t="str">
            <v>HSS7.000X0.125</v>
          </cell>
          <cell r="C3048">
            <v>2.5099999999999998</v>
          </cell>
          <cell r="D3048" t="str">
            <v>-</v>
          </cell>
          <cell r="F3048" t="str">
            <v>-</v>
          </cell>
          <cell r="H3048">
            <v>7</v>
          </cell>
          <cell r="I3048" t="str">
            <v>-</v>
          </cell>
          <cell r="K3048" t="str">
            <v>-</v>
          </cell>
          <cell r="L3048" t="str">
            <v>-</v>
          </cell>
          <cell r="M3048">
            <v>7</v>
          </cell>
          <cell r="O3048" t="str">
            <v>-</v>
          </cell>
          <cell r="T3048" t="str">
            <v>-</v>
          </cell>
          <cell r="U3048">
            <v>0.125</v>
          </cell>
        </row>
        <row r="3049">
          <cell r="B3049" t="str">
            <v>HSS6.875X0.375</v>
          </cell>
          <cell r="C3049">
            <v>7.16</v>
          </cell>
          <cell r="D3049" t="str">
            <v>-</v>
          </cell>
          <cell r="F3049" t="str">
            <v>-</v>
          </cell>
          <cell r="H3049">
            <v>6.88</v>
          </cell>
          <cell r="I3049" t="str">
            <v>-</v>
          </cell>
          <cell r="K3049" t="str">
            <v>-</v>
          </cell>
          <cell r="L3049" t="str">
            <v>-</v>
          </cell>
          <cell r="M3049">
            <v>6.88</v>
          </cell>
          <cell r="O3049" t="str">
            <v>-</v>
          </cell>
          <cell r="T3049" t="str">
            <v>-</v>
          </cell>
          <cell r="U3049">
            <v>0.375</v>
          </cell>
        </row>
        <row r="3050">
          <cell r="B3050" t="str">
            <v>HSS6.875X0.312</v>
          </cell>
          <cell r="C3050">
            <v>6.02</v>
          </cell>
          <cell r="D3050" t="str">
            <v>-</v>
          </cell>
          <cell r="F3050" t="str">
            <v>-</v>
          </cell>
          <cell r="H3050">
            <v>6.88</v>
          </cell>
          <cell r="I3050" t="str">
            <v>-</v>
          </cell>
          <cell r="K3050" t="str">
            <v>-</v>
          </cell>
          <cell r="L3050" t="str">
            <v>-</v>
          </cell>
          <cell r="M3050">
            <v>6.88</v>
          </cell>
          <cell r="O3050" t="str">
            <v>-</v>
          </cell>
          <cell r="T3050" t="str">
            <v>-</v>
          </cell>
          <cell r="U3050">
            <v>0.312</v>
          </cell>
        </row>
        <row r="3051">
          <cell r="B3051" t="str">
            <v>HSS6.875X0.250</v>
          </cell>
          <cell r="C3051">
            <v>4.8600000000000003</v>
          </cell>
          <cell r="D3051" t="str">
            <v>-</v>
          </cell>
          <cell r="F3051" t="str">
            <v>-</v>
          </cell>
          <cell r="H3051">
            <v>6.88</v>
          </cell>
          <cell r="I3051" t="str">
            <v>-</v>
          </cell>
          <cell r="K3051" t="str">
            <v>-</v>
          </cell>
          <cell r="L3051" t="str">
            <v>-</v>
          </cell>
          <cell r="M3051">
            <v>6.88</v>
          </cell>
          <cell r="O3051" t="str">
            <v>-</v>
          </cell>
          <cell r="T3051" t="str">
            <v>-</v>
          </cell>
          <cell r="U3051">
            <v>0.25</v>
          </cell>
        </row>
        <row r="3052">
          <cell r="B3052" t="str">
            <v>HSS6.875X0.188</v>
          </cell>
          <cell r="C3052">
            <v>3.66</v>
          </cell>
          <cell r="D3052" t="str">
            <v>-</v>
          </cell>
          <cell r="F3052" t="str">
            <v>-</v>
          </cell>
          <cell r="H3052">
            <v>6.88</v>
          </cell>
          <cell r="I3052" t="str">
            <v>-</v>
          </cell>
          <cell r="K3052" t="str">
            <v>-</v>
          </cell>
          <cell r="L3052" t="str">
            <v>-</v>
          </cell>
          <cell r="M3052">
            <v>6.88</v>
          </cell>
          <cell r="O3052" t="str">
            <v>-</v>
          </cell>
          <cell r="T3052" t="str">
            <v>-</v>
          </cell>
          <cell r="U3052">
            <v>0.188</v>
          </cell>
        </row>
        <row r="3053">
          <cell r="B3053" t="str">
            <v>HSS6.625X0.500</v>
          </cell>
          <cell r="C3053">
            <v>9</v>
          </cell>
          <cell r="D3053" t="str">
            <v>-</v>
          </cell>
          <cell r="F3053" t="str">
            <v>-</v>
          </cell>
          <cell r="H3053">
            <v>6.63</v>
          </cell>
          <cell r="I3053" t="str">
            <v>-</v>
          </cell>
          <cell r="K3053" t="str">
            <v>-</v>
          </cell>
          <cell r="L3053" t="str">
            <v>-</v>
          </cell>
          <cell r="M3053">
            <v>6.63</v>
          </cell>
          <cell r="O3053" t="str">
            <v>-</v>
          </cell>
          <cell r="T3053" t="str">
            <v>-</v>
          </cell>
          <cell r="U3053">
            <v>0.5</v>
          </cell>
        </row>
        <row r="3054">
          <cell r="B3054" t="str">
            <v>HSS6.625X0.432</v>
          </cell>
          <cell r="C3054">
            <v>7.86</v>
          </cell>
          <cell r="D3054" t="str">
            <v>-</v>
          </cell>
          <cell r="F3054" t="str">
            <v>-</v>
          </cell>
          <cell r="H3054">
            <v>6.63</v>
          </cell>
          <cell r="I3054" t="str">
            <v>-</v>
          </cell>
          <cell r="K3054" t="str">
            <v>-</v>
          </cell>
          <cell r="L3054" t="str">
            <v>-</v>
          </cell>
          <cell r="M3054">
            <v>6.63</v>
          </cell>
          <cell r="O3054" t="str">
            <v>-</v>
          </cell>
          <cell r="T3054" t="str">
            <v>-</v>
          </cell>
          <cell r="U3054">
            <v>0.432</v>
          </cell>
        </row>
        <row r="3055">
          <cell r="B3055" t="str">
            <v>HSS6.625X0.375</v>
          </cell>
          <cell r="C3055">
            <v>6.88</v>
          </cell>
          <cell r="D3055" t="str">
            <v>-</v>
          </cell>
          <cell r="F3055" t="str">
            <v>-</v>
          </cell>
          <cell r="H3055">
            <v>6.63</v>
          </cell>
          <cell r="I3055" t="str">
            <v>-</v>
          </cell>
          <cell r="K3055" t="str">
            <v>-</v>
          </cell>
          <cell r="L3055" t="str">
            <v>-</v>
          </cell>
          <cell r="M3055">
            <v>6.63</v>
          </cell>
          <cell r="O3055" t="str">
            <v>-</v>
          </cell>
          <cell r="T3055" t="str">
            <v>-</v>
          </cell>
          <cell r="U3055">
            <v>0.375</v>
          </cell>
        </row>
        <row r="3056">
          <cell r="B3056" t="str">
            <v>HSS6.625X0.312</v>
          </cell>
          <cell r="C3056">
            <v>5.79</v>
          </cell>
          <cell r="D3056" t="str">
            <v>-</v>
          </cell>
          <cell r="F3056" t="str">
            <v>-</v>
          </cell>
          <cell r="H3056">
            <v>6.63</v>
          </cell>
          <cell r="I3056" t="str">
            <v>-</v>
          </cell>
          <cell r="K3056" t="str">
            <v>-</v>
          </cell>
          <cell r="L3056" t="str">
            <v>-</v>
          </cell>
          <cell r="M3056">
            <v>6.63</v>
          </cell>
          <cell r="O3056" t="str">
            <v>-</v>
          </cell>
          <cell r="T3056" t="str">
            <v>-</v>
          </cell>
          <cell r="U3056">
            <v>0.312</v>
          </cell>
        </row>
        <row r="3057">
          <cell r="B3057" t="str">
            <v>HSS6.625X0.280</v>
          </cell>
          <cell r="C3057">
            <v>5.2</v>
          </cell>
          <cell r="D3057" t="str">
            <v>-</v>
          </cell>
          <cell r="F3057" t="str">
            <v>-</v>
          </cell>
          <cell r="H3057">
            <v>6.63</v>
          </cell>
          <cell r="I3057" t="str">
            <v>-</v>
          </cell>
          <cell r="K3057" t="str">
            <v>-</v>
          </cell>
          <cell r="L3057" t="str">
            <v>-</v>
          </cell>
          <cell r="M3057">
            <v>6.63</v>
          </cell>
          <cell r="O3057" t="str">
            <v>-</v>
          </cell>
          <cell r="T3057" t="str">
            <v>-</v>
          </cell>
          <cell r="U3057">
            <v>0.28000000000000003</v>
          </cell>
        </row>
        <row r="3058">
          <cell r="B3058" t="str">
            <v>HSS6.625X0.250</v>
          </cell>
          <cell r="C3058">
            <v>4.68</v>
          </cell>
          <cell r="D3058" t="str">
            <v>-</v>
          </cell>
          <cell r="F3058" t="str">
            <v>-</v>
          </cell>
          <cell r="H3058">
            <v>6.63</v>
          </cell>
          <cell r="I3058" t="str">
            <v>-</v>
          </cell>
          <cell r="K3058" t="str">
            <v>-</v>
          </cell>
          <cell r="L3058" t="str">
            <v>-</v>
          </cell>
          <cell r="M3058">
            <v>6.63</v>
          </cell>
          <cell r="O3058" t="str">
            <v>-</v>
          </cell>
          <cell r="T3058" t="str">
            <v>-</v>
          </cell>
          <cell r="U3058">
            <v>0.25</v>
          </cell>
        </row>
        <row r="3059">
          <cell r="B3059" t="str">
            <v>HSS6.625X0.188</v>
          </cell>
          <cell r="C3059">
            <v>3.53</v>
          </cell>
          <cell r="D3059" t="str">
            <v>-</v>
          </cell>
          <cell r="F3059" t="str">
            <v>-</v>
          </cell>
          <cell r="H3059">
            <v>6.63</v>
          </cell>
          <cell r="I3059" t="str">
            <v>-</v>
          </cell>
          <cell r="K3059" t="str">
            <v>-</v>
          </cell>
          <cell r="L3059" t="str">
            <v>-</v>
          </cell>
          <cell r="M3059">
            <v>6.63</v>
          </cell>
          <cell r="O3059" t="str">
            <v>-</v>
          </cell>
          <cell r="T3059" t="str">
            <v>-</v>
          </cell>
          <cell r="U3059">
            <v>0.188</v>
          </cell>
        </row>
        <row r="3060">
          <cell r="B3060" t="str">
            <v>HSS6.625X0.125</v>
          </cell>
          <cell r="C3060">
            <v>2.37</v>
          </cell>
          <cell r="D3060" t="str">
            <v>-</v>
          </cell>
          <cell r="F3060" t="str">
            <v>-</v>
          </cell>
          <cell r="H3060">
            <v>6.63</v>
          </cell>
          <cell r="I3060" t="str">
            <v>-</v>
          </cell>
          <cell r="K3060" t="str">
            <v>-</v>
          </cell>
          <cell r="L3060" t="str">
            <v>-</v>
          </cell>
          <cell r="M3060">
            <v>6.63</v>
          </cell>
          <cell r="O3060" t="str">
            <v>-</v>
          </cell>
          <cell r="T3060" t="str">
            <v>-</v>
          </cell>
          <cell r="U3060">
            <v>0.125</v>
          </cell>
        </row>
        <row r="3061">
          <cell r="B3061" t="str">
            <v>HSS6.000X0.500</v>
          </cell>
          <cell r="C3061">
            <v>8.09</v>
          </cell>
          <cell r="D3061" t="str">
            <v>-</v>
          </cell>
          <cell r="F3061" t="str">
            <v>-</v>
          </cell>
          <cell r="H3061">
            <v>6</v>
          </cell>
          <cell r="I3061" t="str">
            <v>-</v>
          </cell>
          <cell r="K3061" t="str">
            <v>-</v>
          </cell>
          <cell r="L3061" t="str">
            <v>-</v>
          </cell>
          <cell r="M3061">
            <v>6</v>
          </cell>
          <cell r="O3061" t="str">
            <v>-</v>
          </cell>
          <cell r="T3061" t="str">
            <v>-</v>
          </cell>
          <cell r="U3061">
            <v>0.5</v>
          </cell>
        </row>
        <row r="3062">
          <cell r="B3062" t="str">
            <v>HSS6.000X0.375</v>
          </cell>
          <cell r="C3062">
            <v>6.2</v>
          </cell>
          <cell r="D3062" t="str">
            <v>-</v>
          </cell>
          <cell r="F3062" t="str">
            <v>-</v>
          </cell>
          <cell r="H3062">
            <v>6</v>
          </cell>
          <cell r="I3062" t="str">
            <v>-</v>
          </cell>
          <cell r="K3062" t="str">
            <v>-</v>
          </cell>
          <cell r="L3062" t="str">
            <v>-</v>
          </cell>
          <cell r="M3062">
            <v>6</v>
          </cell>
          <cell r="O3062" t="str">
            <v>-</v>
          </cell>
          <cell r="T3062" t="str">
            <v>-</v>
          </cell>
          <cell r="U3062">
            <v>0.375</v>
          </cell>
        </row>
        <row r="3063">
          <cell r="B3063" t="str">
            <v>HSS6.000X0.312</v>
          </cell>
          <cell r="C3063">
            <v>5.22</v>
          </cell>
          <cell r="D3063" t="str">
            <v>-</v>
          </cell>
          <cell r="F3063" t="str">
            <v>-</v>
          </cell>
          <cell r="H3063">
            <v>6</v>
          </cell>
          <cell r="I3063" t="str">
            <v>-</v>
          </cell>
          <cell r="K3063" t="str">
            <v>-</v>
          </cell>
          <cell r="L3063" t="str">
            <v>-</v>
          </cell>
          <cell r="M3063">
            <v>6</v>
          </cell>
          <cell r="O3063" t="str">
            <v>-</v>
          </cell>
          <cell r="T3063" t="str">
            <v>-</v>
          </cell>
          <cell r="U3063">
            <v>0.312</v>
          </cell>
        </row>
        <row r="3064">
          <cell r="B3064" t="str">
            <v>HSS6.000X0.280</v>
          </cell>
          <cell r="C3064">
            <v>4.6900000000000004</v>
          </cell>
          <cell r="D3064" t="str">
            <v>-</v>
          </cell>
          <cell r="F3064" t="str">
            <v>-</v>
          </cell>
          <cell r="H3064">
            <v>6</v>
          </cell>
          <cell r="I3064" t="str">
            <v>-</v>
          </cell>
          <cell r="K3064" t="str">
            <v>-</v>
          </cell>
          <cell r="L3064" t="str">
            <v>-</v>
          </cell>
          <cell r="M3064">
            <v>6</v>
          </cell>
          <cell r="O3064" t="str">
            <v>-</v>
          </cell>
          <cell r="T3064" t="str">
            <v>-</v>
          </cell>
          <cell r="U3064">
            <v>0.28000000000000003</v>
          </cell>
        </row>
        <row r="3065">
          <cell r="B3065" t="str">
            <v>HSS6.000X0.250</v>
          </cell>
          <cell r="C3065">
            <v>4.22</v>
          </cell>
          <cell r="D3065" t="str">
            <v>-</v>
          </cell>
          <cell r="F3065" t="str">
            <v>-</v>
          </cell>
          <cell r="H3065">
            <v>6</v>
          </cell>
          <cell r="I3065" t="str">
            <v>-</v>
          </cell>
          <cell r="K3065" t="str">
            <v>-</v>
          </cell>
          <cell r="L3065" t="str">
            <v>-</v>
          </cell>
          <cell r="M3065">
            <v>6</v>
          </cell>
          <cell r="O3065" t="str">
            <v>-</v>
          </cell>
          <cell r="T3065" t="str">
            <v>-</v>
          </cell>
          <cell r="U3065">
            <v>0.25</v>
          </cell>
        </row>
        <row r="3066">
          <cell r="B3066" t="str">
            <v>HSS6.000X0.188</v>
          </cell>
          <cell r="C3066">
            <v>3.18</v>
          </cell>
          <cell r="D3066" t="str">
            <v>-</v>
          </cell>
          <cell r="F3066" t="str">
            <v>-</v>
          </cell>
          <cell r="H3066">
            <v>6</v>
          </cell>
          <cell r="I3066" t="str">
            <v>-</v>
          </cell>
          <cell r="K3066" t="str">
            <v>-</v>
          </cell>
          <cell r="L3066" t="str">
            <v>-</v>
          </cell>
          <cell r="M3066">
            <v>6</v>
          </cell>
          <cell r="O3066" t="str">
            <v>-</v>
          </cell>
          <cell r="T3066" t="str">
            <v>-</v>
          </cell>
          <cell r="U3066">
            <v>0.188</v>
          </cell>
        </row>
        <row r="3067">
          <cell r="B3067" t="str">
            <v>HSS6.000X0.125</v>
          </cell>
          <cell r="C3067">
            <v>2.14</v>
          </cell>
          <cell r="D3067" t="str">
            <v>-</v>
          </cell>
          <cell r="F3067" t="str">
            <v>-</v>
          </cell>
          <cell r="H3067">
            <v>6</v>
          </cell>
          <cell r="I3067" t="str">
            <v>-</v>
          </cell>
          <cell r="K3067" t="str">
            <v>-</v>
          </cell>
          <cell r="L3067" t="str">
            <v>-</v>
          </cell>
          <cell r="M3067">
            <v>6</v>
          </cell>
          <cell r="O3067" t="str">
            <v>-</v>
          </cell>
          <cell r="T3067" t="str">
            <v>-</v>
          </cell>
          <cell r="U3067">
            <v>0.125</v>
          </cell>
        </row>
        <row r="3068">
          <cell r="B3068" t="str">
            <v>HSS5.563X0.500</v>
          </cell>
          <cell r="C3068">
            <v>7.45</v>
          </cell>
          <cell r="D3068" t="str">
            <v>-</v>
          </cell>
          <cell r="F3068" t="str">
            <v>-</v>
          </cell>
          <cell r="H3068">
            <v>5.56</v>
          </cell>
          <cell r="I3068" t="str">
            <v>-</v>
          </cell>
          <cell r="K3068" t="str">
            <v>-</v>
          </cell>
          <cell r="L3068" t="str">
            <v>-</v>
          </cell>
          <cell r="M3068">
            <v>5.56</v>
          </cell>
          <cell r="O3068" t="str">
            <v>-</v>
          </cell>
          <cell r="T3068" t="str">
            <v>-</v>
          </cell>
          <cell r="U3068">
            <v>0.5</v>
          </cell>
        </row>
        <row r="3069">
          <cell r="B3069" t="str">
            <v>HSS5.563X0.375</v>
          </cell>
          <cell r="C3069">
            <v>5.72</v>
          </cell>
          <cell r="D3069" t="str">
            <v>-</v>
          </cell>
          <cell r="F3069" t="str">
            <v>-</v>
          </cell>
          <cell r="H3069">
            <v>5.56</v>
          </cell>
          <cell r="I3069" t="str">
            <v>-</v>
          </cell>
          <cell r="K3069" t="str">
            <v>-</v>
          </cell>
          <cell r="L3069" t="str">
            <v>-</v>
          </cell>
          <cell r="M3069">
            <v>5.56</v>
          </cell>
          <cell r="O3069" t="str">
            <v>-</v>
          </cell>
          <cell r="T3069" t="str">
            <v>-</v>
          </cell>
          <cell r="U3069">
            <v>0.375</v>
          </cell>
        </row>
        <row r="3070">
          <cell r="B3070" t="str">
            <v>HSS5.563X0.258</v>
          </cell>
          <cell r="C3070">
            <v>4.01</v>
          </cell>
          <cell r="D3070" t="str">
            <v>-</v>
          </cell>
          <cell r="F3070" t="str">
            <v>-</v>
          </cell>
          <cell r="H3070">
            <v>5.56</v>
          </cell>
          <cell r="I3070" t="str">
            <v>-</v>
          </cell>
          <cell r="K3070" t="str">
            <v>-</v>
          </cell>
          <cell r="L3070" t="str">
            <v>-</v>
          </cell>
          <cell r="M3070">
            <v>5.56</v>
          </cell>
          <cell r="O3070" t="str">
            <v>-</v>
          </cell>
          <cell r="T3070" t="str">
            <v>-</v>
          </cell>
          <cell r="U3070">
            <v>0.25800000000000001</v>
          </cell>
        </row>
        <row r="3071">
          <cell r="B3071" t="str">
            <v>HSS5.563X0.188</v>
          </cell>
          <cell r="C3071">
            <v>2.95</v>
          </cell>
          <cell r="D3071" t="str">
            <v>-</v>
          </cell>
          <cell r="F3071" t="str">
            <v>-</v>
          </cell>
          <cell r="H3071">
            <v>5.56</v>
          </cell>
          <cell r="I3071" t="str">
            <v>-</v>
          </cell>
          <cell r="K3071" t="str">
            <v>-</v>
          </cell>
          <cell r="L3071" t="str">
            <v>-</v>
          </cell>
          <cell r="M3071">
            <v>5.56</v>
          </cell>
          <cell r="O3071" t="str">
            <v>-</v>
          </cell>
          <cell r="T3071" t="str">
            <v>-</v>
          </cell>
          <cell r="U3071">
            <v>0.188</v>
          </cell>
        </row>
        <row r="3072">
          <cell r="B3072" t="str">
            <v>HSS5.563X0.134</v>
          </cell>
          <cell r="C3072">
            <v>2.12</v>
          </cell>
          <cell r="D3072" t="str">
            <v>-</v>
          </cell>
          <cell r="F3072" t="str">
            <v>-</v>
          </cell>
          <cell r="H3072">
            <v>5.56</v>
          </cell>
          <cell r="I3072" t="str">
            <v>-</v>
          </cell>
          <cell r="K3072" t="str">
            <v>-</v>
          </cell>
          <cell r="L3072" t="str">
            <v>-</v>
          </cell>
          <cell r="M3072">
            <v>5.56</v>
          </cell>
          <cell r="O3072" t="str">
            <v>-</v>
          </cell>
          <cell r="T3072" t="str">
            <v>-</v>
          </cell>
          <cell r="U3072">
            <v>0.13400000000000001</v>
          </cell>
        </row>
        <row r="3073">
          <cell r="B3073" t="str">
            <v>HSS5.500X0.500</v>
          </cell>
          <cell r="C3073">
            <v>7.36</v>
          </cell>
          <cell r="D3073" t="str">
            <v>-</v>
          </cell>
          <cell r="F3073" t="str">
            <v>-</v>
          </cell>
          <cell r="H3073">
            <v>5.5</v>
          </cell>
          <cell r="I3073" t="str">
            <v>-</v>
          </cell>
          <cell r="K3073" t="str">
            <v>-</v>
          </cell>
          <cell r="L3073" t="str">
            <v>-</v>
          </cell>
          <cell r="M3073">
            <v>5.5</v>
          </cell>
          <cell r="O3073" t="str">
            <v>-</v>
          </cell>
          <cell r="T3073" t="str">
            <v>-</v>
          </cell>
          <cell r="U3073">
            <v>0.5</v>
          </cell>
        </row>
        <row r="3074">
          <cell r="B3074" t="str">
            <v>HSS5.500X0.375</v>
          </cell>
          <cell r="C3074">
            <v>5.65</v>
          </cell>
          <cell r="D3074" t="str">
            <v>-</v>
          </cell>
          <cell r="F3074" t="str">
            <v>-</v>
          </cell>
          <cell r="H3074">
            <v>5.5</v>
          </cell>
          <cell r="I3074" t="str">
            <v>-</v>
          </cell>
          <cell r="K3074" t="str">
            <v>-</v>
          </cell>
          <cell r="L3074" t="str">
            <v>-</v>
          </cell>
          <cell r="M3074">
            <v>5.5</v>
          </cell>
          <cell r="O3074" t="str">
            <v>-</v>
          </cell>
          <cell r="T3074" t="str">
            <v>-</v>
          </cell>
          <cell r="U3074">
            <v>0.375</v>
          </cell>
        </row>
        <row r="3075">
          <cell r="B3075" t="str">
            <v>HSS5.500X0.258</v>
          </cell>
          <cell r="C3075">
            <v>3.97</v>
          </cell>
          <cell r="D3075" t="str">
            <v>-</v>
          </cell>
          <cell r="F3075" t="str">
            <v>-</v>
          </cell>
          <cell r="H3075">
            <v>5.5</v>
          </cell>
          <cell r="I3075" t="str">
            <v>-</v>
          </cell>
          <cell r="K3075" t="str">
            <v>-</v>
          </cell>
          <cell r="L3075" t="str">
            <v>-</v>
          </cell>
          <cell r="M3075">
            <v>5.5</v>
          </cell>
          <cell r="O3075" t="str">
            <v>-</v>
          </cell>
          <cell r="T3075" t="str">
            <v>-</v>
          </cell>
          <cell r="U3075">
            <v>0.25800000000000001</v>
          </cell>
        </row>
        <row r="3076">
          <cell r="B3076" t="str">
            <v>HSS5.000X0.500</v>
          </cell>
          <cell r="C3076">
            <v>6.62</v>
          </cell>
          <cell r="D3076" t="str">
            <v>-</v>
          </cell>
          <cell r="F3076" t="str">
            <v>-</v>
          </cell>
          <cell r="H3076">
            <v>5</v>
          </cell>
          <cell r="I3076" t="str">
            <v>-</v>
          </cell>
          <cell r="K3076" t="str">
            <v>-</v>
          </cell>
          <cell r="L3076" t="str">
            <v>-</v>
          </cell>
          <cell r="M3076">
            <v>5</v>
          </cell>
          <cell r="O3076" t="str">
            <v>-</v>
          </cell>
          <cell r="T3076" t="str">
            <v>-</v>
          </cell>
          <cell r="U3076">
            <v>0.5</v>
          </cell>
        </row>
        <row r="3077">
          <cell r="B3077" t="str">
            <v>HSS5.000X0.375</v>
          </cell>
          <cell r="C3077">
            <v>5.0999999999999996</v>
          </cell>
          <cell r="D3077" t="str">
            <v>-</v>
          </cell>
          <cell r="F3077" t="str">
            <v>-</v>
          </cell>
          <cell r="H3077">
            <v>5</v>
          </cell>
          <cell r="I3077" t="str">
            <v>-</v>
          </cell>
          <cell r="K3077" t="str">
            <v>-</v>
          </cell>
          <cell r="L3077" t="str">
            <v>-</v>
          </cell>
          <cell r="M3077">
            <v>5</v>
          </cell>
          <cell r="O3077" t="str">
            <v>-</v>
          </cell>
          <cell r="T3077" t="str">
            <v>-</v>
          </cell>
          <cell r="U3077">
            <v>0.375</v>
          </cell>
        </row>
        <row r="3078">
          <cell r="B3078" t="str">
            <v>HSS5.000X0.312</v>
          </cell>
          <cell r="C3078">
            <v>4.3</v>
          </cell>
          <cell r="D3078" t="str">
            <v>-</v>
          </cell>
          <cell r="F3078" t="str">
            <v>-</v>
          </cell>
          <cell r="H3078">
            <v>5</v>
          </cell>
          <cell r="I3078" t="str">
            <v>-</v>
          </cell>
          <cell r="K3078" t="str">
            <v>-</v>
          </cell>
          <cell r="L3078" t="str">
            <v>-</v>
          </cell>
          <cell r="M3078">
            <v>5</v>
          </cell>
          <cell r="O3078" t="str">
            <v>-</v>
          </cell>
          <cell r="T3078" t="str">
            <v>-</v>
          </cell>
          <cell r="U3078">
            <v>0.312</v>
          </cell>
        </row>
        <row r="3079">
          <cell r="B3079" t="str">
            <v>HSS5.000X0.258</v>
          </cell>
          <cell r="C3079">
            <v>3.59</v>
          </cell>
          <cell r="D3079" t="str">
            <v>-</v>
          </cell>
          <cell r="F3079" t="str">
            <v>-</v>
          </cell>
          <cell r="H3079">
            <v>5</v>
          </cell>
          <cell r="I3079" t="str">
            <v>-</v>
          </cell>
          <cell r="K3079" t="str">
            <v>-</v>
          </cell>
          <cell r="L3079" t="str">
            <v>-</v>
          </cell>
          <cell r="M3079">
            <v>5</v>
          </cell>
          <cell r="O3079" t="str">
            <v>-</v>
          </cell>
          <cell r="T3079" t="str">
            <v>-</v>
          </cell>
          <cell r="U3079">
            <v>0.25800000000000001</v>
          </cell>
        </row>
        <row r="3080">
          <cell r="B3080" t="str">
            <v>HSS5.000X0.250</v>
          </cell>
          <cell r="C3080">
            <v>3.49</v>
          </cell>
          <cell r="D3080" t="str">
            <v>-</v>
          </cell>
          <cell r="F3080" t="str">
            <v>-</v>
          </cell>
          <cell r="H3080">
            <v>5</v>
          </cell>
          <cell r="I3080" t="str">
            <v>-</v>
          </cell>
          <cell r="K3080" t="str">
            <v>-</v>
          </cell>
          <cell r="L3080" t="str">
            <v>-</v>
          </cell>
          <cell r="M3080">
            <v>5</v>
          </cell>
          <cell r="O3080" t="str">
            <v>-</v>
          </cell>
          <cell r="T3080" t="str">
            <v>-</v>
          </cell>
          <cell r="U3080">
            <v>0.25</v>
          </cell>
        </row>
        <row r="3081">
          <cell r="B3081" t="str">
            <v>HSS5.000X0.188</v>
          </cell>
          <cell r="C3081">
            <v>2.64</v>
          </cell>
          <cell r="D3081" t="str">
            <v>-</v>
          </cell>
          <cell r="F3081" t="str">
            <v>-</v>
          </cell>
          <cell r="H3081">
            <v>5</v>
          </cell>
          <cell r="I3081" t="str">
            <v>-</v>
          </cell>
          <cell r="K3081" t="str">
            <v>-</v>
          </cell>
          <cell r="L3081" t="str">
            <v>-</v>
          </cell>
          <cell r="M3081">
            <v>5</v>
          </cell>
          <cell r="O3081" t="str">
            <v>-</v>
          </cell>
          <cell r="T3081" t="str">
            <v>-</v>
          </cell>
          <cell r="U3081">
            <v>0.188</v>
          </cell>
        </row>
        <row r="3082">
          <cell r="B3082" t="str">
            <v>HSS5.000X0.125</v>
          </cell>
          <cell r="C3082">
            <v>1.78</v>
          </cell>
          <cell r="D3082" t="str">
            <v>-</v>
          </cell>
          <cell r="F3082" t="str">
            <v>-</v>
          </cell>
          <cell r="H3082">
            <v>5</v>
          </cell>
          <cell r="I3082" t="str">
            <v>-</v>
          </cell>
          <cell r="K3082" t="str">
            <v>-</v>
          </cell>
          <cell r="L3082" t="str">
            <v>-</v>
          </cell>
          <cell r="M3082">
            <v>5</v>
          </cell>
          <cell r="O3082" t="str">
            <v>-</v>
          </cell>
          <cell r="T3082" t="str">
            <v>-</v>
          </cell>
          <cell r="U3082">
            <v>0.125</v>
          </cell>
        </row>
        <row r="3083">
          <cell r="B3083" t="str">
            <v>HSS4.500X0.375</v>
          </cell>
          <cell r="C3083">
            <v>4.55</v>
          </cell>
          <cell r="D3083" t="str">
            <v>-</v>
          </cell>
          <cell r="F3083" t="str">
            <v>-</v>
          </cell>
          <cell r="H3083">
            <v>4.5</v>
          </cell>
          <cell r="I3083" t="str">
            <v>-</v>
          </cell>
          <cell r="K3083" t="str">
            <v>-</v>
          </cell>
          <cell r="L3083" t="str">
            <v>-</v>
          </cell>
          <cell r="M3083">
            <v>4.5</v>
          </cell>
          <cell r="O3083" t="str">
            <v>-</v>
          </cell>
          <cell r="T3083" t="str">
            <v>-</v>
          </cell>
          <cell r="U3083">
            <v>0.375</v>
          </cell>
        </row>
        <row r="3084">
          <cell r="B3084" t="str">
            <v>HSS4.500X0.337</v>
          </cell>
          <cell r="C3084">
            <v>4.12</v>
          </cell>
          <cell r="D3084" t="str">
            <v>-</v>
          </cell>
          <cell r="F3084" t="str">
            <v>-</v>
          </cell>
          <cell r="H3084">
            <v>4.5</v>
          </cell>
          <cell r="I3084" t="str">
            <v>-</v>
          </cell>
          <cell r="K3084" t="str">
            <v>-</v>
          </cell>
          <cell r="L3084" t="str">
            <v>-</v>
          </cell>
          <cell r="M3084">
            <v>4.5</v>
          </cell>
          <cell r="O3084" t="str">
            <v>-</v>
          </cell>
          <cell r="T3084" t="str">
            <v>-</v>
          </cell>
          <cell r="U3084">
            <v>0.33700000000000002</v>
          </cell>
        </row>
        <row r="3085">
          <cell r="B3085" t="str">
            <v>HSS4.500X0.237</v>
          </cell>
          <cell r="C3085">
            <v>2.96</v>
          </cell>
          <cell r="D3085" t="str">
            <v>-</v>
          </cell>
          <cell r="F3085" t="str">
            <v>-</v>
          </cell>
          <cell r="H3085">
            <v>4.5</v>
          </cell>
          <cell r="I3085" t="str">
            <v>-</v>
          </cell>
          <cell r="K3085" t="str">
            <v>-</v>
          </cell>
          <cell r="L3085" t="str">
            <v>-</v>
          </cell>
          <cell r="M3085">
            <v>4.5</v>
          </cell>
          <cell r="O3085" t="str">
            <v>-</v>
          </cell>
          <cell r="T3085" t="str">
            <v>-</v>
          </cell>
          <cell r="U3085">
            <v>0.23699999999999999</v>
          </cell>
        </row>
        <row r="3086">
          <cell r="B3086" t="str">
            <v>HSS4.500X0.188</v>
          </cell>
          <cell r="C3086">
            <v>2.36</v>
          </cell>
          <cell r="D3086" t="str">
            <v>-</v>
          </cell>
          <cell r="F3086" t="str">
            <v>-</v>
          </cell>
          <cell r="H3086">
            <v>4.5</v>
          </cell>
          <cell r="I3086" t="str">
            <v>-</v>
          </cell>
          <cell r="K3086" t="str">
            <v>-</v>
          </cell>
          <cell r="L3086" t="str">
            <v>-</v>
          </cell>
          <cell r="M3086">
            <v>4.5</v>
          </cell>
          <cell r="O3086" t="str">
            <v>-</v>
          </cell>
          <cell r="T3086" t="str">
            <v>-</v>
          </cell>
          <cell r="U3086">
            <v>0.188</v>
          </cell>
        </row>
        <row r="3087">
          <cell r="B3087" t="str">
            <v>HSS4.500X0.125</v>
          </cell>
          <cell r="C3087">
            <v>1.6</v>
          </cell>
          <cell r="D3087" t="str">
            <v>-</v>
          </cell>
          <cell r="F3087" t="str">
            <v>-</v>
          </cell>
          <cell r="H3087">
            <v>4.5</v>
          </cell>
          <cell r="I3087" t="str">
            <v>-</v>
          </cell>
          <cell r="K3087" t="str">
            <v>-</v>
          </cell>
          <cell r="L3087" t="str">
            <v>-</v>
          </cell>
          <cell r="M3087">
            <v>4.5</v>
          </cell>
          <cell r="O3087" t="str">
            <v>-</v>
          </cell>
          <cell r="T3087" t="str">
            <v>-</v>
          </cell>
          <cell r="U3087">
            <v>0.125</v>
          </cell>
        </row>
        <row r="3088">
          <cell r="B3088" t="str">
            <v>HSS4.000X0.313</v>
          </cell>
          <cell r="C3088">
            <v>3.39</v>
          </cell>
          <cell r="D3088" t="str">
            <v>-</v>
          </cell>
          <cell r="F3088" t="str">
            <v>-</v>
          </cell>
          <cell r="H3088">
            <v>4</v>
          </cell>
          <cell r="I3088" t="str">
            <v>-</v>
          </cell>
          <cell r="K3088" t="str">
            <v>-</v>
          </cell>
          <cell r="L3088" t="str">
            <v>-</v>
          </cell>
          <cell r="M3088">
            <v>4</v>
          </cell>
          <cell r="O3088" t="str">
            <v>-</v>
          </cell>
          <cell r="T3088" t="str">
            <v>-</v>
          </cell>
          <cell r="U3088">
            <v>0.313</v>
          </cell>
        </row>
        <row r="3089">
          <cell r="B3089" t="str">
            <v>HSS4.000X0.250</v>
          </cell>
          <cell r="C3089">
            <v>2.76</v>
          </cell>
          <cell r="D3089" t="str">
            <v>-</v>
          </cell>
          <cell r="F3089" t="str">
            <v>-</v>
          </cell>
          <cell r="H3089">
            <v>4</v>
          </cell>
          <cell r="I3089" t="str">
            <v>-</v>
          </cell>
          <cell r="K3089" t="str">
            <v>-</v>
          </cell>
          <cell r="L3089" t="str">
            <v>-</v>
          </cell>
          <cell r="M3089">
            <v>4</v>
          </cell>
          <cell r="O3089" t="str">
            <v>-</v>
          </cell>
          <cell r="T3089" t="str">
            <v>-</v>
          </cell>
          <cell r="U3089">
            <v>0.25</v>
          </cell>
        </row>
        <row r="3090">
          <cell r="B3090" t="str">
            <v>HSS4.000X0.237</v>
          </cell>
          <cell r="C3090">
            <v>2.61</v>
          </cell>
          <cell r="D3090" t="str">
            <v>-</v>
          </cell>
          <cell r="F3090" t="str">
            <v>-</v>
          </cell>
          <cell r="H3090">
            <v>4</v>
          </cell>
          <cell r="I3090" t="str">
            <v>-</v>
          </cell>
          <cell r="K3090" t="str">
            <v>-</v>
          </cell>
          <cell r="L3090" t="str">
            <v>-</v>
          </cell>
          <cell r="M3090">
            <v>4</v>
          </cell>
          <cell r="O3090" t="str">
            <v>-</v>
          </cell>
          <cell r="T3090" t="str">
            <v>-</v>
          </cell>
          <cell r="U3090">
            <v>0.23699999999999999</v>
          </cell>
        </row>
        <row r="3091">
          <cell r="B3091" t="str">
            <v>HSS4.000X0.226</v>
          </cell>
          <cell r="C3091">
            <v>2.5</v>
          </cell>
          <cell r="D3091" t="str">
            <v>-</v>
          </cell>
          <cell r="F3091" t="str">
            <v>-</v>
          </cell>
          <cell r="H3091">
            <v>4</v>
          </cell>
          <cell r="I3091" t="str">
            <v>-</v>
          </cell>
          <cell r="K3091" t="str">
            <v>-</v>
          </cell>
          <cell r="L3091" t="str">
            <v>-</v>
          </cell>
          <cell r="M3091">
            <v>4</v>
          </cell>
          <cell r="O3091" t="str">
            <v>-</v>
          </cell>
          <cell r="T3091" t="str">
            <v>-</v>
          </cell>
          <cell r="U3091">
            <v>0.22600000000000001</v>
          </cell>
        </row>
        <row r="3092">
          <cell r="B3092" t="str">
            <v>HSS4.000X0.220</v>
          </cell>
          <cell r="C3092">
            <v>2.44</v>
          </cell>
          <cell r="D3092" t="str">
            <v>-</v>
          </cell>
          <cell r="F3092" t="str">
            <v>-</v>
          </cell>
          <cell r="H3092">
            <v>4</v>
          </cell>
          <cell r="I3092" t="str">
            <v>-</v>
          </cell>
          <cell r="K3092" t="str">
            <v>-</v>
          </cell>
          <cell r="L3092" t="str">
            <v>-</v>
          </cell>
          <cell r="M3092">
            <v>4</v>
          </cell>
          <cell r="O3092" t="str">
            <v>-</v>
          </cell>
          <cell r="T3092" t="str">
            <v>-</v>
          </cell>
          <cell r="U3092">
            <v>0.22</v>
          </cell>
        </row>
        <row r="3093">
          <cell r="B3093" t="str">
            <v>HSS4.000X0.188</v>
          </cell>
          <cell r="C3093">
            <v>2.09</v>
          </cell>
          <cell r="D3093" t="str">
            <v>-</v>
          </cell>
          <cell r="F3093" t="str">
            <v>-</v>
          </cell>
          <cell r="H3093">
            <v>4</v>
          </cell>
          <cell r="I3093" t="str">
            <v>-</v>
          </cell>
          <cell r="K3093" t="str">
            <v>-</v>
          </cell>
          <cell r="L3093" t="str">
            <v>-</v>
          </cell>
          <cell r="M3093">
            <v>4</v>
          </cell>
          <cell r="O3093" t="str">
            <v>-</v>
          </cell>
          <cell r="T3093" t="str">
            <v>-</v>
          </cell>
          <cell r="U3093">
            <v>0.188</v>
          </cell>
        </row>
        <row r="3094">
          <cell r="B3094" t="str">
            <v>HSS4.000X0.125</v>
          </cell>
          <cell r="C3094">
            <v>1.42</v>
          </cell>
          <cell r="D3094" t="str">
            <v>-</v>
          </cell>
          <cell r="F3094" t="str">
            <v>-</v>
          </cell>
          <cell r="H3094">
            <v>4</v>
          </cell>
          <cell r="I3094" t="str">
            <v>-</v>
          </cell>
          <cell r="K3094" t="str">
            <v>-</v>
          </cell>
          <cell r="L3094" t="str">
            <v>-</v>
          </cell>
          <cell r="M3094">
            <v>4</v>
          </cell>
          <cell r="O3094" t="str">
            <v>-</v>
          </cell>
          <cell r="T3094" t="str">
            <v>-</v>
          </cell>
          <cell r="U3094">
            <v>0.125</v>
          </cell>
        </row>
        <row r="3095">
          <cell r="B3095" t="str">
            <v>HSS3.500X0.313</v>
          </cell>
          <cell r="C3095">
            <v>2.93</v>
          </cell>
          <cell r="D3095" t="str">
            <v>-</v>
          </cell>
          <cell r="F3095" t="str">
            <v>-</v>
          </cell>
          <cell r="H3095">
            <v>3.5</v>
          </cell>
          <cell r="I3095" t="str">
            <v>-</v>
          </cell>
          <cell r="K3095" t="str">
            <v>-</v>
          </cell>
          <cell r="L3095" t="str">
            <v>-</v>
          </cell>
          <cell r="M3095">
            <v>3.5</v>
          </cell>
          <cell r="O3095" t="str">
            <v>-</v>
          </cell>
          <cell r="T3095" t="str">
            <v>-</v>
          </cell>
          <cell r="U3095">
            <v>0.313</v>
          </cell>
        </row>
        <row r="3096">
          <cell r="B3096" t="str">
            <v>HSS3.500X0.300</v>
          </cell>
          <cell r="C3096">
            <v>2.82</v>
          </cell>
          <cell r="D3096" t="str">
            <v>-</v>
          </cell>
          <cell r="F3096" t="str">
            <v>-</v>
          </cell>
          <cell r="H3096">
            <v>3.5</v>
          </cell>
          <cell r="I3096" t="str">
            <v>-</v>
          </cell>
          <cell r="K3096" t="str">
            <v>-</v>
          </cell>
          <cell r="L3096" t="str">
            <v>-</v>
          </cell>
          <cell r="M3096">
            <v>3.5</v>
          </cell>
          <cell r="O3096" t="str">
            <v>-</v>
          </cell>
          <cell r="T3096" t="str">
            <v>-</v>
          </cell>
          <cell r="U3096">
            <v>0.3</v>
          </cell>
        </row>
        <row r="3097">
          <cell r="B3097" t="str">
            <v>HSS3.500X0.250</v>
          </cell>
          <cell r="C3097">
            <v>2.39</v>
          </cell>
          <cell r="D3097" t="str">
            <v>-</v>
          </cell>
          <cell r="F3097" t="str">
            <v>-</v>
          </cell>
          <cell r="H3097">
            <v>3.5</v>
          </cell>
          <cell r="I3097" t="str">
            <v>-</v>
          </cell>
          <cell r="K3097" t="str">
            <v>-</v>
          </cell>
          <cell r="L3097" t="str">
            <v>-</v>
          </cell>
          <cell r="M3097">
            <v>3.5</v>
          </cell>
          <cell r="O3097" t="str">
            <v>-</v>
          </cell>
          <cell r="T3097" t="str">
            <v>-</v>
          </cell>
          <cell r="U3097">
            <v>0.25</v>
          </cell>
        </row>
        <row r="3098">
          <cell r="B3098" t="str">
            <v>HSS3.500X0.216</v>
          </cell>
          <cell r="C3098">
            <v>2.08</v>
          </cell>
          <cell r="D3098" t="str">
            <v>-</v>
          </cell>
          <cell r="F3098" t="str">
            <v>-</v>
          </cell>
          <cell r="H3098">
            <v>3.5</v>
          </cell>
          <cell r="I3098" t="str">
            <v>-</v>
          </cell>
          <cell r="K3098" t="str">
            <v>-</v>
          </cell>
          <cell r="L3098" t="str">
            <v>-</v>
          </cell>
          <cell r="M3098">
            <v>3.5</v>
          </cell>
          <cell r="O3098" t="str">
            <v>-</v>
          </cell>
          <cell r="T3098" t="str">
            <v>-</v>
          </cell>
          <cell r="U3098">
            <v>0.216</v>
          </cell>
        </row>
        <row r="3099">
          <cell r="B3099" t="str">
            <v>HSS3.500X0.203</v>
          </cell>
          <cell r="C3099">
            <v>1.97</v>
          </cell>
          <cell r="D3099" t="str">
            <v>-</v>
          </cell>
          <cell r="F3099" t="str">
            <v>-</v>
          </cell>
          <cell r="H3099">
            <v>3.5</v>
          </cell>
          <cell r="I3099" t="str">
            <v>-</v>
          </cell>
          <cell r="K3099" t="str">
            <v>-</v>
          </cell>
          <cell r="L3099" t="str">
            <v>-</v>
          </cell>
          <cell r="M3099">
            <v>3.5</v>
          </cell>
          <cell r="O3099" t="str">
            <v>-</v>
          </cell>
          <cell r="T3099" t="str">
            <v>-</v>
          </cell>
          <cell r="U3099">
            <v>0.20300000000000001</v>
          </cell>
        </row>
        <row r="3100">
          <cell r="B3100" t="str">
            <v>HSS3.500X0.188</v>
          </cell>
          <cell r="C3100">
            <v>1.82</v>
          </cell>
          <cell r="D3100" t="str">
            <v>-</v>
          </cell>
          <cell r="F3100" t="str">
            <v>-</v>
          </cell>
          <cell r="H3100">
            <v>3.5</v>
          </cell>
          <cell r="I3100" t="str">
            <v>-</v>
          </cell>
          <cell r="K3100" t="str">
            <v>-</v>
          </cell>
          <cell r="L3100" t="str">
            <v>-</v>
          </cell>
          <cell r="M3100">
            <v>3.5</v>
          </cell>
          <cell r="O3100" t="str">
            <v>-</v>
          </cell>
          <cell r="T3100" t="str">
            <v>-</v>
          </cell>
          <cell r="U3100">
            <v>0.188</v>
          </cell>
        </row>
        <row r="3101">
          <cell r="B3101" t="str">
            <v>HSS3.500X0.125</v>
          </cell>
          <cell r="C3101">
            <v>1.23</v>
          </cell>
          <cell r="D3101" t="str">
            <v>-</v>
          </cell>
          <cell r="F3101" t="str">
            <v>-</v>
          </cell>
          <cell r="H3101">
            <v>3.5</v>
          </cell>
          <cell r="I3101" t="str">
            <v>-</v>
          </cell>
          <cell r="K3101" t="str">
            <v>-</v>
          </cell>
          <cell r="L3101" t="str">
            <v>-</v>
          </cell>
          <cell r="M3101">
            <v>3.5</v>
          </cell>
          <cell r="O3101" t="str">
            <v>-</v>
          </cell>
          <cell r="T3101" t="str">
            <v>-</v>
          </cell>
          <cell r="U3101">
            <v>0.125</v>
          </cell>
        </row>
        <row r="3102">
          <cell r="B3102" t="str">
            <v>HSS3.000X0.250</v>
          </cell>
          <cell r="C3102">
            <v>2.0299999999999998</v>
          </cell>
          <cell r="D3102" t="str">
            <v>-</v>
          </cell>
          <cell r="F3102" t="str">
            <v>-</v>
          </cell>
          <cell r="H3102">
            <v>3</v>
          </cell>
          <cell r="I3102" t="str">
            <v>-</v>
          </cell>
          <cell r="K3102" t="str">
            <v>-</v>
          </cell>
          <cell r="L3102" t="str">
            <v>-</v>
          </cell>
          <cell r="M3102">
            <v>3</v>
          </cell>
          <cell r="O3102" t="str">
            <v>-</v>
          </cell>
          <cell r="T3102" t="str">
            <v>-</v>
          </cell>
          <cell r="U3102">
            <v>0.25</v>
          </cell>
        </row>
        <row r="3103">
          <cell r="B3103" t="str">
            <v>HSS3.000X0.216</v>
          </cell>
          <cell r="C3103">
            <v>1.77</v>
          </cell>
          <cell r="D3103" t="str">
            <v>-</v>
          </cell>
          <cell r="F3103" t="str">
            <v>-</v>
          </cell>
          <cell r="H3103">
            <v>3</v>
          </cell>
          <cell r="I3103" t="str">
            <v>-</v>
          </cell>
          <cell r="K3103" t="str">
            <v>-</v>
          </cell>
          <cell r="L3103" t="str">
            <v>-</v>
          </cell>
          <cell r="M3103">
            <v>3</v>
          </cell>
          <cell r="O3103" t="str">
            <v>-</v>
          </cell>
          <cell r="T3103" t="str">
            <v>-</v>
          </cell>
          <cell r="U3103">
            <v>0.216</v>
          </cell>
        </row>
        <row r="3104">
          <cell r="B3104" t="str">
            <v>HSS3.000X0.203</v>
          </cell>
          <cell r="C3104">
            <v>1.67</v>
          </cell>
          <cell r="D3104" t="str">
            <v>-</v>
          </cell>
          <cell r="F3104" t="str">
            <v>-</v>
          </cell>
          <cell r="H3104">
            <v>3</v>
          </cell>
          <cell r="I3104" t="str">
            <v>-</v>
          </cell>
          <cell r="K3104" t="str">
            <v>-</v>
          </cell>
          <cell r="L3104" t="str">
            <v>-</v>
          </cell>
          <cell r="M3104">
            <v>3</v>
          </cell>
          <cell r="O3104" t="str">
            <v>-</v>
          </cell>
          <cell r="T3104" t="str">
            <v>-</v>
          </cell>
          <cell r="U3104">
            <v>0.20300000000000001</v>
          </cell>
        </row>
        <row r="3105">
          <cell r="B3105" t="str">
            <v>HSS3.000X0.188</v>
          </cell>
          <cell r="C3105">
            <v>1.54</v>
          </cell>
          <cell r="D3105" t="str">
            <v>-</v>
          </cell>
          <cell r="F3105" t="str">
            <v>-</v>
          </cell>
          <cell r="H3105">
            <v>3</v>
          </cell>
          <cell r="I3105" t="str">
            <v>-</v>
          </cell>
          <cell r="K3105" t="str">
            <v>-</v>
          </cell>
          <cell r="L3105" t="str">
            <v>-</v>
          </cell>
          <cell r="M3105">
            <v>3</v>
          </cell>
          <cell r="O3105" t="str">
            <v>-</v>
          </cell>
          <cell r="T3105" t="str">
            <v>-</v>
          </cell>
          <cell r="U3105">
            <v>0.188</v>
          </cell>
        </row>
        <row r="3106">
          <cell r="B3106" t="str">
            <v>HSS3.000X0.152</v>
          </cell>
          <cell r="C3106">
            <v>1.27</v>
          </cell>
          <cell r="D3106" t="str">
            <v>-</v>
          </cell>
          <cell r="F3106" t="str">
            <v>-</v>
          </cell>
          <cell r="H3106">
            <v>3</v>
          </cell>
          <cell r="I3106" t="str">
            <v>-</v>
          </cell>
          <cell r="K3106" t="str">
            <v>-</v>
          </cell>
          <cell r="L3106" t="str">
            <v>-</v>
          </cell>
          <cell r="M3106">
            <v>3</v>
          </cell>
          <cell r="O3106" t="str">
            <v>-</v>
          </cell>
          <cell r="T3106" t="str">
            <v>-</v>
          </cell>
          <cell r="U3106">
            <v>0.152</v>
          </cell>
        </row>
        <row r="3107">
          <cell r="B3107" t="str">
            <v>HSS3.000X0.134</v>
          </cell>
          <cell r="C3107">
            <v>1.1200000000000001</v>
          </cell>
          <cell r="D3107" t="str">
            <v>-</v>
          </cell>
          <cell r="F3107" t="str">
            <v>-</v>
          </cell>
          <cell r="H3107">
            <v>3</v>
          </cell>
          <cell r="I3107" t="str">
            <v>-</v>
          </cell>
          <cell r="K3107" t="str">
            <v>-</v>
          </cell>
          <cell r="L3107" t="str">
            <v>-</v>
          </cell>
          <cell r="M3107">
            <v>3</v>
          </cell>
          <cell r="O3107" t="str">
            <v>-</v>
          </cell>
          <cell r="T3107" t="str">
            <v>-</v>
          </cell>
          <cell r="U3107">
            <v>0.13400000000000001</v>
          </cell>
        </row>
        <row r="3108">
          <cell r="B3108" t="str">
            <v>HSS3.000X0.125</v>
          </cell>
          <cell r="C3108">
            <v>1.05</v>
          </cell>
          <cell r="D3108" t="str">
            <v>-</v>
          </cell>
          <cell r="F3108" t="str">
            <v>-</v>
          </cell>
          <cell r="H3108">
            <v>3</v>
          </cell>
          <cell r="I3108" t="str">
            <v>-</v>
          </cell>
          <cell r="K3108" t="str">
            <v>-</v>
          </cell>
          <cell r="L3108" t="str">
            <v>-</v>
          </cell>
          <cell r="M3108">
            <v>3</v>
          </cell>
          <cell r="O3108" t="str">
            <v>-</v>
          </cell>
          <cell r="T3108" t="str">
            <v>-</v>
          </cell>
          <cell r="U3108">
            <v>0.125</v>
          </cell>
        </row>
        <row r="3109">
          <cell r="B3109" t="str">
            <v>HSS2.875X0.250</v>
          </cell>
          <cell r="C3109">
            <v>1.93</v>
          </cell>
          <cell r="D3109" t="str">
            <v>-</v>
          </cell>
          <cell r="F3109" t="str">
            <v>-</v>
          </cell>
          <cell r="H3109">
            <v>2.88</v>
          </cell>
          <cell r="I3109" t="str">
            <v>-</v>
          </cell>
          <cell r="K3109" t="str">
            <v>-</v>
          </cell>
          <cell r="L3109" t="str">
            <v>-</v>
          </cell>
          <cell r="M3109">
            <v>2.88</v>
          </cell>
          <cell r="O3109" t="str">
            <v>-</v>
          </cell>
          <cell r="T3109" t="str">
            <v>-</v>
          </cell>
          <cell r="U3109">
            <v>0.25</v>
          </cell>
        </row>
        <row r="3110">
          <cell r="B3110" t="str">
            <v>HSS2.875X0.203</v>
          </cell>
          <cell r="C3110">
            <v>1.59</v>
          </cell>
          <cell r="D3110" t="str">
            <v>-</v>
          </cell>
          <cell r="F3110" t="str">
            <v>-</v>
          </cell>
          <cell r="H3110">
            <v>2.88</v>
          </cell>
          <cell r="I3110" t="str">
            <v>-</v>
          </cell>
          <cell r="K3110" t="str">
            <v>-</v>
          </cell>
          <cell r="L3110" t="str">
            <v>-</v>
          </cell>
          <cell r="M3110">
            <v>2.88</v>
          </cell>
          <cell r="O3110" t="str">
            <v>-</v>
          </cell>
          <cell r="T3110" t="str">
            <v>-</v>
          </cell>
          <cell r="U3110">
            <v>0.20300000000000001</v>
          </cell>
        </row>
        <row r="3111">
          <cell r="B3111" t="str">
            <v>HSS2.875X0.188</v>
          </cell>
          <cell r="C3111">
            <v>1.48</v>
          </cell>
          <cell r="D3111" t="str">
            <v>-</v>
          </cell>
          <cell r="F3111" t="str">
            <v>-</v>
          </cell>
          <cell r="H3111">
            <v>2.88</v>
          </cell>
          <cell r="I3111" t="str">
            <v>-</v>
          </cell>
          <cell r="K3111" t="str">
            <v>-</v>
          </cell>
          <cell r="L3111" t="str">
            <v>-</v>
          </cell>
          <cell r="M3111">
            <v>2.88</v>
          </cell>
          <cell r="O3111" t="str">
            <v>-</v>
          </cell>
          <cell r="T3111" t="str">
            <v>-</v>
          </cell>
          <cell r="U3111">
            <v>0.188</v>
          </cell>
        </row>
        <row r="3112">
          <cell r="B3112" t="str">
            <v>HSS2.875X0.125</v>
          </cell>
          <cell r="C3112">
            <v>1.01</v>
          </cell>
          <cell r="D3112" t="str">
            <v>-</v>
          </cell>
          <cell r="F3112" t="str">
            <v>-</v>
          </cell>
          <cell r="H3112">
            <v>2.88</v>
          </cell>
          <cell r="I3112" t="str">
            <v>-</v>
          </cell>
          <cell r="K3112" t="str">
            <v>-</v>
          </cell>
          <cell r="L3112" t="str">
            <v>-</v>
          </cell>
          <cell r="M3112">
            <v>2.88</v>
          </cell>
          <cell r="O3112" t="str">
            <v>-</v>
          </cell>
          <cell r="T3112" t="str">
            <v>-</v>
          </cell>
          <cell r="U3112">
            <v>0.125</v>
          </cell>
        </row>
        <row r="3113">
          <cell r="B3113" t="str">
            <v>HSS2.500X0.250</v>
          </cell>
          <cell r="C3113">
            <v>1.66</v>
          </cell>
          <cell r="D3113" t="str">
            <v>-</v>
          </cell>
          <cell r="F3113" t="str">
            <v>-</v>
          </cell>
          <cell r="H3113">
            <v>2.5</v>
          </cell>
          <cell r="I3113" t="str">
            <v>-</v>
          </cell>
          <cell r="K3113" t="str">
            <v>-</v>
          </cell>
          <cell r="L3113" t="str">
            <v>-</v>
          </cell>
          <cell r="M3113">
            <v>2.5</v>
          </cell>
          <cell r="O3113" t="str">
            <v>-</v>
          </cell>
          <cell r="T3113" t="str">
            <v>-</v>
          </cell>
          <cell r="U3113">
            <v>0.25</v>
          </cell>
        </row>
        <row r="3114">
          <cell r="B3114" t="str">
            <v>HSS2.500X0.188</v>
          </cell>
          <cell r="C3114">
            <v>1.27</v>
          </cell>
          <cell r="D3114" t="str">
            <v>-</v>
          </cell>
          <cell r="F3114" t="str">
            <v>-</v>
          </cell>
          <cell r="H3114">
            <v>2.5</v>
          </cell>
          <cell r="I3114" t="str">
            <v>-</v>
          </cell>
          <cell r="K3114" t="str">
            <v>-</v>
          </cell>
          <cell r="L3114" t="str">
            <v>-</v>
          </cell>
          <cell r="M3114">
            <v>2.5</v>
          </cell>
          <cell r="O3114" t="str">
            <v>-</v>
          </cell>
          <cell r="T3114" t="str">
            <v>-</v>
          </cell>
          <cell r="U3114">
            <v>0.188</v>
          </cell>
        </row>
        <row r="3115">
          <cell r="B3115" t="str">
            <v>HSS2.500X0.125</v>
          </cell>
          <cell r="C3115">
            <v>0.86899999999999999</v>
          </cell>
          <cell r="D3115" t="str">
            <v>-</v>
          </cell>
          <cell r="F3115" t="str">
            <v>-</v>
          </cell>
          <cell r="H3115">
            <v>2.5</v>
          </cell>
          <cell r="I3115" t="str">
            <v>-</v>
          </cell>
          <cell r="K3115" t="str">
            <v>-</v>
          </cell>
          <cell r="L3115" t="str">
            <v>-</v>
          </cell>
          <cell r="M3115">
            <v>2.5</v>
          </cell>
          <cell r="O3115" t="str">
            <v>-</v>
          </cell>
          <cell r="T3115" t="str">
            <v>-</v>
          </cell>
          <cell r="U3115">
            <v>0.125</v>
          </cell>
        </row>
        <row r="3116">
          <cell r="B3116" t="str">
            <v>HSS2.375X0.250</v>
          </cell>
          <cell r="C3116">
            <v>1.57</v>
          </cell>
          <cell r="D3116" t="str">
            <v>-</v>
          </cell>
          <cell r="F3116" t="str">
            <v>-</v>
          </cell>
          <cell r="H3116">
            <v>2.38</v>
          </cell>
          <cell r="I3116" t="str">
            <v>-</v>
          </cell>
          <cell r="K3116" t="str">
            <v>-</v>
          </cell>
          <cell r="L3116" t="str">
            <v>-</v>
          </cell>
          <cell r="M3116">
            <v>2.38</v>
          </cell>
          <cell r="O3116" t="str">
            <v>-</v>
          </cell>
          <cell r="T3116" t="str">
            <v>-</v>
          </cell>
          <cell r="U3116">
            <v>0.25</v>
          </cell>
        </row>
        <row r="3117">
          <cell r="B3117" t="str">
            <v>HSS2.375X0.218</v>
          </cell>
          <cell r="C3117">
            <v>1.39</v>
          </cell>
          <cell r="D3117" t="str">
            <v>-</v>
          </cell>
          <cell r="F3117" t="str">
            <v>-</v>
          </cell>
          <cell r="H3117">
            <v>2.38</v>
          </cell>
          <cell r="I3117" t="str">
            <v>-</v>
          </cell>
          <cell r="K3117" t="str">
            <v>-</v>
          </cell>
          <cell r="L3117" t="str">
            <v>-</v>
          </cell>
          <cell r="M3117">
            <v>2.38</v>
          </cell>
          <cell r="O3117" t="str">
            <v>-</v>
          </cell>
          <cell r="T3117" t="str">
            <v>-</v>
          </cell>
          <cell r="U3117">
            <v>0.218</v>
          </cell>
        </row>
        <row r="3118">
          <cell r="B3118" t="str">
            <v>HSS2.375X0.188</v>
          </cell>
          <cell r="C3118">
            <v>1.2</v>
          </cell>
          <cell r="D3118" t="str">
            <v>-</v>
          </cell>
          <cell r="F3118" t="str">
            <v>-</v>
          </cell>
          <cell r="H3118">
            <v>2.38</v>
          </cell>
          <cell r="I3118" t="str">
            <v>-</v>
          </cell>
          <cell r="K3118" t="str">
            <v>-</v>
          </cell>
          <cell r="L3118" t="str">
            <v>-</v>
          </cell>
          <cell r="M3118">
            <v>2.38</v>
          </cell>
          <cell r="O3118" t="str">
            <v>-</v>
          </cell>
          <cell r="T3118" t="str">
            <v>-</v>
          </cell>
          <cell r="U3118">
            <v>0.188</v>
          </cell>
        </row>
        <row r="3119">
          <cell r="B3119" t="str">
            <v>HSS2.375X0.154</v>
          </cell>
          <cell r="C3119">
            <v>1</v>
          </cell>
          <cell r="D3119" t="str">
            <v>-</v>
          </cell>
          <cell r="F3119" t="str">
            <v>-</v>
          </cell>
          <cell r="H3119">
            <v>2.38</v>
          </cell>
          <cell r="I3119" t="str">
            <v>-</v>
          </cell>
          <cell r="K3119" t="str">
            <v>-</v>
          </cell>
          <cell r="L3119" t="str">
            <v>-</v>
          </cell>
          <cell r="M3119">
            <v>2.38</v>
          </cell>
          <cell r="O3119" t="str">
            <v>-</v>
          </cell>
          <cell r="T3119" t="str">
            <v>-</v>
          </cell>
          <cell r="U3119">
            <v>0.154</v>
          </cell>
        </row>
        <row r="3120">
          <cell r="B3120" t="str">
            <v>HSS2.375X0.125</v>
          </cell>
          <cell r="C3120">
            <v>0.82299999999999995</v>
          </cell>
          <cell r="D3120" t="str">
            <v>-</v>
          </cell>
          <cell r="F3120" t="str">
            <v>-</v>
          </cell>
          <cell r="H3120">
            <v>2.38</v>
          </cell>
          <cell r="I3120" t="str">
            <v>-</v>
          </cell>
          <cell r="K3120" t="str">
            <v>-</v>
          </cell>
          <cell r="L3120" t="str">
            <v>-</v>
          </cell>
          <cell r="M3120">
            <v>2.38</v>
          </cell>
          <cell r="O3120" t="str">
            <v>-</v>
          </cell>
          <cell r="T3120" t="str">
            <v>-</v>
          </cell>
          <cell r="U3120">
            <v>0.125</v>
          </cell>
        </row>
        <row r="3121">
          <cell r="B3121" t="str">
            <v>HSS1.900X0.188</v>
          </cell>
          <cell r="C3121">
            <v>0.94299999999999995</v>
          </cell>
          <cell r="D3121" t="str">
            <v>-</v>
          </cell>
          <cell r="F3121" t="str">
            <v>-</v>
          </cell>
          <cell r="H3121">
            <v>1.9</v>
          </cell>
          <cell r="I3121" t="str">
            <v>-</v>
          </cell>
          <cell r="K3121" t="str">
            <v>-</v>
          </cell>
          <cell r="L3121" t="str">
            <v>-</v>
          </cell>
          <cell r="M3121">
            <v>1.9</v>
          </cell>
          <cell r="O3121" t="str">
            <v>-</v>
          </cell>
          <cell r="T3121" t="str">
            <v>-</v>
          </cell>
          <cell r="U3121">
            <v>0.188</v>
          </cell>
        </row>
        <row r="3122">
          <cell r="B3122" t="str">
            <v>HSS1.900X0.145</v>
          </cell>
          <cell r="C3122">
            <v>0.749</v>
          </cell>
          <cell r="D3122" t="str">
            <v>-</v>
          </cell>
          <cell r="F3122" t="str">
            <v>-</v>
          </cell>
          <cell r="H3122">
            <v>1.9</v>
          </cell>
          <cell r="I3122" t="str">
            <v>-</v>
          </cell>
          <cell r="K3122" t="str">
            <v>-</v>
          </cell>
          <cell r="L3122" t="str">
            <v>-</v>
          </cell>
          <cell r="M3122">
            <v>1.9</v>
          </cell>
          <cell r="O3122" t="str">
            <v>-</v>
          </cell>
          <cell r="T3122" t="str">
            <v>-</v>
          </cell>
          <cell r="U3122">
            <v>0.14499999999999999</v>
          </cell>
        </row>
        <row r="3123">
          <cell r="B3123" t="str">
            <v>HSS1.900X0.120</v>
          </cell>
          <cell r="C3123">
            <v>0.624</v>
          </cell>
          <cell r="D3123" t="str">
            <v>-</v>
          </cell>
          <cell r="F3123" t="str">
            <v>-</v>
          </cell>
          <cell r="H3123">
            <v>1.9</v>
          </cell>
          <cell r="I3123" t="str">
            <v>-</v>
          </cell>
          <cell r="K3123" t="str">
            <v>-</v>
          </cell>
          <cell r="L3123" t="str">
            <v>-</v>
          </cell>
          <cell r="M3123">
            <v>1.9</v>
          </cell>
          <cell r="O3123" t="str">
            <v>-</v>
          </cell>
          <cell r="T3123" t="str">
            <v>-</v>
          </cell>
          <cell r="U3123">
            <v>0.12</v>
          </cell>
        </row>
        <row r="3124">
          <cell r="B3124" t="str">
            <v>HSS1.660X0.140</v>
          </cell>
          <cell r="C3124">
            <v>0.625</v>
          </cell>
          <cell r="D3124" t="str">
            <v>-</v>
          </cell>
          <cell r="F3124" t="str">
            <v>-</v>
          </cell>
          <cell r="H3124">
            <v>1.66</v>
          </cell>
          <cell r="I3124" t="str">
            <v>-</v>
          </cell>
          <cell r="K3124" t="str">
            <v>-</v>
          </cell>
          <cell r="L3124" t="str">
            <v>-</v>
          </cell>
          <cell r="M3124">
            <v>1.66</v>
          </cell>
          <cell r="O3124" t="str">
            <v>-</v>
          </cell>
          <cell r="T3124" t="str">
            <v>-</v>
          </cell>
          <cell r="U3124">
            <v>0.14000000000000001</v>
          </cell>
        </row>
        <row r="3125">
          <cell r="B3125" t="str">
            <v>PIPE_12.0</v>
          </cell>
          <cell r="C3125">
            <v>13.7</v>
          </cell>
          <cell r="D3125" t="str">
            <v>-</v>
          </cell>
          <cell r="F3125" t="str">
            <v>-</v>
          </cell>
          <cell r="H3125">
            <v>12.8</v>
          </cell>
          <cell r="I3125" t="str">
            <v>-</v>
          </cell>
          <cell r="K3125"/>
          <cell r="L3125" t="str">
            <v>-</v>
          </cell>
          <cell r="M3125">
            <v>12.8</v>
          </cell>
          <cell r="O3125" t="str">
            <v>-</v>
          </cell>
          <cell r="T3125" t="str">
            <v>-</v>
          </cell>
          <cell r="U3125">
            <v>0.375</v>
          </cell>
        </row>
        <row r="3126">
          <cell r="B3126" t="str">
            <v>PIPE_10.0</v>
          </cell>
          <cell r="C3126">
            <v>11.5</v>
          </cell>
          <cell r="D3126" t="str">
            <v>-</v>
          </cell>
          <cell r="F3126" t="str">
            <v>-</v>
          </cell>
          <cell r="H3126">
            <v>10.8</v>
          </cell>
          <cell r="I3126" t="str">
            <v>-</v>
          </cell>
          <cell r="K3126"/>
          <cell r="L3126" t="str">
            <v>-</v>
          </cell>
          <cell r="M3126">
            <v>10.8</v>
          </cell>
          <cell r="O3126" t="str">
            <v>-</v>
          </cell>
          <cell r="T3126" t="str">
            <v>-</v>
          </cell>
          <cell r="U3126">
            <v>0.36499999999999999</v>
          </cell>
        </row>
        <row r="3127">
          <cell r="B3127" t="str">
            <v>PIPE_8.0</v>
          </cell>
          <cell r="C3127">
            <v>7.85</v>
          </cell>
          <cell r="D3127" t="str">
            <v>-</v>
          </cell>
          <cell r="F3127" t="str">
            <v>-</v>
          </cell>
          <cell r="H3127">
            <v>8.6300000000000008</v>
          </cell>
          <cell r="I3127" t="str">
            <v>-</v>
          </cell>
          <cell r="K3127"/>
          <cell r="L3127" t="str">
            <v>-</v>
          </cell>
          <cell r="M3127">
            <v>8.6300000000000008</v>
          </cell>
          <cell r="O3127" t="str">
            <v>-</v>
          </cell>
          <cell r="T3127" t="str">
            <v>-</v>
          </cell>
          <cell r="U3127">
            <v>0.32200000000000006</v>
          </cell>
        </row>
        <row r="3128">
          <cell r="B3128" t="str">
            <v>PIPE_6.0</v>
          </cell>
          <cell r="C3128">
            <v>5.2</v>
          </cell>
          <cell r="D3128" t="str">
            <v>-</v>
          </cell>
          <cell r="F3128" t="str">
            <v>-</v>
          </cell>
          <cell r="H3128">
            <v>6.63</v>
          </cell>
          <cell r="I3128" t="str">
            <v>-</v>
          </cell>
          <cell r="K3128"/>
          <cell r="L3128" t="str">
            <v>-</v>
          </cell>
          <cell r="M3128">
            <v>6.63</v>
          </cell>
          <cell r="O3128" t="str">
            <v>-</v>
          </cell>
          <cell r="T3128" t="str">
            <v>-</v>
          </cell>
          <cell r="U3128">
            <v>0.28000000000000003</v>
          </cell>
        </row>
        <row r="3129">
          <cell r="B3129" t="str">
            <v>PIPE_5.0</v>
          </cell>
          <cell r="C3129">
            <v>4.01</v>
          </cell>
          <cell r="D3129" t="str">
            <v>-</v>
          </cell>
          <cell r="F3129" t="str">
            <v>-</v>
          </cell>
          <cell r="H3129">
            <v>5.56</v>
          </cell>
          <cell r="I3129" t="str">
            <v>-</v>
          </cell>
          <cell r="K3129"/>
          <cell r="L3129" t="str">
            <v>-</v>
          </cell>
          <cell r="M3129">
            <v>5.56</v>
          </cell>
          <cell r="O3129" t="str">
            <v>-</v>
          </cell>
          <cell r="T3129" t="str">
            <v>-</v>
          </cell>
          <cell r="U3129">
            <v>0.25800000000000001</v>
          </cell>
        </row>
        <row r="3130">
          <cell r="B3130" t="str">
            <v>PIPE_4.0</v>
          </cell>
          <cell r="C3130">
            <v>2.96</v>
          </cell>
          <cell r="D3130" t="str">
            <v>-</v>
          </cell>
          <cell r="F3130" t="str">
            <v>-</v>
          </cell>
          <cell r="H3130">
            <v>4.5</v>
          </cell>
          <cell r="I3130" t="str">
            <v>-</v>
          </cell>
          <cell r="K3130"/>
          <cell r="L3130" t="str">
            <v>-</v>
          </cell>
          <cell r="M3130">
            <v>4.5</v>
          </cell>
          <cell r="O3130" t="str">
            <v>-</v>
          </cell>
          <cell r="T3130" t="str">
            <v>-</v>
          </cell>
          <cell r="U3130">
            <v>0.2370000000000001</v>
          </cell>
        </row>
        <row r="3131">
          <cell r="B3131" t="str">
            <v>PIPE_3.5</v>
          </cell>
          <cell r="C3131">
            <v>2.5</v>
          </cell>
          <cell r="D3131" t="str">
            <v>-</v>
          </cell>
          <cell r="F3131" t="str">
            <v>-</v>
          </cell>
          <cell r="H3131">
            <v>4</v>
          </cell>
          <cell r="I3131" t="str">
            <v>-</v>
          </cell>
          <cell r="K3131"/>
          <cell r="L3131" t="str">
            <v>-</v>
          </cell>
          <cell r="M3131">
            <v>4</v>
          </cell>
          <cell r="O3131" t="str">
            <v>-</v>
          </cell>
          <cell r="T3131" t="str">
            <v>-</v>
          </cell>
          <cell r="U3131">
            <v>0.22599999999999998</v>
          </cell>
        </row>
        <row r="3132">
          <cell r="B3132" t="str">
            <v>PIPE_3.0</v>
          </cell>
          <cell r="C3132">
            <v>2.0699999999999998</v>
          </cell>
          <cell r="D3132" t="str">
            <v>-</v>
          </cell>
          <cell r="F3132" t="str">
            <v>-</v>
          </cell>
          <cell r="H3132">
            <v>3.5</v>
          </cell>
          <cell r="I3132" t="str">
            <v>-</v>
          </cell>
          <cell r="K3132"/>
          <cell r="L3132" t="str">
            <v>-</v>
          </cell>
          <cell r="M3132">
            <v>3.5</v>
          </cell>
          <cell r="O3132" t="str">
            <v>-</v>
          </cell>
          <cell r="T3132" t="str">
            <v>-</v>
          </cell>
          <cell r="U3132">
            <v>0.21599999999999997</v>
          </cell>
        </row>
        <row r="3133">
          <cell r="B3133" t="str">
            <v>PIPE_2.5</v>
          </cell>
          <cell r="C3133">
            <v>1.61</v>
          </cell>
          <cell r="D3133" t="str">
            <v>-</v>
          </cell>
          <cell r="F3133" t="str">
            <v>-</v>
          </cell>
          <cell r="H3133">
            <v>2.88</v>
          </cell>
          <cell r="I3133" t="str">
            <v>-</v>
          </cell>
          <cell r="K3133"/>
          <cell r="L3133" t="str">
            <v>-</v>
          </cell>
          <cell r="M3133">
            <v>2.88</v>
          </cell>
          <cell r="O3133" t="str">
            <v>-</v>
          </cell>
          <cell r="T3133" t="str">
            <v>-</v>
          </cell>
          <cell r="U3133">
            <v>0.20300000000000007</v>
          </cell>
        </row>
        <row r="3134">
          <cell r="B3134" t="str">
            <v>PIPE_2.0</v>
          </cell>
          <cell r="C3134">
            <v>1.02</v>
          </cell>
          <cell r="D3134" t="str">
            <v>-</v>
          </cell>
          <cell r="F3134" t="str">
            <v>-</v>
          </cell>
          <cell r="H3134">
            <v>2.38</v>
          </cell>
          <cell r="I3134" t="str">
            <v>-</v>
          </cell>
          <cell r="K3134"/>
          <cell r="L3134" t="str">
            <v>-</v>
          </cell>
          <cell r="M3134">
            <v>2.38</v>
          </cell>
          <cell r="O3134" t="str">
            <v>-</v>
          </cell>
          <cell r="T3134" t="str">
            <v>-</v>
          </cell>
          <cell r="U3134">
            <v>0.15399999999999991</v>
          </cell>
        </row>
        <row r="3135">
          <cell r="B3135" t="str">
            <v>PIPE_1.5</v>
          </cell>
          <cell r="C3135">
            <v>0.749</v>
          </cell>
          <cell r="D3135" t="str">
            <v>-</v>
          </cell>
          <cell r="F3135" t="str">
            <v>-</v>
          </cell>
          <cell r="H3135">
            <v>1.9</v>
          </cell>
          <cell r="I3135" t="str">
            <v>-</v>
          </cell>
          <cell r="K3135"/>
          <cell r="L3135" t="str">
            <v>-</v>
          </cell>
          <cell r="M3135">
            <v>1.9</v>
          </cell>
          <cell r="O3135" t="str">
            <v>-</v>
          </cell>
          <cell r="T3135" t="str">
            <v>-</v>
          </cell>
          <cell r="U3135">
            <v>0.14499999999999999</v>
          </cell>
        </row>
        <row r="3136">
          <cell r="B3136" t="str">
            <v>PIPE_1.25</v>
          </cell>
          <cell r="C3136">
            <v>0.625</v>
          </cell>
          <cell r="D3136" t="str">
            <v>-</v>
          </cell>
          <cell r="F3136" t="str">
            <v>-</v>
          </cell>
          <cell r="H3136">
            <v>1.66</v>
          </cell>
          <cell r="I3136" t="str">
            <v>-</v>
          </cell>
          <cell r="K3136"/>
          <cell r="L3136" t="str">
            <v>-</v>
          </cell>
          <cell r="M3136">
            <v>1.66</v>
          </cell>
          <cell r="O3136" t="str">
            <v>-</v>
          </cell>
          <cell r="T3136" t="str">
            <v>-</v>
          </cell>
          <cell r="U3136">
            <v>0.14000000000000001</v>
          </cell>
        </row>
        <row r="3137">
          <cell r="B3137" t="str">
            <v>PIPE_1.0</v>
          </cell>
          <cell r="C3137">
            <v>0.46899999999999997</v>
          </cell>
          <cell r="D3137" t="str">
            <v>-</v>
          </cell>
          <cell r="F3137" t="str">
            <v>-</v>
          </cell>
          <cell r="H3137">
            <v>1.32</v>
          </cell>
          <cell r="I3137" t="str">
            <v>-</v>
          </cell>
          <cell r="K3137"/>
          <cell r="L3137" t="str">
            <v>-</v>
          </cell>
          <cell r="M3137">
            <v>1.32</v>
          </cell>
          <cell r="O3137" t="str">
            <v>-</v>
          </cell>
          <cell r="T3137" t="str">
            <v>-</v>
          </cell>
          <cell r="U3137">
            <v>0.13300000000000001</v>
          </cell>
        </row>
        <row r="3138">
          <cell r="B3138" t="str">
            <v>PIPE_.75</v>
          </cell>
          <cell r="C3138">
            <v>0.312</v>
          </cell>
          <cell r="D3138" t="str">
            <v>-</v>
          </cell>
          <cell r="F3138" t="str">
            <v>-</v>
          </cell>
          <cell r="H3138">
            <v>1.05</v>
          </cell>
          <cell r="I3138" t="str">
            <v>-</v>
          </cell>
          <cell r="K3138"/>
          <cell r="L3138" t="str">
            <v>-</v>
          </cell>
          <cell r="M3138">
            <v>1.05</v>
          </cell>
          <cell r="O3138" t="str">
            <v>-</v>
          </cell>
          <cell r="T3138" t="str">
            <v>-</v>
          </cell>
          <cell r="U3138">
            <v>0.11300000000000004</v>
          </cell>
        </row>
        <row r="3139">
          <cell r="B3139" t="str">
            <v>PIPE_.5</v>
          </cell>
          <cell r="C3139">
            <v>0.23400000000000001</v>
          </cell>
          <cell r="D3139" t="str">
            <v>-</v>
          </cell>
          <cell r="F3139" t="str">
            <v>-</v>
          </cell>
          <cell r="H3139">
            <v>0.84</v>
          </cell>
          <cell r="I3139" t="str">
            <v>-</v>
          </cell>
          <cell r="K3139"/>
          <cell r="L3139" t="str">
            <v>-</v>
          </cell>
          <cell r="M3139">
            <v>0.84</v>
          </cell>
          <cell r="O3139" t="str">
            <v>-</v>
          </cell>
          <cell r="T3139" t="str">
            <v>-</v>
          </cell>
          <cell r="U3139">
            <v>0.10899999999999999</v>
          </cell>
        </row>
        <row r="3140">
          <cell r="B3140" t="str">
            <v>PIPE_12.0X</v>
          </cell>
          <cell r="C3140">
            <v>17.5</v>
          </cell>
          <cell r="D3140" t="str">
            <v>-</v>
          </cell>
          <cell r="F3140" t="str">
            <v>-</v>
          </cell>
          <cell r="H3140">
            <v>12.8</v>
          </cell>
          <cell r="I3140" t="str">
            <v>-</v>
          </cell>
          <cell r="K3140"/>
          <cell r="L3140" t="str">
            <v>-</v>
          </cell>
          <cell r="M3140">
            <v>12.8</v>
          </cell>
          <cell r="O3140" t="str">
            <v>-</v>
          </cell>
          <cell r="T3140" t="str">
            <v>-</v>
          </cell>
          <cell r="U3140">
            <v>0.5</v>
          </cell>
        </row>
        <row r="3141">
          <cell r="B3141" t="str">
            <v>PIPE_10.0X</v>
          </cell>
          <cell r="C3141">
            <v>15.1</v>
          </cell>
          <cell r="D3141" t="str">
            <v>-</v>
          </cell>
          <cell r="F3141" t="str">
            <v>-</v>
          </cell>
          <cell r="H3141">
            <v>10.8</v>
          </cell>
          <cell r="I3141" t="str">
            <v>-</v>
          </cell>
          <cell r="K3141"/>
          <cell r="L3141" t="str">
            <v>-</v>
          </cell>
          <cell r="M3141">
            <v>10.8</v>
          </cell>
          <cell r="O3141" t="str">
            <v>-</v>
          </cell>
          <cell r="T3141" t="str">
            <v>-</v>
          </cell>
          <cell r="U3141">
            <v>0.5</v>
          </cell>
        </row>
        <row r="3142">
          <cell r="B3142" t="str">
            <v>PIPE_8.0X</v>
          </cell>
          <cell r="C3142">
            <v>11.9</v>
          </cell>
          <cell r="D3142" t="str">
            <v>-</v>
          </cell>
          <cell r="F3142" t="str">
            <v>-</v>
          </cell>
          <cell r="H3142">
            <v>8.6300000000000008</v>
          </cell>
          <cell r="I3142" t="str">
            <v>-</v>
          </cell>
          <cell r="K3142"/>
          <cell r="L3142" t="str">
            <v>-</v>
          </cell>
          <cell r="M3142">
            <v>8.6300000000000008</v>
          </cell>
          <cell r="O3142" t="str">
            <v>-</v>
          </cell>
          <cell r="T3142" t="str">
            <v>-</v>
          </cell>
          <cell r="U3142">
            <v>0.5</v>
          </cell>
        </row>
        <row r="3143">
          <cell r="B3143" t="str">
            <v>PIPE_6.0X</v>
          </cell>
          <cell r="C3143">
            <v>7.83</v>
          </cell>
          <cell r="D3143" t="str">
            <v>-</v>
          </cell>
          <cell r="F3143" t="str">
            <v>-</v>
          </cell>
          <cell r="H3143">
            <v>6.63</v>
          </cell>
          <cell r="I3143" t="str">
            <v>-</v>
          </cell>
          <cell r="K3143"/>
          <cell r="L3143" t="str">
            <v>-</v>
          </cell>
          <cell r="M3143">
            <v>6.63</v>
          </cell>
          <cell r="O3143" t="str">
            <v>-</v>
          </cell>
          <cell r="T3143" t="str">
            <v>-</v>
          </cell>
          <cell r="U3143">
            <v>0.43199999999999994</v>
          </cell>
        </row>
        <row r="3144">
          <cell r="B3144" t="str">
            <v>PIPE_5.0X</v>
          </cell>
          <cell r="C3144">
            <v>5.73</v>
          </cell>
          <cell r="D3144" t="str">
            <v>-</v>
          </cell>
          <cell r="F3144" t="str">
            <v>-</v>
          </cell>
          <cell r="H3144">
            <v>5.56</v>
          </cell>
          <cell r="I3144" t="str">
            <v>-</v>
          </cell>
          <cell r="K3144"/>
          <cell r="L3144" t="str">
            <v>-</v>
          </cell>
          <cell r="M3144">
            <v>5.56</v>
          </cell>
          <cell r="O3144" t="str">
            <v>-</v>
          </cell>
          <cell r="T3144" t="str">
            <v>-</v>
          </cell>
          <cell r="U3144">
            <v>0.375</v>
          </cell>
        </row>
        <row r="3145">
          <cell r="B3145" t="str">
            <v>PIPE_4.0X</v>
          </cell>
          <cell r="C3145">
            <v>4.1399999999999997</v>
          </cell>
          <cell r="D3145" t="str">
            <v>-</v>
          </cell>
          <cell r="F3145" t="str">
            <v>-</v>
          </cell>
          <cell r="H3145">
            <v>4.5</v>
          </cell>
          <cell r="I3145" t="str">
            <v>-</v>
          </cell>
          <cell r="K3145"/>
          <cell r="L3145" t="str">
            <v>-</v>
          </cell>
          <cell r="M3145">
            <v>4.5</v>
          </cell>
          <cell r="O3145" t="str">
            <v>-</v>
          </cell>
          <cell r="T3145" t="str">
            <v>-</v>
          </cell>
          <cell r="U3145">
            <v>0.33699999999999997</v>
          </cell>
        </row>
        <row r="3146">
          <cell r="B3146" t="str">
            <v>PIPE_3.5X</v>
          </cell>
          <cell r="C3146">
            <v>3.43</v>
          </cell>
          <cell r="D3146" t="str">
            <v>-</v>
          </cell>
          <cell r="F3146" t="str">
            <v>-</v>
          </cell>
          <cell r="H3146">
            <v>4</v>
          </cell>
          <cell r="I3146" t="str">
            <v>-</v>
          </cell>
          <cell r="K3146"/>
          <cell r="L3146" t="str">
            <v>-</v>
          </cell>
          <cell r="M3146">
            <v>4</v>
          </cell>
          <cell r="O3146" t="str">
            <v>-</v>
          </cell>
          <cell r="T3146" t="str">
            <v>-</v>
          </cell>
          <cell r="U3146">
            <v>0.31800000000000006</v>
          </cell>
        </row>
        <row r="3147">
          <cell r="B3147" t="str">
            <v>PIPE_3.0X</v>
          </cell>
          <cell r="C3147">
            <v>2.83</v>
          </cell>
          <cell r="D3147" t="str">
            <v>-</v>
          </cell>
          <cell r="F3147" t="str">
            <v>-</v>
          </cell>
          <cell r="H3147">
            <v>3.5</v>
          </cell>
          <cell r="I3147" t="str">
            <v>-</v>
          </cell>
          <cell r="K3147"/>
          <cell r="L3147" t="str">
            <v>-</v>
          </cell>
          <cell r="M3147">
            <v>3.5</v>
          </cell>
          <cell r="O3147" t="str">
            <v>-</v>
          </cell>
          <cell r="T3147" t="str">
            <v>-</v>
          </cell>
          <cell r="U3147">
            <v>0.3</v>
          </cell>
        </row>
        <row r="3148">
          <cell r="B3148" t="str">
            <v>PIPE_2.5X</v>
          </cell>
          <cell r="C3148">
            <v>2.1</v>
          </cell>
          <cell r="D3148" t="str">
            <v>-</v>
          </cell>
          <cell r="F3148" t="str">
            <v>-</v>
          </cell>
          <cell r="H3148">
            <v>2.88</v>
          </cell>
          <cell r="I3148" t="str">
            <v>-</v>
          </cell>
          <cell r="K3148"/>
          <cell r="L3148" t="str">
            <v>-</v>
          </cell>
          <cell r="M3148">
            <v>2.88</v>
          </cell>
          <cell r="O3148" t="str">
            <v>-</v>
          </cell>
          <cell r="T3148" t="str">
            <v>-</v>
          </cell>
          <cell r="U3148">
            <v>0.27600000000000002</v>
          </cell>
        </row>
        <row r="3149">
          <cell r="B3149" t="str">
            <v>PIPE_2.0X</v>
          </cell>
          <cell r="C3149">
            <v>1.4</v>
          </cell>
          <cell r="D3149" t="str">
            <v>-</v>
          </cell>
          <cell r="F3149" t="str">
            <v>-</v>
          </cell>
          <cell r="H3149">
            <v>2.38</v>
          </cell>
          <cell r="I3149" t="str">
            <v>-</v>
          </cell>
          <cell r="K3149"/>
          <cell r="L3149" t="str">
            <v>-</v>
          </cell>
          <cell r="M3149">
            <v>2.38</v>
          </cell>
          <cell r="O3149" t="str">
            <v>-</v>
          </cell>
          <cell r="T3149" t="str">
            <v>-</v>
          </cell>
          <cell r="U3149">
            <v>0.21799999999999997</v>
          </cell>
        </row>
        <row r="3150">
          <cell r="B3150" t="str">
            <v>PIPE_1.5X</v>
          </cell>
          <cell r="C3150">
            <v>1</v>
          </cell>
          <cell r="D3150" t="str">
            <v>-</v>
          </cell>
          <cell r="F3150" t="str">
            <v>-</v>
          </cell>
          <cell r="H3150">
            <v>1.9</v>
          </cell>
          <cell r="I3150" t="str">
            <v>-</v>
          </cell>
          <cell r="K3150"/>
          <cell r="L3150" t="str">
            <v>-</v>
          </cell>
          <cell r="M3150">
            <v>1.9</v>
          </cell>
          <cell r="O3150" t="str">
            <v>-</v>
          </cell>
          <cell r="T3150" t="str">
            <v>-</v>
          </cell>
          <cell r="U3150">
            <v>0.2</v>
          </cell>
        </row>
        <row r="3151">
          <cell r="B3151" t="str">
            <v>PIPE_1.25X</v>
          </cell>
          <cell r="C3151">
            <v>0.83699999999999997</v>
          </cell>
          <cell r="D3151" t="str">
            <v>-</v>
          </cell>
          <cell r="F3151" t="str">
            <v>-</v>
          </cell>
          <cell r="H3151">
            <v>1.66</v>
          </cell>
          <cell r="I3151" t="str">
            <v>-</v>
          </cell>
          <cell r="K3151"/>
          <cell r="L3151" t="str">
            <v>-</v>
          </cell>
          <cell r="M3151">
            <v>1.66</v>
          </cell>
          <cell r="O3151" t="str">
            <v>-</v>
          </cell>
          <cell r="T3151" t="str">
            <v>-</v>
          </cell>
          <cell r="U3151">
            <v>0.19099999999999995</v>
          </cell>
        </row>
        <row r="3152">
          <cell r="B3152" t="str">
            <v>PIPE_1.0X</v>
          </cell>
          <cell r="C3152">
            <v>0.60199999999999998</v>
          </cell>
          <cell r="D3152" t="str">
            <v>-</v>
          </cell>
          <cell r="F3152" t="str">
            <v>-</v>
          </cell>
          <cell r="H3152">
            <v>1.32</v>
          </cell>
          <cell r="I3152" t="str">
            <v>-</v>
          </cell>
          <cell r="K3152"/>
          <cell r="L3152" t="str">
            <v>-</v>
          </cell>
          <cell r="M3152">
            <v>1.32</v>
          </cell>
          <cell r="O3152" t="str">
            <v>-</v>
          </cell>
          <cell r="T3152" t="str">
            <v>-</v>
          </cell>
          <cell r="U3152">
            <v>0.17899999999999999</v>
          </cell>
        </row>
        <row r="3153">
          <cell r="B3153" t="str">
            <v>PIPE_.75X</v>
          </cell>
          <cell r="C3153">
            <v>0.40699999999999997</v>
          </cell>
          <cell r="D3153" t="str">
            <v>-</v>
          </cell>
          <cell r="F3153" t="str">
            <v>-</v>
          </cell>
          <cell r="H3153">
            <v>1.05</v>
          </cell>
          <cell r="I3153" t="str">
            <v>-</v>
          </cell>
          <cell r="K3153"/>
          <cell r="L3153" t="str">
            <v>-</v>
          </cell>
          <cell r="M3153">
            <v>1.05</v>
          </cell>
          <cell r="O3153" t="str">
            <v>-</v>
          </cell>
          <cell r="T3153" t="str">
            <v>-</v>
          </cell>
          <cell r="U3153">
            <v>0.15400000000000003</v>
          </cell>
        </row>
        <row r="3154">
          <cell r="B3154" t="str">
            <v>PIPE_.5X</v>
          </cell>
          <cell r="C3154">
            <v>0.30299999999999999</v>
          </cell>
          <cell r="D3154" t="str">
            <v>-</v>
          </cell>
          <cell r="F3154" t="str">
            <v>-</v>
          </cell>
          <cell r="H3154">
            <v>0.84</v>
          </cell>
          <cell r="I3154" t="str">
            <v>-</v>
          </cell>
          <cell r="K3154"/>
          <cell r="L3154" t="str">
            <v>-</v>
          </cell>
          <cell r="M3154">
            <v>0.84</v>
          </cell>
          <cell r="O3154" t="str">
            <v>-</v>
          </cell>
          <cell r="T3154" t="str">
            <v>-</v>
          </cell>
          <cell r="U3154">
            <v>0.14699999999999996</v>
          </cell>
        </row>
        <row r="3155">
          <cell r="B3155" t="str">
            <v>PIPE_8.0XX</v>
          </cell>
          <cell r="C3155">
            <v>20</v>
          </cell>
          <cell r="D3155" t="str">
            <v>-</v>
          </cell>
          <cell r="F3155" t="str">
            <v>-</v>
          </cell>
          <cell r="H3155">
            <v>8.6300000000000008</v>
          </cell>
          <cell r="I3155" t="str">
            <v>-</v>
          </cell>
          <cell r="K3155"/>
          <cell r="L3155" t="str">
            <v>-</v>
          </cell>
          <cell r="M3155">
            <v>8.6300000000000008</v>
          </cell>
          <cell r="O3155" t="str">
            <v>-</v>
          </cell>
          <cell r="T3155" t="str">
            <v>-</v>
          </cell>
          <cell r="U3155">
            <v>0.875</v>
          </cell>
        </row>
        <row r="3156">
          <cell r="B3156" t="str">
            <v>PIPE_6.0XX</v>
          </cell>
          <cell r="C3156">
            <v>14.7</v>
          </cell>
          <cell r="D3156" t="str">
            <v>-</v>
          </cell>
          <cell r="F3156" t="str">
            <v>-</v>
          </cell>
          <cell r="H3156">
            <v>6.63</v>
          </cell>
          <cell r="I3156" t="str">
            <v>-</v>
          </cell>
          <cell r="K3156"/>
          <cell r="L3156" t="str">
            <v>-</v>
          </cell>
          <cell r="M3156">
            <v>6.63</v>
          </cell>
          <cell r="O3156" t="str">
            <v>-</v>
          </cell>
          <cell r="T3156" t="str">
            <v>-</v>
          </cell>
          <cell r="U3156">
            <v>0.86399999999999988</v>
          </cell>
        </row>
        <row r="3157">
          <cell r="B3157" t="str">
            <v>PIPE_5.0XX</v>
          </cell>
          <cell r="C3157">
            <v>10.7</v>
          </cell>
          <cell r="D3157" t="str">
            <v>-</v>
          </cell>
          <cell r="F3157" t="str">
            <v>-</v>
          </cell>
          <cell r="H3157">
            <v>5.56</v>
          </cell>
          <cell r="I3157" t="str">
            <v>-</v>
          </cell>
          <cell r="K3157"/>
          <cell r="L3157" t="str">
            <v>-</v>
          </cell>
          <cell r="M3157">
            <v>5.56</v>
          </cell>
          <cell r="O3157" t="str">
            <v>-</v>
          </cell>
          <cell r="T3157" t="str">
            <v>-</v>
          </cell>
          <cell r="U3157">
            <v>0.75</v>
          </cell>
        </row>
        <row r="3158">
          <cell r="B3158" t="str">
            <v>PIPE_4.0XX</v>
          </cell>
          <cell r="C3158">
            <v>7.66</v>
          </cell>
          <cell r="D3158" t="str">
            <v>-</v>
          </cell>
          <cell r="F3158" t="str">
            <v>-</v>
          </cell>
          <cell r="H3158">
            <v>4.5</v>
          </cell>
          <cell r="I3158" t="str">
            <v>-</v>
          </cell>
          <cell r="K3158"/>
          <cell r="L3158" t="str">
            <v>-</v>
          </cell>
          <cell r="M3158">
            <v>4.5</v>
          </cell>
          <cell r="O3158" t="str">
            <v>-</v>
          </cell>
          <cell r="T3158" t="str">
            <v>-</v>
          </cell>
          <cell r="U3158">
            <v>0.67399999999999993</v>
          </cell>
        </row>
        <row r="3159">
          <cell r="B3159" t="str">
            <v>PIPE_3.0XX</v>
          </cell>
          <cell r="C3159">
            <v>5.17</v>
          </cell>
          <cell r="D3159" t="str">
            <v>-</v>
          </cell>
          <cell r="F3159" t="str">
            <v>-</v>
          </cell>
          <cell r="H3159">
            <v>3.5</v>
          </cell>
          <cell r="I3159" t="str">
            <v>-</v>
          </cell>
          <cell r="K3159"/>
          <cell r="L3159" t="str">
            <v>-</v>
          </cell>
          <cell r="M3159">
            <v>3.5</v>
          </cell>
          <cell r="O3159" t="str">
            <v>-</v>
          </cell>
          <cell r="T3159" t="str">
            <v>-</v>
          </cell>
          <cell r="U3159">
            <v>0.6</v>
          </cell>
        </row>
        <row r="3160">
          <cell r="B3160" t="str">
            <v>PIPE_2.5XX</v>
          </cell>
          <cell r="C3160">
            <v>3.83</v>
          </cell>
          <cell r="D3160" t="str">
            <v>-</v>
          </cell>
          <cell r="F3160" t="str">
            <v>-</v>
          </cell>
          <cell r="H3160">
            <v>2.88</v>
          </cell>
          <cell r="I3160" t="str">
            <v>-</v>
          </cell>
          <cell r="K3160"/>
          <cell r="L3160" t="str">
            <v>-</v>
          </cell>
          <cell r="M3160">
            <v>2.88</v>
          </cell>
          <cell r="O3160" t="str">
            <v>-</v>
          </cell>
          <cell r="T3160" t="str">
            <v>-</v>
          </cell>
          <cell r="U3160">
            <v>0.55200000000000005</v>
          </cell>
        </row>
        <row r="3161">
          <cell r="B3161" t="str">
            <v>PIPE_2.0XX</v>
          </cell>
          <cell r="C3161">
            <v>2.5099999999999998</v>
          </cell>
          <cell r="D3161" t="str">
            <v>-</v>
          </cell>
          <cell r="F3161" t="str">
            <v>-</v>
          </cell>
          <cell r="H3161">
            <v>2.38</v>
          </cell>
          <cell r="I3161" t="str">
            <v>-</v>
          </cell>
          <cell r="K3161"/>
          <cell r="L3161" t="str">
            <v>-</v>
          </cell>
          <cell r="M3161">
            <v>2.38</v>
          </cell>
          <cell r="O3161" t="str">
            <v>-</v>
          </cell>
          <cell r="T3161" t="str">
            <v>-</v>
          </cell>
          <cell r="U3161">
            <v>0.43600000000000005</v>
          </cell>
        </row>
        <row r="3162">
          <cell r="B3162" t="str">
            <v>Pipe26STD</v>
          </cell>
          <cell r="C3162">
            <v>28.2</v>
          </cell>
          <cell r="D3162" t="str">
            <v>-</v>
          </cell>
          <cell r="F3162" t="str">
            <v>-</v>
          </cell>
          <cell r="H3162">
            <v>26</v>
          </cell>
          <cell r="I3162" t="str">
            <v>-</v>
          </cell>
          <cell r="K3162" t="str">
            <v>-</v>
          </cell>
          <cell r="L3162" t="str">
            <v>-</v>
          </cell>
          <cell r="M3162">
            <v>26</v>
          </cell>
          <cell r="O3162" t="str">
            <v>-</v>
          </cell>
          <cell r="T3162" t="str">
            <v>-</v>
          </cell>
          <cell r="U3162">
            <v>0.375</v>
          </cell>
        </row>
        <row r="3163">
          <cell r="B3163" t="str">
            <v>Pipe24STD</v>
          </cell>
          <cell r="C3163">
            <v>26</v>
          </cell>
          <cell r="D3163" t="str">
            <v>-</v>
          </cell>
          <cell r="F3163" t="str">
            <v>-</v>
          </cell>
          <cell r="H3163">
            <v>24</v>
          </cell>
          <cell r="I3163" t="str">
            <v>-</v>
          </cell>
          <cell r="K3163" t="str">
            <v>-</v>
          </cell>
          <cell r="L3163" t="str">
            <v>-</v>
          </cell>
          <cell r="M3163">
            <v>24</v>
          </cell>
          <cell r="O3163" t="str">
            <v>-</v>
          </cell>
          <cell r="T3163" t="str">
            <v>-</v>
          </cell>
          <cell r="U3163">
            <v>0.375</v>
          </cell>
        </row>
        <row r="3164">
          <cell r="B3164" t="str">
            <v>Pipe20STD</v>
          </cell>
          <cell r="C3164">
            <v>21.6</v>
          </cell>
          <cell r="D3164" t="str">
            <v>-</v>
          </cell>
          <cell r="F3164" t="str">
            <v>-</v>
          </cell>
          <cell r="H3164">
            <v>20</v>
          </cell>
          <cell r="I3164" t="str">
            <v>-</v>
          </cell>
          <cell r="K3164" t="str">
            <v>-</v>
          </cell>
          <cell r="L3164" t="str">
            <v>-</v>
          </cell>
          <cell r="M3164">
            <v>20</v>
          </cell>
          <cell r="O3164" t="str">
            <v>-</v>
          </cell>
          <cell r="T3164" t="str">
            <v>-</v>
          </cell>
          <cell r="U3164">
            <v>0.375</v>
          </cell>
        </row>
        <row r="3165">
          <cell r="B3165" t="str">
            <v>Pipe18STD</v>
          </cell>
          <cell r="C3165">
            <v>19.399999999999999</v>
          </cell>
          <cell r="D3165" t="str">
            <v>-</v>
          </cell>
          <cell r="F3165" t="str">
            <v>-</v>
          </cell>
          <cell r="H3165">
            <v>18</v>
          </cell>
          <cell r="I3165" t="str">
            <v>-</v>
          </cell>
          <cell r="K3165" t="str">
            <v>-</v>
          </cell>
          <cell r="L3165" t="str">
            <v>-</v>
          </cell>
          <cell r="M3165">
            <v>18</v>
          </cell>
          <cell r="O3165" t="str">
            <v>-</v>
          </cell>
          <cell r="T3165" t="str">
            <v>-</v>
          </cell>
          <cell r="U3165">
            <v>0.375</v>
          </cell>
        </row>
        <row r="3166">
          <cell r="B3166" t="str">
            <v>Pipe16STD</v>
          </cell>
          <cell r="C3166">
            <v>17.2</v>
          </cell>
          <cell r="D3166" t="str">
            <v>-</v>
          </cell>
          <cell r="F3166" t="str">
            <v>-</v>
          </cell>
          <cell r="H3166">
            <v>16</v>
          </cell>
          <cell r="I3166" t="str">
            <v>-</v>
          </cell>
          <cell r="K3166" t="str">
            <v>-</v>
          </cell>
          <cell r="L3166" t="str">
            <v>-</v>
          </cell>
          <cell r="M3166">
            <v>16</v>
          </cell>
          <cell r="O3166" t="str">
            <v>-</v>
          </cell>
          <cell r="T3166" t="str">
            <v>-</v>
          </cell>
          <cell r="U3166">
            <v>0.375</v>
          </cell>
        </row>
        <row r="3167">
          <cell r="B3167" t="str">
            <v>Pipe14STD</v>
          </cell>
          <cell r="C3167">
            <v>15</v>
          </cell>
          <cell r="D3167" t="str">
            <v>-</v>
          </cell>
          <cell r="F3167" t="str">
            <v>-</v>
          </cell>
          <cell r="H3167">
            <v>14</v>
          </cell>
          <cell r="I3167" t="str">
            <v>-</v>
          </cell>
          <cell r="K3167" t="str">
            <v>-</v>
          </cell>
          <cell r="L3167" t="str">
            <v>-</v>
          </cell>
          <cell r="M3167">
            <v>14</v>
          </cell>
          <cell r="O3167" t="str">
            <v>-</v>
          </cell>
          <cell r="T3167" t="str">
            <v>-</v>
          </cell>
          <cell r="U3167">
            <v>0.375</v>
          </cell>
        </row>
        <row r="3168">
          <cell r="B3168" t="str">
            <v>Pipe12STD</v>
          </cell>
          <cell r="C3168">
            <v>13.7</v>
          </cell>
          <cell r="D3168" t="str">
            <v>-</v>
          </cell>
          <cell r="F3168" t="str">
            <v>-</v>
          </cell>
          <cell r="H3168">
            <v>12.75</v>
          </cell>
          <cell r="I3168" t="str">
            <v>-</v>
          </cell>
          <cell r="K3168" t="str">
            <v>-</v>
          </cell>
          <cell r="L3168" t="str">
            <v>-</v>
          </cell>
          <cell r="M3168">
            <v>12.75</v>
          </cell>
          <cell r="O3168" t="str">
            <v>-</v>
          </cell>
          <cell r="T3168" t="str">
            <v>-</v>
          </cell>
          <cell r="U3168">
            <v>0.375</v>
          </cell>
        </row>
        <row r="3169">
          <cell r="B3169" t="str">
            <v>Pipe10STD</v>
          </cell>
          <cell r="C3169">
            <v>11.5</v>
          </cell>
          <cell r="D3169" t="str">
            <v>-</v>
          </cell>
          <cell r="F3169" t="str">
            <v>-</v>
          </cell>
          <cell r="H3169">
            <v>10.75</v>
          </cell>
          <cell r="I3169" t="str">
            <v>-</v>
          </cell>
          <cell r="K3169" t="str">
            <v>-</v>
          </cell>
          <cell r="L3169" t="str">
            <v>-</v>
          </cell>
          <cell r="M3169">
            <v>10.75</v>
          </cell>
          <cell r="O3169" t="str">
            <v>-</v>
          </cell>
          <cell r="T3169" t="str">
            <v>-</v>
          </cell>
          <cell r="U3169">
            <v>0.36499999999999999</v>
          </cell>
        </row>
        <row r="3170">
          <cell r="B3170" t="str">
            <v>Pipe8STD</v>
          </cell>
          <cell r="C3170">
            <v>7.85</v>
          </cell>
          <cell r="D3170" t="str">
            <v>-</v>
          </cell>
          <cell r="F3170" t="str">
            <v>-</v>
          </cell>
          <cell r="H3170">
            <v>8.625</v>
          </cell>
          <cell r="I3170" t="str">
            <v>-</v>
          </cell>
          <cell r="K3170" t="str">
            <v>-</v>
          </cell>
          <cell r="L3170" t="str">
            <v>-</v>
          </cell>
          <cell r="M3170">
            <v>8.625</v>
          </cell>
          <cell r="O3170" t="str">
            <v>-</v>
          </cell>
          <cell r="T3170" t="str">
            <v>-</v>
          </cell>
          <cell r="U3170">
            <v>0.32200000000000006</v>
          </cell>
        </row>
        <row r="3171">
          <cell r="B3171" t="str">
            <v>Pipe6STD</v>
          </cell>
          <cell r="C3171">
            <v>5.2</v>
          </cell>
          <cell r="D3171" t="str">
            <v>-</v>
          </cell>
          <cell r="F3171" t="str">
            <v>-</v>
          </cell>
          <cell r="H3171">
            <v>6.625</v>
          </cell>
          <cell r="I3171" t="str">
            <v>-</v>
          </cell>
          <cell r="K3171" t="str">
            <v>-</v>
          </cell>
          <cell r="L3171" t="str">
            <v>-</v>
          </cell>
          <cell r="M3171">
            <v>6.625</v>
          </cell>
          <cell r="O3171" t="str">
            <v>-</v>
          </cell>
          <cell r="T3171" t="str">
            <v>-</v>
          </cell>
          <cell r="U3171">
            <v>0.28000000000000003</v>
          </cell>
        </row>
        <row r="3172">
          <cell r="B3172" t="str">
            <v>Pipe5STD</v>
          </cell>
          <cell r="C3172">
            <v>4.01</v>
          </cell>
          <cell r="D3172" t="str">
            <v>-</v>
          </cell>
          <cell r="F3172" t="str">
            <v>-</v>
          </cell>
          <cell r="H3172">
            <v>5.5629999999999997</v>
          </cell>
          <cell r="I3172" t="str">
            <v>-</v>
          </cell>
          <cell r="K3172" t="str">
            <v>-</v>
          </cell>
          <cell r="L3172" t="str">
            <v>-</v>
          </cell>
          <cell r="M3172">
            <v>5.5629999999999997</v>
          </cell>
          <cell r="O3172" t="str">
            <v>-</v>
          </cell>
          <cell r="T3172" t="str">
            <v>-</v>
          </cell>
          <cell r="U3172">
            <v>0.25800000000000001</v>
          </cell>
        </row>
        <row r="3173">
          <cell r="B3173" t="str">
            <v>Pipe4STD</v>
          </cell>
          <cell r="C3173">
            <v>2.96</v>
          </cell>
          <cell r="D3173" t="str">
            <v>-</v>
          </cell>
          <cell r="F3173" t="str">
            <v>-</v>
          </cell>
          <cell r="H3173">
            <v>4.5</v>
          </cell>
          <cell r="I3173" t="str">
            <v>-</v>
          </cell>
          <cell r="K3173" t="str">
            <v>-</v>
          </cell>
          <cell r="L3173" t="str">
            <v>-</v>
          </cell>
          <cell r="M3173">
            <v>4.5</v>
          </cell>
          <cell r="O3173" t="str">
            <v>-</v>
          </cell>
          <cell r="T3173" t="str">
            <v>-</v>
          </cell>
          <cell r="U3173">
            <v>0.2370000000000001</v>
          </cell>
        </row>
        <row r="3174">
          <cell r="B3174" t="str">
            <v>Pipe3-1/2STD</v>
          </cell>
          <cell r="C3174">
            <v>2.5</v>
          </cell>
          <cell r="D3174" t="str">
            <v>-</v>
          </cell>
          <cell r="F3174" t="str">
            <v>-</v>
          </cell>
          <cell r="H3174">
            <v>4</v>
          </cell>
          <cell r="I3174" t="str">
            <v>-</v>
          </cell>
          <cell r="K3174" t="str">
            <v>-</v>
          </cell>
          <cell r="L3174" t="str">
            <v>-</v>
          </cell>
          <cell r="M3174">
            <v>4</v>
          </cell>
          <cell r="O3174" t="str">
            <v>-</v>
          </cell>
          <cell r="T3174" t="str">
            <v>-</v>
          </cell>
          <cell r="U3174">
            <v>0.22599999999999998</v>
          </cell>
        </row>
        <row r="3175">
          <cell r="B3175" t="str">
            <v>Pipe3STD</v>
          </cell>
          <cell r="C3175">
            <v>2.0699999999999998</v>
          </cell>
          <cell r="D3175" t="str">
            <v>-</v>
          </cell>
          <cell r="F3175" t="str">
            <v>-</v>
          </cell>
          <cell r="H3175">
            <v>3.5</v>
          </cell>
          <cell r="I3175" t="str">
            <v>-</v>
          </cell>
          <cell r="K3175" t="str">
            <v>-</v>
          </cell>
          <cell r="L3175" t="str">
            <v>-</v>
          </cell>
          <cell r="M3175">
            <v>3.5</v>
          </cell>
          <cell r="O3175" t="str">
            <v>-</v>
          </cell>
          <cell r="T3175" t="str">
            <v>-</v>
          </cell>
          <cell r="U3175">
            <v>0.21599999999999997</v>
          </cell>
        </row>
        <row r="3176">
          <cell r="B3176" t="str">
            <v>Pipe2-1/2STD</v>
          </cell>
          <cell r="C3176">
            <v>1.61</v>
          </cell>
          <cell r="D3176" t="str">
            <v>-</v>
          </cell>
          <cell r="F3176" t="str">
            <v>-</v>
          </cell>
          <cell r="H3176">
            <v>2.875</v>
          </cell>
          <cell r="I3176" t="str">
            <v>-</v>
          </cell>
          <cell r="K3176" t="str">
            <v>-</v>
          </cell>
          <cell r="L3176" t="str">
            <v>-</v>
          </cell>
          <cell r="M3176">
            <v>2.875</v>
          </cell>
          <cell r="O3176" t="str">
            <v>-</v>
          </cell>
          <cell r="T3176" t="str">
            <v>-</v>
          </cell>
          <cell r="U3176">
            <v>0.20300000000000007</v>
          </cell>
        </row>
        <row r="3177">
          <cell r="B3177" t="str">
            <v>Pipe2STD</v>
          </cell>
          <cell r="C3177">
            <v>1.02</v>
          </cell>
          <cell r="D3177" t="str">
            <v>-</v>
          </cell>
          <cell r="F3177" t="str">
            <v>-</v>
          </cell>
          <cell r="H3177">
            <v>2.375</v>
          </cell>
          <cell r="I3177" t="str">
            <v>-</v>
          </cell>
          <cell r="K3177" t="str">
            <v>-</v>
          </cell>
          <cell r="L3177" t="str">
            <v>-</v>
          </cell>
          <cell r="M3177">
            <v>2.375</v>
          </cell>
          <cell r="O3177" t="str">
            <v>-</v>
          </cell>
          <cell r="T3177" t="str">
            <v>-</v>
          </cell>
          <cell r="U3177">
            <v>0.15399999999999991</v>
          </cell>
        </row>
        <row r="3178">
          <cell r="B3178" t="str">
            <v>Pipe1-1/2STD</v>
          </cell>
          <cell r="C3178">
            <v>0.749</v>
          </cell>
          <cell r="D3178" t="str">
            <v>-</v>
          </cell>
          <cell r="F3178" t="str">
            <v>-</v>
          </cell>
          <cell r="H3178">
            <v>1.9</v>
          </cell>
          <cell r="I3178" t="str">
            <v>-</v>
          </cell>
          <cell r="K3178" t="str">
            <v>-</v>
          </cell>
          <cell r="L3178" t="str">
            <v>-</v>
          </cell>
          <cell r="M3178">
            <v>1.9</v>
          </cell>
          <cell r="O3178" t="str">
            <v>-</v>
          </cell>
          <cell r="T3178" t="str">
            <v>-</v>
          </cell>
          <cell r="U3178">
            <v>0.14499999999999999</v>
          </cell>
        </row>
        <row r="3179">
          <cell r="B3179" t="str">
            <v>Pipe1-1/4STD</v>
          </cell>
          <cell r="C3179">
            <v>0.625</v>
          </cell>
          <cell r="D3179" t="str">
            <v>-</v>
          </cell>
          <cell r="F3179" t="str">
            <v>-</v>
          </cell>
          <cell r="H3179">
            <v>1.66</v>
          </cell>
          <cell r="I3179" t="str">
            <v>-</v>
          </cell>
          <cell r="K3179" t="str">
            <v>-</v>
          </cell>
          <cell r="L3179" t="str">
            <v>-</v>
          </cell>
          <cell r="M3179">
            <v>1.66</v>
          </cell>
          <cell r="O3179" t="str">
            <v>-</v>
          </cell>
          <cell r="T3179" t="str">
            <v>-</v>
          </cell>
          <cell r="U3179">
            <v>0.14000000000000001</v>
          </cell>
        </row>
        <row r="3180">
          <cell r="B3180" t="str">
            <v>Pipe1STD</v>
          </cell>
          <cell r="C3180">
            <v>0.46899999999999997</v>
          </cell>
          <cell r="D3180" t="str">
            <v>-</v>
          </cell>
          <cell r="F3180" t="str">
            <v>-</v>
          </cell>
          <cell r="H3180">
            <v>1.3149999999999999</v>
          </cell>
          <cell r="I3180" t="str">
            <v>-</v>
          </cell>
          <cell r="K3180" t="str">
            <v>-</v>
          </cell>
          <cell r="L3180" t="str">
            <v>-</v>
          </cell>
          <cell r="M3180">
            <v>1.3149999999999999</v>
          </cell>
          <cell r="O3180" t="str">
            <v>-</v>
          </cell>
          <cell r="T3180" t="str">
            <v>-</v>
          </cell>
          <cell r="U3180">
            <v>0.13300000000000001</v>
          </cell>
        </row>
        <row r="3181">
          <cell r="B3181" t="str">
            <v>Pipe3/4STD</v>
          </cell>
          <cell r="C3181">
            <v>0.312</v>
          </cell>
          <cell r="D3181" t="str">
            <v>-</v>
          </cell>
          <cell r="F3181" t="str">
            <v>-</v>
          </cell>
          <cell r="H3181">
            <v>1.05</v>
          </cell>
          <cell r="I3181" t="str">
            <v>-</v>
          </cell>
          <cell r="K3181" t="str">
            <v>-</v>
          </cell>
          <cell r="L3181" t="str">
            <v>-</v>
          </cell>
          <cell r="M3181">
            <v>1.05</v>
          </cell>
          <cell r="O3181" t="str">
            <v>-</v>
          </cell>
          <cell r="T3181" t="str">
            <v>-</v>
          </cell>
          <cell r="U3181">
            <v>0.11300000000000004</v>
          </cell>
        </row>
        <row r="3182">
          <cell r="B3182" t="str">
            <v>Pipe1/2STD</v>
          </cell>
          <cell r="C3182">
            <v>0.23400000000000001</v>
          </cell>
          <cell r="D3182" t="str">
            <v>-</v>
          </cell>
          <cell r="F3182" t="str">
            <v>-</v>
          </cell>
          <cell r="H3182">
            <v>0.84</v>
          </cell>
          <cell r="I3182" t="str">
            <v>-</v>
          </cell>
          <cell r="K3182" t="str">
            <v>-</v>
          </cell>
          <cell r="L3182" t="str">
            <v>-</v>
          </cell>
          <cell r="M3182">
            <v>0.84</v>
          </cell>
          <cell r="O3182" t="str">
            <v>-</v>
          </cell>
          <cell r="T3182" t="str">
            <v>-</v>
          </cell>
          <cell r="U3182">
            <v>0.10899999999999999</v>
          </cell>
        </row>
        <row r="3183">
          <cell r="B3183" t="str">
            <v>Pipe26XS</v>
          </cell>
          <cell r="C3183">
            <v>36.1</v>
          </cell>
          <cell r="D3183" t="str">
            <v>-</v>
          </cell>
          <cell r="F3183" t="str">
            <v>-</v>
          </cell>
          <cell r="H3183">
            <v>26</v>
          </cell>
          <cell r="I3183" t="str">
            <v>-</v>
          </cell>
          <cell r="K3183" t="str">
            <v>-</v>
          </cell>
          <cell r="L3183" t="str">
            <v>-</v>
          </cell>
          <cell r="M3183">
            <v>26</v>
          </cell>
          <cell r="O3183" t="str">
            <v>-</v>
          </cell>
          <cell r="T3183" t="str">
            <v>-</v>
          </cell>
          <cell r="U3183">
            <v>0.5</v>
          </cell>
        </row>
        <row r="3184">
          <cell r="B3184" t="str">
            <v>Pipe24XS</v>
          </cell>
          <cell r="C3184">
            <v>33.299999999999997</v>
          </cell>
          <cell r="D3184" t="str">
            <v>-</v>
          </cell>
          <cell r="F3184" t="str">
            <v>-</v>
          </cell>
          <cell r="H3184">
            <v>24</v>
          </cell>
          <cell r="I3184" t="str">
            <v>-</v>
          </cell>
          <cell r="K3184" t="str">
            <v>-</v>
          </cell>
          <cell r="L3184" t="str">
            <v>-</v>
          </cell>
          <cell r="M3184">
            <v>24</v>
          </cell>
          <cell r="O3184" t="str">
            <v>-</v>
          </cell>
          <cell r="T3184" t="str">
            <v>-</v>
          </cell>
          <cell r="U3184">
            <v>0.5</v>
          </cell>
        </row>
        <row r="3185">
          <cell r="B3185" t="str">
            <v>Pipe20XS</v>
          </cell>
          <cell r="C3185">
            <v>27.6</v>
          </cell>
          <cell r="D3185" t="str">
            <v>-</v>
          </cell>
          <cell r="F3185" t="str">
            <v>-</v>
          </cell>
          <cell r="H3185">
            <v>20</v>
          </cell>
          <cell r="I3185" t="str">
            <v>-</v>
          </cell>
          <cell r="K3185" t="str">
            <v>-</v>
          </cell>
          <cell r="L3185" t="str">
            <v>-</v>
          </cell>
          <cell r="M3185">
            <v>20</v>
          </cell>
          <cell r="O3185" t="str">
            <v>-</v>
          </cell>
          <cell r="T3185" t="str">
            <v>-</v>
          </cell>
          <cell r="U3185">
            <v>0.5</v>
          </cell>
        </row>
        <row r="3186">
          <cell r="B3186" t="str">
            <v>Pipe18XS</v>
          </cell>
          <cell r="C3186">
            <v>24.8</v>
          </cell>
          <cell r="D3186" t="str">
            <v>-</v>
          </cell>
          <cell r="F3186" t="str">
            <v>-</v>
          </cell>
          <cell r="H3186">
            <v>18</v>
          </cell>
          <cell r="I3186" t="str">
            <v>-</v>
          </cell>
          <cell r="K3186" t="str">
            <v>-</v>
          </cell>
          <cell r="L3186" t="str">
            <v>-</v>
          </cell>
          <cell r="M3186">
            <v>18</v>
          </cell>
          <cell r="O3186" t="str">
            <v>-</v>
          </cell>
          <cell r="T3186" t="str">
            <v>-</v>
          </cell>
          <cell r="U3186">
            <v>0.5</v>
          </cell>
        </row>
        <row r="3187">
          <cell r="B3187" t="str">
            <v>Pipe16XS</v>
          </cell>
          <cell r="C3187">
            <v>22</v>
          </cell>
          <cell r="D3187" t="str">
            <v>-</v>
          </cell>
          <cell r="F3187" t="str">
            <v>-</v>
          </cell>
          <cell r="H3187">
            <v>16</v>
          </cell>
          <cell r="I3187" t="str">
            <v>-</v>
          </cell>
          <cell r="K3187" t="str">
            <v>-</v>
          </cell>
          <cell r="L3187" t="str">
            <v>-</v>
          </cell>
          <cell r="M3187">
            <v>16</v>
          </cell>
          <cell r="O3187" t="str">
            <v>-</v>
          </cell>
          <cell r="T3187" t="str">
            <v>-</v>
          </cell>
          <cell r="U3187">
            <v>0.5</v>
          </cell>
        </row>
        <row r="3188">
          <cell r="B3188" t="str">
            <v>Pipe14XS</v>
          </cell>
          <cell r="C3188">
            <v>19.2</v>
          </cell>
          <cell r="D3188" t="str">
            <v>-</v>
          </cell>
          <cell r="F3188" t="str">
            <v>-</v>
          </cell>
          <cell r="H3188">
            <v>14</v>
          </cell>
          <cell r="I3188" t="str">
            <v>-</v>
          </cell>
          <cell r="K3188" t="str">
            <v>-</v>
          </cell>
          <cell r="L3188" t="str">
            <v>-</v>
          </cell>
          <cell r="M3188">
            <v>14</v>
          </cell>
          <cell r="O3188" t="str">
            <v>-</v>
          </cell>
          <cell r="T3188" t="str">
            <v>-</v>
          </cell>
          <cell r="U3188">
            <v>0.5</v>
          </cell>
        </row>
        <row r="3189">
          <cell r="B3189" t="str">
            <v>Pipe12XS</v>
          </cell>
          <cell r="C3189">
            <v>17.5</v>
          </cell>
          <cell r="D3189" t="str">
            <v>-</v>
          </cell>
          <cell r="F3189" t="str">
            <v>-</v>
          </cell>
          <cell r="H3189">
            <v>12.75</v>
          </cell>
          <cell r="I3189" t="str">
            <v>-</v>
          </cell>
          <cell r="K3189" t="str">
            <v>-</v>
          </cell>
          <cell r="L3189" t="str">
            <v>-</v>
          </cell>
          <cell r="M3189">
            <v>12.75</v>
          </cell>
          <cell r="O3189" t="str">
            <v>-</v>
          </cell>
          <cell r="T3189" t="str">
            <v>-</v>
          </cell>
          <cell r="U3189">
            <v>0.5</v>
          </cell>
        </row>
        <row r="3190">
          <cell r="B3190" t="str">
            <v>Pipe10XS</v>
          </cell>
          <cell r="C3190">
            <v>15.1</v>
          </cell>
          <cell r="D3190" t="str">
            <v>-</v>
          </cell>
          <cell r="F3190" t="str">
            <v>-</v>
          </cell>
          <cell r="H3190">
            <v>10.75</v>
          </cell>
          <cell r="I3190" t="str">
            <v>-</v>
          </cell>
          <cell r="K3190" t="str">
            <v>-</v>
          </cell>
          <cell r="L3190" t="str">
            <v>-</v>
          </cell>
          <cell r="M3190">
            <v>10.75</v>
          </cell>
          <cell r="O3190" t="str">
            <v>-</v>
          </cell>
          <cell r="T3190" t="str">
            <v>-</v>
          </cell>
          <cell r="U3190">
            <v>0.5</v>
          </cell>
        </row>
        <row r="3191">
          <cell r="B3191" t="str">
            <v>Pipe8XS</v>
          </cell>
          <cell r="C3191">
            <v>11.9</v>
          </cell>
          <cell r="D3191" t="str">
            <v>-</v>
          </cell>
          <cell r="F3191" t="str">
            <v>-</v>
          </cell>
          <cell r="H3191">
            <v>8.625</v>
          </cell>
          <cell r="I3191" t="str">
            <v>-</v>
          </cell>
          <cell r="K3191" t="str">
            <v>-</v>
          </cell>
          <cell r="L3191" t="str">
            <v>-</v>
          </cell>
          <cell r="M3191">
            <v>8.625</v>
          </cell>
          <cell r="O3191" t="str">
            <v>-</v>
          </cell>
          <cell r="T3191" t="str">
            <v>-</v>
          </cell>
          <cell r="U3191">
            <v>0.5</v>
          </cell>
        </row>
        <row r="3192">
          <cell r="B3192" t="str">
            <v>Pipe6XS</v>
          </cell>
          <cell r="C3192">
            <v>7.83</v>
          </cell>
          <cell r="D3192" t="str">
            <v>-</v>
          </cell>
          <cell r="F3192" t="str">
            <v>-</v>
          </cell>
          <cell r="H3192">
            <v>6.625</v>
          </cell>
          <cell r="I3192" t="str">
            <v>-</v>
          </cell>
          <cell r="K3192" t="str">
            <v>-</v>
          </cell>
          <cell r="L3192" t="str">
            <v>-</v>
          </cell>
          <cell r="M3192">
            <v>6.625</v>
          </cell>
          <cell r="O3192" t="str">
            <v>-</v>
          </cell>
          <cell r="T3192" t="str">
            <v>-</v>
          </cell>
          <cell r="U3192">
            <v>0.43199999999999994</v>
          </cell>
        </row>
        <row r="3193">
          <cell r="B3193" t="str">
            <v>Pipe5XS</v>
          </cell>
          <cell r="C3193">
            <v>5.73</v>
          </cell>
          <cell r="D3193" t="str">
            <v>-</v>
          </cell>
          <cell r="F3193" t="str">
            <v>-</v>
          </cell>
          <cell r="H3193">
            <v>5.5629999999999997</v>
          </cell>
          <cell r="I3193" t="str">
            <v>-</v>
          </cell>
          <cell r="K3193" t="str">
            <v>-</v>
          </cell>
          <cell r="L3193" t="str">
            <v>-</v>
          </cell>
          <cell r="M3193">
            <v>5.5629999999999997</v>
          </cell>
          <cell r="O3193" t="str">
            <v>-</v>
          </cell>
          <cell r="T3193" t="str">
            <v>-</v>
          </cell>
          <cell r="U3193">
            <v>0.375</v>
          </cell>
        </row>
        <row r="3194">
          <cell r="B3194" t="str">
            <v>Pipe4XS</v>
          </cell>
          <cell r="C3194">
            <v>4.1399999999999997</v>
          </cell>
          <cell r="D3194" t="str">
            <v>-</v>
          </cell>
          <cell r="F3194" t="str">
            <v>-</v>
          </cell>
          <cell r="H3194">
            <v>4.5</v>
          </cell>
          <cell r="I3194" t="str">
            <v>-</v>
          </cell>
          <cell r="K3194" t="str">
            <v>-</v>
          </cell>
          <cell r="L3194" t="str">
            <v>-</v>
          </cell>
          <cell r="M3194">
            <v>4.5</v>
          </cell>
          <cell r="O3194" t="str">
            <v>-</v>
          </cell>
          <cell r="T3194" t="str">
            <v>-</v>
          </cell>
          <cell r="U3194">
            <v>0.33699999999999997</v>
          </cell>
        </row>
        <row r="3195">
          <cell r="B3195" t="str">
            <v>Pipe3-1/2XS</v>
          </cell>
          <cell r="C3195">
            <v>3.43</v>
          </cell>
          <cell r="D3195" t="str">
            <v>-</v>
          </cell>
          <cell r="F3195" t="str">
            <v>-</v>
          </cell>
          <cell r="H3195">
            <v>4</v>
          </cell>
          <cell r="I3195" t="str">
            <v>-</v>
          </cell>
          <cell r="K3195" t="str">
            <v>-</v>
          </cell>
          <cell r="L3195" t="str">
            <v>-</v>
          </cell>
          <cell r="M3195">
            <v>4</v>
          </cell>
          <cell r="O3195" t="str">
            <v>-</v>
          </cell>
          <cell r="T3195" t="str">
            <v>-</v>
          </cell>
          <cell r="U3195">
            <v>0.31800000000000006</v>
          </cell>
        </row>
        <row r="3196">
          <cell r="B3196" t="str">
            <v>Pipe3XS</v>
          </cell>
          <cell r="C3196">
            <v>2.83</v>
          </cell>
          <cell r="D3196" t="str">
            <v>-</v>
          </cell>
          <cell r="F3196" t="str">
            <v>-</v>
          </cell>
          <cell r="H3196">
            <v>3.5</v>
          </cell>
          <cell r="I3196" t="str">
            <v>-</v>
          </cell>
          <cell r="K3196" t="str">
            <v>-</v>
          </cell>
          <cell r="L3196" t="str">
            <v>-</v>
          </cell>
          <cell r="M3196">
            <v>3.5</v>
          </cell>
          <cell r="O3196" t="str">
            <v>-</v>
          </cell>
          <cell r="T3196" t="str">
            <v>-</v>
          </cell>
          <cell r="U3196">
            <v>0.3</v>
          </cell>
        </row>
        <row r="3197">
          <cell r="B3197" t="str">
            <v>Pipe2-1/2XS</v>
          </cell>
          <cell r="C3197">
            <v>2.1</v>
          </cell>
          <cell r="D3197" t="str">
            <v>-</v>
          </cell>
          <cell r="F3197" t="str">
            <v>-</v>
          </cell>
          <cell r="H3197">
            <v>2.875</v>
          </cell>
          <cell r="I3197" t="str">
            <v>-</v>
          </cell>
          <cell r="K3197" t="str">
            <v>-</v>
          </cell>
          <cell r="L3197" t="str">
            <v>-</v>
          </cell>
          <cell r="M3197">
            <v>2.875</v>
          </cell>
          <cell r="O3197" t="str">
            <v>-</v>
          </cell>
          <cell r="T3197" t="str">
            <v>-</v>
          </cell>
          <cell r="U3197">
            <v>0.27600000000000002</v>
          </cell>
        </row>
        <row r="3198">
          <cell r="B3198" t="str">
            <v>Pipe2XS</v>
          </cell>
          <cell r="C3198">
            <v>1.4</v>
          </cell>
          <cell r="D3198" t="str">
            <v>-</v>
          </cell>
          <cell r="F3198" t="str">
            <v>-</v>
          </cell>
          <cell r="H3198">
            <v>2.375</v>
          </cell>
          <cell r="I3198" t="str">
            <v>-</v>
          </cell>
          <cell r="K3198" t="str">
            <v>-</v>
          </cell>
          <cell r="L3198" t="str">
            <v>-</v>
          </cell>
          <cell r="M3198">
            <v>2.375</v>
          </cell>
          <cell r="O3198" t="str">
            <v>-</v>
          </cell>
          <cell r="T3198" t="str">
            <v>-</v>
          </cell>
          <cell r="U3198">
            <v>0.21799999999999997</v>
          </cell>
        </row>
        <row r="3199">
          <cell r="B3199" t="str">
            <v>Pipe1-1/2XS</v>
          </cell>
          <cell r="C3199">
            <v>1</v>
          </cell>
          <cell r="D3199" t="str">
            <v>-</v>
          </cell>
          <cell r="F3199" t="str">
            <v>-</v>
          </cell>
          <cell r="H3199">
            <v>1.9</v>
          </cell>
          <cell r="I3199" t="str">
            <v>-</v>
          </cell>
          <cell r="K3199" t="str">
            <v>-</v>
          </cell>
          <cell r="L3199" t="str">
            <v>-</v>
          </cell>
          <cell r="M3199">
            <v>1.9</v>
          </cell>
          <cell r="O3199" t="str">
            <v>-</v>
          </cell>
          <cell r="T3199" t="str">
            <v>-</v>
          </cell>
          <cell r="U3199">
            <v>0.2</v>
          </cell>
        </row>
        <row r="3200">
          <cell r="B3200" t="str">
            <v>Pipe1-1/4XS</v>
          </cell>
          <cell r="C3200">
            <v>0.83699999999999997</v>
          </cell>
          <cell r="D3200" t="str">
            <v>-</v>
          </cell>
          <cell r="F3200" t="str">
            <v>-</v>
          </cell>
          <cell r="H3200">
            <v>1.66</v>
          </cell>
          <cell r="I3200" t="str">
            <v>-</v>
          </cell>
          <cell r="K3200" t="str">
            <v>-</v>
          </cell>
          <cell r="L3200" t="str">
            <v>-</v>
          </cell>
          <cell r="M3200">
            <v>1.66</v>
          </cell>
          <cell r="O3200" t="str">
            <v>-</v>
          </cell>
          <cell r="T3200" t="str">
            <v>-</v>
          </cell>
          <cell r="U3200">
            <v>0.19099999999999995</v>
          </cell>
        </row>
        <row r="3201">
          <cell r="B3201" t="str">
            <v>Pipe1XS</v>
          </cell>
          <cell r="C3201">
            <v>0.60199999999999998</v>
          </cell>
          <cell r="D3201" t="str">
            <v>-</v>
          </cell>
          <cell r="F3201" t="str">
            <v>-</v>
          </cell>
          <cell r="H3201">
            <v>1.3149999999999999</v>
          </cell>
          <cell r="I3201" t="str">
            <v>-</v>
          </cell>
          <cell r="K3201" t="str">
            <v>-</v>
          </cell>
          <cell r="L3201" t="str">
            <v>-</v>
          </cell>
          <cell r="M3201">
            <v>1.3149999999999999</v>
          </cell>
          <cell r="O3201" t="str">
            <v>-</v>
          </cell>
          <cell r="T3201" t="str">
            <v>-</v>
          </cell>
          <cell r="U3201">
            <v>0.17899999999999999</v>
          </cell>
        </row>
        <row r="3202">
          <cell r="B3202" t="str">
            <v>Pipe3/4XS</v>
          </cell>
          <cell r="C3202">
            <v>0.40699999999999997</v>
          </cell>
          <cell r="D3202" t="str">
            <v>-</v>
          </cell>
          <cell r="F3202" t="str">
            <v>-</v>
          </cell>
          <cell r="H3202">
            <v>1.05</v>
          </cell>
          <cell r="I3202" t="str">
            <v>-</v>
          </cell>
          <cell r="K3202" t="str">
            <v>-</v>
          </cell>
          <cell r="L3202" t="str">
            <v>-</v>
          </cell>
          <cell r="M3202">
            <v>1.05</v>
          </cell>
          <cell r="O3202" t="str">
            <v>-</v>
          </cell>
          <cell r="T3202" t="str">
            <v>-</v>
          </cell>
          <cell r="U3202">
            <v>0.15400000000000003</v>
          </cell>
        </row>
        <row r="3203">
          <cell r="B3203" t="str">
            <v>Pipe1/2XS</v>
          </cell>
          <cell r="C3203">
            <v>0.30299999999999999</v>
          </cell>
          <cell r="D3203" t="str">
            <v>-</v>
          </cell>
          <cell r="F3203" t="str">
            <v>-</v>
          </cell>
          <cell r="H3203">
            <v>0.84</v>
          </cell>
          <cell r="I3203" t="str">
            <v>-</v>
          </cell>
          <cell r="K3203" t="str">
            <v>-</v>
          </cell>
          <cell r="L3203" t="str">
            <v>-</v>
          </cell>
          <cell r="M3203">
            <v>0.84</v>
          </cell>
          <cell r="O3203" t="str">
            <v>-</v>
          </cell>
          <cell r="T3203" t="str">
            <v>-</v>
          </cell>
          <cell r="U3203">
            <v>0.14699999999999996</v>
          </cell>
        </row>
        <row r="3204">
          <cell r="B3204" t="str">
            <v>Pipe12XXS</v>
          </cell>
          <cell r="C3204">
            <v>35.4</v>
          </cell>
          <cell r="D3204" t="str">
            <v>-</v>
          </cell>
          <cell r="F3204" t="str">
            <v>-</v>
          </cell>
          <cell r="H3204">
            <v>12.75</v>
          </cell>
          <cell r="I3204" t="str">
            <v>-</v>
          </cell>
          <cell r="K3204" t="str">
            <v>-</v>
          </cell>
          <cell r="L3204" t="str">
            <v>-</v>
          </cell>
          <cell r="M3204">
            <v>12.75</v>
          </cell>
          <cell r="O3204" t="str">
            <v>-</v>
          </cell>
          <cell r="T3204" t="str">
            <v>-</v>
          </cell>
          <cell r="U3204">
            <v>1</v>
          </cell>
        </row>
        <row r="3205">
          <cell r="B3205" t="str">
            <v>Pipe10XXS</v>
          </cell>
          <cell r="C3205">
            <v>28.8</v>
          </cell>
          <cell r="D3205" t="str">
            <v>-</v>
          </cell>
          <cell r="F3205" t="str">
            <v>-</v>
          </cell>
          <cell r="H3205">
            <v>10.75</v>
          </cell>
          <cell r="I3205" t="str">
            <v>-</v>
          </cell>
          <cell r="K3205" t="str">
            <v>-</v>
          </cell>
          <cell r="L3205" t="str">
            <v>-</v>
          </cell>
          <cell r="M3205">
            <v>10.75</v>
          </cell>
          <cell r="O3205" t="str">
            <v>-</v>
          </cell>
          <cell r="T3205" t="str">
            <v>-</v>
          </cell>
          <cell r="U3205">
            <v>1</v>
          </cell>
        </row>
        <row r="3206">
          <cell r="B3206" t="str">
            <v>Pipe8XXS</v>
          </cell>
          <cell r="C3206">
            <v>20</v>
          </cell>
          <cell r="D3206" t="str">
            <v>-</v>
          </cell>
          <cell r="F3206" t="str">
            <v>-</v>
          </cell>
          <cell r="H3206">
            <v>8.625</v>
          </cell>
          <cell r="I3206" t="str">
            <v>-</v>
          </cell>
          <cell r="K3206" t="str">
            <v>-</v>
          </cell>
          <cell r="L3206" t="str">
            <v>-</v>
          </cell>
          <cell r="M3206">
            <v>8.625</v>
          </cell>
          <cell r="O3206" t="str">
            <v>-</v>
          </cell>
          <cell r="T3206" t="str">
            <v>-</v>
          </cell>
          <cell r="U3206">
            <v>0.875</v>
          </cell>
        </row>
        <row r="3207">
          <cell r="B3207" t="str">
            <v>Pipe6XXS</v>
          </cell>
          <cell r="C3207">
            <v>14.7</v>
          </cell>
          <cell r="D3207" t="str">
            <v>-</v>
          </cell>
          <cell r="F3207" t="str">
            <v>-</v>
          </cell>
          <cell r="H3207">
            <v>6.625</v>
          </cell>
          <cell r="I3207" t="str">
            <v>-</v>
          </cell>
          <cell r="K3207" t="str">
            <v>-</v>
          </cell>
          <cell r="L3207" t="str">
            <v>-</v>
          </cell>
          <cell r="M3207">
            <v>6.625</v>
          </cell>
          <cell r="O3207" t="str">
            <v>-</v>
          </cell>
          <cell r="T3207" t="str">
            <v>-</v>
          </cell>
          <cell r="U3207">
            <v>0.86399999999999988</v>
          </cell>
        </row>
        <row r="3208">
          <cell r="B3208" t="str">
            <v>Pipe5XXS</v>
          </cell>
          <cell r="C3208">
            <v>10.7</v>
          </cell>
          <cell r="D3208" t="str">
            <v>-</v>
          </cell>
          <cell r="F3208" t="str">
            <v>-</v>
          </cell>
          <cell r="H3208">
            <v>5.5629999999999997</v>
          </cell>
          <cell r="I3208" t="str">
            <v>-</v>
          </cell>
          <cell r="K3208" t="str">
            <v>-</v>
          </cell>
          <cell r="L3208" t="str">
            <v>-</v>
          </cell>
          <cell r="M3208">
            <v>5.5629999999999997</v>
          </cell>
          <cell r="O3208" t="str">
            <v>-</v>
          </cell>
          <cell r="T3208" t="str">
            <v>-</v>
          </cell>
          <cell r="U3208">
            <v>0.75</v>
          </cell>
        </row>
        <row r="3209">
          <cell r="B3209" t="str">
            <v>Pipe4XXS</v>
          </cell>
          <cell r="C3209">
            <v>7.66</v>
          </cell>
          <cell r="D3209" t="str">
            <v>-</v>
          </cell>
          <cell r="F3209" t="str">
            <v>-</v>
          </cell>
          <cell r="H3209">
            <v>4.5</v>
          </cell>
          <cell r="I3209" t="str">
            <v>-</v>
          </cell>
          <cell r="K3209" t="str">
            <v>-</v>
          </cell>
          <cell r="L3209" t="str">
            <v>-</v>
          </cell>
          <cell r="M3209">
            <v>4.5</v>
          </cell>
          <cell r="O3209" t="str">
            <v>-</v>
          </cell>
          <cell r="T3209" t="str">
            <v>-</v>
          </cell>
          <cell r="U3209">
            <v>0.67399999999999993</v>
          </cell>
        </row>
        <row r="3210">
          <cell r="B3210" t="str">
            <v>Pipe3XXS</v>
          </cell>
          <cell r="C3210">
            <v>5.17</v>
          </cell>
          <cell r="D3210" t="str">
            <v>-</v>
          </cell>
          <cell r="F3210" t="str">
            <v>-</v>
          </cell>
          <cell r="H3210">
            <v>3.5</v>
          </cell>
          <cell r="I3210" t="str">
            <v>-</v>
          </cell>
          <cell r="K3210" t="str">
            <v>-</v>
          </cell>
          <cell r="L3210" t="str">
            <v>-</v>
          </cell>
          <cell r="M3210">
            <v>3.5</v>
          </cell>
          <cell r="O3210" t="str">
            <v>-</v>
          </cell>
          <cell r="T3210" t="str">
            <v>-</v>
          </cell>
          <cell r="U3210">
            <v>0.6</v>
          </cell>
        </row>
        <row r="3211">
          <cell r="B3211" t="str">
            <v>Pipe2-1/2XXS</v>
          </cell>
          <cell r="C3211">
            <v>3.83</v>
          </cell>
          <cell r="D3211" t="str">
            <v>-</v>
          </cell>
          <cell r="F3211" t="str">
            <v>-</v>
          </cell>
          <cell r="H3211">
            <v>2.875</v>
          </cell>
          <cell r="I3211" t="str">
            <v>-</v>
          </cell>
          <cell r="K3211" t="str">
            <v>-</v>
          </cell>
          <cell r="L3211" t="str">
            <v>-</v>
          </cell>
          <cell r="M3211">
            <v>2.875</v>
          </cell>
          <cell r="O3211" t="str">
            <v>-</v>
          </cell>
          <cell r="T3211" t="str">
            <v>-</v>
          </cell>
          <cell r="U3211">
            <v>0.55200000000000005</v>
          </cell>
        </row>
        <row r="3212">
          <cell r="B3212" t="str">
            <v>Pipe2XXS</v>
          </cell>
          <cell r="C3212">
            <v>2.5099999999999998</v>
          </cell>
          <cell r="D3212" t="str">
            <v>-</v>
          </cell>
          <cell r="F3212" t="str">
            <v>-</v>
          </cell>
          <cell r="H3212">
            <v>2.375</v>
          </cell>
          <cell r="I3212" t="str">
            <v>-</v>
          </cell>
          <cell r="K3212" t="str">
            <v>-</v>
          </cell>
          <cell r="L3212" t="str">
            <v>-</v>
          </cell>
          <cell r="M3212">
            <v>2.375</v>
          </cell>
          <cell r="O3212" t="str">
            <v>-</v>
          </cell>
          <cell r="T3212" t="str">
            <v>-</v>
          </cell>
          <cell r="U3212">
            <v>0.43600000000000005</v>
          </cell>
        </row>
        <row r="3213">
          <cell r="B3213" t="str">
            <v>M36-53</v>
          </cell>
          <cell r="C3213">
            <v>1.11328125</v>
          </cell>
          <cell r="D3213">
            <v>2.96875</v>
          </cell>
          <cell r="F3213" t="str">
            <v>-</v>
          </cell>
          <cell r="H3213" t="str">
            <v>-</v>
          </cell>
          <cell r="I3213" t="str">
            <v>-</v>
          </cell>
          <cell r="K3213" t="str">
            <v>-</v>
          </cell>
          <cell r="L3213">
            <v>2.96875</v>
          </cell>
          <cell r="M3213">
            <v>4.1984465132951261</v>
          </cell>
          <cell r="O3213" t="str">
            <v>-</v>
          </cell>
          <cell r="T3213">
            <v>0.1875</v>
          </cell>
          <cell r="U3213" t="str">
            <v>-</v>
          </cell>
        </row>
        <row r="3214">
          <cell r="B3214" t="str">
            <v>M36-54</v>
          </cell>
          <cell r="C3214">
            <v>1.484375</v>
          </cell>
          <cell r="D3214">
            <v>2.96875</v>
          </cell>
          <cell r="F3214" t="str">
            <v>-</v>
          </cell>
          <cell r="H3214" t="str">
            <v>-</v>
          </cell>
          <cell r="I3214" t="str">
            <v>-</v>
          </cell>
          <cell r="K3214" t="str">
            <v>-</v>
          </cell>
          <cell r="L3214">
            <v>2.96875</v>
          </cell>
          <cell r="M3214">
            <v>4.1984465132951261</v>
          </cell>
          <cell r="O3214" t="str">
            <v>-</v>
          </cell>
          <cell r="T3214">
            <v>0.25</v>
          </cell>
          <cell r="U3214" t="str">
            <v>-</v>
          </cell>
        </row>
        <row r="3215">
          <cell r="B3215" t="str">
            <v>M36-64</v>
          </cell>
          <cell r="C3215">
            <v>1.65625</v>
          </cell>
          <cell r="D3215">
            <v>3.3125</v>
          </cell>
          <cell r="F3215" t="str">
            <v>-</v>
          </cell>
          <cell r="H3215" t="str">
            <v>-</v>
          </cell>
          <cell r="I3215" t="str">
            <v>-</v>
          </cell>
          <cell r="K3215" t="str">
            <v>-</v>
          </cell>
          <cell r="L3215">
            <v>3.3125</v>
          </cell>
          <cell r="M3215">
            <v>4.684582425360877</v>
          </cell>
          <cell r="O3215" t="str">
            <v>-</v>
          </cell>
          <cell r="T3215">
            <v>0.25</v>
          </cell>
          <cell r="U3215" t="str">
            <v>-</v>
          </cell>
        </row>
        <row r="3216">
          <cell r="B3216" t="str">
            <v>M36-65</v>
          </cell>
          <cell r="C3216">
            <v>2.0703125</v>
          </cell>
          <cell r="D3216">
            <v>3.3125</v>
          </cell>
          <cell r="F3216" t="str">
            <v>-</v>
          </cell>
          <cell r="H3216" t="str">
            <v>-</v>
          </cell>
          <cell r="I3216" t="str">
            <v>-</v>
          </cell>
          <cell r="K3216" t="str">
            <v>-</v>
          </cell>
          <cell r="L3216">
            <v>3.3125</v>
          </cell>
          <cell r="M3216">
            <v>4.684582425360877</v>
          </cell>
          <cell r="O3216" t="str">
            <v>-</v>
          </cell>
          <cell r="T3216">
            <v>0.3125</v>
          </cell>
          <cell r="U3216" t="str">
            <v>-</v>
          </cell>
        </row>
        <row r="3217">
          <cell r="B3217" t="str">
            <v>M36-66</v>
          </cell>
          <cell r="C3217">
            <v>2.484375</v>
          </cell>
          <cell r="D3217">
            <v>3.3125</v>
          </cell>
          <cell r="F3217" t="str">
            <v>-</v>
          </cell>
          <cell r="H3217" t="str">
            <v>-</v>
          </cell>
          <cell r="I3217" t="str">
            <v>-</v>
          </cell>
          <cell r="K3217" t="str">
            <v>-</v>
          </cell>
          <cell r="L3217">
            <v>3.3125</v>
          </cell>
          <cell r="M3217">
            <v>4.684582425360877</v>
          </cell>
          <cell r="O3217" t="str">
            <v>-</v>
          </cell>
          <cell r="T3217">
            <v>0.375</v>
          </cell>
          <cell r="U3217" t="str">
            <v>-</v>
          </cell>
        </row>
        <row r="3218">
          <cell r="B3218" t="str">
            <v>M36-76</v>
          </cell>
          <cell r="C3218">
            <v>2.7890625</v>
          </cell>
          <cell r="D3218">
            <v>3.71875</v>
          </cell>
          <cell r="F3218" t="str">
            <v>-</v>
          </cell>
          <cell r="H3218" t="str">
            <v>-</v>
          </cell>
          <cell r="I3218" t="str">
            <v>-</v>
          </cell>
          <cell r="K3218" t="str">
            <v>-</v>
          </cell>
          <cell r="L3218">
            <v>3.71875</v>
          </cell>
          <cell r="M3218">
            <v>5.2591066850749471</v>
          </cell>
          <cell r="O3218" t="str">
            <v>-</v>
          </cell>
          <cell r="T3218">
            <v>0.375</v>
          </cell>
          <cell r="U3218" t="str">
            <v>-</v>
          </cell>
        </row>
        <row r="3219">
          <cell r="B3219" t="str">
            <v>M36-86</v>
          </cell>
          <cell r="C3219">
            <v>3.1875</v>
          </cell>
          <cell r="D3219">
            <v>4.25</v>
          </cell>
          <cell r="F3219" t="str">
            <v>-</v>
          </cell>
          <cell r="H3219" t="str">
            <v>-</v>
          </cell>
          <cell r="I3219" t="str">
            <v>-</v>
          </cell>
          <cell r="K3219" t="str">
            <v>-</v>
          </cell>
          <cell r="L3219">
            <v>4.25</v>
          </cell>
          <cell r="M3219">
            <v>6.0104076400856536</v>
          </cell>
          <cell r="O3219" t="str">
            <v>-</v>
          </cell>
          <cell r="T3219">
            <v>0.375</v>
          </cell>
          <cell r="U3219" t="str">
            <v>-</v>
          </cell>
        </row>
        <row r="3220">
          <cell r="B3220" t="str">
            <v>M36-96</v>
          </cell>
          <cell r="C3220">
            <v>3.375</v>
          </cell>
          <cell r="D3220">
            <v>4.5</v>
          </cell>
          <cell r="F3220" t="str">
            <v>-</v>
          </cell>
          <cell r="H3220" t="str">
            <v>-</v>
          </cell>
          <cell r="I3220" t="str">
            <v>-</v>
          </cell>
          <cell r="K3220" t="str">
            <v>-</v>
          </cell>
          <cell r="L3220">
            <v>4.5</v>
          </cell>
          <cell r="M3220">
            <v>6.3639610306789276</v>
          </cell>
          <cell r="O3220" t="str">
            <v>-</v>
          </cell>
          <cell r="T3220">
            <v>0.375</v>
          </cell>
          <cell r="U3220" t="str">
            <v>-</v>
          </cell>
        </row>
        <row r="3221">
          <cell r="B3221" t="str">
            <v>M46-53</v>
          </cell>
          <cell r="C3221">
            <v>1.11328125</v>
          </cell>
          <cell r="D3221">
            <v>2.96875</v>
          </cell>
          <cell r="F3221" t="str">
            <v>-</v>
          </cell>
          <cell r="H3221" t="str">
            <v>-</v>
          </cell>
          <cell r="I3221" t="str">
            <v>-</v>
          </cell>
          <cell r="K3221" t="str">
            <v>-</v>
          </cell>
          <cell r="L3221">
            <v>2.96875</v>
          </cell>
          <cell r="M3221">
            <v>4.1984465132951261</v>
          </cell>
          <cell r="O3221" t="str">
            <v>-</v>
          </cell>
          <cell r="T3221">
            <v>0.1875</v>
          </cell>
          <cell r="U3221" t="str">
            <v>-</v>
          </cell>
        </row>
        <row r="3222">
          <cell r="B3222" t="str">
            <v>M46-54</v>
          </cell>
          <cell r="C3222">
            <v>1.484375</v>
          </cell>
          <cell r="D3222">
            <v>2.96875</v>
          </cell>
          <cell r="F3222" t="str">
            <v>-</v>
          </cell>
          <cell r="H3222" t="str">
            <v>-</v>
          </cell>
          <cell r="I3222" t="str">
            <v>-</v>
          </cell>
          <cell r="K3222" t="str">
            <v>-</v>
          </cell>
          <cell r="L3222">
            <v>2.96875</v>
          </cell>
          <cell r="M3222">
            <v>4.1984465132951261</v>
          </cell>
          <cell r="O3222" t="str">
            <v>-</v>
          </cell>
          <cell r="T3222">
            <v>0.25</v>
          </cell>
          <cell r="U3222" t="str">
            <v>-</v>
          </cell>
        </row>
        <row r="3223">
          <cell r="B3223" t="str">
            <v>M46-64</v>
          </cell>
          <cell r="C3223">
            <v>1.65625</v>
          </cell>
          <cell r="D3223">
            <v>3.3125</v>
          </cell>
          <cell r="F3223" t="str">
            <v>-</v>
          </cell>
          <cell r="H3223" t="str">
            <v>-</v>
          </cell>
          <cell r="I3223" t="str">
            <v>-</v>
          </cell>
          <cell r="K3223" t="str">
            <v>-</v>
          </cell>
          <cell r="L3223">
            <v>3.3125</v>
          </cell>
          <cell r="M3223">
            <v>4.684582425360877</v>
          </cell>
          <cell r="O3223" t="str">
            <v>-</v>
          </cell>
          <cell r="T3223">
            <v>0.25</v>
          </cell>
          <cell r="U3223" t="str">
            <v>-</v>
          </cell>
        </row>
        <row r="3224">
          <cell r="B3224" t="str">
            <v>M46-65</v>
          </cell>
          <cell r="C3224">
            <v>2.0703125</v>
          </cell>
          <cell r="D3224">
            <v>3.3125</v>
          </cell>
          <cell r="F3224" t="str">
            <v>-</v>
          </cell>
          <cell r="H3224" t="str">
            <v>-</v>
          </cell>
          <cell r="I3224" t="str">
            <v>-</v>
          </cell>
          <cell r="K3224" t="str">
            <v>-</v>
          </cell>
          <cell r="L3224">
            <v>3.3125</v>
          </cell>
          <cell r="M3224">
            <v>4.684582425360877</v>
          </cell>
          <cell r="O3224" t="str">
            <v>-</v>
          </cell>
          <cell r="T3224">
            <v>0.3125</v>
          </cell>
          <cell r="U3224" t="str">
            <v>-</v>
          </cell>
        </row>
        <row r="3225">
          <cell r="B3225" t="str">
            <v>M46-66</v>
          </cell>
          <cell r="C3225">
            <v>2.484375</v>
          </cell>
          <cell r="D3225">
            <v>3.3125</v>
          </cell>
          <cell r="F3225" t="str">
            <v>-</v>
          </cell>
          <cell r="H3225" t="str">
            <v>-</v>
          </cell>
          <cell r="I3225" t="str">
            <v>-</v>
          </cell>
          <cell r="K3225" t="str">
            <v>-</v>
          </cell>
          <cell r="L3225">
            <v>3.3125</v>
          </cell>
          <cell r="M3225">
            <v>4.684582425360877</v>
          </cell>
          <cell r="O3225" t="str">
            <v>-</v>
          </cell>
          <cell r="T3225">
            <v>0.375</v>
          </cell>
          <cell r="U3225" t="str">
            <v>-</v>
          </cell>
        </row>
        <row r="3226">
          <cell r="B3226" t="str">
            <v>M46-76</v>
          </cell>
          <cell r="C3226">
            <v>2.7890625</v>
          </cell>
          <cell r="D3226">
            <v>3.71875</v>
          </cell>
          <cell r="F3226" t="str">
            <v>-</v>
          </cell>
          <cell r="H3226" t="str">
            <v>-</v>
          </cell>
          <cell r="I3226" t="str">
            <v>-</v>
          </cell>
          <cell r="K3226" t="str">
            <v>-</v>
          </cell>
          <cell r="L3226">
            <v>3.71875</v>
          </cell>
          <cell r="M3226">
            <v>5.2591066850749471</v>
          </cell>
          <cell r="O3226" t="str">
            <v>-</v>
          </cell>
          <cell r="T3226">
            <v>0.375</v>
          </cell>
          <cell r="U3226" t="str">
            <v>-</v>
          </cell>
        </row>
        <row r="3227">
          <cell r="B3227" t="str">
            <v>M46-86</v>
          </cell>
          <cell r="C3227">
            <v>3.1875</v>
          </cell>
          <cell r="D3227">
            <v>4.25</v>
          </cell>
          <cell r="F3227" t="str">
            <v>-</v>
          </cell>
          <cell r="H3227" t="str">
            <v>-</v>
          </cell>
          <cell r="I3227" t="str">
            <v>-</v>
          </cell>
          <cell r="K3227" t="str">
            <v>-</v>
          </cell>
          <cell r="L3227">
            <v>4.25</v>
          </cell>
          <cell r="M3227">
            <v>6.0104076400856536</v>
          </cell>
          <cell r="O3227" t="str">
            <v>-</v>
          </cell>
          <cell r="T3227">
            <v>0.375</v>
          </cell>
          <cell r="U3227" t="str">
            <v>-</v>
          </cell>
        </row>
        <row r="3228">
          <cell r="B3228" t="str">
            <v>M46-96</v>
          </cell>
          <cell r="C3228">
            <v>3.375</v>
          </cell>
          <cell r="D3228">
            <v>4.5</v>
          </cell>
          <cell r="F3228" t="str">
            <v>-</v>
          </cell>
          <cell r="H3228" t="str">
            <v>-</v>
          </cell>
          <cell r="I3228" t="str">
            <v>-</v>
          </cell>
          <cell r="K3228" t="str">
            <v>-</v>
          </cell>
          <cell r="L3228">
            <v>4.5</v>
          </cell>
          <cell r="M3228">
            <v>6.3639610306789276</v>
          </cell>
          <cell r="O3228" t="str">
            <v>-</v>
          </cell>
          <cell r="T3228">
            <v>0.375</v>
          </cell>
          <cell r="U3228" t="str">
            <v>-</v>
          </cell>
        </row>
        <row r="3229">
          <cell r="B3229" t="str">
            <v>M54-04</v>
          </cell>
          <cell r="C3229">
            <v>1.75</v>
          </cell>
          <cell r="D3229">
            <v>3.5</v>
          </cell>
          <cell r="F3229" t="str">
            <v>-</v>
          </cell>
          <cell r="H3229" t="str">
            <v>-</v>
          </cell>
          <cell r="I3229" t="str">
            <v>-</v>
          </cell>
          <cell r="K3229" t="str">
            <v>-</v>
          </cell>
          <cell r="L3229">
            <v>3.5</v>
          </cell>
          <cell r="M3229">
            <v>4.9497474683058327</v>
          </cell>
          <cell r="O3229" t="str">
            <v>-</v>
          </cell>
          <cell r="T3229">
            <v>0.25</v>
          </cell>
          <cell r="U3229" t="str">
            <v>-</v>
          </cell>
        </row>
        <row r="3230">
          <cell r="B3230" t="str">
            <v>M54-05</v>
          </cell>
          <cell r="C3230">
            <v>2.32421875</v>
          </cell>
          <cell r="D3230">
            <v>3.71875</v>
          </cell>
          <cell r="F3230" t="str">
            <v>-</v>
          </cell>
          <cell r="H3230" t="str">
            <v>-</v>
          </cell>
          <cell r="I3230" t="str">
            <v>-</v>
          </cell>
          <cell r="K3230" t="str">
            <v>-</v>
          </cell>
          <cell r="L3230">
            <v>3.71875</v>
          </cell>
          <cell r="M3230">
            <v>5.2591066850749471</v>
          </cell>
          <cell r="O3230" t="str">
            <v>-</v>
          </cell>
          <cell r="T3230">
            <v>0.3125</v>
          </cell>
          <cell r="U3230" t="str">
            <v>-</v>
          </cell>
        </row>
        <row r="3231">
          <cell r="B3231" t="str">
            <v>M54-06</v>
          </cell>
          <cell r="C3231">
            <v>2.7890625</v>
          </cell>
          <cell r="D3231">
            <v>3.71875</v>
          </cell>
          <cell r="F3231" t="str">
            <v>-</v>
          </cell>
          <cell r="H3231" t="str">
            <v>-</v>
          </cell>
          <cell r="I3231" t="str">
            <v>-</v>
          </cell>
          <cell r="K3231" t="str">
            <v>-</v>
          </cell>
          <cell r="L3231">
            <v>3.71875</v>
          </cell>
          <cell r="M3231">
            <v>5.2591066850749471</v>
          </cell>
          <cell r="O3231" t="str">
            <v>-</v>
          </cell>
          <cell r="T3231">
            <v>0.375</v>
          </cell>
          <cell r="U3231" t="str">
            <v>-</v>
          </cell>
        </row>
        <row r="3232">
          <cell r="B3232" t="str">
            <v>M54-16</v>
          </cell>
          <cell r="C3232">
            <v>3</v>
          </cell>
          <cell r="D3232">
            <v>4</v>
          </cell>
          <cell r="F3232" t="str">
            <v>-</v>
          </cell>
          <cell r="H3232" t="str">
            <v>-</v>
          </cell>
          <cell r="I3232" t="str">
            <v>-</v>
          </cell>
          <cell r="K3232" t="str">
            <v>-</v>
          </cell>
          <cell r="L3232">
            <v>4</v>
          </cell>
          <cell r="M3232">
            <v>5.6568542494923806</v>
          </cell>
          <cell r="O3232" t="str">
            <v>-</v>
          </cell>
          <cell r="T3232">
            <v>0.375</v>
          </cell>
          <cell r="U3232" t="str">
            <v>-</v>
          </cell>
        </row>
        <row r="3233">
          <cell r="B3233" t="str">
            <v>M54-26</v>
          </cell>
          <cell r="C3233">
            <v>3.375</v>
          </cell>
          <cell r="D3233">
            <v>4.5</v>
          </cell>
          <cell r="F3233" t="str">
            <v>-</v>
          </cell>
          <cell r="H3233" t="str">
            <v>-</v>
          </cell>
          <cell r="I3233" t="str">
            <v>-</v>
          </cell>
          <cell r="K3233" t="str">
            <v>-</v>
          </cell>
          <cell r="L3233">
            <v>4.5</v>
          </cell>
          <cell r="M3233">
            <v>6.3639610306789276</v>
          </cell>
          <cell r="O3233" t="str">
            <v>-</v>
          </cell>
          <cell r="T3233">
            <v>0.375</v>
          </cell>
          <cell r="U3233" t="str">
            <v>-</v>
          </cell>
        </row>
        <row r="3234">
          <cell r="B3234" t="str">
            <v>M54-36</v>
          </cell>
          <cell r="C3234">
            <v>3.75</v>
          </cell>
          <cell r="D3234">
            <v>5</v>
          </cell>
          <cell r="F3234" t="str">
            <v>-</v>
          </cell>
          <cell r="H3234" t="str">
            <v>-</v>
          </cell>
          <cell r="I3234" t="str">
            <v>-</v>
          </cell>
          <cell r="K3234" t="str">
            <v>-</v>
          </cell>
          <cell r="L3234">
            <v>5</v>
          </cell>
          <cell r="M3234">
            <v>7.0710678118654755</v>
          </cell>
          <cell r="O3234" t="str">
            <v>-</v>
          </cell>
          <cell r="T3234">
            <v>0.375</v>
          </cell>
          <cell r="U3234" t="str">
            <v>-</v>
          </cell>
        </row>
        <row r="3235">
          <cell r="B3235" t="str">
            <v>M54-46</v>
          </cell>
          <cell r="C3235">
            <v>3.9375</v>
          </cell>
          <cell r="D3235">
            <v>5.25</v>
          </cell>
          <cell r="F3235" t="str">
            <v>-</v>
          </cell>
          <cell r="H3235" t="str">
            <v>-</v>
          </cell>
          <cell r="I3235" t="str">
            <v>-</v>
          </cell>
          <cell r="K3235" t="str">
            <v>-</v>
          </cell>
          <cell r="L3235">
            <v>5.25</v>
          </cell>
          <cell r="M3235">
            <v>7.4246212024587486</v>
          </cell>
          <cell r="O3235" t="str">
            <v>-</v>
          </cell>
          <cell r="T3235">
            <v>0.375</v>
          </cell>
          <cell r="U3235" t="str">
            <v>-</v>
          </cell>
        </row>
        <row r="3236">
          <cell r="B3236" t="str">
            <v>M54-56</v>
          </cell>
          <cell r="C3236">
            <v>4.125</v>
          </cell>
          <cell r="D3236">
            <v>5.5</v>
          </cell>
          <cell r="F3236" t="str">
            <v>-</v>
          </cell>
          <cell r="H3236" t="str">
            <v>-</v>
          </cell>
          <cell r="I3236" t="str">
            <v>-</v>
          </cell>
          <cell r="K3236" t="str">
            <v>-</v>
          </cell>
          <cell r="L3236">
            <v>5.5</v>
          </cell>
          <cell r="M3236">
            <v>7.7781745930520225</v>
          </cell>
          <cell r="O3236" t="str">
            <v>-</v>
          </cell>
          <cell r="T3236">
            <v>0.375</v>
          </cell>
          <cell r="U3236" t="str">
            <v>-</v>
          </cell>
        </row>
        <row r="3237">
          <cell r="B3237" t="str">
            <v>M64-05</v>
          </cell>
          <cell r="C3237">
            <v>3.28125</v>
          </cell>
          <cell r="D3237">
            <v>5.25</v>
          </cell>
          <cell r="F3237" t="str">
            <v>-</v>
          </cell>
          <cell r="H3237" t="str">
            <v>-</v>
          </cell>
          <cell r="I3237" t="str">
            <v>-</v>
          </cell>
          <cell r="K3237" t="str">
            <v>-</v>
          </cell>
          <cell r="L3237">
            <v>5.25</v>
          </cell>
          <cell r="M3237">
            <v>7.4246212024587486</v>
          </cell>
          <cell r="O3237" t="str">
            <v>-</v>
          </cell>
          <cell r="T3237">
            <v>0.3125</v>
          </cell>
          <cell r="U3237" t="str">
            <v>-</v>
          </cell>
        </row>
        <row r="3238">
          <cell r="B3238" t="str">
            <v>M64-06</v>
          </cell>
          <cell r="C3238">
            <v>3.9375</v>
          </cell>
          <cell r="D3238">
            <v>5.25</v>
          </cell>
          <cell r="F3238" t="str">
            <v>-</v>
          </cell>
          <cell r="H3238" t="str">
            <v>-</v>
          </cell>
          <cell r="I3238" t="str">
            <v>-</v>
          </cell>
          <cell r="K3238" t="str">
            <v>-</v>
          </cell>
          <cell r="L3238">
            <v>5.25</v>
          </cell>
          <cell r="M3238">
            <v>7.4246212024587486</v>
          </cell>
          <cell r="O3238" t="str">
            <v>-</v>
          </cell>
          <cell r="T3238">
            <v>0.375</v>
          </cell>
          <cell r="U3238" t="str">
            <v>-</v>
          </cell>
        </row>
        <row r="3239">
          <cell r="B3239" t="str">
            <v>M64-07</v>
          </cell>
          <cell r="C3239">
            <v>4.75</v>
          </cell>
          <cell r="D3239">
            <v>4.75</v>
          </cell>
          <cell r="F3239" t="str">
            <v>-</v>
          </cell>
          <cell r="H3239" t="str">
            <v>-</v>
          </cell>
          <cell r="I3239" t="str">
            <v>-</v>
          </cell>
          <cell r="K3239" t="str">
            <v>-</v>
          </cell>
          <cell r="L3239">
            <v>4.75</v>
          </cell>
          <cell r="M3239">
            <v>6.7175144212722016</v>
          </cell>
          <cell r="O3239" t="str">
            <v>-</v>
          </cell>
          <cell r="T3239">
            <v>0.5</v>
          </cell>
          <cell r="U3239" t="str">
            <v>-</v>
          </cell>
        </row>
        <row r="3240">
          <cell r="B3240" t="str">
            <v>M64-17</v>
          </cell>
          <cell r="C3240">
            <v>5</v>
          </cell>
          <cell r="D3240">
            <v>5</v>
          </cell>
          <cell r="F3240" t="str">
            <v>-</v>
          </cell>
          <cell r="H3240" t="str">
            <v>-</v>
          </cell>
          <cell r="I3240" t="str">
            <v>-</v>
          </cell>
          <cell r="K3240" t="str">
            <v>-</v>
          </cell>
          <cell r="L3240">
            <v>5</v>
          </cell>
          <cell r="M3240">
            <v>7.0710678118654755</v>
          </cell>
          <cell r="O3240" t="str">
            <v>-</v>
          </cell>
          <cell r="T3240">
            <v>0.5</v>
          </cell>
          <cell r="U3240" t="str">
            <v>-</v>
          </cell>
        </row>
        <row r="3241">
          <cell r="B3241" t="str">
            <v>M64-27</v>
          </cell>
          <cell r="C3241">
            <v>5.25</v>
          </cell>
          <cell r="D3241">
            <v>5.25</v>
          </cell>
          <cell r="F3241" t="str">
            <v>-</v>
          </cell>
          <cell r="H3241" t="str">
            <v>-</v>
          </cell>
          <cell r="I3241" t="str">
            <v>-</v>
          </cell>
          <cell r="K3241" t="str">
            <v>-</v>
          </cell>
          <cell r="L3241">
            <v>5.25</v>
          </cell>
          <cell r="M3241">
            <v>7.4246212024587486</v>
          </cell>
          <cell r="O3241" t="str">
            <v>-</v>
          </cell>
          <cell r="T3241">
            <v>0.5</v>
          </cell>
          <cell r="U3241" t="str">
            <v>-</v>
          </cell>
        </row>
        <row r="3242">
          <cell r="B3242" t="str">
            <v>M64-37</v>
          </cell>
          <cell r="C3242">
            <v>5.5</v>
          </cell>
          <cell r="D3242">
            <v>5.5</v>
          </cell>
          <cell r="F3242" t="str">
            <v>-</v>
          </cell>
          <cell r="H3242" t="str">
            <v>-</v>
          </cell>
          <cell r="I3242" t="str">
            <v>-</v>
          </cell>
          <cell r="K3242" t="str">
            <v>-</v>
          </cell>
          <cell r="L3242">
            <v>5.5</v>
          </cell>
          <cell r="M3242">
            <v>7.7781745930520225</v>
          </cell>
          <cell r="O3242" t="str">
            <v>-</v>
          </cell>
          <cell r="T3242">
            <v>0.5</v>
          </cell>
          <cell r="U3242" t="str">
            <v>-</v>
          </cell>
        </row>
        <row r="3243">
          <cell r="B3243" t="str">
            <v>M64-47</v>
          </cell>
          <cell r="C3243">
            <v>5.75</v>
          </cell>
          <cell r="D3243">
            <v>5.75</v>
          </cell>
          <cell r="F3243" t="str">
            <v>-</v>
          </cell>
          <cell r="H3243" t="str">
            <v>-</v>
          </cell>
          <cell r="I3243" t="str">
            <v>-</v>
          </cell>
          <cell r="K3243" t="str">
            <v>-</v>
          </cell>
          <cell r="L3243">
            <v>5.75</v>
          </cell>
          <cell r="M3243">
            <v>8.1317279836452965</v>
          </cell>
          <cell r="O3243" t="str">
            <v>-</v>
          </cell>
          <cell r="T3243">
            <v>0.5</v>
          </cell>
          <cell r="U3243" t="str">
            <v>-</v>
          </cell>
        </row>
        <row r="3244">
          <cell r="B3244" t="str">
            <v>M64-57</v>
          </cell>
          <cell r="C3244">
            <v>6</v>
          </cell>
          <cell r="D3244">
            <v>6</v>
          </cell>
          <cell r="F3244" t="str">
            <v>-</v>
          </cell>
          <cell r="H3244" t="str">
            <v>-</v>
          </cell>
          <cell r="I3244" t="str">
            <v>-</v>
          </cell>
          <cell r="K3244" t="str">
            <v>-</v>
          </cell>
          <cell r="L3244">
            <v>6</v>
          </cell>
          <cell r="M3244">
            <v>8.4852813742385695</v>
          </cell>
          <cell r="O3244" t="str">
            <v>-</v>
          </cell>
          <cell r="T3244">
            <v>0.5</v>
          </cell>
          <cell r="U3244" t="str">
            <v>-</v>
          </cell>
        </row>
        <row r="3245">
          <cell r="B3245" t="str">
            <v>M64-67</v>
          </cell>
          <cell r="C3245">
            <v>7</v>
          </cell>
          <cell r="D3245">
            <v>7</v>
          </cell>
          <cell r="F3245" t="str">
            <v>-</v>
          </cell>
          <cell r="H3245" t="str">
            <v>-</v>
          </cell>
          <cell r="I3245" t="str">
            <v>-</v>
          </cell>
          <cell r="K3245" t="str">
            <v>-</v>
          </cell>
          <cell r="L3245">
            <v>7</v>
          </cell>
          <cell r="M3245">
            <v>9.8994949366116654</v>
          </cell>
          <cell r="O3245" t="str">
            <v>-</v>
          </cell>
          <cell r="T3245">
            <v>0.5</v>
          </cell>
          <cell r="U3245" t="str">
            <v>-</v>
          </cell>
        </row>
        <row r="3246">
          <cell r="B3246" t="str">
            <v>6X0.1875</v>
          </cell>
          <cell r="C3246">
            <v>1.125</v>
          </cell>
          <cell r="D3246">
            <v>3</v>
          </cell>
          <cell r="F3246" t="str">
            <v>-</v>
          </cell>
          <cell r="H3246" t="str">
            <v>-</v>
          </cell>
          <cell r="I3246" t="str">
            <v>-</v>
          </cell>
          <cell r="K3246" t="str">
            <v>-</v>
          </cell>
          <cell r="L3246">
            <v>3</v>
          </cell>
          <cell r="M3246">
            <v>4.2426406871192848</v>
          </cell>
          <cell r="O3246" t="str">
            <v>-</v>
          </cell>
          <cell r="T3246">
            <v>0.1875</v>
          </cell>
          <cell r="U3246" t="str">
            <v>-</v>
          </cell>
        </row>
        <row r="3247">
          <cell r="B3247" t="str">
            <v>6X0.25</v>
          </cell>
          <cell r="C3247">
            <v>1.5</v>
          </cell>
          <cell r="D3247">
            <v>3</v>
          </cell>
          <cell r="F3247" t="str">
            <v>-</v>
          </cell>
          <cell r="H3247" t="str">
            <v>-</v>
          </cell>
          <cell r="I3247" t="str">
            <v>-</v>
          </cell>
          <cell r="K3247" t="str">
            <v>-</v>
          </cell>
          <cell r="L3247">
            <v>3</v>
          </cell>
          <cell r="M3247">
            <v>4.2426406871192848</v>
          </cell>
          <cell r="O3247" t="str">
            <v>-</v>
          </cell>
          <cell r="T3247">
            <v>0.25</v>
          </cell>
          <cell r="U3247" t="str">
            <v>-</v>
          </cell>
        </row>
        <row r="3248">
          <cell r="B3248" t="str">
            <v>6X0.3125</v>
          </cell>
          <cell r="C3248">
            <v>1.875</v>
          </cell>
          <cell r="D3248">
            <v>3</v>
          </cell>
          <cell r="F3248" t="str">
            <v>-</v>
          </cell>
          <cell r="H3248" t="str">
            <v>-</v>
          </cell>
          <cell r="I3248" t="str">
            <v>-</v>
          </cell>
          <cell r="K3248" t="str">
            <v>-</v>
          </cell>
          <cell r="L3248">
            <v>3</v>
          </cell>
          <cell r="M3248">
            <v>4.2426406871192848</v>
          </cell>
          <cell r="O3248" t="str">
            <v>-</v>
          </cell>
          <cell r="T3248">
            <v>0.3125</v>
          </cell>
          <cell r="U3248" t="str">
            <v>-</v>
          </cell>
        </row>
        <row r="3249">
          <cell r="B3249" t="str">
            <v>6.5X0.1875</v>
          </cell>
          <cell r="C3249">
            <v>1.21875</v>
          </cell>
          <cell r="D3249">
            <v>3.25</v>
          </cell>
          <cell r="F3249" t="str">
            <v>-</v>
          </cell>
          <cell r="H3249" t="str">
            <v>-</v>
          </cell>
          <cell r="I3249" t="str">
            <v>-</v>
          </cell>
          <cell r="K3249" t="str">
            <v>-</v>
          </cell>
          <cell r="L3249">
            <v>3.25</v>
          </cell>
          <cell r="M3249">
            <v>4.5961940777125587</v>
          </cell>
          <cell r="O3249" t="str">
            <v>-</v>
          </cell>
          <cell r="T3249">
            <v>0.1875</v>
          </cell>
          <cell r="U3249" t="str">
            <v>-</v>
          </cell>
        </row>
        <row r="3250">
          <cell r="B3250" t="str">
            <v>6.5X0.25</v>
          </cell>
          <cell r="C3250">
            <v>1.625</v>
          </cell>
          <cell r="D3250">
            <v>3.25</v>
          </cell>
          <cell r="F3250" t="str">
            <v>-</v>
          </cell>
          <cell r="H3250" t="str">
            <v>-</v>
          </cell>
          <cell r="I3250" t="str">
            <v>-</v>
          </cell>
          <cell r="K3250" t="str">
            <v>-</v>
          </cell>
          <cell r="L3250">
            <v>3.25</v>
          </cell>
          <cell r="M3250">
            <v>4.5961940777125587</v>
          </cell>
          <cell r="O3250" t="str">
            <v>-</v>
          </cell>
          <cell r="T3250">
            <v>0.25</v>
          </cell>
          <cell r="U3250" t="str">
            <v>-</v>
          </cell>
        </row>
        <row r="3251">
          <cell r="B3251" t="str">
            <v>6.5X0.3125</v>
          </cell>
          <cell r="C3251">
            <v>2.03125</v>
          </cell>
          <cell r="D3251">
            <v>3.25</v>
          </cell>
          <cell r="F3251" t="str">
            <v>-</v>
          </cell>
          <cell r="H3251" t="str">
            <v>-</v>
          </cell>
          <cell r="I3251" t="str">
            <v>-</v>
          </cell>
          <cell r="K3251" t="str">
            <v>-</v>
          </cell>
          <cell r="L3251">
            <v>3.25</v>
          </cell>
          <cell r="M3251">
            <v>4.5961940777125587</v>
          </cell>
          <cell r="O3251" t="str">
            <v>-</v>
          </cell>
          <cell r="T3251">
            <v>0.3125</v>
          </cell>
          <cell r="U3251" t="str">
            <v>-</v>
          </cell>
        </row>
        <row r="3252">
          <cell r="B3252" t="str">
            <v>6.5X0.375</v>
          </cell>
          <cell r="C3252">
            <v>2.4375</v>
          </cell>
          <cell r="D3252">
            <v>3.25</v>
          </cell>
          <cell r="F3252" t="str">
            <v>-</v>
          </cell>
          <cell r="H3252" t="str">
            <v>-</v>
          </cell>
          <cell r="I3252" t="str">
            <v>-</v>
          </cell>
          <cell r="K3252" t="str">
            <v>-</v>
          </cell>
          <cell r="L3252">
            <v>3.25</v>
          </cell>
          <cell r="M3252">
            <v>4.5961940777125587</v>
          </cell>
          <cell r="O3252" t="str">
            <v>-</v>
          </cell>
          <cell r="T3252">
            <v>0.375</v>
          </cell>
          <cell r="U3252" t="str">
            <v>-</v>
          </cell>
        </row>
        <row r="3253">
          <cell r="B3253" t="str">
            <v>6.5X0.4375</v>
          </cell>
          <cell r="C3253">
            <v>2.84375</v>
          </cell>
          <cell r="D3253">
            <v>3.25</v>
          </cell>
          <cell r="F3253" t="str">
            <v>-</v>
          </cell>
          <cell r="H3253" t="str">
            <v>-</v>
          </cell>
          <cell r="I3253" t="str">
            <v>-</v>
          </cell>
          <cell r="K3253" t="str">
            <v>-</v>
          </cell>
          <cell r="L3253">
            <v>3.25</v>
          </cell>
          <cell r="M3253">
            <v>4.5961940777125587</v>
          </cell>
          <cell r="O3253" t="str">
            <v>-</v>
          </cell>
          <cell r="T3253">
            <v>0.4375</v>
          </cell>
          <cell r="U3253" t="str">
            <v>-</v>
          </cell>
        </row>
        <row r="3254">
          <cell r="B3254" t="str">
            <v>7X0.25</v>
          </cell>
          <cell r="C3254">
            <v>1.75</v>
          </cell>
          <cell r="D3254">
            <v>3.5</v>
          </cell>
          <cell r="F3254" t="str">
            <v>-</v>
          </cell>
          <cell r="H3254" t="str">
            <v>-</v>
          </cell>
          <cell r="I3254" t="str">
            <v>-</v>
          </cell>
          <cell r="K3254" t="str">
            <v>-</v>
          </cell>
          <cell r="L3254">
            <v>3.5</v>
          </cell>
          <cell r="M3254">
            <v>4.9497474683058327</v>
          </cell>
          <cell r="O3254" t="str">
            <v>-</v>
          </cell>
          <cell r="T3254">
            <v>0.25</v>
          </cell>
          <cell r="U3254" t="str">
            <v>-</v>
          </cell>
        </row>
        <row r="3255">
          <cell r="B3255" t="str">
            <v>7X0.3125</v>
          </cell>
          <cell r="C3255">
            <v>2.1875</v>
          </cell>
          <cell r="D3255">
            <v>3.5</v>
          </cell>
          <cell r="F3255" t="str">
            <v>-</v>
          </cell>
          <cell r="H3255" t="str">
            <v>-</v>
          </cell>
          <cell r="I3255" t="str">
            <v>-</v>
          </cell>
          <cell r="K3255" t="str">
            <v>-</v>
          </cell>
          <cell r="L3255">
            <v>3.5</v>
          </cell>
          <cell r="M3255">
            <v>4.9497474683058327</v>
          </cell>
          <cell r="O3255" t="str">
            <v>-</v>
          </cell>
          <cell r="T3255">
            <v>0.3125</v>
          </cell>
          <cell r="U3255" t="str">
            <v>-</v>
          </cell>
        </row>
        <row r="3256">
          <cell r="B3256" t="str">
            <v>7X0.375</v>
          </cell>
          <cell r="C3256">
            <v>2.625</v>
          </cell>
          <cell r="D3256">
            <v>3.5</v>
          </cell>
          <cell r="F3256" t="str">
            <v>-</v>
          </cell>
          <cell r="H3256" t="str">
            <v>-</v>
          </cell>
          <cell r="I3256" t="str">
            <v>-</v>
          </cell>
          <cell r="K3256" t="str">
            <v>-</v>
          </cell>
          <cell r="L3256">
            <v>3.5</v>
          </cell>
          <cell r="M3256">
            <v>4.9497474683058327</v>
          </cell>
          <cell r="O3256" t="str">
            <v>-</v>
          </cell>
          <cell r="T3256">
            <v>0.375</v>
          </cell>
          <cell r="U3256" t="str">
            <v>-</v>
          </cell>
        </row>
        <row r="3257">
          <cell r="B3257" t="str">
            <v>7X0.4375</v>
          </cell>
          <cell r="C3257">
            <v>3.0625</v>
          </cell>
          <cell r="D3257">
            <v>3.5</v>
          </cell>
          <cell r="F3257" t="str">
            <v>-</v>
          </cell>
          <cell r="H3257" t="str">
            <v>-</v>
          </cell>
          <cell r="I3257" t="str">
            <v>-</v>
          </cell>
          <cell r="K3257" t="str">
            <v>-</v>
          </cell>
          <cell r="L3257">
            <v>3.5</v>
          </cell>
          <cell r="M3257">
            <v>4.9497474683058327</v>
          </cell>
          <cell r="O3257" t="str">
            <v>-</v>
          </cell>
          <cell r="T3257">
            <v>0.4375</v>
          </cell>
          <cell r="U3257" t="str">
            <v>-</v>
          </cell>
        </row>
        <row r="3258">
          <cell r="B3258" t="str">
            <v>7X0.5</v>
          </cell>
          <cell r="C3258">
            <v>3.5</v>
          </cell>
          <cell r="D3258">
            <v>3.5</v>
          </cell>
          <cell r="F3258" t="str">
            <v>-</v>
          </cell>
          <cell r="H3258" t="str">
            <v>-</v>
          </cell>
          <cell r="I3258" t="str">
            <v>-</v>
          </cell>
          <cell r="K3258" t="str">
            <v>-</v>
          </cell>
          <cell r="L3258">
            <v>3.5</v>
          </cell>
          <cell r="M3258">
            <v>4.9497474683058327</v>
          </cell>
          <cell r="O3258" t="str">
            <v>-</v>
          </cell>
          <cell r="T3258">
            <v>0.5</v>
          </cell>
          <cell r="U3258" t="str">
            <v>-</v>
          </cell>
        </row>
        <row r="3259">
          <cell r="B3259" t="str">
            <v>7.5X0.25</v>
          </cell>
          <cell r="C3259">
            <v>1.875</v>
          </cell>
          <cell r="D3259">
            <v>3.75</v>
          </cell>
          <cell r="F3259" t="str">
            <v>-</v>
          </cell>
          <cell r="H3259" t="str">
            <v>-</v>
          </cell>
          <cell r="I3259" t="str">
            <v>-</v>
          </cell>
          <cell r="K3259" t="str">
            <v>-</v>
          </cell>
          <cell r="L3259">
            <v>3.75</v>
          </cell>
          <cell r="M3259">
            <v>5.3033008588991066</v>
          </cell>
          <cell r="O3259" t="str">
            <v>-</v>
          </cell>
          <cell r="T3259">
            <v>0.25</v>
          </cell>
          <cell r="U3259" t="str">
            <v>-</v>
          </cell>
        </row>
        <row r="3260">
          <cell r="B3260" t="str">
            <v>7.5X0.3125</v>
          </cell>
          <cell r="C3260">
            <v>2.34375</v>
          </cell>
          <cell r="D3260">
            <v>3.75</v>
          </cell>
          <cell r="F3260" t="str">
            <v>-</v>
          </cell>
          <cell r="H3260" t="str">
            <v>-</v>
          </cell>
          <cell r="I3260" t="str">
            <v>-</v>
          </cell>
          <cell r="K3260" t="str">
            <v>-</v>
          </cell>
          <cell r="L3260">
            <v>3.75</v>
          </cell>
          <cell r="M3260">
            <v>5.3033008588991066</v>
          </cell>
          <cell r="O3260" t="str">
            <v>-</v>
          </cell>
          <cell r="T3260">
            <v>0.3125</v>
          </cell>
          <cell r="U3260" t="str">
            <v>-</v>
          </cell>
        </row>
        <row r="3261">
          <cell r="B3261" t="str">
            <v>7.5X0.375</v>
          </cell>
          <cell r="C3261">
            <v>2.8125</v>
          </cell>
          <cell r="D3261">
            <v>3.75</v>
          </cell>
          <cell r="F3261" t="str">
            <v>-</v>
          </cell>
          <cell r="H3261" t="str">
            <v>-</v>
          </cell>
          <cell r="I3261" t="str">
            <v>-</v>
          </cell>
          <cell r="K3261" t="str">
            <v>-</v>
          </cell>
          <cell r="L3261">
            <v>3.75</v>
          </cell>
          <cell r="M3261">
            <v>5.3033008588991066</v>
          </cell>
          <cell r="O3261" t="str">
            <v>-</v>
          </cell>
          <cell r="T3261">
            <v>0.375</v>
          </cell>
          <cell r="U3261" t="str">
            <v>-</v>
          </cell>
        </row>
        <row r="3262">
          <cell r="B3262" t="str">
            <v>7.5X0.4375</v>
          </cell>
          <cell r="C3262">
            <v>3.28125</v>
          </cell>
          <cell r="D3262">
            <v>3.75</v>
          </cell>
          <cell r="F3262" t="str">
            <v>-</v>
          </cell>
          <cell r="H3262" t="str">
            <v>-</v>
          </cell>
          <cell r="I3262" t="str">
            <v>-</v>
          </cell>
          <cell r="K3262" t="str">
            <v>-</v>
          </cell>
          <cell r="L3262">
            <v>3.75</v>
          </cell>
          <cell r="M3262">
            <v>5.3033008588991066</v>
          </cell>
          <cell r="O3262" t="str">
            <v>-</v>
          </cell>
          <cell r="T3262">
            <v>0.4375</v>
          </cell>
          <cell r="U3262" t="str">
            <v>-</v>
          </cell>
        </row>
        <row r="3263">
          <cell r="B3263" t="str">
            <v>7.5X0.5</v>
          </cell>
          <cell r="C3263">
            <v>3.75</v>
          </cell>
          <cell r="D3263">
            <v>3.75</v>
          </cell>
          <cell r="F3263" t="str">
            <v>-</v>
          </cell>
          <cell r="H3263" t="str">
            <v>-</v>
          </cell>
          <cell r="I3263" t="str">
            <v>-</v>
          </cell>
          <cell r="K3263" t="str">
            <v>-</v>
          </cell>
          <cell r="L3263">
            <v>3.75</v>
          </cell>
          <cell r="M3263">
            <v>5.3033008588991066</v>
          </cell>
          <cell r="O3263" t="str">
            <v>-</v>
          </cell>
          <cell r="T3263">
            <v>0.5</v>
          </cell>
          <cell r="U3263" t="str">
            <v>-</v>
          </cell>
        </row>
        <row r="3264">
          <cell r="B3264" t="str">
            <v>8X0.25</v>
          </cell>
          <cell r="C3264">
            <v>2</v>
          </cell>
          <cell r="D3264">
            <v>4</v>
          </cell>
          <cell r="F3264" t="str">
            <v>-</v>
          </cell>
          <cell r="H3264" t="str">
            <v>-</v>
          </cell>
          <cell r="I3264" t="str">
            <v>-</v>
          </cell>
          <cell r="K3264" t="str">
            <v>-</v>
          </cell>
          <cell r="L3264">
            <v>4</v>
          </cell>
          <cell r="M3264">
            <v>5.6568542494923806</v>
          </cell>
          <cell r="O3264" t="str">
            <v>-</v>
          </cell>
          <cell r="T3264">
            <v>0.25</v>
          </cell>
          <cell r="U3264" t="str">
            <v>-</v>
          </cell>
        </row>
        <row r="3265">
          <cell r="B3265" t="str">
            <v>8X0.3125</v>
          </cell>
          <cell r="C3265">
            <v>2.5</v>
          </cell>
          <cell r="D3265">
            <v>4</v>
          </cell>
          <cell r="F3265" t="str">
            <v>-</v>
          </cell>
          <cell r="H3265" t="str">
            <v>-</v>
          </cell>
          <cell r="I3265" t="str">
            <v>-</v>
          </cell>
          <cell r="K3265" t="str">
            <v>-</v>
          </cell>
          <cell r="L3265">
            <v>4</v>
          </cell>
          <cell r="M3265">
            <v>5.6568542494923806</v>
          </cell>
          <cell r="O3265" t="str">
            <v>-</v>
          </cell>
          <cell r="T3265">
            <v>0.3125</v>
          </cell>
          <cell r="U3265" t="str">
            <v>-</v>
          </cell>
        </row>
        <row r="3266">
          <cell r="B3266" t="str">
            <v>8X0.375</v>
          </cell>
          <cell r="C3266">
            <v>3</v>
          </cell>
          <cell r="D3266">
            <v>4</v>
          </cell>
          <cell r="F3266" t="str">
            <v>-</v>
          </cell>
          <cell r="H3266" t="str">
            <v>-</v>
          </cell>
          <cell r="I3266" t="str">
            <v>-</v>
          </cell>
          <cell r="K3266" t="str">
            <v>-</v>
          </cell>
          <cell r="L3266">
            <v>4</v>
          </cell>
          <cell r="M3266">
            <v>5.6568542494923806</v>
          </cell>
          <cell r="O3266" t="str">
            <v>-</v>
          </cell>
          <cell r="T3266">
            <v>0.375</v>
          </cell>
          <cell r="U3266" t="str">
            <v>-</v>
          </cell>
        </row>
        <row r="3267">
          <cell r="B3267" t="str">
            <v>8X0.4375</v>
          </cell>
          <cell r="C3267">
            <v>3.5</v>
          </cell>
          <cell r="D3267">
            <v>4</v>
          </cell>
          <cell r="F3267" t="str">
            <v>-</v>
          </cell>
          <cell r="H3267" t="str">
            <v>-</v>
          </cell>
          <cell r="I3267" t="str">
            <v>-</v>
          </cell>
          <cell r="K3267" t="str">
            <v>-</v>
          </cell>
          <cell r="L3267">
            <v>4</v>
          </cell>
          <cell r="M3267">
            <v>5.6568542494923806</v>
          </cell>
          <cell r="O3267" t="str">
            <v>-</v>
          </cell>
          <cell r="T3267">
            <v>0.4375</v>
          </cell>
          <cell r="U3267" t="str">
            <v>-</v>
          </cell>
        </row>
        <row r="3268">
          <cell r="B3268" t="str">
            <v>8X0.5</v>
          </cell>
          <cell r="C3268">
            <v>4</v>
          </cell>
          <cell r="D3268">
            <v>4</v>
          </cell>
          <cell r="F3268" t="str">
            <v>-</v>
          </cell>
          <cell r="H3268" t="str">
            <v>-</v>
          </cell>
          <cell r="I3268" t="str">
            <v>-</v>
          </cell>
          <cell r="K3268" t="str">
            <v>-</v>
          </cell>
          <cell r="L3268">
            <v>4</v>
          </cell>
          <cell r="M3268">
            <v>5.6568542494923806</v>
          </cell>
          <cell r="O3268" t="str">
            <v>-</v>
          </cell>
          <cell r="T3268">
            <v>0.5</v>
          </cell>
          <cell r="U3268" t="str">
            <v>-</v>
          </cell>
        </row>
        <row r="3269">
          <cell r="B3269" t="str">
            <v>8.5X0.25</v>
          </cell>
          <cell r="C3269">
            <v>2.125</v>
          </cell>
          <cell r="D3269">
            <v>4.25</v>
          </cell>
          <cell r="F3269" t="str">
            <v>-</v>
          </cell>
          <cell r="H3269" t="str">
            <v>-</v>
          </cell>
          <cell r="I3269" t="str">
            <v>-</v>
          </cell>
          <cell r="K3269" t="str">
            <v>-</v>
          </cell>
          <cell r="L3269">
            <v>4.25</v>
          </cell>
          <cell r="M3269">
            <v>6.0104076400856536</v>
          </cell>
          <cell r="O3269" t="str">
            <v>-</v>
          </cell>
          <cell r="T3269">
            <v>0.25</v>
          </cell>
          <cell r="U3269" t="str">
            <v>-</v>
          </cell>
        </row>
        <row r="3270">
          <cell r="B3270" t="str">
            <v>8.5X0.3125</v>
          </cell>
          <cell r="C3270">
            <v>2.65625</v>
          </cell>
          <cell r="D3270">
            <v>4.25</v>
          </cell>
          <cell r="F3270" t="str">
            <v>-</v>
          </cell>
          <cell r="H3270" t="str">
            <v>-</v>
          </cell>
          <cell r="I3270" t="str">
            <v>-</v>
          </cell>
          <cell r="K3270" t="str">
            <v>-</v>
          </cell>
          <cell r="L3270">
            <v>4.25</v>
          </cell>
          <cell r="M3270">
            <v>6.0104076400856536</v>
          </cell>
          <cell r="O3270" t="str">
            <v>-</v>
          </cell>
          <cell r="T3270">
            <v>0.3125</v>
          </cell>
          <cell r="U3270" t="str">
            <v>-</v>
          </cell>
        </row>
        <row r="3271">
          <cell r="B3271" t="str">
            <v>8.5X0.375</v>
          </cell>
          <cell r="C3271">
            <v>3.1875</v>
          </cell>
          <cell r="D3271">
            <v>4.25</v>
          </cell>
          <cell r="F3271" t="str">
            <v>-</v>
          </cell>
          <cell r="H3271" t="str">
            <v>-</v>
          </cell>
          <cell r="I3271" t="str">
            <v>-</v>
          </cell>
          <cell r="K3271" t="str">
            <v>-</v>
          </cell>
          <cell r="L3271">
            <v>4.25</v>
          </cell>
          <cell r="M3271">
            <v>6.0104076400856536</v>
          </cell>
          <cell r="O3271" t="str">
            <v>-</v>
          </cell>
          <cell r="T3271">
            <v>0.375</v>
          </cell>
          <cell r="U3271" t="str">
            <v>-</v>
          </cell>
        </row>
        <row r="3272">
          <cell r="B3272" t="str">
            <v>8.5X0.4375</v>
          </cell>
          <cell r="C3272">
            <v>3.71875</v>
          </cell>
          <cell r="D3272">
            <v>4.25</v>
          </cell>
          <cell r="F3272" t="str">
            <v>-</v>
          </cell>
          <cell r="H3272" t="str">
            <v>-</v>
          </cell>
          <cell r="I3272" t="str">
            <v>-</v>
          </cell>
          <cell r="K3272" t="str">
            <v>-</v>
          </cell>
          <cell r="L3272">
            <v>4.25</v>
          </cell>
          <cell r="M3272">
            <v>6.0104076400856536</v>
          </cell>
          <cell r="O3272" t="str">
            <v>-</v>
          </cell>
          <cell r="T3272">
            <v>0.4375</v>
          </cell>
          <cell r="U3272" t="str">
            <v>-</v>
          </cell>
        </row>
        <row r="3273">
          <cell r="B3273" t="str">
            <v>8.5X0.5</v>
          </cell>
          <cell r="C3273">
            <v>4.25</v>
          </cell>
          <cell r="D3273">
            <v>4.25</v>
          </cell>
          <cell r="F3273" t="str">
            <v>-</v>
          </cell>
          <cell r="H3273" t="str">
            <v>-</v>
          </cell>
          <cell r="I3273" t="str">
            <v>-</v>
          </cell>
          <cell r="K3273" t="str">
            <v>-</v>
          </cell>
          <cell r="L3273">
            <v>4.25</v>
          </cell>
          <cell r="M3273">
            <v>6.0104076400856536</v>
          </cell>
          <cell r="O3273" t="str">
            <v>-</v>
          </cell>
          <cell r="T3273">
            <v>0.5</v>
          </cell>
          <cell r="U3273" t="str">
            <v>-</v>
          </cell>
        </row>
        <row r="3274">
          <cell r="B3274" t="str">
            <v>9X0.25</v>
          </cell>
          <cell r="C3274">
            <v>2.25</v>
          </cell>
          <cell r="D3274">
            <v>4.5</v>
          </cell>
          <cell r="F3274" t="str">
            <v>-</v>
          </cell>
          <cell r="H3274" t="str">
            <v>-</v>
          </cell>
          <cell r="I3274" t="str">
            <v>-</v>
          </cell>
          <cell r="K3274" t="str">
            <v>-</v>
          </cell>
          <cell r="L3274">
            <v>4.5</v>
          </cell>
          <cell r="M3274">
            <v>6.3639610306789276</v>
          </cell>
          <cell r="O3274" t="str">
            <v>-</v>
          </cell>
          <cell r="T3274">
            <v>0.25</v>
          </cell>
          <cell r="U3274" t="str">
            <v>-</v>
          </cell>
        </row>
        <row r="3275">
          <cell r="B3275" t="str">
            <v>9X0.3125</v>
          </cell>
          <cell r="C3275">
            <v>2.8125</v>
          </cell>
          <cell r="D3275">
            <v>4.5</v>
          </cell>
          <cell r="F3275" t="str">
            <v>-</v>
          </cell>
          <cell r="H3275" t="str">
            <v>-</v>
          </cell>
          <cell r="I3275" t="str">
            <v>-</v>
          </cell>
          <cell r="K3275" t="str">
            <v>-</v>
          </cell>
          <cell r="L3275">
            <v>4.5</v>
          </cell>
          <cell r="M3275">
            <v>6.3639610306789276</v>
          </cell>
          <cell r="O3275" t="str">
            <v>-</v>
          </cell>
          <cell r="T3275">
            <v>0.3125</v>
          </cell>
          <cell r="U3275" t="str">
            <v>-</v>
          </cell>
        </row>
        <row r="3276">
          <cell r="B3276" t="str">
            <v>9X0.375</v>
          </cell>
          <cell r="C3276">
            <v>3.375</v>
          </cell>
          <cell r="D3276">
            <v>4.5</v>
          </cell>
          <cell r="F3276" t="str">
            <v>-</v>
          </cell>
          <cell r="H3276" t="str">
            <v>-</v>
          </cell>
          <cell r="I3276" t="str">
            <v>-</v>
          </cell>
          <cell r="K3276" t="str">
            <v>-</v>
          </cell>
          <cell r="L3276">
            <v>4.5</v>
          </cell>
          <cell r="M3276">
            <v>6.3639610306789276</v>
          </cell>
          <cell r="O3276" t="str">
            <v>-</v>
          </cell>
          <cell r="T3276">
            <v>0.375</v>
          </cell>
          <cell r="U3276" t="str">
            <v>-</v>
          </cell>
        </row>
        <row r="3277">
          <cell r="B3277" t="str">
            <v>9X0.4375</v>
          </cell>
          <cell r="C3277">
            <v>3.9375</v>
          </cell>
          <cell r="D3277">
            <v>4.5</v>
          </cell>
          <cell r="F3277" t="str">
            <v>-</v>
          </cell>
          <cell r="H3277" t="str">
            <v>-</v>
          </cell>
          <cell r="I3277" t="str">
            <v>-</v>
          </cell>
          <cell r="K3277" t="str">
            <v>-</v>
          </cell>
          <cell r="L3277">
            <v>4.5</v>
          </cell>
          <cell r="M3277">
            <v>6.3639610306789276</v>
          </cell>
          <cell r="O3277" t="str">
            <v>-</v>
          </cell>
          <cell r="T3277">
            <v>0.4375</v>
          </cell>
          <cell r="U3277" t="str">
            <v>-</v>
          </cell>
        </row>
        <row r="3278">
          <cell r="B3278" t="str">
            <v>9X0.5</v>
          </cell>
          <cell r="C3278">
            <v>4.5</v>
          </cell>
          <cell r="D3278">
            <v>4.5</v>
          </cell>
          <cell r="F3278" t="str">
            <v>-</v>
          </cell>
          <cell r="H3278" t="str">
            <v>-</v>
          </cell>
          <cell r="I3278" t="str">
            <v>-</v>
          </cell>
          <cell r="K3278" t="str">
            <v>-</v>
          </cell>
          <cell r="L3278">
            <v>4.5</v>
          </cell>
          <cell r="M3278">
            <v>6.3639610306789276</v>
          </cell>
          <cell r="O3278" t="str">
            <v>-</v>
          </cell>
          <cell r="T3278">
            <v>0.5</v>
          </cell>
          <cell r="U3278" t="str">
            <v>-</v>
          </cell>
        </row>
        <row r="3279">
          <cell r="B3279" t="str">
            <v>9.5X0.25</v>
          </cell>
          <cell r="C3279">
            <v>2.375</v>
          </cell>
          <cell r="D3279">
            <v>4.75</v>
          </cell>
          <cell r="F3279" t="str">
            <v>-</v>
          </cell>
          <cell r="H3279" t="str">
            <v>-</v>
          </cell>
          <cell r="I3279" t="str">
            <v>-</v>
          </cell>
          <cell r="K3279" t="str">
            <v>-</v>
          </cell>
          <cell r="L3279">
            <v>4.75</v>
          </cell>
          <cell r="M3279">
            <v>6.7175144212722016</v>
          </cell>
          <cell r="O3279" t="str">
            <v>-</v>
          </cell>
          <cell r="T3279">
            <v>0.25</v>
          </cell>
          <cell r="U3279" t="str">
            <v>-</v>
          </cell>
        </row>
        <row r="3280">
          <cell r="B3280" t="str">
            <v>9.5X0.3125</v>
          </cell>
          <cell r="C3280">
            <v>2.96875</v>
          </cell>
          <cell r="D3280">
            <v>4.75</v>
          </cell>
          <cell r="F3280" t="str">
            <v>-</v>
          </cell>
          <cell r="H3280" t="str">
            <v>-</v>
          </cell>
          <cell r="I3280" t="str">
            <v>-</v>
          </cell>
          <cell r="K3280" t="str">
            <v>-</v>
          </cell>
          <cell r="L3280">
            <v>4.75</v>
          </cell>
          <cell r="M3280">
            <v>6.7175144212722016</v>
          </cell>
          <cell r="O3280" t="str">
            <v>-</v>
          </cell>
          <cell r="T3280">
            <v>0.3125</v>
          </cell>
          <cell r="U3280" t="str">
            <v>-</v>
          </cell>
        </row>
        <row r="3281">
          <cell r="B3281" t="str">
            <v>9.5X0.375</v>
          </cell>
          <cell r="C3281">
            <v>3.5625</v>
          </cell>
          <cell r="D3281">
            <v>4.75</v>
          </cell>
          <cell r="F3281" t="str">
            <v>-</v>
          </cell>
          <cell r="H3281" t="str">
            <v>-</v>
          </cell>
          <cell r="I3281" t="str">
            <v>-</v>
          </cell>
          <cell r="K3281" t="str">
            <v>-</v>
          </cell>
          <cell r="L3281">
            <v>4.75</v>
          </cell>
          <cell r="M3281">
            <v>6.7175144212722016</v>
          </cell>
          <cell r="O3281" t="str">
            <v>-</v>
          </cell>
          <cell r="T3281">
            <v>0.375</v>
          </cell>
          <cell r="U3281" t="str">
            <v>-</v>
          </cell>
        </row>
        <row r="3282">
          <cell r="B3282" t="str">
            <v>9.5X0.4375</v>
          </cell>
          <cell r="C3282">
            <v>4.15625</v>
          </cell>
          <cell r="D3282">
            <v>4.75</v>
          </cell>
          <cell r="F3282" t="str">
            <v>-</v>
          </cell>
          <cell r="H3282" t="str">
            <v>-</v>
          </cell>
          <cell r="I3282" t="str">
            <v>-</v>
          </cell>
          <cell r="K3282" t="str">
            <v>-</v>
          </cell>
          <cell r="L3282">
            <v>4.75</v>
          </cell>
          <cell r="M3282">
            <v>6.7175144212722016</v>
          </cell>
          <cell r="O3282" t="str">
            <v>-</v>
          </cell>
          <cell r="T3282">
            <v>0.4375</v>
          </cell>
          <cell r="U3282" t="str">
            <v>-</v>
          </cell>
        </row>
        <row r="3283">
          <cell r="B3283" t="str">
            <v>9.5X0.5</v>
          </cell>
          <cell r="C3283">
            <v>4.75</v>
          </cell>
          <cell r="D3283">
            <v>4.75</v>
          </cell>
          <cell r="F3283" t="str">
            <v>-</v>
          </cell>
          <cell r="H3283" t="str">
            <v>-</v>
          </cell>
          <cell r="I3283" t="str">
            <v>-</v>
          </cell>
          <cell r="K3283" t="str">
            <v>-</v>
          </cell>
          <cell r="L3283">
            <v>4.75</v>
          </cell>
          <cell r="M3283">
            <v>6.7175144212722016</v>
          </cell>
          <cell r="O3283" t="str">
            <v>-</v>
          </cell>
          <cell r="T3283">
            <v>0.5</v>
          </cell>
          <cell r="U3283" t="str">
            <v>-</v>
          </cell>
        </row>
        <row r="3284">
          <cell r="B3284" t="str">
            <v>10X0.25</v>
          </cell>
          <cell r="C3284">
            <v>2.5</v>
          </cell>
          <cell r="D3284">
            <v>5</v>
          </cell>
          <cell r="F3284" t="str">
            <v>-</v>
          </cell>
          <cell r="H3284" t="str">
            <v>-</v>
          </cell>
          <cell r="I3284" t="str">
            <v>-</v>
          </cell>
          <cell r="K3284" t="str">
            <v>-</v>
          </cell>
          <cell r="L3284">
            <v>5</v>
          </cell>
          <cell r="M3284">
            <v>7.0710678118654755</v>
          </cell>
          <cell r="O3284" t="str">
            <v>-</v>
          </cell>
          <cell r="T3284">
            <v>0.25</v>
          </cell>
          <cell r="U3284" t="str">
            <v>-</v>
          </cell>
        </row>
        <row r="3285">
          <cell r="B3285" t="str">
            <v>10X0.3125</v>
          </cell>
          <cell r="C3285">
            <v>3.125</v>
          </cell>
          <cell r="D3285">
            <v>5</v>
          </cell>
          <cell r="F3285" t="str">
            <v>-</v>
          </cell>
          <cell r="H3285" t="str">
            <v>-</v>
          </cell>
          <cell r="I3285" t="str">
            <v>-</v>
          </cell>
          <cell r="K3285" t="str">
            <v>-</v>
          </cell>
          <cell r="L3285">
            <v>5</v>
          </cell>
          <cell r="M3285">
            <v>7.0710678118654755</v>
          </cell>
          <cell r="O3285" t="str">
            <v>-</v>
          </cell>
          <cell r="T3285">
            <v>0.3125</v>
          </cell>
          <cell r="U3285" t="str">
            <v>-</v>
          </cell>
        </row>
        <row r="3286">
          <cell r="B3286" t="str">
            <v>10X0.375</v>
          </cell>
          <cell r="C3286">
            <v>3.75</v>
          </cell>
          <cell r="D3286">
            <v>5</v>
          </cell>
          <cell r="F3286" t="str">
            <v>-</v>
          </cell>
          <cell r="H3286" t="str">
            <v>-</v>
          </cell>
          <cell r="I3286" t="str">
            <v>-</v>
          </cell>
          <cell r="K3286" t="str">
            <v>-</v>
          </cell>
          <cell r="L3286">
            <v>5</v>
          </cell>
          <cell r="M3286">
            <v>7.0710678118654755</v>
          </cell>
          <cell r="O3286" t="str">
            <v>-</v>
          </cell>
          <cell r="T3286">
            <v>0.375</v>
          </cell>
          <cell r="U3286" t="str">
            <v>-</v>
          </cell>
        </row>
        <row r="3287">
          <cell r="B3287" t="str">
            <v>10X0.4375</v>
          </cell>
          <cell r="C3287">
            <v>4.375</v>
          </cell>
          <cell r="D3287">
            <v>5</v>
          </cell>
          <cell r="F3287" t="str">
            <v>-</v>
          </cell>
          <cell r="H3287" t="str">
            <v>-</v>
          </cell>
          <cell r="I3287" t="str">
            <v>-</v>
          </cell>
          <cell r="K3287" t="str">
            <v>-</v>
          </cell>
          <cell r="L3287">
            <v>5</v>
          </cell>
          <cell r="M3287">
            <v>7.0710678118654755</v>
          </cell>
          <cell r="O3287" t="str">
            <v>-</v>
          </cell>
          <cell r="T3287">
            <v>0.4375</v>
          </cell>
          <cell r="U3287" t="str">
            <v>-</v>
          </cell>
        </row>
        <row r="3288">
          <cell r="B3288" t="str">
            <v>10X0.5</v>
          </cell>
          <cell r="C3288">
            <v>5</v>
          </cell>
          <cell r="D3288">
            <v>5</v>
          </cell>
          <cell r="F3288" t="str">
            <v>-</v>
          </cell>
          <cell r="H3288" t="str">
            <v>-</v>
          </cell>
          <cell r="I3288" t="str">
            <v>-</v>
          </cell>
          <cell r="K3288" t="str">
            <v>-</v>
          </cell>
          <cell r="L3288">
            <v>5</v>
          </cell>
          <cell r="M3288">
            <v>7.0710678118654755</v>
          </cell>
          <cell r="O3288" t="str">
            <v>-</v>
          </cell>
          <cell r="T3288">
            <v>0.5</v>
          </cell>
          <cell r="U3288" t="str">
            <v>-</v>
          </cell>
        </row>
        <row r="3289">
          <cell r="B3289" t="str">
            <v>10X0.5625</v>
          </cell>
          <cell r="C3289">
            <v>5.625</v>
          </cell>
          <cell r="D3289">
            <v>5</v>
          </cell>
          <cell r="F3289" t="str">
            <v>-</v>
          </cell>
          <cell r="H3289" t="str">
            <v>-</v>
          </cell>
          <cell r="I3289" t="str">
            <v>-</v>
          </cell>
          <cell r="K3289" t="str">
            <v>-</v>
          </cell>
          <cell r="L3289">
            <v>5</v>
          </cell>
          <cell r="M3289">
            <v>7.0710678118654755</v>
          </cell>
          <cell r="O3289" t="str">
            <v>-</v>
          </cell>
          <cell r="T3289">
            <v>0.5625</v>
          </cell>
          <cell r="U3289" t="str">
            <v>-</v>
          </cell>
        </row>
        <row r="3290">
          <cell r="B3290" t="str">
            <v>10.5X0.25</v>
          </cell>
          <cell r="C3290">
            <v>2.625</v>
          </cell>
          <cell r="D3290">
            <v>5.25</v>
          </cell>
          <cell r="F3290" t="str">
            <v>-</v>
          </cell>
          <cell r="H3290" t="str">
            <v>-</v>
          </cell>
          <cell r="I3290" t="str">
            <v>-</v>
          </cell>
          <cell r="K3290" t="str">
            <v>-</v>
          </cell>
          <cell r="L3290">
            <v>5.25</v>
          </cell>
          <cell r="M3290">
            <v>7.4246212024587486</v>
          </cell>
          <cell r="O3290" t="str">
            <v>-</v>
          </cell>
          <cell r="T3290">
            <v>0.25</v>
          </cell>
          <cell r="U3290" t="str">
            <v>-</v>
          </cell>
        </row>
        <row r="3291">
          <cell r="B3291" t="str">
            <v>10.5X0.3125</v>
          </cell>
          <cell r="C3291">
            <v>3.28125</v>
          </cell>
          <cell r="D3291">
            <v>5.25</v>
          </cell>
          <cell r="F3291" t="str">
            <v>-</v>
          </cell>
          <cell r="H3291" t="str">
            <v>-</v>
          </cell>
          <cell r="I3291" t="str">
            <v>-</v>
          </cell>
          <cell r="K3291" t="str">
            <v>-</v>
          </cell>
          <cell r="L3291">
            <v>5.25</v>
          </cell>
          <cell r="M3291">
            <v>7.4246212024587486</v>
          </cell>
          <cell r="O3291" t="str">
            <v>-</v>
          </cell>
          <cell r="T3291">
            <v>0.3125</v>
          </cell>
          <cell r="U3291" t="str">
            <v>-</v>
          </cell>
        </row>
        <row r="3292">
          <cell r="B3292" t="str">
            <v>10.5X0.375</v>
          </cell>
          <cell r="C3292">
            <v>3.9375</v>
          </cell>
          <cell r="D3292">
            <v>5.25</v>
          </cell>
          <cell r="F3292" t="str">
            <v>-</v>
          </cell>
          <cell r="H3292" t="str">
            <v>-</v>
          </cell>
          <cell r="I3292" t="str">
            <v>-</v>
          </cell>
          <cell r="K3292" t="str">
            <v>-</v>
          </cell>
          <cell r="L3292">
            <v>5.25</v>
          </cell>
          <cell r="M3292">
            <v>7.4246212024587486</v>
          </cell>
          <cell r="O3292" t="str">
            <v>-</v>
          </cell>
          <cell r="T3292">
            <v>0.375</v>
          </cell>
          <cell r="U3292" t="str">
            <v>-</v>
          </cell>
        </row>
        <row r="3293">
          <cell r="B3293" t="str">
            <v>10.5X0.4375</v>
          </cell>
          <cell r="C3293">
            <v>4.59375</v>
          </cell>
          <cell r="D3293">
            <v>5.25</v>
          </cell>
          <cell r="F3293" t="str">
            <v>-</v>
          </cell>
          <cell r="H3293" t="str">
            <v>-</v>
          </cell>
          <cell r="I3293" t="str">
            <v>-</v>
          </cell>
          <cell r="K3293" t="str">
            <v>-</v>
          </cell>
          <cell r="L3293">
            <v>5.25</v>
          </cell>
          <cell r="M3293">
            <v>7.4246212024587486</v>
          </cell>
          <cell r="O3293" t="str">
            <v>-</v>
          </cell>
          <cell r="T3293">
            <v>0.4375</v>
          </cell>
          <cell r="U3293" t="str">
            <v>-</v>
          </cell>
        </row>
        <row r="3294">
          <cell r="B3294" t="str">
            <v>10.5X0.5</v>
          </cell>
          <cell r="C3294">
            <v>5.25</v>
          </cell>
          <cell r="D3294">
            <v>5.25</v>
          </cell>
          <cell r="F3294" t="str">
            <v>-</v>
          </cell>
          <cell r="H3294" t="str">
            <v>-</v>
          </cell>
          <cell r="I3294" t="str">
            <v>-</v>
          </cell>
          <cell r="K3294" t="str">
            <v>-</v>
          </cell>
          <cell r="L3294">
            <v>5.25</v>
          </cell>
          <cell r="M3294">
            <v>7.4246212024587486</v>
          </cell>
          <cell r="O3294" t="str">
            <v>-</v>
          </cell>
          <cell r="T3294">
            <v>0.5</v>
          </cell>
          <cell r="U3294" t="str">
            <v>-</v>
          </cell>
        </row>
        <row r="3295">
          <cell r="B3295" t="str">
            <v>10.5X0.5625</v>
          </cell>
          <cell r="C3295">
            <v>5.90625</v>
          </cell>
          <cell r="D3295">
            <v>5.25</v>
          </cell>
          <cell r="F3295" t="str">
            <v>-</v>
          </cell>
          <cell r="H3295" t="str">
            <v>-</v>
          </cell>
          <cell r="I3295" t="str">
            <v>-</v>
          </cell>
          <cell r="K3295" t="str">
            <v>-</v>
          </cell>
          <cell r="L3295">
            <v>5.25</v>
          </cell>
          <cell r="M3295">
            <v>7.4246212024587486</v>
          </cell>
          <cell r="O3295" t="str">
            <v>-</v>
          </cell>
          <cell r="T3295">
            <v>0.5625</v>
          </cell>
          <cell r="U3295" t="str">
            <v>-</v>
          </cell>
        </row>
        <row r="3296">
          <cell r="B3296" t="str">
            <v>11X0.25</v>
          </cell>
          <cell r="C3296">
            <v>2.75</v>
          </cell>
          <cell r="D3296">
            <v>5.5</v>
          </cell>
          <cell r="F3296" t="str">
            <v>-</v>
          </cell>
          <cell r="H3296" t="str">
            <v>-</v>
          </cell>
          <cell r="I3296" t="str">
            <v>-</v>
          </cell>
          <cell r="K3296" t="str">
            <v>-</v>
          </cell>
          <cell r="L3296">
            <v>5.5</v>
          </cell>
          <cell r="M3296">
            <v>7.7781745930520225</v>
          </cell>
          <cell r="O3296" t="str">
            <v>-</v>
          </cell>
          <cell r="T3296">
            <v>0.25</v>
          </cell>
          <cell r="U3296" t="str">
            <v>-</v>
          </cell>
        </row>
        <row r="3297">
          <cell r="B3297" t="str">
            <v>11X0.3125</v>
          </cell>
          <cell r="C3297">
            <v>3.4375</v>
          </cell>
          <cell r="D3297">
            <v>5.5</v>
          </cell>
          <cell r="F3297" t="str">
            <v>-</v>
          </cell>
          <cell r="H3297" t="str">
            <v>-</v>
          </cell>
          <cell r="I3297" t="str">
            <v>-</v>
          </cell>
          <cell r="K3297" t="str">
            <v>-</v>
          </cell>
          <cell r="L3297">
            <v>5.5</v>
          </cell>
          <cell r="M3297">
            <v>7.7781745930520225</v>
          </cell>
          <cell r="O3297" t="str">
            <v>-</v>
          </cell>
          <cell r="T3297">
            <v>0.3125</v>
          </cell>
          <cell r="U3297" t="str">
            <v>-</v>
          </cell>
        </row>
        <row r="3298">
          <cell r="B3298" t="str">
            <v>11X0.375</v>
          </cell>
          <cell r="C3298">
            <v>4.125</v>
          </cell>
          <cell r="D3298">
            <v>5.5</v>
          </cell>
          <cell r="F3298" t="str">
            <v>-</v>
          </cell>
          <cell r="H3298" t="str">
            <v>-</v>
          </cell>
          <cell r="I3298" t="str">
            <v>-</v>
          </cell>
          <cell r="K3298" t="str">
            <v>-</v>
          </cell>
          <cell r="L3298">
            <v>5.5</v>
          </cell>
          <cell r="M3298">
            <v>7.7781745930520225</v>
          </cell>
          <cell r="O3298" t="str">
            <v>-</v>
          </cell>
          <cell r="T3298">
            <v>0.375</v>
          </cell>
          <cell r="U3298" t="str">
            <v>-</v>
          </cell>
        </row>
        <row r="3299">
          <cell r="B3299" t="str">
            <v>11X0.4375</v>
          </cell>
          <cell r="C3299">
            <v>4.8125</v>
          </cell>
          <cell r="D3299">
            <v>5.5</v>
          </cell>
          <cell r="F3299" t="str">
            <v>-</v>
          </cell>
          <cell r="H3299" t="str">
            <v>-</v>
          </cell>
          <cell r="I3299" t="str">
            <v>-</v>
          </cell>
          <cell r="K3299" t="str">
            <v>-</v>
          </cell>
          <cell r="L3299">
            <v>5.5</v>
          </cell>
          <cell r="M3299">
            <v>7.7781745930520225</v>
          </cell>
          <cell r="O3299" t="str">
            <v>-</v>
          </cell>
          <cell r="T3299">
            <v>0.4375</v>
          </cell>
          <cell r="U3299" t="str">
            <v>-</v>
          </cell>
        </row>
        <row r="3300">
          <cell r="B3300" t="str">
            <v>11X0.5</v>
          </cell>
          <cell r="C3300">
            <v>5.5</v>
          </cell>
          <cell r="D3300">
            <v>5.5</v>
          </cell>
          <cell r="F3300" t="str">
            <v>-</v>
          </cell>
          <cell r="H3300" t="str">
            <v>-</v>
          </cell>
          <cell r="I3300" t="str">
            <v>-</v>
          </cell>
          <cell r="K3300" t="str">
            <v>-</v>
          </cell>
          <cell r="L3300">
            <v>5.5</v>
          </cell>
          <cell r="M3300">
            <v>7.7781745930520225</v>
          </cell>
          <cell r="O3300" t="str">
            <v>-</v>
          </cell>
          <cell r="T3300">
            <v>0.5</v>
          </cell>
          <cell r="U3300" t="str">
            <v>-</v>
          </cell>
        </row>
        <row r="3301">
          <cell r="B3301" t="str">
            <v>11X0.5625</v>
          </cell>
          <cell r="C3301">
            <v>6.1875</v>
          </cell>
          <cell r="D3301">
            <v>5.5</v>
          </cell>
          <cell r="F3301" t="str">
            <v>-</v>
          </cell>
          <cell r="H3301" t="str">
            <v>-</v>
          </cell>
          <cell r="I3301" t="str">
            <v>-</v>
          </cell>
          <cell r="K3301" t="str">
            <v>-</v>
          </cell>
          <cell r="L3301">
            <v>5.5</v>
          </cell>
          <cell r="M3301">
            <v>7.7781745930520225</v>
          </cell>
          <cell r="O3301" t="str">
            <v>-</v>
          </cell>
          <cell r="T3301">
            <v>0.5625</v>
          </cell>
          <cell r="U3301" t="str">
            <v>-</v>
          </cell>
        </row>
        <row r="3302">
          <cell r="B3302" t="str">
            <v>11.5X0.25</v>
          </cell>
          <cell r="C3302">
            <v>2.875</v>
          </cell>
          <cell r="D3302">
            <v>5.75</v>
          </cell>
          <cell r="F3302" t="str">
            <v>-</v>
          </cell>
          <cell r="H3302" t="str">
            <v>-</v>
          </cell>
          <cell r="I3302" t="str">
            <v>-</v>
          </cell>
          <cell r="K3302" t="str">
            <v>-</v>
          </cell>
          <cell r="L3302">
            <v>5.75</v>
          </cell>
          <cell r="M3302">
            <v>8.1317279836452965</v>
          </cell>
          <cell r="O3302" t="str">
            <v>-</v>
          </cell>
          <cell r="T3302">
            <v>0.25</v>
          </cell>
          <cell r="U3302" t="str">
            <v>-</v>
          </cell>
        </row>
        <row r="3303">
          <cell r="B3303" t="str">
            <v>11.5X0.3125</v>
          </cell>
          <cell r="C3303">
            <v>3.59375</v>
          </cell>
          <cell r="D3303">
            <v>5.75</v>
          </cell>
          <cell r="F3303" t="str">
            <v>-</v>
          </cell>
          <cell r="H3303" t="str">
            <v>-</v>
          </cell>
          <cell r="I3303" t="str">
            <v>-</v>
          </cell>
          <cell r="K3303" t="str">
            <v>-</v>
          </cell>
          <cell r="L3303">
            <v>5.75</v>
          </cell>
          <cell r="M3303">
            <v>8.1317279836452965</v>
          </cell>
          <cell r="O3303" t="str">
            <v>-</v>
          </cell>
          <cell r="T3303">
            <v>0.3125</v>
          </cell>
          <cell r="U3303" t="str">
            <v>-</v>
          </cell>
        </row>
        <row r="3304">
          <cell r="B3304" t="str">
            <v>11.5X0.375</v>
          </cell>
          <cell r="C3304">
            <v>4.3125</v>
          </cell>
          <cell r="D3304">
            <v>5.75</v>
          </cell>
          <cell r="F3304" t="str">
            <v>-</v>
          </cell>
          <cell r="H3304" t="str">
            <v>-</v>
          </cell>
          <cell r="I3304" t="str">
            <v>-</v>
          </cell>
          <cell r="K3304" t="str">
            <v>-</v>
          </cell>
          <cell r="L3304">
            <v>5.75</v>
          </cell>
          <cell r="M3304">
            <v>8.1317279836452965</v>
          </cell>
          <cell r="O3304" t="str">
            <v>-</v>
          </cell>
          <cell r="T3304">
            <v>0.375</v>
          </cell>
          <cell r="U3304" t="str">
            <v>-</v>
          </cell>
        </row>
        <row r="3305">
          <cell r="B3305" t="str">
            <v>11.5X0.4375</v>
          </cell>
          <cell r="C3305">
            <v>5.03125</v>
          </cell>
          <cell r="D3305">
            <v>5.75</v>
          </cell>
          <cell r="F3305" t="str">
            <v>-</v>
          </cell>
          <cell r="H3305" t="str">
            <v>-</v>
          </cell>
          <cell r="I3305" t="str">
            <v>-</v>
          </cell>
          <cell r="K3305" t="str">
            <v>-</v>
          </cell>
          <cell r="L3305">
            <v>5.75</v>
          </cell>
          <cell r="M3305">
            <v>8.1317279836452965</v>
          </cell>
          <cell r="O3305" t="str">
            <v>-</v>
          </cell>
          <cell r="T3305">
            <v>0.4375</v>
          </cell>
          <cell r="U3305" t="str">
            <v>-</v>
          </cell>
        </row>
        <row r="3306">
          <cell r="B3306" t="str">
            <v>11.5X0.5</v>
          </cell>
          <cell r="C3306">
            <v>5.75</v>
          </cell>
          <cell r="D3306">
            <v>5.75</v>
          </cell>
          <cell r="F3306" t="str">
            <v>-</v>
          </cell>
          <cell r="H3306" t="str">
            <v>-</v>
          </cell>
          <cell r="I3306" t="str">
            <v>-</v>
          </cell>
          <cell r="K3306" t="str">
            <v>-</v>
          </cell>
          <cell r="L3306">
            <v>5.75</v>
          </cell>
          <cell r="M3306">
            <v>8.1317279836452965</v>
          </cell>
          <cell r="O3306" t="str">
            <v>-</v>
          </cell>
          <cell r="T3306">
            <v>0.5</v>
          </cell>
          <cell r="U3306" t="str">
            <v>-</v>
          </cell>
        </row>
        <row r="3307">
          <cell r="B3307" t="str">
            <v>11.5X0.5625</v>
          </cell>
          <cell r="C3307">
            <v>6.46875</v>
          </cell>
          <cell r="D3307">
            <v>5.75</v>
          </cell>
          <cell r="F3307" t="str">
            <v>-</v>
          </cell>
          <cell r="H3307" t="str">
            <v>-</v>
          </cell>
          <cell r="I3307" t="str">
            <v>-</v>
          </cell>
          <cell r="K3307" t="str">
            <v>-</v>
          </cell>
          <cell r="L3307">
            <v>5.75</v>
          </cell>
          <cell r="M3307">
            <v>8.1317279836452965</v>
          </cell>
          <cell r="O3307" t="str">
            <v>-</v>
          </cell>
          <cell r="T3307">
            <v>0.5625</v>
          </cell>
          <cell r="U3307" t="str">
            <v>-</v>
          </cell>
        </row>
        <row r="3308">
          <cell r="B3308" t="str">
            <v>12X0.25</v>
          </cell>
          <cell r="C3308">
            <v>3</v>
          </cell>
          <cell r="D3308">
            <v>6</v>
          </cell>
          <cell r="F3308" t="str">
            <v>-</v>
          </cell>
          <cell r="H3308" t="str">
            <v>-</v>
          </cell>
          <cell r="I3308" t="str">
            <v>-</v>
          </cell>
          <cell r="K3308" t="str">
            <v>-</v>
          </cell>
          <cell r="L3308">
            <v>6</v>
          </cell>
          <cell r="M3308">
            <v>8.4852813742385695</v>
          </cell>
          <cell r="O3308" t="str">
            <v>-</v>
          </cell>
          <cell r="T3308">
            <v>0.25</v>
          </cell>
          <cell r="U3308" t="str">
            <v>-</v>
          </cell>
        </row>
        <row r="3309">
          <cell r="B3309" t="str">
            <v>12X0.3125</v>
          </cell>
          <cell r="C3309">
            <v>3.75</v>
          </cell>
          <cell r="D3309">
            <v>6</v>
          </cell>
          <cell r="F3309" t="str">
            <v>-</v>
          </cell>
          <cell r="H3309" t="str">
            <v>-</v>
          </cell>
          <cell r="I3309" t="str">
            <v>-</v>
          </cell>
          <cell r="K3309" t="str">
            <v>-</v>
          </cell>
          <cell r="L3309">
            <v>6</v>
          </cell>
          <cell r="M3309">
            <v>8.4852813742385695</v>
          </cell>
          <cell r="O3309" t="str">
            <v>-</v>
          </cell>
          <cell r="T3309">
            <v>0.3125</v>
          </cell>
          <cell r="U3309" t="str">
            <v>-</v>
          </cell>
        </row>
        <row r="3310">
          <cell r="B3310" t="str">
            <v>12X0.375</v>
          </cell>
          <cell r="C3310">
            <v>4.5</v>
          </cell>
          <cell r="D3310">
            <v>6</v>
          </cell>
          <cell r="F3310" t="str">
            <v>-</v>
          </cell>
          <cell r="H3310" t="str">
            <v>-</v>
          </cell>
          <cell r="I3310" t="str">
            <v>-</v>
          </cell>
          <cell r="K3310" t="str">
            <v>-</v>
          </cell>
          <cell r="L3310">
            <v>6</v>
          </cell>
          <cell r="M3310">
            <v>8.4852813742385695</v>
          </cell>
          <cell r="O3310" t="str">
            <v>-</v>
          </cell>
          <cell r="T3310">
            <v>0.375</v>
          </cell>
          <cell r="U3310" t="str">
            <v>-</v>
          </cell>
        </row>
        <row r="3311">
          <cell r="B3311" t="str">
            <v>12X0.4375</v>
          </cell>
          <cell r="C3311">
            <v>5.25</v>
          </cell>
          <cell r="D3311">
            <v>6</v>
          </cell>
          <cell r="F3311" t="str">
            <v>-</v>
          </cell>
          <cell r="H3311" t="str">
            <v>-</v>
          </cell>
          <cell r="I3311" t="str">
            <v>-</v>
          </cell>
          <cell r="K3311" t="str">
            <v>-</v>
          </cell>
          <cell r="L3311">
            <v>6</v>
          </cell>
          <cell r="M3311">
            <v>8.4852813742385695</v>
          </cell>
          <cell r="O3311" t="str">
            <v>-</v>
          </cell>
          <cell r="T3311">
            <v>0.4375</v>
          </cell>
          <cell r="U3311" t="str">
            <v>-</v>
          </cell>
        </row>
        <row r="3312">
          <cell r="B3312" t="str">
            <v>12X0.5</v>
          </cell>
          <cell r="C3312">
            <v>6</v>
          </cell>
          <cell r="D3312">
            <v>6</v>
          </cell>
          <cell r="F3312" t="str">
            <v>-</v>
          </cell>
          <cell r="H3312" t="str">
            <v>-</v>
          </cell>
          <cell r="I3312" t="str">
            <v>-</v>
          </cell>
          <cell r="K3312" t="str">
            <v>-</v>
          </cell>
          <cell r="L3312">
            <v>6</v>
          </cell>
          <cell r="M3312">
            <v>8.4852813742385695</v>
          </cell>
          <cell r="O3312" t="str">
            <v>-</v>
          </cell>
          <cell r="T3312">
            <v>0.5</v>
          </cell>
          <cell r="U3312" t="str">
            <v>-</v>
          </cell>
        </row>
        <row r="3313">
          <cell r="B3313" t="str">
            <v>12X0.5625</v>
          </cell>
          <cell r="C3313">
            <v>6.75</v>
          </cell>
          <cell r="D3313">
            <v>6</v>
          </cell>
          <cell r="F3313" t="str">
            <v>-</v>
          </cell>
          <cell r="H3313" t="str">
            <v>-</v>
          </cell>
          <cell r="I3313" t="str">
            <v>-</v>
          </cell>
          <cell r="K3313" t="str">
            <v>-</v>
          </cell>
          <cell r="L3313">
            <v>6</v>
          </cell>
          <cell r="M3313">
            <v>8.4852813742385695</v>
          </cell>
          <cell r="O3313" t="str">
            <v>-</v>
          </cell>
          <cell r="T3313">
            <v>0.5625</v>
          </cell>
          <cell r="U3313" t="str">
            <v>-</v>
          </cell>
        </row>
        <row r="3314">
          <cell r="B3314" t="str">
            <v>12X0.625</v>
          </cell>
          <cell r="C3314">
            <v>7.5</v>
          </cell>
          <cell r="D3314">
            <v>6</v>
          </cell>
          <cell r="F3314" t="str">
            <v>-</v>
          </cell>
          <cell r="H3314" t="str">
            <v>-</v>
          </cell>
          <cell r="I3314" t="str">
            <v>-</v>
          </cell>
          <cell r="K3314" t="str">
            <v>-</v>
          </cell>
          <cell r="L3314">
            <v>6</v>
          </cell>
          <cell r="M3314">
            <v>8.4852813742385695</v>
          </cell>
          <cell r="O3314" t="str">
            <v>-</v>
          </cell>
          <cell r="T3314">
            <v>0.625</v>
          </cell>
          <cell r="U3314" t="str">
            <v>-</v>
          </cell>
        </row>
        <row r="3315">
          <cell r="B3315" t="str">
            <v>12X0.75</v>
          </cell>
          <cell r="C3315">
            <v>9</v>
          </cell>
          <cell r="D3315">
            <v>6</v>
          </cell>
          <cell r="F3315" t="str">
            <v>-</v>
          </cell>
          <cell r="H3315" t="str">
            <v>-</v>
          </cell>
          <cell r="I3315" t="str">
            <v>-</v>
          </cell>
          <cell r="K3315" t="str">
            <v>-</v>
          </cell>
          <cell r="L3315">
            <v>6</v>
          </cell>
          <cell r="M3315">
            <v>8.4852813742385695</v>
          </cell>
          <cell r="O3315" t="str">
            <v>-</v>
          </cell>
          <cell r="T3315">
            <v>0.75</v>
          </cell>
          <cell r="U3315" t="str">
            <v>-</v>
          </cell>
        </row>
        <row r="3316">
          <cell r="B3316" t="str">
            <v>12.5X0.5</v>
          </cell>
          <cell r="C3316">
            <v>6.25</v>
          </cell>
          <cell r="D3316">
            <v>6.25</v>
          </cell>
          <cell r="F3316" t="str">
            <v>-</v>
          </cell>
          <cell r="H3316" t="str">
            <v>-</v>
          </cell>
          <cell r="I3316" t="str">
            <v>-</v>
          </cell>
          <cell r="K3316" t="str">
            <v>-</v>
          </cell>
          <cell r="L3316">
            <v>6.25</v>
          </cell>
          <cell r="M3316">
            <v>8.8388347648318444</v>
          </cell>
          <cell r="O3316" t="str">
            <v>-</v>
          </cell>
          <cell r="T3316">
            <v>0.5</v>
          </cell>
          <cell r="U3316" t="str">
            <v>-</v>
          </cell>
        </row>
        <row r="3317">
          <cell r="B3317" t="str">
            <v>12.5X0.5625</v>
          </cell>
          <cell r="C3317">
            <v>7.03125</v>
          </cell>
          <cell r="D3317">
            <v>6.25</v>
          </cell>
          <cell r="F3317" t="str">
            <v>-</v>
          </cell>
          <cell r="H3317" t="str">
            <v>-</v>
          </cell>
          <cell r="I3317" t="str">
            <v>-</v>
          </cell>
          <cell r="K3317" t="str">
            <v>-</v>
          </cell>
          <cell r="L3317">
            <v>6.25</v>
          </cell>
          <cell r="M3317">
            <v>8.8388347648318444</v>
          </cell>
          <cell r="O3317" t="str">
            <v>-</v>
          </cell>
          <cell r="T3317">
            <v>0.5625</v>
          </cell>
          <cell r="U3317" t="str">
            <v>-</v>
          </cell>
        </row>
        <row r="3318">
          <cell r="B3318" t="str">
            <v>12.5X0.625</v>
          </cell>
          <cell r="C3318">
            <v>7.8125</v>
          </cell>
          <cell r="D3318">
            <v>6.25</v>
          </cell>
          <cell r="F3318" t="str">
            <v>-</v>
          </cell>
          <cell r="H3318" t="str">
            <v>-</v>
          </cell>
          <cell r="I3318" t="str">
            <v>-</v>
          </cell>
          <cell r="K3318" t="str">
            <v>-</v>
          </cell>
          <cell r="L3318">
            <v>6.25</v>
          </cell>
          <cell r="M3318">
            <v>8.8388347648318444</v>
          </cell>
          <cell r="O3318" t="str">
            <v>-</v>
          </cell>
          <cell r="T3318">
            <v>0.625</v>
          </cell>
          <cell r="U3318" t="str">
            <v>-</v>
          </cell>
        </row>
        <row r="3319">
          <cell r="B3319" t="str">
            <v>12.5X0.75</v>
          </cell>
          <cell r="C3319">
            <v>9.375</v>
          </cell>
          <cell r="D3319">
            <v>6.25</v>
          </cell>
          <cell r="F3319" t="str">
            <v>-</v>
          </cell>
          <cell r="H3319" t="str">
            <v>-</v>
          </cell>
          <cell r="I3319" t="str">
            <v>-</v>
          </cell>
          <cell r="K3319" t="str">
            <v>-</v>
          </cell>
          <cell r="L3319">
            <v>6.25</v>
          </cell>
          <cell r="M3319">
            <v>8.8388347648318444</v>
          </cell>
          <cell r="O3319" t="str">
            <v>-</v>
          </cell>
          <cell r="T3319">
            <v>0.75</v>
          </cell>
          <cell r="U3319" t="str">
            <v>-</v>
          </cell>
        </row>
        <row r="3320">
          <cell r="B3320" t="str">
            <v>13X0.5</v>
          </cell>
          <cell r="C3320">
            <v>6.5</v>
          </cell>
          <cell r="D3320">
            <v>6.5</v>
          </cell>
          <cell r="F3320" t="str">
            <v>-</v>
          </cell>
          <cell r="H3320" t="str">
            <v>-</v>
          </cell>
          <cell r="I3320" t="str">
            <v>-</v>
          </cell>
          <cell r="K3320" t="str">
            <v>-</v>
          </cell>
          <cell r="L3320">
            <v>6.5</v>
          </cell>
          <cell r="M3320">
            <v>9.1923881554251174</v>
          </cell>
          <cell r="O3320" t="str">
            <v>-</v>
          </cell>
          <cell r="T3320">
            <v>0.5</v>
          </cell>
          <cell r="U3320" t="str">
            <v>-</v>
          </cell>
        </row>
        <row r="3321">
          <cell r="B3321" t="str">
            <v>13X0.5625</v>
          </cell>
          <cell r="C3321">
            <v>7.3125</v>
          </cell>
          <cell r="D3321">
            <v>6.5</v>
          </cell>
          <cell r="F3321" t="str">
            <v>-</v>
          </cell>
          <cell r="H3321" t="str">
            <v>-</v>
          </cell>
          <cell r="I3321" t="str">
            <v>-</v>
          </cell>
          <cell r="K3321" t="str">
            <v>-</v>
          </cell>
          <cell r="L3321">
            <v>6.5</v>
          </cell>
          <cell r="M3321">
            <v>9.1923881554251174</v>
          </cell>
          <cell r="O3321" t="str">
            <v>-</v>
          </cell>
          <cell r="T3321">
            <v>0.5625</v>
          </cell>
          <cell r="U3321" t="str">
            <v>-</v>
          </cell>
        </row>
        <row r="3322">
          <cell r="B3322" t="str">
            <v>13X0.625</v>
          </cell>
          <cell r="C3322">
            <v>8.125</v>
          </cell>
          <cell r="D3322">
            <v>6.5</v>
          </cell>
          <cell r="F3322" t="str">
            <v>-</v>
          </cell>
          <cell r="H3322" t="str">
            <v>-</v>
          </cell>
          <cell r="I3322" t="str">
            <v>-</v>
          </cell>
          <cell r="K3322" t="str">
            <v>-</v>
          </cell>
          <cell r="L3322">
            <v>6.5</v>
          </cell>
          <cell r="M3322">
            <v>9.1923881554251174</v>
          </cell>
          <cell r="O3322" t="str">
            <v>-</v>
          </cell>
          <cell r="T3322">
            <v>0.625</v>
          </cell>
          <cell r="U3322" t="str">
            <v>-</v>
          </cell>
        </row>
        <row r="3323">
          <cell r="B3323" t="str">
            <v>13X0.75</v>
          </cell>
          <cell r="C3323">
            <v>9.75</v>
          </cell>
          <cell r="D3323">
            <v>6.5</v>
          </cell>
          <cell r="F3323" t="str">
            <v>-</v>
          </cell>
          <cell r="H3323" t="str">
            <v>-</v>
          </cell>
          <cell r="I3323" t="str">
            <v>-</v>
          </cell>
          <cell r="K3323" t="str">
            <v>-</v>
          </cell>
          <cell r="L3323">
            <v>6.5</v>
          </cell>
          <cell r="M3323">
            <v>9.1923881554251174</v>
          </cell>
          <cell r="O3323" t="str">
            <v>-</v>
          </cell>
          <cell r="T3323">
            <v>0.75</v>
          </cell>
          <cell r="U3323" t="str">
            <v>-</v>
          </cell>
        </row>
        <row r="3324">
          <cell r="B3324" t="str">
            <v>13.5X0.5</v>
          </cell>
          <cell r="C3324">
            <v>6.75</v>
          </cell>
          <cell r="D3324">
            <v>6.75</v>
          </cell>
          <cell r="F3324" t="str">
            <v>-</v>
          </cell>
          <cell r="H3324" t="str">
            <v>-</v>
          </cell>
          <cell r="I3324" t="str">
            <v>-</v>
          </cell>
          <cell r="K3324" t="str">
            <v>-</v>
          </cell>
          <cell r="L3324">
            <v>6.75</v>
          </cell>
          <cell r="M3324">
            <v>9.5459415460183923</v>
          </cell>
          <cell r="O3324" t="str">
            <v>-</v>
          </cell>
          <cell r="T3324">
            <v>0.5</v>
          </cell>
          <cell r="U3324" t="str">
            <v>-</v>
          </cell>
        </row>
        <row r="3325">
          <cell r="B3325" t="str">
            <v>13.5X0.5625</v>
          </cell>
          <cell r="C3325">
            <v>7.59375</v>
          </cell>
          <cell r="D3325">
            <v>6.75</v>
          </cell>
          <cell r="F3325" t="str">
            <v>-</v>
          </cell>
          <cell r="H3325" t="str">
            <v>-</v>
          </cell>
          <cell r="I3325" t="str">
            <v>-</v>
          </cell>
          <cell r="K3325" t="str">
            <v>-</v>
          </cell>
          <cell r="L3325">
            <v>6.75</v>
          </cell>
          <cell r="M3325">
            <v>9.5459415460183923</v>
          </cell>
          <cell r="O3325" t="str">
            <v>-</v>
          </cell>
          <cell r="T3325">
            <v>0.5625</v>
          </cell>
          <cell r="U3325" t="str">
            <v>-</v>
          </cell>
        </row>
        <row r="3326">
          <cell r="B3326" t="str">
            <v>13.5X0.625</v>
          </cell>
          <cell r="C3326">
            <v>8.4375</v>
          </cell>
          <cell r="D3326">
            <v>6.75</v>
          </cell>
          <cell r="F3326" t="str">
            <v>-</v>
          </cell>
          <cell r="H3326" t="str">
            <v>-</v>
          </cell>
          <cell r="I3326" t="str">
            <v>-</v>
          </cell>
          <cell r="K3326" t="str">
            <v>-</v>
          </cell>
          <cell r="L3326">
            <v>6.75</v>
          </cell>
          <cell r="M3326">
            <v>9.5459415460183923</v>
          </cell>
          <cell r="O3326" t="str">
            <v>-</v>
          </cell>
          <cell r="T3326">
            <v>0.625</v>
          </cell>
          <cell r="U3326" t="str">
            <v>-</v>
          </cell>
        </row>
        <row r="3327">
          <cell r="B3327" t="str">
            <v>13.5X0.75</v>
          </cell>
          <cell r="C3327">
            <v>10.125</v>
          </cell>
          <cell r="D3327">
            <v>6.75</v>
          </cell>
          <cell r="F3327" t="str">
            <v>-</v>
          </cell>
          <cell r="H3327" t="str">
            <v>-</v>
          </cell>
          <cell r="I3327" t="str">
            <v>-</v>
          </cell>
          <cell r="K3327" t="str">
            <v>-</v>
          </cell>
          <cell r="L3327">
            <v>6.75</v>
          </cell>
          <cell r="M3327">
            <v>9.5459415460183923</v>
          </cell>
          <cell r="O3327" t="str">
            <v>-</v>
          </cell>
          <cell r="T3327">
            <v>0.75</v>
          </cell>
          <cell r="U3327" t="str">
            <v>-</v>
          </cell>
        </row>
        <row r="3328">
          <cell r="B3328" t="str">
            <v>14X0.5</v>
          </cell>
          <cell r="C3328">
            <v>7</v>
          </cell>
          <cell r="D3328">
            <v>7</v>
          </cell>
          <cell r="F3328" t="str">
            <v>-</v>
          </cell>
          <cell r="H3328" t="str">
            <v>-</v>
          </cell>
          <cell r="I3328" t="str">
            <v>-</v>
          </cell>
          <cell r="K3328" t="str">
            <v>-</v>
          </cell>
          <cell r="L3328">
            <v>7</v>
          </cell>
          <cell r="M3328">
            <v>9.8994949366116654</v>
          </cell>
          <cell r="O3328" t="str">
            <v>-</v>
          </cell>
          <cell r="T3328">
            <v>0.5</v>
          </cell>
          <cell r="U3328" t="str">
            <v>-</v>
          </cell>
        </row>
        <row r="3329">
          <cell r="B3329" t="str">
            <v>14X0.5625</v>
          </cell>
          <cell r="C3329">
            <v>7.875</v>
          </cell>
          <cell r="D3329">
            <v>7</v>
          </cell>
          <cell r="F3329" t="str">
            <v>-</v>
          </cell>
          <cell r="H3329" t="str">
            <v>-</v>
          </cell>
          <cell r="I3329" t="str">
            <v>-</v>
          </cell>
          <cell r="K3329" t="str">
            <v>-</v>
          </cell>
          <cell r="L3329">
            <v>7</v>
          </cell>
          <cell r="M3329">
            <v>9.8994949366116654</v>
          </cell>
          <cell r="O3329" t="str">
            <v>-</v>
          </cell>
          <cell r="T3329">
            <v>0.5625</v>
          </cell>
          <cell r="U3329" t="str">
            <v>-</v>
          </cell>
        </row>
        <row r="3330">
          <cell r="B3330" t="str">
            <v>14X0.625</v>
          </cell>
          <cell r="C3330">
            <v>8.75</v>
          </cell>
          <cell r="D3330">
            <v>7</v>
          </cell>
          <cell r="F3330" t="str">
            <v>-</v>
          </cell>
          <cell r="H3330" t="str">
            <v>-</v>
          </cell>
          <cell r="I3330" t="str">
            <v>-</v>
          </cell>
          <cell r="K3330" t="str">
            <v>-</v>
          </cell>
          <cell r="L3330">
            <v>7</v>
          </cell>
          <cell r="M3330">
            <v>9.8994949366116654</v>
          </cell>
          <cell r="O3330" t="str">
            <v>-</v>
          </cell>
          <cell r="T3330">
            <v>0.625</v>
          </cell>
          <cell r="U3330" t="str">
            <v>-</v>
          </cell>
        </row>
        <row r="3331">
          <cell r="B3331" t="str">
            <v>14X0.75</v>
          </cell>
          <cell r="C3331">
            <v>10.5</v>
          </cell>
          <cell r="D3331">
            <v>7</v>
          </cell>
          <cell r="F3331" t="str">
            <v>-</v>
          </cell>
          <cell r="H3331" t="str">
            <v>-</v>
          </cell>
          <cell r="I3331" t="str">
            <v>-</v>
          </cell>
          <cell r="K3331" t="str">
            <v>-</v>
          </cell>
          <cell r="L3331">
            <v>7</v>
          </cell>
          <cell r="M3331">
            <v>9.8994949366116654</v>
          </cell>
          <cell r="O3331" t="str">
            <v>-</v>
          </cell>
          <cell r="T3331">
            <v>0.75</v>
          </cell>
          <cell r="U3331" t="str">
            <v>-</v>
          </cell>
        </row>
        <row r="3332">
          <cell r="B3332" t="str">
            <v>14.5X0.5</v>
          </cell>
          <cell r="C3332">
            <v>7.25</v>
          </cell>
          <cell r="D3332">
            <v>7.25</v>
          </cell>
          <cell r="F3332" t="str">
            <v>-</v>
          </cell>
          <cell r="H3332" t="str">
            <v>-</v>
          </cell>
          <cell r="I3332" t="str">
            <v>-</v>
          </cell>
          <cell r="K3332" t="str">
            <v>-</v>
          </cell>
          <cell r="L3332">
            <v>7.25</v>
          </cell>
          <cell r="M3332">
            <v>10.253048327204938</v>
          </cell>
          <cell r="O3332" t="str">
            <v>-</v>
          </cell>
          <cell r="T3332">
            <v>0.5</v>
          </cell>
          <cell r="U3332" t="str">
            <v>-</v>
          </cell>
        </row>
        <row r="3333">
          <cell r="B3333" t="str">
            <v>14.5X0.5625</v>
          </cell>
          <cell r="C3333">
            <v>8.15625</v>
          </cell>
          <cell r="D3333">
            <v>7.25</v>
          </cell>
          <cell r="F3333" t="str">
            <v>-</v>
          </cell>
          <cell r="H3333" t="str">
            <v>-</v>
          </cell>
          <cell r="I3333" t="str">
            <v>-</v>
          </cell>
          <cell r="K3333" t="str">
            <v>-</v>
          </cell>
          <cell r="L3333">
            <v>7.25</v>
          </cell>
          <cell r="M3333">
            <v>10.253048327204938</v>
          </cell>
          <cell r="O3333" t="str">
            <v>-</v>
          </cell>
          <cell r="T3333">
            <v>0.5625</v>
          </cell>
          <cell r="U3333" t="str">
            <v>-</v>
          </cell>
        </row>
        <row r="3334">
          <cell r="B3334" t="str">
            <v>14.5X0.625</v>
          </cell>
          <cell r="C3334">
            <v>9.0625</v>
          </cell>
          <cell r="D3334">
            <v>7.25</v>
          </cell>
          <cell r="F3334" t="str">
            <v>-</v>
          </cell>
          <cell r="H3334" t="str">
            <v>-</v>
          </cell>
          <cell r="I3334" t="str">
            <v>-</v>
          </cell>
          <cell r="K3334" t="str">
            <v>-</v>
          </cell>
          <cell r="L3334">
            <v>7.25</v>
          </cell>
          <cell r="M3334">
            <v>10.253048327204938</v>
          </cell>
          <cell r="O3334" t="str">
            <v>-</v>
          </cell>
          <cell r="T3334">
            <v>0.625</v>
          </cell>
          <cell r="U3334" t="str">
            <v>-</v>
          </cell>
        </row>
        <row r="3335">
          <cell r="B3335" t="str">
            <v>14.5X0.75</v>
          </cell>
          <cell r="C3335">
            <v>10.875</v>
          </cell>
          <cell r="D3335">
            <v>7.25</v>
          </cell>
          <cell r="F3335" t="str">
            <v>-</v>
          </cell>
          <cell r="H3335" t="str">
            <v>-</v>
          </cell>
          <cell r="I3335" t="str">
            <v>-</v>
          </cell>
          <cell r="K3335" t="str">
            <v>-</v>
          </cell>
          <cell r="L3335">
            <v>7.25</v>
          </cell>
          <cell r="M3335">
            <v>10.253048327204938</v>
          </cell>
          <cell r="O3335" t="str">
            <v>-</v>
          </cell>
          <cell r="T3335">
            <v>0.75</v>
          </cell>
          <cell r="U3335" t="str">
            <v>-</v>
          </cell>
        </row>
        <row r="3336">
          <cell r="B3336" t="str">
            <v>15X0.5</v>
          </cell>
          <cell r="C3336">
            <v>7.5</v>
          </cell>
          <cell r="D3336">
            <v>7.5</v>
          </cell>
          <cell r="F3336" t="str">
            <v>-</v>
          </cell>
          <cell r="H3336" t="str">
            <v>-</v>
          </cell>
          <cell r="I3336" t="str">
            <v>-</v>
          </cell>
          <cell r="K3336" t="str">
            <v>-</v>
          </cell>
          <cell r="L3336">
            <v>7.5</v>
          </cell>
          <cell r="M3336">
            <v>10.606601717798213</v>
          </cell>
          <cell r="O3336" t="str">
            <v>-</v>
          </cell>
          <cell r="T3336">
            <v>0.5</v>
          </cell>
          <cell r="U3336" t="str">
            <v>-</v>
          </cell>
        </row>
        <row r="3337">
          <cell r="B3337" t="str">
            <v>15X0.5625</v>
          </cell>
          <cell r="C3337">
            <v>8.4375</v>
          </cell>
          <cell r="D3337">
            <v>7.5</v>
          </cell>
          <cell r="F3337" t="str">
            <v>-</v>
          </cell>
          <cell r="H3337" t="str">
            <v>-</v>
          </cell>
          <cell r="I3337" t="str">
            <v>-</v>
          </cell>
          <cell r="K3337" t="str">
            <v>-</v>
          </cell>
          <cell r="L3337">
            <v>7.5</v>
          </cell>
          <cell r="M3337">
            <v>10.606601717798213</v>
          </cell>
          <cell r="O3337" t="str">
            <v>-</v>
          </cell>
          <cell r="T3337">
            <v>0.5625</v>
          </cell>
          <cell r="U3337" t="str">
            <v>-</v>
          </cell>
        </row>
        <row r="3338">
          <cell r="B3338" t="str">
            <v>15X0.625</v>
          </cell>
          <cell r="C3338">
            <v>9.375</v>
          </cell>
          <cell r="D3338">
            <v>7.5</v>
          </cell>
          <cell r="F3338" t="str">
            <v>-</v>
          </cell>
          <cell r="H3338" t="str">
            <v>-</v>
          </cell>
          <cell r="I3338" t="str">
            <v>-</v>
          </cell>
          <cell r="K3338" t="str">
            <v>-</v>
          </cell>
          <cell r="L3338">
            <v>7.5</v>
          </cell>
          <cell r="M3338">
            <v>10.606601717798213</v>
          </cell>
          <cell r="O3338" t="str">
            <v>-</v>
          </cell>
          <cell r="T3338">
            <v>0.625</v>
          </cell>
          <cell r="U3338" t="str">
            <v>-</v>
          </cell>
        </row>
        <row r="3339">
          <cell r="B3339" t="str">
            <v>15X0.75</v>
          </cell>
          <cell r="C3339">
            <v>11.25</v>
          </cell>
          <cell r="D3339">
            <v>7.5</v>
          </cell>
          <cell r="F3339" t="str">
            <v>-</v>
          </cell>
          <cell r="H3339" t="str">
            <v>-</v>
          </cell>
          <cell r="I3339" t="str">
            <v>-</v>
          </cell>
          <cell r="K3339" t="str">
            <v>-</v>
          </cell>
          <cell r="L3339">
            <v>7.5</v>
          </cell>
          <cell r="M3339">
            <v>10.606601717798213</v>
          </cell>
          <cell r="O3339" t="str">
            <v>-</v>
          </cell>
          <cell r="T3339">
            <v>0.75</v>
          </cell>
          <cell r="U3339" t="str">
            <v>-</v>
          </cell>
        </row>
        <row r="3340">
          <cell r="B3340" t="str">
            <v>15.5X0.5</v>
          </cell>
          <cell r="C3340">
            <v>7.75</v>
          </cell>
          <cell r="D3340">
            <v>7.75</v>
          </cell>
          <cell r="F3340" t="str">
            <v>-</v>
          </cell>
          <cell r="H3340" t="str">
            <v>-</v>
          </cell>
          <cell r="I3340" t="str">
            <v>-</v>
          </cell>
          <cell r="K3340" t="str">
            <v>-</v>
          </cell>
          <cell r="L3340">
            <v>7.75</v>
          </cell>
          <cell r="M3340">
            <v>10.960155108391486</v>
          </cell>
          <cell r="O3340" t="str">
            <v>-</v>
          </cell>
          <cell r="T3340">
            <v>0.5</v>
          </cell>
          <cell r="U3340" t="str">
            <v>-</v>
          </cell>
        </row>
        <row r="3341">
          <cell r="B3341" t="str">
            <v>15.5X0.5625</v>
          </cell>
          <cell r="C3341">
            <v>8.71875</v>
          </cell>
          <cell r="D3341">
            <v>7.75</v>
          </cell>
          <cell r="F3341" t="str">
            <v>-</v>
          </cell>
          <cell r="H3341" t="str">
            <v>-</v>
          </cell>
          <cell r="I3341" t="str">
            <v>-</v>
          </cell>
          <cell r="K3341" t="str">
            <v>-</v>
          </cell>
          <cell r="L3341">
            <v>7.75</v>
          </cell>
          <cell r="M3341">
            <v>10.960155108391486</v>
          </cell>
          <cell r="O3341" t="str">
            <v>-</v>
          </cell>
          <cell r="T3341">
            <v>0.5625</v>
          </cell>
          <cell r="U3341" t="str">
            <v>-</v>
          </cell>
        </row>
        <row r="3342">
          <cell r="B3342" t="str">
            <v>15.5X0.625</v>
          </cell>
          <cell r="C3342">
            <v>9.6875</v>
          </cell>
          <cell r="D3342">
            <v>7.75</v>
          </cell>
          <cell r="F3342" t="str">
            <v>-</v>
          </cell>
          <cell r="H3342" t="str">
            <v>-</v>
          </cell>
          <cell r="I3342" t="str">
            <v>-</v>
          </cell>
          <cell r="K3342" t="str">
            <v>-</v>
          </cell>
          <cell r="L3342">
            <v>7.75</v>
          </cell>
          <cell r="M3342">
            <v>10.960155108391486</v>
          </cell>
          <cell r="O3342" t="str">
            <v>-</v>
          </cell>
          <cell r="T3342">
            <v>0.625</v>
          </cell>
          <cell r="U3342" t="str">
            <v>-</v>
          </cell>
        </row>
        <row r="3343">
          <cell r="B3343" t="str">
            <v>15.5X0.75</v>
          </cell>
          <cell r="C3343">
            <v>11.625</v>
          </cell>
          <cell r="D3343">
            <v>7.75</v>
          </cell>
          <cell r="F3343" t="str">
            <v>-</v>
          </cell>
          <cell r="H3343" t="str">
            <v>-</v>
          </cell>
          <cell r="I3343" t="str">
            <v>-</v>
          </cell>
          <cell r="K3343" t="str">
            <v>-</v>
          </cell>
          <cell r="L3343">
            <v>7.75</v>
          </cell>
          <cell r="M3343">
            <v>10.960155108391486</v>
          </cell>
          <cell r="O3343" t="str">
            <v>-</v>
          </cell>
          <cell r="T3343">
            <v>0.75</v>
          </cell>
          <cell r="U3343" t="str">
            <v>-</v>
          </cell>
        </row>
        <row r="3344">
          <cell r="B3344" t="str">
            <v>16X0.5</v>
          </cell>
          <cell r="C3344">
            <v>8</v>
          </cell>
          <cell r="D3344">
            <v>8</v>
          </cell>
          <cell r="F3344" t="str">
            <v>-</v>
          </cell>
          <cell r="H3344" t="str">
            <v>-</v>
          </cell>
          <cell r="I3344" t="str">
            <v>-</v>
          </cell>
          <cell r="K3344" t="str">
            <v>-</v>
          </cell>
          <cell r="L3344">
            <v>8</v>
          </cell>
          <cell r="M3344">
            <v>11.313708498984761</v>
          </cell>
          <cell r="O3344" t="str">
            <v>-</v>
          </cell>
          <cell r="T3344">
            <v>0.5</v>
          </cell>
          <cell r="U3344" t="str">
            <v>-</v>
          </cell>
        </row>
        <row r="3345">
          <cell r="B3345" t="str">
            <v>16X0.5625</v>
          </cell>
          <cell r="C3345">
            <v>9</v>
          </cell>
          <cell r="D3345">
            <v>8</v>
          </cell>
          <cell r="F3345" t="str">
            <v>-</v>
          </cell>
          <cell r="H3345" t="str">
            <v>-</v>
          </cell>
          <cell r="I3345" t="str">
            <v>-</v>
          </cell>
          <cell r="K3345" t="str">
            <v>-</v>
          </cell>
          <cell r="L3345">
            <v>8</v>
          </cell>
          <cell r="M3345">
            <v>11.313708498984761</v>
          </cell>
          <cell r="O3345" t="str">
            <v>-</v>
          </cell>
          <cell r="T3345">
            <v>0.5625</v>
          </cell>
          <cell r="U3345" t="str">
            <v>-</v>
          </cell>
        </row>
        <row r="3346">
          <cell r="B3346" t="str">
            <v>16X0.625</v>
          </cell>
          <cell r="C3346">
            <v>10</v>
          </cell>
          <cell r="D3346">
            <v>8</v>
          </cell>
          <cell r="F3346" t="str">
            <v>-</v>
          </cell>
          <cell r="H3346" t="str">
            <v>-</v>
          </cell>
          <cell r="I3346" t="str">
            <v>-</v>
          </cell>
          <cell r="K3346" t="str">
            <v>-</v>
          </cell>
          <cell r="L3346">
            <v>8</v>
          </cell>
          <cell r="M3346">
            <v>11.313708498984761</v>
          </cell>
          <cell r="O3346" t="str">
            <v>-</v>
          </cell>
          <cell r="T3346">
            <v>0.625</v>
          </cell>
          <cell r="U3346" t="str">
            <v>-</v>
          </cell>
        </row>
        <row r="3347">
          <cell r="B3347" t="str">
            <v>16X0.75</v>
          </cell>
          <cell r="C3347">
            <v>12</v>
          </cell>
          <cell r="D3347">
            <v>8</v>
          </cell>
          <cell r="F3347" t="str">
            <v>-</v>
          </cell>
          <cell r="H3347" t="str">
            <v>-</v>
          </cell>
          <cell r="I3347" t="str">
            <v>-</v>
          </cell>
          <cell r="K3347" t="str">
            <v>-</v>
          </cell>
          <cell r="L3347">
            <v>8</v>
          </cell>
          <cell r="M3347">
            <v>11.313708498984761</v>
          </cell>
          <cell r="O3347" t="str">
            <v>-</v>
          </cell>
          <cell r="T3347">
            <v>0.75</v>
          </cell>
          <cell r="U3347" t="str">
            <v>-</v>
          </cell>
        </row>
        <row r="3348">
          <cell r="B3348" t="str">
            <v>16X0.875</v>
          </cell>
          <cell r="C3348">
            <v>14</v>
          </cell>
          <cell r="D3348">
            <v>8</v>
          </cell>
          <cell r="F3348" t="str">
            <v>-</v>
          </cell>
          <cell r="H3348" t="str">
            <v>-</v>
          </cell>
          <cell r="I3348" t="str">
            <v>-</v>
          </cell>
          <cell r="K3348" t="str">
            <v>-</v>
          </cell>
          <cell r="L3348">
            <v>8</v>
          </cell>
          <cell r="M3348">
            <v>11.313708498984761</v>
          </cell>
          <cell r="O3348" t="str">
            <v>-</v>
          </cell>
          <cell r="T3348">
            <v>0.875</v>
          </cell>
          <cell r="U3348" t="str">
            <v>-</v>
          </cell>
        </row>
        <row r="3349">
          <cell r="B3349" t="str">
            <v>16X1</v>
          </cell>
          <cell r="C3349">
            <v>16</v>
          </cell>
          <cell r="D3349">
            <v>8</v>
          </cell>
          <cell r="F3349" t="str">
            <v>-</v>
          </cell>
          <cell r="H3349" t="str">
            <v>-</v>
          </cell>
          <cell r="I3349" t="str">
            <v>-</v>
          </cell>
          <cell r="K3349" t="str">
            <v>-</v>
          </cell>
          <cell r="L3349">
            <v>8</v>
          </cell>
          <cell r="M3349">
            <v>11.313708498984761</v>
          </cell>
          <cell r="O3349" t="str">
            <v>-</v>
          </cell>
          <cell r="T3349">
            <v>1</v>
          </cell>
          <cell r="U3349" t="str">
            <v>-</v>
          </cell>
        </row>
        <row r="3350">
          <cell r="B3350" t="str">
            <v>16.5X0.5</v>
          </cell>
          <cell r="C3350">
            <v>8.25</v>
          </cell>
          <cell r="D3350">
            <v>8.25</v>
          </cell>
          <cell r="F3350" t="str">
            <v>-</v>
          </cell>
          <cell r="H3350" t="str">
            <v>-</v>
          </cell>
          <cell r="I3350" t="str">
            <v>-</v>
          </cell>
          <cell r="K3350" t="str">
            <v>-</v>
          </cell>
          <cell r="L3350">
            <v>8.25</v>
          </cell>
          <cell r="M3350">
            <v>11.667261889578034</v>
          </cell>
          <cell r="O3350" t="str">
            <v>-</v>
          </cell>
          <cell r="T3350">
            <v>0.5</v>
          </cell>
          <cell r="U3350" t="str">
            <v>-</v>
          </cell>
        </row>
        <row r="3351">
          <cell r="B3351" t="str">
            <v>16.5X0.5625</v>
          </cell>
          <cell r="C3351">
            <v>9.28125</v>
          </cell>
          <cell r="D3351">
            <v>8.25</v>
          </cell>
          <cell r="F3351" t="str">
            <v>-</v>
          </cell>
          <cell r="H3351" t="str">
            <v>-</v>
          </cell>
          <cell r="I3351" t="str">
            <v>-</v>
          </cell>
          <cell r="K3351" t="str">
            <v>-</v>
          </cell>
          <cell r="L3351">
            <v>8.25</v>
          </cell>
          <cell r="M3351">
            <v>11.667261889578034</v>
          </cell>
          <cell r="O3351" t="str">
            <v>-</v>
          </cell>
          <cell r="T3351">
            <v>0.5625</v>
          </cell>
          <cell r="U3351" t="str">
            <v>-</v>
          </cell>
        </row>
        <row r="3352">
          <cell r="B3352" t="str">
            <v>16.5X0.625</v>
          </cell>
          <cell r="C3352">
            <v>10.3125</v>
          </cell>
          <cell r="D3352">
            <v>8.25</v>
          </cell>
          <cell r="F3352" t="str">
            <v>-</v>
          </cell>
          <cell r="H3352" t="str">
            <v>-</v>
          </cell>
          <cell r="I3352" t="str">
            <v>-</v>
          </cell>
          <cell r="K3352" t="str">
            <v>-</v>
          </cell>
          <cell r="L3352">
            <v>8.25</v>
          </cell>
          <cell r="M3352">
            <v>11.667261889578034</v>
          </cell>
          <cell r="O3352" t="str">
            <v>-</v>
          </cell>
          <cell r="T3352">
            <v>0.625</v>
          </cell>
          <cell r="U3352" t="str">
            <v>-</v>
          </cell>
        </row>
        <row r="3353">
          <cell r="B3353" t="str">
            <v>16.5X0.75</v>
          </cell>
          <cell r="C3353">
            <v>12.375</v>
          </cell>
          <cell r="D3353">
            <v>8.25</v>
          </cell>
          <cell r="F3353" t="str">
            <v>-</v>
          </cell>
          <cell r="H3353" t="str">
            <v>-</v>
          </cell>
          <cell r="I3353" t="str">
            <v>-</v>
          </cell>
          <cell r="K3353" t="str">
            <v>-</v>
          </cell>
          <cell r="L3353">
            <v>8.25</v>
          </cell>
          <cell r="M3353">
            <v>11.667261889578034</v>
          </cell>
          <cell r="O3353" t="str">
            <v>-</v>
          </cell>
          <cell r="T3353">
            <v>0.75</v>
          </cell>
          <cell r="U3353" t="str">
            <v>-</v>
          </cell>
        </row>
        <row r="3354">
          <cell r="B3354" t="str">
            <v>16.5X0.875</v>
          </cell>
          <cell r="C3354">
            <v>14.4375</v>
          </cell>
          <cell r="D3354">
            <v>8.25</v>
          </cell>
          <cell r="F3354" t="str">
            <v>-</v>
          </cell>
          <cell r="H3354" t="str">
            <v>-</v>
          </cell>
          <cell r="I3354" t="str">
            <v>-</v>
          </cell>
          <cell r="K3354" t="str">
            <v>-</v>
          </cell>
          <cell r="L3354">
            <v>8.25</v>
          </cell>
          <cell r="M3354">
            <v>11.667261889578034</v>
          </cell>
          <cell r="O3354" t="str">
            <v>-</v>
          </cell>
          <cell r="T3354">
            <v>0.875</v>
          </cell>
          <cell r="U3354" t="str">
            <v>-</v>
          </cell>
        </row>
        <row r="3355">
          <cell r="B3355" t="str">
            <v>16.5X1</v>
          </cell>
          <cell r="C3355">
            <v>16.5</v>
          </cell>
          <cell r="D3355">
            <v>8.25</v>
          </cell>
          <cell r="F3355" t="str">
            <v>-</v>
          </cell>
          <cell r="H3355" t="str">
            <v>-</v>
          </cell>
          <cell r="I3355" t="str">
            <v>-</v>
          </cell>
          <cell r="K3355" t="str">
            <v>-</v>
          </cell>
          <cell r="L3355">
            <v>8.25</v>
          </cell>
          <cell r="M3355">
            <v>11.667261889578034</v>
          </cell>
          <cell r="O3355" t="str">
            <v>-</v>
          </cell>
          <cell r="T3355">
            <v>1</v>
          </cell>
          <cell r="U3355" t="str">
            <v>-</v>
          </cell>
        </row>
        <row r="3356">
          <cell r="B3356" t="str">
            <v>17X0.5</v>
          </cell>
          <cell r="C3356">
            <v>8.5</v>
          </cell>
          <cell r="D3356">
            <v>8.5</v>
          </cell>
          <cell r="F3356" t="str">
            <v>-</v>
          </cell>
          <cell r="H3356" t="str">
            <v>-</v>
          </cell>
          <cell r="I3356" t="str">
            <v>-</v>
          </cell>
          <cell r="K3356" t="str">
            <v>-</v>
          </cell>
          <cell r="L3356">
            <v>8.5</v>
          </cell>
          <cell r="M3356">
            <v>12.020815280171307</v>
          </cell>
          <cell r="O3356" t="str">
            <v>-</v>
          </cell>
          <cell r="T3356">
            <v>0.5</v>
          </cell>
          <cell r="U3356" t="str">
            <v>-</v>
          </cell>
        </row>
        <row r="3357">
          <cell r="B3357" t="str">
            <v>17X0.5625</v>
          </cell>
          <cell r="C3357">
            <v>9.5625</v>
          </cell>
          <cell r="D3357">
            <v>8.5</v>
          </cell>
          <cell r="F3357" t="str">
            <v>-</v>
          </cell>
          <cell r="H3357" t="str">
            <v>-</v>
          </cell>
          <cell r="I3357" t="str">
            <v>-</v>
          </cell>
          <cell r="K3357" t="str">
            <v>-</v>
          </cell>
          <cell r="L3357">
            <v>8.5</v>
          </cell>
          <cell r="M3357">
            <v>12.020815280171307</v>
          </cell>
          <cell r="O3357" t="str">
            <v>-</v>
          </cell>
          <cell r="T3357">
            <v>0.5625</v>
          </cell>
          <cell r="U3357" t="str">
            <v>-</v>
          </cell>
        </row>
        <row r="3358">
          <cell r="B3358" t="str">
            <v>17X0.625</v>
          </cell>
          <cell r="C3358">
            <v>10.625</v>
          </cell>
          <cell r="D3358">
            <v>8.5</v>
          </cell>
          <cell r="F3358" t="str">
            <v>-</v>
          </cell>
          <cell r="H3358" t="str">
            <v>-</v>
          </cell>
          <cell r="I3358" t="str">
            <v>-</v>
          </cell>
          <cell r="K3358" t="str">
            <v>-</v>
          </cell>
          <cell r="L3358">
            <v>8.5</v>
          </cell>
          <cell r="M3358">
            <v>12.020815280171307</v>
          </cell>
          <cell r="O3358" t="str">
            <v>-</v>
          </cell>
          <cell r="T3358">
            <v>0.625</v>
          </cell>
          <cell r="U3358" t="str">
            <v>-</v>
          </cell>
        </row>
        <row r="3359">
          <cell r="B3359" t="str">
            <v>17X0.75</v>
          </cell>
          <cell r="C3359">
            <v>12.75</v>
          </cell>
          <cell r="D3359">
            <v>8.5</v>
          </cell>
          <cell r="F3359" t="str">
            <v>-</v>
          </cell>
          <cell r="H3359" t="str">
            <v>-</v>
          </cell>
          <cell r="I3359" t="str">
            <v>-</v>
          </cell>
          <cell r="K3359" t="str">
            <v>-</v>
          </cell>
          <cell r="L3359">
            <v>8.5</v>
          </cell>
          <cell r="M3359">
            <v>12.020815280171307</v>
          </cell>
          <cell r="O3359" t="str">
            <v>-</v>
          </cell>
          <cell r="T3359">
            <v>0.75</v>
          </cell>
          <cell r="U3359" t="str">
            <v>-</v>
          </cell>
        </row>
        <row r="3360">
          <cell r="B3360" t="str">
            <v>17X0.875</v>
          </cell>
          <cell r="C3360">
            <v>14.875</v>
          </cell>
          <cell r="D3360">
            <v>8.5</v>
          </cell>
          <cell r="F3360" t="str">
            <v>-</v>
          </cell>
          <cell r="H3360" t="str">
            <v>-</v>
          </cell>
          <cell r="I3360" t="str">
            <v>-</v>
          </cell>
          <cell r="K3360" t="str">
            <v>-</v>
          </cell>
          <cell r="L3360">
            <v>8.5</v>
          </cell>
          <cell r="M3360">
            <v>12.020815280171307</v>
          </cell>
          <cell r="O3360" t="str">
            <v>-</v>
          </cell>
          <cell r="T3360">
            <v>0.875</v>
          </cell>
          <cell r="U3360" t="str">
            <v>-</v>
          </cell>
        </row>
        <row r="3361">
          <cell r="B3361" t="str">
            <v>17X1</v>
          </cell>
          <cell r="C3361">
            <v>17</v>
          </cell>
          <cell r="D3361">
            <v>8.5</v>
          </cell>
          <cell r="F3361" t="str">
            <v>-</v>
          </cell>
          <cell r="H3361" t="str">
            <v>-</v>
          </cell>
          <cell r="I3361" t="str">
            <v>-</v>
          </cell>
          <cell r="K3361" t="str">
            <v>-</v>
          </cell>
          <cell r="L3361">
            <v>8.5</v>
          </cell>
          <cell r="M3361">
            <v>12.020815280171307</v>
          </cell>
          <cell r="O3361" t="str">
            <v>-</v>
          </cell>
          <cell r="T3361">
            <v>1</v>
          </cell>
          <cell r="U3361" t="str">
            <v>-</v>
          </cell>
        </row>
        <row r="3362">
          <cell r="B3362" t="str">
            <v>17.5X0.5</v>
          </cell>
          <cell r="C3362">
            <v>8.75</v>
          </cell>
          <cell r="D3362">
            <v>8.75</v>
          </cell>
          <cell r="F3362" t="str">
            <v>-</v>
          </cell>
          <cell r="H3362" t="str">
            <v>-</v>
          </cell>
          <cell r="I3362" t="str">
            <v>-</v>
          </cell>
          <cell r="K3362" t="str">
            <v>-</v>
          </cell>
          <cell r="L3362">
            <v>8.75</v>
          </cell>
          <cell r="M3362">
            <v>12.374368670764582</v>
          </cell>
          <cell r="O3362" t="str">
            <v>-</v>
          </cell>
          <cell r="T3362">
            <v>0.5</v>
          </cell>
          <cell r="U3362" t="str">
            <v>-</v>
          </cell>
        </row>
        <row r="3363">
          <cell r="B3363" t="str">
            <v>17.5X0.5625</v>
          </cell>
          <cell r="C3363">
            <v>9.84375</v>
          </cell>
          <cell r="D3363">
            <v>8.75</v>
          </cell>
          <cell r="F3363" t="str">
            <v>-</v>
          </cell>
          <cell r="H3363" t="str">
            <v>-</v>
          </cell>
          <cell r="I3363" t="str">
            <v>-</v>
          </cell>
          <cell r="K3363" t="str">
            <v>-</v>
          </cell>
          <cell r="L3363">
            <v>8.75</v>
          </cell>
          <cell r="M3363">
            <v>12.374368670764582</v>
          </cell>
          <cell r="O3363" t="str">
            <v>-</v>
          </cell>
          <cell r="T3363">
            <v>0.5625</v>
          </cell>
          <cell r="U3363" t="str">
            <v>-</v>
          </cell>
        </row>
        <row r="3364">
          <cell r="B3364" t="str">
            <v>17.5X0.625</v>
          </cell>
          <cell r="C3364">
            <v>10.9375</v>
          </cell>
          <cell r="D3364">
            <v>8.75</v>
          </cell>
          <cell r="F3364" t="str">
            <v>-</v>
          </cell>
          <cell r="H3364" t="str">
            <v>-</v>
          </cell>
          <cell r="I3364" t="str">
            <v>-</v>
          </cell>
          <cell r="K3364" t="str">
            <v>-</v>
          </cell>
          <cell r="L3364">
            <v>8.75</v>
          </cell>
          <cell r="M3364">
            <v>12.374368670764582</v>
          </cell>
          <cell r="O3364" t="str">
            <v>-</v>
          </cell>
          <cell r="T3364">
            <v>0.625</v>
          </cell>
          <cell r="U3364" t="str">
            <v>-</v>
          </cell>
        </row>
        <row r="3365">
          <cell r="B3365" t="str">
            <v>17.5X0.75</v>
          </cell>
          <cell r="C3365">
            <v>13.125</v>
          </cell>
          <cell r="D3365">
            <v>8.75</v>
          </cell>
          <cell r="F3365" t="str">
            <v>-</v>
          </cell>
          <cell r="H3365" t="str">
            <v>-</v>
          </cell>
          <cell r="I3365" t="str">
            <v>-</v>
          </cell>
          <cell r="K3365" t="str">
            <v>-</v>
          </cell>
          <cell r="L3365">
            <v>8.75</v>
          </cell>
          <cell r="M3365">
            <v>12.374368670764582</v>
          </cell>
          <cell r="O3365" t="str">
            <v>-</v>
          </cell>
          <cell r="T3365">
            <v>0.75</v>
          </cell>
          <cell r="U3365" t="str">
            <v>-</v>
          </cell>
        </row>
        <row r="3366">
          <cell r="B3366" t="str">
            <v>17.5X0.875</v>
          </cell>
          <cell r="C3366">
            <v>15.3125</v>
          </cell>
          <cell r="D3366">
            <v>8.75</v>
          </cell>
          <cell r="F3366" t="str">
            <v>-</v>
          </cell>
          <cell r="H3366" t="str">
            <v>-</v>
          </cell>
          <cell r="I3366" t="str">
            <v>-</v>
          </cell>
          <cell r="K3366" t="str">
            <v>-</v>
          </cell>
          <cell r="L3366">
            <v>8.75</v>
          </cell>
          <cell r="M3366">
            <v>12.374368670764582</v>
          </cell>
          <cell r="O3366" t="str">
            <v>-</v>
          </cell>
          <cell r="T3366">
            <v>0.875</v>
          </cell>
          <cell r="U3366" t="str">
            <v>-</v>
          </cell>
        </row>
        <row r="3367">
          <cell r="B3367" t="str">
            <v>17.5X1</v>
          </cell>
          <cell r="C3367">
            <v>17.5</v>
          </cell>
          <cell r="D3367">
            <v>8.75</v>
          </cell>
          <cell r="F3367" t="str">
            <v>-</v>
          </cell>
          <cell r="H3367" t="str">
            <v>-</v>
          </cell>
          <cell r="I3367" t="str">
            <v>-</v>
          </cell>
          <cell r="K3367" t="str">
            <v>-</v>
          </cell>
          <cell r="L3367">
            <v>8.75</v>
          </cell>
          <cell r="M3367">
            <v>12.374368670764582</v>
          </cell>
          <cell r="O3367" t="str">
            <v>-</v>
          </cell>
          <cell r="T3367">
            <v>1</v>
          </cell>
          <cell r="U3367" t="str">
            <v>-</v>
          </cell>
        </row>
        <row r="3368">
          <cell r="B3368" t="str">
            <v>18X0.5</v>
          </cell>
          <cell r="C3368">
            <v>9</v>
          </cell>
          <cell r="D3368">
            <v>9</v>
          </cell>
          <cell r="F3368" t="str">
            <v>-</v>
          </cell>
          <cell r="H3368" t="str">
            <v>-</v>
          </cell>
          <cell r="I3368" t="str">
            <v>-</v>
          </cell>
          <cell r="K3368" t="str">
            <v>-</v>
          </cell>
          <cell r="L3368">
            <v>9</v>
          </cell>
          <cell r="M3368">
            <v>12.727922061357855</v>
          </cell>
          <cell r="O3368" t="str">
            <v>-</v>
          </cell>
          <cell r="T3368">
            <v>0.5</v>
          </cell>
          <cell r="U3368" t="str">
            <v>-</v>
          </cell>
        </row>
        <row r="3369">
          <cell r="B3369" t="str">
            <v>18X0.5625</v>
          </cell>
          <cell r="C3369">
            <v>10.125</v>
          </cell>
          <cell r="D3369">
            <v>9</v>
          </cell>
          <cell r="F3369" t="str">
            <v>-</v>
          </cell>
          <cell r="H3369" t="str">
            <v>-</v>
          </cell>
          <cell r="I3369" t="str">
            <v>-</v>
          </cell>
          <cell r="K3369" t="str">
            <v>-</v>
          </cell>
          <cell r="L3369">
            <v>9</v>
          </cell>
          <cell r="M3369">
            <v>12.727922061357855</v>
          </cell>
          <cell r="O3369" t="str">
            <v>-</v>
          </cell>
          <cell r="T3369">
            <v>0.5625</v>
          </cell>
          <cell r="U3369" t="str">
            <v>-</v>
          </cell>
        </row>
        <row r="3370">
          <cell r="B3370" t="str">
            <v>18X0.625</v>
          </cell>
          <cell r="C3370">
            <v>11.25</v>
          </cell>
          <cell r="D3370">
            <v>9</v>
          </cell>
          <cell r="F3370" t="str">
            <v>-</v>
          </cell>
          <cell r="H3370" t="str">
            <v>-</v>
          </cell>
          <cell r="I3370" t="str">
            <v>-</v>
          </cell>
          <cell r="K3370" t="str">
            <v>-</v>
          </cell>
          <cell r="L3370">
            <v>9</v>
          </cell>
          <cell r="M3370">
            <v>12.727922061357855</v>
          </cell>
          <cell r="O3370" t="str">
            <v>-</v>
          </cell>
          <cell r="T3370">
            <v>0.625</v>
          </cell>
          <cell r="U3370" t="str">
            <v>-</v>
          </cell>
        </row>
        <row r="3371">
          <cell r="B3371" t="str">
            <v>18X0.75</v>
          </cell>
          <cell r="C3371">
            <v>13.5</v>
          </cell>
          <cell r="D3371">
            <v>9</v>
          </cell>
          <cell r="F3371" t="str">
            <v>-</v>
          </cell>
          <cell r="H3371" t="str">
            <v>-</v>
          </cell>
          <cell r="I3371" t="str">
            <v>-</v>
          </cell>
          <cell r="K3371" t="str">
            <v>-</v>
          </cell>
          <cell r="L3371">
            <v>9</v>
          </cell>
          <cell r="M3371">
            <v>12.727922061357855</v>
          </cell>
          <cell r="O3371" t="str">
            <v>-</v>
          </cell>
          <cell r="T3371">
            <v>0.75</v>
          </cell>
          <cell r="U3371" t="str">
            <v>-</v>
          </cell>
        </row>
        <row r="3372">
          <cell r="B3372" t="str">
            <v>18X0.875</v>
          </cell>
          <cell r="C3372">
            <v>15.75</v>
          </cell>
          <cell r="D3372">
            <v>9</v>
          </cell>
          <cell r="F3372" t="str">
            <v>-</v>
          </cell>
          <cell r="H3372" t="str">
            <v>-</v>
          </cell>
          <cell r="I3372" t="str">
            <v>-</v>
          </cell>
          <cell r="K3372" t="str">
            <v>-</v>
          </cell>
          <cell r="L3372">
            <v>9</v>
          </cell>
          <cell r="M3372">
            <v>12.727922061357855</v>
          </cell>
          <cell r="O3372" t="str">
            <v>-</v>
          </cell>
          <cell r="T3372">
            <v>0.875</v>
          </cell>
          <cell r="U3372" t="str">
            <v>-</v>
          </cell>
        </row>
        <row r="3373">
          <cell r="B3373" t="str">
            <v>18X1</v>
          </cell>
          <cell r="C3373">
            <v>18</v>
          </cell>
          <cell r="D3373">
            <v>9</v>
          </cell>
          <cell r="F3373" t="str">
            <v>-</v>
          </cell>
          <cell r="H3373" t="str">
            <v>-</v>
          </cell>
          <cell r="I3373" t="str">
            <v>-</v>
          </cell>
          <cell r="K3373" t="str">
            <v>-</v>
          </cell>
          <cell r="L3373">
            <v>9</v>
          </cell>
          <cell r="M3373">
            <v>12.727922061357855</v>
          </cell>
          <cell r="O3373" t="str">
            <v>-</v>
          </cell>
          <cell r="T3373">
            <v>1</v>
          </cell>
          <cell r="U3373" t="str">
            <v>-</v>
          </cell>
        </row>
        <row r="3374">
          <cell r="B3374" t="str">
            <v>18.5X0.75</v>
          </cell>
          <cell r="C3374">
            <v>13.875</v>
          </cell>
          <cell r="D3374">
            <v>9.25</v>
          </cell>
          <cell r="F3374" t="str">
            <v>-</v>
          </cell>
          <cell r="H3374" t="str">
            <v>-</v>
          </cell>
          <cell r="I3374" t="str">
            <v>-</v>
          </cell>
          <cell r="K3374" t="str">
            <v>-</v>
          </cell>
          <cell r="L3374">
            <v>9.25</v>
          </cell>
          <cell r="M3374">
            <v>13.08147545195113</v>
          </cell>
          <cell r="O3374" t="str">
            <v>-</v>
          </cell>
          <cell r="T3374">
            <v>0.75</v>
          </cell>
          <cell r="U3374" t="str">
            <v>-</v>
          </cell>
        </row>
        <row r="3375">
          <cell r="B3375" t="str">
            <v>18.5X0.875</v>
          </cell>
          <cell r="C3375">
            <v>16.1875</v>
          </cell>
          <cell r="D3375">
            <v>9.25</v>
          </cell>
          <cell r="F3375" t="str">
            <v>-</v>
          </cell>
          <cell r="H3375" t="str">
            <v>-</v>
          </cell>
          <cell r="I3375" t="str">
            <v>-</v>
          </cell>
          <cell r="K3375" t="str">
            <v>-</v>
          </cell>
          <cell r="L3375">
            <v>9.25</v>
          </cell>
          <cell r="M3375">
            <v>13.08147545195113</v>
          </cell>
          <cell r="O3375" t="str">
            <v>-</v>
          </cell>
          <cell r="T3375">
            <v>0.875</v>
          </cell>
          <cell r="U3375" t="str">
            <v>-</v>
          </cell>
        </row>
        <row r="3376">
          <cell r="B3376" t="str">
            <v>18.5X1</v>
          </cell>
          <cell r="C3376">
            <v>18.5</v>
          </cell>
          <cell r="D3376">
            <v>9.25</v>
          </cell>
          <cell r="F3376" t="str">
            <v>-</v>
          </cell>
          <cell r="H3376" t="str">
            <v>-</v>
          </cell>
          <cell r="I3376" t="str">
            <v>-</v>
          </cell>
          <cell r="K3376" t="str">
            <v>-</v>
          </cell>
          <cell r="L3376">
            <v>9.25</v>
          </cell>
          <cell r="M3376">
            <v>13.08147545195113</v>
          </cell>
          <cell r="O3376" t="str">
            <v>-</v>
          </cell>
          <cell r="T3376">
            <v>1</v>
          </cell>
          <cell r="U3376" t="str">
            <v>-</v>
          </cell>
        </row>
        <row r="3377">
          <cell r="B3377" t="str">
            <v>19X0.75</v>
          </cell>
          <cell r="C3377">
            <v>14.25</v>
          </cell>
          <cell r="D3377">
            <v>9.5</v>
          </cell>
          <cell r="F3377" t="str">
            <v>-</v>
          </cell>
          <cell r="H3377" t="str">
            <v>-</v>
          </cell>
          <cell r="I3377" t="str">
            <v>-</v>
          </cell>
          <cell r="K3377" t="str">
            <v>-</v>
          </cell>
          <cell r="L3377">
            <v>9.5</v>
          </cell>
          <cell r="M3377">
            <v>13.435028842544403</v>
          </cell>
          <cell r="O3377" t="str">
            <v>-</v>
          </cell>
          <cell r="T3377">
            <v>0.75</v>
          </cell>
          <cell r="U3377" t="str">
            <v>-</v>
          </cell>
        </row>
        <row r="3378">
          <cell r="B3378" t="str">
            <v>19X0.875</v>
          </cell>
          <cell r="C3378">
            <v>16.625</v>
          </cell>
          <cell r="D3378">
            <v>9.5</v>
          </cell>
          <cell r="F3378" t="str">
            <v>-</v>
          </cell>
          <cell r="H3378" t="str">
            <v>-</v>
          </cell>
          <cell r="I3378" t="str">
            <v>-</v>
          </cell>
          <cell r="K3378" t="str">
            <v>-</v>
          </cell>
          <cell r="L3378">
            <v>9.5</v>
          </cell>
          <cell r="M3378">
            <v>13.435028842544403</v>
          </cell>
          <cell r="O3378" t="str">
            <v>-</v>
          </cell>
          <cell r="T3378">
            <v>0.875</v>
          </cell>
          <cell r="U3378" t="str">
            <v>-</v>
          </cell>
        </row>
        <row r="3379">
          <cell r="B3379" t="str">
            <v>19X1</v>
          </cell>
          <cell r="C3379">
            <v>19</v>
          </cell>
          <cell r="D3379">
            <v>9.5</v>
          </cell>
          <cell r="F3379" t="str">
            <v>-</v>
          </cell>
          <cell r="H3379" t="str">
            <v>-</v>
          </cell>
          <cell r="I3379" t="str">
            <v>-</v>
          </cell>
          <cell r="K3379" t="str">
            <v>-</v>
          </cell>
          <cell r="L3379">
            <v>9.5</v>
          </cell>
          <cell r="M3379">
            <v>13.435028842544403</v>
          </cell>
          <cell r="O3379" t="str">
            <v>-</v>
          </cell>
          <cell r="T3379">
            <v>1</v>
          </cell>
          <cell r="U3379" t="str">
            <v>-</v>
          </cell>
        </row>
        <row r="3380">
          <cell r="B3380" t="str">
            <v>19.5X0.75</v>
          </cell>
          <cell r="C3380">
            <v>14.625</v>
          </cell>
          <cell r="D3380">
            <v>9.75</v>
          </cell>
          <cell r="F3380" t="str">
            <v>-</v>
          </cell>
          <cell r="H3380" t="str">
            <v>-</v>
          </cell>
          <cell r="I3380" t="str">
            <v>-</v>
          </cell>
          <cell r="K3380" t="str">
            <v>-</v>
          </cell>
          <cell r="L3380">
            <v>9.75</v>
          </cell>
          <cell r="M3380">
            <v>13.788582233137676</v>
          </cell>
          <cell r="O3380" t="str">
            <v>-</v>
          </cell>
          <cell r="T3380">
            <v>0.75</v>
          </cell>
          <cell r="U3380" t="str">
            <v>-</v>
          </cell>
        </row>
        <row r="3381">
          <cell r="B3381" t="str">
            <v>19.5X0.875</v>
          </cell>
          <cell r="C3381">
            <v>17.0625</v>
          </cell>
          <cell r="D3381">
            <v>9.75</v>
          </cell>
          <cell r="F3381" t="str">
            <v>-</v>
          </cell>
          <cell r="H3381" t="str">
            <v>-</v>
          </cell>
          <cell r="I3381" t="str">
            <v>-</v>
          </cell>
          <cell r="K3381" t="str">
            <v>-</v>
          </cell>
          <cell r="L3381">
            <v>9.75</v>
          </cell>
          <cell r="M3381">
            <v>13.788582233137676</v>
          </cell>
          <cell r="O3381" t="str">
            <v>-</v>
          </cell>
          <cell r="T3381">
            <v>0.875</v>
          </cell>
          <cell r="U3381" t="str">
            <v>-</v>
          </cell>
        </row>
        <row r="3382">
          <cell r="B3382" t="str">
            <v>19.5X1</v>
          </cell>
          <cell r="C3382">
            <v>19.5</v>
          </cell>
          <cell r="D3382">
            <v>9.75</v>
          </cell>
          <cell r="F3382" t="str">
            <v>-</v>
          </cell>
          <cell r="H3382" t="str">
            <v>-</v>
          </cell>
          <cell r="I3382" t="str">
            <v>-</v>
          </cell>
          <cell r="K3382" t="str">
            <v>-</v>
          </cell>
          <cell r="L3382">
            <v>9.75</v>
          </cell>
          <cell r="M3382">
            <v>13.788582233137676</v>
          </cell>
          <cell r="O3382" t="str">
            <v>-</v>
          </cell>
          <cell r="T3382">
            <v>1</v>
          </cell>
          <cell r="U3382" t="str">
            <v>-</v>
          </cell>
        </row>
        <row r="3383">
          <cell r="B3383" t="str">
            <v>20X0.75</v>
          </cell>
          <cell r="C3383">
            <v>15</v>
          </cell>
          <cell r="D3383">
            <v>10</v>
          </cell>
          <cell r="F3383" t="str">
            <v>-</v>
          </cell>
          <cell r="H3383" t="str">
            <v>-</v>
          </cell>
          <cell r="I3383" t="str">
            <v>-</v>
          </cell>
          <cell r="K3383" t="str">
            <v>-</v>
          </cell>
          <cell r="L3383">
            <v>10</v>
          </cell>
          <cell r="M3383">
            <v>14.142135623730951</v>
          </cell>
          <cell r="O3383" t="str">
            <v>-</v>
          </cell>
          <cell r="T3383">
            <v>0.75</v>
          </cell>
          <cell r="U3383" t="str">
            <v>-</v>
          </cell>
        </row>
        <row r="3384">
          <cell r="B3384" t="str">
            <v>20X0.875</v>
          </cell>
          <cell r="C3384">
            <v>17.5</v>
          </cell>
          <cell r="D3384">
            <v>10</v>
          </cell>
          <cell r="F3384" t="str">
            <v>-</v>
          </cell>
          <cell r="H3384" t="str">
            <v>-</v>
          </cell>
          <cell r="I3384" t="str">
            <v>-</v>
          </cell>
          <cell r="K3384" t="str">
            <v>-</v>
          </cell>
          <cell r="L3384">
            <v>10</v>
          </cell>
          <cell r="M3384">
            <v>14.142135623730951</v>
          </cell>
          <cell r="O3384" t="str">
            <v>-</v>
          </cell>
          <cell r="T3384">
            <v>0.875</v>
          </cell>
          <cell r="U3384" t="str">
            <v>-</v>
          </cell>
        </row>
        <row r="3385">
          <cell r="B3385" t="str">
            <v>20X1</v>
          </cell>
          <cell r="C3385">
            <v>20</v>
          </cell>
          <cell r="D3385">
            <v>10</v>
          </cell>
          <cell r="F3385" t="str">
            <v>-</v>
          </cell>
          <cell r="H3385" t="str">
            <v>-</v>
          </cell>
          <cell r="I3385" t="str">
            <v>-</v>
          </cell>
          <cell r="K3385" t="str">
            <v>-</v>
          </cell>
          <cell r="L3385">
            <v>10</v>
          </cell>
          <cell r="M3385">
            <v>14.142135623730951</v>
          </cell>
          <cell r="O3385" t="str">
            <v>-</v>
          </cell>
          <cell r="T3385">
            <v>1</v>
          </cell>
          <cell r="U3385" t="str">
            <v>-</v>
          </cell>
        </row>
        <row r="3386">
          <cell r="B3386" t="str">
            <v>20.5X0.75</v>
          </cell>
          <cell r="C3386">
            <v>15.375</v>
          </cell>
          <cell r="D3386">
            <v>10.25</v>
          </cell>
          <cell r="F3386" t="str">
            <v>-</v>
          </cell>
          <cell r="H3386" t="str">
            <v>-</v>
          </cell>
          <cell r="I3386" t="str">
            <v>-</v>
          </cell>
          <cell r="K3386" t="str">
            <v>-</v>
          </cell>
          <cell r="L3386">
            <v>10.25</v>
          </cell>
          <cell r="M3386">
            <v>14.495689014324224</v>
          </cell>
          <cell r="O3386" t="str">
            <v>-</v>
          </cell>
          <cell r="T3386">
            <v>0.75</v>
          </cell>
          <cell r="U3386" t="str">
            <v>-</v>
          </cell>
        </row>
        <row r="3387">
          <cell r="B3387" t="str">
            <v>20.5X0.875</v>
          </cell>
          <cell r="C3387">
            <v>17.9375</v>
          </cell>
          <cell r="D3387">
            <v>10.25</v>
          </cell>
          <cell r="F3387" t="str">
            <v>-</v>
          </cell>
          <cell r="H3387" t="str">
            <v>-</v>
          </cell>
          <cell r="I3387" t="str">
            <v>-</v>
          </cell>
          <cell r="K3387" t="str">
            <v>-</v>
          </cell>
          <cell r="L3387">
            <v>10.25</v>
          </cell>
          <cell r="M3387">
            <v>14.495689014324224</v>
          </cell>
          <cell r="O3387" t="str">
            <v>-</v>
          </cell>
          <cell r="T3387">
            <v>0.875</v>
          </cell>
          <cell r="U3387" t="str">
            <v>-</v>
          </cell>
        </row>
        <row r="3388">
          <cell r="B3388" t="str">
            <v>20.5X1</v>
          </cell>
          <cell r="C3388">
            <v>20.5</v>
          </cell>
          <cell r="D3388">
            <v>10.25</v>
          </cell>
          <cell r="F3388" t="str">
            <v>-</v>
          </cell>
          <cell r="H3388" t="str">
            <v>-</v>
          </cell>
          <cell r="I3388" t="str">
            <v>-</v>
          </cell>
          <cell r="K3388" t="str">
            <v>-</v>
          </cell>
          <cell r="L3388">
            <v>10.25</v>
          </cell>
          <cell r="M3388">
            <v>14.495689014324224</v>
          </cell>
          <cell r="O3388" t="str">
            <v>-</v>
          </cell>
          <cell r="T3388">
            <v>1</v>
          </cell>
          <cell r="U3388" t="str">
            <v>-</v>
          </cell>
        </row>
        <row r="3389">
          <cell r="B3389" t="str">
            <v>21X0.75</v>
          </cell>
          <cell r="C3389">
            <v>15.75</v>
          </cell>
          <cell r="D3389">
            <v>10.5</v>
          </cell>
          <cell r="F3389" t="str">
            <v>-</v>
          </cell>
          <cell r="H3389" t="str">
            <v>-</v>
          </cell>
          <cell r="I3389" t="str">
            <v>-</v>
          </cell>
          <cell r="K3389" t="str">
            <v>-</v>
          </cell>
          <cell r="L3389">
            <v>10.5</v>
          </cell>
          <cell r="M3389">
            <v>14.849242404917497</v>
          </cell>
          <cell r="O3389" t="str">
            <v>-</v>
          </cell>
          <cell r="T3389">
            <v>0.75</v>
          </cell>
          <cell r="U3389" t="str">
            <v>-</v>
          </cell>
        </row>
        <row r="3390">
          <cell r="B3390" t="str">
            <v>21X0.875</v>
          </cell>
          <cell r="C3390">
            <v>18.375</v>
          </cell>
          <cell r="D3390">
            <v>10.5</v>
          </cell>
          <cell r="F3390" t="str">
            <v>-</v>
          </cell>
          <cell r="H3390" t="str">
            <v>-</v>
          </cell>
          <cell r="I3390" t="str">
            <v>-</v>
          </cell>
          <cell r="K3390" t="str">
            <v>-</v>
          </cell>
          <cell r="L3390">
            <v>10.5</v>
          </cell>
          <cell r="M3390">
            <v>14.849242404917497</v>
          </cell>
          <cell r="O3390" t="str">
            <v>-</v>
          </cell>
          <cell r="T3390">
            <v>0.875</v>
          </cell>
          <cell r="U3390" t="str">
            <v>-</v>
          </cell>
        </row>
        <row r="3391">
          <cell r="B3391" t="str">
            <v>21X1</v>
          </cell>
          <cell r="C3391">
            <v>21</v>
          </cell>
          <cell r="D3391">
            <v>10.5</v>
          </cell>
          <cell r="F3391" t="str">
            <v>-</v>
          </cell>
          <cell r="H3391" t="str">
            <v>-</v>
          </cell>
          <cell r="I3391" t="str">
            <v>-</v>
          </cell>
          <cell r="K3391" t="str">
            <v>-</v>
          </cell>
          <cell r="L3391">
            <v>10.5</v>
          </cell>
          <cell r="M3391">
            <v>14.849242404917497</v>
          </cell>
          <cell r="O3391" t="str">
            <v>-</v>
          </cell>
          <cell r="T3391">
            <v>1</v>
          </cell>
          <cell r="U3391" t="str">
            <v>-</v>
          </cell>
        </row>
        <row r="3392">
          <cell r="B3392" t="str">
            <v>21.5X0.75</v>
          </cell>
          <cell r="C3392">
            <v>16.125</v>
          </cell>
          <cell r="D3392">
            <v>10.75</v>
          </cell>
          <cell r="F3392" t="str">
            <v>-</v>
          </cell>
          <cell r="H3392" t="str">
            <v>-</v>
          </cell>
          <cell r="I3392" t="str">
            <v>-</v>
          </cell>
          <cell r="K3392" t="str">
            <v>-</v>
          </cell>
          <cell r="L3392">
            <v>10.75</v>
          </cell>
          <cell r="M3392">
            <v>15.202795795510772</v>
          </cell>
          <cell r="O3392" t="str">
            <v>-</v>
          </cell>
          <cell r="T3392">
            <v>0.75</v>
          </cell>
          <cell r="U3392" t="str">
            <v>-</v>
          </cell>
        </row>
        <row r="3393">
          <cell r="B3393" t="str">
            <v>21.5X0.875</v>
          </cell>
          <cell r="C3393">
            <v>18.8125</v>
          </cell>
          <cell r="D3393">
            <v>10.75</v>
          </cell>
          <cell r="F3393" t="str">
            <v>-</v>
          </cell>
          <cell r="H3393" t="str">
            <v>-</v>
          </cell>
          <cell r="I3393" t="str">
            <v>-</v>
          </cell>
          <cell r="K3393" t="str">
            <v>-</v>
          </cell>
          <cell r="L3393">
            <v>10.75</v>
          </cell>
          <cell r="M3393">
            <v>15.202795795510772</v>
          </cell>
          <cell r="O3393" t="str">
            <v>-</v>
          </cell>
          <cell r="T3393">
            <v>0.875</v>
          </cell>
          <cell r="U3393" t="str">
            <v>-</v>
          </cell>
        </row>
        <row r="3394">
          <cell r="B3394" t="str">
            <v>21.5X1</v>
          </cell>
          <cell r="C3394">
            <v>21.5</v>
          </cell>
          <cell r="D3394">
            <v>10.75</v>
          </cell>
          <cell r="F3394" t="str">
            <v>-</v>
          </cell>
          <cell r="H3394" t="str">
            <v>-</v>
          </cell>
          <cell r="I3394" t="str">
            <v>-</v>
          </cell>
          <cell r="K3394" t="str">
            <v>-</v>
          </cell>
          <cell r="L3394">
            <v>10.75</v>
          </cell>
          <cell r="M3394">
            <v>15.202795795510772</v>
          </cell>
          <cell r="O3394" t="str">
            <v>-</v>
          </cell>
          <cell r="T3394">
            <v>1</v>
          </cell>
          <cell r="U3394" t="str">
            <v>-</v>
          </cell>
        </row>
        <row r="3395">
          <cell r="B3395" t="str">
            <v>22X0.75</v>
          </cell>
          <cell r="C3395">
            <v>16.5</v>
          </cell>
          <cell r="D3395">
            <v>11</v>
          </cell>
          <cell r="F3395" t="str">
            <v>-</v>
          </cell>
          <cell r="H3395" t="str">
            <v>-</v>
          </cell>
          <cell r="I3395" t="str">
            <v>-</v>
          </cell>
          <cell r="K3395" t="str">
            <v>-</v>
          </cell>
          <cell r="L3395">
            <v>11</v>
          </cell>
          <cell r="M3395">
            <v>15.556349186104045</v>
          </cell>
          <cell r="O3395" t="str">
            <v>-</v>
          </cell>
          <cell r="T3395">
            <v>0.75</v>
          </cell>
          <cell r="U3395" t="str">
            <v>-</v>
          </cell>
        </row>
        <row r="3396">
          <cell r="B3396" t="str">
            <v>22X0.875</v>
          </cell>
          <cell r="C3396">
            <v>19.25</v>
          </cell>
          <cell r="D3396">
            <v>11</v>
          </cell>
          <cell r="F3396" t="str">
            <v>-</v>
          </cell>
          <cell r="H3396" t="str">
            <v>-</v>
          </cell>
          <cell r="I3396" t="str">
            <v>-</v>
          </cell>
          <cell r="K3396" t="str">
            <v>-</v>
          </cell>
          <cell r="L3396">
            <v>11</v>
          </cell>
          <cell r="M3396">
            <v>15.556349186104045</v>
          </cell>
          <cell r="O3396" t="str">
            <v>-</v>
          </cell>
          <cell r="T3396">
            <v>0.875</v>
          </cell>
          <cell r="U3396" t="str">
            <v>-</v>
          </cell>
        </row>
        <row r="3397">
          <cell r="B3397" t="str">
            <v>22X1</v>
          </cell>
          <cell r="C3397">
            <v>22</v>
          </cell>
          <cell r="D3397">
            <v>11</v>
          </cell>
          <cell r="F3397" t="str">
            <v>-</v>
          </cell>
          <cell r="H3397" t="str">
            <v>-</v>
          </cell>
          <cell r="I3397" t="str">
            <v>-</v>
          </cell>
          <cell r="K3397" t="str">
            <v>-</v>
          </cell>
          <cell r="L3397">
            <v>11</v>
          </cell>
          <cell r="M3397">
            <v>15.556349186104045</v>
          </cell>
          <cell r="O3397" t="str">
            <v>-</v>
          </cell>
          <cell r="T3397">
            <v>1</v>
          </cell>
          <cell r="U3397" t="str">
            <v>-</v>
          </cell>
        </row>
        <row r="3398">
          <cell r="B3398" t="str">
            <v>22.5X0.75</v>
          </cell>
          <cell r="C3398">
            <v>16.875</v>
          </cell>
          <cell r="D3398">
            <v>11.25</v>
          </cell>
          <cell r="F3398" t="str">
            <v>-</v>
          </cell>
          <cell r="H3398" t="str">
            <v>-</v>
          </cell>
          <cell r="I3398" t="str">
            <v>-</v>
          </cell>
          <cell r="K3398" t="str">
            <v>-</v>
          </cell>
          <cell r="L3398">
            <v>11.25</v>
          </cell>
          <cell r="M3398">
            <v>15.90990257669732</v>
          </cell>
          <cell r="O3398" t="str">
            <v>-</v>
          </cell>
          <cell r="T3398">
            <v>0.75</v>
          </cell>
          <cell r="U3398" t="str">
            <v>-</v>
          </cell>
        </row>
        <row r="3399">
          <cell r="B3399" t="str">
            <v>22.5X0.875</v>
          </cell>
          <cell r="C3399">
            <v>19.6875</v>
          </cell>
          <cell r="D3399">
            <v>11.25</v>
          </cell>
          <cell r="F3399" t="str">
            <v>-</v>
          </cell>
          <cell r="H3399" t="str">
            <v>-</v>
          </cell>
          <cell r="I3399" t="str">
            <v>-</v>
          </cell>
          <cell r="K3399" t="str">
            <v>-</v>
          </cell>
          <cell r="L3399">
            <v>11.25</v>
          </cell>
          <cell r="M3399">
            <v>15.90990257669732</v>
          </cell>
          <cell r="O3399" t="str">
            <v>-</v>
          </cell>
          <cell r="T3399">
            <v>0.875</v>
          </cell>
          <cell r="U3399" t="str">
            <v>-</v>
          </cell>
        </row>
        <row r="3400">
          <cell r="B3400" t="str">
            <v>22.5X1</v>
          </cell>
          <cell r="C3400">
            <v>22.5</v>
          </cell>
          <cell r="D3400">
            <v>11.25</v>
          </cell>
          <cell r="F3400" t="str">
            <v>-</v>
          </cell>
          <cell r="H3400" t="str">
            <v>-</v>
          </cell>
          <cell r="I3400" t="str">
            <v>-</v>
          </cell>
          <cell r="K3400" t="str">
            <v>-</v>
          </cell>
          <cell r="L3400">
            <v>11.25</v>
          </cell>
          <cell r="M3400">
            <v>15.90990257669732</v>
          </cell>
          <cell r="O3400" t="str">
            <v>-</v>
          </cell>
          <cell r="T3400">
            <v>1</v>
          </cell>
          <cell r="U3400" t="str">
            <v>-</v>
          </cell>
        </row>
        <row r="3401">
          <cell r="B3401" t="str">
            <v>23X0.75</v>
          </cell>
          <cell r="C3401">
            <v>17.25</v>
          </cell>
          <cell r="D3401">
            <v>11.5</v>
          </cell>
          <cell r="F3401" t="str">
            <v>-</v>
          </cell>
          <cell r="H3401" t="str">
            <v>-</v>
          </cell>
          <cell r="I3401" t="str">
            <v>-</v>
          </cell>
          <cell r="K3401" t="str">
            <v>-</v>
          </cell>
          <cell r="L3401">
            <v>11.5</v>
          </cell>
          <cell r="M3401">
            <v>16.263455967290593</v>
          </cell>
          <cell r="O3401" t="str">
            <v>-</v>
          </cell>
          <cell r="T3401">
            <v>0.75</v>
          </cell>
          <cell r="U3401" t="str">
            <v>-</v>
          </cell>
        </row>
        <row r="3402">
          <cell r="B3402" t="str">
            <v>23X0.875</v>
          </cell>
          <cell r="C3402">
            <v>20.125</v>
          </cell>
          <cell r="D3402">
            <v>11.5</v>
          </cell>
          <cell r="F3402" t="str">
            <v>-</v>
          </cell>
          <cell r="H3402" t="str">
            <v>-</v>
          </cell>
          <cell r="I3402" t="str">
            <v>-</v>
          </cell>
          <cell r="K3402" t="str">
            <v>-</v>
          </cell>
          <cell r="L3402">
            <v>11.5</v>
          </cell>
          <cell r="M3402">
            <v>16.263455967290593</v>
          </cell>
          <cell r="O3402" t="str">
            <v>-</v>
          </cell>
          <cell r="T3402">
            <v>0.875</v>
          </cell>
          <cell r="U3402" t="str">
            <v>-</v>
          </cell>
        </row>
        <row r="3403">
          <cell r="B3403" t="str">
            <v>23X1</v>
          </cell>
          <cell r="C3403">
            <v>23</v>
          </cell>
          <cell r="D3403">
            <v>11.5</v>
          </cell>
          <cell r="F3403" t="str">
            <v>-</v>
          </cell>
          <cell r="H3403" t="str">
            <v>-</v>
          </cell>
          <cell r="I3403" t="str">
            <v>-</v>
          </cell>
          <cell r="K3403" t="str">
            <v>-</v>
          </cell>
          <cell r="L3403">
            <v>11.5</v>
          </cell>
          <cell r="M3403">
            <v>16.263455967290593</v>
          </cell>
          <cell r="O3403" t="str">
            <v>-</v>
          </cell>
          <cell r="T3403">
            <v>1</v>
          </cell>
          <cell r="U3403" t="str">
            <v>-</v>
          </cell>
        </row>
        <row r="3404">
          <cell r="B3404" t="str">
            <v>23.5X0.75</v>
          </cell>
          <cell r="C3404">
            <v>17.625</v>
          </cell>
          <cell r="D3404">
            <v>11.75</v>
          </cell>
          <cell r="F3404" t="str">
            <v>-</v>
          </cell>
          <cell r="H3404" t="str">
            <v>-</v>
          </cell>
          <cell r="I3404" t="str">
            <v>-</v>
          </cell>
          <cell r="K3404" t="str">
            <v>-</v>
          </cell>
          <cell r="L3404">
            <v>11.75</v>
          </cell>
          <cell r="M3404">
            <v>16.617009357883866</v>
          </cell>
          <cell r="O3404" t="str">
            <v>-</v>
          </cell>
          <cell r="T3404">
            <v>0.75</v>
          </cell>
          <cell r="U3404" t="str">
            <v>-</v>
          </cell>
        </row>
        <row r="3405">
          <cell r="B3405" t="str">
            <v>23.5X0.875</v>
          </cell>
          <cell r="C3405">
            <v>20.5625</v>
          </cell>
          <cell r="D3405">
            <v>11.75</v>
          </cell>
          <cell r="F3405" t="str">
            <v>-</v>
          </cell>
          <cell r="H3405" t="str">
            <v>-</v>
          </cell>
          <cell r="I3405" t="str">
            <v>-</v>
          </cell>
          <cell r="K3405" t="str">
            <v>-</v>
          </cell>
          <cell r="L3405">
            <v>11.75</v>
          </cell>
          <cell r="M3405">
            <v>16.617009357883866</v>
          </cell>
          <cell r="O3405" t="str">
            <v>-</v>
          </cell>
          <cell r="T3405">
            <v>0.875</v>
          </cell>
          <cell r="U3405" t="str">
            <v>-</v>
          </cell>
        </row>
        <row r="3406">
          <cell r="B3406" t="str">
            <v>23.5X1</v>
          </cell>
          <cell r="C3406">
            <v>23.5</v>
          </cell>
          <cell r="D3406">
            <v>11.75</v>
          </cell>
          <cell r="F3406" t="str">
            <v>-</v>
          </cell>
          <cell r="H3406" t="str">
            <v>-</v>
          </cell>
          <cell r="I3406" t="str">
            <v>-</v>
          </cell>
          <cell r="K3406" t="str">
            <v>-</v>
          </cell>
          <cell r="L3406">
            <v>11.75</v>
          </cell>
          <cell r="M3406">
            <v>16.617009357883866</v>
          </cell>
          <cell r="O3406" t="str">
            <v>-</v>
          </cell>
          <cell r="T3406">
            <v>1</v>
          </cell>
          <cell r="U3406" t="str">
            <v>-</v>
          </cell>
        </row>
        <row r="3407">
          <cell r="B3407" t="str">
            <v>24X0.75</v>
          </cell>
          <cell r="C3407">
            <v>18</v>
          </cell>
          <cell r="D3407">
            <v>12</v>
          </cell>
          <cell r="F3407" t="str">
            <v>-</v>
          </cell>
          <cell r="H3407" t="str">
            <v>-</v>
          </cell>
          <cell r="I3407" t="str">
            <v>-</v>
          </cell>
          <cell r="K3407" t="str">
            <v>-</v>
          </cell>
          <cell r="L3407">
            <v>12</v>
          </cell>
          <cell r="M3407">
            <v>16.970562748477139</v>
          </cell>
          <cell r="O3407" t="str">
            <v>-</v>
          </cell>
          <cell r="T3407">
            <v>0.75</v>
          </cell>
          <cell r="U3407" t="str">
            <v>-</v>
          </cell>
        </row>
        <row r="3408">
          <cell r="B3408" t="str">
            <v>24X0.875</v>
          </cell>
          <cell r="C3408">
            <v>21</v>
          </cell>
          <cell r="D3408">
            <v>12</v>
          </cell>
          <cell r="F3408" t="str">
            <v>-</v>
          </cell>
          <cell r="H3408" t="str">
            <v>-</v>
          </cell>
          <cell r="I3408" t="str">
            <v>-</v>
          </cell>
          <cell r="K3408" t="str">
            <v>-</v>
          </cell>
          <cell r="L3408">
            <v>12</v>
          </cell>
          <cell r="M3408">
            <v>16.970562748477139</v>
          </cell>
          <cell r="O3408" t="str">
            <v>-</v>
          </cell>
          <cell r="T3408">
            <v>0.875</v>
          </cell>
          <cell r="U3408" t="str">
            <v>-</v>
          </cell>
        </row>
        <row r="3409">
          <cell r="B3409" t="str">
            <v>24X1</v>
          </cell>
          <cell r="C3409">
            <v>24</v>
          </cell>
          <cell r="D3409">
            <v>12</v>
          </cell>
          <cell r="F3409" t="str">
            <v>-</v>
          </cell>
          <cell r="H3409" t="str">
            <v>-</v>
          </cell>
          <cell r="I3409" t="str">
            <v>-</v>
          </cell>
          <cell r="K3409" t="str">
            <v>-</v>
          </cell>
          <cell r="L3409">
            <v>12</v>
          </cell>
          <cell r="M3409">
            <v>16.970562748477139</v>
          </cell>
          <cell r="O3409" t="str">
            <v>-</v>
          </cell>
          <cell r="T3409">
            <v>1</v>
          </cell>
          <cell r="U3409" t="str">
            <v>-</v>
          </cell>
        </row>
        <row r="3410">
          <cell r="B3410" t="str">
            <v>V2X2X0.1875</v>
          </cell>
          <cell r="C3410">
            <v>0.71484375</v>
          </cell>
          <cell r="D3410">
            <v>2</v>
          </cell>
          <cell r="F3410" t="str">
            <v>-</v>
          </cell>
          <cell r="H3410" t="str">
            <v>-</v>
          </cell>
          <cell r="I3410" t="str">
            <v>-</v>
          </cell>
          <cell r="K3410" t="str">
            <v>-</v>
          </cell>
          <cell r="L3410">
            <v>2</v>
          </cell>
          <cell r="M3410">
            <v>2.8284271247461903</v>
          </cell>
          <cell r="O3410" t="str">
            <v>-</v>
          </cell>
          <cell r="T3410">
            <v>0.1875</v>
          </cell>
          <cell r="U3410" t="str">
            <v>-</v>
          </cell>
        </row>
        <row r="3411">
          <cell r="B3411" t="str">
            <v>V2X2X0.25</v>
          </cell>
          <cell r="C3411">
            <v>0.9375</v>
          </cell>
          <cell r="D3411">
            <v>2</v>
          </cell>
          <cell r="F3411" t="str">
            <v>-</v>
          </cell>
          <cell r="H3411" t="str">
            <v>-</v>
          </cell>
          <cell r="I3411" t="str">
            <v>-</v>
          </cell>
          <cell r="K3411" t="str">
            <v>-</v>
          </cell>
          <cell r="L3411">
            <v>2</v>
          </cell>
          <cell r="M3411">
            <v>2.8284271247461903</v>
          </cell>
          <cell r="O3411" t="str">
            <v>-</v>
          </cell>
          <cell r="T3411">
            <v>0.25</v>
          </cell>
          <cell r="U3411" t="str">
            <v>-</v>
          </cell>
        </row>
        <row r="3412">
          <cell r="B3412" t="str">
            <v>V2X2X0.3125</v>
          </cell>
          <cell r="C3412">
            <v>1.15234375</v>
          </cell>
          <cell r="D3412">
            <v>2</v>
          </cell>
          <cell r="F3412" t="str">
            <v>-</v>
          </cell>
          <cell r="H3412" t="str">
            <v>-</v>
          </cell>
          <cell r="I3412" t="str">
            <v>-</v>
          </cell>
          <cell r="K3412" t="str">
            <v>-</v>
          </cell>
          <cell r="L3412">
            <v>2</v>
          </cell>
          <cell r="M3412">
            <v>2.8284271247461903</v>
          </cell>
          <cell r="O3412" t="str">
            <v>-</v>
          </cell>
          <cell r="T3412">
            <v>0.3125</v>
          </cell>
          <cell r="U3412" t="str">
            <v>-</v>
          </cell>
        </row>
        <row r="3413">
          <cell r="B3413" t="str">
            <v>V2X2X0.375</v>
          </cell>
          <cell r="C3413">
            <v>1.359375</v>
          </cell>
          <cell r="D3413">
            <v>2</v>
          </cell>
          <cell r="F3413" t="str">
            <v>-</v>
          </cell>
          <cell r="H3413" t="str">
            <v>-</v>
          </cell>
          <cell r="I3413" t="str">
            <v>-</v>
          </cell>
          <cell r="K3413" t="str">
            <v>-</v>
          </cell>
          <cell r="L3413">
            <v>2</v>
          </cell>
          <cell r="M3413">
            <v>2.8284271247461903</v>
          </cell>
          <cell r="O3413" t="str">
            <v>-</v>
          </cell>
          <cell r="T3413">
            <v>0.375</v>
          </cell>
          <cell r="U3413" t="str">
            <v>-</v>
          </cell>
        </row>
        <row r="3414">
          <cell r="B3414" t="str">
            <v>V2.5X2.5X0.1875</v>
          </cell>
          <cell r="C3414">
            <v>0.90234375</v>
          </cell>
          <cell r="D3414">
            <v>2.5</v>
          </cell>
          <cell r="F3414" t="str">
            <v>-</v>
          </cell>
          <cell r="H3414" t="str">
            <v>-</v>
          </cell>
          <cell r="I3414" t="str">
            <v>-</v>
          </cell>
          <cell r="K3414" t="str">
            <v>-</v>
          </cell>
          <cell r="L3414">
            <v>2.5</v>
          </cell>
          <cell r="M3414">
            <v>3.5355339059327378</v>
          </cell>
          <cell r="O3414" t="str">
            <v>-</v>
          </cell>
          <cell r="T3414">
            <v>0.1875</v>
          </cell>
          <cell r="U3414" t="str">
            <v>-</v>
          </cell>
        </row>
        <row r="3415">
          <cell r="B3415" t="str">
            <v>V2.5X2.5X0.25</v>
          </cell>
          <cell r="C3415">
            <v>1.1875</v>
          </cell>
          <cell r="D3415">
            <v>2.5</v>
          </cell>
          <cell r="F3415" t="str">
            <v>-</v>
          </cell>
          <cell r="H3415" t="str">
            <v>-</v>
          </cell>
          <cell r="I3415" t="str">
            <v>-</v>
          </cell>
          <cell r="K3415" t="str">
            <v>-</v>
          </cell>
          <cell r="L3415">
            <v>2.5</v>
          </cell>
          <cell r="M3415">
            <v>3.5355339059327378</v>
          </cell>
          <cell r="O3415" t="str">
            <v>-</v>
          </cell>
          <cell r="T3415">
            <v>0.25</v>
          </cell>
          <cell r="U3415" t="str">
            <v>-</v>
          </cell>
        </row>
        <row r="3416">
          <cell r="B3416" t="str">
            <v>V2.5X2.5X0.3125</v>
          </cell>
          <cell r="C3416">
            <v>1.46484375</v>
          </cell>
          <cell r="D3416">
            <v>2.5</v>
          </cell>
          <cell r="F3416" t="str">
            <v>-</v>
          </cell>
          <cell r="H3416" t="str">
            <v>-</v>
          </cell>
          <cell r="I3416" t="str">
            <v>-</v>
          </cell>
          <cell r="K3416" t="str">
            <v>-</v>
          </cell>
          <cell r="L3416">
            <v>2.5</v>
          </cell>
          <cell r="M3416">
            <v>3.5355339059327378</v>
          </cell>
          <cell r="O3416" t="str">
            <v>-</v>
          </cell>
          <cell r="T3416">
            <v>0.3125</v>
          </cell>
          <cell r="U3416" t="str">
            <v>-</v>
          </cell>
        </row>
        <row r="3417">
          <cell r="B3417" t="str">
            <v>V2.5X2.5X0.375</v>
          </cell>
          <cell r="C3417">
            <v>1.734375</v>
          </cell>
          <cell r="D3417">
            <v>2.5</v>
          </cell>
          <cell r="F3417" t="str">
            <v>-</v>
          </cell>
          <cell r="H3417" t="str">
            <v>-</v>
          </cell>
          <cell r="I3417" t="str">
            <v>-</v>
          </cell>
          <cell r="K3417" t="str">
            <v>-</v>
          </cell>
          <cell r="L3417">
            <v>2.5</v>
          </cell>
          <cell r="M3417">
            <v>3.5355339059327378</v>
          </cell>
          <cell r="O3417" t="str">
            <v>-</v>
          </cell>
          <cell r="T3417">
            <v>0.375</v>
          </cell>
          <cell r="U3417" t="str">
            <v>-</v>
          </cell>
        </row>
        <row r="3418">
          <cell r="B3418" t="str">
            <v>V2.5X2.5X0.5</v>
          </cell>
          <cell r="C3418">
            <v>2.25</v>
          </cell>
          <cell r="D3418">
            <v>2.5</v>
          </cell>
          <cell r="F3418" t="str">
            <v>-</v>
          </cell>
          <cell r="H3418" t="str">
            <v>-</v>
          </cell>
          <cell r="I3418" t="str">
            <v>-</v>
          </cell>
          <cell r="K3418" t="str">
            <v>-</v>
          </cell>
          <cell r="L3418">
            <v>2.5</v>
          </cell>
          <cell r="M3418">
            <v>3.5355339059327378</v>
          </cell>
          <cell r="O3418" t="str">
            <v>-</v>
          </cell>
          <cell r="T3418">
            <v>0.5</v>
          </cell>
          <cell r="U3418" t="str">
            <v>-</v>
          </cell>
        </row>
        <row r="3419">
          <cell r="B3419" t="str">
            <v>V3X3X0.1875</v>
          </cell>
          <cell r="C3419">
            <v>1.08984375</v>
          </cell>
          <cell r="D3419">
            <v>3</v>
          </cell>
          <cell r="F3419" t="str">
            <v>-</v>
          </cell>
          <cell r="H3419" t="str">
            <v>-</v>
          </cell>
          <cell r="I3419" t="str">
            <v>-</v>
          </cell>
          <cell r="K3419" t="str">
            <v>-</v>
          </cell>
          <cell r="L3419">
            <v>3</v>
          </cell>
          <cell r="M3419">
            <v>4.2426406871192848</v>
          </cell>
          <cell r="O3419" t="str">
            <v>-</v>
          </cell>
          <cell r="T3419">
            <v>0.1875</v>
          </cell>
          <cell r="U3419" t="str">
            <v>-</v>
          </cell>
        </row>
        <row r="3420">
          <cell r="B3420" t="str">
            <v>V3X3X0.25</v>
          </cell>
          <cell r="C3420">
            <v>1.4375</v>
          </cell>
          <cell r="D3420">
            <v>3</v>
          </cell>
          <cell r="F3420" t="str">
            <v>-</v>
          </cell>
          <cell r="H3420" t="str">
            <v>-</v>
          </cell>
          <cell r="I3420" t="str">
            <v>-</v>
          </cell>
          <cell r="K3420" t="str">
            <v>-</v>
          </cell>
          <cell r="L3420">
            <v>3</v>
          </cell>
          <cell r="M3420">
            <v>4.2426406871192848</v>
          </cell>
          <cell r="O3420" t="str">
            <v>-</v>
          </cell>
          <cell r="T3420">
            <v>0.25</v>
          </cell>
          <cell r="U3420" t="str">
            <v>-</v>
          </cell>
        </row>
        <row r="3421">
          <cell r="B3421" t="str">
            <v>V3X3X0.3125</v>
          </cell>
          <cell r="C3421">
            <v>1.77734375</v>
          </cell>
          <cell r="D3421">
            <v>3</v>
          </cell>
          <cell r="F3421" t="str">
            <v>-</v>
          </cell>
          <cell r="H3421" t="str">
            <v>-</v>
          </cell>
          <cell r="I3421" t="str">
            <v>-</v>
          </cell>
          <cell r="K3421" t="str">
            <v>-</v>
          </cell>
          <cell r="L3421">
            <v>3</v>
          </cell>
          <cell r="M3421">
            <v>4.2426406871192848</v>
          </cell>
          <cell r="O3421" t="str">
            <v>-</v>
          </cell>
          <cell r="T3421">
            <v>0.3125</v>
          </cell>
          <cell r="U3421" t="str">
            <v>-</v>
          </cell>
        </row>
        <row r="3422">
          <cell r="B3422" t="str">
            <v>V3X3X0.375</v>
          </cell>
          <cell r="C3422">
            <v>2.109375</v>
          </cell>
          <cell r="D3422">
            <v>3</v>
          </cell>
          <cell r="F3422" t="str">
            <v>-</v>
          </cell>
          <cell r="H3422" t="str">
            <v>-</v>
          </cell>
          <cell r="I3422" t="str">
            <v>-</v>
          </cell>
          <cell r="K3422" t="str">
            <v>-</v>
          </cell>
          <cell r="L3422">
            <v>3</v>
          </cell>
          <cell r="M3422">
            <v>4.2426406871192848</v>
          </cell>
          <cell r="O3422" t="str">
            <v>-</v>
          </cell>
          <cell r="T3422">
            <v>0.375</v>
          </cell>
          <cell r="U3422" t="str">
            <v>-</v>
          </cell>
        </row>
        <row r="3423">
          <cell r="B3423" t="str">
            <v>V3X3X0.4375</v>
          </cell>
          <cell r="C3423">
            <v>2.43359375</v>
          </cell>
          <cell r="D3423">
            <v>3</v>
          </cell>
          <cell r="F3423" t="str">
            <v>-</v>
          </cell>
          <cell r="H3423" t="str">
            <v>-</v>
          </cell>
          <cell r="I3423" t="str">
            <v>-</v>
          </cell>
          <cell r="K3423" t="str">
            <v>-</v>
          </cell>
          <cell r="L3423">
            <v>3</v>
          </cell>
          <cell r="M3423">
            <v>4.2426406871192848</v>
          </cell>
          <cell r="O3423" t="str">
            <v>-</v>
          </cell>
          <cell r="T3423">
            <v>0.4375</v>
          </cell>
          <cell r="U3423" t="str">
            <v>-</v>
          </cell>
        </row>
        <row r="3424">
          <cell r="B3424" t="str">
            <v>V3X3X0.5</v>
          </cell>
          <cell r="C3424">
            <v>2.75</v>
          </cell>
          <cell r="D3424">
            <v>3</v>
          </cell>
          <cell r="F3424" t="str">
            <v>-</v>
          </cell>
          <cell r="H3424" t="str">
            <v>-</v>
          </cell>
          <cell r="I3424" t="str">
            <v>-</v>
          </cell>
          <cell r="K3424" t="str">
            <v>-</v>
          </cell>
          <cell r="L3424">
            <v>3</v>
          </cell>
          <cell r="M3424">
            <v>4.2426406871192848</v>
          </cell>
          <cell r="O3424" t="str">
            <v>-</v>
          </cell>
          <cell r="T3424">
            <v>0.5</v>
          </cell>
          <cell r="U3424" t="str">
            <v>-</v>
          </cell>
        </row>
        <row r="3425">
          <cell r="B3425" t="str">
            <v>V3.5X3.5X0.25</v>
          </cell>
          <cell r="C3425">
            <v>1.6875</v>
          </cell>
          <cell r="D3425">
            <v>3.5</v>
          </cell>
          <cell r="F3425" t="str">
            <v>-</v>
          </cell>
          <cell r="H3425" t="str">
            <v>-</v>
          </cell>
          <cell r="I3425" t="str">
            <v>-</v>
          </cell>
          <cell r="K3425" t="str">
            <v>-</v>
          </cell>
          <cell r="L3425">
            <v>3.5</v>
          </cell>
          <cell r="M3425">
            <v>4.9497474683058327</v>
          </cell>
          <cell r="O3425" t="str">
            <v>-</v>
          </cell>
          <cell r="T3425">
            <v>0.25</v>
          </cell>
          <cell r="U3425" t="str">
            <v>-</v>
          </cell>
        </row>
        <row r="3426">
          <cell r="B3426" t="str">
            <v>V3.5X3.5X0.3125</v>
          </cell>
          <cell r="C3426">
            <v>2.08984375</v>
          </cell>
          <cell r="D3426">
            <v>3.5</v>
          </cell>
          <cell r="F3426" t="str">
            <v>-</v>
          </cell>
          <cell r="H3426" t="str">
            <v>-</v>
          </cell>
          <cell r="I3426" t="str">
            <v>-</v>
          </cell>
          <cell r="K3426" t="str">
            <v>-</v>
          </cell>
          <cell r="L3426">
            <v>3.5</v>
          </cell>
          <cell r="M3426">
            <v>4.9497474683058327</v>
          </cell>
          <cell r="O3426" t="str">
            <v>-</v>
          </cell>
          <cell r="T3426">
            <v>0.3125</v>
          </cell>
          <cell r="U3426" t="str">
            <v>-</v>
          </cell>
        </row>
        <row r="3427">
          <cell r="B3427" t="str">
            <v>V3.5X3.5X0.375</v>
          </cell>
          <cell r="C3427">
            <v>2.484375</v>
          </cell>
          <cell r="D3427">
            <v>3.5</v>
          </cell>
          <cell r="F3427" t="str">
            <v>-</v>
          </cell>
          <cell r="H3427" t="str">
            <v>-</v>
          </cell>
          <cell r="I3427" t="str">
            <v>-</v>
          </cell>
          <cell r="K3427" t="str">
            <v>-</v>
          </cell>
          <cell r="L3427">
            <v>3.5</v>
          </cell>
          <cell r="M3427">
            <v>4.9497474683058327</v>
          </cell>
          <cell r="O3427" t="str">
            <v>-</v>
          </cell>
          <cell r="T3427">
            <v>0.375</v>
          </cell>
          <cell r="U3427" t="str">
            <v>-</v>
          </cell>
        </row>
        <row r="3428">
          <cell r="B3428" t="str">
            <v>V3.5X3.5X0.4375</v>
          </cell>
          <cell r="C3428">
            <v>2.87109375</v>
          </cell>
          <cell r="D3428">
            <v>3.5</v>
          </cell>
          <cell r="F3428" t="str">
            <v>-</v>
          </cell>
          <cell r="H3428" t="str">
            <v>-</v>
          </cell>
          <cell r="I3428" t="str">
            <v>-</v>
          </cell>
          <cell r="K3428" t="str">
            <v>-</v>
          </cell>
          <cell r="L3428">
            <v>3.5</v>
          </cell>
          <cell r="M3428">
            <v>4.9497474683058327</v>
          </cell>
          <cell r="O3428" t="str">
            <v>-</v>
          </cell>
          <cell r="T3428">
            <v>0.4375</v>
          </cell>
          <cell r="U3428" t="str">
            <v>-</v>
          </cell>
        </row>
        <row r="3429">
          <cell r="B3429" t="str">
            <v>V3.5X3.5X0.5</v>
          </cell>
          <cell r="C3429">
            <v>3.25</v>
          </cell>
          <cell r="D3429">
            <v>3.5</v>
          </cell>
          <cell r="F3429" t="str">
            <v>-</v>
          </cell>
          <cell r="H3429" t="str">
            <v>-</v>
          </cell>
          <cell r="I3429" t="str">
            <v>-</v>
          </cell>
          <cell r="K3429" t="str">
            <v>-</v>
          </cell>
          <cell r="L3429">
            <v>3.5</v>
          </cell>
          <cell r="M3429">
            <v>4.9497474683058327</v>
          </cell>
          <cell r="O3429" t="str">
            <v>-</v>
          </cell>
          <cell r="T3429">
            <v>0.5</v>
          </cell>
          <cell r="U3429" t="str">
            <v>-</v>
          </cell>
        </row>
        <row r="3430">
          <cell r="B3430" t="str">
            <v>V4X4X0.25</v>
          </cell>
          <cell r="C3430">
            <v>1.9375</v>
          </cell>
          <cell r="D3430">
            <v>4</v>
          </cell>
          <cell r="F3430" t="str">
            <v>-</v>
          </cell>
          <cell r="H3430" t="str">
            <v>-</v>
          </cell>
          <cell r="I3430" t="str">
            <v>-</v>
          </cell>
          <cell r="K3430" t="str">
            <v>-</v>
          </cell>
          <cell r="L3430">
            <v>4</v>
          </cell>
          <cell r="M3430">
            <v>5.6568542494923806</v>
          </cell>
          <cell r="O3430" t="str">
            <v>-</v>
          </cell>
          <cell r="T3430">
            <v>0.25</v>
          </cell>
          <cell r="U3430" t="str">
            <v>-</v>
          </cell>
        </row>
        <row r="3431">
          <cell r="B3431" t="str">
            <v>V4X4X0.3125</v>
          </cell>
          <cell r="C3431">
            <v>2.40234375</v>
          </cell>
          <cell r="D3431">
            <v>4</v>
          </cell>
          <cell r="F3431" t="str">
            <v>-</v>
          </cell>
          <cell r="H3431" t="str">
            <v>-</v>
          </cell>
          <cell r="I3431" t="str">
            <v>-</v>
          </cell>
          <cell r="K3431" t="str">
            <v>-</v>
          </cell>
          <cell r="L3431">
            <v>4</v>
          </cell>
          <cell r="M3431">
            <v>5.6568542494923806</v>
          </cell>
          <cell r="O3431" t="str">
            <v>-</v>
          </cell>
          <cell r="T3431">
            <v>0.3125</v>
          </cell>
          <cell r="U3431" t="str">
            <v>-</v>
          </cell>
        </row>
        <row r="3432">
          <cell r="B3432" t="str">
            <v>V4X4X0.375</v>
          </cell>
          <cell r="C3432">
            <v>2.859375</v>
          </cell>
          <cell r="D3432">
            <v>4</v>
          </cell>
          <cell r="F3432" t="str">
            <v>-</v>
          </cell>
          <cell r="H3432" t="str">
            <v>-</v>
          </cell>
          <cell r="I3432" t="str">
            <v>-</v>
          </cell>
          <cell r="K3432" t="str">
            <v>-</v>
          </cell>
          <cell r="L3432">
            <v>4</v>
          </cell>
          <cell r="M3432">
            <v>5.6568542494923806</v>
          </cell>
          <cell r="O3432" t="str">
            <v>-</v>
          </cell>
          <cell r="T3432">
            <v>0.375</v>
          </cell>
          <cell r="U3432" t="str">
            <v>-</v>
          </cell>
        </row>
        <row r="3433">
          <cell r="B3433" t="str">
            <v>V4X4X0.4375</v>
          </cell>
          <cell r="C3433">
            <v>3.30859375</v>
          </cell>
          <cell r="D3433">
            <v>4</v>
          </cell>
          <cell r="F3433" t="str">
            <v>-</v>
          </cell>
          <cell r="H3433" t="str">
            <v>-</v>
          </cell>
          <cell r="I3433" t="str">
            <v>-</v>
          </cell>
          <cell r="K3433" t="str">
            <v>-</v>
          </cell>
          <cell r="L3433">
            <v>4</v>
          </cell>
          <cell r="M3433">
            <v>5.6568542494923806</v>
          </cell>
          <cell r="O3433" t="str">
            <v>-</v>
          </cell>
          <cell r="T3433">
            <v>0.4375</v>
          </cell>
          <cell r="U3433" t="str">
            <v>-</v>
          </cell>
        </row>
        <row r="3434">
          <cell r="B3434" t="str">
            <v>V4X4X0.5</v>
          </cell>
          <cell r="C3434">
            <v>3.75</v>
          </cell>
          <cell r="D3434">
            <v>4</v>
          </cell>
          <cell r="F3434" t="str">
            <v>-</v>
          </cell>
          <cell r="H3434" t="str">
            <v>-</v>
          </cell>
          <cell r="I3434" t="str">
            <v>-</v>
          </cell>
          <cell r="K3434" t="str">
            <v>-</v>
          </cell>
          <cell r="L3434">
            <v>4</v>
          </cell>
          <cell r="M3434">
            <v>5.6568542494923806</v>
          </cell>
          <cell r="O3434" t="str">
            <v>-</v>
          </cell>
          <cell r="T3434">
            <v>0.5</v>
          </cell>
          <cell r="U3434" t="str">
            <v>-</v>
          </cell>
        </row>
        <row r="3435">
          <cell r="B3435" t="str">
            <v>V4X4X0.625</v>
          </cell>
          <cell r="C3435">
            <v>4.609375</v>
          </cell>
          <cell r="D3435">
            <v>4</v>
          </cell>
          <cell r="F3435" t="str">
            <v>-</v>
          </cell>
          <cell r="H3435" t="str">
            <v>-</v>
          </cell>
          <cell r="I3435" t="str">
            <v>-</v>
          </cell>
          <cell r="K3435" t="str">
            <v>-</v>
          </cell>
          <cell r="L3435">
            <v>4</v>
          </cell>
          <cell r="M3435">
            <v>5.6568542494923806</v>
          </cell>
          <cell r="O3435" t="str">
            <v>-</v>
          </cell>
          <cell r="T3435">
            <v>0.625</v>
          </cell>
          <cell r="U3435" t="str">
            <v>-</v>
          </cell>
        </row>
        <row r="3436">
          <cell r="B3436" t="str">
            <v>V4X4X0.75</v>
          </cell>
          <cell r="C3436">
            <v>5.4375</v>
          </cell>
          <cell r="D3436">
            <v>4</v>
          </cell>
          <cell r="F3436" t="str">
            <v>-</v>
          </cell>
          <cell r="H3436" t="str">
            <v>-</v>
          </cell>
          <cell r="I3436" t="str">
            <v>-</v>
          </cell>
          <cell r="K3436" t="str">
            <v>-</v>
          </cell>
          <cell r="L3436">
            <v>4</v>
          </cell>
          <cell r="M3436">
            <v>5.6568542494923806</v>
          </cell>
          <cell r="O3436" t="str">
            <v>-</v>
          </cell>
          <cell r="T3436">
            <v>0.75</v>
          </cell>
          <cell r="U3436" t="str">
            <v>-</v>
          </cell>
        </row>
        <row r="3437">
          <cell r="B3437" t="str">
            <v>V5X5X0.3125</v>
          </cell>
          <cell r="C3437">
            <v>3.02734375</v>
          </cell>
          <cell r="D3437">
            <v>5</v>
          </cell>
          <cell r="F3437" t="str">
            <v>-</v>
          </cell>
          <cell r="H3437" t="str">
            <v>-</v>
          </cell>
          <cell r="I3437" t="str">
            <v>-</v>
          </cell>
          <cell r="K3437" t="str">
            <v>-</v>
          </cell>
          <cell r="L3437">
            <v>5</v>
          </cell>
          <cell r="M3437">
            <v>7.0710678118654755</v>
          </cell>
          <cell r="O3437" t="str">
            <v>-</v>
          </cell>
          <cell r="T3437">
            <v>0.3125</v>
          </cell>
          <cell r="U3437" t="str">
            <v>-</v>
          </cell>
        </row>
        <row r="3438">
          <cell r="B3438" t="str">
            <v>V5X5X0.375</v>
          </cell>
          <cell r="C3438">
            <v>3.609375</v>
          </cell>
          <cell r="D3438">
            <v>5</v>
          </cell>
          <cell r="F3438" t="str">
            <v>-</v>
          </cell>
          <cell r="H3438" t="str">
            <v>-</v>
          </cell>
          <cell r="I3438" t="str">
            <v>-</v>
          </cell>
          <cell r="K3438" t="str">
            <v>-</v>
          </cell>
          <cell r="L3438">
            <v>5</v>
          </cell>
          <cell r="M3438">
            <v>7.0710678118654755</v>
          </cell>
          <cell r="O3438" t="str">
            <v>-</v>
          </cell>
          <cell r="T3438">
            <v>0.375</v>
          </cell>
          <cell r="U3438" t="str">
            <v>-</v>
          </cell>
        </row>
        <row r="3439">
          <cell r="B3439" t="str">
            <v>V5X5X0.4375</v>
          </cell>
          <cell r="C3439">
            <v>4.18359375</v>
          </cell>
          <cell r="D3439">
            <v>5</v>
          </cell>
          <cell r="F3439" t="str">
            <v>-</v>
          </cell>
          <cell r="H3439" t="str">
            <v>-</v>
          </cell>
          <cell r="I3439" t="str">
            <v>-</v>
          </cell>
          <cell r="K3439" t="str">
            <v>-</v>
          </cell>
          <cell r="L3439">
            <v>5</v>
          </cell>
          <cell r="M3439">
            <v>7.0710678118654755</v>
          </cell>
          <cell r="O3439" t="str">
            <v>-</v>
          </cell>
          <cell r="T3439">
            <v>0.4375</v>
          </cell>
          <cell r="U3439" t="str">
            <v>-</v>
          </cell>
        </row>
        <row r="3440">
          <cell r="B3440" t="str">
            <v>V5X5X0.5</v>
          </cell>
          <cell r="C3440">
            <v>4.75</v>
          </cell>
          <cell r="D3440">
            <v>5</v>
          </cell>
          <cell r="F3440" t="str">
            <v>-</v>
          </cell>
          <cell r="H3440" t="str">
            <v>-</v>
          </cell>
          <cell r="I3440" t="str">
            <v>-</v>
          </cell>
          <cell r="K3440" t="str">
            <v>-</v>
          </cell>
          <cell r="L3440">
            <v>5</v>
          </cell>
          <cell r="M3440">
            <v>7.0710678118654755</v>
          </cell>
          <cell r="O3440" t="str">
            <v>-</v>
          </cell>
          <cell r="T3440">
            <v>0.5</v>
          </cell>
          <cell r="U3440" t="str">
            <v>-</v>
          </cell>
        </row>
        <row r="3441">
          <cell r="B3441" t="str">
            <v>V5X5X0.625</v>
          </cell>
          <cell r="C3441">
            <v>5.859375</v>
          </cell>
          <cell r="D3441">
            <v>5</v>
          </cell>
          <cell r="F3441" t="str">
            <v>-</v>
          </cell>
          <cell r="H3441" t="str">
            <v>-</v>
          </cell>
          <cell r="I3441" t="str">
            <v>-</v>
          </cell>
          <cell r="K3441" t="str">
            <v>-</v>
          </cell>
          <cell r="L3441">
            <v>5</v>
          </cell>
          <cell r="M3441">
            <v>7.0710678118654755</v>
          </cell>
          <cell r="O3441" t="str">
            <v>-</v>
          </cell>
          <cell r="T3441">
            <v>0.625</v>
          </cell>
          <cell r="U3441" t="str">
            <v>-</v>
          </cell>
        </row>
        <row r="3442">
          <cell r="B3442" t="str">
            <v>V5X5X0.75</v>
          </cell>
          <cell r="C3442">
            <v>6.9375</v>
          </cell>
          <cell r="D3442">
            <v>5</v>
          </cell>
          <cell r="F3442" t="str">
            <v>-</v>
          </cell>
          <cell r="H3442" t="str">
            <v>-</v>
          </cell>
          <cell r="I3442" t="str">
            <v>-</v>
          </cell>
          <cell r="K3442" t="str">
            <v>-</v>
          </cell>
          <cell r="L3442">
            <v>5</v>
          </cell>
          <cell r="M3442">
            <v>7.0710678118654755</v>
          </cell>
          <cell r="O3442" t="str">
            <v>-</v>
          </cell>
          <cell r="T3442">
            <v>0.75</v>
          </cell>
          <cell r="U3442" t="str">
            <v>-</v>
          </cell>
        </row>
        <row r="3443">
          <cell r="B3443" t="str">
            <v>V5X5X0.875</v>
          </cell>
          <cell r="C3443">
            <v>7.984375</v>
          </cell>
          <cell r="D3443">
            <v>5</v>
          </cell>
          <cell r="F3443" t="str">
            <v>-</v>
          </cell>
          <cell r="H3443" t="str">
            <v>-</v>
          </cell>
          <cell r="I3443" t="str">
            <v>-</v>
          </cell>
          <cell r="K3443" t="str">
            <v>-</v>
          </cell>
          <cell r="L3443">
            <v>5</v>
          </cell>
          <cell r="M3443">
            <v>7.0710678118654755</v>
          </cell>
          <cell r="O3443" t="str">
            <v>-</v>
          </cell>
          <cell r="T3443">
            <v>0.875</v>
          </cell>
          <cell r="U3443" t="str">
            <v>-</v>
          </cell>
        </row>
        <row r="3444">
          <cell r="B3444" t="str">
            <v>V6X6X0.3125</v>
          </cell>
          <cell r="C3444">
            <v>3.65234375</v>
          </cell>
          <cell r="D3444">
            <v>6</v>
          </cell>
          <cell r="F3444" t="str">
            <v>-</v>
          </cell>
          <cell r="H3444" t="str">
            <v>-</v>
          </cell>
          <cell r="I3444" t="str">
            <v>-</v>
          </cell>
          <cell r="K3444" t="str">
            <v>-</v>
          </cell>
          <cell r="L3444">
            <v>6</v>
          </cell>
          <cell r="M3444">
            <v>8.4852813742385695</v>
          </cell>
          <cell r="O3444" t="str">
            <v>-</v>
          </cell>
          <cell r="T3444">
            <v>0.3125</v>
          </cell>
          <cell r="U3444" t="str">
            <v>-</v>
          </cell>
        </row>
        <row r="3445">
          <cell r="B3445" t="str">
            <v>V6X6X0.375</v>
          </cell>
          <cell r="C3445">
            <v>4.359375</v>
          </cell>
          <cell r="D3445">
            <v>6</v>
          </cell>
          <cell r="F3445" t="str">
            <v>-</v>
          </cell>
          <cell r="H3445" t="str">
            <v>-</v>
          </cell>
          <cell r="I3445" t="str">
            <v>-</v>
          </cell>
          <cell r="K3445" t="str">
            <v>-</v>
          </cell>
          <cell r="L3445">
            <v>6</v>
          </cell>
          <cell r="M3445">
            <v>8.4852813742385695</v>
          </cell>
          <cell r="O3445" t="str">
            <v>-</v>
          </cell>
          <cell r="T3445">
            <v>0.375</v>
          </cell>
          <cell r="U3445" t="str">
            <v>-</v>
          </cell>
        </row>
        <row r="3446">
          <cell r="B3446" t="str">
            <v>V6X6X0.4375</v>
          </cell>
          <cell r="C3446">
            <v>5.05859375</v>
          </cell>
          <cell r="D3446">
            <v>6</v>
          </cell>
          <cell r="F3446" t="str">
            <v>-</v>
          </cell>
          <cell r="H3446" t="str">
            <v>-</v>
          </cell>
          <cell r="I3446" t="str">
            <v>-</v>
          </cell>
          <cell r="K3446" t="str">
            <v>-</v>
          </cell>
          <cell r="L3446">
            <v>6</v>
          </cell>
          <cell r="M3446">
            <v>8.4852813742385695</v>
          </cell>
          <cell r="O3446" t="str">
            <v>-</v>
          </cell>
          <cell r="T3446">
            <v>0.4375</v>
          </cell>
          <cell r="U3446" t="str">
            <v>-</v>
          </cell>
        </row>
        <row r="3447">
          <cell r="B3447" t="str">
            <v>V6X6X0.5</v>
          </cell>
          <cell r="C3447">
            <v>5.75</v>
          </cell>
          <cell r="D3447">
            <v>6</v>
          </cell>
          <cell r="F3447" t="str">
            <v>-</v>
          </cell>
          <cell r="H3447" t="str">
            <v>-</v>
          </cell>
          <cell r="I3447" t="str">
            <v>-</v>
          </cell>
          <cell r="K3447" t="str">
            <v>-</v>
          </cell>
          <cell r="L3447">
            <v>6</v>
          </cell>
          <cell r="M3447">
            <v>8.4852813742385695</v>
          </cell>
          <cell r="O3447" t="str">
            <v>-</v>
          </cell>
          <cell r="T3447">
            <v>0.5</v>
          </cell>
          <cell r="U3447" t="str">
            <v>-</v>
          </cell>
        </row>
        <row r="3448">
          <cell r="B3448" t="str">
            <v>V6X6X0.5625</v>
          </cell>
          <cell r="C3448">
            <v>6.43359375</v>
          </cell>
          <cell r="D3448">
            <v>6</v>
          </cell>
          <cell r="F3448" t="str">
            <v>-</v>
          </cell>
          <cell r="H3448" t="str">
            <v>-</v>
          </cell>
          <cell r="I3448" t="str">
            <v>-</v>
          </cell>
          <cell r="K3448" t="str">
            <v>-</v>
          </cell>
          <cell r="L3448">
            <v>6</v>
          </cell>
          <cell r="M3448">
            <v>8.4852813742385695</v>
          </cell>
          <cell r="O3448" t="str">
            <v>-</v>
          </cell>
          <cell r="T3448">
            <v>0.5625</v>
          </cell>
          <cell r="U3448" t="str">
            <v>-</v>
          </cell>
        </row>
        <row r="3449">
          <cell r="B3449" t="str">
            <v>V6X6X0.625</v>
          </cell>
          <cell r="C3449">
            <v>7.109375</v>
          </cell>
          <cell r="D3449">
            <v>6</v>
          </cell>
          <cell r="F3449" t="str">
            <v>-</v>
          </cell>
          <cell r="H3449" t="str">
            <v>-</v>
          </cell>
          <cell r="I3449" t="str">
            <v>-</v>
          </cell>
          <cell r="K3449" t="str">
            <v>-</v>
          </cell>
          <cell r="L3449">
            <v>6</v>
          </cell>
          <cell r="M3449">
            <v>8.4852813742385695</v>
          </cell>
          <cell r="O3449" t="str">
            <v>-</v>
          </cell>
          <cell r="T3449">
            <v>0.625</v>
          </cell>
          <cell r="U3449" t="str">
            <v>-</v>
          </cell>
        </row>
        <row r="3450">
          <cell r="B3450" t="str">
            <v>V6X6X0.75</v>
          </cell>
          <cell r="C3450">
            <v>8.4375</v>
          </cell>
          <cell r="D3450">
            <v>6</v>
          </cell>
          <cell r="F3450" t="str">
            <v>-</v>
          </cell>
          <cell r="H3450" t="str">
            <v>-</v>
          </cell>
          <cell r="I3450" t="str">
            <v>-</v>
          </cell>
          <cell r="K3450" t="str">
            <v>-</v>
          </cell>
          <cell r="L3450">
            <v>6</v>
          </cell>
          <cell r="M3450">
            <v>8.4852813742385695</v>
          </cell>
          <cell r="O3450" t="str">
            <v>-</v>
          </cell>
          <cell r="T3450">
            <v>0.75</v>
          </cell>
          <cell r="U3450" t="str">
            <v>-</v>
          </cell>
        </row>
        <row r="3451">
          <cell r="B3451" t="str">
            <v>V6X6X0.875</v>
          </cell>
          <cell r="C3451">
            <v>9.734375</v>
          </cell>
          <cell r="D3451">
            <v>6</v>
          </cell>
          <cell r="F3451" t="str">
            <v>-</v>
          </cell>
          <cell r="H3451" t="str">
            <v>-</v>
          </cell>
          <cell r="I3451" t="str">
            <v>-</v>
          </cell>
          <cell r="K3451" t="str">
            <v>-</v>
          </cell>
          <cell r="L3451">
            <v>6</v>
          </cell>
          <cell r="M3451">
            <v>8.4852813742385695</v>
          </cell>
          <cell r="O3451" t="str">
            <v>-</v>
          </cell>
          <cell r="T3451">
            <v>0.875</v>
          </cell>
          <cell r="U3451" t="str">
            <v>-</v>
          </cell>
        </row>
        <row r="3452">
          <cell r="B3452" t="str">
            <v>V6X6X1</v>
          </cell>
          <cell r="C3452">
            <v>11</v>
          </cell>
          <cell r="D3452">
            <v>6</v>
          </cell>
          <cell r="F3452" t="str">
            <v>-</v>
          </cell>
          <cell r="H3452" t="str">
            <v>-</v>
          </cell>
          <cell r="I3452" t="str">
            <v>-</v>
          </cell>
          <cell r="K3452" t="str">
            <v>-</v>
          </cell>
          <cell r="L3452">
            <v>6</v>
          </cell>
          <cell r="M3452">
            <v>8.4852813742385695</v>
          </cell>
          <cell r="O3452" t="str">
            <v>-</v>
          </cell>
          <cell r="T3452">
            <v>1</v>
          </cell>
          <cell r="U3452" t="str">
            <v>-</v>
          </cell>
        </row>
        <row r="3453">
          <cell r="B3453" t="str">
            <v>V8X8X0.5</v>
          </cell>
          <cell r="C3453">
            <v>7.75</v>
          </cell>
          <cell r="D3453">
            <v>8</v>
          </cell>
          <cell r="F3453" t="str">
            <v>-</v>
          </cell>
          <cell r="H3453" t="str">
            <v>-</v>
          </cell>
          <cell r="I3453" t="str">
            <v>-</v>
          </cell>
          <cell r="K3453" t="str">
            <v>-</v>
          </cell>
          <cell r="L3453">
            <v>8</v>
          </cell>
          <cell r="M3453">
            <v>11.313708498984761</v>
          </cell>
          <cell r="O3453" t="str">
            <v>-</v>
          </cell>
          <cell r="T3453">
            <v>0.5</v>
          </cell>
          <cell r="U3453" t="str">
            <v>-</v>
          </cell>
        </row>
        <row r="3454">
          <cell r="B3454" t="str">
            <v>V8X8X0.5625</v>
          </cell>
          <cell r="C3454">
            <v>8.68359375</v>
          </cell>
          <cell r="D3454">
            <v>8</v>
          </cell>
          <cell r="F3454" t="str">
            <v>-</v>
          </cell>
          <cell r="H3454" t="str">
            <v>-</v>
          </cell>
          <cell r="I3454" t="str">
            <v>-</v>
          </cell>
          <cell r="K3454" t="str">
            <v>-</v>
          </cell>
          <cell r="L3454">
            <v>8</v>
          </cell>
          <cell r="M3454">
            <v>11.313708498984761</v>
          </cell>
          <cell r="O3454" t="str">
            <v>-</v>
          </cell>
          <cell r="T3454">
            <v>0.5625</v>
          </cell>
          <cell r="U3454" t="str">
            <v>-</v>
          </cell>
        </row>
        <row r="3455">
          <cell r="B3455" t="str">
            <v>V8X8X0.625</v>
          </cell>
          <cell r="C3455">
            <v>9.609375</v>
          </cell>
          <cell r="D3455">
            <v>8</v>
          </cell>
          <cell r="F3455" t="str">
            <v>-</v>
          </cell>
          <cell r="H3455" t="str">
            <v>-</v>
          </cell>
          <cell r="I3455" t="str">
            <v>-</v>
          </cell>
          <cell r="K3455" t="str">
            <v>-</v>
          </cell>
          <cell r="L3455">
            <v>8</v>
          </cell>
          <cell r="M3455">
            <v>11.313708498984761</v>
          </cell>
          <cell r="O3455" t="str">
            <v>-</v>
          </cell>
          <cell r="T3455">
            <v>0.625</v>
          </cell>
          <cell r="U3455" t="str">
            <v>-</v>
          </cell>
        </row>
        <row r="3456">
          <cell r="B3456" t="str">
            <v>V8X8X0.75</v>
          </cell>
          <cell r="C3456">
            <v>11.4375</v>
          </cell>
          <cell r="D3456">
            <v>8</v>
          </cell>
          <cell r="F3456" t="str">
            <v>-</v>
          </cell>
          <cell r="H3456" t="str">
            <v>-</v>
          </cell>
          <cell r="I3456" t="str">
            <v>-</v>
          </cell>
          <cell r="K3456" t="str">
            <v>-</v>
          </cell>
          <cell r="L3456">
            <v>8</v>
          </cell>
          <cell r="M3456">
            <v>11.313708498984761</v>
          </cell>
          <cell r="O3456" t="str">
            <v>-</v>
          </cell>
          <cell r="T3456">
            <v>0.75</v>
          </cell>
          <cell r="U3456" t="str">
            <v>-</v>
          </cell>
        </row>
        <row r="3457">
          <cell r="B3457" t="str">
            <v>V8X8X0.875</v>
          </cell>
          <cell r="C3457">
            <v>13.234375</v>
          </cell>
          <cell r="D3457">
            <v>8</v>
          </cell>
          <cell r="F3457" t="str">
            <v>-</v>
          </cell>
          <cell r="H3457" t="str">
            <v>-</v>
          </cell>
          <cell r="I3457" t="str">
            <v>-</v>
          </cell>
          <cell r="K3457" t="str">
            <v>-</v>
          </cell>
          <cell r="L3457">
            <v>8</v>
          </cell>
          <cell r="M3457">
            <v>11.313708498984761</v>
          </cell>
          <cell r="O3457" t="str">
            <v>-</v>
          </cell>
          <cell r="T3457">
            <v>0.875</v>
          </cell>
          <cell r="U3457" t="str">
            <v>-</v>
          </cell>
        </row>
        <row r="3458">
          <cell r="B3458" t="str">
            <v>V8X8X1</v>
          </cell>
          <cell r="C3458">
            <v>15</v>
          </cell>
          <cell r="D3458">
            <v>8</v>
          </cell>
          <cell r="F3458" t="str">
            <v>-</v>
          </cell>
          <cell r="H3458" t="str">
            <v>-</v>
          </cell>
          <cell r="I3458" t="str">
            <v>-</v>
          </cell>
          <cell r="K3458" t="str">
            <v>-</v>
          </cell>
          <cell r="L3458">
            <v>8</v>
          </cell>
          <cell r="M3458">
            <v>11.313708498984761</v>
          </cell>
          <cell r="O3458" t="str">
            <v>-</v>
          </cell>
          <cell r="T3458">
            <v>1</v>
          </cell>
          <cell r="U3458" t="str">
            <v>-</v>
          </cell>
        </row>
        <row r="3459">
          <cell r="B3459" t="str">
            <v>V8X8X1.125</v>
          </cell>
          <cell r="C3459">
            <v>16.734375</v>
          </cell>
          <cell r="D3459">
            <v>8</v>
          </cell>
          <cell r="F3459" t="str">
            <v>-</v>
          </cell>
          <cell r="H3459" t="str">
            <v>-</v>
          </cell>
          <cell r="I3459" t="str">
            <v>-</v>
          </cell>
          <cell r="K3459" t="str">
            <v>-</v>
          </cell>
          <cell r="L3459">
            <v>8</v>
          </cell>
          <cell r="M3459">
            <v>11.313708498984761</v>
          </cell>
          <cell r="O3459" t="str">
            <v>-</v>
          </cell>
          <cell r="T3459">
            <v>1.125</v>
          </cell>
          <cell r="U3459" t="str">
            <v>-</v>
          </cell>
        </row>
        <row r="3460">
          <cell r="B3460" t="str">
            <v>PL3.6875x0.5</v>
          </cell>
          <cell r="C3460">
            <v>1.84375</v>
          </cell>
          <cell r="D3460">
            <v>0.5</v>
          </cell>
          <cell r="F3460"/>
          <cell r="H3460"/>
          <cell r="I3460"/>
          <cell r="K3460"/>
          <cell r="L3460">
            <v>3.6875</v>
          </cell>
          <cell r="M3460">
            <v>3.7212439116510492</v>
          </cell>
          <cell r="O3460"/>
          <cell r="T3460">
            <v>0.5</v>
          </cell>
          <cell r="U3460"/>
        </row>
        <row r="3461">
          <cell r="B3461" t="str">
            <v>PL5x5/8</v>
          </cell>
          <cell r="C3461">
            <v>3.125</v>
          </cell>
          <cell r="D3461">
            <v>0.625</v>
          </cell>
          <cell r="F3461"/>
          <cell r="H3461"/>
          <cell r="I3461"/>
          <cell r="K3461"/>
          <cell r="L3461">
            <v>5</v>
          </cell>
          <cell r="M3461">
            <v>5.0389110926865932</v>
          </cell>
          <cell r="O3461"/>
          <cell r="T3461">
            <v>0.625</v>
          </cell>
          <cell r="U3461"/>
        </row>
        <row r="3462">
          <cell r="B3462" t="str">
            <v>PL1/4x3</v>
          </cell>
          <cell r="C3462">
            <v>0.75</v>
          </cell>
          <cell r="D3462">
            <v>0.25</v>
          </cell>
          <cell r="F3462"/>
          <cell r="H3462"/>
          <cell r="I3462"/>
          <cell r="K3462"/>
          <cell r="L3462">
            <v>3</v>
          </cell>
          <cell r="M3462">
            <v>3.0103986446980739</v>
          </cell>
          <cell r="O3462"/>
          <cell r="T3462">
            <v>0.25</v>
          </cell>
          <cell r="U3462"/>
        </row>
        <row r="3463">
          <cell r="B3463" t="str">
            <v>PL3/8X4</v>
          </cell>
          <cell r="C3463">
            <v>1.5</v>
          </cell>
          <cell r="D3463">
            <v>0.375</v>
          </cell>
          <cell r="F3463"/>
          <cell r="H3463"/>
          <cell r="I3463"/>
          <cell r="K3463"/>
          <cell r="L3463">
            <v>4</v>
          </cell>
          <cell r="M3463">
            <v>4.0175396699970491</v>
          </cell>
          <cell r="O3463"/>
          <cell r="T3463">
            <v>0.375</v>
          </cell>
          <cell r="U3463"/>
        </row>
        <row r="3464">
          <cell r="B3464" t="str">
            <v>HSS4X2X2</v>
          </cell>
          <cell r="C3464">
            <v>1.3</v>
          </cell>
          <cell r="D3464">
            <v>4</v>
          </cell>
          <cell r="F3464"/>
          <cell r="H3464"/>
          <cell r="I3464"/>
          <cell r="K3464"/>
          <cell r="L3464">
            <v>2</v>
          </cell>
          <cell r="M3464">
            <v>4.4721359549995796</v>
          </cell>
          <cell r="O3464"/>
          <cell r="T3464"/>
          <cell r="U3464">
            <v>0.11600000000000001</v>
          </cell>
        </row>
        <row r="3465">
          <cell r="B3465" t="str">
            <v>PL1.75X5/16</v>
          </cell>
          <cell r="C3465">
            <v>0.546875</v>
          </cell>
          <cell r="D3465">
            <v>1.75</v>
          </cell>
          <cell r="F3465"/>
          <cell r="H3465"/>
          <cell r="I3465"/>
          <cell r="K3465"/>
          <cell r="L3465">
            <v>0.3125</v>
          </cell>
          <cell r="M3465">
            <v>1.7776828316659865</v>
          </cell>
          <cell r="O3465"/>
          <cell r="T3465">
            <v>0.3125</v>
          </cell>
          <cell r="U3465"/>
        </row>
        <row r="3466">
          <cell r="B3466" t="str">
            <v>L1.75X1.75X4</v>
          </cell>
          <cell r="C3466">
            <v>0.81299999999999994</v>
          </cell>
          <cell r="D3466">
            <v>1.75</v>
          </cell>
          <cell r="F3466"/>
          <cell r="H3466"/>
          <cell r="I3466"/>
          <cell r="K3466"/>
          <cell r="L3466">
            <v>1.75</v>
          </cell>
          <cell r="M3466">
            <v>2.4748737341529163</v>
          </cell>
          <cell r="O3466"/>
          <cell r="T3466">
            <v>0.25</v>
          </cell>
          <cell r="U3466"/>
        </row>
        <row r="3467">
          <cell r="B3467" t="str">
            <v>PIPE_2.875X0.276</v>
          </cell>
          <cell r="C3467">
            <v>2.254</v>
          </cell>
          <cell r="D3467">
            <v>2.875</v>
          </cell>
          <cell r="F3467"/>
          <cell r="H3467">
            <v>2.875</v>
          </cell>
          <cell r="I3467"/>
          <cell r="K3467"/>
          <cell r="L3467">
            <v>2.875</v>
          </cell>
          <cell r="M3467">
            <v>2.875</v>
          </cell>
          <cell r="O3467"/>
          <cell r="T3467">
            <v>0.27600000000000002</v>
          </cell>
          <cell r="U3467"/>
        </row>
        <row r="3468">
          <cell r="B3468" t="str">
            <v>SR_0.75</v>
          </cell>
          <cell r="C3468">
            <v>0.44178646691106466</v>
          </cell>
          <cell r="D3468">
            <v>0.75</v>
          </cell>
          <cell r="F3468">
            <v>0.75</v>
          </cell>
          <cell r="H3468">
            <v>0.75</v>
          </cell>
          <cell r="I3468"/>
          <cell r="K3468"/>
          <cell r="L3468">
            <v>0.75</v>
          </cell>
          <cell r="M3468">
            <v>0.75</v>
          </cell>
          <cell r="O3468"/>
          <cell r="T3468">
            <v>0.375</v>
          </cell>
          <cell r="U3468"/>
        </row>
        <row r="3469">
          <cell r="B3469" t="str">
            <v>PL5/8X5</v>
          </cell>
          <cell r="C3469">
            <v>3.125</v>
          </cell>
          <cell r="D3469">
            <v>0.625</v>
          </cell>
          <cell r="F3469"/>
          <cell r="H3469"/>
          <cell r="I3469"/>
          <cell r="K3469"/>
          <cell r="L3469">
            <v>5</v>
          </cell>
          <cell r="M3469">
            <v>5.0389110926865932</v>
          </cell>
          <cell r="O3469"/>
          <cell r="T3469">
            <v>0.625</v>
          </cell>
          <cell r="U3469"/>
        </row>
        <row r="3470">
          <cell r="B3470" t="str">
            <v>PL5/8X5</v>
          </cell>
          <cell r="C3470">
            <v>3.125</v>
          </cell>
          <cell r="D3470">
            <v>0.625</v>
          </cell>
          <cell r="F3470"/>
          <cell r="H3470"/>
          <cell r="I3470"/>
          <cell r="K3470"/>
          <cell r="L3470">
            <v>5</v>
          </cell>
          <cell r="M3470">
            <v>5.0389110926865932</v>
          </cell>
          <cell r="O3470"/>
          <cell r="T3470">
            <v>0.625</v>
          </cell>
          <cell r="U3470"/>
        </row>
        <row r="3471">
          <cell r="B3471" t="str">
            <v>PL5/8X4.8</v>
          </cell>
          <cell r="C3471">
            <v>3.024</v>
          </cell>
          <cell r="D3471">
            <v>0.625</v>
          </cell>
          <cell r="F3471"/>
          <cell r="H3471"/>
          <cell r="I3471"/>
          <cell r="K3471"/>
          <cell r="L3471">
            <v>4.8</v>
          </cell>
          <cell r="M3471">
            <v>4.8405190837347183</v>
          </cell>
          <cell r="O3471"/>
          <cell r="T3471">
            <v>0.625</v>
          </cell>
          <cell r="U3471"/>
        </row>
        <row r="3472">
          <cell r="B3472" t="str">
            <v>SR_1.0</v>
          </cell>
          <cell r="C3472">
            <v>0.78539816339744828</v>
          </cell>
          <cell r="D3472">
            <v>1</v>
          </cell>
          <cell r="F3472">
            <v>1</v>
          </cell>
          <cell r="H3472">
            <v>1</v>
          </cell>
          <cell r="I3472"/>
          <cell r="K3472"/>
          <cell r="L3472">
            <v>1</v>
          </cell>
          <cell r="M3472">
            <v>1</v>
          </cell>
          <cell r="O3472"/>
          <cell r="T3472">
            <v>0.5</v>
          </cell>
          <cell r="U3472"/>
        </row>
        <row r="3473">
          <cell r="B3473" t="str">
            <v>L2X3/4X2/16</v>
          </cell>
          <cell r="C3473">
            <v>0.32800000000000001</v>
          </cell>
          <cell r="D3473">
            <v>2</v>
          </cell>
          <cell r="F3473"/>
          <cell r="H3473"/>
          <cell r="I3473"/>
          <cell r="K3473"/>
          <cell r="L3473">
            <v>0.75</v>
          </cell>
          <cell r="M3473">
            <v>2.1360009363293826</v>
          </cell>
          <cell r="O3473"/>
          <cell r="T3473">
            <v>0.125</v>
          </cell>
          <cell r="U3473"/>
        </row>
        <row r="3474">
          <cell r="B3474" t="str">
            <v>PL2X1/2</v>
          </cell>
          <cell r="C3474">
            <v>1</v>
          </cell>
          <cell r="D3474">
            <v>1</v>
          </cell>
          <cell r="F3474"/>
          <cell r="H3474"/>
          <cell r="I3474"/>
          <cell r="K3474"/>
          <cell r="L3474">
            <v>2</v>
          </cell>
          <cell r="M3474">
            <v>2.2360679774997898</v>
          </cell>
          <cell r="O3474"/>
          <cell r="T3474">
            <v>0.5</v>
          </cell>
          <cell r="U3474"/>
        </row>
        <row r="3475">
          <cell r="B3475" t="str">
            <v>P1000UNISTRUT</v>
          </cell>
          <cell r="C3475">
            <v>0.48399999999999999</v>
          </cell>
          <cell r="D3475">
            <v>1.6</v>
          </cell>
          <cell r="F3475"/>
          <cell r="H3475"/>
          <cell r="I3475"/>
          <cell r="K3475"/>
          <cell r="L3475">
            <v>1.6</v>
          </cell>
          <cell r="M3475">
            <v>2.2627416997969525</v>
          </cell>
          <cell r="O3475"/>
          <cell r="T3475">
            <v>0.105</v>
          </cell>
          <cell r="U3475"/>
        </row>
        <row r="3476">
          <cell r="B3476" t="str">
            <v>UNISTRUT_CFA</v>
          </cell>
          <cell r="C3476">
            <v>0.55500000000000005</v>
          </cell>
          <cell r="D3476">
            <v>1.625</v>
          </cell>
          <cell r="F3476"/>
          <cell r="H3476"/>
          <cell r="I3476"/>
          <cell r="K3476"/>
          <cell r="L3476">
            <v>1.625</v>
          </cell>
          <cell r="M3476">
            <v>2.2980970388562794</v>
          </cell>
          <cell r="O3476"/>
          <cell r="T3476">
            <v>0.108</v>
          </cell>
          <cell r="U3476"/>
        </row>
        <row r="3477">
          <cell r="B3477" t="str">
            <v>2C4X5.4X0</v>
          </cell>
          <cell r="C3477">
            <v>3.16</v>
          </cell>
          <cell r="D3477">
            <v>4</v>
          </cell>
          <cell r="F3477" t="str">
            <v>-</v>
          </cell>
          <cell r="H3477" t="str">
            <v>-</v>
          </cell>
          <cell r="I3477">
            <v>3.25</v>
          </cell>
          <cell r="K3477" t="str">
            <v>-</v>
          </cell>
          <cell r="L3477" t="str">
            <v>-</v>
          </cell>
          <cell r="M3477">
            <v>5.153882032022076</v>
          </cell>
          <cell r="O3477">
            <v>0.184</v>
          </cell>
          <cell r="T3477" t="str">
            <v>-</v>
          </cell>
          <cell r="U3477"/>
        </row>
        <row r="3478">
          <cell r="B3478" t="str">
            <v>C4X5.4</v>
          </cell>
          <cell r="C3478">
            <v>1.58</v>
          </cell>
          <cell r="D3478">
            <v>4</v>
          </cell>
          <cell r="F3478" t="str">
            <v>-</v>
          </cell>
          <cell r="H3478" t="str">
            <v>-</v>
          </cell>
          <cell r="I3478">
            <v>1.58</v>
          </cell>
          <cell r="K3478" t="str">
            <v>-</v>
          </cell>
          <cell r="L3478" t="str">
            <v>-</v>
          </cell>
          <cell r="M3478">
            <v>4.3007441216608084</v>
          </cell>
          <cell r="O3478">
            <v>0.184</v>
          </cell>
          <cell r="T3478" t="str">
            <v>-</v>
          </cell>
          <cell r="U3478"/>
        </row>
        <row r="3479">
          <cell r="B3479" t="str">
            <v>PL3X.5</v>
          </cell>
          <cell r="C3479">
            <v>1.125</v>
          </cell>
          <cell r="D3479">
            <v>0.5</v>
          </cell>
          <cell r="F3479"/>
          <cell r="H3479"/>
          <cell r="I3479"/>
          <cell r="K3479"/>
          <cell r="L3479">
            <v>3</v>
          </cell>
          <cell r="M3479">
            <v>3.0413812651491097</v>
          </cell>
          <cell r="O3479"/>
          <cell r="T3479">
            <v>0.5</v>
          </cell>
          <cell r="U3479">
            <v>0.5</v>
          </cell>
        </row>
        <row r="3480">
          <cell r="B3480" t="str">
            <v>SR1ROOT</v>
          </cell>
          <cell r="C3480">
            <v>0.58799999999999997</v>
          </cell>
          <cell r="D3480">
            <v>1</v>
          </cell>
          <cell r="F3480">
            <v>1</v>
          </cell>
          <cell r="H3480"/>
          <cell r="I3480"/>
          <cell r="K3480"/>
          <cell r="L3480">
            <v>1</v>
          </cell>
          <cell r="M3480">
            <v>1</v>
          </cell>
          <cell r="O3480"/>
          <cell r="T3480">
            <v>0.5</v>
          </cell>
          <cell r="U3480">
            <v>0.5</v>
          </cell>
        </row>
        <row r="3481">
          <cell r="B3481" t="str">
            <v>PL4X.25</v>
          </cell>
          <cell r="C3481">
            <v>1</v>
          </cell>
          <cell r="D3481">
            <v>0.25</v>
          </cell>
          <cell r="F3481"/>
          <cell r="H3481"/>
          <cell r="I3481"/>
          <cell r="K3481"/>
          <cell r="L3481">
            <v>4</v>
          </cell>
          <cell r="M3481">
            <v>4.0078048854703496</v>
          </cell>
          <cell r="O3481"/>
          <cell r="T3481">
            <v>0.25</v>
          </cell>
          <cell r="U3481">
            <v>0.25</v>
          </cell>
        </row>
        <row r="3482">
          <cell r="B3482" t="str">
            <v>PL2X.25</v>
          </cell>
          <cell r="C3482">
            <v>0.5</v>
          </cell>
          <cell r="D3482">
            <v>0.25</v>
          </cell>
          <cell r="F3482"/>
          <cell r="H3482"/>
          <cell r="I3482"/>
          <cell r="K3482"/>
          <cell r="L3482">
            <v>2</v>
          </cell>
          <cell r="M3482">
            <v>2.0155644370746373</v>
          </cell>
          <cell r="O3482"/>
          <cell r="T3482">
            <v>0.25</v>
          </cell>
          <cell r="U3482">
            <v>0.25</v>
          </cell>
        </row>
        <row r="3483">
          <cell r="B3483" t="str">
            <v>PL2.5X.375</v>
          </cell>
          <cell r="C3483">
            <v>0.9375</v>
          </cell>
          <cell r="D3483">
            <v>0.375</v>
          </cell>
          <cell r="F3483"/>
          <cell r="H3483"/>
          <cell r="I3483"/>
          <cell r="K3483"/>
          <cell r="L3483">
            <v>2.5</v>
          </cell>
          <cell r="M3483">
            <v>2.5279685520195856</v>
          </cell>
          <cell r="O3483"/>
          <cell r="T3483">
            <v>0.375</v>
          </cell>
          <cell r="U3483">
            <v>0.375</v>
          </cell>
        </row>
        <row r="3484">
          <cell r="B3484" t="str">
            <v>SR_0.625</v>
          </cell>
          <cell r="C3484">
            <v>0.30679615757712825</v>
          </cell>
          <cell r="D3484">
            <v>0.625</v>
          </cell>
          <cell r="F3484">
            <v>0.625</v>
          </cell>
          <cell r="H3484"/>
          <cell r="I3484"/>
          <cell r="K3484"/>
          <cell r="L3484">
            <v>0.625</v>
          </cell>
          <cell r="M3484">
            <v>0.625</v>
          </cell>
          <cell r="O3484"/>
          <cell r="T3484"/>
          <cell r="U3484"/>
        </row>
        <row r="3485">
          <cell r="B3485" t="str">
            <v>SR0.75</v>
          </cell>
          <cell r="C3485">
            <v>0.44178646691106466</v>
          </cell>
          <cell r="D3485">
            <v>0.75</v>
          </cell>
          <cell r="F3485">
            <v>0.75</v>
          </cell>
          <cell r="H3485"/>
          <cell r="I3485"/>
          <cell r="K3485"/>
          <cell r="L3485">
            <v>0.75</v>
          </cell>
          <cell r="M3485">
            <v>0.75</v>
          </cell>
          <cell r="O3485"/>
          <cell r="T3485">
            <v>0.375</v>
          </cell>
          <cell r="U3485">
            <v>0.375</v>
          </cell>
        </row>
        <row r="3486">
          <cell r="B3486" t="str">
            <v>PL6X3/16X1/4</v>
          </cell>
          <cell r="C3486">
            <v>1.5</v>
          </cell>
          <cell r="D3486">
            <v>0.25</v>
          </cell>
          <cell r="F3486"/>
          <cell r="H3486"/>
          <cell r="I3486"/>
          <cell r="K3486"/>
          <cell r="L3486">
            <v>6</v>
          </cell>
          <cell r="M3486">
            <v>6.0052060747321567</v>
          </cell>
          <cell r="O3486"/>
          <cell r="T3486">
            <v>0.25</v>
          </cell>
          <cell r="U3486">
            <v>0.25</v>
          </cell>
        </row>
        <row r="3487">
          <cell r="B3487" t="str">
            <v>PL1/2X6</v>
          </cell>
          <cell r="C3487">
            <v>3</v>
          </cell>
          <cell r="D3487">
            <v>0.5</v>
          </cell>
          <cell r="F3487"/>
          <cell r="H3487"/>
          <cell r="I3487"/>
          <cell r="K3487"/>
          <cell r="L3487">
            <v>6</v>
          </cell>
          <cell r="M3487">
            <v>6.0207972893961479</v>
          </cell>
          <cell r="O3487"/>
          <cell r="T3487">
            <v>0.5</v>
          </cell>
          <cell r="U3487">
            <v>0.5</v>
          </cell>
        </row>
        <row r="3488">
          <cell r="B3488" t="str">
            <v>PL5/8X6</v>
          </cell>
          <cell r="C3488">
            <v>3.75</v>
          </cell>
          <cell r="D3488">
            <v>0.625</v>
          </cell>
          <cell r="F3488"/>
          <cell r="H3488"/>
          <cell r="I3488"/>
          <cell r="K3488"/>
          <cell r="L3488">
            <v>6</v>
          </cell>
          <cell r="M3488">
            <v>6.0324642560068273</v>
          </cell>
          <cell r="O3488"/>
          <cell r="T3488">
            <v>0.625</v>
          </cell>
          <cell r="U3488">
            <v>0.625</v>
          </cell>
        </row>
        <row r="3489">
          <cell r="B3489" t="str">
            <v>PL1/2X3.6875</v>
          </cell>
          <cell r="C3489">
            <v>1.84375</v>
          </cell>
          <cell r="D3489">
            <v>0.5</v>
          </cell>
          <cell r="F3489"/>
          <cell r="H3489"/>
          <cell r="I3489"/>
          <cell r="K3489"/>
          <cell r="L3489">
            <v>3.6875</v>
          </cell>
          <cell r="M3489">
            <v>3.7212439116510492</v>
          </cell>
          <cell r="O3489"/>
          <cell r="T3489">
            <v>0.5</v>
          </cell>
          <cell r="U3489">
            <v>0.5</v>
          </cell>
        </row>
        <row r="3490">
          <cell r="B3490" t="str">
            <v>PL6x.375</v>
          </cell>
          <cell r="C3490">
            <v>2.25</v>
          </cell>
          <cell r="D3490">
            <v>0.375</v>
          </cell>
          <cell r="F3490"/>
          <cell r="H3490"/>
          <cell r="I3490"/>
          <cell r="K3490"/>
          <cell r="L3490">
            <v>6</v>
          </cell>
          <cell r="M3490">
            <v>6.0117073282055244</v>
          </cell>
          <cell r="O3490"/>
          <cell r="T3490">
            <v>0.375</v>
          </cell>
          <cell r="U3490">
            <v>0.375</v>
          </cell>
        </row>
        <row r="3491">
          <cell r="B3491" t="str">
            <v>PL4x.375</v>
          </cell>
          <cell r="C3491">
            <v>1.5</v>
          </cell>
          <cell r="D3491">
            <v>0.375</v>
          </cell>
          <cell r="F3491"/>
          <cell r="H3491"/>
          <cell r="I3491"/>
          <cell r="K3491"/>
          <cell r="L3491">
            <v>4</v>
          </cell>
          <cell r="M3491">
            <v>4.0175396699970491</v>
          </cell>
          <cell r="O3491"/>
          <cell r="T3491">
            <v>0.375</v>
          </cell>
          <cell r="U3491">
            <v>0.375</v>
          </cell>
        </row>
        <row r="3492">
          <cell r="B3492" t="str">
            <v>PL4X1/4</v>
          </cell>
          <cell r="C3492">
            <v>1</v>
          </cell>
          <cell r="D3492">
            <v>0.25</v>
          </cell>
          <cell r="F3492"/>
          <cell r="H3492"/>
          <cell r="I3492"/>
          <cell r="K3492"/>
          <cell r="L3492">
            <v>4</v>
          </cell>
          <cell r="M3492">
            <v>4.0078048854703496</v>
          </cell>
          <cell r="O3492"/>
          <cell r="T3492"/>
          <cell r="U3492"/>
        </row>
        <row r="3493">
          <cell r="B3493" t="str">
            <v>SP250</v>
          </cell>
          <cell r="C3493">
            <v>0.1875</v>
          </cell>
          <cell r="D3493">
            <v>14</v>
          </cell>
          <cell r="F3493"/>
          <cell r="H3493"/>
          <cell r="I3493"/>
          <cell r="K3493"/>
          <cell r="L3493">
            <v>14</v>
          </cell>
          <cell r="M3493">
            <v>19.798989873223331</v>
          </cell>
          <cell r="O3493"/>
          <cell r="T3493">
            <v>0.1875</v>
          </cell>
          <cell r="U3493">
            <v>0.1875</v>
          </cell>
        </row>
        <row r="3494">
          <cell r="B3494" t="str">
            <v>PL5.5X0.5</v>
          </cell>
          <cell r="C3494">
            <v>2.75</v>
          </cell>
          <cell r="D3494">
            <v>0.5</v>
          </cell>
          <cell r="F3494"/>
          <cell r="H3494"/>
          <cell r="I3494"/>
          <cell r="K3494"/>
          <cell r="L3494">
            <v>5</v>
          </cell>
          <cell r="M3494">
            <v>5.024937810560445</v>
          </cell>
          <cell r="O3494"/>
          <cell r="T3494">
            <v>0.5</v>
          </cell>
          <cell r="U3494">
            <v>0.5</v>
          </cell>
        </row>
        <row r="3495">
          <cell r="B3495" t="str">
            <v>SR_0.5</v>
          </cell>
          <cell r="C3495">
            <v>0.19634954084936207</v>
          </cell>
          <cell r="D3495">
            <v>0.5</v>
          </cell>
          <cell r="F3495">
            <v>0.5</v>
          </cell>
          <cell r="H3495">
            <v>0.5</v>
          </cell>
          <cell r="I3495"/>
          <cell r="K3495"/>
          <cell r="L3495">
            <v>0.5</v>
          </cell>
          <cell r="M3495">
            <v>0.5</v>
          </cell>
          <cell r="O3495"/>
          <cell r="T3495">
            <v>0.5</v>
          </cell>
          <cell r="U3495"/>
        </row>
        <row r="3496">
          <cell r="B3496" t="str">
            <v>PL1.5X1/4</v>
          </cell>
          <cell r="C3496">
            <v>1.7671458676442586</v>
          </cell>
          <cell r="D3496">
            <v>1.5</v>
          </cell>
          <cell r="F3496"/>
          <cell r="H3496"/>
          <cell r="I3496"/>
          <cell r="K3496"/>
          <cell r="L3496">
            <v>0.25</v>
          </cell>
          <cell r="M3496">
            <v>1.5206906325745548</v>
          </cell>
          <cell r="O3496"/>
          <cell r="T3496">
            <v>0.25</v>
          </cell>
          <cell r="U3496"/>
        </row>
        <row r="3497">
          <cell r="B3497" t="str">
            <v>PL9X3/8</v>
          </cell>
          <cell r="C3497">
            <v>2.75</v>
          </cell>
          <cell r="D3497">
            <v>9</v>
          </cell>
          <cell r="F3497"/>
          <cell r="H3497"/>
          <cell r="I3497"/>
          <cell r="K3497"/>
          <cell r="L3497">
            <v>0.375</v>
          </cell>
          <cell r="M3497">
            <v>9.0078091120982346</v>
          </cell>
          <cell r="O3497"/>
          <cell r="T3497">
            <v>0.375</v>
          </cell>
          <cell r="U3497"/>
        </row>
        <row r="3498">
          <cell r="B3498" t="str">
            <v>L1.5X2X1/4</v>
          </cell>
          <cell r="C3498">
            <v>0.32800000000000001</v>
          </cell>
          <cell r="D3498">
            <v>1.5</v>
          </cell>
          <cell r="F3498"/>
          <cell r="H3498"/>
          <cell r="I3498"/>
          <cell r="K3498"/>
          <cell r="L3498">
            <v>2</v>
          </cell>
          <cell r="M3498">
            <v>2.5</v>
          </cell>
          <cell r="O3498"/>
          <cell r="T3498">
            <v>0.25</v>
          </cell>
          <cell r="U3498"/>
        </row>
        <row r="3499">
          <cell r="B3499" t="str">
            <v>.625THREADEDROD</v>
          </cell>
          <cell r="C3499">
            <v>0.218</v>
          </cell>
          <cell r="D3499">
            <v>0.625</v>
          </cell>
          <cell r="F3499">
            <v>0.625</v>
          </cell>
          <cell r="H3499">
            <v>0.625</v>
          </cell>
          <cell r="I3499"/>
          <cell r="K3499"/>
          <cell r="L3499">
            <v>0.625</v>
          </cell>
          <cell r="M3499">
            <v>0.88388347648318444</v>
          </cell>
          <cell r="O3499"/>
          <cell r="T3499">
            <v>0.3125</v>
          </cell>
          <cell r="U3499">
            <v>0.3125</v>
          </cell>
        </row>
        <row r="3500">
          <cell r="B3500" t="str">
            <v>L1.75x1.75x3</v>
          </cell>
          <cell r="C3500">
            <v>0.621</v>
          </cell>
          <cell r="D3500">
            <v>1.75</v>
          </cell>
          <cell r="F3500">
            <v>1.75</v>
          </cell>
          <cell r="H3500"/>
          <cell r="I3500"/>
          <cell r="K3500"/>
          <cell r="L3500">
            <v>1.75</v>
          </cell>
          <cell r="M3500">
            <v>2.4748737341529163</v>
          </cell>
          <cell r="O3500"/>
          <cell r="T3500">
            <v>0.1875</v>
          </cell>
          <cell r="U3500"/>
        </row>
        <row r="3501">
          <cell r="B3501" t="str">
            <v>L1.75X1.75X3</v>
          </cell>
          <cell r="C3501">
            <v>0.621</v>
          </cell>
          <cell r="D3501">
            <v>1.75</v>
          </cell>
          <cell r="F3501">
            <v>1.75</v>
          </cell>
          <cell r="H3501"/>
          <cell r="I3501"/>
          <cell r="K3501"/>
          <cell r="L3501">
            <v>1.75</v>
          </cell>
          <cell r="M3501">
            <v>2.4748737341529163</v>
          </cell>
          <cell r="O3501"/>
          <cell r="T3501">
            <v>0.1875</v>
          </cell>
          <cell r="U3501"/>
        </row>
        <row r="3502">
          <cell r="B3502" t="str">
            <v>PL2X5/8</v>
          </cell>
          <cell r="C3502">
            <v>1.25</v>
          </cell>
          <cell r="D3502">
            <v>2</v>
          </cell>
          <cell r="F3502"/>
          <cell r="H3502"/>
          <cell r="I3502"/>
          <cell r="K3502"/>
          <cell r="L3502">
            <v>0.625</v>
          </cell>
          <cell r="M3502">
            <v>2.0953818267800264</v>
          </cell>
          <cell r="O3502"/>
          <cell r="T3502">
            <v>0.625</v>
          </cell>
          <cell r="U3502"/>
        </row>
        <row r="3503">
          <cell r="B3503" t="str">
            <v>W8.5X8X0.438X0.375W</v>
          </cell>
          <cell r="C3503">
            <v>9.8670000000000009</v>
          </cell>
          <cell r="D3503">
            <v>8.5</v>
          </cell>
          <cell r="F3503"/>
          <cell r="H3503"/>
          <cell r="I3503">
            <v>8</v>
          </cell>
          <cell r="K3503"/>
          <cell r="L3503">
            <v>8</v>
          </cell>
          <cell r="M3503">
            <v>11.672617529928752</v>
          </cell>
          <cell r="O3503">
            <v>0.375</v>
          </cell>
          <cell r="T3503"/>
          <cell r="U3503"/>
        </row>
        <row r="3504">
          <cell r="B3504" t="str">
            <v>CH2.75X12X0.4375X0.15625W</v>
          </cell>
          <cell r="C3504">
            <v>4.1440000000000001</v>
          </cell>
          <cell r="D3504">
            <v>12</v>
          </cell>
          <cell r="F3504"/>
          <cell r="H3504"/>
          <cell r="I3504">
            <v>2.75</v>
          </cell>
          <cell r="K3504"/>
          <cell r="L3504">
            <v>2.75</v>
          </cell>
          <cell r="M3504">
            <v>12.311072252245131</v>
          </cell>
          <cell r="O3504">
            <v>0.156</v>
          </cell>
          <cell r="T3504"/>
          <cell r="U3504"/>
        </row>
        <row r="3505">
          <cell r="B3505" t="str">
            <v>W8X8X0.313X0.313W</v>
          </cell>
          <cell r="C3505">
            <v>7.3159999999999998</v>
          </cell>
          <cell r="D3505">
            <v>8</v>
          </cell>
          <cell r="F3505"/>
          <cell r="H3505"/>
          <cell r="I3505">
            <v>8</v>
          </cell>
          <cell r="K3505"/>
          <cell r="L3505">
            <v>8</v>
          </cell>
          <cell r="M3505">
            <v>11.313708498984761</v>
          </cell>
          <cell r="O3505">
            <v>0.313</v>
          </cell>
          <cell r="T3505"/>
          <cell r="U3505"/>
        </row>
        <row r="3506">
          <cell r="B3506" t="str">
            <v>W8.25X8.25X0.563X0.438W</v>
          </cell>
          <cell r="C3506">
            <v>12.41</v>
          </cell>
          <cell r="D3506">
            <v>8.25</v>
          </cell>
          <cell r="F3506"/>
          <cell r="H3506"/>
          <cell r="I3506">
            <v>8.25</v>
          </cell>
          <cell r="K3506"/>
          <cell r="L3506">
            <v>8.25</v>
          </cell>
          <cell r="M3506">
            <v>11.667261889578034</v>
          </cell>
          <cell r="O3506">
            <v>0.438</v>
          </cell>
          <cell r="T3506"/>
          <cell r="U3506"/>
        </row>
        <row r="3507">
          <cell r="B3507" t="str">
            <v>PL6X3/8</v>
          </cell>
          <cell r="C3507">
            <v>2.25</v>
          </cell>
          <cell r="D3507">
            <v>6</v>
          </cell>
          <cell r="F3507">
            <v>0.375</v>
          </cell>
          <cell r="H3507"/>
          <cell r="I3507"/>
          <cell r="K3507"/>
          <cell r="L3507">
            <v>0.375</v>
          </cell>
          <cell r="M3507">
            <v>6.0117073282055244</v>
          </cell>
          <cell r="O3507"/>
          <cell r="T3507">
            <v>0.375</v>
          </cell>
          <cell r="U3507"/>
        </row>
        <row r="3508">
          <cell r="B3508" t="str">
            <v>SR3/4</v>
          </cell>
          <cell r="C3508">
            <v>0.442</v>
          </cell>
          <cell r="D3508">
            <v>0.75</v>
          </cell>
          <cell r="F3508">
            <v>0.75</v>
          </cell>
          <cell r="H3508">
            <v>0.75</v>
          </cell>
          <cell r="I3508"/>
          <cell r="K3508"/>
          <cell r="L3508">
            <v>0.75</v>
          </cell>
          <cell r="M3508">
            <v>1.0606601717798212</v>
          </cell>
          <cell r="O3508">
            <v>0.375</v>
          </cell>
          <cell r="T3508">
            <v>0.375</v>
          </cell>
          <cell r="U3508"/>
        </row>
        <row r="3509">
          <cell r="B3509" t="str">
            <v>SR11/4</v>
          </cell>
          <cell r="C3509">
            <v>1.2270000000000001</v>
          </cell>
          <cell r="D3509">
            <v>1.25</v>
          </cell>
          <cell r="F3509">
            <v>1.25</v>
          </cell>
          <cell r="H3509">
            <v>1.25</v>
          </cell>
          <cell r="I3509"/>
          <cell r="K3509"/>
          <cell r="L3509">
            <v>1.25</v>
          </cell>
          <cell r="M3509">
            <v>1.7677669529663689</v>
          </cell>
          <cell r="O3509">
            <v>0.625</v>
          </cell>
          <cell r="T3509">
            <v>0.625</v>
          </cell>
          <cell r="U3509"/>
        </row>
        <row r="3510">
          <cell r="B3510" t="str">
            <v>SR7/8</v>
          </cell>
          <cell r="C3510">
            <v>0.60099999999999998</v>
          </cell>
          <cell r="D3510">
            <v>0.875</v>
          </cell>
          <cell r="F3510">
            <v>0.875</v>
          </cell>
          <cell r="H3510">
            <v>0.875</v>
          </cell>
          <cell r="I3510"/>
          <cell r="K3510"/>
          <cell r="L3510">
            <v>0.875</v>
          </cell>
          <cell r="M3510">
            <v>1.2374368670764582</v>
          </cell>
          <cell r="O3510">
            <v>0.4375</v>
          </cell>
          <cell r="T3510">
            <v>0.4375</v>
          </cell>
          <cell r="U3510"/>
        </row>
        <row r="3511">
          <cell r="B3511" t="str">
            <v>SR11/2</v>
          </cell>
          <cell r="C3511">
            <v>1.7669999999999999</v>
          </cell>
          <cell r="D3511">
            <v>1.5</v>
          </cell>
          <cell r="F3511">
            <v>1.5</v>
          </cell>
          <cell r="H3511">
            <v>1.5</v>
          </cell>
          <cell r="I3511"/>
          <cell r="K3511"/>
          <cell r="L3511">
            <v>1.5</v>
          </cell>
          <cell r="M3511">
            <v>2.1213203435596424</v>
          </cell>
          <cell r="O3511">
            <v>0.75</v>
          </cell>
          <cell r="T3511">
            <v>0.75</v>
          </cell>
          <cell r="U3511"/>
        </row>
        <row r="3512">
          <cell r="B3512" t="str">
            <v>W_8.25X8X0.438X0.438W</v>
          </cell>
          <cell r="C3512">
            <v>10.238</v>
          </cell>
          <cell r="D3512">
            <v>8.25</v>
          </cell>
          <cell r="F3512"/>
          <cell r="H3512"/>
          <cell r="I3512">
            <v>8</v>
          </cell>
          <cell r="K3512"/>
          <cell r="L3512">
            <v>8</v>
          </cell>
          <cell r="M3512">
            <v>11.491844934561204</v>
          </cell>
          <cell r="O3512">
            <v>0.438</v>
          </cell>
          <cell r="T3512"/>
          <cell r="U3512"/>
        </row>
        <row r="3513">
          <cell r="B3513" t="str">
            <v>W_8.5X8X0.438X0.375W</v>
          </cell>
          <cell r="C3513">
            <v>9.8670000000000009</v>
          </cell>
          <cell r="D3513">
            <v>8.5</v>
          </cell>
          <cell r="F3513"/>
          <cell r="H3513"/>
          <cell r="I3513">
            <v>8</v>
          </cell>
          <cell r="K3513"/>
          <cell r="L3513">
            <v>8</v>
          </cell>
          <cell r="M3513">
            <v>11.672617529928752</v>
          </cell>
          <cell r="O3513">
            <v>0.375</v>
          </cell>
          <cell r="T3513"/>
          <cell r="U3513"/>
        </row>
        <row r="3514">
          <cell r="B3514" t="str">
            <v>CH_2.75X12X0.4375X0.15625W</v>
          </cell>
          <cell r="C3514">
            <v>4.1440000000000001</v>
          </cell>
          <cell r="D3514">
            <v>12</v>
          </cell>
          <cell r="F3514"/>
          <cell r="H3514"/>
          <cell r="I3514">
            <v>2.75</v>
          </cell>
          <cell r="K3514"/>
          <cell r="L3514">
            <v>2.75</v>
          </cell>
          <cell r="M3514">
            <v>12.311072252245131</v>
          </cell>
          <cell r="O3514">
            <v>0.156</v>
          </cell>
          <cell r="T3514"/>
          <cell r="U3514"/>
        </row>
        <row r="3515">
          <cell r="B3515" t="str">
            <v>W_8X8X0.313X0.313W</v>
          </cell>
          <cell r="C3515">
            <v>7.3159999999999998</v>
          </cell>
          <cell r="D3515">
            <v>8</v>
          </cell>
          <cell r="F3515"/>
          <cell r="H3515"/>
          <cell r="I3515">
            <v>8</v>
          </cell>
          <cell r="K3515"/>
          <cell r="L3515">
            <v>8</v>
          </cell>
          <cell r="M3515">
            <v>11.313708498984761</v>
          </cell>
          <cell r="O3515">
            <v>0.313</v>
          </cell>
          <cell r="T3515"/>
          <cell r="U3515"/>
        </row>
        <row r="3516">
          <cell r="B3516" t="str">
            <v>W_8.25X8.25X0.563X0.438W</v>
          </cell>
          <cell r="C3516">
            <v>12.41</v>
          </cell>
          <cell r="D3516">
            <v>8.25</v>
          </cell>
          <cell r="F3516"/>
          <cell r="H3516"/>
          <cell r="I3516">
            <v>8.25</v>
          </cell>
          <cell r="K3516"/>
          <cell r="L3516">
            <v>8.25</v>
          </cell>
          <cell r="M3516">
            <v>11.667261889578034</v>
          </cell>
          <cell r="O3516">
            <v>0.438</v>
          </cell>
          <cell r="T3516"/>
          <cell r="U3516"/>
        </row>
        <row r="3517">
          <cell r="B3517" t="str">
            <v>SR13/4</v>
          </cell>
          <cell r="C3517">
            <v>2.4049999999999998</v>
          </cell>
          <cell r="D3517">
            <v>1.75</v>
          </cell>
          <cell r="F3517">
            <v>1.75</v>
          </cell>
          <cell r="H3517">
            <v>1.75</v>
          </cell>
          <cell r="I3517"/>
          <cell r="K3517"/>
          <cell r="L3517">
            <v>1.75</v>
          </cell>
          <cell r="M3517">
            <v>2.4748737341529163</v>
          </cell>
          <cell r="O3517">
            <v>0.875</v>
          </cell>
          <cell r="T3517">
            <v>0.875</v>
          </cell>
          <cell r="U3517"/>
        </row>
        <row r="3518">
          <cell r="B3518" t="str">
            <v>PL8x.25</v>
          </cell>
          <cell r="C3518">
            <v>2</v>
          </cell>
          <cell r="D3518">
            <v>8</v>
          </cell>
          <cell r="F3518">
            <v>0.25</v>
          </cell>
          <cell r="H3518">
            <v>0.25</v>
          </cell>
          <cell r="I3518"/>
          <cell r="K3518"/>
          <cell r="L3518">
            <v>0.25</v>
          </cell>
          <cell r="M3518">
            <v>8.0039052967910607</v>
          </cell>
          <cell r="O3518"/>
          <cell r="T3518">
            <v>0.25</v>
          </cell>
          <cell r="U3518"/>
        </row>
        <row r="3519">
          <cell r="B3519" t="str">
            <v>L2X1.5X.25</v>
          </cell>
          <cell r="C3519">
            <v>0.8125</v>
          </cell>
          <cell r="D3519">
            <v>1.5</v>
          </cell>
          <cell r="F3519">
            <v>2</v>
          </cell>
          <cell r="H3519"/>
          <cell r="I3519"/>
          <cell r="K3519"/>
          <cell r="L3519">
            <v>1.5</v>
          </cell>
          <cell r="M3519">
            <v>2.1213203435596424</v>
          </cell>
          <cell r="O3519"/>
          <cell r="T3519">
            <v>0.25</v>
          </cell>
          <cell r="U3519"/>
        </row>
        <row r="3520">
          <cell r="B3520" t="str">
            <v>PL1.5X0.25</v>
          </cell>
          <cell r="C3520">
            <v>0.375</v>
          </cell>
          <cell r="D3520">
            <v>1.5</v>
          </cell>
          <cell r="F3520">
            <v>0.25</v>
          </cell>
          <cell r="H3520">
            <v>0.25</v>
          </cell>
          <cell r="I3520"/>
          <cell r="K3520"/>
          <cell r="L3520">
            <v>0.25</v>
          </cell>
          <cell r="M3520">
            <v>1.5206906325745548</v>
          </cell>
          <cell r="O3520"/>
          <cell r="T3520">
            <v>0.25</v>
          </cell>
          <cell r="U3520"/>
        </row>
        <row r="3521">
          <cell r="B3521" t="str">
            <v>PL9X.375</v>
          </cell>
          <cell r="C3521">
            <v>3.375</v>
          </cell>
          <cell r="D3521">
            <v>9</v>
          </cell>
          <cell r="F3521">
            <v>0.375</v>
          </cell>
          <cell r="H3521">
            <v>0.375</v>
          </cell>
          <cell r="I3521"/>
          <cell r="K3521"/>
          <cell r="L3521">
            <v>0.375</v>
          </cell>
          <cell r="M3521">
            <v>9.0078091120982346</v>
          </cell>
          <cell r="O3521"/>
          <cell r="T3521">
            <v>0.375</v>
          </cell>
          <cell r="U3521"/>
        </row>
        <row r="3522">
          <cell r="B3522" t="str">
            <v>P1000</v>
          </cell>
          <cell r="C3522">
            <v>0.54800000000000004</v>
          </cell>
          <cell r="D3522">
            <v>1.625</v>
          </cell>
          <cell r="F3522">
            <v>1.625</v>
          </cell>
          <cell r="H3522">
            <v>1.625</v>
          </cell>
          <cell r="I3522">
            <v>1.625</v>
          </cell>
          <cell r="K3522">
            <v>1.625</v>
          </cell>
          <cell r="L3522">
            <v>1.625</v>
          </cell>
          <cell r="M3522">
            <v>2.2980970388562794</v>
          </cell>
          <cell r="O3522">
            <v>0.109</v>
          </cell>
          <cell r="T3522">
            <v>0.109</v>
          </cell>
          <cell r="U3522">
            <v>0.109</v>
          </cell>
        </row>
        <row r="3523">
          <cell r="B3523" t="str">
            <v>P1000_CFA</v>
          </cell>
          <cell r="C3523">
            <v>0.54800000000000004</v>
          </cell>
          <cell r="D3523">
            <v>1.625</v>
          </cell>
          <cell r="F3523">
            <v>1.625</v>
          </cell>
          <cell r="H3523">
            <v>1.625</v>
          </cell>
          <cell r="I3523">
            <v>1.625</v>
          </cell>
          <cell r="K3523">
            <v>1.625</v>
          </cell>
          <cell r="L3523">
            <v>1.625</v>
          </cell>
          <cell r="M3523">
            <v>2.2980970388562794</v>
          </cell>
          <cell r="O3523">
            <v>0.109</v>
          </cell>
          <cell r="T3523">
            <v>0.109</v>
          </cell>
          <cell r="U3523">
            <v>0.109</v>
          </cell>
        </row>
        <row r="3524">
          <cell r="B3524" t="str">
            <v>PL6X0.5</v>
          </cell>
          <cell r="C3524">
            <v>3</v>
          </cell>
          <cell r="D3524">
            <v>6</v>
          </cell>
          <cell r="F3524">
            <v>0.5</v>
          </cell>
          <cell r="H3524"/>
          <cell r="I3524"/>
          <cell r="K3524"/>
          <cell r="L3524">
            <v>0.5</v>
          </cell>
          <cell r="M3524">
            <v>6.0207972893961479</v>
          </cell>
          <cell r="O3524">
            <v>0.5</v>
          </cell>
          <cell r="T3524">
            <v>0.5</v>
          </cell>
          <cell r="U3524">
            <v>0.5</v>
          </cell>
        </row>
        <row r="3525">
          <cell r="B3525" t="str">
            <v>UNISTRUT_CFA</v>
          </cell>
          <cell r="C3525">
            <v>0.41299999999999998</v>
          </cell>
          <cell r="D3525">
            <v>1.625</v>
          </cell>
          <cell r="F3525">
            <v>1.625</v>
          </cell>
          <cell r="H3525">
            <v>0.105</v>
          </cell>
          <cell r="I3525"/>
          <cell r="K3525"/>
          <cell r="L3525">
            <v>1.625</v>
          </cell>
          <cell r="M3525">
            <v>2.2980970388562794</v>
          </cell>
          <cell r="O3525"/>
          <cell r="T3525"/>
          <cell r="U3525"/>
        </row>
        <row r="3526">
          <cell r="B3526" t="str">
            <v>PL1/4X6</v>
          </cell>
          <cell r="C3526">
            <v>1.5</v>
          </cell>
          <cell r="D3526">
            <v>6</v>
          </cell>
          <cell r="F3526">
            <v>0.25</v>
          </cell>
          <cell r="H3526"/>
          <cell r="I3526"/>
          <cell r="K3526"/>
          <cell r="L3526">
            <v>0.25</v>
          </cell>
          <cell r="M3526">
            <v>6.0052060747321567</v>
          </cell>
          <cell r="O3526">
            <v>0.25</v>
          </cell>
          <cell r="T3526">
            <v>0.25</v>
          </cell>
          <cell r="U3526"/>
        </row>
        <row r="3527">
          <cell r="B3527" t="str">
            <v>L2.25X1.75X4</v>
          </cell>
          <cell r="C3527">
            <v>0.9375</v>
          </cell>
          <cell r="D3527">
            <v>1.75</v>
          </cell>
          <cell r="F3527">
            <v>2.25</v>
          </cell>
          <cell r="H3527"/>
          <cell r="I3527"/>
          <cell r="K3527"/>
          <cell r="L3527">
            <v>1.75</v>
          </cell>
          <cell r="M3527">
            <v>2.4748737341529163</v>
          </cell>
          <cell r="O3527"/>
          <cell r="T3527">
            <v>0.25</v>
          </cell>
          <cell r="U3527"/>
        </row>
        <row r="3528">
          <cell r="B3528" t="str">
            <v>PL4X3/8</v>
          </cell>
          <cell r="C3528">
            <v>1.5</v>
          </cell>
          <cell r="D3528">
            <v>4</v>
          </cell>
          <cell r="F3528">
            <v>0.375</v>
          </cell>
          <cell r="H3528"/>
          <cell r="I3528"/>
          <cell r="K3528"/>
          <cell r="L3528">
            <v>0.375</v>
          </cell>
          <cell r="M3528">
            <v>4.0175396699970491</v>
          </cell>
          <cell r="O3528">
            <v>0.375</v>
          </cell>
          <cell r="T3528">
            <v>0.375</v>
          </cell>
          <cell r="U3528"/>
        </row>
        <row r="3529">
          <cell r="B3529" t="str">
            <v>L3.5X3.5X3/8</v>
          </cell>
          <cell r="C3529">
            <v>2.484</v>
          </cell>
          <cell r="D3529">
            <v>3.5</v>
          </cell>
          <cell r="F3529">
            <v>3.5</v>
          </cell>
          <cell r="H3529"/>
          <cell r="I3529"/>
          <cell r="K3529">
            <v>3.5</v>
          </cell>
          <cell r="L3529">
            <v>3.5</v>
          </cell>
          <cell r="M3529">
            <v>4.9497474683058327</v>
          </cell>
          <cell r="O3529">
            <v>0.625</v>
          </cell>
          <cell r="T3529">
            <v>0.625</v>
          </cell>
          <cell r="U3529"/>
        </row>
        <row r="3530">
          <cell r="B3530" t="str">
            <v>PIPE13.53</v>
          </cell>
          <cell r="C3530">
            <v>10.43</v>
          </cell>
          <cell r="D3530" t="str">
            <v>-</v>
          </cell>
          <cell r="F3530" t="str">
            <v>-</v>
          </cell>
          <cell r="H3530">
            <v>13.53</v>
          </cell>
          <cell r="I3530" t="str">
            <v>-</v>
          </cell>
          <cell r="K3530" t="str">
            <v>-</v>
          </cell>
          <cell r="L3530" t="str">
            <v>-</v>
          </cell>
          <cell r="M3530">
            <v>13.53</v>
          </cell>
          <cell r="O3530" t="str">
            <v>-</v>
          </cell>
          <cell r="T3530" t="str">
            <v>-</v>
          </cell>
          <cell r="U3530">
            <v>0.25</v>
          </cell>
        </row>
        <row r="3531">
          <cell r="B3531" t="str">
            <v>PIPE11.40</v>
          </cell>
          <cell r="C3531">
            <v>8.7569999999999997</v>
          </cell>
          <cell r="D3531" t="str">
            <v>-</v>
          </cell>
          <cell r="F3531" t="str">
            <v>-</v>
          </cell>
          <cell r="H3531">
            <v>11.4</v>
          </cell>
          <cell r="I3531" t="str">
            <v>-</v>
          </cell>
          <cell r="K3531" t="str">
            <v>-</v>
          </cell>
          <cell r="L3531" t="str">
            <v>-</v>
          </cell>
          <cell r="M3531">
            <v>11.4</v>
          </cell>
          <cell r="O3531" t="str">
            <v>-</v>
          </cell>
          <cell r="T3531" t="str">
            <v>-</v>
          </cell>
          <cell r="U3531">
            <v>0.25</v>
          </cell>
        </row>
        <row r="3532">
          <cell r="B3532" t="str">
            <v>PIPE9.3</v>
          </cell>
          <cell r="C3532">
            <v>7.1079999999999997</v>
          </cell>
          <cell r="D3532" t="str">
            <v>-</v>
          </cell>
          <cell r="F3532" t="str">
            <v>-</v>
          </cell>
          <cell r="H3532">
            <v>9.3000000000000007</v>
          </cell>
          <cell r="I3532" t="str">
            <v>-</v>
          </cell>
          <cell r="K3532" t="str">
            <v>-</v>
          </cell>
          <cell r="L3532" t="str">
            <v>-</v>
          </cell>
          <cell r="M3532">
            <v>9.3000000000000007</v>
          </cell>
          <cell r="O3532" t="str">
            <v>-</v>
          </cell>
          <cell r="T3532" t="str">
            <v>-</v>
          </cell>
          <cell r="U3532">
            <v>0.25</v>
          </cell>
        </row>
      </sheetData>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tenna Data"/>
      <sheetName val="antennac"/>
    </sheetNames>
    <sheetDataSet>
      <sheetData sheetId="0">
        <row r="1">
          <cell r="A1" t="str">
            <v xml:space="preserve">
Manufacturer</v>
          </cell>
          <cell r="B1" t="str">
            <v xml:space="preserve">
Model Number</v>
          </cell>
          <cell r="O1" t="str">
            <v xml:space="preserve">
CFD Antenna
Front No Ice</v>
          </cell>
          <cell r="T1" t="str">
            <v xml:space="preserve">
CFD Antenna
Side No Ice</v>
          </cell>
        </row>
        <row r="2">
          <cell r="A2" t="str">
            <v>ACE</v>
          </cell>
          <cell r="B2" t="str">
            <v>GA-1575</v>
          </cell>
          <cell r="O2"/>
          <cell r="T2"/>
        </row>
        <row r="3">
          <cell r="A3" t="str">
            <v>ACE</v>
          </cell>
          <cell r="B3" t="str">
            <v>MA-2L4M-45F8-A12P-A</v>
          </cell>
          <cell r="O3">
            <v>13.4331983024691</v>
          </cell>
          <cell r="T3">
            <v>4.6751410984491599</v>
          </cell>
        </row>
        <row r="4">
          <cell r="A4" t="str">
            <v>ACE</v>
          </cell>
          <cell r="B4" t="str">
            <v>MA-2L4M-65F6-A12P-HG</v>
          </cell>
          <cell r="O4">
            <v>8.1192370756172814</v>
          </cell>
          <cell r="T4">
            <v>3.3111579025235698</v>
          </cell>
        </row>
        <row r="5">
          <cell r="A5" t="str">
            <v>ACE</v>
          </cell>
          <cell r="B5" t="str">
            <v>MA-2L4M-65F6-A12P-HG_CCIV2</v>
          </cell>
          <cell r="O5">
            <v>11.1674189814815</v>
          </cell>
          <cell r="T5">
            <v>3.8777478632104598</v>
          </cell>
        </row>
        <row r="6">
          <cell r="A6" t="str">
            <v>ACE</v>
          </cell>
          <cell r="B6" t="str">
            <v>MA-2L4M-65F8-A12P-HG</v>
          </cell>
          <cell r="O6">
            <v>15.0102575231481</v>
          </cell>
          <cell r="T6">
            <v>5.20409130977482</v>
          </cell>
        </row>
        <row r="7">
          <cell r="A7" t="str">
            <v>ACE</v>
          </cell>
          <cell r="B7" t="str">
            <v>XDLHH-1216-65-8T4T</v>
          </cell>
          <cell r="O7">
            <v>2.0244063464506201</v>
          </cell>
          <cell r="T7">
            <v>0.88907187834922086</v>
          </cell>
        </row>
        <row r="8">
          <cell r="A8" t="str">
            <v>ACE</v>
          </cell>
          <cell r="B8" t="str">
            <v>XXQLH-654L4H6-IVT</v>
          </cell>
          <cell r="O8">
            <v>8.3755642359999989</v>
          </cell>
          <cell r="T8">
            <v>3.1928374210000001</v>
          </cell>
        </row>
        <row r="9">
          <cell r="A9" t="str">
            <v>ACE</v>
          </cell>
          <cell r="B9" t="str">
            <v>XXQLH-654L4H8-IVT</v>
          </cell>
          <cell r="O9">
            <v>11.10264115</v>
          </cell>
          <cell r="T9">
            <v>4.2144375580000002</v>
          </cell>
        </row>
        <row r="10">
          <cell r="A10" t="str">
            <v>ACE</v>
          </cell>
          <cell r="B10" t="str">
            <v>XXQLH-654L4H8-IVT-V2</v>
          </cell>
          <cell r="O10">
            <v>11.812427662036999</v>
          </cell>
          <cell r="T10">
            <v>4.4877782308730794</v>
          </cell>
        </row>
        <row r="11">
          <cell r="A11" t="str">
            <v>ACE</v>
          </cell>
          <cell r="B11" t="str">
            <v>XXQLH-654L8H6-IVT</v>
          </cell>
          <cell r="O11">
            <v>8.3755642359999989</v>
          </cell>
          <cell r="T11">
            <v>3.1928374210000001</v>
          </cell>
        </row>
        <row r="12">
          <cell r="A12" t="str">
            <v>ACE</v>
          </cell>
          <cell r="B12" t="str">
            <v>XXQLH-654L8H8-IVT</v>
          </cell>
          <cell r="O12">
            <v>11.10264115</v>
          </cell>
          <cell r="T12">
            <v>4.2144375580000002</v>
          </cell>
        </row>
        <row r="13">
          <cell r="A13" t="str">
            <v>ACE</v>
          </cell>
          <cell r="B13" t="str">
            <v>XXQLH-654L8H8-IVT-V2</v>
          </cell>
          <cell r="O13">
            <v>11.812427659999999</v>
          </cell>
          <cell r="T13">
            <v>4.4877782309999992</v>
          </cell>
        </row>
        <row r="14">
          <cell r="A14" t="str">
            <v>ACLARA</v>
          </cell>
          <cell r="B14" t="str">
            <v>DATA COLLECTOR UNIT II</v>
          </cell>
          <cell r="O14"/>
          <cell r="T14"/>
        </row>
        <row r="15">
          <cell r="A15" t="str">
            <v>ADAPTIVE BROADBAND</v>
          </cell>
          <cell r="B15" t="str">
            <v>AB-ACCESS POINT</v>
          </cell>
          <cell r="O15"/>
          <cell r="T15"/>
        </row>
        <row r="16">
          <cell r="A16" t="str">
            <v>ADAPTIVE BROADBAND</v>
          </cell>
          <cell r="B16" t="str">
            <v>BLR12-A-B1</v>
          </cell>
          <cell r="O16"/>
          <cell r="T16"/>
        </row>
        <row r="17">
          <cell r="A17" t="str">
            <v>ADAPTIVE BROADBAND</v>
          </cell>
          <cell r="B17" t="str">
            <v>CPX209M</v>
          </cell>
          <cell r="O17"/>
          <cell r="T17"/>
        </row>
        <row r="18">
          <cell r="A18" t="str">
            <v>ADAPTIVE BROADBAND</v>
          </cell>
          <cell r="B18" t="str">
            <v>LPA-70063/8CF</v>
          </cell>
          <cell r="O18"/>
          <cell r="T18"/>
        </row>
        <row r="19">
          <cell r="A19" t="str">
            <v>ADC</v>
          </cell>
          <cell r="B19" t="str">
            <v>DFX-CS65-13/6-0/0</v>
          </cell>
          <cell r="O19"/>
          <cell r="T19"/>
        </row>
        <row r="20">
          <cell r="A20" t="str">
            <v>ADC</v>
          </cell>
          <cell r="B20" t="str">
            <v>DON STONE</v>
          </cell>
          <cell r="O20"/>
          <cell r="T20"/>
        </row>
        <row r="21">
          <cell r="A21" t="str">
            <v>ADC</v>
          </cell>
          <cell r="B21" t="str">
            <v>TME-CG-800DD-FULL-DIN</v>
          </cell>
          <cell r="O21"/>
          <cell r="T21"/>
        </row>
        <row r="22">
          <cell r="A22" t="str">
            <v>ADC</v>
          </cell>
          <cell r="B22" t="str">
            <v>UNI-24</v>
          </cell>
          <cell r="O22"/>
          <cell r="T22"/>
        </row>
        <row r="23">
          <cell r="A23" t="str">
            <v>ADC</v>
          </cell>
          <cell r="B23" t="str">
            <v>XCS85-11/6</v>
          </cell>
          <cell r="O23"/>
          <cell r="T23"/>
        </row>
        <row r="24">
          <cell r="A24" t="str">
            <v>ADRF</v>
          </cell>
          <cell r="B24" t="str">
            <v>AD-PA-1900-2600-DIN</v>
          </cell>
          <cell r="O24">
            <v>5.831014251</v>
          </cell>
          <cell r="T24">
            <v>1.1355312629999998</v>
          </cell>
        </row>
        <row r="25">
          <cell r="A25" t="str">
            <v>ADRF</v>
          </cell>
          <cell r="B25" t="str">
            <v>AD-PA-1921-18-20HFB-DIN</v>
          </cell>
          <cell r="O25"/>
          <cell r="T25"/>
        </row>
        <row r="26">
          <cell r="A26" t="str">
            <v>ADRF</v>
          </cell>
          <cell r="B26" t="str">
            <v>AD-PA-700-16-30HFB</v>
          </cell>
          <cell r="O26"/>
          <cell r="T26"/>
        </row>
        <row r="27">
          <cell r="A27" t="str">
            <v>ADRF</v>
          </cell>
          <cell r="B27" t="str">
            <v>AD-PA-700-900-DIN</v>
          </cell>
          <cell r="O27"/>
          <cell r="T27"/>
        </row>
        <row r="28">
          <cell r="A28" t="str">
            <v>ADVANTECH WIRELESS</v>
          </cell>
          <cell r="B28" t="str">
            <v>WAAT007XX/21</v>
          </cell>
          <cell r="O28"/>
          <cell r="T28"/>
        </row>
        <row r="29">
          <cell r="A29" t="str">
            <v>AES CORPORATION</v>
          </cell>
          <cell r="B29" t="str">
            <v>7210-5-UM</v>
          </cell>
          <cell r="O29"/>
          <cell r="T29"/>
        </row>
        <row r="30">
          <cell r="A30" t="str">
            <v>AES CORPORATION</v>
          </cell>
          <cell r="B30" t="str">
            <v>7210-6-460-470</v>
          </cell>
          <cell r="O30"/>
          <cell r="T30"/>
        </row>
        <row r="31">
          <cell r="A31" t="str">
            <v>AIRAYA</v>
          </cell>
          <cell r="B31" t="str">
            <v>AI108</v>
          </cell>
          <cell r="O31"/>
          <cell r="T31"/>
        </row>
        <row r="32">
          <cell r="A32" t="str">
            <v>AIRSPAN</v>
          </cell>
          <cell r="B32" t="str">
            <v>908-90-402</v>
          </cell>
          <cell r="O32"/>
          <cell r="T32"/>
        </row>
        <row r="33">
          <cell r="A33" t="str">
            <v>AIRSPAN</v>
          </cell>
          <cell r="B33" t="str">
            <v>998-90-000</v>
          </cell>
          <cell r="O33"/>
          <cell r="T33"/>
        </row>
        <row r="34">
          <cell r="A34" t="str">
            <v>AIRSPAN</v>
          </cell>
          <cell r="B34" t="str">
            <v>A6</v>
          </cell>
          <cell r="O34"/>
          <cell r="T34"/>
        </row>
        <row r="35">
          <cell r="A35" t="str">
            <v>AIRSPAN</v>
          </cell>
          <cell r="B35" t="str">
            <v>AIRSPEED 2709</v>
          </cell>
          <cell r="O35"/>
          <cell r="T35"/>
        </row>
        <row r="36">
          <cell r="A36" t="str">
            <v>AIRSPAN</v>
          </cell>
          <cell r="B36" t="str">
            <v>ASWIPLL_SPR</v>
          </cell>
          <cell r="O36"/>
          <cell r="T36"/>
        </row>
        <row r="37">
          <cell r="A37" t="str">
            <v>AIRSPAN</v>
          </cell>
          <cell r="B37" t="str">
            <v>Airspeed 1030</v>
          </cell>
          <cell r="O37">
            <v>1.6742718509262398</v>
          </cell>
          <cell r="T37">
            <v>0.51943174660398905</v>
          </cell>
        </row>
        <row r="38">
          <cell r="A38" t="str">
            <v>AIRSPAN</v>
          </cell>
          <cell r="B38" t="str">
            <v>IRELAY 464</v>
          </cell>
          <cell r="O38"/>
          <cell r="T38"/>
        </row>
        <row r="39">
          <cell r="A39" t="str">
            <v>AIRSPAN</v>
          </cell>
          <cell r="B39" t="str">
            <v>MIMOSA A6</v>
          </cell>
          <cell r="O39"/>
          <cell r="T39"/>
        </row>
        <row r="40">
          <cell r="A40" t="str">
            <v>AIRSPAN</v>
          </cell>
          <cell r="B40" t="str">
            <v>PROST</v>
          </cell>
          <cell r="O40"/>
          <cell r="T40"/>
        </row>
        <row r="41">
          <cell r="A41" t="str">
            <v>ALANDICK</v>
          </cell>
          <cell r="B41" t="str">
            <v>DFX-CS65-32/18</v>
          </cell>
          <cell r="O41"/>
          <cell r="T41"/>
        </row>
        <row r="42">
          <cell r="A42" t="str">
            <v>ALANDICK</v>
          </cell>
          <cell r="B42" t="str">
            <v>XCS65-32/18</v>
          </cell>
          <cell r="O42"/>
          <cell r="T42"/>
        </row>
        <row r="43">
          <cell r="A43" t="str">
            <v>ALARIS ANTENNAS</v>
          </cell>
          <cell r="B43" t="str">
            <v>LPDA-A0156</v>
          </cell>
          <cell r="O43"/>
          <cell r="T43"/>
        </row>
        <row r="44">
          <cell r="A44" t="str">
            <v>ALARIS ANTENNAS</v>
          </cell>
          <cell r="B44" t="str">
            <v>OMNI-A0190</v>
          </cell>
          <cell r="O44"/>
          <cell r="T44"/>
        </row>
        <row r="45">
          <cell r="A45" t="str">
            <v>ALARIS ANTENNAS</v>
          </cell>
          <cell r="B45" t="str">
            <v>OMNI-A0333</v>
          </cell>
          <cell r="O45"/>
          <cell r="T45"/>
        </row>
        <row r="46">
          <cell r="A46" t="str">
            <v>ALCATEL</v>
          </cell>
          <cell r="B46" t="str">
            <v>800MHZ RRH (OEM2)</v>
          </cell>
          <cell r="O46"/>
          <cell r="T46"/>
        </row>
        <row r="47">
          <cell r="A47" t="str">
            <v>ALCATEL</v>
          </cell>
          <cell r="B47" t="str">
            <v>9400 UX</v>
          </cell>
          <cell r="O47"/>
          <cell r="T47"/>
        </row>
        <row r="48">
          <cell r="A48" t="str">
            <v>ALCATEL</v>
          </cell>
          <cell r="B48" t="str">
            <v>9500 MPR</v>
          </cell>
          <cell r="O48"/>
          <cell r="T48"/>
        </row>
        <row r="49">
          <cell r="A49" t="str">
            <v>ALCATEL</v>
          </cell>
          <cell r="B49" t="str">
            <v>TME-1900MHZ RRH (25MHZ)</v>
          </cell>
          <cell r="O49"/>
          <cell r="T49"/>
        </row>
        <row r="50">
          <cell r="A50" t="str">
            <v>ALCATEL</v>
          </cell>
          <cell r="B50" t="str">
            <v>TME-1900MHZ RRH (65MHZ)</v>
          </cell>
          <cell r="O50"/>
          <cell r="T50"/>
        </row>
        <row r="51">
          <cell r="A51" t="str">
            <v>ALCATEL</v>
          </cell>
          <cell r="B51" t="str">
            <v>TME-800MHZ RRH (OEM1)</v>
          </cell>
          <cell r="O51"/>
          <cell r="T51"/>
        </row>
        <row r="52">
          <cell r="A52" t="str">
            <v>ALCATEL</v>
          </cell>
          <cell r="B52" t="str">
            <v>TME-FD-RRH-2X50-800-OEM2</v>
          </cell>
          <cell r="O52"/>
          <cell r="T52"/>
        </row>
        <row r="53">
          <cell r="A53" t="str">
            <v>ALCATEL</v>
          </cell>
          <cell r="B53" t="str">
            <v>TME-FD-RRH-4X45-1900</v>
          </cell>
          <cell r="O53"/>
          <cell r="T53"/>
        </row>
        <row r="54">
          <cell r="A54" t="str">
            <v>ALCATEL</v>
          </cell>
          <cell r="B54" t="str">
            <v>TME-RRH2X40-700</v>
          </cell>
          <cell r="O54"/>
          <cell r="T54"/>
        </row>
        <row r="55">
          <cell r="A55" t="str">
            <v>ALCATEL LUCENT</v>
          </cell>
          <cell r="B55" t="str">
            <v>3JR39280AAAA</v>
          </cell>
          <cell r="O55"/>
          <cell r="T55"/>
        </row>
        <row r="56">
          <cell r="A56" t="str">
            <v>ALCATEL LUCENT</v>
          </cell>
          <cell r="B56" t="str">
            <v>3JR39281AAAA</v>
          </cell>
          <cell r="O56"/>
          <cell r="T56"/>
        </row>
        <row r="57">
          <cell r="A57" t="str">
            <v>ALCATEL LUCENT</v>
          </cell>
          <cell r="B57" t="str">
            <v>3JR39282AAAA</v>
          </cell>
          <cell r="O57"/>
          <cell r="T57"/>
        </row>
        <row r="58">
          <cell r="A58" t="str">
            <v>ALCATEL LUCENT</v>
          </cell>
          <cell r="B58" t="str">
            <v>3JR52701AAAA</v>
          </cell>
          <cell r="O58">
            <v>4.9696064814814793</v>
          </cell>
          <cell r="T58">
            <v>4.5116307076798394</v>
          </cell>
        </row>
        <row r="59">
          <cell r="A59" t="str">
            <v>ALCATEL LUCENT</v>
          </cell>
          <cell r="B59" t="str">
            <v>3JR52702AAAA</v>
          </cell>
          <cell r="O59">
            <v>6.8336226851851798</v>
          </cell>
          <cell r="T59">
            <v>6.1954485328451296</v>
          </cell>
        </row>
        <row r="60">
          <cell r="A60" t="str">
            <v>ALCATEL LUCENT</v>
          </cell>
          <cell r="B60" t="str">
            <v>3JR52703AAAA</v>
          </cell>
          <cell r="O60">
            <v>8.0222656249999993</v>
          </cell>
          <cell r="T60">
            <v>6.699545620915579</v>
          </cell>
        </row>
        <row r="61">
          <cell r="A61" t="str">
            <v>ALCATEL LUCENT</v>
          </cell>
          <cell r="B61" t="str">
            <v>95MPR11-C128F40-221</v>
          </cell>
          <cell r="O61"/>
          <cell r="T61"/>
        </row>
        <row r="62">
          <cell r="A62" t="str">
            <v>ALCATEL LUCENT</v>
          </cell>
          <cell r="B62" t="str">
            <v>9745 AA B25A</v>
          </cell>
          <cell r="O62">
            <v>8.0222656249999993</v>
          </cell>
          <cell r="T62">
            <v>6.699545620915579</v>
          </cell>
        </row>
        <row r="63">
          <cell r="A63" t="str">
            <v>ALCATEL LUCENT</v>
          </cell>
          <cell r="B63" t="str">
            <v>9745 AA B25A-4FT</v>
          </cell>
          <cell r="O63">
            <v>4.9696064814814793</v>
          </cell>
          <cell r="T63">
            <v>4.5116307076798394</v>
          </cell>
        </row>
        <row r="64">
          <cell r="A64" t="str">
            <v>ALCATEL LUCENT</v>
          </cell>
          <cell r="B64" t="str">
            <v>9745 AA B25A-6FT</v>
          </cell>
          <cell r="O64">
            <v>6.8336226851851798</v>
          </cell>
          <cell r="T64">
            <v>6.1954485328451296</v>
          </cell>
        </row>
        <row r="65">
          <cell r="A65" t="str">
            <v>ALCATEL LUCENT</v>
          </cell>
          <cell r="B65" t="str">
            <v>9745 AA B25A-8FT</v>
          </cell>
          <cell r="O65">
            <v>8.0222656249999993</v>
          </cell>
          <cell r="T65">
            <v>6.699545620915579</v>
          </cell>
        </row>
        <row r="66">
          <cell r="A66" t="str">
            <v>ALCATEL LUCENT</v>
          </cell>
          <cell r="B66" t="str">
            <v>9745 AA WCS-A</v>
          </cell>
          <cell r="O66"/>
          <cell r="T66"/>
        </row>
        <row r="67">
          <cell r="A67" t="str">
            <v>ALCATEL LUCENT</v>
          </cell>
          <cell r="B67" t="str">
            <v>AA B25 A-4 FOOT</v>
          </cell>
          <cell r="O67">
            <v>4.9696064814814793</v>
          </cell>
          <cell r="T67">
            <v>4.5116307076798394</v>
          </cell>
        </row>
        <row r="68">
          <cell r="A68" t="str">
            <v>ALCATEL LUCENT</v>
          </cell>
          <cell r="B68" t="str">
            <v>AA B25 A-6 FOOT</v>
          </cell>
          <cell r="O68">
            <v>6.8336226851851798</v>
          </cell>
          <cell r="T68">
            <v>6.1954485328451296</v>
          </cell>
        </row>
        <row r="69">
          <cell r="A69" t="str">
            <v>ALCATEL LUCENT</v>
          </cell>
          <cell r="B69" t="str">
            <v>AA B25 A-8 FOOT</v>
          </cell>
          <cell r="O69">
            <v>8.0222656249999993</v>
          </cell>
          <cell r="T69">
            <v>6.699545620915579</v>
          </cell>
        </row>
        <row r="70">
          <cell r="A70" t="str">
            <v>ALCATEL LUCENT</v>
          </cell>
          <cell r="B70" t="str">
            <v>RW-59S0-0550</v>
          </cell>
          <cell r="O70"/>
          <cell r="T70"/>
        </row>
        <row r="71">
          <cell r="A71" t="str">
            <v>ALCATEL LUCENT</v>
          </cell>
          <cell r="B71" t="str">
            <v>TME RRH2X40-07-L</v>
          </cell>
          <cell r="O71"/>
          <cell r="T71"/>
        </row>
        <row r="72">
          <cell r="A72" t="str">
            <v>ALCATEL LUCENT</v>
          </cell>
          <cell r="B72" t="str">
            <v>TME RRH2X40-AWS</v>
          </cell>
          <cell r="O72"/>
          <cell r="T72"/>
        </row>
        <row r="73">
          <cell r="A73" t="str">
            <v>ALCATEL LUCENT</v>
          </cell>
          <cell r="B73" t="str">
            <v>TME-1900MHZ 4X40W RRH</v>
          </cell>
          <cell r="O73"/>
          <cell r="T73"/>
        </row>
        <row r="74">
          <cell r="A74" t="str">
            <v>ALCATEL LUCENT</v>
          </cell>
          <cell r="B74" t="str">
            <v>TME-1900MHZ RRH</v>
          </cell>
          <cell r="O74"/>
          <cell r="T74"/>
        </row>
        <row r="75">
          <cell r="A75" t="str">
            <v>ALCATEL LUCENT</v>
          </cell>
          <cell r="B75" t="str">
            <v>TME-1900MHZ RRH (25MHZ)</v>
          </cell>
          <cell r="O75"/>
          <cell r="T75"/>
        </row>
        <row r="76">
          <cell r="A76" t="str">
            <v>ALCATEL LUCENT</v>
          </cell>
          <cell r="B76" t="str">
            <v>TME-1900MHZ RRH (65MHZ)</v>
          </cell>
          <cell r="O76"/>
          <cell r="T76"/>
        </row>
        <row r="77">
          <cell r="A77" t="str">
            <v>ALCATEL LUCENT</v>
          </cell>
          <cell r="B77" t="str">
            <v>TME-800MHZ 2X50W RRH</v>
          </cell>
          <cell r="O77"/>
          <cell r="T77"/>
        </row>
        <row r="78">
          <cell r="A78" t="str">
            <v>ALCATEL LUCENT</v>
          </cell>
          <cell r="B78" t="str">
            <v>TME-800MHZ 2X50W RRH W/FILTER</v>
          </cell>
          <cell r="O78"/>
          <cell r="T78"/>
        </row>
        <row r="79">
          <cell r="A79" t="str">
            <v>ALCATEL LUCENT</v>
          </cell>
          <cell r="B79" t="str">
            <v>TME-800MHZ RRH</v>
          </cell>
          <cell r="O79"/>
          <cell r="T79"/>
        </row>
        <row r="80">
          <cell r="A80" t="str">
            <v>ALCATEL LUCENT</v>
          </cell>
          <cell r="B80" t="str">
            <v>TME-800MHz 2X50W RRH W/FILTER</v>
          </cell>
          <cell r="O80"/>
          <cell r="T80"/>
        </row>
        <row r="81">
          <cell r="A81" t="str">
            <v>ALCATEL LUCENT</v>
          </cell>
          <cell r="B81" t="str">
            <v>TME-9341 RRH 60</v>
          </cell>
          <cell r="O81"/>
          <cell r="T81"/>
        </row>
        <row r="82">
          <cell r="A82" t="str">
            <v>ALCATEL LUCENT</v>
          </cell>
          <cell r="B82" t="str">
            <v>TME-9341 RRH40</v>
          </cell>
          <cell r="O82"/>
          <cell r="T82"/>
        </row>
        <row r="83">
          <cell r="A83" t="str">
            <v>ALCATEL LUCENT</v>
          </cell>
          <cell r="B83" t="str">
            <v>TME-9396 D2U</v>
          </cell>
          <cell r="O83"/>
          <cell r="T83"/>
        </row>
        <row r="84">
          <cell r="A84" t="str">
            <v>ALCATEL LUCENT</v>
          </cell>
          <cell r="B84" t="str">
            <v>TME-9442 RRH 700</v>
          </cell>
          <cell r="O84"/>
          <cell r="T84"/>
        </row>
        <row r="85">
          <cell r="A85" t="str">
            <v>ALCATEL LUCENT</v>
          </cell>
          <cell r="B85" t="str">
            <v>TME-9442 RRH AWS</v>
          </cell>
          <cell r="O85"/>
          <cell r="T85"/>
        </row>
        <row r="86">
          <cell r="A86" t="str">
            <v>ALCATEL LUCENT</v>
          </cell>
          <cell r="B86" t="str">
            <v>TME-9442 RRH2X40-07</v>
          </cell>
          <cell r="O86"/>
          <cell r="T86"/>
        </row>
        <row r="87">
          <cell r="A87" t="str">
            <v>ALCATEL LUCENT</v>
          </cell>
          <cell r="B87" t="str">
            <v>TME-AWS4 (B66) 4X45 RRH</v>
          </cell>
          <cell r="O87"/>
          <cell r="T87"/>
        </row>
        <row r="88">
          <cell r="A88" t="str">
            <v>ALCATEL LUCENT</v>
          </cell>
          <cell r="B88" t="str">
            <v>TME-B13 RRH 4X30</v>
          </cell>
          <cell r="O88"/>
          <cell r="T88"/>
        </row>
        <row r="89">
          <cell r="A89" t="str">
            <v>ALCATEL LUCENT</v>
          </cell>
          <cell r="B89" t="str">
            <v>TME-B13 RRH4X30-4R</v>
          </cell>
          <cell r="O89"/>
          <cell r="T89"/>
        </row>
        <row r="90">
          <cell r="A90" t="str">
            <v>ALCATEL LUCENT</v>
          </cell>
          <cell r="B90" t="str">
            <v>TME-B25 RRH4X30-4R</v>
          </cell>
          <cell r="O90"/>
          <cell r="T90"/>
        </row>
        <row r="91">
          <cell r="A91" t="str">
            <v>ALCATEL LUCENT</v>
          </cell>
          <cell r="B91" t="str">
            <v>TME-B4 RRH2X60-4R</v>
          </cell>
          <cell r="O91"/>
          <cell r="T91"/>
        </row>
        <row r="92">
          <cell r="A92" t="str">
            <v>ALCATEL LUCENT</v>
          </cell>
          <cell r="B92" t="str">
            <v>TME-B66A RRH4X45</v>
          </cell>
          <cell r="O92"/>
          <cell r="T92"/>
        </row>
        <row r="93">
          <cell r="A93" t="str">
            <v>ALCATEL LUCENT</v>
          </cell>
          <cell r="B93" t="str">
            <v>TME-B66A RRH4X45-4R</v>
          </cell>
          <cell r="O93"/>
          <cell r="T93"/>
        </row>
        <row r="94">
          <cell r="A94" t="str">
            <v>ALCATEL LUCENT</v>
          </cell>
          <cell r="B94" t="str">
            <v>TME-FD-RRH-2X50-800 W/FILTER</v>
          </cell>
          <cell r="O94"/>
          <cell r="T94"/>
        </row>
        <row r="95">
          <cell r="A95" t="str">
            <v>ALCATEL LUCENT</v>
          </cell>
          <cell r="B95" t="str">
            <v>TME-FD-RRH-4X40-1900</v>
          </cell>
          <cell r="O95"/>
          <cell r="T95"/>
        </row>
        <row r="96">
          <cell r="A96" t="str">
            <v>ALCATEL LUCENT</v>
          </cell>
          <cell r="B96" t="str">
            <v>TME-PCS 1900MHZ 4X45W-65MHZ</v>
          </cell>
          <cell r="O96"/>
          <cell r="T96"/>
        </row>
        <row r="97">
          <cell r="A97" t="str">
            <v>ALCATEL LUCENT</v>
          </cell>
          <cell r="B97" t="str">
            <v>TME-PCS 1900MHz 4x45W-65MHz</v>
          </cell>
          <cell r="O97"/>
          <cell r="T97"/>
        </row>
        <row r="98">
          <cell r="A98" t="str">
            <v>ALCATEL LUCENT</v>
          </cell>
          <cell r="B98" t="str">
            <v>TME-PCS B25 RRH4x30</v>
          </cell>
          <cell r="O98"/>
          <cell r="T98"/>
        </row>
        <row r="99">
          <cell r="A99" t="str">
            <v>ALCATEL LUCENT</v>
          </cell>
          <cell r="B99" t="str">
            <v>TME-RRH 2100</v>
          </cell>
          <cell r="O99"/>
          <cell r="T99"/>
        </row>
        <row r="100">
          <cell r="A100" t="str">
            <v>ALCATEL LUCENT</v>
          </cell>
          <cell r="B100" t="str">
            <v>TME-RRH 700 MHZ</v>
          </cell>
          <cell r="O100"/>
          <cell r="T100"/>
        </row>
        <row r="101">
          <cell r="A101" t="str">
            <v>ALCATEL LUCENT</v>
          </cell>
          <cell r="B101" t="str">
            <v>TME-RRH AWS</v>
          </cell>
          <cell r="O101"/>
          <cell r="T101"/>
        </row>
        <row r="102">
          <cell r="A102" t="str">
            <v>ALCATEL LUCENT</v>
          </cell>
          <cell r="B102" t="str">
            <v>TME-RRH2X40 700</v>
          </cell>
          <cell r="O102"/>
          <cell r="T102"/>
        </row>
        <row r="103">
          <cell r="A103" t="str">
            <v>ALCATEL LUCENT</v>
          </cell>
          <cell r="B103" t="str">
            <v>TME-RRH2X40-07-L</v>
          </cell>
          <cell r="O103"/>
          <cell r="T103"/>
        </row>
        <row r="104">
          <cell r="A104" t="str">
            <v>ALCATEL LUCENT</v>
          </cell>
          <cell r="B104" t="str">
            <v>TME-RRH2X40-07-L-AT</v>
          </cell>
          <cell r="O104"/>
          <cell r="T104"/>
        </row>
        <row r="105">
          <cell r="A105" t="str">
            <v>ALCATEL LUCENT</v>
          </cell>
          <cell r="B105" t="str">
            <v>TME-RRH2X40-07L-DE</v>
          </cell>
          <cell r="O105"/>
          <cell r="T105"/>
        </row>
        <row r="106">
          <cell r="A106" t="str">
            <v>ALCATEL LUCENT</v>
          </cell>
          <cell r="B106" t="str">
            <v>TME-RRH2X40-700AT</v>
          </cell>
          <cell r="O106"/>
          <cell r="T106"/>
        </row>
        <row r="107">
          <cell r="A107" t="str">
            <v>ALCATEL LUCENT</v>
          </cell>
          <cell r="B107" t="str">
            <v>TME-RRH2X40-AWS</v>
          </cell>
          <cell r="O107"/>
          <cell r="T107"/>
        </row>
        <row r="108">
          <cell r="A108" t="str">
            <v>ALCATEL LUCENT</v>
          </cell>
          <cell r="B108" t="str">
            <v>TME-RRH2X40-AWS RDEM</v>
          </cell>
          <cell r="O108"/>
          <cell r="T108"/>
        </row>
        <row r="109">
          <cell r="A109" t="str">
            <v>ALCATEL LUCENT</v>
          </cell>
          <cell r="B109" t="str">
            <v>TME-RRH2X50-WCS</v>
          </cell>
          <cell r="O109"/>
          <cell r="T109"/>
        </row>
        <row r="110">
          <cell r="A110" t="str">
            <v>ALCATEL LUCENT</v>
          </cell>
          <cell r="B110" t="str">
            <v>TME-RRH2X60 AWS</v>
          </cell>
          <cell r="O110"/>
          <cell r="T110"/>
        </row>
        <row r="111">
          <cell r="A111" t="str">
            <v>ALCATEL LUCENT</v>
          </cell>
          <cell r="B111" t="str">
            <v>TME-RRH2X60-1900</v>
          </cell>
          <cell r="O111"/>
          <cell r="T111"/>
        </row>
        <row r="112">
          <cell r="A112" t="str">
            <v>ALCATEL LUCENT</v>
          </cell>
          <cell r="B112" t="str">
            <v>TME-RRH2X60-1900A-4R</v>
          </cell>
          <cell r="O112"/>
          <cell r="T112"/>
        </row>
        <row r="113">
          <cell r="A113" t="str">
            <v>ALCATEL LUCENT</v>
          </cell>
          <cell r="B113" t="str">
            <v>TME-RRH2X60-700</v>
          </cell>
          <cell r="O113"/>
          <cell r="T113"/>
        </row>
        <row r="114">
          <cell r="A114" t="str">
            <v>ALCATEL LUCENT</v>
          </cell>
          <cell r="B114" t="str">
            <v>TME-RRH2X60-850</v>
          </cell>
          <cell r="O114"/>
          <cell r="T114"/>
        </row>
        <row r="115">
          <cell r="A115" t="str">
            <v>ALCATEL LUCENT</v>
          </cell>
          <cell r="B115" t="str">
            <v>TME-RRH2X60-850 (3GPP BAND 5)</v>
          </cell>
          <cell r="O115"/>
          <cell r="T115"/>
        </row>
        <row r="116">
          <cell r="A116" t="str">
            <v>ALCATEL LUCENT</v>
          </cell>
          <cell r="B116" t="str">
            <v>TME-RRH2X60-AWS</v>
          </cell>
          <cell r="O116"/>
          <cell r="T116"/>
        </row>
        <row r="117">
          <cell r="A117" t="str">
            <v>ALCATEL LUCENT</v>
          </cell>
          <cell r="B117" t="str">
            <v>TME-RRH2X60-AWS BAND 4</v>
          </cell>
          <cell r="O117"/>
          <cell r="T117"/>
        </row>
        <row r="118">
          <cell r="A118" t="str">
            <v>ALCATEL LUCENT</v>
          </cell>
          <cell r="B118" t="str">
            <v>TME-RRH2X60-PCS</v>
          </cell>
          <cell r="O118"/>
          <cell r="T118"/>
        </row>
        <row r="119">
          <cell r="A119" t="str">
            <v>ALCATEL LUCENT</v>
          </cell>
          <cell r="B119" t="str">
            <v>TME-RRH4X25-WCS</v>
          </cell>
          <cell r="O119"/>
          <cell r="T119"/>
        </row>
        <row r="120">
          <cell r="A120" t="str">
            <v>ALCATEL LUCENT</v>
          </cell>
          <cell r="B120" t="str">
            <v>TME-RRH4X30</v>
          </cell>
          <cell r="O120"/>
          <cell r="T120"/>
        </row>
        <row r="121">
          <cell r="A121" t="str">
            <v>ALCATEL LUCENT</v>
          </cell>
          <cell r="B121" t="str">
            <v>TME-RRH4X30-4R 700</v>
          </cell>
          <cell r="O121"/>
          <cell r="T121"/>
        </row>
        <row r="122">
          <cell r="A122" t="str">
            <v>ALCATEL LUCENT</v>
          </cell>
          <cell r="B122" t="str">
            <v>TME-SLI-9442</v>
          </cell>
          <cell r="O122"/>
          <cell r="T122"/>
        </row>
        <row r="123">
          <cell r="A123" t="str">
            <v>ALCATEL LUCENT</v>
          </cell>
          <cell r="B123" t="str">
            <v>TME-TD-RRH8X20-25</v>
          </cell>
          <cell r="O123"/>
          <cell r="T123"/>
        </row>
        <row r="124">
          <cell r="A124" t="str">
            <v>ALCOMA</v>
          </cell>
          <cell r="B124" t="str">
            <v>AL3-11/MP</v>
          </cell>
          <cell r="O124"/>
          <cell r="T124"/>
        </row>
        <row r="125">
          <cell r="A125" t="str">
            <v>ALDENA</v>
          </cell>
          <cell r="B125" t="str">
            <v>ALP.05.02.912</v>
          </cell>
          <cell r="O125"/>
          <cell r="T125"/>
        </row>
        <row r="126">
          <cell r="A126" t="str">
            <v>ALDENA</v>
          </cell>
          <cell r="B126" t="str">
            <v>ALP.08.02.712</v>
          </cell>
          <cell r="O126"/>
          <cell r="T126"/>
        </row>
        <row r="127">
          <cell r="A127" t="str">
            <v>ALDENA</v>
          </cell>
          <cell r="B127" t="str">
            <v>AST.04.02.330</v>
          </cell>
          <cell r="O127"/>
          <cell r="T127"/>
        </row>
        <row r="128">
          <cell r="A128" t="str">
            <v>ALDENA</v>
          </cell>
          <cell r="B128" t="str">
            <v>AST050233X</v>
          </cell>
          <cell r="O128"/>
          <cell r="T128"/>
        </row>
        <row r="129">
          <cell r="A129" t="str">
            <v>ALIVE TELECOM</v>
          </cell>
          <cell r="B129" t="str">
            <v>ACT-WPSXM8V14F95-D7</v>
          </cell>
          <cell r="O129">
            <v>5.5573447145061694</v>
          </cell>
          <cell r="T129">
            <v>1.6385375770502899</v>
          </cell>
        </row>
        <row r="130">
          <cell r="A130" t="str">
            <v>ALIVE TELECOM</v>
          </cell>
          <cell r="B130" t="str">
            <v>ATC-BCC42M-V3-11</v>
          </cell>
          <cell r="O130"/>
          <cell r="T130"/>
        </row>
        <row r="131">
          <cell r="A131" t="str">
            <v>ALIVE TELECOM</v>
          </cell>
          <cell r="B131" t="str">
            <v>ATC-BCE42C1R-V4-7</v>
          </cell>
          <cell r="O131"/>
          <cell r="T131"/>
        </row>
        <row r="132">
          <cell r="A132" t="str">
            <v>ALIVE TELECOM</v>
          </cell>
          <cell r="B132" t="str">
            <v>ATC-BCE618C3R-V1-21</v>
          </cell>
          <cell r="O132"/>
          <cell r="T132"/>
        </row>
        <row r="133">
          <cell r="A133" t="str">
            <v>ALIVE TELECOM</v>
          </cell>
          <cell r="B133" t="str">
            <v>ATC-BCE78M-V3-23</v>
          </cell>
          <cell r="O133"/>
          <cell r="T133"/>
        </row>
        <row r="134">
          <cell r="A134" t="str">
            <v>ALIVE TELECOM</v>
          </cell>
          <cell r="B134" t="str">
            <v>ATC-BCH23P-21</v>
          </cell>
          <cell r="O134"/>
          <cell r="T134"/>
        </row>
        <row r="135">
          <cell r="A135" t="str">
            <v>ALIVE TELECOM</v>
          </cell>
          <cell r="B135" t="str">
            <v>ATC-BCH510PR-30</v>
          </cell>
          <cell r="O135"/>
          <cell r="T135"/>
        </row>
        <row r="136">
          <cell r="A136" t="str">
            <v>ALIVE TELECOM</v>
          </cell>
          <cell r="B136" t="str">
            <v>ATC-GC1V10</v>
          </cell>
          <cell r="O136"/>
          <cell r="T136"/>
        </row>
        <row r="137">
          <cell r="A137" t="str">
            <v>ALIVE TELECOM</v>
          </cell>
          <cell r="B137" t="str">
            <v>ATC-GC4V6O</v>
          </cell>
          <cell r="O137"/>
          <cell r="T137"/>
        </row>
        <row r="138">
          <cell r="A138" t="str">
            <v>ALIVE TELECOM</v>
          </cell>
          <cell r="B138" t="str">
            <v>ATC-GC7V12O</v>
          </cell>
          <cell r="O138"/>
          <cell r="T138"/>
        </row>
        <row r="139">
          <cell r="A139" t="str">
            <v>ALIVE TELECOM</v>
          </cell>
          <cell r="B139" t="str">
            <v>ATC-GC7V6O6O</v>
          </cell>
          <cell r="O139"/>
          <cell r="T139"/>
        </row>
        <row r="140">
          <cell r="A140" t="str">
            <v>ALIVE TELECOM</v>
          </cell>
          <cell r="B140" t="str">
            <v>ATC-GCSXMV10OD7</v>
          </cell>
          <cell r="O140"/>
          <cell r="T140"/>
        </row>
        <row r="141">
          <cell r="A141" t="str">
            <v>ALIVE TELECOM</v>
          </cell>
          <cell r="B141" t="str">
            <v>ATC-GD12VD-D2-D4</v>
          </cell>
          <cell r="O141"/>
          <cell r="T141"/>
        </row>
        <row r="142">
          <cell r="A142" t="str">
            <v>ALIVE TELECOM</v>
          </cell>
          <cell r="B142" t="str">
            <v>ATC-GD1V4C</v>
          </cell>
          <cell r="O142"/>
          <cell r="T142"/>
        </row>
        <row r="143">
          <cell r="A143" t="str">
            <v>ALIVE TELECOM</v>
          </cell>
          <cell r="B143" t="str">
            <v>ATC-GD4V8O</v>
          </cell>
          <cell r="O143"/>
          <cell r="T143"/>
        </row>
        <row r="144">
          <cell r="A144" t="str">
            <v>ALIVE TELECOM</v>
          </cell>
          <cell r="B144" t="str">
            <v>ATC-VO10-500T2</v>
          </cell>
          <cell r="O144"/>
          <cell r="T144"/>
        </row>
        <row r="145">
          <cell r="A145" t="str">
            <v>ALIVE TELECOM</v>
          </cell>
          <cell r="B145" t="str">
            <v>ATC-WPSXM8V14F95-D7</v>
          </cell>
          <cell r="O145">
            <v>5.5573447145061694</v>
          </cell>
          <cell r="T145">
            <v>1.6385375770502899</v>
          </cell>
        </row>
        <row r="146">
          <cell r="A146" t="str">
            <v>ALIVE TELECOM</v>
          </cell>
          <cell r="B146" t="str">
            <v>ATC-WPSXM8V16F60-D7</v>
          </cell>
          <cell r="O146"/>
          <cell r="T146"/>
        </row>
        <row r="147">
          <cell r="A147" t="str">
            <v>ALIVE TELECOM</v>
          </cell>
          <cell r="B147" t="str">
            <v>ATC-WPSXM8VWXXX-D7</v>
          </cell>
          <cell r="O147">
            <v>2.4323135225211598</v>
          </cell>
          <cell r="T147">
            <v>1.4339027713374399</v>
          </cell>
        </row>
        <row r="148">
          <cell r="A148" t="str">
            <v>ALIVE TELECOM</v>
          </cell>
          <cell r="B148" t="str">
            <v>ATC-WPSXM8VXX-D7</v>
          </cell>
          <cell r="O148">
            <v>2.3539240101915198</v>
          </cell>
          <cell r="T148">
            <v>1.5639237910977299</v>
          </cell>
        </row>
        <row r="149">
          <cell r="A149" t="str">
            <v>ALLG FABRICATION</v>
          </cell>
          <cell r="B149" t="str">
            <v>2167-1224</v>
          </cell>
          <cell r="O149"/>
          <cell r="T149"/>
        </row>
        <row r="150">
          <cell r="A150" t="str">
            <v>ALLGON</v>
          </cell>
          <cell r="B150" t="str">
            <v>4156</v>
          </cell>
          <cell r="O150"/>
          <cell r="T150"/>
        </row>
        <row r="151">
          <cell r="A151" t="str">
            <v>ALLGON</v>
          </cell>
          <cell r="B151" t="str">
            <v>4158.11.05.00</v>
          </cell>
          <cell r="O151"/>
          <cell r="T151"/>
        </row>
        <row r="152">
          <cell r="A152" t="str">
            <v>ALLGON</v>
          </cell>
          <cell r="B152" t="str">
            <v>4158.11.05.03</v>
          </cell>
          <cell r="O152"/>
          <cell r="T152"/>
        </row>
        <row r="153">
          <cell r="A153" t="str">
            <v>ALLGON</v>
          </cell>
          <cell r="B153" t="str">
            <v>4158.11.33.00</v>
          </cell>
          <cell r="O153"/>
          <cell r="T153"/>
        </row>
        <row r="154">
          <cell r="A154" t="str">
            <v>ALLGON</v>
          </cell>
          <cell r="B154" t="str">
            <v>4158.21</v>
          </cell>
          <cell r="O154"/>
          <cell r="T154"/>
        </row>
        <row r="155">
          <cell r="A155" t="str">
            <v>ALLGON</v>
          </cell>
          <cell r="B155" t="str">
            <v>4158.21.05.00</v>
          </cell>
          <cell r="O155"/>
          <cell r="T155"/>
        </row>
        <row r="156">
          <cell r="A156" t="str">
            <v>ALLGON</v>
          </cell>
          <cell r="B156" t="str">
            <v>4158.21.33.03</v>
          </cell>
          <cell r="O156"/>
          <cell r="T156"/>
        </row>
        <row r="157">
          <cell r="A157" t="str">
            <v>ALLGON</v>
          </cell>
          <cell r="B157" t="str">
            <v>4158.31</v>
          </cell>
          <cell r="O157"/>
          <cell r="T157"/>
        </row>
        <row r="158">
          <cell r="A158" t="str">
            <v>ALLGON</v>
          </cell>
          <cell r="B158" t="str">
            <v>4168.11.33.00</v>
          </cell>
          <cell r="O158"/>
          <cell r="T158"/>
        </row>
        <row r="159">
          <cell r="A159" t="str">
            <v>ALLGON</v>
          </cell>
          <cell r="B159" t="str">
            <v>4168.21</v>
          </cell>
          <cell r="O159"/>
          <cell r="T159"/>
        </row>
        <row r="160">
          <cell r="A160" t="str">
            <v>ALLGON</v>
          </cell>
          <cell r="B160" t="str">
            <v>4168.21.33.03</v>
          </cell>
          <cell r="O160"/>
          <cell r="T160"/>
        </row>
        <row r="161">
          <cell r="A161" t="str">
            <v>ALLGON</v>
          </cell>
          <cell r="B161" t="str">
            <v>598236-D</v>
          </cell>
          <cell r="O161"/>
          <cell r="T161"/>
        </row>
        <row r="162">
          <cell r="A162" t="str">
            <v>ALLGON</v>
          </cell>
          <cell r="B162" t="str">
            <v>6 SQ FT PANEL ANTENNA</v>
          </cell>
          <cell r="O162"/>
          <cell r="T162"/>
        </row>
        <row r="163">
          <cell r="A163" t="str">
            <v>ALLGON</v>
          </cell>
          <cell r="B163" t="str">
            <v>7120.14.05.00</v>
          </cell>
          <cell r="O163"/>
          <cell r="T163"/>
        </row>
        <row r="164">
          <cell r="A164" t="str">
            <v>ALLGON</v>
          </cell>
          <cell r="B164" t="str">
            <v>7120.16</v>
          </cell>
          <cell r="O164">
            <v>3.3312612852309402</v>
          </cell>
          <cell r="T164">
            <v>3.46929338560706</v>
          </cell>
        </row>
        <row r="165">
          <cell r="A165" t="str">
            <v>ALLGON</v>
          </cell>
          <cell r="B165" t="str">
            <v>7120.16.05.00</v>
          </cell>
          <cell r="O165">
            <v>3.3312612852309402</v>
          </cell>
          <cell r="T165">
            <v>3.46929338560706</v>
          </cell>
        </row>
        <row r="166">
          <cell r="A166" t="str">
            <v>ALLGON</v>
          </cell>
          <cell r="B166" t="str">
            <v>7120.16.05.001</v>
          </cell>
          <cell r="O166"/>
          <cell r="T166"/>
        </row>
        <row r="167">
          <cell r="A167" t="str">
            <v>ALLGON</v>
          </cell>
          <cell r="B167" t="str">
            <v>7120.16.33.00</v>
          </cell>
          <cell r="O167">
            <v>3.3312612852309402</v>
          </cell>
          <cell r="T167">
            <v>3.46929338560706</v>
          </cell>
        </row>
        <row r="168">
          <cell r="A168" t="str">
            <v>ALLGON</v>
          </cell>
          <cell r="B168" t="str">
            <v>7125.14.33.00</v>
          </cell>
          <cell r="O168"/>
          <cell r="T168"/>
        </row>
        <row r="169">
          <cell r="A169" t="str">
            <v>ALLGON</v>
          </cell>
          <cell r="B169" t="str">
            <v>7125.16.05.00</v>
          </cell>
          <cell r="O169"/>
          <cell r="T169"/>
        </row>
        <row r="170">
          <cell r="A170" t="str">
            <v>ALLGON</v>
          </cell>
          <cell r="B170" t="str">
            <v>7125.16.33.00</v>
          </cell>
          <cell r="O170"/>
          <cell r="T170"/>
        </row>
        <row r="171">
          <cell r="A171" t="str">
            <v>ALLGON</v>
          </cell>
          <cell r="B171" t="str">
            <v>7125.16.33.06</v>
          </cell>
          <cell r="O171"/>
          <cell r="T171"/>
        </row>
        <row r="172">
          <cell r="A172" t="str">
            <v>ALLGON</v>
          </cell>
          <cell r="B172" t="str">
            <v>7125.18.05.00</v>
          </cell>
          <cell r="O172"/>
          <cell r="T172"/>
        </row>
        <row r="173">
          <cell r="A173" t="str">
            <v>ALLGON</v>
          </cell>
          <cell r="B173" t="str">
            <v>7125.18.33.00</v>
          </cell>
          <cell r="O173"/>
          <cell r="T173"/>
        </row>
        <row r="174">
          <cell r="A174" t="str">
            <v>ALLGON</v>
          </cell>
          <cell r="B174" t="str">
            <v>7129.14.05.00</v>
          </cell>
          <cell r="O174"/>
          <cell r="T174"/>
        </row>
        <row r="175">
          <cell r="A175" t="str">
            <v>ALLGON</v>
          </cell>
          <cell r="B175" t="str">
            <v>7129.16</v>
          </cell>
          <cell r="O175"/>
          <cell r="T175"/>
        </row>
        <row r="176">
          <cell r="A176" t="str">
            <v>ALLGON</v>
          </cell>
          <cell r="B176" t="str">
            <v>7129.16.05.00</v>
          </cell>
          <cell r="O176"/>
          <cell r="T176"/>
        </row>
        <row r="177">
          <cell r="A177" t="str">
            <v>ALLGON</v>
          </cell>
          <cell r="B177" t="str">
            <v>7129.16.05.08</v>
          </cell>
          <cell r="O177"/>
          <cell r="T177"/>
        </row>
        <row r="178">
          <cell r="A178" t="str">
            <v>ALLGON</v>
          </cell>
          <cell r="B178" t="str">
            <v>7129.16.33.00</v>
          </cell>
          <cell r="O178"/>
          <cell r="T178"/>
        </row>
        <row r="179">
          <cell r="A179" t="str">
            <v>ALLGON</v>
          </cell>
          <cell r="B179" t="str">
            <v>7129.20</v>
          </cell>
          <cell r="O179"/>
          <cell r="T179"/>
        </row>
        <row r="180">
          <cell r="A180" t="str">
            <v>ALLGON</v>
          </cell>
          <cell r="B180" t="str">
            <v>7129.32.05.00</v>
          </cell>
          <cell r="O180"/>
          <cell r="T180"/>
        </row>
        <row r="181">
          <cell r="A181" t="str">
            <v>ALLGON</v>
          </cell>
          <cell r="B181" t="str">
            <v>7130.14.05.00</v>
          </cell>
          <cell r="O181"/>
          <cell r="T181"/>
        </row>
        <row r="182">
          <cell r="A182" t="str">
            <v>ALLGON</v>
          </cell>
          <cell r="B182" t="str">
            <v>7130.14.33.00</v>
          </cell>
          <cell r="O182"/>
          <cell r="T182"/>
        </row>
        <row r="183">
          <cell r="A183" t="str">
            <v>ALLGON</v>
          </cell>
          <cell r="B183" t="str">
            <v>7130.16</v>
          </cell>
          <cell r="O183"/>
          <cell r="T183"/>
        </row>
        <row r="184">
          <cell r="A184" t="str">
            <v>ALLGON</v>
          </cell>
          <cell r="B184" t="str">
            <v>7130.16.05.00</v>
          </cell>
          <cell r="O184"/>
          <cell r="T184"/>
        </row>
        <row r="185">
          <cell r="A185" t="str">
            <v>ALLGON</v>
          </cell>
          <cell r="B185" t="str">
            <v>7130.16.05.01</v>
          </cell>
          <cell r="O185"/>
          <cell r="T185"/>
        </row>
        <row r="186">
          <cell r="A186" t="str">
            <v>ALLGON</v>
          </cell>
          <cell r="B186" t="str">
            <v>7130.16.05.08</v>
          </cell>
          <cell r="O186"/>
          <cell r="T186"/>
        </row>
        <row r="187">
          <cell r="A187" t="str">
            <v>ALLGON</v>
          </cell>
          <cell r="B187" t="str">
            <v>7130.16.33.00</v>
          </cell>
          <cell r="O187"/>
          <cell r="T187"/>
        </row>
        <row r="188">
          <cell r="A188" t="str">
            <v>ALLGON</v>
          </cell>
          <cell r="B188" t="str">
            <v>7130.18</v>
          </cell>
          <cell r="O188"/>
          <cell r="T188"/>
        </row>
        <row r="189">
          <cell r="A189" t="str">
            <v>ALLGON</v>
          </cell>
          <cell r="B189" t="str">
            <v>7130.18.05.00</v>
          </cell>
          <cell r="O189"/>
          <cell r="T189"/>
        </row>
        <row r="190">
          <cell r="A190" t="str">
            <v>ALLGON</v>
          </cell>
          <cell r="B190" t="str">
            <v>7130.18.05.01</v>
          </cell>
          <cell r="O190"/>
          <cell r="T190"/>
        </row>
        <row r="191">
          <cell r="A191" t="str">
            <v>ALLGON</v>
          </cell>
          <cell r="B191" t="str">
            <v>7130.18.22.00</v>
          </cell>
          <cell r="O191"/>
          <cell r="T191"/>
        </row>
        <row r="192">
          <cell r="A192" t="str">
            <v>ALLGON</v>
          </cell>
          <cell r="B192" t="str">
            <v>7130.18.33.00</v>
          </cell>
          <cell r="O192"/>
          <cell r="T192"/>
        </row>
        <row r="193">
          <cell r="A193" t="str">
            <v>ALLGON</v>
          </cell>
          <cell r="B193" t="str">
            <v>7130.20.33.00</v>
          </cell>
          <cell r="O193"/>
          <cell r="T193"/>
        </row>
        <row r="194">
          <cell r="A194" t="str">
            <v>ALLGON</v>
          </cell>
          <cell r="B194" t="str">
            <v>7131.16.05.00</v>
          </cell>
          <cell r="O194"/>
          <cell r="T194"/>
        </row>
        <row r="195">
          <cell r="A195" t="str">
            <v>ALLGON</v>
          </cell>
          <cell r="B195" t="str">
            <v>7131.16.33.00</v>
          </cell>
          <cell r="O195"/>
          <cell r="T195"/>
        </row>
        <row r="196">
          <cell r="A196" t="str">
            <v>ALLGON</v>
          </cell>
          <cell r="B196" t="str">
            <v>7131.20.33.00</v>
          </cell>
          <cell r="O196"/>
          <cell r="T196"/>
        </row>
        <row r="197">
          <cell r="A197" t="str">
            <v>ALLGON</v>
          </cell>
          <cell r="B197" t="str">
            <v>7131.20.33.05</v>
          </cell>
          <cell r="O197"/>
          <cell r="T197"/>
        </row>
        <row r="198">
          <cell r="A198" t="str">
            <v>ALLGON</v>
          </cell>
          <cell r="B198" t="str">
            <v>7131.30.05.00</v>
          </cell>
          <cell r="O198"/>
          <cell r="T198"/>
        </row>
        <row r="199">
          <cell r="A199" t="str">
            <v>ALLGON</v>
          </cell>
          <cell r="B199" t="str">
            <v>7133.16.05.00</v>
          </cell>
          <cell r="O199"/>
          <cell r="T199"/>
        </row>
        <row r="200">
          <cell r="A200" t="str">
            <v>ALLGON</v>
          </cell>
          <cell r="B200" t="str">
            <v>7133.16.05.08</v>
          </cell>
          <cell r="O200"/>
          <cell r="T200"/>
        </row>
        <row r="201">
          <cell r="A201" t="str">
            <v>ALLGON</v>
          </cell>
          <cell r="B201" t="str">
            <v>7133.16.33.00</v>
          </cell>
          <cell r="O201"/>
          <cell r="T201"/>
        </row>
        <row r="202">
          <cell r="A202" t="str">
            <v>ALLGON</v>
          </cell>
          <cell r="B202" t="str">
            <v>7143.11.05.00</v>
          </cell>
          <cell r="O202"/>
          <cell r="T202"/>
        </row>
        <row r="203">
          <cell r="A203" t="str">
            <v>ALLGON</v>
          </cell>
          <cell r="B203" t="str">
            <v>7143.11.33.00</v>
          </cell>
          <cell r="O203"/>
          <cell r="T203"/>
        </row>
        <row r="204">
          <cell r="A204" t="str">
            <v>ALLGON</v>
          </cell>
          <cell r="B204" t="str">
            <v>7143.12.05.00</v>
          </cell>
          <cell r="O204"/>
          <cell r="T204"/>
        </row>
        <row r="205">
          <cell r="A205" t="str">
            <v>ALLGON</v>
          </cell>
          <cell r="B205" t="str">
            <v>7143.12.33.00</v>
          </cell>
          <cell r="O205"/>
          <cell r="T205"/>
        </row>
        <row r="206">
          <cell r="A206" t="str">
            <v>ALLGON</v>
          </cell>
          <cell r="B206" t="str">
            <v>7143.13.05.00</v>
          </cell>
          <cell r="O206"/>
          <cell r="T206"/>
        </row>
        <row r="207">
          <cell r="A207" t="str">
            <v>ALLGON</v>
          </cell>
          <cell r="B207" t="str">
            <v>7143.13.33.00</v>
          </cell>
          <cell r="O207"/>
          <cell r="T207"/>
        </row>
        <row r="208">
          <cell r="A208" t="str">
            <v>ALLGON</v>
          </cell>
          <cell r="B208" t="str">
            <v>7143.14.05.00</v>
          </cell>
          <cell r="O208"/>
          <cell r="T208"/>
        </row>
        <row r="209">
          <cell r="A209" t="str">
            <v>ALLGON</v>
          </cell>
          <cell r="B209" t="str">
            <v>7143.14.05.50</v>
          </cell>
          <cell r="O209"/>
          <cell r="T209"/>
        </row>
        <row r="210">
          <cell r="A210" t="str">
            <v>ALLGON</v>
          </cell>
          <cell r="B210" t="str">
            <v>7143.14.33.00</v>
          </cell>
          <cell r="O210"/>
          <cell r="T210"/>
        </row>
        <row r="211">
          <cell r="A211" t="str">
            <v>ALLGON</v>
          </cell>
          <cell r="B211" t="str">
            <v>7143.14.33.50</v>
          </cell>
          <cell r="O211"/>
          <cell r="T211"/>
        </row>
        <row r="212">
          <cell r="A212" t="str">
            <v>ALLGON</v>
          </cell>
          <cell r="B212" t="str">
            <v>7143.16.05.00</v>
          </cell>
          <cell r="O212"/>
          <cell r="T212"/>
        </row>
        <row r="213">
          <cell r="A213" t="str">
            <v>ALLGON</v>
          </cell>
          <cell r="B213" t="str">
            <v>7143.16.33.00</v>
          </cell>
          <cell r="O213"/>
          <cell r="T213"/>
        </row>
        <row r="214">
          <cell r="A214" t="str">
            <v>ALLGON</v>
          </cell>
          <cell r="B214" t="str">
            <v>7143.21.05.00</v>
          </cell>
          <cell r="O214"/>
          <cell r="T214"/>
        </row>
        <row r="215">
          <cell r="A215" t="str">
            <v>ALLGON</v>
          </cell>
          <cell r="B215" t="str">
            <v>7143.23.05.00</v>
          </cell>
          <cell r="O215"/>
          <cell r="T215"/>
        </row>
        <row r="216">
          <cell r="A216" t="str">
            <v>ALLGON</v>
          </cell>
          <cell r="B216" t="str">
            <v>7143.23.05.10</v>
          </cell>
          <cell r="O216"/>
          <cell r="T216"/>
        </row>
        <row r="217">
          <cell r="A217" t="str">
            <v>ALLGON</v>
          </cell>
          <cell r="B217" t="str">
            <v>7143.23.05.12</v>
          </cell>
          <cell r="O217"/>
          <cell r="T217"/>
        </row>
        <row r="218">
          <cell r="A218" t="str">
            <v>ALLGON</v>
          </cell>
          <cell r="B218" t="str">
            <v>7143.24.05.50</v>
          </cell>
          <cell r="O218"/>
          <cell r="T218"/>
        </row>
        <row r="219">
          <cell r="A219" t="str">
            <v>ALLGON</v>
          </cell>
          <cell r="B219" t="str">
            <v>7143.24.33.50</v>
          </cell>
          <cell r="O219"/>
          <cell r="T219"/>
        </row>
        <row r="220">
          <cell r="A220" t="str">
            <v>ALLGON</v>
          </cell>
          <cell r="B220" t="str">
            <v>7143.26.05.00</v>
          </cell>
          <cell r="O220"/>
          <cell r="T220"/>
        </row>
        <row r="221">
          <cell r="A221" t="str">
            <v>ALLGON</v>
          </cell>
          <cell r="B221" t="str">
            <v>7143.26.33.00</v>
          </cell>
          <cell r="O221"/>
          <cell r="T221"/>
        </row>
        <row r="222">
          <cell r="A222" t="str">
            <v>ALLGON</v>
          </cell>
          <cell r="B222" t="str">
            <v>7143.26.34.00</v>
          </cell>
          <cell r="O222"/>
          <cell r="T222"/>
        </row>
        <row r="223">
          <cell r="A223" t="str">
            <v>ALLGON</v>
          </cell>
          <cell r="B223" t="str">
            <v>7143.26.34.06</v>
          </cell>
          <cell r="O223"/>
          <cell r="T223"/>
        </row>
        <row r="224">
          <cell r="A224" t="str">
            <v>ALLGON</v>
          </cell>
          <cell r="B224" t="str">
            <v>7143.26.34.08</v>
          </cell>
          <cell r="O224"/>
          <cell r="T224"/>
        </row>
        <row r="225">
          <cell r="A225" t="str">
            <v>ALLGON</v>
          </cell>
          <cell r="B225" t="str">
            <v>7143.26.34.09</v>
          </cell>
          <cell r="O225"/>
          <cell r="T225"/>
        </row>
        <row r="226">
          <cell r="A226" t="str">
            <v>ALLGON</v>
          </cell>
          <cell r="B226" t="str">
            <v>7143.38.05.00</v>
          </cell>
          <cell r="O226"/>
          <cell r="T226"/>
        </row>
        <row r="227">
          <cell r="A227" t="str">
            <v>ALLGON</v>
          </cell>
          <cell r="B227" t="str">
            <v>7143.38.33.00</v>
          </cell>
          <cell r="O227"/>
          <cell r="T227"/>
        </row>
        <row r="228">
          <cell r="A228" t="str">
            <v>ALLGON</v>
          </cell>
          <cell r="B228" t="str">
            <v>7143.48.05.02</v>
          </cell>
          <cell r="O228"/>
          <cell r="T228"/>
        </row>
        <row r="229">
          <cell r="A229" t="str">
            <v>ALLGON</v>
          </cell>
          <cell r="B229" t="str">
            <v>7143.48.33.00</v>
          </cell>
          <cell r="O229"/>
          <cell r="T229"/>
        </row>
        <row r="230">
          <cell r="A230" t="str">
            <v>ALLGON</v>
          </cell>
          <cell r="B230" t="str">
            <v>7143.48.33.02</v>
          </cell>
          <cell r="O230"/>
          <cell r="T230"/>
        </row>
        <row r="231">
          <cell r="A231" t="str">
            <v>ALLGON</v>
          </cell>
          <cell r="B231" t="str">
            <v>7143.48.33.05</v>
          </cell>
          <cell r="O231"/>
          <cell r="T231"/>
        </row>
        <row r="232">
          <cell r="A232" t="str">
            <v>ALLGON</v>
          </cell>
          <cell r="B232" t="str">
            <v>7144.11.05.00</v>
          </cell>
          <cell r="O232"/>
          <cell r="T232"/>
        </row>
        <row r="233">
          <cell r="A233" t="str">
            <v>ALLGON</v>
          </cell>
          <cell r="B233" t="str">
            <v>7144.11.33.00</v>
          </cell>
          <cell r="O233"/>
          <cell r="T233"/>
        </row>
        <row r="234">
          <cell r="A234" t="str">
            <v>ALLGON</v>
          </cell>
          <cell r="B234" t="str">
            <v>7144.14.05.00</v>
          </cell>
          <cell r="O234"/>
          <cell r="T234"/>
        </row>
        <row r="235">
          <cell r="A235" t="str">
            <v>ALLGON</v>
          </cell>
          <cell r="B235" t="str">
            <v>7144.14.05.50</v>
          </cell>
          <cell r="O235"/>
          <cell r="T235"/>
        </row>
        <row r="236">
          <cell r="A236" t="str">
            <v>ALLGON</v>
          </cell>
          <cell r="B236" t="str">
            <v>7144.14.33.00</v>
          </cell>
          <cell r="O236"/>
          <cell r="T236"/>
        </row>
        <row r="237">
          <cell r="A237" t="str">
            <v>ALLGON</v>
          </cell>
          <cell r="B237" t="str">
            <v>7144.14.33.50</v>
          </cell>
          <cell r="O237"/>
          <cell r="T237"/>
        </row>
        <row r="238">
          <cell r="A238" t="str">
            <v>ALLGON</v>
          </cell>
          <cell r="B238" t="str">
            <v>7144.16.05.00</v>
          </cell>
          <cell r="O238"/>
          <cell r="T238"/>
        </row>
        <row r="239">
          <cell r="A239" t="str">
            <v>ALLGON</v>
          </cell>
          <cell r="B239" t="str">
            <v>7144.16.33.00</v>
          </cell>
          <cell r="O239"/>
          <cell r="T239"/>
        </row>
        <row r="240">
          <cell r="A240" t="str">
            <v>ALLGON</v>
          </cell>
          <cell r="B240" t="str">
            <v>7144.23.05.00</v>
          </cell>
          <cell r="O240"/>
          <cell r="T240"/>
        </row>
        <row r="241">
          <cell r="A241" t="str">
            <v>ALLGON</v>
          </cell>
          <cell r="B241" t="str">
            <v>7144.23.05.12</v>
          </cell>
          <cell r="O241"/>
          <cell r="T241"/>
        </row>
        <row r="242">
          <cell r="A242" t="str">
            <v>ALLGON</v>
          </cell>
          <cell r="B242" t="str">
            <v>7144.24</v>
          </cell>
          <cell r="O242"/>
          <cell r="T242"/>
        </row>
        <row r="243">
          <cell r="A243" t="str">
            <v>ALLGON</v>
          </cell>
          <cell r="B243" t="str">
            <v>7144.24.05.00</v>
          </cell>
          <cell r="O243"/>
          <cell r="T243"/>
        </row>
        <row r="244">
          <cell r="A244" t="str">
            <v>ALLGON</v>
          </cell>
          <cell r="B244" t="str">
            <v>7144.24.05.05</v>
          </cell>
          <cell r="O244"/>
          <cell r="T244"/>
        </row>
        <row r="245">
          <cell r="A245" t="str">
            <v>ALLGON</v>
          </cell>
          <cell r="B245" t="str">
            <v>7144.24.05.50</v>
          </cell>
          <cell r="O245"/>
          <cell r="T245"/>
        </row>
        <row r="246">
          <cell r="A246" t="str">
            <v>ALLGON</v>
          </cell>
          <cell r="B246" t="str">
            <v>7144.24.33.00</v>
          </cell>
          <cell r="O246"/>
          <cell r="T246"/>
        </row>
        <row r="247">
          <cell r="A247" t="str">
            <v>ALLGON</v>
          </cell>
          <cell r="B247" t="str">
            <v>7144.24.33.05</v>
          </cell>
          <cell r="O247"/>
          <cell r="T247"/>
        </row>
        <row r="248">
          <cell r="A248" t="str">
            <v>ALLGON</v>
          </cell>
          <cell r="B248" t="str">
            <v>7144.24.33.06</v>
          </cell>
          <cell r="O248"/>
          <cell r="T248"/>
        </row>
        <row r="249">
          <cell r="A249" t="str">
            <v>ALLGON</v>
          </cell>
          <cell r="B249" t="str">
            <v>7144.24.33.10</v>
          </cell>
          <cell r="O249"/>
          <cell r="T249"/>
        </row>
        <row r="250">
          <cell r="A250" t="str">
            <v>ALLGON</v>
          </cell>
          <cell r="B250" t="str">
            <v>7144.24.33.50</v>
          </cell>
          <cell r="O250"/>
          <cell r="T250"/>
        </row>
        <row r="251">
          <cell r="A251" t="str">
            <v>ALLGON</v>
          </cell>
          <cell r="B251" t="str">
            <v>7144.24.34.50</v>
          </cell>
          <cell r="O251"/>
          <cell r="T251"/>
        </row>
        <row r="252">
          <cell r="A252" t="str">
            <v>ALLGON</v>
          </cell>
          <cell r="B252" t="str">
            <v>7144.26.05.00</v>
          </cell>
          <cell r="O252"/>
          <cell r="T252"/>
        </row>
        <row r="253">
          <cell r="A253" t="str">
            <v>ALLGON</v>
          </cell>
          <cell r="B253" t="str">
            <v>7144.26.33.00</v>
          </cell>
          <cell r="O253"/>
          <cell r="T253"/>
        </row>
        <row r="254">
          <cell r="A254" t="str">
            <v>ALLGON</v>
          </cell>
          <cell r="B254" t="str">
            <v>7144.26.33.08</v>
          </cell>
          <cell r="O254"/>
          <cell r="T254"/>
        </row>
        <row r="255">
          <cell r="A255" t="str">
            <v>ALLGON</v>
          </cell>
          <cell r="B255" t="str">
            <v>7144.38.05.00</v>
          </cell>
          <cell r="O255"/>
          <cell r="T255"/>
        </row>
        <row r="256">
          <cell r="A256" t="str">
            <v>ALLGON</v>
          </cell>
          <cell r="B256" t="str">
            <v>7144.38.33.00</v>
          </cell>
          <cell r="O256"/>
          <cell r="T256"/>
        </row>
        <row r="257">
          <cell r="A257" t="str">
            <v>ALLGON</v>
          </cell>
          <cell r="B257" t="str">
            <v>7144.48.05.05</v>
          </cell>
          <cell r="O257"/>
          <cell r="T257"/>
        </row>
        <row r="258">
          <cell r="A258" t="str">
            <v>ALLGON</v>
          </cell>
          <cell r="B258" t="str">
            <v>7144.48.33.00</v>
          </cell>
          <cell r="O258"/>
          <cell r="T258"/>
        </row>
        <row r="259">
          <cell r="A259" t="str">
            <v>ALLGON</v>
          </cell>
          <cell r="B259" t="str">
            <v>7144.48.33.02</v>
          </cell>
          <cell r="O259"/>
          <cell r="T259"/>
        </row>
        <row r="260">
          <cell r="A260" t="str">
            <v>ALLGON</v>
          </cell>
          <cell r="B260" t="str">
            <v>7144.48.33.05</v>
          </cell>
          <cell r="O260"/>
          <cell r="T260"/>
        </row>
        <row r="261">
          <cell r="A261" t="str">
            <v>ALLGON</v>
          </cell>
          <cell r="B261" t="str">
            <v>7145.14.05.50</v>
          </cell>
          <cell r="O261"/>
          <cell r="T261"/>
        </row>
        <row r="262">
          <cell r="A262" t="str">
            <v>ALLGON</v>
          </cell>
          <cell r="B262" t="str">
            <v>7145.14.33.50</v>
          </cell>
          <cell r="O262"/>
          <cell r="T262"/>
        </row>
        <row r="263">
          <cell r="A263" t="str">
            <v>ALLGON</v>
          </cell>
          <cell r="B263" t="str">
            <v>7145.23.05.00</v>
          </cell>
          <cell r="O263"/>
          <cell r="T263"/>
        </row>
        <row r="264">
          <cell r="A264" t="str">
            <v>ALLGON</v>
          </cell>
          <cell r="B264" t="str">
            <v>7145.23.22.00</v>
          </cell>
          <cell r="O264"/>
          <cell r="T264"/>
        </row>
        <row r="265">
          <cell r="A265" t="str">
            <v>ALLGON</v>
          </cell>
          <cell r="B265" t="str">
            <v>7145.23.33.00</v>
          </cell>
          <cell r="O265"/>
          <cell r="T265"/>
        </row>
        <row r="266">
          <cell r="A266" t="str">
            <v>ALLGON</v>
          </cell>
          <cell r="B266" t="str">
            <v>7145.24</v>
          </cell>
          <cell r="O266"/>
          <cell r="T266"/>
        </row>
        <row r="267">
          <cell r="A267" t="str">
            <v>ALLGON</v>
          </cell>
          <cell r="B267" t="str">
            <v>7145.24.05.00</v>
          </cell>
          <cell r="O267"/>
          <cell r="T267"/>
        </row>
        <row r="268">
          <cell r="A268" t="str">
            <v>ALLGON</v>
          </cell>
          <cell r="B268" t="str">
            <v>7145.24.05.05</v>
          </cell>
          <cell r="O268"/>
          <cell r="T268"/>
        </row>
        <row r="269">
          <cell r="A269" t="str">
            <v>ALLGON</v>
          </cell>
          <cell r="B269" t="str">
            <v>7145.24.05.50</v>
          </cell>
          <cell r="O269"/>
          <cell r="T269"/>
        </row>
        <row r="270">
          <cell r="A270" t="str">
            <v>ALLGON</v>
          </cell>
          <cell r="B270" t="str">
            <v>7145.24.33.50</v>
          </cell>
          <cell r="O270"/>
          <cell r="T270"/>
        </row>
        <row r="271">
          <cell r="A271" t="str">
            <v>ALLGON</v>
          </cell>
          <cell r="B271" t="str">
            <v>7145.26</v>
          </cell>
          <cell r="O271"/>
          <cell r="T271"/>
        </row>
        <row r="272">
          <cell r="A272" t="str">
            <v>ALLGON</v>
          </cell>
          <cell r="B272" t="str">
            <v>7145.26.05.00</v>
          </cell>
          <cell r="O272"/>
          <cell r="T272"/>
        </row>
        <row r="273">
          <cell r="A273" t="str">
            <v>ALLGON</v>
          </cell>
          <cell r="B273" t="str">
            <v>7145.26.33.00</v>
          </cell>
          <cell r="O273"/>
          <cell r="T273"/>
        </row>
        <row r="274">
          <cell r="A274" t="str">
            <v>ALLGON</v>
          </cell>
          <cell r="B274" t="str">
            <v>7145.48.05.00</v>
          </cell>
          <cell r="O274"/>
          <cell r="T274"/>
        </row>
        <row r="275">
          <cell r="A275" t="str">
            <v>ALLGON</v>
          </cell>
          <cell r="B275" t="str">
            <v>7145.48.05.05</v>
          </cell>
          <cell r="O275"/>
          <cell r="T275"/>
        </row>
        <row r="276">
          <cell r="A276" t="str">
            <v>ALLGON</v>
          </cell>
          <cell r="B276" t="str">
            <v>7145.48.33.00</v>
          </cell>
          <cell r="O276"/>
          <cell r="T276"/>
        </row>
        <row r="277">
          <cell r="A277" t="str">
            <v>ALLGON</v>
          </cell>
          <cell r="B277" t="str">
            <v>7146.12.05.00</v>
          </cell>
          <cell r="O277"/>
          <cell r="T277"/>
        </row>
        <row r="278">
          <cell r="A278" t="str">
            <v>ALLGON</v>
          </cell>
          <cell r="B278" t="str">
            <v>7146.12.33.00</v>
          </cell>
          <cell r="O278"/>
          <cell r="T278"/>
        </row>
        <row r="279">
          <cell r="A279" t="str">
            <v>ALLGON</v>
          </cell>
          <cell r="B279" t="str">
            <v>7146.14.05.00</v>
          </cell>
          <cell r="O279"/>
          <cell r="T279"/>
        </row>
        <row r="280">
          <cell r="A280" t="str">
            <v>ALLGON</v>
          </cell>
          <cell r="B280" t="str">
            <v>7146.14.05.50</v>
          </cell>
          <cell r="O280"/>
          <cell r="T280"/>
        </row>
        <row r="281">
          <cell r="A281" t="str">
            <v>ALLGON</v>
          </cell>
          <cell r="B281" t="str">
            <v>7146.14.33.00</v>
          </cell>
          <cell r="O281"/>
          <cell r="T281"/>
        </row>
        <row r="282">
          <cell r="A282" t="str">
            <v>ALLGON</v>
          </cell>
          <cell r="B282" t="str">
            <v>7146.14.33.50</v>
          </cell>
          <cell r="O282"/>
          <cell r="T282"/>
        </row>
        <row r="283">
          <cell r="A283" t="str">
            <v>ALLGON</v>
          </cell>
          <cell r="B283" t="str">
            <v>7146.16.05.00</v>
          </cell>
          <cell r="O283"/>
          <cell r="T283"/>
        </row>
        <row r="284">
          <cell r="A284" t="str">
            <v>ALLGON</v>
          </cell>
          <cell r="B284" t="str">
            <v>7146.16.33.00</v>
          </cell>
          <cell r="O284"/>
          <cell r="T284"/>
        </row>
        <row r="285">
          <cell r="A285" t="str">
            <v>ALLGON</v>
          </cell>
          <cell r="B285" t="str">
            <v>7146.24.05.00</v>
          </cell>
          <cell r="O285"/>
          <cell r="T285"/>
        </row>
        <row r="286">
          <cell r="A286" t="str">
            <v>ALLGON</v>
          </cell>
          <cell r="B286" t="str">
            <v>7146.24.05.05</v>
          </cell>
          <cell r="O286"/>
          <cell r="T286"/>
        </row>
        <row r="287">
          <cell r="A287" t="str">
            <v>ALLGON</v>
          </cell>
          <cell r="B287" t="str">
            <v>7146.24.05.10</v>
          </cell>
          <cell r="O287"/>
          <cell r="T287"/>
        </row>
        <row r="288">
          <cell r="A288" t="str">
            <v>ALLGON</v>
          </cell>
          <cell r="B288" t="str">
            <v>7146.24.05.50</v>
          </cell>
          <cell r="O288"/>
          <cell r="T288"/>
        </row>
        <row r="289">
          <cell r="A289" t="str">
            <v>ALLGON</v>
          </cell>
          <cell r="B289" t="str">
            <v>7146.24.33.50</v>
          </cell>
          <cell r="O289"/>
          <cell r="T289"/>
        </row>
        <row r="290">
          <cell r="A290" t="str">
            <v>ALLGON</v>
          </cell>
          <cell r="B290" t="str">
            <v>7146.24.34.50</v>
          </cell>
          <cell r="O290"/>
          <cell r="T290"/>
        </row>
        <row r="291">
          <cell r="A291" t="str">
            <v>ALLGON</v>
          </cell>
          <cell r="B291" t="str">
            <v>7146.26.05.00</v>
          </cell>
          <cell r="O291"/>
          <cell r="T291"/>
        </row>
        <row r="292">
          <cell r="A292" t="str">
            <v>ALLGON</v>
          </cell>
          <cell r="B292" t="str">
            <v>7146.26.05.06</v>
          </cell>
          <cell r="O292"/>
          <cell r="T292"/>
        </row>
        <row r="293">
          <cell r="A293" t="str">
            <v>ALLGON</v>
          </cell>
          <cell r="B293" t="str">
            <v>7146.26.05.08</v>
          </cell>
          <cell r="O293"/>
          <cell r="T293"/>
        </row>
        <row r="294">
          <cell r="A294" t="str">
            <v>ALLGON</v>
          </cell>
          <cell r="B294" t="str">
            <v>7146.26.33.00</v>
          </cell>
          <cell r="O294"/>
          <cell r="T294"/>
        </row>
        <row r="295">
          <cell r="A295" t="str">
            <v>ALLGON</v>
          </cell>
          <cell r="B295" t="str">
            <v>7146.38.05.00</v>
          </cell>
          <cell r="O295"/>
          <cell r="T295"/>
        </row>
        <row r="296">
          <cell r="A296" t="str">
            <v>ALLGON</v>
          </cell>
          <cell r="B296" t="str">
            <v>7146.38.33.00</v>
          </cell>
          <cell r="O296"/>
          <cell r="T296"/>
        </row>
        <row r="297">
          <cell r="A297" t="str">
            <v>ALLGON</v>
          </cell>
          <cell r="B297" t="str">
            <v>7146.48.05.00</v>
          </cell>
          <cell r="O297"/>
          <cell r="T297"/>
        </row>
        <row r="298">
          <cell r="A298" t="str">
            <v>ALLGON</v>
          </cell>
          <cell r="B298" t="str">
            <v>7146.48.05.05</v>
          </cell>
          <cell r="O298"/>
          <cell r="T298"/>
        </row>
        <row r="299">
          <cell r="A299" t="str">
            <v>ALLGON</v>
          </cell>
          <cell r="B299" t="str">
            <v>7182</v>
          </cell>
          <cell r="O299"/>
          <cell r="T299"/>
        </row>
        <row r="300">
          <cell r="A300" t="str">
            <v>ALLGON</v>
          </cell>
          <cell r="B300" t="str">
            <v>7182.07</v>
          </cell>
          <cell r="O300">
            <v>2.0673565650254897</v>
          </cell>
          <cell r="T300">
            <v>1.00732008426013</v>
          </cell>
        </row>
        <row r="301">
          <cell r="A301" t="str">
            <v>ALLGON</v>
          </cell>
          <cell r="B301" t="str">
            <v>7182.13</v>
          </cell>
          <cell r="O301">
            <v>2.07897172377093</v>
          </cell>
          <cell r="T301">
            <v>1.01267882403108</v>
          </cell>
        </row>
        <row r="302">
          <cell r="A302" t="str">
            <v>ALLGON</v>
          </cell>
          <cell r="B302" t="str">
            <v>7182.14</v>
          </cell>
          <cell r="O302">
            <v>2.0673565650254897</v>
          </cell>
          <cell r="T302">
            <v>1.00732008426013</v>
          </cell>
        </row>
        <row r="303">
          <cell r="A303" t="str">
            <v>ALLGON</v>
          </cell>
          <cell r="B303" t="str">
            <v>7182.15</v>
          </cell>
          <cell r="O303">
            <v>2.07897172377093</v>
          </cell>
          <cell r="T303">
            <v>1.01267882403108</v>
          </cell>
        </row>
        <row r="304">
          <cell r="A304" t="str">
            <v>ALLGON</v>
          </cell>
          <cell r="B304" t="str">
            <v>7182.17</v>
          </cell>
          <cell r="O304">
            <v>2.0673565650254897</v>
          </cell>
          <cell r="T304">
            <v>1.00732008426013</v>
          </cell>
        </row>
        <row r="305">
          <cell r="A305" t="str">
            <v>ALLGON</v>
          </cell>
          <cell r="B305" t="str">
            <v>7182.18</v>
          </cell>
          <cell r="O305"/>
          <cell r="T305"/>
        </row>
        <row r="306">
          <cell r="A306" t="str">
            <v>ALLGON</v>
          </cell>
          <cell r="B306" t="str">
            <v>7182.25</v>
          </cell>
          <cell r="O306">
            <v>2.07897172377093</v>
          </cell>
          <cell r="T306">
            <v>1.01267882403108</v>
          </cell>
        </row>
        <row r="307">
          <cell r="A307" t="str">
            <v>ALLGON</v>
          </cell>
          <cell r="B307" t="str">
            <v>7182.40</v>
          </cell>
          <cell r="O307">
            <v>1.3905494289036</v>
          </cell>
          <cell r="T307">
            <v>0.88799098798056786</v>
          </cell>
        </row>
        <row r="308">
          <cell r="A308" t="str">
            <v>ALLGON</v>
          </cell>
          <cell r="B308" t="str">
            <v>7182.42</v>
          </cell>
          <cell r="O308">
            <v>1.3905494289036</v>
          </cell>
          <cell r="T308">
            <v>0.88799098798056786</v>
          </cell>
        </row>
        <row r="309">
          <cell r="A309" t="str">
            <v>ALLGON</v>
          </cell>
          <cell r="B309" t="str">
            <v>7182.44</v>
          </cell>
          <cell r="O309">
            <v>1.3905494289036</v>
          </cell>
          <cell r="T309">
            <v>0.88799098798056786</v>
          </cell>
        </row>
        <row r="310">
          <cell r="A310" t="str">
            <v>ALLGON</v>
          </cell>
          <cell r="B310" t="str">
            <v>7183.07</v>
          </cell>
          <cell r="O310">
            <v>1.0229013512357401</v>
          </cell>
          <cell r="T310">
            <v>0.63233761295945401</v>
          </cell>
        </row>
        <row r="311">
          <cell r="A311" t="str">
            <v>ALLGON</v>
          </cell>
          <cell r="B311" t="str">
            <v>7183.09</v>
          </cell>
          <cell r="O311"/>
          <cell r="T311"/>
        </row>
        <row r="312">
          <cell r="A312" t="str">
            <v>ALLGON</v>
          </cell>
          <cell r="B312" t="str">
            <v>7183.10</v>
          </cell>
          <cell r="O312"/>
          <cell r="T312"/>
        </row>
        <row r="313">
          <cell r="A313" t="str">
            <v>ALLGON</v>
          </cell>
          <cell r="B313" t="str">
            <v>7183.15</v>
          </cell>
          <cell r="O313"/>
          <cell r="T313"/>
        </row>
        <row r="314">
          <cell r="A314" t="str">
            <v>ALLGON</v>
          </cell>
          <cell r="B314" t="str">
            <v>7183.42</v>
          </cell>
          <cell r="O314">
            <v>1.0229013512357401</v>
          </cell>
          <cell r="T314">
            <v>0.63233761295945401</v>
          </cell>
        </row>
        <row r="315">
          <cell r="A315" t="str">
            <v>ALLGON</v>
          </cell>
          <cell r="B315" t="str">
            <v>7184</v>
          </cell>
          <cell r="O315">
            <v>1.3905494289036</v>
          </cell>
          <cell r="T315">
            <v>0.88799098798056786</v>
          </cell>
        </row>
        <row r="316">
          <cell r="A316" t="str">
            <v>ALLGON</v>
          </cell>
          <cell r="B316" t="str">
            <v>7184.05</v>
          </cell>
          <cell r="O316">
            <v>1.3905494289036</v>
          </cell>
          <cell r="T316">
            <v>0.88799098798056786</v>
          </cell>
        </row>
        <row r="317">
          <cell r="A317" t="str">
            <v>ALLGON</v>
          </cell>
          <cell r="B317" t="str">
            <v>7184.13</v>
          </cell>
          <cell r="O317">
            <v>2.0673565650254897</v>
          </cell>
          <cell r="T317">
            <v>1.00732008426013</v>
          </cell>
        </row>
        <row r="318">
          <cell r="A318" t="str">
            <v>ALLGON</v>
          </cell>
          <cell r="B318" t="str">
            <v>7184.14</v>
          </cell>
          <cell r="O318">
            <v>2.07897172377093</v>
          </cell>
          <cell r="T318">
            <v>1.01267882403108</v>
          </cell>
        </row>
        <row r="319">
          <cell r="A319" t="str">
            <v>ALLGON</v>
          </cell>
          <cell r="B319" t="str">
            <v>7184.15</v>
          </cell>
          <cell r="O319">
            <v>2.0673565650254897</v>
          </cell>
          <cell r="T319">
            <v>1.00732008426013</v>
          </cell>
        </row>
        <row r="320">
          <cell r="A320" t="str">
            <v>ALLGON</v>
          </cell>
          <cell r="B320" t="str">
            <v>7184.40</v>
          </cell>
          <cell r="O320">
            <v>1.3905494289036</v>
          </cell>
          <cell r="T320">
            <v>0.88799098798056786</v>
          </cell>
        </row>
        <row r="321">
          <cell r="A321" t="str">
            <v>ALLGON</v>
          </cell>
          <cell r="B321" t="str">
            <v>7184.42</v>
          </cell>
          <cell r="O321">
            <v>1.3905494289036</v>
          </cell>
          <cell r="T321">
            <v>0.88799098798056786</v>
          </cell>
        </row>
        <row r="322">
          <cell r="A322" t="str">
            <v>ALLGON</v>
          </cell>
          <cell r="B322" t="str">
            <v>7184.44</v>
          </cell>
          <cell r="O322">
            <v>1.3715821783485198</v>
          </cell>
          <cell r="T322">
            <v>0.84766665939889685</v>
          </cell>
        </row>
        <row r="323">
          <cell r="A323" t="str">
            <v>ALLGON</v>
          </cell>
          <cell r="B323" t="str">
            <v>7185.03</v>
          </cell>
          <cell r="O323"/>
          <cell r="T323"/>
        </row>
        <row r="324">
          <cell r="A324" t="str">
            <v>ALLGON</v>
          </cell>
          <cell r="B324" t="str">
            <v>7185.08</v>
          </cell>
          <cell r="O324"/>
          <cell r="T324"/>
        </row>
        <row r="325">
          <cell r="A325" t="str">
            <v>ALLGON</v>
          </cell>
          <cell r="B325" t="str">
            <v>7193.01</v>
          </cell>
          <cell r="O325"/>
          <cell r="T325"/>
        </row>
        <row r="326">
          <cell r="A326" t="str">
            <v>ALLGON</v>
          </cell>
          <cell r="B326" t="str">
            <v>7194.07</v>
          </cell>
          <cell r="O326">
            <v>1.00891072233694</v>
          </cell>
          <cell r="T326">
            <v>0.49259883311410296</v>
          </cell>
        </row>
        <row r="327">
          <cell r="A327" t="str">
            <v>ALLGON</v>
          </cell>
          <cell r="B327" t="str">
            <v>7195.15</v>
          </cell>
          <cell r="O327">
            <v>1.00891072233694</v>
          </cell>
          <cell r="T327">
            <v>0.49259883311410296</v>
          </cell>
        </row>
        <row r="328">
          <cell r="A328" t="str">
            <v>ALLGON</v>
          </cell>
          <cell r="B328" t="str">
            <v>7195.40</v>
          </cell>
          <cell r="O328"/>
          <cell r="T328"/>
        </row>
        <row r="329">
          <cell r="A329" t="str">
            <v>ALLGON</v>
          </cell>
          <cell r="B329" t="str">
            <v>7198.04</v>
          </cell>
          <cell r="O329"/>
          <cell r="T329"/>
        </row>
        <row r="330">
          <cell r="A330" t="str">
            <v>ALLGON</v>
          </cell>
          <cell r="B330" t="str">
            <v>7198.05</v>
          </cell>
          <cell r="O330"/>
          <cell r="T330"/>
        </row>
        <row r="331">
          <cell r="A331" t="str">
            <v>ALLGON</v>
          </cell>
          <cell r="B331" t="str">
            <v>7198.14</v>
          </cell>
          <cell r="O331"/>
          <cell r="T331"/>
        </row>
        <row r="332">
          <cell r="A332" t="str">
            <v>ALLGON</v>
          </cell>
          <cell r="B332" t="str">
            <v>7199.01</v>
          </cell>
          <cell r="O332">
            <v>4.179776736399039</v>
          </cell>
          <cell r="T332">
            <v>2.0333327307103399</v>
          </cell>
        </row>
        <row r="333">
          <cell r="A333" t="str">
            <v>ALLGON</v>
          </cell>
          <cell r="B333" t="str">
            <v>7199.02</v>
          </cell>
          <cell r="O333">
            <v>4.179776736399039</v>
          </cell>
          <cell r="T333">
            <v>2.0333327307103399</v>
          </cell>
        </row>
        <row r="334">
          <cell r="A334" t="str">
            <v>ALLGON</v>
          </cell>
          <cell r="B334" t="str">
            <v>7199.40</v>
          </cell>
          <cell r="O334">
            <v>2.77766831623524</v>
          </cell>
          <cell r="T334">
            <v>1.77453941857822</v>
          </cell>
        </row>
        <row r="335">
          <cell r="A335" t="str">
            <v>ALLGON</v>
          </cell>
          <cell r="B335" t="str">
            <v>7200</v>
          </cell>
          <cell r="O335"/>
          <cell r="T335"/>
        </row>
        <row r="336">
          <cell r="A336" t="str">
            <v>ALLGON</v>
          </cell>
          <cell r="B336" t="str">
            <v>7200.01</v>
          </cell>
          <cell r="O336">
            <v>3.08318802498929</v>
          </cell>
          <cell r="T336">
            <v>1.5021561903964697</v>
          </cell>
        </row>
        <row r="337">
          <cell r="A337" t="str">
            <v>ALLGON</v>
          </cell>
          <cell r="B337" t="str">
            <v>7200.03</v>
          </cell>
          <cell r="O337"/>
          <cell r="T337"/>
        </row>
        <row r="338">
          <cell r="A338" t="str">
            <v>ALLGON</v>
          </cell>
          <cell r="B338" t="str">
            <v>7200.04</v>
          </cell>
          <cell r="O338"/>
          <cell r="T338"/>
        </row>
        <row r="339">
          <cell r="A339" t="str">
            <v>ALLGON</v>
          </cell>
          <cell r="B339" t="str">
            <v>7200.05</v>
          </cell>
          <cell r="O339">
            <v>3.08318802498929</v>
          </cell>
          <cell r="T339">
            <v>1.5021561903964697</v>
          </cell>
        </row>
        <row r="340">
          <cell r="A340" t="str">
            <v>ALLGON</v>
          </cell>
          <cell r="B340" t="str">
            <v>7200.07</v>
          </cell>
          <cell r="O340">
            <v>3.08318802498929</v>
          </cell>
          <cell r="T340">
            <v>1.5021561903964697</v>
          </cell>
        </row>
        <row r="341">
          <cell r="A341" t="str">
            <v>ALLGON</v>
          </cell>
          <cell r="B341" t="str">
            <v>7200.08</v>
          </cell>
          <cell r="O341">
            <v>3.08318802498929</v>
          </cell>
          <cell r="T341">
            <v>1.5021561903964697</v>
          </cell>
        </row>
        <row r="342">
          <cell r="A342" t="str">
            <v>ALLGON</v>
          </cell>
          <cell r="B342" t="str">
            <v>7200.09</v>
          </cell>
          <cell r="O342">
            <v>3.08318802498929</v>
          </cell>
          <cell r="T342">
            <v>1.5021561903964697</v>
          </cell>
        </row>
        <row r="343">
          <cell r="A343" t="str">
            <v>ALLGON</v>
          </cell>
          <cell r="B343" t="str">
            <v>7200.42</v>
          </cell>
          <cell r="O343">
            <v>1.9755321145987499</v>
          </cell>
          <cell r="T343">
            <v>1.26189516854943</v>
          </cell>
        </row>
        <row r="344">
          <cell r="A344" t="str">
            <v>ALLGON</v>
          </cell>
          <cell r="B344" t="str">
            <v>7200.44</v>
          </cell>
          <cell r="O344">
            <v>1.9755321145987499</v>
          </cell>
          <cell r="T344">
            <v>1.26189516854943</v>
          </cell>
        </row>
        <row r="345">
          <cell r="A345" t="str">
            <v>ALLGON</v>
          </cell>
          <cell r="B345" t="str">
            <v>7200.45</v>
          </cell>
          <cell r="O345">
            <v>1.9755321145987499</v>
          </cell>
          <cell r="T345">
            <v>1.26189516854943</v>
          </cell>
        </row>
        <row r="346">
          <cell r="A346" t="str">
            <v>ALLGON</v>
          </cell>
          <cell r="B346" t="str">
            <v>72001.01</v>
          </cell>
          <cell r="O346"/>
          <cell r="T346"/>
        </row>
        <row r="347">
          <cell r="A347" t="str">
            <v>ALLGON</v>
          </cell>
          <cell r="B347" t="str">
            <v>7208.01</v>
          </cell>
          <cell r="O347">
            <v>1.3905494289036</v>
          </cell>
          <cell r="T347">
            <v>0.88799098798056786</v>
          </cell>
        </row>
        <row r="348">
          <cell r="A348" t="str">
            <v>ALLGON</v>
          </cell>
          <cell r="B348" t="str">
            <v>7208.02</v>
          </cell>
          <cell r="O348">
            <v>1.3905494289036</v>
          </cell>
          <cell r="T348">
            <v>0.88799098798056786</v>
          </cell>
        </row>
        <row r="349">
          <cell r="A349" t="str">
            <v>ALLGON</v>
          </cell>
          <cell r="B349" t="str">
            <v>7220</v>
          </cell>
          <cell r="O349">
            <v>3.08318802498929</v>
          </cell>
          <cell r="T349">
            <v>1.5021561903964697</v>
          </cell>
        </row>
        <row r="350">
          <cell r="A350" t="str">
            <v>ALLGON</v>
          </cell>
          <cell r="B350" t="str">
            <v>7220.01</v>
          </cell>
          <cell r="O350">
            <v>3.1020650824246703</v>
          </cell>
          <cell r="T350">
            <v>1.51848287620586</v>
          </cell>
        </row>
        <row r="351">
          <cell r="A351" t="str">
            <v>ALLGON</v>
          </cell>
          <cell r="B351" t="str">
            <v>7220.08</v>
          </cell>
          <cell r="O351">
            <v>3.1020650824246703</v>
          </cell>
          <cell r="T351">
            <v>1.51848287620586</v>
          </cell>
        </row>
        <row r="352">
          <cell r="A352" t="str">
            <v>ALLGON</v>
          </cell>
          <cell r="B352" t="str">
            <v>7220.10</v>
          </cell>
          <cell r="O352"/>
          <cell r="T352"/>
        </row>
        <row r="353">
          <cell r="A353" t="str">
            <v>ALLGON</v>
          </cell>
          <cell r="B353" t="str">
            <v>7220.14</v>
          </cell>
          <cell r="O353">
            <v>3.1020650824246703</v>
          </cell>
          <cell r="T353">
            <v>1.51848287620586</v>
          </cell>
        </row>
        <row r="354">
          <cell r="A354" t="str">
            <v>ALLGON</v>
          </cell>
          <cell r="B354" t="str">
            <v>7220.40</v>
          </cell>
          <cell r="O354">
            <v>2.4730915734975496</v>
          </cell>
          <cell r="T354">
            <v>1.62659140605054</v>
          </cell>
        </row>
        <row r="355">
          <cell r="A355" t="str">
            <v>ALLGON</v>
          </cell>
          <cell r="B355" t="str">
            <v>7220.42</v>
          </cell>
          <cell r="O355">
            <v>2.9087286310116602</v>
          </cell>
          <cell r="T355">
            <v>1.92228185345295</v>
          </cell>
        </row>
        <row r="356">
          <cell r="A356" t="str">
            <v>ALLGON</v>
          </cell>
          <cell r="B356" t="str">
            <v>7221</v>
          </cell>
          <cell r="O356"/>
          <cell r="T356"/>
        </row>
        <row r="357">
          <cell r="A357" t="str">
            <v>ALLGON</v>
          </cell>
          <cell r="B357" t="str">
            <v>7221.00</v>
          </cell>
          <cell r="O357"/>
          <cell r="T357"/>
        </row>
        <row r="358">
          <cell r="A358" t="str">
            <v>ALLGON</v>
          </cell>
          <cell r="B358" t="str">
            <v>7221.14</v>
          </cell>
          <cell r="O358">
            <v>7.5489296193097593</v>
          </cell>
          <cell r="T358">
            <v>1.9999848618149301</v>
          </cell>
        </row>
        <row r="359">
          <cell r="A359" t="str">
            <v>ALLGON</v>
          </cell>
          <cell r="B359" t="str">
            <v>7221.15</v>
          </cell>
          <cell r="O359">
            <v>7.5489296193097593</v>
          </cell>
          <cell r="T359">
            <v>1.9999848618149301</v>
          </cell>
        </row>
        <row r="360">
          <cell r="A360" t="str">
            <v>ALLGON</v>
          </cell>
          <cell r="B360" t="str">
            <v>7221.16</v>
          </cell>
          <cell r="O360"/>
          <cell r="T360"/>
        </row>
        <row r="361">
          <cell r="A361" t="str">
            <v>ALLGON</v>
          </cell>
          <cell r="B361" t="str">
            <v>7221.40</v>
          </cell>
          <cell r="O361"/>
          <cell r="T361"/>
        </row>
        <row r="362">
          <cell r="A362" t="str">
            <v>ALLGON</v>
          </cell>
          <cell r="B362" t="str">
            <v>7250.00</v>
          </cell>
          <cell r="O362"/>
          <cell r="T362"/>
        </row>
        <row r="363">
          <cell r="A363" t="str">
            <v>ALLGON</v>
          </cell>
          <cell r="B363" t="str">
            <v>7250.01</v>
          </cell>
          <cell r="O363"/>
          <cell r="T363"/>
        </row>
        <row r="364">
          <cell r="A364" t="str">
            <v>ALLGON</v>
          </cell>
          <cell r="B364" t="str">
            <v>7250.02</v>
          </cell>
          <cell r="O364">
            <v>3.1132372027070998</v>
          </cell>
          <cell r="T364">
            <v>1.5134194992463099</v>
          </cell>
        </row>
        <row r="365">
          <cell r="A365" t="str">
            <v>ALLGON</v>
          </cell>
          <cell r="B365" t="str">
            <v>7250.03</v>
          </cell>
          <cell r="O365">
            <v>3.1132372027070998</v>
          </cell>
          <cell r="T365">
            <v>1.5134194992463099</v>
          </cell>
        </row>
        <row r="366">
          <cell r="A366" t="str">
            <v>ALLGON</v>
          </cell>
          <cell r="B366" t="str">
            <v>7250.04</v>
          </cell>
          <cell r="O366">
            <v>1.4119411934230499</v>
          </cell>
          <cell r="T366">
            <v>0.90185967590368787</v>
          </cell>
        </row>
        <row r="367">
          <cell r="A367" t="str">
            <v>ALLGON</v>
          </cell>
          <cell r="B367" t="str">
            <v>7250.05</v>
          </cell>
          <cell r="O367">
            <v>3.1132372027070998</v>
          </cell>
          <cell r="T367">
            <v>1.5134194992463099</v>
          </cell>
        </row>
        <row r="368">
          <cell r="A368" t="str">
            <v>ALLGON</v>
          </cell>
          <cell r="B368" t="str">
            <v>7251</v>
          </cell>
          <cell r="O368"/>
          <cell r="T368"/>
        </row>
        <row r="369">
          <cell r="A369" t="str">
            <v>ALLGON</v>
          </cell>
          <cell r="B369" t="str">
            <v>7251.01</v>
          </cell>
          <cell r="O369">
            <v>2.03501563277473</v>
          </cell>
          <cell r="T369">
            <v>1.3000283331572899</v>
          </cell>
        </row>
        <row r="370">
          <cell r="A370" t="str">
            <v>ALLGON</v>
          </cell>
          <cell r="B370" t="str">
            <v>7251.02</v>
          </cell>
          <cell r="O370">
            <v>2.03501563277473</v>
          </cell>
          <cell r="T370">
            <v>1.3000283331572899</v>
          </cell>
        </row>
        <row r="371">
          <cell r="A371" t="str">
            <v>ALLGON</v>
          </cell>
          <cell r="B371" t="str">
            <v>7262.01</v>
          </cell>
          <cell r="O371">
            <v>1.4119411934230499</v>
          </cell>
          <cell r="T371">
            <v>0.90185967590368787</v>
          </cell>
        </row>
        <row r="372">
          <cell r="A372" t="str">
            <v>ALLGON</v>
          </cell>
          <cell r="B372" t="str">
            <v>7262.02</v>
          </cell>
          <cell r="O372">
            <v>1.4119411934230499</v>
          </cell>
          <cell r="T372">
            <v>0.90185967590368787</v>
          </cell>
        </row>
        <row r="373">
          <cell r="A373" t="str">
            <v>ALLGON</v>
          </cell>
          <cell r="B373" t="str">
            <v>7262.03</v>
          </cell>
          <cell r="O373">
            <v>1.4119411934230499</v>
          </cell>
          <cell r="T373">
            <v>0.90185967590368787</v>
          </cell>
        </row>
        <row r="374">
          <cell r="A374" t="str">
            <v>ALLGON</v>
          </cell>
          <cell r="B374" t="str">
            <v>7263.01</v>
          </cell>
          <cell r="O374"/>
          <cell r="T374"/>
        </row>
        <row r="375">
          <cell r="A375" t="str">
            <v>ALLGON</v>
          </cell>
          <cell r="B375" t="str">
            <v>7263.04</v>
          </cell>
          <cell r="O375"/>
          <cell r="T375"/>
        </row>
        <row r="376">
          <cell r="A376" t="str">
            <v>ALLGON</v>
          </cell>
          <cell r="B376" t="str">
            <v>7270.01</v>
          </cell>
          <cell r="O376"/>
          <cell r="T376"/>
        </row>
        <row r="377">
          <cell r="A377" t="str">
            <v>ALLGON</v>
          </cell>
          <cell r="B377" t="str">
            <v>7270.02</v>
          </cell>
          <cell r="O377"/>
          <cell r="T377"/>
        </row>
        <row r="378">
          <cell r="A378" t="str">
            <v>ALLGON</v>
          </cell>
          <cell r="B378" t="str">
            <v>7271.01</v>
          </cell>
          <cell r="O378"/>
          <cell r="T378"/>
        </row>
        <row r="379">
          <cell r="A379" t="str">
            <v>ALLGON</v>
          </cell>
          <cell r="B379" t="str">
            <v>7271.02</v>
          </cell>
          <cell r="O379"/>
          <cell r="T379"/>
        </row>
        <row r="380">
          <cell r="A380" t="str">
            <v>ALLGON</v>
          </cell>
          <cell r="B380" t="str">
            <v>7272.01</v>
          </cell>
          <cell r="O380"/>
          <cell r="T380"/>
        </row>
        <row r="381">
          <cell r="A381" t="str">
            <v>ALLGON</v>
          </cell>
          <cell r="B381" t="str">
            <v>7272.02</v>
          </cell>
          <cell r="O381"/>
          <cell r="T381"/>
        </row>
        <row r="382">
          <cell r="A382" t="str">
            <v>ALLGON</v>
          </cell>
          <cell r="B382" t="str">
            <v>7273.01</v>
          </cell>
          <cell r="O382"/>
          <cell r="T382"/>
        </row>
        <row r="383">
          <cell r="A383" t="str">
            <v>ALLGON</v>
          </cell>
          <cell r="B383" t="str">
            <v>7273.02</v>
          </cell>
          <cell r="O383"/>
          <cell r="T383"/>
        </row>
        <row r="384">
          <cell r="A384" t="str">
            <v>ALLGON</v>
          </cell>
          <cell r="B384" t="str">
            <v>7275.01</v>
          </cell>
          <cell r="O384"/>
          <cell r="T384"/>
        </row>
        <row r="385">
          <cell r="A385" t="str">
            <v>ALLGON</v>
          </cell>
          <cell r="B385" t="str">
            <v>7275.02</v>
          </cell>
          <cell r="O385"/>
          <cell r="T385"/>
        </row>
        <row r="386">
          <cell r="A386" t="str">
            <v>ALLGON</v>
          </cell>
          <cell r="B386" t="str">
            <v>7276.01</v>
          </cell>
          <cell r="O386"/>
          <cell r="T386"/>
        </row>
        <row r="387">
          <cell r="A387" t="str">
            <v>ALLGON</v>
          </cell>
          <cell r="B387" t="str">
            <v>7276.02</v>
          </cell>
          <cell r="O387"/>
          <cell r="T387"/>
        </row>
        <row r="388">
          <cell r="A388" t="str">
            <v>ALLGON</v>
          </cell>
          <cell r="B388" t="str">
            <v>7277.01</v>
          </cell>
          <cell r="O388"/>
          <cell r="T388"/>
        </row>
        <row r="389">
          <cell r="A389" t="str">
            <v>ALLGON</v>
          </cell>
          <cell r="B389" t="str">
            <v>7277.02</v>
          </cell>
          <cell r="O389">
            <v>3.6596840203629499</v>
          </cell>
          <cell r="T389">
            <v>1.6675622065848601</v>
          </cell>
        </row>
        <row r="390">
          <cell r="A390" t="str">
            <v>ALLGON</v>
          </cell>
          <cell r="B390" t="str">
            <v>7278.01</v>
          </cell>
          <cell r="O390">
            <v>5.628861633406089</v>
          </cell>
          <cell r="T390">
            <v>2.3463066674654596</v>
          </cell>
        </row>
        <row r="391">
          <cell r="A391" t="str">
            <v>ALLGON</v>
          </cell>
          <cell r="B391" t="str">
            <v>7278.02</v>
          </cell>
          <cell r="O391"/>
          <cell r="T391"/>
        </row>
        <row r="392">
          <cell r="A392" t="str">
            <v>ALLGON</v>
          </cell>
          <cell r="B392" t="str">
            <v>7281.02</v>
          </cell>
          <cell r="O392"/>
          <cell r="T392"/>
        </row>
        <row r="393">
          <cell r="A393" t="str">
            <v>ALLGON</v>
          </cell>
          <cell r="B393" t="str">
            <v>7301.02</v>
          </cell>
          <cell r="O393">
            <v>0.81700000000000006</v>
          </cell>
          <cell r="T393">
            <v>0.52</v>
          </cell>
        </row>
        <row r="394">
          <cell r="A394" t="str">
            <v>ALLGON</v>
          </cell>
          <cell r="B394" t="str">
            <v>7332</v>
          </cell>
          <cell r="O394">
            <v>3.6494632523148103</v>
          </cell>
          <cell r="T394">
            <v>1.6575127403839598</v>
          </cell>
        </row>
        <row r="395">
          <cell r="A395" t="str">
            <v>ALLGON</v>
          </cell>
          <cell r="B395" t="str">
            <v>7333.00</v>
          </cell>
          <cell r="O395">
            <v>3.6494632523148103</v>
          </cell>
          <cell r="T395">
            <v>1.6575127403839598</v>
          </cell>
        </row>
        <row r="396">
          <cell r="A396" t="str">
            <v>ALLGON</v>
          </cell>
          <cell r="B396" t="str">
            <v>7334</v>
          </cell>
          <cell r="O396">
            <v>3.6494632523148103</v>
          </cell>
          <cell r="T396">
            <v>1.6575127403839598</v>
          </cell>
        </row>
        <row r="397">
          <cell r="A397" t="str">
            <v>ALLGON</v>
          </cell>
          <cell r="B397" t="str">
            <v>7334.00</v>
          </cell>
          <cell r="O397">
            <v>3.6494632523148103</v>
          </cell>
          <cell r="T397">
            <v>1.6575127403839598</v>
          </cell>
        </row>
        <row r="398">
          <cell r="A398" t="str">
            <v>ALLGON</v>
          </cell>
          <cell r="B398" t="str">
            <v>7391.00</v>
          </cell>
          <cell r="O398">
            <v>3.6494632523148103</v>
          </cell>
          <cell r="T398">
            <v>1.6575127403839598</v>
          </cell>
        </row>
        <row r="399">
          <cell r="A399" t="str">
            <v>ALLGON</v>
          </cell>
          <cell r="B399" t="str">
            <v>7391.02</v>
          </cell>
          <cell r="O399">
            <v>3.6494632523148103</v>
          </cell>
          <cell r="T399">
            <v>1.6575127403839598</v>
          </cell>
        </row>
        <row r="400">
          <cell r="A400" t="str">
            <v>ALLGON</v>
          </cell>
          <cell r="B400" t="str">
            <v>7391.04</v>
          </cell>
          <cell r="O400">
            <v>3.6494632523148103</v>
          </cell>
          <cell r="T400">
            <v>1.6575127403839598</v>
          </cell>
        </row>
        <row r="401">
          <cell r="A401" t="str">
            <v>ALLGON</v>
          </cell>
          <cell r="B401" t="str">
            <v>7391.06</v>
          </cell>
          <cell r="O401">
            <v>3.6494632523148103</v>
          </cell>
          <cell r="T401">
            <v>1.6575127403839598</v>
          </cell>
        </row>
        <row r="402">
          <cell r="A402" t="str">
            <v>ALLGON</v>
          </cell>
          <cell r="B402" t="str">
            <v>7391.08</v>
          </cell>
          <cell r="O402">
            <v>3.6494632523148103</v>
          </cell>
          <cell r="T402">
            <v>1.6575127403839598</v>
          </cell>
        </row>
        <row r="403">
          <cell r="A403" t="str">
            <v>ALLGON</v>
          </cell>
          <cell r="B403" t="str">
            <v>7392.00</v>
          </cell>
          <cell r="O403"/>
          <cell r="T403"/>
        </row>
        <row r="404">
          <cell r="A404" t="str">
            <v>ALLGON</v>
          </cell>
          <cell r="B404" t="str">
            <v>7415.00</v>
          </cell>
          <cell r="O404">
            <v>7.1143518518518496</v>
          </cell>
          <cell r="T404">
            <v>3.2339700683255796</v>
          </cell>
        </row>
        <row r="405">
          <cell r="A405" t="str">
            <v>ALLGON</v>
          </cell>
          <cell r="B405" t="str">
            <v>7481.00</v>
          </cell>
          <cell r="O405">
            <v>3.6494632523148103</v>
          </cell>
          <cell r="T405">
            <v>1.6575127403839598</v>
          </cell>
        </row>
        <row r="406">
          <cell r="A406" t="str">
            <v>ALLGON</v>
          </cell>
          <cell r="B406" t="str">
            <v>7542.00</v>
          </cell>
          <cell r="O406"/>
          <cell r="T406"/>
        </row>
        <row r="407">
          <cell r="A407" t="str">
            <v>ALLGON</v>
          </cell>
          <cell r="B407" t="str">
            <v>7580.00</v>
          </cell>
          <cell r="O407">
            <v>3.8663811728395099</v>
          </cell>
          <cell r="T407">
            <v>1.7570023114350599</v>
          </cell>
        </row>
        <row r="408">
          <cell r="A408" t="str">
            <v>ALLGON</v>
          </cell>
          <cell r="B408" t="str">
            <v>7691.00</v>
          </cell>
          <cell r="O408"/>
          <cell r="T408"/>
        </row>
        <row r="409">
          <cell r="A409" t="str">
            <v>ALLGON</v>
          </cell>
          <cell r="B409" t="str">
            <v>7720.00</v>
          </cell>
          <cell r="O409"/>
          <cell r="T409"/>
        </row>
        <row r="410">
          <cell r="A410" t="str">
            <v>ALLGON</v>
          </cell>
          <cell r="B410" t="str">
            <v>7721.00</v>
          </cell>
          <cell r="O410">
            <v>1.95269627700617</v>
          </cell>
          <cell r="T410">
            <v>1.0327259907164499</v>
          </cell>
        </row>
        <row r="411">
          <cell r="A411" t="str">
            <v>ALLGON</v>
          </cell>
          <cell r="B411" t="str">
            <v>7722.00</v>
          </cell>
          <cell r="O411"/>
          <cell r="T411"/>
        </row>
        <row r="412">
          <cell r="A412" t="str">
            <v>ALLGON</v>
          </cell>
          <cell r="B412" t="str">
            <v>7722.02</v>
          </cell>
          <cell r="O412"/>
          <cell r="T412"/>
        </row>
        <row r="413">
          <cell r="A413" t="str">
            <v>ALLGON</v>
          </cell>
          <cell r="B413" t="str">
            <v>7740.00</v>
          </cell>
          <cell r="O413"/>
          <cell r="T413"/>
        </row>
        <row r="414">
          <cell r="A414" t="str">
            <v>ALLGON</v>
          </cell>
          <cell r="B414" t="str">
            <v>7740.02</v>
          </cell>
          <cell r="O414"/>
          <cell r="T414"/>
        </row>
        <row r="415">
          <cell r="A415" t="str">
            <v>ALLGON</v>
          </cell>
          <cell r="B415" t="str">
            <v>7740.06</v>
          </cell>
          <cell r="O415"/>
          <cell r="T415"/>
        </row>
        <row r="416">
          <cell r="A416" t="str">
            <v>ALLGON</v>
          </cell>
          <cell r="B416" t="str">
            <v>7745.00</v>
          </cell>
          <cell r="O416"/>
          <cell r="T416"/>
        </row>
        <row r="417">
          <cell r="A417" t="str">
            <v>ALLGON</v>
          </cell>
          <cell r="B417" t="str">
            <v>7750.00</v>
          </cell>
          <cell r="O417">
            <v>4.0105068479938293</v>
          </cell>
          <cell r="T417">
            <v>1.82241464656192</v>
          </cell>
        </row>
        <row r="418">
          <cell r="A418" t="str">
            <v>ALLGON</v>
          </cell>
          <cell r="B418" t="str">
            <v>7752.00</v>
          </cell>
          <cell r="O418">
            <v>6.2402826003086398</v>
          </cell>
          <cell r="T418">
            <v>2.8360840861493801</v>
          </cell>
        </row>
        <row r="419">
          <cell r="A419" t="str">
            <v>ALLGON</v>
          </cell>
          <cell r="B419" t="str">
            <v>7760.00</v>
          </cell>
          <cell r="O419"/>
          <cell r="T419"/>
        </row>
        <row r="420">
          <cell r="A420" t="str">
            <v>ALLGON</v>
          </cell>
          <cell r="B420" t="str">
            <v>7775.00</v>
          </cell>
          <cell r="O420"/>
          <cell r="T420"/>
        </row>
        <row r="421">
          <cell r="A421" t="str">
            <v>ALLGON</v>
          </cell>
          <cell r="B421" t="str">
            <v>7780.00</v>
          </cell>
          <cell r="O421">
            <v>3.8663811728395099</v>
          </cell>
          <cell r="T421">
            <v>1.7570023114350599</v>
          </cell>
        </row>
        <row r="422">
          <cell r="A422" t="str">
            <v>ALLGON</v>
          </cell>
          <cell r="B422" t="str">
            <v>7824.00</v>
          </cell>
          <cell r="O422"/>
          <cell r="T422"/>
        </row>
        <row r="423">
          <cell r="A423" t="str">
            <v>ALLGON</v>
          </cell>
          <cell r="B423" t="str">
            <v>7834.00</v>
          </cell>
          <cell r="O423"/>
          <cell r="T423"/>
        </row>
        <row r="424">
          <cell r="A424" t="str">
            <v>ALLGON</v>
          </cell>
          <cell r="B424" t="str">
            <v>7838.00</v>
          </cell>
          <cell r="O424"/>
          <cell r="T424"/>
        </row>
        <row r="425">
          <cell r="A425" t="str">
            <v>ALLGON</v>
          </cell>
          <cell r="B425" t="str">
            <v>7850.00</v>
          </cell>
          <cell r="O425">
            <v>3.6494632523148103</v>
          </cell>
          <cell r="T425">
            <v>1.6575127403839598</v>
          </cell>
        </row>
        <row r="426">
          <cell r="A426" t="str">
            <v>ALLGON</v>
          </cell>
          <cell r="B426" t="str">
            <v>7860.00</v>
          </cell>
          <cell r="O426">
            <v>3.6494632523148103</v>
          </cell>
          <cell r="T426">
            <v>1.6575127403839598</v>
          </cell>
        </row>
        <row r="427">
          <cell r="A427" t="str">
            <v>ALLGON</v>
          </cell>
          <cell r="B427" t="str">
            <v>7920.00</v>
          </cell>
          <cell r="O427">
            <v>6.4943773182911499</v>
          </cell>
          <cell r="T427">
            <v>1.44372129725908</v>
          </cell>
        </row>
        <row r="428">
          <cell r="A428" t="str">
            <v>ALLGON</v>
          </cell>
          <cell r="B428" t="str">
            <v>9212-DIN</v>
          </cell>
          <cell r="O428"/>
          <cell r="T428"/>
        </row>
        <row r="429">
          <cell r="A429" t="str">
            <v>ALLGON</v>
          </cell>
          <cell r="B429" t="str">
            <v>ALP 9211-N</v>
          </cell>
          <cell r="O429"/>
          <cell r="T429"/>
        </row>
        <row r="430">
          <cell r="A430" t="str">
            <v>ALLGON</v>
          </cell>
          <cell r="B430" t="str">
            <v>AWS9016.00D</v>
          </cell>
          <cell r="O430"/>
          <cell r="T430"/>
        </row>
        <row r="431">
          <cell r="A431" t="str">
            <v>ALLGON</v>
          </cell>
          <cell r="B431" t="str">
            <v>SSI812105-4PANEL</v>
          </cell>
          <cell r="O431"/>
          <cell r="T431"/>
        </row>
        <row r="432">
          <cell r="A432" t="str">
            <v>ALLGON</v>
          </cell>
          <cell r="B432" t="str">
            <v>SSI815441P282</v>
          </cell>
          <cell r="O432"/>
          <cell r="T432"/>
        </row>
        <row r="433">
          <cell r="A433" t="str">
            <v>ALLGON</v>
          </cell>
          <cell r="B433" t="str">
            <v>SSI815729P112</v>
          </cell>
          <cell r="O433"/>
          <cell r="T433"/>
        </row>
        <row r="434">
          <cell r="A434" t="str">
            <v>ALLGON</v>
          </cell>
          <cell r="B434" t="str">
            <v>SSI815775P317</v>
          </cell>
          <cell r="O434"/>
          <cell r="T434"/>
        </row>
        <row r="435">
          <cell r="A435" t="str">
            <v>ALLGON</v>
          </cell>
          <cell r="B435" t="str">
            <v>SSI815846P209</v>
          </cell>
          <cell r="O435"/>
          <cell r="T435"/>
        </row>
        <row r="436">
          <cell r="A436" t="str">
            <v>ALLGON</v>
          </cell>
          <cell r="B436" t="str">
            <v>SSI816614P148</v>
          </cell>
          <cell r="O436"/>
          <cell r="T436"/>
        </row>
        <row r="437">
          <cell r="A437" t="str">
            <v>ALLGON</v>
          </cell>
          <cell r="B437" t="str">
            <v>SSI849884P71</v>
          </cell>
          <cell r="O437"/>
          <cell r="T437"/>
        </row>
        <row r="438">
          <cell r="A438" t="str">
            <v>ALLGON</v>
          </cell>
          <cell r="B438" t="str">
            <v>XM-1900-65-18-5I</v>
          </cell>
          <cell r="O438">
            <v>3.1132372027070998</v>
          </cell>
          <cell r="T438">
            <v>1.5134194992463099</v>
          </cell>
        </row>
        <row r="439">
          <cell r="A439" t="str">
            <v>ALLGON</v>
          </cell>
          <cell r="B439" t="str">
            <v>XM-1900-90-16-2-B</v>
          </cell>
          <cell r="O439">
            <v>1.4119411934230499</v>
          </cell>
          <cell r="T439">
            <v>0.90185967590368787</v>
          </cell>
        </row>
        <row r="440">
          <cell r="A440" t="str">
            <v>ALLTEC CORP</v>
          </cell>
          <cell r="B440" t="str">
            <v>TERRASTAT TS-510</v>
          </cell>
          <cell r="O440"/>
          <cell r="T440"/>
        </row>
        <row r="441">
          <cell r="A441" t="str">
            <v>ALPHA WIRELESS</v>
          </cell>
          <cell r="B441" t="str">
            <v>AW3802-T2-H-6G</v>
          </cell>
          <cell r="O441">
            <v>2.5923462543484002</v>
          </cell>
          <cell r="T441">
            <v>0.922539366340689</v>
          </cell>
        </row>
        <row r="442">
          <cell r="A442" t="str">
            <v>ALPHA WIRELESS LTD</v>
          </cell>
          <cell r="B442" t="str">
            <v>AW3003</v>
          </cell>
          <cell r="O442">
            <v>1.5735333092146699</v>
          </cell>
          <cell r="T442">
            <v>0.83934012830542404</v>
          </cell>
        </row>
        <row r="443">
          <cell r="A443" t="str">
            <v>ALPHA WIRELESS LTD</v>
          </cell>
          <cell r="B443" t="str">
            <v>AW3004</v>
          </cell>
          <cell r="O443"/>
          <cell r="T443"/>
        </row>
        <row r="444">
          <cell r="A444" t="str">
            <v>ALPHA WIRELESS LTD</v>
          </cell>
          <cell r="B444" t="str">
            <v>AW3007</v>
          </cell>
          <cell r="O444">
            <v>4.1171392060000001</v>
          </cell>
          <cell r="T444">
            <v>1.2347564</v>
          </cell>
        </row>
        <row r="445">
          <cell r="A445" t="str">
            <v>ALPHA WIRELESS LTD</v>
          </cell>
          <cell r="B445" t="str">
            <v>AW3008</v>
          </cell>
          <cell r="O445"/>
          <cell r="T445"/>
        </row>
        <row r="446">
          <cell r="A446" t="str">
            <v>ALPHA WIRELESS LTD</v>
          </cell>
          <cell r="B446" t="str">
            <v>AW3014</v>
          </cell>
          <cell r="O446">
            <v>1.1890322766222698</v>
          </cell>
          <cell r="T446">
            <v>0.596096230465611</v>
          </cell>
        </row>
        <row r="447">
          <cell r="A447" t="str">
            <v>ALPHA WIRELESS LTD</v>
          </cell>
          <cell r="B447" t="str">
            <v>AW3023</v>
          </cell>
          <cell r="O447">
            <v>2.833605575</v>
          </cell>
          <cell r="T447">
            <v>0.84874890300000005</v>
          </cell>
        </row>
        <row r="448">
          <cell r="A448" t="str">
            <v>ALPHA WIRELESS LTD</v>
          </cell>
          <cell r="B448" t="str">
            <v>AW3035</v>
          </cell>
          <cell r="O448">
            <v>2.7234620218833703</v>
          </cell>
          <cell r="T448">
            <v>0.81619894574187402</v>
          </cell>
        </row>
        <row r="449">
          <cell r="A449" t="str">
            <v>ALPHA WIRELESS LTD</v>
          </cell>
          <cell r="B449" t="str">
            <v>AW3052</v>
          </cell>
          <cell r="O449">
            <v>5.6667293595679</v>
          </cell>
          <cell r="T449">
            <v>2.3641040108234299</v>
          </cell>
        </row>
        <row r="450">
          <cell r="A450" t="str">
            <v>ALPHA WIRELESS LTD</v>
          </cell>
          <cell r="B450" t="str">
            <v>AW3054</v>
          </cell>
          <cell r="O450"/>
          <cell r="T450"/>
        </row>
        <row r="451">
          <cell r="A451" t="str">
            <v>ALPHA WIRELESS LTD</v>
          </cell>
          <cell r="B451" t="str">
            <v>AW3084</v>
          </cell>
          <cell r="O451">
            <v>2.1141208526234596</v>
          </cell>
          <cell r="T451">
            <v>1.12730023824101</v>
          </cell>
        </row>
        <row r="452">
          <cell r="A452" t="str">
            <v>ALPHA WIRELESS LTD</v>
          </cell>
          <cell r="B452" t="str">
            <v>AW3089</v>
          </cell>
          <cell r="O452"/>
          <cell r="T452"/>
        </row>
        <row r="453">
          <cell r="A453" t="str">
            <v>ALPHA WIRELESS LTD</v>
          </cell>
          <cell r="B453" t="str">
            <v>AW3150</v>
          </cell>
          <cell r="O453">
            <v>1.2654721257716</v>
          </cell>
          <cell r="T453">
            <v>0.64112195084937895</v>
          </cell>
        </row>
        <row r="454">
          <cell r="A454" t="str">
            <v>ALPHA WIRELESS LTD</v>
          </cell>
          <cell r="B454" t="str">
            <v>AW3155</v>
          </cell>
          <cell r="O454"/>
          <cell r="T454"/>
        </row>
        <row r="455">
          <cell r="A455" t="str">
            <v>ALPHA WIRELESS LTD</v>
          </cell>
          <cell r="B455" t="str">
            <v>AW3161</v>
          </cell>
          <cell r="O455">
            <v>2.833605575</v>
          </cell>
          <cell r="T455">
            <v>0.84874890300000005</v>
          </cell>
        </row>
        <row r="456">
          <cell r="A456" t="str">
            <v>ALPHA WIRELESS LTD</v>
          </cell>
          <cell r="B456" t="str">
            <v>AW3162</v>
          </cell>
          <cell r="O456">
            <v>2.8336055745038697</v>
          </cell>
          <cell r="T456">
            <v>0.84874890346406495</v>
          </cell>
        </row>
        <row r="457">
          <cell r="A457" t="str">
            <v>ALPHA WIRELESS LTD</v>
          </cell>
          <cell r="B457" t="str">
            <v>AW3165</v>
          </cell>
          <cell r="O457">
            <v>4.0579689830963295</v>
          </cell>
          <cell r="T457">
            <v>1.2250430570709898</v>
          </cell>
        </row>
        <row r="458">
          <cell r="A458" t="str">
            <v>ALPHA WIRELESS LTD</v>
          </cell>
          <cell r="B458" t="str">
            <v>AW3166</v>
          </cell>
          <cell r="O458">
            <v>4.0511075899602202</v>
          </cell>
          <cell r="T458">
            <v>1.2147396907499599</v>
          </cell>
        </row>
        <row r="459">
          <cell r="A459" t="str">
            <v>ALPHA WIRELESS LTD</v>
          </cell>
          <cell r="B459" t="str">
            <v>AW3193</v>
          </cell>
          <cell r="O459">
            <v>5.4250774550000003</v>
          </cell>
          <cell r="T459">
            <v>1.6362856889999999</v>
          </cell>
        </row>
        <row r="460">
          <cell r="A460" t="str">
            <v>ALPHA WIRELESS LTD</v>
          </cell>
          <cell r="B460" t="str">
            <v>AW3266</v>
          </cell>
          <cell r="O460">
            <v>5.323668981</v>
          </cell>
          <cell r="T460">
            <v>2.32237537</v>
          </cell>
        </row>
        <row r="461">
          <cell r="A461" t="str">
            <v>ALPHA WIRELESS LTD</v>
          </cell>
          <cell r="B461" t="str">
            <v>AW3266_CCIV2</v>
          </cell>
          <cell r="O461">
            <v>5.323668981</v>
          </cell>
          <cell r="T461">
            <v>2.32237537</v>
          </cell>
        </row>
        <row r="462">
          <cell r="A462" t="str">
            <v>ALPHA WIRELESS LTD</v>
          </cell>
          <cell r="B462" t="str">
            <v>AW3286</v>
          </cell>
          <cell r="O462">
            <v>2.4080854549999997</v>
          </cell>
          <cell r="T462">
            <v>1.283834825</v>
          </cell>
        </row>
        <row r="463">
          <cell r="A463" t="str">
            <v>ALPHA WIRELESS LTD</v>
          </cell>
          <cell r="B463" t="str">
            <v>AW3286-R</v>
          </cell>
          <cell r="O463">
            <v>2.2691213349999999</v>
          </cell>
          <cell r="T463">
            <v>1.209695615</v>
          </cell>
        </row>
        <row r="464">
          <cell r="A464" t="str">
            <v>ALPHA WIRELESS LTD</v>
          </cell>
          <cell r="B464" t="str">
            <v>AW3296</v>
          </cell>
          <cell r="O464">
            <v>2.2993479938271602</v>
          </cell>
          <cell r="T464">
            <v>1.2259160792542101</v>
          </cell>
        </row>
        <row r="465">
          <cell r="A465" t="str">
            <v>ALPHA WIRELESS LTD</v>
          </cell>
          <cell r="B465" t="str">
            <v>AW3363</v>
          </cell>
          <cell r="O465"/>
          <cell r="T465"/>
        </row>
        <row r="466">
          <cell r="A466" t="str">
            <v>ALPHA WIRELESS LTD</v>
          </cell>
          <cell r="B466" t="str">
            <v>AW3363_CCIV2</v>
          </cell>
          <cell r="O466"/>
          <cell r="T466"/>
        </row>
        <row r="467">
          <cell r="A467" t="str">
            <v>ALPHA WIRELESS LTD</v>
          </cell>
          <cell r="B467" t="str">
            <v>AW3378</v>
          </cell>
          <cell r="O467">
            <v>4.2155846879999999</v>
          </cell>
          <cell r="T467">
            <v>1.3200306900000001</v>
          </cell>
        </row>
        <row r="468">
          <cell r="A468" t="str">
            <v>ALPHA WIRELESS LTD</v>
          </cell>
          <cell r="B468" t="str">
            <v>AW3417-SB</v>
          </cell>
          <cell r="O468"/>
          <cell r="T468"/>
        </row>
        <row r="469">
          <cell r="A469" t="str">
            <v>ALPHA WIRELESS LTD</v>
          </cell>
          <cell r="B469" t="str">
            <v>AW3439-S</v>
          </cell>
          <cell r="O469"/>
          <cell r="T469"/>
        </row>
        <row r="470">
          <cell r="A470" t="str">
            <v>ALPHA WIRELESS LTD</v>
          </cell>
          <cell r="B470" t="str">
            <v>AW3477-S</v>
          </cell>
          <cell r="O470"/>
          <cell r="T470"/>
        </row>
        <row r="471">
          <cell r="A471" t="str">
            <v>ALPHA WIRELESS LTD</v>
          </cell>
          <cell r="B471" t="str">
            <v>AW3523</v>
          </cell>
          <cell r="O471"/>
          <cell r="T471"/>
        </row>
        <row r="472">
          <cell r="A472" t="str">
            <v>ALPHA WIRELESS LTD</v>
          </cell>
          <cell r="B472" t="str">
            <v>AW3540</v>
          </cell>
          <cell r="O472"/>
          <cell r="T472"/>
        </row>
        <row r="473">
          <cell r="A473" t="str">
            <v>ALPHA WIRELESS LTD</v>
          </cell>
          <cell r="B473" t="str">
            <v>AW3631</v>
          </cell>
          <cell r="O473"/>
          <cell r="T473"/>
        </row>
        <row r="474">
          <cell r="A474" t="str">
            <v>ALPHA WIRELESS LTD</v>
          </cell>
          <cell r="B474" t="str">
            <v>AW3647</v>
          </cell>
          <cell r="O474">
            <v>2.8532629243827201</v>
          </cell>
          <cell r="T474">
            <v>0.88874016555674795</v>
          </cell>
        </row>
        <row r="475">
          <cell r="A475" t="str">
            <v>ALPHA WIRELESS LTD</v>
          </cell>
          <cell r="B475" t="str">
            <v>AW3677</v>
          </cell>
          <cell r="O475"/>
          <cell r="T475"/>
        </row>
        <row r="476">
          <cell r="A476" t="str">
            <v>ALPHA WIRELESS LTD</v>
          </cell>
          <cell r="B476" t="str">
            <v>AW3689</v>
          </cell>
          <cell r="O476">
            <v>4.0736252605349401</v>
          </cell>
          <cell r="T476">
            <v>1.0474624903155099</v>
          </cell>
        </row>
        <row r="477">
          <cell r="A477" t="str">
            <v>ALPHA WIRELESS LTD</v>
          </cell>
          <cell r="B477" t="str">
            <v>AW3704</v>
          </cell>
          <cell r="O477"/>
          <cell r="T477"/>
        </row>
        <row r="478">
          <cell r="A478" t="str">
            <v>ALPHA WIRELESS LTD</v>
          </cell>
          <cell r="B478" t="str">
            <v>AW3769</v>
          </cell>
          <cell r="O478">
            <v>1.81222559799383</v>
          </cell>
          <cell r="T478">
            <v>0.80734775142896398</v>
          </cell>
        </row>
        <row r="479">
          <cell r="A479" t="str">
            <v>ALPHA WIRELESS LTD</v>
          </cell>
          <cell r="B479" t="str">
            <v>AW3859</v>
          </cell>
          <cell r="O479"/>
          <cell r="T479"/>
        </row>
        <row r="480">
          <cell r="A480" t="str">
            <v>ALPHA WIRELESS LTD</v>
          </cell>
          <cell r="B480" t="str">
            <v>AW3862-E-F</v>
          </cell>
          <cell r="O480">
            <v>13.786019483024699</v>
          </cell>
          <cell r="T480">
            <v>3.5499375313153303</v>
          </cell>
        </row>
        <row r="481">
          <cell r="A481" t="str">
            <v>ALPHA WIRELESS LTD</v>
          </cell>
          <cell r="B481" t="str">
            <v>AW3874</v>
          </cell>
          <cell r="O481"/>
          <cell r="T481"/>
        </row>
        <row r="482">
          <cell r="A482" t="str">
            <v>ALPHA WIRELESS LTD</v>
          </cell>
          <cell r="B482" t="str">
            <v>AW3926-E-F</v>
          </cell>
          <cell r="O482"/>
          <cell r="T482"/>
        </row>
        <row r="483">
          <cell r="A483" t="str">
            <v>ALPHA WIRELESS LTD</v>
          </cell>
          <cell r="B483" t="str">
            <v>AW3933-E-F</v>
          </cell>
          <cell r="O483">
            <v>12.89460358796299</v>
          </cell>
          <cell r="T483">
            <v>3.7853074354828298</v>
          </cell>
        </row>
        <row r="484">
          <cell r="A484" t="str">
            <v>ALVARION</v>
          </cell>
          <cell r="B484" t="str">
            <v>300616</v>
          </cell>
          <cell r="O484"/>
          <cell r="T484"/>
        </row>
        <row r="485">
          <cell r="A485" t="str">
            <v>ALVARION</v>
          </cell>
          <cell r="B485" t="str">
            <v>723214</v>
          </cell>
          <cell r="O485"/>
          <cell r="T485"/>
        </row>
        <row r="486">
          <cell r="A486" t="str">
            <v>ALVARION</v>
          </cell>
          <cell r="B486" t="str">
            <v>723215</v>
          </cell>
          <cell r="O486"/>
          <cell r="T486"/>
        </row>
        <row r="487">
          <cell r="A487" t="str">
            <v>ALVARION</v>
          </cell>
          <cell r="B487" t="str">
            <v>723216</v>
          </cell>
          <cell r="O487"/>
          <cell r="T487"/>
        </row>
        <row r="488">
          <cell r="A488" t="str">
            <v>ALVARION</v>
          </cell>
          <cell r="B488" t="str">
            <v>735312</v>
          </cell>
          <cell r="O488"/>
          <cell r="T488"/>
        </row>
        <row r="489">
          <cell r="A489" t="str">
            <v>ALVARION</v>
          </cell>
          <cell r="B489" t="str">
            <v>858170</v>
          </cell>
          <cell r="O489"/>
          <cell r="T489"/>
        </row>
        <row r="490">
          <cell r="A490" t="str">
            <v>ALVARION</v>
          </cell>
          <cell r="B490" t="str">
            <v>999436</v>
          </cell>
          <cell r="O490"/>
          <cell r="T490"/>
        </row>
        <row r="491">
          <cell r="A491" t="str">
            <v>ALVARION</v>
          </cell>
          <cell r="B491" t="str">
            <v>AN1134</v>
          </cell>
          <cell r="O491"/>
          <cell r="T491"/>
        </row>
        <row r="492">
          <cell r="A492" t="str">
            <v>ALVARION</v>
          </cell>
          <cell r="B492" t="str">
            <v>AN1152</v>
          </cell>
          <cell r="O492"/>
          <cell r="T492"/>
        </row>
        <row r="493">
          <cell r="A493" t="str">
            <v>ALVARION</v>
          </cell>
          <cell r="B493" t="str">
            <v>AN1231</v>
          </cell>
          <cell r="O493"/>
          <cell r="T493"/>
        </row>
        <row r="494">
          <cell r="A494" t="str">
            <v>ALVARION</v>
          </cell>
          <cell r="B494" t="str">
            <v>AN1248</v>
          </cell>
          <cell r="O494"/>
          <cell r="T494"/>
        </row>
        <row r="495">
          <cell r="A495" t="str">
            <v>ALVARION</v>
          </cell>
          <cell r="B495" t="str">
            <v>AN1252</v>
          </cell>
          <cell r="O495"/>
          <cell r="T495"/>
        </row>
        <row r="496">
          <cell r="A496" t="str">
            <v>ALVARION</v>
          </cell>
          <cell r="B496" t="str">
            <v>AN1253</v>
          </cell>
          <cell r="O496"/>
          <cell r="T496"/>
        </row>
        <row r="497">
          <cell r="A497" t="str">
            <v>ALVARION</v>
          </cell>
          <cell r="B497" t="str">
            <v>AN1356</v>
          </cell>
          <cell r="O497"/>
          <cell r="T497"/>
        </row>
        <row r="498">
          <cell r="A498" t="str">
            <v>ALVARION</v>
          </cell>
          <cell r="B498" t="str">
            <v>AN1409</v>
          </cell>
          <cell r="O498"/>
          <cell r="T498"/>
        </row>
        <row r="499">
          <cell r="A499" t="str">
            <v>ALVARION</v>
          </cell>
          <cell r="B499" t="str">
            <v>AU-5G-SECT-15V-120</v>
          </cell>
          <cell r="O499"/>
          <cell r="T499"/>
        </row>
        <row r="500">
          <cell r="A500" t="str">
            <v>ALVARION</v>
          </cell>
          <cell r="B500" t="str">
            <v>AU-5G-SECT-17V-90</v>
          </cell>
          <cell r="O500"/>
          <cell r="T500"/>
        </row>
        <row r="501">
          <cell r="A501" t="str">
            <v>ALVARION</v>
          </cell>
          <cell r="B501" t="str">
            <v>AU-ANT-5.7G-15-120</v>
          </cell>
          <cell r="O501"/>
          <cell r="T501"/>
        </row>
        <row r="502">
          <cell r="A502" t="str">
            <v>ALVARION</v>
          </cell>
          <cell r="B502" t="str">
            <v>AU-E-NI-2.4</v>
          </cell>
          <cell r="O502"/>
          <cell r="T502"/>
        </row>
        <row r="503">
          <cell r="A503" t="str">
            <v>ALVARION</v>
          </cell>
          <cell r="B503" t="str">
            <v>AU-E-SA-5.8-VL</v>
          </cell>
          <cell r="O503"/>
          <cell r="T503"/>
        </row>
        <row r="504">
          <cell r="A504" t="str">
            <v>ALVARION</v>
          </cell>
          <cell r="B504" t="str">
            <v>BN-B100_CCIV2</v>
          </cell>
          <cell r="O504"/>
          <cell r="T504"/>
        </row>
        <row r="505">
          <cell r="A505" t="str">
            <v>ALVARION</v>
          </cell>
          <cell r="B505" t="str">
            <v>BREEZEACCESS WI2</v>
          </cell>
          <cell r="O505"/>
          <cell r="T505"/>
        </row>
        <row r="506">
          <cell r="A506" t="str">
            <v>ALVARION</v>
          </cell>
          <cell r="B506" t="str">
            <v>BREEZEMAX EXTREME 5000</v>
          </cell>
          <cell r="O506"/>
          <cell r="T506"/>
        </row>
        <row r="507">
          <cell r="A507" t="str">
            <v>ALVARION</v>
          </cell>
          <cell r="B507" t="str">
            <v>BREEZEMAX PRO 6000</v>
          </cell>
          <cell r="O507"/>
          <cell r="T507"/>
        </row>
        <row r="508">
          <cell r="A508" t="str">
            <v>ALVARION</v>
          </cell>
          <cell r="B508" t="str">
            <v>BU-B28_CCIV2</v>
          </cell>
          <cell r="O508"/>
          <cell r="T508"/>
        </row>
        <row r="509">
          <cell r="A509" t="str">
            <v>ALVARION</v>
          </cell>
          <cell r="B509" t="str">
            <v>BU-DS.11</v>
          </cell>
          <cell r="O509"/>
          <cell r="T509"/>
        </row>
        <row r="510">
          <cell r="A510" t="str">
            <v>ALVARION</v>
          </cell>
          <cell r="B510" t="str">
            <v>BreezeNET B14_CCIV2</v>
          </cell>
          <cell r="O510"/>
          <cell r="T510"/>
        </row>
        <row r="511">
          <cell r="A511" t="str">
            <v>ALVARION</v>
          </cell>
          <cell r="B511" t="str">
            <v>OMNI-8-2.4-SC</v>
          </cell>
          <cell r="O511"/>
          <cell r="T511"/>
        </row>
        <row r="512">
          <cell r="A512" t="str">
            <v>ALVARION</v>
          </cell>
          <cell r="B512" t="str">
            <v>SECT-16V-90</v>
          </cell>
          <cell r="O512"/>
          <cell r="T512"/>
        </row>
        <row r="513">
          <cell r="A513" t="str">
            <v>ALVARION</v>
          </cell>
          <cell r="B513" t="str">
            <v>SU</v>
          </cell>
          <cell r="O513"/>
          <cell r="T513"/>
        </row>
        <row r="514">
          <cell r="A514" t="str">
            <v>ALVARION</v>
          </cell>
          <cell r="B514" t="str">
            <v>SU-A-5.X-X-1D-VL</v>
          </cell>
          <cell r="O514"/>
          <cell r="T514"/>
        </row>
        <row r="515">
          <cell r="A515" t="str">
            <v>ALVARION</v>
          </cell>
          <cell r="B515" t="str">
            <v>SU-A-5.X-X-BD-VL</v>
          </cell>
          <cell r="O515"/>
          <cell r="T515"/>
        </row>
        <row r="516">
          <cell r="A516" t="str">
            <v>ALVARION</v>
          </cell>
          <cell r="B516" t="str">
            <v>SU-A-5G-21V</v>
          </cell>
          <cell r="O516"/>
          <cell r="T516"/>
        </row>
        <row r="517">
          <cell r="A517" t="str">
            <v>ALVARION</v>
          </cell>
          <cell r="B517" t="str">
            <v>SU-RA</v>
          </cell>
          <cell r="O517"/>
          <cell r="T517"/>
        </row>
        <row r="518">
          <cell r="A518" t="str">
            <v>ALVARION</v>
          </cell>
          <cell r="B518" t="str">
            <v>UNI-23-9</v>
          </cell>
          <cell r="O518"/>
          <cell r="T518"/>
        </row>
        <row r="519">
          <cell r="A519" t="str">
            <v>ALVARION</v>
          </cell>
          <cell r="B519" t="str">
            <v>UNI-28-4</v>
          </cell>
          <cell r="O519"/>
          <cell r="T519"/>
        </row>
        <row r="520">
          <cell r="A520" t="str">
            <v>AM DETUNING</v>
          </cell>
          <cell r="B520" t="str">
            <v>AM DETUNING CABINET</v>
          </cell>
          <cell r="O520"/>
          <cell r="T520"/>
        </row>
        <row r="521">
          <cell r="A521" t="str">
            <v>AM DETUNING</v>
          </cell>
          <cell r="B521" t="str">
            <v>AM DETUNING HALO</v>
          </cell>
          <cell r="O521"/>
          <cell r="T521"/>
        </row>
        <row r="522">
          <cell r="A522" t="str">
            <v>AMADEUS POWER</v>
          </cell>
          <cell r="B522" t="str">
            <v>WINDTURBINE 200W</v>
          </cell>
          <cell r="O522"/>
          <cell r="T522"/>
        </row>
        <row r="523">
          <cell r="A523" t="str">
            <v>AMERESCO SOLAR</v>
          </cell>
          <cell r="B523" t="str">
            <v>65W MODULE 65J-V</v>
          </cell>
          <cell r="O523"/>
          <cell r="T523"/>
        </row>
        <row r="524">
          <cell r="A524" t="str">
            <v>AMERESCOLAR</v>
          </cell>
          <cell r="B524" t="str">
            <v>65W MODULE 65J-V</v>
          </cell>
          <cell r="O524"/>
          <cell r="T524"/>
        </row>
        <row r="525">
          <cell r="A525" t="str">
            <v>AMERICAN AMPLIFIER TECHNOLOGIES</v>
          </cell>
          <cell r="B525" t="str">
            <v>FM-P-CP-M-1</v>
          </cell>
          <cell r="O525">
            <v>0</v>
          </cell>
          <cell r="T525"/>
        </row>
        <row r="526">
          <cell r="A526" t="str">
            <v>AMERICAN DYNAMICS</v>
          </cell>
          <cell r="B526" t="str">
            <v>RHOLW</v>
          </cell>
          <cell r="O526"/>
          <cell r="T526"/>
        </row>
        <row r="527">
          <cell r="A527" t="str">
            <v>AMERICAN ELECTRIC LIGHTING</v>
          </cell>
          <cell r="B527" t="str">
            <v>RW-125-A</v>
          </cell>
          <cell r="O527"/>
          <cell r="T527"/>
        </row>
        <row r="528">
          <cell r="A528" t="str">
            <v>AML WIRELESS NETWORKS</v>
          </cell>
          <cell r="B528" t="str">
            <v>MORP-17710</v>
          </cell>
          <cell r="O528"/>
          <cell r="T528"/>
        </row>
        <row r="529">
          <cell r="A529" t="str">
            <v>AML WIRELESS NETWORKS</v>
          </cell>
          <cell r="B529" t="str">
            <v>VORP-18610</v>
          </cell>
          <cell r="O529"/>
          <cell r="T529"/>
        </row>
        <row r="530">
          <cell r="A530" t="str">
            <v>AMPHENOL</v>
          </cell>
          <cell r="B530" t="str">
            <v>2C4U3MT360X06Fxys0</v>
          </cell>
          <cell r="O530"/>
          <cell r="T530"/>
        </row>
        <row r="531">
          <cell r="A531" t="str">
            <v>AMPHENOL</v>
          </cell>
          <cell r="B531" t="str">
            <v>4220.09-445-TXX</v>
          </cell>
          <cell r="O531"/>
          <cell r="T531"/>
        </row>
        <row r="532">
          <cell r="A532" t="str">
            <v>AMPHENOL</v>
          </cell>
          <cell r="B532" t="str">
            <v>4240.09-780-Tx</v>
          </cell>
          <cell r="O532"/>
          <cell r="T532"/>
        </row>
        <row r="533">
          <cell r="A533" t="str">
            <v>AMPHENOL</v>
          </cell>
          <cell r="B533" t="str">
            <v>4240.09-875-TX</v>
          </cell>
          <cell r="O533"/>
          <cell r="T533"/>
        </row>
        <row r="534">
          <cell r="A534" t="str">
            <v>AMPHENOL</v>
          </cell>
          <cell r="B534" t="str">
            <v>4250.09-875-TX</v>
          </cell>
          <cell r="O534"/>
          <cell r="T534"/>
        </row>
        <row r="535">
          <cell r="A535" t="str">
            <v>AMPHENOL</v>
          </cell>
          <cell r="B535" t="str">
            <v>7553893</v>
          </cell>
          <cell r="O535"/>
          <cell r="T535"/>
        </row>
        <row r="536">
          <cell r="A536" t="str">
            <v>AMPHENOL</v>
          </cell>
          <cell r="B536" t="str">
            <v>A-18A24-X</v>
          </cell>
          <cell r="O536">
            <v>8.8009934582307814</v>
          </cell>
          <cell r="T536">
            <v>0.84394996865558503</v>
          </cell>
        </row>
        <row r="537">
          <cell r="A537" t="str">
            <v>AMPHENOL</v>
          </cell>
          <cell r="B537" t="str">
            <v>ADA-638063100CF-EDIN</v>
          </cell>
          <cell r="O537"/>
          <cell r="T537"/>
        </row>
        <row r="538">
          <cell r="A538" t="str">
            <v>AMPHENOL</v>
          </cell>
          <cell r="B538" t="str">
            <v>APXVAALL12N_43-U-NA20</v>
          </cell>
          <cell r="O538">
            <v>6.0968689428557594</v>
          </cell>
          <cell r="T538">
            <v>2.63316881431557</v>
          </cell>
        </row>
        <row r="539">
          <cell r="A539" t="str">
            <v>AMPHENOL</v>
          </cell>
          <cell r="B539" t="str">
            <v>APXVAALL18M-U-J20</v>
          </cell>
          <cell r="O539">
            <v>8.8120418595678984</v>
          </cell>
          <cell r="T539">
            <v>3.8123475684077901</v>
          </cell>
        </row>
        <row r="540">
          <cell r="A540" t="str">
            <v>AMPHENOL</v>
          </cell>
          <cell r="B540" t="str">
            <v>APXVAALL18M-U-J20_TMO</v>
          </cell>
          <cell r="O540">
            <v>8.8120418595678984</v>
          </cell>
          <cell r="T540">
            <v>3.8123475684077901</v>
          </cell>
        </row>
        <row r="541">
          <cell r="A541" t="str">
            <v>AMPHENOL</v>
          </cell>
          <cell r="B541" t="str">
            <v>APXVAALL24M-U-J20</v>
          </cell>
          <cell r="O541">
            <v>11.6111111111111</v>
          </cell>
          <cell r="T541">
            <v>5.0125622368151701</v>
          </cell>
        </row>
        <row r="542">
          <cell r="A542" t="str">
            <v>AMPHENOL</v>
          </cell>
          <cell r="B542" t="str">
            <v>APXVAALL24M-U-J20_20231010</v>
          </cell>
          <cell r="O542">
            <v>11.6111111111111</v>
          </cell>
          <cell r="T542">
            <v>5.0125622368151701</v>
          </cell>
        </row>
        <row r="543">
          <cell r="A543" t="str">
            <v>AMPHENOL</v>
          </cell>
          <cell r="B543" t="str">
            <v>APXVB15B_43-C-I20_20240806</v>
          </cell>
          <cell r="O543"/>
          <cell r="T543"/>
        </row>
        <row r="544">
          <cell r="A544" t="str">
            <v>AMPHENOL</v>
          </cell>
          <cell r="B544" t="str">
            <v>APXVB20B_43-C-I20</v>
          </cell>
          <cell r="O544"/>
          <cell r="T544"/>
        </row>
        <row r="545">
          <cell r="A545" t="str">
            <v>AMPHENOL</v>
          </cell>
          <cell r="B545" t="str">
            <v>APXVLL19P_43-A20_080724</v>
          </cell>
          <cell r="O545">
            <v>5.1540697337963</v>
          </cell>
          <cell r="T545">
            <v>2.10992170209237</v>
          </cell>
        </row>
        <row r="546">
          <cell r="A546" t="str">
            <v>AMPHENOL</v>
          </cell>
          <cell r="B546" t="str">
            <v>AVA6-50</v>
          </cell>
          <cell r="O546"/>
          <cell r="T546"/>
        </row>
        <row r="547">
          <cell r="A547" t="str">
            <v>AMPHENOL</v>
          </cell>
          <cell r="B547" t="str">
            <v>BA1010-2_20240131</v>
          </cell>
          <cell r="O547"/>
          <cell r="T547"/>
        </row>
        <row r="548">
          <cell r="A548" t="str">
            <v>AMPHENOL</v>
          </cell>
          <cell r="B548" t="str">
            <v>BCD-7009-EDIN-X</v>
          </cell>
          <cell r="O548"/>
          <cell r="T548"/>
        </row>
        <row r="549">
          <cell r="A549" t="str">
            <v>AMPHENOL</v>
          </cell>
          <cell r="B549" t="str">
            <v>BCD-75066-EDIN-X</v>
          </cell>
          <cell r="O549"/>
          <cell r="T549"/>
        </row>
        <row r="550">
          <cell r="A550" t="str">
            <v>AMPHENOL</v>
          </cell>
          <cell r="B550" t="str">
            <v>BCD-7509-EDIN-X</v>
          </cell>
          <cell r="O550"/>
          <cell r="T550"/>
        </row>
        <row r="551">
          <cell r="A551" t="str">
            <v>AMPHENOL</v>
          </cell>
          <cell r="B551" t="str">
            <v>BCD-80010-EDIN-1.25</v>
          </cell>
          <cell r="O551"/>
          <cell r="T551"/>
        </row>
        <row r="552">
          <cell r="A552" t="str">
            <v>AMPHENOL</v>
          </cell>
          <cell r="B552" t="str">
            <v>BCD-80010-EDIN-3-25</v>
          </cell>
          <cell r="O552"/>
          <cell r="T552"/>
        </row>
        <row r="553">
          <cell r="A553" t="str">
            <v>AMPHENOL</v>
          </cell>
          <cell r="B553" t="str">
            <v>BCD-8007-EDIN -X</v>
          </cell>
          <cell r="O553"/>
          <cell r="T553"/>
        </row>
        <row r="554">
          <cell r="A554" t="str">
            <v>AMPHENOL</v>
          </cell>
          <cell r="B554" t="str">
            <v>BCD-80609-EDIN-3-INVERT</v>
          </cell>
          <cell r="O554"/>
          <cell r="T554"/>
        </row>
        <row r="555">
          <cell r="A555" t="str">
            <v>AMPHENOL</v>
          </cell>
          <cell r="B555" t="str">
            <v>BCD-87010-EDIN-0-25</v>
          </cell>
          <cell r="O555"/>
          <cell r="T555"/>
        </row>
        <row r="556">
          <cell r="A556" t="str">
            <v>AMPHENOL</v>
          </cell>
          <cell r="B556" t="str">
            <v>BCD-87010-EDIN-3</v>
          </cell>
          <cell r="O556"/>
          <cell r="T556"/>
        </row>
        <row r="557">
          <cell r="A557" t="str">
            <v>AMPHENOL</v>
          </cell>
          <cell r="B557" t="str">
            <v>BCD-87010-EDIN-X</v>
          </cell>
          <cell r="O557"/>
          <cell r="T557"/>
        </row>
        <row r="558">
          <cell r="A558" t="str">
            <v>AMPHENOL</v>
          </cell>
          <cell r="B558" t="str">
            <v>BCD-87010-NE-3-25</v>
          </cell>
          <cell r="O558"/>
          <cell r="T558"/>
        </row>
        <row r="559">
          <cell r="A559" t="str">
            <v>AMPHENOL</v>
          </cell>
          <cell r="B559" t="str">
            <v>BCD-87010-NE-X-25</v>
          </cell>
          <cell r="O559"/>
          <cell r="T559"/>
        </row>
        <row r="560">
          <cell r="A560" t="str">
            <v>AMPHENOL</v>
          </cell>
          <cell r="B560" t="str">
            <v>BCD-8706-EDIN-X-25</v>
          </cell>
          <cell r="O560"/>
          <cell r="T560"/>
        </row>
        <row r="561">
          <cell r="A561" t="str">
            <v>AMPHENOL</v>
          </cell>
          <cell r="B561" t="str">
            <v>BCD-8707</v>
          </cell>
          <cell r="O561"/>
          <cell r="T561"/>
        </row>
        <row r="562">
          <cell r="A562" t="str">
            <v>AMPHENOL</v>
          </cell>
          <cell r="B562" t="str">
            <v>BCD-8707-EDIN-X</v>
          </cell>
          <cell r="O562"/>
          <cell r="T562"/>
        </row>
        <row r="563">
          <cell r="A563" t="str">
            <v>AMPHENOL</v>
          </cell>
          <cell r="B563" t="str">
            <v>BCR-75012-EDIN-0</v>
          </cell>
          <cell r="O563"/>
          <cell r="T563"/>
        </row>
        <row r="564">
          <cell r="A564" t="str">
            <v>AMPHENOL</v>
          </cell>
          <cell r="B564" t="str">
            <v>BCR-75012-EDIN-X</v>
          </cell>
          <cell r="O564"/>
          <cell r="T564"/>
        </row>
        <row r="565">
          <cell r="A565" t="str">
            <v>AMPHENOL</v>
          </cell>
          <cell r="B565" t="str">
            <v>BCR-80013-EDIN</v>
          </cell>
          <cell r="O565"/>
          <cell r="T565"/>
        </row>
        <row r="566">
          <cell r="A566" t="str">
            <v>AMPHENOL</v>
          </cell>
          <cell r="B566" t="str">
            <v>BCR-80015-EDIN-3-25</v>
          </cell>
          <cell r="O566"/>
          <cell r="T566"/>
        </row>
        <row r="567">
          <cell r="A567" t="str">
            <v>AMPHENOL</v>
          </cell>
          <cell r="B567" t="str">
            <v>BCR-87015-EDIN-X</v>
          </cell>
          <cell r="O567"/>
          <cell r="T567"/>
        </row>
        <row r="568">
          <cell r="A568" t="str">
            <v>AMPHENOL</v>
          </cell>
          <cell r="B568" t="str">
            <v>BCR-87015-EDIN-X-25</v>
          </cell>
          <cell r="O568"/>
          <cell r="T568"/>
        </row>
        <row r="569">
          <cell r="A569" t="str">
            <v>AMPHENOL</v>
          </cell>
          <cell r="B569" t="str">
            <v>BMR12-O-B1</v>
          </cell>
          <cell r="O569"/>
          <cell r="T569"/>
        </row>
        <row r="570">
          <cell r="A570" t="str">
            <v>AMPHENOL</v>
          </cell>
          <cell r="B570" t="str">
            <v>BSA-185065-12CF-EDIN-X</v>
          </cell>
          <cell r="O570">
            <v>3.9069941720808297</v>
          </cell>
          <cell r="T570">
            <v>1.3548662205805</v>
          </cell>
        </row>
        <row r="571">
          <cell r="A571" t="str">
            <v>AMPHENOL</v>
          </cell>
          <cell r="B571" t="str">
            <v>BSA-185090-12CF-EDIN-X</v>
          </cell>
          <cell r="O571">
            <v>2.55691127965135</v>
          </cell>
          <cell r="T571">
            <v>1.3057865187389799</v>
          </cell>
        </row>
        <row r="572">
          <cell r="A572" t="str">
            <v>AMPHENOL</v>
          </cell>
          <cell r="B572" t="str">
            <v>BXA-171063-12BF-EDIN-2</v>
          </cell>
          <cell r="O572">
            <v>4.4192186468993402</v>
          </cell>
          <cell r="T572">
            <v>2.9631079029838401</v>
          </cell>
        </row>
        <row r="573">
          <cell r="A573" t="str">
            <v>AMPHENOL</v>
          </cell>
          <cell r="B573" t="str">
            <v>BXA-171063-12CF-EDIN-X</v>
          </cell>
          <cell r="O573">
            <v>4.4192186468993402</v>
          </cell>
          <cell r="T573">
            <v>2.9631079029838401</v>
          </cell>
        </row>
        <row r="574">
          <cell r="A574" t="str">
            <v>AMPHENOL</v>
          </cell>
          <cell r="B574" t="str">
            <v>BXA-171063-16CF-EDIN-2</v>
          </cell>
          <cell r="O574">
            <v>5.9859159746297896</v>
          </cell>
          <cell r="T574">
            <v>4.0138723005524799</v>
          </cell>
        </row>
        <row r="575">
          <cell r="A575" t="str">
            <v>AMPHENOL</v>
          </cell>
          <cell r="B575" t="str">
            <v>BXA-171063-4CF-EDIN-X-FP</v>
          </cell>
          <cell r="O575">
            <v>1.4314036759075599</v>
          </cell>
          <cell r="T575">
            <v>0.99060532207058105</v>
          </cell>
        </row>
        <row r="576">
          <cell r="A576" t="str">
            <v>AMPHENOL</v>
          </cell>
          <cell r="B576" t="str">
            <v>BXA-171063-8BF-EDIN-4</v>
          </cell>
          <cell r="O576">
            <v>2.8751126455947795</v>
          </cell>
          <cell r="T576">
            <v>1.9253169475530199</v>
          </cell>
        </row>
        <row r="577">
          <cell r="A577" t="str">
            <v>AMPHENOL</v>
          </cell>
          <cell r="B577" t="str">
            <v>BXA-171063-8BF-EDIN-X</v>
          </cell>
          <cell r="O577">
            <v>2.8751126455947795</v>
          </cell>
          <cell r="T577">
            <v>1.9253169475530199</v>
          </cell>
        </row>
        <row r="578">
          <cell r="A578" t="str">
            <v>AMPHENOL</v>
          </cell>
          <cell r="B578" t="str">
            <v>BXA-171063-8CF-EDIN-X</v>
          </cell>
          <cell r="O578">
            <v>2.8751126455947795</v>
          </cell>
          <cell r="T578">
            <v>1.9253169475530199</v>
          </cell>
        </row>
        <row r="579">
          <cell r="A579" t="str">
            <v>AMPHENOL</v>
          </cell>
          <cell r="B579" t="str">
            <v>BXA-171063-8CF-EDIN-X-FP</v>
          </cell>
          <cell r="O579">
            <v>2.8751126455947795</v>
          </cell>
          <cell r="T579">
            <v>1.9253169475530199</v>
          </cell>
        </row>
        <row r="580">
          <cell r="A580" t="str">
            <v>AMPHENOL</v>
          </cell>
          <cell r="B580" t="str">
            <v>BXA-171085-12BF-EDIN-0</v>
          </cell>
          <cell r="O580">
            <v>4.4192186468993402</v>
          </cell>
          <cell r="T580">
            <v>2.9631079029838401</v>
          </cell>
        </row>
        <row r="581">
          <cell r="A581" t="str">
            <v>AMPHENOL</v>
          </cell>
          <cell r="B581" t="str">
            <v>BXA-171085-12BF-EDIN-2</v>
          </cell>
          <cell r="O581">
            <v>4.4192186468993402</v>
          </cell>
          <cell r="T581">
            <v>2.9631079029838401</v>
          </cell>
        </row>
        <row r="582">
          <cell r="A582" t="str">
            <v>AMPHENOL</v>
          </cell>
          <cell r="B582" t="str">
            <v>BXA-171085-12BF-EDIN-X</v>
          </cell>
          <cell r="O582">
            <v>4.4192186468993402</v>
          </cell>
          <cell r="T582">
            <v>2.9631079029838401</v>
          </cell>
        </row>
        <row r="583">
          <cell r="A583" t="str">
            <v>AMPHENOL</v>
          </cell>
          <cell r="B583" t="str">
            <v>BXA-171085-12CF</v>
          </cell>
          <cell r="O583">
            <v>4.4192186468993402</v>
          </cell>
          <cell r="T583">
            <v>2.9631079029838401</v>
          </cell>
        </row>
        <row r="584">
          <cell r="A584" t="str">
            <v>AMPHENOL</v>
          </cell>
          <cell r="B584" t="str">
            <v>BXA-171085-12CF-EDIN-0</v>
          </cell>
          <cell r="O584">
            <v>4.4192186468993402</v>
          </cell>
          <cell r="T584">
            <v>2.9631079029838401</v>
          </cell>
        </row>
        <row r="585">
          <cell r="A585" t="str">
            <v>AMPHENOL</v>
          </cell>
          <cell r="B585" t="str">
            <v>BXA-171085-16CF-EDIN-X</v>
          </cell>
          <cell r="O585">
            <v>5.9859159746297896</v>
          </cell>
          <cell r="T585">
            <v>4.0138723005524799</v>
          </cell>
        </row>
        <row r="586">
          <cell r="A586" t="str">
            <v>AMPHENOL</v>
          </cell>
          <cell r="B586" t="str">
            <v>BXA-171085-8CF-EDIN-X</v>
          </cell>
          <cell r="O586">
            <v>2.8751126455947795</v>
          </cell>
          <cell r="T586">
            <v>1.9253169475530199</v>
          </cell>
        </row>
        <row r="587">
          <cell r="A587" t="str">
            <v>AMPHENOL</v>
          </cell>
          <cell r="B587" t="str">
            <v>BXA-185040-12CF-EDIN-X</v>
          </cell>
          <cell r="O587"/>
          <cell r="T587"/>
        </row>
        <row r="588">
          <cell r="A588" t="str">
            <v>AMPHENOL</v>
          </cell>
          <cell r="B588" t="str">
            <v>BXA-185060-12CF-EDIN-X</v>
          </cell>
          <cell r="O588">
            <v>4.4192186468993402</v>
          </cell>
          <cell r="T588">
            <v>2.9631079029838401</v>
          </cell>
        </row>
        <row r="589">
          <cell r="A589" t="str">
            <v>AMPHENOL</v>
          </cell>
          <cell r="B589" t="str">
            <v>BXA-185063-12CF-EDIN-2</v>
          </cell>
          <cell r="O589">
            <v>4.4192186468993402</v>
          </cell>
          <cell r="T589">
            <v>2.9631079029838401</v>
          </cell>
        </row>
        <row r="590">
          <cell r="A590" t="str">
            <v>AMPHENOL</v>
          </cell>
          <cell r="B590" t="str">
            <v>BXA-185063-12CF-EDIN-X</v>
          </cell>
          <cell r="O590">
            <v>4.4192186468993402</v>
          </cell>
          <cell r="T590">
            <v>2.9631079029838401</v>
          </cell>
        </row>
        <row r="591">
          <cell r="A591" t="str">
            <v>AMPHENOL</v>
          </cell>
          <cell r="B591" t="str">
            <v>BXA-185063-16CF-EDIN-X</v>
          </cell>
          <cell r="O591">
            <v>5.9859159746297896</v>
          </cell>
          <cell r="T591">
            <v>4.0138723005524799</v>
          </cell>
        </row>
        <row r="592">
          <cell r="A592" t="str">
            <v>AMPHENOL</v>
          </cell>
          <cell r="B592" t="str">
            <v>BXA-185063-8CF-EDIN-X</v>
          </cell>
          <cell r="O592">
            <v>2.8751126455947795</v>
          </cell>
          <cell r="T592">
            <v>1.9253169475530199</v>
          </cell>
        </row>
        <row r="593">
          <cell r="A593" t="str">
            <v>AMPHENOL</v>
          </cell>
          <cell r="B593" t="str">
            <v>BXA-185085-12CF</v>
          </cell>
          <cell r="O593">
            <v>4.4192186468993402</v>
          </cell>
          <cell r="T593">
            <v>2.9631079029838401</v>
          </cell>
        </row>
        <row r="594">
          <cell r="A594" t="str">
            <v>AMPHENOL</v>
          </cell>
          <cell r="B594" t="str">
            <v>BXA-185085-16CF-EDIN-X</v>
          </cell>
          <cell r="O594">
            <v>5.9859159746297896</v>
          </cell>
          <cell r="T594">
            <v>4.0138723005524799</v>
          </cell>
        </row>
        <row r="595">
          <cell r="A595" t="str">
            <v>AMPHENOL</v>
          </cell>
          <cell r="B595" t="str">
            <v>BXA-185090-12CF-EDIN-2</v>
          </cell>
          <cell r="O595">
            <v>4.4192186468993402</v>
          </cell>
          <cell r="T595">
            <v>2.9631079029838401</v>
          </cell>
        </row>
        <row r="596">
          <cell r="A596" t="str">
            <v>AMPHENOL</v>
          </cell>
          <cell r="B596" t="str">
            <v>BXA-185090-8CF-EDIN-X</v>
          </cell>
          <cell r="O596">
            <v>2.8751126455947795</v>
          </cell>
          <cell r="T596">
            <v>1.9253169475530199</v>
          </cell>
        </row>
        <row r="597">
          <cell r="A597" t="str">
            <v>AMPHENOL</v>
          </cell>
          <cell r="B597" t="str">
            <v>BXA-70033-4BF-EDIN-X</v>
          </cell>
          <cell r="O597">
            <v>8.7113570601851791</v>
          </cell>
          <cell r="T597">
            <v>2.9519041813556797</v>
          </cell>
        </row>
        <row r="598">
          <cell r="A598" t="str">
            <v>AMPHENOL</v>
          </cell>
          <cell r="B598" t="str">
            <v>BXA-70033-4CF-EDIN-X</v>
          </cell>
          <cell r="O598">
            <v>8.7113570601851791</v>
          </cell>
          <cell r="T598">
            <v>2.9519041813556797</v>
          </cell>
        </row>
        <row r="599">
          <cell r="A599" t="str">
            <v>AMPHENOL</v>
          </cell>
          <cell r="B599" t="str">
            <v>BXA-70033-6BF-EDIN-X</v>
          </cell>
          <cell r="O599">
            <v>13.610699629156588</v>
          </cell>
          <cell r="T599">
            <v>4.6120345135450593</v>
          </cell>
        </row>
        <row r="600">
          <cell r="A600" t="str">
            <v>AMPHENOL</v>
          </cell>
          <cell r="B600" t="str">
            <v>BXA-70033-8BF-EDIN-10</v>
          </cell>
          <cell r="O600">
            <v>18.909485918209889</v>
          </cell>
          <cell r="T600">
            <v>6.3315822964372099</v>
          </cell>
        </row>
        <row r="601">
          <cell r="A601" t="str">
            <v>AMPHENOL</v>
          </cell>
          <cell r="B601" t="str">
            <v>BXA-70033-8BF-EDIN-4</v>
          </cell>
          <cell r="O601">
            <v>18.909485918209889</v>
          </cell>
          <cell r="T601">
            <v>6.3315822964372099</v>
          </cell>
        </row>
        <row r="602">
          <cell r="A602" t="str">
            <v>AMPHENOL</v>
          </cell>
          <cell r="B602" t="str">
            <v>BXA-70033-8BF-EDIN-8</v>
          </cell>
          <cell r="O602">
            <v>18.909485918209889</v>
          </cell>
          <cell r="T602">
            <v>6.3315822964372099</v>
          </cell>
        </row>
        <row r="603">
          <cell r="A603" t="str">
            <v>AMPHENOL</v>
          </cell>
          <cell r="B603" t="str">
            <v>BXA-70033-8BF-EDIN-X</v>
          </cell>
          <cell r="O603">
            <v>18.909485918209889</v>
          </cell>
          <cell r="T603">
            <v>6.3315822964372099</v>
          </cell>
        </row>
        <row r="604">
          <cell r="A604" t="str">
            <v>AMPHENOL</v>
          </cell>
          <cell r="B604" t="str">
            <v>BXA-70033-8CF-EDIN-X</v>
          </cell>
          <cell r="O604">
            <v>18.909485918209889</v>
          </cell>
          <cell r="T604">
            <v>6.3315822964372099</v>
          </cell>
        </row>
        <row r="605">
          <cell r="A605" t="str">
            <v>AMPHENOL</v>
          </cell>
          <cell r="B605" t="str">
            <v>BXA-70040-6CF-EDIN-10</v>
          </cell>
          <cell r="O605">
            <v>12.938155864197491</v>
          </cell>
          <cell r="T605">
            <v>4.2788327035576996</v>
          </cell>
        </row>
        <row r="606">
          <cell r="A606" t="str">
            <v>AMPHENOL</v>
          </cell>
          <cell r="B606" t="str">
            <v>BXA-70040-6CF-EDIN-4</v>
          </cell>
          <cell r="O606">
            <v>12.938155864197491</v>
          </cell>
          <cell r="T606">
            <v>4.2788327035576996</v>
          </cell>
        </row>
        <row r="607">
          <cell r="A607" t="str">
            <v>AMPHENOL</v>
          </cell>
          <cell r="B607" t="str">
            <v>BXA-70040-6CF-EDIN-X</v>
          </cell>
          <cell r="O607">
            <v>12.938155864197491</v>
          </cell>
          <cell r="T607">
            <v>4.2788327035576996</v>
          </cell>
        </row>
        <row r="608">
          <cell r="A608" t="str">
            <v>AMPHENOL</v>
          </cell>
          <cell r="B608" t="str">
            <v>BXA-70040-8CF-EDIN-X</v>
          </cell>
          <cell r="O608">
            <v>17.7577112268519</v>
          </cell>
          <cell r="T608">
            <v>5.8731950234891404</v>
          </cell>
        </row>
        <row r="609">
          <cell r="A609" t="str">
            <v>AMPHENOL</v>
          </cell>
          <cell r="B609" t="str">
            <v>BXA-70040/8CF-DT4</v>
          </cell>
          <cell r="O609"/>
          <cell r="T609"/>
        </row>
        <row r="610">
          <cell r="A610" t="str">
            <v>AMPHENOL</v>
          </cell>
          <cell r="B610" t="str">
            <v>BXA-70040/8CF-EDIN-4</v>
          </cell>
          <cell r="O610">
            <v>17.7577112268519</v>
          </cell>
          <cell r="T610">
            <v>5.8731950234891404</v>
          </cell>
        </row>
        <row r="611">
          <cell r="A611" t="str">
            <v>AMPHENOL</v>
          </cell>
          <cell r="B611" t="str">
            <v>BXA-70063-2BF-EDIN-X</v>
          </cell>
          <cell r="O611">
            <v>2.2896774412654399</v>
          </cell>
          <cell r="T611">
            <v>1.07016396198145</v>
          </cell>
        </row>
        <row r="612">
          <cell r="A612" t="str">
            <v>AMPHENOL</v>
          </cell>
          <cell r="B612" t="str">
            <v>BXA-70063-4CF-EDIN-6</v>
          </cell>
          <cell r="O612">
            <v>4.7362715746402593</v>
          </cell>
          <cell r="T612">
            <v>2.21276145067492</v>
          </cell>
        </row>
        <row r="613">
          <cell r="A613" t="str">
            <v>AMPHENOL</v>
          </cell>
          <cell r="B613" t="str">
            <v>BXA-70063-6BF-EDIN-0</v>
          </cell>
          <cell r="O613">
            <v>7.0525654388915795</v>
          </cell>
          <cell r="T613">
            <v>3.3629459940171</v>
          </cell>
        </row>
        <row r="614">
          <cell r="A614" t="str">
            <v>AMPHENOL</v>
          </cell>
          <cell r="B614" t="str">
            <v>BXA-70063-6BF-EDIN-2</v>
          </cell>
          <cell r="O614">
            <v>7.0525654388915795</v>
          </cell>
          <cell r="T614">
            <v>3.3629459940171</v>
          </cell>
        </row>
        <row r="615">
          <cell r="A615" t="str">
            <v>AMPHENOL</v>
          </cell>
          <cell r="B615" t="str">
            <v>BXA-70063-6CF-EDIN-X</v>
          </cell>
          <cell r="O615">
            <v>7.4401387009999995</v>
          </cell>
          <cell r="T615">
            <v>3.7995876549999998</v>
          </cell>
        </row>
        <row r="616">
          <cell r="A616" t="str">
            <v>AMPHENOL</v>
          </cell>
          <cell r="B616" t="str">
            <v>BXA-70063-8CF-EDIN-X</v>
          </cell>
          <cell r="O616">
            <v>10.13803081</v>
          </cell>
          <cell r="T616">
            <v>5.1398342799999996</v>
          </cell>
        </row>
        <row r="617">
          <cell r="A617" t="str">
            <v>AMPHENOL</v>
          </cell>
          <cell r="B617" t="str">
            <v>BXA-70080-4BF-EDIN-X-FP</v>
          </cell>
          <cell r="O617">
            <v>3.1668138460905597</v>
          </cell>
          <cell r="T617">
            <v>2.28205262535668</v>
          </cell>
        </row>
        <row r="618">
          <cell r="A618" t="str">
            <v>AMPHENOL</v>
          </cell>
          <cell r="B618" t="str">
            <v>BXA-70080-4CF-EDIN-X</v>
          </cell>
          <cell r="O618">
            <v>3.4134640979999999</v>
          </cell>
          <cell r="T618">
            <v>2.4655784299999999</v>
          </cell>
        </row>
        <row r="619">
          <cell r="A619" t="str">
            <v>AMPHENOL</v>
          </cell>
          <cell r="B619" t="str">
            <v>BXA-70080-6CF-EDIN-0</v>
          </cell>
          <cell r="O619">
            <v>5.2710303099999996</v>
          </cell>
          <cell r="T619">
            <v>3.839330522</v>
          </cell>
        </row>
        <row r="620">
          <cell r="A620" t="str">
            <v>AMPHENOL</v>
          </cell>
          <cell r="B620" t="str">
            <v>BXA-70080-6CF-EDIN-2</v>
          </cell>
          <cell r="O620">
            <v>5.2710303099999996</v>
          </cell>
          <cell r="T620">
            <v>3.839330522</v>
          </cell>
        </row>
        <row r="621">
          <cell r="A621" t="str">
            <v>AMPHENOL</v>
          </cell>
          <cell r="B621" t="str">
            <v>BXA-70080-6CF-EDIN-X</v>
          </cell>
          <cell r="O621">
            <v>5.2710303099999996</v>
          </cell>
          <cell r="T621">
            <v>3.839330522</v>
          </cell>
        </row>
        <row r="622">
          <cell r="A622" t="str">
            <v>AMPHENOL</v>
          </cell>
          <cell r="B622" t="str">
            <v>BXA-70080-8BF-EDIN-2</v>
          </cell>
          <cell r="O622">
            <v>7.1242781969999989</v>
          </cell>
          <cell r="T622">
            <v>5.2293551039999997</v>
          </cell>
        </row>
        <row r="623">
          <cell r="A623" t="str">
            <v>AMPHENOL</v>
          </cell>
          <cell r="B623" t="str">
            <v>BXA-70080-8BF-EDIN-4</v>
          </cell>
          <cell r="O623">
            <v>7.1242781974837595</v>
          </cell>
          <cell r="T623">
            <v>5.22935510392489</v>
          </cell>
        </row>
        <row r="624">
          <cell r="A624" t="str">
            <v>AMPHENOL</v>
          </cell>
          <cell r="B624" t="str">
            <v>BXA-70080-8CF-EDIN-X</v>
          </cell>
          <cell r="O624">
            <v>7.1242781969999989</v>
          </cell>
          <cell r="T624">
            <v>5.2293551039999997</v>
          </cell>
        </row>
        <row r="625">
          <cell r="A625" t="str">
            <v>AMPHENOL</v>
          </cell>
          <cell r="B625" t="str">
            <v>BXA-70080/8CF</v>
          </cell>
          <cell r="O625">
            <v>7.1242781969999989</v>
          </cell>
          <cell r="T625">
            <v>5.2293551039999997</v>
          </cell>
        </row>
        <row r="626">
          <cell r="A626" t="str">
            <v>AMPHENOL</v>
          </cell>
          <cell r="B626" t="str">
            <v>BXA-70090-4CF-EDIN-X</v>
          </cell>
          <cell r="O626">
            <v>3.4134640982142499</v>
          </cell>
          <cell r="T626">
            <v>2.4655784300621697</v>
          </cell>
        </row>
        <row r="627">
          <cell r="A627" t="str">
            <v>AMPHENOL</v>
          </cell>
          <cell r="B627" t="str">
            <v>BXA-70090-6CF-EDIN-X</v>
          </cell>
          <cell r="O627">
            <v>5.2710303095578999</v>
          </cell>
          <cell r="T627">
            <v>3.83933052186674</v>
          </cell>
        </row>
        <row r="628">
          <cell r="A628" t="str">
            <v>AMPHENOL</v>
          </cell>
          <cell r="B628" t="str">
            <v>BXA-70090-8CF-EDIN-X</v>
          </cell>
          <cell r="O628">
            <v>7.1242781974837595</v>
          </cell>
          <cell r="T628">
            <v>5.22935510392489</v>
          </cell>
        </row>
        <row r="629">
          <cell r="A629" t="str">
            <v>AMPHENOL</v>
          </cell>
          <cell r="B629" t="str">
            <v>BXA-80040-6CF-EDIN-6</v>
          </cell>
          <cell r="O629">
            <v>12.938155864197491</v>
          </cell>
          <cell r="T629">
            <v>4.2788327035576996</v>
          </cell>
        </row>
        <row r="630">
          <cell r="A630" t="str">
            <v>AMPHENOL</v>
          </cell>
          <cell r="B630" t="str">
            <v>BXA-80040-6CF-EDIN-X</v>
          </cell>
          <cell r="O630">
            <v>12.938155864197491</v>
          </cell>
          <cell r="T630">
            <v>4.2788327035576996</v>
          </cell>
        </row>
        <row r="631">
          <cell r="A631" t="str">
            <v>AMPHENOL</v>
          </cell>
          <cell r="B631" t="str">
            <v>BXA-80040-8CF-EDIN-0</v>
          </cell>
          <cell r="O631">
            <v>17.7577112268519</v>
          </cell>
          <cell r="T631">
            <v>5.8731950234891404</v>
          </cell>
        </row>
        <row r="632">
          <cell r="A632" t="str">
            <v>AMPHENOL</v>
          </cell>
          <cell r="B632" t="str">
            <v>BXA-80040/4CF</v>
          </cell>
          <cell r="O632"/>
          <cell r="T632"/>
        </row>
        <row r="633">
          <cell r="A633" t="str">
            <v>AMPHENOL</v>
          </cell>
          <cell r="B633" t="str">
            <v>BXA-80040/8CF</v>
          </cell>
          <cell r="O633">
            <v>17.380859375</v>
          </cell>
          <cell r="T633">
            <v>5.8253676348689298</v>
          </cell>
        </row>
        <row r="634">
          <cell r="A634" t="str">
            <v>AMPHENOL</v>
          </cell>
          <cell r="B634" t="str">
            <v>BXA-80063-2CF</v>
          </cell>
          <cell r="O634">
            <v>2.2896774412654399</v>
          </cell>
          <cell r="T634">
            <v>1.07016396198145</v>
          </cell>
        </row>
        <row r="635">
          <cell r="A635" t="str">
            <v>AMPHENOL</v>
          </cell>
          <cell r="B635" t="str">
            <v>BXA-80063-4BF-EDIN-X</v>
          </cell>
          <cell r="O635">
            <v>4.50450545128062</v>
          </cell>
          <cell r="T635">
            <v>2.1433777159185303</v>
          </cell>
        </row>
        <row r="636">
          <cell r="A636" t="str">
            <v>AMPHENOL</v>
          </cell>
          <cell r="B636" t="str">
            <v>BXA-80063-4CF-EDIN-X</v>
          </cell>
          <cell r="O636">
            <v>4.7362715746402593</v>
          </cell>
          <cell r="T636">
            <v>2.21276145067492</v>
          </cell>
        </row>
        <row r="637">
          <cell r="A637" t="str">
            <v>AMPHENOL</v>
          </cell>
          <cell r="B637" t="str">
            <v>BXA-80063-6BF-EDIN-4</v>
          </cell>
          <cell r="O637">
            <v>7.0525654388915795</v>
          </cell>
          <cell r="T637">
            <v>3.3629459940171</v>
          </cell>
        </row>
        <row r="638">
          <cell r="A638" t="str">
            <v>AMPHENOL</v>
          </cell>
          <cell r="B638" t="str">
            <v>BXA-80063-6BF-EDIN-5</v>
          </cell>
          <cell r="O638">
            <v>7.0525654388915795</v>
          </cell>
          <cell r="T638">
            <v>3.3629459940171</v>
          </cell>
        </row>
        <row r="639">
          <cell r="A639" t="str">
            <v>AMPHENOL</v>
          </cell>
          <cell r="B639" t="str">
            <v>BXA-80063-6BF-EDIN-8</v>
          </cell>
          <cell r="O639">
            <v>7.0525654388915795</v>
          </cell>
          <cell r="T639">
            <v>3.3629459940171</v>
          </cell>
        </row>
        <row r="640">
          <cell r="A640" t="str">
            <v>AMPHENOL</v>
          </cell>
          <cell r="B640" t="str">
            <v>BXA-80063-6BF-EDIN-X</v>
          </cell>
          <cell r="O640">
            <v>7.0525654388915795</v>
          </cell>
          <cell r="T640">
            <v>3.3629459940171</v>
          </cell>
        </row>
        <row r="641">
          <cell r="A641" t="str">
            <v>AMPHENOL</v>
          </cell>
          <cell r="B641" t="str">
            <v>BXA-80063-6CF-EDIN-5</v>
          </cell>
          <cell r="O641">
            <v>7.4305990215086597</v>
          </cell>
          <cell r="T641">
            <v>3.4871609798150298</v>
          </cell>
        </row>
        <row r="642">
          <cell r="A642" t="str">
            <v>AMPHENOL</v>
          </cell>
          <cell r="B642" t="str">
            <v>BXA-80063-8CF-EDIN-X</v>
          </cell>
          <cell r="O642">
            <v>10.0837383599037</v>
          </cell>
          <cell r="T642">
            <v>4.7186717144502293</v>
          </cell>
        </row>
        <row r="643">
          <cell r="A643" t="str">
            <v>AMPHENOL</v>
          </cell>
          <cell r="B643" t="str">
            <v>BXA-80080-4CF-EDIN-4</v>
          </cell>
          <cell r="O643">
            <v>3.4134640979999999</v>
          </cell>
          <cell r="T643">
            <v>2.4655784299999999</v>
          </cell>
        </row>
        <row r="644">
          <cell r="A644" t="str">
            <v>AMPHENOL</v>
          </cell>
          <cell r="B644" t="str">
            <v>BXA-80080-8BF-EDIN-2-FP</v>
          </cell>
          <cell r="O644">
            <v>7.5158591258964096</v>
          </cell>
          <cell r="T644">
            <v>5.5265409334787501</v>
          </cell>
        </row>
        <row r="645">
          <cell r="A645" t="str">
            <v>AMPHENOL</v>
          </cell>
          <cell r="B645" t="str">
            <v>BXA-80090-4CF-EDIN-X</v>
          </cell>
          <cell r="O645">
            <v>3.4134640982142499</v>
          </cell>
          <cell r="T645">
            <v>2.4655784300621697</v>
          </cell>
        </row>
        <row r="646">
          <cell r="A646" t="str">
            <v>AMPHENOL</v>
          </cell>
          <cell r="B646" t="str">
            <v>BXA-80090-6CF-EDIN-X</v>
          </cell>
          <cell r="O646">
            <v>5.2710303095578999</v>
          </cell>
          <cell r="T646">
            <v>3.83933052186674</v>
          </cell>
        </row>
        <row r="647">
          <cell r="A647" t="str">
            <v>AMPHENOL</v>
          </cell>
          <cell r="B647" t="str">
            <v>BXA-80090/8CF</v>
          </cell>
          <cell r="O647">
            <v>7.151867821141499</v>
          </cell>
          <cell r="T647">
            <v>5.0087332290086088</v>
          </cell>
        </row>
        <row r="648">
          <cell r="A648" t="str">
            <v>AMPHENOL</v>
          </cell>
          <cell r="B648" t="str">
            <v>BXD-80408080CF-EDIN</v>
          </cell>
          <cell r="O648"/>
          <cell r="T648"/>
        </row>
        <row r="649">
          <cell r="A649" t="str">
            <v>AMPHENOL</v>
          </cell>
          <cell r="B649" t="str">
            <v>BXV-80090-8CF-EDIN-X</v>
          </cell>
          <cell r="O649">
            <v>7.0166280245639099</v>
          </cell>
          <cell r="T649">
            <v>5.1609425515540392</v>
          </cell>
        </row>
        <row r="650">
          <cell r="A650" t="str">
            <v>AMPHENOL</v>
          </cell>
          <cell r="B650" t="str">
            <v>C2U3MT360X06FXYS0</v>
          </cell>
          <cell r="O650"/>
          <cell r="T650"/>
        </row>
        <row r="651">
          <cell r="A651" t="str">
            <v>AMPHENOL</v>
          </cell>
          <cell r="B651" t="str">
            <v>C2U4MTSP1X06Fxys0</v>
          </cell>
          <cell r="O651"/>
          <cell r="T651"/>
        </row>
        <row r="652">
          <cell r="A652" t="str">
            <v>AMPHENOL</v>
          </cell>
          <cell r="B652" t="str">
            <v>CUT360X12FXYZ0</v>
          </cell>
          <cell r="O652"/>
          <cell r="T652"/>
        </row>
        <row r="653">
          <cell r="A653" t="str">
            <v>AMPHENOL</v>
          </cell>
          <cell r="B653" t="str">
            <v>CUUB070X06FXYZ0</v>
          </cell>
          <cell r="O653"/>
          <cell r="T653"/>
        </row>
        <row r="654">
          <cell r="A654" t="str">
            <v>AMPHENOL</v>
          </cell>
          <cell r="B654" t="str">
            <v>CUUB070X12Fxyz0</v>
          </cell>
          <cell r="O654"/>
          <cell r="T654"/>
        </row>
        <row r="655">
          <cell r="A655" t="str">
            <v>AMPHENOL</v>
          </cell>
          <cell r="B655" t="str">
            <v>CUUX022X03F000</v>
          </cell>
          <cell r="O655"/>
          <cell r="T655"/>
        </row>
        <row r="656">
          <cell r="A656" t="str">
            <v>AMPHENOL</v>
          </cell>
          <cell r="B656" t="str">
            <v>CUUX033X03FXYZ0</v>
          </cell>
          <cell r="O656"/>
          <cell r="T656"/>
        </row>
        <row r="657">
          <cell r="A657" t="str">
            <v>AMPHENOL</v>
          </cell>
          <cell r="B657" t="str">
            <v>CUUX063X06F0</v>
          </cell>
          <cell r="O657"/>
          <cell r="T657"/>
        </row>
        <row r="658">
          <cell r="A658" t="str">
            <v>AMPHENOL</v>
          </cell>
          <cell r="B658" t="str">
            <v>CUUX063X13G00</v>
          </cell>
          <cell r="O658">
            <v>4.715671779</v>
          </cell>
          <cell r="T658">
            <v>2.6673481990000001</v>
          </cell>
        </row>
        <row r="659">
          <cell r="A659" t="str">
            <v>AMPHENOL</v>
          </cell>
          <cell r="B659" t="str">
            <v>CUUX063X25G00</v>
          </cell>
          <cell r="O659">
            <v>9.4717978399999989</v>
          </cell>
          <cell r="T659">
            <v>5.3689492859999994</v>
          </cell>
        </row>
        <row r="660">
          <cell r="A660" t="str">
            <v>AMPHENOL</v>
          </cell>
          <cell r="B660" t="str">
            <v>CW3X070X06F00</v>
          </cell>
          <cell r="O660"/>
          <cell r="T660"/>
        </row>
        <row r="661">
          <cell r="A661" t="str">
            <v>AMPHENOL</v>
          </cell>
          <cell r="B661" t="str">
            <v>CWWT070X12FXY-0</v>
          </cell>
          <cell r="O661"/>
          <cell r="T661"/>
        </row>
        <row r="662">
          <cell r="A662" t="str">
            <v>AMPHENOL</v>
          </cell>
          <cell r="B662" t="str">
            <v>CWWX063X13G00</v>
          </cell>
          <cell r="O662">
            <v>4.715671779</v>
          </cell>
          <cell r="T662">
            <v>2.6673481990000001</v>
          </cell>
        </row>
        <row r="663">
          <cell r="A663" t="str">
            <v>AMPHENOL</v>
          </cell>
          <cell r="B663" t="str">
            <v>CWWX063X13X00</v>
          </cell>
          <cell r="O663">
            <v>4.715671779</v>
          </cell>
          <cell r="T663">
            <v>2.6673481990000001</v>
          </cell>
        </row>
        <row r="664">
          <cell r="A664" t="str">
            <v>AMPHENOL</v>
          </cell>
          <cell r="B664" t="str">
            <v>CWWX063X19G00</v>
          </cell>
          <cell r="O664">
            <v>7.1278790509999999</v>
          </cell>
          <cell r="T664">
            <v>4.0331326460000003</v>
          </cell>
        </row>
        <row r="665">
          <cell r="A665" t="str">
            <v>AMPHENOL</v>
          </cell>
          <cell r="B665" t="str">
            <v>CWWX063X19L00</v>
          </cell>
          <cell r="O665">
            <v>7.1278790509999999</v>
          </cell>
          <cell r="T665">
            <v>4.0331326460000003</v>
          </cell>
        </row>
        <row r="666">
          <cell r="A666" t="str">
            <v>AMPHENOL</v>
          </cell>
          <cell r="B666" t="str">
            <v>CWWX063X19M00</v>
          </cell>
          <cell r="O666">
            <v>7.1278790509999999</v>
          </cell>
          <cell r="T666">
            <v>4.0331326460000003</v>
          </cell>
        </row>
        <row r="667">
          <cell r="A667" t="str">
            <v>AMPHENOL</v>
          </cell>
          <cell r="B667" t="str">
            <v>CWWX063X19R00</v>
          </cell>
          <cell r="O667">
            <v>7.1278790509999999</v>
          </cell>
          <cell r="T667">
            <v>4.0331326460000003</v>
          </cell>
        </row>
        <row r="668">
          <cell r="A668" t="str">
            <v>AMPHENOL</v>
          </cell>
          <cell r="B668" t="str">
            <v>CWWX063X25G00</v>
          </cell>
          <cell r="O668">
            <v>9.4717978399999989</v>
          </cell>
          <cell r="T668">
            <v>5.3689492859999994</v>
          </cell>
        </row>
        <row r="669">
          <cell r="A669" t="str">
            <v>AMPHENOL</v>
          </cell>
          <cell r="B669" t="str">
            <v>CWWX063X25X00</v>
          </cell>
          <cell r="O669">
            <v>9.4717978399999989</v>
          </cell>
          <cell r="T669">
            <v>5.3689492859999994</v>
          </cell>
        </row>
        <row r="670">
          <cell r="A670" t="str">
            <v>AMPHENOL</v>
          </cell>
          <cell r="B670" t="str">
            <v>CWWX085X19X00</v>
          </cell>
          <cell r="O670">
            <v>7.1278790509999999</v>
          </cell>
          <cell r="T670">
            <v>4.0331326460000003</v>
          </cell>
        </row>
        <row r="671">
          <cell r="A671" t="str">
            <v>AMPHENOL</v>
          </cell>
          <cell r="B671" t="str">
            <v>CWWX085X25X00</v>
          </cell>
          <cell r="O671">
            <v>9.4717978399999989</v>
          </cell>
          <cell r="T671">
            <v>5.3689492859999994</v>
          </cell>
        </row>
        <row r="672">
          <cell r="A672" t="str">
            <v>AMPHENOL</v>
          </cell>
          <cell r="B672" t="str">
            <v>CWX063X06FXY0</v>
          </cell>
          <cell r="O672">
            <v>2.1338599539999996</v>
          </cell>
          <cell r="T672">
            <v>1.2097284319999999</v>
          </cell>
        </row>
        <row r="673">
          <cell r="A673" t="str">
            <v>AMPHENOL</v>
          </cell>
          <cell r="B673" t="str">
            <v>CWX063X13G00</v>
          </cell>
          <cell r="O673">
            <v>4.715671779</v>
          </cell>
          <cell r="T673">
            <v>2.6673481990000001</v>
          </cell>
        </row>
        <row r="674">
          <cell r="A674" t="str">
            <v>AMPHENOL</v>
          </cell>
          <cell r="B674" t="str">
            <v>CWX063X19G00</v>
          </cell>
          <cell r="O674">
            <v>7.1278790509999999</v>
          </cell>
          <cell r="T674">
            <v>4.0331326460000003</v>
          </cell>
        </row>
        <row r="675">
          <cell r="A675" t="str">
            <v>AMPHENOL</v>
          </cell>
          <cell r="B675" t="str">
            <v>CWX063X19X00</v>
          </cell>
          <cell r="O675">
            <v>7.1278790509999999</v>
          </cell>
          <cell r="T675">
            <v>4.0331326460000003</v>
          </cell>
        </row>
        <row r="676">
          <cell r="A676" t="str">
            <v>AMPHENOL</v>
          </cell>
          <cell r="B676" t="str">
            <v>CWX063X25G00</v>
          </cell>
          <cell r="O676">
            <v>9.5591145829999995</v>
          </cell>
          <cell r="T676">
            <v>5.4088998569999998</v>
          </cell>
        </row>
        <row r="677">
          <cell r="A677" t="str">
            <v>AMPHENOL</v>
          </cell>
          <cell r="B677" t="str">
            <v>CWX063X25X00</v>
          </cell>
          <cell r="O677">
            <v>9.5591145829999995</v>
          </cell>
          <cell r="T677">
            <v>5.4088998569999998</v>
          </cell>
        </row>
        <row r="678">
          <cell r="A678" t="str">
            <v>AMPHENOL</v>
          </cell>
          <cell r="B678" t="str">
            <v>CWX085X19G00</v>
          </cell>
          <cell r="O678">
            <v>7.556452546</v>
          </cell>
          <cell r="T678">
            <v>4.2803625800000002</v>
          </cell>
        </row>
        <row r="679">
          <cell r="A679" t="str">
            <v>AMPHENOL</v>
          </cell>
          <cell r="B679" t="str">
            <v>CWX085X19M00</v>
          </cell>
          <cell r="O679">
            <v>7.556452546</v>
          </cell>
          <cell r="T679">
            <v>4.2803625800000002</v>
          </cell>
        </row>
        <row r="680">
          <cell r="A680" t="str">
            <v>AMPHENOL</v>
          </cell>
          <cell r="B680" t="str">
            <v>CWX085X19R00</v>
          </cell>
          <cell r="O680">
            <v>7.556452546</v>
          </cell>
          <cell r="T680">
            <v>4.2803625800000002</v>
          </cell>
        </row>
        <row r="681">
          <cell r="A681" t="str">
            <v>AMPHENOL</v>
          </cell>
          <cell r="B681" t="str">
            <v>CWX085X25G00</v>
          </cell>
          <cell r="O681">
            <v>9.4717978399999989</v>
          </cell>
          <cell r="T681">
            <v>5.3689492859999994</v>
          </cell>
        </row>
        <row r="682">
          <cell r="A682" t="str">
            <v>AMPHENOL</v>
          </cell>
          <cell r="B682" t="str">
            <v>CX045X13X00</v>
          </cell>
          <cell r="O682">
            <v>6.048143325999999</v>
          </cell>
          <cell r="T682">
            <v>2.8688427560000003</v>
          </cell>
        </row>
        <row r="683">
          <cell r="A683" t="str">
            <v>AMPHENOL</v>
          </cell>
          <cell r="B683" t="str">
            <v>CX063X13G00</v>
          </cell>
          <cell r="O683">
            <v>4.715671779</v>
          </cell>
          <cell r="T683">
            <v>2.6673481990000001</v>
          </cell>
        </row>
        <row r="684">
          <cell r="A684" t="str">
            <v>AMPHENOL</v>
          </cell>
          <cell r="B684" t="str">
            <v>CX063X13X00</v>
          </cell>
          <cell r="O684">
            <v>4.715671779</v>
          </cell>
          <cell r="T684">
            <v>2.6673481990000001</v>
          </cell>
        </row>
        <row r="685">
          <cell r="A685" t="str">
            <v>AMPHENOL</v>
          </cell>
          <cell r="B685" t="str">
            <v>CX063X19G00</v>
          </cell>
          <cell r="O685">
            <v>7.1278790509999999</v>
          </cell>
          <cell r="T685">
            <v>4.0331326460000003</v>
          </cell>
        </row>
        <row r="686">
          <cell r="A686" t="str">
            <v>AMPHENOL</v>
          </cell>
          <cell r="B686" t="str">
            <v>CX063X19X00</v>
          </cell>
          <cell r="O686"/>
          <cell r="T686"/>
        </row>
        <row r="687">
          <cell r="A687" t="str">
            <v>AMPHENOL</v>
          </cell>
          <cell r="B687" t="str">
            <v>CX063X25G00</v>
          </cell>
          <cell r="O687">
            <v>9.4717978399999989</v>
          </cell>
          <cell r="T687">
            <v>5.3689492859999994</v>
          </cell>
        </row>
        <row r="688">
          <cell r="A688" t="str">
            <v>AMPHENOL</v>
          </cell>
          <cell r="B688" t="str">
            <v>CX085X13X00</v>
          </cell>
          <cell r="O688">
            <v>4.715671779</v>
          </cell>
          <cell r="T688">
            <v>2.6673481990000001</v>
          </cell>
        </row>
        <row r="689">
          <cell r="A689" t="str">
            <v>AMPHENOL</v>
          </cell>
          <cell r="B689" t="str">
            <v>CX085X19X00</v>
          </cell>
          <cell r="O689">
            <v>7.556452546</v>
          </cell>
          <cell r="T689">
            <v>4.2803625800000002</v>
          </cell>
        </row>
        <row r="690">
          <cell r="A690" t="str">
            <v>AMPHENOL</v>
          </cell>
          <cell r="B690" t="str">
            <v>CX085X24X00</v>
          </cell>
          <cell r="O690">
            <v>9.2222077549999995</v>
          </cell>
          <cell r="T690">
            <v>5.2186728869999994</v>
          </cell>
        </row>
        <row r="691">
          <cell r="A691" t="str">
            <v>AMPHENOL</v>
          </cell>
          <cell r="B691" t="str">
            <v>F-BXA-185063/8 M</v>
          </cell>
          <cell r="O691"/>
          <cell r="T691"/>
        </row>
        <row r="692">
          <cell r="A692" t="str">
            <v>AMPHENOL</v>
          </cell>
          <cell r="B692" t="str">
            <v>F-BXA-80063/6 M</v>
          </cell>
          <cell r="O692"/>
          <cell r="T692"/>
        </row>
        <row r="693">
          <cell r="A693" t="str">
            <v>AMPHENOL</v>
          </cell>
          <cell r="B693" t="str">
            <v>GNSS 2020-D</v>
          </cell>
          <cell r="O693"/>
          <cell r="T693"/>
        </row>
        <row r="694">
          <cell r="A694" t="str">
            <v>AMPHENOL</v>
          </cell>
          <cell r="B694" t="str">
            <v>HEX334CW0000G</v>
          </cell>
          <cell r="O694">
            <v>12.25479513</v>
          </cell>
          <cell r="T694">
            <v>3.2310637089999998</v>
          </cell>
        </row>
        <row r="695">
          <cell r="A695" t="str">
            <v>AMPHENOL</v>
          </cell>
          <cell r="B695" t="str">
            <v>HEX336CW0000G</v>
          </cell>
          <cell r="O695">
            <v>17.012176889999989</v>
          </cell>
          <cell r="T695">
            <v>3.7598453919999999</v>
          </cell>
        </row>
        <row r="696">
          <cell r="A696" t="str">
            <v>AMPHENOL</v>
          </cell>
          <cell r="B696" t="str">
            <v>HEX338CU0000X</v>
          </cell>
          <cell r="O696">
            <v>24.98882854</v>
          </cell>
          <cell r="T696">
            <v>5.2650664139999996</v>
          </cell>
        </row>
        <row r="697">
          <cell r="A697" t="str">
            <v>AMPHENOL</v>
          </cell>
          <cell r="B697" t="str">
            <v>HEX338CW0000G</v>
          </cell>
          <cell r="O697">
            <v>24.98882854</v>
          </cell>
          <cell r="T697">
            <v>5.2650664139999996</v>
          </cell>
        </row>
        <row r="698">
          <cell r="A698" t="str">
            <v>AMPHENOL</v>
          </cell>
          <cell r="B698" t="str">
            <v>HEX338CW0000L</v>
          </cell>
          <cell r="O698">
            <v>24.98882854</v>
          </cell>
          <cell r="T698">
            <v>5.2650664139999996</v>
          </cell>
        </row>
        <row r="699">
          <cell r="A699" t="str">
            <v>AMPHENOL</v>
          </cell>
          <cell r="B699" t="str">
            <v>HEX338CW0000X</v>
          </cell>
          <cell r="O699">
            <v>24.98882854</v>
          </cell>
          <cell r="T699">
            <v>5.2650664139999996</v>
          </cell>
        </row>
        <row r="700">
          <cell r="A700" t="str">
            <v>AMPHENOL</v>
          </cell>
          <cell r="B700" t="str">
            <v>HEX454CU0000X</v>
          </cell>
          <cell r="O700">
            <v>6.0481433256172794</v>
          </cell>
          <cell r="T700">
            <v>2.86884275556254</v>
          </cell>
        </row>
        <row r="701">
          <cell r="A701" t="str">
            <v>AMPHENOL</v>
          </cell>
          <cell r="B701" t="str">
            <v>HEX454CW0000G</v>
          </cell>
          <cell r="O701">
            <v>6.048143325999999</v>
          </cell>
          <cell r="T701">
            <v>2.8688427560000003</v>
          </cell>
        </row>
        <row r="702">
          <cell r="A702" t="str">
            <v>AMPHENOL</v>
          </cell>
          <cell r="B702" t="str">
            <v>HEX454CW0000L</v>
          </cell>
          <cell r="O702">
            <v>6.048143325999999</v>
          </cell>
          <cell r="T702">
            <v>2.8688427560000003</v>
          </cell>
        </row>
        <row r="703">
          <cell r="A703" t="str">
            <v>AMPHENOL</v>
          </cell>
          <cell r="B703" t="str">
            <v>HEX456CU0000G</v>
          </cell>
          <cell r="O703">
            <v>9.4259114579999999</v>
          </cell>
          <cell r="T703">
            <v>4.4726279059999996</v>
          </cell>
        </row>
        <row r="704">
          <cell r="A704" t="str">
            <v>AMPHENOL</v>
          </cell>
          <cell r="B704" t="str">
            <v>HEX456CW0000G</v>
          </cell>
          <cell r="O704">
            <v>10.46010886973049</v>
          </cell>
          <cell r="T704">
            <v>4.7362852054590192</v>
          </cell>
        </row>
        <row r="705">
          <cell r="A705" t="str">
            <v>AMPHENOL</v>
          </cell>
          <cell r="B705" t="str">
            <v>HEX456CW0000L</v>
          </cell>
          <cell r="O705">
            <v>10.46010886973049</v>
          </cell>
          <cell r="T705">
            <v>4.7362852054590192</v>
          </cell>
        </row>
        <row r="706">
          <cell r="A706" t="str">
            <v>AMPHENOL</v>
          </cell>
          <cell r="B706" t="str">
            <v>HEX456CW0000M</v>
          </cell>
          <cell r="O706">
            <v>10.46010886973049</v>
          </cell>
          <cell r="T706">
            <v>4.7362852054590192</v>
          </cell>
        </row>
        <row r="707">
          <cell r="A707" t="str">
            <v>AMPHENOL</v>
          </cell>
          <cell r="B707" t="str">
            <v>HEX456CW0000X</v>
          </cell>
          <cell r="O707">
            <v>10.46010886973049</v>
          </cell>
          <cell r="T707">
            <v>4.7362852054590192</v>
          </cell>
        </row>
        <row r="708">
          <cell r="A708" t="str">
            <v>AMPHENOL</v>
          </cell>
          <cell r="B708" t="str">
            <v>HEX456CW0000X_CCIV2</v>
          </cell>
          <cell r="O708">
            <v>9.4259114579999999</v>
          </cell>
          <cell r="T708">
            <v>4.4726279059999996</v>
          </cell>
        </row>
        <row r="709">
          <cell r="A709" t="str">
            <v>AMPHENOL</v>
          </cell>
          <cell r="B709" t="str">
            <v>HEX458CU0100G</v>
          </cell>
          <cell r="O709">
            <v>12.3451045</v>
          </cell>
          <cell r="T709">
            <v>5.8579759139999998</v>
          </cell>
        </row>
        <row r="710">
          <cell r="A710" t="str">
            <v>AMPHENOL</v>
          </cell>
          <cell r="B710" t="str">
            <v>HEX458CW0000G</v>
          </cell>
          <cell r="O710">
            <v>12.3451045</v>
          </cell>
          <cell r="T710">
            <v>5.8579759139999998</v>
          </cell>
        </row>
        <row r="711">
          <cell r="A711" t="str">
            <v>AMPHENOL</v>
          </cell>
          <cell r="B711" t="str">
            <v>HEX458CW0000L</v>
          </cell>
          <cell r="O711">
            <v>12.3451045</v>
          </cell>
          <cell r="T711">
            <v>5.8579759139999998</v>
          </cell>
        </row>
        <row r="712">
          <cell r="A712" t="str">
            <v>AMPHENOL</v>
          </cell>
          <cell r="B712" t="str">
            <v>HEX458CW0000X</v>
          </cell>
          <cell r="O712">
            <v>12.3451045</v>
          </cell>
          <cell r="T712">
            <v>5.8579759139999998</v>
          </cell>
        </row>
        <row r="713">
          <cell r="A713" t="str">
            <v>AMPHENOL</v>
          </cell>
          <cell r="B713" t="str">
            <v>HEX654CU0100X</v>
          </cell>
          <cell r="O713">
            <v>4.715671779</v>
          </cell>
          <cell r="T713">
            <v>2.6673481990000001</v>
          </cell>
        </row>
        <row r="714">
          <cell r="A714" t="str">
            <v>AMPHENOL</v>
          </cell>
          <cell r="B714" t="str">
            <v>HEX654CW0000G</v>
          </cell>
          <cell r="O714">
            <v>4.715671779</v>
          </cell>
          <cell r="T714">
            <v>2.6673481990000001</v>
          </cell>
        </row>
        <row r="715">
          <cell r="A715" t="str">
            <v>AMPHENOL</v>
          </cell>
          <cell r="B715" t="str">
            <v>HEX654CW0000X</v>
          </cell>
          <cell r="O715">
            <v>4.715671779</v>
          </cell>
          <cell r="T715">
            <v>2.6673481990000001</v>
          </cell>
        </row>
        <row r="716">
          <cell r="A716" t="str">
            <v>AMPHENOL</v>
          </cell>
          <cell r="B716" t="str">
            <v>HEX656CU0000X</v>
          </cell>
          <cell r="O716">
            <v>7.1278790509999999</v>
          </cell>
          <cell r="T716">
            <v>4.0331326460000003</v>
          </cell>
        </row>
        <row r="717">
          <cell r="A717" t="str">
            <v>AMPHENOL</v>
          </cell>
          <cell r="B717" t="str">
            <v>HEX656CU1005L</v>
          </cell>
          <cell r="O717"/>
          <cell r="T717"/>
        </row>
        <row r="718">
          <cell r="A718" t="str">
            <v>AMPHENOL</v>
          </cell>
          <cell r="B718" t="str">
            <v>HEX656CW0000G</v>
          </cell>
          <cell r="O718">
            <v>7.1278790509999999</v>
          </cell>
          <cell r="T718">
            <v>4.0331326460000003</v>
          </cell>
        </row>
        <row r="719">
          <cell r="A719" t="str">
            <v>AMPHENOL</v>
          </cell>
          <cell r="B719" t="str">
            <v>HEX656CW0000L</v>
          </cell>
          <cell r="O719">
            <v>7.1278790509999999</v>
          </cell>
          <cell r="T719">
            <v>4.0331326460000003</v>
          </cell>
        </row>
        <row r="720">
          <cell r="A720" t="str">
            <v>AMPHENOL</v>
          </cell>
          <cell r="B720" t="str">
            <v>HEX656CW0000X</v>
          </cell>
          <cell r="O720">
            <v>7.1278790509999999</v>
          </cell>
          <cell r="T720">
            <v>4.0331326460000003</v>
          </cell>
        </row>
        <row r="721">
          <cell r="A721" t="str">
            <v>AMPHENOL</v>
          </cell>
          <cell r="B721" t="str">
            <v>HEX658CU0100G</v>
          </cell>
          <cell r="O721">
            <v>9.4717978399999989</v>
          </cell>
          <cell r="T721">
            <v>5.3689492859999994</v>
          </cell>
        </row>
        <row r="722">
          <cell r="A722" t="str">
            <v>AMPHENOL</v>
          </cell>
          <cell r="B722" t="str">
            <v>HEX658CU1005L</v>
          </cell>
          <cell r="O722"/>
          <cell r="T722"/>
        </row>
        <row r="723">
          <cell r="A723" t="str">
            <v>AMPHENOL</v>
          </cell>
          <cell r="B723" t="str">
            <v>HEX658CW0000G</v>
          </cell>
          <cell r="O723">
            <v>9.4717978399999989</v>
          </cell>
          <cell r="T723">
            <v>5.3689492859999994</v>
          </cell>
        </row>
        <row r="724">
          <cell r="A724" t="str">
            <v>AMPHENOL</v>
          </cell>
          <cell r="B724" t="str">
            <v>HEX658CW0000X</v>
          </cell>
          <cell r="O724">
            <v>9.4717978399999989</v>
          </cell>
          <cell r="T724">
            <v>5.3689492859999994</v>
          </cell>
        </row>
        <row r="725">
          <cell r="A725" t="str">
            <v>AMPHENOL</v>
          </cell>
          <cell r="B725" t="str">
            <v>HEX854CW0000X</v>
          </cell>
          <cell r="O725">
            <v>4.715671779</v>
          </cell>
          <cell r="T725">
            <v>2.6673481990000001</v>
          </cell>
        </row>
        <row r="726">
          <cell r="A726" t="str">
            <v>AMPHENOL</v>
          </cell>
          <cell r="B726" t="str">
            <v>HEX856CW0000G</v>
          </cell>
          <cell r="O726">
            <v>7.1278790509999999</v>
          </cell>
          <cell r="T726">
            <v>4.0331326460000003</v>
          </cell>
        </row>
        <row r="727">
          <cell r="A727" t="str">
            <v>AMPHENOL</v>
          </cell>
          <cell r="B727" t="str">
            <v>HEX858CU0000X</v>
          </cell>
          <cell r="O727">
            <v>9.4717978399999989</v>
          </cell>
          <cell r="T727">
            <v>5.3689492859999994</v>
          </cell>
        </row>
        <row r="728">
          <cell r="A728" t="str">
            <v>AMPHENOL</v>
          </cell>
          <cell r="B728" t="str">
            <v>HEX858CW0000G</v>
          </cell>
          <cell r="O728">
            <v>9.4717978399999989</v>
          </cell>
          <cell r="T728">
            <v>5.3689492859999994</v>
          </cell>
        </row>
        <row r="729">
          <cell r="A729" t="str">
            <v>AMPHENOL</v>
          </cell>
          <cell r="B729" t="str">
            <v>HEX858CW0000L</v>
          </cell>
          <cell r="O729">
            <v>9.4717978399999989</v>
          </cell>
          <cell r="T729">
            <v>5.3689492859999994</v>
          </cell>
        </row>
        <row r="730">
          <cell r="A730" t="str">
            <v>AMPHENOL</v>
          </cell>
          <cell r="B730" t="str">
            <v>HT4C6318R000</v>
          </cell>
          <cell r="O730">
            <v>18.13424479</v>
          </cell>
          <cell r="T730">
            <v>6.3977349959999996</v>
          </cell>
        </row>
        <row r="731">
          <cell r="A731" t="str">
            <v>AMPHENOL</v>
          </cell>
          <cell r="B731" t="str">
            <v>HT4C6318R000G</v>
          </cell>
          <cell r="O731">
            <v>18.13424479</v>
          </cell>
          <cell r="T731">
            <v>6.3977349959999996</v>
          </cell>
        </row>
        <row r="732">
          <cell r="A732" t="str">
            <v>AMPHENOL</v>
          </cell>
          <cell r="B732" t="str">
            <v>HT4C6318X000</v>
          </cell>
          <cell r="O732">
            <v>18.13424479</v>
          </cell>
          <cell r="T732">
            <v>6.3977349959999996</v>
          </cell>
        </row>
        <row r="733">
          <cell r="A733" t="str">
            <v>AMPHENOL</v>
          </cell>
          <cell r="B733" t="str">
            <v>HT4C8017R000</v>
          </cell>
          <cell r="O733">
            <v>18.13424479</v>
          </cell>
          <cell r="T733">
            <v>6.3977349959999996</v>
          </cell>
        </row>
        <row r="734">
          <cell r="A734" t="str">
            <v>AMPHENOL</v>
          </cell>
          <cell r="B734" t="str">
            <v>HT4C8017R000G</v>
          </cell>
          <cell r="O734">
            <v>18.13424479</v>
          </cell>
          <cell r="T734">
            <v>6.3977349959999996</v>
          </cell>
        </row>
        <row r="735">
          <cell r="A735" t="str">
            <v>AMPHENOL</v>
          </cell>
          <cell r="B735" t="str">
            <v>HTXC033S17M000</v>
          </cell>
          <cell r="O735">
            <v>9.8113691659999986</v>
          </cell>
          <cell r="T735">
            <v>3.5058203350000001</v>
          </cell>
        </row>
        <row r="736">
          <cell r="A736" t="str">
            <v>AMPHENOL</v>
          </cell>
          <cell r="B736" t="str">
            <v>HTXC033S17R000</v>
          </cell>
          <cell r="O736">
            <v>9.8113691659999986</v>
          </cell>
          <cell r="T736">
            <v>3.5058203350000001</v>
          </cell>
        </row>
        <row r="737">
          <cell r="A737" t="str">
            <v>AMPHENOL</v>
          </cell>
          <cell r="B737" t="str">
            <v>HTXC033S17X000</v>
          </cell>
          <cell r="O737">
            <v>9.8113691659999986</v>
          </cell>
          <cell r="T737">
            <v>3.5058203350000001</v>
          </cell>
        </row>
        <row r="738">
          <cell r="A738" t="str">
            <v>AMPHENOL</v>
          </cell>
          <cell r="B738" t="str">
            <v>HTXC033S18R000</v>
          </cell>
          <cell r="O738">
            <v>14.5370724</v>
          </cell>
          <cell r="T738">
            <v>5.0986498960000004</v>
          </cell>
        </row>
        <row r="739">
          <cell r="A739" t="str">
            <v>AMPHENOL</v>
          </cell>
          <cell r="B739" t="str">
            <v>HTXC033S18X000</v>
          </cell>
          <cell r="O739">
            <v>14.5370724</v>
          </cell>
          <cell r="T739">
            <v>5.0986498960000004</v>
          </cell>
        </row>
        <row r="740">
          <cell r="A740" t="str">
            <v>AMPHENOL</v>
          </cell>
          <cell r="B740" t="str">
            <v>HTXC033S19M000</v>
          </cell>
          <cell r="O740">
            <v>18.155994409999998</v>
          </cell>
          <cell r="T740">
            <v>6.3646812920000002</v>
          </cell>
        </row>
        <row r="741">
          <cell r="A741" t="str">
            <v>AMPHENOL</v>
          </cell>
          <cell r="B741" t="str">
            <v>HTXC033S19R000G</v>
          </cell>
          <cell r="O741">
            <v>18.155994409999998</v>
          </cell>
          <cell r="T741">
            <v>6.3646812920000002</v>
          </cell>
        </row>
        <row r="742">
          <cell r="A742" t="str">
            <v>AMPHENOL</v>
          </cell>
          <cell r="B742" t="str">
            <v>HTXC4517M000</v>
          </cell>
          <cell r="O742"/>
          <cell r="T742"/>
        </row>
        <row r="743">
          <cell r="A743" t="str">
            <v>AMPHENOL</v>
          </cell>
          <cell r="B743" t="str">
            <v>HTXC4517R000</v>
          </cell>
          <cell r="O743"/>
          <cell r="T743"/>
        </row>
        <row r="744">
          <cell r="A744" t="str">
            <v>AMPHENOL</v>
          </cell>
          <cell r="B744" t="str">
            <v>HTXC4517R000G</v>
          </cell>
          <cell r="O744"/>
          <cell r="T744"/>
        </row>
        <row r="745">
          <cell r="A745" t="str">
            <v>AMPHENOL</v>
          </cell>
          <cell r="B745" t="str">
            <v>HTXC4517X000</v>
          </cell>
          <cell r="O745"/>
          <cell r="T745"/>
        </row>
        <row r="746">
          <cell r="A746" t="str">
            <v>AMPHENOL</v>
          </cell>
          <cell r="B746" t="str">
            <v>HTXC4518R000</v>
          </cell>
          <cell r="O746">
            <v>11.8214457947531</v>
          </cell>
          <cell r="T746">
            <v>5.5490337778930297</v>
          </cell>
        </row>
        <row r="747">
          <cell r="A747" t="str">
            <v>AMPHENOL</v>
          </cell>
          <cell r="B747" t="str">
            <v>HTXC4518X000</v>
          </cell>
          <cell r="O747">
            <v>10.804200424382691</v>
          </cell>
          <cell r="T747">
            <v>5.0713523314692397</v>
          </cell>
        </row>
        <row r="748">
          <cell r="A748" t="str">
            <v>AMPHENOL</v>
          </cell>
          <cell r="B748" t="str">
            <v>HTXC4518X050</v>
          </cell>
          <cell r="O748">
            <v>10.483367091049399</v>
          </cell>
          <cell r="T748">
            <v>4.6880743759823789</v>
          </cell>
        </row>
        <row r="749">
          <cell r="A749" t="str">
            <v>AMPHENOL</v>
          </cell>
          <cell r="B749" t="str">
            <v>HTXC4520G000</v>
          </cell>
          <cell r="O749"/>
          <cell r="T749"/>
        </row>
        <row r="750">
          <cell r="A750" t="str">
            <v>AMPHENOL</v>
          </cell>
          <cell r="B750" t="str">
            <v>HTXC4520M000</v>
          </cell>
          <cell r="O750">
            <v>13.6195553626543</v>
          </cell>
          <cell r="T750">
            <v>6.3942451949960999</v>
          </cell>
        </row>
        <row r="751">
          <cell r="A751" t="str">
            <v>AMPHENOL</v>
          </cell>
          <cell r="B751" t="str">
            <v>HTXC4520R000</v>
          </cell>
          <cell r="O751">
            <v>14.77599826</v>
          </cell>
          <cell r="T751">
            <v>6.9381445689999994</v>
          </cell>
        </row>
        <row r="752">
          <cell r="A752" t="str">
            <v>AMPHENOL</v>
          </cell>
          <cell r="B752" t="str">
            <v>HTXC4520R000G</v>
          </cell>
          <cell r="O752">
            <v>14.77599826</v>
          </cell>
          <cell r="T752">
            <v>6.9381445689999994</v>
          </cell>
        </row>
        <row r="753">
          <cell r="A753" t="str">
            <v>AMPHENOL</v>
          </cell>
          <cell r="B753" t="str">
            <v>HTXC6315M000</v>
          </cell>
          <cell r="O753">
            <v>4.8333053626543201</v>
          </cell>
          <cell r="T753">
            <v>2.8234783529725997</v>
          </cell>
        </row>
        <row r="754">
          <cell r="A754" t="str">
            <v>AMPHENOL</v>
          </cell>
          <cell r="B754" t="str">
            <v>HTXC6315R000</v>
          </cell>
          <cell r="O754">
            <v>6.2098314673873896</v>
          </cell>
          <cell r="T754">
            <v>3.8595306763698201</v>
          </cell>
        </row>
        <row r="755">
          <cell r="A755" t="str">
            <v>AMPHENOL</v>
          </cell>
          <cell r="B755" t="str">
            <v>HTXC6316M000</v>
          </cell>
          <cell r="O755">
            <v>7.4010754240000001</v>
          </cell>
          <cell r="T755">
            <v>4.3762776709999995</v>
          </cell>
        </row>
        <row r="756">
          <cell r="A756" t="str">
            <v>AMPHENOL</v>
          </cell>
          <cell r="B756" t="str">
            <v>HTXC6316R000G</v>
          </cell>
          <cell r="O756">
            <v>8.0819974919999993</v>
          </cell>
          <cell r="T756">
            <v>5.118822765</v>
          </cell>
        </row>
        <row r="757">
          <cell r="A757" t="str">
            <v>AMPHENOL</v>
          </cell>
          <cell r="B757" t="str">
            <v>HTXC6316X000</v>
          </cell>
          <cell r="O757">
            <v>8.0819974919999993</v>
          </cell>
          <cell r="T757">
            <v>5.118822765</v>
          </cell>
        </row>
        <row r="758">
          <cell r="A758" t="str">
            <v>AMPHENOL</v>
          </cell>
          <cell r="B758" t="str">
            <v>HTXC6318M000</v>
          </cell>
          <cell r="O758">
            <v>8.7593123070000001</v>
          </cell>
          <cell r="T758">
            <v>5.1789363230000003</v>
          </cell>
        </row>
        <row r="759">
          <cell r="A759" t="str">
            <v>AMPHENOL</v>
          </cell>
          <cell r="B759" t="str">
            <v>HTXC6318R000</v>
          </cell>
          <cell r="O759">
            <v>10.40066551</v>
          </cell>
          <cell r="T759">
            <v>6.5873652759999999</v>
          </cell>
        </row>
        <row r="760">
          <cell r="A760" t="str">
            <v>AMPHENOL</v>
          </cell>
          <cell r="B760" t="str">
            <v>HTXC6318R000G</v>
          </cell>
          <cell r="O760">
            <v>10.40066551</v>
          </cell>
          <cell r="T760">
            <v>6.5873652759999999</v>
          </cell>
        </row>
        <row r="761">
          <cell r="A761" t="str">
            <v>AMPHENOL</v>
          </cell>
          <cell r="B761" t="str">
            <v>HTXC8514R000</v>
          </cell>
          <cell r="O761">
            <v>5.7160108019999996</v>
          </cell>
          <cell r="T761">
            <v>3.6206787709999997</v>
          </cell>
        </row>
        <row r="762">
          <cell r="A762" t="str">
            <v>AMPHENOL</v>
          </cell>
          <cell r="B762" t="str">
            <v>HTXC8515M000</v>
          </cell>
          <cell r="O762">
            <v>7.4010754240000001</v>
          </cell>
          <cell r="T762">
            <v>4.3762776709999995</v>
          </cell>
        </row>
        <row r="763">
          <cell r="A763" t="str">
            <v>AMPHENOL</v>
          </cell>
          <cell r="B763" t="str">
            <v>HTXC8515R000</v>
          </cell>
          <cell r="O763"/>
          <cell r="T763"/>
        </row>
        <row r="764">
          <cell r="A764" t="str">
            <v>AMPHENOL</v>
          </cell>
          <cell r="B764" t="str">
            <v>HTXC8515R000G</v>
          </cell>
          <cell r="O764">
            <v>8.0819974919999993</v>
          </cell>
          <cell r="T764">
            <v>5.118822765</v>
          </cell>
        </row>
        <row r="765">
          <cell r="A765" t="str">
            <v>AMPHENOL</v>
          </cell>
          <cell r="B765" t="str">
            <v>HTXC8515X000</v>
          </cell>
          <cell r="O765">
            <v>8.0819974919999993</v>
          </cell>
          <cell r="T765">
            <v>5.118822765</v>
          </cell>
        </row>
        <row r="766">
          <cell r="A766" t="str">
            <v>AMPHENOL</v>
          </cell>
          <cell r="B766" t="str">
            <v>HTXC8517M000</v>
          </cell>
          <cell r="O766">
            <v>8.7593123070000001</v>
          </cell>
          <cell r="T766">
            <v>5.1789363230000003</v>
          </cell>
        </row>
        <row r="767">
          <cell r="A767" t="str">
            <v>AMPHENOL</v>
          </cell>
          <cell r="B767" t="str">
            <v>HTXC8517R000</v>
          </cell>
          <cell r="O767">
            <v>10.40066551</v>
          </cell>
          <cell r="T767">
            <v>6.5873652759999999</v>
          </cell>
        </row>
        <row r="768">
          <cell r="A768" t="str">
            <v>AMPHENOL</v>
          </cell>
          <cell r="B768" t="str">
            <v>HTXC8517R000G</v>
          </cell>
          <cell r="O768">
            <v>10.40066551</v>
          </cell>
          <cell r="T768">
            <v>6.5873652759999999</v>
          </cell>
        </row>
        <row r="769">
          <cell r="A769" t="str">
            <v>AMPHENOL</v>
          </cell>
          <cell r="B769" t="str">
            <v>HTXCW331821R000G</v>
          </cell>
          <cell r="O769">
            <v>15.598876349999989</v>
          </cell>
          <cell r="T769">
            <v>5.543625273</v>
          </cell>
        </row>
        <row r="770">
          <cell r="A770" t="str">
            <v>AMPHENOL</v>
          </cell>
          <cell r="B770" t="str">
            <v>HTXCW331821X000</v>
          </cell>
          <cell r="O770">
            <v>15.765658760000001</v>
          </cell>
          <cell r="T770">
            <v>5.6028974379999994</v>
          </cell>
        </row>
        <row r="771">
          <cell r="A771" t="str">
            <v>AMPHENOL</v>
          </cell>
          <cell r="B771" t="str">
            <v>HTXCW332021X000</v>
          </cell>
          <cell r="O771">
            <v>19.783820409999997</v>
          </cell>
          <cell r="T771">
            <v>7.0277317419999994</v>
          </cell>
        </row>
        <row r="772">
          <cell r="A772" t="str">
            <v>AMPHENOL</v>
          </cell>
          <cell r="B772" t="str">
            <v>HTXCW451619R000E</v>
          </cell>
          <cell r="O772"/>
          <cell r="T772"/>
        </row>
        <row r="773">
          <cell r="A773" t="str">
            <v>AMPHENOL</v>
          </cell>
          <cell r="B773" t="str">
            <v>HTXCW451619R000G</v>
          </cell>
          <cell r="O773"/>
          <cell r="T773"/>
        </row>
        <row r="774">
          <cell r="A774" t="str">
            <v>AMPHENOL</v>
          </cell>
          <cell r="B774" t="str">
            <v>HTXCW451720M000</v>
          </cell>
          <cell r="O774">
            <v>15.765658760000001</v>
          </cell>
          <cell r="T774">
            <v>5.6028974379999994</v>
          </cell>
        </row>
        <row r="775">
          <cell r="A775" t="str">
            <v>AMPHENOL</v>
          </cell>
          <cell r="B775" t="str">
            <v>HTXCW451720R000G</v>
          </cell>
          <cell r="O775">
            <v>15.598876349999989</v>
          </cell>
          <cell r="T775">
            <v>5.543625273</v>
          </cell>
        </row>
        <row r="776">
          <cell r="A776" t="str">
            <v>AMPHENOL</v>
          </cell>
          <cell r="B776" t="str">
            <v>HTXCW631518M000</v>
          </cell>
          <cell r="O776">
            <v>4.9378573499999998</v>
          </cell>
          <cell r="T776">
            <v>2.9203623439999999</v>
          </cell>
        </row>
        <row r="777">
          <cell r="A777" t="str">
            <v>AMPHENOL</v>
          </cell>
          <cell r="B777" t="str">
            <v>HTXCW631518R000G</v>
          </cell>
          <cell r="O777">
            <v>6.1249035489999999</v>
          </cell>
          <cell r="T777">
            <v>3.879497481</v>
          </cell>
        </row>
        <row r="778">
          <cell r="A778" t="str">
            <v>AMPHENOL</v>
          </cell>
          <cell r="B778" t="str">
            <v>HTXCW631518R100G</v>
          </cell>
          <cell r="O778">
            <v>6.1249035489999999</v>
          </cell>
          <cell r="T778">
            <v>3.879497481</v>
          </cell>
        </row>
        <row r="779">
          <cell r="A779" t="str">
            <v>AMPHENOL</v>
          </cell>
          <cell r="B779" t="str">
            <v>HTXCW631619M000</v>
          </cell>
          <cell r="O779">
            <v>7.4783661269999993</v>
          </cell>
          <cell r="T779">
            <v>4.4217192919999997</v>
          </cell>
        </row>
        <row r="780">
          <cell r="A780" t="str">
            <v>AMPHENOL</v>
          </cell>
          <cell r="B780" t="str">
            <v>HTXCW631619M100</v>
          </cell>
          <cell r="O780">
            <v>7.4783661269999993</v>
          </cell>
          <cell r="T780">
            <v>4.4217192919999997</v>
          </cell>
        </row>
        <row r="781">
          <cell r="A781" t="str">
            <v>AMPHENOL</v>
          </cell>
          <cell r="B781" t="str">
            <v>HTXCW631619R000</v>
          </cell>
          <cell r="O781">
            <v>9.1078366129999999</v>
          </cell>
          <cell r="T781">
            <v>5.7685166219999999</v>
          </cell>
        </row>
        <row r="782">
          <cell r="A782" t="str">
            <v>AMPHENOL</v>
          </cell>
          <cell r="B782" t="str">
            <v>HTXCW631619R100</v>
          </cell>
          <cell r="O782">
            <v>9.1078366129999999</v>
          </cell>
          <cell r="T782">
            <v>5.7685166219999999</v>
          </cell>
        </row>
        <row r="783">
          <cell r="A783" t="str">
            <v>AMPHENOL</v>
          </cell>
          <cell r="B783" t="str">
            <v>HTXCW631818M000</v>
          </cell>
          <cell r="O783">
            <v>8.9155381939999998</v>
          </cell>
          <cell r="T783">
            <v>5.2712431200000003</v>
          </cell>
        </row>
        <row r="784">
          <cell r="A784" t="str">
            <v>AMPHENOL</v>
          </cell>
          <cell r="B784" t="str">
            <v>HTXCW631818R000G</v>
          </cell>
          <cell r="O784">
            <v>11.378231099999999</v>
          </cell>
          <cell r="T784">
            <v>7.206024038999999</v>
          </cell>
        </row>
        <row r="785">
          <cell r="A785" t="str">
            <v>AMPHENOL</v>
          </cell>
          <cell r="B785" t="str">
            <v>HTXCW631819M000</v>
          </cell>
          <cell r="O785">
            <v>8.9155381939999998</v>
          </cell>
          <cell r="T785">
            <v>5.2712431200000003</v>
          </cell>
        </row>
        <row r="786">
          <cell r="A786" t="str">
            <v>AMPHENOL</v>
          </cell>
          <cell r="B786" t="str">
            <v>HTXCW631819R000</v>
          </cell>
          <cell r="O786">
            <v>11.378231099999999</v>
          </cell>
          <cell r="T786">
            <v>7.206024038999999</v>
          </cell>
        </row>
        <row r="787">
          <cell r="A787" t="str">
            <v>AMPHENOL</v>
          </cell>
          <cell r="B787" t="str">
            <v>HTXCW631819X000</v>
          </cell>
          <cell r="O787">
            <v>11.378231099999999</v>
          </cell>
          <cell r="T787">
            <v>7.206024038999999</v>
          </cell>
        </row>
        <row r="788">
          <cell r="A788" t="str">
            <v>AMPHENOL</v>
          </cell>
          <cell r="B788" t="str">
            <v>HTXCWB065111414FX00</v>
          </cell>
          <cell r="O788"/>
          <cell r="T788"/>
        </row>
        <row r="789">
          <cell r="A789" t="str">
            <v>AMPHENOL</v>
          </cell>
          <cell r="B789" t="str">
            <v>HTXCWW4513F000</v>
          </cell>
          <cell r="O789">
            <v>3.4608756759999997</v>
          </cell>
          <cell r="T789">
            <v>1.54765635</v>
          </cell>
        </row>
        <row r="790">
          <cell r="A790" t="str">
            <v>AMPHENOL</v>
          </cell>
          <cell r="B790" t="str">
            <v>HTXCWW63111414F000</v>
          </cell>
          <cell r="O790">
            <v>1.9558844520000001</v>
          </cell>
          <cell r="T790">
            <v>1.1578852680000002</v>
          </cell>
        </row>
        <row r="791">
          <cell r="A791" t="str">
            <v>AMPHENOL</v>
          </cell>
          <cell r="B791" t="str">
            <v>HTXCWW631518R000</v>
          </cell>
          <cell r="O791">
            <v>6.1249035489999999</v>
          </cell>
          <cell r="T791">
            <v>3.879497481</v>
          </cell>
        </row>
        <row r="792">
          <cell r="A792" t="str">
            <v>AMPHENOL</v>
          </cell>
          <cell r="B792" t="str">
            <v>LPA-171080-12CF-EDIN-X</v>
          </cell>
          <cell r="O792"/>
          <cell r="T792"/>
        </row>
        <row r="793">
          <cell r="A793" t="str">
            <v>AMPHENOL</v>
          </cell>
          <cell r="B793" t="str">
            <v>LPA-70040-8CF-EDIN-X</v>
          </cell>
          <cell r="O793"/>
          <cell r="T793"/>
        </row>
        <row r="794">
          <cell r="A794" t="str">
            <v>AMPHENOL</v>
          </cell>
          <cell r="B794" t="str">
            <v>LPA-70063-8CF-EDIN-X</v>
          </cell>
          <cell r="O794">
            <v>9.5185412157318794</v>
          </cell>
          <cell r="T794">
            <v>8.0420311689110111</v>
          </cell>
        </row>
        <row r="795">
          <cell r="A795" t="str">
            <v>AMPHENOL</v>
          </cell>
          <cell r="B795" t="str">
            <v>LPA-70080-6CF-EDIN-2</v>
          </cell>
          <cell r="O795">
            <v>5.0959770447530897</v>
          </cell>
          <cell r="T795">
            <v>4.602827453317949</v>
          </cell>
        </row>
        <row r="796">
          <cell r="A796" t="str">
            <v>AMPHENOL</v>
          </cell>
          <cell r="B796" t="str">
            <v>LPA-70080-8CF-EDIN-X</v>
          </cell>
          <cell r="O796">
            <v>7.0288917824074097</v>
          </cell>
          <cell r="T796">
            <v>6.3667017505467101</v>
          </cell>
        </row>
        <row r="797">
          <cell r="A797" t="str">
            <v>AMPHENOL</v>
          </cell>
          <cell r="B797" t="str">
            <v>LPA-70090-8CF-EDIN-X</v>
          </cell>
          <cell r="O797">
            <v>4.4526629328014096</v>
          </cell>
          <cell r="T797">
            <v>6.982560814763179</v>
          </cell>
        </row>
        <row r="798">
          <cell r="A798" t="str">
            <v>AMPHENOL</v>
          </cell>
          <cell r="B798" t="str">
            <v>LPA-80040-8CF-EDIN-X</v>
          </cell>
          <cell r="O798"/>
          <cell r="T798"/>
        </row>
        <row r="799">
          <cell r="A799" t="str">
            <v>AMPHENOL</v>
          </cell>
          <cell r="B799" t="str">
            <v>LPA-80060-4CF-EDIN-6</v>
          </cell>
          <cell r="O799"/>
          <cell r="T799"/>
        </row>
        <row r="800">
          <cell r="A800" t="str">
            <v>AMPHENOL</v>
          </cell>
          <cell r="B800" t="str">
            <v>LPA-80063-4CF-EDIN-X</v>
          </cell>
          <cell r="O800">
            <v>4.6270071759070195</v>
          </cell>
          <cell r="T800">
            <v>3.8423243610188695</v>
          </cell>
        </row>
        <row r="801">
          <cell r="A801" t="str">
            <v>AMPHENOL</v>
          </cell>
          <cell r="B801" t="str">
            <v>LPA-80063-6CF-EDIN-5</v>
          </cell>
          <cell r="O801">
            <v>7.486196102758889</v>
          </cell>
          <cell r="T801">
            <v>6.28785075750032</v>
          </cell>
        </row>
        <row r="802">
          <cell r="A802" t="str">
            <v>AMPHENOL</v>
          </cell>
          <cell r="B802" t="str">
            <v>LPA-80063-6CF-EDIN-X</v>
          </cell>
          <cell r="O802">
            <v>7.486196102758889</v>
          </cell>
          <cell r="T802">
            <v>6.28785075750032</v>
          </cell>
        </row>
        <row r="803">
          <cell r="A803" t="str">
            <v>AMPHENOL</v>
          </cell>
          <cell r="B803" t="str">
            <v>LPA-80063-8CF-EDIN-X</v>
          </cell>
          <cell r="O803">
            <v>9.5185412157318794</v>
          </cell>
          <cell r="T803">
            <v>8.0420311689110111</v>
          </cell>
        </row>
        <row r="804">
          <cell r="A804" t="str">
            <v>AMPHENOL</v>
          </cell>
          <cell r="B804" t="str">
            <v>LPA-80090-6CF-EDIN-X</v>
          </cell>
          <cell r="O804"/>
          <cell r="T804"/>
        </row>
        <row r="805">
          <cell r="A805" t="str">
            <v>AMPHENOL</v>
          </cell>
          <cell r="B805" t="str">
            <v>LPA-80090-8CF-EDIN-X</v>
          </cell>
          <cell r="O805">
            <v>4.4526629328014096</v>
          </cell>
          <cell r="T805">
            <v>6.982560814763179</v>
          </cell>
        </row>
        <row r="806">
          <cell r="A806" t="str">
            <v>AMPHENOL</v>
          </cell>
          <cell r="B806" t="str">
            <v>OCT334KBU102L</v>
          </cell>
          <cell r="O806">
            <v>12.2133987327376</v>
          </cell>
          <cell r="T806">
            <v>2.57101456973058</v>
          </cell>
        </row>
        <row r="807">
          <cell r="A807" t="str">
            <v>AMPHENOL</v>
          </cell>
          <cell r="B807" t="str">
            <v>OCT336KBU102L</v>
          </cell>
          <cell r="O807">
            <v>12.2133987327376</v>
          </cell>
          <cell r="T807">
            <v>2.57101456973058</v>
          </cell>
        </row>
        <row r="808">
          <cell r="A808" t="str">
            <v>AMPHENOL</v>
          </cell>
          <cell r="B808" t="str">
            <v>OCT338KBU000X</v>
          </cell>
          <cell r="O808">
            <v>25.213293071234489</v>
          </cell>
          <cell r="T808">
            <v>6.6453103708893995</v>
          </cell>
        </row>
        <row r="809">
          <cell r="A809" t="str">
            <v>AMPHENOL</v>
          </cell>
          <cell r="B809" t="str">
            <v>OCT338KBU102L</v>
          </cell>
          <cell r="O809">
            <v>24.6876695810763</v>
          </cell>
          <cell r="T809">
            <v>5.2019393747254794</v>
          </cell>
        </row>
        <row r="810">
          <cell r="A810" t="str">
            <v>AMPHENOL</v>
          </cell>
          <cell r="B810" t="str">
            <v>OCT454KBU000X</v>
          </cell>
          <cell r="O810"/>
          <cell r="T810"/>
        </row>
        <row r="811">
          <cell r="A811" t="str">
            <v>AMPHENOL</v>
          </cell>
          <cell r="B811" t="str">
            <v>OCT456KBU000X</v>
          </cell>
          <cell r="O811"/>
          <cell r="T811"/>
        </row>
        <row r="812">
          <cell r="A812" t="str">
            <v>AMPHENOL</v>
          </cell>
          <cell r="B812" t="str">
            <v>OCT456KBU105L</v>
          </cell>
          <cell r="O812"/>
          <cell r="T812"/>
        </row>
        <row r="813">
          <cell r="A813" t="str">
            <v>AMPHENOL</v>
          </cell>
          <cell r="B813" t="str">
            <v>OCT458KBU000G</v>
          </cell>
          <cell r="O813">
            <v>12.3451045</v>
          </cell>
          <cell r="T813">
            <v>5.8579759139999998</v>
          </cell>
        </row>
        <row r="814">
          <cell r="A814" t="str">
            <v>AMPHENOL</v>
          </cell>
          <cell r="B814" t="str">
            <v>OCT458KBU000L</v>
          </cell>
          <cell r="O814">
            <v>12.3451045</v>
          </cell>
          <cell r="T814">
            <v>5.8579759139999998</v>
          </cell>
        </row>
        <row r="815">
          <cell r="A815" t="str">
            <v>AMPHENOL</v>
          </cell>
          <cell r="B815" t="str">
            <v>OCT458KBU000X</v>
          </cell>
          <cell r="O815">
            <v>12.3451045</v>
          </cell>
          <cell r="T815">
            <v>5.8579759139999998</v>
          </cell>
        </row>
        <row r="816">
          <cell r="A816" t="str">
            <v>AMPHENOL</v>
          </cell>
          <cell r="B816" t="str">
            <v>OCT458KBU102L</v>
          </cell>
          <cell r="O816">
            <v>12.3451045</v>
          </cell>
          <cell r="T816">
            <v>5.8579759139999998</v>
          </cell>
        </row>
        <row r="817">
          <cell r="A817" t="str">
            <v>AMPHENOL</v>
          </cell>
          <cell r="B817" t="str">
            <v>OCT458KBU105L</v>
          </cell>
          <cell r="O817">
            <v>12.3451045</v>
          </cell>
          <cell r="T817">
            <v>5.8579759139999998</v>
          </cell>
        </row>
        <row r="818">
          <cell r="A818" t="str">
            <v>AMPHENOL</v>
          </cell>
          <cell r="B818" t="str">
            <v>OCT654KBU000G</v>
          </cell>
          <cell r="O818"/>
          <cell r="T818"/>
        </row>
        <row r="819">
          <cell r="A819" t="str">
            <v>AMPHENOL</v>
          </cell>
          <cell r="B819" t="str">
            <v>OCT654KBU105L</v>
          </cell>
          <cell r="O819"/>
          <cell r="T819"/>
        </row>
        <row r="820">
          <cell r="A820" t="str">
            <v>AMPHENOL</v>
          </cell>
          <cell r="B820" t="str">
            <v>OCT656KBU000G</v>
          </cell>
          <cell r="O820"/>
          <cell r="T820"/>
        </row>
        <row r="821">
          <cell r="A821" t="str">
            <v>AMPHENOL</v>
          </cell>
          <cell r="B821" t="str">
            <v>OCT656KBU102L</v>
          </cell>
          <cell r="O821"/>
          <cell r="T821"/>
        </row>
        <row r="822">
          <cell r="A822" t="str">
            <v>AMPHENOL</v>
          </cell>
          <cell r="B822" t="str">
            <v>OCT656KBU105L</v>
          </cell>
          <cell r="O822"/>
          <cell r="T822"/>
        </row>
        <row r="823">
          <cell r="A823" t="str">
            <v>AMPHENOL</v>
          </cell>
          <cell r="B823" t="str">
            <v>OCT658KBU000G</v>
          </cell>
          <cell r="O823"/>
          <cell r="T823"/>
        </row>
        <row r="824">
          <cell r="A824" t="str">
            <v>AMPHENOL</v>
          </cell>
          <cell r="B824" t="str">
            <v>OCT658KBU000X</v>
          </cell>
          <cell r="O824"/>
          <cell r="T824"/>
        </row>
        <row r="825">
          <cell r="A825" t="str">
            <v>AMPHENOL</v>
          </cell>
          <cell r="B825" t="str">
            <v>OCT658KBU105L</v>
          </cell>
          <cell r="O825"/>
          <cell r="T825"/>
        </row>
        <row r="826">
          <cell r="A826" t="str">
            <v>AMPHENOL</v>
          </cell>
          <cell r="B826" t="str">
            <v>OCT856KBU102L</v>
          </cell>
          <cell r="O826"/>
          <cell r="T826"/>
        </row>
        <row r="827">
          <cell r="A827" t="str">
            <v>AMPHENOL</v>
          </cell>
          <cell r="B827" t="str">
            <v>OCT857KBU102L</v>
          </cell>
          <cell r="O827"/>
          <cell r="T827"/>
        </row>
        <row r="828">
          <cell r="A828" t="str">
            <v>AMPHENOL</v>
          </cell>
          <cell r="B828" t="str">
            <v>PCSX065-19-M06</v>
          </cell>
          <cell r="O828">
            <v>3.5584900810000004</v>
          </cell>
          <cell r="T828">
            <v>2.0694217309999998</v>
          </cell>
        </row>
        <row r="829">
          <cell r="A829" t="str">
            <v>AMPHENOL</v>
          </cell>
          <cell r="B829" t="str">
            <v>QUAD334W0000X</v>
          </cell>
          <cell r="O829">
            <v>10.5333171118259</v>
          </cell>
          <cell r="T829">
            <v>1.8551264834441998</v>
          </cell>
        </row>
        <row r="830">
          <cell r="A830" t="str">
            <v>AMPHENOL</v>
          </cell>
          <cell r="B830" t="str">
            <v>QUAD336W0000L</v>
          </cell>
          <cell r="O830">
            <v>14.093796991843599</v>
          </cell>
          <cell r="T830">
            <v>2.4827812516971997</v>
          </cell>
        </row>
        <row r="831">
          <cell r="A831" t="str">
            <v>AMPHENOL</v>
          </cell>
          <cell r="B831" t="str">
            <v>QUAD336W0000X</v>
          </cell>
          <cell r="O831">
            <v>14.093796991843599</v>
          </cell>
          <cell r="T831">
            <v>2.4827812516971997</v>
          </cell>
        </row>
        <row r="832">
          <cell r="A832" t="str">
            <v>AMPHENOL</v>
          </cell>
          <cell r="B832" t="str">
            <v>QUAD338C0000X</v>
          </cell>
          <cell r="O832">
            <v>38.144539762080491</v>
          </cell>
          <cell r="T832">
            <v>6.42253472073258</v>
          </cell>
        </row>
        <row r="833">
          <cell r="A833" t="str">
            <v>AMPHENOL</v>
          </cell>
          <cell r="B833" t="str">
            <v>QUAD454W0000G</v>
          </cell>
          <cell r="O833">
            <v>7.6076437109999997</v>
          </cell>
          <cell r="T833">
            <v>1.851646192</v>
          </cell>
        </row>
        <row r="834">
          <cell r="A834" t="str">
            <v>AMPHENOL</v>
          </cell>
          <cell r="B834" t="str">
            <v>QUAD456C0000X</v>
          </cell>
          <cell r="O834">
            <v>21.943108822133198</v>
          </cell>
          <cell r="T834">
            <v>5.3752968872325493</v>
          </cell>
        </row>
        <row r="835">
          <cell r="A835" t="str">
            <v>AMPHENOL</v>
          </cell>
          <cell r="B835" t="str">
            <v>QUAD456W0000G</v>
          </cell>
          <cell r="O835">
            <v>9.5851238599999995</v>
          </cell>
          <cell r="T835">
            <v>2.3491584130000001</v>
          </cell>
        </row>
        <row r="836">
          <cell r="A836" t="str">
            <v>AMPHENOL</v>
          </cell>
          <cell r="B836" t="str">
            <v>QUAD456W0000X</v>
          </cell>
          <cell r="O836">
            <v>9.5851238599999995</v>
          </cell>
          <cell r="T836">
            <v>2.3491584130000001</v>
          </cell>
        </row>
        <row r="837">
          <cell r="A837" t="str">
            <v>AMPHENOL</v>
          </cell>
          <cell r="B837" t="str">
            <v>QUAD457CW0000X</v>
          </cell>
          <cell r="O837">
            <v>15.598876349999989</v>
          </cell>
          <cell r="T837">
            <v>5.543625273</v>
          </cell>
        </row>
        <row r="838">
          <cell r="A838" t="str">
            <v>AMPHENOL</v>
          </cell>
          <cell r="B838" t="str">
            <v>QUAD457CW000G</v>
          </cell>
          <cell r="O838">
            <v>15.598876349999989</v>
          </cell>
          <cell r="T838">
            <v>5.543625273</v>
          </cell>
        </row>
        <row r="839">
          <cell r="A839" t="str">
            <v>AMPHENOL</v>
          </cell>
          <cell r="B839" t="str">
            <v>QUAD458C0000G</v>
          </cell>
          <cell r="O839">
            <v>25.193748833029698</v>
          </cell>
          <cell r="T839">
            <v>5.58174550215882</v>
          </cell>
        </row>
        <row r="840">
          <cell r="A840" t="str">
            <v>AMPHENOL</v>
          </cell>
          <cell r="B840" t="str">
            <v>QUAD458C0000X</v>
          </cell>
          <cell r="O840">
            <v>25.193748833029698</v>
          </cell>
          <cell r="T840">
            <v>5.58174550215882</v>
          </cell>
        </row>
        <row r="841">
          <cell r="A841" t="str">
            <v>AMPHENOL</v>
          </cell>
          <cell r="B841" t="str">
            <v>QUAD654C0000G</v>
          </cell>
          <cell r="O841">
            <v>9.8113691659999986</v>
          </cell>
          <cell r="T841">
            <v>3.5058203350000001</v>
          </cell>
        </row>
        <row r="842">
          <cell r="A842" t="str">
            <v>AMPHENOL</v>
          </cell>
          <cell r="B842" t="str">
            <v>QUAD654C0000M</v>
          </cell>
          <cell r="O842">
            <v>9.8113691659999986</v>
          </cell>
          <cell r="T842">
            <v>3.5058203350000001</v>
          </cell>
        </row>
        <row r="843">
          <cell r="A843" t="str">
            <v>AMPHENOL</v>
          </cell>
          <cell r="B843" t="str">
            <v>QUAD654CW000G</v>
          </cell>
          <cell r="O843">
            <v>4.715671779</v>
          </cell>
          <cell r="T843">
            <v>2.6673481990000001</v>
          </cell>
        </row>
        <row r="844">
          <cell r="A844" t="str">
            <v>AMPHENOL</v>
          </cell>
          <cell r="B844" t="str">
            <v>QUAD654W0000G</v>
          </cell>
          <cell r="O844">
            <v>4.715671779</v>
          </cell>
          <cell r="T844">
            <v>2.6673481990000001</v>
          </cell>
        </row>
        <row r="845">
          <cell r="A845" t="str">
            <v>AMPHENOL</v>
          </cell>
          <cell r="B845" t="str">
            <v>QUAD654W0000L</v>
          </cell>
          <cell r="O845">
            <v>4.715671779</v>
          </cell>
          <cell r="T845">
            <v>2.6673481990000001</v>
          </cell>
        </row>
        <row r="846">
          <cell r="A846" t="str">
            <v>AMPHENOL</v>
          </cell>
          <cell r="B846" t="str">
            <v>QUAD654W0000X</v>
          </cell>
          <cell r="O846">
            <v>4.715671779</v>
          </cell>
          <cell r="T846">
            <v>2.6673481990000001</v>
          </cell>
        </row>
        <row r="847">
          <cell r="A847" t="str">
            <v>AMPHENOL</v>
          </cell>
          <cell r="B847" t="str">
            <v>QUAD656C0000G</v>
          </cell>
          <cell r="O847">
            <v>13.998688269999999</v>
          </cell>
          <cell r="T847">
            <v>4.9740149679999996</v>
          </cell>
        </row>
        <row r="848">
          <cell r="A848" t="str">
            <v>AMPHENOL</v>
          </cell>
          <cell r="B848" t="str">
            <v>QUAD656C0000X</v>
          </cell>
          <cell r="O848">
            <v>13.88301631</v>
          </cell>
          <cell r="T848">
            <v>4.8713028869999997</v>
          </cell>
        </row>
        <row r="849">
          <cell r="A849" t="str">
            <v>AMPHENOL</v>
          </cell>
          <cell r="B849" t="str">
            <v>QUAD656CW000G</v>
          </cell>
          <cell r="O849">
            <v>7.083053627</v>
          </cell>
          <cell r="T849">
            <v>4.009019530999999</v>
          </cell>
        </row>
        <row r="850">
          <cell r="A850" t="str">
            <v>AMPHENOL</v>
          </cell>
          <cell r="B850" t="str">
            <v>QUAD656W0000G</v>
          </cell>
          <cell r="O850">
            <v>7.083053627</v>
          </cell>
          <cell r="T850">
            <v>4.009019530999999</v>
          </cell>
        </row>
        <row r="851">
          <cell r="A851" t="str">
            <v>AMPHENOL</v>
          </cell>
          <cell r="B851" t="str">
            <v>QUAD656W0000X</v>
          </cell>
          <cell r="O851">
            <v>7.083053627</v>
          </cell>
          <cell r="T851">
            <v>4.009019530999999</v>
          </cell>
        </row>
        <row r="852">
          <cell r="A852" t="str">
            <v>AMPHENOL</v>
          </cell>
          <cell r="B852" t="str">
            <v>QUAD658C0000G</v>
          </cell>
          <cell r="O852">
            <v>18.366488230000002</v>
          </cell>
          <cell r="T852">
            <v>6.3964199140000009</v>
          </cell>
        </row>
        <row r="853">
          <cell r="A853" t="str">
            <v>AMPHENOL</v>
          </cell>
          <cell r="B853" t="str">
            <v>QUAD658C0000X</v>
          </cell>
          <cell r="O853">
            <v>18.155994409999998</v>
          </cell>
          <cell r="T853">
            <v>6.3646812920000002</v>
          </cell>
        </row>
        <row r="854">
          <cell r="A854" t="str">
            <v>AMPHENOL</v>
          </cell>
          <cell r="B854" t="str">
            <v>QUAD658CW000x</v>
          </cell>
          <cell r="O854">
            <v>9.6015528549382712</v>
          </cell>
          <cell r="T854">
            <v>5.4422097595728101</v>
          </cell>
        </row>
        <row r="855">
          <cell r="A855" t="str">
            <v>AMPHENOL</v>
          </cell>
          <cell r="B855" t="str">
            <v>QUAD854CW000M</v>
          </cell>
          <cell r="O855">
            <v>4.715671779</v>
          </cell>
          <cell r="T855">
            <v>2.6673481990000001</v>
          </cell>
        </row>
        <row r="856">
          <cell r="A856" t="str">
            <v>AMPHENOL</v>
          </cell>
          <cell r="B856" t="str">
            <v>QUAD854W0000X</v>
          </cell>
          <cell r="O856">
            <v>4.715671779</v>
          </cell>
          <cell r="T856">
            <v>2.6673481990000001</v>
          </cell>
        </row>
        <row r="857">
          <cell r="A857" t="str">
            <v>AMPHENOL</v>
          </cell>
          <cell r="B857" t="str">
            <v>QUAD856CW000G</v>
          </cell>
          <cell r="O857">
            <v>7.083053627</v>
          </cell>
          <cell r="T857">
            <v>4.009019530999999</v>
          </cell>
        </row>
        <row r="858">
          <cell r="A858" t="str">
            <v>AMPHENOL</v>
          </cell>
          <cell r="B858" t="str">
            <v>QUAD858C0000G</v>
          </cell>
          <cell r="O858">
            <v>18.366488230000002</v>
          </cell>
          <cell r="T858">
            <v>6.3964199140000009</v>
          </cell>
        </row>
        <row r="859">
          <cell r="A859" t="str">
            <v>AMPHENOL</v>
          </cell>
          <cell r="B859" t="str">
            <v>QUAD858CW000X</v>
          </cell>
          <cell r="O859">
            <v>9.6015528549382712</v>
          </cell>
          <cell r="T859">
            <v>5.4422097595728101</v>
          </cell>
        </row>
        <row r="860">
          <cell r="A860" t="str">
            <v>AMPHENOL</v>
          </cell>
          <cell r="B860" t="str">
            <v>QXW-45204540BF-EDIN</v>
          </cell>
          <cell r="O860">
            <v>5.0511535700966395</v>
          </cell>
          <cell r="T860">
            <v>1.7692256308495298</v>
          </cell>
        </row>
        <row r="861">
          <cell r="A861" t="str">
            <v>AMPHENOL</v>
          </cell>
          <cell r="B861" t="str">
            <v>QXW-45604512XBF-EDIN</v>
          </cell>
          <cell r="O861">
            <v>14.933683199329698</v>
          </cell>
          <cell r="T861">
            <v>5.2393354788057298</v>
          </cell>
        </row>
        <row r="862">
          <cell r="A862" t="str">
            <v>AMPHENOL</v>
          </cell>
          <cell r="B862" t="str">
            <v>QXW-45624512XBF</v>
          </cell>
          <cell r="O862">
            <v>14.933683199329698</v>
          </cell>
          <cell r="T862">
            <v>5.2393354788057298</v>
          </cell>
        </row>
        <row r="863">
          <cell r="A863" t="str">
            <v>AMPHENOL</v>
          </cell>
          <cell r="B863" t="str">
            <v>QXW-456645124-DP-EDIN</v>
          </cell>
          <cell r="O863">
            <v>14.933683199329698</v>
          </cell>
          <cell r="T863">
            <v>5.2393354788057298</v>
          </cell>
        </row>
        <row r="864">
          <cell r="A864" t="str">
            <v>AMPHENOL</v>
          </cell>
          <cell r="B864" t="str">
            <v>QXW-456X4512XBF-EDIN</v>
          </cell>
          <cell r="O864">
            <v>14.933683199329698</v>
          </cell>
          <cell r="T864">
            <v>5.2393354788057298</v>
          </cell>
        </row>
        <row r="865">
          <cell r="A865" t="str">
            <v>AMPHENOL</v>
          </cell>
          <cell r="B865" t="str">
            <v>QXW-458X4516XBF-EDIN</v>
          </cell>
          <cell r="O865">
            <v>19.7838204089506</v>
          </cell>
          <cell r="T865">
            <v>7.0277317416264395</v>
          </cell>
        </row>
        <row r="866">
          <cell r="A866" t="str">
            <v>AMPHENOL</v>
          </cell>
          <cell r="B866" t="str">
            <v>QXW-632X634XBF-EDIN</v>
          </cell>
          <cell r="O866">
            <v>1.9558844520000001</v>
          </cell>
          <cell r="T866">
            <v>1.1578852680000002</v>
          </cell>
        </row>
        <row r="867">
          <cell r="A867" t="str">
            <v>AMPHENOL</v>
          </cell>
          <cell r="B867" t="str">
            <v>QXW-63466382-DP-EDIN</v>
          </cell>
          <cell r="O867">
            <v>4.9378573499999998</v>
          </cell>
          <cell r="T867">
            <v>2.9203623439999999</v>
          </cell>
        </row>
        <row r="868">
          <cell r="A868" t="str">
            <v>AMPHENOL</v>
          </cell>
          <cell r="B868" t="str">
            <v>QXW-63486382-DP-EDIN</v>
          </cell>
          <cell r="O868">
            <v>4.9378573499999998</v>
          </cell>
          <cell r="T868">
            <v>2.9203623439999999</v>
          </cell>
        </row>
        <row r="869">
          <cell r="A869" t="str">
            <v>AMPHENOL</v>
          </cell>
          <cell r="B869" t="str">
            <v>QXW-634X638X-BF-EDIN</v>
          </cell>
          <cell r="O869">
            <v>4.9378573499999998</v>
          </cell>
          <cell r="T869">
            <v>2.9203623439999999</v>
          </cell>
        </row>
        <row r="870">
          <cell r="A870" t="str">
            <v>AMPHENOL</v>
          </cell>
          <cell r="B870" t="str">
            <v>QXW-634X638X-DP-EDIN</v>
          </cell>
          <cell r="O870">
            <v>4.9378573499999998</v>
          </cell>
          <cell r="T870">
            <v>2.9203623439999999</v>
          </cell>
        </row>
        <row r="871">
          <cell r="A871" t="str">
            <v>AMPHENOL</v>
          </cell>
          <cell r="B871" t="str">
            <v>QXW-6361063126-DP-EDIN</v>
          </cell>
          <cell r="O871">
            <v>7.4783661269999993</v>
          </cell>
          <cell r="T871">
            <v>4.4217192919999997</v>
          </cell>
        </row>
        <row r="872">
          <cell r="A872" t="str">
            <v>AMPHENOL</v>
          </cell>
          <cell r="B872" t="str">
            <v>QXW-63626312X-DP-EDIN</v>
          </cell>
          <cell r="O872">
            <v>7.4783661269999993</v>
          </cell>
          <cell r="T872">
            <v>4.4217192919999997</v>
          </cell>
        </row>
        <row r="873">
          <cell r="A873" t="str">
            <v>AMPHENOL</v>
          </cell>
          <cell r="B873" t="str">
            <v>QXW-636863126-DP-EDIN</v>
          </cell>
          <cell r="O873">
            <v>7.4783661269999993</v>
          </cell>
          <cell r="T873">
            <v>4.4217192919999997</v>
          </cell>
        </row>
        <row r="874">
          <cell r="A874" t="str">
            <v>AMPHENOL</v>
          </cell>
          <cell r="B874" t="str">
            <v>QXW-636X6312XBF-EDIN</v>
          </cell>
          <cell r="O874">
            <v>7.4783661269999993</v>
          </cell>
          <cell r="T874">
            <v>4.4217192919999997</v>
          </cell>
        </row>
        <row r="875">
          <cell r="A875" t="str">
            <v>AMPHENOL</v>
          </cell>
          <cell r="B875" t="str">
            <v>QXW-638463162-BF-EDIN</v>
          </cell>
          <cell r="O875">
            <v>8.9155381939999998</v>
          </cell>
          <cell r="T875">
            <v>5.2712431200000003</v>
          </cell>
        </row>
        <row r="876">
          <cell r="A876" t="str">
            <v>AMPHENOL</v>
          </cell>
          <cell r="B876" t="str">
            <v>QXW-638X6316X-DP-EDIN</v>
          </cell>
          <cell r="O876">
            <v>8.9155381939999998</v>
          </cell>
          <cell r="T876">
            <v>5.2712431200000003</v>
          </cell>
        </row>
        <row r="877">
          <cell r="A877" t="str">
            <v>AMPHENOL</v>
          </cell>
          <cell r="B877" t="str">
            <v>QXW-638X6316XBF-EDIN</v>
          </cell>
          <cell r="O877">
            <v>8.9155381939999998</v>
          </cell>
          <cell r="T877">
            <v>5.2712431200000003</v>
          </cell>
        </row>
        <row r="878">
          <cell r="A878" t="str">
            <v>AMPHENOL</v>
          </cell>
          <cell r="B878" t="str">
            <v>QXW-804X808X-DP-EDIN</v>
          </cell>
          <cell r="O878">
            <v>4.9378573499999998</v>
          </cell>
          <cell r="T878">
            <v>2.9203623439999999</v>
          </cell>
        </row>
        <row r="879">
          <cell r="A879" t="str">
            <v>AMPHENOL</v>
          </cell>
          <cell r="B879" t="str">
            <v>QXW-804X808XBF-EDIN</v>
          </cell>
          <cell r="O879">
            <v>4.9378573499999998</v>
          </cell>
          <cell r="T879">
            <v>2.9203623439999999</v>
          </cell>
        </row>
        <row r="880">
          <cell r="A880" t="str">
            <v>AMPHENOL</v>
          </cell>
          <cell r="B880" t="str">
            <v>QXW-806080120-DP-EDIN</v>
          </cell>
          <cell r="O880">
            <v>7.4783661269999993</v>
          </cell>
          <cell r="T880">
            <v>4.4217192919999997</v>
          </cell>
        </row>
        <row r="881">
          <cell r="A881" t="str">
            <v>AMPHENOL</v>
          </cell>
          <cell r="B881" t="str">
            <v>QXW-806X8012XBF-EDIN</v>
          </cell>
          <cell r="O881">
            <v>7.4783661269999993</v>
          </cell>
          <cell r="T881">
            <v>4.4217192919999997</v>
          </cell>
        </row>
        <row r="882">
          <cell r="A882" t="str">
            <v>AMPHENOL</v>
          </cell>
          <cell r="B882" t="str">
            <v>QXW-808080160-DP-EDIN</v>
          </cell>
          <cell r="O882">
            <v>8.9155381939999998</v>
          </cell>
          <cell r="T882">
            <v>5.2712431200000003</v>
          </cell>
        </row>
        <row r="883">
          <cell r="A883" t="str">
            <v>AMPHENOL</v>
          </cell>
          <cell r="B883" t="str">
            <v>QXW-808X8016X-DP-EDIN</v>
          </cell>
          <cell r="O883">
            <v>8.9155381939999998</v>
          </cell>
          <cell r="T883">
            <v>5.2712431200000003</v>
          </cell>
        </row>
        <row r="884">
          <cell r="A884" t="str">
            <v>AMPHENOL</v>
          </cell>
          <cell r="B884" t="str">
            <v>QXW-808X8016XBF-EDIN</v>
          </cell>
          <cell r="O884">
            <v>8.9155381939999998</v>
          </cell>
          <cell r="T884">
            <v>5.2712431200000003</v>
          </cell>
        </row>
        <row r="885">
          <cell r="A885" t="str">
            <v>AMPHENOL</v>
          </cell>
          <cell r="B885" t="str">
            <v>QXW-908090160-BF-EDIN</v>
          </cell>
          <cell r="O885">
            <v>8.9155381939999998</v>
          </cell>
          <cell r="T885">
            <v>5.2712431200000003</v>
          </cell>
        </row>
        <row r="886">
          <cell r="A886" t="str">
            <v>AMPHENOL</v>
          </cell>
          <cell r="B886" t="str">
            <v>QXW-90829016X-BF-EDIN</v>
          </cell>
          <cell r="O886">
            <v>8.9155381939999998</v>
          </cell>
          <cell r="T886">
            <v>5.2712431200000003</v>
          </cell>
        </row>
        <row r="887">
          <cell r="A887" t="str">
            <v>AMPHENOL</v>
          </cell>
          <cell r="B887" t="str">
            <v>QXW-908490160-BF-EDIN</v>
          </cell>
          <cell r="O887">
            <v>8.9155381939999998</v>
          </cell>
          <cell r="T887">
            <v>5.2712431200000003</v>
          </cell>
        </row>
        <row r="888">
          <cell r="A888" t="str">
            <v>AMPHENOL</v>
          </cell>
          <cell r="B888" t="str">
            <v>QXW-908X9016X-DP-EDIN</v>
          </cell>
          <cell r="O888">
            <v>8.9155381939999998</v>
          </cell>
          <cell r="T888">
            <v>5.2712431200000003</v>
          </cell>
        </row>
        <row r="889">
          <cell r="A889" t="str">
            <v>AMPHENOL</v>
          </cell>
          <cell r="B889" t="str">
            <v>QXW-908X9016XBF-EDIN</v>
          </cell>
          <cell r="O889">
            <v>8.9155381939999998</v>
          </cell>
          <cell r="T889">
            <v>5.2712431200000003</v>
          </cell>
        </row>
        <row r="890">
          <cell r="A890" t="str">
            <v>AMPHENOL</v>
          </cell>
          <cell r="B890" t="str">
            <v>S C3B-460</v>
          </cell>
          <cell r="O890"/>
          <cell r="T890"/>
        </row>
        <row r="891">
          <cell r="A891" t="str">
            <v>AMPHENOL</v>
          </cell>
          <cell r="B891" t="str">
            <v>S.C3B-460</v>
          </cell>
          <cell r="O891"/>
          <cell r="T891"/>
        </row>
        <row r="892">
          <cell r="A892" t="str">
            <v>AMPHENOL</v>
          </cell>
          <cell r="B892" t="str">
            <v>TME-FBR12POS2COMBO</v>
          </cell>
          <cell r="O892"/>
          <cell r="T892"/>
        </row>
        <row r="893">
          <cell r="A893" t="str">
            <v>AMPHENOL</v>
          </cell>
          <cell r="B893" t="str">
            <v>TWIN454CU000X</v>
          </cell>
          <cell r="O893"/>
          <cell r="T893"/>
        </row>
        <row r="894">
          <cell r="A894" t="str">
            <v>AMPHENOL</v>
          </cell>
          <cell r="B894" t="str">
            <v>TWIN458CU000G</v>
          </cell>
          <cell r="O894"/>
          <cell r="T894"/>
        </row>
        <row r="895">
          <cell r="A895" t="str">
            <v>AMPHENOL</v>
          </cell>
          <cell r="B895" t="str">
            <v>TWIN6510LU000G-T</v>
          </cell>
          <cell r="O895">
            <v>25.646349344135796</v>
          </cell>
          <cell r="T895">
            <v>8.3371043203014601</v>
          </cell>
        </row>
        <row r="896">
          <cell r="A896" t="str">
            <v>AMPHENOL</v>
          </cell>
          <cell r="B896" t="str">
            <v>TWIN654CU000G</v>
          </cell>
          <cell r="O896"/>
          <cell r="T896"/>
        </row>
        <row r="897">
          <cell r="A897" t="str">
            <v>AMPHENOL</v>
          </cell>
          <cell r="B897" t="str">
            <v>TWIN654CU000L</v>
          </cell>
          <cell r="O897"/>
          <cell r="T897"/>
        </row>
        <row r="898">
          <cell r="A898" t="str">
            <v>AMPHENOL</v>
          </cell>
          <cell r="B898" t="str">
            <v>TWIN654CU000M</v>
          </cell>
          <cell r="O898"/>
          <cell r="T898"/>
        </row>
        <row r="899">
          <cell r="A899" t="str">
            <v>AMPHENOL</v>
          </cell>
          <cell r="B899" t="str">
            <v>TWIN656CU000G</v>
          </cell>
          <cell r="O899">
            <v>13.383969907407389</v>
          </cell>
          <cell r="T899">
            <v>4.7548370723098996</v>
          </cell>
        </row>
        <row r="900">
          <cell r="A900" t="str">
            <v>AMPHENOL</v>
          </cell>
          <cell r="B900" t="str">
            <v>TWIN656LU000G</v>
          </cell>
          <cell r="O900">
            <v>16.309876543209889</v>
          </cell>
          <cell r="T900">
            <v>5.2792557791957799</v>
          </cell>
        </row>
        <row r="901">
          <cell r="A901" t="str">
            <v>AMPHENOL</v>
          </cell>
          <cell r="B901" t="str">
            <v>TWIN658CU000G</v>
          </cell>
          <cell r="O901">
            <v>18.477146026234596</v>
          </cell>
          <cell r="T901">
            <v>6.5656635122307598</v>
          </cell>
        </row>
        <row r="902">
          <cell r="A902" t="str">
            <v>AMPHENOL</v>
          </cell>
          <cell r="B902" t="str">
            <v>TWIN658LU000G</v>
          </cell>
          <cell r="O902">
            <v>20.21276524</v>
          </cell>
          <cell r="T902">
            <v>6.542570006</v>
          </cell>
        </row>
        <row r="903">
          <cell r="A903" t="str">
            <v>AMPHENOL</v>
          </cell>
          <cell r="B903" t="str">
            <v>W360-17-X</v>
          </cell>
          <cell r="O903"/>
          <cell r="T903"/>
        </row>
        <row r="904">
          <cell r="A904" t="str">
            <v>AMPHENOL</v>
          </cell>
          <cell r="B904" t="str">
            <v>W65-13-A010</v>
          </cell>
          <cell r="O904">
            <v>2.4787711170000004</v>
          </cell>
          <cell r="T904">
            <v>1.4417094099999999</v>
          </cell>
        </row>
        <row r="905">
          <cell r="A905" t="str">
            <v>AMPHENOL</v>
          </cell>
          <cell r="B905" t="str">
            <v>W65-13-R010G</v>
          </cell>
          <cell r="O905">
            <v>2.4787711170000004</v>
          </cell>
          <cell r="T905">
            <v>1.4417094099999999</v>
          </cell>
        </row>
        <row r="906">
          <cell r="A906" t="str">
            <v>AMPHENOL</v>
          </cell>
          <cell r="B906" t="str">
            <v>W65-13-X010</v>
          </cell>
          <cell r="O906">
            <v>2.4787711170000004</v>
          </cell>
          <cell r="T906">
            <v>1.4417094099999999</v>
          </cell>
        </row>
        <row r="907">
          <cell r="A907" t="str">
            <v>AMPHENOL</v>
          </cell>
          <cell r="B907" t="str">
            <v>W65-19-A06</v>
          </cell>
          <cell r="O907">
            <v>3.5584900810000004</v>
          </cell>
          <cell r="T907">
            <v>2.0694217309999998</v>
          </cell>
        </row>
        <row r="908">
          <cell r="A908" t="str">
            <v>AMPHENOL</v>
          </cell>
          <cell r="B908" t="str">
            <v>W65-19-R06</v>
          </cell>
          <cell r="O908">
            <v>3.5584900810000004</v>
          </cell>
          <cell r="T908">
            <v>2.0694217309999998</v>
          </cell>
        </row>
        <row r="909">
          <cell r="A909" t="str">
            <v>AMPHENOL</v>
          </cell>
          <cell r="B909" t="str">
            <v>W65-19-X06</v>
          </cell>
          <cell r="O909">
            <v>3.5584900810000004</v>
          </cell>
          <cell r="T909">
            <v>2.0694217309999998</v>
          </cell>
        </row>
        <row r="910">
          <cell r="A910" t="str">
            <v>AMPHENOL</v>
          </cell>
          <cell r="B910" t="str">
            <v>W85-13-A010</v>
          </cell>
          <cell r="O910">
            <v>2.4787711170000004</v>
          </cell>
          <cell r="T910">
            <v>1.4417094099999999</v>
          </cell>
        </row>
        <row r="911">
          <cell r="A911" t="str">
            <v>AMPHENOL</v>
          </cell>
          <cell r="B911" t="str">
            <v>W85-13-R010</v>
          </cell>
          <cell r="O911">
            <v>2.6317829336897898</v>
          </cell>
          <cell r="T911">
            <v>1.5909404173841399</v>
          </cell>
        </row>
        <row r="912">
          <cell r="A912" t="str">
            <v>AMPHENOL</v>
          </cell>
          <cell r="B912" t="str">
            <v>W85-13-R010G</v>
          </cell>
          <cell r="O912">
            <v>2.6317829336897898</v>
          </cell>
          <cell r="T912">
            <v>1.5909404173841399</v>
          </cell>
        </row>
        <row r="913">
          <cell r="A913" t="str">
            <v>AMPHENOL</v>
          </cell>
          <cell r="B913" t="str">
            <v>W85-13-X010</v>
          </cell>
          <cell r="O913">
            <v>2.4787711170000004</v>
          </cell>
          <cell r="T913">
            <v>1.4417094099999999</v>
          </cell>
        </row>
        <row r="914">
          <cell r="A914" t="str">
            <v>AMPHENOL</v>
          </cell>
          <cell r="B914" t="str">
            <v>W85-19-R28</v>
          </cell>
          <cell r="O914">
            <v>3.8998342159999999</v>
          </cell>
          <cell r="T914">
            <v>2.2679298370000001</v>
          </cell>
        </row>
        <row r="915">
          <cell r="A915" t="str">
            <v>AMPHENOL</v>
          </cell>
          <cell r="B915" t="str">
            <v>W85-19-X28</v>
          </cell>
          <cell r="O915">
            <v>3.5584900810000004</v>
          </cell>
          <cell r="T915">
            <v>2.0694217309999998</v>
          </cell>
        </row>
        <row r="916">
          <cell r="A916" t="str">
            <v>AMPHENOL</v>
          </cell>
          <cell r="B916" t="str">
            <v>WBX018X24R050G</v>
          </cell>
          <cell r="O916"/>
          <cell r="T916"/>
        </row>
        <row r="917">
          <cell r="A917" t="str">
            <v>AMPHENOL</v>
          </cell>
          <cell r="B917" t="str">
            <v>WBX033S20R200</v>
          </cell>
          <cell r="O917"/>
          <cell r="T917"/>
        </row>
        <row r="918">
          <cell r="A918" t="str">
            <v>AMPHENOL</v>
          </cell>
          <cell r="B918" t="str">
            <v>WBX033S20XX00</v>
          </cell>
          <cell r="O918"/>
          <cell r="T918"/>
        </row>
        <row r="919">
          <cell r="A919" t="str">
            <v>AMPHENOL</v>
          </cell>
          <cell r="B919" t="str">
            <v>WBX033T20G000</v>
          </cell>
          <cell r="O919">
            <v>10.5333171118259</v>
          </cell>
          <cell r="T919">
            <v>1.8551264834441998</v>
          </cell>
        </row>
        <row r="920">
          <cell r="A920" t="str">
            <v>AMPHENOL</v>
          </cell>
          <cell r="B920" t="str">
            <v>WBX033T20M000</v>
          </cell>
          <cell r="O920">
            <v>10.5333171118259</v>
          </cell>
          <cell r="T920">
            <v>1.8551264834441998</v>
          </cell>
        </row>
        <row r="921">
          <cell r="A921" t="str">
            <v>AMPHENOL</v>
          </cell>
          <cell r="B921" t="str">
            <v>WBX033T20R000</v>
          </cell>
          <cell r="O921">
            <v>10.5333171118259</v>
          </cell>
          <cell r="T921">
            <v>1.8551264834441998</v>
          </cell>
        </row>
        <row r="922">
          <cell r="A922" t="str">
            <v>AMPHENOL</v>
          </cell>
          <cell r="B922" t="str">
            <v>WBX033T20R000G</v>
          </cell>
          <cell r="O922">
            <v>10.5333171118259</v>
          </cell>
          <cell r="T922">
            <v>1.8551264834441998</v>
          </cell>
        </row>
        <row r="923">
          <cell r="A923" t="str">
            <v>AMPHENOL</v>
          </cell>
          <cell r="B923" t="str">
            <v>WBX033X21R050</v>
          </cell>
          <cell r="O923">
            <v>8.2130126412460385</v>
          </cell>
          <cell r="T923">
            <v>1.84672317364399</v>
          </cell>
        </row>
        <row r="924">
          <cell r="A924" t="str">
            <v>AMPHENOL</v>
          </cell>
          <cell r="B924" t="str">
            <v>WBX045T19M000</v>
          </cell>
          <cell r="O924">
            <v>6.6583036870000001</v>
          </cell>
          <cell r="T924">
            <v>1.5156529400000001</v>
          </cell>
        </row>
        <row r="925">
          <cell r="A925" t="str">
            <v>AMPHENOL</v>
          </cell>
          <cell r="B925" t="str">
            <v>WBX045T19R000</v>
          </cell>
          <cell r="O925">
            <v>6.6583036870000001</v>
          </cell>
          <cell r="T925">
            <v>1.5156529400000001</v>
          </cell>
        </row>
        <row r="926">
          <cell r="A926" t="str">
            <v>AMPHENOL</v>
          </cell>
          <cell r="B926" t="str">
            <v>WBX045T19R000G</v>
          </cell>
          <cell r="O926">
            <v>6.6583036870000001</v>
          </cell>
          <cell r="T926">
            <v>1.5156529400000001</v>
          </cell>
        </row>
        <row r="927">
          <cell r="A927" t="str">
            <v>AMPHENOL</v>
          </cell>
          <cell r="B927" t="str">
            <v>WBX045T19X000</v>
          </cell>
          <cell r="O927">
            <v>6.6583036870000001</v>
          </cell>
          <cell r="T927">
            <v>1.5156529400000001</v>
          </cell>
        </row>
        <row r="928">
          <cell r="A928" t="str">
            <v>AMPHENOL</v>
          </cell>
          <cell r="B928" t="str">
            <v>WBX045X20R050</v>
          </cell>
          <cell r="O928"/>
          <cell r="T928"/>
        </row>
        <row r="929">
          <cell r="A929" t="str">
            <v>AMPHENOL</v>
          </cell>
          <cell r="B929" t="str">
            <v>WBX045X20X050</v>
          </cell>
          <cell r="O929"/>
          <cell r="T929"/>
        </row>
        <row r="930">
          <cell r="A930" t="str">
            <v>AMPHENOL</v>
          </cell>
          <cell r="B930" t="str">
            <v>WBX065A17R050</v>
          </cell>
          <cell r="O930">
            <v>2.6137088923587499</v>
          </cell>
          <cell r="T930">
            <v>2.1316578928883798</v>
          </cell>
        </row>
        <row r="931">
          <cell r="A931" t="str">
            <v>AMPHENOL</v>
          </cell>
          <cell r="B931" t="str">
            <v>WBX065A18R050</v>
          </cell>
          <cell r="O931">
            <v>2.9604383682525901</v>
          </cell>
          <cell r="T931">
            <v>2.4147787133990803</v>
          </cell>
        </row>
        <row r="932">
          <cell r="A932" t="str">
            <v>AMPHENOL</v>
          </cell>
          <cell r="B932" t="str">
            <v>WBX065A19R050</v>
          </cell>
          <cell r="O932">
            <v>4.0173713372818698</v>
          </cell>
          <cell r="T932">
            <v>3.2780968530866796</v>
          </cell>
        </row>
        <row r="933">
          <cell r="A933" t="str">
            <v>AMPHENOL</v>
          </cell>
          <cell r="B933" t="str">
            <v>WBX065A19R250</v>
          </cell>
          <cell r="O933">
            <v>4.0173713372818698</v>
          </cell>
          <cell r="T933">
            <v>3.2780968530866796</v>
          </cell>
        </row>
        <row r="934">
          <cell r="A934" t="str">
            <v>AMPHENOL</v>
          </cell>
          <cell r="B934" t="str">
            <v>WBX065A19RX50</v>
          </cell>
          <cell r="O934">
            <v>4.0173713372818698</v>
          </cell>
          <cell r="T934">
            <v>3.2780968530866796</v>
          </cell>
        </row>
        <row r="935">
          <cell r="A935" t="str">
            <v>AMPHENOL</v>
          </cell>
          <cell r="B935" t="str">
            <v>WBX065T17X050</v>
          </cell>
          <cell r="O935">
            <v>8.7404813513771291</v>
          </cell>
          <cell r="T935">
            <v>2.0483040557137899</v>
          </cell>
        </row>
        <row r="936">
          <cell r="A936" t="str">
            <v>AMPHENOL</v>
          </cell>
          <cell r="B936" t="str">
            <v>WBX065T20X050</v>
          </cell>
          <cell r="O936"/>
          <cell r="T936"/>
        </row>
        <row r="937">
          <cell r="A937" t="str">
            <v>AMPHENOL</v>
          </cell>
          <cell r="B937" t="str">
            <v>WBX065X10F200</v>
          </cell>
          <cell r="O937">
            <v>1.4074672756978601</v>
          </cell>
          <cell r="T937">
            <v>0.83698281796815588</v>
          </cell>
        </row>
        <row r="938">
          <cell r="A938" t="str">
            <v>AMPHENOL</v>
          </cell>
          <cell r="B938" t="str">
            <v>WBX065X16M050</v>
          </cell>
          <cell r="O938">
            <v>2.21000249128589</v>
          </cell>
          <cell r="T938">
            <v>0.96294839372810603</v>
          </cell>
        </row>
        <row r="939">
          <cell r="A939" t="str">
            <v>AMPHENOL</v>
          </cell>
          <cell r="B939" t="str">
            <v>WBX065X16R050</v>
          </cell>
          <cell r="O939">
            <v>2.21000249128589</v>
          </cell>
          <cell r="T939">
            <v>0.96294839372810603</v>
          </cell>
        </row>
        <row r="940">
          <cell r="A940" t="str">
            <v>AMPHENOL</v>
          </cell>
          <cell r="B940" t="str">
            <v>WBX065X17X050</v>
          </cell>
          <cell r="O940">
            <v>3.0833829222927602</v>
          </cell>
          <cell r="T940">
            <v>1.3437126098524901</v>
          </cell>
        </row>
        <row r="941">
          <cell r="A941" t="str">
            <v>AMPHENOL</v>
          </cell>
          <cell r="B941" t="str">
            <v>WBX065X18F200</v>
          </cell>
          <cell r="O941">
            <v>3.0171734751834096</v>
          </cell>
          <cell r="T941">
            <v>1.7957866732152099</v>
          </cell>
        </row>
        <row r="942">
          <cell r="A942" t="str">
            <v>AMPHENOL</v>
          </cell>
          <cell r="B942" t="str">
            <v>WBX065X18X050</v>
          </cell>
          <cell r="O942">
            <v>3.7060179625072096</v>
          </cell>
          <cell r="T942">
            <v>1.6153132498982301</v>
          </cell>
        </row>
        <row r="943">
          <cell r="A943" t="str">
            <v>AMPHENOL</v>
          </cell>
          <cell r="B943" t="str">
            <v>WBX065X19X050</v>
          </cell>
          <cell r="O943">
            <v>4.3150634640220096</v>
          </cell>
          <cell r="T943">
            <v>1.8808454185168799</v>
          </cell>
        </row>
        <row r="944">
          <cell r="A944" t="str">
            <v>AMPHENOL</v>
          </cell>
          <cell r="B944" t="str">
            <v>WBX065X25FX00</v>
          </cell>
          <cell r="O944">
            <v>4.0624601908540496</v>
          </cell>
          <cell r="T944">
            <v>2.41329458175883</v>
          </cell>
        </row>
        <row r="945">
          <cell r="A945" t="str">
            <v>AMPHENOL</v>
          </cell>
          <cell r="B945" t="str">
            <v>WBX085X10FX00</v>
          </cell>
          <cell r="O945">
            <v>1.4074672756978601</v>
          </cell>
          <cell r="T945">
            <v>0.83698281796815588</v>
          </cell>
        </row>
        <row r="946">
          <cell r="A946" t="str">
            <v>AMPHENOL</v>
          </cell>
          <cell r="B946" t="str">
            <v>WBX085X13F200</v>
          </cell>
          <cell r="O946">
            <v>2.17904556528251</v>
          </cell>
          <cell r="T946">
            <v>1.14056615512377</v>
          </cell>
        </row>
        <row r="947">
          <cell r="A947" t="str">
            <v>AMPHENOL</v>
          </cell>
          <cell r="B947" t="str">
            <v>WBX085X18F000</v>
          </cell>
          <cell r="O947">
            <v>3.0171734751834096</v>
          </cell>
          <cell r="T947">
            <v>1.7957866732152099</v>
          </cell>
        </row>
        <row r="948">
          <cell r="A948" t="str">
            <v>AMPHENOL</v>
          </cell>
          <cell r="B948" t="str">
            <v>WPA-700102-4CF-EDIN</v>
          </cell>
          <cell r="O948"/>
          <cell r="T948"/>
        </row>
        <row r="949">
          <cell r="A949" t="str">
            <v>AMPHENOL</v>
          </cell>
          <cell r="B949" t="str">
            <v>WPA-700102-4CF-EDIN-9</v>
          </cell>
          <cell r="O949">
            <v>3.4134640982142499</v>
          </cell>
          <cell r="T949">
            <v>2.4655784300621697</v>
          </cell>
        </row>
        <row r="950">
          <cell r="A950" t="str">
            <v>AMPHENOL</v>
          </cell>
          <cell r="B950" t="str">
            <v>WPA-700102-8CF-EDIN-0</v>
          </cell>
          <cell r="O950">
            <v>7.1242781974837595</v>
          </cell>
          <cell r="T950">
            <v>5.22935510392489</v>
          </cell>
        </row>
        <row r="951">
          <cell r="A951" t="str">
            <v>AMPHENOL</v>
          </cell>
          <cell r="B951" t="str">
            <v>WPA-700102-8CF-EDIN-X</v>
          </cell>
          <cell r="O951">
            <v>7.1242781974837595</v>
          </cell>
          <cell r="T951">
            <v>5.22935510392489</v>
          </cell>
        </row>
        <row r="952">
          <cell r="A952" t="str">
            <v>AMPHENOL</v>
          </cell>
          <cell r="B952" t="str">
            <v>WPA-700120-4CF-EDIN-X</v>
          </cell>
          <cell r="O952"/>
          <cell r="T952"/>
        </row>
        <row r="953">
          <cell r="A953" t="str">
            <v>AMPHENOL</v>
          </cell>
          <cell r="B953" t="str">
            <v>WPA-700120-6CF-EDIN-X</v>
          </cell>
          <cell r="O953"/>
          <cell r="T953"/>
        </row>
        <row r="954">
          <cell r="A954" t="str">
            <v>AMPHENOL</v>
          </cell>
          <cell r="B954" t="str">
            <v>WPA-700120-8CF-EDIN-X-25</v>
          </cell>
          <cell r="O954"/>
          <cell r="T954"/>
        </row>
        <row r="955">
          <cell r="A955" t="str">
            <v>AMPHENOL</v>
          </cell>
          <cell r="B955" t="str">
            <v>WPA-70040-8CF-EDIN-X</v>
          </cell>
          <cell r="O955">
            <v>17.7577112268519</v>
          </cell>
          <cell r="T955">
            <v>5.8731950234891404</v>
          </cell>
        </row>
        <row r="956">
          <cell r="A956" t="str">
            <v>AMPHENOL</v>
          </cell>
          <cell r="B956" t="str">
            <v>WPA-70063-8CF-EDIN-0-25</v>
          </cell>
          <cell r="O956">
            <v>10.0837383599037</v>
          </cell>
          <cell r="T956">
            <v>4.7186717144502293</v>
          </cell>
        </row>
        <row r="957">
          <cell r="A957" t="str">
            <v>AMPHENOL</v>
          </cell>
          <cell r="B957" t="str">
            <v>WPA-70063-8CF-EDIN-6</v>
          </cell>
          <cell r="O957">
            <v>10.0837383599037</v>
          </cell>
          <cell r="T957">
            <v>4.7186717144502293</v>
          </cell>
        </row>
        <row r="958">
          <cell r="A958" t="str">
            <v>AMPHENOL</v>
          </cell>
          <cell r="B958" t="str">
            <v>WPA-70063-8CF-EDIN-X</v>
          </cell>
          <cell r="O958"/>
          <cell r="T958"/>
        </row>
        <row r="959">
          <cell r="A959" t="str">
            <v>AMPHENOL</v>
          </cell>
          <cell r="B959" t="str">
            <v>WPA-70080-4CF-EDIN-X</v>
          </cell>
          <cell r="O959">
            <v>4.8152864485214693</v>
          </cell>
          <cell r="T959">
            <v>2.2504301018747697</v>
          </cell>
        </row>
        <row r="960">
          <cell r="A960" t="str">
            <v>AMPHENOL</v>
          </cell>
          <cell r="B960" t="str">
            <v>WPA-70080-8CF-EDIN-X</v>
          </cell>
          <cell r="O960">
            <v>10.0837383599037</v>
          </cell>
          <cell r="T960">
            <v>4.7186717144502293</v>
          </cell>
        </row>
        <row r="961">
          <cell r="A961" t="str">
            <v>AMPHENOL</v>
          </cell>
          <cell r="B961" t="str">
            <v>WPA-70090-4CF-EDIN-X</v>
          </cell>
          <cell r="O961">
            <v>3.4134640982142499</v>
          </cell>
          <cell r="T961">
            <v>2.4655784300621697</v>
          </cell>
        </row>
        <row r="962">
          <cell r="A962" t="str">
            <v>AMPHENOL</v>
          </cell>
          <cell r="B962" t="str">
            <v>WPA-70090-6CF-EDIN-X</v>
          </cell>
          <cell r="O962">
            <v>5.2415156808591599</v>
          </cell>
          <cell r="T962">
            <v>3.8175171494440701</v>
          </cell>
        </row>
        <row r="963">
          <cell r="A963" t="str">
            <v>AMPHENOL</v>
          </cell>
          <cell r="B963" t="str">
            <v>WPA-70090-8CF-EDIN-X</v>
          </cell>
          <cell r="O963">
            <v>7.1242781974837595</v>
          </cell>
          <cell r="T963">
            <v>5.22935510392489</v>
          </cell>
        </row>
        <row r="964">
          <cell r="A964" t="str">
            <v>AMPHENOL</v>
          </cell>
          <cell r="B964" t="str">
            <v>WPA-80040-8CF-EDIN-X</v>
          </cell>
          <cell r="O964">
            <v>17.7577112268519</v>
          </cell>
          <cell r="T964">
            <v>5.8731950234891404</v>
          </cell>
        </row>
        <row r="965">
          <cell r="A965" t="str">
            <v>AMPHENOL</v>
          </cell>
          <cell r="B965" t="str">
            <v>WPA-80090-4CF-EDIN-0</v>
          </cell>
          <cell r="O965">
            <v>3.4134640982142499</v>
          </cell>
          <cell r="T965">
            <v>2.4655784300621697</v>
          </cell>
        </row>
        <row r="966">
          <cell r="A966" t="str">
            <v>AMPHENOL</v>
          </cell>
          <cell r="B966" t="str">
            <v>WPA-80090-8CF-EDIN-0</v>
          </cell>
          <cell r="O966">
            <v>7.1242781974837595</v>
          </cell>
          <cell r="T966">
            <v>5.22935510392489</v>
          </cell>
        </row>
        <row r="967">
          <cell r="A967" t="str">
            <v>AMPHENOL</v>
          </cell>
          <cell r="B967" t="str">
            <v>WWT65-13-X010</v>
          </cell>
          <cell r="O967"/>
          <cell r="T967"/>
        </row>
        <row r="968">
          <cell r="A968" t="str">
            <v>AMPHENOL</v>
          </cell>
          <cell r="B968" t="str">
            <v>WWT65-19-R06</v>
          </cell>
          <cell r="O968"/>
          <cell r="T968"/>
        </row>
        <row r="969">
          <cell r="A969" t="str">
            <v>AMPHENOL</v>
          </cell>
          <cell r="B969" t="str">
            <v>WWX063X13G00</v>
          </cell>
          <cell r="O969">
            <v>4.715671779</v>
          </cell>
          <cell r="T969">
            <v>2.6673481990000001</v>
          </cell>
        </row>
        <row r="970">
          <cell r="A970" t="str">
            <v>AMPHENOL</v>
          </cell>
          <cell r="B970" t="str">
            <v>WWX063X13M00</v>
          </cell>
          <cell r="O970">
            <v>4.715671779</v>
          </cell>
          <cell r="T970">
            <v>2.6673481990000001</v>
          </cell>
        </row>
        <row r="971">
          <cell r="A971" t="str">
            <v>AMPHENOL</v>
          </cell>
          <cell r="B971" t="str">
            <v>WWX063X13R00</v>
          </cell>
          <cell r="O971">
            <v>4.715671779</v>
          </cell>
          <cell r="T971">
            <v>2.6673481990000001</v>
          </cell>
        </row>
        <row r="972">
          <cell r="A972" t="str">
            <v>AMPHENOL</v>
          </cell>
          <cell r="B972" t="str">
            <v>WWX063X19G00</v>
          </cell>
          <cell r="O972">
            <v>7.1278790509999999</v>
          </cell>
          <cell r="T972">
            <v>4.0331326460000003</v>
          </cell>
        </row>
        <row r="973">
          <cell r="A973" t="str">
            <v>AMPHENOL</v>
          </cell>
          <cell r="B973" t="str">
            <v>WWX063X19M00</v>
          </cell>
          <cell r="O973">
            <v>7.1278790509999999</v>
          </cell>
          <cell r="T973">
            <v>4.0331326460000003</v>
          </cell>
        </row>
        <row r="974">
          <cell r="A974" t="str">
            <v>AMPHENOL</v>
          </cell>
          <cell r="B974" t="str">
            <v>WWX063X19R00</v>
          </cell>
          <cell r="O974">
            <v>7.1278790509999999</v>
          </cell>
          <cell r="T974">
            <v>4.0331326460000003</v>
          </cell>
        </row>
        <row r="975">
          <cell r="A975" t="str">
            <v>AMPHENOL</v>
          </cell>
          <cell r="B975" t="str">
            <v>WWX063X19X00</v>
          </cell>
          <cell r="O975">
            <v>7.1278790509999999</v>
          </cell>
          <cell r="T975">
            <v>4.0331326460000003</v>
          </cell>
        </row>
        <row r="976">
          <cell r="A976" t="str">
            <v>AMPHENOL</v>
          </cell>
          <cell r="B976" t="str">
            <v>WWX085X13G00</v>
          </cell>
          <cell r="O976">
            <v>4.715671779</v>
          </cell>
          <cell r="T976">
            <v>2.6673481990000001</v>
          </cell>
        </row>
        <row r="977">
          <cell r="A977" t="str">
            <v>AMPHENOL</v>
          </cell>
          <cell r="B977" t="str">
            <v>WWX085X13M00</v>
          </cell>
          <cell r="O977">
            <v>4.715671779</v>
          </cell>
          <cell r="T977">
            <v>2.6673481990000001</v>
          </cell>
        </row>
        <row r="978">
          <cell r="A978" t="str">
            <v>AMPHENOL</v>
          </cell>
          <cell r="B978" t="str">
            <v>WWX085X13R00</v>
          </cell>
          <cell r="O978">
            <v>4.715671779</v>
          </cell>
          <cell r="T978">
            <v>2.6673481990000001</v>
          </cell>
        </row>
        <row r="979">
          <cell r="A979" t="str">
            <v>AMPHENOL</v>
          </cell>
          <cell r="B979" t="str">
            <v>X7CAP-680-V</v>
          </cell>
          <cell r="O979"/>
          <cell r="T979"/>
        </row>
        <row r="980">
          <cell r="A980" t="str">
            <v>ANDREW</v>
          </cell>
          <cell r="B980" t="str">
            <v>1.0M</v>
          </cell>
          <cell r="O980"/>
          <cell r="T980"/>
        </row>
        <row r="981">
          <cell r="A981" t="str">
            <v>ANDREW</v>
          </cell>
          <cell r="B981" t="str">
            <v>1.2 METER</v>
          </cell>
          <cell r="O981"/>
          <cell r="T981"/>
        </row>
        <row r="982">
          <cell r="A982" t="str">
            <v>ANDREW</v>
          </cell>
          <cell r="B982" t="str">
            <v>10 FT DISH</v>
          </cell>
          <cell r="O982"/>
          <cell r="T982"/>
        </row>
        <row r="983">
          <cell r="A983" t="str">
            <v>ANDREW</v>
          </cell>
          <cell r="B983" t="str">
            <v>12 FT DISH</v>
          </cell>
          <cell r="O983"/>
          <cell r="T983"/>
        </row>
        <row r="984">
          <cell r="A984" t="str">
            <v>ANDREW</v>
          </cell>
          <cell r="B984" t="str">
            <v>18T-1900/2127/2400</v>
          </cell>
          <cell r="O984"/>
          <cell r="T984"/>
        </row>
        <row r="985">
          <cell r="A985" t="str">
            <v>ANDREW</v>
          </cell>
          <cell r="B985" t="str">
            <v>18T-2400-1</v>
          </cell>
          <cell r="O985"/>
          <cell r="T985"/>
        </row>
        <row r="986">
          <cell r="A986" t="str">
            <v>ANDREW</v>
          </cell>
          <cell r="B986" t="str">
            <v>2.4 METER</v>
          </cell>
          <cell r="O986"/>
          <cell r="T986"/>
        </row>
        <row r="987">
          <cell r="A987" t="str">
            <v>ANDREW</v>
          </cell>
          <cell r="B987" t="str">
            <v>204711-21</v>
          </cell>
          <cell r="O987"/>
          <cell r="T987"/>
        </row>
        <row r="988">
          <cell r="A988" t="str">
            <v>ANDREW</v>
          </cell>
          <cell r="B988" t="str">
            <v>23T-5800F-1</v>
          </cell>
          <cell r="O988"/>
          <cell r="T988"/>
        </row>
        <row r="989">
          <cell r="A989" t="str">
            <v>ANDREW</v>
          </cell>
          <cell r="B989" t="str">
            <v>24D-22</v>
          </cell>
          <cell r="O989"/>
          <cell r="T989"/>
        </row>
        <row r="990">
          <cell r="A990" t="str">
            <v>ANDREW</v>
          </cell>
          <cell r="B990" t="str">
            <v>26RT-1900F-1</v>
          </cell>
          <cell r="O990"/>
          <cell r="T990"/>
        </row>
        <row r="991">
          <cell r="A991" t="str">
            <v>ANDREW</v>
          </cell>
          <cell r="B991" t="str">
            <v>26RT-2400F-1</v>
          </cell>
          <cell r="O991"/>
          <cell r="T991"/>
        </row>
        <row r="992">
          <cell r="A992" t="str">
            <v>ANDREW</v>
          </cell>
          <cell r="B992" t="str">
            <v>26T-1900/2127/2400</v>
          </cell>
          <cell r="O992"/>
          <cell r="T992"/>
        </row>
        <row r="993">
          <cell r="A993" t="str">
            <v>ANDREW</v>
          </cell>
          <cell r="B993" t="str">
            <v>26T-2400</v>
          </cell>
          <cell r="O993"/>
          <cell r="T993"/>
        </row>
        <row r="994">
          <cell r="A994" t="str">
            <v>ANDREW</v>
          </cell>
          <cell r="B994" t="str">
            <v>26T-2400-1</v>
          </cell>
          <cell r="O994"/>
          <cell r="T994"/>
        </row>
        <row r="995">
          <cell r="A995" t="str">
            <v>ANDREW</v>
          </cell>
          <cell r="B995" t="str">
            <v>4 FT DISH</v>
          </cell>
          <cell r="O995"/>
          <cell r="T995"/>
        </row>
        <row r="996">
          <cell r="A996" t="str">
            <v>ANDREW</v>
          </cell>
          <cell r="B996" t="str">
            <v>49074</v>
          </cell>
          <cell r="O996"/>
          <cell r="T996"/>
        </row>
        <row r="997">
          <cell r="A997" t="str">
            <v>ANDREW</v>
          </cell>
          <cell r="B997" t="str">
            <v>6 FT DISH</v>
          </cell>
          <cell r="O997"/>
          <cell r="T997"/>
        </row>
        <row r="998">
          <cell r="A998" t="str">
            <v>ANDREW</v>
          </cell>
          <cell r="B998" t="str">
            <v>721DD65ESXM</v>
          </cell>
          <cell r="O998"/>
          <cell r="T998"/>
        </row>
        <row r="999">
          <cell r="A999" t="str">
            <v>ANDREW</v>
          </cell>
          <cell r="B999" t="str">
            <v>778G90VTAXM</v>
          </cell>
          <cell r="O999"/>
          <cell r="T999"/>
        </row>
        <row r="1000">
          <cell r="A1000" t="str">
            <v>ANDREW</v>
          </cell>
          <cell r="B1000" t="str">
            <v>778X105M85V1</v>
          </cell>
          <cell r="O1000"/>
          <cell r="T1000"/>
        </row>
        <row r="1001">
          <cell r="A1001" t="str">
            <v>ANDREW</v>
          </cell>
          <cell r="B1001" t="str">
            <v>8 FT DISH</v>
          </cell>
          <cell r="O1001"/>
          <cell r="T1001"/>
        </row>
        <row r="1002">
          <cell r="A1002" t="str">
            <v>ANDREW</v>
          </cell>
          <cell r="B1002" t="str">
            <v>844G45VTZASX</v>
          </cell>
          <cell r="O1002"/>
          <cell r="T1002"/>
        </row>
        <row r="1003">
          <cell r="A1003" t="str">
            <v>ANDREW</v>
          </cell>
          <cell r="B1003" t="str">
            <v>844G65VTZASX</v>
          </cell>
          <cell r="O1003"/>
          <cell r="T1003"/>
        </row>
        <row r="1004">
          <cell r="A1004" t="str">
            <v>ANDREW</v>
          </cell>
          <cell r="B1004" t="str">
            <v>844G90VTA-SX</v>
          </cell>
          <cell r="O1004"/>
          <cell r="T1004"/>
        </row>
        <row r="1005">
          <cell r="A1005" t="str">
            <v>ANDREW</v>
          </cell>
          <cell r="B1005" t="str">
            <v>85010089006_18_1_SP</v>
          </cell>
          <cell r="O1005"/>
          <cell r="T1005"/>
        </row>
        <row r="1006">
          <cell r="A1006" t="str">
            <v>ANDREW</v>
          </cell>
          <cell r="B1006" t="str">
            <v>854DG65T6ESX</v>
          </cell>
          <cell r="O1006">
            <v>5.4438753858024693</v>
          </cell>
          <cell r="T1006">
            <v>2.45113955970016</v>
          </cell>
        </row>
        <row r="1007">
          <cell r="A1007" t="str">
            <v>ANDREW</v>
          </cell>
          <cell r="B1007" t="str">
            <v>854DG65VTESX</v>
          </cell>
          <cell r="O1007">
            <v>5.4438753858024693</v>
          </cell>
          <cell r="T1007">
            <v>2.45113955970016</v>
          </cell>
        </row>
        <row r="1008">
          <cell r="A1008" t="str">
            <v>ANDREW</v>
          </cell>
          <cell r="B1008" t="str">
            <v>856DG65T6ESX</v>
          </cell>
          <cell r="O1008"/>
          <cell r="T1008"/>
        </row>
        <row r="1009">
          <cell r="A1009" t="str">
            <v>ANDREW</v>
          </cell>
          <cell r="B1009" t="str">
            <v>858DG90T3ESX</v>
          </cell>
          <cell r="O1009">
            <v>11.334077151036698</v>
          </cell>
          <cell r="T1009">
            <v>6.1360988734140092</v>
          </cell>
        </row>
        <row r="1010">
          <cell r="A1010" t="str">
            <v>ANDREW</v>
          </cell>
          <cell r="B1010" t="str">
            <v>878G60T4A-XY</v>
          </cell>
          <cell r="O1010">
            <v>11.4414503058044</v>
          </cell>
          <cell r="T1010">
            <v>4.5175055265365698</v>
          </cell>
        </row>
        <row r="1011">
          <cell r="A1011" t="str">
            <v>ANDREW</v>
          </cell>
          <cell r="B1011" t="str">
            <v>928QDG90T5EM</v>
          </cell>
          <cell r="O1011"/>
          <cell r="T1011"/>
        </row>
        <row r="1012">
          <cell r="A1012" t="str">
            <v>ANDREW</v>
          </cell>
          <cell r="B1012" t="str">
            <v>931LG65R1E-B</v>
          </cell>
          <cell r="O1012">
            <v>3.47625056969988</v>
          </cell>
          <cell r="T1012">
            <v>2.78647823729096</v>
          </cell>
        </row>
        <row r="1013">
          <cell r="A1013" t="str">
            <v>ANDREW</v>
          </cell>
          <cell r="B1013" t="str">
            <v>931LG65R2E-B</v>
          </cell>
          <cell r="O1013">
            <v>3.47625056969988</v>
          </cell>
          <cell r="T1013">
            <v>2.78647823729096</v>
          </cell>
        </row>
        <row r="1014">
          <cell r="A1014" t="str">
            <v>ANDREW</v>
          </cell>
          <cell r="B1014" t="str">
            <v>931LG65VTE-B</v>
          </cell>
          <cell r="O1014">
            <v>3.47625056969988</v>
          </cell>
          <cell r="T1014">
            <v>2.78647823729096</v>
          </cell>
        </row>
        <row r="1015">
          <cell r="A1015" t="str">
            <v>ANDREW</v>
          </cell>
          <cell r="B1015" t="str">
            <v>932DG65T2E-M</v>
          </cell>
          <cell r="O1015">
            <v>3.1154176570000001</v>
          </cell>
          <cell r="T1015">
            <v>1.3669302779999999</v>
          </cell>
        </row>
        <row r="1016">
          <cell r="A1016" t="str">
            <v>ANDREW</v>
          </cell>
          <cell r="B1016" t="str">
            <v>932DG90T2E-M</v>
          </cell>
          <cell r="O1016">
            <v>2.1310734205495798</v>
          </cell>
          <cell r="T1016">
            <v>1.0631840593389199</v>
          </cell>
        </row>
        <row r="1017">
          <cell r="A1017" t="str">
            <v>ANDREW</v>
          </cell>
          <cell r="B1017" t="str">
            <v>932LG65T2A-M</v>
          </cell>
          <cell r="O1017"/>
          <cell r="T1017"/>
        </row>
        <row r="1018">
          <cell r="A1018" t="str">
            <v>ANDREW</v>
          </cell>
          <cell r="B1018" t="str">
            <v>932LG65VTE-B</v>
          </cell>
          <cell r="O1018">
            <v>3.7757558706177696</v>
          </cell>
          <cell r="T1018">
            <v>3.0301323178676802</v>
          </cell>
        </row>
        <row r="1019">
          <cell r="A1019" t="str">
            <v>ANDREW</v>
          </cell>
          <cell r="B1019" t="str">
            <v>932QDG90VTEM</v>
          </cell>
          <cell r="O1019">
            <v>6.4291859567901195</v>
          </cell>
          <cell r="T1019">
            <v>1.5888393308279198</v>
          </cell>
        </row>
        <row r="1020">
          <cell r="A1020" t="str">
            <v>ANDREW</v>
          </cell>
          <cell r="B1020" t="str">
            <v>932QDG90VTM</v>
          </cell>
          <cell r="O1020">
            <v>6.4291859567901195</v>
          </cell>
          <cell r="T1020">
            <v>1.5888393308279198</v>
          </cell>
        </row>
        <row r="1021">
          <cell r="A1021" t="str">
            <v>ANDREW</v>
          </cell>
          <cell r="B1021" t="str">
            <v>932QLG65R2EB</v>
          </cell>
          <cell r="O1021">
            <v>8.7368200231481499</v>
          </cell>
          <cell r="T1021">
            <v>3.9537312179068897</v>
          </cell>
        </row>
        <row r="1022">
          <cell r="A1022" t="str">
            <v>ANDREW</v>
          </cell>
          <cell r="B1022" t="str">
            <v>932QLG65VTEB</v>
          </cell>
          <cell r="O1022"/>
          <cell r="T1022"/>
        </row>
        <row r="1023">
          <cell r="A1023" t="str">
            <v>ANDREW</v>
          </cell>
          <cell r="B1023" t="str">
            <v>932SDG65VTEM</v>
          </cell>
          <cell r="O1023"/>
          <cell r="T1023"/>
        </row>
        <row r="1024">
          <cell r="A1024" t="str">
            <v>ANDREW</v>
          </cell>
          <cell r="B1024" t="str">
            <v>936LG65R2E-B</v>
          </cell>
          <cell r="O1024"/>
          <cell r="T1024"/>
        </row>
        <row r="1025">
          <cell r="A1025" t="str">
            <v>ANDREW</v>
          </cell>
          <cell r="B1025" t="str">
            <v>936LG65VTE-B</v>
          </cell>
          <cell r="O1025"/>
          <cell r="T1025"/>
        </row>
        <row r="1026">
          <cell r="A1026" t="str">
            <v>ANDREW</v>
          </cell>
          <cell r="B1026" t="str">
            <v>938DG90T2E-M</v>
          </cell>
          <cell r="O1026">
            <v>5.3525125263566</v>
          </cell>
          <cell r="T1026">
            <v>2.35558477681634</v>
          </cell>
        </row>
        <row r="1027">
          <cell r="A1027" t="str">
            <v>ANDREW</v>
          </cell>
          <cell r="B1027" t="str">
            <v>948F85T2E-M</v>
          </cell>
          <cell r="O1027"/>
          <cell r="T1027"/>
        </row>
        <row r="1028">
          <cell r="A1028" t="str">
            <v>ANDREW</v>
          </cell>
          <cell r="B1028" t="str">
            <v>950F65T2E-M</v>
          </cell>
          <cell r="O1028"/>
          <cell r="T1028"/>
        </row>
        <row r="1029">
          <cell r="A1029" t="str">
            <v>ANDREW</v>
          </cell>
          <cell r="B1029" t="str">
            <v>950F65T2ZE-B</v>
          </cell>
          <cell r="O1029"/>
          <cell r="T1029"/>
        </row>
        <row r="1030">
          <cell r="A1030" t="str">
            <v>ANDREW</v>
          </cell>
          <cell r="B1030" t="str">
            <v>950F85T2E-M</v>
          </cell>
          <cell r="O1030"/>
          <cell r="T1030"/>
        </row>
        <row r="1031">
          <cell r="A1031" t="str">
            <v>ANDREW</v>
          </cell>
          <cell r="B1031" t="str">
            <v>978QNB120E-M</v>
          </cell>
          <cell r="O1031"/>
          <cell r="T1031"/>
        </row>
        <row r="1032">
          <cell r="A1032" t="str">
            <v>ANDREW</v>
          </cell>
          <cell r="B1032" t="str">
            <v>979H65TO-AWS</v>
          </cell>
          <cell r="O1032">
            <v>2.9424451279999997</v>
          </cell>
          <cell r="T1032">
            <v>1.3065802339999999</v>
          </cell>
        </row>
        <row r="1033">
          <cell r="A1033" t="str">
            <v>ANDREW</v>
          </cell>
          <cell r="B1033" t="str">
            <v>ADFD0820-6565A-XD</v>
          </cell>
          <cell r="O1033">
            <v>4.59302667952986</v>
          </cell>
          <cell r="T1033">
            <v>2.2540555797634396</v>
          </cell>
        </row>
        <row r="1034">
          <cell r="A1034" t="str">
            <v>ANDREW</v>
          </cell>
          <cell r="B1034" t="str">
            <v>ADFD0920-6565B-XDM</v>
          </cell>
          <cell r="O1034"/>
          <cell r="T1034"/>
        </row>
        <row r="1035">
          <cell r="A1035" t="str">
            <v>ANDREW</v>
          </cell>
          <cell r="B1035" t="str">
            <v>ADFD0920-6565C-XD</v>
          </cell>
          <cell r="O1035"/>
          <cell r="T1035"/>
        </row>
        <row r="1036">
          <cell r="A1036" t="str">
            <v>ANDREW</v>
          </cell>
          <cell r="B1036" t="str">
            <v>ADFD1820-3333B-XDM</v>
          </cell>
          <cell r="O1036">
            <v>11.582783559999989</v>
          </cell>
          <cell r="T1036">
            <v>2.65657816</v>
          </cell>
        </row>
        <row r="1037">
          <cell r="A1037" t="str">
            <v>ANDREW</v>
          </cell>
          <cell r="B1037" t="str">
            <v>ADFD1820-33B-A2M</v>
          </cell>
          <cell r="O1037">
            <v>11.582783559999989</v>
          </cell>
          <cell r="T1037">
            <v>2.65657816</v>
          </cell>
        </row>
        <row r="1038">
          <cell r="A1038" t="str">
            <v>ANDREW</v>
          </cell>
          <cell r="B1038" t="str">
            <v>ADFD1820-33B-R2DM</v>
          </cell>
          <cell r="O1038">
            <v>11.582783559999989</v>
          </cell>
          <cell r="T1038">
            <v>2.65657816</v>
          </cell>
        </row>
        <row r="1039">
          <cell r="A1039" t="str">
            <v>ANDREW</v>
          </cell>
          <cell r="B1039" t="str">
            <v>ADFD1820-6565B-0D</v>
          </cell>
          <cell r="O1039">
            <v>5.9521235446457892</v>
          </cell>
          <cell r="T1039">
            <v>1.6895697632304598</v>
          </cell>
        </row>
        <row r="1040">
          <cell r="A1040" t="str">
            <v>ANDREW</v>
          </cell>
          <cell r="B1040" t="str">
            <v>ADFD1820-6565B-2DM</v>
          </cell>
          <cell r="O1040">
            <v>5.9521235446457892</v>
          </cell>
          <cell r="T1040">
            <v>1.6895697632304598</v>
          </cell>
        </row>
        <row r="1041">
          <cell r="A1041" t="str">
            <v>ANDREW</v>
          </cell>
          <cell r="B1041" t="str">
            <v>ADFD1820-6565B-XD</v>
          </cell>
          <cell r="O1041">
            <v>5.9521235446457892</v>
          </cell>
          <cell r="T1041">
            <v>1.6895697632304598</v>
          </cell>
        </row>
        <row r="1042">
          <cell r="A1042" t="str">
            <v>ANDREW</v>
          </cell>
          <cell r="B1042" t="str">
            <v>ADFD1820-6565B-XDM</v>
          </cell>
          <cell r="O1042">
            <v>5.9521235446457892</v>
          </cell>
          <cell r="T1042">
            <v>1.6895697632304598</v>
          </cell>
        </row>
        <row r="1043">
          <cell r="A1043" t="str">
            <v>ANDREW</v>
          </cell>
          <cell r="B1043" t="str">
            <v>ADFD1820-6565C-2D</v>
          </cell>
          <cell r="O1043">
            <v>9.0951716502084992</v>
          </cell>
          <cell r="T1043">
            <v>2.5819861791304097</v>
          </cell>
        </row>
        <row r="1044">
          <cell r="A1044" t="str">
            <v>ANDREW</v>
          </cell>
          <cell r="B1044" t="str">
            <v>ADFD1820-6565C-XD</v>
          </cell>
          <cell r="O1044">
            <v>8.4730131172839513</v>
          </cell>
          <cell r="T1044">
            <v>2.4655632581768301</v>
          </cell>
        </row>
        <row r="1045">
          <cell r="A1045" t="str">
            <v>ANDREW</v>
          </cell>
          <cell r="B1045" t="str">
            <v>ADFD1820-6565C-XDM</v>
          </cell>
          <cell r="O1045">
            <v>8.4730131172839513</v>
          </cell>
          <cell r="T1045">
            <v>2.4655632581768301</v>
          </cell>
        </row>
        <row r="1046">
          <cell r="A1046" t="str">
            <v>ANDREW</v>
          </cell>
          <cell r="B1046" t="str">
            <v>ADFD1820-9090B-R2DM</v>
          </cell>
          <cell r="O1046">
            <v>4.2351909719999998</v>
          </cell>
          <cell r="T1046">
            <v>1.6411422959999999</v>
          </cell>
        </row>
        <row r="1047">
          <cell r="A1047" t="str">
            <v>ANDREW</v>
          </cell>
          <cell r="B1047" t="str">
            <v>ADFD1820-9090B-XDM</v>
          </cell>
          <cell r="O1047">
            <v>4.2351909719999998</v>
          </cell>
          <cell r="T1047">
            <v>1.6411422959999999</v>
          </cell>
        </row>
        <row r="1048">
          <cell r="A1048" t="str">
            <v>ANDREW</v>
          </cell>
          <cell r="B1048" t="str">
            <v>ADFD182A-6565B-R1DM</v>
          </cell>
          <cell r="O1048"/>
          <cell r="T1048"/>
        </row>
        <row r="1049">
          <cell r="A1049" t="str">
            <v>ANDREW</v>
          </cell>
          <cell r="B1049" t="str">
            <v>ADFD182A-6565B-R2DM</v>
          </cell>
          <cell r="O1049">
            <v>5.7121200268658994</v>
          </cell>
          <cell r="T1049">
            <v>1.6189546192490301</v>
          </cell>
        </row>
        <row r="1050">
          <cell r="A1050" t="str">
            <v>ANDREW</v>
          </cell>
          <cell r="B1050" t="str">
            <v>ADFD182A-6565B-XDM</v>
          </cell>
          <cell r="O1050">
            <v>5.7121200268658994</v>
          </cell>
          <cell r="T1050">
            <v>1.6189546192490301</v>
          </cell>
        </row>
        <row r="1051">
          <cell r="A1051" t="str">
            <v>ANDREW</v>
          </cell>
          <cell r="B1051" t="str">
            <v>ADFDP182-6565B-XDM</v>
          </cell>
          <cell r="O1051">
            <v>5.8034502311399301</v>
          </cell>
          <cell r="T1051">
            <v>1.5947771660126799</v>
          </cell>
        </row>
        <row r="1052">
          <cell r="A1052" t="str">
            <v>ANDREW</v>
          </cell>
          <cell r="B1052" t="str">
            <v>ADFDP182-65B-R2DM</v>
          </cell>
          <cell r="O1052">
            <v>5.8034502311399301</v>
          </cell>
          <cell r="T1052">
            <v>1.5947771660126799</v>
          </cell>
        </row>
        <row r="1053">
          <cell r="A1053" t="str">
            <v>ANDREW</v>
          </cell>
          <cell r="B1053" t="str">
            <v>AL8-21</v>
          </cell>
          <cell r="O1053"/>
          <cell r="T1053"/>
        </row>
        <row r="1054">
          <cell r="A1054" t="str">
            <v>ANDREW</v>
          </cell>
          <cell r="B1054" t="str">
            <v>AL8-30</v>
          </cell>
          <cell r="O1054"/>
          <cell r="T1054"/>
        </row>
        <row r="1055">
          <cell r="A1055" t="str">
            <v>ANDREW</v>
          </cell>
          <cell r="B1055" t="str">
            <v>ALP16L2-HSOC</v>
          </cell>
          <cell r="O1055"/>
          <cell r="T1055"/>
        </row>
        <row r="1056">
          <cell r="A1056" t="str">
            <v>ANDREW</v>
          </cell>
          <cell r="B1056" t="str">
            <v>ALP16L2-HSOC-47</v>
          </cell>
          <cell r="O1056"/>
          <cell r="T1056"/>
        </row>
        <row r="1057">
          <cell r="A1057" t="str">
            <v>ANDREW</v>
          </cell>
          <cell r="B1057" t="str">
            <v>ALP16L2-HSOC-61</v>
          </cell>
          <cell r="O1057"/>
          <cell r="T1057"/>
        </row>
        <row r="1058">
          <cell r="A1058" t="str">
            <v>ANDREW</v>
          </cell>
          <cell r="B1058" t="str">
            <v>ALP32M2-HSOC-14</v>
          </cell>
          <cell r="O1058"/>
          <cell r="T1058"/>
        </row>
        <row r="1059">
          <cell r="A1059" t="str">
            <v>ANDREW</v>
          </cell>
          <cell r="B1059" t="str">
            <v>ALP8L2-HSOC-14</v>
          </cell>
          <cell r="O1059"/>
          <cell r="T1059"/>
        </row>
        <row r="1060">
          <cell r="A1060" t="str">
            <v>ANDREW</v>
          </cell>
          <cell r="B1060" t="str">
            <v>ALP8L8-HSW-41</v>
          </cell>
          <cell r="O1060"/>
          <cell r="T1060"/>
        </row>
        <row r="1061">
          <cell r="A1061" t="str">
            <v>ANDREW</v>
          </cell>
          <cell r="B1061" t="str">
            <v>ASP 701</v>
          </cell>
          <cell r="O1061"/>
          <cell r="T1061"/>
        </row>
        <row r="1062">
          <cell r="A1062" t="str">
            <v>ANDREW</v>
          </cell>
          <cell r="B1062" t="str">
            <v>ASP 705K</v>
          </cell>
          <cell r="O1062"/>
          <cell r="T1062"/>
        </row>
        <row r="1063">
          <cell r="A1063" t="str">
            <v>ANDREW</v>
          </cell>
          <cell r="B1063" t="str">
            <v>ASP 7A</v>
          </cell>
          <cell r="O1063"/>
          <cell r="T1063"/>
        </row>
        <row r="1064">
          <cell r="A1064" t="str">
            <v>ANDREW</v>
          </cell>
          <cell r="B1064" t="str">
            <v>ASP682</v>
          </cell>
          <cell r="O1064"/>
          <cell r="T1064"/>
        </row>
        <row r="1065">
          <cell r="A1065" t="str">
            <v>ANDREW</v>
          </cell>
          <cell r="B1065" t="str">
            <v>ASP705K</v>
          </cell>
          <cell r="O1065"/>
          <cell r="T1065"/>
        </row>
        <row r="1066">
          <cell r="A1066" t="str">
            <v>ANDREW</v>
          </cell>
          <cell r="B1066" t="str">
            <v>ASP816</v>
          </cell>
          <cell r="O1066"/>
          <cell r="T1066"/>
        </row>
        <row r="1067">
          <cell r="A1067" t="str">
            <v>ANDREW</v>
          </cell>
          <cell r="B1067" t="str">
            <v>ASPA680</v>
          </cell>
          <cell r="O1067"/>
          <cell r="T1067"/>
        </row>
        <row r="1068">
          <cell r="A1068" t="str">
            <v>ANDREW</v>
          </cell>
          <cell r="B1068" t="str">
            <v>ASPA685</v>
          </cell>
          <cell r="O1068"/>
          <cell r="T1068"/>
        </row>
        <row r="1069">
          <cell r="A1069" t="str">
            <v>ANDREW</v>
          </cell>
          <cell r="B1069" t="str">
            <v>ASPG998</v>
          </cell>
          <cell r="O1069"/>
          <cell r="T1069"/>
        </row>
        <row r="1070">
          <cell r="A1070" t="str">
            <v>ANDREW</v>
          </cell>
          <cell r="B1070" t="str">
            <v>ASPR 766P</v>
          </cell>
          <cell r="O1070"/>
          <cell r="T1070"/>
        </row>
        <row r="1071">
          <cell r="A1071" t="str">
            <v>ANDREW</v>
          </cell>
          <cell r="B1071" t="str">
            <v>ATFDC-6565C-XD</v>
          </cell>
          <cell r="O1071"/>
          <cell r="T1071"/>
        </row>
        <row r="1072">
          <cell r="A1072" t="str">
            <v>ANDREW</v>
          </cell>
          <cell r="B1072" t="str">
            <v>ATW16G450-HSS-69</v>
          </cell>
          <cell r="O1072"/>
          <cell r="T1072"/>
        </row>
        <row r="1073">
          <cell r="A1073" t="str">
            <v>ANDREW</v>
          </cell>
          <cell r="B1073" t="str">
            <v>ATW25H3-H50-46</v>
          </cell>
          <cell r="O1073"/>
          <cell r="T1073"/>
        </row>
        <row r="1074">
          <cell r="A1074" t="str">
            <v>ANDREW</v>
          </cell>
          <cell r="B1074" t="str">
            <v>ATW25H3-HSP1L-45/44</v>
          </cell>
          <cell r="O1074"/>
          <cell r="T1074"/>
        </row>
        <row r="1075">
          <cell r="A1075" t="str">
            <v>ANDREW</v>
          </cell>
          <cell r="B1075" t="str">
            <v>ATW25HS7-51H</v>
          </cell>
          <cell r="O1075"/>
          <cell r="T1075"/>
        </row>
        <row r="1076">
          <cell r="A1076" t="str">
            <v>ANDREW</v>
          </cell>
          <cell r="B1076" t="str">
            <v>ATW27H5-ETP1L-33M</v>
          </cell>
          <cell r="O1076"/>
          <cell r="T1076"/>
        </row>
        <row r="1077">
          <cell r="A1077" t="str">
            <v>ANDREW</v>
          </cell>
          <cell r="B1077" t="str">
            <v>ATW27H5-HTC1L-23H</v>
          </cell>
          <cell r="O1077"/>
          <cell r="T1077"/>
        </row>
        <row r="1078">
          <cell r="A1078" t="str">
            <v>ANDREW</v>
          </cell>
          <cell r="B1078" t="str">
            <v>ATW2G1-HSS-14</v>
          </cell>
          <cell r="O1078"/>
          <cell r="T1078"/>
        </row>
        <row r="1079">
          <cell r="A1079" t="str">
            <v>ANDREW</v>
          </cell>
          <cell r="B1079" t="str">
            <v>ATW9V3-7</v>
          </cell>
          <cell r="O1079"/>
          <cell r="T1079"/>
        </row>
        <row r="1080">
          <cell r="A1080" t="str">
            <v>ANDREW</v>
          </cell>
          <cell r="B1080" t="str">
            <v>BCAC090-285</v>
          </cell>
          <cell r="O1080"/>
          <cell r="T1080"/>
        </row>
        <row r="1081">
          <cell r="A1081" t="str">
            <v>ANDREW</v>
          </cell>
          <cell r="B1081" t="str">
            <v>CELLMAX-0-25</v>
          </cell>
          <cell r="O1081"/>
          <cell r="T1081"/>
        </row>
        <row r="1082">
          <cell r="A1082" t="str">
            <v>ANDREW</v>
          </cell>
          <cell r="B1082" t="str">
            <v>CSH-6516A-VT</v>
          </cell>
          <cell r="O1082"/>
          <cell r="T1082"/>
        </row>
        <row r="1083">
          <cell r="A1083" t="str">
            <v>ANDREW</v>
          </cell>
          <cell r="B1083" t="str">
            <v>CSHAX-6516-R2</v>
          </cell>
          <cell r="O1083"/>
          <cell r="T1083"/>
        </row>
        <row r="1084">
          <cell r="A1084" t="str">
            <v>ANDREW</v>
          </cell>
          <cell r="B1084" t="str">
            <v>CSHAXX-6516-R2</v>
          </cell>
          <cell r="O1084"/>
          <cell r="T1084"/>
        </row>
        <row r="1085">
          <cell r="A1085" t="str">
            <v>ANDREW</v>
          </cell>
          <cell r="B1085" t="str">
            <v>CSHXX-6516-R2-TAD</v>
          </cell>
          <cell r="O1085"/>
          <cell r="T1085"/>
        </row>
        <row r="1086">
          <cell r="A1086" t="str">
            <v>ANDREW</v>
          </cell>
          <cell r="B1086" t="str">
            <v>CT1D0F-0087-011</v>
          </cell>
          <cell r="O1086"/>
          <cell r="T1086"/>
        </row>
        <row r="1087">
          <cell r="A1087" t="str">
            <v>ANDREW</v>
          </cell>
          <cell r="B1087" t="str">
            <v>CTS08-06515-0D</v>
          </cell>
          <cell r="O1087">
            <v>7.2309429811600294</v>
          </cell>
          <cell r="T1087">
            <v>3.42595405872131</v>
          </cell>
        </row>
        <row r="1088">
          <cell r="A1088" t="str">
            <v>ANDREW</v>
          </cell>
          <cell r="B1088" t="str">
            <v>CTS08-09012-0D</v>
          </cell>
          <cell r="O1088">
            <v>6.0298591455524901</v>
          </cell>
          <cell r="T1088">
            <v>2.8538406840803803</v>
          </cell>
        </row>
        <row r="1089">
          <cell r="A1089" t="str">
            <v>ANDREW</v>
          </cell>
          <cell r="B1089" t="str">
            <v>CTS08-10512-0D</v>
          </cell>
          <cell r="O1089">
            <v>6.0298591455524901</v>
          </cell>
          <cell r="T1089">
            <v>2.8538406840803803</v>
          </cell>
        </row>
        <row r="1090">
          <cell r="A1090" t="str">
            <v>ANDREW</v>
          </cell>
          <cell r="B1090" t="str">
            <v>CTS08-10512-0N</v>
          </cell>
          <cell r="O1090">
            <v>3.8971429866668497</v>
          </cell>
          <cell r="T1090">
            <v>1.83796320970257</v>
          </cell>
        </row>
        <row r="1091">
          <cell r="A1091" t="str">
            <v>ANDREW</v>
          </cell>
          <cell r="B1091" t="str">
            <v>CTS09-10513-OD</v>
          </cell>
          <cell r="O1091">
            <v>8.4708897467132012</v>
          </cell>
          <cell r="T1091">
            <v>4.0165203348936895</v>
          </cell>
        </row>
        <row r="1092">
          <cell r="A1092" t="str">
            <v>ANDREW</v>
          </cell>
          <cell r="B1092" t="str">
            <v>CTSD08-06516-0D</v>
          </cell>
          <cell r="O1092"/>
          <cell r="T1092"/>
        </row>
        <row r="1093">
          <cell r="A1093" t="str">
            <v>ANDREW</v>
          </cell>
          <cell r="B1093" t="str">
            <v>CTSDG-03016-0DM</v>
          </cell>
          <cell r="O1093"/>
          <cell r="T1093"/>
        </row>
        <row r="1094">
          <cell r="A1094" t="str">
            <v>ANDREW</v>
          </cell>
          <cell r="B1094" t="str">
            <v>CTSDG-03019-0DM</v>
          </cell>
          <cell r="O1094"/>
          <cell r="T1094"/>
        </row>
        <row r="1095">
          <cell r="A1095" t="str">
            <v>ANDREW</v>
          </cell>
          <cell r="B1095" t="str">
            <v>CTSDG-06513-R1DM</v>
          </cell>
          <cell r="O1095">
            <v>4.59302667952986</v>
          </cell>
          <cell r="T1095">
            <v>2.2540555797634396</v>
          </cell>
        </row>
        <row r="1096">
          <cell r="A1096" t="str">
            <v>ANDREW</v>
          </cell>
          <cell r="B1096" t="str">
            <v>CTSDG-06513-R2DM</v>
          </cell>
          <cell r="O1096">
            <v>4.59302667952986</v>
          </cell>
          <cell r="T1096">
            <v>2.2540555797634396</v>
          </cell>
        </row>
        <row r="1097">
          <cell r="A1097" t="str">
            <v>ANDREW</v>
          </cell>
          <cell r="B1097" t="str">
            <v>CTSDG-06513-XDM</v>
          </cell>
          <cell r="O1097">
            <v>4.59302667952986</v>
          </cell>
          <cell r="T1097">
            <v>2.2540555797634396</v>
          </cell>
        </row>
        <row r="1098">
          <cell r="A1098" t="str">
            <v>ANDREW</v>
          </cell>
          <cell r="B1098" t="str">
            <v>CTSDG-06515-XDM</v>
          </cell>
          <cell r="O1098">
            <v>6.78338417179374</v>
          </cell>
          <cell r="T1098">
            <v>3.2139418122830397</v>
          </cell>
        </row>
        <row r="1099">
          <cell r="A1099" t="str">
            <v>ANDREW</v>
          </cell>
          <cell r="B1099" t="str">
            <v>CTSDG-06516-0DM</v>
          </cell>
          <cell r="O1099"/>
          <cell r="T1099"/>
        </row>
        <row r="1100">
          <cell r="A1100" t="str">
            <v>ANDREW</v>
          </cell>
          <cell r="B1100" t="str">
            <v>CTSDG-06516-R2DM</v>
          </cell>
          <cell r="O1100"/>
          <cell r="T1100"/>
        </row>
        <row r="1101">
          <cell r="A1101" t="str">
            <v>ANDREW</v>
          </cell>
          <cell r="B1101" t="str">
            <v>CTSDG-06516-XDM</v>
          </cell>
          <cell r="O1101"/>
          <cell r="T1101"/>
        </row>
        <row r="1102">
          <cell r="A1102" t="str">
            <v>ANDREW</v>
          </cell>
          <cell r="B1102" t="str">
            <v>CTSG-12010-0DM</v>
          </cell>
          <cell r="O1102">
            <v>4.59302667952986</v>
          </cell>
          <cell r="T1102">
            <v>2.2540555797634396</v>
          </cell>
        </row>
        <row r="1103">
          <cell r="A1103" t="str">
            <v>ANDREW</v>
          </cell>
          <cell r="B1103" t="str">
            <v>CTSG-12013-ODM-X</v>
          </cell>
          <cell r="O1103">
            <v>9.2210566539225596</v>
          </cell>
          <cell r="T1103">
            <v>4.3737974459674893</v>
          </cell>
        </row>
        <row r="1104">
          <cell r="A1104" t="str">
            <v>ANDREW</v>
          </cell>
          <cell r="B1104" t="str">
            <v>D100-0005-0041</v>
          </cell>
          <cell r="O1104"/>
          <cell r="T1104"/>
        </row>
        <row r="1105">
          <cell r="A1105" t="str">
            <v>ANDREW</v>
          </cell>
          <cell r="B1105" t="str">
            <v>D100-0005-0061</v>
          </cell>
          <cell r="O1105"/>
          <cell r="T1105"/>
        </row>
        <row r="1106">
          <cell r="A1106" t="str">
            <v>ANDREW</v>
          </cell>
          <cell r="B1106" t="str">
            <v>D100-0036-0041</v>
          </cell>
          <cell r="O1106"/>
          <cell r="T1106"/>
        </row>
        <row r="1107">
          <cell r="A1107" t="str">
            <v>ANDREW</v>
          </cell>
          <cell r="B1107" t="str">
            <v>D100-0036-0061</v>
          </cell>
          <cell r="O1107"/>
          <cell r="T1107"/>
        </row>
        <row r="1108">
          <cell r="A1108" t="str">
            <v>ANDREW</v>
          </cell>
          <cell r="B1108" t="str">
            <v>D100-0042-0041</v>
          </cell>
          <cell r="O1108"/>
          <cell r="T1108"/>
        </row>
        <row r="1109">
          <cell r="A1109" t="str">
            <v>ANDREW</v>
          </cell>
          <cell r="B1109" t="str">
            <v>D100-0042-0061</v>
          </cell>
          <cell r="O1109"/>
          <cell r="T1109"/>
        </row>
        <row r="1110">
          <cell r="A1110" t="str">
            <v>ANDREW</v>
          </cell>
          <cell r="B1110" t="str">
            <v>D108-25</v>
          </cell>
          <cell r="O1110"/>
          <cell r="T1110"/>
        </row>
        <row r="1111">
          <cell r="A1111" t="str">
            <v>ANDREW</v>
          </cell>
          <cell r="B1111" t="str">
            <v>D4D-2</v>
          </cell>
          <cell r="O1111"/>
          <cell r="T1111"/>
        </row>
        <row r="1112">
          <cell r="A1112" t="str">
            <v>ANDREW</v>
          </cell>
          <cell r="B1112" t="str">
            <v>D6C-22</v>
          </cell>
          <cell r="O1112"/>
          <cell r="T1112"/>
        </row>
        <row r="1113">
          <cell r="A1113" t="str">
            <v>ANDREW</v>
          </cell>
          <cell r="B1113" t="str">
            <v>D6D-1</v>
          </cell>
          <cell r="O1113"/>
          <cell r="T1113"/>
        </row>
        <row r="1114">
          <cell r="A1114" t="str">
            <v>ANDREW</v>
          </cell>
          <cell r="B1114" t="str">
            <v>D6E-6</v>
          </cell>
          <cell r="O1114"/>
          <cell r="T1114"/>
        </row>
        <row r="1115">
          <cell r="A1115" t="str">
            <v>ANDREW</v>
          </cell>
          <cell r="B1115" t="str">
            <v>D6F-23E-FXA</v>
          </cell>
          <cell r="O1115"/>
          <cell r="T1115"/>
        </row>
        <row r="1116">
          <cell r="A1116" t="str">
            <v>ANDREW</v>
          </cell>
          <cell r="B1116" t="str">
            <v>D8E6</v>
          </cell>
          <cell r="O1116"/>
          <cell r="T1116"/>
        </row>
        <row r="1117">
          <cell r="A1117" t="str">
            <v>ANDREW</v>
          </cell>
          <cell r="B1117" t="str">
            <v>D8L-22</v>
          </cell>
          <cell r="O1117"/>
          <cell r="T1117"/>
        </row>
        <row r="1118">
          <cell r="A1118" t="str">
            <v>ANDREW</v>
          </cell>
          <cell r="B1118" t="str">
            <v>DB201-P</v>
          </cell>
          <cell r="O1118"/>
          <cell r="T1118"/>
        </row>
        <row r="1119">
          <cell r="A1119" t="str">
            <v>ANDREW</v>
          </cell>
          <cell r="B1119" t="str">
            <v>DB212-1-A</v>
          </cell>
          <cell r="O1119"/>
          <cell r="T1119"/>
        </row>
        <row r="1120">
          <cell r="A1120" t="str">
            <v>ANDREW</v>
          </cell>
          <cell r="B1120" t="str">
            <v>DB220-B</v>
          </cell>
          <cell r="O1120"/>
          <cell r="T1120"/>
        </row>
        <row r="1121">
          <cell r="A1121" t="str">
            <v>ANDREW</v>
          </cell>
          <cell r="B1121" t="str">
            <v>DB222E</v>
          </cell>
          <cell r="O1121"/>
          <cell r="T1121"/>
        </row>
        <row r="1122">
          <cell r="A1122" t="str">
            <v>ANDREW</v>
          </cell>
          <cell r="B1122" t="str">
            <v>DB224-A</v>
          </cell>
          <cell r="O1122"/>
          <cell r="T1122"/>
        </row>
        <row r="1123">
          <cell r="A1123" t="str">
            <v>ANDREW</v>
          </cell>
          <cell r="B1123" t="str">
            <v>DB224-B</v>
          </cell>
          <cell r="O1123"/>
          <cell r="T1123"/>
        </row>
        <row r="1124">
          <cell r="A1124" t="str">
            <v>ANDREW</v>
          </cell>
          <cell r="B1124" t="str">
            <v>DB224-JJ</v>
          </cell>
          <cell r="O1124"/>
          <cell r="T1124"/>
        </row>
        <row r="1125">
          <cell r="A1125" t="str">
            <v>ANDREW</v>
          </cell>
          <cell r="B1125" t="str">
            <v>DB224-SM</v>
          </cell>
          <cell r="O1125"/>
          <cell r="T1125"/>
        </row>
        <row r="1126">
          <cell r="A1126" t="str">
            <v>ANDREW</v>
          </cell>
          <cell r="B1126" t="str">
            <v>DB264-A</v>
          </cell>
          <cell r="O1126"/>
          <cell r="T1126"/>
        </row>
        <row r="1127">
          <cell r="A1127" t="str">
            <v>ANDREW</v>
          </cell>
          <cell r="B1127" t="str">
            <v>DB314</v>
          </cell>
          <cell r="O1127"/>
          <cell r="T1127"/>
        </row>
        <row r="1128">
          <cell r="A1128" t="str">
            <v>ANDREW</v>
          </cell>
          <cell r="B1128" t="str">
            <v>DB314L</v>
          </cell>
          <cell r="O1128"/>
          <cell r="T1128"/>
        </row>
        <row r="1129">
          <cell r="A1129" t="str">
            <v>ANDREW</v>
          </cell>
          <cell r="B1129" t="str">
            <v>DB404-B</v>
          </cell>
          <cell r="O1129"/>
          <cell r="T1129"/>
        </row>
        <row r="1130">
          <cell r="A1130" t="str">
            <v>ANDREW</v>
          </cell>
          <cell r="B1130" t="str">
            <v>DB404L-A</v>
          </cell>
          <cell r="O1130"/>
          <cell r="T1130"/>
        </row>
        <row r="1131">
          <cell r="A1131" t="str">
            <v>ANDREW</v>
          </cell>
          <cell r="B1131" t="str">
            <v>DB404L-B</v>
          </cell>
          <cell r="O1131"/>
          <cell r="T1131"/>
        </row>
        <row r="1132">
          <cell r="A1132" t="str">
            <v>ANDREW</v>
          </cell>
          <cell r="B1132" t="str">
            <v>DB404L-C</v>
          </cell>
          <cell r="O1132"/>
          <cell r="T1132"/>
        </row>
        <row r="1133">
          <cell r="A1133" t="str">
            <v>ANDREW</v>
          </cell>
          <cell r="B1133" t="str">
            <v>DB404L-E</v>
          </cell>
          <cell r="O1133"/>
          <cell r="T1133"/>
        </row>
        <row r="1134">
          <cell r="A1134" t="str">
            <v>ANDREW</v>
          </cell>
          <cell r="B1134" t="str">
            <v>DB408-D</v>
          </cell>
          <cell r="O1134"/>
          <cell r="T1134"/>
        </row>
        <row r="1135">
          <cell r="A1135" t="str">
            <v>ANDREW</v>
          </cell>
          <cell r="B1135" t="str">
            <v>DB411-B</v>
          </cell>
          <cell r="O1135"/>
          <cell r="T1135"/>
        </row>
        <row r="1136">
          <cell r="A1136" t="str">
            <v>ANDREW</v>
          </cell>
          <cell r="B1136" t="str">
            <v>DB420-B</v>
          </cell>
          <cell r="O1136"/>
          <cell r="T1136"/>
        </row>
        <row r="1137">
          <cell r="A1137" t="str">
            <v>ANDREW</v>
          </cell>
          <cell r="B1137" t="str">
            <v>DB438-A</v>
          </cell>
          <cell r="O1137"/>
          <cell r="T1137"/>
        </row>
        <row r="1138">
          <cell r="A1138" t="str">
            <v>ANDREW</v>
          </cell>
          <cell r="B1138" t="str">
            <v>DB438-B</v>
          </cell>
          <cell r="O1138"/>
          <cell r="T1138"/>
        </row>
        <row r="1139">
          <cell r="A1139" t="str">
            <v>ANDREW</v>
          </cell>
          <cell r="B1139" t="str">
            <v>DB438-C</v>
          </cell>
          <cell r="O1139"/>
          <cell r="T1139"/>
        </row>
        <row r="1140">
          <cell r="A1140" t="str">
            <v>ANDREW</v>
          </cell>
          <cell r="B1140" t="str">
            <v>DB438-D</v>
          </cell>
          <cell r="O1140"/>
          <cell r="T1140"/>
        </row>
        <row r="1141">
          <cell r="A1141" t="str">
            <v>ANDREW</v>
          </cell>
          <cell r="B1141" t="str">
            <v>DB438-E</v>
          </cell>
          <cell r="O1141"/>
          <cell r="T1141"/>
        </row>
        <row r="1142">
          <cell r="A1142" t="str">
            <v>ANDREW</v>
          </cell>
          <cell r="B1142" t="str">
            <v>DB573E-JJ</v>
          </cell>
          <cell r="O1142"/>
          <cell r="T1142"/>
        </row>
        <row r="1143">
          <cell r="A1143" t="str">
            <v>ANDREW</v>
          </cell>
          <cell r="B1143" t="str">
            <v>DB583-XT</v>
          </cell>
          <cell r="O1143"/>
          <cell r="T1143"/>
        </row>
        <row r="1144">
          <cell r="A1144" t="str">
            <v>ANDREW</v>
          </cell>
          <cell r="B1144" t="str">
            <v>DB589-A</v>
          </cell>
          <cell r="O1144"/>
          <cell r="T1144"/>
        </row>
        <row r="1145">
          <cell r="A1145" t="str">
            <v>ANDREW</v>
          </cell>
          <cell r="B1145" t="str">
            <v>DB601E-AC</v>
          </cell>
          <cell r="O1145"/>
          <cell r="T1145"/>
        </row>
        <row r="1146">
          <cell r="A1146" t="str">
            <v>ANDREW</v>
          </cell>
          <cell r="B1146" t="str">
            <v>DB616E-BC</v>
          </cell>
          <cell r="O1146"/>
          <cell r="T1146"/>
        </row>
        <row r="1147">
          <cell r="A1147" t="str">
            <v>ANDREW</v>
          </cell>
          <cell r="B1147" t="str">
            <v>DB630-A</v>
          </cell>
          <cell r="O1147"/>
          <cell r="T1147"/>
        </row>
        <row r="1148">
          <cell r="A1148" t="str">
            <v>ANDREW</v>
          </cell>
          <cell r="B1148" t="str">
            <v>DB630-C</v>
          </cell>
          <cell r="O1148"/>
          <cell r="T1148"/>
        </row>
        <row r="1149">
          <cell r="A1149" t="str">
            <v>ANDREW</v>
          </cell>
          <cell r="B1149" t="str">
            <v>DB630-D</v>
          </cell>
          <cell r="O1149"/>
          <cell r="T1149"/>
        </row>
        <row r="1150">
          <cell r="A1150" t="str">
            <v>ANDREW</v>
          </cell>
          <cell r="B1150" t="str">
            <v>DB636-C</v>
          </cell>
          <cell r="O1150"/>
          <cell r="T1150"/>
        </row>
        <row r="1151">
          <cell r="A1151" t="str">
            <v>ANDREW</v>
          </cell>
          <cell r="B1151" t="str">
            <v>DB640NS-B</v>
          </cell>
          <cell r="O1151"/>
          <cell r="T1151"/>
        </row>
        <row r="1152">
          <cell r="A1152" t="str">
            <v>ANDREW</v>
          </cell>
          <cell r="B1152" t="str">
            <v>DB654DG65A-C</v>
          </cell>
          <cell r="O1152"/>
          <cell r="T1152"/>
        </row>
        <row r="1153">
          <cell r="A1153" t="str">
            <v>ANDREW</v>
          </cell>
          <cell r="B1153" t="str">
            <v>DB674G65A-C</v>
          </cell>
          <cell r="O1153"/>
          <cell r="T1153"/>
        </row>
        <row r="1154">
          <cell r="A1154" t="str">
            <v>ANDREW</v>
          </cell>
          <cell r="B1154" t="str">
            <v>DB774G90ESXM</v>
          </cell>
          <cell r="O1154"/>
          <cell r="T1154"/>
        </row>
        <row r="1155">
          <cell r="A1155" t="str">
            <v>ANDREW</v>
          </cell>
          <cell r="B1155" t="str">
            <v>DB806-A</v>
          </cell>
          <cell r="O1155"/>
          <cell r="T1155"/>
        </row>
        <row r="1156">
          <cell r="A1156" t="str">
            <v>ANDREW</v>
          </cell>
          <cell r="B1156" t="str">
            <v>DB806D-XT</v>
          </cell>
          <cell r="O1156"/>
          <cell r="T1156"/>
        </row>
        <row r="1157">
          <cell r="A1157" t="str">
            <v>ANDREW</v>
          </cell>
          <cell r="B1157" t="str">
            <v>DB806E-XT</v>
          </cell>
          <cell r="O1157"/>
          <cell r="T1157"/>
        </row>
        <row r="1158">
          <cell r="A1158" t="str">
            <v>ANDREW</v>
          </cell>
          <cell r="B1158" t="str">
            <v>DB809KE-XC</v>
          </cell>
          <cell r="O1158"/>
          <cell r="T1158"/>
        </row>
        <row r="1159">
          <cell r="A1159" t="str">
            <v>ANDREW</v>
          </cell>
          <cell r="B1159" t="str">
            <v>DB809KE-XY</v>
          </cell>
          <cell r="O1159"/>
          <cell r="T1159"/>
        </row>
        <row r="1160">
          <cell r="A1160" t="str">
            <v>ANDREW</v>
          </cell>
          <cell r="B1160" t="str">
            <v>DB810E-PS</v>
          </cell>
          <cell r="O1160"/>
          <cell r="T1160"/>
        </row>
        <row r="1161">
          <cell r="A1161" t="str">
            <v>ANDREW</v>
          </cell>
          <cell r="B1161" t="str">
            <v>DB810KE-SY</v>
          </cell>
          <cell r="O1161"/>
          <cell r="T1161"/>
        </row>
        <row r="1162">
          <cell r="A1162" t="str">
            <v>ANDREW</v>
          </cell>
          <cell r="B1162" t="str">
            <v>DB810KE-XT</v>
          </cell>
          <cell r="O1162"/>
          <cell r="T1162"/>
        </row>
        <row r="1163">
          <cell r="A1163" t="str">
            <v>ANDREW</v>
          </cell>
          <cell r="B1163" t="str">
            <v>DB810KT3E-XC</v>
          </cell>
          <cell r="O1163"/>
          <cell r="T1163"/>
        </row>
        <row r="1164">
          <cell r="A1164" t="str">
            <v>ANDREW</v>
          </cell>
          <cell r="B1164" t="str">
            <v>DB844G90E-XY</v>
          </cell>
          <cell r="O1164">
            <v>2.2373509839999999</v>
          </cell>
          <cell r="T1164">
            <v>2.622555615</v>
          </cell>
        </row>
        <row r="1165">
          <cell r="A1165" t="str">
            <v>ANDREW</v>
          </cell>
          <cell r="B1165" t="str">
            <v>DB844H65E-XY</v>
          </cell>
          <cell r="O1165"/>
          <cell r="T1165"/>
        </row>
        <row r="1166">
          <cell r="A1166" t="str">
            <v>ANDREW</v>
          </cell>
          <cell r="B1166" t="str">
            <v>DB844H90E-A</v>
          </cell>
          <cell r="O1166">
            <v>2.2373509839999999</v>
          </cell>
          <cell r="T1166">
            <v>2.622555615</v>
          </cell>
        </row>
        <row r="1167">
          <cell r="A1167" t="str">
            <v>ANDREW</v>
          </cell>
          <cell r="B1167" t="str">
            <v>DB844H90E-XY</v>
          </cell>
          <cell r="O1167">
            <v>2.2373509839999999</v>
          </cell>
          <cell r="T1167">
            <v>2.622555615</v>
          </cell>
        </row>
        <row r="1168">
          <cell r="A1168" t="str">
            <v>ANDREW</v>
          </cell>
          <cell r="B1168" t="str">
            <v>DB846F65ZAXY</v>
          </cell>
          <cell r="O1168">
            <v>6.166015625</v>
          </cell>
          <cell r="T1168">
            <v>5.4130864509999999</v>
          </cell>
        </row>
        <row r="1169">
          <cell r="A1169" t="str">
            <v>ANDREW</v>
          </cell>
          <cell r="B1169" t="str">
            <v>DB848F90E-ST</v>
          </cell>
          <cell r="O1169"/>
          <cell r="T1169"/>
        </row>
        <row r="1170">
          <cell r="A1170" t="str">
            <v>ANDREW</v>
          </cell>
          <cell r="B1170" t="str">
            <v>DB848H40E-SX</v>
          </cell>
          <cell r="O1170"/>
          <cell r="T1170"/>
        </row>
        <row r="1171">
          <cell r="A1171" t="str">
            <v>ANDREW</v>
          </cell>
          <cell r="B1171" t="str">
            <v>DB848H65E-XY</v>
          </cell>
          <cell r="O1171"/>
          <cell r="T1171"/>
        </row>
        <row r="1172">
          <cell r="A1172" t="str">
            <v>ANDREW</v>
          </cell>
          <cell r="B1172" t="str">
            <v>DB848H90E-XY</v>
          </cell>
          <cell r="O1172">
            <v>4.714876061</v>
          </cell>
          <cell r="T1172">
            <v>5.6270773189999996</v>
          </cell>
        </row>
        <row r="1173">
          <cell r="A1173" t="str">
            <v>ANDREW</v>
          </cell>
          <cell r="B1173" t="str">
            <v>DB854DG65RCESX</v>
          </cell>
          <cell r="O1173"/>
          <cell r="T1173"/>
        </row>
        <row r="1174">
          <cell r="A1174" t="str">
            <v>ANDREW</v>
          </cell>
          <cell r="B1174" t="str">
            <v>DB858DG90ESX</v>
          </cell>
          <cell r="O1174">
            <v>11.334077151036698</v>
          </cell>
          <cell r="T1174">
            <v>6.1360988734140092</v>
          </cell>
        </row>
        <row r="1175">
          <cell r="A1175" t="str">
            <v>ANDREW</v>
          </cell>
          <cell r="B1175" t="str">
            <v>DB874G90A-XY</v>
          </cell>
          <cell r="O1175"/>
          <cell r="T1175"/>
        </row>
        <row r="1176">
          <cell r="A1176" t="str">
            <v>ANDREW</v>
          </cell>
          <cell r="B1176" t="str">
            <v>DB876G90A-XY</v>
          </cell>
          <cell r="O1176">
            <v>6.4060346260000003</v>
          </cell>
          <cell r="T1176">
            <v>2.7264315949999998</v>
          </cell>
        </row>
        <row r="1177">
          <cell r="A1177" t="str">
            <v>ANDREW</v>
          </cell>
          <cell r="B1177" t="str">
            <v>DB878G105A-XY</v>
          </cell>
          <cell r="O1177">
            <v>8.7930944150000006</v>
          </cell>
          <cell r="T1177">
            <v>3.7496389750000003</v>
          </cell>
        </row>
        <row r="1178">
          <cell r="A1178" t="str">
            <v>ANDREW</v>
          </cell>
          <cell r="B1178" t="str">
            <v>DB878G90A-XY</v>
          </cell>
          <cell r="O1178">
            <v>8.740228741000001</v>
          </cell>
          <cell r="T1178">
            <v>4.1446182369999995</v>
          </cell>
        </row>
        <row r="1179">
          <cell r="A1179" t="str">
            <v>ANDREW</v>
          </cell>
          <cell r="B1179" t="str">
            <v>DB910CE-M</v>
          </cell>
          <cell r="O1179"/>
          <cell r="T1179"/>
        </row>
        <row r="1180">
          <cell r="A1180" t="str">
            <v>ANDREW</v>
          </cell>
          <cell r="B1180" t="str">
            <v>DB932DG90E-M</v>
          </cell>
          <cell r="O1180">
            <v>2.1310734205495798</v>
          </cell>
          <cell r="T1180">
            <v>1.0631840593389199</v>
          </cell>
        </row>
        <row r="1181">
          <cell r="A1181" t="str">
            <v>ANDREW</v>
          </cell>
          <cell r="B1181" t="str">
            <v>DB950F65E-M</v>
          </cell>
          <cell r="O1181"/>
          <cell r="T1181"/>
        </row>
        <row r="1182">
          <cell r="A1182" t="str">
            <v>ANDREW</v>
          </cell>
          <cell r="B1182" t="str">
            <v>DB992HG28N-B</v>
          </cell>
          <cell r="O1182"/>
          <cell r="T1182"/>
        </row>
        <row r="1183">
          <cell r="A1183" t="str">
            <v>ANDREW</v>
          </cell>
          <cell r="B1183" t="str">
            <v>DBXCP-4545A-R2M</v>
          </cell>
          <cell r="O1183">
            <v>7.0952015819999996</v>
          </cell>
          <cell r="T1183">
            <v>2.6649935769999997</v>
          </cell>
        </row>
        <row r="1184">
          <cell r="A1184" t="str">
            <v>ANDREW</v>
          </cell>
          <cell r="B1184" t="str">
            <v>DBXCP-4545A-VTM</v>
          </cell>
          <cell r="O1184">
            <v>7.0952015819999996</v>
          </cell>
          <cell r="T1184">
            <v>2.6649935769999997</v>
          </cell>
        </row>
        <row r="1185">
          <cell r="A1185" t="str">
            <v>ANDREW</v>
          </cell>
          <cell r="B1185" t="str">
            <v>DBXGKC-6565B-VTM</v>
          </cell>
          <cell r="O1185">
            <v>6.78338417179374</v>
          </cell>
          <cell r="T1185">
            <v>3.2139418122830397</v>
          </cell>
        </row>
        <row r="1186">
          <cell r="A1186" t="str">
            <v>ANDREW</v>
          </cell>
          <cell r="B1186" t="str">
            <v>DBXGKC-6565C-VTM</v>
          </cell>
          <cell r="O1186"/>
          <cell r="T1186"/>
        </row>
        <row r="1187">
          <cell r="A1187" t="str">
            <v>ANDREW</v>
          </cell>
          <cell r="B1187" t="str">
            <v>DBXH2-6565A-VTM</v>
          </cell>
          <cell r="O1187"/>
          <cell r="T1187"/>
        </row>
        <row r="1188">
          <cell r="A1188" t="str">
            <v>ANDREW</v>
          </cell>
          <cell r="B1188" t="str">
            <v>DBXLH-6565A-R2M</v>
          </cell>
          <cell r="O1188">
            <v>4.5505860450000002</v>
          </cell>
          <cell r="T1188">
            <v>2.2416005370000001</v>
          </cell>
        </row>
        <row r="1189">
          <cell r="A1189" t="str">
            <v>ANDREW</v>
          </cell>
          <cell r="B1189" t="str">
            <v>DBXLH-6565A-VTM</v>
          </cell>
          <cell r="O1189">
            <v>4.7041073499999992</v>
          </cell>
          <cell r="T1189">
            <v>2.3524760339999999</v>
          </cell>
        </row>
        <row r="1190">
          <cell r="A1190" t="str">
            <v>ANDREW</v>
          </cell>
          <cell r="B1190" t="str">
            <v>DBXLH-6565B-R2M</v>
          </cell>
          <cell r="O1190">
            <v>7.1318576389999997</v>
          </cell>
          <cell r="T1190">
            <v>3.5724427269999999</v>
          </cell>
        </row>
        <row r="1191">
          <cell r="A1191" t="str">
            <v>ANDREW</v>
          </cell>
          <cell r="B1191" t="str">
            <v>DBXLH-6565B-VTM</v>
          </cell>
          <cell r="O1191">
            <v>7.1318576389999997</v>
          </cell>
          <cell r="T1191">
            <v>3.5724427269999999</v>
          </cell>
        </row>
        <row r="1192">
          <cell r="A1192" t="str">
            <v>ANDREW</v>
          </cell>
          <cell r="B1192" t="str">
            <v>DBXLH-6565C-R2M</v>
          </cell>
          <cell r="O1192">
            <v>9.5451824999999992</v>
          </cell>
          <cell r="T1192">
            <v>4.681972429</v>
          </cell>
        </row>
        <row r="1193">
          <cell r="A1193" t="str">
            <v>ANDREW</v>
          </cell>
          <cell r="B1193" t="str">
            <v>DBXLH-6565C-T4M</v>
          </cell>
          <cell r="O1193">
            <v>9.5451824999999992</v>
          </cell>
          <cell r="T1193">
            <v>4.681972429</v>
          </cell>
        </row>
        <row r="1194">
          <cell r="A1194" t="str">
            <v>ANDREW</v>
          </cell>
          <cell r="B1194" t="str">
            <v>DBXLH-6565C-VTM</v>
          </cell>
          <cell r="O1194">
            <v>9.5451824999999992</v>
          </cell>
          <cell r="T1194">
            <v>4.681972429</v>
          </cell>
        </row>
        <row r="1195">
          <cell r="A1195" t="str">
            <v>ANDREW</v>
          </cell>
          <cell r="B1195" t="str">
            <v>DBXLH-8585A-R2M</v>
          </cell>
          <cell r="O1195">
            <v>4.9516497880000001</v>
          </cell>
          <cell r="T1195">
            <v>2.699984535</v>
          </cell>
        </row>
        <row r="1196">
          <cell r="A1196" t="str">
            <v>ANDREW</v>
          </cell>
          <cell r="B1196" t="str">
            <v>DBXLH-8585A-VTM</v>
          </cell>
          <cell r="O1196">
            <v>4.9516497880000001</v>
          </cell>
          <cell r="T1196">
            <v>2.699984535</v>
          </cell>
        </row>
        <row r="1197">
          <cell r="A1197" t="str">
            <v>ANDREW</v>
          </cell>
          <cell r="B1197" t="str">
            <v>DBXLH-8585B-R2M</v>
          </cell>
          <cell r="O1197">
            <v>7.7677466549999998</v>
          </cell>
          <cell r="T1197">
            <v>4.3282640590000003</v>
          </cell>
        </row>
        <row r="1198">
          <cell r="A1198" t="str">
            <v>ANDREW</v>
          </cell>
          <cell r="B1198" t="str">
            <v>DBXLH-8585B-VTM</v>
          </cell>
          <cell r="O1198">
            <v>7.7677466549999998</v>
          </cell>
          <cell r="T1198">
            <v>4.3282640590000003</v>
          </cell>
        </row>
        <row r="1199">
          <cell r="A1199" t="str">
            <v>ANDREW</v>
          </cell>
          <cell r="B1199" t="str">
            <v>DBXLH-9090A-R1M</v>
          </cell>
          <cell r="O1199">
            <v>7.1178015879999998</v>
          </cell>
          <cell r="T1199">
            <v>2.2446287170000003</v>
          </cell>
        </row>
        <row r="1200">
          <cell r="A1200" t="str">
            <v>ANDREW</v>
          </cell>
          <cell r="B1200" t="str">
            <v>DBXLH-9090A-R2M</v>
          </cell>
          <cell r="O1200">
            <v>7.1178015879999998</v>
          </cell>
          <cell r="T1200">
            <v>2.2446287170000003</v>
          </cell>
        </row>
        <row r="1201">
          <cell r="A1201" t="str">
            <v>ANDREW</v>
          </cell>
          <cell r="B1201" t="str">
            <v>DBXLH-9090A-VTM</v>
          </cell>
          <cell r="O1201">
            <v>7.1178015879999998</v>
          </cell>
          <cell r="T1201">
            <v>2.2446287170000003</v>
          </cell>
        </row>
        <row r="1202">
          <cell r="A1202" t="str">
            <v>ANDREW</v>
          </cell>
          <cell r="B1202" t="str">
            <v>DBXLH-9090B-R1M</v>
          </cell>
          <cell r="O1202">
            <v>11.534350890000001</v>
          </cell>
          <cell r="T1202">
            <v>3.6163409579999999</v>
          </cell>
        </row>
        <row r="1203">
          <cell r="A1203" t="str">
            <v>ANDREW</v>
          </cell>
          <cell r="B1203" t="str">
            <v>DBXLH-9090B-R2M</v>
          </cell>
          <cell r="O1203">
            <v>11.534350890000001</v>
          </cell>
          <cell r="T1203">
            <v>3.6163409579999999</v>
          </cell>
        </row>
        <row r="1204">
          <cell r="A1204" t="str">
            <v>ANDREW</v>
          </cell>
          <cell r="B1204" t="str">
            <v>DBXLH-9090B-VTM</v>
          </cell>
          <cell r="O1204">
            <v>11.534350890000001</v>
          </cell>
          <cell r="T1204">
            <v>3.6163409579999999</v>
          </cell>
        </row>
        <row r="1205">
          <cell r="A1205" t="str">
            <v>ANDREW</v>
          </cell>
          <cell r="B1205" t="str">
            <v>DBXLH-9090C-R1M</v>
          </cell>
          <cell r="O1205">
            <v>14.094427999999999</v>
          </cell>
          <cell r="T1205">
            <v>4.4224639309999993</v>
          </cell>
        </row>
        <row r="1206">
          <cell r="A1206" t="str">
            <v>ANDREW</v>
          </cell>
          <cell r="B1206" t="str">
            <v>DBXLH-9090C-R2M</v>
          </cell>
          <cell r="O1206">
            <v>14.094427999999999</v>
          </cell>
          <cell r="T1206">
            <v>4.4224639309999993</v>
          </cell>
        </row>
        <row r="1207">
          <cell r="A1207" t="str">
            <v>ANDREW</v>
          </cell>
          <cell r="B1207" t="str">
            <v>DBXLH-9090C-VTM</v>
          </cell>
          <cell r="O1207">
            <v>14.094427999999999</v>
          </cell>
          <cell r="T1207">
            <v>4.4224639309999993</v>
          </cell>
        </row>
        <row r="1208">
          <cell r="A1208" t="str">
            <v>ANDREW</v>
          </cell>
          <cell r="B1208" t="str">
            <v>DBXNH-6565A-A2M</v>
          </cell>
          <cell r="O1208">
            <v>2.94</v>
          </cell>
          <cell r="T1208">
            <v>1.76</v>
          </cell>
        </row>
        <row r="1209">
          <cell r="A1209" t="str">
            <v>ANDREW</v>
          </cell>
          <cell r="B1209" t="str">
            <v>DBXNH-6565A-R2M</v>
          </cell>
          <cell r="O1209">
            <v>2.94</v>
          </cell>
          <cell r="T1209">
            <v>1.76</v>
          </cell>
        </row>
        <row r="1210">
          <cell r="A1210" t="str">
            <v>ANDREW</v>
          </cell>
          <cell r="B1210" t="str">
            <v>DBXNH-6565A-VTM</v>
          </cell>
          <cell r="O1210">
            <v>2.94</v>
          </cell>
          <cell r="T1210">
            <v>1.76</v>
          </cell>
        </row>
        <row r="1211">
          <cell r="A1211" t="str">
            <v>ANDREW</v>
          </cell>
          <cell r="B1211" t="str">
            <v>DBXNH-6565B-A2M</v>
          </cell>
          <cell r="O1211">
            <v>4.16</v>
          </cell>
          <cell r="T1211">
            <v>2.4899999999999998</v>
          </cell>
        </row>
        <row r="1212">
          <cell r="A1212" t="str">
            <v>ANDREW</v>
          </cell>
          <cell r="B1212" t="str">
            <v>DBXNH-6565B-R2M</v>
          </cell>
          <cell r="O1212">
            <v>4.16</v>
          </cell>
          <cell r="T1212">
            <v>2.4899999999999998</v>
          </cell>
        </row>
        <row r="1213">
          <cell r="A1213" t="str">
            <v>ANDREW</v>
          </cell>
          <cell r="B1213" t="str">
            <v>DBXNH-6565B-VTM</v>
          </cell>
          <cell r="O1213">
            <v>4.16</v>
          </cell>
          <cell r="T1213">
            <v>2.4899999999999998</v>
          </cell>
        </row>
        <row r="1214">
          <cell r="A1214" t="str">
            <v>ANDREW</v>
          </cell>
          <cell r="B1214" t="str">
            <v>DBXNH-6565C-VTM</v>
          </cell>
          <cell r="O1214">
            <v>5.6703366129999999</v>
          </cell>
          <cell r="T1214">
            <v>3.4022068220000001</v>
          </cell>
        </row>
        <row r="1215">
          <cell r="A1215" t="str">
            <v>ANDREW</v>
          </cell>
          <cell r="B1215" t="str">
            <v>DBXNH-8585A</v>
          </cell>
          <cell r="O1215">
            <v>2.936585166</v>
          </cell>
          <cell r="T1215">
            <v>1.7605495019999999</v>
          </cell>
        </row>
        <row r="1216">
          <cell r="A1216" t="str">
            <v>ANDREW</v>
          </cell>
          <cell r="B1216" t="str">
            <v>DBXNH-8585A-A2M</v>
          </cell>
          <cell r="O1216">
            <v>2.936585166</v>
          </cell>
          <cell r="T1216">
            <v>1.7605495019999999</v>
          </cell>
        </row>
        <row r="1217">
          <cell r="A1217" t="str">
            <v>ANDREW</v>
          </cell>
          <cell r="B1217" t="str">
            <v>DBXNH-8585A-R2M</v>
          </cell>
          <cell r="O1217">
            <v>2.936585166</v>
          </cell>
          <cell r="T1217">
            <v>1.7605495019999999</v>
          </cell>
        </row>
        <row r="1218">
          <cell r="A1218" t="str">
            <v>ANDREW</v>
          </cell>
          <cell r="B1218" t="str">
            <v>DBXNH-8585B-R2M</v>
          </cell>
          <cell r="O1218">
            <v>4.159146894</v>
          </cell>
          <cell r="T1218">
            <v>2.4932440119999999</v>
          </cell>
        </row>
        <row r="1219">
          <cell r="A1219" t="str">
            <v>ANDREW</v>
          </cell>
          <cell r="B1219" t="str">
            <v>DBXNH-8585B-VTM</v>
          </cell>
          <cell r="O1219">
            <v>4.159146894</v>
          </cell>
          <cell r="T1219">
            <v>2.4932440119999999</v>
          </cell>
        </row>
        <row r="1220">
          <cell r="A1220" t="str">
            <v>ANDREW</v>
          </cell>
          <cell r="B1220" t="str">
            <v>DBXNH-8585C-R2M</v>
          </cell>
          <cell r="O1220">
            <v>5.67</v>
          </cell>
          <cell r="T1220">
            <v>3.4</v>
          </cell>
        </row>
        <row r="1221">
          <cell r="A1221" t="str">
            <v>ANDREW</v>
          </cell>
          <cell r="B1221" t="str">
            <v>DBXTH-6565A-R2M</v>
          </cell>
          <cell r="O1221">
            <v>4.7041073499999992</v>
          </cell>
          <cell r="T1221">
            <v>2.3524760339999999</v>
          </cell>
        </row>
        <row r="1222">
          <cell r="A1222" t="str">
            <v>ANDREW</v>
          </cell>
          <cell r="B1222" t="str">
            <v>DBXTH-6565A-VTM</v>
          </cell>
          <cell r="O1222">
            <v>4.7041073499999992</v>
          </cell>
          <cell r="T1222">
            <v>2.3524760339999999</v>
          </cell>
        </row>
        <row r="1223">
          <cell r="A1223" t="str">
            <v>ANDREW</v>
          </cell>
          <cell r="B1223" t="str">
            <v>DBXTH-6565B-R2M</v>
          </cell>
          <cell r="O1223">
            <v>7.1318576389999997</v>
          </cell>
          <cell r="T1223">
            <v>3.5724427269999999</v>
          </cell>
        </row>
        <row r="1224">
          <cell r="A1224" t="str">
            <v>ANDREW</v>
          </cell>
          <cell r="B1224" t="str">
            <v>DBXTH-6565B-VTM</v>
          </cell>
          <cell r="O1224">
            <v>7.1318576389999997</v>
          </cell>
          <cell r="T1224">
            <v>3.5724427269999999</v>
          </cell>
        </row>
        <row r="1225">
          <cell r="A1225" t="str">
            <v>ANDREW</v>
          </cell>
          <cell r="B1225" t="str">
            <v>DBXTH-6565C-R2M</v>
          </cell>
          <cell r="O1225">
            <v>9.5451824999999992</v>
          </cell>
          <cell r="T1225">
            <v>4.681972429</v>
          </cell>
        </row>
        <row r="1226">
          <cell r="A1226" t="str">
            <v>ANDREW</v>
          </cell>
          <cell r="B1226" t="str">
            <v>DBXTH-6565C-VTM</v>
          </cell>
          <cell r="O1226">
            <v>9.5451824999999992</v>
          </cell>
          <cell r="T1226">
            <v>4.681972429</v>
          </cell>
        </row>
        <row r="1227">
          <cell r="A1227" t="str">
            <v>ANDREW</v>
          </cell>
          <cell r="B1227" t="str">
            <v>DL-2400</v>
          </cell>
          <cell r="O1227"/>
          <cell r="T1227"/>
        </row>
        <row r="1228">
          <cell r="A1228" t="str">
            <v>ANDREW</v>
          </cell>
          <cell r="B1228" t="str">
            <v>DMA18W090-H</v>
          </cell>
          <cell r="O1228"/>
          <cell r="T1228"/>
        </row>
        <row r="1229">
          <cell r="A1229" t="str">
            <v>ANDREW</v>
          </cell>
          <cell r="B1229" t="str">
            <v>DMP16WNQ090-H</v>
          </cell>
          <cell r="O1229"/>
          <cell r="T1229"/>
        </row>
        <row r="1230">
          <cell r="A1230" t="str">
            <v>ANDREW</v>
          </cell>
          <cell r="B1230" t="str">
            <v>DMP16WNQ090-V</v>
          </cell>
          <cell r="O1230"/>
          <cell r="T1230"/>
        </row>
        <row r="1231">
          <cell r="A1231" t="str">
            <v>ANDREW</v>
          </cell>
          <cell r="B1231" t="str">
            <v>DMP18NQ090-H</v>
          </cell>
          <cell r="O1231"/>
          <cell r="T1231"/>
        </row>
        <row r="1232">
          <cell r="A1232" t="str">
            <v>ANDREW</v>
          </cell>
          <cell r="B1232" t="str">
            <v>DMP18WNQ090-H</v>
          </cell>
          <cell r="O1232"/>
          <cell r="T1232"/>
        </row>
        <row r="1233">
          <cell r="A1233" t="str">
            <v>ANDREW</v>
          </cell>
          <cell r="B1233" t="str">
            <v>DMP18WNQ90-V</v>
          </cell>
          <cell r="O1233"/>
          <cell r="T1233"/>
        </row>
        <row r="1234">
          <cell r="A1234" t="str">
            <v>ANDREW</v>
          </cell>
          <cell r="B1234" t="str">
            <v>DR90-11-00DBL</v>
          </cell>
          <cell r="O1234">
            <v>11.18565074</v>
          </cell>
          <cell r="T1234">
            <v>6.7353053039999988</v>
          </cell>
        </row>
        <row r="1235">
          <cell r="A1235" t="str">
            <v>ANDREW</v>
          </cell>
          <cell r="B1235" t="str">
            <v>ES46</v>
          </cell>
          <cell r="O1235"/>
          <cell r="T1235"/>
        </row>
        <row r="1236">
          <cell r="A1236" t="str">
            <v>ANDREW</v>
          </cell>
          <cell r="B1236" t="str">
            <v>ES49</v>
          </cell>
          <cell r="O1236"/>
          <cell r="T1236"/>
        </row>
        <row r="1237">
          <cell r="A1237" t="str">
            <v>ANDREW</v>
          </cell>
          <cell r="B1237" t="str">
            <v>FFVV-65C-R2-CM_20250307_TMO</v>
          </cell>
          <cell r="O1237"/>
          <cell r="T1237"/>
        </row>
        <row r="1238">
          <cell r="A1238" t="str">
            <v>ANDREW</v>
          </cell>
          <cell r="B1238" t="str">
            <v>FP10F-23</v>
          </cell>
          <cell r="O1238"/>
          <cell r="T1238"/>
        </row>
        <row r="1239">
          <cell r="A1239" t="str">
            <v>ANDREW</v>
          </cell>
          <cell r="B1239" t="str">
            <v>FPA2400-16-1</v>
          </cell>
          <cell r="O1239"/>
          <cell r="T1239"/>
        </row>
        <row r="1240">
          <cell r="A1240" t="str">
            <v>ANDREW</v>
          </cell>
          <cell r="B1240" t="str">
            <v>FPA5150-16-1</v>
          </cell>
          <cell r="O1240"/>
          <cell r="T1240"/>
        </row>
        <row r="1241">
          <cell r="A1241" t="str">
            <v>ANDREW</v>
          </cell>
          <cell r="B1241" t="str">
            <v>FPA5150-16PM-1</v>
          </cell>
          <cell r="O1241"/>
          <cell r="T1241"/>
        </row>
        <row r="1242">
          <cell r="A1242" t="str">
            <v>ANDREW</v>
          </cell>
          <cell r="B1242" t="str">
            <v>FPA5150-23-1</v>
          </cell>
          <cell r="O1242"/>
          <cell r="T1242"/>
        </row>
        <row r="1243">
          <cell r="A1243" t="str">
            <v>ANDREW</v>
          </cell>
          <cell r="B1243" t="str">
            <v>FPA5150-23PM-1</v>
          </cell>
          <cell r="O1243"/>
          <cell r="T1243"/>
        </row>
        <row r="1244">
          <cell r="A1244" t="str">
            <v>ANDREW</v>
          </cell>
          <cell r="B1244" t="str">
            <v>FPA5250D06-N</v>
          </cell>
          <cell r="O1244"/>
          <cell r="T1244"/>
        </row>
        <row r="1245">
          <cell r="A1245" t="str">
            <v>ANDREW</v>
          </cell>
          <cell r="B1245" t="str">
            <v>FPA5250D12-N</v>
          </cell>
          <cell r="O1245"/>
          <cell r="T1245"/>
        </row>
        <row r="1246">
          <cell r="A1246" t="str">
            <v>ANDREW</v>
          </cell>
          <cell r="B1246" t="str">
            <v>FPA5250D24-N</v>
          </cell>
          <cell r="O1246"/>
          <cell r="T1246"/>
        </row>
        <row r="1247">
          <cell r="A1247" t="str">
            <v>ANDREW</v>
          </cell>
          <cell r="B1247" t="str">
            <v>FPHP4F-13</v>
          </cell>
          <cell r="O1247"/>
          <cell r="T1247"/>
        </row>
        <row r="1248">
          <cell r="A1248" t="str">
            <v>ANDREW</v>
          </cell>
          <cell r="B1248" t="str">
            <v>FPHP6F-13</v>
          </cell>
          <cell r="O1248"/>
          <cell r="T1248"/>
        </row>
        <row r="1249">
          <cell r="A1249" t="str">
            <v>ANDREW</v>
          </cell>
          <cell r="B1249" t="str">
            <v>FPHP8F-13</v>
          </cell>
          <cell r="O1249"/>
          <cell r="T1249"/>
        </row>
        <row r="1250">
          <cell r="A1250" t="str">
            <v>ANDREW</v>
          </cell>
          <cell r="B1250" t="str">
            <v>FPX6-23</v>
          </cell>
          <cell r="O1250"/>
          <cell r="T1250"/>
        </row>
        <row r="1251">
          <cell r="A1251" t="str">
            <v>ANDREW</v>
          </cell>
          <cell r="B1251" t="str">
            <v>FR65-13-00DBL2</v>
          </cell>
          <cell r="O1251">
            <v>8.176090975000001</v>
          </cell>
          <cell r="T1251">
            <v>4.9236840050000001</v>
          </cell>
        </row>
        <row r="1252">
          <cell r="A1252" t="str">
            <v>ANDREW</v>
          </cell>
          <cell r="B1252" t="str">
            <v>FR65-17-04DP</v>
          </cell>
          <cell r="O1252">
            <v>4.5185361789999998</v>
          </cell>
          <cell r="T1252">
            <v>1.541157745</v>
          </cell>
        </row>
        <row r="1253">
          <cell r="A1253" t="str">
            <v>ANDREW</v>
          </cell>
          <cell r="B1253" t="str">
            <v>FR90-13-00DBL2</v>
          </cell>
          <cell r="O1253">
            <v>11.18565074</v>
          </cell>
          <cell r="T1253">
            <v>6.7353053039999988</v>
          </cell>
        </row>
        <row r="1254">
          <cell r="A1254" t="str">
            <v>ANDREW</v>
          </cell>
          <cell r="B1254" t="str">
            <v>FR90-16-02DP</v>
          </cell>
          <cell r="O1254">
            <v>4.5185361789999998</v>
          </cell>
          <cell r="T1254">
            <v>1.541157745</v>
          </cell>
        </row>
        <row r="1255">
          <cell r="A1255" t="str">
            <v>ANDREW</v>
          </cell>
          <cell r="B1255" t="str">
            <v>FV65-15-05DA2</v>
          </cell>
          <cell r="O1255">
            <v>11.18565074</v>
          </cell>
          <cell r="T1255">
            <v>6.7353053039999988</v>
          </cell>
        </row>
        <row r="1256">
          <cell r="A1256" t="str">
            <v>ANDREW</v>
          </cell>
          <cell r="B1256" t="str">
            <v>FV90-12-00DBL2</v>
          </cell>
          <cell r="O1256">
            <v>8.176090975000001</v>
          </cell>
          <cell r="T1256">
            <v>4.9236840050000001</v>
          </cell>
        </row>
        <row r="1257">
          <cell r="A1257" t="str">
            <v>ANDREW</v>
          </cell>
          <cell r="B1257" t="str">
            <v>FVV-65A-R3_20250327_TMO</v>
          </cell>
          <cell r="O1257"/>
          <cell r="T1257"/>
        </row>
        <row r="1258">
          <cell r="A1258" t="str">
            <v>ANDREW</v>
          </cell>
          <cell r="B1258" t="str">
            <v>FVV-65B-R3_20250722_TMO</v>
          </cell>
          <cell r="O1258"/>
          <cell r="T1258"/>
        </row>
        <row r="1259">
          <cell r="A1259" t="str">
            <v>ANDREW</v>
          </cell>
          <cell r="B1259" t="str">
            <v>GKA12-19N</v>
          </cell>
          <cell r="O1259"/>
          <cell r="T1259"/>
        </row>
        <row r="1260">
          <cell r="A1260" t="str">
            <v>ANDREW</v>
          </cell>
          <cell r="B1260" t="str">
            <v>GP10F-21A</v>
          </cell>
          <cell r="O1260"/>
          <cell r="T1260"/>
        </row>
        <row r="1261">
          <cell r="A1261" t="str">
            <v>ANDREW</v>
          </cell>
          <cell r="B1261" t="str">
            <v>GP12F-21A</v>
          </cell>
          <cell r="O1261"/>
          <cell r="T1261"/>
        </row>
        <row r="1262">
          <cell r="A1262" t="str">
            <v>ANDREW</v>
          </cell>
          <cell r="B1262" t="str">
            <v>GP6F-21A</v>
          </cell>
          <cell r="O1262"/>
          <cell r="T1262"/>
        </row>
        <row r="1263">
          <cell r="A1263" t="str">
            <v>ANDREW</v>
          </cell>
          <cell r="B1263" t="str">
            <v>GP6F-890A</v>
          </cell>
          <cell r="O1263"/>
          <cell r="T1263"/>
        </row>
        <row r="1264">
          <cell r="A1264" t="str">
            <v>ANDREW</v>
          </cell>
          <cell r="B1264" t="str">
            <v>GP8F-21A</v>
          </cell>
          <cell r="O1264"/>
          <cell r="T1264"/>
        </row>
        <row r="1265">
          <cell r="A1265" t="str">
            <v>ANDREW</v>
          </cell>
          <cell r="B1265" t="str">
            <v>GPS-QBW-20N</v>
          </cell>
          <cell r="O1265"/>
          <cell r="T1265"/>
        </row>
        <row r="1266">
          <cell r="A1266" t="str">
            <v>ANDREW</v>
          </cell>
          <cell r="B1266" t="str">
            <v>GPS-QBW-26N</v>
          </cell>
          <cell r="O1266"/>
          <cell r="T1266"/>
        </row>
        <row r="1267">
          <cell r="A1267" t="str">
            <v>ANDREW</v>
          </cell>
          <cell r="B1267" t="str">
            <v>H16C060-890VC-ANG</v>
          </cell>
          <cell r="O1267">
            <v>13.133593462761999</v>
          </cell>
          <cell r="T1267">
            <v>3.2762126098621098</v>
          </cell>
        </row>
        <row r="1268">
          <cell r="A1268" t="str">
            <v>ANDREW</v>
          </cell>
          <cell r="B1268" t="str">
            <v>HBV-3020DS-T0M</v>
          </cell>
          <cell r="O1268"/>
          <cell r="T1268"/>
        </row>
        <row r="1269">
          <cell r="A1269" t="str">
            <v>ANDREW</v>
          </cell>
          <cell r="B1269" t="str">
            <v>HBV-6516LS-VTM</v>
          </cell>
          <cell r="O1269"/>
          <cell r="T1269"/>
        </row>
        <row r="1270">
          <cell r="A1270" t="str">
            <v>ANDREW</v>
          </cell>
          <cell r="B1270" t="str">
            <v>HBV-6517DS-T0M</v>
          </cell>
          <cell r="O1270">
            <v>3.3357648529999997</v>
          </cell>
          <cell r="T1270">
            <v>1.6668852889999999</v>
          </cell>
        </row>
        <row r="1271">
          <cell r="A1271" t="str">
            <v>ANDREW</v>
          </cell>
          <cell r="B1271" t="str">
            <v>HBV-6517DS-T2M</v>
          </cell>
          <cell r="O1271">
            <v>3.3357648529999997</v>
          </cell>
          <cell r="T1271">
            <v>1.6668852889999999</v>
          </cell>
        </row>
        <row r="1272">
          <cell r="A1272" t="str">
            <v>ANDREW</v>
          </cell>
          <cell r="B1272" t="str">
            <v>HBX-3319DS-A1M</v>
          </cell>
          <cell r="O1272">
            <v>5.2257741129999991</v>
          </cell>
          <cell r="T1272">
            <v>2.5726164480000002</v>
          </cell>
        </row>
        <row r="1273">
          <cell r="A1273" t="str">
            <v>ANDREW</v>
          </cell>
          <cell r="B1273" t="str">
            <v>HBX-3319DS-R2M</v>
          </cell>
          <cell r="O1273">
            <v>5.2257741129999991</v>
          </cell>
          <cell r="T1273">
            <v>2.5726164480000002</v>
          </cell>
        </row>
        <row r="1274">
          <cell r="A1274" t="str">
            <v>ANDREW</v>
          </cell>
          <cell r="B1274" t="str">
            <v>HBX-3319DS-T0M</v>
          </cell>
          <cell r="O1274">
            <v>5.2257741129999991</v>
          </cell>
          <cell r="T1274">
            <v>2.5726164480000002</v>
          </cell>
        </row>
        <row r="1275">
          <cell r="A1275" t="str">
            <v>ANDREW</v>
          </cell>
          <cell r="B1275" t="str">
            <v>HBX-3319DS-T2M</v>
          </cell>
          <cell r="O1275">
            <v>5.2257741129999991</v>
          </cell>
          <cell r="T1275">
            <v>2.5726164480000002</v>
          </cell>
        </row>
        <row r="1276">
          <cell r="A1276" t="str">
            <v>ANDREW</v>
          </cell>
          <cell r="B1276" t="str">
            <v>HBX-3319DS-VTM</v>
          </cell>
          <cell r="O1276">
            <v>5.2257741129999991</v>
          </cell>
          <cell r="T1276">
            <v>2.5726164480000002</v>
          </cell>
        </row>
        <row r="1277">
          <cell r="A1277" t="str">
            <v>ANDREW</v>
          </cell>
          <cell r="B1277" t="str">
            <v>HBX-4517DS-A1M</v>
          </cell>
          <cell r="O1277">
            <v>5.2257741129999991</v>
          </cell>
          <cell r="T1277">
            <v>2.5726164480000002</v>
          </cell>
        </row>
        <row r="1278">
          <cell r="A1278" t="str">
            <v>ANDREW</v>
          </cell>
          <cell r="B1278" t="str">
            <v>HBX-4517DS-R2M</v>
          </cell>
          <cell r="O1278">
            <v>5.2257741129999991</v>
          </cell>
          <cell r="T1278">
            <v>2.5726164480000002</v>
          </cell>
        </row>
        <row r="1279">
          <cell r="A1279" t="str">
            <v>ANDREW</v>
          </cell>
          <cell r="B1279" t="str">
            <v>HBX-4517DS-VTM</v>
          </cell>
          <cell r="O1279">
            <v>5.2257741129999991</v>
          </cell>
          <cell r="T1279">
            <v>2.5726164480000002</v>
          </cell>
        </row>
        <row r="1280">
          <cell r="A1280" t="str">
            <v>ANDREW</v>
          </cell>
          <cell r="B1280" t="str">
            <v>HBX-4517ESA-T2M</v>
          </cell>
          <cell r="O1280">
            <v>5.5061161719999996</v>
          </cell>
          <cell r="T1280">
            <v>2.0944132389999996</v>
          </cell>
        </row>
        <row r="1281">
          <cell r="A1281" t="str">
            <v>ANDREW</v>
          </cell>
          <cell r="B1281" t="str">
            <v>HBX-4519DS-R2M</v>
          </cell>
          <cell r="O1281">
            <v>7.0252168629999989</v>
          </cell>
          <cell r="T1281">
            <v>3.4544267839999998</v>
          </cell>
        </row>
        <row r="1282">
          <cell r="A1282" t="str">
            <v>ANDREW</v>
          </cell>
          <cell r="B1282" t="str">
            <v>HBX-4519DS-VTM</v>
          </cell>
          <cell r="O1282">
            <v>7.0252168629999989</v>
          </cell>
          <cell r="T1282">
            <v>3.4544267839999998</v>
          </cell>
        </row>
        <row r="1283">
          <cell r="A1283" t="str">
            <v>ANDREW</v>
          </cell>
          <cell r="B1283" t="str">
            <v>HBX-6513DS-A1M</v>
          </cell>
          <cell r="O1283">
            <v>1.0957296489999999</v>
          </cell>
          <cell r="T1283">
            <v>0.54855215199999996</v>
          </cell>
        </row>
        <row r="1284">
          <cell r="A1284" t="str">
            <v>ANDREW</v>
          </cell>
          <cell r="B1284" t="str">
            <v>HBX-6513DS-T6M</v>
          </cell>
          <cell r="O1284">
            <v>1.0957296489999999</v>
          </cell>
          <cell r="T1284">
            <v>0.54855215199999996</v>
          </cell>
        </row>
        <row r="1285">
          <cell r="A1285" t="str">
            <v>ANDREW</v>
          </cell>
          <cell r="B1285" t="str">
            <v>HBX-6513DS-VTM</v>
          </cell>
          <cell r="O1285">
            <v>1.0957296489999999</v>
          </cell>
          <cell r="T1285">
            <v>0.54855215199999996</v>
          </cell>
        </row>
        <row r="1286">
          <cell r="A1286" t="str">
            <v>ANDREW</v>
          </cell>
          <cell r="B1286" t="str">
            <v>HBX-6515DS-T2M</v>
          </cell>
          <cell r="O1286">
            <v>4.5105888309999989</v>
          </cell>
          <cell r="T1286">
            <v>2.2545979849999997</v>
          </cell>
        </row>
        <row r="1287">
          <cell r="A1287" t="str">
            <v>ANDREW</v>
          </cell>
          <cell r="B1287" t="str">
            <v>HBX-6516DS-A1M</v>
          </cell>
          <cell r="O1287">
            <v>2.1752799399999998</v>
          </cell>
          <cell r="T1287">
            <v>1.0866312459999998</v>
          </cell>
        </row>
        <row r="1288">
          <cell r="A1288" t="str">
            <v>ANDREW</v>
          </cell>
          <cell r="B1288" t="str">
            <v>HBX-6516DS-R2M</v>
          </cell>
          <cell r="O1288">
            <v>2.1752799399999998</v>
          </cell>
          <cell r="T1288">
            <v>1.0866312459999998</v>
          </cell>
        </row>
        <row r="1289">
          <cell r="A1289" t="str">
            <v>ANDREW</v>
          </cell>
          <cell r="B1289" t="str">
            <v>HBX-6516DS-T0M</v>
          </cell>
          <cell r="O1289">
            <v>2.1752799399999998</v>
          </cell>
          <cell r="T1289">
            <v>1.0866312459999998</v>
          </cell>
        </row>
        <row r="1290">
          <cell r="A1290" t="str">
            <v>ANDREW</v>
          </cell>
          <cell r="B1290" t="str">
            <v>HBX-6516DS-T2M</v>
          </cell>
          <cell r="O1290">
            <v>2.1752799399999998</v>
          </cell>
          <cell r="T1290">
            <v>1.0866312459999998</v>
          </cell>
        </row>
        <row r="1291">
          <cell r="A1291" t="str">
            <v>ANDREW</v>
          </cell>
          <cell r="B1291" t="str">
            <v>HBX-6516DS-T4M</v>
          </cell>
          <cell r="O1291">
            <v>2.1752799399999998</v>
          </cell>
          <cell r="T1291">
            <v>1.0866312459999998</v>
          </cell>
        </row>
        <row r="1292">
          <cell r="A1292" t="str">
            <v>ANDREW</v>
          </cell>
          <cell r="B1292" t="str">
            <v>HBX-6516DS-VTM</v>
          </cell>
          <cell r="O1292">
            <v>2.1752799399999998</v>
          </cell>
          <cell r="T1292">
            <v>1.0866312459999998</v>
          </cell>
        </row>
        <row r="1293">
          <cell r="A1293" t="str">
            <v>ANDREW</v>
          </cell>
          <cell r="B1293" t="str">
            <v>HBX-6517DS-A1M</v>
          </cell>
          <cell r="O1293">
            <v>3.2196059990000001</v>
          </cell>
          <cell r="T1293">
            <v>1.6064283559999999</v>
          </cell>
        </row>
        <row r="1294">
          <cell r="A1294" t="str">
            <v>ANDREW</v>
          </cell>
          <cell r="B1294" t="str">
            <v>HBX-6517DS-R2M</v>
          </cell>
          <cell r="O1294">
            <v>3.2196059990000001</v>
          </cell>
          <cell r="T1294">
            <v>1.6064283559999999</v>
          </cell>
        </row>
        <row r="1295">
          <cell r="A1295" t="str">
            <v>ANDREW</v>
          </cell>
          <cell r="B1295" t="str">
            <v>HBX-6517DS-T0M</v>
          </cell>
          <cell r="O1295">
            <v>3.2196059990000001</v>
          </cell>
          <cell r="T1295">
            <v>1.6064283559999999</v>
          </cell>
        </row>
        <row r="1296">
          <cell r="A1296" t="str">
            <v>ANDREW</v>
          </cell>
          <cell r="B1296" t="str">
            <v>HBX-6517DS-T2M</v>
          </cell>
          <cell r="O1296">
            <v>3.2196059990000001</v>
          </cell>
          <cell r="T1296">
            <v>1.6064283559999999</v>
          </cell>
        </row>
        <row r="1297">
          <cell r="A1297" t="str">
            <v>ANDREW</v>
          </cell>
          <cell r="B1297" t="str">
            <v>HBX-6517DS-T4M</v>
          </cell>
          <cell r="O1297">
            <v>3.2196059990000001</v>
          </cell>
          <cell r="T1297">
            <v>1.6064283559999999</v>
          </cell>
        </row>
        <row r="1298">
          <cell r="A1298" t="str">
            <v>ANDREW</v>
          </cell>
          <cell r="B1298" t="str">
            <v>HBX-6517DS-VTM</v>
          </cell>
          <cell r="O1298">
            <v>3.2196059990000001</v>
          </cell>
          <cell r="T1298">
            <v>1.6064283559999999</v>
          </cell>
        </row>
        <row r="1299">
          <cell r="A1299" t="str">
            <v>ANDREW</v>
          </cell>
          <cell r="B1299" t="str">
            <v>HBX-6519DS-T0M</v>
          </cell>
          <cell r="O1299">
            <v>4.5105888309999989</v>
          </cell>
          <cell r="T1299">
            <v>2.2545979849999997</v>
          </cell>
        </row>
        <row r="1300">
          <cell r="A1300" t="str">
            <v>ANDREW</v>
          </cell>
          <cell r="B1300" t="str">
            <v>HBX-6519DS-T2M</v>
          </cell>
          <cell r="O1300">
            <v>4.5105888309999989</v>
          </cell>
          <cell r="T1300">
            <v>2.2545979849999997</v>
          </cell>
        </row>
        <row r="1301">
          <cell r="A1301" t="str">
            <v>ANDREW</v>
          </cell>
          <cell r="B1301" t="str">
            <v>HBX-6561DS-R2M</v>
          </cell>
          <cell r="O1301">
            <v>2.1752799399999998</v>
          </cell>
          <cell r="T1301">
            <v>1.0866312459999998</v>
          </cell>
        </row>
        <row r="1302">
          <cell r="A1302" t="str">
            <v>ANDREW</v>
          </cell>
          <cell r="B1302" t="str">
            <v>HBX-6561DS-VTM</v>
          </cell>
          <cell r="O1302">
            <v>2.1752799399999998</v>
          </cell>
          <cell r="T1302">
            <v>1.0866312459999998</v>
          </cell>
        </row>
        <row r="1303">
          <cell r="A1303" t="str">
            <v>ANDREW</v>
          </cell>
          <cell r="B1303" t="str">
            <v>HBX-9014DS-A1M</v>
          </cell>
          <cell r="O1303">
            <v>2.0953996610000001</v>
          </cell>
          <cell r="T1303">
            <v>1.187071475</v>
          </cell>
        </row>
        <row r="1304">
          <cell r="A1304" t="str">
            <v>ANDREW</v>
          </cell>
          <cell r="B1304" t="str">
            <v>HBX-9014DS-R2M</v>
          </cell>
          <cell r="O1304">
            <v>2.0953996610000001</v>
          </cell>
          <cell r="T1304">
            <v>1.187071475</v>
          </cell>
        </row>
        <row r="1305">
          <cell r="A1305" t="str">
            <v>ANDREW</v>
          </cell>
          <cell r="B1305" t="str">
            <v>HBX-9014DS-T2M</v>
          </cell>
          <cell r="O1305">
            <v>2.1613035909999998</v>
          </cell>
          <cell r="T1305">
            <v>1.1093340190000001</v>
          </cell>
        </row>
        <row r="1306">
          <cell r="A1306" t="str">
            <v>ANDREW</v>
          </cell>
          <cell r="B1306" t="str">
            <v>HBX-9014DS-VTM</v>
          </cell>
          <cell r="O1306">
            <v>2.0953996610000001</v>
          </cell>
          <cell r="T1306">
            <v>1.187071475</v>
          </cell>
        </row>
        <row r="1307">
          <cell r="A1307" t="str">
            <v>ANDREW</v>
          </cell>
          <cell r="B1307" t="str">
            <v>HBX-9016DS-R2M</v>
          </cell>
          <cell r="O1307">
            <v>3.2136996559999997</v>
          </cell>
          <cell r="T1307">
            <v>1.8193400049999999</v>
          </cell>
        </row>
        <row r="1308">
          <cell r="A1308" t="str">
            <v>ANDREW</v>
          </cell>
          <cell r="B1308" t="str">
            <v>HBX-9016DS-RTM</v>
          </cell>
          <cell r="O1308">
            <v>3.2136996559999997</v>
          </cell>
          <cell r="T1308">
            <v>1.8193400049999999</v>
          </cell>
        </row>
        <row r="1309">
          <cell r="A1309" t="str">
            <v>ANDREW</v>
          </cell>
          <cell r="B1309" t="str">
            <v>HBX-9016DS-T0M</v>
          </cell>
          <cell r="O1309">
            <v>3.2136996559999997</v>
          </cell>
          <cell r="T1309">
            <v>1.8193400049999999</v>
          </cell>
        </row>
        <row r="1310">
          <cell r="A1310" t="str">
            <v>ANDREW</v>
          </cell>
          <cell r="B1310" t="str">
            <v>HBX-9016DS-T2M</v>
          </cell>
          <cell r="O1310">
            <v>3.2136996559999997</v>
          </cell>
          <cell r="T1310">
            <v>1.8193400049999999</v>
          </cell>
        </row>
        <row r="1311">
          <cell r="A1311" t="str">
            <v>ANDREW</v>
          </cell>
          <cell r="B1311" t="str">
            <v>HBX-9016DS-VTM</v>
          </cell>
          <cell r="O1311">
            <v>3.2136996559999997</v>
          </cell>
          <cell r="T1311">
            <v>1.8193400049999999</v>
          </cell>
        </row>
        <row r="1312">
          <cell r="A1312" t="str">
            <v>ANDREW</v>
          </cell>
          <cell r="B1312" t="str">
            <v>HBXX-3319DS-R2M</v>
          </cell>
          <cell r="O1312">
            <v>11.582783559999989</v>
          </cell>
          <cell r="T1312">
            <v>2.65657816</v>
          </cell>
        </row>
        <row r="1313">
          <cell r="A1313" t="str">
            <v>ANDREW</v>
          </cell>
          <cell r="B1313" t="str">
            <v>HBXX-3817TB-A2M</v>
          </cell>
          <cell r="O1313">
            <v>2.8805136</v>
          </cell>
          <cell r="T1313">
            <v>1.7280827949999999</v>
          </cell>
        </row>
        <row r="1314">
          <cell r="A1314" t="str">
            <v>ANDREW</v>
          </cell>
          <cell r="B1314" t="str">
            <v>HBXX-3817TB-R2M</v>
          </cell>
          <cell r="O1314">
            <v>2.8805136</v>
          </cell>
          <cell r="T1314">
            <v>1.7280827949999999</v>
          </cell>
        </row>
        <row r="1315">
          <cell r="A1315" t="str">
            <v>ANDREW</v>
          </cell>
          <cell r="B1315" t="str">
            <v>HBXX-3817TB-VTM</v>
          </cell>
          <cell r="O1315">
            <v>2.8805136</v>
          </cell>
          <cell r="T1315">
            <v>1.7280827949999999</v>
          </cell>
        </row>
        <row r="1316">
          <cell r="A1316" t="str">
            <v>ANDREW</v>
          </cell>
          <cell r="B1316" t="str">
            <v>HBXX-6513DS-A2M</v>
          </cell>
          <cell r="O1316">
            <v>2.6500578699999999</v>
          </cell>
          <cell r="T1316">
            <v>1.4447105259999999</v>
          </cell>
        </row>
        <row r="1317">
          <cell r="A1317" t="str">
            <v>ANDREW</v>
          </cell>
          <cell r="B1317" t="str">
            <v>HBXX-6516DS-A2M</v>
          </cell>
          <cell r="O1317">
            <v>5.1893053809999996</v>
          </cell>
          <cell r="T1317">
            <v>2.8978417429999999</v>
          </cell>
        </row>
        <row r="1318">
          <cell r="A1318" t="str">
            <v>ANDREW</v>
          </cell>
          <cell r="B1318" t="str">
            <v>HBXX-6516DS-R2M</v>
          </cell>
          <cell r="O1318">
            <v>5.1893053809999996</v>
          </cell>
          <cell r="T1318">
            <v>2.8978417429999999</v>
          </cell>
        </row>
        <row r="1319">
          <cell r="A1319" t="str">
            <v>ANDREW</v>
          </cell>
          <cell r="B1319" t="str">
            <v>HBXX-6516DS-VTM</v>
          </cell>
          <cell r="O1319">
            <v>5.1893053809999996</v>
          </cell>
          <cell r="T1319">
            <v>2.8978417429999999</v>
          </cell>
        </row>
        <row r="1320">
          <cell r="A1320" t="str">
            <v>ANDREW</v>
          </cell>
          <cell r="B1320" t="str">
            <v>HBXX-6517DS-A2M</v>
          </cell>
          <cell r="O1320">
            <v>8.0202867100000006</v>
          </cell>
          <cell r="T1320">
            <v>4.3686218139999999</v>
          </cell>
        </row>
        <row r="1321">
          <cell r="A1321" t="str">
            <v>ANDREW</v>
          </cell>
          <cell r="B1321" t="str">
            <v>HBXX-6517DS-R2M</v>
          </cell>
          <cell r="O1321">
            <v>8.0202867100000006</v>
          </cell>
          <cell r="T1321">
            <v>4.3686218139999999</v>
          </cell>
        </row>
        <row r="1322">
          <cell r="A1322" t="str">
            <v>ANDREW</v>
          </cell>
          <cell r="B1322" t="str">
            <v>HBXX-6517DS-VTM</v>
          </cell>
          <cell r="O1322">
            <v>8.0202867100000006</v>
          </cell>
          <cell r="T1322">
            <v>4.3686218139999999</v>
          </cell>
        </row>
        <row r="1323">
          <cell r="A1323" t="str">
            <v>ANDREW</v>
          </cell>
          <cell r="B1323" t="str">
            <v>HBXX-9014DS-A2M</v>
          </cell>
          <cell r="O1323">
            <v>5.1893053809999996</v>
          </cell>
          <cell r="T1323">
            <v>2.8978417429999999</v>
          </cell>
        </row>
        <row r="1324">
          <cell r="A1324" t="str">
            <v>ANDREW</v>
          </cell>
          <cell r="B1324" t="str">
            <v>HBXX-9014DS-VTM</v>
          </cell>
          <cell r="O1324">
            <v>5.1893053809999996</v>
          </cell>
          <cell r="T1324">
            <v>2.8978417429999999</v>
          </cell>
        </row>
        <row r="1325">
          <cell r="A1325" t="str">
            <v>ANDREW</v>
          </cell>
          <cell r="B1325" t="str">
            <v>HBXX-9016DS-R2M</v>
          </cell>
          <cell r="O1325">
            <v>7.9399999999999995</v>
          </cell>
          <cell r="T1325">
            <v>4.43</v>
          </cell>
        </row>
        <row r="1326">
          <cell r="A1326" t="str">
            <v>ANDREW</v>
          </cell>
          <cell r="B1326" t="str">
            <v>HBXX-9016DS-RTM</v>
          </cell>
          <cell r="O1326">
            <v>7.9399999999999995</v>
          </cell>
          <cell r="T1326">
            <v>4.43</v>
          </cell>
        </row>
        <row r="1327">
          <cell r="A1327" t="str">
            <v>ANDREW</v>
          </cell>
          <cell r="B1327" t="str">
            <v>HBXX-9016DS-VTM</v>
          </cell>
          <cell r="O1327">
            <v>7.9399999999999995</v>
          </cell>
          <cell r="T1327">
            <v>4.43</v>
          </cell>
        </row>
        <row r="1328">
          <cell r="A1328" t="str">
            <v>ANDREW</v>
          </cell>
          <cell r="B1328" t="str">
            <v>HD8F-21A</v>
          </cell>
          <cell r="O1328"/>
          <cell r="T1328"/>
        </row>
        <row r="1329">
          <cell r="A1329" t="str">
            <v>ANDREW</v>
          </cell>
          <cell r="B1329" t="str">
            <v>HDV6-65</v>
          </cell>
          <cell r="O1329"/>
          <cell r="T1329"/>
        </row>
        <row r="1330">
          <cell r="A1330" t="str">
            <v>ANDREW</v>
          </cell>
          <cell r="B1330" t="str">
            <v>HDV8-65</v>
          </cell>
          <cell r="O1330"/>
          <cell r="T1330"/>
        </row>
        <row r="1331">
          <cell r="A1331" t="str">
            <v>ANDREW</v>
          </cell>
          <cell r="B1331" t="str">
            <v>HDX10-59</v>
          </cell>
          <cell r="O1331"/>
          <cell r="T1331"/>
        </row>
        <row r="1332">
          <cell r="A1332" t="str">
            <v>ANDREW</v>
          </cell>
          <cell r="B1332" t="str">
            <v>HDX8-59</v>
          </cell>
          <cell r="O1332"/>
          <cell r="T1332"/>
        </row>
        <row r="1333">
          <cell r="A1333" t="str">
            <v>ANDREW</v>
          </cell>
          <cell r="B1333" t="str">
            <v>HMD12H0-WNQ</v>
          </cell>
          <cell r="O1333"/>
          <cell r="T1333"/>
        </row>
        <row r="1334">
          <cell r="A1334" t="str">
            <v>ANDREW</v>
          </cell>
          <cell r="B1334" t="str">
            <v>HMD16SM-V</v>
          </cell>
          <cell r="O1334"/>
          <cell r="T1334"/>
        </row>
        <row r="1335">
          <cell r="A1335" t="str">
            <v>ANDREW</v>
          </cell>
          <cell r="B1335" t="str">
            <v>HMD24HO-WNQ</v>
          </cell>
          <cell r="O1335"/>
          <cell r="T1335"/>
        </row>
        <row r="1336">
          <cell r="A1336" t="str">
            <v>ANDREW</v>
          </cell>
          <cell r="B1336" t="str">
            <v>HMD8V360-R05-H</v>
          </cell>
          <cell r="O1336"/>
          <cell r="T1336"/>
        </row>
        <row r="1337">
          <cell r="A1337" t="str">
            <v>ANDREW</v>
          </cell>
          <cell r="B1337" t="str">
            <v>HMD8VC-W-C5</v>
          </cell>
          <cell r="O1337"/>
          <cell r="T1337"/>
        </row>
        <row r="1338">
          <cell r="A1338" t="str">
            <v>ANDREW</v>
          </cell>
          <cell r="B1338" t="str">
            <v>HMD8VO</v>
          </cell>
          <cell r="O1338"/>
          <cell r="T1338"/>
        </row>
        <row r="1339">
          <cell r="A1339" t="str">
            <v>ANDREW</v>
          </cell>
          <cell r="B1339" t="str">
            <v>HP-10- 592</v>
          </cell>
          <cell r="O1339"/>
          <cell r="T1339"/>
        </row>
        <row r="1340">
          <cell r="A1340" t="str">
            <v>ANDREW</v>
          </cell>
          <cell r="B1340" t="str">
            <v>HP-10-592</v>
          </cell>
          <cell r="O1340"/>
          <cell r="T1340"/>
        </row>
        <row r="1341">
          <cell r="A1341" t="str">
            <v>ANDREW</v>
          </cell>
          <cell r="B1341" t="str">
            <v>HP-105C</v>
          </cell>
          <cell r="O1341"/>
          <cell r="T1341"/>
        </row>
        <row r="1342">
          <cell r="A1342" t="str">
            <v>ANDREW</v>
          </cell>
          <cell r="B1342" t="str">
            <v>HP-8-21A</v>
          </cell>
          <cell r="O1342"/>
          <cell r="T1342"/>
        </row>
        <row r="1343">
          <cell r="A1343" t="str">
            <v>ANDREW</v>
          </cell>
          <cell r="B1343" t="str">
            <v>HP10-105</v>
          </cell>
          <cell r="O1343"/>
          <cell r="T1343"/>
        </row>
        <row r="1344">
          <cell r="A1344" t="str">
            <v>ANDREW</v>
          </cell>
          <cell r="B1344" t="str">
            <v>HP10-122</v>
          </cell>
          <cell r="O1344"/>
          <cell r="T1344"/>
        </row>
        <row r="1345">
          <cell r="A1345" t="str">
            <v>ANDREW</v>
          </cell>
          <cell r="B1345" t="str">
            <v>HP10-17E</v>
          </cell>
          <cell r="O1345"/>
          <cell r="T1345"/>
        </row>
        <row r="1346">
          <cell r="A1346" t="str">
            <v>ANDREW</v>
          </cell>
          <cell r="B1346" t="str">
            <v>HP10-180</v>
          </cell>
          <cell r="O1346"/>
          <cell r="T1346"/>
        </row>
        <row r="1347">
          <cell r="A1347" t="str">
            <v>ANDREW</v>
          </cell>
          <cell r="B1347" t="str">
            <v>HP10-18A</v>
          </cell>
          <cell r="O1347"/>
          <cell r="T1347"/>
        </row>
        <row r="1348">
          <cell r="A1348" t="str">
            <v>ANDREW</v>
          </cell>
          <cell r="B1348" t="str">
            <v>HP10-57W</v>
          </cell>
          <cell r="O1348"/>
          <cell r="T1348"/>
        </row>
        <row r="1349">
          <cell r="A1349" t="str">
            <v>ANDREW</v>
          </cell>
          <cell r="B1349" t="str">
            <v>HP10-59</v>
          </cell>
          <cell r="O1349"/>
          <cell r="T1349"/>
        </row>
        <row r="1350">
          <cell r="A1350" t="str">
            <v>ANDREW</v>
          </cell>
          <cell r="B1350" t="str">
            <v>HP10-59E</v>
          </cell>
          <cell r="O1350"/>
          <cell r="T1350"/>
        </row>
        <row r="1351">
          <cell r="A1351" t="str">
            <v>ANDREW</v>
          </cell>
          <cell r="B1351" t="str">
            <v>HP10-59W</v>
          </cell>
          <cell r="O1351"/>
          <cell r="T1351"/>
        </row>
        <row r="1352">
          <cell r="A1352" t="str">
            <v>ANDREW</v>
          </cell>
          <cell r="B1352" t="str">
            <v>HP10-611E</v>
          </cell>
          <cell r="O1352"/>
          <cell r="T1352"/>
        </row>
        <row r="1353">
          <cell r="A1353" t="str">
            <v>ANDREW</v>
          </cell>
          <cell r="B1353" t="str">
            <v>HP10-82C</v>
          </cell>
          <cell r="O1353"/>
          <cell r="T1353"/>
        </row>
        <row r="1354">
          <cell r="A1354" t="str">
            <v>ANDREW</v>
          </cell>
          <cell r="B1354" t="str">
            <v>HP10F-21</v>
          </cell>
          <cell r="O1354"/>
          <cell r="T1354"/>
        </row>
        <row r="1355">
          <cell r="A1355" t="str">
            <v>ANDREW</v>
          </cell>
          <cell r="B1355" t="str">
            <v>HP10F-25</v>
          </cell>
          <cell r="O1355"/>
          <cell r="T1355"/>
        </row>
        <row r="1356">
          <cell r="A1356" t="str">
            <v>ANDREW</v>
          </cell>
          <cell r="B1356" t="str">
            <v>HP12-21B</v>
          </cell>
          <cell r="O1356"/>
          <cell r="T1356"/>
        </row>
        <row r="1357">
          <cell r="A1357" t="str">
            <v>ANDREW</v>
          </cell>
          <cell r="B1357" t="str">
            <v>HP12-59E</v>
          </cell>
          <cell r="O1357"/>
          <cell r="T1357"/>
        </row>
        <row r="1358">
          <cell r="A1358" t="str">
            <v>ANDREW</v>
          </cell>
          <cell r="B1358" t="str">
            <v>HP12F-18</v>
          </cell>
          <cell r="O1358"/>
          <cell r="T1358"/>
        </row>
        <row r="1359">
          <cell r="A1359" t="str">
            <v>ANDREW</v>
          </cell>
          <cell r="B1359" t="str">
            <v>HP12F-21A</v>
          </cell>
          <cell r="O1359"/>
          <cell r="T1359"/>
        </row>
        <row r="1360">
          <cell r="A1360" t="str">
            <v>ANDREW</v>
          </cell>
          <cell r="B1360" t="str">
            <v>HP12F-25</v>
          </cell>
          <cell r="O1360"/>
          <cell r="T1360"/>
        </row>
        <row r="1361">
          <cell r="A1361" t="str">
            <v>ANDREW</v>
          </cell>
          <cell r="B1361" t="str">
            <v>HP2-102</v>
          </cell>
          <cell r="O1361"/>
          <cell r="T1361"/>
        </row>
        <row r="1362">
          <cell r="A1362" t="str">
            <v>ANDREW</v>
          </cell>
          <cell r="B1362" t="str">
            <v>HP2-1805</v>
          </cell>
          <cell r="O1362"/>
          <cell r="T1362"/>
        </row>
        <row r="1363">
          <cell r="A1363" t="str">
            <v>ANDREW</v>
          </cell>
          <cell r="B1363" t="str">
            <v>HP2-180E</v>
          </cell>
          <cell r="O1363"/>
          <cell r="T1363"/>
        </row>
        <row r="1364">
          <cell r="A1364" t="str">
            <v>ANDREW</v>
          </cell>
          <cell r="B1364" t="str">
            <v>HP4-102</v>
          </cell>
          <cell r="O1364"/>
          <cell r="T1364"/>
        </row>
        <row r="1365">
          <cell r="A1365" t="str">
            <v>ANDREW</v>
          </cell>
          <cell r="B1365" t="str">
            <v>HP4-105</v>
          </cell>
          <cell r="O1365"/>
          <cell r="T1365"/>
        </row>
        <row r="1366">
          <cell r="A1366" t="str">
            <v>ANDREW</v>
          </cell>
          <cell r="B1366" t="str">
            <v>HP4-105C</v>
          </cell>
          <cell r="O1366"/>
          <cell r="T1366"/>
        </row>
        <row r="1367">
          <cell r="A1367" t="str">
            <v>ANDREW</v>
          </cell>
          <cell r="B1367" t="str">
            <v>HP4-107</v>
          </cell>
          <cell r="O1367"/>
          <cell r="T1367"/>
        </row>
        <row r="1368">
          <cell r="A1368" t="str">
            <v>ANDREW</v>
          </cell>
          <cell r="B1368" t="str">
            <v>HP4-107-B</v>
          </cell>
          <cell r="O1368"/>
          <cell r="T1368"/>
        </row>
        <row r="1369">
          <cell r="A1369" t="str">
            <v>ANDREW</v>
          </cell>
          <cell r="B1369" t="str">
            <v>HP4-107-P3A</v>
          </cell>
          <cell r="O1369"/>
          <cell r="T1369"/>
        </row>
        <row r="1370">
          <cell r="A1370" t="str">
            <v>ANDREW</v>
          </cell>
          <cell r="B1370" t="str">
            <v>HP4-130</v>
          </cell>
          <cell r="O1370"/>
          <cell r="T1370"/>
        </row>
        <row r="1371">
          <cell r="A1371" t="str">
            <v>ANDREW</v>
          </cell>
          <cell r="B1371" t="str">
            <v>HP4-180E</v>
          </cell>
          <cell r="O1371"/>
          <cell r="T1371"/>
        </row>
        <row r="1372">
          <cell r="A1372" t="str">
            <v>ANDREW</v>
          </cell>
          <cell r="B1372" t="str">
            <v>HP4-25</v>
          </cell>
          <cell r="O1372"/>
          <cell r="T1372"/>
        </row>
        <row r="1373">
          <cell r="A1373" t="str">
            <v>ANDREW</v>
          </cell>
          <cell r="B1373" t="str">
            <v>HP4-44</v>
          </cell>
          <cell r="O1373"/>
          <cell r="T1373"/>
        </row>
        <row r="1374">
          <cell r="A1374" t="str">
            <v>ANDREW</v>
          </cell>
          <cell r="B1374" t="str">
            <v>HP4-57W</v>
          </cell>
          <cell r="O1374"/>
          <cell r="T1374"/>
        </row>
        <row r="1375">
          <cell r="A1375" t="str">
            <v>ANDREW</v>
          </cell>
          <cell r="B1375" t="str">
            <v>HP4-57W-P3A</v>
          </cell>
          <cell r="O1375"/>
          <cell r="T1375"/>
        </row>
        <row r="1376">
          <cell r="A1376" t="str">
            <v>ANDREW</v>
          </cell>
          <cell r="B1376" t="str">
            <v>HP4-65</v>
          </cell>
          <cell r="O1376"/>
          <cell r="T1376"/>
        </row>
        <row r="1377">
          <cell r="A1377" t="str">
            <v>ANDREW</v>
          </cell>
          <cell r="B1377" t="str">
            <v>HP4-71-P3A/A</v>
          </cell>
          <cell r="O1377"/>
          <cell r="T1377"/>
        </row>
        <row r="1378">
          <cell r="A1378" t="str">
            <v>ANDREW</v>
          </cell>
          <cell r="B1378" t="str">
            <v>HP4-71W-P3A/A</v>
          </cell>
          <cell r="O1378"/>
          <cell r="T1378"/>
        </row>
        <row r="1379">
          <cell r="A1379" t="str">
            <v>ANDREW</v>
          </cell>
          <cell r="B1379" t="str">
            <v>HP4F-25</v>
          </cell>
          <cell r="O1379"/>
          <cell r="T1379"/>
        </row>
        <row r="1380">
          <cell r="A1380" t="str">
            <v>ANDREW</v>
          </cell>
          <cell r="B1380" t="str">
            <v>HP4F-57W-N3A</v>
          </cell>
          <cell r="O1380"/>
          <cell r="T1380"/>
        </row>
        <row r="1381">
          <cell r="A1381" t="str">
            <v>ANDREW</v>
          </cell>
          <cell r="B1381" t="str">
            <v>HP6-102-P1A</v>
          </cell>
          <cell r="O1381"/>
          <cell r="T1381"/>
        </row>
        <row r="1382">
          <cell r="A1382" t="str">
            <v>ANDREW</v>
          </cell>
          <cell r="B1382" t="str">
            <v>HP6-105-P3A</v>
          </cell>
          <cell r="O1382"/>
          <cell r="T1382"/>
        </row>
        <row r="1383">
          <cell r="A1383" t="str">
            <v>ANDREW</v>
          </cell>
          <cell r="B1383" t="str">
            <v>HP6-105C</v>
          </cell>
          <cell r="O1383"/>
          <cell r="T1383"/>
        </row>
        <row r="1384">
          <cell r="A1384" t="str">
            <v>ANDREW</v>
          </cell>
          <cell r="B1384" t="str">
            <v>HP6-107</v>
          </cell>
          <cell r="O1384"/>
          <cell r="T1384"/>
        </row>
        <row r="1385">
          <cell r="A1385" t="str">
            <v>ANDREW</v>
          </cell>
          <cell r="B1385" t="str">
            <v>HP6-107-P1A/H</v>
          </cell>
          <cell r="O1385"/>
          <cell r="T1385"/>
        </row>
        <row r="1386">
          <cell r="A1386" t="str">
            <v>ANDREW</v>
          </cell>
          <cell r="B1386" t="str">
            <v>HP6-107-P3A</v>
          </cell>
          <cell r="O1386"/>
          <cell r="T1386"/>
        </row>
        <row r="1387">
          <cell r="A1387" t="str">
            <v>ANDREW</v>
          </cell>
          <cell r="B1387" t="str">
            <v>HP6-107G</v>
          </cell>
          <cell r="O1387"/>
          <cell r="T1387"/>
        </row>
        <row r="1388">
          <cell r="A1388" t="str">
            <v>ANDREW</v>
          </cell>
          <cell r="B1388" t="str">
            <v>HP6-122</v>
          </cell>
          <cell r="O1388"/>
          <cell r="T1388"/>
        </row>
        <row r="1389">
          <cell r="A1389" t="str">
            <v>ANDREW</v>
          </cell>
          <cell r="B1389" t="str">
            <v>HP6-17D</v>
          </cell>
          <cell r="O1389"/>
          <cell r="T1389"/>
        </row>
        <row r="1390">
          <cell r="A1390" t="str">
            <v>ANDREW</v>
          </cell>
          <cell r="B1390" t="str">
            <v>HP6-21B</v>
          </cell>
          <cell r="O1390"/>
          <cell r="T1390"/>
        </row>
        <row r="1391">
          <cell r="A1391" t="str">
            <v>ANDREW</v>
          </cell>
          <cell r="B1391" t="str">
            <v>HP6-25E</v>
          </cell>
          <cell r="O1391"/>
          <cell r="T1391"/>
        </row>
        <row r="1392">
          <cell r="A1392" t="str">
            <v>ANDREW</v>
          </cell>
          <cell r="B1392" t="str">
            <v>HP6-44</v>
          </cell>
          <cell r="O1392"/>
          <cell r="T1392"/>
        </row>
        <row r="1393">
          <cell r="A1393" t="str">
            <v>ANDREW</v>
          </cell>
          <cell r="B1393" t="str">
            <v>HP6-57W</v>
          </cell>
          <cell r="O1393"/>
          <cell r="T1393"/>
        </row>
        <row r="1394">
          <cell r="A1394" t="str">
            <v>ANDREW</v>
          </cell>
          <cell r="B1394" t="str">
            <v>HP6-57W-D1A/A</v>
          </cell>
          <cell r="O1394"/>
          <cell r="T1394"/>
        </row>
        <row r="1395">
          <cell r="A1395" t="str">
            <v>ANDREW</v>
          </cell>
          <cell r="B1395" t="str">
            <v>HP6-59</v>
          </cell>
          <cell r="O1395"/>
          <cell r="T1395"/>
        </row>
        <row r="1396">
          <cell r="A1396" t="str">
            <v>ANDREW</v>
          </cell>
          <cell r="B1396" t="str">
            <v>HP6-59-D1A</v>
          </cell>
          <cell r="O1396"/>
          <cell r="T1396"/>
        </row>
        <row r="1397">
          <cell r="A1397" t="str">
            <v>ANDREW</v>
          </cell>
          <cell r="B1397" t="str">
            <v>HP6-59-D1A/K</v>
          </cell>
          <cell r="O1397"/>
          <cell r="T1397"/>
        </row>
        <row r="1398">
          <cell r="A1398" t="str">
            <v>ANDREW</v>
          </cell>
          <cell r="B1398" t="str">
            <v>HP6-59-NR-D1A</v>
          </cell>
          <cell r="O1398"/>
          <cell r="T1398"/>
        </row>
        <row r="1399">
          <cell r="A1399" t="str">
            <v>ANDREW</v>
          </cell>
          <cell r="B1399" t="str">
            <v>HP6-59-P1A</v>
          </cell>
          <cell r="O1399"/>
          <cell r="T1399"/>
        </row>
        <row r="1400">
          <cell r="A1400" t="str">
            <v>ANDREW</v>
          </cell>
          <cell r="B1400" t="str">
            <v>HP6-59-P1A/K</v>
          </cell>
          <cell r="O1400"/>
          <cell r="T1400"/>
        </row>
        <row r="1401">
          <cell r="A1401" t="str">
            <v>ANDREW</v>
          </cell>
          <cell r="B1401" t="str">
            <v>HP6-59-P2A</v>
          </cell>
          <cell r="O1401"/>
          <cell r="T1401"/>
        </row>
        <row r="1402">
          <cell r="A1402" t="str">
            <v>ANDREW</v>
          </cell>
          <cell r="B1402" t="str">
            <v>HP6-59-P3A</v>
          </cell>
          <cell r="O1402"/>
          <cell r="T1402"/>
        </row>
        <row r="1403">
          <cell r="A1403" t="str">
            <v>ANDREW</v>
          </cell>
          <cell r="B1403" t="str">
            <v>HP6-59-P3A/K</v>
          </cell>
          <cell r="O1403"/>
          <cell r="T1403"/>
        </row>
        <row r="1404">
          <cell r="A1404" t="str">
            <v>ANDREW</v>
          </cell>
          <cell r="B1404" t="str">
            <v>HP6-59/K</v>
          </cell>
          <cell r="O1404"/>
          <cell r="T1404"/>
        </row>
        <row r="1405">
          <cell r="A1405" t="str">
            <v>ANDREW</v>
          </cell>
          <cell r="B1405" t="str">
            <v>HP6-59E</v>
          </cell>
          <cell r="O1405"/>
          <cell r="T1405"/>
        </row>
        <row r="1406">
          <cell r="A1406" t="str">
            <v>ANDREW</v>
          </cell>
          <cell r="B1406" t="str">
            <v>HP6-59W</v>
          </cell>
          <cell r="O1406"/>
          <cell r="T1406"/>
        </row>
        <row r="1407">
          <cell r="A1407" t="str">
            <v>ANDREW</v>
          </cell>
          <cell r="B1407" t="str">
            <v>HP6-59W-P1A</v>
          </cell>
          <cell r="O1407"/>
          <cell r="T1407"/>
        </row>
        <row r="1408">
          <cell r="A1408" t="str">
            <v>ANDREW</v>
          </cell>
          <cell r="B1408" t="str">
            <v>HP6-59W-P1A/C</v>
          </cell>
          <cell r="O1408"/>
          <cell r="T1408"/>
        </row>
        <row r="1409">
          <cell r="A1409" t="str">
            <v>ANDREW</v>
          </cell>
          <cell r="B1409" t="str">
            <v>HP6-65</v>
          </cell>
          <cell r="O1409"/>
          <cell r="T1409"/>
        </row>
        <row r="1410">
          <cell r="A1410" t="str">
            <v>ANDREW</v>
          </cell>
          <cell r="B1410" t="str">
            <v>HP6-65-DIA/K</v>
          </cell>
          <cell r="O1410"/>
          <cell r="T1410"/>
        </row>
        <row r="1411">
          <cell r="A1411" t="str">
            <v>ANDREW</v>
          </cell>
          <cell r="B1411" t="str">
            <v>HP6-65-P1A/K</v>
          </cell>
          <cell r="O1411"/>
          <cell r="T1411"/>
        </row>
        <row r="1412">
          <cell r="A1412" t="str">
            <v>ANDREW</v>
          </cell>
          <cell r="B1412" t="str">
            <v>HP6-65-P3A</v>
          </cell>
          <cell r="O1412"/>
          <cell r="T1412"/>
        </row>
        <row r="1413">
          <cell r="A1413" t="str">
            <v>ANDREW</v>
          </cell>
          <cell r="B1413" t="str">
            <v>HP6-71W-P3A</v>
          </cell>
          <cell r="O1413"/>
          <cell r="T1413"/>
        </row>
        <row r="1414">
          <cell r="A1414" t="str">
            <v>ANDREW</v>
          </cell>
          <cell r="B1414" t="str">
            <v>HP6F-21B</v>
          </cell>
          <cell r="O1414"/>
          <cell r="T1414"/>
        </row>
        <row r="1415">
          <cell r="A1415" t="str">
            <v>ANDREW</v>
          </cell>
          <cell r="B1415" t="str">
            <v>HP6F-57W-N1A</v>
          </cell>
          <cell r="O1415"/>
          <cell r="T1415"/>
        </row>
        <row r="1416">
          <cell r="A1416" t="str">
            <v>ANDREW</v>
          </cell>
          <cell r="B1416" t="str">
            <v>HP8-102</v>
          </cell>
          <cell r="O1416"/>
          <cell r="T1416"/>
        </row>
        <row r="1417">
          <cell r="A1417" t="str">
            <v>ANDREW</v>
          </cell>
          <cell r="B1417" t="str">
            <v>HP8-105</v>
          </cell>
          <cell r="O1417"/>
          <cell r="T1417"/>
        </row>
        <row r="1418">
          <cell r="A1418" t="str">
            <v>ANDREW</v>
          </cell>
          <cell r="B1418" t="str">
            <v>HP8-107</v>
          </cell>
          <cell r="O1418"/>
          <cell r="T1418"/>
        </row>
        <row r="1419">
          <cell r="A1419" t="str">
            <v>ANDREW</v>
          </cell>
          <cell r="B1419" t="str">
            <v>HP8-107F</v>
          </cell>
          <cell r="O1419"/>
          <cell r="T1419"/>
        </row>
        <row r="1420">
          <cell r="A1420" t="str">
            <v>ANDREW</v>
          </cell>
          <cell r="B1420" t="str">
            <v>HP8-122D</v>
          </cell>
          <cell r="O1420"/>
          <cell r="T1420"/>
        </row>
        <row r="1421">
          <cell r="A1421" t="str">
            <v>ANDREW</v>
          </cell>
          <cell r="B1421" t="str">
            <v>HP8-144-B3A</v>
          </cell>
          <cell r="O1421"/>
          <cell r="T1421"/>
        </row>
        <row r="1422">
          <cell r="A1422" t="str">
            <v>ANDREW</v>
          </cell>
          <cell r="B1422" t="str">
            <v>HP8-17E</v>
          </cell>
          <cell r="O1422"/>
          <cell r="T1422"/>
        </row>
        <row r="1423">
          <cell r="A1423" t="str">
            <v>ANDREW</v>
          </cell>
          <cell r="B1423" t="str">
            <v>HP8-18A</v>
          </cell>
          <cell r="O1423"/>
          <cell r="T1423"/>
        </row>
        <row r="1424">
          <cell r="A1424" t="str">
            <v>ANDREW</v>
          </cell>
          <cell r="B1424" t="str">
            <v>HP8-21B</v>
          </cell>
          <cell r="O1424"/>
          <cell r="T1424"/>
        </row>
        <row r="1425">
          <cell r="A1425" t="str">
            <v>ANDREW</v>
          </cell>
          <cell r="B1425" t="str">
            <v>HP8-57W</v>
          </cell>
          <cell r="O1425"/>
          <cell r="T1425"/>
        </row>
        <row r="1426">
          <cell r="A1426" t="str">
            <v>ANDREW</v>
          </cell>
          <cell r="B1426" t="str">
            <v>HP8-59</v>
          </cell>
          <cell r="O1426"/>
          <cell r="T1426"/>
        </row>
        <row r="1427">
          <cell r="A1427" t="str">
            <v>ANDREW</v>
          </cell>
          <cell r="B1427" t="str">
            <v>HP8-59-P1A</v>
          </cell>
          <cell r="O1427"/>
          <cell r="T1427"/>
        </row>
        <row r="1428">
          <cell r="A1428" t="str">
            <v>ANDREW</v>
          </cell>
          <cell r="B1428" t="str">
            <v>HP8-59-P3A</v>
          </cell>
          <cell r="O1428"/>
          <cell r="T1428"/>
        </row>
        <row r="1429">
          <cell r="A1429" t="str">
            <v>ANDREW</v>
          </cell>
          <cell r="B1429" t="str">
            <v>HP8-59E</v>
          </cell>
          <cell r="O1429"/>
          <cell r="T1429"/>
        </row>
        <row r="1430">
          <cell r="A1430" t="str">
            <v>ANDREW</v>
          </cell>
          <cell r="B1430" t="str">
            <v>HP8-59F</v>
          </cell>
          <cell r="O1430"/>
          <cell r="T1430"/>
        </row>
        <row r="1431">
          <cell r="A1431" t="str">
            <v>ANDREW</v>
          </cell>
          <cell r="B1431" t="str">
            <v>HP8-59H</v>
          </cell>
          <cell r="O1431"/>
          <cell r="T1431"/>
        </row>
        <row r="1432">
          <cell r="A1432" t="str">
            <v>ANDREW</v>
          </cell>
          <cell r="B1432" t="str">
            <v>HP8-65</v>
          </cell>
          <cell r="O1432"/>
          <cell r="T1432"/>
        </row>
        <row r="1433">
          <cell r="A1433" t="str">
            <v>ANDREW</v>
          </cell>
          <cell r="B1433" t="str">
            <v>HP8-65-D3A</v>
          </cell>
          <cell r="O1433"/>
          <cell r="T1433"/>
        </row>
        <row r="1434">
          <cell r="A1434" t="str">
            <v>ANDREW</v>
          </cell>
          <cell r="B1434" t="str">
            <v>HP8-65-P1A</v>
          </cell>
          <cell r="O1434"/>
          <cell r="T1434"/>
        </row>
        <row r="1435">
          <cell r="A1435" t="str">
            <v>ANDREW</v>
          </cell>
          <cell r="B1435" t="str">
            <v>HP8F-21A</v>
          </cell>
          <cell r="O1435"/>
          <cell r="T1435"/>
        </row>
        <row r="1436">
          <cell r="A1436" t="str">
            <v>ANDREW</v>
          </cell>
          <cell r="B1436" t="str">
            <v>HP9-71W-P3A</v>
          </cell>
          <cell r="O1436"/>
          <cell r="T1436"/>
        </row>
        <row r="1437">
          <cell r="A1437" t="str">
            <v>ANDREW</v>
          </cell>
          <cell r="B1437" t="str">
            <v>HPX10-107C</v>
          </cell>
          <cell r="O1437"/>
          <cell r="T1437"/>
        </row>
        <row r="1438">
          <cell r="A1438" t="str">
            <v>ANDREW</v>
          </cell>
          <cell r="B1438" t="str">
            <v>HPX10-59</v>
          </cell>
          <cell r="O1438"/>
          <cell r="T1438"/>
        </row>
        <row r="1439">
          <cell r="A1439" t="str">
            <v>ANDREW</v>
          </cell>
          <cell r="B1439" t="str">
            <v>HPX10-59-D1A</v>
          </cell>
          <cell r="O1439"/>
          <cell r="T1439"/>
        </row>
        <row r="1440">
          <cell r="A1440" t="str">
            <v>ANDREW</v>
          </cell>
          <cell r="B1440" t="str">
            <v>HPX10-59-P1A</v>
          </cell>
          <cell r="O1440"/>
          <cell r="T1440"/>
        </row>
        <row r="1441">
          <cell r="A1441" t="str">
            <v>ANDREW</v>
          </cell>
          <cell r="B1441" t="str">
            <v>HPX10-59-P3A</v>
          </cell>
          <cell r="O1441"/>
          <cell r="T1441"/>
        </row>
        <row r="1442">
          <cell r="A1442" t="str">
            <v>ANDREW</v>
          </cell>
          <cell r="B1442" t="str">
            <v>HPX12-59</v>
          </cell>
          <cell r="O1442"/>
          <cell r="T1442"/>
        </row>
        <row r="1443">
          <cell r="A1443" t="str">
            <v>ANDREW</v>
          </cell>
          <cell r="B1443" t="str">
            <v>HPX12-65</v>
          </cell>
          <cell r="O1443"/>
          <cell r="T1443"/>
        </row>
        <row r="1444">
          <cell r="A1444" t="str">
            <v>ANDREW</v>
          </cell>
          <cell r="B1444" t="str">
            <v>HPX2F-52-NPA</v>
          </cell>
          <cell r="O1444"/>
          <cell r="T1444"/>
        </row>
        <row r="1445">
          <cell r="A1445" t="str">
            <v>ANDREW</v>
          </cell>
          <cell r="B1445" t="str">
            <v>HPX4-107</v>
          </cell>
          <cell r="O1445"/>
          <cell r="T1445"/>
        </row>
        <row r="1446">
          <cell r="A1446" t="str">
            <v>ANDREW</v>
          </cell>
          <cell r="B1446" t="str">
            <v>HPX4-107 A</v>
          </cell>
          <cell r="O1446"/>
          <cell r="T1446"/>
        </row>
        <row r="1447">
          <cell r="A1447" t="str">
            <v>ANDREW</v>
          </cell>
          <cell r="B1447" t="str">
            <v>HPX4-59-D4A/A</v>
          </cell>
          <cell r="O1447"/>
          <cell r="T1447"/>
        </row>
        <row r="1448">
          <cell r="A1448" t="str">
            <v>ANDREW</v>
          </cell>
          <cell r="B1448" t="str">
            <v>HPX4-65A</v>
          </cell>
          <cell r="O1448"/>
          <cell r="T1448"/>
        </row>
        <row r="1449">
          <cell r="A1449" t="str">
            <v>ANDREW</v>
          </cell>
          <cell r="B1449" t="str">
            <v>HPX4F-52-NPA</v>
          </cell>
          <cell r="O1449"/>
          <cell r="T1449"/>
        </row>
        <row r="1450">
          <cell r="A1450" t="str">
            <v>ANDREW</v>
          </cell>
          <cell r="B1450" t="str">
            <v>HPX6-107</v>
          </cell>
          <cell r="O1450"/>
          <cell r="T1450"/>
        </row>
        <row r="1451">
          <cell r="A1451" t="str">
            <v>ANDREW</v>
          </cell>
          <cell r="B1451" t="str">
            <v>HPX6-107E</v>
          </cell>
          <cell r="O1451"/>
          <cell r="T1451"/>
        </row>
        <row r="1452">
          <cell r="A1452" t="str">
            <v>ANDREW</v>
          </cell>
          <cell r="B1452" t="str">
            <v>HPX6-59</v>
          </cell>
          <cell r="O1452"/>
          <cell r="T1452"/>
        </row>
        <row r="1453">
          <cell r="A1453" t="str">
            <v>ANDREW</v>
          </cell>
          <cell r="B1453" t="str">
            <v>HPX6-59-D1A</v>
          </cell>
          <cell r="O1453"/>
          <cell r="T1453"/>
        </row>
        <row r="1454">
          <cell r="A1454" t="str">
            <v>ANDREW</v>
          </cell>
          <cell r="B1454" t="str">
            <v>HPX6-59-P1A/K</v>
          </cell>
          <cell r="O1454"/>
          <cell r="T1454"/>
        </row>
        <row r="1455">
          <cell r="A1455" t="str">
            <v>ANDREW</v>
          </cell>
          <cell r="B1455" t="str">
            <v>HPX6-59-P3A/K</v>
          </cell>
          <cell r="O1455"/>
          <cell r="T1455"/>
        </row>
        <row r="1456">
          <cell r="A1456" t="str">
            <v>ANDREW</v>
          </cell>
          <cell r="B1456" t="str">
            <v>HPX6-65</v>
          </cell>
          <cell r="O1456"/>
          <cell r="T1456"/>
        </row>
        <row r="1457">
          <cell r="A1457" t="str">
            <v>ANDREW</v>
          </cell>
          <cell r="B1457" t="str">
            <v>HPX6-65-P3A</v>
          </cell>
          <cell r="O1457"/>
          <cell r="T1457"/>
        </row>
        <row r="1458">
          <cell r="A1458" t="str">
            <v>ANDREW</v>
          </cell>
          <cell r="B1458" t="str">
            <v>HPX6F-52-NPA</v>
          </cell>
          <cell r="O1458"/>
          <cell r="T1458"/>
        </row>
        <row r="1459">
          <cell r="A1459" t="str">
            <v>ANDREW</v>
          </cell>
          <cell r="B1459" t="str">
            <v>HPX8-107-D1A</v>
          </cell>
          <cell r="O1459"/>
          <cell r="T1459"/>
        </row>
        <row r="1460">
          <cell r="A1460" t="str">
            <v>ANDREW</v>
          </cell>
          <cell r="B1460" t="str">
            <v>HPX8-107-P1A</v>
          </cell>
          <cell r="O1460"/>
          <cell r="T1460"/>
        </row>
        <row r="1461">
          <cell r="A1461" t="str">
            <v>ANDREW</v>
          </cell>
          <cell r="B1461" t="str">
            <v>HPX8-107-P3A</v>
          </cell>
          <cell r="O1461"/>
          <cell r="T1461"/>
        </row>
        <row r="1462">
          <cell r="A1462" t="str">
            <v>ANDREW</v>
          </cell>
          <cell r="B1462" t="str">
            <v>HPX8-56</v>
          </cell>
          <cell r="O1462"/>
          <cell r="T1462"/>
        </row>
        <row r="1463">
          <cell r="A1463" t="str">
            <v>ANDREW</v>
          </cell>
          <cell r="B1463" t="str">
            <v>HPX8-59</v>
          </cell>
          <cell r="O1463"/>
          <cell r="T1463"/>
        </row>
        <row r="1464">
          <cell r="A1464" t="str">
            <v>ANDREW</v>
          </cell>
          <cell r="B1464" t="str">
            <v>HPX8-59-D1A</v>
          </cell>
          <cell r="O1464"/>
          <cell r="T1464"/>
        </row>
        <row r="1465">
          <cell r="A1465" t="str">
            <v>ANDREW</v>
          </cell>
          <cell r="B1465" t="str">
            <v>HPX8-59-P1A</v>
          </cell>
          <cell r="O1465"/>
          <cell r="T1465"/>
        </row>
        <row r="1466">
          <cell r="A1466" t="str">
            <v>ANDREW</v>
          </cell>
          <cell r="B1466" t="str">
            <v>HPX8-59E-P3A</v>
          </cell>
          <cell r="O1466"/>
          <cell r="T1466"/>
        </row>
        <row r="1467">
          <cell r="A1467" t="str">
            <v>ANDREW</v>
          </cell>
          <cell r="B1467" t="str">
            <v>HPX8-65</v>
          </cell>
          <cell r="O1467"/>
          <cell r="T1467"/>
        </row>
        <row r="1468">
          <cell r="A1468" t="str">
            <v>ANDREW</v>
          </cell>
          <cell r="B1468" t="str">
            <v>HSX2-180</v>
          </cell>
          <cell r="O1468"/>
          <cell r="T1468"/>
        </row>
        <row r="1469">
          <cell r="A1469" t="str">
            <v>ANDREW</v>
          </cell>
          <cell r="B1469" t="str">
            <v>HSX4-107</v>
          </cell>
          <cell r="O1469"/>
          <cell r="T1469"/>
        </row>
        <row r="1470">
          <cell r="A1470" t="str">
            <v>ANDREW</v>
          </cell>
          <cell r="B1470" t="str">
            <v>HSX4-107-D3A</v>
          </cell>
          <cell r="O1470"/>
          <cell r="T1470"/>
        </row>
        <row r="1471">
          <cell r="A1471" t="str">
            <v>ANDREW</v>
          </cell>
          <cell r="B1471" t="str">
            <v>HSX4-180-BPA/A</v>
          </cell>
          <cell r="O1471"/>
          <cell r="T1471"/>
        </row>
        <row r="1472">
          <cell r="A1472" t="str">
            <v>ANDREW</v>
          </cell>
          <cell r="B1472" t="str">
            <v>HSX4-59</v>
          </cell>
          <cell r="O1472"/>
          <cell r="T1472"/>
        </row>
        <row r="1473">
          <cell r="A1473" t="str">
            <v>ANDREW</v>
          </cell>
          <cell r="B1473" t="str">
            <v>HSX6-107</v>
          </cell>
          <cell r="O1473"/>
          <cell r="T1473"/>
        </row>
        <row r="1474">
          <cell r="A1474" t="str">
            <v>ANDREW</v>
          </cell>
          <cell r="B1474" t="str">
            <v>HSX6-107-P3A/A</v>
          </cell>
          <cell r="O1474"/>
          <cell r="T1474"/>
        </row>
        <row r="1475">
          <cell r="A1475" t="str">
            <v>ANDREW</v>
          </cell>
          <cell r="B1475" t="str">
            <v>HSX6-59-D4A/B</v>
          </cell>
          <cell r="O1475"/>
          <cell r="T1475"/>
        </row>
        <row r="1476">
          <cell r="A1476" t="str">
            <v>ANDREW</v>
          </cell>
          <cell r="B1476" t="str">
            <v>HSX6-59-P3A/B</v>
          </cell>
          <cell r="O1476"/>
          <cell r="T1476"/>
        </row>
        <row r="1477">
          <cell r="A1477" t="str">
            <v>ANDREW</v>
          </cell>
          <cell r="B1477" t="str">
            <v>HSX6-59A</v>
          </cell>
          <cell r="O1477"/>
          <cell r="T1477"/>
        </row>
        <row r="1478">
          <cell r="A1478" t="str">
            <v>ANDREW</v>
          </cell>
          <cell r="B1478" t="str">
            <v>HSX8-107-P3A</v>
          </cell>
          <cell r="O1478"/>
          <cell r="T1478"/>
        </row>
        <row r="1479">
          <cell r="A1479" t="str">
            <v>ANDREW</v>
          </cell>
          <cell r="B1479" t="str">
            <v>HSX8-59A</v>
          </cell>
          <cell r="O1479"/>
          <cell r="T1479"/>
        </row>
        <row r="1480">
          <cell r="A1480" t="str">
            <v>ANDREW</v>
          </cell>
          <cell r="B1480" t="str">
            <v>HWXX-6516DS-VTM</v>
          </cell>
          <cell r="O1480">
            <v>4.4822534259999998</v>
          </cell>
          <cell r="T1480">
            <v>1.737206442</v>
          </cell>
        </row>
        <row r="1481">
          <cell r="A1481" t="str">
            <v>ANDREW</v>
          </cell>
          <cell r="B1481" t="str">
            <v>HWXXX-6516DS-VTM</v>
          </cell>
          <cell r="O1481">
            <v>7.7521511293584098</v>
          </cell>
          <cell r="T1481">
            <v>1.82241438692168</v>
          </cell>
        </row>
        <row r="1482">
          <cell r="A1482" t="str">
            <v>ANDREW</v>
          </cell>
          <cell r="B1482" t="str">
            <v>HX6-611/B_20250312</v>
          </cell>
          <cell r="O1482"/>
          <cell r="T1482"/>
        </row>
        <row r="1483">
          <cell r="A1483" t="str">
            <v>ANDREW</v>
          </cell>
          <cell r="B1483" t="str">
            <v>KP10-17B</v>
          </cell>
          <cell r="O1483"/>
          <cell r="T1483"/>
        </row>
        <row r="1484">
          <cell r="A1484" t="str">
            <v>ANDREW</v>
          </cell>
          <cell r="B1484" t="str">
            <v>KP10F-23</v>
          </cell>
          <cell r="O1484"/>
          <cell r="T1484"/>
        </row>
        <row r="1485">
          <cell r="A1485" t="str">
            <v>ANDREW</v>
          </cell>
          <cell r="B1485" t="str">
            <v>KP10F-25</v>
          </cell>
          <cell r="O1485"/>
          <cell r="T1485"/>
        </row>
        <row r="1486">
          <cell r="A1486" t="str">
            <v>ANDREW</v>
          </cell>
          <cell r="B1486" t="str">
            <v>KP10F-335</v>
          </cell>
          <cell r="O1486"/>
          <cell r="T1486"/>
        </row>
        <row r="1487">
          <cell r="A1487" t="str">
            <v>ANDREW</v>
          </cell>
          <cell r="B1487" t="str">
            <v>KP10F-365</v>
          </cell>
          <cell r="O1487"/>
          <cell r="T1487"/>
        </row>
        <row r="1488">
          <cell r="A1488" t="str">
            <v>ANDREW</v>
          </cell>
          <cell r="B1488" t="str">
            <v>KP10F-820B</v>
          </cell>
          <cell r="O1488"/>
          <cell r="T1488"/>
        </row>
        <row r="1489">
          <cell r="A1489" t="str">
            <v>ANDREW</v>
          </cell>
          <cell r="B1489" t="str">
            <v>KP13-17B</v>
          </cell>
          <cell r="O1489"/>
          <cell r="T1489"/>
        </row>
        <row r="1490">
          <cell r="A1490" t="str">
            <v>ANDREW</v>
          </cell>
          <cell r="B1490" t="str">
            <v>KP13F-23</v>
          </cell>
          <cell r="O1490"/>
          <cell r="T1490"/>
        </row>
        <row r="1491">
          <cell r="A1491" t="str">
            <v>ANDREW</v>
          </cell>
          <cell r="B1491" t="str">
            <v>KP13F-25B</v>
          </cell>
          <cell r="O1491"/>
          <cell r="T1491"/>
        </row>
        <row r="1492">
          <cell r="A1492" t="str">
            <v>ANDREW</v>
          </cell>
          <cell r="B1492" t="str">
            <v>KP13F-820C</v>
          </cell>
          <cell r="O1492"/>
          <cell r="T1492"/>
        </row>
        <row r="1493">
          <cell r="A1493" t="str">
            <v>ANDREW</v>
          </cell>
          <cell r="B1493" t="str">
            <v>KP2F-34</v>
          </cell>
          <cell r="O1493"/>
          <cell r="T1493"/>
        </row>
        <row r="1494">
          <cell r="A1494" t="str">
            <v>ANDREW</v>
          </cell>
          <cell r="B1494" t="str">
            <v>KP3F-23</v>
          </cell>
          <cell r="O1494"/>
          <cell r="T1494"/>
        </row>
        <row r="1495">
          <cell r="A1495" t="str">
            <v>ANDREW</v>
          </cell>
          <cell r="B1495" t="str">
            <v>KP4-23A</v>
          </cell>
          <cell r="O1495"/>
          <cell r="T1495"/>
        </row>
        <row r="1496">
          <cell r="A1496" t="str">
            <v>ANDREW</v>
          </cell>
          <cell r="B1496" t="str">
            <v>KP4F-13</v>
          </cell>
          <cell r="O1496"/>
          <cell r="T1496"/>
        </row>
        <row r="1497">
          <cell r="A1497" t="str">
            <v>ANDREW</v>
          </cell>
          <cell r="B1497" t="str">
            <v>KP4F-17</v>
          </cell>
          <cell r="O1497"/>
          <cell r="T1497"/>
        </row>
        <row r="1498">
          <cell r="A1498" t="str">
            <v>ANDREW</v>
          </cell>
          <cell r="B1498" t="str">
            <v>KP4F-17A</v>
          </cell>
          <cell r="O1498"/>
          <cell r="T1498"/>
        </row>
        <row r="1499">
          <cell r="A1499" t="str">
            <v>ANDREW</v>
          </cell>
          <cell r="B1499" t="str">
            <v>KP4F-19</v>
          </cell>
          <cell r="O1499"/>
          <cell r="T1499"/>
        </row>
        <row r="1500">
          <cell r="A1500" t="str">
            <v>ANDREW</v>
          </cell>
          <cell r="B1500" t="str">
            <v>KP4F-19A</v>
          </cell>
          <cell r="O1500"/>
          <cell r="T1500"/>
        </row>
        <row r="1501">
          <cell r="A1501" t="str">
            <v>ANDREW</v>
          </cell>
          <cell r="B1501" t="str">
            <v>KP4F-23</v>
          </cell>
          <cell r="O1501"/>
          <cell r="T1501"/>
        </row>
        <row r="1502">
          <cell r="A1502" t="str">
            <v>ANDREW</v>
          </cell>
          <cell r="B1502" t="str">
            <v>KP4F-23A</v>
          </cell>
          <cell r="O1502"/>
          <cell r="T1502"/>
        </row>
        <row r="1503">
          <cell r="A1503" t="str">
            <v>ANDREW</v>
          </cell>
          <cell r="B1503" t="str">
            <v>KP4F-23W</v>
          </cell>
          <cell r="O1503"/>
          <cell r="T1503"/>
        </row>
        <row r="1504">
          <cell r="A1504" t="str">
            <v>ANDREW</v>
          </cell>
          <cell r="B1504" t="str">
            <v>KP4F-25</v>
          </cell>
          <cell r="O1504"/>
          <cell r="T1504"/>
        </row>
        <row r="1505">
          <cell r="A1505" t="str">
            <v>ANDREW</v>
          </cell>
          <cell r="B1505" t="str">
            <v>KP4F-820</v>
          </cell>
          <cell r="O1505"/>
          <cell r="T1505"/>
        </row>
        <row r="1506">
          <cell r="A1506" t="str">
            <v>ANDREW</v>
          </cell>
          <cell r="B1506" t="str">
            <v>KP6-17B</v>
          </cell>
          <cell r="O1506"/>
          <cell r="T1506"/>
        </row>
        <row r="1507">
          <cell r="A1507" t="str">
            <v>ANDREW</v>
          </cell>
          <cell r="B1507" t="str">
            <v>KP6-19B</v>
          </cell>
          <cell r="O1507"/>
          <cell r="T1507"/>
        </row>
        <row r="1508">
          <cell r="A1508" t="str">
            <v>ANDREW</v>
          </cell>
          <cell r="B1508" t="str">
            <v>KP6F-13</v>
          </cell>
          <cell r="O1508"/>
          <cell r="T1508"/>
        </row>
        <row r="1509">
          <cell r="A1509" t="str">
            <v>ANDREW</v>
          </cell>
          <cell r="B1509" t="str">
            <v>KP6F-15</v>
          </cell>
          <cell r="O1509"/>
          <cell r="T1509"/>
        </row>
        <row r="1510">
          <cell r="A1510" t="str">
            <v>ANDREW</v>
          </cell>
          <cell r="B1510" t="str">
            <v>KP6F-19</v>
          </cell>
          <cell r="O1510"/>
          <cell r="T1510"/>
        </row>
        <row r="1511">
          <cell r="A1511" t="str">
            <v>ANDREW</v>
          </cell>
          <cell r="B1511" t="str">
            <v>KP6F-23</v>
          </cell>
          <cell r="O1511"/>
          <cell r="T1511"/>
        </row>
        <row r="1512">
          <cell r="A1512" t="str">
            <v>ANDREW</v>
          </cell>
          <cell r="B1512" t="str">
            <v>KP6F-25</v>
          </cell>
          <cell r="O1512"/>
          <cell r="T1512"/>
        </row>
        <row r="1513">
          <cell r="A1513" t="str">
            <v>ANDREW</v>
          </cell>
          <cell r="B1513" t="str">
            <v>KP6F-25B</v>
          </cell>
          <cell r="O1513"/>
          <cell r="T1513"/>
        </row>
        <row r="1514">
          <cell r="A1514" t="str">
            <v>ANDREW</v>
          </cell>
          <cell r="B1514" t="str">
            <v>KP6F-365B</v>
          </cell>
          <cell r="O1514"/>
          <cell r="T1514"/>
        </row>
        <row r="1515">
          <cell r="A1515" t="str">
            <v>ANDREW</v>
          </cell>
          <cell r="B1515" t="str">
            <v>KP6F-403B</v>
          </cell>
          <cell r="O1515"/>
          <cell r="T1515"/>
        </row>
        <row r="1516">
          <cell r="A1516" t="str">
            <v>ANDREW</v>
          </cell>
          <cell r="B1516" t="str">
            <v>KP6F-820B</v>
          </cell>
          <cell r="O1516"/>
          <cell r="T1516"/>
        </row>
        <row r="1517">
          <cell r="A1517" t="str">
            <v>ANDREW</v>
          </cell>
          <cell r="B1517" t="str">
            <v>KP8F-13</v>
          </cell>
          <cell r="O1517"/>
          <cell r="T1517"/>
        </row>
        <row r="1518">
          <cell r="A1518" t="str">
            <v>ANDREW</v>
          </cell>
          <cell r="B1518" t="str">
            <v>KP8F-17</v>
          </cell>
          <cell r="O1518"/>
          <cell r="T1518"/>
        </row>
        <row r="1519">
          <cell r="A1519" t="str">
            <v>ANDREW</v>
          </cell>
          <cell r="B1519" t="str">
            <v>KP8F-23</v>
          </cell>
          <cell r="O1519"/>
          <cell r="T1519"/>
        </row>
        <row r="1520">
          <cell r="A1520" t="str">
            <v>ANDREW</v>
          </cell>
          <cell r="B1520" t="str">
            <v>KP8F-23B</v>
          </cell>
          <cell r="O1520"/>
          <cell r="T1520"/>
        </row>
        <row r="1521">
          <cell r="A1521" t="str">
            <v>ANDREW</v>
          </cell>
          <cell r="B1521" t="str">
            <v>KP8F-25B</v>
          </cell>
          <cell r="O1521"/>
          <cell r="T1521"/>
        </row>
        <row r="1522">
          <cell r="A1522" t="str">
            <v>ANDREW</v>
          </cell>
          <cell r="B1522" t="str">
            <v>KP8F-335</v>
          </cell>
          <cell r="O1522"/>
          <cell r="T1522"/>
        </row>
        <row r="1523">
          <cell r="A1523" t="str">
            <v>ANDREW</v>
          </cell>
          <cell r="B1523" t="str">
            <v>KP8F-34</v>
          </cell>
          <cell r="O1523"/>
          <cell r="T1523"/>
        </row>
        <row r="1524">
          <cell r="A1524" t="str">
            <v>ANDREW</v>
          </cell>
          <cell r="B1524" t="str">
            <v>KP8F-820</v>
          </cell>
          <cell r="O1524"/>
          <cell r="T1524"/>
        </row>
        <row r="1525">
          <cell r="A1525" t="str">
            <v>ANDREW</v>
          </cell>
          <cell r="B1525" t="str">
            <v>KPR10F-13</v>
          </cell>
          <cell r="O1525"/>
          <cell r="T1525"/>
        </row>
        <row r="1526">
          <cell r="A1526" t="str">
            <v>ANDREW</v>
          </cell>
          <cell r="B1526" t="str">
            <v>KPR10F-23</v>
          </cell>
          <cell r="O1526"/>
          <cell r="T1526"/>
        </row>
        <row r="1527">
          <cell r="A1527" t="str">
            <v>ANDREW</v>
          </cell>
          <cell r="B1527" t="str">
            <v>KPR3F-23</v>
          </cell>
          <cell r="O1527"/>
          <cell r="T1527"/>
        </row>
        <row r="1528">
          <cell r="A1528" t="str">
            <v>ANDREW</v>
          </cell>
          <cell r="B1528" t="str">
            <v>KPR4F-23</v>
          </cell>
          <cell r="O1528"/>
          <cell r="T1528"/>
        </row>
        <row r="1529">
          <cell r="A1529" t="str">
            <v>ANDREW</v>
          </cell>
          <cell r="B1529" t="str">
            <v>KT1N0F-0090-310</v>
          </cell>
          <cell r="O1529"/>
          <cell r="T1529"/>
        </row>
        <row r="1530">
          <cell r="A1530" t="str">
            <v>ANDREW</v>
          </cell>
          <cell r="B1530" t="str">
            <v>LBV-4515LS-VTM</v>
          </cell>
          <cell r="O1530"/>
          <cell r="T1530"/>
        </row>
        <row r="1531">
          <cell r="A1531" t="str">
            <v>ANDREW</v>
          </cell>
          <cell r="B1531" t="str">
            <v>LBV-6513LS-VTM</v>
          </cell>
          <cell r="O1531"/>
          <cell r="T1531"/>
        </row>
        <row r="1532">
          <cell r="A1532" t="str">
            <v>ANDREW</v>
          </cell>
          <cell r="B1532" t="str">
            <v>LBV-9012-LS-R2M</v>
          </cell>
          <cell r="O1532"/>
          <cell r="T1532"/>
        </row>
        <row r="1533">
          <cell r="A1533" t="str">
            <v>ANDREW</v>
          </cell>
          <cell r="B1533" t="str">
            <v>LBV-9012LS-R2M</v>
          </cell>
          <cell r="O1533"/>
          <cell r="T1533"/>
        </row>
        <row r="1534">
          <cell r="A1534" t="str">
            <v>ANDREW</v>
          </cell>
          <cell r="B1534" t="str">
            <v>LBV-9012LS-VTM</v>
          </cell>
          <cell r="O1534"/>
          <cell r="T1534"/>
        </row>
        <row r="1535">
          <cell r="A1535" t="str">
            <v>ANDREW</v>
          </cell>
          <cell r="B1535" t="str">
            <v>LBX-3316DS-RTM</v>
          </cell>
          <cell r="O1535">
            <v>10.979046103395101</v>
          </cell>
          <cell r="T1535">
            <v>3.4014921772860198</v>
          </cell>
        </row>
        <row r="1536">
          <cell r="A1536" t="str">
            <v>ANDREW</v>
          </cell>
          <cell r="B1536" t="str">
            <v>LBX-3316DS-VTM</v>
          </cell>
          <cell r="O1536">
            <v>10.979046103395101</v>
          </cell>
          <cell r="T1536">
            <v>3.4014921772860198</v>
          </cell>
        </row>
        <row r="1537">
          <cell r="A1537" t="str">
            <v>ANDREW</v>
          </cell>
          <cell r="B1537" t="str">
            <v>LBX-3319DS-R2M</v>
          </cell>
          <cell r="O1537">
            <v>22.9686005015432</v>
          </cell>
          <cell r="T1537">
            <v>7.1534067827591095</v>
          </cell>
        </row>
        <row r="1538">
          <cell r="A1538" t="str">
            <v>ANDREW</v>
          </cell>
          <cell r="B1538" t="str">
            <v>LBX-3319DS-T0M</v>
          </cell>
          <cell r="O1538">
            <v>22.9686005015432</v>
          </cell>
          <cell r="T1538">
            <v>7.1534067827591095</v>
          </cell>
        </row>
        <row r="1539">
          <cell r="A1539" t="str">
            <v>ANDREW</v>
          </cell>
          <cell r="B1539" t="str">
            <v>LBX-3319DS-VTM</v>
          </cell>
          <cell r="O1539">
            <v>22.9686005015432</v>
          </cell>
          <cell r="T1539">
            <v>7.1534067827591095</v>
          </cell>
        </row>
        <row r="1540">
          <cell r="A1540" t="str">
            <v>ANDREW</v>
          </cell>
          <cell r="B1540" t="str">
            <v>LBX-4517DS-VTM</v>
          </cell>
          <cell r="O1540"/>
          <cell r="T1540"/>
        </row>
        <row r="1541">
          <cell r="A1541" t="str">
            <v>ANDREW</v>
          </cell>
          <cell r="B1541" t="str">
            <v>LBX-6513DS-VTM</v>
          </cell>
          <cell r="O1541">
            <v>4.4941624859999996</v>
          </cell>
          <cell r="T1541">
            <v>2.2067020509999997</v>
          </cell>
        </row>
        <row r="1542">
          <cell r="A1542" t="str">
            <v>ANDREW</v>
          </cell>
          <cell r="B1542" t="str">
            <v>LBX-6513EPA-T0M</v>
          </cell>
          <cell r="O1542">
            <v>8.176090975000001</v>
          </cell>
          <cell r="T1542">
            <v>4.9236840050000001</v>
          </cell>
        </row>
        <row r="1543">
          <cell r="A1543" t="str">
            <v>ANDREW</v>
          </cell>
          <cell r="B1543" t="str">
            <v>LBX-6515DS-T0M</v>
          </cell>
          <cell r="O1543"/>
          <cell r="T1543"/>
        </row>
        <row r="1544">
          <cell r="A1544" t="str">
            <v>ANDREW</v>
          </cell>
          <cell r="B1544" t="str">
            <v>LBX-6515DS-VTM</v>
          </cell>
          <cell r="O1544">
            <v>7.6410160329999997</v>
          </cell>
          <cell r="T1544">
            <v>3.7441066890000001</v>
          </cell>
        </row>
        <row r="1545">
          <cell r="A1545" t="str">
            <v>ANDREW</v>
          </cell>
          <cell r="B1545" t="str">
            <v>LBX-6515DSP-R2M</v>
          </cell>
          <cell r="O1545">
            <v>8.7460036682804514</v>
          </cell>
          <cell r="T1545">
            <v>4.2808192308531599</v>
          </cell>
        </row>
        <row r="1546">
          <cell r="A1546" t="str">
            <v>ANDREW</v>
          </cell>
          <cell r="B1546" t="str">
            <v>LBX-6516DS-RTM</v>
          </cell>
          <cell r="O1546">
            <v>9.5451824999999992</v>
          </cell>
          <cell r="T1546">
            <v>4.681972429</v>
          </cell>
        </row>
        <row r="1547">
          <cell r="A1547" t="str">
            <v>ANDREW</v>
          </cell>
          <cell r="B1547" t="str">
            <v>LBX-6516DS-VTM</v>
          </cell>
          <cell r="O1547">
            <v>9.5451824999999992</v>
          </cell>
          <cell r="T1547">
            <v>4.681972429</v>
          </cell>
        </row>
        <row r="1548">
          <cell r="A1548" t="str">
            <v>ANDREW</v>
          </cell>
          <cell r="B1548" t="str">
            <v>LBX-9012DS-R2M</v>
          </cell>
          <cell r="O1548">
            <v>4.4941624859999996</v>
          </cell>
          <cell r="T1548">
            <v>2.2067020509999997</v>
          </cell>
        </row>
        <row r="1549">
          <cell r="A1549" t="str">
            <v>ANDREW</v>
          </cell>
          <cell r="B1549" t="str">
            <v>LBX-9012DS-VTM</v>
          </cell>
          <cell r="O1549">
            <v>4.4941624859999996</v>
          </cell>
          <cell r="T1549">
            <v>2.2067020509999997</v>
          </cell>
        </row>
        <row r="1550">
          <cell r="A1550" t="str">
            <v>ANDREW</v>
          </cell>
          <cell r="B1550" t="str">
            <v>LBX-9013DS-VTM</v>
          </cell>
          <cell r="O1550"/>
          <cell r="T1550"/>
        </row>
        <row r="1551">
          <cell r="A1551" t="str">
            <v>ANDREW</v>
          </cell>
          <cell r="B1551" t="str">
            <v>LBX-9014DS-A1M</v>
          </cell>
          <cell r="O1551"/>
          <cell r="T1551"/>
        </row>
        <row r="1552">
          <cell r="A1552" t="str">
            <v>ANDREW</v>
          </cell>
          <cell r="B1552" t="str">
            <v>LBX-9014DS-VTM</v>
          </cell>
          <cell r="O1552"/>
          <cell r="T1552"/>
        </row>
        <row r="1553">
          <cell r="A1553" t="str">
            <v>ANDREW</v>
          </cell>
          <cell r="B1553" t="str">
            <v>LBX6-59</v>
          </cell>
          <cell r="O1553"/>
          <cell r="T1553"/>
        </row>
        <row r="1554">
          <cell r="A1554" t="str">
            <v>ANDREW</v>
          </cell>
          <cell r="B1554" t="str">
            <v>LD6-105C</v>
          </cell>
          <cell r="O1554"/>
          <cell r="T1554"/>
        </row>
        <row r="1555">
          <cell r="A1555" t="str">
            <v>ANDREW</v>
          </cell>
          <cell r="B1555" t="str">
            <v>LDX-6516DS-VTM</v>
          </cell>
          <cell r="O1555">
            <v>9.5938624219999991</v>
          </cell>
          <cell r="T1555">
            <v>4.7154158969999997</v>
          </cell>
        </row>
        <row r="1556">
          <cell r="A1556" t="str">
            <v>ANDREW</v>
          </cell>
          <cell r="B1556" t="str">
            <v>LNX-4514DS-A1M</v>
          </cell>
          <cell r="O1556">
            <v>7.1720679009999992</v>
          </cell>
          <cell r="T1556">
            <v>3.0387886600000003</v>
          </cell>
        </row>
        <row r="1557">
          <cell r="A1557" t="str">
            <v>ANDREW</v>
          </cell>
          <cell r="B1557" t="str">
            <v>LNX-4514DS-RTM</v>
          </cell>
          <cell r="O1557">
            <v>7.1720679009999992</v>
          </cell>
          <cell r="T1557">
            <v>3.0387886600000003</v>
          </cell>
        </row>
        <row r="1558">
          <cell r="A1558" t="str">
            <v>ANDREW</v>
          </cell>
          <cell r="B1558" t="str">
            <v>LNX-4514DS-VTM</v>
          </cell>
          <cell r="O1558">
            <v>7.1720679009999992</v>
          </cell>
          <cell r="T1558">
            <v>3.0387886600000003</v>
          </cell>
        </row>
        <row r="1559">
          <cell r="A1559" t="str">
            <v>ANDREW</v>
          </cell>
          <cell r="B1559" t="str">
            <v>LNX-6512DS-A1M</v>
          </cell>
          <cell r="O1559">
            <v>2.69</v>
          </cell>
          <cell r="T1559">
            <v>1.6199999999999999</v>
          </cell>
        </row>
        <row r="1560">
          <cell r="A1560" t="str">
            <v>ANDREW</v>
          </cell>
          <cell r="B1560" t="str">
            <v>LNX-6512DS-R2M</v>
          </cell>
          <cell r="O1560">
            <v>2.69</v>
          </cell>
          <cell r="T1560">
            <v>1.6199999999999999</v>
          </cell>
        </row>
        <row r="1561">
          <cell r="A1561" t="str">
            <v>ANDREW</v>
          </cell>
          <cell r="B1561" t="str">
            <v>LNX-6512DS-T0M</v>
          </cell>
          <cell r="O1561">
            <v>2.69</v>
          </cell>
          <cell r="T1561">
            <v>1.6199999999999999</v>
          </cell>
        </row>
        <row r="1562">
          <cell r="A1562" t="str">
            <v>ANDREW</v>
          </cell>
          <cell r="B1562" t="str">
            <v>LNX-6512DS-T2M</v>
          </cell>
          <cell r="O1562">
            <v>2.69</v>
          </cell>
          <cell r="T1562">
            <v>1.6199999999999999</v>
          </cell>
        </row>
        <row r="1563">
          <cell r="A1563" t="str">
            <v>ANDREW</v>
          </cell>
          <cell r="B1563" t="str">
            <v>LNX-6512DS-T4M</v>
          </cell>
          <cell r="O1563">
            <v>2.69</v>
          </cell>
          <cell r="T1563">
            <v>1.6199999999999999</v>
          </cell>
        </row>
        <row r="1564">
          <cell r="A1564" t="str">
            <v>ANDREW</v>
          </cell>
          <cell r="B1564" t="str">
            <v>LNX-6512DS-T8M</v>
          </cell>
          <cell r="O1564">
            <v>2.69</v>
          </cell>
          <cell r="T1564">
            <v>1.6199999999999999</v>
          </cell>
        </row>
        <row r="1565">
          <cell r="A1565" t="str">
            <v>ANDREW</v>
          </cell>
          <cell r="B1565" t="str">
            <v>LNX-6512DS-VTM</v>
          </cell>
          <cell r="O1565">
            <v>2.69</v>
          </cell>
          <cell r="T1565">
            <v>1.6199999999999999</v>
          </cell>
        </row>
        <row r="1566">
          <cell r="A1566" t="str">
            <v>ANDREW</v>
          </cell>
          <cell r="B1566" t="str">
            <v>LNX-6513DS-A1M</v>
          </cell>
          <cell r="O1566">
            <v>2.8805136</v>
          </cell>
          <cell r="T1566">
            <v>1.7280827949999999</v>
          </cell>
        </row>
        <row r="1567">
          <cell r="A1567" t="str">
            <v>ANDREW</v>
          </cell>
          <cell r="B1567" t="str">
            <v>LNX-6513DS-R2M</v>
          </cell>
          <cell r="O1567">
            <v>2.8805136</v>
          </cell>
          <cell r="T1567">
            <v>1.7280827949999999</v>
          </cell>
        </row>
        <row r="1568">
          <cell r="A1568" t="str">
            <v>ANDREW</v>
          </cell>
          <cell r="B1568" t="str">
            <v>LNX-6513DS-T4M</v>
          </cell>
          <cell r="O1568">
            <v>2.8805136</v>
          </cell>
          <cell r="T1568">
            <v>1.7280827949999999</v>
          </cell>
        </row>
        <row r="1569">
          <cell r="A1569" t="str">
            <v>ANDREW</v>
          </cell>
          <cell r="B1569" t="str">
            <v>LNX-6513DS-VTM</v>
          </cell>
          <cell r="O1569">
            <v>2.8805136</v>
          </cell>
          <cell r="T1569">
            <v>1.7280827949999999</v>
          </cell>
        </row>
        <row r="1570">
          <cell r="A1570" t="str">
            <v>ANDREW</v>
          </cell>
          <cell r="B1570" t="str">
            <v>LNX-6514DS-A1M</v>
          </cell>
          <cell r="O1570">
            <v>4.159146894</v>
          </cell>
          <cell r="T1570">
            <v>2.4932440119999999</v>
          </cell>
        </row>
        <row r="1571">
          <cell r="A1571" t="str">
            <v>ANDREW</v>
          </cell>
          <cell r="B1571" t="str">
            <v>LNX-6514DS-R2M</v>
          </cell>
          <cell r="O1571">
            <v>4.159146894</v>
          </cell>
          <cell r="T1571">
            <v>2.4932440119999999</v>
          </cell>
        </row>
        <row r="1572">
          <cell r="A1572" t="str">
            <v>ANDREW</v>
          </cell>
          <cell r="B1572" t="str">
            <v>LNX-6514DS-T4M</v>
          </cell>
          <cell r="O1572">
            <v>4.159146894</v>
          </cell>
          <cell r="T1572">
            <v>2.4932440119999999</v>
          </cell>
        </row>
        <row r="1573">
          <cell r="A1573" t="str">
            <v>ANDREW</v>
          </cell>
          <cell r="B1573" t="str">
            <v>LNX-6514DS-T6M</v>
          </cell>
          <cell r="O1573">
            <v>4.159146894</v>
          </cell>
          <cell r="T1573">
            <v>2.4932440119999999</v>
          </cell>
        </row>
        <row r="1574">
          <cell r="A1574" t="str">
            <v>ANDREW</v>
          </cell>
          <cell r="B1574" t="str">
            <v>LNX-6514DS-VTM</v>
          </cell>
          <cell r="O1574">
            <v>4.159146894</v>
          </cell>
          <cell r="T1574">
            <v>2.4932440119999999</v>
          </cell>
        </row>
        <row r="1575">
          <cell r="A1575" t="str">
            <v>ANDREW</v>
          </cell>
          <cell r="B1575" t="str">
            <v>LNX-6515DS-A1M</v>
          </cell>
          <cell r="O1575">
            <v>5.42</v>
          </cell>
          <cell r="T1575">
            <v>3.25</v>
          </cell>
        </row>
        <row r="1576">
          <cell r="A1576" t="str">
            <v>ANDREW</v>
          </cell>
          <cell r="B1576" t="str">
            <v>LNX-6515DS-R2M</v>
          </cell>
          <cell r="O1576">
            <v>5.42</v>
          </cell>
          <cell r="T1576">
            <v>3.25</v>
          </cell>
        </row>
        <row r="1577">
          <cell r="A1577" t="str">
            <v>ANDREW</v>
          </cell>
          <cell r="B1577" t="str">
            <v>LNX-6515DS-RTM</v>
          </cell>
          <cell r="O1577">
            <v>5.42</v>
          </cell>
          <cell r="T1577">
            <v>3.25</v>
          </cell>
        </row>
        <row r="1578">
          <cell r="A1578" t="str">
            <v>ANDREW</v>
          </cell>
          <cell r="B1578" t="str">
            <v>LNX-6515DS-T4M</v>
          </cell>
          <cell r="O1578">
            <v>5.42</v>
          </cell>
          <cell r="T1578">
            <v>3.25</v>
          </cell>
        </row>
        <row r="1579">
          <cell r="A1579" t="str">
            <v>ANDREW</v>
          </cell>
          <cell r="B1579" t="str">
            <v>LNX-6515DS-VTM</v>
          </cell>
          <cell r="O1579">
            <v>5.42</v>
          </cell>
          <cell r="T1579">
            <v>3.25</v>
          </cell>
        </row>
        <row r="1580">
          <cell r="A1580" t="str">
            <v>ANDREW</v>
          </cell>
          <cell r="B1580" t="str">
            <v>LNX-8511DS-T4M</v>
          </cell>
          <cell r="O1580">
            <v>2.5449754050000002</v>
          </cell>
          <cell r="T1580">
            <v>1.527043288</v>
          </cell>
        </row>
        <row r="1581">
          <cell r="A1581" t="str">
            <v>ANDREW</v>
          </cell>
          <cell r="B1581" t="str">
            <v>LNX-8511DS-VTM</v>
          </cell>
          <cell r="O1581">
            <v>1.5762903947489399</v>
          </cell>
          <cell r="T1581">
            <v>1.3922170939444301</v>
          </cell>
        </row>
        <row r="1582">
          <cell r="A1582" t="str">
            <v>ANDREW</v>
          </cell>
          <cell r="B1582" t="str">
            <v>LNX-8513-DS-R2M</v>
          </cell>
          <cell r="O1582">
            <v>4.159146894</v>
          </cell>
          <cell r="T1582">
            <v>2.4932440119999999</v>
          </cell>
        </row>
        <row r="1583">
          <cell r="A1583" t="str">
            <v>ANDREW</v>
          </cell>
          <cell r="B1583" t="str">
            <v>LNX-8513DS-A1M</v>
          </cell>
          <cell r="O1583">
            <v>4.159146894</v>
          </cell>
          <cell r="T1583">
            <v>2.4932440119999999</v>
          </cell>
        </row>
        <row r="1584">
          <cell r="A1584" t="str">
            <v>ANDREW</v>
          </cell>
          <cell r="B1584" t="str">
            <v>LNX-8513DS-T4M</v>
          </cell>
          <cell r="O1584">
            <v>3.969225019</v>
          </cell>
          <cell r="T1584">
            <v>2.3810687240000004</v>
          </cell>
        </row>
        <row r="1585">
          <cell r="A1585" t="str">
            <v>ANDREW</v>
          </cell>
          <cell r="B1585" t="str">
            <v>LNX-8513DS-VTM</v>
          </cell>
          <cell r="O1585">
            <v>4.159146894</v>
          </cell>
          <cell r="T1585">
            <v>2.4932440119999999</v>
          </cell>
        </row>
        <row r="1586">
          <cell r="A1586" t="str">
            <v>ANDREW</v>
          </cell>
          <cell r="B1586" t="str">
            <v>LNX-8514DS-A1M</v>
          </cell>
          <cell r="O1586">
            <v>5.6703366129999999</v>
          </cell>
          <cell r="T1586">
            <v>3.4022068220000001</v>
          </cell>
        </row>
        <row r="1587">
          <cell r="A1587" t="str">
            <v>ANDREW</v>
          </cell>
          <cell r="B1587" t="str">
            <v>LNX-8514DS-T4M</v>
          </cell>
          <cell r="O1587">
            <v>5.6703366129999999</v>
          </cell>
          <cell r="T1587">
            <v>3.4022068220000001</v>
          </cell>
        </row>
        <row r="1588">
          <cell r="A1588" t="str">
            <v>ANDREW</v>
          </cell>
          <cell r="B1588" t="str">
            <v>LNX-8514DS-VTM</v>
          </cell>
          <cell r="O1588">
            <v>5.6703366129999999</v>
          </cell>
          <cell r="T1588">
            <v>3.4022068220000001</v>
          </cell>
        </row>
        <row r="1589">
          <cell r="A1589" t="str">
            <v>ANDREW</v>
          </cell>
          <cell r="B1589" t="str">
            <v>LNXC-6514DS-VTM</v>
          </cell>
          <cell r="O1589">
            <v>4.159146894</v>
          </cell>
          <cell r="T1589">
            <v>2.4932440119999999</v>
          </cell>
        </row>
        <row r="1590">
          <cell r="A1590" t="str">
            <v>ANDREW</v>
          </cell>
          <cell r="B1590" t="str">
            <v>LRX-8512DS-VTM</v>
          </cell>
          <cell r="O1590">
            <v>2.936585166</v>
          </cell>
          <cell r="T1590">
            <v>1.7605495019999999</v>
          </cell>
        </row>
        <row r="1591">
          <cell r="A1591" t="str">
            <v>ANDREW</v>
          </cell>
          <cell r="B1591" t="str">
            <v>MB48RR80VDPALQ-12</v>
          </cell>
          <cell r="O1591">
            <v>5.8303430609999998</v>
          </cell>
          <cell r="T1591">
            <v>3.512942765</v>
          </cell>
        </row>
        <row r="1592">
          <cell r="A1592" t="str">
            <v>ANDREW</v>
          </cell>
          <cell r="B1592" t="str">
            <v>MB72RR80VDPALQ-R12</v>
          </cell>
          <cell r="O1592">
            <v>8.176090975000001</v>
          </cell>
          <cell r="T1592">
            <v>4.9236840050000001</v>
          </cell>
        </row>
        <row r="1593">
          <cell r="A1593" t="str">
            <v>ANDREW</v>
          </cell>
          <cell r="B1593" t="str">
            <v>MD-S10</v>
          </cell>
          <cell r="O1593"/>
          <cell r="T1593"/>
        </row>
        <row r="1594">
          <cell r="A1594" t="str">
            <v>ANDREW</v>
          </cell>
          <cell r="B1594" t="str">
            <v>MD-S3</v>
          </cell>
          <cell r="O1594"/>
          <cell r="T1594"/>
        </row>
        <row r="1595">
          <cell r="A1595" t="str">
            <v>ANDREW</v>
          </cell>
          <cell r="B1595" t="str">
            <v>MD-S4</v>
          </cell>
          <cell r="O1595"/>
          <cell r="T1595"/>
        </row>
        <row r="1596">
          <cell r="A1596" t="str">
            <v>ANDREW</v>
          </cell>
          <cell r="B1596" t="str">
            <v>MD-S6</v>
          </cell>
          <cell r="O1596"/>
          <cell r="T1596"/>
        </row>
        <row r="1597">
          <cell r="A1597" t="str">
            <v>ANDREW</v>
          </cell>
          <cell r="B1597" t="str">
            <v>MD-S8</v>
          </cell>
          <cell r="O1597"/>
          <cell r="T1597"/>
        </row>
        <row r="1598">
          <cell r="A1598" t="str">
            <v>ANDREW</v>
          </cell>
          <cell r="B1598" t="str">
            <v>MFB-4503</v>
          </cell>
          <cell r="O1598"/>
          <cell r="T1598"/>
        </row>
        <row r="1599">
          <cell r="A1599" t="str">
            <v>ANDREW</v>
          </cell>
          <cell r="B1599" t="str">
            <v>MTC3338</v>
          </cell>
          <cell r="O1599"/>
          <cell r="T1599"/>
        </row>
        <row r="1600">
          <cell r="A1600" t="str">
            <v>ANDREW</v>
          </cell>
          <cell r="B1600" t="str">
            <v>NHH-55C-HG-R2B_20250312</v>
          </cell>
          <cell r="O1600">
            <v>5.6968605324074097</v>
          </cell>
          <cell r="T1600">
            <v>3.29728756091404</v>
          </cell>
        </row>
        <row r="1601">
          <cell r="A1601" t="str">
            <v>ANDREW</v>
          </cell>
          <cell r="B1601" t="str">
            <v>NHH-65C-HG-R3BD_20250430</v>
          </cell>
          <cell r="O1601"/>
          <cell r="T1601"/>
        </row>
        <row r="1602">
          <cell r="A1602" t="str">
            <v>ANDREW</v>
          </cell>
          <cell r="B1602" t="str">
            <v>NHHSS-65B-HG-R3B_20250312</v>
          </cell>
          <cell r="O1602"/>
          <cell r="T1602"/>
        </row>
        <row r="1603">
          <cell r="A1603" t="str">
            <v>ANDREW</v>
          </cell>
          <cell r="B1603" t="str">
            <v>NNH4-45B-R6-V1_20250312</v>
          </cell>
          <cell r="O1603">
            <v>8.2549864969135793</v>
          </cell>
          <cell r="T1603">
            <v>3.2208664570060201</v>
          </cell>
        </row>
        <row r="1604">
          <cell r="A1604" t="str">
            <v>ANDREW</v>
          </cell>
          <cell r="B1604" t="str">
            <v>NNH4-65A-R6H4_20250312</v>
          </cell>
          <cell r="O1604"/>
          <cell r="T1604"/>
        </row>
        <row r="1605">
          <cell r="A1605" t="str">
            <v>ANDREW</v>
          </cell>
          <cell r="B1605" t="str">
            <v>NNH4-65C-R6-V4_20250312</v>
          </cell>
          <cell r="O1605">
            <v>9.7381510416666703</v>
          </cell>
          <cell r="T1605">
            <v>3.8516642624091801</v>
          </cell>
        </row>
        <row r="1606">
          <cell r="A1606" t="str">
            <v>ANDREW</v>
          </cell>
          <cell r="B1606" t="str">
            <v>NNHH-65A-R2-UPM-V2_20250715</v>
          </cell>
          <cell r="O1606"/>
          <cell r="T1606"/>
        </row>
        <row r="1607">
          <cell r="A1607" t="str">
            <v>ANDREW</v>
          </cell>
          <cell r="B1607" t="str">
            <v>NNHH-65C-R4_20250312</v>
          </cell>
          <cell r="O1607"/>
          <cell r="T1607"/>
        </row>
        <row r="1608">
          <cell r="A1608" t="str">
            <v>ANDREW</v>
          </cell>
          <cell r="B1608" t="str">
            <v>P-24A48GN-U</v>
          </cell>
          <cell r="O1608"/>
          <cell r="T1608"/>
        </row>
        <row r="1609">
          <cell r="A1609" t="str">
            <v>ANDREW</v>
          </cell>
          <cell r="B1609" t="str">
            <v>P10-105-P7A</v>
          </cell>
          <cell r="O1609"/>
          <cell r="T1609"/>
        </row>
        <row r="1610">
          <cell r="A1610" t="str">
            <v>ANDREW</v>
          </cell>
          <cell r="B1610" t="str">
            <v>P10-105B</v>
          </cell>
          <cell r="O1610"/>
          <cell r="T1610"/>
        </row>
        <row r="1611">
          <cell r="A1611" t="str">
            <v>ANDREW</v>
          </cell>
          <cell r="B1611" t="str">
            <v>P10-9C</v>
          </cell>
          <cell r="O1611"/>
          <cell r="T1611"/>
        </row>
        <row r="1612">
          <cell r="A1612" t="str">
            <v>ANDREW</v>
          </cell>
          <cell r="B1612" t="str">
            <v>P10F-17C</v>
          </cell>
          <cell r="O1612"/>
          <cell r="T1612"/>
        </row>
        <row r="1613">
          <cell r="A1613" t="str">
            <v>ANDREW</v>
          </cell>
          <cell r="B1613" t="str">
            <v>P10F-21C</v>
          </cell>
          <cell r="O1613"/>
          <cell r="T1613"/>
        </row>
        <row r="1614">
          <cell r="A1614" t="str">
            <v>ANDREW</v>
          </cell>
          <cell r="B1614" t="str">
            <v>P10F-9</v>
          </cell>
          <cell r="O1614"/>
          <cell r="T1614"/>
        </row>
        <row r="1615">
          <cell r="A1615" t="str">
            <v>ANDREW</v>
          </cell>
          <cell r="B1615" t="str">
            <v>P12-9E</v>
          </cell>
          <cell r="O1615"/>
          <cell r="T1615"/>
        </row>
        <row r="1616">
          <cell r="A1616" t="str">
            <v>ANDREW</v>
          </cell>
          <cell r="B1616" t="str">
            <v>P2-105A</v>
          </cell>
          <cell r="O1616"/>
          <cell r="T1616"/>
        </row>
        <row r="1617">
          <cell r="A1617" t="str">
            <v>ANDREW</v>
          </cell>
          <cell r="B1617" t="str">
            <v>P2-122E</v>
          </cell>
          <cell r="O1617"/>
          <cell r="T1617"/>
        </row>
        <row r="1618">
          <cell r="A1618" t="str">
            <v>ANDREW</v>
          </cell>
          <cell r="B1618" t="str">
            <v>P2-57W</v>
          </cell>
          <cell r="O1618"/>
          <cell r="T1618"/>
        </row>
        <row r="1619">
          <cell r="A1619" t="str">
            <v>ANDREW</v>
          </cell>
          <cell r="B1619" t="str">
            <v>P2-57W-P7A</v>
          </cell>
          <cell r="O1619"/>
          <cell r="T1619"/>
        </row>
        <row r="1620">
          <cell r="A1620" t="str">
            <v>ANDREW</v>
          </cell>
          <cell r="B1620" t="str">
            <v>P2-57W-PXA</v>
          </cell>
          <cell r="O1620"/>
          <cell r="T1620"/>
        </row>
        <row r="1621">
          <cell r="A1621" t="str">
            <v>ANDREW</v>
          </cell>
          <cell r="B1621" t="str">
            <v>P2F-23</v>
          </cell>
          <cell r="O1621"/>
          <cell r="T1621"/>
        </row>
        <row r="1622">
          <cell r="A1622" t="str">
            <v>ANDREW</v>
          </cell>
          <cell r="B1622" t="str">
            <v>P2F-23-N7A</v>
          </cell>
          <cell r="O1622"/>
          <cell r="T1622"/>
        </row>
        <row r="1623">
          <cell r="A1623" t="str">
            <v>ANDREW</v>
          </cell>
          <cell r="B1623" t="str">
            <v>P2F-23-NXA</v>
          </cell>
          <cell r="O1623"/>
          <cell r="T1623"/>
        </row>
        <row r="1624">
          <cell r="A1624" t="str">
            <v>ANDREW</v>
          </cell>
          <cell r="B1624" t="str">
            <v>P2F-52</v>
          </cell>
          <cell r="O1624"/>
          <cell r="T1624"/>
        </row>
        <row r="1625">
          <cell r="A1625" t="str">
            <v>ANDREW</v>
          </cell>
          <cell r="B1625" t="str">
            <v>P2F-52-N7A</v>
          </cell>
          <cell r="O1625"/>
          <cell r="T1625"/>
        </row>
        <row r="1626">
          <cell r="A1626" t="str">
            <v>ANDREW</v>
          </cell>
          <cell r="B1626" t="str">
            <v>P2F-52-N8A</v>
          </cell>
          <cell r="O1626"/>
          <cell r="T1626"/>
        </row>
        <row r="1627">
          <cell r="A1627" t="str">
            <v>ANDREW</v>
          </cell>
          <cell r="B1627" t="str">
            <v>P2F-52-NEA</v>
          </cell>
          <cell r="O1627"/>
          <cell r="T1627"/>
        </row>
        <row r="1628">
          <cell r="A1628" t="str">
            <v>ANDREW</v>
          </cell>
          <cell r="B1628" t="str">
            <v>P2F-52-NXA</v>
          </cell>
          <cell r="O1628"/>
          <cell r="T1628"/>
        </row>
        <row r="1629">
          <cell r="A1629" t="str">
            <v>ANDREW</v>
          </cell>
          <cell r="B1629" t="str">
            <v>P2F-57W-N7A</v>
          </cell>
          <cell r="O1629"/>
          <cell r="T1629"/>
        </row>
        <row r="1630">
          <cell r="A1630" t="str">
            <v>ANDREW</v>
          </cell>
          <cell r="B1630" t="str">
            <v>P2F-57W-NPA</v>
          </cell>
          <cell r="O1630"/>
          <cell r="T1630"/>
        </row>
        <row r="1631">
          <cell r="A1631" t="str">
            <v>ANDREW</v>
          </cell>
          <cell r="B1631" t="str">
            <v>P2F-57W-NXA</v>
          </cell>
          <cell r="O1631"/>
          <cell r="T1631"/>
        </row>
        <row r="1632">
          <cell r="A1632" t="str">
            <v>ANDREW</v>
          </cell>
          <cell r="B1632" t="str">
            <v>P3F-52</v>
          </cell>
          <cell r="O1632"/>
          <cell r="T1632"/>
        </row>
        <row r="1633">
          <cell r="A1633" t="str">
            <v>ANDREW</v>
          </cell>
          <cell r="B1633" t="str">
            <v>P3F-52-N7A</v>
          </cell>
          <cell r="O1633"/>
          <cell r="T1633"/>
        </row>
        <row r="1634">
          <cell r="A1634" t="str">
            <v>ANDREW</v>
          </cell>
          <cell r="B1634" t="str">
            <v>P3F-52-NXA</v>
          </cell>
          <cell r="O1634"/>
          <cell r="T1634"/>
        </row>
        <row r="1635">
          <cell r="A1635" t="str">
            <v>ANDREW</v>
          </cell>
          <cell r="B1635" t="str">
            <v>P4-102-P7A</v>
          </cell>
          <cell r="O1635"/>
          <cell r="T1635"/>
        </row>
        <row r="1636">
          <cell r="A1636" t="str">
            <v>ANDREW</v>
          </cell>
          <cell r="B1636" t="str">
            <v>P4-105</v>
          </cell>
          <cell r="O1636"/>
          <cell r="T1636"/>
        </row>
        <row r="1637">
          <cell r="A1637" t="str">
            <v>ANDREW</v>
          </cell>
          <cell r="B1637" t="str">
            <v>P4-122</v>
          </cell>
          <cell r="O1637"/>
          <cell r="T1637"/>
        </row>
        <row r="1638">
          <cell r="A1638" t="str">
            <v>ANDREW</v>
          </cell>
          <cell r="B1638" t="str">
            <v>P4-57W</v>
          </cell>
          <cell r="O1638"/>
          <cell r="T1638"/>
        </row>
        <row r="1639">
          <cell r="A1639" t="str">
            <v>ANDREW</v>
          </cell>
          <cell r="B1639" t="str">
            <v>P4-57W-P7A/A</v>
          </cell>
          <cell r="O1639"/>
          <cell r="T1639"/>
        </row>
        <row r="1640">
          <cell r="A1640" t="str">
            <v>ANDREW</v>
          </cell>
          <cell r="B1640" t="str">
            <v>P4-57W-PXA</v>
          </cell>
          <cell r="O1640"/>
          <cell r="T1640"/>
        </row>
        <row r="1641">
          <cell r="A1641" t="str">
            <v>ANDREW</v>
          </cell>
          <cell r="B1641" t="str">
            <v>P4-9C</v>
          </cell>
          <cell r="O1641"/>
          <cell r="T1641"/>
        </row>
        <row r="1642">
          <cell r="A1642" t="str">
            <v>ANDREW</v>
          </cell>
          <cell r="B1642" t="str">
            <v>P4F-21D</v>
          </cell>
          <cell r="O1642"/>
          <cell r="T1642"/>
        </row>
        <row r="1643">
          <cell r="A1643" t="str">
            <v>ANDREW</v>
          </cell>
          <cell r="B1643" t="str">
            <v>P4F-23</v>
          </cell>
          <cell r="O1643"/>
          <cell r="T1643"/>
        </row>
        <row r="1644">
          <cell r="A1644" t="str">
            <v>ANDREW</v>
          </cell>
          <cell r="B1644" t="str">
            <v>P4F-23-N7B</v>
          </cell>
          <cell r="O1644"/>
          <cell r="T1644"/>
        </row>
        <row r="1645">
          <cell r="A1645" t="str">
            <v>ANDREW</v>
          </cell>
          <cell r="B1645" t="str">
            <v>P4F-23-NXA</v>
          </cell>
          <cell r="O1645"/>
          <cell r="T1645"/>
        </row>
        <row r="1646">
          <cell r="A1646" t="str">
            <v>ANDREW</v>
          </cell>
          <cell r="B1646" t="str">
            <v>P4F-25E</v>
          </cell>
          <cell r="O1646"/>
          <cell r="T1646"/>
        </row>
        <row r="1647">
          <cell r="A1647" t="str">
            <v>ANDREW</v>
          </cell>
          <cell r="B1647" t="str">
            <v>P4F-34</v>
          </cell>
          <cell r="O1647"/>
          <cell r="T1647"/>
        </row>
        <row r="1648">
          <cell r="A1648" t="str">
            <v>ANDREW</v>
          </cell>
          <cell r="B1648" t="str">
            <v>P4F-52</v>
          </cell>
          <cell r="O1648"/>
          <cell r="T1648"/>
        </row>
        <row r="1649">
          <cell r="A1649" t="str">
            <v>ANDREW</v>
          </cell>
          <cell r="B1649" t="str">
            <v>P4F-52-N7A</v>
          </cell>
          <cell r="O1649"/>
          <cell r="T1649"/>
        </row>
        <row r="1650">
          <cell r="A1650" t="str">
            <v>ANDREW</v>
          </cell>
          <cell r="B1650" t="str">
            <v>P4F-52-N8A/A</v>
          </cell>
          <cell r="O1650"/>
          <cell r="T1650"/>
        </row>
        <row r="1651">
          <cell r="A1651" t="str">
            <v>ANDREW</v>
          </cell>
          <cell r="B1651" t="str">
            <v>P4F-52-NXA</v>
          </cell>
          <cell r="O1651"/>
          <cell r="T1651"/>
        </row>
        <row r="1652">
          <cell r="A1652" t="str">
            <v>ANDREW</v>
          </cell>
          <cell r="B1652" t="str">
            <v>P4F-52-NXA/A</v>
          </cell>
          <cell r="O1652"/>
          <cell r="T1652"/>
        </row>
        <row r="1653">
          <cell r="A1653" t="str">
            <v>ANDREW</v>
          </cell>
          <cell r="B1653" t="str">
            <v>P4F-57W-NXA</v>
          </cell>
          <cell r="O1653"/>
          <cell r="T1653"/>
        </row>
        <row r="1654">
          <cell r="A1654" t="str">
            <v>ANDREW</v>
          </cell>
          <cell r="B1654" t="str">
            <v>P4F-9</v>
          </cell>
          <cell r="O1654"/>
          <cell r="T1654"/>
        </row>
        <row r="1655">
          <cell r="A1655" t="str">
            <v>ANDREW</v>
          </cell>
          <cell r="B1655" t="str">
            <v>P6-105</v>
          </cell>
          <cell r="O1655"/>
          <cell r="T1655"/>
        </row>
        <row r="1656">
          <cell r="A1656" t="str">
            <v>ANDREW</v>
          </cell>
          <cell r="B1656" t="str">
            <v>P6-105-PXA</v>
          </cell>
          <cell r="O1656"/>
          <cell r="T1656"/>
        </row>
        <row r="1657">
          <cell r="A1657" t="str">
            <v>ANDREW</v>
          </cell>
          <cell r="B1657" t="str">
            <v>P6-105B</v>
          </cell>
          <cell r="O1657"/>
          <cell r="T1657"/>
        </row>
        <row r="1658">
          <cell r="A1658" t="str">
            <v>ANDREW</v>
          </cell>
          <cell r="B1658" t="str">
            <v>P6-122</v>
          </cell>
          <cell r="O1658"/>
          <cell r="T1658"/>
        </row>
        <row r="1659">
          <cell r="A1659" t="str">
            <v>ANDREW</v>
          </cell>
          <cell r="B1659" t="str">
            <v>P6-122-C7A</v>
          </cell>
          <cell r="O1659"/>
          <cell r="T1659"/>
        </row>
        <row r="1660">
          <cell r="A1660" t="str">
            <v>ANDREW</v>
          </cell>
          <cell r="B1660" t="str">
            <v>P6-57W</v>
          </cell>
          <cell r="O1660"/>
          <cell r="T1660"/>
        </row>
        <row r="1661">
          <cell r="A1661" t="str">
            <v>ANDREW</v>
          </cell>
          <cell r="B1661" t="str">
            <v>P6-65D</v>
          </cell>
          <cell r="O1661"/>
          <cell r="T1661"/>
        </row>
        <row r="1662">
          <cell r="A1662" t="str">
            <v>ANDREW</v>
          </cell>
          <cell r="B1662" t="str">
            <v>P6-9C</v>
          </cell>
          <cell r="O1662"/>
          <cell r="T1662"/>
        </row>
        <row r="1663">
          <cell r="A1663" t="str">
            <v>ANDREW</v>
          </cell>
          <cell r="B1663" t="str">
            <v>P6F-15D</v>
          </cell>
          <cell r="O1663"/>
          <cell r="T1663"/>
        </row>
        <row r="1664">
          <cell r="A1664" t="str">
            <v>ANDREW</v>
          </cell>
          <cell r="B1664" t="str">
            <v>P6F-21C</v>
          </cell>
          <cell r="O1664"/>
          <cell r="T1664"/>
        </row>
        <row r="1665">
          <cell r="A1665" t="str">
            <v>ANDREW</v>
          </cell>
          <cell r="B1665" t="str">
            <v>P6F-23E</v>
          </cell>
          <cell r="O1665"/>
          <cell r="T1665"/>
        </row>
        <row r="1666">
          <cell r="A1666" t="str">
            <v>ANDREW</v>
          </cell>
          <cell r="B1666" t="str">
            <v>P6F-24</v>
          </cell>
          <cell r="O1666"/>
          <cell r="T1666"/>
        </row>
        <row r="1667">
          <cell r="A1667" t="str">
            <v>ANDREW</v>
          </cell>
          <cell r="B1667" t="str">
            <v>P6F-52</v>
          </cell>
          <cell r="O1667"/>
          <cell r="T1667"/>
        </row>
        <row r="1668">
          <cell r="A1668" t="str">
            <v>ANDREW</v>
          </cell>
          <cell r="B1668" t="str">
            <v>P6F-52-N7A</v>
          </cell>
          <cell r="O1668"/>
          <cell r="T1668"/>
        </row>
        <row r="1669">
          <cell r="A1669" t="str">
            <v>ANDREW</v>
          </cell>
          <cell r="B1669" t="str">
            <v>P6F-57W-NXA</v>
          </cell>
          <cell r="O1669"/>
          <cell r="T1669"/>
        </row>
        <row r="1670">
          <cell r="A1670" t="str">
            <v>ANDREW</v>
          </cell>
          <cell r="B1670" t="str">
            <v>P6F-9</v>
          </cell>
          <cell r="O1670"/>
          <cell r="T1670"/>
        </row>
        <row r="1671">
          <cell r="A1671" t="str">
            <v>ANDREW</v>
          </cell>
          <cell r="B1671" t="str">
            <v>P8-105B</v>
          </cell>
          <cell r="O1671"/>
          <cell r="T1671"/>
        </row>
        <row r="1672">
          <cell r="A1672" t="str">
            <v>ANDREW</v>
          </cell>
          <cell r="B1672" t="str">
            <v>P8-122E</v>
          </cell>
          <cell r="O1672"/>
          <cell r="T1672"/>
        </row>
        <row r="1673">
          <cell r="A1673" t="str">
            <v>ANDREW</v>
          </cell>
          <cell r="B1673" t="str">
            <v>P8-180</v>
          </cell>
          <cell r="O1673"/>
          <cell r="T1673"/>
        </row>
        <row r="1674">
          <cell r="A1674" t="str">
            <v>ANDREW</v>
          </cell>
          <cell r="B1674" t="str">
            <v>P8-57W</v>
          </cell>
          <cell r="O1674"/>
          <cell r="T1674"/>
        </row>
        <row r="1675">
          <cell r="A1675" t="str">
            <v>ANDREW</v>
          </cell>
          <cell r="B1675" t="str">
            <v>P8-57W-P7A</v>
          </cell>
          <cell r="O1675"/>
          <cell r="T1675"/>
        </row>
        <row r="1676">
          <cell r="A1676" t="str">
            <v>ANDREW</v>
          </cell>
          <cell r="B1676" t="str">
            <v>P8-9C</v>
          </cell>
          <cell r="O1676"/>
          <cell r="T1676"/>
        </row>
        <row r="1677">
          <cell r="A1677" t="str">
            <v>ANDREW</v>
          </cell>
          <cell r="B1677" t="str">
            <v>P8F-21C</v>
          </cell>
          <cell r="O1677"/>
          <cell r="T1677"/>
        </row>
        <row r="1678">
          <cell r="A1678" t="str">
            <v>ANDREW</v>
          </cell>
          <cell r="B1678" t="str">
            <v>P8F-57W-NXA</v>
          </cell>
          <cell r="O1678"/>
          <cell r="T1678"/>
        </row>
        <row r="1679">
          <cell r="A1679" t="str">
            <v>ANDREW</v>
          </cell>
          <cell r="B1679" t="str">
            <v>PAR10-59</v>
          </cell>
          <cell r="O1679"/>
          <cell r="T1679"/>
        </row>
        <row r="1680">
          <cell r="A1680" t="str">
            <v>ANDREW</v>
          </cell>
          <cell r="B1680" t="str">
            <v>PAR10-59-1</v>
          </cell>
          <cell r="O1680"/>
          <cell r="T1680"/>
        </row>
        <row r="1681">
          <cell r="A1681" t="str">
            <v>ANDREW</v>
          </cell>
          <cell r="B1681" t="str">
            <v>PAR10-59A</v>
          </cell>
          <cell r="O1681"/>
          <cell r="T1681"/>
        </row>
        <row r="1682">
          <cell r="A1682" t="str">
            <v>ANDREW</v>
          </cell>
          <cell r="B1682" t="str">
            <v>PAR10-59W</v>
          </cell>
          <cell r="O1682"/>
          <cell r="T1682"/>
        </row>
        <row r="1683">
          <cell r="A1683" t="str">
            <v>ANDREW</v>
          </cell>
          <cell r="B1683" t="str">
            <v>PAR10-59W-P7A</v>
          </cell>
          <cell r="O1683"/>
          <cell r="T1683"/>
        </row>
        <row r="1684">
          <cell r="A1684" t="str">
            <v>ANDREW</v>
          </cell>
          <cell r="B1684" t="str">
            <v>PAR10-65-P7A</v>
          </cell>
          <cell r="O1684"/>
          <cell r="T1684"/>
        </row>
        <row r="1685">
          <cell r="A1685" t="str">
            <v>ANDREW</v>
          </cell>
          <cell r="B1685" t="str">
            <v>PAR12-59W-P7M</v>
          </cell>
          <cell r="O1685"/>
          <cell r="T1685"/>
        </row>
        <row r="1686">
          <cell r="A1686" t="str">
            <v>ANDREW</v>
          </cell>
          <cell r="B1686" t="str">
            <v>PAR6-105</v>
          </cell>
          <cell r="O1686"/>
          <cell r="T1686"/>
        </row>
        <row r="1687">
          <cell r="A1687" t="str">
            <v>ANDREW</v>
          </cell>
          <cell r="B1687" t="str">
            <v>PAR6-107</v>
          </cell>
          <cell r="O1687"/>
          <cell r="T1687"/>
        </row>
        <row r="1688">
          <cell r="A1688" t="str">
            <v>ANDREW</v>
          </cell>
          <cell r="B1688" t="str">
            <v>PAR6-59</v>
          </cell>
          <cell r="O1688"/>
          <cell r="T1688"/>
        </row>
        <row r="1689">
          <cell r="A1689" t="str">
            <v>ANDREW</v>
          </cell>
          <cell r="B1689" t="str">
            <v>PAR6-59-PXA/B</v>
          </cell>
          <cell r="O1689"/>
          <cell r="T1689"/>
        </row>
        <row r="1690">
          <cell r="A1690" t="str">
            <v>ANDREW</v>
          </cell>
          <cell r="B1690" t="str">
            <v>PAR6-59/B</v>
          </cell>
          <cell r="O1690"/>
          <cell r="T1690"/>
        </row>
        <row r="1691">
          <cell r="A1691" t="str">
            <v>ANDREW</v>
          </cell>
          <cell r="B1691" t="str">
            <v>PAR6-59A</v>
          </cell>
          <cell r="O1691"/>
          <cell r="T1691"/>
        </row>
        <row r="1692">
          <cell r="A1692" t="str">
            <v>ANDREW</v>
          </cell>
          <cell r="B1692" t="str">
            <v>PAR6-59A-P7A</v>
          </cell>
          <cell r="O1692"/>
          <cell r="T1692"/>
        </row>
        <row r="1693">
          <cell r="A1693" t="str">
            <v>ANDREW</v>
          </cell>
          <cell r="B1693" t="str">
            <v>PAR6-59W</v>
          </cell>
          <cell r="O1693"/>
          <cell r="T1693"/>
        </row>
        <row r="1694">
          <cell r="A1694" t="str">
            <v>ANDREW</v>
          </cell>
          <cell r="B1694" t="str">
            <v>PAR6-59W-DXA</v>
          </cell>
          <cell r="O1694"/>
          <cell r="T1694"/>
        </row>
        <row r="1695">
          <cell r="A1695" t="str">
            <v>ANDREW</v>
          </cell>
          <cell r="B1695" t="str">
            <v>PAR6-59W-PXA</v>
          </cell>
          <cell r="O1695"/>
          <cell r="T1695"/>
        </row>
        <row r="1696">
          <cell r="A1696" t="str">
            <v>ANDREW</v>
          </cell>
          <cell r="B1696" t="str">
            <v>PAR6-59W-PXA/A</v>
          </cell>
          <cell r="O1696"/>
          <cell r="T1696"/>
        </row>
        <row r="1697">
          <cell r="A1697" t="str">
            <v>ANDREW</v>
          </cell>
          <cell r="B1697" t="str">
            <v>PAR6-65</v>
          </cell>
          <cell r="O1697"/>
          <cell r="T1697"/>
        </row>
        <row r="1698">
          <cell r="A1698" t="str">
            <v>ANDREW</v>
          </cell>
          <cell r="B1698" t="str">
            <v>PAR6-65-PXA</v>
          </cell>
          <cell r="O1698"/>
          <cell r="T1698"/>
        </row>
        <row r="1699">
          <cell r="A1699" t="str">
            <v>ANDREW</v>
          </cell>
          <cell r="B1699" t="str">
            <v>PAR6-65A</v>
          </cell>
          <cell r="O1699"/>
          <cell r="T1699"/>
        </row>
        <row r="1700">
          <cell r="A1700" t="str">
            <v>ANDREW</v>
          </cell>
          <cell r="B1700" t="str">
            <v>PAR6-65A-PXA</v>
          </cell>
          <cell r="O1700"/>
          <cell r="T1700"/>
        </row>
        <row r="1701">
          <cell r="A1701" t="str">
            <v>ANDREW</v>
          </cell>
          <cell r="B1701" t="str">
            <v>PAR8-105-PXA</v>
          </cell>
          <cell r="O1701"/>
          <cell r="T1701"/>
        </row>
        <row r="1702">
          <cell r="A1702" t="str">
            <v>ANDREW</v>
          </cell>
          <cell r="B1702" t="str">
            <v>PAR8-107</v>
          </cell>
          <cell r="O1702"/>
          <cell r="T1702"/>
        </row>
        <row r="1703">
          <cell r="A1703" t="str">
            <v>ANDREW</v>
          </cell>
          <cell r="B1703" t="str">
            <v>PAR8-59</v>
          </cell>
          <cell r="O1703"/>
          <cell r="T1703"/>
        </row>
        <row r="1704">
          <cell r="A1704" t="str">
            <v>ANDREW</v>
          </cell>
          <cell r="B1704" t="str">
            <v>PAR8-59W</v>
          </cell>
          <cell r="O1704"/>
          <cell r="T1704"/>
        </row>
        <row r="1705">
          <cell r="A1705" t="str">
            <v>ANDREW</v>
          </cell>
          <cell r="B1705" t="str">
            <v>PAR8-65</v>
          </cell>
          <cell r="O1705"/>
          <cell r="T1705"/>
        </row>
        <row r="1706">
          <cell r="A1706" t="str">
            <v>ANDREW</v>
          </cell>
          <cell r="B1706" t="str">
            <v>PAR8-65-PXA</v>
          </cell>
          <cell r="O1706"/>
          <cell r="T1706"/>
        </row>
        <row r="1707">
          <cell r="A1707" t="str">
            <v>ANDREW</v>
          </cell>
          <cell r="B1707" t="str">
            <v>PAR8-65A</v>
          </cell>
          <cell r="O1707"/>
          <cell r="T1707"/>
        </row>
        <row r="1708">
          <cell r="A1708" t="str">
            <v>ANDREW</v>
          </cell>
          <cell r="B1708" t="str">
            <v>PARX10-59</v>
          </cell>
          <cell r="O1708"/>
          <cell r="T1708"/>
        </row>
        <row r="1709">
          <cell r="A1709" t="str">
            <v>ANDREW</v>
          </cell>
          <cell r="B1709" t="str">
            <v>PARX6-59</v>
          </cell>
          <cell r="O1709"/>
          <cell r="T1709"/>
        </row>
        <row r="1710">
          <cell r="A1710" t="str">
            <v>ANDREW</v>
          </cell>
          <cell r="B1710" t="str">
            <v>PARX6-59-DXA/A</v>
          </cell>
          <cell r="O1710"/>
          <cell r="T1710"/>
        </row>
        <row r="1711">
          <cell r="A1711" t="str">
            <v>ANDREW</v>
          </cell>
          <cell r="B1711" t="str">
            <v>PARX6-59-P7A</v>
          </cell>
          <cell r="O1711"/>
          <cell r="T1711"/>
        </row>
        <row r="1712">
          <cell r="A1712" t="str">
            <v>ANDREW</v>
          </cell>
          <cell r="B1712" t="str">
            <v>PARX6-59-PXA/A</v>
          </cell>
          <cell r="O1712"/>
          <cell r="T1712"/>
        </row>
        <row r="1713">
          <cell r="A1713" t="str">
            <v>ANDREW</v>
          </cell>
          <cell r="B1713" t="str">
            <v>PARX6-59/A</v>
          </cell>
          <cell r="O1713"/>
          <cell r="T1713"/>
        </row>
        <row r="1714">
          <cell r="A1714" t="str">
            <v>ANDREW</v>
          </cell>
          <cell r="B1714" t="str">
            <v>PARX6-59W</v>
          </cell>
          <cell r="O1714"/>
          <cell r="T1714"/>
        </row>
        <row r="1715">
          <cell r="A1715" t="str">
            <v>ANDREW</v>
          </cell>
          <cell r="B1715" t="str">
            <v>PARX6-59W/A</v>
          </cell>
          <cell r="O1715"/>
          <cell r="T1715"/>
        </row>
        <row r="1716">
          <cell r="A1716" t="str">
            <v>ANDREW</v>
          </cell>
          <cell r="B1716" t="str">
            <v>PARX6-59_CCIV2</v>
          </cell>
          <cell r="O1716"/>
          <cell r="T1716"/>
        </row>
        <row r="1717">
          <cell r="A1717" t="str">
            <v>ANDREW</v>
          </cell>
          <cell r="B1717" t="str">
            <v>PARX6-65</v>
          </cell>
          <cell r="O1717"/>
          <cell r="T1717"/>
        </row>
        <row r="1718">
          <cell r="A1718" t="str">
            <v>ANDREW</v>
          </cell>
          <cell r="B1718" t="str">
            <v>PARX8-59</v>
          </cell>
          <cell r="O1718"/>
          <cell r="T1718"/>
        </row>
        <row r="1719">
          <cell r="A1719" t="str">
            <v>ANDREW</v>
          </cell>
          <cell r="B1719" t="str">
            <v>PARX8-59-P7A</v>
          </cell>
          <cell r="O1719"/>
          <cell r="T1719"/>
        </row>
        <row r="1720">
          <cell r="A1720" t="str">
            <v>ANDREW</v>
          </cell>
          <cell r="B1720" t="str">
            <v>PARX8-59-PXA</v>
          </cell>
          <cell r="O1720"/>
          <cell r="T1720"/>
        </row>
        <row r="1721">
          <cell r="A1721" t="str">
            <v>ANDREW</v>
          </cell>
          <cell r="B1721" t="str">
            <v>PC1N0F-0190A-002</v>
          </cell>
          <cell r="O1721"/>
          <cell r="T1721"/>
        </row>
        <row r="1722">
          <cell r="A1722" t="str">
            <v>ANDREW</v>
          </cell>
          <cell r="B1722" t="str">
            <v>PC1N0F-0190B-002M</v>
          </cell>
          <cell r="O1722"/>
          <cell r="T1722"/>
        </row>
        <row r="1723">
          <cell r="A1723" t="str">
            <v>ANDREW</v>
          </cell>
          <cell r="B1723" t="str">
            <v>PC1N0F-190A-002</v>
          </cell>
          <cell r="O1723"/>
          <cell r="T1723"/>
        </row>
        <row r="1724">
          <cell r="A1724" t="str">
            <v>ANDREW</v>
          </cell>
          <cell r="B1724" t="str">
            <v>PC1NOF-0190A-002</v>
          </cell>
          <cell r="O1724"/>
          <cell r="T1724"/>
        </row>
        <row r="1725">
          <cell r="A1725" t="str">
            <v>ANDREW</v>
          </cell>
          <cell r="B1725" t="str">
            <v>PCS-03320-0D</v>
          </cell>
          <cell r="O1725"/>
          <cell r="T1725"/>
        </row>
        <row r="1726">
          <cell r="A1726" t="str">
            <v>ANDREW</v>
          </cell>
          <cell r="B1726" t="str">
            <v>PCS-06514-0D</v>
          </cell>
          <cell r="O1726"/>
          <cell r="T1726"/>
        </row>
        <row r="1727">
          <cell r="A1727" t="str">
            <v>ANDREW</v>
          </cell>
          <cell r="B1727" t="str">
            <v>PCS-06516-0D</v>
          </cell>
          <cell r="O1727"/>
          <cell r="T1727"/>
        </row>
        <row r="1728">
          <cell r="A1728" t="str">
            <v>ANDREW</v>
          </cell>
          <cell r="B1728" t="str">
            <v>PCS-06516-2D</v>
          </cell>
          <cell r="O1728"/>
          <cell r="T1728"/>
        </row>
        <row r="1729">
          <cell r="A1729" t="str">
            <v>ANDREW</v>
          </cell>
          <cell r="B1729" t="str">
            <v>PCS-06516-6D</v>
          </cell>
          <cell r="O1729"/>
          <cell r="T1729"/>
        </row>
        <row r="1730">
          <cell r="A1730" t="str">
            <v>ANDREW</v>
          </cell>
          <cell r="B1730" t="str">
            <v>PCS-06516-OD</v>
          </cell>
          <cell r="O1730"/>
          <cell r="T1730"/>
        </row>
        <row r="1731">
          <cell r="A1731" t="str">
            <v>ANDREW</v>
          </cell>
          <cell r="B1731" t="str">
            <v>PCS-06517-0D</v>
          </cell>
          <cell r="O1731">
            <v>3.2183646797839498</v>
          </cell>
          <cell r="T1731">
            <v>1.65607306780053</v>
          </cell>
        </row>
        <row r="1732">
          <cell r="A1732" t="str">
            <v>ANDREW</v>
          </cell>
          <cell r="B1732" t="str">
            <v>PCS-06517-2D</v>
          </cell>
          <cell r="O1732">
            <v>3.2183646797839498</v>
          </cell>
          <cell r="T1732">
            <v>1.65607306780053</v>
          </cell>
        </row>
        <row r="1733">
          <cell r="A1733" t="str">
            <v>ANDREW</v>
          </cell>
          <cell r="B1733" t="str">
            <v>PCS-09014-0D</v>
          </cell>
          <cell r="O1733"/>
          <cell r="T1733"/>
        </row>
        <row r="1734">
          <cell r="A1734" t="str">
            <v>ANDREW</v>
          </cell>
          <cell r="B1734" t="str">
            <v>PCS-09014-2D</v>
          </cell>
          <cell r="O1734"/>
          <cell r="T1734"/>
        </row>
        <row r="1735">
          <cell r="A1735" t="str">
            <v>ANDREW</v>
          </cell>
          <cell r="B1735" t="str">
            <v>PCS-09015-0D</v>
          </cell>
          <cell r="O1735"/>
          <cell r="T1735"/>
        </row>
        <row r="1736">
          <cell r="A1736" t="str">
            <v>ANDREW</v>
          </cell>
          <cell r="B1736" t="str">
            <v>PCS-09015-2D</v>
          </cell>
          <cell r="O1736"/>
          <cell r="T1736"/>
        </row>
        <row r="1737">
          <cell r="A1737" t="str">
            <v>ANDREW</v>
          </cell>
          <cell r="B1737" t="str">
            <v>PCS-09016-0D</v>
          </cell>
          <cell r="O1737">
            <v>3.2183646797839498</v>
          </cell>
          <cell r="T1737">
            <v>1.65607306780053</v>
          </cell>
        </row>
        <row r="1738">
          <cell r="A1738" t="str">
            <v>ANDREW</v>
          </cell>
          <cell r="B1738" t="str">
            <v>PCS-11015-0D</v>
          </cell>
          <cell r="O1738"/>
          <cell r="T1738"/>
        </row>
        <row r="1739">
          <cell r="A1739" t="str">
            <v>ANDREW</v>
          </cell>
          <cell r="B1739" t="str">
            <v>PCS-11015-2D</v>
          </cell>
          <cell r="O1739">
            <v>3.2183646797839498</v>
          </cell>
          <cell r="T1739">
            <v>1.65607306780053</v>
          </cell>
        </row>
        <row r="1740">
          <cell r="A1740" t="str">
            <v>ANDREW</v>
          </cell>
          <cell r="B1740" t="str">
            <v>PCS-XAZ05-0D</v>
          </cell>
          <cell r="O1740"/>
          <cell r="T1740"/>
        </row>
        <row r="1741">
          <cell r="A1741" t="str">
            <v>ANDREW</v>
          </cell>
          <cell r="B1741" t="str">
            <v>PCS195A09016-DG</v>
          </cell>
          <cell r="O1741"/>
          <cell r="T1741"/>
        </row>
        <row r="1742">
          <cell r="A1742" t="str">
            <v>ANDREW</v>
          </cell>
          <cell r="B1742" t="str">
            <v>PCS19HA</v>
          </cell>
          <cell r="O1742"/>
          <cell r="T1742"/>
        </row>
        <row r="1743">
          <cell r="A1743" t="str">
            <v>ANDREW</v>
          </cell>
          <cell r="B1743" t="str">
            <v>PCS19HA-03320-0DG</v>
          </cell>
          <cell r="O1743"/>
          <cell r="T1743"/>
        </row>
        <row r="1744">
          <cell r="A1744" t="str">
            <v>ANDREW</v>
          </cell>
          <cell r="B1744" t="str">
            <v>PCS19HA-06315-2D</v>
          </cell>
          <cell r="O1744">
            <v>2.80632767195792</v>
          </cell>
          <cell r="T1744">
            <v>0.97912301477041297</v>
          </cell>
        </row>
        <row r="1745">
          <cell r="A1745" t="str">
            <v>ANDREW</v>
          </cell>
          <cell r="B1745" t="str">
            <v>PCS19HA-09014-0DG</v>
          </cell>
          <cell r="O1745">
            <v>2.80632767195792</v>
          </cell>
          <cell r="T1745">
            <v>0.97912301477041297</v>
          </cell>
        </row>
        <row r="1746">
          <cell r="A1746" t="str">
            <v>ANDREW</v>
          </cell>
          <cell r="B1746" t="str">
            <v>PCS19HA-09015-0DG</v>
          </cell>
          <cell r="O1746"/>
          <cell r="T1746"/>
        </row>
        <row r="1747">
          <cell r="A1747" t="str">
            <v>ANDREW</v>
          </cell>
          <cell r="B1747" t="str">
            <v>PCS19HA-09016-0DG</v>
          </cell>
          <cell r="O1747">
            <v>3.68334138278456</v>
          </cell>
          <cell r="T1747">
            <v>1.28525043158408</v>
          </cell>
        </row>
        <row r="1748">
          <cell r="A1748" t="str">
            <v>ANDREW</v>
          </cell>
          <cell r="B1748" t="str">
            <v>PCS19HA-09016-2DG</v>
          </cell>
          <cell r="O1748">
            <v>3.68334138278456</v>
          </cell>
          <cell r="T1748">
            <v>1.28525043158408</v>
          </cell>
        </row>
        <row r="1749">
          <cell r="A1749" t="str">
            <v>ANDREW</v>
          </cell>
          <cell r="B1749" t="str">
            <v>PCS19HA-09016-2DM</v>
          </cell>
          <cell r="O1749">
            <v>3.68334138278456</v>
          </cell>
          <cell r="T1749">
            <v>1.28525043158408</v>
          </cell>
        </row>
        <row r="1750">
          <cell r="A1750" t="str">
            <v>ANDREW</v>
          </cell>
          <cell r="B1750" t="str">
            <v>PCS19HA-11015-0D</v>
          </cell>
          <cell r="O1750">
            <v>3.68334138278456</v>
          </cell>
          <cell r="T1750">
            <v>1.28525043158408</v>
          </cell>
        </row>
        <row r="1751">
          <cell r="A1751" t="str">
            <v>ANDREW</v>
          </cell>
          <cell r="B1751" t="str">
            <v>PCS19HA-11015-0DG</v>
          </cell>
          <cell r="O1751">
            <v>3.68334138278456</v>
          </cell>
          <cell r="T1751">
            <v>1.28525043158408</v>
          </cell>
        </row>
        <row r="1752">
          <cell r="A1752" t="str">
            <v>ANDREW</v>
          </cell>
          <cell r="B1752" t="str">
            <v>PCS19HA-11015-0DM</v>
          </cell>
          <cell r="O1752">
            <v>3.68334138278456</v>
          </cell>
          <cell r="T1752">
            <v>1.28525043158408</v>
          </cell>
        </row>
        <row r="1753">
          <cell r="A1753" t="str">
            <v>ANDREW</v>
          </cell>
          <cell r="B1753" t="str">
            <v>PCS19HA-11015-2D</v>
          </cell>
          <cell r="O1753">
            <v>3.68334138278456</v>
          </cell>
          <cell r="T1753">
            <v>1.28525043158408</v>
          </cell>
        </row>
        <row r="1754">
          <cell r="A1754" t="str">
            <v>ANDREW</v>
          </cell>
          <cell r="B1754" t="str">
            <v>PCS19HA-11015-2DB</v>
          </cell>
          <cell r="O1754">
            <v>3.68334138278456</v>
          </cell>
          <cell r="T1754">
            <v>1.28525043158408</v>
          </cell>
        </row>
        <row r="1755">
          <cell r="A1755" t="str">
            <v>ANDREW</v>
          </cell>
          <cell r="B1755" t="str">
            <v>PCS19HA-11015-2DG</v>
          </cell>
          <cell r="O1755">
            <v>3.68334138278456</v>
          </cell>
          <cell r="T1755">
            <v>1.28525043158408</v>
          </cell>
        </row>
        <row r="1756">
          <cell r="A1756" t="str">
            <v>ANDREW</v>
          </cell>
          <cell r="B1756" t="str">
            <v>PCS19HA-11015-2DM</v>
          </cell>
          <cell r="O1756">
            <v>3.68334138278456</v>
          </cell>
          <cell r="T1756">
            <v>1.28525043158408</v>
          </cell>
        </row>
        <row r="1757">
          <cell r="A1757" t="str">
            <v>ANDREW</v>
          </cell>
          <cell r="B1757" t="str">
            <v>PCSD19-09016-2D</v>
          </cell>
          <cell r="O1757"/>
          <cell r="T1757"/>
        </row>
        <row r="1758">
          <cell r="A1758" t="str">
            <v>ANDREW</v>
          </cell>
          <cell r="B1758" t="str">
            <v>PD6</v>
          </cell>
          <cell r="O1758"/>
          <cell r="T1758"/>
        </row>
        <row r="1759">
          <cell r="A1759" t="str">
            <v>ANDREW</v>
          </cell>
          <cell r="B1759" t="str">
            <v>PDV8-65</v>
          </cell>
          <cell r="O1759"/>
          <cell r="T1759"/>
        </row>
        <row r="1760">
          <cell r="A1760" t="str">
            <v>ANDREW</v>
          </cell>
          <cell r="B1760" t="str">
            <v>PG10F-0091-011</v>
          </cell>
          <cell r="O1760"/>
          <cell r="T1760"/>
        </row>
        <row r="1761">
          <cell r="A1761" t="str">
            <v>ANDREW</v>
          </cell>
          <cell r="B1761" t="str">
            <v>PG1D0F-0093-311</v>
          </cell>
          <cell r="O1761"/>
          <cell r="T1761"/>
        </row>
        <row r="1762">
          <cell r="A1762" t="str">
            <v>ANDREW</v>
          </cell>
          <cell r="B1762" t="str">
            <v>PG1DOF-0093-009</v>
          </cell>
          <cell r="O1762"/>
          <cell r="T1762"/>
        </row>
        <row r="1763">
          <cell r="A1763" t="str">
            <v>ANDREW</v>
          </cell>
          <cell r="B1763" t="str">
            <v>PG1DOF-0093-011</v>
          </cell>
          <cell r="O1763"/>
          <cell r="T1763"/>
        </row>
        <row r="1764">
          <cell r="A1764" t="str">
            <v>ANDREW</v>
          </cell>
          <cell r="B1764" t="str">
            <v>PG1DOF-0093-311</v>
          </cell>
          <cell r="O1764"/>
          <cell r="T1764"/>
        </row>
        <row r="1765">
          <cell r="A1765" t="str">
            <v>ANDREW</v>
          </cell>
          <cell r="B1765" t="str">
            <v>PG1N0F</v>
          </cell>
          <cell r="O1765"/>
          <cell r="T1765"/>
        </row>
        <row r="1766">
          <cell r="A1766" t="str">
            <v>ANDREW</v>
          </cell>
          <cell r="B1766" t="str">
            <v>PG1N0F-0090-010</v>
          </cell>
          <cell r="O1766"/>
          <cell r="T1766"/>
        </row>
        <row r="1767">
          <cell r="A1767" t="str">
            <v>ANDREW</v>
          </cell>
          <cell r="B1767" t="str">
            <v>PG1N0F-0090-310</v>
          </cell>
          <cell r="O1767"/>
          <cell r="T1767"/>
        </row>
        <row r="1768">
          <cell r="A1768" t="str">
            <v>ANDREW</v>
          </cell>
          <cell r="B1768" t="str">
            <v>PG1N0F-0091-011</v>
          </cell>
          <cell r="O1768"/>
          <cell r="T1768"/>
        </row>
        <row r="1769">
          <cell r="A1769" t="str">
            <v>ANDREW</v>
          </cell>
          <cell r="B1769" t="str">
            <v>PG1N0F-0091-111</v>
          </cell>
          <cell r="O1769"/>
          <cell r="T1769"/>
        </row>
        <row r="1770">
          <cell r="A1770" t="str">
            <v>ANDREW</v>
          </cell>
          <cell r="B1770" t="str">
            <v>PG1N0F-0093-009</v>
          </cell>
          <cell r="O1770"/>
          <cell r="T1770"/>
        </row>
        <row r="1771">
          <cell r="A1771" t="str">
            <v>ANDREW</v>
          </cell>
          <cell r="B1771" t="str">
            <v>PG1N0F-0093-011</v>
          </cell>
          <cell r="O1771"/>
          <cell r="T1771"/>
        </row>
        <row r="1772">
          <cell r="A1772" t="str">
            <v>ANDREW</v>
          </cell>
          <cell r="B1772" t="str">
            <v>PG1N0F-0093-311</v>
          </cell>
          <cell r="O1772"/>
          <cell r="T1772"/>
        </row>
        <row r="1773">
          <cell r="A1773" t="str">
            <v>ANDREW</v>
          </cell>
          <cell r="B1773" t="str">
            <v>PG1N0F-0093-608</v>
          </cell>
          <cell r="O1773"/>
          <cell r="T1773"/>
        </row>
        <row r="1774">
          <cell r="A1774" t="str">
            <v>ANDREW</v>
          </cell>
          <cell r="B1774" t="str">
            <v>PG1N0F-0093-610</v>
          </cell>
          <cell r="O1774"/>
          <cell r="T1774"/>
        </row>
        <row r="1775">
          <cell r="A1775" t="str">
            <v>ANDREW</v>
          </cell>
          <cell r="B1775" t="str">
            <v>PG1N0F-0093-810</v>
          </cell>
          <cell r="O1775"/>
          <cell r="T1775"/>
        </row>
        <row r="1776">
          <cell r="A1776" t="str">
            <v>ANDREW</v>
          </cell>
          <cell r="B1776" t="str">
            <v>PG1NOF-0090-011</v>
          </cell>
          <cell r="O1776"/>
          <cell r="T1776"/>
        </row>
        <row r="1777">
          <cell r="A1777" t="str">
            <v>ANDREW</v>
          </cell>
          <cell r="B1777" t="str">
            <v>PG1NOF-0091-009</v>
          </cell>
          <cell r="O1777"/>
          <cell r="T1777"/>
        </row>
        <row r="1778">
          <cell r="A1778" t="str">
            <v>ANDREW</v>
          </cell>
          <cell r="B1778" t="str">
            <v>PG1NOF-0091-011</v>
          </cell>
          <cell r="O1778"/>
          <cell r="T1778"/>
        </row>
        <row r="1779">
          <cell r="A1779" t="str">
            <v>ANDREW</v>
          </cell>
          <cell r="B1779" t="str">
            <v>PG1NOF-0091-311</v>
          </cell>
          <cell r="O1779"/>
          <cell r="T1779"/>
        </row>
        <row r="1780">
          <cell r="A1780" t="str">
            <v>ANDREW</v>
          </cell>
          <cell r="B1780" t="str">
            <v>PG1NOF-0093-011</v>
          </cell>
          <cell r="O1780"/>
          <cell r="T1780"/>
        </row>
        <row r="1781">
          <cell r="A1781" t="str">
            <v>ANDREW</v>
          </cell>
          <cell r="B1781" t="str">
            <v>PG1NOF-0093-610</v>
          </cell>
          <cell r="O1781"/>
          <cell r="T1781"/>
        </row>
        <row r="1782">
          <cell r="A1782" t="str">
            <v>ANDREW</v>
          </cell>
          <cell r="B1782" t="str">
            <v>PG1NOF-0093-8</v>
          </cell>
          <cell r="O1782"/>
          <cell r="T1782"/>
        </row>
        <row r="1783">
          <cell r="A1783" t="str">
            <v>ANDREW</v>
          </cell>
          <cell r="B1783" t="str">
            <v>PG1NOF-0093-810</v>
          </cell>
          <cell r="O1783"/>
          <cell r="T1783"/>
        </row>
        <row r="1784">
          <cell r="A1784" t="str">
            <v>ANDREW</v>
          </cell>
          <cell r="B1784" t="str">
            <v>PG7N0F-0090-313</v>
          </cell>
          <cell r="O1784"/>
          <cell r="T1784"/>
        </row>
        <row r="1785">
          <cell r="A1785" t="str">
            <v>ANDREW</v>
          </cell>
          <cell r="B1785" t="str">
            <v>PGIN0F-0093-311</v>
          </cell>
          <cell r="O1785"/>
          <cell r="T1785"/>
        </row>
        <row r="1786">
          <cell r="A1786" t="str">
            <v>ANDREW</v>
          </cell>
          <cell r="B1786" t="str">
            <v>PGINOF-0090-011</v>
          </cell>
          <cell r="O1786"/>
          <cell r="T1786"/>
        </row>
        <row r="1787">
          <cell r="A1787" t="str">
            <v>ANDREW</v>
          </cell>
          <cell r="B1787" t="str">
            <v>PGINOF-0090-310</v>
          </cell>
          <cell r="O1787"/>
          <cell r="T1787"/>
        </row>
        <row r="1788">
          <cell r="A1788" t="str">
            <v>ANDREW</v>
          </cell>
          <cell r="B1788" t="str">
            <v>PGINOF-0093-311</v>
          </cell>
          <cell r="O1788"/>
          <cell r="T1788"/>
        </row>
        <row r="1789">
          <cell r="A1789" t="str">
            <v>ANDREW</v>
          </cell>
          <cell r="B1789" t="str">
            <v>PGN10F-0091-011</v>
          </cell>
          <cell r="O1789"/>
          <cell r="T1789"/>
        </row>
        <row r="1790">
          <cell r="A1790" t="str">
            <v>ANDREW</v>
          </cell>
          <cell r="B1790" t="str">
            <v>PIN49366</v>
          </cell>
          <cell r="O1790"/>
          <cell r="T1790"/>
        </row>
        <row r="1791">
          <cell r="A1791" t="str">
            <v>ANDREW</v>
          </cell>
          <cell r="B1791" t="str">
            <v>PL10-107-P7A</v>
          </cell>
          <cell r="O1791"/>
          <cell r="T1791"/>
        </row>
        <row r="1792">
          <cell r="A1792" t="str">
            <v>ANDREW</v>
          </cell>
          <cell r="B1792" t="str">
            <v>PL10-18A</v>
          </cell>
          <cell r="O1792"/>
          <cell r="T1792"/>
        </row>
        <row r="1793">
          <cell r="A1793" t="str">
            <v>ANDREW</v>
          </cell>
          <cell r="B1793" t="str">
            <v>PL10-57W</v>
          </cell>
          <cell r="O1793"/>
          <cell r="T1793"/>
        </row>
        <row r="1794">
          <cell r="A1794" t="str">
            <v>ANDREW</v>
          </cell>
          <cell r="B1794" t="str">
            <v>PL10-59</v>
          </cell>
          <cell r="O1794"/>
          <cell r="T1794"/>
        </row>
        <row r="1795">
          <cell r="A1795" t="str">
            <v>ANDREW</v>
          </cell>
          <cell r="B1795" t="str">
            <v>PL10-59D</v>
          </cell>
          <cell r="O1795"/>
          <cell r="T1795"/>
        </row>
        <row r="1796">
          <cell r="A1796" t="str">
            <v>ANDREW</v>
          </cell>
          <cell r="B1796" t="str">
            <v>PL10-65D</v>
          </cell>
          <cell r="O1796"/>
          <cell r="T1796"/>
        </row>
        <row r="1797">
          <cell r="A1797" t="str">
            <v>ANDREW</v>
          </cell>
          <cell r="B1797" t="str">
            <v>PL10F-15</v>
          </cell>
          <cell r="O1797"/>
          <cell r="T1797"/>
        </row>
        <row r="1798">
          <cell r="A1798" t="str">
            <v>ANDREW</v>
          </cell>
          <cell r="B1798" t="str">
            <v>PL12-59E</v>
          </cell>
          <cell r="O1798"/>
          <cell r="T1798"/>
        </row>
        <row r="1799">
          <cell r="A1799" t="str">
            <v>ANDREW</v>
          </cell>
          <cell r="B1799" t="str">
            <v>PL4-107</v>
          </cell>
          <cell r="O1799"/>
          <cell r="T1799"/>
        </row>
        <row r="1800">
          <cell r="A1800" t="str">
            <v>ANDREW</v>
          </cell>
          <cell r="B1800" t="str">
            <v>PL4-44-P7A/F</v>
          </cell>
          <cell r="O1800"/>
          <cell r="T1800"/>
        </row>
        <row r="1801">
          <cell r="A1801" t="str">
            <v>ANDREW</v>
          </cell>
          <cell r="B1801" t="str">
            <v>PL4-44E</v>
          </cell>
          <cell r="O1801"/>
          <cell r="T1801"/>
        </row>
        <row r="1802">
          <cell r="A1802" t="str">
            <v>ANDREW</v>
          </cell>
          <cell r="B1802" t="str">
            <v>PL4-59</v>
          </cell>
          <cell r="O1802"/>
          <cell r="T1802"/>
        </row>
        <row r="1803">
          <cell r="A1803" t="str">
            <v>ANDREW</v>
          </cell>
          <cell r="B1803" t="str">
            <v>PL4-59-PXA</v>
          </cell>
          <cell r="O1803"/>
          <cell r="T1803"/>
        </row>
        <row r="1804">
          <cell r="A1804" t="str">
            <v>ANDREW</v>
          </cell>
          <cell r="B1804" t="str">
            <v>PL4-59D</v>
          </cell>
          <cell r="O1804"/>
          <cell r="T1804"/>
        </row>
        <row r="1805">
          <cell r="A1805" t="str">
            <v>ANDREW</v>
          </cell>
          <cell r="B1805" t="str">
            <v>PL4-59E</v>
          </cell>
          <cell r="O1805"/>
          <cell r="T1805"/>
        </row>
        <row r="1806">
          <cell r="A1806" t="str">
            <v>ANDREW</v>
          </cell>
          <cell r="B1806" t="str">
            <v>PL4-65</v>
          </cell>
          <cell r="O1806"/>
          <cell r="T1806"/>
        </row>
        <row r="1807">
          <cell r="A1807" t="str">
            <v>ANDREW</v>
          </cell>
          <cell r="B1807" t="str">
            <v>PL4-65-UXA</v>
          </cell>
          <cell r="O1807"/>
          <cell r="T1807"/>
        </row>
        <row r="1808">
          <cell r="A1808" t="str">
            <v>ANDREW</v>
          </cell>
          <cell r="B1808" t="str">
            <v>PL4-71W-PXA</v>
          </cell>
          <cell r="O1808"/>
          <cell r="T1808"/>
        </row>
        <row r="1809">
          <cell r="A1809" t="str">
            <v>ANDREW</v>
          </cell>
          <cell r="B1809" t="str">
            <v>PL6-105</v>
          </cell>
          <cell r="O1809"/>
          <cell r="T1809"/>
        </row>
        <row r="1810">
          <cell r="A1810" t="str">
            <v>ANDREW</v>
          </cell>
          <cell r="B1810" t="str">
            <v>PL6-107</v>
          </cell>
          <cell r="O1810"/>
          <cell r="T1810"/>
        </row>
        <row r="1811">
          <cell r="A1811" t="str">
            <v>ANDREW</v>
          </cell>
          <cell r="B1811" t="str">
            <v>PL6-107E</v>
          </cell>
          <cell r="O1811"/>
          <cell r="T1811"/>
        </row>
        <row r="1812">
          <cell r="A1812" t="str">
            <v>ANDREW</v>
          </cell>
          <cell r="B1812" t="str">
            <v>PL6-18</v>
          </cell>
          <cell r="O1812"/>
          <cell r="T1812"/>
        </row>
        <row r="1813">
          <cell r="A1813" t="str">
            <v>ANDREW</v>
          </cell>
          <cell r="B1813" t="str">
            <v>PL6-19C</v>
          </cell>
          <cell r="O1813"/>
          <cell r="T1813"/>
        </row>
        <row r="1814">
          <cell r="A1814" t="str">
            <v>ANDREW</v>
          </cell>
          <cell r="B1814" t="str">
            <v>PL6-21C</v>
          </cell>
          <cell r="O1814"/>
          <cell r="T1814"/>
        </row>
        <row r="1815">
          <cell r="A1815" t="str">
            <v>ANDREW</v>
          </cell>
          <cell r="B1815" t="str">
            <v>PL6-44-P7A/F</v>
          </cell>
          <cell r="O1815"/>
          <cell r="T1815"/>
        </row>
        <row r="1816">
          <cell r="A1816" t="str">
            <v>ANDREW</v>
          </cell>
          <cell r="B1816" t="str">
            <v>PL6-57W</v>
          </cell>
          <cell r="O1816"/>
          <cell r="T1816"/>
        </row>
        <row r="1817">
          <cell r="A1817" t="str">
            <v>ANDREW</v>
          </cell>
          <cell r="B1817" t="str">
            <v>PL6-57W-P7A</v>
          </cell>
          <cell r="O1817"/>
          <cell r="T1817"/>
        </row>
        <row r="1818">
          <cell r="A1818" t="str">
            <v>ANDREW</v>
          </cell>
          <cell r="B1818" t="str">
            <v>PL6-57W-P7A/A</v>
          </cell>
          <cell r="O1818"/>
          <cell r="T1818"/>
        </row>
        <row r="1819">
          <cell r="A1819" t="str">
            <v>ANDREW</v>
          </cell>
          <cell r="B1819" t="str">
            <v>PL6-57W-PXA</v>
          </cell>
          <cell r="O1819"/>
          <cell r="T1819"/>
        </row>
        <row r="1820">
          <cell r="A1820" t="str">
            <v>ANDREW</v>
          </cell>
          <cell r="B1820" t="str">
            <v>PL6-59</v>
          </cell>
          <cell r="O1820"/>
          <cell r="T1820"/>
        </row>
        <row r="1821">
          <cell r="A1821" t="str">
            <v>ANDREW</v>
          </cell>
          <cell r="B1821" t="str">
            <v>PL6-59-PXA/F</v>
          </cell>
          <cell r="O1821"/>
          <cell r="T1821"/>
        </row>
        <row r="1822">
          <cell r="A1822" t="str">
            <v>ANDREW</v>
          </cell>
          <cell r="B1822" t="str">
            <v>PL6-59D</v>
          </cell>
          <cell r="O1822"/>
          <cell r="T1822"/>
        </row>
        <row r="1823">
          <cell r="A1823" t="str">
            <v>ANDREW</v>
          </cell>
          <cell r="B1823" t="str">
            <v>PL6-59W</v>
          </cell>
          <cell r="O1823"/>
          <cell r="T1823"/>
        </row>
        <row r="1824">
          <cell r="A1824" t="str">
            <v>ANDREW</v>
          </cell>
          <cell r="B1824" t="str">
            <v>PL6-59W-PXA/C</v>
          </cell>
          <cell r="O1824"/>
          <cell r="T1824"/>
        </row>
        <row r="1825">
          <cell r="A1825" t="str">
            <v>ANDREW</v>
          </cell>
          <cell r="B1825" t="str">
            <v>PL6-65-D7A</v>
          </cell>
          <cell r="O1825"/>
          <cell r="T1825"/>
        </row>
        <row r="1826">
          <cell r="A1826" t="str">
            <v>ANDREW</v>
          </cell>
          <cell r="B1826" t="str">
            <v>PL6-65-PXA</v>
          </cell>
          <cell r="O1826"/>
          <cell r="T1826"/>
        </row>
        <row r="1827">
          <cell r="A1827" t="str">
            <v>ANDREW</v>
          </cell>
          <cell r="B1827" t="str">
            <v>PL6-65D</v>
          </cell>
          <cell r="O1827"/>
          <cell r="T1827"/>
        </row>
        <row r="1828">
          <cell r="A1828" t="str">
            <v>ANDREW</v>
          </cell>
          <cell r="B1828" t="str">
            <v>PL6-71W-P7A</v>
          </cell>
          <cell r="O1828"/>
          <cell r="T1828"/>
        </row>
        <row r="1829">
          <cell r="A1829" t="str">
            <v>ANDREW</v>
          </cell>
          <cell r="B1829" t="str">
            <v>PL6F-15</v>
          </cell>
          <cell r="O1829"/>
          <cell r="T1829"/>
        </row>
        <row r="1830">
          <cell r="A1830" t="str">
            <v>ANDREW</v>
          </cell>
          <cell r="B1830" t="str">
            <v>PL6F-19</v>
          </cell>
          <cell r="O1830"/>
          <cell r="T1830"/>
        </row>
        <row r="1831">
          <cell r="A1831" t="str">
            <v>ANDREW</v>
          </cell>
          <cell r="B1831" t="str">
            <v>PL6F-19-N7A</v>
          </cell>
          <cell r="O1831"/>
          <cell r="T1831"/>
        </row>
        <row r="1832">
          <cell r="A1832" t="str">
            <v>ANDREW</v>
          </cell>
          <cell r="B1832" t="str">
            <v>PL6F-23</v>
          </cell>
          <cell r="O1832"/>
          <cell r="T1832"/>
        </row>
        <row r="1833">
          <cell r="A1833" t="str">
            <v>ANDREW</v>
          </cell>
          <cell r="B1833" t="str">
            <v>PL8-107E</v>
          </cell>
          <cell r="O1833"/>
          <cell r="T1833"/>
        </row>
        <row r="1834">
          <cell r="A1834" t="str">
            <v>ANDREW</v>
          </cell>
          <cell r="B1834" t="str">
            <v>PL8-21A</v>
          </cell>
          <cell r="O1834"/>
          <cell r="T1834"/>
        </row>
        <row r="1835">
          <cell r="A1835" t="str">
            <v>ANDREW</v>
          </cell>
          <cell r="B1835" t="str">
            <v>PL8-57W</v>
          </cell>
          <cell r="O1835"/>
          <cell r="T1835"/>
        </row>
        <row r="1836">
          <cell r="A1836" t="str">
            <v>ANDREW</v>
          </cell>
          <cell r="B1836" t="str">
            <v>PL8-59</v>
          </cell>
          <cell r="O1836"/>
          <cell r="T1836"/>
        </row>
        <row r="1837">
          <cell r="A1837" t="str">
            <v>ANDREW</v>
          </cell>
          <cell r="B1837" t="str">
            <v>PL8-59-P7A</v>
          </cell>
          <cell r="O1837"/>
          <cell r="T1837"/>
        </row>
        <row r="1838">
          <cell r="A1838" t="str">
            <v>ANDREW</v>
          </cell>
          <cell r="B1838" t="str">
            <v>PL8-59-PXA</v>
          </cell>
          <cell r="O1838"/>
          <cell r="T1838"/>
        </row>
        <row r="1839">
          <cell r="A1839" t="str">
            <v>ANDREW</v>
          </cell>
          <cell r="B1839" t="str">
            <v>PL8-59D</v>
          </cell>
          <cell r="O1839"/>
          <cell r="T1839"/>
        </row>
        <row r="1840">
          <cell r="A1840" t="str">
            <v>ANDREW</v>
          </cell>
          <cell r="B1840" t="str">
            <v>PL8-59D-1</v>
          </cell>
          <cell r="O1840"/>
          <cell r="T1840"/>
        </row>
        <row r="1841">
          <cell r="A1841" t="str">
            <v>ANDREW</v>
          </cell>
          <cell r="B1841" t="str">
            <v>PL8-65-D7A</v>
          </cell>
          <cell r="O1841"/>
          <cell r="T1841"/>
        </row>
        <row r="1842">
          <cell r="A1842" t="str">
            <v>ANDREW</v>
          </cell>
          <cell r="B1842" t="str">
            <v>PL8-65-PXA</v>
          </cell>
          <cell r="O1842"/>
          <cell r="T1842"/>
        </row>
        <row r="1843">
          <cell r="A1843" t="str">
            <v>ANDREW</v>
          </cell>
          <cell r="B1843" t="str">
            <v>PL8-65D</v>
          </cell>
          <cell r="O1843"/>
          <cell r="T1843"/>
        </row>
        <row r="1844">
          <cell r="A1844" t="str">
            <v>ANDREW</v>
          </cell>
          <cell r="B1844" t="str">
            <v>PL8-65D-1</v>
          </cell>
          <cell r="O1844"/>
          <cell r="T1844"/>
        </row>
        <row r="1845">
          <cell r="A1845" t="str">
            <v>ANDREW</v>
          </cell>
          <cell r="B1845" t="str">
            <v>PL8-71E</v>
          </cell>
          <cell r="O1845"/>
          <cell r="T1845"/>
        </row>
        <row r="1846">
          <cell r="A1846" t="str">
            <v>ANDREW</v>
          </cell>
          <cell r="B1846" t="str">
            <v>PL8-71W-P7A</v>
          </cell>
          <cell r="O1846"/>
          <cell r="T1846"/>
        </row>
        <row r="1847">
          <cell r="A1847" t="str">
            <v>ANDREW</v>
          </cell>
          <cell r="B1847" t="str">
            <v>PSF2-57-416</v>
          </cell>
          <cell r="O1847"/>
          <cell r="T1847"/>
        </row>
        <row r="1848">
          <cell r="A1848" t="str">
            <v>ANDREW</v>
          </cell>
          <cell r="B1848" t="str">
            <v>PX2F-52</v>
          </cell>
          <cell r="O1848"/>
          <cell r="T1848"/>
        </row>
        <row r="1849">
          <cell r="A1849" t="str">
            <v>ANDREW</v>
          </cell>
          <cell r="B1849" t="str">
            <v>PX2F-52-N7A</v>
          </cell>
          <cell r="O1849"/>
          <cell r="T1849"/>
        </row>
        <row r="1850">
          <cell r="A1850" t="str">
            <v>ANDREW</v>
          </cell>
          <cell r="B1850" t="str">
            <v>PX2F-52-NXA</v>
          </cell>
          <cell r="O1850"/>
          <cell r="T1850"/>
        </row>
        <row r="1851">
          <cell r="A1851" t="str">
            <v>ANDREW</v>
          </cell>
          <cell r="B1851" t="str">
            <v>PX3F-52</v>
          </cell>
          <cell r="O1851"/>
          <cell r="T1851"/>
        </row>
        <row r="1852">
          <cell r="A1852" t="str">
            <v>ANDREW</v>
          </cell>
          <cell r="B1852" t="str">
            <v>PX3F-52-N7A</v>
          </cell>
          <cell r="O1852"/>
          <cell r="T1852"/>
        </row>
        <row r="1853">
          <cell r="A1853" t="str">
            <v>ANDREW</v>
          </cell>
          <cell r="B1853" t="str">
            <v>PX3F-52-NXA</v>
          </cell>
          <cell r="O1853"/>
          <cell r="T1853"/>
        </row>
        <row r="1854">
          <cell r="A1854" t="str">
            <v>ANDREW</v>
          </cell>
          <cell r="B1854" t="str">
            <v>PX4-144/D</v>
          </cell>
          <cell r="O1854"/>
          <cell r="T1854"/>
        </row>
        <row r="1855">
          <cell r="A1855" t="str">
            <v>ANDREW</v>
          </cell>
          <cell r="B1855" t="str">
            <v>PX4F-52-N7A</v>
          </cell>
          <cell r="O1855"/>
          <cell r="T1855"/>
        </row>
        <row r="1856">
          <cell r="A1856" t="str">
            <v>ANDREW</v>
          </cell>
          <cell r="B1856" t="str">
            <v>PX4F-52-NXA</v>
          </cell>
          <cell r="O1856"/>
          <cell r="T1856"/>
        </row>
        <row r="1857">
          <cell r="A1857" t="str">
            <v>ANDREW</v>
          </cell>
          <cell r="B1857" t="str">
            <v>PX6F-52</v>
          </cell>
          <cell r="O1857"/>
          <cell r="T1857"/>
        </row>
        <row r="1858">
          <cell r="A1858" t="str">
            <v>ANDREW</v>
          </cell>
          <cell r="B1858" t="str">
            <v>PX8-102</v>
          </cell>
          <cell r="O1858"/>
          <cell r="T1858"/>
        </row>
        <row r="1859">
          <cell r="A1859" t="str">
            <v>ANDREW</v>
          </cell>
          <cell r="B1859" t="str">
            <v>PXL10-59D</v>
          </cell>
          <cell r="O1859"/>
          <cell r="T1859"/>
        </row>
        <row r="1860">
          <cell r="A1860" t="str">
            <v>ANDREW</v>
          </cell>
          <cell r="B1860" t="str">
            <v>PXL4-44-D7A</v>
          </cell>
          <cell r="O1860"/>
          <cell r="T1860"/>
        </row>
        <row r="1861">
          <cell r="A1861" t="str">
            <v>ANDREW</v>
          </cell>
          <cell r="B1861" t="str">
            <v>PXL6-107</v>
          </cell>
          <cell r="O1861"/>
          <cell r="T1861"/>
        </row>
        <row r="1862">
          <cell r="A1862" t="str">
            <v>ANDREW</v>
          </cell>
          <cell r="B1862" t="str">
            <v>PXL6-59E</v>
          </cell>
          <cell r="O1862"/>
          <cell r="T1862"/>
        </row>
        <row r="1863">
          <cell r="A1863" t="str">
            <v>ANDREW</v>
          </cell>
          <cell r="B1863" t="str">
            <v>PXL6-65</v>
          </cell>
          <cell r="O1863"/>
          <cell r="T1863"/>
        </row>
        <row r="1864">
          <cell r="A1864" t="str">
            <v>ANDREW</v>
          </cell>
          <cell r="B1864" t="str">
            <v>PXL6-65-DXA</v>
          </cell>
          <cell r="O1864"/>
          <cell r="T1864"/>
        </row>
        <row r="1865">
          <cell r="A1865" t="str">
            <v>ANDREW</v>
          </cell>
          <cell r="B1865" t="str">
            <v>PXL8-107</v>
          </cell>
          <cell r="O1865"/>
          <cell r="T1865"/>
        </row>
        <row r="1866">
          <cell r="A1866" t="str">
            <v>ANDREW</v>
          </cell>
          <cell r="B1866" t="str">
            <v>PXL8-107-P7A</v>
          </cell>
          <cell r="O1866"/>
          <cell r="T1866"/>
        </row>
        <row r="1867">
          <cell r="A1867" t="str">
            <v>ANDREW</v>
          </cell>
          <cell r="B1867" t="str">
            <v>PXL8-59</v>
          </cell>
          <cell r="O1867"/>
          <cell r="T1867"/>
        </row>
        <row r="1868">
          <cell r="A1868" t="str">
            <v>ANDREW</v>
          </cell>
          <cell r="B1868" t="str">
            <v>PXL8-65-DXA</v>
          </cell>
          <cell r="O1868"/>
          <cell r="T1868"/>
        </row>
        <row r="1869">
          <cell r="A1869" t="str">
            <v>ANDREW</v>
          </cell>
          <cell r="B1869" t="str">
            <v>PXL8-65-PXA</v>
          </cell>
          <cell r="O1869"/>
          <cell r="T1869"/>
        </row>
        <row r="1870">
          <cell r="A1870" t="str">
            <v>ANDREW</v>
          </cell>
          <cell r="B1870" t="str">
            <v>PXL8-70</v>
          </cell>
          <cell r="O1870"/>
          <cell r="T1870"/>
        </row>
        <row r="1871">
          <cell r="A1871" t="str">
            <v>ANDREW</v>
          </cell>
          <cell r="B1871" t="str">
            <v>QBXLH-6565A-R2M</v>
          </cell>
          <cell r="O1871">
            <v>10.809876543209889</v>
          </cell>
          <cell r="T1871">
            <v>5.257807644099449</v>
          </cell>
        </row>
        <row r="1872">
          <cell r="A1872" t="str">
            <v>ANDREW</v>
          </cell>
          <cell r="B1872" t="str">
            <v>QBXLH-6565A-VTM</v>
          </cell>
          <cell r="O1872">
            <v>10.809876543209889</v>
          </cell>
          <cell r="T1872">
            <v>5.257807644099449</v>
          </cell>
        </row>
        <row r="1873">
          <cell r="A1873" t="str">
            <v>ANDREW</v>
          </cell>
          <cell r="B1873" t="str">
            <v>QD-2400</v>
          </cell>
          <cell r="O1873"/>
          <cell r="T1873"/>
        </row>
        <row r="1874">
          <cell r="A1874" t="str">
            <v>ANDREW</v>
          </cell>
          <cell r="B1874" t="str">
            <v>R6E-2</v>
          </cell>
          <cell r="O1874"/>
          <cell r="T1874"/>
        </row>
        <row r="1875">
          <cell r="A1875" t="str">
            <v>ANDREW</v>
          </cell>
          <cell r="B1875" t="str">
            <v>RGE-2</v>
          </cell>
          <cell r="O1875"/>
          <cell r="T1875"/>
        </row>
        <row r="1876">
          <cell r="A1876" t="str">
            <v>ANDREW</v>
          </cell>
          <cell r="B1876" t="str">
            <v>RR45-19-02DPL4</v>
          </cell>
          <cell r="O1876">
            <v>5.5061161719999996</v>
          </cell>
          <cell r="T1876">
            <v>2.0944132389999996</v>
          </cell>
        </row>
        <row r="1877">
          <cell r="A1877" t="str">
            <v>ANDREW</v>
          </cell>
          <cell r="B1877" t="str">
            <v>RR65-12-00DBL</v>
          </cell>
          <cell r="O1877">
            <v>5.4140924349999997</v>
          </cell>
          <cell r="T1877">
            <v>3.2615385049999999</v>
          </cell>
        </row>
        <row r="1878">
          <cell r="A1878" t="str">
            <v>ANDREW</v>
          </cell>
          <cell r="B1878" t="str">
            <v>RR65-13-VDBL2</v>
          </cell>
          <cell r="O1878">
            <v>8.176090975000001</v>
          </cell>
          <cell r="T1878">
            <v>4.9236840050000001</v>
          </cell>
        </row>
        <row r="1879">
          <cell r="A1879" t="str">
            <v>ANDREW</v>
          </cell>
          <cell r="B1879" t="str">
            <v>RR65-18-00DPL2</v>
          </cell>
          <cell r="O1879">
            <v>4.5185361789999998</v>
          </cell>
          <cell r="T1879">
            <v>1.541157745</v>
          </cell>
        </row>
        <row r="1880">
          <cell r="A1880" t="str">
            <v>ANDREW</v>
          </cell>
          <cell r="B1880" t="str">
            <v>RR65-18-02DPL2</v>
          </cell>
          <cell r="O1880">
            <v>4.5185361789999998</v>
          </cell>
          <cell r="T1880">
            <v>1.541157745</v>
          </cell>
        </row>
        <row r="1881">
          <cell r="A1881" t="str">
            <v>ANDREW</v>
          </cell>
          <cell r="B1881" t="str">
            <v>RR65-18-VDPL2</v>
          </cell>
          <cell r="O1881">
            <v>4.5185361789999998</v>
          </cell>
          <cell r="T1881">
            <v>1.541157745</v>
          </cell>
        </row>
        <row r="1882">
          <cell r="A1882" t="str">
            <v>ANDREW</v>
          </cell>
          <cell r="B1882" t="str">
            <v>RR65-18-VDUL2</v>
          </cell>
          <cell r="O1882">
            <v>4.5185361789999998</v>
          </cell>
          <cell r="T1882">
            <v>1.541157745</v>
          </cell>
        </row>
        <row r="1883">
          <cell r="A1883" t="str">
            <v>ANDREW</v>
          </cell>
          <cell r="B1883" t="str">
            <v>RR65-19-00DP</v>
          </cell>
          <cell r="O1883">
            <v>5.9497082409999988</v>
          </cell>
          <cell r="T1883">
            <v>2.4938239529999997</v>
          </cell>
        </row>
        <row r="1884">
          <cell r="A1884" t="str">
            <v>ANDREW</v>
          </cell>
          <cell r="B1884" t="str">
            <v>RR65-19-02DP</v>
          </cell>
          <cell r="O1884">
            <v>5.9497082409999988</v>
          </cell>
          <cell r="T1884">
            <v>2.4938239529999997</v>
          </cell>
        </row>
        <row r="1885">
          <cell r="A1885" t="str">
            <v>ANDREW</v>
          </cell>
          <cell r="B1885" t="str">
            <v>RR90-12-VDBL2</v>
          </cell>
          <cell r="O1885">
            <v>8.176090975000001</v>
          </cell>
          <cell r="T1885">
            <v>4.9236840050000001</v>
          </cell>
        </row>
        <row r="1886">
          <cell r="A1886" t="str">
            <v>ANDREW</v>
          </cell>
          <cell r="B1886" t="str">
            <v>RR90-17-02DPL2</v>
          </cell>
          <cell r="O1886">
            <v>4.5185361789999998</v>
          </cell>
          <cell r="T1886">
            <v>1.541157745</v>
          </cell>
        </row>
        <row r="1887">
          <cell r="A1887" t="str">
            <v>ANDREW</v>
          </cell>
          <cell r="B1887" t="str">
            <v>RR90-17-VDPL2</v>
          </cell>
          <cell r="O1887">
            <v>4.5185361789999998</v>
          </cell>
          <cell r="T1887">
            <v>1.541157745</v>
          </cell>
        </row>
        <row r="1888">
          <cell r="A1888" t="str">
            <v>ANDREW</v>
          </cell>
          <cell r="B1888" t="str">
            <v>RR90-18-00DP</v>
          </cell>
          <cell r="O1888">
            <v>5.9497082409999988</v>
          </cell>
          <cell r="T1888">
            <v>2.4938239529999997</v>
          </cell>
        </row>
        <row r="1889">
          <cell r="A1889" t="str">
            <v>ANDREW</v>
          </cell>
          <cell r="B1889" t="str">
            <v>RR90-18-02DP</v>
          </cell>
          <cell r="O1889">
            <v>5.9497082409999988</v>
          </cell>
          <cell r="T1889">
            <v>2.4938239529999997</v>
          </cell>
        </row>
        <row r="1890">
          <cell r="A1890" t="str">
            <v>ANDREW</v>
          </cell>
          <cell r="B1890" t="str">
            <v>RT1N0F-024V-013</v>
          </cell>
          <cell r="O1890"/>
          <cell r="T1890"/>
        </row>
        <row r="1891">
          <cell r="A1891" t="str">
            <v>ANDREW</v>
          </cell>
          <cell r="B1891" t="str">
            <v>RV65-18-02DPL2</v>
          </cell>
          <cell r="O1891">
            <v>2.9519103609999999</v>
          </cell>
          <cell r="T1891">
            <v>1.731882199</v>
          </cell>
        </row>
        <row r="1892">
          <cell r="A1892" t="str">
            <v>ANDREW</v>
          </cell>
          <cell r="B1892" t="str">
            <v>RV90-17-02DP</v>
          </cell>
          <cell r="O1892">
            <v>4.5185361789999998</v>
          </cell>
          <cell r="T1892">
            <v>1.541157745</v>
          </cell>
        </row>
        <row r="1893">
          <cell r="A1893" t="str">
            <v>ANDREW</v>
          </cell>
          <cell r="B1893" t="str">
            <v>RV90-18-00DP</v>
          </cell>
          <cell r="O1893">
            <v>5.9497082409999988</v>
          </cell>
          <cell r="T1893">
            <v>2.4938239529999997</v>
          </cell>
        </row>
        <row r="1894">
          <cell r="A1894" t="str">
            <v>ANDREW</v>
          </cell>
          <cell r="B1894" t="str">
            <v>SA2500-065X-18</v>
          </cell>
          <cell r="O1894"/>
          <cell r="T1894"/>
        </row>
        <row r="1895">
          <cell r="A1895" t="str">
            <v>ANDREW</v>
          </cell>
          <cell r="B1895" t="str">
            <v>SA2500-090X-16</v>
          </cell>
          <cell r="O1895"/>
          <cell r="T1895"/>
        </row>
        <row r="1896">
          <cell r="A1896" t="str">
            <v>ANDREW</v>
          </cell>
          <cell r="B1896" t="str">
            <v>SBH-1D3319DS</v>
          </cell>
          <cell r="O1896">
            <v>5.2257741129999991</v>
          </cell>
          <cell r="T1896">
            <v>2.5726164480000002</v>
          </cell>
        </row>
        <row r="1897">
          <cell r="A1897" t="str">
            <v>ANDREW</v>
          </cell>
          <cell r="B1897" t="str">
            <v>SBH-1D6516DS</v>
          </cell>
          <cell r="O1897">
            <v>2.2430907600308601</v>
          </cell>
          <cell r="T1897">
            <v>1.3848612767270898</v>
          </cell>
        </row>
        <row r="1898">
          <cell r="A1898" t="str">
            <v>ANDREW</v>
          </cell>
          <cell r="B1898" t="str">
            <v>SBH-2D3318</v>
          </cell>
          <cell r="O1898"/>
          <cell r="T1898"/>
        </row>
        <row r="1899">
          <cell r="A1899" t="str">
            <v>ANDREW</v>
          </cell>
          <cell r="B1899" t="str">
            <v>SBH-2D6516</v>
          </cell>
          <cell r="O1899"/>
          <cell r="T1899"/>
        </row>
        <row r="1900">
          <cell r="A1900" t="str">
            <v>ANDREW</v>
          </cell>
          <cell r="B1900" t="str">
            <v>SBH-3DA</v>
          </cell>
          <cell r="O1900"/>
          <cell r="T1900"/>
        </row>
        <row r="1901">
          <cell r="A1901" t="str">
            <v>ANDREW</v>
          </cell>
          <cell r="B1901" t="str">
            <v>SBHH-1D6516DS</v>
          </cell>
          <cell r="O1901">
            <v>5.1893053809999996</v>
          </cell>
          <cell r="T1901">
            <v>2.8978417429999999</v>
          </cell>
        </row>
        <row r="1902">
          <cell r="A1902" t="str">
            <v>ANDREW</v>
          </cell>
          <cell r="B1902" t="str">
            <v>SBNH-1D4545A</v>
          </cell>
          <cell r="O1902">
            <v>8.3046392750000013</v>
          </cell>
          <cell r="T1902">
            <v>3.6935888029999999</v>
          </cell>
        </row>
        <row r="1903">
          <cell r="A1903" t="str">
            <v>ANDREW</v>
          </cell>
          <cell r="B1903" t="str">
            <v>SBNH-1D6565A</v>
          </cell>
          <cell r="O1903">
            <v>2.936585166</v>
          </cell>
          <cell r="T1903">
            <v>1.7605495019999999</v>
          </cell>
        </row>
        <row r="1904">
          <cell r="A1904" t="str">
            <v>ANDREW</v>
          </cell>
          <cell r="B1904" t="str">
            <v>SBNH-1D6565B</v>
          </cell>
          <cell r="O1904">
            <v>4.159146894</v>
          </cell>
          <cell r="T1904">
            <v>2.4932440119999999</v>
          </cell>
        </row>
        <row r="1905">
          <cell r="A1905" t="str">
            <v>ANDREW</v>
          </cell>
          <cell r="B1905" t="str">
            <v>SBNH-1D6565C</v>
          </cell>
          <cell r="O1905">
            <v>5.67</v>
          </cell>
          <cell r="T1905">
            <v>3.4</v>
          </cell>
        </row>
        <row r="1906">
          <cell r="A1906" t="str">
            <v>ANDREW</v>
          </cell>
          <cell r="B1906" t="str">
            <v>SBNH-1D8585A</v>
          </cell>
          <cell r="O1906">
            <v>2.936585166</v>
          </cell>
          <cell r="T1906">
            <v>1.7605495019999999</v>
          </cell>
        </row>
        <row r="1907">
          <cell r="A1907" t="str">
            <v>ANDREW</v>
          </cell>
          <cell r="B1907" t="str">
            <v>SBNH-1D8585B</v>
          </cell>
          <cell r="O1907">
            <v>4.159146894</v>
          </cell>
          <cell r="T1907">
            <v>2.4932440119999999</v>
          </cell>
        </row>
        <row r="1908">
          <cell r="A1908" t="str">
            <v>ANDREW</v>
          </cell>
          <cell r="B1908" t="str">
            <v>SBNH-1D8585C</v>
          </cell>
          <cell r="O1908">
            <v>5.422178819</v>
          </cell>
          <cell r="T1908">
            <v>3.2528717299999999</v>
          </cell>
        </row>
        <row r="1909">
          <cell r="A1909" t="str">
            <v>ANDREW</v>
          </cell>
          <cell r="B1909" t="str">
            <v>SBNHH-1D65A</v>
          </cell>
          <cell r="O1909">
            <v>3.08</v>
          </cell>
          <cell r="T1909">
            <v>1.8499999999999999</v>
          </cell>
        </row>
        <row r="1910">
          <cell r="A1910" t="str">
            <v>ANDREW</v>
          </cell>
          <cell r="B1910" t="str">
            <v>SBNHH-1D65B</v>
          </cell>
          <cell r="O1910">
            <v>4.16</v>
          </cell>
          <cell r="T1910">
            <v>2.4899999999999998</v>
          </cell>
        </row>
        <row r="1911">
          <cell r="A1911" t="str">
            <v>ANDREW</v>
          </cell>
          <cell r="B1911" t="str">
            <v>SBNHH-1D65C</v>
          </cell>
          <cell r="O1911">
            <v>5.67</v>
          </cell>
          <cell r="T1911">
            <v>3.4</v>
          </cell>
        </row>
        <row r="1912">
          <cell r="A1912" t="str">
            <v>ANDREW</v>
          </cell>
          <cell r="B1912" t="str">
            <v>SET811021-4DISH</v>
          </cell>
          <cell r="O1912"/>
          <cell r="T1912"/>
        </row>
        <row r="1913">
          <cell r="A1913" t="str">
            <v>ANDREW</v>
          </cell>
          <cell r="B1913" t="str">
            <v>SET811022-8DISH</v>
          </cell>
          <cell r="O1913"/>
          <cell r="T1913"/>
        </row>
        <row r="1914">
          <cell r="A1914" t="str">
            <v>ANDREW</v>
          </cell>
          <cell r="B1914" t="str">
            <v>SET811072-8DISH</v>
          </cell>
          <cell r="O1914"/>
          <cell r="T1914"/>
        </row>
        <row r="1915">
          <cell r="A1915" t="str">
            <v>ANDREW</v>
          </cell>
          <cell r="B1915" t="str">
            <v>SET811117 4DISH</v>
          </cell>
          <cell r="O1915"/>
          <cell r="T1915"/>
        </row>
        <row r="1916">
          <cell r="A1916" t="str">
            <v>ANDREW</v>
          </cell>
          <cell r="B1916" t="str">
            <v>SET811321 6DISH</v>
          </cell>
          <cell r="O1916"/>
          <cell r="T1916"/>
        </row>
        <row r="1917">
          <cell r="A1917" t="str">
            <v>ANDREW</v>
          </cell>
          <cell r="B1917" t="str">
            <v>SET811394  8FT</v>
          </cell>
          <cell r="O1917"/>
          <cell r="T1917"/>
        </row>
        <row r="1918">
          <cell r="A1918" t="str">
            <v>ANDREW</v>
          </cell>
          <cell r="B1918" t="str">
            <v>SET811503 12DISH</v>
          </cell>
          <cell r="O1918"/>
          <cell r="T1918"/>
        </row>
        <row r="1919">
          <cell r="A1919" t="str">
            <v>ANDREW</v>
          </cell>
          <cell r="B1919" t="str">
            <v>SHBX-6516DS-VTM</v>
          </cell>
          <cell r="O1919">
            <v>4.9806162139999994</v>
          </cell>
          <cell r="T1919">
            <v>2.3539814380000004</v>
          </cell>
        </row>
        <row r="1920">
          <cell r="A1920" t="str">
            <v>ANDREW</v>
          </cell>
          <cell r="B1920" t="str">
            <v>SHPX3-11W/B_20250312</v>
          </cell>
          <cell r="O1920"/>
          <cell r="T1920"/>
        </row>
        <row r="1921">
          <cell r="A1921" t="str">
            <v>ANDREW</v>
          </cell>
          <cell r="B1921" t="str">
            <v>SHX10B1</v>
          </cell>
          <cell r="O1921"/>
          <cell r="T1921"/>
        </row>
        <row r="1922">
          <cell r="A1922" t="str">
            <v>ANDREW</v>
          </cell>
          <cell r="B1922" t="str">
            <v>SMR08-09011-0D</v>
          </cell>
          <cell r="O1922">
            <v>3.8971429866668497</v>
          </cell>
          <cell r="T1922">
            <v>1.83796320970257</v>
          </cell>
        </row>
        <row r="1923">
          <cell r="A1923" t="str">
            <v>ANDREW</v>
          </cell>
          <cell r="B1923" t="str">
            <v>SMR08-09014-0AM</v>
          </cell>
          <cell r="O1923">
            <v>8.4708897467132012</v>
          </cell>
          <cell r="T1923">
            <v>4.0165203348936895</v>
          </cell>
        </row>
        <row r="1924">
          <cell r="A1924" t="str">
            <v>ANDREW</v>
          </cell>
          <cell r="B1924" t="str">
            <v>SMR08-09014-OAM</v>
          </cell>
          <cell r="O1924"/>
          <cell r="T1924"/>
        </row>
        <row r="1925">
          <cell r="A1925" t="str">
            <v>ANDREW</v>
          </cell>
          <cell r="B1925" t="str">
            <v>SMR08-09014-ODM</v>
          </cell>
          <cell r="O1925"/>
          <cell r="T1925"/>
        </row>
        <row r="1926">
          <cell r="A1926" t="str">
            <v>ANDREW</v>
          </cell>
          <cell r="B1926" t="str">
            <v>SSI800285G148</v>
          </cell>
          <cell r="O1926"/>
          <cell r="T1926"/>
        </row>
        <row r="1927">
          <cell r="A1927" t="str">
            <v>ANDREW</v>
          </cell>
          <cell r="B1927" t="str">
            <v>SSI800285G264</v>
          </cell>
          <cell r="O1927"/>
          <cell r="T1927"/>
        </row>
        <row r="1928">
          <cell r="A1928" t="str">
            <v>ANDREW</v>
          </cell>
          <cell r="B1928" t="str">
            <v>SSI8003680494</v>
          </cell>
          <cell r="O1928"/>
          <cell r="T1928"/>
        </row>
        <row r="1929">
          <cell r="A1929" t="str">
            <v>ANDREW</v>
          </cell>
          <cell r="B1929" t="str">
            <v>SSI805238G100</v>
          </cell>
          <cell r="O1929"/>
          <cell r="T1929"/>
        </row>
        <row r="1930">
          <cell r="A1930" t="str">
            <v>ANDREW</v>
          </cell>
          <cell r="B1930" t="str">
            <v>SSI805238O414_9</v>
          </cell>
          <cell r="O1930"/>
          <cell r="T1930"/>
        </row>
        <row r="1931">
          <cell r="A1931" t="str">
            <v>ANDREW</v>
          </cell>
          <cell r="B1931" t="str">
            <v>SSI805622G198</v>
          </cell>
          <cell r="O1931"/>
          <cell r="T1931"/>
        </row>
        <row r="1932">
          <cell r="A1932" t="str">
            <v>ANDREW</v>
          </cell>
          <cell r="B1932" t="str">
            <v>SSI805622G219</v>
          </cell>
          <cell r="O1932"/>
          <cell r="T1932"/>
        </row>
        <row r="1933">
          <cell r="A1933" t="str">
            <v>ANDREW</v>
          </cell>
          <cell r="B1933" t="str">
            <v>SSI806029-12DIS2</v>
          </cell>
          <cell r="O1933"/>
          <cell r="T1933"/>
        </row>
        <row r="1934">
          <cell r="A1934" t="str">
            <v>ANDREW</v>
          </cell>
          <cell r="B1934" t="str">
            <v>SSI806608-4</v>
          </cell>
          <cell r="O1934"/>
          <cell r="T1934"/>
        </row>
        <row r="1935">
          <cell r="A1935" t="str">
            <v>ANDREW</v>
          </cell>
          <cell r="B1935" t="str">
            <v>SSI806627-6 DISH</v>
          </cell>
          <cell r="O1935"/>
          <cell r="T1935"/>
        </row>
        <row r="1936">
          <cell r="A1936" t="str">
            <v>ANDREW</v>
          </cell>
          <cell r="B1936" t="str">
            <v>SSI806655M145</v>
          </cell>
          <cell r="O1936"/>
          <cell r="T1936"/>
        </row>
        <row r="1937">
          <cell r="A1937" t="str">
            <v>ANDREW</v>
          </cell>
          <cell r="B1937" t="str">
            <v>SSI806655M158</v>
          </cell>
          <cell r="O1937"/>
          <cell r="T1937"/>
        </row>
        <row r="1938">
          <cell r="A1938" t="str">
            <v>ANDREW</v>
          </cell>
          <cell r="B1938" t="str">
            <v>SSI806916M233</v>
          </cell>
          <cell r="O1938"/>
          <cell r="T1938"/>
        </row>
        <row r="1939">
          <cell r="A1939" t="str">
            <v>ANDREW</v>
          </cell>
          <cell r="B1939" t="str">
            <v>SSI811282-8DISH</v>
          </cell>
          <cell r="O1939"/>
          <cell r="T1939"/>
        </row>
        <row r="1940">
          <cell r="A1940" t="str">
            <v>ANDREW</v>
          </cell>
          <cell r="B1940" t="str">
            <v>SSI811414-16OMNI</v>
          </cell>
          <cell r="O1940"/>
          <cell r="T1940"/>
        </row>
        <row r="1941">
          <cell r="A1941" t="str">
            <v>ANDREW</v>
          </cell>
          <cell r="B1941" t="str">
            <v>SSI812417-8DISH</v>
          </cell>
          <cell r="O1941"/>
          <cell r="T1941"/>
        </row>
        <row r="1942">
          <cell r="A1942" t="str">
            <v>ANDREW</v>
          </cell>
          <cell r="B1942" t="str">
            <v>SSI813069L8</v>
          </cell>
          <cell r="O1942"/>
          <cell r="T1942"/>
        </row>
        <row r="1943">
          <cell r="A1943" t="str">
            <v>ANDREW</v>
          </cell>
          <cell r="B1943" t="str">
            <v>SSI814026G179</v>
          </cell>
          <cell r="O1943"/>
          <cell r="T1943"/>
        </row>
        <row r="1944">
          <cell r="A1944" t="str">
            <v>ANDREW</v>
          </cell>
          <cell r="B1944" t="str">
            <v>SSI814129G107</v>
          </cell>
          <cell r="O1944"/>
          <cell r="T1944"/>
        </row>
        <row r="1945">
          <cell r="A1945" t="str">
            <v>ANDREW</v>
          </cell>
          <cell r="B1945" t="str">
            <v>SSI814129M19</v>
          </cell>
          <cell r="O1945"/>
          <cell r="T1945"/>
        </row>
        <row r="1946">
          <cell r="A1946" t="str">
            <v>ANDREW</v>
          </cell>
          <cell r="B1946" t="str">
            <v>SSI814385G78</v>
          </cell>
          <cell r="O1946"/>
          <cell r="T1946"/>
        </row>
        <row r="1947">
          <cell r="A1947" t="str">
            <v>ANDREW</v>
          </cell>
          <cell r="B1947" t="str">
            <v>SSI814897O178</v>
          </cell>
          <cell r="O1947"/>
          <cell r="T1947"/>
        </row>
        <row r="1948">
          <cell r="A1948" t="str">
            <v>ANDREW</v>
          </cell>
          <cell r="B1948" t="str">
            <v>SSI814931G264</v>
          </cell>
          <cell r="O1948"/>
          <cell r="T1948"/>
        </row>
        <row r="1949">
          <cell r="A1949" t="str">
            <v>ANDREW</v>
          </cell>
          <cell r="B1949" t="str">
            <v>SSI814931M300</v>
          </cell>
          <cell r="O1949"/>
          <cell r="T1949"/>
        </row>
        <row r="1950">
          <cell r="A1950" t="str">
            <v>ANDREW</v>
          </cell>
          <cell r="B1950" t="str">
            <v>SSI814931M305</v>
          </cell>
          <cell r="O1950"/>
          <cell r="T1950"/>
        </row>
        <row r="1951">
          <cell r="A1951" t="str">
            <v>ANDREW</v>
          </cell>
          <cell r="B1951" t="str">
            <v>SSI815002G124</v>
          </cell>
          <cell r="O1951"/>
          <cell r="T1951"/>
        </row>
        <row r="1952">
          <cell r="A1952" t="str">
            <v>ANDREW</v>
          </cell>
          <cell r="B1952" t="str">
            <v>SSI815002M240</v>
          </cell>
          <cell r="O1952"/>
          <cell r="T1952"/>
        </row>
        <row r="1953">
          <cell r="A1953" t="str">
            <v>ANDREW</v>
          </cell>
          <cell r="B1953" t="str">
            <v>SSI81524D20</v>
          </cell>
          <cell r="O1953"/>
          <cell r="T1953"/>
        </row>
        <row r="1954">
          <cell r="A1954" t="str">
            <v>ANDREW</v>
          </cell>
          <cell r="B1954" t="str">
            <v>SSI815424D20</v>
          </cell>
          <cell r="O1954"/>
          <cell r="T1954"/>
        </row>
        <row r="1955">
          <cell r="A1955" t="str">
            <v>ANDREW</v>
          </cell>
          <cell r="B1955" t="str">
            <v>SSI815424M12</v>
          </cell>
          <cell r="O1955"/>
          <cell r="T1955"/>
        </row>
        <row r="1956">
          <cell r="A1956" t="str">
            <v>ANDREW</v>
          </cell>
          <cell r="B1956" t="str">
            <v>SSI815775M190</v>
          </cell>
          <cell r="O1956"/>
          <cell r="T1956"/>
        </row>
        <row r="1957">
          <cell r="A1957" t="str">
            <v>ANDREW</v>
          </cell>
          <cell r="B1957" t="str">
            <v>SSI815818G112</v>
          </cell>
          <cell r="O1957"/>
          <cell r="T1957"/>
        </row>
        <row r="1958">
          <cell r="A1958" t="str">
            <v>ANDREW</v>
          </cell>
          <cell r="B1958" t="str">
            <v>SSI816623L11-13</v>
          </cell>
          <cell r="O1958"/>
          <cell r="T1958"/>
        </row>
        <row r="1959">
          <cell r="A1959" t="str">
            <v>ANDREW</v>
          </cell>
          <cell r="B1959" t="str">
            <v>SSI816651M100</v>
          </cell>
          <cell r="O1959"/>
          <cell r="T1959"/>
        </row>
        <row r="1960">
          <cell r="A1960" t="str">
            <v>ANDREW</v>
          </cell>
          <cell r="B1960" t="str">
            <v>SSI816756M93</v>
          </cell>
          <cell r="O1960"/>
          <cell r="T1960"/>
        </row>
        <row r="1961">
          <cell r="A1961" t="str">
            <v>ANDREW</v>
          </cell>
          <cell r="B1961" t="str">
            <v>SUMWDP-06516-XDM</v>
          </cell>
          <cell r="O1961">
            <v>4.9806162139999994</v>
          </cell>
          <cell r="T1961">
            <v>2.3539814380000004</v>
          </cell>
        </row>
        <row r="1962">
          <cell r="A1962" t="str">
            <v>ANDREW</v>
          </cell>
          <cell r="B1962" t="str">
            <v>T2400A</v>
          </cell>
          <cell r="O1962"/>
          <cell r="T1962"/>
        </row>
        <row r="1963">
          <cell r="A1963" t="str">
            <v>ANDREW</v>
          </cell>
          <cell r="B1963" t="str">
            <v>T310C</v>
          </cell>
          <cell r="O1963"/>
          <cell r="T1963"/>
        </row>
        <row r="1964">
          <cell r="A1964" t="str">
            <v>ANDREW</v>
          </cell>
          <cell r="B1964" t="str">
            <v>T3M07L-D8E6-DISH</v>
          </cell>
          <cell r="O1964"/>
          <cell r="T1964"/>
        </row>
        <row r="1965">
          <cell r="A1965" t="str">
            <v>ANDREW</v>
          </cell>
          <cell r="B1965" t="str">
            <v>TBXCCHA-6565-VTM</v>
          </cell>
          <cell r="O1965">
            <v>7.2953808269832399</v>
          </cell>
          <cell r="T1965">
            <v>3.4750653761899</v>
          </cell>
        </row>
        <row r="1966">
          <cell r="A1966" t="str">
            <v>ANDREW</v>
          </cell>
          <cell r="B1966" t="str">
            <v>TBXLHA-6565B-VTM</v>
          </cell>
          <cell r="O1966">
            <v>8.2961015780000018</v>
          </cell>
          <cell r="T1966">
            <v>4.0579717640000004</v>
          </cell>
        </row>
        <row r="1967">
          <cell r="A1967" t="str">
            <v>ANDREW</v>
          </cell>
          <cell r="B1967" t="str">
            <v>TBXLHA-6565C-A3M</v>
          </cell>
          <cell r="O1967">
            <v>9.5451824999999992</v>
          </cell>
          <cell r="T1967">
            <v>4.681972429</v>
          </cell>
        </row>
        <row r="1968">
          <cell r="A1968" t="str">
            <v>ANDREW</v>
          </cell>
          <cell r="B1968" t="str">
            <v>TBXLHA-6565C-R2M</v>
          </cell>
          <cell r="O1968">
            <v>9.5451824999999992</v>
          </cell>
          <cell r="T1968">
            <v>4.681972429</v>
          </cell>
        </row>
        <row r="1969">
          <cell r="A1969" t="str">
            <v>ANDREW</v>
          </cell>
          <cell r="B1969" t="str">
            <v>TBXLHA-6565C-VTM</v>
          </cell>
          <cell r="O1969">
            <v>9.5451824999999992</v>
          </cell>
          <cell r="T1969">
            <v>4.681972429</v>
          </cell>
        </row>
        <row r="1970">
          <cell r="A1970" t="str">
            <v>ANDREW</v>
          </cell>
          <cell r="B1970" t="str">
            <v>TBXLHB-6565A-R2M</v>
          </cell>
          <cell r="O1970">
            <v>8.8035542050000011</v>
          </cell>
          <cell r="T1970">
            <v>3.0319096069999998</v>
          </cell>
        </row>
        <row r="1971">
          <cell r="A1971" t="str">
            <v>ANDREW</v>
          </cell>
          <cell r="B1971" t="str">
            <v>TBXLHB-6565A-VTM</v>
          </cell>
          <cell r="O1971">
            <v>8.8035542050000011</v>
          </cell>
          <cell r="T1971">
            <v>3.0319096069999998</v>
          </cell>
        </row>
        <row r="1972">
          <cell r="A1972" t="str">
            <v>ANDREW</v>
          </cell>
          <cell r="B1972" t="str">
            <v>TMBX-6516-A1M</v>
          </cell>
          <cell r="O1972">
            <v>2.1752799399999998</v>
          </cell>
          <cell r="T1972">
            <v>1.0866312459999998</v>
          </cell>
        </row>
        <row r="1973">
          <cell r="A1973" t="str">
            <v>ANDREW</v>
          </cell>
          <cell r="B1973" t="str">
            <v>TMBX-6516-R2M</v>
          </cell>
          <cell r="O1973">
            <v>2.1752799399999998</v>
          </cell>
          <cell r="T1973">
            <v>1.0866312459999998</v>
          </cell>
        </row>
        <row r="1974">
          <cell r="A1974" t="str">
            <v>ANDREW</v>
          </cell>
          <cell r="B1974" t="str">
            <v>TMBX-6516-R2M W/ACTUATOR</v>
          </cell>
          <cell r="O1974">
            <v>2.5492404509999997</v>
          </cell>
          <cell r="T1974">
            <v>1.274410311</v>
          </cell>
        </row>
        <row r="1975">
          <cell r="A1975" t="str">
            <v>ANDREW</v>
          </cell>
          <cell r="B1975" t="str">
            <v>TMBX-6517-A1M</v>
          </cell>
          <cell r="O1975">
            <v>3.2196059990000001</v>
          </cell>
          <cell r="T1975">
            <v>1.6064283559999999</v>
          </cell>
        </row>
        <row r="1976">
          <cell r="A1976" t="str">
            <v>ANDREW</v>
          </cell>
          <cell r="B1976" t="str">
            <v>TMBX-6517-A2M</v>
          </cell>
          <cell r="O1976">
            <v>3.6003426970000003</v>
          </cell>
          <cell r="T1976">
            <v>1.7990645009999999</v>
          </cell>
        </row>
        <row r="1977">
          <cell r="A1977" t="str">
            <v>ANDREW</v>
          </cell>
          <cell r="B1977" t="str">
            <v>TMBX-6517-R2M</v>
          </cell>
          <cell r="O1977">
            <v>3.2196059990000001</v>
          </cell>
          <cell r="T1977">
            <v>1.6064283559999999</v>
          </cell>
        </row>
        <row r="1978">
          <cell r="A1978" t="str">
            <v>ANDREW</v>
          </cell>
          <cell r="B1978" t="str">
            <v>TMBX-6517-R2M W/ACTUATOR</v>
          </cell>
          <cell r="O1978">
            <v>3.6003426970000003</v>
          </cell>
          <cell r="T1978">
            <v>1.7990645009999999</v>
          </cell>
        </row>
        <row r="1979">
          <cell r="A1979" t="str">
            <v>ANDREW</v>
          </cell>
          <cell r="B1979" t="str">
            <v>TMBXX-6516-A2M</v>
          </cell>
          <cell r="O1979">
            <v>5.1893053809999996</v>
          </cell>
          <cell r="T1979">
            <v>2.8978417429999999</v>
          </cell>
        </row>
        <row r="1980">
          <cell r="A1980" t="str">
            <v>ANDREW</v>
          </cell>
          <cell r="B1980" t="str">
            <v>TMBXX-6516-A2M W/ACTUATOR</v>
          </cell>
          <cell r="O1980">
            <v>6.0994832899999993</v>
          </cell>
          <cell r="T1980">
            <v>3.3237318690000004</v>
          </cell>
        </row>
        <row r="1981">
          <cell r="A1981" t="str">
            <v>ANDREW</v>
          </cell>
          <cell r="B1981" t="str">
            <v>TMBXX-6516-A2M_20100413_TMO</v>
          </cell>
          <cell r="O1981"/>
          <cell r="T1981"/>
        </row>
        <row r="1982">
          <cell r="A1982" t="str">
            <v>ANDREW</v>
          </cell>
          <cell r="B1982" t="str">
            <v>TMBXX-6516-R2M</v>
          </cell>
          <cell r="O1982">
            <v>5.1893053809999996</v>
          </cell>
          <cell r="T1982">
            <v>2.8978417429999999</v>
          </cell>
        </row>
        <row r="1983">
          <cell r="A1983" t="str">
            <v>ANDREW</v>
          </cell>
          <cell r="B1983" t="str">
            <v>TMBXX-6516-R2M W/ACTUATOR</v>
          </cell>
          <cell r="O1983">
            <v>6.0994832899999993</v>
          </cell>
          <cell r="T1983">
            <v>3.3237318690000004</v>
          </cell>
        </row>
        <row r="1984">
          <cell r="A1984" t="str">
            <v>ANDREW</v>
          </cell>
          <cell r="B1984" t="str">
            <v>TMBXX-6517-A2M</v>
          </cell>
          <cell r="O1984">
            <v>8.020572421999999</v>
          </cell>
          <cell r="T1984">
            <v>4.3594323370000003</v>
          </cell>
        </row>
        <row r="1985">
          <cell r="A1985" t="str">
            <v>ANDREW</v>
          </cell>
          <cell r="B1985" t="str">
            <v>TMBXX-6517-A2M_20100413</v>
          </cell>
          <cell r="O1985"/>
          <cell r="T1985"/>
        </row>
        <row r="1986">
          <cell r="A1986" t="str">
            <v>ANDREW</v>
          </cell>
          <cell r="B1986" t="str">
            <v>TMBXX-6517-R2M</v>
          </cell>
          <cell r="O1986">
            <v>8.020572421999999</v>
          </cell>
          <cell r="T1986">
            <v>4.3594323370000003</v>
          </cell>
        </row>
        <row r="1987">
          <cell r="A1987" t="str">
            <v>ANDREW</v>
          </cell>
          <cell r="B1987" t="str">
            <v>TMBXX-6517-R2M W/ACTUATOR</v>
          </cell>
          <cell r="O1987">
            <v>9.0754620820000014</v>
          </cell>
          <cell r="T1987">
            <v>4.9311811329999991</v>
          </cell>
        </row>
        <row r="1988">
          <cell r="A1988" t="str">
            <v>ANDREW</v>
          </cell>
          <cell r="B1988" t="str">
            <v>TME-ATM200-002</v>
          </cell>
          <cell r="O1988"/>
          <cell r="T1988"/>
        </row>
        <row r="1989">
          <cell r="A1989" t="str">
            <v>ANDREW</v>
          </cell>
          <cell r="B1989" t="str">
            <v>TME-CBC7821-DF</v>
          </cell>
          <cell r="O1989"/>
          <cell r="T1989"/>
        </row>
        <row r="1990">
          <cell r="A1990" t="str">
            <v>ANDREW</v>
          </cell>
          <cell r="B1990" t="str">
            <v>TME-E15S08P80</v>
          </cell>
          <cell r="O1990"/>
          <cell r="T1990"/>
        </row>
        <row r="1991">
          <cell r="A1991" t="str">
            <v>ANDREW</v>
          </cell>
          <cell r="B1991" t="str">
            <v>TME-E15Z01P04</v>
          </cell>
          <cell r="O1991"/>
          <cell r="T1991"/>
        </row>
        <row r="1992">
          <cell r="A1992" t="str">
            <v>ANDREW</v>
          </cell>
          <cell r="B1992" t="str">
            <v>TME-E15Z01P13</v>
          </cell>
          <cell r="O1992"/>
          <cell r="T1992"/>
        </row>
        <row r="1993">
          <cell r="A1993" t="str">
            <v>ANDREW</v>
          </cell>
          <cell r="B1993" t="str">
            <v>TME-ECC1920-VPUB</v>
          </cell>
          <cell r="O1993"/>
          <cell r="T1993"/>
        </row>
        <row r="1994">
          <cell r="A1994" t="str">
            <v>ANDREW</v>
          </cell>
          <cell r="B1994" t="str">
            <v>TME-ETD819G-12UB</v>
          </cell>
          <cell r="O1994"/>
          <cell r="T1994"/>
        </row>
        <row r="1995">
          <cell r="A1995" t="str">
            <v>ANDREW</v>
          </cell>
          <cell r="B1995" t="str">
            <v>TME-ETD819HS12UB</v>
          </cell>
          <cell r="O1995"/>
          <cell r="T1995"/>
        </row>
        <row r="1996">
          <cell r="A1996" t="str">
            <v>ANDREW</v>
          </cell>
          <cell r="B1996" t="str">
            <v>TME-ETW190VS12UB</v>
          </cell>
          <cell r="O1996"/>
          <cell r="T1996"/>
        </row>
        <row r="1997">
          <cell r="A1997" t="str">
            <v>ANDREW</v>
          </cell>
          <cell r="B1997" t="str">
            <v>TME-ETW200VS12UB</v>
          </cell>
          <cell r="O1997"/>
          <cell r="T1997"/>
        </row>
        <row r="1998">
          <cell r="A1998" t="str">
            <v>ANDREW</v>
          </cell>
          <cell r="B1998" t="str">
            <v>TMZX-6516-R2M</v>
          </cell>
          <cell r="O1998">
            <v>2.4834352060000002</v>
          </cell>
          <cell r="T1998">
            <v>1.2414131309999998</v>
          </cell>
        </row>
        <row r="1999">
          <cell r="A1999" t="str">
            <v>ANDREW</v>
          </cell>
          <cell r="B1999" t="str">
            <v>TMZX-6516-R2M W/ACTUATOR</v>
          </cell>
          <cell r="O1999">
            <v>2.4834352060000002</v>
          </cell>
          <cell r="T1999">
            <v>1.2414131309999998</v>
          </cell>
        </row>
        <row r="2000">
          <cell r="A2000" t="str">
            <v>ANDREW</v>
          </cell>
          <cell r="B2000" t="str">
            <v>TMZX-6517-R2M</v>
          </cell>
          <cell r="O2000">
            <v>3.2196059990000001</v>
          </cell>
          <cell r="T2000">
            <v>1.6064283559999999</v>
          </cell>
        </row>
        <row r="2001">
          <cell r="A2001" t="str">
            <v>ANDREW</v>
          </cell>
          <cell r="B2001" t="str">
            <v>TMZX-6517-R2M W/ACTUATOR</v>
          </cell>
          <cell r="O2001">
            <v>3.6134127716935702</v>
          </cell>
          <cell r="T2001">
            <v>1.805496638623</v>
          </cell>
        </row>
        <row r="2002">
          <cell r="A2002" t="str">
            <v>ANDREW</v>
          </cell>
          <cell r="B2002" t="str">
            <v>TMZXX-6516-A2M</v>
          </cell>
          <cell r="O2002">
            <v>6.1531698989999999</v>
          </cell>
          <cell r="T2002">
            <v>3.4512341170000003</v>
          </cell>
        </row>
        <row r="2003">
          <cell r="A2003" t="str">
            <v>ANDREW</v>
          </cell>
          <cell r="B2003" t="str">
            <v>TMZXX-6516-R2M</v>
          </cell>
          <cell r="O2003">
            <v>5.1893053809999996</v>
          </cell>
          <cell r="T2003">
            <v>2.8978417429999999</v>
          </cell>
        </row>
        <row r="2004">
          <cell r="A2004" t="str">
            <v>ANDREW</v>
          </cell>
          <cell r="B2004" t="str">
            <v>TMZXX-6516-R2M W/ACTUATOR</v>
          </cell>
          <cell r="O2004">
            <v>6.1531698989999999</v>
          </cell>
          <cell r="T2004">
            <v>3.4512341170000003</v>
          </cell>
        </row>
        <row r="2005">
          <cell r="A2005" t="str">
            <v>ANDREW</v>
          </cell>
          <cell r="B2005" t="str">
            <v>TMZXX-6517-R2M</v>
          </cell>
          <cell r="O2005">
            <v>8.020572421999999</v>
          </cell>
          <cell r="T2005">
            <v>4.3594323370000003</v>
          </cell>
        </row>
        <row r="2006">
          <cell r="A2006" t="str">
            <v>ANDREW</v>
          </cell>
          <cell r="B2006" t="str">
            <v>TMZXX-6517-R2M W/ACTUATOR</v>
          </cell>
          <cell r="O2006">
            <v>9.0754620820000014</v>
          </cell>
          <cell r="T2006">
            <v>4.9311811329999991</v>
          </cell>
        </row>
        <row r="2007">
          <cell r="A2007" t="str">
            <v>ANDREW</v>
          </cell>
          <cell r="B2007" t="str">
            <v>TMZXXX-6516-A3M</v>
          </cell>
          <cell r="O2007">
            <v>9.3394114850000012</v>
          </cell>
          <cell r="T2007">
            <v>1.7053331439999999</v>
          </cell>
        </row>
        <row r="2008">
          <cell r="A2008" t="str">
            <v>ANDREW</v>
          </cell>
          <cell r="B2008" t="str">
            <v>TMZXXX-6516-A3M W/ACTUATOR</v>
          </cell>
          <cell r="O2008">
            <v>10.97084613</v>
          </cell>
          <cell r="T2008">
            <v>1.9996927419999997</v>
          </cell>
        </row>
        <row r="2009">
          <cell r="A2009" t="str">
            <v>ANDREW</v>
          </cell>
          <cell r="B2009" t="str">
            <v>TMZXXX-6516-R2M</v>
          </cell>
          <cell r="O2009">
            <v>10.97084613</v>
          </cell>
          <cell r="T2009">
            <v>1.9996927419999997</v>
          </cell>
        </row>
        <row r="2010">
          <cell r="A2010" t="str">
            <v>ANDREW</v>
          </cell>
          <cell r="B2010" t="str">
            <v>TMZXXX-6516-R2M W/ACTUATOR</v>
          </cell>
          <cell r="O2010">
            <v>10.97084613</v>
          </cell>
          <cell r="T2010">
            <v>1.9996927419999997</v>
          </cell>
        </row>
        <row r="2011">
          <cell r="A2011" t="str">
            <v>ANDREW</v>
          </cell>
          <cell r="B2011" t="str">
            <v>TYPE 100</v>
          </cell>
          <cell r="O2011"/>
          <cell r="T2011"/>
        </row>
        <row r="2012">
          <cell r="A2012" t="str">
            <v>ANDREW</v>
          </cell>
          <cell r="B2012" t="str">
            <v>TYPE 120</v>
          </cell>
          <cell r="O2012"/>
          <cell r="T2012"/>
        </row>
        <row r="2013">
          <cell r="A2013" t="str">
            <v>ANDREW</v>
          </cell>
          <cell r="B2013" t="str">
            <v>TYPE 180</v>
          </cell>
          <cell r="O2013"/>
          <cell r="T2013"/>
        </row>
        <row r="2014">
          <cell r="A2014" t="str">
            <v>ANDREW</v>
          </cell>
          <cell r="B2014" t="str">
            <v>TYPE 180TX</v>
          </cell>
          <cell r="O2014"/>
          <cell r="T2014"/>
        </row>
        <row r="2015">
          <cell r="A2015" t="str">
            <v>ANDREW</v>
          </cell>
          <cell r="B2015" t="str">
            <v>TYPE 750</v>
          </cell>
          <cell r="O2015"/>
          <cell r="T2015"/>
        </row>
        <row r="2016">
          <cell r="A2016" t="str">
            <v>ANDREW</v>
          </cell>
          <cell r="B2016" t="str">
            <v>TYPE 900</v>
          </cell>
          <cell r="O2016"/>
          <cell r="T2016"/>
        </row>
        <row r="2017">
          <cell r="A2017" t="str">
            <v>ANDREW</v>
          </cell>
          <cell r="B2017" t="str">
            <v>UHK10</v>
          </cell>
          <cell r="O2017"/>
          <cell r="T2017"/>
        </row>
        <row r="2018">
          <cell r="A2018" t="str">
            <v>ANDREW</v>
          </cell>
          <cell r="B2018" t="str">
            <v>UHP6-59W</v>
          </cell>
          <cell r="O2018"/>
          <cell r="T2018"/>
        </row>
        <row r="2019">
          <cell r="A2019" t="str">
            <v>ANDREW</v>
          </cell>
          <cell r="B2019" t="str">
            <v>UHP6-59W-P3A/B</v>
          </cell>
          <cell r="O2019"/>
          <cell r="T2019"/>
        </row>
        <row r="2020">
          <cell r="A2020" t="str">
            <v>ANDREW</v>
          </cell>
          <cell r="B2020" t="str">
            <v>UHP8-59W</v>
          </cell>
          <cell r="O2020"/>
          <cell r="T2020"/>
        </row>
        <row r="2021">
          <cell r="A2021" t="str">
            <v>ANDREW</v>
          </cell>
          <cell r="B2021" t="str">
            <v>UHP8F-21</v>
          </cell>
          <cell r="O2021"/>
          <cell r="T2021"/>
        </row>
        <row r="2022">
          <cell r="A2022" t="str">
            <v>ANDREW</v>
          </cell>
          <cell r="B2022" t="str">
            <v>UHX 12-107H</v>
          </cell>
          <cell r="O2022"/>
          <cell r="T2022"/>
        </row>
        <row r="2023">
          <cell r="A2023" t="str">
            <v>ANDREW</v>
          </cell>
          <cell r="B2023" t="str">
            <v>UHX-10-595</v>
          </cell>
          <cell r="O2023"/>
          <cell r="T2023"/>
        </row>
        <row r="2024">
          <cell r="A2024" t="str">
            <v>ANDREW</v>
          </cell>
          <cell r="B2024" t="str">
            <v>UHX-10-59N</v>
          </cell>
          <cell r="O2024"/>
          <cell r="T2024"/>
        </row>
        <row r="2025">
          <cell r="A2025" t="str">
            <v>ANDREW</v>
          </cell>
          <cell r="B2025" t="str">
            <v>UHX-59H</v>
          </cell>
          <cell r="O2025"/>
          <cell r="T2025"/>
        </row>
        <row r="2026">
          <cell r="A2026" t="str">
            <v>ANDREW</v>
          </cell>
          <cell r="B2026" t="str">
            <v>UHX10</v>
          </cell>
          <cell r="O2026"/>
          <cell r="T2026"/>
        </row>
        <row r="2027">
          <cell r="A2027" t="str">
            <v>ANDREW</v>
          </cell>
          <cell r="B2027" t="str">
            <v>UHX10-107</v>
          </cell>
          <cell r="O2027"/>
          <cell r="T2027"/>
        </row>
        <row r="2028">
          <cell r="A2028" t="str">
            <v>ANDREW</v>
          </cell>
          <cell r="B2028" t="str">
            <v>UHX10-107-P3A</v>
          </cell>
          <cell r="O2028"/>
          <cell r="T2028"/>
        </row>
        <row r="2029">
          <cell r="A2029" t="str">
            <v>ANDREW</v>
          </cell>
          <cell r="B2029" t="str">
            <v>UHX10-107-P3M</v>
          </cell>
          <cell r="O2029"/>
          <cell r="T2029"/>
        </row>
        <row r="2030">
          <cell r="A2030" t="str">
            <v>ANDREW</v>
          </cell>
          <cell r="B2030" t="str">
            <v>UHX10-107H</v>
          </cell>
          <cell r="O2030"/>
          <cell r="T2030"/>
        </row>
        <row r="2031">
          <cell r="A2031" t="str">
            <v>ANDREW</v>
          </cell>
          <cell r="B2031" t="str">
            <v>UHX10-56</v>
          </cell>
          <cell r="O2031"/>
          <cell r="T2031"/>
        </row>
        <row r="2032">
          <cell r="A2032" t="str">
            <v>ANDREW</v>
          </cell>
          <cell r="B2032" t="str">
            <v>UHX10-59</v>
          </cell>
          <cell r="O2032"/>
          <cell r="T2032"/>
        </row>
        <row r="2033">
          <cell r="A2033" t="str">
            <v>ANDREW</v>
          </cell>
          <cell r="B2033" t="str">
            <v>UHX10-59-D3A</v>
          </cell>
          <cell r="O2033"/>
          <cell r="T2033"/>
        </row>
        <row r="2034">
          <cell r="A2034" t="str">
            <v>ANDREW</v>
          </cell>
          <cell r="B2034" t="str">
            <v>UHX10-59-P3A</v>
          </cell>
          <cell r="O2034"/>
          <cell r="T2034"/>
        </row>
        <row r="2035">
          <cell r="A2035" t="str">
            <v>ANDREW</v>
          </cell>
          <cell r="B2035" t="str">
            <v>UHX10-59H</v>
          </cell>
          <cell r="O2035"/>
          <cell r="T2035"/>
        </row>
        <row r="2036">
          <cell r="A2036" t="str">
            <v>ANDREW</v>
          </cell>
          <cell r="B2036" t="str">
            <v>UHX10-59J</v>
          </cell>
          <cell r="O2036"/>
          <cell r="T2036"/>
        </row>
        <row r="2037">
          <cell r="A2037" t="str">
            <v>ANDREW</v>
          </cell>
          <cell r="B2037" t="str">
            <v>UHX10-59K</v>
          </cell>
          <cell r="O2037"/>
          <cell r="T2037"/>
        </row>
        <row r="2038">
          <cell r="A2038" t="str">
            <v>ANDREW</v>
          </cell>
          <cell r="B2038" t="str">
            <v>UHX10-59W</v>
          </cell>
          <cell r="O2038"/>
          <cell r="T2038"/>
        </row>
        <row r="2039">
          <cell r="A2039" t="str">
            <v>ANDREW</v>
          </cell>
          <cell r="B2039" t="str">
            <v>UHX10-59W-P3A</v>
          </cell>
          <cell r="O2039"/>
          <cell r="T2039"/>
        </row>
        <row r="2040">
          <cell r="A2040" t="str">
            <v>ANDREW</v>
          </cell>
          <cell r="B2040" t="str">
            <v>UHX10-59W-P3M</v>
          </cell>
          <cell r="O2040"/>
          <cell r="T2040"/>
        </row>
        <row r="2041">
          <cell r="A2041" t="str">
            <v>ANDREW</v>
          </cell>
          <cell r="B2041" t="str">
            <v>UHX10-65</v>
          </cell>
          <cell r="O2041"/>
          <cell r="T2041"/>
        </row>
        <row r="2042">
          <cell r="A2042" t="str">
            <v>ANDREW</v>
          </cell>
          <cell r="B2042" t="str">
            <v>UHX10F-21A</v>
          </cell>
          <cell r="O2042"/>
          <cell r="T2042"/>
        </row>
        <row r="2043">
          <cell r="A2043" t="str">
            <v>ANDREW</v>
          </cell>
          <cell r="B2043" t="str">
            <v>UHX12</v>
          </cell>
          <cell r="O2043"/>
          <cell r="T2043"/>
        </row>
        <row r="2044">
          <cell r="A2044" t="str">
            <v>ANDREW</v>
          </cell>
          <cell r="B2044" t="str">
            <v>UHX12-56</v>
          </cell>
          <cell r="O2044"/>
          <cell r="T2044"/>
        </row>
        <row r="2045">
          <cell r="A2045" t="str">
            <v>ANDREW</v>
          </cell>
          <cell r="B2045" t="str">
            <v>UHX12-59</v>
          </cell>
          <cell r="O2045"/>
          <cell r="T2045"/>
        </row>
        <row r="2046">
          <cell r="A2046" t="str">
            <v>ANDREW</v>
          </cell>
          <cell r="B2046" t="str">
            <v>UHX12-59-P3M</v>
          </cell>
          <cell r="O2046"/>
          <cell r="T2046"/>
        </row>
        <row r="2047">
          <cell r="A2047" t="str">
            <v>ANDREW</v>
          </cell>
          <cell r="B2047" t="str">
            <v>UHX12-59J</v>
          </cell>
          <cell r="O2047"/>
          <cell r="T2047"/>
        </row>
        <row r="2048">
          <cell r="A2048" t="str">
            <v>ANDREW</v>
          </cell>
          <cell r="B2048" t="str">
            <v>UHX12-65-D3M</v>
          </cell>
          <cell r="O2048"/>
          <cell r="T2048"/>
        </row>
        <row r="2049">
          <cell r="A2049" t="str">
            <v>ANDREW</v>
          </cell>
          <cell r="B2049" t="str">
            <v>UHX15-34</v>
          </cell>
          <cell r="O2049"/>
          <cell r="T2049"/>
        </row>
        <row r="2050">
          <cell r="A2050" t="str">
            <v>ANDREW</v>
          </cell>
          <cell r="B2050" t="str">
            <v>UHX15-59</v>
          </cell>
          <cell r="O2050"/>
          <cell r="T2050"/>
        </row>
        <row r="2051">
          <cell r="A2051" t="str">
            <v>ANDREW</v>
          </cell>
          <cell r="B2051" t="str">
            <v>UHX4-105</v>
          </cell>
          <cell r="O2051"/>
          <cell r="T2051"/>
        </row>
        <row r="2052">
          <cell r="A2052" t="str">
            <v>ANDREW</v>
          </cell>
          <cell r="B2052" t="str">
            <v>UHX4-105A</v>
          </cell>
          <cell r="O2052"/>
          <cell r="T2052"/>
        </row>
        <row r="2053">
          <cell r="A2053" t="str">
            <v>ANDREW</v>
          </cell>
          <cell r="B2053" t="str">
            <v>UHX4-107</v>
          </cell>
          <cell r="O2053"/>
          <cell r="T2053"/>
        </row>
        <row r="2054">
          <cell r="A2054" t="str">
            <v>ANDREW</v>
          </cell>
          <cell r="B2054" t="str">
            <v>UHX4-107-P3A/B</v>
          </cell>
          <cell r="O2054"/>
          <cell r="T2054"/>
        </row>
        <row r="2055">
          <cell r="A2055" t="str">
            <v>ANDREW</v>
          </cell>
          <cell r="B2055" t="str">
            <v>UHX4-107-S</v>
          </cell>
          <cell r="O2055"/>
          <cell r="T2055"/>
        </row>
        <row r="2056">
          <cell r="A2056" t="str">
            <v>ANDREW</v>
          </cell>
          <cell r="B2056" t="str">
            <v>UHX4-107/B</v>
          </cell>
          <cell r="O2056"/>
          <cell r="T2056"/>
        </row>
        <row r="2057">
          <cell r="A2057" t="str">
            <v>ANDREW</v>
          </cell>
          <cell r="B2057" t="str">
            <v>UHX6-105-P3A</v>
          </cell>
          <cell r="O2057"/>
          <cell r="T2057"/>
        </row>
        <row r="2058">
          <cell r="A2058" t="str">
            <v>ANDREW</v>
          </cell>
          <cell r="B2058" t="str">
            <v>UHX6-105A</v>
          </cell>
          <cell r="O2058"/>
          <cell r="T2058"/>
        </row>
        <row r="2059">
          <cell r="A2059" t="str">
            <v>ANDREW</v>
          </cell>
          <cell r="B2059" t="str">
            <v>UHX6-107</v>
          </cell>
          <cell r="O2059"/>
          <cell r="T2059"/>
        </row>
        <row r="2060">
          <cell r="A2060" t="str">
            <v>ANDREW</v>
          </cell>
          <cell r="B2060" t="str">
            <v>UHX6-107-D3A</v>
          </cell>
          <cell r="O2060"/>
          <cell r="T2060"/>
        </row>
        <row r="2061">
          <cell r="A2061" t="str">
            <v>ANDREW</v>
          </cell>
          <cell r="B2061" t="str">
            <v>UHX6-107-P3A/K</v>
          </cell>
          <cell r="O2061"/>
          <cell r="T2061"/>
        </row>
        <row r="2062">
          <cell r="A2062" t="str">
            <v>ANDREW</v>
          </cell>
          <cell r="B2062" t="str">
            <v>UHX6-107-S</v>
          </cell>
          <cell r="O2062"/>
          <cell r="T2062"/>
        </row>
        <row r="2063">
          <cell r="A2063" t="str">
            <v>ANDREW</v>
          </cell>
          <cell r="B2063" t="str">
            <v>UHX6-107/J</v>
          </cell>
          <cell r="O2063"/>
          <cell r="T2063"/>
        </row>
        <row r="2064">
          <cell r="A2064" t="str">
            <v>ANDREW</v>
          </cell>
          <cell r="B2064" t="str">
            <v>UHX6-107H</v>
          </cell>
          <cell r="O2064"/>
          <cell r="T2064"/>
        </row>
        <row r="2065">
          <cell r="A2065" t="str">
            <v>ANDREW</v>
          </cell>
          <cell r="B2065" t="str">
            <v>UHX6-107J</v>
          </cell>
          <cell r="O2065"/>
          <cell r="T2065"/>
        </row>
        <row r="2066">
          <cell r="A2066" t="str">
            <v>ANDREW</v>
          </cell>
          <cell r="B2066" t="str">
            <v>UHX6-59</v>
          </cell>
          <cell r="O2066"/>
          <cell r="T2066"/>
        </row>
        <row r="2067">
          <cell r="A2067" t="str">
            <v>ANDREW</v>
          </cell>
          <cell r="B2067" t="str">
            <v>UHX6-59-D3A</v>
          </cell>
          <cell r="O2067"/>
          <cell r="T2067"/>
        </row>
        <row r="2068">
          <cell r="A2068" t="str">
            <v>ANDREW</v>
          </cell>
          <cell r="B2068" t="str">
            <v>UHX6-59-D3A/L</v>
          </cell>
          <cell r="O2068"/>
          <cell r="T2068"/>
        </row>
        <row r="2069">
          <cell r="A2069" t="str">
            <v>ANDREW</v>
          </cell>
          <cell r="B2069" t="str">
            <v>UHX6-59-P3A</v>
          </cell>
          <cell r="O2069"/>
          <cell r="T2069"/>
        </row>
        <row r="2070">
          <cell r="A2070" t="str">
            <v>ANDREW</v>
          </cell>
          <cell r="B2070" t="str">
            <v>UHX6-59-P3A/L</v>
          </cell>
          <cell r="O2070"/>
          <cell r="T2070"/>
        </row>
        <row r="2071">
          <cell r="A2071" t="str">
            <v>ANDREW</v>
          </cell>
          <cell r="B2071" t="str">
            <v>UHX6-59/L</v>
          </cell>
          <cell r="O2071"/>
          <cell r="T2071"/>
        </row>
        <row r="2072">
          <cell r="A2072" t="str">
            <v>ANDREW</v>
          </cell>
          <cell r="B2072" t="str">
            <v>UHX6-5911</v>
          </cell>
          <cell r="O2072"/>
          <cell r="T2072"/>
        </row>
        <row r="2073">
          <cell r="A2073" t="str">
            <v>ANDREW</v>
          </cell>
          <cell r="B2073" t="str">
            <v>UHX6-591H</v>
          </cell>
          <cell r="O2073"/>
          <cell r="T2073"/>
        </row>
        <row r="2074">
          <cell r="A2074" t="str">
            <v>ANDREW</v>
          </cell>
          <cell r="B2074" t="str">
            <v>UHX6-59H</v>
          </cell>
          <cell r="O2074"/>
          <cell r="T2074"/>
        </row>
        <row r="2075">
          <cell r="A2075" t="str">
            <v>ANDREW</v>
          </cell>
          <cell r="B2075" t="str">
            <v>UHX6-59J</v>
          </cell>
          <cell r="O2075"/>
          <cell r="T2075"/>
        </row>
        <row r="2076">
          <cell r="A2076" t="str">
            <v>ANDREW</v>
          </cell>
          <cell r="B2076" t="str">
            <v>UHX6-59S</v>
          </cell>
          <cell r="O2076"/>
          <cell r="T2076"/>
        </row>
        <row r="2077">
          <cell r="A2077" t="str">
            <v>ANDREW</v>
          </cell>
          <cell r="B2077" t="str">
            <v>UHX6-59W</v>
          </cell>
          <cell r="O2077"/>
          <cell r="T2077"/>
        </row>
        <row r="2078">
          <cell r="A2078" t="str">
            <v>ANDREW</v>
          </cell>
          <cell r="B2078" t="str">
            <v>UHX6-59W-D3A/B</v>
          </cell>
          <cell r="O2078"/>
          <cell r="T2078"/>
        </row>
        <row r="2079">
          <cell r="A2079" t="str">
            <v>ANDREW</v>
          </cell>
          <cell r="B2079" t="str">
            <v>UHX6-59W-P3A</v>
          </cell>
          <cell r="O2079"/>
          <cell r="T2079"/>
        </row>
        <row r="2080">
          <cell r="A2080" t="str">
            <v>ANDREW</v>
          </cell>
          <cell r="B2080" t="str">
            <v>UHX6-59W-P3A/B</v>
          </cell>
          <cell r="O2080"/>
          <cell r="T2080"/>
        </row>
        <row r="2081">
          <cell r="A2081" t="str">
            <v>ANDREW</v>
          </cell>
          <cell r="B2081" t="str">
            <v>UHX6-65</v>
          </cell>
          <cell r="O2081"/>
          <cell r="T2081"/>
        </row>
        <row r="2082">
          <cell r="A2082" t="str">
            <v>ANDREW</v>
          </cell>
          <cell r="B2082" t="str">
            <v>UHX6-65-P3A</v>
          </cell>
          <cell r="O2082"/>
          <cell r="T2082"/>
        </row>
        <row r="2083">
          <cell r="A2083" t="str">
            <v>ANDREW</v>
          </cell>
          <cell r="B2083" t="str">
            <v>UHX6-65/F</v>
          </cell>
          <cell r="O2083"/>
          <cell r="T2083"/>
        </row>
        <row r="2084">
          <cell r="A2084" t="str">
            <v>ANDREW</v>
          </cell>
          <cell r="B2084" t="str">
            <v>UHX8</v>
          </cell>
          <cell r="O2084"/>
          <cell r="T2084"/>
        </row>
        <row r="2085">
          <cell r="A2085" t="str">
            <v>ANDREW</v>
          </cell>
          <cell r="B2085" t="str">
            <v>UHX8-105</v>
          </cell>
          <cell r="O2085"/>
          <cell r="T2085"/>
        </row>
        <row r="2086">
          <cell r="A2086" t="str">
            <v>ANDREW</v>
          </cell>
          <cell r="B2086" t="str">
            <v>UHX8-105-P3A</v>
          </cell>
          <cell r="O2086"/>
          <cell r="T2086"/>
        </row>
        <row r="2087">
          <cell r="A2087" t="str">
            <v>ANDREW</v>
          </cell>
          <cell r="B2087" t="str">
            <v>UHX8-107</v>
          </cell>
          <cell r="O2087"/>
          <cell r="T2087"/>
        </row>
        <row r="2088">
          <cell r="A2088" t="str">
            <v>ANDREW</v>
          </cell>
          <cell r="B2088" t="str">
            <v>UHX8-107-D3A</v>
          </cell>
          <cell r="O2088"/>
          <cell r="T2088"/>
        </row>
        <row r="2089">
          <cell r="A2089" t="str">
            <v>ANDREW</v>
          </cell>
          <cell r="B2089" t="str">
            <v>UHX8-107-J</v>
          </cell>
          <cell r="O2089"/>
          <cell r="T2089"/>
        </row>
        <row r="2090">
          <cell r="A2090" t="str">
            <v>ANDREW</v>
          </cell>
          <cell r="B2090" t="str">
            <v>UHX8-107-P3A</v>
          </cell>
          <cell r="O2090"/>
          <cell r="T2090"/>
        </row>
        <row r="2091">
          <cell r="A2091" t="str">
            <v>ANDREW</v>
          </cell>
          <cell r="B2091" t="str">
            <v>UHX8-107J</v>
          </cell>
          <cell r="O2091"/>
          <cell r="T2091"/>
        </row>
        <row r="2092">
          <cell r="A2092" t="str">
            <v>ANDREW</v>
          </cell>
          <cell r="B2092" t="str">
            <v>UHX8-21</v>
          </cell>
          <cell r="O2092"/>
          <cell r="T2092"/>
        </row>
        <row r="2093">
          <cell r="A2093" t="str">
            <v>ANDREW</v>
          </cell>
          <cell r="B2093" t="str">
            <v>UHX8-58W-P3A</v>
          </cell>
          <cell r="O2093"/>
          <cell r="T2093"/>
        </row>
        <row r="2094">
          <cell r="A2094" t="str">
            <v>ANDREW</v>
          </cell>
          <cell r="B2094" t="str">
            <v>UHX8-59</v>
          </cell>
          <cell r="O2094"/>
          <cell r="T2094"/>
        </row>
        <row r="2095">
          <cell r="A2095" t="str">
            <v>ANDREW</v>
          </cell>
          <cell r="B2095" t="str">
            <v>UHX8-59-D3A</v>
          </cell>
          <cell r="O2095"/>
          <cell r="T2095"/>
        </row>
        <row r="2096">
          <cell r="A2096" t="str">
            <v>ANDREW</v>
          </cell>
          <cell r="B2096" t="str">
            <v>UHX8-59-P3A</v>
          </cell>
          <cell r="O2096"/>
          <cell r="T2096"/>
        </row>
        <row r="2097">
          <cell r="A2097" t="str">
            <v>ANDREW</v>
          </cell>
          <cell r="B2097" t="str">
            <v>UHX8-59H</v>
          </cell>
          <cell r="O2097"/>
          <cell r="T2097"/>
        </row>
        <row r="2098">
          <cell r="A2098" t="str">
            <v>ANDREW</v>
          </cell>
          <cell r="B2098" t="str">
            <v>UHX8-59H-P3A</v>
          </cell>
          <cell r="O2098"/>
          <cell r="T2098"/>
        </row>
        <row r="2099">
          <cell r="A2099" t="str">
            <v>ANDREW</v>
          </cell>
          <cell r="B2099" t="str">
            <v>UHX8-59J</v>
          </cell>
          <cell r="O2099"/>
          <cell r="T2099"/>
        </row>
        <row r="2100">
          <cell r="A2100" t="str">
            <v>ANDREW</v>
          </cell>
          <cell r="B2100" t="str">
            <v>UHX8-59W</v>
          </cell>
          <cell r="O2100"/>
          <cell r="T2100"/>
        </row>
        <row r="2101">
          <cell r="A2101" t="str">
            <v>ANDREW</v>
          </cell>
          <cell r="B2101" t="str">
            <v>UHX8-59W-P3A</v>
          </cell>
          <cell r="O2101"/>
          <cell r="T2101"/>
        </row>
        <row r="2102">
          <cell r="A2102" t="str">
            <v>ANDREW</v>
          </cell>
          <cell r="B2102" t="str">
            <v>UHX8-65</v>
          </cell>
          <cell r="O2102"/>
          <cell r="T2102"/>
        </row>
        <row r="2103">
          <cell r="A2103" t="str">
            <v>ANDREW</v>
          </cell>
          <cell r="B2103" t="str">
            <v>UHX8-65-P3A</v>
          </cell>
          <cell r="O2103"/>
          <cell r="T2103"/>
        </row>
        <row r="2104">
          <cell r="A2104" t="str">
            <v>ANDREW</v>
          </cell>
          <cell r="B2104" t="str">
            <v>UHX8-77GD</v>
          </cell>
          <cell r="O2104"/>
          <cell r="T2104"/>
        </row>
        <row r="2105">
          <cell r="A2105" t="str">
            <v>ANDREW</v>
          </cell>
          <cell r="B2105" t="str">
            <v>UHX8F-21</v>
          </cell>
          <cell r="O2105"/>
          <cell r="T2105"/>
        </row>
        <row r="2106">
          <cell r="A2106" t="str">
            <v>ANDREW</v>
          </cell>
          <cell r="B2106" t="str">
            <v>UMW-06516-00</v>
          </cell>
          <cell r="O2106">
            <v>2.455159611</v>
          </cell>
          <cell r="T2106">
            <v>1.227061677</v>
          </cell>
        </row>
        <row r="2107">
          <cell r="A2107" t="str">
            <v>ANDREW</v>
          </cell>
          <cell r="B2107" t="str">
            <v>UMW-06516-0DH</v>
          </cell>
          <cell r="O2107">
            <v>2.455159611</v>
          </cell>
          <cell r="T2107">
            <v>1.227061677</v>
          </cell>
        </row>
        <row r="2108">
          <cell r="A2108" t="str">
            <v>ANDREW</v>
          </cell>
          <cell r="B2108" t="str">
            <v>UMW-06516-2D</v>
          </cell>
          <cell r="O2108">
            <v>2.455159611</v>
          </cell>
          <cell r="T2108">
            <v>1.227061677</v>
          </cell>
        </row>
        <row r="2109">
          <cell r="A2109" t="str">
            <v>ANDREW</v>
          </cell>
          <cell r="B2109" t="str">
            <v>UMW-06516-2DH</v>
          </cell>
          <cell r="O2109">
            <v>2.455159611</v>
          </cell>
          <cell r="T2109">
            <v>1.227061677</v>
          </cell>
        </row>
        <row r="2110">
          <cell r="A2110" t="str">
            <v>ANDREW</v>
          </cell>
          <cell r="B2110" t="str">
            <v>UMW-06517-2DH</v>
          </cell>
          <cell r="O2110">
            <v>3.3357648533950597</v>
          </cell>
          <cell r="T2110">
            <v>1.66688528891207</v>
          </cell>
        </row>
        <row r="2111">
          <cell r="A2111" t="str">
            <v>ANDREW</v>
          </cell>
          <cell r="B2111" t="str">
            <v>UMW-09015-0DH</v>
          </cell>
          <cell r="O2111">
            <v>2.455159611</v>
          </cell>
          <cell r="T2111">
            <v>1.227061677</v>
          </cell>
        </row>
        <row r="2112">
          <cell r="A2112" t="str">
            <v>ANDREW</v>
          </cell>
          <cell r="B2112" t="str">
            <v>UMW-09015-2DH</v>
          </cell>
          <cell r="O2112">
            <v>2.455159611</v>
          </cell>
          <cell r="T2112">
            <v>1.227061677</v>
          </cell>
        </row>
        <row r="2113">
          <cell r="A2113" t="str">
            <v>ANDREW</v>
          </cell>
          <cell r="B2113" t="str">
            <v>UMWD-03319-R2DM</v>
          </cell>
          <cell r="O2113">
            <v>4.9806162139999994</v>
          </cell>
          <cell r="T2113">
            <v>2.3539814380000004</v>
          </cell>
        </row>
        <row r="2114">
          <cell r="A2114" t="str">
            <v>ANDREW</v>
          </cell>
          <cell r="B2114" t="str">
            <v>UMWD-03319-XDM</v>
          </cell>
          <cell r="O2114">
            <v>5.2257741129999991</v>
          </cell>
          <cell r="T2114">
            <v>2.5726164480000002</v>
          </cell>
        </row>
        <row r="2115">
          <cell r="A2115" t="str">
            <v>ANDREW</v>
          </cell>
          <cell r="B2115" t="str">
            <v>UMWD-04517-R2DM</v>
          </cell>
          <cell r="O2115"/>
          <cell r="T2115"/>
        </row>
        <row r="2116">
          <cell r="A2116" t="str">
            <v>ANDREW</v>
          </cell>
          <cell r="B2116" t="str">
            <v>UMWD-04517-XDM</v>
          </cell>
          <cell r="O2116"/>
          <cell r="T2116"/>
        </row>
        <row r="2117">
          <cell r="A2117" t="str">
            <v>ANDREW</v>
          </cell>
          <cell r="B2117" t="str">
            <v>UMWD-04519-R2DM</v>
          </cell>
          <cell r="O2117">
            <v>6.78338417179374</v>
          </cell>
          <cell r="T2117">
            <v>3.2139418122830397</v>
          </cell>
        </row>
        <row r="2118">
          <cell r="A2118" t="str">
            <v>ANDREW</v>
          </cell>
          <cell r="B2118" t="str">
            <v>UMWD-04519-XDM</v>
          </cell>
          <cell r="O2118">
            <v>6.78338417179374</v>
          </cell>
          <cell r="T2118">
            <v>3.2139418122830397</v>
          </cell>
        </row>
        <row r="2119">
          <cell r="A2119" t="str">
            <v>ANDREW</v>
          </cell>
          <cell r="B2119" t="str">
            <v>UMWD-0615A-XDH</v>
          </cell>
          <cell r="O2119">
            <v>2.1419557229999997</v>
          </cell>
          <cell r="T2119">
            <v>1.0710444809999999</v>
          </cell>
        </row>
        <row r="2120">
          <cell r="A2120" t="str">
            <v>ANDREW</v>
          </cell>
          <cell r="B2120" t="str">
            <v>UMWD-06513-XDH</v>
          </cell>
          <cell r="O2120">
            <v>1.20410638503086</v>
          </cell>
          <cell r="T2120">
            <v>0.60043094372624783</v>
          </cell>
        </row>
        <row r="2121">
          <cell r="A2121" t="str">
            <v>ANDREW</v>
          </cell>
          <cell r="B2121" t="str">
            <v>UMWD-06516-0DH</v>
          </cell>
          <cell r="O2121">
            <v>2.27499479369791</v>
          </cell>
          <cell r="T2121">
            <v>1.1374751096470099</v>
          </cell>
        </row>
        <row r="2122">
          <cell r="A2122" t="str">
            <v>ANDREW</v>
          </cell>
          <cell r="B2122" t="str">
            <v>UMWD-06516-2DH</v>
          </cell>
          <cell r="O2122">
            <v>2.2749947940000004</v>
          </cell>
          <cell r="T2122">
            <v>1.13747511</v>
          </cell>
        </row>
        <row r="2123">
          <cell r="A2123" t="str">
            <v>ANDREW</v>
          </cell>
          <cell r="B2123" t="str">
            <v>UMWD-06516-4DH</v>
          </cell>
          <cell r="O2123">
            <v>2.27499479369791</v>
          </cell>
          <cell r="T2123">
            <v>1.1374751096470099</v>
          </cell>
        </row>
        <row r="2124">
          <cell r="A2124" t="str">
            <v>ANDREW</v>
          </cell>
          <cell r="B2124" t="str">
            <v>UMWD-06516-6DH</v>
          </cell>
          <cell r="O2124">
            <v>2.2745024620000001</v>
          </cell>
          <cell r="T2124">
            <v>1.1355782619999999</v>
          </cell>
        </row>
        <row r="2125">
          <cell r="A2125" t="str">
            <v>ANDREW</v>
          </cell>
          <cell r="B2125" t="str">
            <v>UMWD-06516-XD</v>
          </cell>
          <cell r="O2125">
            <v>2.2889824459999999</v>
          </cell>
          <cell r="T2125">
            <v>1.1444048899999999</v>
          </cell>
        </row>
        <row r="2126">
          <cell r="A2126" t="str">
            <v>ANDREW</v>
          </cell>
          <cell r="B2126" t="str">
            <v>UMWD-06516-XDM</v>
          </cell>
          <cell r="O2126">
            <v>2.2889824459999999</v>
          </cell>
          <cell r="T2126">
            <v>1.1444048899999999</v>
          </cell>
        </row>
        <row r="2127">
          <cell r="A2127" t="str">
            <v>ANDREW</v>
          </cell>
          <cell r="B2127" t="str">
            <v>UMWD-06516A-R2DH</v>
          </cell>
          <cell r="O2127">
            <v>2.1419557229999997</v>
          </cell>
          <cell r="T2127">
            <v>1.0710444809999999</v>
          </cell>
        </row>
        <row r="2128">
          <cell r="A2128" t="str">
            <v>ANDREW</v>
          </cell>
          <cell r="B2128" t="str">
            <v>UMWD-06516A-XDH</v>
          </cell>
          <cell r="O2128">
            <v>2.1419557229999997</v>
          </cell>
          <cell r="T2128">
            <v>1.0710444809999999</v>
          </cell>
        </row>
        <row r="2129">
          <cell r="A2129" t="str">
            <v>ANDREW</v>
          </cell>
          <cell r="B2129" t="str">
            <v>UMWD-06517-0D</v>
          </cell>
          <cell r="O2129">
            <v>3.5070781660000003</v>
          </cell>
          <cell r="T2129">
            <v>1.7470756869999999</v>
          </cell>
        </row>
        <row r="2130">
          <cell r="A2130" t="str">
            <v>ANDREW</v>
          </cell>
          <cell r="B2130" t="str">
            <v>UMWD-06517-0DH</v>
          </cell>
          <cell r="O2130">
            <v>3.5070781660000003</v>
          </cell>
          <cell r="T2130">
            <v>1.7470756869999999</v>
          </cell>
        </row>
        <row r="2131">
          <cell r="A2131" t="str">
            <v>ANDREW</v>
          </cell>
          <cell r="B2131" t="str">
            <v>UMWD-06517-2DH</v>
          </cell>
          <cell r="O2131">
            <v>3.5070781660000003</v>
          </cell>
          <cell r="T2131">
            <v>1.7470756869999999</v>
          </cell>
        </row>
        <row r="2132">
          <cell r="A2132" t="str">
            <v>ANDREW</v>
          </cell>
          <cell r="B2132" t="str">
            <v>UMWD-06517-4DH</v>
          </cell>
          <cell r="O2132">
            <v>3.5070781660000003</v>
          </cell>
          <cell r="T2132">
            <v>1.7470756869999999</v>
          </cell>
        </row>
        <row r="2133">
          <cell r="A2133" t="str">
            <v>ANDREW</v>
          </cell>
          <cell r="B2133" t="str">
            <v>UMWD-06517-R1DH</v>
          </cell>
          <cell r="O2133"/>
          <cell r="T2133"/>
        </row>
        <row r="2134">
          <cell r="A2134" t="str">
            <v>ANDREW</v>
          </cell>
          <cell r="B2134" t="str">
            <v>UMWD-06517-R2DH</v>
          </cell>
          <cell r="O2134">
            <v>3.5070781660000003</v>
          </cell>
          <cell r="T2134">
            <v>1.7470756869999999</v>
          </cell>
        </row>
        <row r="2135">
          <cell r="A2135" t="str">
            <v>ANDREW</v>
          </cell>
          <cell r="B2135" t="str">
            <v>UMWD-06517-XD</v>
          </cell>
          <cell r="O2135">
            <v>3.5070781660000003</v>
          </cell>
          <cell r="T2135">
            <v>1.7470756869999999</v>
          </cell>
        </row>
        <row r="2136">
          <cell r="A2136" t="str">
            <v>ANDREW</v>
          </cell>
          <cell r="B2136" t="str">
            <v>UMWD-06517-XDH</v>
          </cell>
          <cell r="O2136">
            <v>3.5070781660000003</v>
          </cell>
          <cell r="T2136">
            <v>1.7470756869999999</v>
          </cell>
        </row>
        <row r="2137">
          <cell r="A2137" t="str">
            <v>ANDREW</v>
          </cell>
          <cell r="B2137" t="str">
            <v>UMWD-06519-0DH</v>
          </cell>
          <cell r="O2137">
            <v>3.7081606867283901</v>
          </cell>
          <cell r="T2137">
            <v>1.85289569496294</v>
          </cell>
        </row>
        <row r="2138">
          <cell r="A2138" t="str">
            <v>ANDREW</v>
          </cell>
          <cell r="B2138" t="str">
            <v>UMWD-06519-2DH</v>
          </cell>
          <cell r="O2138">
            <v>3.7081606867283901</v>
          </cell>
          <cell r="T2138">
            <v>1.85289569496294</v>
          </cell>
        </row>
        <row r="2139">
          <cell r="A2139" t="str">
            <v>ANDREW</v>
          </cell>
          <cell r="B2139" t="str">
            <v>UMWD-09014-2DH</v>
          </cell>
          <cell r="O2139">
            <v>2.2889824459999999</v>
          </cell>
          <cell r="T2139">
            <v>1.1444048899999999</v>
          </cell>
        </row>
        <row r="2140">
          <cell r="A2140" t="str">
            <v>ANDREW</v>
          </cell>
          <cell r="B2140" t="str">
            <v>UMWD-09014B-0DH</v>
          </cell>
          <cell r="O2140">
            <v>2.1361622300000001</v>
          </cell>
          <cell r="T2140">
            <v>1.068144145</v>
          </cell>
        </row>
        <row r="2141">
          <cell r="A2141" t="str">
            <v>ANDREW</v>
          </cell>
          <cell r="B2141" t="str">
            <v>UMWD-09014B-2DH</v>
          </cell>
          <cell r="O2141">
            <v>2.1419557229999997</v>
          </cell>
          <cell r="T2141">
            <v>1.0710444809999999</v>
          </cell>
        </row>
        <row r="2142">
          <cell r="A2142" t="str">
            <v>ANDREW</v>
          </cell>
          <cell r="B2142" t="str">
            <v>UMWD-09014B-R1DH</v>
          </cell>
          <cell r="O2142">
            <v>2.1361622299382703</v>
          </cell>
          <cell r="T2142">
            <v>1.0681441453379599</v>
          </cell>
        </row>
        <row r="2143">
          <cell r="A2143" t="str">
            <v>ANDREW</v>
          </cell>
          <cell r="B2143" t="str">
            <v>UMWD-09014B-R2DH</v>
          </cell>
          <cell r="O2143">
            <v>2.1419557229999997</v>
          </cell>
          <cell r="T2143">
            <v>1.0710444809999999</v>
          </cell>
        </row>
        <row r="2144">
          <cell r="A2144" t="str">
            <v>ANDREW</v>
          </cell>
          <cell r="B2144" t="str">
            <v>UMWD-09014B-XDH</v>
          </cell>
          <cell r="O2144">
            <v>2.1419557229999997</v>
          </cell>
          <cell r="T2144">
            <v>1.0710444809999999</v>
          </cell>
        </row>
        <row r="2145">
          <cell r="A2145" t="str">
            <v>ANDREW</v>
          </cell>
          <cell r="B2145" t="str">
            <v>UMWD-09016-2DH</v>
          </cell>
          <cell r="O2145">
            <v>3.5070781660000003</v>
          </cell>
          <cell r="T2145">
            <v>1.7470756869999999</v>
          </cell>
        </row>
        <row r="2146">
          <cell r="A2146" t="str">
            <v>ANDREW</v>
          </cell>
          <cell r="B2146" t="str">
            <v>UMWD-09016-4DH</v>
          </cell>
          <cell r="O2146">
            <v>3.5070781660000003</v>
          </cell>
          <cell r="T2146">
            <v>1.7470756869999999</v>
          </cell>
        </row>
        <row r="2147">
          <cell r="A2147" t="str">
            <v>ANDREW</v>
          </cell>
          <cell r="B2147" t="str">
            <v>UMWD-09016-R1DH</v>
          </cell>
          <cell r="O2147">
            <v>3.5070781660000003</v>
          </cell>
          <cell r="T2147">
            <v>1.7470756869999999</v>
          </cell>
        </row>
        <row r="2148">
          <cell r="A2148" t="str">
            <v>ANDREW</v>
          </cell>
          <cell r="B2148" t="str">
            <v>UMWD-09016-R2DH</v>
          </cell>
          <cell r="O2148">
            <v>3.5070781660000003</v>
          </cell>
          <cell r="T2148">
            <v>1.7470756869999999</v>
          </cell>
        </row>
        <row r="2149">
          <cell r="A2149" t="str">
            <v>ANDREW</v>
          </cell>
          <cell r="B2149" t="str">
            <v>UMWD-09016-XD</v>
          </cell>
          <cell r="O2149">
            <v>3.7592179187350303</v>
          </cell>
          <cell r="T2149">
            <v>1.8758763363875099</v>
          </cell>
        </row>
        <row r="2150">
          <cell r="A2150" t="str">
            <v>ANDREW</v>
          </cell>
          <cell r="B2150" t="str">
            <v>UMWD-09016-XDH</v>
          </cell>
          <cell r="O2150">
            <v>3.5070781660000003</v>
          </cell>
          <cell r="T2150">
            <v>1.7470756869999999</v>
          </cell>
        </row>
        <row r="2151">
          <cell r="A2151" t="str">
            <v>ANDREW</v>
          </cell>
          <cell r="B2151" t="str">
            <v>UMWDP-06516-R2DH</v>
          </cell>
          <cell r="O2151">
            <v>2.2745024620000001</v>
          </cell>
          <cell r="T2151">
            <v>1.1355782619999999</v>
          </cell>
        </row>
        <row r="2152">
          <cell r="A2152" t="str">
            <v>ANDREW</v>
          </cell>
          <cell r="B2152" t="str">
            <v>UMWDP-06516-XDH</v>
          </cell>
          <cell r="O2152">
            <v>2.2745024620000001</v>
          </cell>
          <cell r="T2152">
            <v>1.1355782619999999</v>
          </cell>
        </row>
        <row r="2153">
          <cell r="A2153" t="str">
            <v>ANDREW</v>
          </cell>
          <cell r="B2153" t="str">
            <v>UNX8F-21</v>
          </cell>
          <cell r="O2153"/>
          <cell r="T2153"/>
        </row>
        <row r="2154">
          <cell r="A2154" t="str">
            <v>ANDREW</v>
          </cell>
          <cell r="B2154" t="str">
            <v>USX10-6W_20250312</v>
          </cell>
          <cell r="O2154"/>
          <cell r="T2154"/>
        </row>
        <row r="2155">
          <cell r="A2155" t="str">
            <v>ANDREW</v>
          </cell>
          <cell r="B2155" t="str">
            <v>UX8-59-H-8</v>
          </cell>
          <cell r="O2155"/>
          <cell r="T2155"/>
        </row>
        <row r="2156">
          <cell r="A2156" t="str">
            <v>ANDREW</v>
          </cell>
          <cell r="B2156" t="str">
            <v>VHLP-142</v>
          </cell>
          <cell r="O2156"/>
          <cell r="T2156"/>
        </row>
        <row r="2157">
          <cell r="A2157" t="str">
            <v>ANDREW</v>
          </cell>
          <cell r="B2157" t="str">
            <v>VHLP0.6-28 7</v>
          </cell>
          <cell r="O2157"/>
          <cell r="T2157"/>
        </row>
        <row r="2158">
          <cell r="A2158" t="str">
            <v>ANDREW</v>
          </cell>
          <cell r="B2158" t="str">
            <v>VHLP1-13</v>
          </cell>
          <cell r="O2158"/>
          <cell r="T2158"/>
        </row>
        <row r="2159">
          <cell r="A2159" t="str">
            <v>ANDREW</v>
          </cell>
          <cell r="B2159" t="str">
            <v>VHLP1-15</v>
          </cell>
          <cell r="O2159"/>
          <cell r="T2159"/>
        </row>
        <row r="2160">
          <cell r="A2160" t="str">
            <v>ANDREW</v>
          </cell>
          <cell r="B2160" t="str">
            <v>VHLP1-18</v>
          </cell>
          <cell r="O2160"/>
          <cell r="T2160"/>
        </row>
        <row r="2161">
          <cell r="A2161" t="str">
            <v>ANDREW</v>
          </cell>
          <cell r="B2161" t="str">
            <v>VHLP1-220</v>
          </cell>
          <cell r="O2161"/>
          <cell r="T2161"/>
        </row>
        <row r="2162">
          <cell r="A2162" t="str">
            <v>ANDREW</v>
          </cell>
          <cell r="B2162" t="str">
            <v>VHLP1-23</v>
          </cell>
          <cell r="O2162"/>
          <cell r="T2162"/>
        </row>
        <row r="2163">
          <cell r="A2163" t="str">
            <v>ANDREW</v>
          </cell>
          <cell r="B2163" t="str">
            <v>VHLP1-23-1GR</v>
          </cell>
          <cell r="O2163"/>
          <cell r="T2163"/>
        </row>
        <row r="2164">
          <cell r="A2164" t="str">
            <v>ANDREW</v>
          </cell>
          <cell r="B2164" t="str">
            <v>VHLP1-23-1WH</v>
          </cell>
          <cell r="O2164"/>
          <cell r="T2164"/>
        </row>
        <row r="2165">
          <cell r="A2165" t="str">
            <v>ANDREW</v>
          </cell>
          <cell r="B2165" t="str">
            <v>VHLP1-23-2GR</v>
          </cell>
          <cell r="O2165"/>
          <cell r="T2165"/>
        </row>
        <row r="2166">
          <cell r="A2166" t="str">
            <v>ANDREW</v>
          </cell>
          <cell r="B2166" t="str">
            <v>VHLP1-23-2WH</v>
          </cell>
          <cell r="O2166"/>
          <cell r="T2166"/>
        </row>
        <row r="2167">
          <cell r="A2167" t="str">
            <v>ANDREW</v>
          </cell>
          <cell r="B2167" t="str">
            <v>VHLP1-23-3GR</v>
          </cell>
          <cell r="O2167"/>
          <cell r="T2167"/>
        </row>
        <row r="2168">
          <cell r="A2168" t="str">
            <v>ANDREW</v>
          </cell>
          <cell r="B2168" t="str">
            <v>VHLP1-23-CR1</v>
          </cell>
          <cell r="O2168"/>
          <cell r="T2168"/>
        </row>
        <row r="2169">
          <cell r="A2169" t="str">
            <v>ANDREW</v>
          </cell>
          <cell r="B2169" t="str">
            <v>VHLP1-23-DW1</v>
          </cell>
          <cell r="O2169"/>
          <cell r="T2169"/>
        </row>
        <row r="2170">
          <cell r="A2170" t="str">
            <v>ANDREW</v>
          </cell>
          <cell r="B2170" t="str">
            <v>VHLP1-240</v>
          </cell>
          <cell r="O2170"/>
          <cell r="T2170"/>
        </row>
        <row r="2171">
          <cell r="A2171" t="str">
            <v>ANDREW</v>
          </cell>
          <cell r="B2171" t="str">
            <v>VHLP1-26</v>
          </cell>
          <cell r="O2171"/>
          <cell r="T2171"/>
        </row>
        <row r="2172">
          <cell r="A2172" t="str">
            <v>ANDREW</v>
          </cell>
          <cell r="B2172" t="str">
            <v>VHLP1-26-1GR</v>
          </cell>
          <cell r="O2172"/>
          <cell r="T2172"/>
        </row>
        <row r="2173">
          <cell r="A2173" t="str">
            <v>ANDREW</v>
          </cell>
          <cell r="B2173" t="str">
            <v>VHLP1-26-1WH</v>
          </cell>
          <cell r="O2173"/>
          <cell r="T2173"/>
        </row>
        <row r="2174">
          <cell r="A2174" t="str">
            <v>ANDREW</v>
          </cell>
          <cell r="B2174" t="str">
            <v>VHLP1-28</v>
          </cell>
          <cell r="O2174"/>
          <cell r="T2174"/>
        </row>
        <row r="2175">
          <cell r="A2175" t="str">
            <v>ANDREW</v>
          </cell>
          <cell r="B2175" t="str">
            <v>VHLP1-28-1GR</v>
          </cell>
          <cell r="O2175"/>
          <cell r="T2175"/>
        </row>
        <row r="2176">
          <cell r="A2176" t="str">
            <v>ANDREW</v>
          </cell>
          <cell r="B2176" t="str">
            <v>VHLP1-32</v>
          </cell>
          <cell r="O2176"/>
          <cell r="T2176"/>
        </row>
        <row r="2177">
          <cell r="A2177" t="str">
            <v>ANDREW</v>
          </cell>
          <cell r="B2177" t="str">
            <v>VHLP1-38</v>
          </cell>
          <cell r="O2177"/>
          <cell r="T2177"/>
        </row>
        <row r="2178">
          <cell r="A2178" t="str">
            <v>ANDREW</v>
          </cell>
          <cell r="B2178" t="str">
            <v>VHLP1-38-1WH</v>
          </cell>
          <cell r="O2178"/>
          <cell r="T2178"/>
        </row>
        <row r="2179">
          <cell r="A2179" t="str">
            <v>ANDREW</v>
          </cell>
          <cell r="B2179" t="str">
            <v>VHLP1-58</v>
          </cell>
          <cell r="O2179"/>
          <cell r="T2179"/>
        </row>
        <row r="2180">
          <cell r="A2180" t="str">
            <v>ANDREW</v>
          </cell>
          <cell r="B2180" t="str">
            <v>VHLP2</v>
          </cell>
          <cell r="O2180"/>
          <cell r="T2180"/>
        </row>
        <row r="2181">
          <cell r="A2181" t="str">
            <v>ANDREW</v>
          </cell>
          <cell r="B2181" t="str">
            <v>VHLP2-10</v>
          </cell>
          <cell r="O2181"/>
          <cell r="T2181"/>
        </row>
        <row r="2182">
          <cell r="A2182" t="str">
            <v>ANDREW</v>
          </cell>
          <cell r="B2182" t="str">
            <v>VHLP2-105</v>
          </cell>
          <cell r="O2182"/>
          <cell r="T2182"/>
        </row>
        <row r="2183">
          <cell r="A2183" t="str">
            <v>ANDREW</v>
          </cell>
          <cell r="B2183" t="str">
            <v>VHLP2-10W</v>
          </cell>
          <cell r="O2183"/>
          <cell r="T2183"/>
        </row>
        <row r="2184">
          <cell r="A2184" t="str">
            <v>ANDREW</v>
          </cell>
          <cell r="B2184" t="str">
            <v>VHLP2-10W-2GR</v>
          </cell>
          <cell r="O2184"/>
          <cell r="T2184"/>
        </row>
        <row r="2185">
          <cell r="A2185" t="str">
            <v>ANDREW</v>
          </cell>
          <cell r="B2185" t="str">
            <v>VHLP2-10W-2WH</v>
          </cell>
          <cell r="O2185"/>
          <cell r="T2185"/>
        </row>
        <row r="2186">
          <cell r="A2186" t="str">
            <v>ANDREW</v>
          </cell>
          <cell r="B2186" t="str">
            <v>VHLP2-10W-3GR</v>
          </cell>
          <cell r="O2186"/>
          <cell r="T2186"/>
        </row>
        <row r="2187">
          <cell r="A2187" t="str">
            <v>ANDREW</v>
          </cell>
          <cell r="B2187" t="str">
            <v>VHLP2-11</v>
          </cell>
          <cell r="O2187"/>
          <cell r="T2187"/>
        </row>
        <row r="2188">
          <cell r="A2188" t="str">
            <v>ANDREW</v>
          </cell>
          <cell r="B2188" t="str">
            <v>VHLP2-11-2GR</v>
          </cell>
          <cell r="O2188"/>
          <cell r="T2188"/>
        </row>
        <row r="2189">
          <cell r="A2189" t="str">
            <v>ANDREW</v>
          </cell>
          <cell r="B2189" t="str">
            <v>VHLP2-11-2WH</v>
          </cell>
          <cell r="O2189"/>
          <cell r="T2189"/>
        </row>
        <row r="2190">
          <cell r="A2190" t="str">
            <v>ANDREW</v>
          </cell>
          <cell r="B2190" t="str">
            <v>VHLP2-11-3WH</v>
          </cell>
          <cell r="O2190"/>
          <cell r="T2190"/>
        </row>
        <row r="2191">
          <cell r="A2191" t="str">
            <v>ANDREW</v>
          </cell>
          <cell r="B2191" t="str">
            <v>VHLP2-11-4WH</v>
          </cell>
          <cell r="O2191"/>
          <cell r="T2191"/>
        </row>
        <row r="2192">
          <cell r="A2192" t="str">
            <v>ANDREW</v>
          </cell>
          <cell r="B2192" t="str">
            <v>VHLP2-11-6GR</v>
          </cell>
          <cell r="O2192"/>
          <cell r="T2192"/>
        </row>
        <row r="2193">
          <cell r="A2193" t="str">
            <v>ANDREW</v>
          </cell>
          <cell r="B2193" t="str">
            <v>VHLP2-11-6WH</v>
          </cell>
          <cell r="O2193"/>
          <cell r="T2193"/>
        </row>
        <row r="2194">
          <cell r="A2194" t="str">
            <v>ANDREW</v>
          </cell>
          <cell r="B2194" t="str">
            <v>VHLP2-13</v>
          </cell>
          <cell r="O2194"/>
          <cell r="T2194"/>
        </row>
        <row r="2195">
          <cell r="A2195" t="str">
            <v>ANDREW</v>
          </cell>
          <cell r="B2195" t="str">
            <v>VHLP2-15</v>
          </cell>
          <cell r="O2195"/>
          <cell r="T2195"/>
        </row>
        <row r="2196">
          <cell r="A2196" t="str">
            <v>ANDREW</v>
          </cell>
          <cell r="B2196" t="str">
            <v>VHLP2-18</v>
          </cell>
          <cell r="O2196"/>
          <cell r="T2196"/>
        </row>
        <row r="2197">
          <cell r="A2197" t="str">
            <v>ANDREW</v>
          </cell>
          <cell r="B2197" t="str">
            <v>VHLP2-18-1GR</v>
          </cell>
          <cell r="O2197"/>
          <cell r="T2197"/>
        </row>
        <row r="2198">
          <cell r="A2198" t="str">
            <v>ANDREW</v>
          </cell>
          <cell r="B2198" t="str">
            <v>VHLP2-18-1WH</v>
          </cell>
          <cell r="O2198"/>
          <cell r="T2198"/>
        </row>
        <row r="2199">
          <cell r="A2199" t="str">
            <v>ANDREW</v>
          </cell>
          <cell r="B2199" t="str">
            <v>VHLP2-18-2GR</v>
          </cell>
          <cell r="O2199"/>
          <cell r="T2199"/>
        </row>
        <row r="2200">
          <cell r="A2200" t="str">
            <v>ANDREW</v>
          </cell>
          <cell r="B2200" t="str">
            <v>VHLP2-18-2WH</v>
          </cell>
          <cell r="O2200"/>
          <cell r="T2200"/>
        </row>
        <row r="2201">
          <cell r="A2201" t="str">
            <v>ANDREW</v>
          </cell>
          <cell r="B2201" t="str">
            <v>VHLP2-18-3GR</v>
          </cell>
          <cell r="O2201"/>
          <cell r="T2201"/>
        </row>
        <row r="2202">
          <cell r="A2202" t="str">
            <v>ANDREW</v>
          </cell>
          <cell r="B2202" t="str">
            <v>VHLP2-18-3WH</v>
          </cell>
          <cell r="O2202"/>
          <cell r="T2202"/>
        </row>
        <row r="2203">
          <cell r="A2203" t="str">
            <v>ANDREW</v>
          </cell>
          <cell r="B2203" t="str">
            <v>VHLP2-18-CR1</v>
          </cell>
          <cell r="O2203"/>
          <cell r="T2203"/>
        </row>
        <row r="2204">
          <cell r="A2204" t="str">
            <v>ANDREW</v>
          </cell>
          <cell r="B2204" t="str">
            <v>VHLP2-18-RR1A</v>
          </cell>
          <cell r="O2204"/>
          <cell r="T2204"/>
        </row>
        <row r="2205">
          <cell r="A2205" t="str">
            <v>ANDREW</v>
          </cell>
          <cell r="B2205" t="str">
            <v>VHLP2-18/B</v>
          </cell>
          <cell r="O2205"/>
          <cell r="T2205"/>
        </row>
        <row r="2206">
          <cell r="A2206" t="str">
            <v>ANDREW</v>
          </cell>
          <cell r="B2206" t="str">
            <v>VHLP2-18/D_20250312</v>
          </cell>
          <cell r="O2206"/>
          <cell r="T2206"/>
        </row>
        <row r="2207">
          <cell r="A2207" t="str">
            <v>ANDREW</v>
          </cell>
          <cell r="B2207" t="str">
            <v>VHLP2-180</v>
          </cell>
          <cell r="O2207"/>
          <cell r="T2207"/>
        </row>
        <row r="2208">
          <cell r="A2208" t="str">
            <v>ANDREW</v>
          </cell>
          <cell r="B2208" t="str">
            <v>VHLP2-220</v>
          </cell>
          <cell r="O2208"/>
          <cell r="T2208"/>
        </row>
        <row r="2209">
          <cell r="A2209" t="str">
            <v>ANDREW</v>
          </cell>
          <cell r="B2209" t="str">
            <v>VHLP2-23</v>
          </cell>
          <cell r="O2209"/>
          <cell r="T2209"/>
        </row>
        <row r="2210">
          <cell r="A2210" t="str">
            <v>ANDREW</v>
          </cell>
          <cell r="B2210" t="str">
            <v>VHLP2-23-1GR</v>
          </cell>
          <cell r="O2210"/>
          <cell r="T2210"/>
        </row>
        <row r="2211">
          <cell r="A2211" t="str">
            <v>ANDREW</v>
          </cell>
          <cell r="B2211" t="str">
            <v>VHLP2-23-1WH</v>
          </cell>
          <cell r="O2211"/>
          <cell r="T2211"/>
        </row>
        <row r="2212">
          <cell r="A2212" t="str">
            <v>ANDREW</v>
          </cell>
          <cell r="B2212" t="str">
            <v>VHLP2-23-1WH/B</v>
          </cell>
          <cell r="O2212"/>
          <cell r="T2212"/>
        </row>
        <row r="2213">
          <cell r="A2213" t="str">
            <v>ANDREW</v>
          </cell>
          <cell r="B2213" t="str">
            <v>VHLP2-23-2GR</v>
          </cell>
          <cell r="O2213"/>
          <cell r="T2213"/>
        </row>
        <row r="2214">
          <cell r="A2214" t="str">
            <v>ANDREW</v>
          </cell>
          <cell r="B2214" t="str">
            <v>VHLP2-23-2GR/B</v>
          </cell>
          <cell r="O2214"/>
          <cell r="T2214"/>
        </row>
        <row r="2215">
          <cell r="A2215" t="str">
            <v>ANDREW</v>
          </cell>
          <cell r="B2215" t="str">
            <v>VHLP2-23-2WH</v>
          </cell>
          <cell r="O2215"/>
          <cell r="T2215"/>
        </row>
        <row r="2216">
          <cell r="A2216" t="str">
            <v>ANDREW</v>
          </cell>
          <cell r="B2216" t="str">
            <v>VHLP2-23-3GR</v>
          </cell>
          <cell r="O2216"/>
          <cell r="T2216"/>
        </row>
        <row r="2217">
          <cell r="A2217" t="str">
            <v>ANDREW</v>
          </cell>
          <cell r="B2217" t="str">
            <v>VHLP2-23-CR1</v>
          </cell>
          <cell r="O2217"/>
          <cell r="T2217"/>
        </row>
        <row r="2218">
          <cell r="A2218" t="str">
            <v>ANDREW</v>
          </cell>
          <cell r="B2218" t="str">
            <v>VHLP2-24</v>
          </cell>
          <cell r="O2218"/>
          <cell r="T2218"/>
        </row>
        <row r="2219">
          <cell r="A2219" t="str">
            <v>ANDREW</v>
          </cell>
          <cell r="B2219" t="str">
            <v>VHLP2-240</v>
          </cell>
          <cell r="O2219"/>
          <cell r="T2219"/>
        </row>
        <row r="2220">
          <cell r="A2220" t="str">
            <v>ANDREW</v>
          </cell>
          <cell r="B2220" t="str">
            <v>VHLP2-26</v>
          </cell>
          <cell r="O2220"/>
          <cell r="T2220"/>
        </row>
        <row r="2221">
          <cell r="A2221" t="str">
            <v>ANDREW</v>
          </cell>
          <cell r="B2221" t="str">
            <v>VHLP2-26-1GR</v>
          </cell>
          <cell r="O2221"/>
          <cell r="T2221"/>
        </row>
        <row r="2222">
          <cell r="A2222" t="str">
            <v>ANDREW</v>
          </cell>
          <cell r="B2222" t="str">
            <v>VHLP2-28</v>
          </cell>
          <cell r="O2222"/>
          <cell r="T2222"/>
        </row>
        <row r="2223">
          <cell r="A2223" t="str">
            <v>ANDREW</v>
          </cell>
          <cell r="B2223" t="str">
            <v>VHLP2-32</v>
          </cell>
          <cell r="O2223"/>
          <cell r="T2223"/>
        </row>
        <row r="2224">
          <cell r="A2224" t="str">
            <v>ANDREW</v>
          </cell>
          <cell r="B2224" t="str">
            <v>VHLP2-370</v>
          </cell>
          <cell r="O2224"/>
          <cell r="T2224"/>
        </row>
        <row r="2225">
          <cell r="A2225" t="str">
            <v>ANDREW</v>
          </cell>
          <cell r="B2225" t="str">
            <v>VHLP2-38</v>
          </cell>
          <cell r="O2225"/>
          <cell r="T2225"/>
        </row>
        <row r="2226">
          <cell r="A2226" t="str">
            <v>ANDREW</v>
          </cell>
          <cell r="B2226" t="str">
            <v>VHLP2-38-3WH</v>
          </cell>
          <cell r="O2226"/>
          <cell r="T2226"/>
        </row>
        <row r="2227">
          <cell r="A2227" t="str">
            <v>ANDREW</v>
          </cell>
          <cell r="B2227" t="str">
            <v>VHLP2-7W</v>
          </cell>
          <cell r="O2227"/>
          <cell r="T2227"/>
        </row>
        <row r="2228">
          <cell r="A2228" t="str">
            <v>ANDREW</v>
          </cell>
          <cell r="B2228" t="str">
            <v>VHLP2-7W-3GR</v>
          </cell>
          <cell r="O2228"/>
          <cell r="T2228"/>
        </row>
        <row r="2229">
          <cell r="A2229" t="str">
            <v>ANDREW</v>
          </cell>
          <cell r="B2229" t="str">
            <v>VHLP2-8023/B_20250312</v>
          </cell>
          <cell r="O2229"/>
          <cell r="T2229"/>
        </row>
        <row r="2230">
          <cell r="A2230" t="str">
            <v>ANDREW</v>
          </cell>
          <cell r="B2230" t="str">
            <v>VHLP2.5-10W</v>
          </cell>
          <cell r="O2230"/>
          <cell r="T2230"/>
        </row>
        <row r="2231">
          <cell r="A2231" t="str">
            <v>ANDREW</v>
          </cell>
          <cell r="B2231" t="str">
            <v>VHLP2.5-10W-2WH</v>
          </cell>
          <cell r="O2231"/>
          <cell r="T2231"/>
        </row>
        <row r="2232">
          <cell r="A2232" t="str">
            <v>ANDREW</v>
          </cell>
          <cell r="B2232" t="str">
            <v>VHLP2.5-10WH-2WH</v>
          </cell>
          <cell r="O2232"/>
          <cell r="T2232"/>
        </row>
        <row r="2233">
          <cell r="A2233" t="str">
            <v>ANDREW</v>
          </cell>
          <cell r="B2233" t="str">
            <v>VHLP2.5-11</v>
          </cell>
          <cell r="O2233"/>
          <cell r="T2233"/>
        </row>
        <row r="2234">
          <cell r="A2234" t="str">
            <v>ANDREW</v>
          </cell>
          <cell r="B2234" t="str">
            <v>VHLP2.5-11-2GR</v>
          </cell>
          <cell r="O2234"/>
          <cell r="T2234"/>
        </row>
        <row r="2235">
          <cell r="A2235" t="str">
            <v>ANDREW</v>
          </cell>
          <cell r="B2235" t="str">
            <v>VHLP2.5-11-2WH</v>
          </cell>
          <cell r="O2235"/>
          <cell r="T2235"/>
        </row>
        <row r="2236">
          <cell r="A2236" t="str">
            <v>ANDREW</v>
          </cell>
          <cell r="B2236" t="str">
            <v>VHLP2.5-11-3WH</v>
          </cell>
          <cell r="O2236"/>
          <cell r="T2236"/>
        </row>
        <row r="2237">
          <cell r="A2237" t="str">
            <v>ANDREW</v>
          </cell>
          <cell r="B2237" t="str">
            <v>VHLP2.5-11-6WH</v>
          </cell>
          <cell r="O2237"/>
          <cell r="T2237"/>
        </row>
        <row r="2238">
          <cell r="A2238" t="str">
            <v>ANDREW</v>
          </cell>
          <cell r="B2238" t="str">
            <v>VHLP2.5-13</v>
          </cell>
          <cell r="O2238"/>
          <cell r="T2238"/>
        </row>
        <row r="2239">
          <cell r="A2239" t="str">
            <v>ANDREW</v>
          </cell>
          <cell r="B2239" t="str">
            <v>VHLP2.5-142</v>
          </cell>
          <cell r="O2239"/>
          <cell r="T2239"/>
        </row>
        <row r="2240">
          <cell r="A2240" t="str">
            <v>ANDREW</v>
          </cell>
          <cell r="B2240" t="str">
            <v>VHLP2.5-15</v>
          </cell>
          <cell r="O2240"/>
          <cell r="T2240"/>
        </row>
        <row r="2241">
          <cell r="A2241" t="str">
            <v>ANDREW</v>
          </cell>
          <cell r="B2241" t="str">
            <v>VHLP2.5-18</v>
          </cell>
          <cell r="O2241"/>
          <cell r="T2241"/>
        </row>
        <row r="2242">
          <cell r="A2242" t="str">
            <v>ANDREW</v>
          </cell>
          <cell r="B2242" t="str">
            <v>VHLP2.5-18-1GR</v>
          </cell>
          <cell r="O2242"/>
          <cell r="T2242"/>
        </row>
        <row r="2243">
          <cell r="A2243" t="str">
            <v>ANDREW</v>
          </cell>
          <cell r="B2243" t="str">
            <v>VHLP2.5-18-1WH</v>
          </cell>
          <cell r="O2243"/>
          <cell r="T2243"/>
        </row>
        <row r="2244">
          <cell r="A2244" t="str">
            <v>ANDREW</v>
          </cell>
          <cell r="B2244" t="str">
            <v>VHLP2.5-18-CR1</v>
          </cell>
          <cell r="O2244"/>
          <cell r="T2244"/>
        </row>
        <row r="2245">
          <cell r="A2245" t="str">
            <v>ANDREW</v>
          </cell>
          <cell r="B2245" t="str">
            <v>VHLP2.5-180</v>
          </cell>
          <cell r="O2245"/>
          <cell r="T2245"/>
        </row>
        <row r="2246">
          <cell r="A2246" t="str">
            <v>ANDREW</v>
          </cell>
          <cell r="B2246" t="str">
            <v>VHLP2.5-23</v>
          </cell>
          <cell r="O2246"/>
          <cell r="T2246"/>
        </row>
        <row r="2247">
          <cell r="A2247" t="str">
            <v>ANDREW</v>
          </cell>
          <cell r="B2247" t="str">
            <v>VHLP2.5-26</v>
          </cell>
          <cell r="O2247"/>
          <cell r="T2247"/>
        </row>
        <row r="2248">
          <cell r="A2248" t="str">
            <v>ANDREW</v>
          </cell>
          <cell r="B2248" t="str">
            <v>VHLP2.5-7W</v>
          </cell>
          <cell r="O2248"/>
          <cell r="T2248"/>
        </row>
        <row r="2249">
          <cell r="A2249" t="str">
            <v>ANDREW</v>
          </cell>
          <cell r="B2249" t="str">
            <v>VHLP2.6</v>
          </cell>
          <cell r="O2249"/>
          <cell r="T2249"/>
        </row>
        <row r="2250">
          <cell r="A2250" t="str">
            <v>ANDREW</v>
          </cell>
          <cell r="B2250" t="str">
            <v>VHLP200-23-DW1</v>
          </cell>
          <cell r="O2250"/>
          <cell r="T2250"/>
        </row>
        <row r="2251">
          <cell r="A2251" t="str">
            <v>ANDREW</v>
          </cell>
          <cell r="B2251" t="str">
            <v>VHLP200-26</v>
          </cell>
          <cell r="O2251"/>
          <cell r="T2251"/>
        </row>
        <row r="2252">
          <cell r="A2252" t="str">
            <v>ANDREW</v>
          </cell>
          <cell r="B2252" t="str">
            <v>VHLP200-28</v>
          </cell>
          <cell r="O2252"/>
          <cell r="T2252"/>
        </row>
        <row r="2253">
          <cell r="A2253" t="str">
            <v>ANDREW</v>
          </cell>
          <cell r="B2253" t="str">
            <v>VHLP3-11W</v>
          </cell>
          <cell r="O2253"/>
          <cell r="T2253"/>
        </row>
        <row r="2254">
          <cell r="A2254" t="str">
            <v>ANDREW</v>
          </cell>
          <cell r="B2254" t="str">
            <v>VHLP3-11W-2GR</v>
          </cell>
          <cell r="O2254"/>
          <cell r="T2254"/>
        </row>
        <row r="2255">
          <cell r="A2255" t="str">
            <v>ANDREW</v>
          </cell>
          <cell r="B2255" t="str">
            <v>VHLP3-11W-2WH</v>
          </cell>
          <cell r="O2255"/>
          <cell r="T2255"/>
        </row>
        <row r="2256">
          <cell r="A2256" t="str">
            <v>ANDREW</v>
          </cell>
          <cell r="B2256" t="str">
            <v>VHLP3-11W-3WH</v>
          </cell>
          <cell r="O2256"/>
          <cell r="T2256"/>
        </row>
        <row r="2257">
          <cell r="A2257" t="str">
            <v>ANDREW</v>
          </cell>
          <cell r="B2257" t="str">
            <v>VHLP3-15</v>
          </cell>
          <cell r="O2257"/>
          <cell r="T2257"/>
        </row>
        <row r="2258">
          <cell r="A2258" t="str">
            <v>ANDREW</v>
          </cell>
          <cell r="B2258" t="str">
            <v>VHLP3-18</v>
          </cell>
          <cell r="O2258"/>
          <cell r="T2258"/>
        </row>
        <row r="2259">
          <cell r="A2259" t="str">
            <v>ANDREW</v>
          </cell>
          <cell r="B2259" t="str">
            <v>VHLP3-18-3GR</v>
          </cell>
          <cell r="O2259"/>
          <cell r="T2259"/>
        </row>
        <row r="2260">
          <cell r="A2260" t="str">
            <v>ANDREW</v>
          </cell>
          <cell r="B2260" t="str">
            <v>VHLP3-23-1GR</v>
          </cell>
          <cell r="O2260"/>
          <cell r="T2260"/>
        </row>
        <row r="2261">
          <cell r="A2261" t="str">
            <v>ANDREW</v>
          </cell>
          <cell r="B2261" t="str">
            <v>VHLP3-6W</v>
          </cell>
          <cell r="O2261"/>
          <cell r="T2261"/>
        </row>
        <row r="2262">
          <cell r="A2262" t="str">
            <v>ANDREW</v>
          </cell>
          <cell r="B2262" t="str">
            <v>VHLP4-10</v>
          </cell>
          <cell r="O2262"/>
          <cell r="T2262"/>
        </row>
        <row r="2263">
          <cell r="A2263" t="str">
            <v>ANDREW</v>
          </cell>
          <cell r="B2263" t="str">
            <v>VHLP4-105</v>
          </cell>
          <cell r="O2263"/>
          <cell r="T2263"/>
        </row>
        <row r="2264">
          <cell r="A2264" t="str">
            <v>ANDREW</v>
          </cell>
          <cell r="B2264" t="str">
            <v>VHLP4-107</v>
          </cell>
          <cell r="O2264"/>
          <cell r="T2264"/>
        </row>
        <row r="2265">
          <cell r="A2265" t="str">
            <v>ANDREW</v>
          </cell>
          <cell r="B2265" t="str">
            <v>VHLP4-10W-4WH</v>
          </cell>
          <cell r="O2265"/>
          <cell r="T2265"/>
        </row>
        <row r="2266">
          <cell r="A2266" t="str">
            <v>ANDREW</v>
          </cell>
          <cell r="B2266" t="str">
            <v>VHLP4-11</v>
          </cell>
          <cell r="O2266"/>
          <cell r="T2266"/>
        </row>
        <row r="2267">
          <cell r="A2267" t="str">
            <v>ANDREW</v>
          </cell>
          <cell r="B2267" t="str">
            <v>VHLP4-11-2GR</v>
          </cell>
          <cell r="O2267"/>
          <cell r="T2267"/>
        </row>
        <row r="2268">
          <cell r="A2268" t="str">
            <v>ANDREW</v>
          </cell>
          <cell r="B2268" t="str">
            <v>VHLP4-11-4WH/B</v>
          </cell>
          <cell r="O2268"/>
          <cell r="T2268"/>
        </row>
        <row r="2269">
          <cell r="A2269" t="str">
            <v>ANDREW</v>
          </cell>
          <cell r="B2269" t="str">
            <v>VHLP4-11-6GR/B</v>
          </cell>
          <cell r="O2269"/>
          <cell r="T2269"/>
        </row>
        <row r="2270">
          <cell r="A2270" t="str">
            <v>ANDREW</v>
          </cell>
          <cell r="B2270" t="str">
            <v>VHLP4-11-6WH</v>
          </cell>
          <cell r="O2270"/>
          <cell r="T2270"/>
        </row>
        <row r="2271">
          <cell r="A2271" t="str">
            <v>ANDREW</v>
          </cell>
          <cell r="B2271" t="str">
            <v>VHLP4-11/B</v>
          </cell>
          <cell r="O2271"/>
          <cell r="T2271"/>
        </row>
        <row r="2272">
          <cell r="A2272" t="str">
            <v>ANDREW</v>
          </cell>
          <cell r="B2272" t="str">
            <v>VHLP4-11W</v>
          </cell>
          <cell r="O2272"/>
          <cell r="T2272"/>
        </row>
        <row r="2273">
          <cell r="A2273" t="str">
            <v>ANDREW</v>
          </cell>
          <cell r="B2273" t="str">
            <v>VHLP4-11W-2GR</v>
          </cell>
          <cell r="O2273"/>
          <cell r="T2273"/>
        </row>
        <row r="2274">
          <cell r="A2274" t="str">
            <v>ANDREW</v>
          </cell>
          <cell r="B2274" t="str">
            <v>VHLP4-11W-2WH</v>
          </cell>
          <cell r="O2274"/>
          <cell r="T2274"/>
        </row>
        <row r="2275">
          <cell r="A2275" t="str">
            <v>ANDREW</v>
          </cell>
          <cell r="B2275" t="str">
            <v>VHLP4-11W-4WH</v>
          </cell>
          <cell r="O2275"/>
          <cell r="T2275"/>
        </row>
        <row r="2276">
          <cell r="A2276" t="str">
            <v>ANDREW</v>
          </cell>
          <cell r="B2276" t="str">
            <v>VHLP4-11W-6GR</v>
          </cell>
          <cell r="O2276"/>
          <cell r="T2276"/>
        </row>
        <row r="2277">
          <cell r="A2277" t="str">
            <v>ANDREW</v>
          </cell>
          <cell r="B2277" t="str">
            <v>VHLP4-11W-6WH</v>
          </cell>
          <cell r="O2277"/>
          <cell r="T2277"/>
        </row>
        <row r="2278">
          <cell r="A2278" t="str">
            <v>ANDREW</v>
          </cell>
          <cell r="B2278" t="str">
            <v>VHLP4-15-1GR</v>
          </cell>
          <cell r="O2278"/>
          <cell r="T2278"/>
        </row>
        <row r="2279">
          <cell r="A2279" t="str">
            <v>ANDREW</v>
          </cell>
          <cell r="B2279" t="str">
            <v>VHLP4-18</v>
          </cell>
          <cell r="O2279"/>
          <cell r="T2279"/>
        </row>
        <row r="2280">
          <cell r="A2280" t="str">
            <v>ANDREW</v>
          </cell>
          <cell r="B2280" t="str">
            <v>VHLP4-18-1GR</v>
          </cell>
          <cell r="O2280"/>
          <cell r="T2280"/>
        </row>
        <row r="2281">
          <cell r="A2281" t="str">
            <v>ANDREW</v>
          </cell>
          <cell r="B2281" t="str">
            <v>VHLP4-18/A</v>
          </cell>
          <cell r="O2281"/>
          <cell r="T2281"/>
        </row>
        <row r="2282">
          <cell r="A2282" t="str">
            <v>ANDREW</v>
          </cell>
          <cell r="B2282" t="str">
            <v>VHLP4-180</v>
          </cell>
          <cell r="O2282"/>
          <cell r="T2282"/>
        </row>
        <row r="2283">
          <cell r="A2283" t="str">
            <v>ANDREW</v>
          </cell>
          <cell r="B2283" t="str">
            <v>VHLP4-23</v>
          </cell>
          <cell r="O2283"/>
          <cell r="T2283"/>
        </row>
        <row r="2284">
          <cell r="A2284" t="str">
            <v>ANDREW</v>
          </cell>
          <cell r="B2284" t="str">
            <v>VHLP4-6W</v>
          </cell>
          <cell r="O2284"/>
          <cell r="T2284"/>
        </row>
        <row r="2285">
          <cell r="A2285" t="str">
            <v>ANDREW</v>
          </cell>
          <cell r="B2285" t="str">
            <v>VHLP4-6W-6GR/A</v>
          </cell>
          <cell r="O2285"/>
          <cell r="T2285"/>
        </row>
        <row r="2286">
          <cell r="A2286" t="str">
            <v>ANDREW</v>
          </cell>
          <cell r="B2286" t="str">
            <v>VHLP6-10W-6WH</v>
          </cell>
          <cell r="O2286"/>
          <cell r="T2286"/>
        </row>
        <row r="2287">
          <cell r="A2287" t="str">
            <v>ANDREW</v>
          </cell>
          <cell r="B2287" t="str">
            <v>VHLP6-11</v>
          </cell>
          <cell r="O2287"/>
          <cell r="T2287"/>
        </row>
        <row r="2288">
          <cell r="A2288" t="str">
            <v>ANDREW</v>
          </cell>
          <cell r="B2288" t="str">
            <v>VHLP6-11-2GR</v>
          </cell>
          <cell r="O2288"/>
          <cell r="T2288"/>
        </row>
        <row r="2289">
          <cell r="A2289" t="str">
            <v>ANDREW</v>
          </cell>
          <cell r="B2289" t="str">
            <v>VHLP6-11-2GR/A</v>
          </cell>
          <cell r="O2289"/>
          <cell r="T2289"/>
        </row>
        <row r="2290">
          <cell r="A2290" t="str">
            <v>ANDREW</v>
          </cell>
          <cell r="B2290" t="str">
            <v>VHLP6-11-2WH</v>
          </cell>
          <cell r="O2290"/>
          <cell r="T2290"/>
        </row>
        <row r="2291">
          <cell r="A2291" t="str">
            <v>ANDREW</v>
          </cell>
          <cell r="B2291" t="str">
            <v>VHLP6-11-4GR</v>
          </cell>
          <cell r="O2291"/>
          <cell r="T2291"/>
        </row>
        <row r="2292">
          <cell r="A2292" t="str">
            <v>ANDREW</v>
          </cell>
          <cell r="B2292" t="str">
            <v>VHLP6-11-4WH</v>
          </cell>
          <cell r="O2292"/>
          <cell r="T2292"/>
        </row>
        <row r="2293">
          <cell r="A2293" t="str">
            <v>ANDREW</v>
          </cell>
          <cell r="B2293" t="str">
            <v>VHLP6-11-6GR</v>
          </cell>
          <cell r="O2293"/>
          <cell r="T2293"/>
        </row>
        <row r="2294">
          <cell r="A2294" t="str">
            <v>ANDREW</v>
          </cell>
          <cell r="B2294" t="str">
            <v>VHLP6-11-6WH</v>
          </cell>
          <cell r="O2294"/>
          <cell r="T2294"/>
        </row>
        <row r="2295">
          <cell r="A2295" t="str">
            <v>ANDREW</v>
          </cell>
          <cell r="B2295" t="str">
            <v>VHLP6-11/A</v>
          </cell>
          <cell r="O2295"/>
          <cell r="T2295"/>
        </row>
        <row r="2296">
          <cell r="A2296" t="str">
            <v>ANDREW</v>
          </cell>
          <cell r="B2296" t="str">
            <v>VHLP6-18-1GR</v>
          </cell>
          <cell r="O2296"/>
          <cell r="T2296"/>
        </row>
        <row r="2297">
          <cell r="A2297" t="str">
            <v>ANDREW</v>
          </cell>
          <cell r="B2297" t="str">
            <v>VHLP6-18-1GR/A</v>
          </cell>
          <cell r="O2297"/>
          <cell r="T2297"/>
        </row>
        <row r="2298">
          <cell r="A2298" t="str">
            <v>ANDREW</v>
          </cell>
          <cell r="B2298" t="str">
            <v>VHLP6-6W</v>
          </cell>
          <cell r="O2298"/>
          <cell r="T2298"/>
        </row>
        <row r="2299">
          <cell r="A2299" t="str">
            <v>ANDREW</v>
          </cell>
          <cell r="B2299" t="str">
            <v>VHLP6-6W-4WH/A</v>
          </cell>
          <cell r="O2299"/>
          <cell r="T2299"/>
        </row>
        <row r="2300">
          <cell r="A2300" t="str">
            <v>ANDREW</v>
          </cell>
          <cell r="B2300" t="str">
            <v>VHLP6-6W-6GR/A</v>
          </cell>
          <cell r="O2300"/>
          <cell r="T2300"/>
        </row>
        <row r="2301">
          <cell r="A2301" t="str">
            <v>ANDREW</v>
          </cell>
          <cell r="B2301" t="str">
            <v>VHLP6-6W-6WH/A</v>
          </cell>
          <cell r="O2301"/>
          <cell r="T2301"/>
        </row>
        <row r="2302">
          <cell r="A2302" t="str">
            <v>ANDREW</v>
          </cell>
          <cell r="B2302" t="str">
            <v>VHLP6-6W/A</v>
          </cell>
          <cell r="O2302"/>
          <cell r="T2302"/>
        </row>
        <row r="2303">
          <cell r="A2303" t="str">
            <v>ANDREW</v>
          </cell>
          <cell r="B2303" t="str">
            <v>VHLP800-11</v>
          </cell>
          <cell r="O2303"/>
          <cell r="T2303"/>
        </row>
        <row r="2304">
          <cell r="A2304" t="str">
            <v>ANDREW</v>
          </cell>
          <cell r="B2304" t="str">
            <v>VHLP800-11-2GR</v>
          </cell>
          <cell r="O2304"/>
          <cell r="T2304"/>
        </row>
        <row r="2305">
          <cell r="A2305" t="str">
            <v>ANDREW</v>
          </cell>
          <cell r="B2305" t="str">
            <v>VHLP800-11-2WH</v>
          </cell>
          <cell r="O2305"/>
          <cell r="T2305"/>
        </row>
        <row r="2306">
          <cell r="A2306" t="str">
            <v>ANDREW</v>
          </cell>
          <cell r="B2306" t="str">
            <v>VHLP800-11-6WH</v>
          </cell>
          <cell r="O2306"/>
          <cell r="T2306"/>
        </row>
        <row r="2307">
          <cell r="A2307" t="str">
            <v>ANDREW</v>
          </cell>
          <cell r="B2307" t="str">
            <v>VHLP800-11-CR1</v>
          </cell>
          <cell r="O2307"/>
          <cell r="T2307"/>
        </row>
        <row r="2308">
          <cell r="A2308" t="str">
            <v>ANDREW</v>
          </cell>
          <cell r="B2308" t="str">
            <v>VHLPX1-13</v>
          </cell>
          <cell r="O2308"/>
          <cell r="T2308"/>
        </row>
        <row r="2309">
          <cell r="A2309" t="str">
            <v>ANDREW</v>
          </cell>
          <cell r="B2309" t="str">
            <v>VHLPX1-15</v>
          </cell>
          <cell r="O2309"/>
          <cell r="T2309"/>
        </row>
        <row r="2310">
          <cell r="A2310" t="str">
            <v>ANDREW</v>
          </cell>
          <cell r="B2310" t="str">
            <v>VHLPX1-18</v>
          </cell>
          <cell r="O2310"/>
          <cell r="T2310"/>
        </row>
        <row r="2311">
          <cell r="A2311" t="str">
            <v>ANDREW</v>
          </cell>
          <cell r="B2311" t="str">
            <v>VHLPX1-23</v>
          </cell>
          <cell r="O2311"/>
          <cell r="T2311"/>
        </row>
        <row r="2312">
          <cell r="A2312" t="str">
            <v>ANDREW</v>
          </cell>
          <cell r="B2312" t="str">
            <v>VHLPX1-23-3WH</v>
          </cell>
          <cell r="O2312"/>
          <cell r="T2312"/>
        </row>
        <row r="2313">
          <cell r="A2313" t="str">
            <v>ANDREW</v>
          </cell>
          <cell r="B2313" t="str">
            <v>VHLPX1-26</v>
          </cell>
          <cell r="O2313"/>
          <cell r="T2313"/>
        </row>
        <row r="2314">
          <cell r="A2314" t="str">
            <v>ANDREW</v>
          </cell>
          <cell r="B2314" t="str">
            <v>VHLPX1-28</v>
          </cell>
          <cell r="O2314"/>
          <cell r="T2314"/>
        </row>
        <row r="2315">
          <cell r="A2315" t="str">
            <v>ANDREW</v>
          </cell>
          <cell r="B2315" t="str">
            <v>VHLPX1-32</v>
          </cell>
          <cell r="O2315"/>
          <cell r="T2315"/>
        </row>
        <row r="2316">
          <cell r="A2316" t="str">
            <v>ANDREW</v>
          </cell>
          <cell r="B2316" t="str">
            <v>VHLPX1-38</v>
          </cell>
          <cell r="O2316"/>
          <cell r="T2316"/>
        </row>
        <row r="2317">
          <cell r="A2317" t="str">
            <v>ANDREW</v>
          </cell>
          <cell r="B2317" t="str">
            <v>VHLPX2-10W-6GR</v>
          </cell>
          <cell r="O2317"/>
          <cell r="T2317"/>
        </row>
        <row r="2318">
          <cell r="A2318" t="str">
            <v>ANDREW</v>
          </cell>
          <cell r="B2318" t="str">
            <v>VHLPX2-11</v>
          </cell>
          <cell r="O2318"/>
          <cell r="T2318"/>
        </row>
        <row r="2319">
          <cell r="A2319" t="str">
            <v>ANDREW</v>
          </cell>
          <cell r="B2319" t="str">
            <v>VHLPX2-11-6WH</v>
          </cell>
          <cell r="O2319"/>
          <cell r="T2319"/>
        </row>
        <row r="2320">
          <cell r="A2320" t="str">
            <v>ANDREW</v>
          </cell>
          <cell r="B2320" t="str">
            <v>VHLPX2-11W-2WH</v>
          </cell>
          <cell r="O2320"/>
          <cell r="T2320"/>
        </row>
        <row r="2321">
          <cell r="A2321" t="str">
            <v>ANDREW</v>
          </cell>
          <cell r="B2321" t="str">
            <v>VHLPX2-11W-6GR</v>
          </cell>
          <cell r="O2321"/>
          <cell r="T2321"/>
        </row>
        <row r="2322">
          <cell r="A2322" t="str">
            <v>ANDREW</v>
          </cell>
          <cell r="B2322" t="str">
            <v>VHLPX2-11W-6WH</v>
          </cell>
          <cell r="O2322"/>
          <cell r="T2322"/>
        </row>
        <row r="2323">
          <cell r="A2323" t="str">
            <v>ANDREW</v>
          </cell>
          <cell r="B2323" t="str">
            <v>VHLPX2-18</v>
          </cell>
          <cell r="O2323"/>
          <cell r="T2323"/>
        </row>
        <row r="2324">
          <cell r="A2324" t="str">
            <v>ANDREW</v>
          </cell>
          <cell r="B2324" t="str">
            <v>VHLPX2-18-1GR</v>
          </cell>
          <cell r="O2324"/>
          <cell r="T2324"/>
        </row>
        <row r="2325">
          <cell r="A2325" t="str">
            <v>ANDREW</v>
          </cell>
          <cell r="B2325" t="str">
            <v>VHLPX2-18-1WH</v>
          </cell>
          <cell r="O2325"/>
          <cell r="T2325"/>
        </row>
        <row r="2326">
          <cell r="A2326" t="str">
            <v>ANDREW</v>
          </cell>
          <cell r="B2326" t="str">
            <v>VHLPX2-18-2GR/B</v>
          </cell>
          <cell r="O2326"/>
          <cell r="T2326"/>
        </row>
        <row r="2327">
          <cell r="A2327" t="str">
            <v>ANDREW</v>
          </cell>
          <cell r="B2327" t="str">
            <v>VHLPX2-18-2WH</v>
          </cell>
          <cell r="O2327"/>
          <cell r="T2327"/>
        </row>
        <row r="2328">
          <cell r="A2328" t="str">
            <v>ANDREW</v>
          </cell>
          <cell r="B2328" t="str">
            <v>VHLPX2-18/B</v>
          </cell>
          <cell r="O2328"/>
          <cell r="T2328"/>
        </row>
        <row r="2329">
          <cell r="A2329" t="str">
            <v>ANDREW</v>
          </cell>
          <cell r="B2329" t="str">
            <v>VHLPX2-23</v>
          </cell>
          <cell r="O2329"/>
          <cell r="T2329"/>
        </row>
        <row r="2330">
          <cell r="A2330" t="str">
            <v>ANDREW</v>
          </cell>
          <cell r="B2330" t="str">
            <v>VHLPX2-23-1GR</v>
          </cell>
          <cell r="O2330"/>
          <cell r="T2330"/>
        </row>
        <row r="2331">
          <cell r="A2331" t="str">
            <v>ANDREW</v>
          </cell>
          <cell r="B2331" t="str">
            <v>VHLPX2-23-2WH/B</v>
          </cell>
          <cell r="O2331"/>
          <cell r="T2331"/>
        </row>
        <row r="2332">
          <cell r="A2332" t="str">
            <v>ANDREW</v>
          </cell>
          <cell r="B2332" t="str">
            <v>VHLPX2.5-10W</v>
          </cell>
          <cell r="O2332"/>
          <cell r="T2332"/>
        </row>
        <row r="2333">
          <cell r="A2333" t="str">
            <v>ANDREW</v>
          </cell>
          <cell r="B2333" t="str">
            <v>VHLPX2.5-11</v>
          </cell>
          <cell r="O2333"/>
          <cell r="T2333"/>
        </row>
        <row r="2334">
          <cell r="A2334" t="str">
            <v>ANDREW</v>
          </cell>
          <cell r="B2334" t="str">
            <v>VHLPX2.5-11-2WH</v>
          </cell>
          <cell r="O2334"/>
          <cell r="T2334"/>
        </row>
        <row r="2335">
          <cell r="A2335" t="str">
            <v>ANDREW</v>
          </cell>
          <cell r="B2335" t="str">
            <v>VHLPX2.5-13</v>
          </cell>
          <cell r="O2335"/>
          <cell r="T2335"/>
        </row>
        <row r="2336">
          <cell r="A2336" t="str">
            <v>ANDREW</v>
          </cell>
          <cell r="B2336" t="str">
            <v>VHLPX2.5-15</v>
          </cell>
          <cell r="O2336"/>
          <cell r="T2336"/>
        </row>
        <row r="2337">
          <cell r="A2337" t="str">
            <v>ANDREW</v>
          </cell>
          <cell r="B2337" t="str">
            <v>VHLPX2.5-18</v>
          </cell>
          <cell r="O2337"/>
          <cell r="T2337"/>
        </row>
        <row r="2338">
          <cell r="A2338" t="str">
            <v>ANDREW</v>
          </cell>
          <cell r="B2338" t="str">
            <v>VHLPX2.5-23</v>
          </cell>
          <cell r="O2338"/>
          <cell r="T2338"/>
        </row>
        <row r="2339">
          <cell r="A2339" t="str">
            <v>ANDREW</v>
          </cell>
          <cell r="B2339" t="str">
            <v>VHLPX2.5-26</v>
          </cell>
          <cell r="O2339"/>
          <cell r="T2339"/>
        </row>
        <row r="2340">
          <cell r="A2340" t="str">
            <v>ANDREW</v>
          </cell>
          <cell r="B2340" t="str">
            <v>VHLPX2.5-7W</v>
          </cell>
          <cell r="O2340"/>
          <cell r="T2340"/>
        </row>
        <row r="2341">
          <cell r="A2341" t="str">
            <v>ANDREW</v>
          </cell>
          <cell r="B2341" t="str">
            <v>VHLPX2.6-107</v>
          </cell>
          <cell r="O2341"/>
          <cell r="T2341"/>
        </row>
        <row r="2342">
          <cell r="A2342" t="str">
            <v>ANDREW</v>
          </cell>
          <cell r="B2342" t="str">
            <v>VHLPX3-11W</v>
          </cell>
          <cell r="O2342"/>
          <cell r="T2342"/>
        </row>
        <row r="2343">
          <cell r="A2343" t="str">
            <v>ANDREW</v>
          </cell>
          <cell r="B2343" t="str">
            <v>VHLPX3-11W-4GR</v>
          </cell>
          <cell r="O2343"/>
          <cell r="T2343"/>
        </row>
        <row r="2344">
          <cell r="A2344" t="str">
            <v>ANDREW</v>
          </cell>
          <cell r="B2344" t="str">
            <v>VHLPX3-18</v>
          </cell>
          <cell r="O2344"/>
          <cell r="T2344"/>
        </row>
        <row r="2345">
          <cell r="A2345" t="str">
            <v>ANDREW</v>
          </cell>
          <cell r="B2345" t="str">
            <v>VHLPX3-18-1GR</v>
          </cell>
          <cell r="O2345"/>
          <cell r="T2345"/>
        </row>
        <row r="2346">
          <cell r="A2346" t="str">
            <v>ANDREW</v>
          </cell>
          <cell r="B2346" t="str">
            <v>VHLPX3-18-2GR/B</v>
          </cell>
          <cell r="O2346"/>
          <cell r="T2346"/>
        </row>
        <row r="2347">
          <cell r="A2347" t="str">
            <v>ANDREW</v>
          </cell>
          <cell r="B2347" t="str">
            <v>VHLPX3-18-2WH</v>
          </cell>
          <cell r="O2347"/>
          <cell r="T2347"/>
        </row>
        <row r="2348">
          <cell r="A2348" t="str">
            <v>ANDREW</v>
          </cell>
          <cell r="B2348" t="str">
            <v>VHLPX3-23</v>
          </cell>
          <cell r="O2348"/>
          <cell r="T2348"/>
        </row>
        <row r="2349">
          <cell r="A2349" t="str">
            <v>ANDREW</v>
          </cell>
          <cell r="B2349" t="str">
            <v>VHLPX4-107 (TR)</v>
          </cell>
          <cell r="O2349"/>
          <cell r="T2349"/>
        </row>
        <row r="2350">
          <cell r="A2350" t="str">
            <v>ANDREW</v>
          </cell>
          <cell r="B2350" t="str">
            <v>VHLPX4-10W</v>
          </cell>
          <cell r="O2350"/>
          <cell r="T2350"/>
        </row>
        <row r="2351">
          <cell r="A2351" t="str">
            <v>ANDREW</v>
          </cell>
          <cell r="B2351" t="str">
            <v>VHLPX4-11</v>
          </cell>
          <cell r="O2351"/>
          <cell r="T2351"/>
        </row>
        <row r="2352">
          <cell r="A2352" t="str">
            <v>ANDREW</v>
          </cell>
          <cell r="B2352" t="str">
            <v>VHLPX4-11-2WH</v>
          </cell>
          <cell r="O2352"/>
          <cell r="T2352"/>
        </row>
        <row r="2353">
          <cell r="A2353" t="str">
            <v>ANDREW</v>
          </cell>
          <cell r="B2353" t="str">
            <v>VHLPX4-11-4GR/B</v>
          </cell>
          <cell r="O2353"/>
          <cell r="T2353"/>
        </row>
        <row r="2354">
          <cell r="A2354" t="str">
            <v>ANDREW</v>
          </cell>
          <cell r="B2354" t="str">
            <v>VHLPX4-11-6GR</v>
          </cell>
          <cell r="O2354"/>
          <cell r="T2354"/>
        </row>
        <row r="2355">
          <cell r="A2355" t="str">
            <v>ANDREW</v>
          </cell>
          <cell r="B2355" t="str">
            <v>VHLPX4-11-6GR/B</v>
          </cell>
          <cell r="O2355"/>
          <cell r="T2355"/>
        </row>
        <row r="2356">
          <cell r="A2356" t="str">
            <v>ANDREW</v>
          </cell>
          <cell r="B2356" t="str">
            <v>VHLPX4-11W</v>
          </cell>
          <cell r="O2356"/>
          <cell r="T2356"/>
        </row>
        <row r="2357">
          <cell r="A2357" t="str">
            <v>ANDREW</v>
          </cell>
          <cell r="B2357" t="str">
            <v>VHLPX4-11W-2WH/A_20250312</v>
          </cell>
          <cell r="O2357"/>
          <cell r="T2357"/>
        </row>
        <row r="2358">
          <cell r="A2358" t="str">
            <v>ANDREW</v>
          </cell>
          <cell r="B2358" t="str">
            <v>VHLPX4-11W-3WH</v>
          </cell>
          <cell r="O2358"/>
          <cell r="T2358"/>
        </row>
        <row r="2359">
          <cell r="A2359" t="str">
            <v>ANDREW</v>
          </cell>
          <cell r="B2359" t="str">
            <v>VHLPX4-11W-4GR</v>
          </cell>
          <cell r="O2359"/>
          <cell r="T2359"/>
        </row>
        <row r="2360">
          <cell r="A2360" t="str">
            <v>ANDREW</v>
          </cell>
          <cell r="B2360" t="str">
            <v>VHLPX4-11W-4WH</v>
          </cell>
          <cell r="O2360"/>
          <cell r="T2360"/>
        </row>
        <row r="2361">
          <cell r="A2361" t="str">
            <v>ANDREW</v>
          </cell>
          <cell r="B2361" t="str">
            <v>VHLPX4-11W-6GR</v>
          </cell>
          <cell r="O2361"/>
          <cell r="T2361"/>
        </row>
        <row r="2362">
          <cell r="A2362" t="str">
            <v>ANDREW</v>
          </cell>
          <cell r="B2362" t="str">
            <v>VHLPX4-13</v>
          </cell>
          <cell r="O2362"/>
          <cell r="T2362"/>
        </row>
        <row r="2363">
          <cell r="A2363" t="str">
            <v>ANDREW</v>
          </cell>
          <cell r="B2363" t="str">
            <v>VHLPX4-15-1GR/A</v>
          </cell>
          <cell r="O2363"/>
          <cell r="T2363"/>
        </row>
        <row r="2364">
          <cell r="A2364" t="str">
            <v>ANDREW</v>
          </cell>
          <cell r="B2364" t="str">
            <v>VHLPX4-18</v>
          </cell>
          <cell r="O2364"/>
          <cell r="T2364"/>
        </row>
        <row r="2365">
          <cell r="A2365" t="str">
            <v>ANDREW</v>
          </cell>
          <cell r="B2365" t="str">
            <v>VHLPX4-18-2WH</v>
          </cell>
          <cell r="O2365"/>
          <cell r="T2365"/>
        </row>
        <row r="2366">
          <cell r="A2366" t="str">
            <v>ANDREW</v>
          </cell>
          <cell r="B2366" t="str">
            <v>VHLPX4-23</v>
          </cell>
          <cell r="O2366"/>
          <cell r="T2366"/>
        </row>
        <row r="2367">
          <cell r="A2367" t="str">
            <v>ANDREW</v>
          </cell>
          <cell r="B2367" t="str">
            <v>VHLPX4-26</v>
          </cell>
          <cell r="O2367"/>
          <cell r="T2367"/>
        </row>
        <row r="2368">
          <cell r="A2368" t="str">
            <v>ANDREW</v>
          </cell>
          <cell r="B2368" t="str">
            <v>VHLPX4-6W</v>
          </cell>
          <cell r="O2368"/>
          <cell r="T2368"/>
        </row>
        <row r="2369">
          <cell r="A2369" t="str">
            <v>ANDREW</v>
          </cell>
          <cell r="B2369" t="str">
            <v>VHLPX4-7W</v>
          </cell>
          <cell r="O2369"/>
          <cell r="T2369"/>
        </row>
        <row r="2370">
          <cell r="A2370" t="str">
            <v>ANDREW</v>
          </cell>
          <cell r="B2370" t="str">
            <v>VHLPX6-11</v>
          </cell>
          <cell r="O2370"/>
          <cell r="T2370"/>
        </row>
        <row r="2371">
          <cell r="A2371" t="str">
            <v>ANDREW</v>
          </cell>
          <cell r="B2371" t="str">
            <v>VHLPX6-11-4GR</v>
          </cell>
          <cell r="O2371"/>
          <cell r="T2371"/>
        </row>
        <row r="2372">
          <cell r="A2372" t="str">
            <v>ANDREW</v>
          </cell>
          <cell r="B2372" t="str">
            <v>VHLPX6-11-4GR/A</v>
          </cell>
          <cell r="O2372"/>
          <cell r="T2372"/>
        </row>
        <row r="2373">
          <cell r="A2373" t="str">
            <v>ANDREW</v>
          </cell>
          <cell r="B2373" t="str">
            <v>VHLPX6-11-6WH/A</v>
          </cell>
          <cell r="O2373"/>
          <cell r="T2373"/>
        </row>
        <row r="2374">
          <cell r="A2374" t="str">
            <v>ANDREW</v>
          </cell>
          <cell r="B2374" t="str">
            <v>VHLPX6-11/A</v>
          </cell>
          <cell r="O2374"/>
          <cell r="T2374"/>
        </row>
        <row r="2375">
          <cell r="A2375" t="str">
            <v>ANDREW</v>
          </cell>
          <cell r="B2375" t="str">
            <v>VHLPX6-18-2WH/A</v>
          </cell>
          <cell r="O2375"/>
          <cell r="T2375"/>
        </row>
        <row r="2376">
          <cell r="A2376" t="str">
            <v>ANDREW</v>
          </cell>
          <cell r="B2376" t="str">
            <v>VHLPX6-18/A</v>
          </cell>
          <cell r="O2376"/>
          <cell r="T2376"/>
        </row>
        <row r="2377">
          <cell r="A2377" t="str">
            <v>ANDREW</v>
          </cell>
          <cell r="B2377" t="str">
            <v>VHLPX6-23-1GR/A</v>
          </cell>
          <cell r="O2377"/>
          <cell r="T2377"/>
        </row>
        <row r="2378">
          <cell r="A2378" t="str">
            <v>ANDREW</v>
          </cell>
          <cell r="B2378" t="str">
            <v>VHLPX6-6W</v>
          </cell>
          <cell r="O2378"/>
          <cell r="T2378"/>
        </row>
        <row r="2379">
          <cell r="A2379" t="str">
            <v>ANDREW</v>
          </cell>
          <cell r="B2379" t="str">
            <v>VHLPX6-6W-6WH/A</v>
          </cell>
          <cell r="O2379"/>
          <cell r="T2379"/>
        </row>
        <row r="2380">
          <cell r="A2380" t="str">
            <v>ANDREW</v>
          </cell>
          <cell r="B2380" t="str">
            <v>VHLPX800-11</v>
          </cell>
          <cell r="O2380"/>
          <cell r="T2380"/>
        </row>
        <row r="2381">
          <cell r="A2381" t="str">
            <v>ANDREW</v>
          </cell>
          <cell r="B2381" t="str">
            <v>VHLPX800-11-2GR</v>
          </cell>
          <cell r="O2381"/>
          <cell r="T2381"/>
        </row>
        <row r="2382">
          <cell r="A2382" t="str">
            <v>ANDREW</v>
          </cell>
          <cell r="B2382" t="str">
            <v>VHLPX800-11-2WH</v>
          </cell>
          <cell r="O2382"/>
          <cell r="T2382"/>
        </row>
        <row r="2383">
          <cell r="A2383" t="str">
            <v>ANDREW</v>
          </cell>
          <cell r="B2383" t="str">
            <v>VHLPX800-11-4GR</v>
          </cell>
          <cell r="O2383"/>
          <cell r="T2383"/>
        </row>
        <row r="2384">
          <cell r="A2384" t="str">
            <v>ANDREW</v>
          </cell>
          <cell r="B2384" t="str">
            <v>VHLPX800-11-4WH</v>
          </cell>
          <cell r="O2384"/>
          <cell r="T2384"/>
        </row>
        <row r="2385">
          <cell r="A2385" t="str">
            <v>ANDREW</v>
          </cell>
          <cell r="B2385" t="str">
            <v>VHLPX800-11-6GR</v>
          </cell>
          <cell r="O2385"/>
          <cell r="T2385"/>
        </row>
        <row r="2386">
          <cell r="A2386" t="str">
            <v>ANDREW</v>
          </cell>
          <cell r="B2386" t="str">
            <v>VHP1-180</v>
          </cell>
          <cell r="O2386"/>
          <cell r="T2386"/>
        </row>
        <row r="2387">
          <cell r="A2387" t="str">
            <v>ANDREW</v>
          </cell>
          <cell r="B2387" t="str">
            <v>VHP1-370A</v>
          </cell>
          <cell r="O2387"/>
          <cell r="T2387"/>
        </row>
        <row r="2388">
          <cell r="A2388" t="str">
            <v>ANDREW</v>
          </cell>
          <cell r="B2388" t="str">
            <v>VHP2-105</v>
          </cell>
          <cell r="O2388"/>
          <cell r="T2388"/>
        </row>
        <row r="2389">
          <cell r="A2389" t="str">
            <v>ANDREW</v>
          </cell>
          <cell r="B2389" t="str">
            <v>VHP2-107 (TR)</v>
          </cell>
          <cell r="O2389"/>
          <cell r="T2389"/>
        </row>
        <row r="2390">
          <cell r="A2390" t="str">
            <v>ANDREW</v>
          </cell>
          <cell r="B2390" t="str">
            <v>VHP2-142</v>
          </cell>
          <cell r="O2390"/>
          <cell r="T2390"/>
        </row>
        <row r="2391">
          <cell r="A2391" t="str">
            <v>ANDREW</v>
          </cell>
          <cell r="B2391" t="str">
            <v>VHP2-180A</v>
          </cell>
          <cell r="O2391"/>
          <cell r="T2391"/>
        </row>
        <row r="2392">
          <cell r="A2392" t="str">
            <v>ANDREW</v>
          </cell>
          <cell r="B2392" t="str">
            <v>VHP2-180B</v>
          </cell>
          <cell r="O2392"/>
          <cell r="T2392"/>
        </row>
        <row r="2393">
          <cell r="A2393" t="str">
            <v>ANDREW</v>
          </cell>
          <cell r="B2393" t="str">
            <v>VHP2-275</v>
          </cell>
          <cell r="O2393"/>
          <cell r="T2393"/>
        </row>
        <row r="2394">
          <cell r="A2394" t="str">
            <v>ANDREW</v>
          </cell>
          <cell r="B2394" t="str">
            <v>VHP2-370A</v>
          </cell>
          <cell r="O2394"/>
          <cell r="T2394"/>
        </row>
        <row r="2395">
          <cell r="A2395" t="str">
            <v>ANDREW</v>
          </cell>
          <cell r="B2395" t="str">
            <v>VHP4-102</v>
          </cell>
          <cell r="O2395"/>
          <cell r="T2395"/>
        </row>
        <row r="2396">
          <cell r="A2396" t="str">
            <v>ANDREW</v>
          </cell>
          <cell r="B2396" t="str">
            <v>VHP4-105</v>
          </cell>
          <cell r="O2396"/>
          <cell r="T2396"/>
        </row>
        <row r="2397">
          <cell r="A2397" t="str">
            <v>ANDREW</v>
          </cell>
          <cell r="B2397" t="str">
            <v>VHP4-107</v>
          </cell>
          <cell r="O2397"/>
          <cell r="T2397"/>
        </row>
        <row r="2398">
          <cell r="A2398" t="str">
            <v>ANDREW</v>
          </cell>
          <cell r="B2398" t="str">
            <v>VHP4-107A</v>
          </cell>
          <cell r="O2398"/>
          <cell r="T2398"/>
        </row>
        <row r="2399">
          <cell r="A2399" t="str">
            <v>ANDREW</v>
          </cell>
          <cell r="B2399" t="str">
            <v>VHP4-130</v>
          </cell>
          <cell r="O2399"/>
          <cell r="T2399"/>
        </row>
        <row r="2400">
          <cell r="A2400" t="str">
            <v>ANDREW</v>
          </cell>
          <cell r="B2400" t="str">
            <v>VHP4-180A</v>
          </cell>
          <cell r="O2400"/>
          <cell r="T2400"/>
        </row>
        <row r="2401">
          <cell r="A2401" t="str">
            <v>ANDREW</v>
          </cell>
          <cell r="B2401" t="str">
            <v>VHP4-59</v>
          </cell>
          <cell r="O2401"/>
          <cell r="T2401"/>
        </row>
        <row r="2402">
          <cell r="A2402" t="str">
            <v>ANDREW</v>
          </cell>
          <cell r="B2402" t="str">
            <v>VHP459W241</v>
          </cell>
          <cell r="O2402"/>
          <cell r="T2402"/>
        </row>
        <row r="2403">
          <cell r="A2403" t="str">
            <v>ANDREW</v>
          </cell>
          <cell r="B2403" t="str">
            <v>VHP6-105</v>
          </cell>
          <cell r="O2403"/>
          <cell r="T2403"/>
        </row>
        <row r="2404">
          <cell r="A2404" t="str">
            <v>ANDREW</v>
          </cell>
          <cell r="B2404" t="str">
            <v>VHP6-107</v>
          </cell>
          <cell r="O2404"/>
          <cell r="T2404"/>
        </row>
        <row r="2405">
          <cell r="A2405" t="str">
            <v>ANDREW</v>
          </cell>
          <cell r="B2405" t="str">
            <v>VHP6-180A</v>
          </cell>
          <cell r="O2405"/>
          <cell r="T2405"/>
        </row>
        <row r="2406">
          <cell r="A2406" t="str">
            <v>ANDREW</v>
          </cell>
          <cell r="B2406" t="str">
            <v>VHPL2-11-6WH</v>
          </cell>
          <cell r="O2406"/>
          <cell r="T2406"/>
        </row>
        <row r="2407">
          <cell r="A2407" t="str">
            <v>ANDREW</v>
          </cell>
          <cell r="B2407" t="str">
            <v>VHPX1-180</v>
          </cell>
          <cell r="O2407"/>
          <cell r="T2407"/>
        </row>
        <row r="2408">
          <cell r="A2408" t="str">
            <v>ANDREW</v>
          </cell>
          <cell r="B2408" t="str">
            <v>VHPX1-240A</v>
          </cell>
          <cell r="O2408"/>
          <cell r="T2408"/>
        </row>
        <row r="2409">
          <cell r="A2409" t="str">
            <v>ANDREW</v>
          </cell>
          <cell r="B2409" t="str">
            <v>VHPX2.5-180</v>
          </cell>
          <cell r="O2409"/>
          <cell r="T2409"/>
        </row>
        <row r="2410">
          <cell r="A2410" t="str">
            <v>ANDREW</v>
          </cell>
          <cell r="B2410" t="str">
            <v>VHPX4-220A</v>
          </cell>
          <cell r="O2410"/>
          <cell r="T2410"/>
        </row>
        <row r="2411">
          <cell r="A2411" t="str">
            <v>ANDREW</v>
          </cell>
          <cell r="B2411" t="str">
            <v>VP2-180A</v>
          </cell>
          <cell r="O2411"/>
          <cell r="T2411"/>
        </row>
        <row r="2412">
          <cell r="A2412" t="str">
            <v>ANDREW</v>
          </cell>
          <cell r="B2412" t="str">
            <v>VP4-180A</v>
          </cell>
          <cell r="O2412"/>
          <cell r="T2412"/>
        </row>
        <row r="2413">
          <cell r="A2413" t="str">
            <v>ANDREW</v>
          </cell>
          <cell r="B2413" t="str">
            <v>VP4-59</v>
          </cell>
          <cell r="O2413"/>
          <cell r="T2413"/>
        </row>
        <row r="2414">
          <cell r="A2414" t="str">
            <v>ANDREW</v>
          </cell>
          <cell r="B2414" t="str">
            <v>VP4-71W</v>
          </cell>
          <cell r="O2414"/>
          <cell r="T2414"/>
        </row>
        <row r="2415">
          <cell r="A2415" t="str">
            <v>ANDREW</v>
          </cell>
          <cell r="B2415" t="str">
            <v>VP6-180A</v>
          </cell>
          <cell r="O2415"/>
          <cell r="T2415"/>
        </row>
        <row r="2416">
          <cell r="A2416" t="str">
            <v>ANDREW</v>
          </cell>
          <cell r="B2416" t="str">
            <v>W2XX-6516DS-A2M</v>
          </cell>
          <cell r="O2416"/>
          <cell r="T2416"/>
        </row>
        <row r="2417">
          <cell r="A2417" t="str">
            <v>ANDREW</v>
          </cell>
          <cell r="B2417" t="str">
            <v>W2XX-9013DS-VTM</v>
          </cell>
          <cell r="O2417"/>
          <cell r="T2417"/>
        </row>
        <row r="2418">
          <cell r="A2418" t="str">
            <v>ANDREW</v>
          </cell>
          <cell r="B2418" t="str">
            <v>WM18-28-DW2</v>
          </cell>
          <cell r="O2418"/>
          <cell r="T2418"/>
        </row>
        <row r="2419">
          <cell r="A2419" t="str">
            <v>ANI-AV</v>
          </cell>
          <cell r="B2419" t="str">
            <v>FBA_ANI-24UV</v>
          </cell>
          <cell r="O2419"/>
          <cell r="T2419"/>
        </row>
        <row r="2420">
          <cell r="A2420" t="str">
            <v>ANTCOM</v>
          </cell>
          <cell r="B2420" t="str">
            <v>L1 GPS</v>
          </cell>
          <cell r="O2420"/>
          <cell r="T2420"/>
        </row>
        <row r="2421">
          <cell r="A2421" t="str">
            <v>ANTEL</v>
          </cell>
          <cell r="B2421" t="str">
            <v>7132860</v>
          </cell>
          <cell r="O2421"/>
          <cell r="T2421"/>
        </row>
        <row r="2422">
          <cell r="A2422" t="str">
            <v>ANTEL</v>
          </cell>
          <cell r="B2422" t="str">
            <v>80010ND</v>
          </cell>
          <cell r="O2422"/>
          <cell r="T2422"/>
        </row>
        <row r="2423">
          <cell r="A2423" t="str">
            <v>ANTEL</v>
          </cell>
          <cell r="B2423" t="str">
            <v>ADA-408040120CF</v>
          </cell>
          <cell r="O2423">
            <v>14.872120949074098</v>
          </cell>
          <cell r="T2423">
            <v>4.7754883515549897</v>
          </cell>
        </row>
        <row r="2424">
          <cell r="A2424" t="str">
            <v>ANTEL</v>
          </cell>
          <cell r="B2424" t="str">
            <v>ADA-408240122CF</v>
          </cell>
          <cell r="O2424"/>
          <cell r="T2424"/>
        </row>
        <row r="2425">
          <cell r="A2425" t="str">
            <v>ANTEL</v>
          </cell>
          <cell r="B2425" t="str">
            <v>ADA-63406380CF</v>
          </cell>
          <cell r="O2425"/>
          <cell r="T2425"/>
        </row>
        <row r="2426">
          <cell r="A2426" t="str">
            <v>ANTEL</v>
          </cell>
          <cell r="B2426" t="str">
            <v>ADA-63446380CF</v>
          </cell>
          <cell r="O2426"/>
          <cell r="T2426"/>
        </row>
        <row r="2427">
          <cell r="A2427" t="str">
            <v>ANTEL</v>
          </cell>
          <cell r="B2427" t="str">
            <v>ADA-63446384CF</v>
          </cell>
          <cell r="O2427"/>
          <cell r="T2427"/>
        </row>
        <row r="2428">
          <cell r="A2428" t="str">
            <v>ANTEL</v>
          </cell>
          <cell r="B2428" t="str">
            <v>ADA-63448582CF</v>
          </cell>
          <cell r="O2428"/>
          <cell r="T2428"/>
        </row>
        <row r="2429">
          <cell r="A2429" t="str">
            <v>ANTEL</v>
          </cell>
          <cell r="B2429" t="str">
            <v>ADA-63456382CF</v>
          </cell>
          <cell r="O2429"/>
          <cell r="T2429"/>
        </row>
        <row r="2430">
          <cell r="A2430" t="str">
            <v>ANTEL</v>
          </cell>
          <cell r="B2430" t="str">
            <v>ADA-63476384CF</v>
          </cell>
          <cell r="O2430"/>
          <cell r="T2430"/>
        </row>
        <row r="2431">
          <cell r="A2431" t="str">
            <v>ANTEL</v>
          </cell>
          <cell r="B2431" t="str">
            <v>ADA-636063100CF</v>
          </cell>
          <cell r="O2431"/>
          <cell r="T2431"/>
        </row>
        <row r="2432">
          <cell r="A2432" t="str">
            <v>ANTEL</v>
          </cell>
          <cell r="B2432" t="str">
            <v>ADA-636085100CF</v>
          </cell>
          <cell r="O2432"/>
          <cell r="T2432"/>
        </row>
        <row r="2433">
          <cell r="A2433" t="str">
            <v>ANTEL</v>
          </cell>
          <cell r="B2433" t="str">
            <v>ADA-636485102CF</v>
          </cell>
          <cell r="O2433"/>
          <cell r="T2433"/>
        </row>
        <row r="2434">
          <cell r="A2434" t="str">
            <v>ANTEL</v>
          </cell>
          <cell r="B2434" t="str">
            <v>ADA-638063100CF</v>
          </cell>
          <cell r="O2434"/>
          <cell r="T2434"/>
        </row>
        <row r="2435">
          <cell r="A2435" t="str">
            <v>ANTEL</v>
          </cell>
          <cell r="B2435" t="str">
            <v>ADA-638263102CF</v>
          </cell>
          <cell r="O2435"/>
          <cell r="T2435"/>
        </row>
        <row r="2436">
          <cell r="A2436" t="str">
            <v>ANTEL</v>
          </cell>
          <cell r="B2436" t="str">
            <v>ADA-638363103CF</v>
          </cell>
          <cell r="O2436"/>
          <cell r="T2436"/>
        </row>
        <row r="2437">
          <cell r="A2437" t="str">
            <v>ANTEL</v>
          </cell>
          <cell r="B2437" t="str">
            <v>ADA-638463104CF</v>
          </cell>
          <cell r="O2437"/>
          <cell r="T2437"/>
        </row>
        <row r="2438">
          <cell r="A2438" t="str">
            <v>ANTEL</v>
          </cell>
          <cell r="B2438" t="str">
            <v>ADA-638563105CF</v>
          </cell>
          <cell r="O2438"/>
          <cell r="T2438"/>
        </row>
        <row r="2439">
          <cell r="A2439" t="str">
            <v>ANTEL</v>
          </cell>
          <cell r="B2439" t="str">
            <v>ADA-806063100CF</v>
          </cell>
          <cell r="O2439"/>
          <cell r="T2439"/>
        </row>
        <row r="2440">
          <cell r="A2440" t="str">
            <v>ANTEL</v>
          </cell>
          <cell r="B2440" t="str">
            <v>ADA-806080100CF</v>
          </cell>
          <cell r="O2440"/>
          <cell r="T2440"/>
        </row>
        <row r="2441">
          <cell r="A2441" t="str">
            <v>ANTEL</v>
          </cell>
          <cell r="B2441" t="str">
            <v>ADA-806080102CF</v>
          </cell>
          <cell r="O2441"/>
          <cell r="T2441"/>
        </row>
        <row r="2442">
          <cell r="A2442" t="str">
            <v>ANTEL</v>
          </cell>
          <cell r="B2442" t="str">
            <v>ADA-806280102CF</v>
          </cell>
          <cell r="O2442">
            <v>7.3988649547735292</v>
          </cell>
          <cell r="T2442">
            <v>3.0019207564416597</v>
          </cell>
        </row>
        <row r="2443">
          <cell r="A2443" t="str">
            <v>ANTEL</v>
          </cell>
          <cell r="B2443" t="str">
            <v>ADA-806580102CF</v>
          </cell>
          <cell r="O2443"/>
          <cell r="T2443"/>
        </row>
        <row r="2444">
          <cell r="A2444" t="str">
            <v>ANTEL</v>
          </cell>
          <cell r="B2444" t="str">
            <v>ADA-85408580CF</v>
          </cell>
          <cell r="O2444">
            <v>4.7920646766203499</v>
          </cell>
          <cell r="T2444">
            <v>1.9423006598779</v>
          </cell>
        </row>
        <row r="2445">
          <cell r="A2445" t="str">
            <v>ANTEL</v>
          </cell>
          <cell r="B2445" t="str">
            <v>ADA-85408580CFI</v>
          </cell>
          <cell r="O2445">
            <v>4.7920646766203499</v>
          </cell>
          <cell r="T2445">
            <v>1.9423006598779</v>
          </cell>
        </row>
        <row r="2446">
          <cell r="A2446" t="str">
            <v>ANTEL</v>
          </cell>
          <cell r="B2446" t="str">
            <v>ADA-854108580CF</v>
          </cell>
          <cell r="O2446"/>
          <cell r="T2446"/>
        </row>
        <row r="2447">
          <cell r="A2447" t="str">
            <v>ANTEL</v>
          </cell>
          <cell r="B2447" t="str">
            <v>ADA-85458580CF</v>
          </cell>
          <cell r="O2447">
            <v>4.7920646766203499</v>
          </cell>
          <cell r="T2447">
            <v>1.9423006598779</v>
          </cell>
        </row>
        <row r="2448">
          <cell r="A2448" t="str">
            <v>ANTEL</v>
          </cell>
          <cell r="B2448" t="str">
            <v>ADA-858060160CF</v>
          </cell>
          <cell r="O2448"/>
          <cell r="T2448"/>
        </row>
        <row r="2449">
          <cell r="A2449" t="str">
            <v>ANTEL</v>
          </cell>
          <cell r="B2449" t="str">
            <v>ADA-858085120CF</v>
          </cell>
          <cell r="O2449">
            <v>14.872120949074098</v>
          </cell>
          <cell r="T2449">
            <v>4.7754883515549897</v>
          </cell>
        </row>
        <row r="2450">
          <cell r="A2450" t="str">
            <v>ANTEL</v>
          </cell>
          <cell r="B2450" t="str">
            <v>ADA-858085120CF-2</v>
          </cell>
          <cell r="O2450">
            <v>14.872120949074098</v>
          </cell>
          <cell r="T2450">
            <v>4.7754883515549897</v>
          </cell>
        </row>
        <row r="2451">
          <cell r="A2451" t="str">
            <v>ANTEL</v>
          </cell>
          <cell r="B2451" t="str">
            <v>ADA-858085122CF</v>
          </cell>
          <cell r="O2451">
            <v>14.872120949074098</v>
          </cell>
          <cell r="T2451">
            <v>4.7754883515549897</v>
          </cell>
        </row>
        <row r="2452">
          <cell r="A2452" t="str">
            <v>ANTEL</v>
          </cell>
          <cell r="B2452" t="str">
            <v>ADA-90406380CF</v>
          </cell>
          <cell r="O2452"/>
          <cell r="T2452"/>
        </row>
        <row r="2453">
          <cell r="A2453" t="str">
            <v>ANTEL</v>
          </cell>
          <cell r="B2453" t="str">
            <v>ADA-906063100CF</v>
          </cell>
          <cell r="O2453"/>
          <cell r="T2453"/>
        </row>
        <row r="2454">
          <cell r="A2454" t="str">
            <v>ANTEL</v>
          </cell>
          <cell r="B2454" t="str">
            <v>ATA-ST50HV20-26</v>
          </cell>
          <cell r="O2454"/>
          <cell r="T2454"/>
        </row>
        <row r="2455">
          <cell r="A2455" t="str">
            <v>ANTEL</v>
          </cell>
          <cell r="B2455" t="str">
            <v>BCD-7006-EDIN-0</v>
          </cell>
          <cell r="O2455"/>
          <cell r="T2455"/>
        </row>
        <row r="2456">
          <cell r="A2456" t="str">
            <v>ANTEL</v>
          </cell>
          <cell r="B2456" t="str">
            <v>BCD-7009-EDIN-0-25</v>
          </cell>
          <cell r="O2456"/>
          <cell r="T2456"/>
        </row>
        <row r="2457">
          <cell r="A2457" t="str">
            <v>ANTEL</v>
          </cell>
          <cell r="B2457" t="str">
            <v>BCD-75066-EDIN</v>
          </cell>
          <cell r="O2457"/>
          <cell r="T2457"/>
        </row>
        <row r="2458">
          <cell r="A2458" t="str">
            <v>ANTEL</v>
          </cell>
          <cell r="B2458" t="str">
            <v>BCD-7509</v>
          </cell>
          <cell r="O2458"/>
          <cell r="T2458"/>
        </row>
        <row r="2459">
          <cell r="A2459" t="str">
            <v>ANTEL</v>
          </cell>
          <cell r="B2459" t="str">
            <v>BCD-80010</v>
          </cell>
          <cell r="O2459"/>
          <cell r="T2459"/>
        </row>
        <row r="2460">
          <cell r="A2460" t="str">
            <v>ANTEL</v>
          </cell>
          <cell r="B2460" t="str">
            <v>BCD-80010DIN</v>
          </cell>
          <cell r="O2460"/>
          <cell r="T2460"/>
        </row>
        <row r="2461">
          <cell r="A2461" t="str">
            <v>ANTEL</v>
          </cell>
          <cell r="B2461" t="str">
            <v>BCD-80010EDIN</v>
          </cell>
          <cell r="O2461"/>
          <cell r="T2461"/>
        </row>
        <row r="2462">
          <cell r="A2462" t="str">
            <v>ANTEL</v>
          </cell>
          <cell r="B2462" t="str">
            <v>BCD-80010EDIN25</v>
          </cell>
          <cell r="O2462"/>
          <cell r="T2462"/>
        </row>
        <row r="2463">
          <cell r="A2463" t="str">
            <v>ANTEL</v>
          </cell>
          <cell r="B2463" t="str">
            <v>BCD-80010EIA</v>
          </cell>
          <cell r="O2463"/>
          <cell r="T2463"/>
        </row>
        <row r="2464">
          <cell r="A2464" t="str">
            <v>ANTEL</v>
          </cell>
          <cell r="B2464" t="str">
            <v>BCD-80010N</v>
          </cell>
          <cell r="O2464"/>
          <cell r="T2464"/>
        </row>
        <row r="2465">
          <cell r="A2465" t="str">
            <v>ANTEL</v>
          </cell>
          <cell r="B2465" t="str">
            <v>BCD-80010ND</v>
          </cell>
          <cell r="O2465"/>
          <cell r="T2465"/>
        </row>
        <row r="2466">
          <cell r="A2466" t="str">
            <v>ANTEL</v>
          </cell>
          <cell r="B2466" t="str">
            <v>BCD-80010NE</v>
          </cell>
          <cell r="O2466"/>
          <cell r="T2466"/>
        </row>
        <row r="2467">
          <cell r="A2467" t="str">
            <v>ANTEL</v>
          </cell>
          <cell r="B2467" t="str">
            <v>BCD-80010X25</v>
          </cell>
          <cell r="O2467"/>
          <cell r="T2467"/>
        </row>
        <row r="2468">
          <cell r="A2468" t="str">
            <v>ANTEL</v>
          </cell>
          <cell r="B2468" t="str">
            <v>BCD-80010X3</v>
          </cell>
          <cell r="O2468"/>
          <cell r="T2468"/>
        </row>
        <row r="2469">
          <cell r="A2469" t="str">
            <v>ANTEL</v>
          </cell>
          <cell r="B2469" t="str">
            <v>BCD-80010X3-25</v>
          </cell>
          <cell r="O2469"/>
          <cell r="T2469"/>
        </row>
        <row r="2470">
          <cell r="A2470" t="str">
            <v>ANTEL</v>
          </cell>
          <cell r="B2470" t="str">
            <v>BCD-80010X5</v>
          </cell>
          <cell r="O2470"/>
          <cell r="T2470"/>
        </row>
        <row r="2471">
          <cell r="A2471" t="str">
            <v>ANTEL</v>
          </cell>
          <cell r="B2471" t="str">
            <v>BCD-8007</v>
          </cell>
          <cell r="O2471"/>
          <cell r="T2471"/>
        </row>
        <row r="2472">
          <cell r="A2472" t="str">
            <v>ANTEL</v>
          </cell>
          <cell r="B2472" t="str">
            <v>BCD-8007NE</v>
          </cell>
          <cell r="O2472"/>
          <cell r="T2472"/>
        </row>
        <row r="2473">
          <cell r="A2473" t="str">
            <v>ANTEL</v>
          </cell>
          <cell r="B2473" t="str">
            <v>BCD-80603</v>
          </cell>
          <cell r="O2473"/>
          <cell r="T2473"/>
        </row>
        <row r="2474">
          <cell r="A2474" t="str">
            <v>ANTEL</v>
          </cell>
          <cell r="B2474" t="str">
            <v>BCD-80609</v>
          </cell>
          <cell r="O2474"/>
          <cell r="T2474"/>
        </row>
        <row r="2475">
          <cell r="A2475" t="str">
            <v>ANTEL</v>
          </cell>
          <cell r="B2475" t="str">
            <v>BCD-80609-EDIN-3-INVERT</v>
          </cell>
          <cell r="O2475"/>
          <cell r="T2475"/>
        </row>
        <row r="2476">
          <cell r="A2476" t="str">
            <v>ANTEL</v>
          </cell>
          <cell r="B2476" t="str">
            <v>BCD-80610</v>
          </cell>
          <cell r="O2476"/>
          <cell r="T2476"/>
        </row>
        <row r="2477">
          <cell r="A2477" t="str">
            <v>ANTEL</v>
          </cell>
          <cell r="B2477" t="str">
            <v>BCD-80612</v>
          </cell>
          <cell r="O2477"/>
          <cell r="T2477"/>
        </row>
        <row r="2478">
          <cell r="A2478" t="str">
            <v>ANTEL</v>
          </cell>
          <cell r="B2478" t="str">
            <v>BCD-8243</v>
          </cell>
          <cell r="O2478"/>
          <cell r="T2478"/>
        </row>
        <row r="2479">
          <cell r="A2479" t="str">
            <v>ANTEL</v>
          </cell>
          <cell r="B2479" t="str">
            <v>BCD-85010</v>
          </cell>
          <cell r="O2479"/>
          <cell r="T2479"/>
        </row>
        <row r="2480">
          <cell r="A2480" t="str">
            <v>ANTEL</v>
          </cell>
          <cell r="B2480" t="str">
            <v>BCD-87010</v>
          </cell>
          <cell r="O2480"/>
          <cell r="T2480"/>
        </row>
        <row r="2481">
          <cell r="A2481" t="str">
            <v>ANTEL</v>
          </cell>
          <cell r="B2481" t="str">
            <v>BCD-87010N</v>
          </cell>
          <cell r="O2481"/>
          <cell r="T2481"/>
        </row>
        <row r="2482">
          <cell r="A2482" t="str">
            <v>ANTEL</v>
          </cell>
          <cell r="B2482" t="str">
            <v>BCD-87010NE</v>
          </cell>
          <cell r="O2482"/>
          <cell r="T2482"/>
        </row>
        <row r="2483">
          <cell r="A2483" t="str">
            <v>ANTEL</v>
          </cell>
          <cell r="B2483" t="str">
            <v>BCD-87010NE3</v>
          </cell>
          <cell r="O2483"/>
          <cell r="T2483"/>
        </row>
        <row r="2484">
          <cell r="A2484" t="str">
            <v>ANTEL</v>
          </cell>
          <cell r="B2484" t="str">
            <v>BCD-87010X4-25</v>
          </cell>
          <cell r="O2484"/>
          <cell r="T2484"/>
        </row>
        <row r="2485">
          <cell r="A2485" t="str">
            <v>ANTEL</v>
          </cell>
          <cell r="B2485" t="str">
            <v>BCD-8706-0</v>
          </cell>
          <cell r="O2485"/>
          <cell r="T2485"/>
        </row>
        <row r="2486">
          <cell r="A2486" t="str">
            <v>ANTEL</v>
          </cell>
          <cell r="B2486" t="str">
            <v>BCD-8707</v>
          </cell>
          <cell r="O2486"/>
          <cell r="T2486"/>
        </row>
        <row r="2487">
          <cell r="A2487" t="str">
            <v>ANTEL</v>
          </cell>
          <cell r="B2487" t="str">
            <v>BCD-87077</v>
          </cell>
          <cell r="O2487"/>
          <cell r="T2487"/>
        </row>
        <row r="2488">
          <cell r="A2488" t="str">
            <v>ANTEL</v>
          </cell>
          <cell r="B2488" t="str">
            <v>BCD-8707NE</v>
          </cell>
          <cell r="O2488"/>
          <cell r="T2488"/>
        </row>
        <row r="2489">
          <cell r="A2489" t="str">
            <v>ANTEL</v>
          </cell>
          <cell r="B2489" t="str">
            <v>BCD-8708</v>
          </cell>
          <cell r="O2489"/>
          <cell r="T2489"/>
        </row>
        <row r="2490">
          <cell r="A2490" t="str">
            <v>ANTEL</v>
          </cell>
          <cell r="B2490" t="str">
            <v>BCD-87099NE</v>
          </cell>
          <cell r="O2490"/>
          <cell r="T2490"/>
        </row>
        <row r="2491">
          <cell r="A2491" t="str">
            <v>ANTEL</v>
          </cell>
          <cell r="B2491" t="str">
            <v>BCD-HP7WD E-DIN</v>
          </cell>
          <cell r="O2491"/>
          <cell r="T2491"/>
        </row>
        <row r="2492">
          <cell r="A2492" t="str">
            <v>ANTEL</v>
          </cell>
          <cell r="B2492" t="str">
            <v>BCD-HP7WD-NE</v>
          </cell>
          <cell r="O2492"/>
          <cell r="T2492"/>
        </row>
        <row r="2493">
          <cell r="A2493" t="str">
            <v>ANTEL</v>
          </cell>
          <cell r="B2493" t="str">
            <v>BCD80010 DIN 2.5</v>
          </cell>
          <cell r="O2493"/>
          <cell r="T2493"/>
        </row>
        <row r="2494">
          <cell r="A2494" t="str">
            <v>ANTEL</v>
          </cell>
          <cell r="B2494" t="str">
            <v>BCD80012</v>
          </cell>
          <cell r="O2494"/>
          <cell r="T2494"/>
        </row>
        <row r="2495">
          <cell r="A2495" t="str">
            <v>ANTEL</v>
          </cell>
          <cell r="B2495" t="str">
            <v>BCD80610</v>
          </cell>
          <cell r="O2495"/>
          <cell r="T2495"/>
        </row>
        <row r="2496">
          <cell r="A2496" t="str">
            <v>ANTEL</v>
          </cell>
          <cell r="B2496" t="str">
            <v>BCDHV-87077</v>
          </cell>
          <cell r="O2496"/>
          <cell r="T2496"/>
        </row>
        <row r="2497">
          <cell r="A2497" t="str">
            <v>ANTEL</v>
          </cell>
          <cell r="B2497" t="str">
            <v>BCR-0012</v>
          </cell>
          <cell r="O2497"/>
          <cell r="T2497"/>
        </row>
        <row r="2498">
          <cell r="A2498" t="str">
            <v>ANTEL</v>
          </cell>
          <cell r="B2498" t="str">
            <v>BCR-80010</v>
          </cell>
          <cell r="O2498"/>
          <cell r="T2498"/>
        </row>
        <row r="2499">
          <cell r="A2499" t="str">
            <v>ANTEL</v>
          </cell>
          <cell r="B2499" t="str">
            <v>BCR-80010180E-DIN</v>
          </cell>
          <cell r="O2499"/>
          <cell r="T2499"/>
        </row>
        <row r="2500">
          <cell r="A2500" t="str">
            <v>ANTEL</v>
          </cell>
          <cell r="B2500" t="str">
            <v>BCR-80010:180</v>
          </cell>
          <cell r="O2500"/>
          <cell r="T2500"/>
        </row>
        <row r="2501">
          <cell r="A2501" t="str">
            <v>ANTEL</v>
          </cell>
          <cell r="B2501" t="str">
            <v>BCR-80010:180E-DIN</v>
          </cell>
          <cell r="O2501"/>
          <cell r="T2501"/>
        </row>
        <row r="2502">
          <cell r="A2502" t="str">
            <v>ANTEL</v>
          </cell>
          <cell r="B2502" t="str">
            <v>BCR-80010:180X5</v>
          </cell>
          <cell r="O2502"/>
          <cell r="T2502"/>
        </row>
        <row r="2503">
          <cell r="A2503" t="str">
            <v>ANTEL</v>
          </cell>
          <cell r="B2503" t="str">
            <v>BCR-80010:270</v>
          </cell>
          <cell r="O2503"/>
          <cell r="T2503"/>
        </row>
        <row r="2504">
          <cell r="A2504" t="str">
            <v>ANTEL</v>
          </cell>
          <cell r="B2504" t="str">
            <v>BCR-80010:270N</v>
          </cell>
          <cell r="O2504"/>
          <cell r="T2504"/>
        </row>
        <row r="2505">
          <cell r="A2505" t="str">
            <v>ANTEL</v>
          </cell>
          <cell r="B2505" t="str">
            <v>BCR-80010:90</v>
          </cell>
          <cell r="O2505"/>
          <cell r="T2505"/>
        </row>
        <row r="2506">
          <cell r="A2506" t="str">
            <v>ANTEL</v>
          </cell>
          <cell r="B2506" t="str">
            <v>BCR-80010NE:270</v>
          </cell>
          <cell r="O2506"/>
          <cell r="T2506"/>
        </row>
        <row r="2507">
          <cell r="A2507" t="str">
            <v>ANTEL</v>
          </cell>
          <cell r="B2507" t="str">
            <v>BCR-80012</v>
          </cell>
          <cell r="O2507"/>
          <cell r="T2507"/>
        </row>
        <row r="2508">
          <cell r="A2508" t="str">
            <v>ANTEL</v>
          </cell>
          <cell r="B2508" t="str">
            <v>BCR-80012N</v>
          </cell>
          <cell r="O2508"/>
          <cell r="T2508"/>
        </row>
        <row r="2509">
          <cell r="A2509" t="str">
            <v>ANTEL</v>
          </cell>
          <cell r="B2509" t="str">
            <v>BCR-80012NE</v>
          </cell>
          <cell r="O2509"/>
          <cell r="T2509"/>
        </row>
        <row r="2510">
          <cell r="A2510" t="str">
            <v>ANTEL</v>
          </cell>
          <cell r="B2510" t="str">
            <v>BCR-80012X3</v>
          </cell>
          <cell r="O2510"/>
          <cell r="T2510"/>
        </row>
        <row r="2511">
          <cell r="A2511" t="str">
            <v>ANTEL</v>
          </cell>
          <cell r="B2511" t="str">
            <v>BCR-80012X5</v>
          </cell>
          <cell r="O2511"/>
          <cell r="T2511"/>
        </row>
        <row r="2512">
          <cell r="A2512" t="str">
            <v>ANTEL</v>
          </cell>
          <cell r="B2512" t="str">
            <v>BCR-80013</v>
          </cell>
          <cell r="O2512"/>
          <cell r="T2512"/>
        </row>
        <row r="2513">
          <cell r="A2513" t="str">
            <v>ANTEL</v>
          </cell>
          <cell r="B2513" t="str">
            <v>BCR-80013DIN</v>
          </cell>
          <cell r="O2513"/>
          <cell r="T2513"/>
        </row>
        <row r="2514">
          <cell r="A2514" t="str">
            <v>ANTEL</v>
          </cell>
          <cell r="B2514" t="str">
            <v>BCR-80013NE</v>
          </cell>
          <cell r="O2514"/>
          <cell r="T2514"/>
        </row>
        <row r="2515">
          <cell r="A2515" t="str">
            <v>ANTEL</v>
          </cell>
          <cell r="B2515" t="str">
            <v>BCR-80014</v>
          </cell>
          <cell r="O2515"/>
          <cell r="T2515"/>
        </row>
        <row r="2516">
          <cell r="A2516" t="str">
            <v>ANTEL</v>
          </cell>
          <cell r="B2516" t="str">
            <v>BCR-80015</v>
          </cell>
          <cell r="O2516"/>
          <cell r="T2516"/>
        </row>
        <row r="2517">
          <cell r="A2517" t="str">
            <v>ANTEL</v>
          </cell>
          <cell r="B2517" t="str">
            <v>BCR-80017</v>
          </cell>
          <cell r="O2517"/>
          <cell r="T2517"/>
        </row>
        <row r="2518">
          <cell r="A2518" t="str">
            <v>ANTEL</v>
          </cell>
          <cell r="B2518" t="str">
            <v>BCR-80613</v>
          </cell>
          <cell r="O2518"/>
          <cell r="T2518"/>
        </row>
        <row r="2519">
          <cell r="A2519" t="str">
            <v>ANTEL</v>
          </cell>
          <cell r="B2519" t="str">
            <v>BCR-87010</v>
          </cell>
          <cell r="O2519"/>
          <cell r="T2519"/>
        </row>
        <row r="2520">
          <cell r="A2520" t="str">
            <v>ANTEL</v>
          </cell>
          <cell r="B2520" t="str">
            <v>BCR-87010:180</v>
          </cell>
          <cell r="O2520"/>
          <cell r="T2520"/>
        </row>
        <row r="2521">
          <cell r="A2521" t="str">
            <v>ANTEL</v>
          </cell>
          <cell r="B2521" t="str">
            <v>BCR-87010:90</v>
          </cell>
          <cell r="O2521"/>
          <cell r="T2521"/>
        </row>
        <row r="2522">
          <cell r="A2522" t="str">
            <v>ANTEL</v>
          </cell>
          <cell r="B2522" t="str">
            <v>BCR-87012</v>
          </cell>
          <cell r="O2522"/>
          <cell r="T2522"/>
        </row>
        <row r="2523">
          <cell r="A2523" t="str">
            <v>ANTEL</v>
          </cell>
          <cell r="B2523" t="str">
            <v>BCR-87013</v>
          </cell>
          <cell r="O2523"/>
          <cell r="T2523"/>
        </row>
        <row r="2524">
          <cell r="A2524" t="str">
            <v>ANTEL</v>
          </cell>
          <cell r="B2524" t="str">
            <v>BCR-87015</v>
          </cell>
          <cell r="O2524"/>
          <cell r="T2524"/>
        </row>
        <row r="2525">
          <cell r="A2525" t="str">
            <v>ANTEL</v>
          </cell>
          <cell r="B2525" t="str">
            <v>BCR-87017</v>
          </cell>
          <cell r="O2525"/>
          <cell r="T2525"/>
        </row>
        <row r="2526">
          <cell r="A2526" t="str">
            <v>ANTEL</v>
          </cell>
          <cell r="B2526" t="str">
            <v>BLX085X16FX00</v>
          </cell>
          <cell r="O2526"/>
          <cell r="T2526"/>
        </row>
        <row r="2527">
          <cell r="A2527" t="str">
            <v>ANTEL</v>
          </cell>
          <cell r="B2527" t="str">
            <v>BSA--185090/8CFX2</v>
          </cell>
          <cell r="O2527">
            <v>1.7014158288735999</v>
          </cell>
          <cell r="T2527">
            <v>0.861769709932795</v>
          </cell>
        </row>
        <row r="2528">
          <cell r="A2528" t="str">
            <v>ANTEL</v>
          </cell>
          <cell r="B2528" t="str">
            <v>BSA-171063/8CFX2</v>
          </cell>
          <cell r="O2528"/>
          <cell r="T2528"/>
        </row>
        <row r="2529">
          <cell r="A2529" t="str">
            <v>ANTEL</v>
          </cell>
          <cell r="B2529" t="str">
            <v>BSA-1850102/10</v>
          </cell>
          <cell r="O2529"/>
          <cell r="T2529"/>
        </row>
        <row r="2530">
          <cell r="A2530" t="str">
            <v>ANTEL</v>
          </cell>
          <cell r="B2530" t="str">
            <v>BSA-1850102/10CF E-DIN</v>
          </cell>
          <cell r="O2530"/>
          <cell r="T2530"/>
        </row>
        <row r="2531">
          <cell r="A2531" t="str">
            <v>ANTEL</v>
          </cell>
          <cell r="B2531" t="str">
            <v>BSA-1850102/10CF-2</v>
          </cell>
          <cell r="O2531"/>
          <cell r="T2531"/>
        </row>
        <row r="2532">
          <cell r="A2532" t="str">
            <v>ANTEL</v>
          </cell>
          <cell r="B2532" t="str">
            <v>BSA-1850102/12CF</v>
          </cell>
          <cell r="O2532"/>
          <cell r="T2532"/>
        </row>
        <row r="2533">
          <cell r="A2533" t="str">
            <v>ANTEL</v>
          </cell>
          <cell r="B2533" t="str">
            <v>BSA-1850102/12CFX2</v>
          </cell>
          <cell r="O2533"/>
          <cell r="T2533"/>
        </row>
        <row r="2534">
          <cell r="A2534" t="str">
            <v>ANTEL</v>
          </cell>
          <cell r="B2534" t="str">
            <v>BSA-1850102/5</v>
          </cell>
          <cell r="O2534"/>
          <cell r="T2534"/>
        </row>
        <row r="2535">
          <cell r="A2535" t="str">
            <v>ANTEL</v>
          </cell>
          <cell r="B2535" t="str">
            <v>BSA-1850120/10CFX2</v>
          </cell>
          <cell r="O2535"/>
          <cell r="T2535"/>
        </row>
        <row r="2536">
          <cell r="A2536" t="str">
            <v>ANTEL</v>
          </cell>
          <cell r="B2536" t="str">
            <v>BSA-1850120/12CF</v>
          </cell>
          <cell r="O2536"/>
          <cell r="T2536"/>
        </row>
        <row r="2537">
          <cell r="A2537" t="str">
            <v>ANTEL</v>
          </cell>
          <cell r="B2537" t="str">
            <v>BSA-185025/10</v>
          </cell>
          <cell r="O2537"/>
          <cell r="T2537"/>
        </row>
        <row r="2538">
          <cell r="A2538" t="str">
            <v>ANTEL</v>
          </cell>
          <cell r="B2538" t="str">
            <v>BSA-185025/12</v>
          </cell>
          <cell r="O2538"/>
          <cell r="T2538"/>
        </row>
        <row r="2539">
          <cell r="A2539" t="str">
            <v>ANTEL</v>
          </cell>
          <cell r="B2539" t="str">
            <v>BSA-185040/10CF</v>
          </cell>
          <cell r="O2539"/>
          <cell r="T2539"/>
        </row>
        <row r="2540">
          <cell r="A2540" t="str">
            <v>ANTEL</v>
          </cell>
          <cell r="B2540" t="str">
            <v>BSA-185040/12CF</v>
          </cell>
          <cell r="O2540"/>
          <cell r="T2540"/>
        </row>
        <row r="2541">
          <cell r="A2541" t="str">
            <v>ANTEL</v>
          </cell>
          <cell r="B2541" t="str">
            <v>BSA-185040/12CFX2</v>
          </cell>
          <cell r="O2541"/>
          <cell r="T2541"/>
        </row>
        <row r="2542">
          <cell r="A2542" t="str">
            <v>ANTEL</v>
          </cell>
          <cell r="B2542" t="str">
            <v>BSA-185040/5</v>
          </cell>
          <cell r="O2542"/>
          <cell r="T2542"/>
        </row>
        <row r="2543">
          <cell r="A2543" t="str">
            <v>ANTEL</v>
          </cell>
          <cell r="B2543" t="str">
            <v>BSA-185065/10</v>
          </cell>
          <cell r="O2543">
            <v>3.2809706735203403</v>
          </cell>
          <cell r="T2543">
            <v>1.13700963923726</v>
          </cell>
        </row>
        <row r="2544">
          <cell r="A2544" t="str">
            <v>ANTEL</v>
          </cell>
          <cell r="B2544" t="str">
            <v>BSA-185065/10CF</v>
          </cell>
          <cell r="O2544">
            <v>3.2809706735203403</v>
          </cell>
          <cell r="T2544">
            <v>1.13700963923726</v>
          </cell>
        </row>
        <row r="2545">
          <cell r="A2545" t="str">
            <v>ANTEL</v>
          </cell>
          <cell r="B2545" t="str">
            <v>BSA-185065/10CFX2</v>
          </cell>
          <cell r="O2545">
            <v>3.2809706735203403</v>
          </cell>
          <cell r="T2545">
            <v>1.13700963923726</v>
          </cell>
        </row>
        <row r="2546">
          <cell r="A2546" t="str">
            <v>ANTEL</v>
          </cell>
          <cell r="B2546" t="str">
            <v>BSA-185065/10CFX6</v>
          </cell>
          <cell r="O2546">
            <v>3.2809706735203403</v>
          </cell>
          <cell r="T2546">
            <v>1.13700963923726</v>
          </cell>
        </row>
        <row r="2547">
          <cell r="A2547" t="str">
            <v>ANTEL</v>
          </cell>
          <cell r="B2547" t="str">
            <v>BSA-185065/10X2</v>
          </cell>
          <cell r="O2547">
            <v>3.2809706735203403</v>
          </cell>
          <cell r="T2547">
            <v>1.13700963923726</v>
          </cell>
        </row>
        <row r="2548">
          <cell r="A2548" t="str">
            <v>ANTEL</v>
          </cell>
          <cell r="B2548" t="str">
            <v>BSA-185065/12</v>
          </cell>
          <cell r="O2548">
            <v>3.9069941720808297</v>
          </cell>
          <cell r="T2548">
            <v>1.3548662205805</v>
          </cell>
        </row>
        <row r="2549">
          <cell r="A2549" t="str">
            <v>ANTEL</v>
          </cell>
          <cell r="B2549" t="str">
            <v>BSA-185065/12CF</v>
          </cell>
          <cell r="O2549">
            <v>3.9069941720808297</v>
          </cell>
          <cell r="T2549">
            <v>1.3548662205805</v>
          </cell>
        </row>
        <row r="2550">
          <cell r="A2550" t="str">
            <v>ANTEL</v>
          </cell>
          <cell r="B2550" t="str">
            <v>BSA-185065/12CFX2</v>
          </cell>
          <cell r="O2550">
            <v>3.9069941720808297</v>
          </cell>
          <cell r="T2550">
            <v>1.3548662205805</v>
          </cell>
        </row>
        <row r="2551">
          <cell r="A2551" t="str">
            <v>ANTEL</v>
          </cell>
          <cell r="B2551" t="str">
            <v>BSA-185065/12X2</v>
          </cell>
          <cell r="O2551">
            <v>3.9069941720808297</v>
          </cell>
          <cell r="T2551">
            <v>1.3548662205805</v>
          </cell>
        </row>
        <row r="2552">
          <cell r="A2552" t="str">
            <v>ANTEL</v>
          </cell>
          <cell r="B2552" t="str">
            <v>BSA-185065/12X3</v>
          </cell>
          <cell r="O2552">
            <v>3.9069941720808297</v>
          </cell>
          <cell r="T2552">
            <v>1.3548662205805</v>
          </cell>
        </row>
        <row r="2553">
          <cell r="A2553" t="str">
            <v>ANTEL</v>
          </cell>
          <cell r="B2553" t="str">
            <v>BSA-185065/12X4</v>
          </cell>
          <cell r="O2553">
            <v>3.9069941720808297</v>
          </cell>
          <cell r="T2553">
            <v>1.3548662205805</v>
          </cell>
        </row>
        <row r="2554">
          <cell r="A2554" t="str">
            <v>ANTEL</v>
          </cell>
          <cell r="B2554" t="str">
            <v>BSA-185065/16CF</v>
          </cell>
          <cell r="O2554">
            <v>5.3211947345001098</v>
          </cell>
          <cell r="T2554">
            <v>1.84481690631989</v>
          </cell>
        </row>
        <row r="2555">
          <cell r="A2555" t="str">
            <v>ANTEL</v>
          </cell>
          <cell r="B2555" t="str">
            <v>BSA-185065/5</v>
          </cell>
          <cell r="O2555"/>
          <cell r="T2555"/>
        </row>
        <row r="2556">
          <cell r="A2556" t="str">
            <v>ANTEL</v>
          </cell>
          <cell r="B2556" t="str">
            <v>BSA-185065/8CF</v>
          </cell>
          <cell r="O2556">
            <v>2.6162704060168203</v>
          </cell>
          <cell r="T2556">
            <v>0.90737916929784712</v>
          </cell>
        </row>
        <row r="2557">
          <cell r="A2557" t="str">
            <v>ANTEL</v>
          </cell>
          <cell r="B2557" t="str">
            <v>BSA-185065/8CFX2</v>
          </cell>
          <cell r="O2557">
            <v>2.6162704060168203</v>
          </cell>
          <cell r="T2557">
            <v>0.90737916929784712</v>
          </cell>
        </row>
        <row r="2558">
          <cell r="A2558" t="str">
            <v>ANTEL</v>
          </cell>
          <cell r="B2558" t="str">
            <v>BSA-185090-10CF-2</v>
          </cell>
          <cell r="O2558">
            <v>2.1523518322145603</v>
          </cell>
          <cell r="T2558">
            <v>1.0954613863512601</v>
          </cell>
        </row>
        <row r="2559">
          <cell r="A2559" t="str">
            <v>ANTEL</v>
          </cell>
          <cell r="B2559" t="str">
            <v>BSA-185090-8CF-EDIN-0</v>
          </cell>
          <cell r="O2559">
            <v>1.7014158288735999</v>
          </cell>
          <cell r="T2559">
            <v>0.861769709932795</v>
          </cell>
        </row>
        <row r="2560">
          <cell r="A2560" t="str">
            <v>ANTEL</v>
          </cell>
          <cell r="B2560" t="str">
            <v>BSA-185090-8CF-EDIN-2</v>
          </cell>
          <cell r="O2560">
            <v>1.7014158288735999</v>
          </cell>
          <cell r="T2560">
            <v>0.861769709932795</v>
          </cell>
        </row>
        <row r="2561">
          <cell r="A2561" t="str">
            <v>ANTEL</v>
          </cell>
          <cell r="B2561" t="str">
            <v>BSA-185090/10</v>
          </cell>
          <cell r="O2561">
            <v>2.1523518322145603</v>
          </cell>
          <cell r="T2561">
            <v>1.0954613863512601</v>
          </cell>
        </row>
        <row r="2562">
          <cell r="A2562" t="str">
            <v>ANTEL</v>
          </cell>
          <cell r="B2562" t="str">
            <v>BSA-185090/10CF</v>
          </cell>
          <cell r="O2562">
            <v>2.1523518322145603</v>
          </cell>
          <cell r="T2562">
            <v>1.0954613863512601</v>
          </cell>
        </row>
        <row r="2563">
          <cell r="A2563" t="str">
            <v>ANTEL</v>
          </cell>
          <cell r="B2563" t="str">
            <v>BSA-185090/12</v>
          </cell>
          <cell r="O2563">
            <v>2.55691127965135</v>
          </cell>
          <cell r="T2563">
            <v>1.3057865187389799</v>
          </cell>
        </row>
        <row r="2564">
          <cell r="A2564" t="str">
            <v>ANTEL</v>
          </cell>
          <cell r="B2564" t="str">
            <v>BSA-185090/12-2</v>
          </cell>
          <cell r="O2564">
            <v>2.55691127965135</v>
          </cell>
          <cell r="T2564">
            <v>1.3057865187389799</v>
          </cell>
        </row>
        <row r="2565">
          <cell r="A2565" t="str">
            <v>ANTEL</v>
          </cell>
          <cell r="B2565" t="str">
            <v>BSA-185090/12CF</v>
          </cell>
          <cell r="O2565">
            <v>2.55691127965135</v>
          </cell>
          <cell r="T2565">
            <v>1.3057865187389799</v>
          </cell>
        </row>
        <row r="2566">
          <cell r="A2566" t="str">
            <v>ANTEL</v>
          </cell>
          <cell r="B2566" t="str">
            <v>BSA-185090/12CFX2</v>
          </cell>
          <cell r="O2566">
            <v>2.55691127965135</v>
          </cell>
          <cell r="T2566">
            <v>1.3057865187389799</v>
          </cell>
        </row>
        <row r="2567">
          <cell r="A2567" t="str">
            <v>ANTEL</v>
          </cell>
          <cell r="B2567" t="str">
            <v>BSA-185090/12X3</v>
          </cell>
          <cell r="O2567">
            <v>2.55691127965135</v>
          </cell>
          <cell r="T2567">
            <v>1.3057865187389799</v>
          </cell>
        </row>
        <row r="2568">
          <cell r="A2568" t="str">
            <v>ANTEL</v>
          </cell>
          <cell r="B2568" t="str">
            <v>BSA-185090/12X4</v>
          </cell>
          <cell r="O2568">
            <v>2.55691127965135</v>
          </cell>
          <cell r="T2568">
            <v>1.3057865187389799</v>
          </cell>
        </row>
        <row r="2569">
          <cell r="A2569" t="str">
            <v>ANTEL</v>
          </cell>
          <cell r="B2569" t="str">
            <v>BSA-185090/16CF</v>
          </cell>
          <cell r="O2569">
            <v>3.4542458702738497</v>
          </cell>
          <cell r="T2569">
            <v>1.77291083624547</v>
          </cell>
        </row>
        <row r="2570">
          <cell r="A2570" t="str">
            <v>ANTEL</v>
          </cell>
          <cell r="B2570" t="str">
            <v>BSA-185090/5</v>
          </cell>
          <cell r="O2570"/>
          <cell r="T2570"/>
        </row>
        <row r="2571">
          <cell r="A2571" t="str">
            <v>ANTEL</v>
          </cell>
          <cell r="B2571" t="str">
            <v>BSA-185090/8CF</v>
          </cell>
          <cell r="O2571">
            <v>1.7014158288735999</v>
          </cell>
          <cell r="T2571">
            <v>0.861769709932795</v>
          </cell>
        </row>
        <row r="2572">
          <cell r="A2572" t="str">
            <v>ANTEL</v>
          </cell>
          <cell r="B2572" t="str">
            <v>BSA-185090/8X2</v>
          </cell>
          <cell r="O2572">
            <v>1.7014158288735999</v>
          </cell>
          <cell r="T2572">
            <v>0.861769709932795</v>
          </cell>
        </row>
        <row r="2573">
          <cell r="A2573" t="str">
            <v>ANTEL</v>
          </cell>
          <cell r="B2573" t="str">
            <v>BXA-171040-8CF-EDIN-2</v>
          </cell>
          <cell r="O2573">
            <v>4.6384606481481487</v>
          </cell>
          <cell r="T2573">
            <v>1.8492094173457798</v>
          </cell>
        </row>
        <row r="2574">
          <cell r="A2574" t="str">
            <v>ANTEL</v>
          </cell>
          <cell r="B2574" t="str">
            <v>BXA-171040/8CF</v>
          </cell>
          <cell r="O2574">
            <v>4.6384606481481487</v>
          </cell>
          <cell r="T2574">
            <v>1.8492094173457798</v>
          </cell>
        </row>
        <row r="2575">
          <cell r="A2575" t="str">
            <v>ANTEL</v>
          </cell>
          <cell r="B2575" t="str">
            <v>BXA-171063-12BF</v>
          </cell>
          <cell r="O2575">
            <v>4.4192186468993402</v>
          </cell>
          <cell r="T2575">
            <v>2.9631079029838401</v>
          </cell>
        </row>
        <row r="2576">
          <cell r="A2576" t="str">
            <v>ANTEL</v>
          </cell>
          <cell r="B2576" t="str">
            <v>BXA-171063-12BF-EDIN-X</v>
          </cell>
          <cell r="O2576">
            <v>4.4192186468993402</v>
          </cell>
          <cell r="T2576">
            <v>2.9631079029838401</v>
          </cell>
        </row>
        <row r="2577">
          <cell r="A2577" t="str">
            <v>ANTEL</v>
          </cell>
          <cell r="B2577" t="str">
            <v>BXA-171063-12CF-EDIN-2</v>
          </cell>
          <cell r="O2577">
            <v>4.4192186468993402</v>
          </cell>
          <cell r="T2577">
            <v>2.9631079029838401</v>
          </cell>
        </row>
        <row r="2578">
          <cell r="A2578" t="str">
            <v>ANTEL</v>
          </cell>
          <cell r="B2578" t="str">
            <v>BXA-171063-12CF-EDIN-X</v>
          </cell>
          <cell r="O2578">
            <v>4.4192186468993402</v>
          </cell>
          <cell r="T2578">
            <v>2.9631079029838401</v>
          </cell>
        </row>
        <row r="2579">
          <cell r="A2579" t="str">
            <v>ANTEL</v>
          </cell>
          <cell r="B2579" t="str">
            <v>BXA-171063-16BF-EDIN-X</v>
          </cell>
          <cell r="O2579">
            <v>5.9859159746297896</v>
          </cell>
          <cell r="T2579">
            <v>4.0138723005524799</v>
          </cell>
        </row>
        <row r="2580">
          <cell r="A2580" t="str">
            <v>ANTEL</v>
          </cell>
          <cell r="B2580" t="str">
            <v>BXA-171063-16CF-EDIN-2</v>
          </cell>
          <cell r="O2580">
            <v>5.9859159746297896</v>
          </cell>
          <cell r="T2580">
            <v>4.0138723005524799</v>
          </cell>
        </row>
        <row r="2581">
          <cell r="A2581" t="str">
            <v>ANTEL</v>
          </cell>
          <cell r="B2581" t="str">
            <v>BXA-171063-8BF-2</v>
          </cell>
          <cell r="O2581">
            <v>2.8751126455947795</v>
          </cell>
          <cell r="T2581">
            <v>1.9253169475530199</v>
          </cell>
        </row>
        <row r="2582">
          <cell r="A2582" t="str">
            <v>ANTEL</v>
          </cell>
          <cell r="B2582" t="str">
            <v>BXA-171063-8BF-EDIN-0</v>
          </cell>
          <cell r="O2582">
            <v>2.8751126455947795</v>
          </cell>
          <cell r="T2582">
            <v>1.9253169475530199</v>
          </cell>
        </row>
        <row r="2583">
          <cell r="A2583" t="str">
            <v>ANTEL</v>
          </cell>
          <cell r="B2583" t="str">
            <v>BXA-171063-8BF-EDIN-2</v>
          </cell>
          <cell r="O2583">
            <v>2.8751126455947795</v>
          </cell>
          <cell r="T2583">
            <v>1.9253169475530199</v>
          </cell>
        </row>
        <row r="2584">
          <cell r="A2584" t="str">
            <v>ANTEL</v>
          </cell>
          <cell r="B2584" t="str">
            <v>BXA-171063-8CF-EDIN-X</v>
          </cell>
          <cell r="O2584">
            <v>2.8751126455947795</v>
          </cell>
          <cell r="T2584">
            <v>1.9253169475530199</v>
          </cell>
        </row>
        <row r="2585">
          <cell r="A2585" t="str">
            <v>ANTEL</v>
          </cell>
          <cell r="B2585" t="str">
            <v>BXA-171063/12CF</v>
          </cell>
          <cell r="O2585">
            <v>4.4192186468993402</v>
          </cell>
          <cell r="T2585">
            <v>2.9631079029838401</v>
          </cell>
        </row>
        <row r="2586">
          <cell r="A2586" t="str">
            <v>ANTEL</v>
          </cell>
          <cell r="B2586" t="str">
            <v>BXA-171063/4CF</v>
          </cell>
          <cell r="O2586">
            <v>1.4314036759075599</v>
          </cell>
          <cell r="T2586">
            <v>0.99060532207058105</v>
          </cell>
        </row>
        <row r="2587">
          <cell r="A2587" t="str">
            <v>ANTEL</v>
          </cell>
          <cell r="B2587" t="str">
            <v>BXA-171063/8CF</v>
          </cell>
          <cell r="O2587">
            <v>2.8751126455947795</v>
          </cell>
          <cell r="T2587">
            <v>1.9253169475530199</v>
          </cell>
        </row>
        <row r="2588">
          <cell r="A2588" t="str">
            <v>ANTEL</v>
          </cell>
          <cell r="B2588" t="str">
            <v>BXA-171063/8CF-EDIN-2</v>
          </cell>
          <cell r="O2588">
            <v>2.8751126455947795</v>
          </cell>
          <cell r="T2588">
            <v>1.9253169475530199</v>
          </cell>
        </row>
        <row r="2589">
          <cell r="A2589" t="str">
            <v>ANTEL</v>
          </cell>
          <cell r="B2589" t="str">
            <v>BXA-171063/8CFX2</v>
          </cell>
          <cell r="O2589"/>
          <cell r="T2589"/>
        </row>
        <row r="2590">
          <cell r="A2590" t="str">
            <v>ANTEL</v>
          </cell>
          <cell r="B2590" t="str">
            <v>BXA-171085-12BF</v>
          </cell>
          <cell r="O2590">
            <v>4.4192186468993402</v>
          </cell>
          <cell r="T2590">
            <v>2.9631079029838401</v>
          </cell>
        </row>
        <row r="2591">
          <cell r="A2591" t="str">
            <v>ANTEL</v>
          </cell>
          <cell r="B2591" t="str">
            <v>BXA-171085-12BF-2</v>
          </cell>
          <cell r="O2591">
            <v>4.4192186468993402</v>
          </cell>
          <cell r="T2591">
            <v>2.9631079029838401</v>
          </cell>
        </row>
        <row r="2592">
          <cell r="A2592" t="str">
            <v>ANTEL</v>
          </cell>
          <cell r="B2592" t="str">
            <v>BXA-171085-12BF-EDIN-0</v>
          </cell>
          <cell r="O2592">
            <v>4.4192186468993402</v>
          </cell>
          <cell r="T2592">
            <v>2.9631079029838401</v>
          </cell>
        </row>
        <row r="2593">
          <cell r="A2593" t="str">
            <v>ANTEL</v>
          </cell>
          <cell r="B2593" t="str">
            <v>BXA-171085-12BF-EDIN-2</v>
          </cell>
          <cell r="O2593">
            <v>4.4192186468993402</v>
          </cell>
          <cell r="T2593">
            <v>2.9631079029838401</v>
          </cell>
        </row>
        <row r="2594">
          <cell r="A2594" t="str">
            <v>ANTEL</v>
          </cell>
          <cell r="B2594" t="str">
            <v>BXA-171085-12CF-EDIN-2</v>
          </cell>
          <cell r="O2594">
            <v>4.4192186468993402</v>
          </cell>
          <cell r="T2594">
            <v>2.9631079029838401</v>
          </cell>
        </row>
        <row r="2595">
          <cell r="A2595" t="str">
            <v>ANTEL</v>
          </cell>
          <cell r="B2595" t="str">
            <v>BXA-171085-12CF-EDIN-X</v>
          </cell>
          <cell r="O2595">
            <v>4.4192186468993402</v>
          </cell>
          <cell r="T2595">
            <v>2.9631079029838401</v>
          </cell>
        </row>
        <row r="2596">
          <cell r="A2596" t="str">
            <v>ANTEL</v>
          </cell>
          <cell r="B2596" t="str">
            <v>BXA-171085-8BF-EDIN-0</v>
          </cell>
          <cell r="O2596">
            <v>2.8751126455947795</v>
          </cell>
          <cell r="T2596">
            <v>1.9253169475530199</v>
          </cell>
        </row>
        <row r="2597">
          <cell r="A2597" t="str">
            <v>ANTEL</v>
          </cell>
          <cell r="B2597" t="str">
            <v>BXA-171085-8BF-EDIN-2</v>
          </cell>
          <cell r="O2597">
            <v>2.8751126455947795</v>
          </cell>
          <cell r="T2597">
            <v>1.9253169475530199</v>
          </cell>
        </row>
        <row r="2598">
          <cell r="A2598" t="str">
            <v>ANTEL</v>
          </cell>
          <cell r="B2598" t="str">
            <v>BXA-171085-8CF-EDIN-2</v>
          </cell>
          <cell r="O2598">
            <v>2.8751126455947795</v>
          </cell>
          <cell r="T2598">
            <v>1.9253169475530199</v>
          </cell>
        </row>
        <row r="2599">
          <cell r="A2599" t="str">
            <v>ANTEL</v>
          </cell>
          <cell r="B2599" t="str">
            <v>BXA-171085-8CF-EDIN-X</v>
          </cell>
          <cell r="O2599">
            <v>2.8751126455947795</v>
          </cell>
          <cell r="T2599">
            <v>1.9253169475530199</v>
          </cell>
        </row>
        <row r="2600">
          <cell r="A2600" t="str">
            <v>ANTEL</v>
          </cell>
          <cell r="B2600" t="str">
            <v>BXA-171090-8CF-EDIN-X</v>
          </cell>
          <cell r="O2600">
            <v>2.8751126455947795</v>
          </cell>
          <cell r="T2600">
            <v>1.9253169475530199</v>
          </cell>
        </row>
        <row r="2601">
          <cell r="A2601" t="str">
            <v>ANTEL</v>
          </cell>
          <cell r="B2601" t="str">
            <v>BXA-171090/8CF</v>
          </cell>
          <cell r="O2601">
            <v>2.8751126455947795</v>
          </cell>
          <cell r="T2601">
            <v>1.9253169475530199</v>
          </cell>
        </row>
        <row r="2602">
          <cell r="A2602" t="str">
            <v>ANTEL</v>
          </cell>
          <cell r="B2602" t="str">
            <v>BXA-171090/8CF-EDIN-0</v>
          </cell>
          <cell r="O2602">
            <v>2.8751126455947795</v>
          </cell>
          <cell r="T2602">
            <v>1.9253169475530199</v>
          </cell>
        </row>
        <row r="2603">
          <cell r="A2603" t="str">
            <v>ANTEL</v>
          </cell>
          <cell r="B2603" t="str">
            <v>BXA-185040-12CF</v>
          </cell>
          <cell r="O2603"/>
          <cell r="T2603"/>
        </row>
        <row r="2604">
          <cell r="A2604" t="str">
            <v>ANTEL</v>
          </cell>
          <cell r="B2604" t="str">
            <v>BXA-185040-12CF-EDIN-0</v>
          </cell>
          <cell r="O2604"/>
          <cell r="T2604"/>
        </row>
        <row r="2605">
          <cell r="A2605" t="str">
            <v>ANTEL</v>
          </cell>
          <cell r="B2605" t="str">
            <v>BXA-185040/4CFX6</v>
          </cell>
          <cell r="O2605"/>
          <cell r="T2605"/>
        </row>
        <row r="2606">
          <cell r="A2606" t="str">
            <v>ANTEL</v>
          </cell>
          <cell r="B2606" t="str">
            <v>BXA-185040/8CF</v>
          </cell>
          <cell r="O2606">
            <v>4.6384606481481487</v>
          </cell>
          <cell r="T2606">
            <v>1.8492094173457798</v>
          </cell>
        </row>
        <row r="2607">
          <cell r="A2607" t="str">
            <v>ANTEL</v>
          </cell>
          <cell r="B2607" t="str">
            <v>BXA-185040/8CFX2</v>
          </cell>
          <cell r="O2607">
            <v>4.6384606481481487</v>
          </cell>
          <cell r="T2607">
            <v>1.8492094173457798</v>
          </cell>
        </row>
        <row r="2608">
          <cell r="A2608" t="str">
            <v>ANTEL</v>
          </cell>
          <cell r="B2608" t="str">
            <v>BXA-185040/8CFX6</v>
          </cell>
          <cell r="O2608">
            <v>4.6384606481481487</v>
          </cell>
          <cell r="T2608">
            <v>1.8492094173457798</v>
          </cell>
        </row>
        <row r="2609">
          <cell r="A2609" t="str">
            <v>ANTEL</v>
          </cell>
          <cell r="B2609" t="str">
            <v>BXA-185060-8CF-EDIN-2-FP</v>
          </cell>
          <cell r="O2609">
            <v>2.6864972740622899</v>
          </cell>
          <cell r="T2609">
            <v>1.8040301737442199</v>
          </cell>
        </row>
        <row r="2610">
          <cell r="A2610" t="str">
            <v>ANTEL</v>
          </cell>
          <cell r="B2610" t="str">
            <v>BXA-185060-8CF-EDIN-X</v>
          </cell>
          <cell r="O2610">
            <v>2.63566433636149</v>
          </cell>
          <cell r="T2610">
            <v>1.7717521859710399</v>
          </cell>
        </row>
        <row r="2611">
          <cell r="A2611" t="str">
            <v>ANTEL</v>
          </cell>
          <cell r="B2611" t="str">
            <v>BXA-185060/12CF</v>
          </cell>
          <cell r="O2611">
            <v>4.4192186468993402</v>
          </cell>
          <cell r="T2611">
            <v>2.9631079029838401</v>
          </cell>
        </row>
        <row r="2612">
          <cell r="A2612" t="str">
            <v>ANTEL</v>
          </cell>
          <cell r="B2612" t="str">
            <v>BXA-185060/12CFX2</v>
          </cell>
          <cell r="O2612">
            <v>4.4192186468993402</v>
          </cell>
          <cell r="T2612">
            <v>2.9631079029838401</v>
          </cell>
        </row>
        <row r="2613">
          <cell r="A2613" t="str">
            <v>ANTEL</v>
          </cell>
          <cell r="B2613" t="str">
            <v>BXA-185060/4CF</v>
          </cell>
          <cell r="O2613">
            <v>1.3177417474517401</v>
          </cell>
          <cell r="T2613">
            <v>0.69632252570907405</v>
          </cell>
        </row>
        <row r="2614">
          <cell r="A2614" t="str">
            <v>ANTEL</v>
          </cell>
          <cell r="B2614" t="str">
            <v>BXA-185060/8BF</v>
          </cell>
          <cell r="O2614">
            <v>2.6864972740622899</v>
          </cell>
          <cell r="T2614">
            <v>1.8040301737442199</v>
          </cell>
        </row>
        <row r="2615">
          <cell r="A2615" t="str">
            <v>ANTEL</v>
          </cell>
          <cell r="B2615" t="str">
            <v>BXA-185060/8CF</v>
          </cell>
          <cell r="O2615">
            <v>2.8751126455947795</v>
          </cell>
          <cell r="T2615">
            <v>1.9253169475530199</v>
          </cell>
        </row>
        <row r="2616">
          <cell r="A2616" t="str">
            <v>ANTEL</v>
          </cell>
          <cell r="B2616" t="str">
            <v>BXA-185060/8CFX2</v>
          </cell>
          <cell r="O2616">
            <v>2.8751126455947795</v>
          </cell>
          <cell r="T2616">
            <v>1.9253169475530199</v>
          </cell>
        </row>
        <row r="2617">
          <cell r="A2617" t="str">
            <v>ANTEL</v>
          </cell>
          <cell r="B2617" t="str">
            <v>BXA-185060/8CFX4</v>
          </cell>
          <cell r="O2617">
            <v>2.6864972740622899</v>
          </cell>
          <cell r="T2617">
            <v>1.8040301737442199</v>
          </cell>
        </row>
        <row r="2618">
          <cell r="A2618" t="str">
            <v>ANTEL</v>
          </cell>
          <cell r="B2618" t="str">
            <v>BXA-185060/8CFX6</v>
          </cell>
          <cell r="O2618">
            <v>2.6864972740622899</v>
          </cell>
          <cell r="T2618">
            <v>1.8040301737442199</v>
          </cell>
        </row>
        <row r="2619">
          <cell r="A2619" t="str">
            <v>ANTEL</v>
          </cell>
          <cell r="B2619" t="str">
            <v>BXA-185060/8X6FP</v>
          </cell>
          <cell r="O2619">
            <v>2.6864972740622899</v>
          </cell>
          <cell r="T2619">
            <v>1.8040301737442199</v>
          </cell>
        </row>
        <row r="2620">
          <cell r="A2620" t="str">
            <v>ANTEL</v>
          </cell>
          <cell r="B2620" t="str">
            <v>BXA-185063-12CF-EDIN-2</v>
          </cell>
          <cell r="O2620">
            <v>4.4192186468993402</v>
          </cell>
          <cell r="T2620">
            <v>2.9631079029838401</v>
          </cell>
        </row>
        <row r="2621">
          <cell r="A2621" t="str">
            <v>ANTEL</v>
          </cell>
          <cell r="B2621" t="str">
            <v>BXA-185063-12CF-EDIN-4</v>
          </cell>
          <cell r="O2621">
            <v>4.4192186468993402</v>
          </cell>
          <cell r="T2621">
            <v>2.9631079029838401</v>
          </cell>
        </row>
        <row r="2622">
          <cell r="A2622" t="str">
            <v>ANTEL</v>
          </cell>
          <cell r="B2622" t="str">
            <v>BXA-185063-16CF-EDIN-2</v>
          </cell>
          <cell r="O2622">
            <v>5.9859159746297896</v>
          </cell>
          <cell r="T2622">
            <v>4.0138723005524799</v>
          </cell>
        </row>
        <row r="2623">
          <cell r="A2623" t="str">
            <v>ANTEL</v>
          </cell>
          <cell r="B2623" t="str">
            <v>BXA-185063/12CF</v>
          </cell>
          <cell r="O2623">
            <v>4.4192186468993402</v>
          </cell>
          <cell r="T2623">
            <v>2.9631079029838401</v>
          </cell>
        </row>
        <row r="2624">
          <cell r="A2624" t="str">
            <v>ANTEL</v>
          </cell>
          <cell r="B2624" t="str">
            <v>BXA-185063/12CFX2</v>
          </cell>
          <cell r="O2624">
            <v>4.4192186468993402</v>
          </cell>
          <cell r="T2624">
            <v>2.9631079029838401</v>
          </cell>
        </row>
        <row r="2625">
          <cell r="A2625" t="str">
            <v>ANTEL</v>
          </cell>
          <cell r="B2625" t="str">
            <v>BXA-185063/16CF</v>
          </cell>
          <cell r="O2625">
            <v>5.9859159746297896</v>
          </cell>
          <cell r="T2625">
            <v>4.0138723005524799</v>
          </cell>
        </row>
        <row r="2626">
          <cell r="A2626" t="str">
            <v>ANTEL</v>
          </cell>
          <cell r="B2626" t="str">
            <v>BXA-185063/4CF</v>
          </cell>
          <cell r="O2626">
            <v>1.3177417474517401</v>
          </cell>
          <cell r="T2626">
            <v>0.69632252570907405</v>
          </cell>
        </row>
        <row r="2627">
          <cell r="A2627" t="str">
            <v>ANTEL</v>
          </cell>
          <cell r="B2627" t="str">
            <v>BXA-185063/8BFXFP</v>
          </cell>
          <cell r="O2627">
            <v>2.6864972740622899</v>
          </cell>
          <cell r="T2627">
            <v>1.8040301737442199</v>
          </cell>
        </row>
        <row r="2628">
          <cell r="A2628" t="str">
            <v>ANTEL</v>
          </cell>
          <cell r="B2628" t="str">
            <v>BXA-185063/8CF</v>
          </cell>
          <cell r="O2628">
            <v>2.6864972740622899</v>
          </cell>
          <cell r="T2628">
            <v>1.8040301737442199</v>
          </cell>
        </row>
        <row r="2629">
          <cell r="A2629" t="str">
            <v>ANTEL</v>
          </cell>
          <cell r="B2629" t="str">
            <v>BXA-185063/8CF-EDIN-6</v>
          </cell>
          <cell r="O2629">
            <v>2.6864972740622899</v>
          </cell>
          <cell r="T2629">
            <v>1.8040301737442199</v>
          </cell>
        </row>
        <row r="2630">
          <cell r="A2630" t="str">
            <v>ANTEL</v>
          </cell>
          <cell r="B2630" t="str">
            <v>BXA-185063/8CFE-DIN</v>
          </cell>
          <cell r="O2630">
            <v>2.6864972740622899</v>
          </cell>
          <cell r="T2630">
            <v>1.8040301737442199</v>
          </cell>
        </row>
        <row r="2631">
          <cell r="A2631" t="str">
            <v>ANTEL</v>
          </cell>
          <cell r="B2631" t="str">
            <v>BXA-185063/8CFNE</v>
          </cell>
          <cell r="O2631">
            <v>2.6864972740622899</v>
          </cell>
          <cell r="T2631">
            <v>1.8040301737442199</v>
          </cell>
        </row>
        <row r="2632">
          <cell r="A2632" t="str">
            <v>ANTEL</v>
          </cell>
          <cell r="B2632" t="str">
            <v>BXA-185063/8CFX2</v>
          </cell>
          <cell r="O2632">
            <v>2.6864972740622899</v>
          </cell>
          <cell r="T2632">
            <v>1.8040301737442199</v>
          </cell>
        </row>
        <row r="2633">
          <cell r="A2633" t="str">
            <v>ANTEL</v>
          </cell>
          <cell r="B2633" t="str">
            <v>BXA-185063/8CFX4</v>
          </cell>
          <cell r="O2633">
            <v>2.6864972740622899</v>
          </cell>
          <cell r="T2633">
            <v>1.8040301737442199</v>
          </cell>
        </row>
        <row r="2634">
          <cell r="A2634" t="str">
            <v>ANTEL</v>
          </cell>
          <cell r="B2634" t="str">
            <v>BXA-185063/8CFX6</v>
          </cell>
          <cell r="O2634">
            <v>2.6864972740622899</v>
          </cell>
          <cell r="T2634">
            <v>1.8040301737442199</v>
          </cell>
        </row>
        <row r="2635">
          <cell r="A2635" t="str">
            <v>ANTEL</v>
          </cell>
          <cell r="B2635" t="str">
            <v>BXA-185080-12CF</v>
          </cell>
          <cell r="O2635">
            <v>4.4192186468993402</v>
          </cell>
          <cell r="T2635">
            <v>2.9631079029838401</v>
          </cell>
        </row>
        <row r="2636">
          <cell r="A2636" t="str">
            <v>ANTEL</v>
          </cell>
          <cell r="B2636" t="str">
            <v>BXA-185085-12CF-EDIN-2</v>
          </cell>
          <cell r="O2636">
            <v>4.4192186468993402</v>
          </cell>
          <cell r="T2636">
            <v>2.9631079029838401</v>
          </cell>
        </row>
        <row r="2637">
          <cell r="A2637" t="str">
            <v>ANTEL</v>
          </cell>
          <cell r="B2637" t="str">
            <v>BXA-185085-16CF</v>
          </cell>
          <cell r="O2637">
            <v>5.9859159746297896</v>
          </cell>
          <cell r="T2637">
            <v>4.0138723005524799</v>
          </cell>
        </row>
        <row r="2638">
          <cell r="A2638" t="str">
            <v>ANTEL</v>
          </cell>
          <cell r="B2638" t="str">
            <v>BXA-185085-16CF-EDIN-0</v>
          </cell>
          <cell r="O2638">
            <v>5.9859159746297896</v>
          </cell>
          <cell r="T2638">
            <v>4.0138723005524799</v>
          </cell>
        </row>
        <row r="2639">
          <cell r="A2639" t="str">
            <v>ANTEL</v>
          </cell>
          <cell r="B2639" t="str">
            <v>BXA-185085/12CF</v>
          </cell>
          <cell r="O2639">
            <v>4.4192186468993402</v>
          </cell>
          <cell r="T2639">
            <v>2.9631079029838401</v>
          </cell>
        </row>
        <row r="2640">
          <cell r="A2640" t="str">
            <v>ANTEL</v>
          </cell>
          <cell r="B2640" t="str">
            <v>BXA-185085/12CFX2</v>
          </cell>
          <cell r="O2640">
            <v>4.4192186468993402</v>
          </cell>
          <cell r="T2640">
            <v>2.9631079029838401</v>
          </cell>
        </row>
        <row r="2641">
          <cell r="A2641" t="str">
            <v>ANTEL</v>
          </cell>
          <cell r="B2641" t="str">
            <v>BXA-185090/4CF</v>
          </cell>
          <cell r="O2641">
            <v>1.34573972539682</v>
          </cell>
          <cell r="T2641">
            <v>0.93105450435164905</v>
          </cell>
        </row>
        <row r="2642">
          <cell r="A2642" t="str">
            <v>ANTEL</v>
          </cell>
          <cell r="B2642" t="str">
            <v>BXA-185090/4CF_FP</v>
          </cell>
          <cell r="O2642">
            <v>1.34573972539682</v>
          </cell>
          <cell r="T2642">
            <v>0.93105450435164905</v>
          </cell>
        </row>
        <row r="2643">
          <cell r="A2643" t="str">
            <v>ANTEL</v>
          </cell>
          <cell r="B2643" t="str">
            <v>BXA-185090/8CF</v>
          </cell>
          <cell r="O2643">
            <v>2.8751126455947795</v>
          </cell>
          <cell r="T2643">
            <v>1.9253169475530199</v>
          </cell>
        </row>
        <row r="2644">
          <cell r="A2644" t="str">
            <v>ANTEL</v>
          </cell>
          <cell r="B2644" t="str">
            <v>BXA-185090/8CFE-DIN</v>
          </cell>
          <cell r="O2644">
            <v>2.8751126455947795</v>
          </cell>
          <cell r="T2644">
            <v>1.9253169475530199</v>
          </cell>
        </row>
        <row r="2645">
          <cell r="A2645" t="str">
            <v>ANTEL</v>
          </cell>
          <cell r="B2645" t="str">
            <v>BXA-185090/8CFNE</v>
          </cell>
          <cell r="O2645">
            <v>2.8751126455947795</v>
          </cell>
          <cell r="T2645">
            <v>1.9253169475530199</v>
          </cell>
        </row>
        <row r="2646">
          <cell r="A2646" t="str">
            <v>ANTEL</v>
          </cell>
          <cell r="B2646" t="str">
            <v>BXA-185090/8CFX2</v>
          </cell>
          <cell r="O2646">
            <v>2.8751126455947795</v>
          </cell>
          <cell r="T2646">
            <v>1.9253169475530199</v>
          </cell>
        </row>
        <row r="2647">
          <cell r="A2647" t="str">
            <v>ANTEL</v>
          </cell>
          <cell r="B2647" t="str">
            <v>BXA-700063-8BF-EDIN-5</v>
          </cell>
          <cell r="O2647">
            <v>9.7523346162302396</v>
          </cell>
          <cell r="T2647">
            <v>4.66393066743374</v>
          </cell>
        </row>
        <row r="2648">
          <cell r="A2648" t="str">
            <v>ANTEL</v>
          </cell>
          <cell r="B2648" t="str">
            <v>BXA-70033-6BF-EDIN</v>
          </cell>
          <cell r="O2648"/>
          <cell r="T2648"/>
        </row>
        <row r="2649">
          <cell r="A2649" t="str">
            <v>ANTEL</v>
          </cell>
          <cell r="B2649" t="str">
            <v>BXA-70033-6BF-EDIN-6</v>
          </cell>
          <cell r="O2649"/>
          <cell r="T2649"/>
        </row>
        <row r="2650">
          <cell r="A2650" t="str">
            <v>ANTEL</v>
          </cell>
          <cell r="B2650" t="str">
            <v>BXA-70033-8CF</v>
          </cell>
          <cell r="O2650"/>
          <cell r="T2650"/>
        </row>
        <row r="2651">
          <cell r="A2651" t="str">
            <v>ANTEL</v>
          </cell>
          <cell r="B2651" t="str">
            <v>BXA-70040-4CF-2</v>
          </cell>
          <cell r="O2651">
            <v>8.7399833219644183</v>
          </cell>
          <cell r="T2651">
            <v>2.8945980698824898</v>
          </cell>
        </row>
        <row r="2652">
          <cell r="A2652" t="str">
            <v>ANTEL</v>
          </cell>
          <cell r="B2652" t="str">
            <v>BXA-70040-4CF-EDIN-2</v>
          </cell>
          <cell r="O2652">
            <v>8.7399833219644183</v>
          </cell>
          <cell r="T2652">
            <v>2.8945980698824898</v>
          </cell>
        </row>
        <row r="2653">
          <cell r="A2653" t="str">
            <v>ANTEL</v>
          </cell>
          <cell r="B2653" t="str">
            <v>BXA-70040-4CF-EDIN-4</v>
          </cell>
          <cell r="O2653">
            <v>8.7399833219644183</v>
          </cell>
          <cell r="T2653">
            <v>2.8945980698824898</v>
          </cell>
        </row>
        <row r="2654">
          <cell r="A2654" t="str">
            <v>ANTEL</v>
          </cell>
          <cell r="B2654" t="str">
            <v>BXA-70040-4CF-EDIN-X</v>
          </cell>
          <cell r="O2654">
            <v>8.7399833219644183</v>
          </cell>
          <cell r="T2654">
            <v>2.8945980698824898</v>
          </cell>
        </row>
        <row r="2655">
          <cell r="A2655" t="str">
            <v>ANTEL</v>
          </cell>
          <cell r="B2655" t="str">
            <v>BXA-70040-6CF-EDIN-0</v>
          </cell>
          <cell r="O2655">
            <v>12.938155864197491</v>
          </cell>
          <cell r="T2655">
            <v>4.2788327035576996</v>
          </cell>
        </row>
        <row r="2656">
          <cell r="A2656" t="str">
            <v>ANTEL</v>
          </cell>
          <cell r="B2656" t="str">
            <v>BXA-70040-6CF-EDIN-2</v>
          </cell>
          <cell r="O2656">
            <v>12.938155864197491</v>
          </cell>
          <cell r="T2656">
            <v>4.2788327035576996</v>
          </cell>
        </row>
        <row r="2657">
          <cell r="A2657" t="str">
            <v>ANTEL</v>
          </cell>
          <cell r="B2657" t="str">
            <v>BXA-70040-6CF-EDIN-6</v>
          </cell>
          <cell r="O2657">
            <v>12.938155864197491</v>
          </cell>
          <cell r="T2657">
            <v>4.2788327035576996</v>
          </cell>
        </row>
        <row r="2658">
          <cell r="A2658" t="str">
            <v>ANTEL</v>
          </cell>
          <cell r="B2658" t="str">
            <v>BXA-70040-6CF-EDIN-8</v>
          </cell>
          <cell r="O2658">
            <v>12.938155864197491</v>
          </cell>
          <cell r="T2658">
            <v>4.2788327035576996</v>
          </cell>
        </row>
        <row r="2659">
          <cell r="A2659" t="str">
            <v>ANTEL</v>
          </cell>
          <cell r="B2659" t="str">
            <v>BXA-70040-8CF-EDIN-2</v>
          </cell>
          <cell r="O2659">
            <v>17.7577112268519</v>
          </cell>
          <cell r="T2659">
            <v>5.8731950234891404</v>
          </cell>
        </row>
        <row r="2660">
          <cell r="A2660" t="str">
            <v>ANTEL</v>
          </cell>
          <cell r="B2660" t="str">
            <v>BXA-70040-8CF-EDIN-4</v>
          </cell>
          <cell r="O2660">
            <v>17.7577112268519</v>
          </cell>
          <cell r="T2660">
            <v>5.8731950234891404</v>
          </cell>
        </row>
        <row r="2661">
          <cell r="A2661" t="str">
            <v>ANTEL</v>
          </cell>
          <cell r="B2661" t="str">
            <v>BXA-70040-8CF-EDIN-X</v>
          </cell>
          <cell r="O2661">
            <v>17.7577112268519</v>
          </cell>
          <cell r="T2661">
            <v>5.8731950234891404</v>
          </cell>
        </row>
        <row r="2662">
          <cell r="A2662" t="str">
            <v>ANTEL</v>
          </cell>
          <cell r="B2662" t="str">
            <v>BXA-70040/4CF</v>
          </cell>
          <cell r="O2662">
            <v>8.7399833219644183</v>
          </cell>
          <cell r="T2662">
            <v>2.8945980698824898</v>
          </cell>
        </row>
        <row r="2663">
          <cell r="A2663" t="str">
            <v>ANTEL</v>
          </cell>
          <cell r="B2663" t="str">
            <v>BXA-70040/4CFX6</v>
          </cell>
          <cell r="O2663">
            <v>8.7399833219644183</v>
          </cell>
          <cell r="T2663">
            <v>2.8945980698824898</v>
          </cell>
        </row>
        <row r="2664">
          <cell r="A2664" t="str">
            <v>ANTEL</v>
          </cell>
          <cell r="B2664" t="str">
            <v>BXA-70040/6CF</v>
          </cell>
          <cell r="O2664">
            <v>12.938155864197491</v>
          </cell>
          <cell r="T2664">
            <v>4.2788327035576996</v>
          </cell>
        </row>
        <row r="2665">
          <cell r="A2665" t="str">
            <v>ANTEL</v>
          </cell>
          <cell r="B2665" t="str">
            <v>BXA-70040/6CFX2</v>
          </cell>
          <cell r="O2665">
            <v>12.8237847222222</v>
          </cell>
          <cell r="T2665">
            <v>4.2973733293533289</v>
          </cell>
        </row>
        <row r="2666">
          <cell r="A2666" t="str">
            <v>ANTEL</v>
          </cell>
          <cell r="B2666" t="str">
            <v>BXA-70040/6CFX4</v>
          </cell>
          <cell r="O2666">
            <v>12.8237847222222</v>
          </cell>
          <cell r="T2666">
            <v>4.2973733293533289</v>
          </cell>
        </row>
        <row r="2667">
          <cell r="A2667" t="str">
            <v>ANTEL</v>
          </cell>
          <cell r="B2667" t="str">
            <v>BXA-70040/8CF</v>
          </cell>
          <cell r="O2667">
            <v>17.7577112268519</v>
          </cell>
          <cell r="T2667">
            <v>5.8731950234891404</v>
          </cell>
        </row>
        <row r="2668">
          <cell r="A2668" t="str">
            <v>ANTEL</v>
          </cell>
          <cell r="B2668" t="str">
            <v>BXA-70040/8CF-7</v>
          </cell>
          <cell r="O2668">
            <v>17.7577112268519</v>
          </cell>
          <cell r="T2668">
            <v>5.8731950234891404</v>
          </cell>
        </row>
        <row r="2669">
          <cell r="A2669" t="str">
            <v>ANTEL</v>
          </cell>
          <cell r="B2669" t="str">
            <v>BXA-70040/8CFX2</v>
          </cell>
          <cell r="O2669">
            <v>17.7577112268519</v>
          </cell>
          <cell r="T2669">
            <v>5.8731950234891404</v>
          </cell>
        </row>
        <row r="2670">
          <cell r="A2670" t="str">
            <v>ANTEL</v>
          </cell>
          <cell r="B2670" t="str">
            <v>BXA-70040/8CFX4</v>
          </cell>
          <cell r="O2670">
            <v>17.7577112268519</v>
          </cell>
          <cell r="T2670">
            <v>5.8731950234891404</v>
          </cell>
        </row>
        <row r="2671">
          <cell r="A2671" t="str">
            <v>ANTEL</v>
          </cell>
          <cell r="B2671" t="str">
            <v>BXA-70040/8CFX6</v>
          </cell>
          <cell r="O2671">
            <v>17.7577112268519</v>
          </cell>
          <cell r="T2671">
            <v>5.8731950234891404</v>
          </cell>
        </row>
        <row r="2672">
          <cell r="A2672" t="str">
            <v>ANTEL</v>
          </cell>
          <cell r="B2672" t="str">
            <v>BXA-70063-12CF-EDIN-0</v>
          </cell>
          <cell r="O2672"/>
          <cell r="T2672"/>
        </row>
        <row r="2673">
          <cell r="A2673" t="str">
            <v>ANTEL</v>
          </cell>
          <cell r="B2673" t="str">
            <v>BXA-70063-4CF-EDIN-0-FP</v>
          </cell>
          <cell r="O2673">
            <v>4.8400009219999998</v>
          </cell>
          <cell r="T2673">
            <v>2.4720215839999997</v>
          </cell>
        </row>
        <row r="2674">
          <cell r="A2674" t="str">
            <v>ANTEL</v>
          </cell>
          <cell r="B2674" t="str">
            <v>BXA-70063-4CF-EDIN-10</v>
          </cell>
          <cell r="O2674">
            <v>4.8400009219999998</v>
          </cell>
          <cell r="T2674">
            <v>2.4720215839999997</v>
          </cell>
        </row>
        <row r="2675">
          <cell r="A2675" t="str">
            <v>ANTEL</v>
          </cell>
          <cell r="B2675" t="str">
            <v>BXA-70063-4CF-EDIN-4</v>
          </cell>
          <cell r="O2675">
            <v>4.8400009219999998</v>
          </cell>
          <cell r="T2675">
            <v>2.4720215839999997</v>
          </cell>
        </row>
        <row r="2676">
          <cell r="A2676" t="str">
            <v>ANTEL</v>
          </cell>
          <cell r="B2676" t="str">
            <v>BXA-70063-4CF-EDIN-5</v>
          </cell>
          <cell r="O2676">
            <v>4.8400009219999998</v>
          </cell>
          <cell r="T2676">
            <v>2.4720215839999997</v>
          </cell>
        </row>
        <row r="2677">
          <cell r="A2677" t="str">
            <v>ANTEL</v>
          </cell>
          <cell r="B2677" t="str">
            <v>BXA-70063-4CF-EDIN-6</v>
          </cell>
          <cell r="O2677">
            <v>4.8400009219999998</v>
          </cell>
          <cell r="T2677">
            <v>2.4720215839999997</v>
          </cell>
        </row>
        <row r="2678">
          <cell r="A2678" t="str">
            <v>ANTEL</v>
          </cell>
          <cell r="B2678" t="str">
            <v>BXA-70063-4CF-EDIN-9</v>
          </cell>
          <cell r="O2678">
            <v>4.8400009219999998</v>
          </cell>
          <cell r="T2678">
            <v>2.4720215839999997</v>
          </cell>
        </row>
        <row r="2679">
          <cell r="A2679" t="str">
            <v>ANTEL</v>
          </cell>
          <cell r="B2679" t="str">
            <v>BXA-70063-4CF-EDIN-X</v>
          </cell>
          <cell r="O2679">
            <v>4.8400009219999998</v>
          </cell>
          <cell r="T2679">
            <v>2.4720215839999997</v>
          </cell>
        </row>
        <row r="2680">
          <cell r="A2680" t="str">
            <v>ANTEL</v>
          </cell>
          <cell r="B2680" t="str">
            <v>BXA-70063-6BF-EDIN-0</v>
          </cell>
          <cell r="O2680">
            <v>7.0525654388915795</v>
          </cell>
          <cell r="T2680">
            <v>3.3629459940171</v>
          </cell>
        </row>
        <row r="2681">
          <cell r="A2681" t="str">
            <v>ANTEL</v>
          </cell>
          <cell r="B2681" t="str">
            <v>BXA-70063-6CF-2</v>
          </cell>
          <cell r="O2681">
            <v>7.3755063657407396</v>
          </cell>
          <cell r="T2681">
            <v>3.9435192970349098</v>
          </cell>
        </row>
        <row r="2682">
          <cell r="A2682" t="str">
            <v>ANTEL</v>
          </cell>
          <cell r="B2682" t="str">
            <v>BXA-70063-6CF-EDIN-0</v>
          </cell>
          <cell r="O2682">
            <v>7.440138700540369</v>
          </cell>
          <cell r="T2682">
            <v>3.7995876552138097</v>
          </cell>
        </row>
        <row r="2683">
          <cell r="A2683" t="str">
            <v>ANTEL</v>
          </cell>
          <cell r="B2683" t="str">
            <v>BXA-70063-6CF-EDIN-2</v>
          </cell>
          <cell r="O2683">
            <v>7.440138700540369</v>
          </cell>
          <cell r="T2683">
            <v>3.7995876552138097</v>
          </cell>
        </row>
        <row r="2684">
          <cell r="A2684" t="str">
            <v>ANTEL</v>
          </cell>
          <cell r="B2684" t="str">
            <v>BXA-70063-6CF-EDIN-4</v>
          </cell>
          <cell r="O2684">
            <v>7.440138700540369</v>
          </cell>
          <cell r="T2684">
            <v>3.7995876552138097</v>
          </cell>
        </row>
        <row r="2685">
          <cell r="A2685" t="str">
            <v>ANTEL</v>
          </cell>
          <cell r="B2685" t="str">
            <v>BXA-70063-6CF-EDIN-5</v>
          </cell>
          <cell r="O2685">
            <v>7.440138700540369</v>
          </cell>
          <cell r="T2685">
            <v>3.7995876552138097</v>
          </cell>
        </row>
        <row r="2686">
          <cell r="A2686" t="str">
            <v>ANTEL</v>
          </cell>
          <cell r="B2686" t="str">
            <v>BXA-70063-6CF-EDIN-6</v>
          </cell>
          <cell r="O2686">
            <v>7.440138700540369</v>
          </cell>
          <cell r="T2686">
            <v>3.7995876552138097</v>
          </cell>
        </row>
        <row r="2687">
          <cell r="A2687" t="str">
            <v>ANTEL</v>
          </cell>
          <cell r="B2687" t="str">
            <v>BXA-70063-6CF-EDIN-8</v>
          </cell>
          <cell r="O2687">
            <v>7.440138700540369</v>
          </cell>
          <cell r="T2687">
            <v>3.7995876552138097</v>
          </cell>
        </row>
        <row r="2688">
          <cell r="A2688" t="str">
            <v>ANTEL</v>
          </cell>
          <cell r="B2688" t="str">
            <v>BXA-70063-8BF-EDIN-0</v>
          </cell>
          <cell r="O2688">
            <v>9.7523346162302396</v>
          </cell>
          <cell r="T2688">
            <v>4.66393066743374</v>
          </cell>
        </row>
        <row r="2689">
          <cell r="A2689" t="str">
            <v>ANTEL</v>
          </cell>
          <cell r="B2689" t="str">
            <v>BXA-70063-8BF-EDIN-2</v>
          </cell>
          <cell r="O2689">
            <v>9.7523346162302396</v>
          </cell>
          <cell r="T2689">
            <v>4.66393066743374</v>
          </cell>
        </row>
        <row r="2690">
          <cell r="A2690" t="str">
            <v>ANTEL</v>
          </cell>
          <cell r="B2690" t="str">
            <v>BXA-70063-8BF-EDIN-4</v>
          </cell>
          <cell r="O2690">
            <v>9.7523346162302396</v>
          </cell>
          <cell r="T2690">
            <v>4.66393066743374</v>
          </cell>
        </row>
        <row r="2691">
          <cell r="A2691" t="str">
            <v>ANTEL</v>
          </cell>
          <cell r="B2691" t="str">
            <v>BXA-70063-8BF-EDIN-6</v>
          </cell>
          <cell r="O2691">
            <v>9.7523346162302396</v>
          </cell>
          <cell r="T2691">
            <v>4.66393066743374</v>
          </cell>
        </row>
        <row r="2692">
          <cell r="A2692" t="str">
            <v>ANTEL</v>
          </cell>
          <cell r="B2692" t="str">
            <v>BXA-70063-8BF-EDIN-7</v>
          </cell>
          <cell r="O2692">
            <v>9.7523346162302396</v>
          </cell>
          <cell r="T2692">
            <v>4.66393066743374</v>
          </cell>
        </row>
        <row r="2693">
          <cell r="A2693" t="str">
            <v>ANTEL</v>
          </cell>
          <cell r="B2693" t="str">
            <v>BXA-70063-8BF-EDIN-X</v>
          </cell>
          <cell r="O2693">
            <v>9.7523346162302396</v>
          </cell>
          <cell r="T2693">
            <v>4.66393066743374</v>
          </cell>
        </row>
        <row r="2694">
          <cell r="A2694" t="str">
            <v>ANTEL</v>
          </cell>
          <cell r="B2694" t="str">
            <v>BXA-70063-8CF-2</v>
          </cell>
          <cell r="O2694">
            <v>10.13803081</v>
          </cell>
          <cell r="T2694">
            <v>5.1398342799999996</v>
          </cell>
        </row>
        <row r="2695">
          <cell r="A2695" t="str">
            <v>ANTEL</v>
          </cell>
          <cell r="B2695" t="str">
            <v>BXA-70063-8CF-4</v>
          </cell>
          <cell r="O2695">
            <v>10.0837383599037</v>
          </cell>
          <cell r="T2695">
            <v>4.7186717144502293</v>
          </cell>
        </row>
        <row r="2696">
          <cell r="A2696" t="str">
            <v>ANTEL</v>
          </cell>
          <cell r="B2696" t="str">
            <v>BXA-70063-8CF-EDIN</v>
          </cell>
          <cell r="O2696">
            <v>10.13803081</v>
          </cell>
          <cell r="T2696">
            <v>5.1398342799999996</v>
          </cell>
        </row>
        <row r="2697">
          <cell r="A2697" t="str">
            <v>ANTEL</v>
          </cell>
          <cell r="B2697" t="str">
            <v>BXA-70063-8CF-EDIN-2</v>
          </cell>
          <cell r="O2697">
            <v>10.13803081</v>
          </cell>
          <cell r="T2697">
            <v>5.1398342799999996</v>
          </cell>
        </row>
        <row r="2698">
          <cell r="A2698" t="str">
            <v>ANTEL</v>
          </cell>
          <cell r="B2698" t="str">
            <v>BXA-70063-8CF-EDIN-3</v>
          </cell>
          <cell r="O2698">
            <v>10.13803081</v>
          </cell>
          <cell r="T2698">
            <v>5.1398342799999996</v>
          </cell>
        </row>
        <row r="2699">
          <cell r="A2699" t="str">
            <v>ANTEL</v>
          </cell>
          <cell r="B2699" t="str">
            <v>BXA-70063-8CF-EDIN-4</v>
          </cell>
          <cell r="O2699">
            <v>10.13803081</v>
          </cell>
          <cell r="T2699">
            <v>5.1398342799999996</v>
          </cell>
        </row>
        <row r="2700">
          <cell r="A2700" t="str">
            <v>ANTEL</v>
          </cell>
          <cell r="B2700" t="str">
            <v>BXA-70063-8CF-EDIN-5</v>
          </cell>
          <cell r="O2700">
            <v>10.13803081</v>
          </cell>
          <cell r="T2700">
            <v>5.1398342799999996</v>
          </cell>
        </row>
        <row r="2701">
          <cell r="A2701" t="str">
            <v>ANTEL</v>
          </cell>
          <cell r="B2701" t="str">
            <v>BXA-70063-8CF-EDIN-6</v>
          </cell>
          <cell r="O2701">
            <v>10.13803081</v>
          </cell>
          <cell r="T2701">
            <v>5.1398342799999996</v>
          </cell>
        </row>
        <row r="2702">
          <cell r="A2702" t="str">
            <v>ANTEL</v>
          </cell>
          <cell r="B2702" t="str">
            <v>BXA-70063-8CF-EDIN-X</v>
          </cell>
          <cell r="O2702">
            <v>10.13803081</v>
          </cell>
          <cell r="T2702">
            <v>5.1398342799999996</v>
          </cell>
        </row>
        <row r="2703">
          <cell r="A2703" t="str">
            <v>ANTEL</v>
          </cell>
          <cell r="B2703" t="str">
            <v>BXA-70063/2CF</v>
          </cell>
          <cell r="O2703">
            <v>2.2896774412654399</v>
          </cell>
          <cell r="T2703">
            <v>1.07016396198145</v>
          </cell>
        </row>
        <row r="2704">
          <cell r="A2704" t="str">
            <v>ANTEL</v>
          </cell>
          <cell r="B2704" t="str">
            <v>BXA-70063/4CF</v>
          </cell>
          <cell r="O2704">
            <v>4.8400009219999998</v>
          </cell>
          <cell r="T2704">
            <v>2.4720215839999997</v>
          </cell>
        </row>
        <row r="2705">
          <cell r="A2705" t="str">
            <v>ANTEL</v>
          </cell>
          <cell r="B2705" t="str">
            <v>BXA-70063/4CFX12</v>
          </cell>
          <cell r="O2705">
            <v>4.8130691751730996</v>
          </cell>
          <cell r="T2705">
            <v>2.2554215582648096</v>
          </cell>
        </row>
        <row r="2706">
          <cell r="A2706" t="str">
            <v>ANTEL</v>
          </cell>
          <cell r="B2706" t="str">
            <v>BXA-70063/4CFX14</v>
          </cell>
          <cell r="O2706">
            <v>4.8130691751730996</v>
          </cell>
          <cell r="T2706">
            <v>2.2554215582648096</v>
          </cell>
        </row>
        <row r="2707">
          <cell r="A2707" t="str">
            <v>ANTEL</v>
          </cell>
          <cell r="B2707" t="str">
            <v>BXA-70063/4CFX2</v>
          </cell>
          <cell r="O2707">
            <v>4.84000092196613</v>
          </cell>
          <cell r="T2707">
            <v>2.4720215843812099</v>
          </cell>
        </row>
        <row r="2708">
          <cell r="A2708" t="str">
            <v>ANTEL</v>
          </cell>
          <cell r="B2708" t="str">
            <v>BXA-70063/4CFX2FP</v>
          </cell>
          <cell r="O2708">
            <v>4.8400009219999998</v>
          </cell>
          <cell r="T2708">
            <v>2.4720215839999997</v>
          </cell>
        </row>
        <row r="2709">
          <cell r="A2709" t="str">
            <v>ANTEL</v>
          </cell>
          <cell r="B2709" t="str">
            <v>BXA-70063/4CFX4</v>
          </cell>
          <cell r="O2709">
            <v>4.8400009219999998</v>
          </cell>
          <cell r="T2709">
            <v>2.4720215839999997</v>
          </cell>
        </row>
        <row r="2710">
          <cell r="A2710" t="str">
            <v>ANTEL</v>
          </cell>
          <cell r="B2710" t="str">
            <v>BXA-70063/4CFX5</v>
          </cell>
          <cell r="O2710">
            <v>4.8130691751730996</v>
          </cell>
          <cell r="T2710">
            <v>2.2554215582648096</v>
          </cell>
        </row>
        <row r="2711">
          <cell r="A2711" t="str">
            <v>ANTEL</v>
          </cell>
          <cell r="B2711" t="str">
            <v>BXA-70063/4CFX6</v>
          </cell>
          <cell r="O2711">
            <v>4.8130691751730996</v>
          </cell>
          <cell r="T2711">
            <v>2.2554215582648096</v>
          </cell>
        </row>
        <row r="2712">
          <cell r="A2712" t="str">
            <v>ANTEL</v>
          </cell>
          <cell r="B2712" t="str">
            <v>BXA-70063/4CFX8</v>
          </cell>
          <cell r="O2712">
            <v>4.8130691751730996</v>
          </cell>
          <cell r="T2712">
            <v>2.2554215582648096</v>
          </cell>
        </row>
        <row r="2713">
          <cell r="A2713" t="str">
            <v>ANTEL</v>
          </cell>
          <cell r="B2713" t="str">
            <v>BXA-70063/4CFXFP</v>
          </cell>
          <cell r="O2713">
            <v>4.8130691751730996</v>
          </cell>
          <cell r="T2713">
            <v>2.2554215582648096</v>
          </cell>
        </row>
        <row r="2714">
          <cell r="A2714" t="str">
            <v>ANTEL</v>
          </cell>
          <cell r="B2714" t="str">
            <v>BXA-70063/6CF</v>
          </cell>
          <cell r="O2714">
            <v>7.3755063657407396</v>
          </cell>
          <cell r="T2714">
            <v>3.9435192970349098</v>
          </cell>
        </row>
        <row r="2715">
          <cell r="A2715" t="str">
            <v>ANTEL</v>
          </cell>
          <cell r="B2715" t="str">
            <v>BXA-70063/6CF-2</v>
          </cell>
          <cell r="O2715">
            <v>7.3988649547735292</v>
          </cell>
          <cell r="T2715">
            <v>3.0019207564416597</v>
          </cell>
        </row>
        <row r="2716">
          <cell r="A2716" t="str">
            <v>ANTEL</v>
          </cell>
          <cell r="B2716" t="str">
            <v>BXA-70063/6CF-EDIN</v>
          </cell>
          <cell r="O2716">
            <v>7.3988649547735292</v>
          </cell>
          <cell r="T2716">
            <v>3.0019207564416597</v>
          </cell>
        </row>
        <row r="2717">
          <cell r="A2717" t="str">
            <v>ANTEL</v>
          </cell>
          <cell r="B2717" t="str">
            <v>BXA-70063/6CFX10</v>
          </cell>
          <cell r="O2717">
            <v>7.3988649547735292</v>
          </cell>
          <cell r="T2717">
            <v>3.0019207564416597</v>
          </cell>
        </row>
        <row r="2718">
          <cell r="A2718" t="str">
            <v>ANTEL</v>
          </cell>
          <cell r="B2718" t="str">
            <v>BXA-70063/6CFX2</v>
          </cell>
          <cell r="O2718">
            <v>7.3988649547735292</v>
          </cell>
          <cell r="T2718">
            <v>3.0019207564416597</v>
          </cell>
        </row>
        <row r="2719">
          <cell r="A2719" t="str">
            <v>ANTEL</v>
          </cell>
          <cell r="B2719" t="str">
            <v>BXA-70063/6CFX4</v>
          </cell>
          <cell r="O2719">
            <v>7.3988649547735292</v>
          </cell>
          <cell r="T2719">
            <v>3.0019207564416597</v>
          </cell>
        </row>
        <row r="2720">
          <cell r="A2720" t="str">
            <v>ANTEL</v>
          </cell>
          <cell r="B2720" t="str">
            <v>BXA-70063/6CFX6</v>
          </cell>
          <cell r="O2720">
            <v>7.3988649547735292</v>
          </cell>
          <cell r="T2720">
            <v>3.0019207564416597</v>
          </cell>
        </row>
        <row r="2721">
          <cell r="A2721" t="str">
            <v>ANTEL</v>
          </cell>
          <cell r="B2721" t="str">
            <v>BXA-70063/6CFX8</v>
          </cell>
          <cell r="O2721">
            <v>7.3988649547735292</v>
          </cell>
          <cell r="T2721">
            <v>3.0019207564416597</v>
          </cell>
        </row>
        <row r="2722">
          <cell r="A2722" t="str">
            <v>ANTEL</v>
          </cell>
          <cell r="B2722" t="str">
            <v>BXA-70063/8CF</v>
          </cell>
          <cell r="O2722">
            <v>10.089450539425199</v>
          </cell>
          <cell r="T2722">
            <v>4.7179102512617801</v>
          </cell>
        </row>
        <row r="2723">
          <cell r="A2723" t="str">
            <v>ANTEL</v>
          </cell>
          <cell r="B2723" t="str">
            <v>BXA-70063/8CFX10</v>
          </cell>
          <cell r="O2723">
            <v>10.0837383599037</v>
          </cell>
          <cell r="T2723">
            <v>4.7186717144502293</v>
          </cell>
        </row>
        <row r="2724">
          <cell r="A2724" t="str">
            <v>ANTEL</v>
          </cell>
          <cell r="B2724" t="str">
            <v>BXA-70063/8CFX2</v>
          </cell>
          <cell r="O2724">
            <v>10.2236060673072</v>
          </cell>
          <cell r="T2724">
            <v>4.7817773541207096</v>
          </cell>
        </row>
        <row r="2725">
          <cell r="A2725" t="str">
            <v>ANTEL</v>
          </cell>
          <cell r="B2725" t="str">
            <v>BXA-70063/8CFX4</v>
          </cell>
          <cell r="O2725">
            <v>10.2236060673072</v>
          </cell>
          <cell r="T2725">
            <v>4.7817773541207096</v>
          </cell>
        </row>
        <row r="2726">
          <cell r="A2726" t="str">
            <v>ANTEL</v>
          </cell>
          <cell r="B2726" t="str">
            <v>BXA-70063/8CFX5</v>
          </cell>
          <cell r="O2726">
            <v>9.9627465477356889</v>
          </cell>
          <cell r="T2726">
            <v>4.04029061818642</v>
          </cell>
        </row>
        <row r="2727">
          <cell r="A2727" t="str">
            <v>ANTEL</v>
          </cell>
          <cell r="B2727" t="str">
            <v>BXA-70063/8CFX6</v>
          </cell>
          <cell r="O2727">
            <v>9.9627465477356889</v>
          </cell>
          <cell r="T2727">
            <v>4.04029061818642</v>
          </cell>
        </row>
        <row r="2728">
          <cell r="A2728" t="str">
            <v>ANTEL</v>
          </cell>
          <cell r="B2728" t="str">
            <v>BXA-70080-4BF-EDIN-0</v>
          </cell>
          <cell r="O2728">
            <v>3.1668138460905597</v>
          </cell>
          <cell r="T2728">
            <v>2.28205262535668</v>
          </cell>
        </row>
        <row r="2729">
          <cell r="A2729" t="str">
            <v>ANTEL</v>
          </cell>
          <cell r="B2729" t="str">
            <v>BXA-70080-4CF-2</v>
          </cell>
          <cell r="O2729">
            <v>4.94380931712963</v>
          </cell>
          <cell r="T2729">
            <v>2.5442076619038696</v>
          </cell>
        </row>
        <row r="2730">
          <cell r="A2730" t="str">
            <v>ANTEL</v>
          </cell>
          <cell r="B2730" t="str">
            <v>BXA-70080-4CF-EDIN-0</v>
          </cell>
          <cell r="O2730">
            <v>3.4134640979999999</v>
          </cell>
          <cell r="T2730">
            <v>2.4655784299999999</v>
          </cell>
        </row>
        <row r="2731">
          <cell r="A2731" t="str">
            <v>ANTEL</v>
          </cell>
          <cell r="B2731" t="str">
            <v>BXA-70080-4CF-EDIN-2</v>
          </cell>
          <cell r="O2731">
            <v>3.4134640979999999</v>
          </cell>
          <cell r="T2731">
            <v>2.4655784299999999</v>
          </cell>
        </row>
        <row r="2732">
          <cell r="A2732" t="str">
            <v>ANTEL</v>
          </cell>
          <cell r="B2732" t="str">
            <v>BXA-70080-4CF-EDIN-4</v>
          </cell>
          <cell r="O2732">
            <v>3.4134640979999999</v>
          </cell>
          <cell r="T2732">
            <v>2.4655784299999999</v>
          </cell>
        </row>
        <row r="2733">
          <cell r="A2733" t="str">
            <v>ANTEL</v>
          </cell>
          <cell r="B2733" t="str">
            <v>BXA-70080-6CF-2</v>
          </cell>
          <cell r="O2733">
            <v>5.2710303099999996</v>
          </cell>
          <cell r="T2733">
            <v>3.839330522</v>
          </cell>
        </row>
        <row r="2734">
          <cell r="A2734" t="str">
            <v>ANTEL</v>
          </cell>
          <cell r="B2734" t="str">
            <v>BXA-70080-6CF-4</v>
          </cell>
          <cell r="O2734">
            <v>5.2710303099999996</v>
          </cell>
          <cell r="T2734">
            <v>3.839330522</v>
          </cell>
        </row>
        <row r="2735">
          <cell r="A2735" t="str">
            <v>ANTEL</v>
          </cell>
          <cell r="B2735" t="str">
            <v>BXA-70080-6CF-EDIN-2</v>
          </cell>
          <cell r="O2735">
            <v>5.2710303099999996</v>
          </cell>
          <cell r="T2735">
            <v>3.839330522</v>
          </cell>
        </row>
        <row r="2736">
          <cell r="A2736" t="str">
            <v>ANTEL</v>
          </cell>
          <cell r="B2736" t="str">
            <v>BXA-70080-6CF-EDIN-4</v>
          </cell>
          <cell r="O2736">
            <v>5.2710303099999996</v>
          </cell>
          <cell r="T2736">
            <v>3.839330522</v>
          </cell>
        </row>
        <row r="2737">
          <cell r="A2737" t="str">
            <v>ANTEL</v>
          </cell>
          <cell r="B2737" t="str">
            <v>BXA-70080-6CF-EDIN-6</v>
          </cell>
          <cell r="O2737">
            <v>5.2710303099999996</v>
          </cell>
          <cell r="T2737">
            <v>3.839330522</v>
          </cell>
        </row>
        <row r="2738">
          <cell r="A2738" t="str">
            <v>ANTEL</v>
          </cell>
          <cell r="B2738" t="str">
            <v>BXA-70080-6CF-EDIN-X</v>
          </cell>
          <cell r="O2738">
            <v>5.2710303099999996</v>
          </cell>
          <cell r="T2738">
            <v>3.839330522</v>
          </cell>
        </row>
        <row r="2739">
          <cell r="A2739" t="str">
            <v>ANTEL</v>
          </cell>
          <cell r="B2739" t="str">
            <v>BXA-70080-8BF-EDIN-0-FP</v>
          </cell>
          <cell r="O2739"/>
          <cell r="T2739"/>
        </row>
        <row r="2740">
          <cell r="A2740" t="str">
            <v>ANTEL</v>
          </cell>
          <cell r="B2740" t="str">
            <v>BXA-70080-8BF-EDIN-6</v>
          </cell>
          <cell r="O2740">
            <v>7.1242781969999989</v>
          </cell>
          <cell r="T2740">
            <v>5.2293551039999997</v>
          </cell>
        </row>
        <row r="2741">
          <cell r="A2741" t="str">
            <v>ANTEL</v>
          </cell>
          <cell r="B2741" t="str">
            <v>BXA-70080-8BF-EDIN-7</v>
          </cell>
          <cell r="O2741">
            <v>7.1242781969999989</v>
          </cell>
          <cell r="T2741">
            <v>5.2293551039999997</v>
          </cell>
        </row>
        <row r="2742">
          <cell r="A2742" t="str">
            <v>ANTEL</v>
          </cell>
          <cell r="B2742" t="str">
            <v>BXA-70080-8BF-EDIN-7-FP</v>
          </cell>
          <cell r="O2742"/>
          <cell r="T2742"/>
        </row>
        <row r="2743">
          <cell r="A2743" t="str">
            <v>ANTEL</v>
          </cell>
          <cell r="B2743" t="str">
            <v>BXA-70080-8CF-0</v>
          </cell>
          <cell r="O2743">
            <v>7.1242781969999989</v>
          </cell>
          <cell r="T2743">
            <v>5.2293551039999997</v>
          </cell>
        </row>
        <row r="2744">
          <cell r="A2744" t="str">
            <v>ANTEL</v>
          </cell>
          <cell r="B2744" t="str">
            <v>BXA-70080-8CF-EDIN-0</v>
          </cell>
          <cell r="O2744">
            <v>7.1242781969999989</v>
          </cell>
          <cell r="T2744">
            <v>5.2293551039999997</v>
          </cell>
        </row>
        <row r="2745">
          <cell r="A2745" t="str">
            <v>ANTEL</v>
          </cell>
          <cell r="B2745" t="str">
            <v>BXA-70080-8CF-EDIN-2</v>
          </cell>
          <cell r="O2745">
            <v>7.1242781969999989</v>
          </cell>
          <cell r="T2745">
            <v>5.2293551039999997</v>
          </cell>
        </row>
        <row r="2746">
          <cell r="A2746" t="str">
            <v>ANTEL</v>
          </cell>
          <cell r="B2746" t="str">
            <v>BXA-70080-8CF-EDIN-4</v>
          </cell>
          <cell r="O2746">
            <v>7.1242781969999989</v>
          </cell>
          <cell r="T2746">
            <v>5.2293551039999997</v>
          </cell>
        </row>
        <row r="2747">
          <cell r="A2747" t="str">
            <v>ANTEL</v>
          </cell>
          <cell r="B2747" t="str">
            <v>BXA-70080-8CF-EDIN-X</v>
          </cell>
          <cell r="O2747">
            <v>7.1242781969999989</v>
          </cell>
          <cell r="T2747">
            <v>5.2293551039999997</v>
          </cell>
        </row>
        <row r="2748">
          <cell r="A2748" t="str">
            <v>ANTEL</v>
          </cell>
          <cell r="B2748" t="str">
            <v>BXA-70080/4CF</v>
          </cell>
          <cell r="O2748">
            <v>4.94380931712963</v>
          </cell>
          <cell r="T2748">
            <v>2.5442076619038696</v>
          </cell>
        </row>
        <row r="2749">
          <cell r="A2749" t="str">
            <v>ANTEL</v>
          </cell>
          <cell r="B2749" t="str">
            <v>BXA-70080/4CFX6</v>
          </cell>
          <cell r="O2749">
            <v>4.94380931712963</v>
          </cell>
          <cell r="T2749">
            <v>2.5442076619038696</v>
          </cell>
        </row>
        <row r="2750">
          <cell r="A2750" t="str">
            <v>ANTEL</v>
          </cell>
          <cell r="B2750" t="str">
            <v>BXA-70080/6CF</v>
          </cell>
          <cell r="O2750">
            <v>5.2710303099999996</v>
          </cell>
          <cell r="T2750">
            <v>3.839330522</v>
          </cell>
        </row>
        <row r="2751">
          <cell r="A2751" t="str">
            <v>ANTEL</v>
          </cell>
          <cell r="B2751" t="str">
            <v>BXA-70080/6CFX2</v>
          </cell>
          <cell r="O2751">
            <v>5.2706950120172902</v>
          </cell>
          <cell r="T2751">
            <v>3.6748936719559198</v>
          </cell>
        </row>
        <row r="2752">
          <cell r="A2752" t="str">
            <v>ANTEL</v>
          </cell>
          <cell r="B2752" t="str">
            <v>BXA-70080/8CF</v>
          </cell>
          <cell r="O2752">
            <v>7.151867821141499</v>
          </cell>
          <cell r="T2752">
            <v>5.0087332290086088</v>
          </cell>
        </row>
        <row r="2753">
          <cell r="A2753" t="str">
            <v>ANTEL</v>
          </cell>
          <cell r="B2753" t="str">
            <v>BXA-70080/8CFX2</v>
          </cell>
          <cell r="O2753">
            <v>7.151867821141499</v>
          </cell>
          <cell r="T2753">
            <v>5.0087332290086088</v>
          </cell>
        </row>
        <row r="2754">
          <cell r="A2754" t="str">
            <v>ANTEL</v>
          </cell>
          <cell r="B2754" t="str">
            <v>BXA-70080/8CFX4</v>
          </cell>
          <cell r="O2754">
            <v>7.151867821141499</v>
          </cell>
          <cell r="T2754">
            <v>5.0087332290086088</v>
          </cell>
        </row>
        <row r="2755">
          <cell r="A2755" t="str">
            <v>ANTEL</v>
          </cell>
          <cell r="B2755" t="str">
            <v>BXA-70080/8CFX6</v>
          </cell>
          <cell r="O2755">
            <v>7.151867821141499</v>
          </cell>
          <cell r="T2755">
            <v>5.0087332290086088</v>
          </cell>
        </row>
        <row r="2756">
          <cell r="A2756" t="str">
            <v>ANTEL</v>
          </cell>
          <cell r="B2756" t="str">
            <v>BXA-70090-6CF</v>
          </cell>
          <cell r="O2756">
            <v>5.2710303095578999</v>
          </cell>
          <cell r="T2756">
            <v>3.83933052186674</v>
          </cell>
        </row>
        <row r="2757">
          <cell r="A2757" t="str">
            <v>ANTEL</v>
          </cell>
          <cell r="B2757" t="str">
            <v>BXA-70090-6CF-EDIN-4</v>
          </cell>
          <cell r="O2757">
            <v>5.2710303095578999</v>
          </cell>
          <cell r="T2757">
            <v>3.83933052186674</v>
          </cell>
        </row>
        <row r="2758">
          <cell r="A2758" t="str">
            <v>ANTEL</v>
          </cell>
          <cell r="B2758" t="str">
            <v>BXA-70090-6CF-EDIN-8</v>
          </cell>
          <cell r="O2758"/>
          <cell r="T2758"/>
        </row>
        <row r="2759">
          <cell r="A2759" t="str">
            <v>ANTEL</v>
          </cell>
          <cell r="B2759" t="str">
            <v>BXA-70090-8BF-EDIN-X</v>
          </cell>
          <cell r="O2759">
            <v>7.1242781974837595</v>
          </cell>
          <cell r="T2759">
            <v>5.22935510392489</v>
          </cell>
        </row>
        <row r="2760">
          <cell r="A2760" t="str">
            <v>ANTEL</v>
          </cell>
          <cell r="B2760" t="str">
            <v>BXA-70090-8CF-EDIN-0</v>
          </cell>
          <cell r="O2760">
            <v>7.1242781974837595</v>
          </cell>
          <cell r="T2760">
            <v>5.22935510392489</v>
          </cell>
        </row>
        <row r="2761">
          <cell r="A2761" t="str">
            <v>ANTEL</v>
          </cell>
          <cell r="B2761" t="str">
            <v>BXA-70090-8CF-EDIN-X</v>
          </cell>
          <cell r="O2761">
            <v>7.1242781974837595</v>
          </cell>
          <cell r="T2761">
            <v>5.22935510392489</v>
          </cell>
        </row>
        <row r="2762">
          <cell r="A2762" t="str">
            <v>ANTEL</v>
          </cell>
          <cell r="B2762" t="str">
            <v>BXA-70090/4CF</v>
          </cell>
          <cell r="O2762">
            <v>3.4134640982142499</v>
          </cell>
          <cell r="T2762">
            <v>2.4655784300621697</v>
          </cell>
        </row>
        <row r="2763">
          <cell r="A2763" t="str">
            <v>ANTEL</v>
          </cell>
          <cell r="B2763" t="str">
            <v>BXA-70090/8CF</v>
          </cell>
          <cell r="O2763">
            <v>7.1242781974837595</v>
          </cell>
          <cell r="T2763">
            <v>5.22935510392489</v>
          </cell>
        </row>
        <row r="2764">
          <cell r="A2764" t="str">
            <v>ANTEL</v>
          </cell>
          <cell r="B2764" t="str">
            <v>BXA-80040-8CF-EDIN-X</v>
          </cell>
          <cell r="O2764">
            <v>17.7577112268519</v>
          </cell>
          <cell r="T2764">
            <v>5.8731950234891404</v>
          </cell>
        </row>
        <row r="2765">
          <cell r="A2765" t="str">
            <v>ANTEL</v>
          </cell>
          <cell r="B2765" t="str">
            <v>BXA-80040/4CF</v>
          </cell>
          <cell r="O2765">
            <v>8.0702861963009109</v>
          </cell>
          <cell r="T2765">
            <v>2.7041705019933904</v>
          </cell>
        </row>
        <row r="2766">
          <cell r="A2766" t="str">
            <v>ANTEL</v>
          </cell>
          <cell r="B2766" t="str">
            <v>BXA-80040/6CF</v>
          </cell>
          <cell r="O2766">
            <v>12.8237847222222</v>
          </cell>
          <cell r="T2766">
            <v>4.2973733293533289</v>
          </cell>
        </row>
        <row r="2767">
          <cell r="A2767" t="str">
            <v>ANTEL</v>
          </cell>
          <cell r="B2767" t="str">
            <v>BXA-80040/8CF</v>
          </cell>
          <cell r="O2767">
            <v>17.380859375</v>
          </cell>
          <cell r="T2767">
            <v>5.8253676348689298</v>
          </cell>
        </row>
        <row r="2768">
          <cell r="A2768" t="str">
            <v>ANTEL</v>
          </cell>
          <cell r="B2768" t="str">
            <v>BXA-80040/8CFX3</v>
          </cell>
          <cell r="O2768">
            <v>17.380859375</v>
          </cell>
          <cell r="T2768">
            <v>5.8253676348689298</v>
          </cell>
        </row>
        <row r="2769">
          <cell r="A2769" t="str">
            <v>ANTEL</v>
          </cell>
          <cell r="B2769" t="str">
            <v>BXA-80040/8CFX6</v>
          </cell>
          <cell r="O2769">
            <v>17.380859375</v>
          </cell>
          <cell r="T2769">
            <v>5.8253676348689298</v>
          </cell>
        </row>
        <row r="2770">
          <cell r="A2770" t="str">
            <v>ANTEL</v>
          </cell>
          <cell r="B2770" t="str">
            <v>BXA-80063-4CF-EDIN-2</v>
          </cell>
          <cell r="O2770">
            <v>4.7362715746402593</v>
          </cell>
          <cell r="T2770">
            <v>2.21276145067492</v>
          </cell>
        </row>
        <row r="2771">
          <cell r="A2771" t="str">
            <v>ANTEL</v>
          </cell>
          <cell r="B2771" t="str">
            <v>BXA-80063-4CF-EDIN-4</v>
          </cell>
          <cell r="O2771">
            <v>4.7362715746402593</v>
          </cell>
          <cell r="T2771">
            <v>2.21276145067492</v>
          </cell>
        </row>
        <row r="2772">
          <cell r="A2772" t="str">
            <v>ANTEL</v>
          </cell>
          <cell r="B2772" t="str">
            <v>BXA-80063-6CF-EDIN-2</v>
          </cell>
          <cell r="O2772">
            <v>7.4305990215086597</v>
          </cell>
          <cell r="T2772">
            <v>3.4871609798150298</v>
          </cell>
        </row>
        <row r="2773">
          <cell r="A2773" t="str">
            <v>ANTEL</v>
          </cell>
          <cell r="B2773" t="str">
            <v>BXA-80063-6CF-EDIN-3</v>
          </cell>
          <cell r="O2773">
            <v>7.4305990215086597</v>
          </cell>
          <cell r="T2773">
            <v>3.4871609798150298</v>
          </cell>
        </row>
        <row r="2774">
          <cell r="A2774" t="str">
            <v>ANTEL</v>
          </cell>
          <cell r="B2774" t="str">
            <v>BXA-80063-6CF-EDIN-X</v>
          </cell>
          <cell r="O2774">
            <v>7.4305990215086597</v>
          </cell>
          <cell r="T2774">
            <v>3.4871609798150298</v>
          </cell>
        </row>
        <row r="2775">
          <cell r="A2775" t="str">
            <v>ANTEL</v>
          </cell>
          <cell r="B2775" t="str">
            <v>BXA-80063-8CF-EDIN-2</v>
          </cell>
          <cell r="O2775">
            <v>10.089450539425199</v>
          </cell>
          <cell r="T2775">
            <v>4.7179102512617801</v>
          </cell>
        </row>
        <row r="2776">
          <cell r="A2776" t="str">
            <v>ANTEL</v>
          </cell>
          <cell r="B2776" t="str">
            <v>BXA-80063-8CF-EDIN-3</v>
          </cell>
          <cell r="O2776">
            <v>10.0837383599037</v>
          </cell>
          <cell r="T2776">
            <v>4.7186717144502293</v>
          </cell>
        </row>
        <row r="2777">
          <cell r="A2777" t="str">
            <v>ANTEL</v>
          </cell>
          <cell r="B2777" t="str">
            <v>BXA-80063-8CF-EDIN-5</v>
          </cell>
          <cell r="O2777">
            <v>10.0837383599037</v>
          </cell>
          <cell r="T2777">
            <v>4.7186717144502293</v>
          </cell>
        </row>
        <row r="2778">
          <cell r="A2778" t="str">
            <v>ANTEL</v>
          </cell>
          <cell r="B2778" t="str">
            <v>BXA-80063/2CF</v>
          </cell>
          <cell r="O2778">
            <v>2.2896774412654399</v>
          </cell>
          <cell r="T2778">
            <v>1.07016396198145</v>
          </cell>
        </row>
        <row r="2779">
          <cell r="A2779" t="str">
            <v>ANTEL</v>
          </cell>
          <cell r="B2779" t="str">
            <v>BXA-80063/4CF</v>
          </cell>
          <cell r="O2779">
            <v>4.8385011680708097</v>
          </cell>
          <cell r="T2779">
            <v>2.5879899003127997</v>
          </cell>
        </row>
        <row r="2780">
          <cell r="A2780" t="str">
            <v>ANTEL</v>
          </cell>
          <cell r="B2780" t="str">
            <v>BXA-80063/4CFX10</v>
          </cell>
          <cell r="O2780">
            <v>4.8130691751730996</v>
          </cell>
          <cell r="T2780">
            <v>2.2554215582648096</v>
          </cell>
        </row>
        <row r="2781">
          <cell r="A2781" t="str">
            <v>ANTEL</v>
          </cell>
          <cell r="B2781" t="str">
            <v>BXA-80063/4CFX5</v>
          </cell>
          <cell r="O2781">
            <v>4.8130691751730996</v>
          </cell>
          <cell r="T2781">
            <v>2.2554215582648096</v>
          </cell>
        </row>
        <row r="2782">
          <cell r="A2782" t="str">
            <v>ANTEL</v>
          </cell>
          <cell r="B2782" t="str">
            <v>BXA-80063/4CFX6</v>
          </cell>
          <cell r="O2782">
            <v>4.8130691751730996</v>
          </cell>
          <cell r="T2782">
            <v>2.2554215582648096</v>
          </cell>
        </row>
        <row r="2783">
          <cell r="A2783" t="str">
            <v>ANTEL</v>
          </cell>
          <cell r="B2783" t="str">
            <v>BXA-80063/4XFP</v>
          </cell>
          <cell r="O2783">
            <v>4.7920646766203499</v>
          </cell>
          <cell r="T2783">
            <v>1.9423006598779</v>
          </cell>
        </row>
        <row r="2784">
          <cell r="A2784" t="str">
            <v>ANTEL</v>
          </cell>
          <cell r="B2784" t="str">
            <v>BXA-80063/6</v>
          </cell>
          <cell r="O2784">
            <v>7.3988649547735292</v>
          </cell>
          <cell r="T2784">
            <v>3.0019207564416597</v>
          </cell>
        </row>
        <row r="2785">
          <cell r="A2785" t="str">
            <v>ANTEL</v>
          </cell>
          <cell r="B2785" t="str">
            <v>BXA-80063/6CF</v>
          </cell>
          <cell r="O2785">
            <v>7.3755063657407396</v>
          </cell>
          <cell r="T2785">
            <v>3.9435192970349098</v>
          </cell>
        </row>
        <row r="2786">
          <cell r="A2786" t="str">
            <v>ANTEL</v>
          </cell>
          <cell r="B2786" t="str">
            <v>BXA-80063/6CFX3</v>
          </cell>
          <cell r="O2786">
            <v>7.3988649547735292</v>
          </cell>
          <cell r="T2786">
            <v>3.0019207564416597</v>
          </cell>
        </row>
        <row r="2787">
          <cell r="A2787" t="str">
            <v>ANTEL</v>
          </cell>
          <cell r="B2787" t="str">
            <v>BXA-80063/6CFX5</v>
          </cell>
          <cell r="O2787">
            <v>7.3988649547735292</v>
          </cell>
          <cell r="T2787">
            <v>3.0019207564416597</v>
          </cell>
        </row>
        <row r="2788">
          <cell r="A2788" t="str">
            <v>ANTEL</v>
          </cell>
          <cell r="B2788" t="str">
            <v>BXA-80063/6CFX6</v>
          </cell>
          <cell r="O2788">
            <v>7.3988649547735292</v>
          </cell>
          <cell r="T2788">
            <v>3.0019207564416597</v>
          </cell>
        </row>
        <row r="2789">
          <cell r="A2789" t="str">
            <v>ANTEL</v>
          </cell>
          <cell r="B2789" t="str">
            <v>BXA-80063/6X3</v>
          </cell>
          <cell r="O2789">
            <v>7.3988649547735292</v>
          </cell>
          <cell r="T2789">
            <v>3.0019207564416597</v>
          </cell>
        </row>
        <row r="2790">
          <cell r="A2790" t="str">
            <v>ANTEL</v>
          </cell>
          <cell r="B2790" t="str">
            <v>BXA-80063/6X3FP</v>
          </cell>
          <cell r="O2790">
            <v>7.3988649547735292</v>
          </cell>
          <cell r="T2790">
            <v>3.0019207564416597</v>
          </cell>
        </row>
        <row r="2791">
          <cell r="A2791" t="str">
            <v>ANTEL</v>
          </cell>
          <cell r="B2791" t="str">
            <v>BXA-80063/8</v>
          </cell>
          <cell r="O2791">
            <v>10.2236060673072</v>
          </cell>
          <cell r="T2791">
            <v>4.7817773541207096</v>
          </cell>
        </row>
        <row r="2792">
          <cell r="A2792" t="str">
            <v>ANTEL</v>
          </cell>
          <cell r="B2792" t="str">
            <v>BXA-80063/8CF</v>
          </cell>
          <cell r="O2792">
            <v>10.2236060673072</v>
          </cell>
          <cell r="T2792">
            <v>4.7817773541207096</v>
          </cell>
        </row>
        <row r="2793">
          <cell r="A2793" t="str">
            <v>ANTEL</v>
          </cell>
          <cell r="B2793" t="str">
            <v>BXA-80063/8CFX10</v>
          </cell>
          <cell r="O2793">
            <v>10.036644306854999</v>
          </cell>
          <cell r="T2793">
            <v>4.7116282121482902</v>
          </cell>
        </row>
        <row r="2794">
          <cell r="A2794" t="str">
            <v>ANTEL</v>
          </cell>
          <cell r="B2794" t="str">
            <v>BXA-80063/8CFX2</v>
          </cell>
          <cell r="O2794">
            <v>10.036644306854999</v>
          </cell>
          <cell r="T2794">
            <v>4.7116282121482902</v>
          </cell>
        </row>
        <row r="2795">
          <cell r="A2795" t="str">
            <v>ANTEL</v>
          </cell>
          <cell r="B2795" t="str">
            <v>BXA-80063/8CFX3</v>
          </cell>
          <cell r="O2795">
            <v>10.2236060673072</v>
          </cell>
          <cell r="T2795">
            <v>4.7817773541207096</v>
          </cell>
        </row>
        <row r="2796">
          <cell r="A2796" t="str">
            <v>ANTEL</v>
          </cell>
          <cell r="B2796" t="str">
            <v>BXA-80063/8CFX5</v>
          </cell>
          <cell r="O2796">
            <v>10.2236060673072</v>
          </cell>
          <cell r="T2796">
            <v>4.7817773541207096</v>
          </cell>
        </row>
        <row r="2797">
          <cell r="A2797" t="str">
            <v>ANTEL</v>
          </cell>
          <cell r="B2797" t="str">
            <v>BXA-80080-6CF-EDIN-2</v>
          </cell>
          <cell r="O2797">
            <v>5.2710303095578999</v>
          </cell>
          <cell r="T2797">
            <v>3.83933052186674</v>
          </cell>
        </row>
        <row r="2798">
          <cell r="A2798" t="str">
            <v>ANTEL</v>
          </cell>
          <cell r="B2798" t="str">
            <v>BXA-80080-6CF-EDIN-X</v>
          </cell>
          <cell r="O2798">
            <v>5.2710303095578999</v>
          </cell>
          <cell r="T2798">
            <v>3.83933052186674</v>
          </cell>
        </row>
        <row r="2799">
          <cell r="A2799" t="str">
            <v>ANTEL</v>
          </cell>
          <cell r="B2799" t="str">
            <v>BXA-80080-8CF-EDIN-0</v>
          </cell>
          <cell r="O2799">
            <v>7.1242781969999989</v>
          </cell>
          <cell r="T2799">
            <v>5.2293551039999997</v>
          </cell>
        </row>
        <row r="2800">
          <cell r="A2800" t="str">
            <v>ANTEL</v>
          </cell>
          <cell r="B2800" t="str">
            <v>BXA-80080-8CF-EDIN-2</v>
          </cell>
          <cell r="O2800">
            <v>7.1242781974837595</v>
          </cell>
          <cell r="T2800">
            <v>5.22935510392489</v>
          </cell>
        </row>
        <row r="2801">
          <cell r="A2801" t="str">
            <v>ANTEL</v>
          </cell>
          <cell r="B2801" t="str">
            <v>BXA-80080-8CF-EDIN-X</v>
          </cell>
          <cell r="O2801">
            <v>7.1242781974837595</v>
          </cell>
          <cell r="T2801">
            <v>5.22935510392489</v>
          </cell>
        </row>
        <row r="2802">
          <cell r="A2802" t="str">
            <v>ANTEL</v>
          </cell>
          <cell r="B2802" t="str">
            <v>BXA-80080/4CF</v>
          </cell>
          <cell r="O2802">
            <v>4.94380931712963</v>
          </cell>
          <cell r="T2802">
            <v>2.5442076619038696</v>
          </cell>
        </row>
        <row r="2803">
          <cell r="A2803" t="str">
            <v>ANTEL</v>
          </cell>
          <cell r="B2803" t="str">
            <v>BXA-80080/6CF</v>
          </cell>
          <cell r="O2803">
            <v>7.6087436165146292</v>
          </cell>
          <cell r="T2803">
            <v>3.1618304697561199</v>
          </cell>
        </row>
        <row r="2804">
          <cell r="A2804" t="str">
            <v>ANTEL</v>
          </cell>
          <cell r="B2804" t="str">
            <v>BXA-80080/8CF</v>
          </cell>
          <cell r="O2804">
            <v>10.379024592634199</v>
          </cell>
          <cell r="T2804">
            <v>5.4090607025963289</v>
          </cell>
        </row>
        <row r="2805">
          <cell r="A2805" t="str">
            <v>ANTEL</v>
          </cell>
          <cell r="B2805" t="str">
            <v>BXA-80080/8CFX2</v>
          </cell>
          <cell r="O2805">
            <v>10.379024592634199</v>
          </cell>
          <cell r="T2805">
            <v>5.4090607025963289</v>
          </cell>
        </row>
        <row r="2806">
          <cell r="A2806" t="str">
            <v>ANTEL</v>
          </cell>
          <cell r="B2806" t="str">
            <v>BXA-80080/8CFX4</v>
          </cell>
          <cell r="O2806">
            <v>10.379024592634199</v>
          </cell>
          <cell r="T2806">
            <v>5.4090607025963289</v>
          </cell>
        </row>
        <row r="2807">
          <cell r="A2807" t="str">
            <v>ANTEL</v>
          </cell>
          <cell r="B2807" t="str">
            <v>BXA-80090-2CF</v>
          </cell>
          <cell r="O2807">
            <v>1.6007349294092199</v>
          </cell>
          <cell r="T2807">
            <v>1.08508394538394</v>
          </cell>
        </row>
        <row r="2808">
          <cell r="A2808" t="str">
            <v>ANTEL</v>
          </cell>
          <cell r="B2808" t="str">
            <v>BXA-80090-8CF-EDIN-X</v>
          </cell>
          <cell r="O2808">
            <v>7.1242781974837595</v>
          </cell>
          <cell r="T2808">
            <v>5.22935510392489</v>
          </cell>
        </row>
        <row r="2809">
          <cell r="A2809" t="str">
            <v>ANTEL</v>
          </cell>
          <cell r="B2809" t="str">
            <v>BXA-80090/4 DIN FP</v>
          </cell>
          <cell r="O2809"/>
          <cell r="T2809"/>
        </row>
        <row r="2810">
          <cell r="A2810" t="str">
            <v>ANTEL</v>
          </cell>
          <cell r="B2810" t="str">
            <v>BXA-80090/4CF</v>
          </cell>
          <cell r="O2810">
            <v>3.3802351034928098</v>
          </cell>
          <cell r="T2810">
            <v>2.33452950483789</v>
          </cell>
        </row>
        <row r="2811">
          <cell r="A2811" t="str">
            <v>ANTEL</v>
          </cell>
          <cell r="B2811" t="str">
            <v>BXA-80090/4CFX2</v>
          </cell>
          <cell r="O2811">
            <v>3.3802351034928098</v>
          </cell>
          <cell r="T2811">
            <v>2.33452950483789</v>
          </cell>
        </row>
        <row r="2812">
          <cell r="A2812" t="str">
            <v>ANTEL</v>
          </cell>
          <cell r="B2812" t="str">
            <v>BXA-80090/6CF</v>
          </cell>
          <cell r="O2812">
            <v>5.2706950120172902</v>
          </cell>
          <cell r="T2812">
            <v>3.6748936719559198</v>
          </cell>
        </row>
        <row r="2813">
          <cell r="A2813" t="str">
            <v>ANTEL</v>
          </cell>
          <cell r="B2813" t="str">
            <v>BXA-80090/8</v>
          </cell>
          <cell r="O2813">
            <v>7.151867821141499</v>
          </cell>
          <cell r="T2813">
            <v>5.0087332290086088</v>
          </cell>
        </row>
        <row r="2814">
          <cell r="A2814" t="str">
            <v>ANTEL</v>
          </cell>
          <cell r="B2814" t="str">
            <v>BXA-80090/8CF</v>
          </cell>
          <cell r="O2814">
            <v>7.151867821141499</v>
          </cell>
          <cell r="T2814">
            <v>5.0087332290086088</v>
          </cell>
        </row>
        <row r="2815">
          <cell r="A2815" t="str">
            <v>ANTEL</v>
          </cell>
          <cell r="B2815" t="str">
            <v>BXA-80090/8CFE-DIN</v>
          </cell>
          <cell r="O2815">
            <v>7.151867821141499</v>
          </cell>
          <cell r="T2815">
            <v>5.0087332290086088</v>
          </cell>
        </row>
        <row r="2816">
          <cell r="A2816" t="str">
            <v>ANTEL</v>
          </cell>
          <cell r="B2816" t="str">
            <v>BXA-80090/8CFX5</v>
          </cell>
          <cell r="O2816">
            <v>7.151867821141499</v>
          </cell>
          <cell r="T2816">
            <v>5.0087332290086088</v>
          </cell>
        </row>
        <row r="2817">
          <cell r="A2817" t="str">
            <v>ANTEL</v>
          </cell>
          <cell r="B2817" t="str">
            <v>BXA-80090/8CFX5FP</v>
          </cell>
          <cell r="O2817"/>
          <cell r="T2817"/>
        </row>
        <row r="2818">
          <cell r="A2818" t="str">
            <v>ANTEL</v>
          </cell>
          <cell r="B2818" t="str">
            <v>BXA-87090/8CF_FP</v>
          </cell>
          <cell r="O2818"/>
          <cell r="T2818"/>
        </row>
        <row r="2819">
          <cell r="A2819" t="str">
            <v>ANTEL</v>
          </cell>
          <cell r="B2819" t="str">
            <v>BXD-40404080CF</v>
          </cell>
          <cell r="O2819"/>
          <cell r="T2819"/>
        </row>
        <row r="2820">
          <cell r="A2820" t="str">
            <v>ANTEL</v>
          </cell>
          <cell r="B2820" t="str">
            <v>BXD-404080CF</v>
          </cell>
          <cell r="O2820"/>
          <cell r="T2820"/>
        </row>
        <row r="2821">
          <cell r="A2821" t="str">
            <v>ANTEL</v>
          </cell>
          <cell r="B2821" t="str">
            <v>BXD-63406380CF</v>
          </cell>
          <cell r="O2821"/>
          <cell r="T2821"/>
        </row>
        <row r="2822">
          <cell r="A2822" t="str">
            <v>ANTEL</v>
          </cell>
          <cell r="B2822" t="str">
            <v>BXD-63446384CF</v>
          </cell>
          <cell r="O2822"/>
          <cell r="T2822"/>
        </row>
        <row r="2823">
          <cell r="A2823" t="str">
            <v>ANTEL</v>
          </cell>
          <cell r="B2823" t="str">
            <v>BXD-63606380CF</v>
          </cell>
          <cell r="O2823"/>
          <cell r="T2823"/>
        </row>
        <row r="2824">
          <cell r="A2824" t="str">
            <v>ANTEL</v>
          </cell>
          <cell r="B2824" t="str">
            <v>BXD-90409080CF</v>
          </cell>
          <cell r="O2824"/>
          <cell r="T2824"/>
        </row>
        <row r="2825">
          <cell r="A2825" t="str">
            <v>ANTEL</v>
          </cell>
          <cell r="B2825" t="str">
            <v>BXD-90609080CF</v>
          </cell>
          <cell r="O2825"/>
          <cell r="T2825"/>
        </row>
        <row r="2826">
          <cell r="A2826" t="str">
            <v>ANTEL</v>
          </cell>
          <cell r="B2826" t="str">
            <v>BXD-908090120CF</v>
          </cell>
          <cell r="O2826">
            <v>14.872120949074098</v>
          </cell>
          <cell r="T2826">
            <v>4.7754883515549897</v>
          </cell>
        </row>
        <row r="2827">
          <cell r="A2827" t="str">
            <v>ANTEL</v>
          </cell>
          <cell r="B2827" t="str">
            <v>BXQ-185063/12CF</v>
          </cell>
          <cell r="O2827"/>
          <cell r="T2827"/>
        </row>
        <row r="2828">
          <cell r="A2828" t="str">
            <v>ANTEL</v>
          </cell>
          <cell r="B2828" t="str">
            <v>BXQ-80090/8CF</v>
          </cell>
          <cell r="O2828"/>
          <cell r="T2828"/>
        </row>
        <row r="2829">
          <cell r="A2829" t="str">
            <v>ANTEL</v>
          </cell>
          <cell r="B2829" t="str">
            <v>BXV-80063/4CF</v>
          </cell>
          <cell r="O2829">
            <v>4.94380931712963</v>
          </cell>
          <cell r="T2829">
            <v>2.5442076619038696</v>
          </cell>
        </row>
        <row r="2830">
          <cell r="A2830" t="str">
            <v>ANTEL</v>
          </cell>
          <cell r="B2830" t="str">
            <v>BXV-80063/8</v>
          </cell>
          <cell r="O2830"/>
          <cell r="T2830"/>
        </row>
        <row r="2831">
          <cell r="A2831" t="str">
            <v>ANTEL</v>
          </cell>
          <cell r="B2831" t="str">
            <v>BXV-80063/8CF</v>
          </cell>
          <cell r="O2831"/>
          <cell r="T2831"/>
        </row>
        <row r="2832">
          <cell r="A2832" t="str">
            <v>ANTEL</v>
          </cell>
          <cell r="B2832" t="str">
            <v>BXV-80090-8CF-EDIN-X</v>
          </cell>
          <cell r="O2832">
            <v>7.0166280245639099</v>
          </cell>
          <cell r="T2832">
            <v>5.1609425515540392</v>
          </cell>
        </row>
        <row r="2833">
          <cell r="A2833" t="str">
            <v>ANTEL</v>
          </cell>
          <cell r="B2833" t="str">
            <v>BXV-80090/8</v>
          </cell>
          <cell r="O2833"/>
          <cell r="T2833"/>
        </row>
        <row r="2834">
          <cell r="A2834" t="str">
            <v>ANTEL</v>
          </cell>
          <cell r="B2834" t="str">
            <v>BXV-80090/8CF</v>
          </cell>
          <cell r="O2834"/>
          <cell r="T2834"/>
        </row>
        <row r="2835">
          <cell r="A2835" t="str">
            <v>ANTEL</v>
          </cell>
          <cell r="B2835" t="str">
            <v>C-BXD-65606580-M</v>
          </cell>
          <cell r="O2835"/>
          <cell r="T2835"/>
        </row>
        <row r="2836">
          <cell r="A2836" t="str">
            <v>ANTEL</v>
          </cell>
          <cell r="B2836" t="str">
            <v>F-BXA-185063/8 M</v>
          </cell>
          <cell r="O2836"/>
          <cell r="T2836"/>
        </row>
        <row r="2837">
          <cell r="A2837" t="str">
            <v>ANTEL</v>
          </cell>
          <cell r="B2837" t="str">
            <v>F-BXA-185063/8 R</v>
          </cell>
          <cell r="O2837"/>
          <cell r="T2837"/>
        </row>
        <row r="2838">
          <cell r="A2838" t="str">
            <v>ANTEL</v>
          </cell>
          <cell r="B2838" t="str">
            <v>F-BXA-80040/4 R</v>
          </cell>
          <cell r="O2838"/>
          <cell r="T2838"/>
        </row>
        <row r="2839">
          <cell r="A2839" t="str">
            <v>ANTEL</v>
          </cell>
          <cell r="B2839" t="str">
            <v>F-BXA-80063/4 M</v>
          </cell>
          <cell r="O2839"/>
          <cell r="T2839"/>
        </row>
        <row r="2840">
          <cell r="A2840" t="str">
            <v>ANTEL</v>
          </cell>
          <cell r="B2840" t="str">
            <v>F-BXA-80063/6 R</v>
          </cell>
          <cell r="O2840"/>
          <cell r="T2840"/>
        </row>
        <row r="2841">
          <cell r="A2841" t="str">
            <v>ANTEL</v>
          </cell>
          <cell r="B2841" t="str">
            <v>F-BXA-80063/8-M</v>
          </cell>
          <cell r="O2841"/>
          <cell r="T2841"/>
        </row>
        <row r="2842">
          <cell r="A2842" t="str">
            <v>ANTEL</v>
          </cell>
          <cell r="B2842" t="str">
            <v>F-BXA-80063/8-RX</v>
          </cell>
          <cell r="O2842"/>
          <cell r="T2842"/>
        </row>
        <row r="2843">
          <cell r="A2843" t="str">
            <v>ANTEL</v>
          </cell>
          <cell r="B2843" t="str">
            <v>F-BXA-80090/4 R</v>
          </cell>
          <cell r="O2843"/>
          <cell r="T2843"/>
        </row>
        <row r="2844">
          <cell r="A2844" t="str">
            <v>ANTEL</v>
          </cell>
          <cell r="B2844" t="str">
            <v>F-BXA-80090/6 R</v>
          </cell>
          <cell r="O2844"/>
          <cell r="T2844"/>
        </row>
        <row r="2845">
          <cell r="A2845" t="str">
            <v>ANTEL</v>
          </cell>
          <cell r="B2845" t="str">
            <v>F-BXD-63406380 M</v>
          </cell>
          <cell r="O2845"/>
          <cell r="T2845"/>
        </row>
        <row r="2846">
          <cell r="A2846" t="str">
            <v>ANTEL</v>
          </cell>
          <cell r="B2846" t="str">
            <v>F-BXD-63406380 R</v>
          </cell>
          <cell r="O2846"/>
          <cell r="T2846"/>
        </row>
        <row r="2847">
          <cell r="A2847" t="str">
            <v>ANTEL</v>
          </cell>
          <cell r="B2847" t="str">
            <v>HTXC033S17R000G</v>
          </cell>
          <cell r="O2847">
            <v>9.8113691659999986</v>
          </cell>
          <cell r="T2847">
            <v>3.5058203350000001</v>
          </cell>
        </row>
        <row r="2848">
          <cell r="A2848" t="str">
            <v>ANTEL</v>
          </cell>
          <cell r="B2848" t="str">
            <v>HTXC4517R000</v>
          </cell>
          <cell r="O2848"/>
          <cell r="T2848"/>
        </row>
        <row r="2849">
          <cell r="A2849" t="str">
            <v>ANTEL</v>
          </cell>
          <cell r="B2849" t="str">
            <v>HTXC6315X000</v>
          </cell>
          <cell r="O2849">
            <v>4.8333053626543201</v>
          </cell>
          <cell r="T2849">
            <v>2.8234783529725997</v>
          </cell>
        </row>
        <row r="2850">
          <cell r="A2850" t="str">
            <v>ANTEL</v>
          </cell>
          <cell r="B2850" t="str">
            <v>HTXC6318M000</v>
          </cell>
          <cell r="O2850">
            <v>8.7593123070987691</v>
          </cell>
          <cell r="T2850">
            <v>5.1789363226751801</v>
          </cell>
        </row>
        <row r="2851">
          <cell r="A2851" t="str">
            <v>ANTEL</v>
          </cell>
          <cell r="B2851" t="str">
            <v>HTXC6318R000</v>
          </cell>
          <cell r="O2851">
            <v>10.40066551</v>
          </cell>
          <cell r="T2851">
            <v>6.5873652759999999</v>
          </cell>
        </row>
        <row r="2852">
          <cell r="A2852" t="str">
            <v>ANTEL</v>
          </cell>
          <cell r="B2852" t="str">
            <v>HTXC6318X000</v>
          </cell>
          <cell r="O2852"/>
          <cell r="T2852"/>
        </row>
        <row r="2853">
          <cell r="A2853" t="str">
            <v>ANTEL</v>
          </cell>
          <cell r="B2853" t="str">
            <v>HTXC8514M000</v>
          </cell>
          <cell r="O2853">
            <v>4.6974498456790101</v>
          </cell>
          <cell r="T2853">
            <v>2.77358644680328</v>
          </cell>
        </row>
        <row r="2854">
          <cell r="A2854" t="str">
            <v>ANTEL</v>
          </cell>
          <cell r="B2854" t="str">
            <v>HTXC8517X000</v>
          </cell>
          <cell r="O2854">
            <v>8.7593123070987691</v>
          </cell>
          <cell r="T2854">
            <v>5.1789363226751801</v>
          </cell>
        </row>
        <row r="2855">
          <cell r="A2855" t="str">
            <v>ANTEL</v>
          </cell>
          <cell r="B2855" t="str">
            <v>HTXCW451619R000</v>
          </cell>
          <cell r="O2855"/>
          <cell r="T2855"/>
        </row>
        <row r="2856">
          <cell r="A2856" t="str">
            <v>ANTEL</v>
          </cell>
          <cell r="B2856" t="str">
            <v>HTXCW451720R000G</v>
          </cell>
          <cell r="O2856">
            <v>15.598876349999989</v>
          </cell>
          <cell r="T2856">
            <v>5.543625273</v>
          </cell>
        </row>
        <row r="2857">
          <cell r="A2857" t="str">
            <v>ANTEL</v>
          </cell>
          <cell r="B2857" t="str">
            <v>HTXCW631518M100</v>
          </cell>
          <cell r="O2857">
            <v>4.9378573495370404</v>
          </cell>
          <cell r="T2857">
            <v>2.9203623442250901</v>
          </cell>
        </row>
        <row r="2858">
          <cell r="A2858" t="str">
            <v>ANTEL</v>
          </cell>
          <cell r="B2858" t="str">
            <v>HTXCW631619R000</v>
          </cell>
          <cell r="O2858">
            <v>9.1078366126543191</v>
          </cell>
          <cell r="T2858">
            <v>5.7685166216850696</v>
          </cell>
        </row>
        <row r="2859">
          <cell r="A2859" t="str">
            <v>ANTEL</v>
          </cell>
          <cell r="B2859" t="str">
            <v>HTXCW631619R100G</v>
          </cell>
          <cell r="O2859">
            <v>9.1078366129999999</v>
          </cell>
          <cell r="T2859">
            <v>5.7685166219999999</v>
          </cell>
        </row>
        <row r="2860">
          <cell r="A2860" t="str">
            <v>ANTEL</v>
          </cell>
          <cell r="B2860" t="str">
            <v>HTXCW631619X000</v>
          </cell>
          <cell r="O2860">
            <v>7.4783661265432091</v>
          </cell>
          <cell r="T2860">
            <v>4.421719291505819</v>
          </cell>
        </row>
        <row r="2861">
          <cell r="A2861" t="str">
            <v>ANTEL</v>
          </cell>
          <cell r="B2861" t="str">
            <v>HTXCW631818R100G</v>
          </cell>
          <cell r="O2861">
            <v>11.378231099999999</v>
          </cell>
          <cell r="T2861">
            <v>7.206024038999999</v>
          </cell>
        </row>
        <row r="2862">
          <cell r="A2862" t="str">
            <v>ANTEL</v>
          </cell>
          <cell r="B2862" t="str">
            <v>HTXCW631818X000</v>
          </cell>
          <cell r="O2862">
            <v>8.915538194444439</v>
          </cell>
          <cell r="T2862">
            <v>5.27124312046982</v>
          </cell>
        </row>
        <row r="2863">
          <cell r="A2863" t="str">
            <v>ANTEL</v>
          </cell>
          <cell r="B2863" t="str">
            <v>HTXCW631819M000</v>
          </cell>
          <cell r="O2863">
            <v>8.915538194444439</v>
          </cell>
          <cell r="T2863">
            <v>5.27124312046982</v>
          </cell>
        </row>
        <row r="2864">
          <cell r="A2864" t="str">
            <v>ANTEL</v>
          </cell>
          <cell r="B2864" t="str">
            <v>HTXCW631819M002</v>
          </cell>
          <cell r="O2864">
            <v>8.915538194444439</v>
          </cell>
          <cell r="T2864">
            <v>5.27124312046982</v>
          </cell>
        </row>
        <row r="2865">
          <cell r="A2865" t="str">
            <v>ANTEL</v>
          </cell>
          <cell r="B2865" t="str">
            <v>HTXCW631819R000</v>
          </cell>
          <cell r="O2865">
            <v>11.378231099999999</v>
          </cell>
          <cell r="T2865">
            <v>7.206024038999999</v>
          </cell>
        </row>
        <row r="2866">
          <cell r="A2866" t="str">
            <v>ANTEL</v>
          </cell>
          <cell r="B2866" t="str">
            <v>LPA-171063-12CF-EDIN-2</v>
          </cell>
          <cell r="O2866"/>
          <cell r="T2866"/>
        </row>
        <row r="2867">
          <cell r="A2867" t="str">
            <v>ANTEL</v>
          </cell>
          <cell r="B2867" t="str">
            <v>LPA-171063/16CF</v>
          </cell>
          <cell r="O2867"/>
          <cell r="T2867"/>
        </row>
        <row r="2868">
          <cell r="A2868" t="str">
            <v>ANTEL</v>
          </cell>
          <cell r="B2868" t="str">
            <v>LPA-171063/8CF</v>
          </cell>
          <cell r="O2868"/>
          <cell r="T2868"/>
        </row>
        <row r="2869">
          <cell r="A2869" t="str">
            <v>ANTEL</v>
          </cell>
          <cell r="B2869" t="str">
            <v>LPA-171063/8CFX2</v>
          </cell>
          <cell r="O2869"/>
          <cell r="T2869"/>
        </row>
        <row r="2870">
          <cell r="A2870" t="str">
            <v>ANTEL</v>
          </cell>
          <cell r="B2870" t="str">
            <v>LPA-171080-12CF-EDIN-2</v>
          </cell>
          <cell r="O2870"/>
          <cell r="T2870"/>
        </row>
        <row r="2871">
          <cell r="A2871" t="str">
            <v>ANTEL</v>
          </cell>
          <cell r="B2871" t="str">
            <v>LPA-171080/16CF</v>
          </cell>
          <cell r="O2871"/>
          <cell r="T2871"/>
        </row>
        <row r="2872">
          <cell r="A2872" t="str">
            <v>ANTEL</v>
          </cell>
          <cell r="B2872" t="str">
            <v>LPA-171080/8CF</v>
          </cell>
          <cell r="O2872"/>
          <cell r="T2872"/>
        </row>
        <row r="2873">
          <cell r="A2873" t="str">
            <v>ANTEL</v>
          </cell>
          <cell r="B2873" t="str">
            <v>LPA-171080/8CFX2</v>
          </cell>
          <cell r="O2873"/>
          <cell r="T2873"/>
        </row>
        <row r="2874">
          <cell r="A2874" t="str">
            <v>ANTEL</v>
          </cell>
          <cell r="B2874" t="str">
            <v>LPA-185033/4CF</v>
          </cell>
          <cell r="O2874"/>
          <cell r="T2874"/>
        </row>
        <row r="2875">
          <cell r="A2875" t="str">
            <v>ANTEL</v>
          </cell>
          <cell r="B2875" t="str">
            <v>LPA-185040/8CF</v>
          </cell>
          <cell r="O2875"/>
          <cell r="T2875"/>
        </row>
        <row r="2876">
          <cell r="A2876" t="str">
            <v>ANTEL</v>
          </cell>
          <cell r="B2876" t="str">
            <v>LPA-185063-8CF</v>
          </cell>
          <cell r="O2876">
            <v>2.32163151392903</v>
          </cell>
          <cell r="T2876">
            <v>2.0434137143857596</v>
          </cell>
        </row>
        <row r="2877">
          <cell r="A2877" t="str">
            <v>ANTEL</v>
          </cell>
          <cell r="B2877" t="str">
            <v>LPA-185063/12CF</v>
          </cell>
          <cell r="O2877">
            <v>3.6321889187679899</v>
          </cell>
          <cell r="T2877">
            <v>3.1909660369059001</v>
          </cell>
        </row>
        <row r="2878">
          <cell r="A2878" t="str">
            <v>ANTEL</v>
          </cell>
          <cell r="B2878" t="str">
            <v>LPA-185063/12CFE-DIN</v>
          </cell>
          <cell r="O2878">
            <v>3.6321889187679899</v>
          </cell>
          <cell r="T2878">
            <v>3.1909660369059001</v>
          </cell>
        </row>
        <row r="2879">
          <cell r="A2879" t="str">
            <v>ANTEL</v>
          </cell>
          <cell r="B2879" t="str">
            <v>LPA-185063/12CFX2</v>
          </cell>
          <cell r="O2879">
            <v>3.6321889187679899</v>
          </cell>
          <cell r="T2879">
            <v>3.1909660369059001</v>
          </cell>
        </row>
        <row r="2880">
          <cell r="A2880" t="str">
            <v>ANTEL</v>
          </cell>
          <cell r="B2880" t="str">
            <v>LPA-185063/12CFX4</v>
          </cell>
          <cell r="O2880">
            <v>3.6321889187679899</v>
          </cell>
          <cell r="T2880">
            <v>3.1909660369059001</v>
          </cell>
        </row>
        <row r="2881">
          <cell r="A2881" t="str">
            <v>ANTEL</v>
          </cell>
          <cell r="B2881" t="str">
            <v>LPA-185063/16CF</v>
          </cell>
          <cell r="O2881"/>
          <cell r="T2881"/>
        </row>
        <row r="2882">
          <cell r="A2882" t="str">
            <v>ANTEL</v>
          </cell>
          <cell r="B2882" t="str">
            <v>LPA-185063/16CF-2</v>
          </cell>
          <cell r="O2882">
            <v>4.9242705217479301</v>
          </cell>
          <cell r="T2882">
            <v>4.33419267858336</v>
          </cell>
        </row>
        <row r="2883">
          <cell r="A2883" t="str">
            <v>ANTEL</v>
          </cell>
          <cell r="B2883" t="str">
            <v>LPA-185063/8CF</v>
          </cell>
          <cell r="O2883">
            <v>2.32163151392903</v>
          </cell>
          <cell r="T2883">
            <v>2.0434137143857596</v>
          </cell>
        </row>
        <row r="2884">
          <cell r="A2884" t="str">
            <v>ANTEL</v>
          </cell>
          <cell r="B2884" t="str">
            <v>LPA-185063/8CFEDIN2</v>
          </cell>
          <cell r="O2884">
            <v>2.32163151392903</v>
          </cell>
          <cell r="T2884">
            <v>2.0434137143857596</v>
          </cell>
        </row>
        <row r="2885">
          <cell r="A2885" t="str">
            <v>ANTEL</v>
          </cell>
          <cell r="B2885" t="str">
            <v>LPA-185063/8CFX2</v>
          </cell>
          <cell r="O2885">
            <v>2.32163151392903</v>
          </cell>
          <cell r="T2885">
            <v>2.0434137143857596</v>
          </cell>
        </row>
        <row r="2886">
          <cell r="A2886" t="str">
            <v>ANTEL</v>
          </cell>
          <cell r="B2886" t="str">
            <v>LPA-185063/8CFX4</v>
          </cell>
          <cell r="O2886">
            <v>2.32163151392903</v>
          </cell>
          <cell r="T2886">
            <v>2.0434137143857596</v>
          </cell>
        </row>
        <row r="2887">
          <cell r="A2887" t="str">
            <v>ANTEL</v>
          </cell>
          <cell r="B2887" t="str">
            <v>LPA-185080/12CF</v>
          </cell>
          <cell r="O2887">
            <v>2.3024937307098798</v>
          </cell>
          <cell r="T2887">
            <v>3.2553869455775599</v>
          </cell>
        </row>
        <row r="2888">
          <cell r="A2888" t="str">
            <v>ANTEL</v>
          </cell>
          <cell r="B2888" t="str">
            <v>LPA-185080/12CFDIN2</v>
          </cell>
          <cell r="O2888">
            <v>2.3024937307098798</v>
          </cell>
          <cell r="T2888">
            <v>3.2553869455775599</v>
          </cell>
        </row>
        <row r="2889">
          <cell r="A2889" t="str">
            <v>ANTEL</v>
          </cell>
          <cell r="B2889" t="str">
            <v>LPA-185080/12CFX2</v>
          </cell>
          <cell r="O2889">
            <v>2.3024937307098798</v>
          </cell>
          <cell r="T2889">
            <v>3.2553869455775599</v>
          </cell>
        </row>
        <row r="2890">
          <cell r="A2890" t="str">
            <v>ANTEL</v>
          </cell>
          <cell r="B2890" t="str">
            <v>LPA-185080/12CFX4</v>
          </cell>
          <cell r="O2890">
            <v>2.3024937307098798</v>
          </cell>
          <cell r="T2890">
            <v>3.2553869455775599</v>
          </cell>
        </row>
        <row r="2891">
          <cell r="A2891" t="str">
            <v>ANTEL</v>
          </cell>
          <cell r="B2891" t="str">
            <v>LPA-185080/16CF</v>
          </cell>
          <cell r="O2891"/>
          <cell r="T2891"/>
        </row>
        <row r="2892">
          <cell r="A2892" t="str">
            <v>ANTEL</v>
          </cell>
          <cell r="B2892" t="str">
            <v>LPA-185080/4CF</v>
          </cell>
          <cell r="O2892">
            <v>0.71944767618994188</v>
          </cell>
          <cell r="T2892">
            <v>0.97938944589815202</v>
          </cell>
        </row>
        <row r="2893">
          <cell r="A2893" t="str">
            <v>ANTEL</v>
          </cell>
          <cell r="B2893" t="str">
            <v>LPA-185080/8CF</v>
          </cell>
          <cell r="O2893">
            <v>1.55954839958873</v>
          </cell>
          <cell r="T2893">
            <v>2.1842486377158998</v>
          </cell>
        </row>
        <row r="2894">
          <cell r="A2894" t="str">
            <v>ANTEL</v>
          </cell>
          <cell r="B2894" t="str">
            <v>LPA-185080/8CFE-DIN</v>
          </cell>
          <cell r="O2894">
            <v>1.55954839958873</v>
          </cell>
          <cell r="T2894">
            <v>2.1842486377158998</v>
          </cell>
        </row>
        <row r="2895">
          <cell r="A2895" t="str">
            <v>ANTEL</v>
          </cell>
          <cell r="B2895" t="str">
            <v>LPA-185080/8CFEDIN2</v>
          </cell>
          <cell r="O2895">
            <v>1.55954839958873</v>
          </cell>
          <cell r="T2895">
            <v>2.1842486377158998</v>
          </cell>
        </row>
        <row r="2896">
          <cell r="A2896" t="str">
            <v>ANTEL</v>
          </cell>
          <cell r="B2896" t="str">
            <v>LPA-185080/8CFNE</v>
          </cell>
          <cell r="O2896">
            <v>1.55954839958873</v>
          </cell>
          <cell r="T2896">
            <v>2.1842486377158998</v>
          </cell>
        </row>
        <row r="2897">
          <cell r="A2897" t="str">
            <v>ANTEL</v>
          </cell>
          <cell r="B2897" t="str">
            <v>LPA-185080/8CFX2</v>
          </cell>
          <cell r="O2897">
            <v>1.55954839958873</v>
          </cell>
          <cell r="T2897">
            <v>2.1842486377158998</v>
          </cell>
        </row>
        <row r="2898">
          <cell r="A2898" t="str">
            <v>ANTEL</v>
          </cell>
          <cell r="B2898" t="str">
            <v>LPA-185080/8CFX4</v>
          </cell>
          <cell r="O2898">
            <v>1.55954839958873</v>
          </cell>
          <cell r="T2898">
            <v>2.1842486377158998</v>
          </cell>
        </row>
        <row r="2899">
          <cell r="A2899" t="str">
            <v>ANTEL</v>
          </cell>
          <cell r="B2899" t="str">
            <v>LPA-185090-12CF-EDIN-X</v>
          </cell>
          <cell r="O2899">
            <v>2.3024937307098798</v>
          </cell>
          <cell r="T2899">
            <v>3.2553869455775599</v>
          </cell>
        </row>
        <row r="2900">
          <cell r="A2900" t="str">
            <v>ANTEL</v>
          </cell>
          <cell r="B2900" t="str">
            <v>LPA-185090/4CFX2</v>
          </cell>
          <cell r="O2900">
            <v>0.71944767618994188</v>
          </cell>
          <cell r="T2900">
            <v>0.97938944589815202</v>
          </cell>
        </row>
        <row r="2901">
          <cell r="A2901" t="str">
            <v>ANTEL</v>
          </cell>
          <cell r="B2901" t="str">
            <v>LPA-185090/8</v>
          </cell>
          <cell r="O2901">
            <v>1.55954839958873</v>
          </cell>
          <cell r="T2901">
            <v>2.1842486377158998</v>
          </cell>
        </row>
        <row r="2902">
          <cell r="A2902" t="str">
            <v>ANTEL</v>
          </cell>
          <cell r="B2902" t="str">
            <v>LPA-185090/8CF</v>
          </cell>
          <cell r="O2902">
            <v>1.55954839958873</v>
          </cell>
          <cell r="T2902">
            <v>2.1842486377158998</v>
          </cell>
        </row>
        <row r="2903">
          <cell r="A2903" t="str">
            <v>ANTEL</v>
          </cell>
          <cell r="B2903" t="str">
            <v>LPA-185090/8CFX2</v>
          </cell>
          <cell r="O2903">
            <v>1.55954839958873</v>
          </cell>
          <cell r="T2903">
            <v>2.1842486377158998</v>
          </cell>
        </row>
        <row r="2904">
          <cell r="A2904" t="str">
            <v>ANTEL</v>
          </cell>
          <cell r="B2904" t="str">
            <v>LPA-185090_4CF</v>
          </cell>
          <cell r="O2904">
            <v>0.71944767618994188</v>
          </cell>
          <cell r="T2904">
            <v>0.97938944589815202</v>
          </cell>
        </row>
        <row r="2905">
          <cell r="A2905" t="str">
            <v>ANTEL</v>
          </cell>
          <cell r="B2905" t="str">
            <v>LPA-4016</v>
          </cell>
          <cell r="O2905"/>
          <cell r="T2905"/>
        </row>
        <row r="2906">
          <cell r="A2906" t="str">
            <v>ANTEL</v>
          </cell>
          <cell r="B2906" t="str">
            <v>LPA-4016X5</v>
          </cell>
          <cell r="O2906"/>
          <cell r="T2906"/>
        </row>
        <row r="2907">
          <cell r="A2907" t="str">
            <v>ANTEL</v>
          </cell>
          <cell r="B2907" t="str">
            <v>LPA-4019</v>
          </cell>
          <cell r="O2907"/>
          <cell r="T2907"/>
        </row>
        <row r="2908">
          <cell r="A2908" t="str">
            <v>ANTEL</v>
          </cell>
          <cell r="B2908" t="str">
            <v>LPA-4019-3</v>
          </cell>
          <cell r="O2908"/>
          <cell r="T2908"/>
        </row>
        <row r="2909">
          <cell r="A2909" t="str">
            <v>ANTEL</v>
          </cell>
          <cell r="B2909" t="str">
            <v>LPA-70040-8CF-EDIN-4</v>
          </cell>
          <cell r="O2909"/>
          <cell r="T2909"/>
        </row>
        <row r="2910">
          <cell r="A2910" t="str">
            <v>ANTEL</v>
          </cell>
          <cell r="B2910" t="str">
            <v>LPA-70040-8CF-EDIN-X</v>
          </cell>
          <cell r="O2910"/>
          <cell r="T2910"/>
        </row>
        <row r="2911">
          <cell r="A2911" t="str">
            <v>ANTEL</v>
          </cell>
          <cell r="B2911" t="str">
            <v>LPA-70040/6CF</v>
          </cell>
          <cell r="O2911"/>
          <cell r="T2911"/>
        </row>
        <row r="2912">
          <cell r="A2912" t="str">
            <v>ANTEL</v>
          </cell>
          <cell r="B2912" t="str">
            <v>LPA-70040/8CF</v>
          </cell>
          <cell r="O2912"/>
          <cell r="T2912"/>
        </row>
        <row r="2913">
          <cell r="A2913" t="str">
            <v>ANTEL</v>
          </cell>
          <cell r="B2913" t="str">
            <v>LPA-70063-4CF-2</v>
          </cell>
          <cell r="O2913">
            <v>4.6270071759070195</v>
          </cell>
          <cell r="T2913">
            <v>3.8423243610188695</v>
          </cell>
        </row>
        <row r="2914">
          <cell r="A2914" t="str">
            <v>ANTEL</v>
          </cell>
          <cell r="B2914" t="str">
            <v>LPA-70063-4CF-EDIN-0</v>
          </cell>
          <cell r="O2914">
            <v>4.6270071759070195</v>
          </cell>
          <cell r="T2914">
            <v>3.8423243610188695</v>
          </cell>
        </row>
        <row r="2915">
          <cell r="A2915" t="str">
            <v>ANTEL</v>
          </cell>
          <cell r="B2915" t="str">
            <v>LPA-70063-4CF-EDIN-10</v>
          </cell>
          <cell r="O2915">
            <v>4.6270071759070195</v>
          </cell>
          <cell r="T2915">
            <v>3.8423243610188695</v>
          </cell>
        </row>
        <row r="2916">
          <cell r="A2916" t="str">
            <v>ANTEL</v>
          </cell>
          <cell r="B2916" t="str">
            <v>LPA-70063-4CF-EDIN-12</v>
          </cell>
          <cell r="O2916">
            <v>4.6270071759070195</v>
          </cell>
          <cell r="T2916">
            <v>3.8423243610188695</v>
          </cell>
        </row>
        <row r="2917">
          <cell r="A2917" t="str">
            <v>ANTEL</v>
          </cell>
          <cell r="B2917" t="str">
            <v>LPA-70063-4CF-EDIN-14</v>
          </cell>
          <cell r="O2917">
            <v>4.6270071759070195</v>
          </cell>
          <cell r="T2917">
            <v>3.8423243610188695</v>
          </cell>
        </row>
        <row r="2918">
          <cell r="A2918" t="str">
            <v>ANTEL</v>
          </cell>
          <cell r="B2918" t="str">
            <v>LPA-70063-4CF-EDIN-2</v>
          </cell>
          <cell r="O2918">
            <v>4.6270071759070195</v>
          </cell>
          <cell r="T2918">
            <v>3.8423243610188695</v>
          </cell>
        </row>
        <row r="2919">
          <cell r="A2919" t="str">
            <v>ANTEL</v>
          </cell>
          <cell r="B2919" t="str">
            <v>LPA-70063-4CF-EDIN-4</v>
          </cell>
          <cell r="O2919">
            <v>4.6270071759070195</v>
          </cell>
          <cell r="T2919">
            <v>3.8423243610188695</v>
          </cell>
        </row>
        <row r="2920">
          <cell r="A2920" t="str">
            <v>ANTEL</v>
          </cell>
          <cell r="B2920" t="str">
            <v>LPA-70063-4CF-EDIN-6</v>
          </cell>
          <cell r="O2920">
            <v>4.6270071759070195</v>
          </cell>
          <cell r="T2920">
            <v>3.8423243610188695</v>
          </cell>
        </row>
        <row r="2921">
          <cell r="A2921" t="str">
            <v>ANTEL</v>
          </cell>
          <cell r="B2921" t="str">
            <v>LPA-70063-4CF-EDIN-8</v>
          </cell>
          <cell r="O2921">
            <v>4.6270071759070195</v>
          </cell>
          <cell r="T2921">
            <v>3.8423243610188695</v>
          </cell>
        </row>
        <row r="2922">
          <cell r="A2922" t="str">
            <v>ANTEL</v>
          </cell>
          <cell r="B2922" t="str">
            <v>LPA-70063-6CF-EDIN-4</v>
          </cell>
          <cell r="O2922"/>
          <cell r="T2922"/>
        </row>
        <row r="2923">
          <cell r="A2923" t="str">
            <v>ANTEL</v>
          </cell>
          <cell r="B2923" t="str">
            <v>LPA-70063-8CF-EDIN-0</v>
          </cell>
          <cell r="O2923">
            <v>9.5185412157318794</v>
          </cell>
          <cell r="T2923">
            <v>8.0420311689110111</v>
          </cell>
        </row>
        <row r="2924">
          <cell r="A2924" t="str">
            <v>ANTEL</v>
          </cell>
          <cell r="B2924" t="str">
            <v>LPA-70063-8CF-EDIN-2</v>
          </cell>
          <cell r="O2924">
            <v>9.5185412157318794</v>
          </cell>
          <cell r="T2924">
            <v>8.0420311689110111</v>
          </cell>
        </row>
        <row r="2925">
          <cell r="A2925" t="str">
            <v>ANTEL</v>
          </cell>
          <cell r="B2925" t="str">
            <v>LPA-70063-8CF-EDIN-4</v>
          </cell>
          <cell r="O2925">
            <v>9.5185412157318794</v>
          </cell>
          <cell r="T2925">
            <v>8.0420311689110111</v>
          </cell>
        </row>
        <row r="2926">
          <cell r="A2926" t="str">
            <v>ANTEL</v>
          </cell>
          <cell r="B2926" t="str">
            <v>LPA-70063/4CF</v>
          </cell>
          <cell r="O2926">
            <v>4.6270071759070195</v>
          </cell>
          <cell r="T2926">
            <v>3.8423243610188695</v>
          </cell>
        </row>
        <row r="2927">
          <cell r="A2927" t="str">
            <v>ANTEL</v>
          </cell>
          <cell r="B2927" t="str">
            <v>LPA-70063/4CFX10</v>
          </cell>
          <cell r="O2927">
            <v>4.6270071759070195</v>
          </cell>
          <cell r="T2927">
            <v>3.8423243610188695</v>
          </cell>
        </row>
        <row r="2928">
          <cell r="A2928" t="str">
            <v>ANTEL</v>
          </cell>
          <cell r="B2928" t="str">
            <v>LPA-70063/4CFX12</v>
          </cell>
          <cell r="O2928">
            <v>4.6270071759070195</v>
          </cell>
          <cell r="T2928">
            <v>3.8423243610188695</v>
          </cell>
        </row>
        <row r="2929">
          <cell r="A2929" t="str">
            <v>ANTEL</v>
          </cell>
          <cell r="B2929" t="str">
            <v>LPA-70063/4CFX14</v>
          </cell>
          <cell r="O2929">
            <v>4.6270071759070195</v>
          </cell>
          <cell r="T2929">
            <v>3.8423243610188695</v>
          </cell>
        </row>
        <row r="2930">
          <cell r="A2930" t="str">
            <v>ANTEL</v>
          </cell>
          <cell r="B2930" t="str">
            <v>LPA-70063/4CFX4</v>
          </cell>
          <cell r="O2930">
            <v>4.6270071759070195</v>
          </cell>
          <cell r="T2930">
            <v>3.8423243610188695</v>
          </cell>
        </row>
        <row r="2931">
          <cell r="A2931" t="str">
            <v>ANTEL</v>
          </cell>
          <cell r="B2931" t="str">
            <v>LPA-70063/4CFX6</v>
          </cell>
          <cell r="O2931">
            <v>4.6270071759070195</v>
          </cell>
          <cell r="T2931">
            <v>3.8423243610188695</v>
          </cell>
        </row>
        <row r="2932">
          <cell r="A2932" t="str">
            <v>ANTEL</v>
          </cell>
          <cell r="B2932" t="str">
            <v>LPA-70063/4CFX8</v>
          </cell>
          <cell r="O2932">
            <v>4.6270071759070195</v>
          </cell>
          <cell r="T2932">
            <v>3.8423243610188695</v>
          </cell>
        </row>
        <row r="2933">
          <cell r="A2933" t="str">
            <v>ANTEL</v>
          </cell>
          <cell r="B2933" t="str">
            <v>LPA-70063/6CF</v>
          </cell>
          <cell r="O2933"/>
          <cell r="T2933"/>
        </row>
        <row r="2934">
          <cell r="A2934" t="str">
            <v>ANTEL</v>
          </cell>
          <cell r="B2934" t="str">
            <v>LPA-70063/6CFX2</v>
          </cell>
          <cell r="O2934"/>
          <cell r="T2934"/>
        </row>
        <row r="2935">
          <cell r="A2935" t="str">
            <v>ANTEL</v>
          </cell>
          <cell r="B2935" t="str">
            <v>LPA-70063/6CFX4</v>
          </cell>
          <cell r="O2935"/>
          <cell r="T2935"/>
        </row>
        <row r="2936">
          <cell r="A2936" t="str">
            <v>ANTEL</v>
          </cell>
          <cell r="B2936" t="str">
            <v>LPA-70063/6CFX6</v>
          </cell>
          <cell r="O2936"/>
          <cell r="T2936"/>
        </row>
        <row r="2937">
          <cell r="A2937" t="str">
            <v>ANTEL</v>
          </cell>
          <cell r="B2937" t="str">
            <v>LPA-70063/6CFX8</v>
          </cell>
          <cell r="O2937"/>
          <cell r="T2937"/>
        </row>
        <row r="2938">
          <cell r="A2938" t="str">
            <v>ANTEL</v>
          </cell>
          <cell r="B2938" t="str">
            <v>LPA-70063/8CF</v>
          </cell>
          <cell r="O2938">
            <v>9.5185412157318794</v>
          </cell>
          <cell r="T2938">
            <v>8.0420311689110111</v>
          </cell>
        </row>
        <row r="2939">
          <cell r="A2939" t="str">
            <v>ANTEL</v>
          </cell>
          <cell r="B2939" t="str">
            <v>LPA-70063/8CFX2</v>
          </cell>
          <cell r="O2939"/>
          <cell r="T2939"/>
        </row>
        <row r="2940">
          <cell r="A2940" t="str">
            <v>ANTEL</v>
          </cell>
          <cell r="B2940" t="str">
            <v>LPA-7008/8CF</v>
          </cell>
          <cell r="O2940"/>
          <cell r="T2940"/>
        </row>
        <row r="2941">
          <cell r="A2941" t="str">
            <v>ANTEL</v>
          </cell>
          <cell r="B2941" t="str">
            <v>LPA-70080-6CF-EDIN-0</v>
          </cell>
          <cell r="O2941">
            <v>5.0959770447530897</v>
          </cell>
          <cell r="T2941">
            <v>4.602827453317949</v>
          </cell>
        </row>
        <row r="2942">
          <cell r="A2942" t="str">
            <v>ANTEL</v>
          </cell>
          <cell r="B2942" t="str">
            <v>LPA-70080-8CF-EDIN-0</v>
          </cell>
          <cell r="O2942">
            <v>7.0288917824074097</v>
          </cell>
          <cell r="T2942">
            <v>6.3667017505467101</v>
          </cell>
        </row>
        <row r="2943">
          <cell r="A2943" t="str">
            <v>ANTEL</v>
          </cell>
          <cell r="B2943" t="str">
            <v>LPA-70080-8CF-EDIN-2</v>
          </cell>
          <cell r="O2943">
            <v>7.0288917824074097</v>
          </cell>
          <cell r="T2943">
            <v>6.3667017505467101</v>
          </cell>
        </row>
        <row r="2944">
          <cell r="A2944" t="str">
            <v>ANTEL</v>
          </cell>
          <cell r="B2944" t="str">
            <v>LPA-70080-8CF-EDIN-X</v>
          </cell>
          <cell r="O2944">
            <v>7.0288917824074097</v>
          </cell>
          <cell r="T2944">
            <v>6.3667017505467101</v>
          </cell>
        </row>
        <row r="2945">
          <cell r="A2945" t="str">
            <v>ANTEL</v>
          </cell>
          <cell r="B2945" t="str">
            <v>LPA-70080/4CF</v>
          </cell>
          <cell r="O2945"/>
          <cell r="T2945"/>
        </row>
        <row r="2946">
          <cell r="A2946" t="str">
            <v>ANTEL</v>
          </cell>
          <cell r="B2946" t="str">
            <v>LPA-70080/6CF</v>
          </cell>
          <cell r="O2946"/>
          <cell r="T2946"/>
        </row>
        <row r="2947">
          <cell r="A2947" t="str">
            <v>ANTEL</v>
          </cell>
          <cell r="B2947" t="str">
            <v>LPA-70080/8CF</v>
          </cell>
          <cell r="O2947"/>
          <cell r="T2947"/>
        </row>
        <row r="2948">
          <cell r="A2948" t="str">
            <v>ANTEL</v>
          </cell>
          <cell r="B2948" t="str">
            <v>LPA-70080/8CFX2</v>
          </cell>
          <cell r="O2948"/>
          <cell r="T2948"/>
        </row>
        <row r="2949">
          <cell r="A2949" t="str">
            <v>ANTEL</v>
          </cell>
          <cell r="B2949" t="str">
            <v>LPA-70090-8CF-EDIN-0</v>
          </cell>
          <cell r="O2949">
            <v>4.4526629328014096</v>
          </cell>
          <cell r="T2949">
            <v>6.982560814763179</v>
          </cell>
        </row>
        <row r="2950">
          <cell r="A2950" t="str">
            <v>ANTEL</v>
          </cell>
          <cell r="B2950" t="str">
            <v>LPA-70090-8CF-EDIN-2</v>
          </cell>
          <cell r="O2950">
            <v>4.4526629328014096</v>
          </cell>
          <cell r="T2950">
            <v>6.982560814763179</v>
          </cell>
        </row>
        <row r="2951">
          <cell r="A2951" t="str">
            <v>ANTEL</v>
          </cell>
          <cell r="B2951" t="str">
            <v>LPA-70090/4CF</v>
          </cell>
          <cell r="O2951"/>
          <cell r="T2951"/>
        </row>
        <row r="2952">
          <cell r="A2952" t="str">
            <v>ANTEL</v>
          </cell>
          <cell r="B2952" t="str">
            <v>LPA-70090/8CF</v>
          </cell>
          <cell r="O2952"/>
          <cell r="T2952"/>
        </row>
        <row r="2953">
          <cell r="A2953" t="str">
            <v>ANTEL</v>
          </cell>
          <cell r="B2953" t="str">
            <v>LPA-75063/4CF</v>
          </cell>
          <cell r="O2953">
            <v>4.6270071759070195</v>
          </cell>
          <cell r="T2953">
            <v>3.8423243610188695</v>
          </cell>
        </row>
        <row r="2954">
          <cell r="A2954" t="str">
            <v>ANTEL</v>
          </cell>
          <cell r="B2954" t="str">
            <v>LPA-800102/8CF</v>
          </cell>
          <cell r="O2954">
            <v>4.6581413966049396</v>
          </cell>
          <cell r="T2954">
            <v>10.2731756995515</v>
          </cell>
        </row>
        <row r="2955">
          <cell r="A2955" t="str">
            <v>ANTEL</v>
          </cell>
          <cell r="B2955" t="str">
            <v>LPA-80040-4CF-EDIN-5</v>
          </cell>
          <cell r="O2955"/>
          <cell r="T2955"/>
        </row>
        <row r="2956">
          <cell r="A2956" t="str">
            <v>ANTEL</v>
          </cell>
          <cell r="B2956" t="str">
            <v>LPA-80040-6CF-EDIN-0</v>
          </cell>
          <cell r="O2956"/>
          <cell r="T2956"/>
        </row>
        <row r="2957">
          <cell r="A2957" t="str">
            <v>ANTEL</v>
          </cell>
          <cell r="B2957" t="str">
            <v>LPA-80040-6CF-EDIN-2</v>
          </cell>
          <cell r="O2957"/>
          <cell r="T2957"/>
        </row>
        <row r="2958">
          <cell r="A2958" t="str">
            <v>ANTEL</v>
          </cell>
          <cell r="B2958" t="str">
            <v>LPA-80040-6CF-EDIN-4</v>
          </cell>
          <cell r="O2958"/>
          <cell r="T2958"/>
        </row>
        <row r="2959">
          <cell r="A2959" t="str">
            <v>ANTEL</v>
          </cell>
          <cell r="B2959" t="str">
            <v>LPA-80040-6CF-EDIN-6</v>
          </cell>
          <cell r="O2959"/>
          <cell r="T2959"/>
        </row>
        <row r="2960">
          <cell r="A2960" t="str">
            <v>ANTEL</v>
          </cell>
          <cell r="B2960" t="str">
            <v>LPA-80040-8CF-EDIN-0</v>
          </cell>
          <cell r="O2960"/>
          <cell r="T2960"/>
        </row>
        <row r="2961">
          <cell r="A2961" t="str">
            <v>ANTEL</v>
          </cell>
          <cell r="B2961" t="str">
            <v>LPA-80040-8CF-EDIN-2</v>
          </cell>
          <cell r="O2961"/>
          <cell r="T2961"/>
        </row>
        <row r="2962">
          <cell r="A2962" t="str">
            <v>ANTEL</v>
          </cell>
          <cell r="B2962" t="str">
            <v>LPA-80040-8CF-EDIN-3</v>
          </cell>
          <cell r="O2962"/>
          <cell r="T2962"/>
        </row>
        <row r="2963">
          <cell r="A2963" t="str">
            <v>ANTEL</v>
          </cell>
          <cell r="B2963" t="str">
            <v>LPA-80040-8CF-EDIN-4</v>
          </cell>
          <cell r="O2963"/>
          <cell r="T2963"/>
        </row>
        <row r="2964">
          <cell r="A2964" t="str">
            <v>ANTEL</v>
          </cell>
          <cell r="B2964" t="str">
            <v>LPA-80040-8CF-EDIN-5</v>
          </cell>
          <cell r="O2964"/>
          <cell r="T2964"/>
        </row>
        <row r="2965">
          <cell r="A2965" t="str">
            <v>ANTEL</v>
          </cell>
          <cell r="B2965" t="str">
            <v>LPA-80040-8CF-EDIN-6</v>
          </cell>
          <cell r="O2965"/>
          <cell r="T2965"/>
        </row>
        <row r="2966">
          <cell r="A2966" t="str">
            <v>ANTEL</v>
          </cell>
          <cell r="B2966" t="str">
            <v>LPA-80060-4CF-EDIN-0</v>
          </cell>
          <cell r="O2966"/>
          <cell r="T2966"/>
        </row>
        <row r="2967">
          <cell r="A2967" t="str">
            <v>ANTEL</v>
          </cell>
          <cell r="B2967" t="str">
            <v>LPA-80060-6CF-EDIN-0</v>
          </cell>
          <cell r="O2967"/>
          <cell r="T2967"/>
        </row>
        <row r="2968">
          <cell r="A2968" t="str">
            <v>ANTEL</v>
          </cell>
          <cell r="B2968" t="str">
            <v>LPA-80063-4CF-EDIN-5</v>
          </cell>
          <cell r="O2968">
            <v>4.6270071759070195</v>
          </cell>
          <cell r="T2968">
            <v>3.8423243610188695</v>
          </cell>
        </row>
        <row r="2969">
          <cell r="A2969" t="str">
            <v>ANTEL</v>
          </cell>
          <cell r="B2969" t="str">
            <v>LPA-80063-6CF-EDIN</v>
          </cell>
          <cell r="O2969">
            <v>7.486196102758889</v>
          </cell>
          <cell r="T2969">
            <v>6.28785075750032</v>
          </cell>
        </row>
        <row r="2970">
          <cell r="A2970" t="str">
            <v>ANTEL</v>
          </cell>
          <cell r="B2970" t="str">
            <v>LPA-80063-6CF-EDIN-2</v>
          </cell>
          <cell r="O2970">
            <v>7.486196102758889</v>
          </cell>
          <cell r="T2970">
            <v>6.28785075750032</v>
          </cell>
        </row>
        <row r="2971">
          <cell r="A2971" t="str">
            <v>ANTEL</v>
          </cell>
          <cell r="B2971" t="str">
            <v>LPA-80063-6CF-EDIN-5</v>
          </cell>
          <cell r="O2971">
            <v>7.486196102758889</v>
          </cell>
          <cell r="T2971">
            <v>6.28785075750032</v>
          </cell>
        </row>
        <row r="2972">
          <cell r="A2972" t="str">
            <v>ANTEL</v>
          </cell>
          <cell r="B2972" t="str">
            <v>LPA-80063-8CF-EDIN-2</v>
          </cell>
          <cell r="O2972">
            <v>9.5185412157318794</v>
          </cell>
          <cell r="T2972">
            <v>8.0420311689110111</v>
          </cell>
        </row>
        <row r="2973">
          <cell r="A2973" t="str">
            <v>ANTEL</v>
          </cell>
          <cell r="B2973" t="str">
            <v>LPA-80063/4CF</v>
          </cell>
          <cell r="O2973">
            <v>4.2185388945854401</v>
          </cell>
          <cell r="T2973">
            <v>3.5942309242683703</v>
          </cell>
        </row>
        <row r="2974">
          <cell r="A2974" t="str">
            <v>ANTEL</v>
          </cell>
          <cell r="B2974" t="str">
            <v>LPA-80063/4CF-5</v>
          </cell>
          <cell r="O2974">
            <v>4.2185388945854401</v>
          </cell>
          <cell r="T2974">
            <v>3.5942309242683703</v>
          </cell>
        </row>
        <row r="2975">
          <cell r="A2975" t="str">
            <v>ANTEL</v>
          </cell>
          <cell r="B2975" t="str">
            <v>LPA-80063/4CFX5</v>
          </cell>
          <cell r="O2975">
            <v>4.2185388945854401</v>
          </cell>
          <cell r="T2975">
            <v>3.5942309242683703</v>
          </cell>
        </row>
        <row r="2976">
          <cell r="A2976" t="str">
            <v>ANTEL</v>
          </cell>
          <cell r="B2976" t="str">
            <v>LPA-80063/6CF</v>
          </cell>
          <cell r="O2976">
            <v>7.4249402702484391</v>
          </cell>
          <cell r="T2976">
            <v>6.3570047125957503</v>
          </cell>
        </row>
        <row r="2977">
          <cell r="A2977" t="str">
            <v>ANTEL</v>
          </cell>
          <cell r="B2977" t="str">
            <v>LPA-80063/6CF-2</v>
          </cell>
          <cell r="O2977">
            <v>7.4249402702484391</v>
          </cell>
          <cell r="T2977">
            <v>6.3570047125957503</v>
          </cell>
        </row>
        <row r="2978">
          <cell r="A2978" t="str">
            <v>ANTEL</v>
          </cell>
          <cell r="B2978" t="str">
            <v>LPA-80063/6CFX2</v>
          </cell>
          <cell r="O2978">
            <v>7.4249402702484391</v>
          </cell>
          <cell r="T2978">
            <v>6.3570047125957503</v>
          </cell>
        </row>
        <row r="2979">
          <cell r="A2979" t="str">
            <v>ANTEL</v>
          </cell>
          <cell r="B2979" t="str">
            <v>LPA-80063/6CFX5</v>
          </cell>
          <cell r="O2979">
            <v>7.4249402702484391</v>
          </cell>
          <cell r="T2979">
            <v>6.3570047125957503</v>
          </cell>
        </row>
        <row r="2980">
          <cell r="A2980" t="str">
            <v>ANTEL</v>
          </cell>
          <cell r="B2980" t="str">
            <v>LPA-80063/8CF</v>
          </cell>
          <cell r="O2980">
            <v>9.4153877538967485</v>
          </cell>
          <cell r="T2980">
            <v>8.0185486691027297</v>
          </cell>
        </row>
        <row r="2981">
          <cell r="A2981" t="str">
            <v>ANTEL</v>
          </cell>
          <cell r="B2981" t="str">
            <v>LPA-80063/8CFE-DIN</v>
          </cell>
          <cell r="O2981">
            <v>9.4153877538967485</v>
          </cell>
          <cell r="T2981">
            <v>8.0185486691027297</v>
          </cell>
        </row>
        <row r="2982">
          <cell r="A2982" t="str">
            <v>ANTEL</v>
          </cell>
          <cell r="B2982" t="str">
            <v>LPA-80063/8CFX2</v>
          </cell>
          <cell r="O2982">
            <v>9.4153877538967485</v>
          </cell>
          <cell r="T2982">
            <v>8.0185486691027297</v>
          </cell>
        </row>
        <row r="2983">
          <cell r="A2983" t="str">
            <v>ANTEL</v>
          </cell>
          <cell r="B2983" t="str">
            <v>LPA-80063/8CFX5</v>
          </cell>
          <cell r="O2983">
            <v>9.4153877538967485</v>
          </cell>
          <cell r="T2983">
            <v>8.0185486691027297</v>
          </cell>
        </row>
        <row r="2984">
          <cell r="A2984" t="str">
            <v>ANTEL</v>
          </cell>
          <cell r="B2984" t="str">
            <v>LPA-80080-4CF-EDIN-0</v>
          </cell>
          <cell r="O2984">
            <v>2.1388273459473002</v>
          </cell>
          <cell r="T2984">
            <v>4.9174859405531697</v>
          </cell>
        </row>
        <row r="2985">
          <cell r="A2985" t="str">
            <v>ANTEL</v>
          </cell>
          <cell r="B2985" t="str">
            <v>LPA-80080-6CF-EDIN</v>
          </cell>
          <cell r="O2985">
            <v>3.1685040458476603</v>
          </cell>
          <cell r="T2985">
            <v>7.2117267892441994</v>
          </cell>
        </row>
        <row r="2986">
          <cell r="A2986" t="str">
            <v>ANTEL</v>
          </cell>
          <cell r="B2986" t="str">
            <v>LPA-80080-6CF-EDIN-2</v>
          </cell>
          <cell r="O2986">
            <v>3.1685040458476603</v>
          </cell>
          <cell r="T2986">
            <v>7.2117267892441994</v>
          </cell>
        </row>
        <row r="2987">
          <cell r="A2987" t="str">
            <v>ANTEL</v>
          </cell>
          <cell r="B2987" t="str">
            <v>LPA-80080-6CF-EDIN-5</v>
          </cell>
          <cell r="O2987">
            <v>3.1685040458476603</v>
          </cell>
          <cell r="T2987">
            <v>7.2117267892441994</v>
          </cell>
        </row>
        <row r="2988">
          <cell r="A2988" t="str">
            <v>ANTEL</v>
          </cell>
          <cell r="B2988" t="str">
            <v>LPA-80080-6CF-EDIN-6</v>
          </cell>
          <cell r="O2988">
            <v>3.1685040458476603</v>
          </cell>
          <cell r="T2988">
            <v>7.2117267892441994</v>
          </cell>
        </row>
        <row r="2989">
          <cell r="A2989" t="str">
            <v>ANTEL</v>
          </cell>
          <cell r="B2989" t="str">
            <v>LPA-80080-8CF-EDIN-2</v>
          </cell>
          <cell r="O2989">
            <v>4.6581413966049396</v>
          </cell>
          <cell r="T2989">
            <v>10.2731756995515</v>
          </cell>
        </row>
        <row r="2990">
          <cell r="A2990" t="str">
            <v>ANTEL</v>
          </cell>
          <cell r="B2990" t="str">
            <v>LPA-80080-8CF-EDIN-5</v>
          </cell>
          <cell r="O2990">
            <v>4.6581413966049396</v>
          </cell>
          <cell r="T2990">
            <v>10.2731756995515</v>
          </cell>
        </row>
        <row r="2991">
          <cell r="A2991" t="str">
            <v>ANTEL</v>
          </cell>
          <cell r="B2991" t="str">
            <v>LPA-80080/4CF</v>
          </cell>
          <cell r="O2991">
            <v>2.1388273459473002</v>
          </cell>
          <cell r="T2991">
            <v>4.9174859405531697</v>
          </cell>
        </row>
        <row r="2992">
          <cell r="A2992" t="str">
            <v>ANTEL</v>
          </cell>
          <cell r="B2992" t="str">
            <v>LPA-80080/4CFX5</v>
          </cell>
          <cell r="O2992">
            <v>2.1388273459473002</v>
          </cell>
          <cell r="T2992">
            <v>4.9174859405531697</v>
          </cell>
        </row>
        <row r="2993">
          <cell r="A2993" t="str">
            <v>ANTEL</v>
          </cell>
          <cell r="B2993" t="str">
            <v>LPA-80080/6CF</v>
          </cell>
          <cell r="O2993">
            <v>3.1685040458476603</v>
          </cell>
          <cell r="T2993">
            <v>7.2117267892441994</v>
          </cell>
        </row>
        <row r="2994">
          <cell r="A2994" t="str">
            <v>ANTEL</v>
          </cell>
          <cell r="B2994" t="str">
            <v>LPA-80080/6CFX2</v>
          </cell>
          <cell r="O2994">
            <v>3.1685040458476603</v>
          </cell>
          <cell r="T2994">
            <v>7.2117267892441994</v>
          </cell>
        </row>
        <row r="2995">
          <cell r="A2995" t="str">
            <v>ANTEL</v>
          </cell>
          <cell r="B2995" t="str">
            <v>LPA-80080/6CFX5</v>
          </cell>
          <cell r="O2995">
            <v>3.1685040458476603</v>
          </cell>
          <cell r="T2995">
            <v>7.2117267892441994</v>
          </cell>
        </row>
        <row r="2996">
          <cell r="A2996" t="str">
            <v>ANTEL</v>
          </cell>
          <cell r="B2996" t="str">
            <v>LPA-80080/8CF</v>
          </cell>
          <cell r="O2996">
            <v>4.6581413966049396</v>
          </cell>
          <cell r="T2996">
            <v>10.2731756995515</v>
          </cell>
        </row>
        <row r="2997">
          <cell r="A2997" t="str">
            <v>ANTEL</v>
          </cell>
          <cell r="B2997" t="str">
            <v>LPA-80080/8CFX2</v>
          </cell>
          <cell r="O2997">
            <v>4.6581413966049396</v>
          </cell>
          <cell r="T2997">
            <v>10.2731756995515</v>
          </cell>
        </row>
        <row r="2998">
          <cell r="A2998" t="str">
            <v>ANTEL</v>
          </cell>
          <cell r="B2998" t="str">
            <v>LPA-80080/8CFX3</v>
          </cell>
          <cell r="O2998">
            <v>4.6581413966049396</v>
          </cell>
          <cell r="T2998">
            <v>10.2731756995515</v>
          </cell>
        </row>
        <row r="2999">
          <cell r="A2999" t="str">
            <v>ANTEL</v>
          </cell>
          <cell r="B2999" t="str">
            <v>LPA-80080/8CFX5</v>
          </cell>
          <cell r="O2999">
            <v>4.6581413966049396</v>
          </cell>
          <cell r="T2999">
            <v>10.2731756995515</v>
          </cell>
        </row>
        <row r="3000">
          <cell r="A3000" t="str">
            <v>ANTEL</v>
          </cell>
          <cell r="B3000" t="str">
            <v>LPA-80090-4CF-EDIN-0</v>
          </cell>
          <cell r="O3000">
            <v>2.12811487268519</v>
          </cell>
          <cell r="T3000">
            <v>3.3640673445031801</v>
          </cell>
        </row>
        <row r="3001">
          <cell r="A3001" t="str">
            <v>ANTEL</v>
          </cell>
          <cell r="B3001" t="str">
            <v>LPA-80090-8</v>
          </cell>
          <cell r="O3001">
            <v>4.4526629328014096</v>
          </cell>
          <cell r="T3001">
            <v>6.982560814763179</v>
          </cell>
        </row>
        <row r="3002">
          <cell r="A3002" t="str">
            <v>ANTEL</v>
          </cell>
          <cell r="B3002" t="str">
            <v>LPA-80090-8CF-EDIN-2</v>
          </cell>
          <cell r="O3002">
            <v>4.4526629328014096</v>
          </cell>
          <cell r="T3002">
            <v>6.982560814763179</v>
          </cell>
        </row>
        <row r="3003">
          <cell r="A3003" t="str">
            <v>ANTEL</v>
          </cell>
          <cell r="B3003" t="str">
            <v>LPA-80090-8CF-EDIN-X</v>
          </cell>
          <cell r="O3003"/>
          <cell r="T3003"/>
        </row>
        <row r="3004">
          <cell r="A3004" t="str">
            <v>ANTEL</v>
          </cell>
          <cell r="B3004" t="str">
            <v>LPA-80090/4CF</v>
          </cell>
          <cell r="O3004">
            <v>2.12811487268519</v>
          </cell>
          <cell r="T3004">
            <v>3.3640673445031801</v>
          </cell>
        </row>
        <row r="3005">
          <cell r="A3005" t="str">
            <v>ANTEL</v>
          </cell>
          <cell r="B3005" t="str">
            <v>LPA-80090/4CF-0</v>
          </cell>
          <cell r="O3005"/>
          <cell r="T3005"/>
        </row>
        <row r="3006">
          <cell r="A3006" t="str">
            <v>ANTEL</v>
          </cell>
          <cell r="B3006" t="str">
            <v>LPA-80090/4CF-5</v>
          </cell>
          <cell r="O3006">
            <v>2.12811487268519</v>
          </cell>
          <cell r="T3006">
            <v>3.3640673445031801</v>
          </cell>
        </row>
        <row r="3007">
          <cell r="A3007" t="str">
            <v>ANTEL</v>
          </cell>
          <cell r="B3007" t="str">
            <v>LPA-80090/6CF</v>
          </cell>
          <cell r="O3007"/>
          <cell r="T3007"/>
        </row>
        <row r="3008">
          <cell r="A3008" t="str">
            <v>ANTEL</v>
          </cell>
          <cell r="B3008" t="str">
            <v>LPA-80090/8CF</v>
          </cell>
          <cell r="O3008">
            <v>4.4526629328014096</v>
          </cell>
          <cell r="T3008">
            <v>6.982560814763179</v>
          </cell>
        </row>
        <row r="3009">
          <cell r="A3009" t="str">
            <v>ANTEL</v>
          </cell>
          <cell r="B3009" t="str">
            <v>LPA-80090/8CFX3</v>
          </cell>
          <cell r="O3009">
            <v>4.4526629328014096</v>
          </cell>
          <cell r="T3009">
            <v>6.982560814763179</v>
          </cell>
        </row>
        <row r="3010">
          <cell r="A3010" t="str">
            <v>ANTEL</v>
          </cell>
          <cell r="B3010" t="str">
            <v>LPD-4013</v>
          </cell>
          <cell r="O3010"/>
          <cell r="T3010"/>
        </row>
        <row r="3011">
          <cell r="A3011" t="str">
            <v>ANTEL</v>
          </cell>
          <cell r="B3011" t="str">
            <v>LPD-4016</v>
          </cell>
          <cell r="O3011"/>
          <cell r="T3011"/>
        </row>
        <row r="3012">
          <cell r="A3012" t="str">
            <v>ANTEL</v>
          </cell>
          <cell r="B3012" t="str">
            <v>LPD-4016X3</v>
          </cell>
          <cell r="O3012"/>
          <cell r="T3012"/>
        </row>
        <row r="3013">
          <cell r="A3013" t="str">
            <v>ANTEL</v>
          </cell>
          <cell r="B3013" t="str">
            <v>LPD-4016X5</v>
          </cell>
          <cell r="O3013"/>
          <cell r="T3013"/>
        </row>
        <row r="3014">
          <cell r="A3014" t="str">
            <v>ANTEL</v>
          </cell>
          <cell r="B3014" t="str">
            <v>LPD-4019</v>
          </cell>
          <cell r="O3014"/>
          <cell r="T3014"/>
        </row>
        <row r="3015">
          <cell r="A3015" t="str">
            <v>ANTEL</v>
          </cell>
          <cell r="B3015" t="str">
            <v>LPD-4019-3</v>
          </cell>
          <cell r="O3015"/>
          <cell r="T3015"/>
        </row>
        <row r="3016">
          <cell r="A3016" t="str">
            <v>ANTEL</v>
          </cell>
          <cell r="B3016" t="str">
            <v>LPD-4019X5</v>
          </cell>
          <cell r="O3016"/>
          <cell r="T3016"/>
        </row>
        <row r="3017">
          <cell r="A3017" t="str">
            <v>ANTEL</v>
          </cell>
          <cell r="B3017" t="str">
            <v>LPD-6513</v>
          </cell>
          <cell r="O3017"/>
          <cell r="T3017"/>
        </row>
        <row r="3018">
          <cell r="A3018" t="str">
            <v>ANTEL</v>
          </cell>
          <cell r="B3018" t="str">
            <v>LPD-6513X3</v>
          </cell>
          <cell r="O3018"/>
          <cell r="T3018"/>
        </row>
        <row r="3019">
          <cell r="A3019" t="str">
            <v>ANTEL</v>
          </cell>
          <cell r="B3019" t="str">
            <v>LPD-6513X5</v>
          </cell>
          <cell r="O3019"/>
          <cell r="T3019"/>
        </row>
        <row r="3020">
          <cell r="A3020" t="str">
            <v>ANTEL</v>
          </cell>
          <cell r="B3020" t="str">
            <v>LPD-6516</v>
          </cell>
          <cell r="O3020"/>
          <cell r="T3020"/>
        </row>
        <row r="3021">
          <cell r="A3021" t="str">
            <v>ANTEL</v>
          </cell>
          <cell r="B3021" t="str">
            <v>LPD-6516X3</v>
          </cell>
          <cell r="O3021"/>
          <cell r="T3021"/>
        </row>
        <row r="3022">
          <cell r="A3022" t="str">
            <v>ANTEL</v>
          </cell>
          <cell r="B3022" t="str">
            <v>LPD-6516_5</v>
          </cell>
          <cell r="O3022"/>
          <cell r="T3022"/>
        </row>
        <row r="3023">
          <cell r="A3023" t="str">
            <v>ANTEL</v>
          </cell>
          <cell r="B3023" t="str">
            <v>LPD-7905</v>
          </cell>
          <cell r="O3023">
            <v>0.54247128472782202</v>
          </cell>
          <cell r="T3023">
            <v>0.69561796972800594</v>
          </cell>
        </row>
        <row r="3024">
          <cell r="A3024" t="str">
            <v>ANTEL</v>
          </cell>
          <cell r="B3024" t="str">
            <v>LPD-7905/2</v>
          </cell>
          <cell r="O3024">
            <v>1.1158304628098099</v>
          </cell>
          <cell r="T3024">
            <v>1.7680515384028999</v>
          </cell>
        </row>
        <row r="3025">
          <cell r="A3025" t="str">
            <v>ANTEL</v>
          </cell>
          <cell r="B3025" t="str">
            <v>LPD-7905/4</v>
          </cell>
          <cell r="O3025">
            <v>2.3297469792913401</v>
          </cell>
          <cell r="T3025">
            <v>4.2539905533883697</v>
          </cell>
        </row>
        <row r="3026">
          <cell r="A3026" t="str">
            <v>ANTEL</v>
          </cell>
          <cell r="B3026" t="str">
            <v>LPD-7905/4/102</v>
          </cell>
          <cell r="O3026">
            <v>2.3297469792913401</v>
          </cell>
          <cell r="T3026">
            <v>4.2539905533883697</v>
          </cell>
        </row>
        <row r="3027">
          <cell r="A3027" t="str">
            <v>ANTEL</v>
          </cell>
          <cell r="B3027" t="str">
            <v>LPD-7905/4DIN</v>
          </cell>
          <cell r="O3027">
            <v>2.3297469792913401</v>
          </cell>
          <cell r="T3027">
            <v>4.2539905533883697</v>
          </cell>
        </row>
        <row r="3028">
          <cell r="A3028" t="str">
            <v>ANTEL</v>
          </cell>
          <cell r="B3028" t="str">
            <v>LPD-7905/4N</v>
          </cell>
          <cell r="O3028">
            <v>2.3297469792913401</v>
          </cell>
          <cell r="T3028">
            <v>4.2539905533883697</v>
          </cell>
        </row>
        <row r="3029">
          <cell r="A3029" t="str">
            <v>ANTEL</v>
          </cell>
          <cell r="B3029" t="str">
            <v>LPD-7905/8</v>
          </cell>
          <cell r="O3029">
            <v>4.7961206034962904</v>
          </cell>
          <cell r="T3029">
            <v>8.7105869339114488</v>
          </cell>
        </row>
        <row r="3030">
          <cell r="A3030" t="str">
            <v>ANTEL</v>
          </cell>
          <cell r="B3030" t="str">
            <v>LPD-7905/8/102</v>
          </cell>
          <cell r="O3030">
            <v>4.7961206034962904</v>
          </cell>
          <cell r="T3030">
            <v>8.7105869339114488</v>
          </cell>
        </row>
        <row r="3031">
          <cell r="A3031" t="str">
            <v>ANTEL</v>
          </cell>
          <cell r="B3031" t="str">
            <v>LPD-7905/8DIN</v>
          </cell>
          <cell r="O3031">
            <v>4.7961206034962904</v>
          </cell>
          <cell r="T3031">
            <v>8.7105869339114488</v>
          </cell>
        </row>
        <row r="3032">
          <cell r="A3032" t="str">
            <v>ANTEL</v>
          </cell>
          <cell r="B3032" t="str">
            <v>LPD-7905/8EDIN5</v>
          </cell>
          <cell r="O3032">
            <v>4.7961206034962904</v>
          </cell>
          <cell r="T3032">
            <v>8.7105869339114488</v>
          </cell>
        </row>
        <row r="3033">
          <cell r="A3033" t="str">
            <v>ANTEL</v>
          </cell>
          <cell r="B3033" t="str">
            <v>LPD-7905/8N</v>
          </cell>
          <cell r="O3033">
            <v>4.7961206034962904</v>
          </cell>
          <cell r="T3033">
            <v>8.7105869339114488</v>
          </cell>
        </row>
        <row r="3034">
          <cell r="A3034" t="str">
            <v>ANTEL</v>
          </cell>
          <cell r="B3034" t="str">
            <v>LPD-7905/8NE</v>
          </cell>
          <cell r="O3034">
            <v>4.7961206034962904</v>
          </cell>
          <cell r="T3034">
            <v>8.7105869339114488</v>
          </cell>
        </row>
        <row r="3035">
          <cell r="A3035" t="str">
            <v>ANTEL</v>
          </cell>
          <cell r="B3035" t="str">
            <v>LPD-7905/8X3</v>
          </cell>
          <cell r="O3035">
            <v>4.7961206034962904</v>
          </cell>
          <cell r="T3035">
            <v>8.7105869339114488</v>
          </cell>
        </row>
        <row r="3036">
          <cell r="A3036" t="str">
            <v>ANTEL</v>
          </cell>
          <cell r="B3036" t="str">
            <v>LPD-7905/8X5</v>
          </cell>
          <cell r="O3036">
            <v>4.7961206034962904</v>
          </cell>
          <cell r="T3036">
            <v>8.7105869339114488</v>
          </cell>
        </row>
        <row r="3037">
          <cell r="A3037" t="str">
            <v>ANTEL</v>
          </cell>
          <cell r="B3037" t="str">
            <v>LPD-7905DIN</v>
          </cell>
          <cell r="O3037">
            <v>0.54247128472782202</v>
          </cell>
          <cell r="T3037">
            <v>0.69561796972800594</v>
          </cell>
        </row>
        <row r="3038">
          <cell r="A3038" t="str">
            <v>ANTEL</v>
          </cell>
          <cell r="B3038" t="str">
            <v>LPD-7907</v>
          </cell>
          <cell r="O3038">
            <v>0.57220289069492802</v>
          </cell>
          <cell r="T3038">
            <v>0.73473945959512288</v>
          </cell>
        </row>
        <row r="3039">
          <cell r="A3039" t="str">
            <v>ANTEL</v>
          </cell>
          <cell r="B3039" t="str">
            <v>LPD-7907/2</v>
          </cell>
          <cell r="O3039"/>
          <cell r="T3039"/>
        </row>
        <row r="3040">
          <cell r="A3040" t="str">
            <v>ANTEL</v>
          </cell>
          <cell r="B3040" t="str">
            <v>LPD-7907/4</v>
          </cell>
          <cell r="O3040">
            <v>2.786608232146</v>
          </cell>
          <cell r="T3040">
            <v>7.0439098714632191</v>
          </cell>
        </row>
        <row r="3041">
          <cell r="A3041" t="str">
            <v>ANTEL</v>
          </cell>
          <cell r="B3041" t="str">
            <v>LPD-7907/4DIN</v>
          </cell>
          <cell r="O3041"/>
          <cell r="T3041"/>
        </row>
        <row r="3042">
          <cell r="A3042" t="str">
            <v>ANTEL</v>
          </cell>
          <cell r="B3042" t="str">
            <v>LPD-7907/4N</v>
          </cell>
          <cell r="O3042">
            <v>2.786608232146</v>
          </cell>
          <cell r="T3042">
            <v>7.0439098714632191</v>
          </cell>
        </row>
        <row r="3043">
          <cell r="A3043" t="str">
            <v>ANTEL</v>
          </cell>
          <cell r="B3043" t="str">
            <v>LPD-7907/4NE</v>
          </cell>
          <cell r="O3043">
            <v>2.786608232146</v>
          </cell>
          <cell r="T3043">
            <v>7.0439098714632191</v>
          </cell>
        </row>
        <row r="3044">
          <cell r="A3044" t="str">
            <v>ANTEL</v>
          </cell>
          <cell r="B3044" t="str">
            <v>LPD-7907/4X3</v>
          </cell>
          <cell r="O3044">
            <v>2.786608232146</v>
          </cell>
          <cell r="T3044">
            <v>7.0439098714632191</v>
          </cell>
        </row>
        <row r="3045">
          <cell r="A3045" t="str">
            <v>ANTEL</v>
          </cell>
          <cell r="B3045" t="str">
            <v>LPD-7907/4X5</v>
          </cell>
          <cell r="O3045">
            <v>2.786608232146</v>
          </cell>
          <cell r="T3045">
            <v>7.0439098714632191</v>
          </cell>
        </row>
        <row r="3046">
          <cell r="A3046" t="str">
            <v>ANTEL</v>
          </cell>
          <cell r="B3046" t="str">
            <v>LPD-7907/4X9</v>
          </cell>
          <cell r="O3046">
            <v>2.786608232146</v>
          </cell>
          <cell r="T3046">
            <v>7.0439098714632191</v>
          </cell>
        </row>
        <row r="3047">
          <cell r="A3047" t="str">
            <v>ANTEL</v>
          </cell>
          <cell r="B3047" t="str">
            <v>LPD-7907/8</v>
          </cell>
          <cell r="O3047">
            <v>5.8161717673234898</v>
          </cell>
          <cell r="T3047">
            <v>14.8138396787394</v>
          </cell>
        </row>
        <row r="3048">
          <cell r="A3048" t="str">
            <v>ANTEL</v>
          </cell>
          <cell r="B3048" t="str">
            <v>LPD-7907/8DIN3</v>
          </cell>
          <cell r="O3048">
            <v>5.8161717673234898</v>
          </cell>
          <cell r="T3048">
            <v>14.8138396787394</v>
          </cell>
        </row>
        <row r="3049">
          <cell r="A3049" t="str">
            <v>ANTEL</v>
          </cell>
          <cell r="B3049" t="str">
            <v>LPD-7907/8X3</v>
          </cell>
          <cell r="O3049">
            <v>5.8161717673234898</v>
          </cell>
          <cell r="T3049">
            <v>14.8138396787394</v>
          </cell>
        </row>
        <row r="3050">
          <cell r="A3050" t="str">
            <v>ANTEL</v>
          </cell>
          <cell r="B3050" t="str">
            <v>LPD-7907/8X5</v>
          </cell>
          <cell r="O3050">
            <v>5.8161717673234898</v>
          </cell>
          <cell r="T3050">
            <v>14.8138396787394</v>
          </cell>
        </row>
        <row r="3051">
          <cell r="A3051" t="str">
            <v>ANTEL</v>
          </cell>
          <cell r="B3051" t="str">
            <v>LPD-7908</v>
          </cell>
          <cell r="O3051">
            <v>0.788709753589796</v>
          </cell>
          <cell r="T3051">
            <v>3.3216868763718499</v>
          </cell>
        </row>
        <row r="3052">
          <cell r="A3052" t="str">
            <v>ANTEL</v>
          </cell>
          <cell r="B3052" t="str">
            <v>LPD-7908/2</v>
          </cell>
          <cell r="O3052">
            <v>1.6619391263186098</v>
          </cell>
          <cell r="T3052">
            <v>6.5343355745088489</v>
          </cell>
        </row>
        <row r="3053">
          <cell r="A3053" t="str">
            <v>ANTEL</v>
          </cell>
          <cell r="B3053" t="str">
            <v>LPD-7908/4</v>
          </cell>
          <cell r="O3053">
            <v>3.3053371447424698</v>
          </cell>
          <cell r="T3053">
            <v>12.993652917624399</v>
          </cell>
        </row>
        <row r="3054">
          <cell r="A3054" t="str">
            <v>ANTEL</v>
          </cell>
          <cell r="B3054" t="str">
            <v>LPD-7908/4DIN</v>
          </cell>
          <cell r="O3054">
            <v>3.3053371447424698</v>
          </cell>
          <cell r="T3054">
            <v>12.993652917624399</v>
          </cell>
        </row>
        <row r="3055">
          <cell r="A3055" t="str">
            <v>ANTEL</v>
          </cell>
          <cell r="B3055" t="str">
            <v>LPD-7908/4N</v>
          </cell>
          <cell r="O3055">
            <v>3.3053371447424698</v>
          </cell>
          <cell r="T3055">
            <v>12.993652917624399</v>
          </cell>
        </row>
        <row r="3056">
          <cell r="A3056" t="str">
            <v>ANTEL</v>
          </cell>
          <cell r="B3056" t="str">
            <v>LPD-7908/4NE</v>
          </cell>
          <cell r="O3056">
            <v>3.3053371447424698</v>
          </cell>
          <cell r="T3056">
            <v>12.993652917624399</v>
          </cell>
        </row>
        <row r="3057">
          <cell r="A3057" t="str">
            <v>ANTEL</v>
          </cell>
          <cell r="B3057" t="str">
            <v>LPD-7908/4X3</v>
          </cell>
          <cell r="O3057">
            <v>3.3053371447424698</v>
          </cell>
          <cell r="T3057">
            <v>12.993652917624399</v>
          </cell>
        </row>
        <row r="3058">
          <cell r="A3058" t="str">
            <v>ANTEL</v>
          </cell>
          <cell r="B3058" t="str">
            <v>LPD-7908/4X5</v>
          </cell>
          <cell r="O3058">
            <v>3.3053371447424698</v>
          </cell>
          <cell r="T3058">
            <v>12.993652917624399</v>
          </cell>
        </row>
        <row r="3059">
          <cell r="A3059" t="str">
            <v>ANTEL</v>
          </cell>
          <cell r="B3059" t="str">
            <v>LPD-7908/4X9</v>
          </cell>
          <cell r="O3059">
            <v>3.3053371447424698</v>
          </cell>
          <cell r="T3059">
            <v>12.993652917624399</v>
          </cell>
        </row>
        <row r="3060">
          <cell r="A3060" t="str">
            <v>ANTEL</v>
          </cell>
          <cell r="B3060" t="str">
            <v>LPD7905/4DIN</v>
          </cell>
          <cell r="O3060"/>
          <cell r="T3060"/>
        </row>
        <row r="3061">
          <cell r="A3061" t="str">
            <v>ANTEL</v>
          </cell>
          <cell r="B3061" t="str">
            <v>LPD7905/8</v>
          </cell>
          <cell r="O3061"/>
          <cell r="T3061"/>
        </row>
        <row r="3062">
          <cell r="A3062" t="str">
            <v>ANTEL</v>
          </cell>
          <cell r="B3062" t="str">
            <v>MPA-1700</v>
          </cell>
          <cell r="O3062"/>
          <cell r="T3062"/>
        </row>
        <row r="3063">
          <cell r="A3063" t="str">
            <v>ANTEL</v>
          </cell>
          <cell r="B3063" t="str">
            <v>PCSX065-18-2T</v>
          </cell>
          <cell r="O3063"/>
          <cell r="T3063"/>
        </row>
        <row r="3064">
          <cell r="A3064" t="str">
            <v>ANTEL</v>
          </cell>
          <cell r="B3064" t="str">
            <v>PCSX085-13-0</v>
          </cell>
          <cell r="O3064"/>
          <cell r="T3064"/>
        </row>
        <row r="3065">
          <cell r="A3065" t="str">
            <v>ANTEL</v>
          </cell>
          <cell r="B3065" t="str">
            <v>QVA-636063120-DP</v>
          </cell>
          <cell r="O3065"/>
          <cell r="T3065"/>
        </row>
        <row r="3066">
          <cell r="A3066" t="str">
            <v>ANTEL</v>
          </cell>
          <cell r="B3066" t="str">
            <v>QVA-806080120-DP</v>
          </cell>
          <cell r="O3066"/>
          <cell r="T3066"/>
        </row>
        <row r="3067">
          <cell r="A3067" t="str">
            <v>ANTEL</v>
          </cell>
          <cell r="B3067" t="str">
            <v>QXA-40404080-DP-EDIN</v>
          </cell>
          <cell r="O3067"/>
          <cell r="T3067"/>
        </row>
        <row r="3068">
          <cell r="A3068" t="str">
            <v>ANTEL</v>
          </cell>
          <cell r="B3068" t="str">
            <v>QXA-406X4012X-DP-EDIN</v>
          </cell>
          <cell r="O3068"/>
          <cell r="T3068"/>
        </row>
        <row r="3069">
          <cell r="A3069" t="str">
            <v>ANTEL</v>
          </cell>
          <cell r="B3069" t="str">
            <v>QXA-408040160-DP-EDIN</v>
          </cell>
          <cell r="O3069"/>
          <cell r="T3069"/>
        </row>
        <row r="3070">
          <cell r="A3070" t="str">
            <v>ANTEL</v>
          </cell>
          <cell r="B3070" t="str">
            <v>QXA-634X638X-DP-EDIN</v>
          </cell>
          <cell r="O3070"/>
          <cell r="T3070"/>
        </row>
        <row r="3071">
          <cell r="A3071" t="str">
            <v>ANTEL</v>
          </cell>
          <cell r="B3071" t="str">
            <v>QXA-634X638XBF-EDIN</v>
          </cell>
          <cell r="O3071"/>
          <cell r="T3071"/>
        </row>
        <row r="3072">
          <cell r="A3072" t="str">
            <v>ANTEL</v>
          </cell>
          <cell r="B3072" t="str">
            <v>QXA-636063120-DP</v>
          </cell>
          <cell r="O3072"/>
          <cell r="T3072"/>
        </row>
        <row r="3073">
          <cell r="A3073" t="str">
            <v>ANTEL</v>
          </cell>
          <cell r="B3073" t="str">
            <v>QXA-636X6312X-DP-EDIN</v>
          </cell>
          <cell r="O3073"/>
          <cell r="T3073"/>
        </row>
        <row r="3074">
          <cell r="A3074" t="str">
            <v>ANTEL</v>
          </cell>
          <cell r="B3074" t="str">
            <v>QXA-636X6312XBF-EDIN</v>
          </cell>
          <cell r="O3074"/>
          <cell r="T3074"/>
        </row>
        <row r="3075">
          <cell r="A3075" t="str">
            <v>ANTEL</v>
          </cell>
          <cell r="B3075" t="str">
            <v>QXA-638063160-DP-EDIN</v>
          </cell>
          <cell r="O3075"/>
          <cell r="T3075"/>
        </row>
        <row r="3076">
          <cell r="A3076" t="str">
            <v>ANTEL</v>
          </cell>
          <cell r="B3076" t="str">
            <v>QXA-638X6316X-DP-EDIN</v>
          </cell>
          <cell r="O3076"/>
          <cell r="T3076"/>
        </row>
        <row r="3077">
          <cell r="A3077" t="str">
            <v>ANTEL</v>
          </cell>
          <cell r="B3077" t="str">
            <v>QXA-806080120-DP-EDIN</v>
          </cell>
          <cell r="O3077"/>
          <cell r="T3077"/>
        </row>
        <row r="3078">
          <cell r="A3078" t="str">
            <v>ANTEL</v>
          </cell>
          <cell r="B3078" t="str">
            <v>QXA-806X8012X-DP-EDIN</v>
          </cell>
          <cell r="O3078"/>
          <cell r="T3078"/>
        </row>
        <row r="3079">
          <cell r="A3079" t="str">
            <v>ANTEL</v>
          </cell>
          <cell r="B3079" t="str">
            <v>QXA-808080160-DP</v>
          </cell>
          <cell r="O3079"/>
          <cell r="T3079"/>
        </row>
        <row r="3080">
          <cell r="A3080" t="str">
            <v>ANTEL</v>
          </cell>
          <cell r="B3080" t="str">
            <v>QXA-808080160-DP-EDIN</v>
          </cell>
          <cell r="O3080"/>
          <cell r="T3080"/>
        </row>
        <row r="3081">
          <cell r="A3081" t="str">
            <v>ANTEL</v>
          </cell>
          <cell r="B3081" t="str">
            <v>QXW-454X458X-BF-EDIN</v>
          </cell>
          <cell r="O3081">
            <v>9.9993440682801484</v>
          </cell>
          <cell r="T3081">
            <v>3.5187538595060399</v>
          </cell>
        </row>
        <row r="3082">
          <cell r="A3082" t="str">
            <v>ANTEL</v>
          </cell>
          <cell r="B3082" t="str">
            <v>QXW-454X458X-DP-EDIN</v>
          </cell>
          <cell r="O3082">
            <v>9.9993440682801484</v>
          </cell>
          <cell r="T3082">
            <v>3.5187538595060399</v>
          </cell>
        </row>
        <row r="3083">
          <cell r="A3083" t="str">
            <v>ANTEL</v>
          </cell>
          <cell r="B3083" t="str">
            <v>QXW-636263122BF-EDIN</v>
          </cell>
          <cell r="O3083">
            <v>7.4783661265432091</v>
          </cell>
          <cell r="T3083">
            <v>4.421719291505819</v>
          </cell>
        </row>
        <row r="3084">
          <cell r="A3084" t="str">
            <v>ANTEL</v>
          </cell>
          <cell r="B3084" t="str">
            <v>QXW-636X6312XBF-EDIN-FP</v>
          </cell>
          <cell r="O3084"/>
          <cell r="T3084"/>
        </row>
        <row r="3085">
          <cell r="A3085" t="str">
            <v>ANTEL</v>
          </cell>
          <cell r="B3085" t="str">
            <v>QXW-80408080-DP-EDIN</v>
          </cell>
          <cell r="O3085">
            <v>4.9378573495370404</v>
          </cell>
          <cell r="T3085">
            <v>2.9203623442250901</v>
          </cell>
        </row>
        <row r="3086">
          <cell r="A3086" t="str">
            <v>ANTEL</v>
          </cell>
          <cell r="B3086" t="str">
            <v>RWA 80017</v>
          </cell>
          <cell r="O3086">
            <v>10.379024592634199</v>
          </cell>
          <cell r="T3086">
            <v>5.4090607025963289</v>
          </cell>
        </row>
        <row r="3087">
          <cell r="A3087" t="str">
            <v>ANTEL</v>
          </cell>
          <cell r="B3087" t="str">
            <v>RWA-80010</v>
          </cell>
          <cell r="O3087">
            <v>2.4705439814814798</v>
          </cell>
          <cell r="T3087">
            <v>1.24245102879682</v>
          </cell>
        </row>
        <row r="3088">
          <cell r="A3088" t="str">
            <v>ANTEL</v>
          </cell>
          <cell r="B3088" t="str">
            <v>RWA-80012</v>
          </cell>
          <cell r="O3088">
            <v>4.94380931712963</v>
          </cell>
          <cell r="T3088">
            <v>2.5442076619038696</v>
          </cell>
        </row>
        <row r="3089">
          <cell r="A3089" t="str">
            <v>ANTEL</v>
          </cell>
          <cell r="B3089" t="str">
            <v>RWA-80012-E-DIN</v>
          </cell>
          <cell r="O3089">
            <v>4.94380931712963</v>
          </cell>
          <cell r="T3089">
            <v>2.5442076619038696</v>
          </cell>
        </row>
        <row r="3090">
          <cell r="A3090" t="str">
            <v>ANTEL</v>
          </cell>
          <cell r="B3090" t="str">
            <v>RWA-80012N</v>
          </cell>
          <cell r="O3090">
            <v>4.94380931712963</v>
          </cell>
          <cell r="T3090">
            <v>2.5442076619038696</v>
          </cell>
        </row>
        <row r="3091">
          <cell r="A3091" t="str">
            <v>ANTEL</v>
          </cell>
          <cell r="B3091" t="str">
            <v>RWA-80012NE</v>
          </cell>
          <cell r="O3091">
            <v>4.94380931712963</v>
          </cell>
          <cell r="T3091">
            <v>2.5442076619038696</v>
          </cell>
        </row>
        <row r="3092">
          <cell r="A3092" t="str">
            <v>ANTEL</v>
          </cell>
          <cell r="B3092" t="str">
            <v>RWA-80013</v>
          </cell>
          <cell r="O3092">
            <v>4.94380931712963</v>
          </cell>
          <cell r="T3092">
            <v>2.5442076619038696</v>
          </cell>
        </row>
        <row r="3093">
          <cell r="A3093" t="str">
            <v>ANTEL</v>
          </cell>
          <cell r="B3093" t="str">
            <v>RWA-80014</v>
          </cell>
          <cell r="O3093">
            <v>4.94380931712963</v>
          </cell>
          <cell r="T3093">
            <v>2.5442076619038696</v>
          </cell>
        </row>
        <row r="3094">
          <cell r="A3094" t="str">
            <v>ANTEL</v>
          </cell>
          <cell r="B3094" t="str">
            <v>RWA-80014CF</v>
          </cell>
          <cell r="O3094">
            <v>4.94380931712963</v>
          </cell>
          <cell r="T3094">
            <v>2.5442076619038696</v>
          </cell>
        </row>
        <row r="3095">
          <cell r="A3095" t="str">
            <v>ANTEL</v>
          </cell>
          <cell r="B3095" t="str">
            <v>RWA-80014X14</v>
          </cell>
          <cell r="O3095"/>
          <cell r="T3095"/>
        </row>
        <row r="3096">
          <cell r="A3096" t="str">
            <v>ANTEL</v>
          </cell>
          <cell r="B3096" t="str">
            <v>RWA-80014X3</v>
          </cell>
          <cell r="O3096"/>
          <cell r="T3096"/>
        </row>
        <row r="3097">
          <cell r="A3097" t="str">
            <v>ANTEL</v>
          </cell>
          <cell r="B3097" t="str">
            <v>RWA-80014X3-25%</v>
          </cell>
          <cell r="O3097">
            <v>4.94380931712963</v>
          </cell>
          <cell r="T3097">
            <v>2.5442076619038696</v>
          </cell>
        </row>
        <row r="3098">
          <cell r="A3098" t="str">
            <v>ANTEL</v>
          </cell>
          <cell r="B3098" t="str">
            <v>RWA-80014X5</v>
          </cell>
          <cell r="O3098"/>
          <cell r="T3098"/>
        </row>
        <row r="3099">
          <cell r="A3099" t="str">
            <v>ANTEL</v>
          </cell>
          <cell r="B3099" t="str">
            <v>RWA-80014X9</v>
          </cell>
          <cell r="O3099"/>
          <cell r="T3099"/>
        </row>
        <row r="3100">
          <cell r="A3100" t="str">
            <v>ANTEL</v>
          </cell>
          <cell r="B3100" t="str">
            <v>RWA-80015</v>
          </cell>
          <cell r="O3100">
            <v>10.379024592634199</v>
          </cell>
          <cell r="T3100">
            <v>5.4090607025963289</v>
          </cell>
        </row>
        <row r="3101">
          <cell r="A3101" t="str">
            <v>ANTEL</v>
          </cell>
          <cell r="B3101" t="str">
            <v>RWA-80015CFDIN</v>
          </cell>
          <cell r="O3101">
            <v>10.379024592634199</v>
          </cell>
          <cell r="T3101">
            <v>5.4090607025963289</v>
          </cell>
        </row>
        <row r="3102">
          <cell r="A3102" t="str">
            <v>ANTEL</v>
          </cell>
          <cell r="B3102" t="str">
            <v>RWA-80015CFX25</v>
          </cell>
          <cell r="O3102">
            <v>10.379024592634199</v>
          </cell>
          <cell r="T3102">
            <v>5.4090607025963289</v>
          </cell>
        </row>
        <row r="3103">
          <cell r="A3103" t="str">
            <v>ANTEL</v>
          </cell>
          <cell r="B3103" t="str">
            <v>RWA-80015DIN</v>
          </cell>
          <cell r="O3103">
            <v>10.379024592634199</v>
          </cell>
          <cell r="T3103">
            <v>5.4090607025963289</v>
          </cell>
        </row>
        <row r="3104">
          <cell r="A3104" t="str">
            <v>ANTEL</v>
          </cell>
          <cell r="B3104" t="str">
            <v>RWA-80015EDIN</v>
          </cell>
          <cell r="O3104">
            <v>10.379024592634199</v>
          </cell>
          <cell r="T3104">
            <v>5.4090607025963289</v>
          </cell>
        </row>
        <row r="3105">
          <cell r="A3105" t="str">
            <v>ANTEL</v>
          </cell>
          <cell r="B3105" t="str">
            <v>RWA-80015LS</v>
          </cell>
          <cell r="O3105">
            <v>10.379024592634199</v>
          </cell>
          <cell r="T3105">
            <v>5.4090607025963289</v>
          </cell>
        </row>
        <row r="3106">
          <cell r="A3106" t="str">
            <v>ANTEL</v>
          </cell>
          <cell r="B3106" t="str">
            <v>RWA-80015LSX3-25</v>
          </cell>
          <cell r="O3106">
            <v>10.379024592634199</v>
          </cell>
          <cell r="T3106">
            <v>5.4090607025963289</v>
          </cell>
        </row>
        <row r="3107">
          <cell r="A3107" t="str">
            <v>ANTEL</v>
          </cell>
          <cell r="B3107" t="str">
            <v>RWA-80015N</v>
          </cell>
          <cell r="O3107">
            <v>10.379024592634199</v>
          </cell>
          <cell r="T3107">
            <v>5.4090607025963289</v>
          </cell>
        </row>
        <row r="3108">
          <cell r="A3108" t="str">
            <v>ANTEL</v>
          </cell>
          <cell r="B3108" t="str">
            <v>RWA-80015NE</v>
          </cell>
          <cell r="O3108">
            <v>10.379024592634199</v>
          </cell>
          <cell r="T3108">
            <v>5.4090607025963289</v>
          </cell>
        </row>
        <row r="3109">
          <cell r="A3109" t="str">
            <v>ANTEL</v>
          </cell>
          <cell r="B3109" t="str">
            <v>RWA-80015X2</v>
          </cell>
          <cell r="O3109">
            <v>10.379024592634199</v>
          </cell>
          <cell r="T3109">
            <v>5.4090607025963289</v>
          </cell>
        </row>
        <row r="3110">
          <cell r="A3110" t="str">
            <v>ANTEL</v>
          </cell>
          <cell r="B3110" t="str">
            <v>RWA-80015X3-25</v>
          </cell>
          <cell r="O3110">
            <v>10.379024592634199</v>
          </cell>
          <cell r="T3110">
            <v>5.4090607025963289</v>
          </cell>
        </row>
        <row r="3111">
          <cell r="A3111" t="str">
            <v>ANTEL</v>
          </cell>
          <cell r="B3111" t="str">
            <v>RWA-80015X5</v>
          </cell>
          <cell r="O3111">
            <v>10.379024592634199</v>
          </cell>
          <cell r="T3111">
            <v>5.4090607025963289</v>
          </cell>
        </row>
        <row r="3112">
          <cell r="A3112" t="str">
            <v>ANTEL</v>
          </cell>
          <cell r="B3112" t="str">
            <v>RWA-80016</v>
          </cell>
          <cell r="O3112">
            <v>10.379024592634199</v>
          </cell>
          <cell r="T3112">
            <v>5.4090607025963289</v>
          </cell>
        </row>
        <row r="3113">
          <cell r="A3113" t="str">
            <v>ANTEL</v>
          </cell>
          <cell r="B3113" t="str">
            <v>RWA-80016-EDIN-3</v>
          </cell>
          <cell r="O3113">
            <v>10.379024592634199</v>
          </cell>
          <cell r="T3113">
            <v>5.4090607025963289</v>
          </cell>
        </row>
        <row r="3114">
          <cell r="A3114" t="str">
            <v>ANTEL</v>
          </cell>
          <cell r="B3114" t="str">
            <v>RWA-80016/25</v>
          </cell>
          <cell r="O3114">
            <v>10.379024592634199</v>
          </cell>
          <cell r="T3114">
            <v>5.4090607025963289</v>
          </cell>
        </row>
        <row r="3115">
          <cell r="A3115" t="str">
            <v>ANTEL</v>
          </cell>
          <cell r="B3115" t="str">
            <v>RWA-80016CF</v>
          </cell>
          <cell r="O3115">
            <v>10.379024592634199</v>
          </cell>
          <cell r="T3115">
            <v>5.4090607025963289</v>
          </cell>
        </row>
        <row r="3116">
          <cell r="A3116" t="str">
            <v>ANTEL</v>
          </cell>
          <cell r="B3116" t="str">
            <v>RWA-80016LS</v>
          </cell>
          <cell r="O3116">
            <v>10.379024592634199</v>
          </cell>
          <cell r="T3116">
            <v>5.4090607025963289</v>
          </cell>
        </row>
        <row r="3117">
          <cell r="A3117" t="str">
            <v>ANTEL</v>
          </cell>
          <cell r="B3117" t="str">
            <v>RWA-80016LSCF</v>
          </cell>
          <cell r="O3117">
            <v>10.379024592634199</v>
          </cell>
          <cell r="T3117">
            <v>5.4090607025963289</v>
          </cell>
        </row>
        <row r="3118">
          <cell r="A3118" t="str">
            <v>ANTEL</v>
          </cell>
          <cell r="B3118" t="str">
            <v>RWA-80016LSX3-25</v>
          </cell>
          <cell r="O3118">
            <v>10.379024592634199</v>
          </cell>
          <cell r="T3118">
            <v>5.4090607025963289</v>
          </cell>
        </row>
        <row r="3119">
          <cell r="A3119" t="str">
            <v>ANTEL</v>
          </cell>
          <cell r="B3119" t="str">
            <v>RWA-80016X3</v>
          </cell>
          <cell r="O3119">
            <v>10.379024592634199</v>
          </cell>
          <cell r="T3119">
            <v>5.4090607025963289</v>
          </cell>
        </row>
        <row r="3120">
          <cell r="A3120" t="str">
            <v>ANTEL</v>
          </cell>
          <cell r="B3120" t="str">
            <v>RWA-80016X3-25</v>
          </cell>
          <cell r="O3120">
            <v>10.379024592634199</v>
          </cell>
          <cell r="T3120">
            <v>5.4090607025963289</v>
          </cell>
        </row>
        <row r="3121">
          <cell r="A3121" t="str">
            <v>ANTEL</v>
          </cell>
          <cell r="B3121" t="str">
            <v>RWA-80016X5</v>
          </cell>
          <cell r="O3121">
            <v>10.379024592634199</v>
          </cell>
          <cell r="T3121">
            <v>5.4090607025963289</v>
          </cell>
        </row>
        <row r="3122">
          <cell r="A3122" t="str">
            <v>ANTEL</v>
          </cell>
          <cell r="B3122" t="str">
            <v>RWA-80017</v>
          </cell>
          <cell r="O3122">
            <v>10.379024592634199</v>
          </cell>
          <cell r="T3122">
            <v>5.4090607025963289</v>
          </cell>
        </row>
        <row r="3123">
          <cell r="A3123" t="str">
            <v>ANTEL</v>
          </cell>
          <cell r="B3123" t="str">
            <v>RWA-80017-2</v>
          </cell>
          <cell r="O3123">
            <v>10.379024592634199</v>
          </cell>
          <cell r="T3123">
            <v>5.4090607025963289</v>
          </cell>
        </row>
        <row r="3124">
          <cell r="A3124" t="str">
            <v>ANTEL</v>
          </cell>
          <cell r="B3124" t="str">
            <v>RWA-80017-EDIN-3</v>
          </cell>
          <cell r="O3124">
            <v>10.379024592634199</v>
          </cell>
          <cell r="T3124">
            <v>5.4090607025963289</v>
          </cell>
        </row>
        <row r="3125">
          <cell r="A3125" t="str">
            <v>ANTEL</v>
          </cell>
          <cell r="B3125" t="str">
            <v>RWA-80017CF</v>
          </cell>
          <cell r="O3125"/>
          <cell r="T3125"/>
        </row>
        <row r="3126">
          <cell r="A3126" t="str">
            <v>ANTEL</v>
          </cell>
          <cell r="B3126" t="str">
            <v>RWA-80017CFX25</v>
          </cell>
          <cell r="O3126">
            <v>10.379024592634199</v>
          </cell>
          <cell r="T3126">
            <v>5.4090607025963289</v>
          </cell>
        </row>
        <row r="3127">
          <cell r="A3127" t="str">
            <v>ANTEL</v>
          </cell>
          <cell r="B3127" t="str">
            <v>RWA-80017DIN</v>
          </cell>
          <cell r="O3127">
            <v>10.379024592634199</v>
          </cell>
          <cell r="T3127">
            <v>5.4090607025963289</v>
          </cell>
        </row>
        <row r="3128">
          <cell r="A3128" t="str">
            <v>ANTEL</v>
          </cell>
          <cell r="B3128" t="str">
            <v>RWA-80017EDIN</v>
          </cell>
          <cell r="O3128">
            <v>10.379024592634199</v>
          </cell>
          <cell r="T3128">
            <v>5.4090607025963289</v>
          </cell>
        </row>
        <row r="3129">
          <cell r="A3129" t="str">
            <v>ANTEL</v>
          </cell>
          <cell r="B3129" t="str">
            <v>RWA-80017LS</v>
          </cell>
          <cell r="O3129">
            <v>10.379024592634199</v>
          </cell>
          <cell r="T3129">
            <v>5.4090607025963289</v>
          </cell>
        </row>
        <row r="3130">
          <cell r="A3130" t="str">
            <v>ANTEL</v>
          </cell>
          <cell r="B3130" t="str">
            <v>RWA-80017LSCF</v>
          </cell>
          <cell r="O3130">
            <v>10.379024592634199</v>
          </cell>
          <cell r="T3130">
            <v>5.4090607025963289</v>
          </cell>
        </row>
        <row r="3131">
          <cell r="A3131" t="str">
            <v>ANTEL</v>
          </cell>
          <cell r="B3131" t="str">
            <v>RWA-80017LSX3-25</v>
          </cell>
          <cell r="O3131">
            <v>10.379024592634199</v>
          </cell>
          <cell r="T3131">
            <v>5.4090607025963289</v>
          </cell>
        </row>
        <row r="3132">
          <cell r="A3132" t="str">
            <v>ANTEL</v>
          </cell>
          <cell r="B3132" t="str">
            <v>RWA-80017LSX5-25</v>
          </cell>
          <cell r="O3132"/>
          <cell r="T3132"/>
        </row>
        <row r="3133">
          <cell r="A3133" t="str">
            <v>ANTEL</v>
          </cell>
          <cell r="B3133" t="str">
            <v>RWA-80017N</v>
          </cell>
          <cell r="O3133">
            <v>10.379024592634199</v>
          </cell>
          <cell r="T3133">
            <v>5.4090607025963289</v>
          </cell>
        </row>
        <row r="3134">
          <cell r="A3134" t="str">
            <v>ANTEL</v>
          </cell>
          <cell r="B3134" t="str">
            <v>RWA-80017NE</v>
          </cell>
          <cell r="O3134">
            <v>10.379024592634199</v>
          </cell>
          <cell r="T3134">
            <v>5.4090607025963289</v>
          </cell>
        </row>
        <row r="3135">
          <cell r="A3135" t="str">
            <v>ANTEL</v>
          </cell>
          <cell r="B3135" t="str">
            <v>RWA-80017X25</v>
          </cell>
          <cell r="O3135">
            <v>10.379024592634199</v>
          </cell>
          <cell r="T3135">
            <v>5.4090607025963289</v>
          </cell>
        </row>
        <row r="3136">
          <cell r="A3136" t="str">
            <v>ANTEL</v>
          </cell>
          <cell r="B3136" t="str">
            <v>RWA-80017X3</v>
          </cell>
          <cell r="O3136"/>
          <cell r="T3136"/>
        </row>
        <row r="3137">
          <cell r="A3137" t="str">
            <v>ANTEL</v>
          </cell>
          <cell r="B3137" t="str">
            <v>RWA-80017X3-25</v>
          </cell>
          <cell r="O3137">
            <v>10.379024592634199</v>
          </cell>
          <cell r="T3137">
            <v>5.4090607025963289</v>
          </cell>
        </row>
        <row r="3138">
          <cell r="A3138" t="str">
            <v>ANTEL</v>
          </cell>
          <cell r="B3138" t="str">
            <v>RWA-80017X4</v>
          </cell>
          <cell r="O3138"/>
          <cell r="T3138"/>
        </row>
        <row r="3139">
          <cell r="A3139" t="str">
            <v>ANTEL</v>
          </cell>
          <cell r="B3139" t="str">
            <v>RWA-80017X5</v>
          </cell>
          <cell r="O3139"/>
          <cell r="T3139"/>
        </row>
        <row r="3140">
          <cell r="A3140" t="str">
            <v>ANTEL</v>
          </cell>
          <cell r="B3140" t="str">
            <v>RWA-80017X9</v>
          </cell>
          <cell r="O3140">
            <v>10.379024592634199</v>
          </cell>
          <cell r="T3140">
            <v>5.4090607025963289</v>
          </cell>
        </row>
        <row r="3141">
          <cell r="A3141" t="str">
            <v>ANTEL</v>
          </cell>
          <cell r="B3141" t="str">
            <v>RWA-80020/17</v>
          </cell>
          <cell r="O3141"/>
          <cell r="T3141"/>
        </row>
        <row r="3142">
          <cell r="A3142" t="str">
            <v>ANTEL</v>
          </cell>
          <cell r="B3142" t="str">
            <v>RWA-8006</v>
          </cell>
          <cell r="O3142">
            <v>1.2623210841049399</v>
          </cell>
          <cell r="T3142">
            <v>0.60615303642266793</v>
          </cell>
        </row>
        <row r="3143">
          <cell r="A3143" t="str">
            <v>ANTEL</v>
          </cell>
          <cell r="B3143" t="str">
            <v>RWA-8008</v>
          </cell>
          <cell r="O3143">
            <v>1.2623210841049399</v>
          </cell>
          <cell r="T3143">
            <v>0.60615303642266793</v>
          </cell>
        </row>
        <row r="3144">
          <cell r="A3144" t="str">
            <v>ANTEL</v>
          </cell>
          <cell r="B3144" t="str">
            <v>RWA-8009</v>
          </cell>
          <cell r="O3144">
            <v>2.4705439814814798</v>
          </cell>
          <cell r="T3144">
            <v>1.24245102879682</v>
          </cell>
        </row>
        <row r="3145">
          <cell r="A3145" t="str">
            <v>ANTEL</v>
          </cell>
          <cell r="B3145" t="str">
            <v>RWA-8009N</v>
          </cell>
          <cell r="O3145">
            <v>2.4705439814814798</v>
          </cell>
          <cell r="T3145">
            <v>1.24245102879682</v>
          </cell>
        </row>
        <row r="3146">
          <cell r="A3146" t="str">
            <v>ANTEL</v>
          </cell>
          <cell r="B3146" t="str">
            <v>RWA-8009NE</v>
          </cell>
          <cell r="O3146">
            <v>2.4705439814814798</v>
          </cell>
          <cell r="T3146">
            <v>1.24245102879682</v>
          </cell>
        </row>
        <row r="3147">
          <cell r="A3147" t="str">
            <v>ANTEL</v>
          </cell>
          <cell r="B3147" t="str">
            <v>RWA8009N9</v>
          </cell>
          <cell r="O3147"/>
          <cell r="T3147"/>
        </row>
        <row r="3148">
          <cell r="A3148" t="str">
            <v>ANTEL</v>
          </cell>
          <cell r="B3148" t="str">
            <v>RWB-80011/120</v>
          </cell>
          <cell r="O3148">
            <v>4.94380931712963</v>
          </cell>
          <cell r="T3148">
            <v>2.5442076619038696</v>
          </cell>
        </row>
        <row r="3149">
          <cell r="A3149" t="str">
            <v>ANTEL</v>
          </cell>
          <cell r="B3149" t="str">
            <v>RWB-80011/120X3</v>
          </cell>
          <cell r="O3149">
            <v>4.94380931712963</v>
          </cell>
          <cell r="T3149">
            <v>2.5442076619038696</v>
          </cell>
        </row>
        <row r="3150">
          <cell r="A3150" t="str">
            <v>ANTEL</v>
          </cell>
          <cell r="B3150" t="str">
            <v>RWB-80012/90</v>
          </cell>
          <cell r="O3150">
            <v>4.94380931712963</v>
          </cell>
          <cell r="T3150">
            <v>2.5442076619038696</v>
          </cell>
        </row>
        <row r="3151">
          <cell r="A3151" t="str">
            <v>ANTEL</v>
          </cell>
          <cell r="B3151" t="str">
            <v>RWB-80013/90CF</v>
          </cell>
          <cell r="O3151"/>
          <cell r="T3151"/>
        </row>
        <row r="3152">
          <cell r="A3152" t="str">
            <v>ANTEL</v>
          </cell>
          <cell r="B3152" t="str">
            <v>RWB-80014</v>
          </cell>
          <cell r="O3152"/>
          <cell r="T3152"/>
        </row>
        <row r="3153">
          <cell r="A3153" t="str">
            <v>ANTEL</v>
          </cell>
          <cell r="B3153" t="str">
            <v>RWB-80014/120</v>
          </cell>
          <cell r="O3153">
            <v>10.379024592634199</v>
          </cell>
          <cell r="T3153">
            <v>5.4090607025963289</v>
          </cell>
        </row>
        <row r="3154">
          <cell r="A3154" t="str">
            <v>ANTEL</v>
          </cell>
          <cell r="B3154" t="str">
            <v>RWB-80014/120CF</v>
          </cell>
          <cell r="O3154">
            <v>10.379024592634199</v>
          </cell>
          <cell r="T3154">
            <v>5.4090607025963289</v>
          </cell>
        </row>
        <row r="3155">
          <cell r="A3155" t="str">
            <v>ANTEL</v>
          </cell>
          <cell r="B3155" t="str">
            <v>RWB-80014/120X3-25</v>
          </cell>
          <cell r="O3155"/>
          <cell r="T3155"/>
        </row>
        <row r="3156">
          <cell r="A3156" t="str">
            <v>ANTEL</v>
          </cell>
          <cell r="B3156" t="str">
            <v>RWB-80014/120X5-25</v>
          </cell>
          <cell r="O3156">
            <v>10.379024592634199</v>
          </cell>
          <cell r="T3156">
            <v>5.4090607025963289</v>
          </cell>
        </row>
        <row r="3157">
          <cell r="A3157" t="str">
            <v>ANTEL</v>
          </cell>
          <cell r="B3157" t="str">
            <v>RWB-80014/78CFDIN</v>
          </cell>
          <cell r="O3157"/>
          <cell r="T3157"/>
        </row>
        <row r="3158">
          <cell r="A3158" t="str">
            <v>ANTEL</v>
          </cell>
          <cell r="B3158" t="str">
            <v>RWB-80015/62CF</v>
          </cell>
          <cell r="O3158"/>
          <cell r="T3158"/>
        </row>
        <row r="3159">
          <cell r="A3159" t="str">
            <v>ANTEL</v>
          </cell>
          <cell r="B3159" t="str">
            <v>RWB-80015/90</v>
          </cell>
          <cell r="O3159">
            <v>10.379024592634199</v>
          </cell>
          <cell r="T3159">
            <v>5.4090607025963289</v>
          </cell>
        </row>
        <row r="3160">
          <cell r="A3160" t="str">
            <v>ANTEL</v>
          </cell>
          <cell r="B3160" t="str">
            <v>RWB-80015/90CFE-DIN5</v>
          </cell>
          <cell r="O3160">
            <v>10.379024592634199</v>
          </cell>
          <cell r="T3160">
            <v>5.4090607025963289</v>
          </cell>
        </row>
        <row r="3161">
          <cell r="A3161" t="str">
            <v>ANTEL</v>
          </cell>
          <cell r="B3161" t="str">
            <v>RWB-80015/90CFNE</v>
          </cell>
          <cell r="O3161">
            <v>10.379024592634199</v>
          </cell>
          <cell r="T3161">
            <v>5.4090607025963289</v>
          </cell>
        </row>
        <row r="3162">
          <cell r="A3162" t="str">
            <v>ANTEL</v>
          </cell>
          <cell r="B3162" t="str">
            <v>RWB-80015/90CFX25</v>
          </cell>
          <cell r="O3162">
            <v>10.379024592634199</v>
          </cell>
          <cell r="T3162">
            <v>5.4090607025963289</v>
          </cell>
        </row>
        <row r="3163">
          <cell r="A3163" t="str">
            <v>ANTEL</v>
          </cell>
          <cell r="B3163" t="str">
            <v>RWB-80015/90CFX5-25</v>
          </cell>
          <cell r="O3163">
            <v>10.379024592634199</v>
          </cell>
          <cell r="T3163">
            <v>5.4090607025963289</v>
          </cell>
        </row>
        <row r="3164">
          <cell r="A3164" t="str">
            <v>ANTEL</v>
          </cell>
          <cell r="B3164" t="str">
            <v>RWB-80015/90LS</v>
          </cell>
          <cell r="O3164">
            <v>10.379024592634199</v>
          </cell>
          <cell r="T3164">
            <v>5.4090607025963289</v>
          </cell>
        </row>
        <row r="3165">
          <cell r="A3165" t="str">
            <v>ANTEL</v>
          </cell>
          <cell r="B3165" t="str">
            <v>RWB-80015/90X3-25</v>
          </cell>
          <cell r="O3165">
            <v>10.379024592634199</v>
          </cell>
          <cell r="T3165">
            <v>5.4090607025963289</v>
          </cell>
        </row>
        <row r="3166">
          <cell r="A3166" t="str">
            <v>ANTEL</v>
          </cell>
          <cell r="B3166" t="str">
            <v>RWB-8008/120</v>
          </cell>
          <cell r="O3166">
            <v>2.4705439814814798</v>
          </cell>
          <cell r="T3166">
            <v>1.24245102879682</v>
          </cell>
        </row>
        <row r="3167">
          <cell r="A3167" t="str">
            <v>ANTEL</v>
          </cell>
          <cell r="B3167" t="str">
            <v>RWB-8009/90</v>
          </cell>
          <cell r="O3167">
            <v>2.4705439814814798</v>
          </cell>
          <cell r="T3167">
            <v>1.24245102879682</v>
          </cell>
        </row>
        <row r="3168">
          <cell r="A3168" t="str">
            <v>ANTEL</v>
          </cell>
          <cell r="B3168" t="str">
            <v>SSI815124O37</v>
          </cell>
          <cell r="O3168"/>
          <cell r="T3168"/>
        </row>
        <row r="3169">
          <cell r="A3169" t="str">
            <v>ANTEL</v>
          </cell>
          <cell r="B3169" t="str">
            <v>W65-19-A06</v>
          </cell>
          <cell r="O3169">
            <v>3.5584900810000004</v>
          </cell>
          <cell r="T3169">
            <v>2.0694217309999998</v>
          </cell>
        </row>
        <row r="3170">
          <cell r="A3170" t="str">
            <v>ANTEL</v>
          </cell>
          <cell r="B3170" t="str">
            <v>W65-19-R06</v>
          </cell>
          <cell r="O3170">
            <v>3.5584900810000004</v>
          </cell>
          <cell r="T3170">
            <v>2.0694217309999998</v>
          </cell>
        </row>
        <row r="3171">
          <cell r="A3171" t="str">
            <v>ANTEL</v>
          </cell>
          <cell r="B3171" t="str">
            <v>W65-19-X06</v>
          </cell>
          <cell r="O3171">
            <v>3.5584900810000004</v>
          </cell>
          <cell r="T3171">
            <v>2.0694217309999998</v>
          </cell>
        </row>
        <row r="3172">
          <cell r="A3172" t="str">
            <v>ANTEL</v>
          </cell>
          <cell r="B3172" t="str">
            <v>WB3X065T17R00</v>
          </cell>
          <cell r="O3172"/>
          <cell r="T3172"/>
        </row>
        <row r="3173">
          <cell r="A3173" t="str">
            <v>ANTEL</v>
          </cell>
          <cell r="B3173" t="str">
            <v>WBX033S20R200</v>
          </cell>
          <cell r="O3173"/>
          <cell r="T3173"/>
        </row>
        <row r="3174">
          <cell r="A3174" t="str">
            <v>ANTEL</v>
          </cell>
          <cell r="B3174" t="str">
            <v>WBX033S20R200G</v>
          </cell>
          <cell r="O3174"/>
          <cell r="T3174"/>
        </row>
        <row r="3175">
          <cell r="A3175" t="str">
            <v>ANTEL</v>
          </cell>
          <cell r="B3175" t="str">
            <v>WBX033T20X000</v>
          </cell>
          <cell r="O3175">
            <v>10.5333171118259</v>
          </cell>
          <cell r="T3175">
            <v>1.8551264834441998</v>
          </cell>
        </row>
        <row r="3176">
          <cell r="A3176" t="str">
            <v>ANTEL</v>
          </cell>
          <cell r="B3176" t="str">
            <v>WBX033X20M050</v>
          </cell>
          <cell r="O3176">
            <v>6.9448581413972796</v>
          </cell>
          <cell r="T3176">
            <v>1.57777555266181</v>
          </cell>
        </row>
        <row r="3177">
          <cell r="A3177" t="str">
            <v>ANTEL</v>
          </cell>
          <cell r="B3177" t="str">
            <v>WBX033X20R050</v>
          </cell>
          <cell r="O3177">
            <v>6.9448581413972796</v>
          </cell>
          <cell r="T3177">
            <v>1.57777555266181</v>
          </cell>
        </row>
        <row r="3178">
          <cell r="A3178" t="str">
            <v>ANTEL</v>
          </cell>
          <cell r="B3178" t="str">
            <v>WBX033X21R050</v>
          </cell>
          <cell r="O3178">
            <v>8.2130126412460385</v>
          </cell>
          <cell r="T3178">
            <v>1.84672317364399</v>
          </cell>
        </row>
        <row r="3179">
          <cell r="A3179" t="str">
            <v>ANTEL</v>
          </cell>
          <cell r="B3179" t="str">
            <v>WBX033X21X050</v>
          </cell>
          <cell r="O3179">
            <v>8.2130126412460385</v>
          </cell>
          <cell r="T3179">
            <v>1.84672317364399</v>
          </cell>
        </row>
        <row r="3180">
          <cell r="A3180" t="str">
            <v>ANTEL</v>
          </cell>
          <cell r="B3180" t="str">
            <v>WBX045T19R000</v>
          </cell>
          <cell r="O3180">
            <v>6.6583036870000001</v>
          </cell>
          <cell r="T3180">
            <v>1.5156529400000001</v>
          </cell>
        </row>
        <row r="3181">
          <cell r="A3181" t="str">
            <v>ANTEL</v>
          </cell>
          <cell r="B3181" t="str">
            <v>WBX045X20FX00</v>
          </cell>
          <cell r="O3181"/>
          <cell r="T3181"/>
        </row>
        <row r="3182">
          <cell r="A3182" t="str">
            <v>ANTEL</v>
          </cell>
          <cell r="B3182" t="str">
            <v>WBX045X20R050</v>
          </cell>
          <cell r="O3182"/>
          <cell r="T3182"/>
        </row>
        <row r="3183">
          <cell r="A3183" t="str">
            <v>ANTEL</v>
          </cell>
          <cell r="B3183" t="str">
            <v>WBX065A17R250</v>
          </cell>
          <cell r="O3183">
            <v>2.6137088923587499</v>
          </cell>
          <cell r="T3183">
            <v>2.1316578928883798</v>
          </cell>
        </row>
        <row r="3184">
          <cell r="A3184" t="str">
            <v>ANTEL</v>
          </cell>
          <cell r="B3184" t="str">
            <v>WBX065A18R250</v>
          </cell>
          <cell r="O3184">
            <v>2.9604383682525901</v>
          </cell>
          <cell r="T3184">
            <v>2.4147787133990803</v>
          </cell>
        </row>
        <row r="3185">
          <cell r="A3185" t="str">
            <v>ANTEL</v>
          </cell>
          <cell r="B3185" t="str">
            <v>WBX065A18RX50</v>
          </cell>
          <cell r="O3185">
            <v>2.9604383682525901</v>
          </cell>
          <cell r="T3185">
            <v>2.4147787133990803</v>
          </cell>
        </row>
        <row r="3186">
          <cell r="A3186" t="str">
            <v>ANTEL</v>
          </cell>
          <cell r="B3186" t="str">
            <v>WBX065A19R050</v>
          </cell>
          <cell r="O3186">
            <v>4.0173713372818698</v>
          </cell>
          <cell r="T3186">
            <v>3.2780968530866796</v>
          </cell>
        </row>
        <row r="3187">
          <cell r="A3187" t="str">
            <v>ANTEL</v>
          </cell>
          <cell r="B3187" t="str">
            <v>WBX065A19R250</v>
          </cell>
          <cell r="O3187">
            <v>4.0173713372818698</v>
          </cell>
          <cell r="T3187">
            <v>3.2780968530866796</v>
          </cell>
        </row>
        <row r="3188">
          <cell r="A3188" t="str">
            <v>ANTEL</v>
          </cell>
          <cell r="B3188" t="str">
            <v>WBX065A19RX50</v>
          </cell>
          <cell r="O3188">
            <v>4.0173713372818698</v>
          </cell>
          <cell r="T3188">
            <v>3.2780968530866796</v>
          </cell>
        </row>
        <row r="3189">
          <cell r="A3189" t="str">
            <v>ANTEL</v>
          </cell>
          <cell r="B3189" t="str">
            <v>WBX065X13F200</v>
          </cell>
          <cell r="O3189">
            <v>2.17904556528251</v>
          </cell>
          <cell r="T3189">
            <v>1.14056615512377</v>
          </cell>
        </row>
        <row r="3190">
          <cell r="A3190" t="str">
            <v>ANTEL</v>
          </cell>
          <cell r="B3190" t="str">
            <v>WBX065X13F400</v>
          </cell>
          <cell r="O3190">
            <v>2.17904556528251</v>
          </cell>
          <cell r="T3190">
            <v>1.14056615512377</v>
          </cell>
        </row>
        <row r="3191">
          <cell r="A3191" t="str">
            <v>ANTEL</v>
          </cell>
          <cell r="B3191" t="str">
            <v>WBX065X13FX04</v>
          </cell>
          <cell r="O3191">
            <v>2.17904556528251</v>
          </cell>
          <cell r="T3191">
            <v>1.14056615512377</v>
          </cell>
        </row>
        <row r="3192">
          <cell r="A3192" t="str">
            <v>ANTEL</v>
          </cell>
          <cell r="B3192" t="str">
            <v>WBX065X16M050</v>
          </cell>
          <cell r="O3192">
            <v>2.21000249128589</v>
          </cell>
          <cell r="T3192">
            <v>0.96294839372810603</v>
          </cell>
        </row>
        <row r="3193">
          <cell r="A3193" t="str">
            <v>ANTEL</v>
          </cell>
          <cell r="B3193" t="str">
            <v>WBX065X17M050</v>
          </cell>
          <cell r="O3193">
            <v>3.0833829222927602</v>
          </cell>
          <cell r="T3193">
            <v>1.3437126098524901</v>
          </cell>
        </row>
        <row r="3194">
          <cell r="A3194" t="str">
            <v>ANTEL</v>
          </cell>
          <cell r="B3194" t="str">
            <v>WBX065X17R050</v>
          </cell>
          <cell r="O3194">
            <v>3.0833829222927602</v>
          </cell>
          <cell r="T3194">
            <v>1.3437126098524901</v>
          </cell>
        </row>
        <row r="3195">
          <cell r="A3195" t="str">
            <v>ANTEL</v>
          </cell>
          <cell r="B3195" t="str">
            <v>WBX065X18F000</v>
          </cell>
          <cell r="O3195">
            <v>3.0171734751834096</v>
          </cell>
          <cell r="T3195">
            <v>1.7957866732152099</v>
          </cell>
        </row>
        <row r="3196">
          <cell r="A3196" t="str">
            <v>ANTEL</v>
          </cell>
          <cell r="B3196" t="str">
            <v>WBX065X18FX00</v>
          </cell>
          <cell r="O3196">
            <v>3.0171734751834096</v>
          </cell>
          <cell r="T3196">
            <v>1.7957866732152099</v>
          </cell>
        </row>
        <row r="3197">
          <cell r="A3197" t="str">
            <v>ANTEL</v>
          </cell>
          <cell r="B3197" t="str">
            <v>WBX065X19M050</v>
          </cell>
          <cell r="O3197">
            <v>4.3150634640220096</v>
          </cell>
          <cell r="T3197">
            <v>1.8808454185168799</v>
          </cell>
        </row>
        <row r="3198">
          <cell r="A3198" t="str">
            <v>ANTEL</v>
          </cell>
          <cell r="B3198" t="str">
            <v>WBX065X19R050</v>
          </cell>
          <cell r="O3198">
            <v>4.3150634640220096</v>
          </cell>
          <cell r="T3198">
            <v>1.8808454185168799</v>
          </cell>
        </row>
        <row r="3199">
          <cell r="A3199" t="str">
            <v>ANTEL</v>
          </cell>
          <cell r="B3199" t="str">
            <v>WBX065X19R050G</v>
          </cell>
          <cell r="O3199">
            <v>4.3150634640220096</v>
          </cell>
          <cell r="T3199">
            <v>1.8808454185168799</v>
          </cell>
        </row>
        <row r="3200">
          <cell r="A3200" t="str">
            <v>ANTEL</v>
          </cell>
          <cell r="B3200" t="str">
            <v>WBX085X13F200</v>
          </cell>
          <cell r="O3200">
            <v>2.17904556528251</v>
          </cell>
          <cell r="T3200">
            <v>1.14056615512377</v>
          </cell>
        </row>
        <row r="3201">
          <cell r="A3201" t="str">
            <v>ANTEL</v>
          </cell>
          <cell r="B3201" t="str">
            <v>WBX085X13FX02</v>
          </cell>
          <cell r="O3201">
            <v>2.17904556528251</v>
          </cell>
          <cell r="T3201">
            <v>1.14056615512377</v>
          </cell>
        </row>
        <row r="3202">
          <cell r="A3202" t="str">
            <v>ANTEL</v>
          </cell>
          <cell r="B3202" t="str">
            <v>WBX085X18F000</v>
          </cell>
          <cell r="O3202">
            <v>3.0171734751834096</v>
          </cell>
          <cell r="T3202">
            <v>1.7957866732152099</v>
          </cell>
        </row>
        <row r="3203">
          <cell r="A3203" t="str">
            <v>ANTEL</v>
          </cell>
          <cell r="B3203" t="str">
            <v>WBX085X18F200</v>
          </cell>
          <cell r="O3203">
            <v>3.0171734751834096</v>
          </cell>
          <cell r="T3203">
            <v>1.7957866732152099</v>
          </cell>
        </row>
        <row r="3204">
          <cell r="A3204" t="str">
            <v>ANTEL</v>
          </cell>
          <cell r="B3204" t="str">
            <v>WBX085X18FX02</v>
          </cell>
          <cell r="O3204">
            <v>3.0171734751834096</v>
          </cell>
          <cell r="T3204">
            <v>1.7957866732152099</v>
          </cell>
        </row>
        <row r="3205">
          <cell r="A3205" t="str">
            <v>ANTEL</v>
          </cell>
          <cell r="B3205" t="str">
            <v>WPA-700102-8CF</v>
          </cell>
          <cell r="O3205">
            <v>7.1242781974837595</v>
          </cell>
          <cell r="T3205">
            <v>5.22935510392489</v>
          </cell>
        </row>
        <row r="3206">
          <cell r="A3206" t="str">
            <v>ANTEL</v>
          </cell>
          <cell r="B3206" t="str">
            <v>WPA-700120-8CF-EDIN-X</v>
          </cell>
          <cell r="O3206"/>
          <cell r="T3206"/>
        </row>
        <row r="3207">
          <cell r="A3207" t="str">
            <v>ANTEL</v>
          </cell>
          <cell r="B3207" t="str">
            <v>WPA-70040-6CF-EDIN-0</v>
          </cell>
          <cell r="O3207">
            <v>12.938155864197491</v>
          </cell>
          <cell r="T3207">
            <v>4.2788327035576996</v>
          </cell>
        </row>
        <row r="3208">
          <cell r="A3208" t="str">
            <v>ANTEL</v>
          </cell>
          <cell r="B3208" t="str">
            <v>WPA-70040-6CF-EDIN-2</v>
          </cell>
          <cell r="O3208">
            <v>12.938155864197491</v>
          </cell>
          <cell r="T3208">
            <v>4.2788327035576996</v>
          </cell>
        </row>
        <row r="3209">
          <cell r="A3209" t="str">
            <v>ANTEL</v>
          </cell>
          <cell r="B3209" t="str">
            <v>WPA-70040/8CF</v>
          </cell>
          <cell r="O3209">
            <v>17.380859375</v>
          </cell>
          <cell r="T3209">
            <v>5.8253676348689298</v>
          </cell>
        </row>
        <row r="3210">
          <cell r="A3210" t="str">
            <v>ANTEL</v>
          </cell>
          <cell r="B3210" t="str">
            <v>WPA-70063-4CF-EDIN-0</v>
          </cell>
          <cell r="O3210">
            <v>4.94380931712963</v>
          </cell>
          <cell r="T3210">
            <v>2.5442076619038696</v>
          </cell>
        </row>
        <row r="3211">
          <cell r="A3211" t="str">
            <v>ANTEL</v>
          </cell>
          <cell r="B3211" t="str">
            <v>WPA-70063-4CF-EDIN-6</v>
          </cell>
          <cell r="O3211">
            <v>4.94380931712963</v>
          </cell>
          <cell r="T3211">
            <v>2.5442076619038696</v>
          </cell>
        </row>
        <row r="3212">
          <cell r="A3212" t="str">
            <v>ANTEL</v>
          </cell>
          <cell r="B3212" t="str">
            <v>WPA-70063-6CF-EDIN-0</v>
          </cell>
          <cell r="O3212"/>
          <cell r="T3212"/>
        </row>
        <row r="3213">
          <cell r="A3213" t="str">
            <v>ANTEL</v>
          </cell>
          <cell r="B3213" t="str">
            <v>WPA-70063-8CF</v>
          </cell>
          <cell r="O3213">
            <v>10.0837383599037</v>
          </cell>
          <cell r="T3213">
            <v>4.7186717144502293</v>
          </cell>
        </row>
        <row r="3214">
          <cell r="A3214" t="str">
            <v>ANTEL</v>
          </cell>
          <cell r="B3214" t="str">
            <v>WPA-70063-8CF-EDIN-0</v>
          </cell>
          <cell r="O3214">
            <v>10.0837383599037</v>
          </cell>
          <cell r="T3214">
            <v>4.7186717144502293</v>
          </cell>
        </row>
        <row r="3215">
          <cell r="A3215" t="str">
            <v>ANTEL</v>
          </cell>
          <cell r="B3215" t="str">
            <v>WPA-70063-8CF-EDIN-4</v>
          </cell>
          <cell r="O3215">
            <v>10.0837383599037</v>
          </cell>
          <cell r="T3215">
            <v>4.7186717144502293</v>
          </cell>
        </row>
        <row r="3216">
          <cell r="A3216" t="str">
            <v>ANTEL</v>
          </cell>
          <cell r="B3216" t="str">
            <v>WPA-70063-8CF-EDIN-5</v>
          </cell>
          <cell r="O3216">
            <v>10.0837383599037</v>
          </cell>
          <cell r="T3216">
            <v>4.7186717144502293</v>
          </cell>
        </row>
        <row r="3217">
          <cell r="A3217" t="str">
            <v>ANTEL</v>
          </cell>
          <cell r="B3217" t="str">
            <v>WPA-70063/4CF</v>
          </cell>
          <cell r="O3217">
            <v>4.6362027456141002</v>
          </cell>
          <cell r="T3217">
            <v>1.53528678604125</v>
          </cell>
        </row>
        <row r="3218">
          <cell r="A3218" t="str">
            <v>ANTEL</v>
          </cell>
          <cell r="B3218" t="str">
            <v>WPA-70063/6CF</v>
          </cell>
          <cell r="O3218">
            <v>7.1991753472222193</v>
          </cell>
          <cell r="T3218">
            <v>2.3844852783499997</v>
          </cell>
        </row>
        <row r="3219">
          <cell r="A3219" t="str">
            <v>ANTEL</v>
          </cell>
          <cell r="B3219" t="str">
            <v>WPA-70063/8CFX2</v>
          </cell>
          <cell r="O3219">
            <v>9.754648919753091</v>
          </cell>
          <cell r="T3219">
            <v>3.23008166117818</v>
          </cell>
        </row>
        <row r="3220">
          <cell r="A3220" t="str">
            <v>ANTEL</v>
          </cell>
          <cell r="B3220" t="str">
            <v>WPA-70080-6CF-EDIN-0</v>
          </cell>
          <cell r="O3220">
            <v>7.4305990215086597</v>
          </cell>
          <cell r="T3220">
            <v>3.4871609798150298</v>
          </cell>
        </row>
        <row r="3221">
          <cell r="A3221" t="str">
            <v>ANTEL</v>
          </cell>
          <cell r="B3221" t="str">
            <v>WPA-70080-8CF-EDIN-X</v>
          </cell>
          <cell r="O3221">
            <v>10.0837383599037</v>
          </cell>
          <cell r="T3221">
            <v>4.7186717144502293</v>
          </cell>
        </row>
        <row r="3222">
          <cell r="A3222" t="str">
            <v>ANTEL</v>
          </cell>
          <cell r="B3222" t="str">
            <v>WPA-70080/4CF</v>
          </cell>
          <cell r="O3222">
            <v>4.7920646766203499</v>
          </cell>
          <cell r="T3222">
            <v>1.9423006598779</v>
          </cell>
        </row>
        <row r="3223">
          <cell r="A3223" t="str">
            <v>ANTEL</v>
          </cell>
          <cell r="B3223" t="str">
            <v>WPA-70090-8CF</v>
          </cell>
          <cell r="O3223">
            <v>7.1242781974837595</v>
          </cell>
          <cell r="T3223">
            <v>5.22935510392489</v>
          </cell>
        </row>
        <row r="3224">
          <cell r="A3224" t="str">
            <v>ANTEL</v>
          </cell>
          <cell r="B3224" t="str">
            <v>WPA-70090-8CF-EDIN-2</v>
          </cell>
          <cell r="O3224">
            <v>7.1242781974837595</v>
          </cell>
          <cell r="T3224">
            <v>5.22935510392489</v>
          </cell>
        </row>
        <row r="3225">
          <cell r="A3225" t="str">
            <v>ANTEL</v>
          </cell>
          <cell r="B3225" t="str">
            <v>WPA-800102/8CF</v>
          </cell>
          <cell r="O3225">
            <v>7.151867821141499</v>
          </cell>
          <cell r="T3225">
            <v>5.0087332290086088</v>
          </cell>
        </row>
        <row r="3226">
          <cell r="A3226" t="str">
            <v>ANTEL</v>
          </cell>
          <cell r="B3226" t="str">
            <v>WPA-800120-4CF-EDIN-X</v>
          </cell>
          <cell r="O3226"/>
          <cell r="T3226"/>
        </row>
        <row r="3227">
          <cell r="A3227" t="str">
            <v>ANTEL</v>
          </cell>
          <cell r="B3227" t="str">
            <v>WPA-800120/6CF</v>
          </cell>
          <cell r="O3227"/>
          <cell r="T3227"/>
        </row>
        <row r="3228">
          <cell r="A3228" t="str">
            <v>ANTEL</v>
          </cell>
          <cell r="B3228" t="str">
            <v>WPA-800120/6CF_5</v>
          </cell>
          <cell r="O3228"/>
          <cell r="T3228"/>
        </row>
        <row r="3229">
          <cell r="A3229" t="str">
            <v>ANTEL</v>
          </cell>
          <cell r="B3229" t="str">
            <v>WPA-800120/8CF</v>
          </cell>
          <cell r="O3229"/>
          <cell r="T3229"/>
        </row>
        <row r="3230">
          <cell r="A3230" t="str">
            <v>ANTEL</v>
          </cell>
          <cell r="B3230" t="str">
            <v>WPA-80063-4CF-EDIN-4</v>
          </cell>
          <cell r="O3230">
            <v>4.94380931712963</v>
          </cell>
          <cell r="T3230">
            <v>2.5442076619038696</v>
          </cell>
        </row>
        <row r="3231">
          <cell r="A3231" t="str">
            <v>ANTEL</v>
          </cell>
          <cell r="B3231" t="str">
            <v>WPA-80063-4CF-EDIN-6</v>
          </cell>
          <cell r="O3231">
            <v>4.94380931712963</v>
          </cell>
          <cell r="T3231">
            <v>2.5442076619038696</v>
          </cell>
        </row>
        <row r="3232">
          <cell r="A3232" t="str">
            <v>ANTEL</v>
          </cell>
          <cell r="B3232" t="str">
            <v>WPA-80063-4CFX2</v>
          </cell>
          <cell r="O3232">
            <v>4.6362027456141002</v>
          </cell>
          <cell r="T3232">
            <v>1.53528678604125</v>
          </cell>
        </row>
        <row r="3233">
          <cell r="A3233" t="str">
            <v>ANTEL</v>
          </cell>
          <cell r="B3233" t="str">
            <v>WPA-80063-6CF-EDIN-2</v>
          </cell>
          <cell r="O3233"/>
          <cell r="T3233"/>
        </row>
        <row r="3234">
          <cell r="A3234" t="str">
            <v>ANTEL</v>
          </cell>
          <cell r="B3234" t="str">
            <v>WPA-80063-8CF-EDIN</v>
          </cell>
          <cell r="O3234">
            <v>10.0837383599037</v>
          </cell>
          <cell r="T3234">
            <v>4.7186717144502293</v>
          </cell>
        </row>
        <row r="3235">
          <cell r="A3235" t="str">
            <v>ANTEL</v>
          </cell>
          <cell r="B3235" t="str">
            <v>WPA-80063-8CF-EDIN-5</v>
          </cell>
          <cell r="O3235">
            <v>10.0837383599037</v>
          </cell>
          <cell r="T3235">
            <v>4.7186717144502293</v>
          </cell>
        </row>
        <row r="3236">
          <cell r="A3236" t="str">
            <v>ANTEL</v>
          </cell>
          <cell r="B3236" t="str">
            <v>WPA-80063/4CF</v>
          </cell>
          <cell r="O3236">
            <v>4.6362027456141002</v>
          </cell>
          <cell r="T3236">
            <v>1.53528678604125</v>
          </cell>
        </row>
        <row r="3237">
          <cell r="A3237" t="str">
            <v>ANTEL</v>
          </cell>
          <cell r="B3237" t="str">
            <v>WPA-80063/4CFX5</v>
          </cell>
          <cell r="O3237">
            <v>4.6362027456141002</v>
          </cell>
          <cell r="T3237">
            <v>1.53528678604125</v>
          </cell>
        </row>
        <row r="3238">
          <cell r="A3238" t="str">
            <v>ANTEL</v>
          </cell>
          <cell r="B3238" t="str">
            <v>WPA-80063/6CF</v>
          </cell>
          <cell r="O3238">
            <v>7.4305990215086597</v>
          </cell>
          <cell r="T3238">
            <v>3.4871609798150298</v>
          </cell>
        </row>
        <row r="3239">
          <cell r="A3239" t="str">
            <v>ANTEL</v>
          </cell>
          <cell r="B3239" t="str">
            <v>WPA-80063/6CFX5</v>
          </cell>
          <cell r="O3239">
            <v>7.4305990215086597</v>
          </cell>
          <cell r="T3239">
            <v>3.4871609798150298</v>
          </cell>
        </row>
        <row r="3240">
          <cell r="A3240" t="str">
            <v>ANTEL</v>
          </cell>
          <cell r="B3240" t="str">
            <v>WPA-80063/8CF</v>
          </cell>
          <cell r="O3240">
            <v>9.754648919753091</v>
          </cell>
          <cell r="T3240">
            <v>3.23008166117818</v>
          </cell>
        </row>
        <row r="3241">
          <cell r="A3241" t="str">
            <v>ANTEL</v>
          </cell>
          <cell r="B3241" t="str">
            <v>WPA-80063/8CFX2</v>
          </cell>
          <cell r="O3241">
            <v>9.754648919753091</v>
          </cell>
          <cell r="T3241">
            <v>3.23008166117818</v>
          </cell>
        </row>
        <row r="3242">
          <cell r="A3242" t="str">
            <v>ANTEL</v>
          </cell>
          <cell r="B3242" t="str">
            <v>WPA-80063/8CFX5</v>
          </cell>
          <cell r="O3242">
            <v>9.754648919753091</v>
          </cell>
          <cell r="T3242">
            <v>3.23008166117818</v>
          </cell>
        </row>
        <row r="3243">
          <cell r="A3243" t="str">
            <v>ANTEL</v>
          </cell>
          <cell r="B3243" t="str">
            <v>WPA-80063_6CF</v>
          </cell>
          <cell r="O3243">
            <v>7.1991753472222193</v>
          </cell>
          <cell r="T3243">
            <v>2.3844852783499997</v>
          </cell>
        </row>
        <row r="3244">
          <cell r="A3244" t="str">
            <v>ANTEL</v>
          </cell>
          <cell r="B3244" t="str">
            <v>WPA-80080/2CF</v>
          </cell>
          <cell r="O3244">
            <v>2.2994061579039</v>
          </cell>
          <cell r="T3244">
            <v>0.938281684777311</v>
          </cell>
        </row>
        <row r="3245">
          <cell r="A3245" t="str">
            <v>ANTEL</v>
          </cell>
          <cell r="B3245" t="str">
            <v>WPA-80080/4CF</v>
          </cell>
          <cell r="O3245">
            <v>4.7920646766203499</v>
          </cell>
          <cell r="T3245">
            <v>1.9423006598779</v>
          </cell>
        </row>
        <row r="3246">
          <cell r="A3246" t="str">
            <v>ANTEL</v>
          </cell>
          <cell r="B3246" t="str">
            <v>WPA-80080/6CF</v>
          </cell>
          <cell r="O3246">
            <v>7.3988649547735292</v>
          </cell>
          <cell r="T3246">
            <v>3.0019207564416597</v>
          </cell>
        </row>
        <row r="3247">
          <cell r="A3247" t="str">
            <v>ANTEL</v>
          </cell>
          <cell r="B3247" t="str">
            <v>WPA-80080/8CF</v>
          </cell>
          <cell r="O3247">
            <v>9.9627465477356889</v>
          </cell>
          <cell r="T3247">
            <v>4.04029061818642</v>
          </cell>
        </row>
        <row r="3248">
          <cell r="A3248" t="str">
            <v>ANTEL</v>
          </cell>
          <cell r="B3248" t="str">
            <v>WPA-80090-8CF-EDIN-2</v>
          </cell>
          <cell r="O3248">
            <v>7.1242781974837595</v>
          </cell>
          <cell r="T3248">
            <v>5.22935510392489</v>
          </cell>
        </row>
        <row r="3249">
          <cell r="A3249" t="str">
            <v>ANTEL</v>
          </cell>
          <cell r="B3249" t="str">
            <v>WPA-80090/4CF</v>
          </cell>
          <cell r="O3249">
            <v>3.3802351034928098</v>
          </cell>
          <cell r="T3249">
            <v>2.33452950483789</v>
          </cell>
        </row>
        <row r="3250">
          <cell r="A3250" t="str">
            <v>ANTEL</v>
          </cell>
          <cell r="B3250" t="str">
            <v>WPA-80090/6CF</v>
          </cell>
          <cell r="O3250">
            <v>5.2706950120172902</v>
          </cell>
          <cell r="T3250">
            <v>3.6748936719559198</v>
          </cell>
        </row>
        <row r="3251">
          <cell r="A3251" t="str">
            <v>ANTEL</v>
          </cell>
          <cell r="B3251" t="str">
            <v>WPA-80090/8CF</v>
          </cell>
          <cell r="O3251">
            <v>7.1242781974837595</v>
          </cell>
          <cell r="T3251">
            <v>5.22935510392489</v>
          </cell>
        </row>
        <row r="3252">
          <cell r="A3252" t="str">
            <v>ANTEL</v>
          </cell>
          <cell r="B3252" t="str">
            <v>XC-MB-434</v>
          </cell>
          <cell r="O3252"/>
          <cell r="T3252"/>
        </row>
        <row r="3253">
          <cell r="A3253" t="str">
            <v>ANTENEX</v>
          </cell>
          <cell r="B3253" t="str">
            <v>F8060</v>
          </cell>
          <cell r="O3253"/>
          <cell r="T3253"/>
        </row>
        <row r="3254">
          <cell r="A3254" t="str">
            <v>ANTENEX</v>
          </cell>
          <cell r="B3254" t="str">
            <v>FG1523</v>
          </cell>
          <cell r="O3254"/>
          <cell r="T3254"/>
        </row>
        <row r="3255">
          <cell r="A3255" t="str">
            <v>ANTENEX</v>
          </cell>
          <cell r="B3255" t="str">
            <v>FG1563</v>
          </cell>
          <cell r="O3255"/>
          <cell r="T3255"/>
        </row>
        <row r="3256">
          <cell r="A3256" t="str">
            <v>ANTENEX</v>
          </cell>
          <cell r="B3256" t="str">
            <v>FG4405</v>
          </cell>
          <cell r="O3256"/>
          <cell r="T3256"/>
        </row>
        <row r="3257">
          <cell r="A3257" t="str">
            <v>ANTENEX</v>
          </cell>
          <cell r="B3257" t="str">
            <v>FG4503</v>
          </cell>
          <cell r="O3257"/>
          <cell r="T3257"/>
        </row>
        <row r="3258">
          <cell r="A3258" t="str">
            <v>ANTENEX</v>
          </cell>
          <cell r="B3258" t="str">
            <v>FG4603</v>
          </cell>
          <cell r="O3258"/>
          <cell r="T3258"/>
        </row>
        <row r="3259">
          <cell r="A3259" t="str">
            <v>ANTENEX</v>
          </cell>
          <cell r="B3259" t="str">
            <v>FG4605</v>
          </cell>
          <cell r="O3259"/>
          <cell r="T3259"/>
        </row>
        <row r="3260">
          <cell r="A3260" t="str">
            <v>ANTENEX</v>
          </cell>
          <cell r="B3260" t="str">
            <v>FG4607</v>
          </cell>
          <cell r="O3260"/>
          <cell r="T3260"/>
        </row>
        <row r="3261">
          <cell r="A3261" t="str">
            <v>ANTENEX</v>
          </cell>
          <cell r="B3261" t="str">
            <v>FG4705</v>
          </cell>
          <cell r="O3261"/>
          <cell r="T3261"/>
        </row>
        <row r="3262">
          <cell r="A3262" t="str">
            <v>ANTENEX</v>
          </cell>
          <cell r="B3262" t="str">
            <v>FG8060</v>
          </cell>
          <cell r="O3262"/>
          <cell r="T3262"/>
        </row>
        <row r="3263">
          <cell r="A3263" t="str">
            <v>ANTENEX</v>
          </cell>
          <cell r="B3263" t="str">
            <v>FG8063</v>
          </cell>
          <cell r="O3263"/>
          <cell r="T3263"/>
        </row>
        <row r="3264">
          <cell r="A3264" t="str">
            <v>ANTENEX</v>
          </cell>
          <cell r="B3264" t="str">
            <v>FG8066</v>
          </cell>
          <cell r="O3264"/>
          <cell r="T3264"/>
        </row>
        <row r="3265">
          <cell r="A3265" t="str">
            <v>ANTENEX</v>
          </cell>
          <cell r="B3265" t="str">
            <v>FG8243</v>
          </cell>
          <cell r="O3265"/>
          <cell r="T3265"/>
        </row>
        <row r="3266">
          <cell r="A3266" t="str">
            <v>ANTENEX</v>
          </cell>
          <cell r="B3266" t="str">
            <v>FG8966</v>
          </cell>
          <cell r="O3266"/>
          <cell r="T3266"/>
        </row>
        <row r="3267">
          <cell r="A3267" t="str">
            <v>ANTENEX</v>
          </cell>
          <cell r="B3267" t="str">
            <v>FG9026</v>
          </cell>
          <cell r="O3267"/>
          <cell r="T3267"/>
        </row>
        <row r="3268">
          <cell r="A3268" t="str">
            <v>ANTENEX</v>
          </cell>
          <cell r="B3268" t="str">
            <v>VG1505</v>
          </cell>
          <cell r="O3268"/>
          <cell r="T3268"/>
        </row>
        <row r="3269">
          <cell r="A3269" t="str">
            <v>ANTENEX</v>
          </cell>
          <cell r="B3269" t="str">
            <v>Y1505</v>
          </cell>
          <cell r="O3269"/>
          <cell r="T3269"/>
        </row>
        <row r="3270">
          <cell r="A3270" t="str">
            <v>ANTENEX</v>
          </cell>
          <cell r="B3270" t="str">
            <v>Y1505_CCIV2</v>
          </cell>
          <cell r="O3270"/>
          <cell r="T3270"/>
        </row>
        <row r="3271">
          <cell r="A3271" t="str">
            <v>ANTENEX</v>
          </cell>
          <cell r="B3271" t="str">
            <v>Y2203</v>
          </cell>
          <cell r="O3271"/>
          <cell r="T3271"/>
        </row>
        <row r="3272">
          <cell r="A3272" t="str">
            <v>ANTENEX</v>
          </cell>
          <cell r="B3272" t="str">
            <v>Y4066</v>
          </cell>
          <cell r="O3272"/>
          <cell r="T3272"/>
        </row>
        <row r="3273">
          <cell r="A3273" t="str">
            <v>ANTENEX</v>
          </cell>
          <cell r="B3273" t="str">
            <v>Y4503</v>
          </cell>
          <cell r="O3273"/>
          <cell r="T3273"/>
        </row>
        <row r="3274">
          <cell r="A3274" t="str">
            <v>ANTENEX</v>
          </cell>
          <cell r="B3274" t="str">
            <v>Y4505</v>
          </cell>
          <cell r="O3274"/>
          <cell r="T3274"/>
        </row>
        <row r="3275">
          <cell r="A3275" t="str">
            <v>ANTENEX</v>
          </cell>
          <cell r="B3275" t="str">
            <v>Y4506</v>
          </cell>
          <cell r="O3275"/>
          <cell r="T3275"/>
        </row>
        <row r="3276">
          <cell r="A3276" t="str">
            <v>ANTENEX</v>
          </cell>
          <cell r="B3276" t="str">
            <v>Y8066</v>
          </cell>
          <cell r="O3276"/>
          <cell r="T3276"/>
        </row>
        <row r="3277">
          <cell r="A3277" t="str">
            <v>ANTENEX</v>
          </cell>
          <cell r="B3277" t="str">
            <v>YNT4503</v>
          </cell>
          <cell r="O3277"/>
          <cell r="T3277"/>
        </row>
        <row r="3278">
          <cell r="A3278" t="str">
            <v>ANTENEX</v>
          </cell>
          <cell r="B3278" t="str">
            <v>YS1503</v>
          </cell>
          <cell r="O3278"/>
          <cell r="T3278"/>
        </row>
        <row r="3279">
          <cell r="A3279" t="str">
            <v>ANTENNA ASSOCIATES</v>
          </cell>
          <cell r="B3279" t="str">
            <v>AA205</v>
          </cell>
          <cell r="O3279"/>
          <cell r="T3279"/>
        </row>
        <row r="3280">
          <cell r="A3280" t="str">
            <v>ANTENNA ASSOCIATES</v>
          </cell>
          <cell r="B3280" t="str">
            <v>AS-177</v>
          </cell>
          <cell r="O3280"/>
          <cell r="T3280"/>
        </row>
        <row r="3281">
          <cell r="A3281" t="str">
            <v>ANTENNA CONCEPTS INC.</v>
          </cell>
          <cell r="B3281" t="str">
            <v>ACB24A-61</v>
          </cell>
          <cell r="O3281"/>
          <cell r="T3281"/>
        </row>
        <row r="3282">
          <cell r="A3282" t="str">
            <v>ANTENNA SPECIALISTS</v>
          </cell>
          <cell r="B3282" t="str">
            <v>ASP-7450</v>
          </cell>
          <cell r="O3282"/>
          <cell r="T3282"/>
        </row>
        <row r="3283">
          <cell r="A3283" t="str">
            <v>ANTENNA SPECIALISTS</v>
          </cell>
          <cell r="B3283" t="str">
            <v>ASP-7790</v>
          </cell>
          <cell r="O3283"/>
          <cell r="T3283"/>
        </row>
        <row r="3284">
          <cell r="A3284" t="str">
            <v>ANTENNA SPECIALISTS</v>
          </cell>
          <cell r="B3284" t="str">
            <v>ASP712</v>
          </cell>
          <cell r="O3284"/>
          <cell r="T3284"/>
        </row>
        <row r="3285">
          <cell r="A3285" t="str">
            <v>ANTENNA SPECIALISTS</v>
          </cell>
          <cell r="B3285" t="str">
            <v>ASPA244</v>
          </cell>
          <cell r="O3285"/>
          <cell r="T3285"/>
        </row>
        <row r="3286">
          <cell r="A3286" t="str">
            <v>ANTENNA SPECIALISTS</v>
          </cell>
          <cell r="B3286" t="str">
            <v>ASPA2972</v>
          </cell>
          <cell r="O3286"/>
          <cell r="T3286"/>
        </row>
        <row r="3287">
          <cell r="A3287" t="str">
            <v>ANTENNA SPECIALISTS</v>
          </cell>
          <cell r="B3287" t="str">
            <v>ASPJ977</v>
          </cell>
          <cell r="O3287"/>
          <cell r="T3287"/>
        </row>
        <row r="3288">
          <cell r="A3288" t="str">
            <v>ANTENNA SYSTEMS AND SOLUTIONS INC</v>
          </cell>
          <cell r="B3288" t="str">
            <v>FO150-3</v>
          </cell>
          <cell r="O3288"/>
          <cell r="T3288"/>
        </row>
        <row r="3289">
          <cell r="A3289" t="str">
            <v>ANTENNA SYSTEMS AND SOLUTIONS INC</v>
          </cell>
          <cell r="B3289" t="str">
            <v>FO150-6.5B</v>
          </cell>
          <cell r="O3289"/>
          <cell r="T3289"/>
        </row>
        <row r="3290">
          <cell r="A3290" t="str">
            <v>ANTENNACRAFT</v>
          </cell>
          <cell r="B3290" t="str">
            <v>FM-6</v>
          </cell>
          <cell r="O3290"/>
          <cell r="T3290"/>
        </row>
        <row r="3291">
          <cell r="A3291" t="str">
            <v>ANTENNACRAFT</v>
          </cell>
          <cell r="B3291" t="str">
            <v>FMSS</v>
          </cell>
          <cell r="O3291"/>
          <cell r="T3291"/>
        </row>
        <row r="3292">
          <cell r="A3292" t="str">
            <v>ANTENNACRAFT</v>
          </cell>
          <cell r="B3292" t="str">
            <v>HD1200</v>
          </cell>
          <cell r="O3292"/>
          <cell r="T3292"/>
        </row>
        <row r="3293">
          <cell r="A3293" t="str">
            <v>ANTENNAS FOR COMMUNICATIONS</v>
          </cell>
          <cell r="B3293" t="str">
            <v>CH-10</v>
          </cell>
          <cell r="O3293"/>
          <cell r="T3293"/>
        </row>
        <row r="3294">
          <cell r="A3294" t="str">
            <v>AOPTIX TECHNOLOGIES INC</v>
          </cell>
          <cell r="B3294" t="str">
            <v>INTELLIMAX ULL-3000</v>
          </cell>
          <cell r="O3294"/>
          <cell r="T3294"/>
        </row>
        <row r="3295">
          <cell r="A3295" t="str">
            <v>APERTO NETWORKS</v>
          </cell>
          <cell r="B3295" t="str">
            <v>PPA2500-24</v>
          </cell>
          <cell r="O3295"/>
          <cell r="T3295"/>
        </row>
        <row r="3296">
          <cell r="A3296" t="str">
            <v>APERTO NETWORKS</v>
          </cell>
          <cell r="B3296" t="str">
            <v>PPA5800-23</v>
          </cell>
          <cell r="O3296"/>
          <cell r="T3296"/>
        </row>
        <row r="3297">
          <cell r="A3297" t="str">
            <v>APERTO NETWORKS</v>
          </cell>
          <cell r="B3297" t="str">
            <v>PWA3500V-120</v>
          </cell>
          <cell r="O3297"/>
          <cell r="T3297"/>
        </row>
        <row r="3298">
          <cell r="A3298" t="str">
            <v>APERTO NETWORKS</v>
          </cell>
          <cell r="B3298" t="str">
            <v>PWA5800-60</v>
          </cell>
          <cell r="O3298"/>
          <cell r="T3298"/>
        </row>
        <row r="3299">
          <cell r="A3299" t="str">
            <v>APERTO NETWORKS</v>
          </cell>
          <cell r="B3299" t="str">
            <v>PWA5800-90_CCIV2</v>
          </cell>
          <cell r="O3299"/>
          <cell r="T3299"/>
        </row>
        <row r="3300">
          <cell r="A3300" t="str">
            <v>ARC WIRELESS</v>
          </cell>
          <cell r="B3300" t="str">
            <v>AMP-VR-15-08015-0D</v>
          </cell>
          <cell r="O3300"/>
          <cell r="T3300"/>
        </row>
        <row r="3301">
          <cell r="A3301" t="str">
            <v>ARC WIRELESS</v>
          </cell>
          <cell r="B3301" t="str">
            <v>ARC-DA5830SD1</v>
          </cell>
          <cell r="O3301"/>
          <cell r="T3301"/>
        </row>
        <row r="3302">
          <cell r="A3302" t="str">
            <v>ARC WIRELESS</v>
          </cell>
          <cell r="B3302" t="str">
            <v>ARC-DA5834SD1</v>
          </cell>
          <cell r="O3302"/>
          <cell r="T3302"/>
        </row>
        <row r="3303">
          <cell r="A3303" t="str">
            <v>ARC WIRELESS</v>
          </cell>
          <cell r="B3303" t="str">
            <v>ARC-IA3518B07</v>
          </cell>
          <cell r="O3303"/>
          <cell r="T3303"/>
        </row>
        <row r="3304">
          <cell r="A3304" t="str">
            <v>ARC WIRELESS</v>
          </cell>
          <cell r="B3304" t="str">
            <v>ARC-IA5823B01</v>
          </cell>
          <cell r="O3304"/>
          <cell r="T3304"/>
        </row>
        <row r="3305">
          <cell r="A3305" t="str">
            <v>ARC WIRELESS</v>
          </cell>
          <cell r="B3305" t="str">
            <v>ARC-ID5823B88</v>
          </cell>
          <cell r="O3305"/>
          <cell r="T3305"/>
        </row>
        <row r="3306">
          <cell r="A3306" t="str">
            <v>ARC WIRELESS</v>
          </cell>
          <cell r="B3306" t="str">
            <v>ARC-PA0910B01</v>
          </cell>
          <cell r="O3306"/>
          <cell r="T3306"/>
        </row>
        <row r="3307">
          <cell r="A3307" t="str">
            <v>ARC WIRELESS</v>
          </cell>
          <cell r="B3307" t="str">
            <v>ARC-PA5823B01</v>
          </cell>
          <cell r="O3307"/>
          <cell r="T3307"/>
        </row>
        <row r="3308">
          <cell r="A3308" t="str">
            <v>ARC WIRELESS</v>
          </cell>
          <cell r="B3308" t="str">
            <v>ARC-PD5820B88</v>
          </cell>
          <cell r="O3308"/>
          <cell r="T3308"/>
        </row>
        <row r="3309">
          <cell r="A3309" t="str">
            <v>ARC WIRELESS</v>
          </cell>
          <cell r="B3309" t="str">
            <v>ARC-PD5823B88</v>
          </cell>
          <cell r="O3309"/>
          <cell r="T3309"/>
        </row>
        <row r="3310">
          <cell r="A3310" t="str">
            <v>ARC WIRELESS</v>
          </cell>
          <cell r="B3310" t="str">
            <v>ARC-VS3518SV1</v>
          </cell>
          <cell r="O3310"/>
          <cell r="T3310"/>
        </row>
        <row r="3311">
          <cell r="A3311" t="str">
            <v>ARC WIRELESS</v>
          </cell>
          <cell r="B3311" t="str">
            <v>ARC-VS5818SD1</v>
          </cell>
          <cell r="O3311"/>
          <cell r="T3311"/>
        </row>
        <row r="3312">
          <cell r="A3312" t="str">
            <v>ARC WIRELESS</v>
          </cell>
          <cell r="B3312" t="str">
            <v>ARC-VS5821SD1</v>
          </cell>
          <cell r="O3312"/>
          <cell r="T3312"/>
        </row>
        <row r="3313">
          <cell r="A3313" t="str">
            <v>ARC WIRELESS</v>
          </cell>
          <cell r="B3313" t="str">
            <v>DLA-VR-07-360-0X</v>
          </cell>
          <cell r="O3313"/>
          <cell r="T3313"/>
        </row>
        <row r="3314">
          <cell r="A3314" t="str">
            <v>ARC WIRELESS</v>
          </cell>
          <cell r="B3314" t="str">
            <v>DLA-VR-16-090-0D</v>
          </cell>
          <cell r="O3314"/>
          <cell r="T3314"/>
        </row>
        <row r="3315">
          <cell r="A3315" t="str">
            <v>ARC WIRELESS</v>
          </cell>
          <cell r="B3315" t="str">
            <v>DS16-090070D</v>
          </cell>
          <cell r="O3315"/>
          <cell r="T3315"/>
        </row>
        <row r="3316">
          <cell r="A3316" t="str">
            <v>ARC WIRELESS</v>
          </cell>
          <cell r="B3316" t="str">
            <v>PCS-DS-14-06514-0D</v>
          </cell>
          <cell r="O3316"/>
          <cell r="T3316"/>
        </row>
        <row r="3317">
          <cell r="A3317" t="str">
            <v>ARC WIRELESS</v>
          </cell>
          <cell r="B3317" t="str">
            <v>PCS-DS-14-09014-0D</v>
          </cell>
          <cell r="O3317"/>
          <cell r="T3317"/>
        </row>
        <row r="3318">
          <cell r="A3318" t="str">
            <v>ARC WIRELESS</v>
          </cell>
          <cell r="B3318" t="str">
            <v>PCS-DS-16-09007</v>
          </cell>
          <cell r="O3318">
            <v>3.7558217544005799</v>
          </cell>
          <cell r="T3318">
            <v>0.92368738511533399</v>
          </cell>
        </row>
        <row r="3319">
          <cell r="A3319" t="str">
            <v>ARC WIRELESS</v>
          </cell>
          <cell r="B3319" t="str">
            <v>PCS-DS-16-09007-0D</v>
          </cell>
          <cell r="O3319">
            <v>3.7558217544005799</v>
          </cell>
          <cell r="T3319">
            <v>0.92368738511533399</v>
          </cell>
        </row>
        <row r="3320">
          <cell r="A3320" t="str">
            <v>ARC WIRELESS</v>
          </cell>
          <cell r="B3320" t="str">
            <v>PCS-DS-16-09007-2D</v>
          </cell>
          <cell r="O3320">
            <v>3.7558217544005799</v>
          </cell>
          <cell r="T3320">
            <v>0.92368738511533399</v>
          </cell>
        </row>
        <row r="3321">
          <cell r="A3321" t="str">
            <v>ARC WIRELESS</v>
          </cell>
          <cell r="B3321" t="str">
            <v>PCS-DS-17-06507</v>
          </cell>
          <cell r="O3321"/>
          <cell r="T3321"/>
        </row>
        <row r="3322">
          <cell r="A3322" t="str">
            <v>ARC WIRELESS</v>
          </cell>
          <cell r="B3322" t="str">
            <v>PCS-DS-17-06507-0D</v>
          </cell>
          <cell r="O3322"/>
          <cell r="T3322"/>
        </row>
        <row r="3323">
          <cell r="A3323" t="str">
            <v>ARC WIRELESS</v>
          </cell>
          <cell r="B3323" t="str">
            <v>PCS-DS-17-06507-2D</v>
          </cell>
          <cell r="O3323"/>
          <cell r="T3323"/>
        </row>
        <row r="3324">
          <cell r="A3324" t="str">
            <v>ARC WIRELESS</v>
          </cell>
          <cell r="B3324" t="str">
            <v>PCS-DS-19-06505-0D</v>
          </cell>
          <cell r="O3324"/>
          <cell r="T3324"/>
        </row>
        <row r="3325">
          <cell r="A3325" t="str">
            <v>ARC WIRELESS</v>
          </cell>
          <cell r="B3325" t="str">
            <v>PCS-VR-16-09007</v>
          </cell>
          <cell r="O3325">
            <v>2.8017917428373895</v>
          </cell>
          <cell r="T3325">
            <v>1.11991226618586</v>
          </cell>
        </row>
        <row r="3326">
          <cell r="A3326" t="str">
            <v>ARC WIRELESS</v>
          </cell>
          <cell r="B3326" t="str">
            <v>PCS-VR-16-09007-0D</v>
          </cell>
          <cell r="O3326">
            <v>2.8017917428373895</v>
          </cell>
          <cell r="T3326">
            <v>1.11991226618586</v>
          </cell>
        </row>
        <row r="3327">
          <cell r="A3327" t="str">
            <v>ARC WIRELESS</v>
          </cell>
          <cell r="B3327" t="str">
            <v>PCS-VR-16-09007-1D</v>
          </cell>
          <cell r="O3327">
            <v>2.8017917428373895</v>
          </cell>
          <cell r="T3327">
            <v>1.11991226618586</v>
          </cell>
        </row>
        <row r="3328">
          <cell r="A3328" t="str">
            <v>ARC WIRELESS</v>
          </cell>
          <cell r="B3328" t="str">
            <v>PCS-VR-16-09007-2D</v>
          </cell>
          <cell r="O3328">
            <v>2.8017917428373895</v>
          </cell>
          <cell r="T3328">
            <v>1.11991226618586</v>
          </cell>
        </row>
        <row r="3329">
          <cell r="A3329" t="str">
            <v>ARC WIRELESS</v>
          </cell>
          <cell r="B3329" t="str">
            <v>PCS-VR-16-10506</v>
          </cell>
          <cell r="O3329"/>
          <cell r="T3329"/>
        </row>
        <row r="3330">
          <cell r="A3330" t="str">
            <v>ARC WIRELESS</v>
          </cell>
          <cell r="B3330" t="str">
            <v>PCS-VR-17-09006</v>
          </cell>
          <cell r="O3330"/>
          <cell r="T3330"/>
        </row>
        <row r="3331">
          <cell r="A3331" t="str">
            <v>ARC WIRELESS</v>
          </cell>
          <cell r="B3331" t="str">
            <v>PCS-VR-17-09006-0D</v>
          </cell>
          <cell r="O3331"/>
          <cell r="T3331"/>
        </row>
        <row r="3332">
          <cell r="A3332" t="str">
            <v>ARC WIRELESS</v>
          </cell>
          <cell r="B3332" t="str">
            <v>PCS-VR-18-06507</v>
          </cell>
          <cell r="O3332">
            <v>3.1257426872599199</v>
          </cell>
          <cell r="T3332">
            <v>0.90628992884520987</v>
          </cell>
        </row>
        <row r="3333">
          <cell r="A3333" t="str">
            <v>ARC WIRELESS</v>
          </cell>
          <cell r="B3333" t="str">
            <v>PCS-VR-18-06507-0D</v>
          </cell>
          <cell r="O3333">
            <v>3.1257426872599199</v>
          </cell>
          <cell r="T3333">
            <v>0.90628992884520987</v>
          </cell>
        </row>
        <row r="3334">
          <cell r="A3334" t="str">
            <v>ARC WIRELESS</v>
          </cell>
          <cell r="B3334" t="str">
            <v>PCS-VR-18-06507-2D</v>
          </cell>
          <cell r="O3334">
            <v>3.1257426872599199</v>
          </cell>
          <cell r="T3334">
            <v>0.90628992884520987</v>
          </cell>
        </row>
        <row r="3335">
          <cell r="A3335" t="str">
            <v>ARC WIRELESS</v>
          </cell>
          <cell r="B3335" t="str">
            <v>PCS-VR-18-06507-4D</v>
          </cell>
          <cell r="O3335">
            <v>3.1257426872599199</v>
          </cell>
          <cell r="T3335">
            <v>0.90628992884520987</v>
          </cell>
        </row>
        <row r="3336">
          <cell r="A3336" t="str">
            <v>ARC WIRELESS</v>
          </cell>
          <cell r="B3336" t="str">
            <v>PCS-VR-18-06507-XD</v>
          </cell>
          <cell r="O3336">
            <v>3.1257426872599199</v>
          </cell>
          <cell r="T3336">
            <v>0.90628992884520987</v>
          </cell>
        </row>
        <row r="3337">
          <cell r="A3337" t="str">
            <v>ARC WIRELESS</v>
          </cell>
          <cell r="B3337" t="str">
            <v>PCS-VR-21-03307</v>
          </cell>
          <cell r="O3337"/>
          <cell r="T3337"/>
        </row>
        <row r="3338">
          <cell r="A3338" t="str">
            <v>ARC WIRELESS</v>
          </cell>
          <cell r="B3338" t="str">
            <v>PTP-58-MR</v>
          </cell>
          <cell r="O3338"/>
          <cell r="T3338"/>
        </row>
        <row r="3339">
          <cell r="A3339" t="str">
            <v>ARC WIRELESS</v>
          </cell>
          <cell r="B3339" t="str">
            <v>UHP-MW-11-4</v>
          </cell>
          <cell r="O3339"/>
          <cell r="T3339"/>
        </row>
        <row r="3340">
          <cell r="A3340" t="str">
            <v>ARC WIRELESS</v>
          </cell>
          <cell r="B3340" t="str">
            <v>WCS-DS-17-09005-0D</v>
          </cell>
          <cell r="O3340"/>
          <cell r="T3340"/>
        </row>
        <row r="3341">
          <cell r="A3341" t="str">
            <v>ARGUS TECHNOLOGIES</v>
          </cell>
          <cell r="B3341" t="str">
            <v>2NPX210R-V1</v>
          </cell>
          <cell r="O3341"/>
          <cell r="T3341"/>
        </row>
        <row r="3342">
          <cell r="A3342" t="str">
            <v>ARGUS TECHNOLOGIES</v>
          </cell>
          <cell r="B3342" t="str">
            <v>2UNPX203.6F</v>
          </cell>
          <cell r="O3342">
            <v>11.080473572530899</v>
          </cell>
          <cell r="T3342">
            <v>2.4248642526031401</v>
          </cell>
        </row>
        <row r="3343">
          <cell r="A3343" t="str">
            <v>ARGUS TECHNOLOGIES</v>
          </cell>
          <cell r="B3343" t="str">
            <v>2UNPX203.6R2</v>
          </cell>
          <cell r="O3343">
            <v>11.080473572530899</v>
          </cell>
          <cell r="T3343">
            <v>2.4248642526031401</v>
          </cell>
        </row>
        <row r="3344">
          <cell r="A3344" t="str">
            <v>ARGUS TECHNOLOGIES</v>
          </cell>
          <cell r="B3344" t="str">
            <v>2UNPX206.12R2</v>
          </cell>
          <cell r="O3344"/>
          <cell r="T3344"/>
        </row>
        <row r="3345">
          <cell r="A3345" t="str">
            <v>ARGUS TECHNOLOGIES</v>
          </cell>
          <cell r="B3345" t="str">
            <v>3NPX0606F</v>
          </cell>
          <cell r="O3345"/>
          <cell r="T3345"/>
        </row>
        <row r="3346">
          <cell r="A3346" t="str">
            <v>ARGUS TECHNOLOGIES</v>
          </cell>
          <cell r="B3346" t="str">
            <v>3UPX0606F</v>
          </cell>
          <cell r="O3346"/>
          <cell r="T3346"/>
        </row>
        <row r="3347">
          <cell r="A3347" t="str">
            <v>ARGUS TECHNOLOGIES</v>
          </cell>
          <cell r="B3347" t="str">
            <v>5NPX1006F</v>
          </cell>
          <cell r="O3347">
            <v>11.3888526822745</v>
          </cell>
          <cell r="T3347">
            <v>2.5246780499780699</v>
          </cell>
        </row>
        <row r="3348">
          <cell r="A3348" t="str">
            <v>ARGUS TECHNOLOGIES</v>
          </cell>
          <cell r="B3348" t="str">
            <v>5UPX0805F</v>
          </cell>
          <cell r="O3348">
            <v>35.095472306059001</v>
          </cell>
          <cell r="T3348">
            <v>6.5555359427941102</v>
          </cell>
        </row>
        <row r="3349">
          <cell r="A3349" t="str">
            <v>ARGUS TECHNOLOGIES</v>
          </cell>
          <cell r="B3349" t="str">
            <v>CNNPX307.14R-6P</v>
          </cell>
          <cell r="O3349">
            <v>5.3508161530000002</v>
          </cell>
          <cell r="T3349">
            <v>3.1953728159999999</v>
          </cell>
        </row>
        <row r="3350">
          <cell r="A3350" t="str">
            <v>ARGUS TECHNOLOGIES</v>
          </cell>
          <cell r="B3350" t="str">
            <v>CNNPX308R</v>
          </cell>
          <cell r="O3350"/>
          <cell r="T3350"/>
        </row>
        <row r="3351">
          <cell r="A3351" t="str">
            <v>ARGUS TECHNOLOGIES</v>
          </cell>
          <cell r="B3351" t="str">
            <v>HPX308R</v>
          </cell>
          <cell r="O3351"/>
          <cell r="T3351"/>
        </row>
        <row r="3352">
          <cell r="A3352" t="str">
            <v>ARGUS TECHNOLOGIES</v>
          </cell>
          <cell r="B3352" t="str">
            <v>HPX311R</v>
          </cell>
          <cell r="O3352"/>
          <cell r="T3352"/>
        </row>
        <row r="3353">
          <cell r="A3353" t="str">
            <v>ARGUS TECHNOLOGIES</v>
          </cell>
          <cell r="B3353" t="str">
            <v>LLPX210M-V1</v>
          </cell>
          <cell r="O3353"/>
          <cell r="T3353"/>
        </row>
        <row r="3354">
          <cell r="A3354" t="str">
            <v>ARGUS TECHNOLOGIES</v>
          </cell>
          <cell r="B3354" t="str">
            <v>LLPX306R</v>
          </cell>
          <cell r="O3354">
            <v>2.6091632909999998</v>
          </cell>
          <cell r="T3354">
            <v>1.002065709</v>
          </cell>
        </row>
        <row r="3355">
          <cell r="A3355" t="str">
            <v>ARGUS TECHNOLOGIES</v>
          </cell>
          <cell r="B3355" t="str">
            <v>LLPX310M</v>
          </cell>
          <cell r="O3355">
            <v>3.8747166760000002</v>
          </cell>
          <cell r="T3355">
            <v>1.48753614</v>
          </cell>
        </row>
        <row r="3356">
          <cell r="A3356" t="str">
            <v>ARGUS TECHNOLOGIES</v>
          </cell>
          <cell r="B3356" t="str">
            <v>LLPX310R</v>
          </cell>
          <cell r="O3356">
            <v>3.8747166760000002</v>
          </cell>
          <cell r="T3356">
            <v>1.48753614</v>
          </cell>
        </row>
        <row r="3357">
          <cell r="A3357" t="str">
            <v>ARGUS TECHNOLOGIES</v>
          </cell>
          <cell r="B3357" t="str">
            <v>LLPX310R-V1</v>
          </cell>
          <cell r="O3357">
            <v>3.8747166760000002</v>
          </cell>
          <cell r="T3357">
            <v>1.48753614</v>
          </cell>
        </row>
        <row r="3358">
          <cell r="A3358" t="str">
            <v>ARGUS TECHNOLOGIES</v>
          </cell>
          <cell r="B3358" t="str">
            <v>LLPX310R-V4</v>
          </cell>
          <cell r="O3358">
            <v>3.8747166760000002</v>
          </cell>
          <cell r="T3358">
            <v>1.48753614</v>
          </cell>
        </row>
        <row r="3359">
          <cell r="A3359" t="str">
            <v>ARGUS TECHNOLOGIES</v>
          </cell>
          <cell r="B3359" t="str">
            <v>LLPX411R-V4</v>
          </cell>
          <cell r="O3359">
            <v>4.234200135</v>
          </cell>
          <cell r="T3359">
            <v>1.6255477659999999</v>
          </cell>
        </row>
        <row r="3360">
          <cell r="A3360" t="str">
            <v>ARGUS TECHNOLOGIES</v>
          </cell>
          <cell r="B3360" t="str">
            <v>LPX310R</v>
          </cell>
          <cell r="O3360"/>
          <cell r="T3360"/>
        </row>
        <row r="3361">
          <cell r="A3361" t="str">
            <v>ARGUS TECHNOLOGIES</v>
          </cell>
          <cell r="B3361" t="str">
            <v>TLLPX310M-E</v>
          </cell>
          <cell r="O3361">
            <v>3.8747166760000002</v>
          </cell>
          <cell r="T3361">
            <v>1.48753614</v>
          </cell>
        </row>
        <row r="3362">
          <cell r="A3362" t="str">
            <v>ARGUS TECHNOLOGIES</v>
          </cell>
          <cell r="B3362" t="str">
            <v>TLLPX310R</v>
          </cell>
          <cell r="O3362">
            <v>3.8747166760000002</v>
          </cell>
          <cell r="T3362">
            <v>1.48753614</v>
          </cell>
        </row>
        <row r="3363">
          <cell r="A3363" t="str">
            <v>ARGUS TECHNOLOGIES</v>
          </cell>
          <cell r="B3363" t="str">
            <v>UNNPX306R3</v>
          </cell>
          <cell r="O3363"/>
          <cell r="T3363"/>
        </row>
        <row r="3364">
          <cell r="A3364" t="str">
            <v>ARGUS TECHNOLOGIES</v>
          </cell>
          <cell r="B3364" t="str">
            <v>UNNPX309R3</v>
          </cell>
          <cell r="O3364"/>
          <cell r="T3364"/>
        </row>
        <row r="3365">
          <cell r="A3365" t="str">
            <v>ARKIVATOR</v>
          </cell>
          <cell r="B3365" t="str">
            <v>901-HAA1106 00-PA2</v>
          </cell>
          <cell r="O3365"/>
          <cell r="T3365"/>
        </row>
        <row r="3366">
          <cell r="A3366" t="str">
            <v>ARKIVATOR</v>
          </cell>
          <cell r="B3366" t="str">
            <v>901-HAA1199 00</v>
          </cell>
          <cell r="O3366"/>
          <cell r="T3366"/>
        </row>
        <row r="3367">
          <cell r="A3367" t="str">
            <v>ARKIVATOR</v>
          </cell>
          <cell r="B3367" t="str">
            <v>905-HAA1112_00-PA2</v>
          </cell>
          <cell r="O3367"/>
          <cell r="T3367"/>
        </row>
        <row r="3368">
          <cell r="A3368" t="str">
            <v>ARKIVATOR</v>
          </cell>
          <cell r="B3368" t="str">
            <v>905-HAA2403_09-PA1</v>
          </cell>
          <cell r="O3368"/>
          <cell r="T3368"/>
        </row>
        <row r="3369">
          <cell r="A3369" t="str">
            <v>ARKIVATOR</v>
          </cell>
          <cell r="B3369" t="str">
            <v>HAA2406_00</v>
          </cell>
          <cell r="O3369"/>
          <cell r="T3369"/>
        </row>
        <row r="3370">
          <cell r="A3370" t="str">
            <v>ARKIVATOR</v>
          </cell>
          <cell r="B3370" t="str">
            <v>HAE8003</v>
          </cell>
          <cell r="O3370"/>
          <cell r="T3370"/>
        </row>
        <row r="3371">
          <cell r="A3371" t="str">
            <v>ARKIVATOR</v>
          </cell>
          <cell r="B3371" t="str">
            <v>HAE8006_36</v>
          </cell>
          <cell r="O3371"/>
          <cell r="T3371"/>
        </row>
        <row r="3372">
          <cell r="A3372" t="str">
            <v>ARMSTRONG TRANSMITTER CORP.</v>
          </cell>
          <cell r="B3372" t="str">
            <v>FMA-707-1</v>
          </cell>
          <cell r="O3372"/>
          <cell r="T3372"/>
        </row>
        <row r="3373">
          <cell r="A3373" t="str">
            <v>AROMAT</v>
          </cell>
          <cell r="B3373" t="str">
            <v>VIC-100</v>
          </cell>
          <cell r="O3373"/>
          <cell r="T3373"/>
        </row>
        <row r="3374">
          <cell r="A3374" t="str">
            <v>ASHTECH</v>
          </cell>
          <cell r="B3374" t="str">
            <v>PROMARK 700</v>
          </cell>
          <cell r="O3374"/>
          <cell r="T3374"/>
        </row>
        <row r="3375">
          <cell r="A3375" t="str">
            <v>ASTRON WIRELESS</v>
          </cell>
          <cell r="B3375" t="str">
            <v>460-10</v>
          </cell>
          <cell r="O3375"/>
          <cell r="T3375"/>
        </row>
        <row r="3376">
          <cell r="A3376" t="str">
            <v>ASTRON WIRELESS</v>
          </cell>
          <cell r="B3376" t="str">
            <v>460-6</v>
          </cell>
          <cell r="O3376"/>
          <cell r="T3376"/>
        </row>
        <row r="3377">
          <cell r="A3377" t="str">
            <v>ASTRON WIRELESS</v>
          </cell>
          <cell r="B3377" t="str">
            <v>918-2</v>
          </cell>
          <cell r="O3377"/>
          <cell r="T3377"/>
        </row>
        <row r="3378">
          <cell r="A3378" t="str">
            <v>ASTRON WIRELESS</v>
          </cell>
          <cell r="B3378" t="str">
            <v>918-3</v>
          </cell>
          <cell r="O3378"/>
          <cell r="T3378"/>
        </row>
        <row r="3379">
          <cell r="A3379" t="str">
            <v>ASTRON WIRELESS</v>
          </cell>
          <cell r="B3379" t="str">
            <v>918-6</v>
          </cell>
          <cell r="O3379"/>
          <cell r="T3379"/>
        </row>
        <row r="3380">
          <cell r="A3380" t="str">
            <v>ASTRON WIRELESS</v>
          </cell>
          <cell r="B3380" t="str">
            <v>944-15</v>
          </cell>
          <cell r="O3380"/>
          <cell r="T3380"/>
        </row>
        <row r="3381">
          <cell r="A3381" t="str">
            <v>ASTRON WIRELESS</v>
          </cell>
          <cell r="B3381" t="str">
            <v>D-155-4</v>
          </cell>
          <cell r="O3381"/>
          <cell r="T3381"/>
        </row>
        <row r="3382">
          <cell r="A3382" t="str">
            <v>ASTRON WIRELESS</v>
          </cell>
          <cell r="B3382" t="str">
            <v>D-228-4</v>
          </cell>
          <cell r="O3382"/>
          <cell r="T3382"/>
        </row>
        <row r="3383">
          <cell r="A3383" t="str">
            <v>ASTRON WIRELESS</v>
          </cell>
          <cell r="B3383" t="str">
            <v>V-1500</v>
          </cell>
          <cell r="O3383"/>
          <cell r="T3383"/>
        </row>
        <row r="3384">
          <cell r="A3384" t="str">
            <v>ASTRON WIRELESS</v>
          </cell>
          <cell r="B3384" t="str">
            <v>V-1575</v>
          </cell>
          <cell r="O3384"/>
          <cell r="T3384"/>
        </row>
        <row r="3385">
          <cell r="A3385" t="str">
            <v>ASTRON WIRELESS</v>
          </cell>
          <cell r="B3385" t="str">
            <v>VG-1060</v>
          </cell>
          <cell r="O3385"/>
          <cell r="T3385"/>
        </row>
        <row r="3386">
          <cell r="A3386" t="str">
            <v>AT ELECTR. AND COMMUN. INTERN.</v>
          </cell>
          <cell r="B3386" t="str">
            <v>UTV-01</v>
          </cell>
          <cell r="O3386"/>
          <cell r="T3386"/>
        </row>
        <row r="3387">
          <cell r="A3387" t="str">
            <v>ATLAS SOUND</v>
          </cell>
          <cell r="B3387" t="str">
            <v>AH212-BSG</v>
          </cell>
          <cell r="O3387"/>
          <cell r="T3387"/>
        </row>
        <row r="3388">
          <cell r="A3388" t="str">
            <v>ATT MLA</v>
          </cell>
          <cell r="B3388" t="str">
            <v>ATT CCI MLA ANTENNA</v>
          </cell>
          <cell r="O3388"/>
          <cell r="T3388"/>
        </row>
        <row r="3389">
          <cell r="A3389" t="str">
            <v>ATT MLA</v>
          </cell>
          <cell r="B3389" t="str">
            <v>ATT GSL MLA ANTENNA</v>
          </cell>
          <cell r="O3389"/>
          <cell r="T3389"/>
        </row>
        <row r="3390">
          <cell r="A3390" t="str">
            <v>AUSTIN ANTENNA COMPANY</v>
          </cell>
          <cell r="B3390" t="str">
            <v>APC-1362</v>
          </cell>
          <cell r="O3390"/>
          <cell r="T3390"/>
        </row>
        <row r="3391">
          <cell r="A3391" t="str">
            <v>AUSTIN ANTENNA COMPANY</v>
          </cell>
          <cell r="B3391" t="str">
            <v>APC-2163</v>
          </cell>
          <cell r="O3391"/>
          <cell r="T3391"/>
        </row>
        <row r="3392">
          <cell r="A3392" t="str">
            <v>AUSTIN ANTENNA COMPANY</v>
          </cell>
          <cell r="B3392" t="str">
            <v>APC-301</v>
          </cell>
          <cell r="O3392"/>
          <cell r="T3392"/>
        </row>
        <row r="3393">
          <cell r="A3393" t="str">
            <v>AUSTIN ANTENNA COMPANY</v>
          </cell>
          <cell r="B3393" t="str">
            <v>APC-4065</v>
          </cell>
          <cell r="O3393"/>
          <cell r="T3393"/>
        </row>
        <row r="3394">
          <cell r="A3394" t="str">
            <v>AVALAN</v>
          </cell>
          <cell r="B3394" t="str">
            <v>AW15</v>
          </cell>
          <cell r="O3394"/>
          <cell r="T3394"/>
        </row>
        <row r="3395">
          <cell r="A3395" t="str">
            <v>AVALAN</v>
          </cell>
          <cell r="B3395" t="str">
            <v>AW58300HTP</v>
          </cell>
          <cell r="O3395"/>
          <cell r="T3395"/>
        </row>
        <row r="3396">
          <cell r="A3396" t="str">
            <v>AVIAT NETWORKS</v>
          </cell>
          <cell r="B3396" t="str">
            <v>PRO-MW-V09D10WAVT</v>
          </cell>
          <cell r="O3396"/>
          <cell r="T3396"/>
        </row>
        <row r="3397">
          <cell r="A3397" t="str">
            <v>AXIS COMMUNICATIONS</v>
          </cell>
          <cell r="B3397" t="str">
            <v>Q6045-E-MK II</v>
          </cell>
          <cell r="O3397"/>
          <cell r="T3397"/>
        </row>
        <row r="3398">
          <cell r="A3398" t="str">
            <v>AXIS COMMUNICATIONS</v>
          </cell>
          <cell r="B3398" t="str">
            <v>Q6055-E PTZ</v>
          </cell>
          <cell r="O3398">
            <v>0</v>
          </cell>
          <cell r="T3398">
            <v>0</v>
          </cell>
        </row>
        <row r="3399">
          <cell r="A3399" t="str">
            <v>AXIS COMMUNICATIONS</v>
          </cell>
          <cell r="B3399" t="str">
            <v>Q6075-E PTZ</v>
          </cell>
          <cell r="O3399"/>
          <cell r="T3399"/>
        </row>
        <row r="3400">
          <cell r="A3400" t="str">
            <v>AXIS COMMUNICATIONS</v>
          </cell>
          <cell r="B3400" t="str">
            <v>Q6075-E PTZ_w/ L- Shaped Gooseneck</v>
          </cell>
          <cell r="O3400"/>
          <cell r="T3400"/>
        </row>
        <row r="3401">
          <cell r="A3401" t="str">
            <v>AXIS COMMUNICATIONS</v>
          </cell>
          <cell r="B3401" t="str">
            <v>Q6075-E PTZ_w/ Pendant Gooseneck</v>
          </cell>
          <cell r="O3401"/>
          <cell r="T3401"/>
        </row>
        <row r="3402">
          <cell r="A3402" t="str">
            <v>AXIS COMMUNICATIONS</v>
          </cell>
          <cell r="B3402" t="str">
            <v>Q6075-E PTZ_w/ Telescopic Arm</v>
          </cell>
          <cell r="O3402"/>
          <cell r="T3402"/>
        </row>
        <row r="3403">
          <cell r="A3403" t="str">
            <v>AXIS COMMUNICATIONS</v>
          </cell>
          <cell r="B3403" t="str">
            <v>Q6155-E</v>
          </cell>
          <cell r="O3403"/>
          <cell r="T3403"/>
        </row>
        <row r="3404">
          <cell r="A3404" t="str">
            <v>AXXCELERA</v>
          </cell>
          <cell r="B3404" t="str">
            <v>AB-ACCESS</v>
          </cell>
          <cell r="O3404"/>
          <cell r="T3404"/>
        </row>
        <row r="3405">
          <cell r="A3405" t="str">
            <v>AXXCELERA</v>
          </cell>
          <cell r="B3405" t="str">
            <v>AB-ACCESS-AP_CCIV2</v>
          </cell>
          <cell r="O3405"/>
          <cell r="T3405"/>
        </row>
        <row r="3406">
          <cell r="A3406" t="str">
            <v>AXXCELERA</v>
          </cell>
          <cell r="B3406" t="str">
            <v>AB-FULL ACCESS50</v>
          </cell>
          <cell r="O3406"/>
          <cell r="T3406"/>
        </row>
        <row r="3407">
          <cell r="A3407" t="str">
            <v>AXXCELERA</v>
          </cell>
          <cell r="B3407" t="str">
            <v>AB-MAX</v>
          </cell>
          <cell r="O3407"/>
          <cell r="T3407"/>
        </row>
        <row r="3408">
          <cell r="A3408" t="str">
            <v>AXXCELERA</v>
          </cell>
          <cell r="B3408" t="str">
            <v>AP-F051B-E</v>
          </cell>
          <cell r="O3408"/>
          <cell r="T3408"/>
        </row>
        <row r="3409">
          <cell r="A3409" t="str">
            <v>AXXCELERA</v>
          </cell>
          <cell r="B3409" t="str">
            <v>CPE 3310</v>
          </cell>
          <cell r="O3409"/>
          <cell r="T3409"/>
        </row>
        <row r="3410">
          <cell r="A3410" t="str">
            <v>BAICELLS</v>
          </cell>
          <cell r="B3410" t="str">
            <v>NOVA430i</v>
          </cell>
          <cell r="O3410"/>
          <cell r="T3410"/>
        </row>
        <row r="3411">
          <cell r="A3411" t="str">
            <v>BAM MLA</v>
          </cell>
          <cell r="B3411" t="str">
            <v>BAM MLA_ANTENNA</v>
          </cell>
          <cell r="O3411"/>
          <cell r="T3411"/>
        </row>
        <row r="3412">
          <cell r="A3412" t="str">
            <v>BARANIDESIGN</v>
          </cell>
          <cell r="B3412" t="str">
            <v>METEOHELIX IoT PRO</v>
          </cell>
          <cell r="O3412"/>
          <cell r="T3412"/>
        </row>
        <row r="3413">
          <cell r="A3413" t="str">
            <v>BARANIDESIGN</v>
          </cell>
          <cell r="B3413" t="str">
            <v>METEOWIND IoT PRO</v>
          </cell>
          <cell r="O3413"/>
          <cell r="T3413"/>
        </row>
        <row r="3414">
          <cell r="A3414" t="str">
            <v>BELCO</v>
          </cell>
          <cell r="B3414" t="str">
            <v>0241A-2-BAY</v>
          </cell>
          <cell r="O3414"/>
          <cell r="T3414"/>
        </row>
        <row r="3415">
          <cell r="A3415" t="str">
            <v>BELCO</v>
          </cell>
          <cell r="B3415" t="str">
            <v>BAN 4400</v>
          </cell>
          <cell r="O3415"/>
          <cell r="T3415"/>
        </row>
        <row r="3416">
          <cell r="A3416" t="str">
            <v>BEXT</v>
          </cell>
          <cell r="B3416" t="str">
            <v>LOG R FM</v>
          </cell>
          <cell r="O3416"/>
          <cell r="T3416"/>
        </row>
        <row r="3417">
          <cell r="A3417" t="str">
            <v>BEXT</v>
          </cell>
          <cell r="B3417" t="str">
            <v>LOG R FM-1</v>
          </cell>
          <cell r="O3417"/>
          <cell r="T3417"/>
        </row>
        <row r="3418">
          <cell r="A3418" t="str">
            <v>BEXT</v>
          </cell>
          <cell r="B3418" t="str">
            <v>TFC1K</v>
          </cell>
          <cell r="O3418"/>
          <cell r="T3418"/>
        </row>
        <row r="3419">
          <cell r="A3419" t="str">
            <v>BEXT</v>
          </cell>
          <cell r="B3419" t="str">
            <v>TFC1K-2</v>
          </cell>
          <cell r="O3419"/>
          <cell r="T3419"/>
        </row>
        <row r="3420">
          <cell r="A3420" t="str">
            <v>BEXT</v>
          </cell>
          <cell r="B3420" t="str">
            <v>TFC1K-8</v>
          </cell>
          <cell r="O3420"/>
          <cell r="T3420"/>
        </row>
        <row r="3421">
          <cell r="A3421" t="str">
            <v>BEXT</v>
          </cell>
          <cell r="B3421" t="str">
            <v>TFC2K</v>
          </cell>
          <cell r="O3421"/>
          <cell r="T3421"/>
        </row>
        <row r="3422">
          <cell r="A3422" t="str">
            <v>BEXT</v>
          </cell>
          <cell r="B3422" t="str">
            <v>TFC2K-2 BAY</v>
          </cell>
          <cell r="O3422"/>
          <cell r="T3422"/>
        </row>
        <row r="3423">
          <cell r="A3423" t="str">
            <v>BEXT</v>
          </cell>
          <cell r="B3423" t="str">
            <v>TFC2K-3 BAY</v>
          </cell>
          <cell r="O3423"/>
          <cell r="T3423"/>
        </row>
        <row r="3424">
          <cell r="A3424" t="str">
            <v>BEXT</v>
          </cell>
          <cell r="B3424" t="str">
            <v>TFC2K-4 BAY</v>
          </cell>
          <cell r="O3424"/>
          <cell r="T3424"/>
        </row>
        <row r="3425">
          <cell r="A3425" t="str">
            <v>BEXT</v>
          </cell>
          <cell r="B3425" t="str">
            <v>TFC2K-5 BAY</v>
          </cell>
          <cell r="O3425"/>
          <cell r="T3425"/>
        </row>
        <row r="3426">
          <cell r="A3426" t="str">
            <v>BEXT</v>
          </cell>
          <cell r="B3426" t="str">
            <v>TFLBDI</v>
          </cell>
          <cell r="O3426"/>
          <cell r="T3426"/>
        </row>
        <row r="3427">
          <cell r="A3427" t="str">
            <v>BEXT</v>
          </cell>
          <cell r="B3427" t="str">
            <v>TFLHO-3</v>
          </cell>
          <cell r="O3427"/>
          <cell r="T3427"/>
        </row>
        <row r="3428">
          <cell r="A3428" t="str">
            <v>BEXT</v>
          </cell>
          <cell r="B3428" t="str">
            <v>TFLHOP</v>
          </cell>
          <cell r="O3428"/>
          <cell r="T3428"/>
        </row>
        <row r="3429">
          <cell r="A3429" t="str">
            <v>BIRD TECHNOLOGIES GROUP</v>
          </cell>
          <cell r="B3429" t="str">
            <v>101-68-10-0-03</v>
          </cell>
          <cell r="O3429"/>
          <cell r="T3429"/>
        </row>
        <row r="3430">
          <cell r="A3430" t="str">
            <v>BIRD TECHNOLOGIES GROUP</v>
          </cell>
          <cell r="B3430" t="str">
            <v>101-83B-09-0</v>
          </cell>
          <cell r="O3430"/>
          <cell r="T3430"/>
        </row>
        <row r="3431">
          <cell r="A3431" t="str">
            <v>BIRD TECHNOLOGIES GROUP</v>
          </cell>
          <cell r="B3431" t="str">
            <v>101-89A-09-00-03N</v>
          </cell>
          <cell r="O3431"/>
          <cell r="T3431"/>
        </row>
        <row r="3432">
          <cell r="A3432" t="str">
            <v>BIRD TECHNOLOGIES GROUP</v>
          </cell>
          <cell r="B3432" t="str">
            <v>101-92-10-0-03</v>
          </cell>
          <cell r="O3432"/>
          <cell r="T3432"/>
        </row>
        <row r="3433">
          <cell r="A3433" t="str">
            <v>BIRD TECHNOLOGIES GROUP</v>
          </cell>
          <cell r="B3433" t="str">
            <v>BA160-67-DIN</v>
          </cell>
          <cell r="O3433"/>
          <cell r="T3433"/>
        </row>
        <row r="3434">
          <cell r="A3434" t="str">
            <v>BIRD TECHNOLOGIES GROUP</v>
          </cell>
          <cell r="B3434" t="str">
            <v>BA40-41-DIN</v>
          </cell>
          <cell r="O3434"/>
          <cell r="T3434"/>
        </row>
        <row r="3435">
          <cell r="A3435" t="str">
            <v>BIRD TECHNOLOGIES GROUP</v>
          </cell>
          <cell r="B3435" t="str">
            <v>BA40-67-DIN</v>
          </cell>
          <cell r="O3435"/>
          <cell r="T3435"/>
        </row>
        <row r="3436">
          <cell r="A3436" t="str">
            <v>BIRD TECHNOLOGIES GROUP</v>
          </cell>
          <cell r="B3436" t="str">
            <v>BA80-41-DIN</v>
          </cell>
          <cell r="O3436"/>
          <cell r="T3436"/>
        </row>
        <row r="3437">
          <cell r="A3437" t="str">
            <v>BIRD TECHNOLOGIES GROUP</v>
          </cell>
          <cell r="B3437" t="str">
            <v>BA80-67-DIN</v>
          </cell>
          <cell r="O3437"/>
          <cell r="T3437"/>
        </row>
        <row r="3438">
          <cell r="A3438" t="str">
            <v>BIRD TECHNOLOGIES GROUP</v>
          </cell>
          <cell r="B3438" t="str">
            <v>BA8080-67-DIN</v>
          </cell>
          <cell r="O3438"/>
          <cell r="T3438"/>
        </row>
        <row r="3439">
          <cell r="A3439" t="str">
            <v>BIRD TECHNOLOGIES GROUP</v>
          </cell>
          <cell r="B3439" t="str">
            <v>CC450-06</v>
          </cell>
          <cell r="O3439"/>
          <cell r="T3439"/>
        </row>
        <row r="3440">
          <cell r="A3440" t="str">
            <v>BIRD TECHNOLOGIES GROUP</v>
          </cell>
          <cell r="B3440" t="str">
            <v>CC806-12</v>
          </cell>
          <cell r="O3440"/>
          <cell r="T3440"/>
        </row>
        <row r="3441">
          <cell r="A3441" t="str">
            <v>BIRD TECHNOLOGIES GROUP</v>
          </cell>
          <cell r="B3441" t="str">
            <v>COL54-160</v>
          </cell>
          <cell r="O3441"/>
          <cell r="T3441"/>
        </row>
        <row r="3442">
          <cell r="A3442" t="str">
            <v>BIRD TECHNOLOGIES GROUP</v>
          </cell>
          <cell r="B3442" t="str">
            <v>COL54-174</v>
          </cell>
          <cell r="O3442"/>
          <cell r="T3442"/>
        </row>
        <row r="3443">
          <cell r="A3443" t="str">
            <v>BIRD TECHNOLOGIES GROUP</v>
          </cell>
          <cell r="B3443" t="str">
            <v>FSA10-67-DIN</v>
          </cell>
          <cell r="O3443"/>
          <cell r="T3443"/>
        </row>
        <row r="3444">
          <cell r="A3444" t="str">
            <v>BIRD TECHNOLOGIES GROUP</v>
          </cell>
          <cell r="B3444" t="str">
            <v>FSA20-67-DIN</v>
          </cell>
          <cell r="O3444"/>
          <cell r="T3444"/>
        </row>
        <row r="3445">
          <cell r="A3445" t="str">
            <v>BIRD TECHNOLOGIES GROUP</v>
          </cell>
          <cell r="B3445" t="str">
            <v>FSA40-67-DIN</v>
          </cell>
          <cell r="O3445"/>
          <cell r="T3445"/>
        </row>
        <row r="3446">
          <cell r="A3446" t="str">
            <v>BIRD TECHNOLOGIES GROUP</v>
          </cell>
          <cell r="B3446" t="str">
            <v>OA20-67-DIN</v>
          </cell>
          <cell r="O3446"/>
          <cell r="T3446"/>
        </row>
        <row r="3447">
          <cell r="A3447" t="str">
            <v>BLINQ NETWORKS</v>
          </cell>
          <cell r="B3447" t="str">
            <v>FW-300i</v>
          </cell>
          <cell r="O3447">
            <v>2.4471543043764599</v>
          </cell>
          <cell r="T3447">
            <v>1.3961104407148999</v>
          </cell>
        </row>
        <row r="3448">
          <cell r="A3448" t="str">
            <v>BLONDER-TONGUE</v>
          </cell>
          <cell r="B3448" t="str">
            <v>BTY-10-HB</v>
          </cell>
          <cell r="O3448"/>
          <cell r="T3448"/>
        </row>
        <row r="3449">
          <cell r="A3449" t="str">
            <v>BLONDER-TONGUE</v>
          </cell>
          <cell r="B3449" t="str">
            <v>BTY-10-U</v>
          </cell>
          <cell r="O3449"/>
          <cell r="T3449"/>
        </row>
        <row r="3450">
          <cell r="A3450" t="str">
            <v>BLONDER-TONGUE</v>
          </cell>
          <cell r="B3450" t="str">
            <v>BTY-5-LB</v>
          </cell>
          <cell r="O3450"/>
          <cell r="T3450"/>
        </row>
        <row r="3451">
          <cell r="A3451" t="str">
            <v>BLONDER-TONGUE</v>
          </cell>
          <cell r="B3451" t="str">
            <v>BTY-LP-BB</v>
          </cell>
          <cell r="O3451"/>
          <cell r="T3451"/>
        </row>
        <row r="3452">
          <cell r="A3452" t="str">
            <v>BLONDER-TONGUE</v>
          </cell>
          <cell r="B3452" t="str">
            <v>BTY-LP-HB7</v>
          </cell>
          <cell r="O3452"/>
          <cell r="T3452"/>
        </row>
        <row r="3453">
          <cell r="A3453" t="str">
            <v>BLONDER-TONGUE</v>
          </cell>
          <cell r="B3453" t="str">
            <v>BTY-UHF-BB</v>
          </cell>
          <cell r="O3453"/>
          <cell r="T3453"/>
        </row>
        <row r="3454">
          <cell r="A3454" t="str">
            <v>BLUE DANUBE</v>
          </cell>
          <cell r="B3454" t="str">
            <v>BEAMCRAFT 500</v>
          </cell>
          <cell r="O3454"/>
          <cell r="T3454"/>
        </row>
        <row r="3455">
          <cell r="A3455" t="str">
            <v>BLUESKY MAST</v>
          </cell>
          <cell r="B3455" t="str">
            <v>350G-W-L314-LFT-000</v>
          </cell>
          <cell r="O3455"/>
          <cell r="T3455"/>
        </row>
        <row r="3456">
          <cell r="A3456" t="str">
            <v>BLUEWAVE</v>
          </cell>
          <cell r="B3456" t="str">
            <v>AC427Y</v>
          </cell>
          <cell r="O3456"/>
          <cell r="T3456"/>
        </row>
        <row r="3457">
          <cell r="A3457" t="str">
            <v>BLUEWAVE</v>
          </cell>
          <cell r="B3457" t="str">
            <v>BW122E</v>
          </cell>
          <cell r="O3457"/>
          <cell r="T3457"/>
        </row>
        <row r="3458">
          <cell r="A3458" t="str">
            <v>BLUEWAVE</v>
          </cell>
          <cell r="B3458" t="str">
            <v>BW244E</v>
          </cell>
          <cell r="O3458"/>
          <cell r="T3458"/>
        </row>
        <row r="3459">
          <cell r="A3459" t="str">
            <v>BLUEWAVE</v>
          </cell>
          <cell r="B3459" t="str">
            <v>BW246Y</v>
          </cell>
          <cell r="O3459"/>
          <cell r="T3459"/>
        </row>
        <row r="3460">
          <cell r="A3460" t="str">
            <v>BLUEWAVE</v>
          </cell>
          <cell r="B3460" t="str">
            <v>BW427Y</v>
          </cell>
          <cell r="O3460"/>
          <cell r="T3460"/>
        </row>
        <row r="3461">
          <cell r="A3461" t="str">
            <v>BLUEWAVE</v>
          </cell>
          <cell r="B3461" t="str">
            <v>BW9418Y-1</v>
          </cell>
          <cell r="O3461"/>
          <cell r="T3461"/>
        </row>
        <row r="3462">
          <cell r="A3462" t="str">
            <v>BOGEN</v>
          </cell>
          <cell r="B3462" t="str">
            <v>SAH30</v>
          </cell>
          <cell r="O3462"/>
          <cell r="T3462"/>
        </row>
        <row r="3463">
          <cell r="A3463" t="str">
            <v>BP SOLAR</v>
          </cell>
          <cell r="B3463" t="str">
            <v>SX10M</v>
          </cell>
          <cell r="O3463"/>
          <cell r="T3463"/>
        </row>
        <row r="3464">
          <cell r="A3464" t="str">
            <v>BREEZECOM</v>
          </cell>
          <cell r="B3464" t="str">
            <v>UNI-24</v>
          </cell>
          <cell r="O3464"/>
          <cell r="T3464"/>
        </row>
        <row r="3465">
          <cell r="A3465" t="str">
            <v>BRIDGEWAVE</v>
          </cell>
          <cell r="B3465" t="str">
            <v>AR80</v>
          </cell>
          <cell r="O3465"/>
          <cell r="T3465"/>
        </row>
        <row r="3466">
          <cell r="A3466" t="str">
            <v>BRIDGEWAVE</v>
          </cell>
          <cell r="B3466" t="str">
            <v>AR80X</v>
          </cell>
          <cell r="O3466"/>
          <cell r="T3466"/>
        </row>
        <row r="3467">
          <cell r="A3467" t="str">
            <v>BRIDGEWAVE</v>
          </cell>
          <cell r="B3467" t="str">
            <v>BW80</v>
          </cell>
          <cell r="O3467"/>
          <cell r="T3467"/>
        </row>
        <row r="3468">
          <cell r="A3468" t="str">
            <v>BRIDGEWAVE</v>
          </cell>
          <cell r="B3468" t="str">
            <v>ETHERFLEX</v>
          </cell>
          <cell r="O3468"/>
          <cell r="T3468"/>
        </row>
        <row r="3469">
          <cell r="A3469" t="str">
            <v>BRIDGEWAVE</v>
          </cell>
          <cell r="B3469" t="str">
            <v>FE80XU</v>
          </cell>
          <cell r="O3469"/>
          <cell r="T3469"/>
        </row>
        <row r="3470">
          <cell r="A3470" t="str">
            <v>BRIDGEWAVE</v>
          </cell>
          <cell r="B3470" t="str">
            <v>FLEXPORT18</v>
          </cell>
          <cell r="O3470"/>
          <cell r="T3470"/>
        </row>
        <row r="3471">
          <cell r="A3471" t="str">
            <v>BRIDGEWAVE</v>
          </cell>
          <cell r="B3471" t="str">
            <v>FLEXPORT23</v>
          </cell>
          <cell r="O3471"/>
          <cell r="T3471"/>
        </row>
        <row r="3472">
          <cell r="A3472" t="str">
            <v>BRIDGEWAVE</v>
          </cell>
          <cell r="B3472" t="str">
            <v>GE60</v>
          </cell>
          <cell r="O3472"/>
          <cell r="T3472"/>
        </row>
        <row r="3473">
          <cell r="A3473" t="str">
            <v>BRIDGEWAVE</v>
          </cell>
          <cell r="B3473" t="str">
            <v>GE80</v>
          </cell>
          <cell r="O3473"/>
          <cell r="T3473"/>
        </row>
        <row r="3474">
          <cell r="A3474" t="str">
            <v>BRIDGEWAVE</v>
          </cell>
          <cell r="B3474" t="str">
            <v>GE80X</v>
          </cell>
          <cell r="O3474"/>
          <cell r="T3474"/>
        </row>
        <row r="3475">
          <cell r="A3475" t="str">
            <v>BRIDGEWAVE</v>
          </cell>
          <cell r="B3475" t="str">
            <v>TYA12U10WS-R21</v>
          </cell>
          <cell r="O3475"/>
          <cell r="T3475"/>
        </row>
        <row r="3476">
          <cell r="A3476" t="str">
            <v>BROADCAST MICROWAVE SERVICE</v>
          </cell>
          <cell r="B3476" t="str">
            <v>SUPERQUAD</v>
          </cell>
          <cell r="O3476"/>
          <cell r="T3476"/>
        </row>
        <row r="3477">
          <cell r="A3477" t="str">
            <v>BUDDIPOLE</v>
          </cell>
          <cell r="B3477" t="str">
            <v>BUDDIPOLE</v>
          </cell>
          <cell r="O3477"/>
          <cell r="T3477"/>
        </row>
        <row r="3478">
          <cell r="A3478" t="str">
            <v>CABLEFREE</v>
          </cell>
          <cell r="B3478" t="str">
            <v>WTC09-177S</v>
          </cell>
          <cell r="O3478"/>
          <cell r="T3478"/>
        </row>
        <row r="3479">
          <cell r="A3479" t="str">
            <v>CALIAN</v>
          </cell>
          <cell r="B3479" t="str">
            <v>TW3442_202407</v>
          </cell>
          <cell r="O3479"/>
          <cell r="T3479"/>
        </row>
        <row r="3480">
          <cell r="A3480" t="str">
            <v>CALIFORNIA AMPLIFIER</v>
          </cell>
          <cell r="B3480" t="str">
            <v>130094-130135</v>
          </cell>
          <cell r="O3480"/>
          <cell r="T3480"/>
        </row>
        <row r="3481">
          <cell r="A3481" t="str">
            <v>CALIFORNIA MICROWAVE</v>
          </cell>
          <cell r="B3481" t="str">
            <v>SECTOR-SCAN</v>
          </cell>
          <cell r="O3481"/>
          <cell r="T3481"/>
        </row>
        <row r="3482">
          <cell r="A3482" t="str">
            <v>CAMBIUM NETWORKS</v>
          </cell>
          <cell r="B3482" t="str">
            <v>2450APDD</v>
          </cell>
          <cell r="O3482"/>
          <cell r="T3482"/>
        </row>
        <row r="3483">
          <cell r="A3483" t="str">
            <v>CAMBIUM NETWORKS</v>
          </cell>
          <cell r="B3483" t="str">
            <v>3083HH</v>
          </cell>
          <cell r="O3483"/>
          <cell r="T3483"/>
        </row>
        <row r="3484">
          <cell r="A3484" t="str">
            <v>CAMBIUM NETWORKS</v>
          </cell>
          <cell r="B3484" t="str">
            <v>3530APC_CCIV2</v>
          </cell>
          <cell r="O3484"/>
          <cell r="T3484"/>
        </row>
        <row r="3485">
          <cell r="A3485" t="str">
            <v>CAMBIUM NETWORKS</v>
          </cell>
          <cell r="B3485" t="str">
            <v>3630APC</v>
          </cell>
          <cell r="O3485"/>
          <cell r="T3485"/>
        </row>
        <row r="3486">
          <cell r="A3486" t="str">
            <v>CAMBIUM NETWORKS</v>
          </cell>
          <cell r="B3486" t="str">
            <v>450m</v>
          </cell>
          <cell r="O3486"/>
          <cell r="T3486"/>
        </row>
        <row r="3487">
          <cell r="A3487" t="str">
            <v>CAMBIUM NETWORKS</v>
          </cell>
          <cell r="B3487" t="str">
            <v>5450APG</v>
          </cell>
          <cell r="O3487"/>
          <cell r="T3487"/>
        </row>
        <row r="3488">
          <cell r="A3488" t="str">
            <v>CAMBIUM NETWORKS</v>
          </cell>
          <cell r="B3488" t="str">
            <v>54X250</v>
          </cell>
          <cell r="O3488"/>
          <cell r="T3488"/>
        </row>
        <row r="3489">
          <cell r="A3489" t="str">
            <v>CAMBIUM NETWORKS</v>
          </cell>
          <cell r="B3489" t="str">
            <v>5750APG</v>
          </cell>
          <cell r="O3489"/>
          <cell r="T3489"/>
        </row>
        <row r="3490">
          <cell r="A3490" t="str">
            <v>CAMBIUM NETWORKS</v>
          </cell>
          <cell r="B3490" t="str">
            <v>5780APUS</v>
          </cell>
          <cell r="O3490"/>
          <cell r="T3490"/>
        </row>
        <row r="3491">
          <cell r="A3491" t="str">
            <v>CAMBIUM NETWORKS</v>
          </cell>
          <cell r="B3491" t="str">
            <v>5790SM4</v>
          </cell>
          <cell r="O3491">
            <v>0.31778048873428394</v>
          </cell>
          <cell r="T3491">
            <v>0.143057850056862</v>
          </cell>
        </row>
        <row r="3492">
          <cell r="A3492" t="str">
            <v>CAMBIUM NETWORKS</v>
          </cell>
          <cell r="B3492" t="str">
            <v>5X250</v>
          </cell>
          <cell r="O3492">
            <v>1.6862283915481899</v>
          </cell>
          <cell r="T3492">
            <v>0.34470241886665293</v>
          </cell>
        </row>
        <row r="3493">
          <cell r="A3493" t="str">
            <v>CAMBIUM NETWORKS</v>
          </cell>
          <cell r="B3493" t="str">
            <v>60 GHZ CNWAVE V3000</v>
          </cell>
          <cell r="O3493"/>
          <cell r="T3493"/>
        </row>
        <row r="3494">
          <cell r="A3494" t="str">
            <v>CAMBIUM NETWORKS</v>
          </cell>
          <cell r="B3494" t="str">
            <v>60 GHZ CNWAVE V5000</v>
          </cell>
          <cell r="O3494"/>
          <cell r="T3494"/>
        </row>
        <row r="3495">
          <cell r="A3495" t="str">
            <v>CAMBIUM NETWORKS</v>
          </cell>
          <cell r="B3495" t="str">
            <v>85009298001</v>
          </cell>
          <cell r="O3495"/>
          <cell r="T3495"/>
        </row>
        <row r="3496">
          <cell r="A3496" t="str">
            <v>CAMBIUM NETWORKS</v>
          </cell>
          <cell r="B3496" t="str">
            <v>85009324001</v>
          </cell>
          <cell r="O3496">
            <v>0.78475063966506786</v>
          </cell>
          <cell r="T3496">
            <v>0.34435533409121494</v>
          </cell>
        </row>
        <row r="3497">
          <cell r="A3497" t="str">
            <v>CAMBIUM NETWORKS</v>
          </cell>
          <cell r="B3497" t="str">
            <v>85009325001</v>
          </cell>
          <cell r="O3497">
            <v>0.63862172067901202</v>
          </cell>
          <cell r="T3497">
            <v>0.28024829873054302</v>
          </cell>
        </row>
        <row r="3498">
          <cell r="A3498" t="str">
            <v>CAMBIUM NETWORKS</v>
          </cell>
          <cell r="B3498" t="str">
            <v>8501009001</v>
          </cell>
          <cell r="O3498">
            <v>1.1985363618827201</v>
          </cell>
          <cell r="T3498">
            <v>0.67525640915204188</v>
          </cell>
        </row>
        <row r="3499">
          <cell r="A3499" t="str">
            <v>CAMBIUM NETWORKS</v>
          </cell>
          <cell r="B3499" t="str">
            <v>C000000L066B</v>
          </cell>
          <cell r="O3499"/>
          <cell r="T3499"/>
        </row>
        <row r="3500">
          <cell r="A3500" t="str">
            <v>CAMBIUM NETWORKS</v>
          </cell>
          <cell r="B3500" t="str">
            <v>C030045A101A_CCIV2</v>
          </cell>
          <cell r="O3500"/>
          <cell r="T3500"/>
        </row>
        <row r="3501">
          <cell r="A3501" t="str">
            <v>CAMBIUM NETWORKS</v>
          </cell>
          <cell r="B3501" t="str">
            <v>C030045A104A_CCIV2</v>
          </cell>
          <cell r="O3501"/>
          <cell r="T3501"/>
        </row>
        <row r="3502">
          <cell r="A3502" t="str">
            <v>CAMBIUM NETWORKS</v>
          </cell>
          <cell r="B3502" t="str">
            <v>C030045AL02A</v>
          </cell>
          <cell r="O3502">
            <v>1.62409344573642</v>
          </cell>
          <cell r="T3502">
            <v>0.95551225960950703</v>
          </cell>
        </row>
        <row r="3503">
          <cell r="A3503" t="str">
            <v>CAMBIUM NETWORKS</v>
          </cell>
          <cell r="B3503" t="str">
            <v>C030045D901A</v>
          </cell>
          <cell r="O3503">
            <v>1.1985363618827201</v>
          </cell>
          <cell r="T3503">
            <v>0.67525640915204188</v>
          </cell>
        </row>
        <row r="3504">
          <cell r="A3504" t="str">
            <v>CAMBIUM NETWORKS</v>
          </cell>
          <cell r="B3504" t="str">
            <v>C050000D001A</v>
          </cell>
          <cell r="O3504"/>
          <cell r="T3504"/>
        </row>
        <row r="3505">
          <cell r="A3505" t="str">
            <v>CAMBIUM NETWORKS</v>
          </cell>
          <cell r="B3505" t="str">
            <v>C050045A006A</v>
          </cell>
          <cell r="O3505"/>
          <cell r="T3505"/>
        </row>
        <row r="3506">
          <cell r="A3506" t="str">
            <v>CAMBIUM NETWORKS</v>
          </cell>
          <cell r="B3506" t="str">
            <v>C050045A006B</v>
          </cell>
          <cell r="O3506"/>
          <cell r="T3506"/>
        </row>
        <row r="3507">
          <cell r="A3507" t="str">
            <v>CAMBIUM NETWORKS</v>
          </cell>
          <cell r="B3507" t="str">
            <v>C050045A102A</v>
          </cell>
          <cell r="O3507"/>
          <cell r="T3507"/>
        </row>
        <row r="3508">
          <cell r="A3508" t="str">
            <v>CAMBIUM NETWORKS</v>
          </cell>
          <cell r="B3508" t="str">
            <v>C050045A104A</v>
          </cell>
          <cell r="O3508"/>
          <cell r="T3508"/>
        </row>
        <row r="3509">
          <cell r="A3509" t="str">
            <v>CAMBIUM NETWORKS</v>
          </cell>
          <cell r="B3509" t="str">
            <v>C050900D002A</v>
          </cell>
          <cell r="O3509"/>
          <cell r="T3509"/>
        </row>
        <row r="3510">
          <cell r="A3510" t="str">
            <v>CAMBIUM NETWORKS</v>
          </cell>
          <cell r="B3510" t="str">
            <v>C050900D003A</v>
          </cell>
          <cell r="O3510"/>
          <cell r="T3510"/>
        </row>
        <row r="3511">
          <cell r="A3511" t="str">
            <v>CAMBIUM NETWORKS</v>
          </cell>
          <cell r="B3511" t="str">
            <v>C050900D020A</v>
          </cell>
          <cell r="O3511"/>
          <cell r="T3511"/>
        </row>
        <row r="3512">
          <cell r="A3512" t="str">
            <v>CAMBIUM NETWORKS</v>
          </cell>
          <cell r="B3512" t="str">
            <v>C050900D021A</v>
          </cell>
          <cell r="O3512">
            <v>0.93256832762401587</v>
          </cell>
          <cell r="T3512">
            <v>0.72416637957811103</v>
          </cell>
        </row>
        <row r="3513">
          <cell r="A3513" t="str">
            <v>CAMBIUM NETWORKS</v>
          </cell>
          <cell r="B3513" t="str">
            <v>C050900D021A_CCIV2</v>
          </cell>
          <cell r="O3513">
            <v>1.0558085327414899</v>
          </cell>
          <cell r="T3513">
            <v>0.64299964784400787</v>
          </cell>
        </row>
        <row r="3514">
          <cell r="A3514" t="str">
            <v>CAMBIUM NETWORKS</v>
          </cell>
          <cell r="B3514" t="str">
            <v>C050900D025A</v>
          </cell>
          <cell r="O3514"/>
          <cell r="T3514"/>
        </row>
        <row r="3515">
          <cell r="A3515" t="str">
            <v>CAMBIUM NETWORKS</v>
          </cell>
          <cell r="B3515" t="str">
            <v>C050900P71A</v>
          </cell>
          <cell r="O3515"/>
          <cell r="T3515"/>
        </row>
        <row r="3516">
          <cell r="A3516" t="str">
            <v>CAMBIUM NETWORKS</v>
          </cell>
          <cell r="B3516" t="str">
            <v>C050910D301A</v>
          </cell>
          <cell r="O3516">
            <v>1.9435812748430701</v>
          </cell>
          <cell r="T3516">
            <v>0.74628247982200302</v>
          </cell>
        </row>
        <row r="3517">
          <cell r="A3517" t="str">
            <v>CAMBIUM NETWORKS</v>
          </cell>
          <cell r="B3517" t="str">
            <v>C050910D301A_CCIV2</v>
          </cell>
          <cell r="O3517">
            <v>1.9435812748430701</v>
          </cell>
          <cell r="T3517">
            <v>0.74628247982200302</v>
          </cell>
        </row>
        <row r="3518">
          <cell r="A3518" t="str">
            <v>CAMBIUM NETWORKS</v>
          </cell>
          <cell r="B3518" t="str">
            <v>C054045A002A</v>
          </cell>
          <cell r="O3518"/>
          <cell r="T3518"/>
        </row>
        <row r="3519">
          <cell r="A3519" t="str">
            <v>CAMBIUM NETWORKS</v>
          </cell>
          <cell r="B3519" t="str">
            <v>C058940P122A</v>
          </cell>
          <cell r="O3519"/>
          <cell r="T3519"/>
        </row>
        <row r="3520">
          <cell r="A3520" t="str">
            <v>CAMBIUM NETWORKS</v>
          </cell>
          <cell r="B3520" t="str">
            <v>C060940D301A</v>
          </cell>
          <cell r="O3520"/>
          <cell r="T3520"/>
        </row>
        <row r="3521">
          <cell r="A3521" t="str">
            <v>CAMBIUM NETWORKS</v>
          </cell>
          <cell r="B3521" t="str">
            <v>C068940A112B_20221130</v>
          </cell>
          <cell r="O3521"/>
          <cell r="T3521"/>
        </row>
        <row r="3522">
          <cell r="A3522" t="str">
            <v>CAMBIUM NETWORKS</v>
          </cell>
          <cell r="B3522" t="str">
            <v>C280500A001A_CCIV2</v>
          </cell>
          <cell r="O3522"/>
          <cell r="T3522"/>
        </row>
        <row r="3523">
          <cell r="A3523" t="str">
            <v>CAMBIUM NETWORKS</v>
          </cell>
          <cell r="B3523" t="str">
            <v>C50045A006B</v>
          </cell>
          <cell r="O3523"/>
          <cell r="T3523"/>
        </row>
        <row r="3524">
          <cell r="A3524" t="str">
            <v>CAMBIUM NETWORKS</v>
          </cell>
          <cell r="B3524" t="str">
            <v>EPMP 3000_CCIV2</v>
          </cell>
          <cell r="O3524">
            <v>0.37429762996824201</v>
          </cell>
          <cell r="T3524">
            <v>0.109001807161122</v>
          </cell>
        </row>
        <row r="3525">
          <cell r="A3525" t="str">
            <v>CAMBIUM NETWORKS</v>
          </cell>
          <cell r="B3525" t="str">
            <v>EPMP FORCE 200 5GHZ</v>
          </cell>
          <cell r="O3525"/>
          <cell r="T3525"/>
        </row>
        <row r="3526">
          <cell r="A3526" t="str">
            <v>CAMBIUM NETWORKS</v>
          </cell>
          <cell r="B3526" t="str">
            <v>EPMP FORCE300-25</v>
          </cell>
          <cell r="O3526"/>
          <cell r="T3526"/>
        </row>
        <row r="3527">
          <cell r="A3527" t="str">
            <v>CAMBIUM NETWORKS</v>
          </cell>
          <cell r="B3527" t="str">
            <v>FORCE 110 PTP</v>
          </cell>
          <cell r="O3527"/>
          <cell r="T3527"/>
        </row>
        <row r="3528">
          <cell r="A3528" t="str">
            <v>CAMBIUM NETWORKS</v>
          </cell>
          <cell r="B3528" t="str">
            <v>Force 300</v>
          </cell>
          <cell r="O3528"/>
          <cell r="T3528"/>
        </row>
        <row r="3529">
          <cell r="A3529" t="str">
            <v>CAMBIUM NETWORKS</v>
          </cell>
          <cell r="B3529" t="str">
            <v>Force 425</v>
          </cell>
          <cell r="O3529"/>
          <cell r="T3529"/>
        </row>
        <row r="3530">
          <cell r="A3530" t="str">
            <v>CAMBIUM NETWORKS</v>
          </cell>
          <cell r="B3530" t="str">
            <v>N009045D001A</v>
          </cell>
          <cell r="O3530"/>
          <cell r="T3530"/>
        </row>
        <row r="3531">
          <cell r="A3531" t="str">
            <v>CAMBIUM NETWORKS</v>
          </cell>
          <cell r="B3531" t="str">
            <v>N045070D050A</v>
          </cell>
          <cell r="O3531"/>
          <cell r="T3531"/>
        </row>
        <row r="3532">
          <cell r="A3532" t="str">
            <v>CAMBIUM NETWORKS</v>
          </cell>
          <cell r="B3532" t="str">
            <v>N110082D075</v>
          </cell>
          <cell r="O3532"/>
          <cell r="T3532"/>
        </row>
        <row r="3533">
          <cell r="A3533" t="str">
            <v>CAMBIUM NETWORKS</v>
          </cell>
          <cell r="B3533" t="str">
            <v>N110082D102A</v>
          </cell>
          <cell r="O3533"/>
          <cell r="T3533"/>
        </row>
        <row r="3534">
          <cell r="A3534" t="str">
            <v>CAMBIUM NETWORKS</v>
          </cell>
          <cell r="B3534" t="str">
            <v>N110092D073A</v>
          </cell>
          <cell r="O3534"/>
          <cell r="T3534"/>
        </row>
        <row r="3535">
          <cell r="A3535" t="str">
            <v>CAMBIUM NETWORKS</v>
          </cell>
          <cell r="B3535" t="str">
            <v>N180082D031</v>
          </cell>
          <cell r="O3535"/>
          <cell r="T3535"/>
        </row>
        <row r="3536">
          <cell r="A3536" t="str">
            <v>CAMBIUM NETWORKS</v>
          </cell>
          <cell r="B3536" t="str">
            <v>N180082D031A</v>
          </cell>
          <cell r="O3536"/>
          <cell r="T3536"/>
        </row>
        <row r="3537">
          <cell r="A3537" t="str">
            <v>CAMBIUM NETWORKS</v>
          </cell>
          <cell r="B3537" t="str">
            <v>N180082D031A_CCIV2</v>
          </cell>
          <cell r="O3537"/>
          <cell r="T3537"/>
        </row>
        <row r="3538">
          <cell r="A3538" t="str">
            <v>CAMBIUM NETWORKS</v>
          </cell>
          <cell r="B3538" t="str">
            <v>N180082D038A</v>
          </cell>
          <cell r="O3538"/>
          <cell r="T3538"/>
        </row>
        <row r="3539">
          <cell r="A3539" t="str">
            <v>CAMBIUM NETWORKS</v>
          </cell>
          <cell r="B3539" t="str">
            <v>PMP 100</v>
          </cell>
          <cell r="O3539"/>
          <cell r="T3539"/>
        </row>
        <row r="3540">
          <cell r="A3540" t="str">
            <v>CAMBIUM NETWORKS</v>
          </cell>
          <cell r="B3540" t="str">
            <v>PMP 400</v>
          </cell>
          <cell r="O3540"/>
          <cell r="T3540"/>
        </row>
        <row r="3541">
          <cell r="A3541" t="str">
            <v>CAMBIUM NETWORKS</v>
          </cell>
          <cell r="B3541" t="str">
            <v>PMP 450I</v>
          </cell>
          <cell r="O3541">
            <v>1.62409344573642</v>
          </cell>
          <cell r="T3541">
            <v>0.95551225960950703</v>
          </cell>
        </row>
        <row r="3542">
          <cell r="A3542" t="str">
            <v>CAMBIUM NETWORKS</v>
          </cell>
          <cell r="B3542" t="str">
            <v>PMP 450I CCIV2</v>
          </cell>
          <cell r="O3542">
            <v>1.0343772199408399</v>
          </cell>
          <cell r="T3542">
            <v>0.74190047050220198</v>
          </cell>
        </row>
        <row r="3543">
          <cell r="A3543" t="str">
            <v>CAMBIUM NETWORKS</v>
          </cell>
          <cell r="B3543" t="str">
            <v>PMP 450M_CCIV2</v>
          </cell>
          <cell r="O3543"/>
          <cell r="T3543"/>
        </row>
        <row r="3544">
          <cell r="A3544" t="str">
            <v>CAMBIUM NETWORKS</v>
          </cell>
          <cell r="B3544" t="str">
            <v>PMP 450M_CCIV3</v>
          </cell>
          <cell r="O3544"/>
          <cell r="T3544"/>
        </row>
        <row r="3545">
          <cell r="A3545" t="str">
            <v>CAMBIUM NETWORKS</v>
          </cell>
          <cell r="B3545" t="str">
            <v>PMP 450_CCIV2</v>
          </cell>
          <cell r="O3545"/>
          <cell r="T3545"/>
        </row>
        <row r="3546">
          <cell r="A3546" t="str">
            <v>CAMBIUM NETWORKS</v>
          </cell>
          <cell r="B3546" t="str">
            <v>PMP 450i</v>
          </cell>
          <cell r="O3546"/>
          <cell r="T3546"/>
        </row>
        <row r="3547">
          <cell r="A3547" t="str">
            <v>CAMBIUM NETWORKS</v>
          </cell>
          <cell r="B3547" t="str">
            <v>PMP450i_AP</v>
          </cell>
          <cell r="O3547"/>
          <cell r="T3547"/>
        </row>
        <row r="3548">
          <cell r="A3548" t="str">
            <v>CAMBIUM NETWORKS</v>
          </cell>
          <cell r="B3548" t="str">
            <v>PTP 230_CCIV2</v>
          </cell>
          <cell r="O3548"/>
          <cell r="T3548"/>
        </row>
        <row r="3549">
          <cell r="A3549" t="str">
            <v>CAMBIUM NETWORKS</v>
          </cell>
          <cell r="B3549" t="str">
            <v>PTP 450I_CCIV2</v>
          </cell>
          <cell r="O3549"/>
          <cell r="T3549"/>
        </row>
        <row r="3550">
          <cell r="A3550" t="str">
            <v>CAMBIUM NETWORKS</v>
          </cell>
          <cell r="B3550" t="str">
            <v>PTP 500</v>
          </cell>
          <cell r="O3550">
            <v>1.6502477577000301</v>
          </cell>
          <cell r="T3550">
            <v>0.32000480214028193</v>
          </cell>
        </row>
        <row r="3551">
          <cell r="A3551" t="str">
            <v>CAMBIUM NETWORKS</v>
          </cell>
          <cell r="B3551" t="str">
            <v>PTP 54600_CCIV2</v>
          </cell>
          <cell r="O3551"/>
          <cell r="T3551"/>
        </row>
        <row r="3552">
          <cell r="A3552" t="str">
            <v>CAMBIUM NETWORKS</v>
          </cell>
          <cell r="B3552" t="str">
            <v>PTP 550</v>
          </cell>
          <cell r="O3552"/>
          <cell r="T3552"/>
        </row>
        <row r="3553">
          <cell r="A3553" t="str">
            <v>CAMBIUM NETWORKS</v>
          </cell>
          <cell r="B3553" t="str">
            <v>PTP 600</v>
          </cell>
          <cell r="O3553"/>
          <cell r="T3553"/>
        </row>
        <row r="3554">
          <cell r="A3554" t="str">
            <v>CAMBIUM NETWORKS</v>
          </cell>
          <cell r="B3554" t="str">
            <v>PTP 650_CCIV2</v>
          </cell>
          <cell r="O3554"/>
          <cell r="T3554"/>
        </row>
        <row r="3555">
          <cell r="A3555" t="str">
            <v>CAMBIUM NETWORKS</v>
          </cell>
          <cell r="B3555" t="str">
            <v>PTP 670</v>
          </cell>
          <cell r="O3555"/>
          <cell r="T3555"/>
        </row>
        <row r="3556">
          <cell r="A3556" t="str">
            <v>CAMBIUM NETWORKS</v>
          </cell>
          <cell r="B3556" t="str">
            <v>PTP 700</v>
          </cell>
          <cell r="O3556"/>
          <cell r="T3556"/>
        </row>
        <row r="3557">
          <cell r="A3557" t="str">
            <v>CAMBIUM NETWORKS</v>
          </cell>
          <cell r="B3557" t="str">
            <v>PTP 800</v>
          </cell>
          <cell r="O3557"/>
          <cell r="T3557"/>
        </row>
        <row r="3558">
          <cell r="A3558" t="str">
            <v>CAMBIUM NETWORKS</v>
          </cell>
          <cell r="B3558" t="str">
            <v>PTP 820C_CCIV2</v>
          </cell>
          <cell r="O3558"/>
          <cell r="T3558"/>
        </row>
        <row r="3559">
          <cell r="A3559" t="str">
            <v>CAMBIUM NETWORKS</v>
          </cell>
          <cell r="B3559" t="str">
            <v>PTP-850C</v>
          </cell>
          <cell r="O3559"/>
          <cell r="T3559"/>
        </row>
        <row r="3560">
          <cell r="A3560" t="str">
            <v>CAMBIUM NETWORKS</v>
          </cell>
          <cell r="B3560" t="str">
            <v>RDH4503B</v>
          </cell>
          <cell r="O3560"/>
          <cell r="T3560"/>
        </row>
        <row r="3561">
          <cell r="A3561" t="str">
            <v>CAMBIUM NETWORKS</v>
          </cell>
          <cell r="B3561" t="str">
            <v>RDH4504B</v>
          </cell>
          <cell r="O3561"/>
          <cell r="T3561"/>
        </row>
        <row r="3562">
          <cell r="A3562" t="str">
            <v>CAMBIUM NETWORKS</v>
          </cell>
          <cell r="B3562" t="str">
            <v>RDH4505B</v>
          </cell>
          <cell r="O3562"/>
          <cell r="T3562"/>
        </row>
        <row r="3563">
          <cell r="A3563" t="str">
            <v>CAMBIUM NETWORKS</v>
          </cell>
          <cell r="B3563" t="str">
            <v>RDH4506B</v>
          </cell>
          <cell r="O3563"/>
          <cell r="T3563"/>
        </row>
        <row r="3564">
          <cell r="A3564" t="str">
            <v>CAMBIUM NETWORKS</v>
          </cell>
          <cell r="B3564" t="str">
            <v>RDH4507B</v>
          </cell>
          <cell r="O3564"/>
          <cell r="T3564"/>
        </row>
        <row r="3565">
          <cell r="A3565" t="str">
            <v>CAMBIUM NETWORKS</v>
          </cell>
          <cell r="B3565" t="str">
            <v>RDH4508B</v>
          </cell>
          <cell r="O3565"/>
          <cell r="T3565"/>
        </row>
        <row r="3566">
          <cell r="A3566" t="str">
            <v>CAMBIUM NETWORKS</v>
          </cell>
          <cell r="B3566" t="str">
            <v>RDH4508C</v>
          </cell>
          <cell r="O3566"/>
          <cell r="T3566"/>
        </row>
        <row r="3567">
          <cell r="A3567" t="str">
            <v>CAMBIUM NETWORKS</v>
          </cell>
          <cell r="B3567" t="str">
            <v>RDH4509B</v>
          </cell>
          <cell r="O3567"/>
          <cell r="T3567"/>
        </row>
        <row r="3568">
          <cell r="A3568" t="str">
            <v>CAMBIUM NETWORKS</v>
          </cell>
          <cell r="B3568" t="str">
            <v>REFLECTOR DISH</v>
          </cell>
          <cell r="O3568"/>
          <cell r="T3568"/>
        </row>
        <row r="3569">
          <cell r="A3569" t="str">
            <v>CAMBIUM NETWORKS</v>
          </cell>
          <cell r="B3569" t="str">
            <v>V5000_CCIV2</v>
          </cell>
          <cell r="O3569"/>
          <cell r="T3569"/>
        </row>
        <row r="3570">
          <cell r="A3570" t="str">
            <v>CAMBIUM NETWORKS</v>
          </cell>
          <cell r="B3570" t="str">
            <v>cnWave</v>
          </cell>
          <cell r="O3570"/>
          <cell r="T3570"/>
        </row>
        <row r="3571">
          <cell r="A3571" t="str">
            <v>CAMBIUM NETWORKS</v>
          </cell>
          <cell r="B3571" t="str">
            <v>ePMP 2000 Smart Antenna</v>
          </cell>
          <cell r="O3571"/>
          <cell r="T3571"/>
        </row>
        <row r="3572">
          <cell r="A3572" t="str">
            <v>CAMBIUM NETWORKS</v>
          </cell>
          <cell r="B3572" t="str">
            <v>ePMP 4500</v>
          </cell>
          <cell r="O3572"/>
          <cell r="T3572"/>
        </row>
        <row r="3573">
          <cell r="A3573" t="str">
            <v>CAMBIUM NETWORKS</v>
          </cell>
          <cell r="B3573" t="str">
            <v>ePMP 6 GHz 2X2</v>
          </cell>
          <cell r="O3573"/>
          <cell r="T3573"/>
        </row>
        <row r="3574">
          <cell r="A3574" t="str">
            <v>CAMBIUM NETWORKS</v>
          </cell>
          <cell r="B3574" t="str">
            <v>ePMP 6 GHz 4x4</v>
          </cell>
          <cell r="O3574"/>
          <cell r="T3574"/>
        </row>
        <row r="3575">
          <cell r="A3575" t="str">
            <v>CAMBIUM NETWORKS</v>
          </cell>
          <cell r="B3575" t="str">
            <v>ePMP Force 180</v>
          </cell>
          <cell r="O3575"/>
          <cell r="T3575"/>
        </row>
        <row r="3576">
          <cell r="A3576" t="str">
            <v>CAMBRIDGE BROADBAND NETWORKS</v>
          </cell>
          <cell r="B3576" t="str">
            <v>ANT-26/27/28-GS-P30</v>
          </cell>
          <cell r="O3576"/>
          <cell r="T3576"/>
        </row>
        <row r="3577">
          <cell r="A3577" t="str">
            <v>CAMBRIDGE BROADBAND NETWORKS</v>
          </cell>
          <cell r="B3577" t="str">
            <v>ANT-26/27/28-GS-P60</v>
          </cell>
          <cell r="O3577"/>
          <cell r="T3577"/>
        </row>
        <row r="3578">
          <cell r="A3578" t="str">
            <v>CAMBRIDGE BROADBAND NETWORKS</v>
          </cell>
          <cell r="B3578" t="str">
            <v>ANT-26/27/28GS-AP-H</v>
          </cell>
          <cell r="O3578"/>
          <cell r="T3578"/>
        </row>
        <row r="3579">
          <cell r="A3579" t="str">
            <v>CAMBRIDGE BROADBAND NETWORKS</v>
          </cell>
          <cell r="B3579" t="str">
            <v>ANT-26/27/28GS-AP-H_CCIV2</v>
          </cell>
          <cell r="O3579"/>
          <cell r="T3579"/>
        </row>
        <row r="3580">
          <cell r="A3580" t="str">
            <v>CAMBRIDGE BROADBAND NETWORKS</v>
          </cell>
          <cell r="B3580" t="str">
            <v>ANT-26/27/28GS-AP-V</v>
          </cell>
          <cell r="O3580"/>
          <cell r="T3580"/>
        </row>
        <row r="3581">
          <cell r="A3581" t="str">
            <v>CAMBRIDGE BROADBAND NETWORKS</v>
          </cell>
          <cell r="B3581" t="str">
            <v>ANT-26/27/28GS-AP-V_CCIV2</v>
          </cell>
          <cell r="O3581"/>
          <cell r="T3581"/>
        </row>
        <row r="3582">
          <cell r="A3582" t="str">
            <v>CAMBRIDGE BROADBAND NETWORKS</v>
          </cell>
          <cell r="B3582" t="str">
            <v>ANT-30-GS-AP-H-90</v>
          </cell>
          <cell r="O3582"/>
          <cell r="T3582"/>
        </row>
        <row r="3583">
          <cell r="A3583" t="str">
            <v>CAMBRIDGE BROADBAND NETWORKS</v>
          </cell>
          <cell r="B3583" t="str">
            <v>ANT-30-GS-AP-V-90</v>
          </cell>
          <cell r="O3583"/>
          <cell r="T3583"/>
        </row>
        <row r="3584">
          <cell r="A3584" t="str">
            <v>CAMBRIDGE BROADBAND NETWORKS</v>
          </cell>
          <cell r="B3584" t="str">
            <v>ANT-30-GS-P30</v>
          </cell>
          <cell r="O3584"/>
          <cell r="T3584"/>
        </row>
        <row r="3585">
          <cell r="A3585" t="str">
            <v>CAMBRIDGE BROADBAND NETWORKS</v>
          </cell>
          <cell r="B3585" t="str">
            <v>ANT-30-GS-P60</v>
          </cell>
          <cell r="O3585"/>
          <cell r="T3585"/>
        </row>
        <row r="3586">
          <cell r="A3586" t="str">
            <v>CAMBRIDGE BROADBAND NETWORKS</v>
          </cell>
          <cell r="B3586" t="str">
            <v>ANT-30-GS-P90</v>
          </cell>
          <cell r="O3586"/>
          <cell r="T3586"/>
        </row>
        <row r="3587">
          <cell r="A3587" t="str">
            <v>CAMBRIDGE BROADBAND NETWORKS</v>
          </cell>
          <cell r="B3587" t="str">
            <v>AP-600</v>
          </cell>
          <cell r="O3587"/>
          <cell r="T3587"/>
        </row>
        <row r="3588">
          <cell r="A3588" t="str">
            <v>CAMBRIDGE BROADBAND NETWORKS</v>
          </cell>
          <cell r="B3588" t="str">
            <v>CBNG gNodeB NTE</v>
          </cell>
          <cell r="O3588"/>
          <cell r="T3588"/>
        </row>
        <row r="3589">
          <cell r="A3589" t="str">
            <v>CAMBRIDGE BROADBAND NETWORKS</v>
          </cell>
          <cell r="B3589" t="str">
            <v>ODU-S AP-S</v>
          </cell>
          <cell r="O3589"/>
          <cell r="T3589"/>
        </row>
        <row r="3590">
          <cell r="A3590" t="str">
            <v>CAMBRIDGE BROADBAND NETWORKS</v>
          </cell>
          <cell r="B3590" t="str">
            <v>RT-600</v>
          </cell>
          <cell r="O3590"/>
          <cell r="T3590"/>
        </row>
        <row r="3591">
          <cell r="A3591" t="str">
            <v>CAMBRIDGE BROADBAND NETWORKS GROUP</v>
          </cell>
          <cell r="B3591" t="str">
            <v>39GHz VectaStar</v>
          </cell>
          <cell r="O3591">
            <v>2.2833788514503399</v>
          </cell>
          <cell r="T3591">
            <v>1.2030545005097399</v>
          </cell>
        </row>
        <row r="3592">
          <cell r="A3592" t="str">
            <v>CAMPBELL SCIENTIFIC</v>
          </cell>
          <cell r="B3592" t="str">
            <v>03002-5</v>
          </cell>
          <cell r="O3592"/>
          <cell r="T3592"/>
        </row>
        <row r="3593">
          <cell r="A3593" t="str">
            <v>CAMPBELL SCIENTIFIC</v>
          </cell>
          <cell r="B3593" t="str">
            <v>05103</v>
          </cell>
          <cell r="O3593"/>
          <cell r="T3593"/>
        </row>
        <row r="3594">
          <cell r="A3594" t="str">
            <v>CAMPBELL SCIENTIFIC</v>
          </cell>
          <cell r="B3594" t="str">
            <v>05103-L</v>
          </cell>
          <cell r="O3594"/>
          <cell r="T3594"/>
        </row>
        <row r="3595">
          <cell r="A3595" t="str">
            <v>CAMPBELL SCIENTIFIC</v>
          </cell>
          <cell r="B3595" t="str">
            <v>107</v>
          </cell>
          <cell r="O3595"/>
          <cell r="T3595"/>
        </row>
        <row r="3596">
          <cell r="A3596" t="str">
            <v>CAMPBELL SCIENTIFIC</v>
          </cell>
          <cell r="B3596" t="str">
            <v>32256</v>
          </cell>
          <cell r="O3596"/>
          <cell r="T3596"/>
        </row>
        <row r="3597">
          <cell r="A3597" t="str">
            <v>CAMPBELL SCIENTIFIC</v>
          </cell>
          <cell r="B3597" t="str">
            <v>41303-5A</v>
          </cell>
          <cell r="O3597"/>
          <cell r="T3597"/>
        </row>
        <row r="3598">
          <cell r="A3598" t="str">
            <v>CAMPBELL SCIENTIFIC</v>
          </cell>
          <cell r="B3598" t="str">
            <v>CR3000</v>
          </cell>
          <cell r="O3598"/>
          <cell r="T3598"/>
        </row>
        <row r="3599">
          <cell r="A3599" t="str">
            <v>CAMPBELL SCIENTIFIC</v>
          </cell>
          <cell r="B3599" t="str">
            <v>CS310</v>
          </cell>
          <cell r="O3599"/>
          <cell r="T3599"/>
        </row>
        <row r="3600">
          <cell r="A3600" t="str">
            <v>CAMPBELL SCIENTIFIC</v>
          </cell>
          <cell r="B3600" t="str">
            <v>CSAT3</v>
          </cell>
          <cell r="O3600"/>
          <cell r="T3600"/>
        </row>
        <row r="3601">
          <cell r="A3601" t="str">
            <v>CAMPBELL SCIENTIFIC</v>
          </cell>
          <cell r="B3601" t="str">
            <v>CSAT3B</v>
          </cell>
          <cell r="O3601"/>
          <cell r="T3601"/>
        </row>
        <row r="3602">
          <cell r="A3602" t="str">
            <v>CAMPBELL SCIENTIFIC</v>
          </cell>
          <cell r="B3602" t="str">
            <v>EC100</v>
          </cell>
          <cell r="O3602"/>
          <cell r="T3602"/>
        </row>
        <row r="3603">
          <cell r="A3603" t="str">
            <v>CAMPBELL SCIENTIFIC</v>
          </cell>
          <cell r="B3603" t="str">
            <v>EE181-L</v>
          </cell>
          <cell r="O3603"/>
          <cell r="T3603"/>
        </row>
        <row r="3604">
          <cell r="A3604" t="str">
            <v>CAMPBELL SCIENTIFIC</v>
          </cell>
          <cell r="B3604" t="str">
            <v>ENC14_16</v>
          </cell>
          <cell r="O3604"/>
          <cell r="T3604"/>
        </row>
        <row r="3605">
          <cell r="A3605" t="str">
            <v>CAMPBELL SCIENTIFIC</v>
          </cell>
          <cell r="B3605" t="str">
            <v>IRGASON</v>
          </cell>
          <cell r="O3605"/>
          <cell r="T3605"/>
        </row>
        <row r="3606">
          <cell r="A3606" t="str">
            <v>CAMPBELL SCIENTIFIC</v>
          </cell>
          <cell r="B3606" t="str">
            <v>NR01-L</v>
          </cell>
          <cell r="O3606"/>
          <cell r="T3606"/>
        </row>
        <row r="3607">
          <cell r="A3607" t="str">
            <v>CAMPBELL SCIENTIFIC</v>
          </cell>
          <cell r="B3607" t="str">
            <v>RAD10E</v>
          </cell>
          <cell r="O3607"/>
          <cell r="T3607"/>
        </row>
        <row r="3608">
          <cell r="A3608" t="str">
            <v>CAMPBELL SCIENTIFIC</v>
          </cell>
          <cell r="B3608" t="str">
            <v>SP20</v>
          </cell>
          <cell r="O3608"/>
          <cell r="T3608"/>
        </row>
        <row r="3609">
          <cell r="A3609" t="str">
            <v>CANON</v>
          </cell>
          <cell r="B3609" t="str">
            <v>BU-45H</v>
          </cell>
          <cell r="O3609"/>
          <cell r="T3609"/>
        </row>
        <row r="3610">
          <cell r="A3610" t="str">
            <v>CANON</v>
          </cell>
          <cell r="B3610" t="str">
            <v>DT-130</v>
          </cell>
          <cell r="O3610"/>
          <cell r="T3610"/>
        </row>
        <row r="3611">
          <cell r="A3611" t="str">
            <v>CANOPY COMMUNICATIONS INC</v>
          </cell>
          <cell r="B3611" t="str">
            <v>CCG2.5-90DEG-DP</v>
          </cell>
          <cell r="O3611"/>
          <cell r="T3611"/>
        </row>
        <row r="3612">
          <cell r="A3612" t="str">
            <v>CARANT</v>
          </cell>
          <cell r="B3612" t="str">
            <v>ACY 15-L</v>
          </cell>
          <cell r="O3612"/>
          <cell r="T3612"/>
        </row>
        <row r="3613">
          <cell r="A3613" t="str">
            <v>CARANT</v>
          </cell>
          <cell r="B3613" t="str">
            <v>ACY9-L</v>
          </cell>
          <cell r="O3613"/>
          <cell r="T3613"/>
        </row>
        <row r="3614">
          <cell r="A3614" t="str">
            <v>CARLSON WIRELESS</v>
          </cell>
          <cell r="B3614" t="str">
            <v>053-470-786-6-V</v>
          </cell>
          <cell r="O3614"/>
          <cell r="T3614"/>
        </row>
        <row r="3615">
          <cell r="A3615" t="str">
            <v>CARLSON WIRELESS</v>
          </cell>
          <cell r="B3615" t="str">
            <v>053-470-786-75-8</v>
          </cell>
          <cell r="O3615"/>
          <cell r="T3615"/>
        </row>
        <row r="3616">
          <cell r="A3616" t="str">
            <v>CCI</v>
          </cell>
          <cell r="B3616" t="str">
            <v>C-Band Antenna E</v>
          </cell>
          <cell r="O3616"/>
          <cell r="T3616"/>
        </row>
        <row r="3617">
          <cell r="A3617" t="str">
            <v>CCI</v>
          </cell>
          <cell r="B3617" t="str">
            <v>C-Band Antenna N</v>
          </cell>
          <cell r="O3617"/>
          <cell r="T3617"/>
        </row>
        <row r="3618">
          <cell r="A3618" t="str">
            <v>CCI</v>
          </cell>
          <cell r="B3618" t="str">
            <v>SCA-OM-360F-E-H2</v>
          </cell>
          <cell r="O3618"/>
          <cell r="T3618"/>
        </row>
        <row r="3619">
          <cell r="A3619" t="str">
            <v>CCI ANTENNAS</v>
          </cell>
          <cell r="B3619" t="str">
            <v>12HBSAR-BU6NA</v>
          </cell>
          <cell r="O3619">
            <v>11.914969135802489</v>
          </cell>
          <cell r="T3619">
            <v>5.5618761161167898</v>
          </cell>
        </row>
        <row r="3620">
          <cell r="A3620" t="str">
            <v>CCI ANTENNAS</v>
          </cell>
          <cell r="B3620" t="str">
            <v>12HBSAR-KU6NBA-K</v>
          </cell>
          <cell r="O3620">
            <v>14.702416603833589</v>
          </cell>
          <cell r="T3620">
            <v>5.6424285772691398</v>
          </cell>
        </row>
        <row r="3621">
          <cell r="A3621" t="str">
            <v>CCI ANTENNAS</v>
          </cell>
          <cell r="B3621" t="str">
            <v>16C65R-BUH8A_20250224</v>
          </cell>
          <cell r="O3621"/>
          <cell r="T3621"/>
        </row>
        <row r="3622">
          <cell r="A3622" t="str">
            <v>CCI ANTENNAS</v>
          </cell>
          <cell r="B3622" t="str">
            <v>8HBF4R-BUH4NA</v>
          </cell>
          <cell r="O3622">
            <v>8.0109967446634407</v>
          </cell>
          <cell r="T3622">
            <v>3.5766848320488398</v>
          </cell>
        </row>
        <row r="3623">
          <cell r="A3623" t="str">
            <v>CCI ANTENNAS</v>
          </cell>
          <cell r="B3623" t="str">
            <v>8HBF4R-BUH6NA_20220119</v>
          </cell>
          <cell r="O3623"/>
          <cell r="T3623"/>
        </row>
        <row r="3624">
          <cell r="A3624" t="str">
            <v>CCI ANTENNAS</v>
          </cell>
          <cell r="B3624" t="str">
            <v>8HBF4R-BUH8NA_20230929</v>
          </cell>
          <cell r="O3624"/>
          <cell r="T3624"/>
        </row>
        <row r="3625">
          <cell r="A3625" t="str">
            <v>CCI ANTENNAS</v>
          </cell>
          <cell r="B3625" t="str">
            <v>ANT-2300-PB-24</v>
          </cell>
          <cell r="O3625"/>
          <cell r="T3625"/>
        </row>
        <row r="3626">
          <cell r="A3626" t="str">
            <v>CCI ANTENNAS</v>
          </cell>
          <cell r="B3626" t="str">
            <v>ANT-SPFH65V6-18</v>
          </cell>
          <cell r="O3626"/>
          <cell r="T3626"/>
        </row>
        <row r="3627">
          <cell r="A3627" t="str">
            <v>CCI ANTENNAS</v>
          </cell>
          <cell r="B3627" t="str">
            <v>ATG-45R-A-H3</v>
          </cell>
          <cell r="O3627">
            <v>2.4843417245370398</v>
          </cell>
          <cell r="T3627">
            <v>1.5666103286999198</v>
          </cell>
        </row>
        <row r="3628">
          <cell r="A3628" t="str">
            <v>CCI ANTENNAS</v>
          </cell>
          <cell r="B3628" t="str">
            <v>BFA4R-H3A</v>
          </cell>
          <cell r="O3628">
            <v>2.9511467978395101</v>
          </cell>
          <cell r="T3628">
            <v>1.5596809786933099</v>
          </cell>
        </row>
        <row r="3629">
          <cell r="A3629" t="str">
            <v>CCI ANTENNAS</v>
          </cell>
          <cell r="B3629" t="str">
            <v>BFA4R-H3A_20210831</v>
          </cell>
          <cell r="O3629"/>
          <cell r="T3629"/>
        </row>
        <row r="3630">
          <cell r="A3630" t="str">
            <v>CCI ANTENNAS</v>
          </cell>
          <cell r="B3630" t="str">
            <v>BFA8F-A5A</v>
          </cell>
          <cell r="O3630">
            <v>17.535691669999991</v>
          </cell>
          <cell r="T3630">
            <v>3.6807460789999999</v>
          </cell>
        </row>
        <row r="3631">
          <cell r="A3631" t="str">
            <v>CCI ANTENNAS</v>
          </cell>
          <cell r="B3631" t="str">
            <v>BFA8F-A5A W/RRH</v>
          </cell>
          <cell r="O3631">
            <v>15.799184989999999</v>
          </cell>
          <cell r="T3631">
            <v>4.3588318619999988</v>
          </cell>
        </row>
        <row r="3632">
          <cell r="A3632" t="str">
            <v>CCI ANTENNAS</v>
          </cell>
          <cell r="B3632" t="str">
            <v>BSA-B65-17V412-02</v>
          </cell>
          <cell r="O3632">
            <v>18.964567589999998</v>
          </cell>
          <cell r="T3632">
            <v>5.3137763769999999</v>
          </cell>
        </row>
        <row r="3633">
          <cell r="A3633" t="str">
            <v>CCI ANTENNAS</v>
          </cell>
          <cell r="B3633" t="str">
            <v>BSA-DA65-19R212-02</v>
          </cell>
          <cell r="O3633">
            <v>18.964567589999998</v>
          </cell>
          <cell r="T3633">
            <v>5.3137763769999999</v>
          </cell>
        </row>
        <row r="3634">
          <cell r="A3634" t="str">
            <v>CCI ANTENNAS</v>
          </cell>
          <cell r="B3634" t="str">
            <v>BSA-L65-17R010-62</v>
          </cell>
          <cell r="O3634">
            <v>18.221820949999998</v>
          </cell>
          <cell r="T3634">
            <v>6.2014922380000002</v>
          </cell>
        </row>
        <row r="3635">
          <cell r="A3635" t="str">
            <v>CCI ANTENNAS</v>
          </cell>
          <cell r="B3635" t="str">
            <v>BSA-L65-17V010-62</v>
          </cell>
          <cell r="O3635">
            <v>18.221820949999998</v>
          </cell>
          <cell r="T3635">
            <v>6.2014922380000002</v>
          </cell>
        </row>
        <row r="3636">
          <cell r="A3636" t="str">
            <v>CCI ANTENNAS</v>
          </cell>
          <cell r="B3636" t="str">
            <v>BSA-M65-17R010-42</v>
          </cell>
          <cell r="O3636">
            <v>11.939274209999999</v>
          </cell>
          <cell r="T3636">
            <v>4.0654511479999993</v>
          </cell>
        </row>
        <row r="3637">
          <cell r="A3637" t="str">
            <v>CCI ANTENNAS</v>
          </cell>
          <cell r="B3637" t="str">
            <v>BSA-M65-17V010-42</v>
          </cell>
          <cell r="O3637">
            <v>11.939274209999999</v>
          </cell>
          <cell r="T3637">
            <v>4.0654511479999993</v>
          </cell>
        </row>
        <row r="3638">
          <cell r="A3638" t="str">
            <v>CCI ANTENNAS</v>
          </cell>
          <cell r="B3638" t="str">
            <v>BSA-M65-19R010-02</v>
          </cell>
          <cell r="O3638">
            <v>18.221820949999998</v>
          </cell>
          <cell r="T3638">
            <v>6.2014922380000002</v>
          </cell>
        </row>
        <row r="3639">
          <cell r="A3639" t="str">
            <v>CCI ANTENNAS</v>
          </cell>
          <cell r="B3639" t="str">
            <v>BSA-M65-19R010-02 W/RET</v>
          </cell>
          <cell r="O3639">
            <v>18.221820949999998</v>
          </cell>
          <cell r="T3639">
            <v>6.2014922380000002</v>
          </cell>
        </row>
        <row r="3640">
          <cell r="A3640" t="str">
            <v>CCI ANTENNAS</v>
          </cell>
          <cell r="B3640" t="str">
            <v>BSA-M65-19V010-02</v>
          </cell>
          <cell r="O3640">
            <v>18.221820949999998</v>
          </cell>
          <cell r="T3640">
            <v>6.2014922380000002</v>
          </cell>
        </row>
        <row r="3641">
          <cell r="A3641" t="str">
            <v>CCI ANTENNAS</v>
          </cell>
          <cell r="B3641" t="str">
            <v>BSA-M65-19V010-04</v>
          </cell>
          <cell r="O3641">
            <v>18.221820949999998</v>
          </cell>
          <cell r="T3641">
            <v>6.2014922380000002</v>
          </cell>
        </row>
        <row r="3642">
          <cell r="A3642" t="str">
            <v>CCI ANTENNAS</v>
          </cell>
          <cell r="B3642" t="str">
            <v>BSA-M65R-BBUU-H8</v>
          </cell>
          <cell r="O3642">
            <v>23.598802459929288</v>
          </cell>
          <cell r="T3642">
            <v>8.0366997972200309</v>
          </cell>
        </row>
        <row r="3643">
          <cell r="A3643" t="str">
            <v>CCI ANTENNAS</v>
          </cell>
          <cell r="B3643" t="str">
            <v>BSA-M65R-BUU-H4</v>
          </cell>
          <cell r="O3643">
            <v>11.542125009999989</v>
          </cell>
          <cell r="T3643">
            <v>3.9253709950000002</v>
          </cell>
        </row>
        <row r="3644">
          <cell r="A3644" t="str">
            <v>CCI ANTENNAS</v>
          </cell>
          <cell r="B3644" t="str">
            <v>BSA-M65R-BUU-H4-K</v>
          </cell>
          <cell r="O3644">
            <v>11.542125009999989</v>
          </cell>
          <cell r="T3644">
            <v>3.9253709950000002</v>
          </cell>
        </row>
        <row r="3645">
          <cell r="A3645" t="str">
            <v>CCI ANTENNAS</v>
          </cell>
          <cell r="B3645" t="str">
            <v>BSA-M65R-BUU-H6</v>
          </cell>
          <cell r="O3645">
            <v>17.71102913</v>
          </cell>
          <cell r="T3645">
            <v>6.0067179140000002</v>
          </cell>
        </row>
        <row r="3646">
          <cell r="A3646" t="str">
            <v>CCI ANTENNAS</v>
          </cell>
          <cell r="B3646" t="str">
            <v>BSA-M65R-BUU-H6-K</v>
          </cell>
          <cell r="O3646">
            <v>17.71102913</v>
          </cell>
          <cell r="T3646">
            <v>6.0067179140000002</v>
          </cell>
        </row>
        <row r="3647">
          <cell r="A3647" t="str">
            <v>CCI ANTENNAS</v>
          </cell>
          <cell r="B3647" t="str">
            <v>BSA-M65R-BUU-H6_CCIV2</v>
          </cell>
          <cell r="O3647">
            <v>17.71102913</v>
          </cell>
          <cell r="T3647">
            <v>6.0067179140000002</v>
          </cell>
        </row>
        <row r="3648">
          <cell r="A3648" t="str">
            <v>CCI ANTENNAS</v>
          </cell>
          <cell r="B3648" t="str">
            <v>BSA-W65-20F004-02</v>
          </cell>
          <cell r="O3648">
            <v>5.5610580632715996</v>
          </cell>
          <cell r="T3648">
            <v>2.4972707609770004</v>
          </cell>
        </row>
        <row r="3649">
          <cell r="A3649" t="str">
            <v>CCI ANTENNAS</v>
          </cell>
          <cell r="B3649" t="str">
            <v>BSA-W65-20V210-02</v>
          </cell>
          <cell r="O3649">
            <v>6.4225019289999992</v>
          </cell>
          <cell r="T3649">
            <v>2.9881312229999999</v>
          </cell>
        </row>
        <row r="3650">
          <cell r="A3650" t="str">
            <v>CCI ANTENNAS</v>
          </cell>
          <cell r="B3650" t="str">
            <v>BSA33R-BU6B</v>
          </cell>
          <cell r="O3650">
            <v>18.0228561131734</v>
          </cell>
          <cell r="T3650">
            <v>6.1000368002413694</v>
          </cell>
        </row>
        <row r="3651">
          <cell r="A3651" t="str">
            <v>CCI ANTENNAS</v>
          </cell>
          <cell r="B3651" t="str">
            <v>BSA33R-BU8A</v>
          </cell>
          <cell r="O3651">
            <v>24.650482253086391</v>
          </cell>
          <cell r="T3651">
            <v>8.3443802578586386</v>
          </cell>
        </row>
        <row r="3652">
          <cell r="A3652" t="str">
            <v>CCI ANTENNAS</v>
          </cell>
          <cell r="B3652" t="str">
            <v>BSA33R-BU8B</v>
          </cell>
          <cell r="O3652">
            <v>24.650482253086391</v>
          </cell>
          <cell r="T3652">
            <v>8.3443802578586386</v>
          </cell>
        </row>
        <row r="3653">
          <cell r="A3653" t="str">
            <v>CCI ANTENNAS</v>
          </cell>
          <cell r="B3653" t="str">
            <v>BSA33R-BU8BB-K</v>
          </cell>
          <cell r="O3653">
            <v>24.650482253086391</v>
          </cell>
          <cell r="T3653">
            <v>8.3443802578586386</v>
          </cell>
        </row>
        <row r="3654">
          <cell r="A3654" t="str">
            <v>CCI ANTENNAS</v>
          </cell>
          <cell r="B3654" t="str">
            <v>BSA33R-BW8A</v>
          </cell>
          <cell r="O3654">
            <v>24.650482253086391</v>
          </cell>
          <cell r="T3654">
            <v>8.3443802578586386</v>
          </cell>
        </row>
        <row r="3655">
          <cell r="A3655" t="str">
            <v>CCI ANTENNAS</v>
          </cell>
          <cell r="B3655" t="str">
            <v>BSA33R-E5A</v>
          </cell>
          <cell r="O3655"/>
          <cell r="T3655"/>
        </row>
        <row r="3656">
          <cell r="A3656" t="str">
            <v>CCI ANTENNAS</v>
          </cell>
          <cell r="B3656" t="str">
            <v>BSA33R-KE8A</v>
          </cell>
          <cell r="O3656">
            <v>24.650482253086391</v>
          </cell>
          <cell r="T3656">
            <v>8.3443802578586386</v>
          </cell>
        </row>
        <row r="3657">
          <cell r="A3657" t="str">
            <v>CCI ANTENNAS</v>
          </cell>
          <cell r="B3657" t="str">
            <v>BSA33R-U6A</v>
          </cell>
          <cell r="O3657">
            <v>7.8498601469999993</v>
          </cell>
          <cell r="T3657">
            <v>3.7949508340000002</v>
          </cell>
        </row>
        <row r="3658">
          <cell r="A3658" t="str">
            <v>CCI ANTENNAS</v>
          </cell>
          <cell r="B3658" t="str">
            <v>BSAM65R-BWW-H4</v>
          </cell>
          <cell r="O3658">
            <v>11.542125011112999</v>
          </cell>
          <cell r="T3658">
            <v>3.9253709947828703</v>
          </cell>
        </row>
        <row r="3659">
          <cell r="A3659" t="str">
            <v>CCI ANTENNAS</v>
          </cell>
          <cell r="B3659" t="str">
            <v>BSAM65R-BWW-H6</v>
          </cell>
          <cell r="O3659">
            <v>17.71102913</v>
          </cell>
          <cell r="T3659">
            <v>6.0067179140000002</v>
          </cell>
        </row>
        <row r="3660">
          <cell r="A3660" t="str">
            <v>CCI ANTENNAS</v>
          </cell>
          <cell r="B3660" t="str">
            <v>DA2GC-65F-A-H3</v>
          </cell>
          <cell r="O3660"/>
          <cell r="T3660"/>
        </row>
        <row r="3661">
          <cell r="A3661" t="str">
            <v>CCI ANTENNAS</v>
          </cell>
          <cell r="B3661" t="str">
            <v>DMP45R-BU6E_20240419</v>
          </cell>
          <cell r="O3661"/>
          <cell r="T3661"/>
        </row>
        <row r="3662">
          <cell r="A3662" t="str">
            <v>CCI ANTENNAS</v>
          </cell>
          <cell r="B3662" t="str">
            <v>DMP65R-BU4D</v>
          </cell>
          <cell r="O3662">
            <v>7.4838606399999996</v>
          </cell>
          <cell r="T3662">
            <v>2.8067632429999998</v>
          </cell>
        </row>
        <row r="3663">
          <cell r="A3663" t="str">
            <v>CCI ANTENNAS</v>
          </cell>
          <cell r="B3663" t="str">
            <v>DMP65R-BU4E</v>
          </cell>
          <cell r="O3663">
            <v>7.9477334104938295</v>
          </cell>
          <cell r="T3663">
            <v>3.7359648434711596</v>
          </cell>
        </row>
        <row r="3664">
          <cell r="A3664" t="str">
            <v>CCI ANTENNAS</v>
          </cell>
          <cell r="B3664" t="str">
            <v>DMP65R-BU4EA-K</v>
          </cell>
          <cell r="O3664">
            <v>7.9477334104938295</v>
          </cell>
          <cell r="T3664">
            <v>3.7359648434711596</v>
          </cell>
        </row>
        <row r="3665">
          <cell r="A3665" t="str">
            <v>CCI ANTENNAS</v>
          </cell>
          <cell r="B3665" t="str">
            <v>DMP65R-BU6D</v>
          </cell>
          <cell r="O3665">
            <v>11.9305652</v>
          </cell>
          <cell r="T3665">
            <v>4.4751877960000002</v>
          </cell>
        </row>
        <row r="3666">
          <cell r="A3666" t="str">
            <v>CCI ANTENNAS</v>
          </cell>
          <cell r="B3666" t="str">
            <v>DMP65R-BU6DA-K</v>
          </cell>
          <cell r="O3666">
            <v>12.833082363605689</v>
          </cell>
          <cell r="T3666">
            <v>4.7787685501351289</v>
          </cell>
        </row>
        <row r="3667">
          <cell r="A3667" t="str">
            <v>CCI ANTENNAS</v>
          </cell>
          <cell r="B3667" t="str">
            <v>DMP65R-BU6D_CCIV2</v>
          </cell>
          <cell r="O3667">
            <v>12.833082363605689</v>
          </cell>
          <cell r="T3667">
            <v>4.7787685501351289</v>
          </cell>
        </row>
        <row r="3668">
          <cell r="A3668" t="str">
            <v>CCI ANTENNAS</v>
          </cell>
          <cell r="B3668" t="str">
            <v>DMP65R-BU6E_CCIV2</v>
          </cell>
          <cell r="O3668">
            <v>12.478231095679002</v>
          </cell>
          <cell r="T3668">
            <v>5.8663182075019096</v>
          </cell>
        </row>
        <row r="3669">
          <cell r="A3669" t="str">
            <v>CCI ANTENNAS</v>
          </cell>
          <cell r="B3669" t="str">
            <v>DMP65R-BU6e</v>
          </cell>
          <cell r="O3669">
            <v>12.478231095679002</v>
          </cell>
          <cell r="T3669">
            <v>5.8663182075019096</v>
          </cell>
        </row>
        <row r="3670">
          <cell r="A3670" t="str">
            <v>CCI ANTENNAS</v>
          </cell>
          <cell r="B3670" t="str">
            <v>DMP65R-BU8D</v>
          </cell>
          <cell r="O3670">
            <v>15.859977819999989</v>
          </cell>
          <cell r="T3670">
            <v>5.9490384519999999</v>
          </cell>
        </row>
        <row r="3671">
          <cell r="A3671" t="str">
            <v>CCI ANTENNAS</v>
          </cell>
          <cell r="B3671" t="str">
            <v>DMP65R-BU8DA-K</v>
          </cell>
          <cell r="O3671">
            <v>17.146623610159988</v>
          </cell>
          <cell r="T3671">
            <v>8.0610841223102998</v>
          </cell>
        </row>
        <row r="3672">
          <cell r="A3672" t="str">
            <v>CCI ANTENNAS</v>
          </cell>
          <cell r="B3672" t="str">
            <v>DMP65R-BU8E</v>
          </cell>
          <cell r="O3672">
            <v>17.146623610159988</v>
          </cell>
          <cell r="T3672">
            <v>8.0610841223102998</v>
          </cell>
        </row>
        <row r="3673">
          <cell r="A3673" t="str">
            <v>CCI ANTENNAS</v>
          </cell>
          <cell r="B3673" t="str">
            <v>DMP65R-BU8EA-K</v>
          </cell>
          <cell r="O3673">
            <v>17.146623610159988</v>
          </cell>
          <cell r="T3673">
            <v>8.0610841223102998</v>
          </cell>
        </row>
        <row r="3674">
          <cell r="A3674" t="str">
            <v>CCI ANTENNAS</v>
          </cell>
          <cell r="B3674" t="str">
            <v>DPA-65R-BU6A</v>
          </cell>
          <cell r="O3674">
            <v>6.7825906639999998</v>
          </cell>
          <cell r="T3674">
            <v>4.7269040740000001</v>
          </cell>
        </row>
        <row r="3675">
          <cell r="A3675" t="str">
            <v>CCI ANTENNAS</v>
          </cell>
          <cell r="B3675" t="str">
            <v>DPA-65R-BUUUU-H8</v>
          </cell>
          <cell r="O3675">
            <v>11.950776429999989</v>
          </cell>
          <cell r="T3675">
            <v>6.02757684</v>
          </cell>
        </row>
        <row r="3676">
          <cell r="A3676" t="str">
            <v>CCI ANTENNAS</v>
          </cell>
          <cell r="B3676" t="str">
            <v>DPA-65R-BUUUU-H8-K</v>
          </cell>
          <cell r="O3676">
            <v>11.950776429999989</v>
          </cell>
          <cell r="T3676">
            <v>6.02757684</v>
          </cell>
        </row>
        <row r="3677">
          <cell r="A3677" t="str">
            <v>CCI ANTENNAS</v>
          </cell>
          <cell r="B3677" t="str">
            <v>DPA-65R-BUUUU-H8B</v>
          </cell>
          <cell r="O3677">
            <v>12.27065223</v>
          </cell>
          <cell r="T3677">
            <v>7.0830734499999997</v>
          </cell>
        </row>
        <row r="3678">
          <cell r="A3678" t="str">
            <v>CCI ANTENNAS</v>
          </cell>
          <cell r="B3678" t="str">
            <v>DPA-65R-BUUUU-H8B-K</v>
          </cell>
          <cell r="O3678">
            <v>12.27065223</v>
          </cell>
          <cell r="T3678">
            <v>7.0830734499999997</v>
          </cell>
        </row>
        <row r="3679">
          <cell r="A3679" t="str">
            <v>CCI ANTENNAS</v>
          </cell>
          <cell r="B3679" t="str">
            <v>DPA-65R-BUUVV-H8</v>
          </cell>
          <cell r="O3679">
            <v>12.0563416280864</v>
          </cell>
          <cell r="T3679">
            <v>6.0810531319204895</v>
          </cell>
        </row>
        <row r="3680">
          <cell r="A3680" t="str">
            <v>CCI ANTENNAS</v>
          </cell>
          <cell r="B3680" t="str">
            <v>DPA-65R-BUVVV-H8</v>
          </cell>
          <cell r="O3680">
            <v>12.0563416280864</v>
          </cell>
          <cell r="T3680">
            <v>6.0810531319204895</v>
          </cell>
        </row>
        <row r="3681">
          <cell r="A3681" t="str">
            <v>CCI ANTENNAS</v>
          </cell>
          <cell r="B3681" t="str">
            <v>FOS-TXRY-SA3</v>
          </cell>
          <cell r="O3681"/>
          <cell r="T3681"/>
        </row>
        <row r="3682">
          <cell r="A3682" t="str">
            <v>CCI ANTENNAS</v>
          </cell>
          <cell r="B3682" t="str">
            <v>FPA65R-BU6D</v>
          </cell>
          <cell r="O3682">
            <v>12.478231095679002</v>
          </cell>
          <cell r="T3682">
            <v>5.8663182075019096</v>
          </cell>
        </row>
        <row r="3683">
          <cell r="A3683" t="str">
            <v>CCI ANTENNAS</v>
          </cell>
          <cell r="B3683" t="str">
            <v>FPA65R-BU8D</v>
          </cell>
          <cell r="O3683">
            <v>17.146623610159988</v>
          </cell>
          <cell r="T3683">
            <v>8.0610841223102998</v>
          </cell>
        </row>
        <row r="3684">
          <cell r="A3684" t="str">
            <v>CCI ANTENNAS</v>
          </cell>
          <cell r="B3684" t="str">
            <v>HBSA-M65-17R010-42</v>
          </cell>
          <cell r="O3684"/>
          <cell r="T3684"/>
        </row>
        <row r="3685">
          <cell r="A3685" t="str">
            <v>CCI ANTENNAS</v>
          </cell>
          <cell r="B3685" t="str">
            <v>HBSA-M65-19R010-63</v>
          </cell>
          <cell r="O3685">
            <v>7.9081258246589199</v>
          </cell>
          <cell r="T3685">
            <v>5.6134304194211202</v>
          </cell>
        </row>
        <row r="3686">
          <cell r="A3686" t="str">
            <v>CCI ANTENNAS</v>
          </cell>
          <cell r="B3686" t="str">
            <v>HBSA-M65R-KU-H4</v>
          </cell>
          <cell r="O3686">
            <v>0</v>
          </cell>
          <cell r="T3686">
            <v>0</v>
          </cell>
        </row>
        <row r="3687">
          <cell r="A3687" t="str">
            <v>CCI ANTENNAS</v>
          </cell>
          <cell r="B3687" t="str">
            <v>HBSA-M65R-KU-H6</v>
          </cell>
          <cell r="O3687">
            <v>7.9922405479999998</v>
          </cell>
          <cell r="T3687">
            <v>4.9423211249999994</v>
          </cell>
        </row>
        <row r="3688">
          <cell r="A3688" t="str">
            <v>CCI ANTENNAS</v>
          </cell>
          <cell r="B3688" t="str">
            <v>HBSA-M65R-KU-H6-K</v>
          </cell>
          <cell r="O3688">
            <v>7.9922405478395095</v>
          </cell>
          <cell r="T3688">
            <v>4.9423211250185695</v>
          </cell>
        </row>
        <row r="3689">
          <cell r="A3689" t="str">
            <v>CCI ANTENNAS</v>
          </cell>
          <cell r="B3689" t="str">
            <v>HBSA-M65R-KU-H8</v>
          </cell>
          <cell r="O3689">
            <v>10.214308449999999</v>
          </cell>
          <cell r="T3689">
            <v>6.4136073979999999</v>
          </cell>
        </row>
        <row r="3690">
          <cell r="A3690" t="str">
            <v>CCI ANTENNAS</v>
          </cell>
          <cell r="B3690" t="str">
            <v>HBSA33R-KE6C</v>
          </cell>
          <cell r="O3690"/>
          <cell r="T3690"/>
        </row>
        <row r="3691">
          <cell r="A3691" t="str">
            <v>CCI ANTENNAS</v>
          </cell>
          <cell r="B3691" t="str">
            <v>HBSA33R-KU6A</v>
          </cell>
          <cell r="O3691">
            <v>6.8117139269999996</v>
          </cell>
          <cell r="T3691">
            <v>4.3541887010000009</v>
          </cell>
        </row>
        <row r="3692">
          <cell r="A3692" t="str">
            <v>CCI ANTENNAS</v>
          </cell>
          <cell r="B3692" t="str">
            <v>HBSA33R-KU6AA-K</v>
          </cell>
          <cell r="O3692">
            <v>6.8117139274691398</v>
          </cell>
          <cell r="T3692">
            <v>4.3541887014612302</v>
          </cell>
        </row>
        <row r="3693">
          <cell r="A3693" t="str">
            <v>CCI ANTENNAS</v>
          </cell>
          <cell r="B3693" t="str">
            <v>HBSA33R-KU6A_CCIV2</v>
          </cell>
          <cell r="O3693">
            <v>6.8117139274691398</v>
          </cell>
          <cell r="T3693">
            <v>4.3541887014612302</v>
          </cell>
        </row>
        <row r="3694">
          <cell r="A3694" t="str">
            <v>CCI ANTENNAS</v>
          </cell>
          <cell r="B3694" t="str">
            <v>HBSA33R-KU8A</v>
          </cell>
          <cell r="O3694">
            <v>8.7938481689999985</v>
          </cell>
          <cell r="T3694">
            <v>5.628062828</v>
          </cell>
        </row>
        <row r="3695">
          <cell r="A3695" t="str">
            <v>CCI ANTENNAS</v>
          </cell>
          <cell r="B3695" t="str">
            <v>HPA-33R-BUU-H4</v>
          </cell>
          <cell r="O3695">
            <v>9.6500435980000017</v>
          </cell>
          <cell r="T3695">
            <v>3.7986159959999997</v>
          </cell>
        </row>
        <row r="3696">
          <cell r="A3696" t="str">
            <v>CCI ANTENNAS</v>
          </cell>
          <cell r="B3696" t="str">
            <v>HPA-33R-BUU-H4-K</v>
          </cell>
          <cell r="O3696">
            <v>9.6500435980000017</v>
          </cell>
          <cell r="T3696">
            <v>3.7986159959999997</v>
          </cell>
        </row>
        <row r="3697">
          <cell r="A3697" t="str">
            <v>CCI ANTENNAS</v>
          </cell>
          <cell r="B3697" t="str">
            <v>HPA-33R-BUU-H6</v>
          </cell>
          <cell r="O3697">
            <v>14.69791184</v>
          </cell>
          <cell r="T3697">
            <v>5.8011309719999993</v>
          </cell>
        </row>
        <row r="3698">
          <cell r="A3698" t="str">
            <v>CCI ANTENNAS</v>
          </cell>
          <cell r="B3698" t="str">
            <v>HPA-33R-BUU-H6-K</v>
          </cell>
          <cell r="O3698">
            <v>14.69791184</v>
          </cell>
          <cell r="T3698">
            <v>5.8011309719999993</v>
          </cell>
        </row>
        <row r="3699">
          <cell r="A3699" t="str">
            <v>CCI ANTENNAS</v>
          </cell>
          <cell r="B3699" t="str">
            <v>HPA-45I-BWW-H6</v>
          </cell>
          <cell r="O3699">
            <v>11.063126929999989</v>
          </cell>
          <cell r="T3699">
            <v>4.8469584149999996</v>
          </cell>
        </row>
        <row r="3700">
          <cell r="A3700" t="str">
            <v>CCI ANTENNAS</v>
          </cell>
          <cell r="B3700" t="str">
            <v>HPA-45R-BUU-H4</v>
          </cell>
          <cell r="O3700">
            <v>7.7083815589999993</v>
          </cell>
          <cell r="T3700">
            <v>3.3764267569999999</v>
          </cell>
        </row>
        <row r="3701">
          <cell r="A3701" t="str">
            <v>CCI ANTENNAS</v>
          </cell>
          <cell r="B3701" t="str">
            <v>HPA-45R-BUU-H4-K</v>
          </cell>
          <cell r="O3701">
            <v>7.7083815589999993</v>
          </cell>
          <cell r="T3701">
            <v>3.3764267569999999</v>
          </cell>
        </row>
        <row r="3702">
          <cell r="A3702" t="str">
            <v>CCI ANTENNAS</v>
          </cell>
          <cell r="B3702" t="str">
            <v>HPA-45R-BUU-H6</v>
          </cell>
          <cell r="O3702">
            <v>11.35801655</v>
          </cell>
          <cell r="T3702">
            <v>4.9446444169999992</v>
          </cell>
        </row>
        <row r="3703">
          <cell r="A3703" t="str">
            <v>CCI ANTENNAS</v>
          </cell>
          <cell r="B3703" t="str">
            <v>HPA-45R-BUU-H6-K</v>
          </cell>
          <cell r="O3703">
            <v>11.35801655</v>
          </cell>
          <cell r="T3703">
            <v>4.9446444169999992</v>
          </cell>
        </row>
        <row r="3704">
          <cell r="A3704" t="str">
            <v>CCI ANTENNAS</v>
          </cell>
          <cell r="B3704" t="str">
            <v>HPA-65F-BUU-H2</v>
          </cell>
          <cell r="O3704">
            <v>2.827672314</v>
          </cell>
          <cell r="T3704">
            <v>1.4256601259999999</v>
          </cell>
        </row>
        <row r="3705">
          <cell r="A3705" t="str">
            <v>CCI ANTENNAS</v>
          </cell>
          <cell r="B3705" t="str">
            <v>HPA-65I-BWW-H6</v>
          </cell>
          <cell r="O3705">
            <v>9.2778953529999999</v>
          </cell>
          <cell r="T3705">
            <v>4.6796381770000002</v>
          </cell>
        </row>
        <row r="3706">
          <cell r="A3706" t="str">
            <v>CCI ANTENNAS</v>
          </cell>
          <cell r="B3706" t="str">
            <v>HPA-65I-BWW-H8</v>
          </cell>
          <cell r="O3706">
            <v>12.05634163</v>
          </cell>
          <cell r="T3706">
            <v>6.0810531320000001</v>
          </cell>
        </row>
        <row r="3707">
          <cell r="A3707" t="str">
            <v>CCI ANTENNAS</v>
          </cell>
          <cell r="B3707" t="str">
            <v>HPA-65R-BUU-H4</v>
          </cell>
          <cell r="O3707">
            <v>5.8784432869999996</v>
          </cell>
          <cell r="T3707">
            <v>2.9647936559999999</v>
          </cell>
        </row>
        <row r="3708">
          <cell r="A3708" t="str">
            <v>CCI ANTENNAS</v>
          </cell>
          <cell r="B3708" t="str">
            <v>HPA-65R-BUU-H4 W/RET SYSTEM</v>
          </cell>
          <cell r="O3708">
            <v>5.8206741899999992</v>
          </cell>
          <cell r="T3708">
            <v>2.9353027350000001</v>
          </cell>
        </row>
        <row r="3709">
          <cell r="A3709" t="str">
            <v>CCI ANTENNAS</v>
          </cell>
          <cell r="B3709" t="str">
            <v>HPA-65R-BUU-H4-K</v>
          </cell>
          <cell r="O3709">
            <v>5.8784432869999996</v>
          </cell>
          <cell r="T3709">
            <v>2.9647936559999999</v>
          </cell>
        </row>
        <row r="3710">
          <cell r="A3710" t="str">
            <v>CCI ANTENNAS</v>
          </cell>
          <cell r="B3710" t="str">
            <v>HPA-65R-BUU-H6</v>
          </cell>
          <cell r="O3710">
            <v>9.2218894679999988</v>
          </cell>
          <cell r="T3710">
            <v>4.6511528149999997</v>
          </cell>
        </row>
        <row r="3711">
          <cell r="A3711" t="str">
            <v>CCI ANTENNAS</v>
          </cell>
          <cell r="B3711" t="str">
            <v>HPA-65R-BUU-H6-K</v>
          </cell>
          <cell r="O3711">
            <v>9.2218894679999988</v>
          </cell>
          <cell r="T3711">
            <v>4.6511528149999997</v>
          </cell>
        </row>
        <row r="3712">
          <cell r="A3712" t="str">
            <v>CCI ANTENNAS</v>
          </cell>
          <cell r="B3712" t="str">
            <v>HPA-65R-BUU-H6_CCIV2</v>
          </cell>
          <cell r="O3712">
            <v>9.2218894679999988</v>
          </cell>
          <cell r="T3712">
            <v>4.6511528149999997</v>
          </cell>
        </row>
        <row r="3713">
          <cell r="A3713" t="str">
            <v>CCI ANTENNAS</v>
          </cell>
          <cell r="B3713" t="str">
            <v>HPA-65R-BUU-H8</v>
          </cell>
          <cell r="O3713">
            <v>12.2632282</v>
          </cell>
          <cell r="T3713">
            <v>6.3026959390000004</v>
          </cell>
        </row>
        <row r="3714">
          <cell r="A3714" t="str">
            <v>CCI ANTENNAS</v>
          </cell>
          <cell r="B3714" t="str">
            <v>HPA-65R-BUU-H8-K</v>
          </cell>
          <cell r="O3714">
            <v>12.2632282</v>
          </cell>
          <cell r="T3714">
            <v>6.3026959390000004</v>
          </cell>
        </row>
        <row r="3715">
          <cell r="A3715" t="str">
            <v>CCI ANTENNAS</v>
          </cell>
          <cell r="B3715" t="str">
            <v>HPA-65R-BUU-H8_CCIV2</v>
          </cell>
          <cell r="O3715">
            <v>12.0563416280864</v>
          </cell>
          <cell r="T3715">
            <v>6.0810531319204895</v>
          </cell>
        </row>
        <row r="3716">
          <cell r="A3716" t="str">
            <v>CCI ANTENNAS</v>
          </cell>
          <cell r="B3716" t="str">
            <v>HPA-65R-BWW-H8</v>
          </cell>
          <cell r="O3716">
            <v>12.05634163</v>
          </cell>
          <cell r="T3716">
            <v>6.0810531320000001</v>
          </cell>
        </row>
        <row r="3717">
          <cell r="A3717" t="str">
            <v>CCI ANTENNAS</v>
          </cell>
          <cell r="B3717" t="str">
            <v>HPA-85I-BWW-H6</v>
          </cell>
          <cell r="O3717">
            <v>9.2778953529999999</v>
          </cell>
          <cell r="T3717">
            <v>4.6796381770000002</v>
          </cell>
        </row>
        <row r="3718">
          <cell r="A3718" t="str">
            <v>CCI ANTENNAS</v>
          </cell>
          <cell r="B3718" t="str">
            <v>HPA-85R-BUU-H6-K</v>
          </cell>
          <cell r="O3718">
            <v>9.1621695080000016</v>
          </cell>
          <cell r="T3718">
            <v>4.6246722009999992</v>
          </cell>
        </row>
        <row r="3719">
          <cell r="A3719" t="str">
            <v>CCI ANTENNAS</v>
          </cell>
          <cell r="B3719" t="str">
            <v>HPA-85R-BUU-H8</v>
          </cell>
          <cell r="O3719">
            <v>12.05634163</v>
          </cell>
          <cell r="T3719">
            <v>6.0810531320000001</v>
          </cell>
        </row>
        <row r="3720">
          <cell r="A3720" t="str">
            <v>CCI ANTENNAS</v>
          </cell>
          <cell r="B3720" t="str">
            <v>HPA33R-CS4A</v>
          </cell>
          <cell r="O3720">
            <v>7.3120516869999994</v>
          </cell>
          <cell r="T3720">
            <v>3.408212641</v>
          </cell>
        </row>
        <row r="3721">
          <cell r="A3721" t="str">
            <v>CCI ANTENNAS</v>
          </cell>
          <cell r="B3721" t="str">
            <v>HPA33R-CS4AA-K</v>
          </cell>
          <cell r="O3721">
            <v>7.3120516869999994</v>
          </cell>
          <cell r="T3721">
            <v>3.408212641</v>
          </cell>
        </row>
        <row r="3722">
          <cell r="A3722" t="str">
            <v>CCI ANTENNAS</v>
          </cell>
          <cell r="B3722" t="str">
            <v>HPA33R-CS4AA-K1</v>
          </cell>
          <cell r="O3722">
            <v>7.3120516869999994</v>
          </cell>
          <cell r="T3722">
            <v>3.408212641</v>
          </cell>
        </row>
        <row r="3723">
          <cell r="A3723" t="str">
            <v>CCI ANTENNAS</v>
          </cell>
          <cell r="B3723" t="str">
            <v>HPA33R-TE6C</v>
          </cell>
          <cell r="O3723">
            <v>15.211308834876489</v>
          </cell>
          <cell r="T3723">
            <v>5.2165776871052101</v>
          </cell>
        </row>
        <row r="3724">
          <cell r="A3724" t="str">
            <v>CCI ANTENNAS</v>
          </cell>
          <cell r="B3724" t="str">
            <v>HPA45R-BU5A</v>
          </cell>
          <cell r="O3724">
            <v>6.1904176309999999</v>
          </cell>
          <cell r="T3724">
            <v>3.2950585380000001</v>
          </cell>
        </row>
        <row r="3725">
          <cell r="A3725" t="str">
            <v>CCI ANTENNAS</v>
          </cell>
          <cell r="B3725" t="str">
            <v>HPA45R-BU8A</v>
          </cell>
          <cell r="O3725"/>
          <cell r="T3725"/>
        </row>
        <row r="3726">
          <cell r="A3726" t="str">
            <v>CCI ANTENNAS</v>
          </cell>
          <cell r="B3726" t="str">
            <v>HPA65R-BU4A</v>
          </cell>
          <cell r="O3726">
            <v>3.8389925729999996</v>
          </cell>
          <cell r="T3726">
            <v>2.4985211150000004</v>
          </cell>
        </row>
        <row r="3727">
          <cell r="A3727" t="str">
            <v>CCI ANTENNAS</v>
          </cell>
          <cell r="B3727" t="str">
            <v>HPA65R-BU6A</v>
          </cell>
          <cell r="O3727">
            <v>5.8751543209999992</v>
          </cell>
          <cell r="T3727">
            <v>3.8244116960000003</v>
          </cell>
        </row>
        <row r="3728">
          <cell r="A3728" t="str">
            <v>CCI ANTENNAS</v>
          </cell>
          <cell r="B3728" t="str">
            <v>HPA65R-BU6AA-K</v>
          </cell>
          <cell r="O3728">
            <v>5.8751543209999992</v>
          </cell>
          <cell r="T3728">
            <v>3.8244116960000003</v>
          </cell>
        </row>
        <row r="3729">
          <cell r="A3729" t="str">
            <v>CCI ANTENNAS</v>
          </cell>
          <cell r="B3729" t="str">
            <v>HPA65R-BU8A</v>
          </cell>
          <cell r="O3729">
            <v>8.1770592210000004</v>
          </cell>
          <cell r="T3729">
            <v>5.3230726270000002</v>
          </cell>
        </row>
        <row r="3730">
          <cell r="A3730" t="str">
            <v>CCI ANTENNAS</v>
          </cell>
          <cell r="B3730" t="str">
            <v>HPA65R-KE4A</v>
          </cell>
          <cell r="O3730">
            <v>3.8389925729999996</v>
          </cell>
          <cell r="T3730">
            <v>2.4985211150000004</v>
          </cell>
        </row>
        <row r="3731">
          <cell r="A3731" t="str">
            <v>CCI ANTENNAS</v>
          </cell>
          <cell r="B3731" t="str">
            <v>HPA65R-KE4AA-K</v>
          </cell>
          <cell r="O3731">
            <v>3.8389925729999996</v>
          </cell>
          <cell r="T3731">
            <v>2.4985211150000004</v>
          </cell>
        </row>
        <row r="3732">
          <cell r="A3732" t="str">
            <v>CCI ANTENNAS</v>
          </cell>
          <cell r="B3732" t="str">
            <v>MBA10-5F-BW-H3</v>
          </cell>
          <cell r="O3732">
            <v>44.241395059999995</v>
          </cell>
          <cell r="T3732">
            <v>6.1076972300000003</v>
          </cell>
        </row>
        <row r="3733">
          <cell r="A3733" t="str">
            <v>CCI ANTENNAS</v>
          </cell>
          <cell r="B3733" t="str">
            <v>MBA10-6F-BU-H3</v>
          </cell>
          <cell r="O3733">
            <v>44.241395059999995</v>
          </cell>
          <cell r="T3733">
            <v>6.1076972300000003</v>
          </cell>
        </row>
        <row r="3734">
          <cell r="A3734" t="str">
            <v>CCI ANTENNAS</v>
          </cell>
          <cell r="B3734" t="str">
            <v>MBA3F-E3A</v>
          </cell>
          <cell r="O3734">
            <v>7.3025878119999996</v>
          </cell>
          <cell r="T3734">
            <v>2.2047456780000001</v>
          </cell>
        </row>
        <row r="3735">
          <cell r="A3735" t="str">
            <v>CCI ANTENNAS</v>
          </cell>
          <cell r="B3735" t="str">
            <v>MBA3F-U3A</v>
          </cell>
          <cell r="O3735">
            <v>7.4662702909462197</v>
          </cell>
          <cell r="T3735">
            <v>2.0567216314129904</v>
          </cell>
        </row>
        <row r="3736">
          <cell r="A3736" t="str">
            <v>CCI ANTENNAS</v>
          </cell>
          <cell r="B3736" t="str">
            <v>MBA3R-B4A</v>
          </cell>
          <cell r="O3736">
            <v>33.6651662422749</v>
          </cell>
          <cell r="T3736">
            <v>6.3671717965670096</v>
          </cell>
        </row>
        <row r="3737">
          <cell r="A3737" t="str">
            <v>CCI ANTENNAS</v>
          </cell>
          <cell r="B3737" t="str">
            <v>MBA3R-K4A</v>
          </cell>
          <cell r="O3737">
            <v>33.6651662422749</v>
          </cell>
          <cell r="T3737">
            <v>6.3671717965670096</v>
          </cell>
        </row>
        <row r="3738">
          <cell r="A3738" t="str">
            <v>CCI ANTENNAS</v>
          </cell>
          <cell r="B3738" t="str">
            <v>MBA6-11F-BU-H3</v>
          </cell>
          <cell r="O3738">
            <v>27.087702409999991</v>
          </cell>
          <cell r="T3738">
            <v>4.9664374130000004</v>
          </cell>
        </row>
        <row r="3739">
          <cell r="A3739" t="str">
            <v>CCI ANTENNAS</v>
          </cell>
          <cell r="B3739" t="str">
            <v>MBA6-11F-BU-H3_CCIV2</v>
          </cell>
          <cell r="O3739">
            <v>27.087655979999997</v>
          </cell>
          <cell r="T3739">
            <v>4.9662465769999997</v>
          </cell>
        </row>
        <row r="3740">
          <cell r="A3740" t="str">
            <v>CCI ANTENNAS</v>
          </cell>
          <cell r="B3740" t="str">
            <v>MBA6-11F-CP-H3</v>
          </cell>
          <cell r="O3740">
            <v>27.087655979999997</v>
          </cell>
          <cell r="T3740">
            <v>4.9662465769999997</v>
          </cell>
        </row>
        <row r="3741">
          <cell r="A3741" t="str">
            <v>CCI ANTENNAS</v>
          </cell>
          <cell r="B3741" t="str">
            <v>MBA6-11F-CP-H3-K</v>
          </cell>
          <cell r="O3741">
            <v>27.087655979999997</v>
          </cell>
          <cell r="T3741">
            <v>4.9662465769999997</v>
          </cell>
        </row>
        <row r="3742">
          <cell r="A3742" t="str">
            <v>CCI ANTENNAS</v>
          </cell>
          <cell r="B3742" t="str">
            <v>MBA6-12F-U-H3-K</v>
          </cell>
          <cell r="O3742">
            <v>12.66235058063709</v>
          </cell>
          <cell r="T3742">
            <v>2.61225916859421</v>
          </cell>
        </row>
        <row r="3743">
          <cell r="A3743" t="str">
            <v>CCI ANTENNAS</v>
          </cell>
          <cell r="B3743" t="str">
            <v>MBA6-9F-BW-H3</v>
          </cell>
          <cell r="O3743">
            <v>27.087655979999997</v>
          </cell>
          <cell r="T3743">
            <v>4.9662465769999997</v>
          </cell>
        </row>
        <row r="3744">
          <cell r="A3744" t="str">
            <v>CCI ANTENNAS</v>
          </cell>
          <cell r="B3744" t="str">
            <v>MBA6-9F-E-H3</v>
          </cell>
          <cell r="O3744">
            <v>16.827019320000002</v>
          </cell>
          <cell r="T3744">
            <v>2.5040878269999998</v>
          </cell>
        </row>
        <row r="3745">
          <cell r="A3745" t="str">
            <v>CCI ANTENNAS</v>
          </cell>
          <cell r="B3745" t="str">
            <v>MBA6-9F-E-H3-C1-K</v>
          </cell>
          <cell r="O3745">
            <v>13.523864399999999</v>
          </cell>
          <cell r="T3745">
            <v>2.4057475799999999</v>
          </cell>
        </row>
        <row r="3746">
          <cell r="A3746" t="str">
            <v>CCI ANTENNAS</v>
          </cell>
          <cell r="B3746" t="str">
            <v>MBA6-9F-E-H3_CCIV2</v>
          </cell>
          <cell r="O3746">
            <v>13.523864399999999</v>
          </cell>
          <cell r="T3746">
            <v>2.4057475799999999</v>
          </cell>
        </row>
        <row r="3747">
          <cell r="A3747" t="str">
            <v>CCI ANTENNAS</v>
          </cell>
          <cell r="B3747" t="str">
            <v>MBA6-9F-V-H3</v>
          </cell>
          <cell r="O3747">
            <v>11.43544078</v>
          </cell>
          <cell r="T3747">
            <v>1.9580295270000001</v>
          </cell>
        </row>
        <row r="3748">
          <cell r="A3748" t="str">
            <v>CCI ANTENNAS</v>
          </cell>
          <cell r="B3748" t="str">
            <v>MBA9-6F-U-H3</v>
          </cell>
          <cell r="O3748">
            <v>27.83897477</v>
          </cell>
          <cell r="T3748">
            <v>3.2626062309999999</v>
          </cell>
        </row>
        <row r="3749">
          <cell r="A3749" t="str">
            <v>CCI ANTENNAS</v>
          </cell>
          <cell r="B3749" t="str">
            <v>MBA9F-V2A</v>
          </cell>
          <cell r="O3749">
            <v>16.4982123087179</v>
          </cell>
          <cell r="T3749">
            <v>2.17724661458365</v>
          </cell>
        </row>
        <row r="3750">
          <cell r="A3750" t="str">
            <v>CCI ANTENNAS</v>
          </cell>
          <cell r="B3750" t="str">
            <v>MBM6F-U3B</v>
          </cell>
          <cell r="O3750">
            <v>20.296922987370998</v>
          </cell>
          <cell r="T3750">
            <v>3.2604381219939396</v>
          </cell>
        </row>
        <row r="3751">
          <cell r="A3751" t="str">
            <v>CCI ANTENNAS</v>
          </cell>
          <cell r="B3751" t="str">
            <v>OPA-45I-LCWW-H6</v>
          </cell>
          <cell r="O3751">
            <v>11.063126929999989</v>
          </cell>
          <cell r="T3751">
            <v>4.8469584149999996</v>
          </cell>
        </row>
        <row r="3752">
          <cell r="A3752" t="str">
            <v>CCI ANTENNAS</v>
          </cell>
          <cell r="B3752" t="str">
            <v>OPA-45R-LCUU-H6-K</v>
          </cell>
          <cell r="O3752">
            <v>11.4368489583333</v>
          </cell>
          <cell r="T3752">
            <v>5.0776266081759989</v>
          </cell>
        </row>
        <row r="3753">
          <cell r="A3753" t="str">
            <v>CCI ANTENNAS</v>
          </cell>
          <cell r="B3753" t="str">
            <v>OPA-65I-LCWW-H6</v>
          </cell>
          <cell r="O3753">
            <v>9.2778953529999999</v>
          </cell>
          <cell r="T3753">
            <v>4.6796381770000002</v>
          </cell>
        </row>
        <row r="3754">
          <cell r="A3754" t="str">
            <v>CCI ANTENNAS</v>
          </cell>
          <cell r="B3754" t="str">
            <v>OPA-65R-BU6DA-K</v>
          </cell>
          <cell r="O3754">
            <v>12.347309027777799</v>
          </cell>
          <cell r="T3754">
            <v>4.5899425576850801</v>
          </cell>
        </row>
        <row r="3755">
          <cell r="A3755" t="str">
            <v>CCI ANTENNAS</v>
          </cell>
          <cell r="B3755" t="str">
            <v>OPA-65R-LCUU-H4</v>
          </cell>
          <cell r="O3755">
            <v>5.9974826389999993</v>
          </cell>
          <cell r="T3755">
            <v>3.0252582350000004</v>
          </cell>
        </row>
        <row r="3756">
          <cell r="A3756" t="str">
            <v>CCI ANTENNAS</v>
          </cell>
          <cell r="B3756" t="str">
            <v>OPA-65R-LCUU-H4-K</v>
          </cell>
          <cell r="O3756">
            <v>5.9974826389999993</v>
          </cell>
          <cell r="T3756">
            <v>3.0252582350000004</v>
          </cell>
        </row>
        <row r="3757">
          <cell r="A3757" t="str">
            <v>CCI ANTENNAS</v>
          </cell>
          <cell r="B3757" t="str">
            <v>OPA-65R-LCUU-H6</v>
          </cell>
          <cell r="O3757">
            <v>9.1953518419999991</v>
          </cell>
          <cell r="T3757">
            <v>4.6340744650000003</v>
          </cell>
        </row>
        <row r="3758">
          <cell r="A3758" t="str">
            <v>CCI ANTENNAS</v>
          </cell>
          <cell r="B3758" t="str">
            <v>OPA-65R-LCUU-H6-K</v>
          </cell>
          <cell r="O3758">
            <v>9.1953518419999991</v>
          </cell>
          <cell r="T3758">
            <v>4.6340744650000003</v>
          </cell>
        </row>
        <row r="3759">
          <cell r="A3759" t="str">
            <v>CCI ANTENNAS</v>
          </cell>
          <cell r="B3759" t="str">
            <v>OPA-65R-LCUU-H8</v>
          </cell>
          <cell r="O3759">
            <v>11.950776429999989</v>
          </cell>
          <cell r="T3759">
            <v>6.02757684</v>
          </cell>
        </row>
        <row r="3760">
          <cell r="A3760" t="str">
            <v>CCI ANTENNAS</v>
          </cell>
          <cell r="B3760" t="str">
            <v>OPA-65R-LCUU-H8-K</v>
          </cell>
          <cell r="O3760">
            <v>11.950776429999989</v>
          </cell>
          <cell r="T3760">
            <v>6.02757684</v>
          </cell>
        </row>
        <row r="3761">
          <cell r="A3761" t="str">
            <v>CCI ANTENNAS</v>
          </cell>
          <cell r="B3761" t="str">
            <v>OPA45R-BU4A</v>
          </cell>
          <cell r="O3761">
            <v>7.8375597723013897</v>
          </cell>
          <cell r="T3761">
            <v>3.4329250347472802</v>
          </cell>
        </row>
        <row r="3762">
          <cell r="A3762" t="str">
            <v>CCI ANTENNAS</v>
          </cell>
          <cell r="B3762" t="str">
            <v>OPA45R-BU5A</v>
          </cell>
          <cell r="O3762">
            <v>6.1904176309999999</v>
          </cell>
          <cell r="T3762">
            <v>3.2950585380000001</v>
          </cell>
        </row>
        <row r="3763">
          <cell r="A3763" t="str">
            <v>CCI ANTENNAS</v>
          </cell>
          <cell r="B3763" t="str">
            <v>OPA45R-BU5C</v>
          </cell>
          <cell r="O3763">
            <v>13.61756915</v>
          </cell>
          <cell r="T3763">
            <v>4.0075708589999994</v>
          </cell>
        </row>
        <row r="3764">
          <cell r="A3764" t="str">
            <v>CCI ANTENNAS</v>
          </cell>
          <cell r="B3764" t="str">
            <v>OPA45R-BU5C_V2</v>
          </cell>
          <cell r="O3764">
            <v>13.409176912742698</v>
          </cell>
          <cell r="T3764">
            <v>3.9458702994491199</v>
          </cell>
        </row>
        <row r="3765">
          <cell r="A3765" t="str">
            <v>CCI ANTENNAS</v>
          </cell>
          <cell r="B3765" t="str">
            <v>OPA45R-BU6A</v>
          </cell>
          <cell r="O3765">
            <v>11.063126929999989</v>
          </cell>
          <cell r="T3765">
            <v>4.8469584149999996</v>
          </cell>
        </row>
        <row r="3766">
          <cell r="A3766" t="str">
            <v>CCI ANTENNAS</v>
          </cell>
          <cell r="B3766" t="str">
            <v>OPA45R-TE6B</v>
          </cell>
          <cell r="O3766">
            <v>11.34650848765429</v>
          </cell>
          <cell r="T3766">
            <v>5.0211731244336502</v>
          </cell>
        </row>
        <row r="3767">
          <cell r="A3767" t="str">
            <v>CCI ANTENNAS</v>
          </cell>
          <cell r="B3767" t="str">
            <v>OPA45R-TW6B</v>
          </cell>
          <cell r="O3767">
            <v>11.34650848765429</v>
          </cell>
          <cell r="T3767">
            <v>5.0211731244336502</v>
          </cell>
        </row>
        <row r="3768">
          <cell r="A3768" t="str">
            <v>CCI ANTENNAS</v>
          </cell>
          <cell r="B3768" t="str">
            <v>OPA65R-BU4B</v>
          </cell>
          <cell r="O3768">
            <v>3.9955473570000004</v>
          </cell>
          <cell r="T3768">
            <v>3.4500474789999998</v>
          </cell>
        </row>
        <row r="3769">
          <cell r="A3769" t="str">
            <v>CCI ANTENNAS</v>
          </cell>
          <cell r="B3769" t="str">
            <v>OPA65R-BU4D</v>
          </cell>
          <cell r="O3769">
            <v>8.0582102759999987</v>
          </cell>
          <cell r="T3769">
            <v>2.9940556799999998</v>
          </cell>
        </row>
        <row r="3770">
          <cell r="A3770" t="str">
            <v>CCI ANTENNAS</v>
          </cell>
          <cell r="B3770" t="str">
            <v>OPA65R-BU4D_20180813</v>
          </cell>
          <cell r="O3770">
            <v>8.0582102760538383</v>
          </cell>
          <cell r="T3770">
            <v>2.99405568015165</v>
          </cell>
        </row>
        <row r="3771">
          <cell r="A3771" t="str">
            <v>CCI ANTENNAS</v>
          </cell>
          <cell r="B3771" t="str">
            <v>OPA65R-BU6A</v>
          </cell>
          <cell r="O3771">
            <v>6.7825906639999998</v>
          </cell>
          <cell r="T3771">
            <v>4.7269040740000001</v>
          </cell>
        </row>
        <row r="3772">
          <cell r="A3772" t="str">
            <v>CCI ANTENNAS</v>
          </cell>
          <cell r="B3772" t="str">
            <v>OPA65R-BU6BA-K</v>
          </cell>
          <cell r="O3772">
            <v>6.7825906639999998</v>
          </cell>
          <cell r="T3772">
            <v>4.7269040740000001</v>
          </cell>
        </row>
        <row r="3773">
          <cell r="A3773" t="str">
            <v>CCI ANTENNAS</v>
          </cell>
          <cell r="B3773" t="str">
            <v>OPA65R-BU6D</v>
          </cell>
          <cell r="O3773">
            <v>12.2194453</v>
          </cell>
          <cell r="T3773">
            <v>4.5426951359999999</v>
          </cell>
        </row>
        <row r="3774">
          <cell r="A3774" t="str">
            <v>CCI ANTENNAS</v>
          </cell>
          <cell r="B3774" t="str">
            <v>OPA65R-BU6D_CCIV2</v>
          </cell>
          <cell r="O3774">
            <v>12.347309027777799</v>
          </cell>
          <cell r="T3774">
            <v>4.5899425576850801</v>
          </cell>
        </row>
        <row r="3775">
          <cell r="A3775" t="str">
            <v>CCI ANTENNAS</v>
          </cell>
          <cell r="B3775" t="str">
            <v>OPA65R-BU8B</v>
          </cell>
          <cell r="O3775">
            <v>8.9288532020000009</v>
          </cell>
          <cell r="T3775">
            <v>6.2177099809999996</v>
          </cell>
        </row>
        <row r="3776">
          <cell r="A3776" t="str">
            <v>CCI ANTENNAS</v>
          </cell>
          <cell r="B3776" t="str">
            <v>OPA65R-BU8BA-K</v>
          </cell>
          <cell r="O3776">
            <v>8.9288532020000009</v>
          </cell>
          <cell r="T3776">
            <v>6.2177099809999996</v>
          </cell>
        </row>
        <row r="3777">
          <cell r="A3777" t="str">
            <v>CCI ANTENNAS</v>
          </cell>
          <cell r="B3777" t="str">
            <v>OPA65R-BU8D</v>
          </cell>
          <cell r="O3777">
            <v>17.41969039</v>
          </cell>
          <cell r="T3777">
            <v>6.4773914619999999</v>
          </cell>
        </row>
        <row r="3778">
          <cell r="A3778" t="str">
            <v>CCI ANTENNAS</v>
          </cell>
          <cell r="B3778" t="str">
            <v>OPA65R-BU8DA-K</v>
          </cell>
          <cell r="O3778">
            <v>17.146623610159988</v>
          </cell>
          <cell r="T3778">
            <v>8.0610841223102998</v>
          </cell>
        </row>
        <row r="3779">
          <cell r="A3779" t="str">
            <v>CCI ANTENNAS</v>
          </cell>
          <cell r="B3779" t="str">
            <v>OPA65R-KE4D</v>
          </cell>
          <cell r="O3779">
            <v>8.0582102759999987</v>
          </cell>
          <cell r="T3779">
            <v>2.9940556799999998</v>
          </cell>
        </row>
        <row r="3780">
          <cell r="A3780" t="str">
            <v>CCI ANTENNAS</v>
          </cell>
          <cell r="B3780" t="str">
            <v>OPA65R-KE6D</v>
          </cell>
          <cell r="O3780">
            <v>12.2194453</v>
          </cell>
          <cell r="T3780">
            <v>4.5426951359999999</v>
          </cell>
        </row>
        <row r="3781">
          <cell r="A3781" t="str">
            <v>CCI ANTENNAS</v>
          </cell>
          <cell r="B3781" t="str">
            <v>OPA65R-TE6C</v>
          </cell>
          <cell r="O3781">
            <v>14.359095289999999</v>
          </cell>
          <cell r="T3781">
            <v>4.5248241199999999</v>
          </cell>
        </row>
        <row r="3782">
          <cell r="A3782" t="str">
            <v>CCI ANTENNAS</v>
          </cell>
          <cell r="B3782" t="str">
            <v>QPA65R-K8A</v>
          </cell>
          <cell r="O3782">
            <v>21.396606982310498</v>
          </cell>
          <cell r="T3782">
            <v>6.9259189067282794</v>
          </cell>
        </row>
        <row r="3783">
          <cell r="A3783" t="str">
            <v>CCI ANTENNAS</v>
          </cell>
          <cell r="B3783" t="str">
            <v>SCA-DR1-65F2-E-H2S</v>
          </cell>
          <cell r="O3783"/>
          <cell r="T3783"/>
        </row>
        <row r="3784">
          <cell r="A3784" t="str">
            <v>CCI ANTENNAS</v>
          </cell>
          <cell r="B3784" t="str">
            <v>TME-TMABPD7823VG12A</v>
          </cell>
          <cell r="O3784"/>
          <cell r="T3784"/>
        </row>
        <row r="3785">
          <cell r="A3785" t="str">
            <v>CCI ANTENNAS</v>
          </cell>
          <cell r="B3785" t="str">
            <v>TPA-45R-KU8A</v>
          </cell>
          <cell r="O3785">
            <v>11.561086999999999</v>
          </cell>
          <cell r="T3785">
            <v>6.1552679449999994</v>
          </cell>
        </row>
        <row r="3786">
          <cell r="A3786" t="str">
            <v>CCI ANTENNAS</v>
          </cell>
          <cell r="B3786" t="str">
            <v>TPA-65-BU6DA-K</v>
          </cell>
          <cell r="O3786">
            <v>12.833082363605689</v>
          </cell>
          <cell r="T3786">
            <v>4.7787685501351289</v>
          </cell>
        </row>
        <row r="3787">
          <cell r="A3787" t="str">
            <v>CCI ANTENNAS</v>
          </cell>
          <cell r="B3787" t="str">
            <v>TPA-65R-BU4AA-K</v>
          </cell>
          <cell r="O3787">
            <v>4.5457383289999997</v>
          </cell>
          <cell r="T3787">
            <v>4.4393334489999994</v>
          </cell>
        </row>
        <row r="3788">
          <cell r="A3788" t="str">
            <v>CCI ANTENNAS</v>
          </cell>
          <cell r="B3788" t="str">
            <v>TPA-65R-BU4B</v>
          </cell>
          <cell r="O3788">
            <v>9.8156507929999997</v>
          </cell>
          <cell r="T3788">
            <v>2.9406110560000003</v>
          </cell>
        </row>
        <row r="3789">
          <cell r="A3789" t="str">
            <v>CCI ANTENNAS</v>
          </cell>
          <cell r="B3789" t="str">
            <v>TPA-65R-BU8D</v>
          </cell>
          <cell r="O3789">
            <v>15.859977816357999</v>
          </cell>
          <cell r="T3789">
            <v>5.9490384515426502</v>
          </cell>
        </row>
        <row r="3790">
          <cell r="A3790" t="str">
            <v>CCI ANTENNAS</v>
          </cell>
          <cell r="B3790" t="str">
            <v>TPA-65R-LCUUUU-H6</v>
          </cell>
          <cell r="O3790">
            <v>5.77</v>
          </cell>
          <cell r="T3790">
            <v>5.5299999999999994</v>
          </cell>
        </row>
        <row r="3791">
          <cell r="A3791" t="str">
            <v>CCI ANTENNAS</v>
          </cell>
          <cell r="B3791" t="str">
            <v>TPA-65R-LCUUUU-H8</v>
          </cell>
          <cell r="O3791">
            <v>11.87306134</v>
          </cell>
          <cell r="T3791">
            <v>7.0159274959999998</v>
          </cell>
        </row>
        <row r="3792">
          <cell r="A3792" t="str">
            <v>CCI ANTENNAS</v>
          </cell>
          <cell r="B3792" t="str">
            <v>TPA-65R-LCUUUU-H8-K</v>
          </cell>
          <cell r="O3792">
            <v>11.87306134</v>
          </cell>
          <cell r="T3792">
            <v>7.0159274959999998</v>
          </cell>
        </row>
        <row r="3793">
          <cell r="A3793" t="str">
            <v>CCI ANTENNAS</v>
          </cell>
          <cell r="B3793" t="str">
            <v>TPA-65R-LUUUU-H8-K</v>
          </cell>
          <cell r="O3793">
            <v>11.8313413447044</v>
          </cell>
          <cell r="T3793">
            <v>6.9906979545659897</v>
          </cell>
        </row>
        <row r="3794">
          <cell r="A3794" t="str">
            <v>CCI ANTENNAS</v>
          </cell>
          <cell r="B3794" t="str">
            <v>TPA33R-BU8C</v>
          </cell>
          <cell r="O3794">
            <v>20.692305952932088</v>
          </cell>
          <cell r="T3794">
            <v>7.2468714168409596</v>
          </cell>
        </row>
        <row r="3795">
          <cell r="A3795" t="str">
            <v>CCI ANTENNAS</v>
          </cell>
          <cell r="B3795" t="str">
            <v>TPA45R-BU4B_20240604</v>
          </cell>
          <cell r="O3795"/>
          <cell r="T3795"/>
        </row>
        <row r="3796">
          <cell r="A3796" t="str">
            <v>CCI ANTENNAS</v>
          </cell>
          <cell r="B3796" t="str">
            <v>TPA45R-BU5B_20240604</v>
          </cell>
          <cell r="O3796"/>
          <cell r="T3796"/>
        </row>
        <row r="3797">
          <cell r="A3797" t="str">
            <v>CCI ANTENNAS</v>
          </cell>
          <cell r="B3797" t="str">
            <v>TPA45R-BU6B</v>
          </cell>
          <cell r="O3797">
            <v>0</v>
          </cell>
          <cell r="T3797">
            <v>0</v>
          </cell>
        </row>
        <row r="3798">
          <cell r="A3798" t="str">
            <v>CCI ANTENNAS</v>
          </cell>
          <cell r="B3798" t="str">
            <v>TPA45R-BU6BB-K_20230523</v>
          </cell>
          <cell r="O3798"/>
          <cell r="T3798"/>
        </row>
        <row r="3799">
          <cell r="A3799" t="str">
            <v>CCI ANTENNAS</v>
          </cell>
          <cell r="B3799" t="str">
            <v>TPA45R-BU8B</v>
          </cell>
          <cell r="O3799">
            <v>19.3320650077161</v>
          </cell>
          <cell r="T3799">
            <v>6.8275483852167689</v>
          </cell>
        </row>
        <row r="3800">
          <cell r="A3800" t="str">
            <v>CCI ANTENNAS</v>
          </cell>
          <cell r="B3800" t="str">
            <v>TPA45R-GU6A</v>
          </cell>
          <cell r="O3800">
            <v>9.1953125</v>
          </cell>
          <cell r="T3800">
            <v>5.0334057980000004</v>
          </cell>
        </row>
        <row r="3801">
          <cell r="A3801" t="str">
            <v>CCI ANTENNAS</v>
          </cell>
          <cell r="B3801" t="str">
            <v>TPA45R-KU6A</v>
          </cell>
          <cell r="O3801">
            <v>8.9693817520000003</v>
          </cell>
          <cell r="T3801">
            <v>4.7753375359999994</v>
          </cell>
        </row>
        <row r="3802">
          <cell r="A3802" t="str">
            <v>CCI ANTENNAS</v>
          </cell>
          <cell r="B3802" t="str">
            <v>TPA45R-KU8A</v>
          </cell>
          <cell r="O3802">
            <v>11.561086999999999</v>
          </cell>
          <cell r="T3802">
            <v>6.1552679449999994</v>
          </cell>
        </row>
        <row r="3803">
          <cell r="A3803" t="str">
            <v>CCI ANTENNAS</v>
          </cell>
          <cell r="B3803" t="str">
            <v>TPA65R-BU4D</v>
          </cell>
          <cell r="O3803">
            <v>8.0582102759999987</v>
          </cell>
          <cell r="T3803">
            <v>2.9940556799999998</v>
          </cell>
        </row>
        <row r="3804">
          <cell r="A3804" t="str">
            <v>CCI ANTENNAS</v>
          </cell>
          <cell r="B3804" t="str">
            <v>TPA65R-BU5D</v>
          </cell>
          <cell r="O3804"/>
          <cell r="T3804"/>
        </row>
        <row r="3805">
          <cell r="A3805" t="str">
            <v>CCI ANTENNAS</v>
          </cell>
          <cell r="B3805" t="str">
            <v>TPA65R-BU6A</v>
          </cell>
          <cell r="O3805">
            <v>15.490605709999999</v>
          </cell>
          <cell r="T3805">
            <v>4.6364290889999991</v>
          </cell>
        </row>
        <row r="3806">
          <cell r="A3806" t="str">
            <v>CCI ANTENNAS</v>
          </cell>
          <cell r="B3806" t="str">
            <v>TPA65R-BU6A_CCIV2</v>
          </cell>
          <cell r="O3806">
            <v>15.490605709999999</v>
          </cell>
          <cell r="T3806">
            <v>4.6364290889999991</v>
          </cell>
        </row>
        <row r="3807">
          <cell r="A3807" t="str">
            <v>CCI ANTENNAS</v>
          </cell>
          <cell r="B3807" t="str">
            <v>TPA65R-BU6D</v>
          </cell>
          <cell r="O3807">
            <v>12.2194453</v>
          </cell>
          <cell r="T3807">
            <v>4.5426951359999999</v>
          </cell>
        </row>
        <row r="3808">
          <cell r="A3808" t="str">
            <v>CCI ANTENNAS</v>
          </cell>
          <cell r="B3808" t="str">
            <v>TPA65R-BU6DA-K</v>
          </cell>
          <cell r="O3808">
            <v>12.833082363605689</v>
          </cell>
          <cell r="T3808">
            <v>4.7787685501351289</v>
          </cell>
        </row>
        <row r="3809">
          <cell r="A3809" t="str">
            <v>CCI ANTENNAS</v>
          </cell>
          <cell r="B3809" t="str">
            <v>TPA65R-BU6D_CCIV2</v>
          </cell>
          <cell r="O3809">
            <v>11.9305652</v>
          </cell>
          <cell r="T3809">
            <v>4.4751877960000002</v>
          </cell>
        </row>
        <row r="3810">
          <cell r="A3810" t="str">
            <v>CCI ANTENNAS</v>
          </cell>
          <cell r="B3810" t="str">
            <v>TPA65R-BU6Dv2_20221028</v>
          </cell>
          <cell r="O3810">
            <v>12.833082363605689</v>
          </cell>
          <cell r="T3810">
            <v>4.7787685501351289</v>
          </cell>
        </row>
        <row r="3811">
          <cell r="A3811" t="str">
            <v>CCI ANTENNAS</v>
          </cell>
          <cell r="B3811" t="str">
            <v>TPA65R-BU6G_20250227</v>
          </cell>
          <cell r="O3811"/>
          <cell r="T3811"/>
        </row>
        <row r="3812">
          <cell r="A3812" t="str">
            <v>CCI ANTENNAS</v>
          </cell>
          <cell r="B3812" t="str">
            <v>TPA65R-BU8A</v>
          </cell>
          <cell r="O3812">
            <v>21.30939042</v>
          </cell>
          <cell r="T3812">
            <v>6.3762160189999992</v>
          </cell>
        </row>
        <row r="3813">
          <cell r="A3813" t="str">
            <v>CCI ANTENNAS</v>
          </cell>
          <cell r="B3813" t="str">
            <v>TPA65R-BU8D</v>
          </cell>
          <cell r="O3813">
            <v>15.91095679</v>
          </cell>
          <cell r="T3813">
            <v>5.9682085630000001</v>
          </cell>
        </row>
        <row r="3814">
          <cell r="A3814" t="str">
            <v>CCI ANTENNAS</v>
          </cell>
          <cell r="B3814" t="str">
            <v>TPA65R-BU8DA-K</v>
          </cell>
          <cell r="O3814">
            <v>17.146623610159988</v>
          </cell>
          <cell r="T3814">
            <v>8.0610841223102998</v>
          </cell>
        </row>
        <row r="3815">
          <cell r="A3815" t="str">
            <v>CCI ANTENNAS</v>
          </cell>
          <cell r="B3815" t="str">
            <v>TPA65R-BU8DV2</v>
          </cell>
          <cell r="O3815">
            <v>17.146623610159988</v>
          </cell>
          <cell r="T3815">
            <v>8.0610841223102998</v>
          </cell>
        </row>
        <row r="3816">
          <cell r="A3816" t="str">
            <v>CCI ANTENNAS</v>
          </cell>
          <cell r="B3816" t="str">
            <v>TPA65R-BU8D_CCIV2</v>
          </cell>
          <cell r="O3816">
            <v>15.859977819999989</v>
          </cell>
          <cell r="T3816">
            <v>5.9490384519999999</v>
          </cell>
        </row>
        <row r="3817">
          <cell r="A3817" t="str">
            <v>CCI ANTENNAS</v>
          </cell>
          <cell r="B3817" t="str">
            <v>TPA65R-BU8Dv2_20230320</v>
          </cell>
          <cell r="O3817">
            <v>17.146623610159988</v>
          </cell>
          <cell r="T3817">
            <v>8.0610841223102998</v>
          </cell>
        </row>
        <row r="3818">
          <cell r="A3818" t="str">
            <v>CCI ANTENNAS</v>
          </cell>
          <cell r="B3818" t="str">
            <v>TPA65R-BU8G</v>
          </cell>
          <cell r="O3818"/>
          <cell r="T3818"/>
        </row>
        <row r="3819">
          <cell r="A3819" t="str">
            <v>CCI ANTENNAS</v>
          </cell>
          <cell r="B3819" t="str">
            <v>TPA65R-KE4D</v>
          </cell>
          <cell r="O3819">
            <v>8.0582102759999987</v>
          </cell>
          <cell r="T3819">
            <v>2.9940556799999998</v>
          </cell>
        </row>
        <row r="3820">
          <cell r="A3820" t="str">
            <v>CCI ANTENNAS</v>
          </cell>
          <cell r="B3820" t="str">
            <v>TPA65R-KE6A</v>
          </cell>
          <cell r="O3820">
            <v>15.490605709999999</v>
          </cell>
          <cell r="T3820">
            <v>4.6364290889999991</v>
          </cell>
        </row>
        <row r="3821">
          <cell r="A3821" t="str">
            <v>CCI ANTENNAS</v>
          </cell>
          <cell r="B3821" t="str">
            <v>TPA65R-KE6D</v>
          </cell>
          <cell r="O3821">
            <v>12.2194453</v>
          </cell>
          <cell r="T3821">
            <v>4.5426951359999999</v>
          </cell>
        </row>
        <row r="3822">
          <cell r="A3822" t="str">
            <v>CCI ANTENNAS</v>
          </cell>
          <cell r="B3822" t="str">
            <v>TPA65R-TE6C</v>
          </cell>
          <cell r="O3822">
            <v>14.7413049768519</v>
          </cell>
          <cell r="T3822">
            <v>5.4435164392951201</v>
          </cell>
        </row>
        <row r="3823">
          <cell r="A3823" t="str">
            <v>CCI ANTENNAS</v>
          </cell>
          <cell r="B3823" t="str">
            <v>TPA65R-TE8C</v>
          </cell>
          <cell r="O3823">
            <v>19.831192129629589</v>
          </cell>
          <cell r="T3823">
            <v>6.2504483489668692</v>
          </cell>
        </row>
        <row r="3824">
          <cell r="A3824" t="str">
            <v>CCI ANTENNAS</v>
          </cell>
          <cell r="B3824" t="str">
            <v>TSB20R-E7A</v>
          </cell>
          <cell r="O3824"/>
          <cell r="T3824"/>
        </row>
        <row r="3825">
          <cell r="A3825" t="str">
            <v>CCI ANTENNAS</v>
          </cell>
          <cell r="B3825" t="str">
            <v>TSB20R-U7A</v>
          </cell>
          <cell r="O3825">
            <v>15.790060763888889</v>
          </cell>
          <cell r="T3825">
            <v>5.3777425599578796</v>
          </cell>
        </row>
        <row r="3826">
          <cell r="A3826" t="str">
            <v>CCI ANTENNAS</v>
          </cell>
          <cell r="B3826" t="str">
            <v>XDUO4-65-V</v>
          </cell>
          <cell r="O3826"/>
          <cell r="T3826"/>
        </row>
        <row r="3827">
          <cell r="A3827" t="str">
            <v>CELLANTENNAS</v>
          </cell>
          <cell r="B3827" t="str">
            <v>PC-19013</v>
          </cell>
          <cell r="O3827"/>
          <cell r="T3827"/>
        </row>
        <row r="3828">
          <cell r="A3828" t="str">
            <v>CELLMAX TECHNOLOGIES</v>
          </cell>
          <cell r="B3828" t="str">
            <v>120115</v>
          </cell>
          <cell r="O3828">
            <v>5.7527699962993601</v>
          </cell>
          <cell r="T3828">
            <v>2.1692785053848898</v>
          </cell>
        </row>
        <row r="3829">
          <cell r="A3829" t="str">
            <v>CELLMAX TECHNOLOGIES</v>
          </cell>
          <cell r="B3829" t="str">
            <v>120125</v>
          </cell>
          <cell r="O3829"/>
          <cell r="T3829"/>
        </row>
        <row r="3830">
          <cell r="A3830" t="str">
            <v>CELLMAX TECHNOLOGIES</v>
          </cell>
          <cell r="B3830" t="str">
            <v>12044x_20210126</v>
          </cell>
          <cell r="O3830"/>
          <cell r="T3830"/>
        </row>
        <row r="3831">
          <cell r="A3831" t="str">
            <v>CELLMAX TECHNOLOGIES</v>
          </cell>
          <cell r="B3831" t="str">
            <v>12045v6_20190531</v>
          </cell>
          <cell r="O3831"/>
          <cell r="T3831"/>
        </row>
        <row r="3832">
          <cell r="A3832" t="str">
            <v>CELLMAX TECHNOLOGIES</v>
          </cell>
          <cell r="B3832" t="str">
            <v>120706_20231009</v>
          </cell>
          <cell r="O3832"/>
          <cell r="T3832"/>
        </row>
        <row r="3833">
          <cell r="A3833" t="str">
            <v>CELLMAX TECHNOLOGIES</v>
          </cell>
          <cell r="B3833" t="str">
            <v>12070_20240528</v>
          </cell>
          <cell r="O3833"/>
          <cell r="T3833"/>
        </row>
        <row r="3834">
          <cell r="A3834" t="str">
            <v>CELLMAX TECHNOLOGIES</v>
          </cell>
          <cell r="B3834" t="str">
            <v>120716</v>
          </cell>
          <cell r="O3834">
            <v>12.921318461817489</v>
          </cell>
          <cell r="T3834">
            <v>4.2596955435917101</v>
          </cell>
        </row>
        <row r="3835">
          <cell r="A3835" t="str">
            <v>CELLMAX TECHNOLOGIES</v>
          </cell>
          <cell r="B3835" t="str">
            <v>120726</v>
          </cell>
          <cell r="O3835">
            <v>15.9608217592593</v>
          </cell>
          <cell r="T3835">
            <v>5.29468947907543</v>
          </cell>
        </row>
        <row r="3836">
          <cell r="A3836" t="str">
            <v>CELLMAX TECHNOLOGIES</v>
          </cell>
          <cell r="B3836" t="str">
            <v>6521-0-2110</v>
          </cell>
          <cell r="O3836">
            <v>4.9872646069999993</v>
          </cell>
          <cell r="T3836">
            <v>3.0978812389999999</v>
          </cell>
        </row>
        <row r="3837">
          <cell r="A3837" t="str">
            <v>CELLMAX TECHNOLOGIES</v>
          </cell>
          <cell r="B3837" t="str">
            <v>CMA-120816_A_20210401</v>
          </cell>
          <cell r="O3837"/>
          <cell r="T3837"/>
        </row>
        <row r="3838">
          <cell r="A3838" t="str">
            <v>CELLMAX TECHNOLOGIES</v>
          </cell>
          <cell r="B3838" t="str">
            <v>CMA-120825</v>
          </cell>
          <cell r="O3838">
            <v>15.122957139436002</v>
          </cell>
          <cell r="T3838">
            <v>6.5995380367230796</v>
          </cell>
        </row>
        <row r="3839">
          <cell r="A3839" t="str">
            <v>CELLMAX TECHNOLOGIES</v>
          </cell>
          <cell r="B3839" t="str">
            <v>CMA-B/3324</v>
          </cell>
          <cell r="O3839">
            <v>7.8072888009999994</v>
          </cell>
          <cell r="T3839">
            <v>3.487468657</v>
          </cell>
        </row>
        <row r="3840">
          <cell r="A3840" t="str">
            <v>CELLMAX TECHNOLOGIES</v>
          </cell>
          <cell r="B3840" t="str">
            <v>CMA-B/6519/E0-8</v>
          </cell>
          <cell r="O3840">
            <v>3.0437660479999997</v>
          </cell>
          <cell r="T3840">
            <v>1.929005662</v>
          </cell>
        </row>
        <row r="3841">
          <cell r="A3841" t="str">
            <v>CELLMAX TECHNOLOGIES</v>
          </cell>
          <cell r="B3841" t="str">
            <v>CMA-B/6519/E0-8/RMU/TB06</v>
          </cell>
          <cell r="O3841">
            <v>3.0437660479999997</v>
          </cell>
          <cell r="T3841">
            <v>1.929005662</v>
          </cell>
        </row>
        <row r="3842">
          <cell r="A3842" t="str">
            <v>CELLMAX TECHNOLOGIES</v>
          </cell>
          <cell r="B3842" t="str">
            <v>CMA-B/6519/EO-8</v>
          </cell>
          <cell r="O3842">
            <v>3.0437660479999997</v>
          </cell>
          <cell r="T3842">
            <v>1.929005662</v>
          </cell>
        </row>
        <row r="3843">
          <cell r="A3843" t="str">
            <v>CELLMAX TECHNOLOGIES</v>
          </cell>
          <cell r="B3843" t="str">
            <v>CMA-B/6520/E0-6</v>
          </cell>
          <cell r="O3843">
            <v>3.2719536069999999</v>
          </cell>
          <cell r="T3843">
            <v>2.086511958</v>
          </cell>
        </row>
        <row r="3844">
          <cell r="A3844" t="str">
            <v>CELLMAX TECHNOLOGIES</v>
          </cell>
          <cell r="B3844" t="str">
            <v>CMA-B/6520/E0-8</v>
          </cell>
          <cell r="O3844">
            <v>3.2719536069999999</v>
          </cell>
          <cell r="T3844">
            <v>2.086511958</v>
          </cell>
        </row>
        <row r="3845">
          <cell r="A3845" t="str">
            <v>CELLMAX TECHNOLOGIES</v>
          </cell>
          <cell r="B3845" t="str">
            <v>CMA-B/6520/EO-8_CCIV2</v>
          </cell>
          <cell r="O3845">
            <v>3.2719536069999999</v>
          </cell>
          <cell r="T3845">
            <v>2.086511958</v>
          </cell>
        </row>
        <row r="3846">
          <cell r="A3846" t="str">
            <v>CELLMAX TECHNOLOGIES</v>
          </cell>
          <cell r="B3846" t="str">
            <v>CMA-B/6521</v>
          </cell>
          <cell r="O3846">
            <v>4.9872646069999993</v>
          </cell>
          <cell r="T3846">
            <v>3.0978812389999999</v>
          </cell>
        </row>
        <row r="3847">
          <cell r="A3847" t="str">
            <v>CELLMAX TECHNOLOGIES</v>
          </cell>
          <cell r="B3847" t="str">
            <v>CMA-B/6521-1920</v>
          </cell>
          <cell r="O3847">
            <v>4.9872646069999993</v>
          </cell>
          <cell r="T3847">
            <v>3.0978812389999999</v>
          </cell>
        </row>
        <row r="3848">
          <cell r="A3848" t="str">
            <v>CELLMAX TECHNOLOGIES</v>
          </cell>
          <cell r="B3848" t="str">
            <v>CMA-B/6521/E0-2</v>
          </cell>
          <cell r="O3848">
            <v>4.9872646069999993</v>
          </cell>
          <cell r="T3848">
            <v>3.0978812389999999</v>
          </cell>
        </row>
        <row r="3849">
          <cell r="A3849" t="str">
            <v>CELLMAX TECHNOLOGIES</v>
          </cell>
          <cell r="B3849" t="str">
            <v>CMA-B/6521/E0-6</v>
          </cell>
          <cell r="O3849">
            <v>4.9872646069999993</v>
          </cell>
          <cell r="T3849">
            <v>3.0978812389999999</v>
          </cell>
        </row>
        <row r="3850">
          <cell r="A3850" t="str">
            <v>CELLMAX TECHNOLOGIES</v>
          </cell>
          <cell r="B3850" t="str">
            <v>CMA-B/6521/E0-6/RMU/TB05_CCIV2</v>
          </cell>
          <cell r="O3850">
            <v>4.9872646069999993</v>
          </cell>
          <cell r="T3850">
            <v>3.0978812389999999</v>
          </cell>
        </row>
        <row r="3851">
          <cell r="A3851" t="str">
            <v>CELLMAX TECHNOLOGIES</v>
          </cell>
          <cell r="B3851" t="str">
            <v>CMA-BD/3321/E0-7</v>
          </cell>
          <cell r="O3851">
            <v>6.795810842999999</v>
          </cell>
          <cell r="T3851">
            <v>1.9399107289999999</v>
          </cell>
        </row>
        <row r="3852">
          <cell r="A3852" t="str">
            <v>CELLMAX TECHNOLOGIES</v>
          </cell>
          <cell r="B3852" t="str">
            <v>CMA-BDHH/3321/E0-6</v>
          </cell>
          <cell r="O3852">
            <v>6.8647087189999993</v>
          </cell>
          <cell r="T3852">
            <v>1.966030285</v>
          </cell>
        </row>
        <row r="3853">
          <cell r="A3853" t="str">
            <v>CELLMAX TECHNOLOGIES</v>
          </cell>
          <cell r="B3853" t="str">
            <v>CMA-BDHH/3321/E0-7/RET</v>
          </cell>
          <cell r="O3853">
            <v>7.0141444830246895</v>
          </cell>
          <cell r="T3853">
            <v>2.0003172124189299</v>
          </cell>
        </row>
        <row r="3854">
          <cell r="A3854" t="str">
            <v>CELLMAX TECHNOLOGIES</v>
          </cell>
          <cell r="B3854" t="str">
            <v>CMA-BDHH/3324/E0-6</v>
          </cell>
          <cell r="O3854">
            <v>14.229658564814798</v>
          </cell>
          <cell r="T3854">
            <v>4.0609062251769101</v>
          </cell>
        </row>
        <row r="3855">
          <cell r="A3855" t="str">
            <v>CELLMAX TECHNOLOGIES</v>
          </cell>
          <cell r="B3855" t="str">
            <v>CMA-BDHH/6519/E0-8</v>
          </cell>
          <cell r="O3855">
            <v>6.540957755</v>
          </cell>
          <cell r="T3855">
            <v>2.3030875560000004</v>
          </cell>
        </row>
        <row r="3856">
          <cell r="A3856" t="str">
            <v>CELLMAX TECHNOLOGIES</v>
          </cell>
          <cell r="B3856" t="str">
            <v>CMA-BDHH/6519/E0-8/RMU/TB06</v>
          </cell>
          <cell r="O3856">
            <v>6.540957755</v>
          </cell>
          <cell r="T3856">
            <v>2.3030875560000004</v>
          </cell>
        </row>
        <row r="3857">
          <cell r="A3857" t="str">
            <v>CELLMAX TECHNOLOGIES</v>
          </cell>
          <cell r="B3857" t="str">
            <v>CMA-BDHH/6520/E0-8</v>
          </cell>
          <cell r="O3857">
            <v>8.0491608799999987</v>
          </cell>
          <cell r="T3857">
            <v>2.8409958319999999</v>
          </cell>
        </row>
        <row r="3858">
          <cell r="A3858" t="str">
            <v>CELLMAX TECHNOLOGIES</v>
          </cell>
          <cell r="B3858" t="str">
            <v>CMA-BDHH/6520/E0-8/B2</v>
          </cell>
          <cell r="O3858">
            <v>8.0491608799999987</v>
          </cell>
          <cell r="T3858">
            <v>2.8409958319999999</v>
          </cell>
        </row>
        <row r="3859">
          <cell r="A3859" t="str">
            <v>CELLMAX TECHNOLOGIES</v>
          </cell>
          <cell r="B3859" t="str">
            <v>CMA-BDHH/6520/E0-8_CCIV2</v>
          </cell>
          <cell r="O3859">
            <v>8.0491608799999987</v>
          </cell>
          <cell r="T3859">
            <v>2.8409958319999999</v>
          </cell>
        </row>
        <row r="3860">
          <cell r="A3860" t="str">
            <v>CELLMAX TECHNOLOGIES</v>
          </cell>
          <cell r="B3860" t="str">
            <v>CMA-BDHH/6520/E0-8_V2</v>
          </cell>
          <cell r="O3860"/>
          <cell r="T3860"/>
        </row>
        <row r="3861">
          <cell r="A3861" t="str">
            <v>CELLMAX TECHNOLOGIES</v>
          </cell>
          <cell r="B3861" t="str">
            <v>CMA-BDHH/6521/E0-6</v>
          </cell>
          <cell r="O3861">
            <v>10.389737650000001</v>
          </cell>
          <cell r="T3861">
            <v>3.6738584489999999</v>
          </cell>
        </row>
        <row r="3862">
          <cell r="A3862" t="str">
            <v>CELLMAX TECHNOLOGIES</v>
          </cell>
          <cell r="B3862" t="str">
            <v>CMA-BDLL/6520/E0-8</v>
          </cell>
          <cell r="O3862">
            <v>6.5114631559999996</v>
          </cell>
          <cell r="T3862">
            <v>2.2888313840000003</v>
          </cell>
        </row>
        <row r="3863">
          <cell r="A3863" t="str">
            <v>CELLMAX TECHNOLOGIES</v>
          </cell>
          <cell r="B3863" t="str">
            <v>CMA-BDLL/6521/E0-6</v>
          </cell>
          <cell r="O3863">
            <v>8.3591724539999994</v>
          </cell>
          <cell r="T3863">
            <v>2.9440695999999997</v>
          </cell>
        </row>
        <row r="3864">
          <cell r="A3864" t="str">
            <v>CELLMAX TECHNOLOGIES</v>
          </cell>
          <cell r="B3864" t="str">
            <v>CMA-BTLBHH/6516/20/20</v>
          </cell>
          <cell r="O3864">
            <v>8.8147472989999986</v>
          </cell>
          <cell r="T3864">
            <v>4.1651937319999996</v>
          </cell>
        </row>
        <row r="3865">
          <cell r="A3865" t="str">
            <v>CELLMAX TECHNOLOGIES</v>
          </cell>
          <cell r="B3865" t="str">
            <v>CMA-BTLBHH/6518/20/20</v>
          </cell>
          <cell r="O3865">
            <v>12.03819927</v>
          </cell>
          <cell r="T3865">
            <v>5.674974722</v>
          </cell>
        </row>
        <row r="3866">
          <cell r="A3866" t="str">
            <v>CELLMAX TECHNOLOGIES</v>
          </cell>
          <cell r="B3866" t="str">
            <v>CMA-BTLBHH/6518/21/21</v>
          </cell>
          <cell r="O3866">
            <v>12.03819927</v>
          </cell>
          <cell r="T3866">
            <v>5.674974722</v>
          </cell>
        </row>
        <row r="3867">
          <cell r="A3867" t="str">
            <v>CELLMAX TECHNOLOGIES</v>
          </cell>
          <cell r="B3867" t="str">
            <v>CMA-UBDHH/6521/E1-10</v>
          </cell>
          <cell r="O3867">
            <v>7.815439779182789</v>
          </cell>
          <cell r="T3867">
            <v>2.8769739445942704</v>
          </cell>
        </row>
        <row r="3868">
          <cell r="A3868" t="str">
            <v>CELLMAX TECHNOLOGIES</v>
          </cell>
          <cell r="B3868" t="str">
            <v>CMA-UBDHHUP/6518-10_202503_TMO</v>
          </cell>
          <cell r="O3868"/>
          <cell r="T3868"/>
        </row>
        <row r="3869">
          <cell r="A3869" t="str">
            <v>CELLMAX TECHNOLOGIES</v>
          </cell>
          <cell r="B3869" t="str">
            <v>CMA-UBDHHUP/6520/E2-10</v>
          </cell>
          <cell r="O3869">
            <v>5.7527699962993601</v>
          </cell>
          <cell r="T3869">
            <v>2.1692785053848898</v>
          </cell>
        </row>
        <row r="3870">
          <cell r="A3870" t="str">
            <v>CELLMAX TECHNOLOGIES</v>
          </cell>
          <cell r="B3870" t="str">
            <v>CMA-UBTLBHH/6516/20/20</v>
          </cell>
          <cell r="O3870">
            <v>9.3811262979999999</v>
          </cell>
          <cell r="T3870">
            <v>3.7871393700000002</v>
          </cell>
        </row>
        <row r="3871">
          <cell r="A3871" t="str">
            <v>CELLMAX TECHNOLOGIES</v>
          </cell>
          <cell r="B3871" t="str">
            <v>CMA-UBTLBHH/6516/21/21</v>
          </cell>
          <cell r="O3871">
            <v>10.507990529999999</v>
          </cell>
          <cell r="T3871">
            <v>4.2254069139999997</v>
          </cell>
        </row>
        <row r="3872">
          <cell r="A3872" t="str">
            <v>CELLMAX TECHNOLOGIES</v>
          </cell>
          <cell r="B3872" t="str">
            <v>CMA-UBTLBHH/6517/21/21</v>
          </cell>
          <cell r="O3872">
            <v>12.71067236</v>
          </cell>
          <cell r="T3872">
            <v>5.0777687309999999</v>
          </cell>
        </row>
        <row r="3873">
          <cell r="A3873" t="str">
            <v>CELLMAX TECHNOLOGIES</v>
          </cell>
          <cell r="B3873" t="str">
            <v>CMA-UBTLBHH/6517/21/21/RET</v>
          </cell>
          <cell r="O3873">
            <v>13.1466471354167</v>
          </cell>
          <cell r="T3873">
            <v>5.2545252790071997</v>
          </cell>
        </row>
        <row r="3874">
          <cell r="A3874" t="str">
            <v>CELLMAX TECHNOLOGIES</v>
          </cell>
          <cell r="B3874" t="str">
            <v>CMA-UBTLBLBHHHHP/6518/18/22/22/22/22</v>
          </cell>
          <cell r="O3874">
            <v>15.9608217592593</v>
          </cell>
          <cell r="T3874">
            <v>5.29468947907543</v>
          </cell>
        </row>
        <row r="3875">
          <cell r="A3875" t="str">
            <v>CELLMAX TECHNOLOGIES</v>
          </cell>
          <cell r="B3875" t="str">
            <v>CMA-UBTLBLBHHP/6518/18/23/23_20220808</v>
          </cell>
          <cell r="O3875"/>
          <cell r="T3875"/>
        </row>
        <row r="3876">
          <cell r="A3876" t="str">
            <v>CELLMAX TECHNOLOGIES</v>
          </cell>
          <cell r="B3876" t="str">
            <v>CMA-UBTMLBMLBHH/6516/16/21/21</v>
          </cell>
          <cell r="O3876">
            <v>18.691419100000001</v>
          </cell>
          <cell r="T3876">
            <v>4.6639971310000004</v>
          </cell>
        </row>
        <row r="3877">
          <cell r="A3877" t="str">
            <v>CELLMAX TECHNOLOGIES</v>
          </cell>
          <cell r="B3877" t="str">
            <v>CMA-UBTULBHHP/6516/21/21</v>
          </cell>
          <cell r="O3877">
            <v>10.2862112806129</v>
          </cell>
          <cell r="T3877">
            <v>4.1315962394999097</v>
          </cell>
        </row>
        <row r="3878">
          <cell r="A3878" t="str">
            <v>CELLMAX TECHNOLOGIES</v>
          </cell>
          <cell r="B3878" t="str">
            <v>CMA-UBTULBHHP/6516/21/21_CCIV2</v>
          </cell>
          <cell r="O3878">
            <v>11.05683971887759</v>
          </cell>
          <cell r="T3878">
            <v>4.5291819131662496</v>
          </cell>
        </row>
        <row r="3879">
          <cell r="A3879" t="str">
            <v>CELLMAX TECHNOLOGIES</v>
          </cell>
          <cell r="B3879" t="str">
            <v>CMA-UBTULBHHP65172121</v>
          </cell>
          <cell r="O3879">
            <v>14.5149816743827</v>
          </cell>
          <cell r="T3879">
            <v>5.7803416226972599</v>
          </cell>
        </row>
        <row r="3880">
          <cell r="A3880" t="str">
            <v>CELLMAX TECHNOLOGIES</v>
          </cell>
          <cell r="B3880" t="str">
            <v>CMA-UBTULBULBHH/6516/16/21/21</v>
          </cell>
          <cell r="O3880">
            <v>18.4968033454386</v>
          </cell>
          <cell r="T3880">
            <v>4.7031938951418599</v>
          </cell>
        </row>
        <row r="3881">
          <cell r="A3881" t="str">
            <v>CELLMAX TECHNOLOGIES</v>
          </cell>
          <cell r="B3881" t="str">
            <v>CMA-UBTULBULBHH/6516/16/21/21_CCIV</v>
          </cell>
          <cell r="O3881"/>
          <cell r="T3881"/>
        </row>
        <row r="3882">
          <cell r="A3882" t="str">
            <v>CELLMAX TECHNOLOGIES</v>
          </cell>
          <cell r="B3882" t="str">
            <v>CMA-UBTULBULBHH/6517/17/21/21</v>
          </cell>
          <cell r="O3882">
            <v>0</v>
          </cell>
          <cell r="T3882">
            <v>0</v>
          </cell>
        </row>
        <row r="3883">
          <cell r="A3883" t="str">
            <v>CELLMAX TECHNOLOGIES</v>
          </cell>
          <cell r="B3883" t="str">
            <v>CMA-UBTULBULBHH/6517/17/21/21_CCIV2</v>
          </cell>
          <cell r="O3883">
            <v>0</v>
          </cell>
          <cell r="T3883">
            <v>0</v>
          </cell>
        </row>
        <row r="3884">
          <cell r="A3884" t="str">
            <v>CELLMAX TECHNOLOGIES</v>
          </cell>
          <cell r="B3884" t="str">
            <v>CMA-UBTULBULBHH/6517/17/21/21_CCIV3</v>
          </cell>
          <cell r="O3884">
            <v>0</v>
          </cell>
          <cell r="T3884">
            <v>0</v>
          </cell>
        </row>
        <row r="3885">
          <cell r="A3885" t="str">
            <v>CELLMAX TECHNOLOGIES</v>
          </cell>
          <cell r="B3885" t="str">
            <v>CMA-UBTULBULBHH/6517/17/21/21_CCIV4</v>
          </cell>
          <cell r="O3885">
            <v>22.8602768132716</v>
          </cell>
          <cell r="T3885">
            <v>5.8183227389092389</v>
          </cell>
        </row>
        <row r="3886">
          <cell r="A3886" t="str">
            <v>CELLMAX TECHNOLOGIES</v>
          </cell>
          <cell r="B3886" t="str">
            <v>CMA-UBTULBULBHH/6517/17/21/21_CCIV5</v>
          </cell>
          <cell r="O3886">
            <v>22.8602768132716</v>
          </cell>
          <cell r="T3886">
            <v>5.8183227389092389</v>
          </cell>
        </row>
        <row r="3887">
          <cell r="A3887" t="str">
            <v>CELLMAX TECHNOLOGIES</v>
          </cell>
          <cell r="B3887" t="str">
            <v>CMA-UBTULBULBHHHH/6516/16/21/21/21/21</v>
          </cell>
          <cell r="O3887"/>
          <cell r="T3887"/>
        </row>
        <row r="3888">
          <cell r="A3888" t="str">
            <v>CELLMAX TECHNOLOGIES</v>
          </cell>
          <cell r="B3888" t="str">
            <v>CMA-UBTULBULBHHP/6516/16/21/21</v>
          </cell>
          <cell r="O3888">
            <v>10.640972222222191</v>
          </cell>
          <cell r="T3888">
            <v>4.4561632921051304</v>
          </cell>
        </row>
        <row r="3889">
          <cell r="A3889" t="str">
            <v>CELLMAX TECHNOLOGIES</v>
          </cell>
          <cell r="B3889" t="str">
            <v>CMA-UBTULBULBHHP/6517/17/21/21</v>
          </cell>
          <cell r="O3889">
            <v>15.1618736219637</v>
          </cell>
          <cell r="T3889">
            <v>6.6166133137949199</v>
          </cell>
        </row>
        <row r="3890">
          <cell r="A3890" t="str">
            <v>CELLMAX TECHNOLOGIES</v>
          </cell>
          <cell r="B3890" t="str">
            <v>CMA-UBTULBULBHHP/6517/17/21/21_20210603</v>
          </cell>
          <cell r="O3890"/>
          <cell r="T3890"/>
        </row>
        <row r="3891">
          <cell r="A3891" t="str">
            <v>CELLMAX TECHNOLOGIES</v>
          </cell>
          <cell r="B3891" t="str">
            <v>CMA-UBTULBULBHHP/6517/17/21/21_CCIV2</v>
          </cell>
          <cell r="O3891">
            <v>14.268701774691401</v>
          </cell>
          <cell r="T3891">
            <v>5.9714236497736</v>
          </cell>
        </row>
        <row r="3892">
          <cell r="A3892" t="str">
            <v>CELLMAX TECHNOLOGIES</v>
          </cell>
          <cell r="B3892" t="str">
            <v>CMA_UBDHH_6518_E2-10</v>
          </cell>
          <cell r="O3892">
            <v>3.8022251160000002</v>
          </cell>
          <cell r="T3892">
            <v>1.4890781709999998</v>
          </cell>
        </row>
        <row r="3893">
          <cell r="A3893" t="str">
            <v>CELLPHONE-MATE, INC</v>
          </cell>
          <cell r="B3893" t="str">
            <v>CM230-W</v>
          </cell>
          <cell r="O3893"/>
          <cell r="T3893"/>
        </row>
        <row r="3894">
          <cell r="A3894" t="str">
            <v>CERAGON</v>
          </cell>
          <cell r="B3894" t="str">
            <v>AM-1-18-CIRC</v>
          </cell>
          <cell r="O3894"/>
          <cell r="T3894"/>
        </row>
        <row r="3895">
          <cell r="A3895" t="str">
            <v>CERAGON</v>
          </cell>
          <cell r="B3895" t="str">
            <v>AM-1-23-CIRC-CR1</v>
          </cell>
          <cell r="O3895"/>
          <cell r="T3895"/>
        </row>
        <row r="3896">
          <cell r="A3896" t="str">
            <v>CERAGON</v>
          </cell>
          <cell r="B3896" t="str">
            <v>AM-1-28-CIRC-CR1</v>
          </cell>
          <cell r="O3896"/>
          <cell r="T3896"/>
        </row>
        <row r="3897">
          <cell r="A3897" t="str">
            <v>CERAGON</v>
          </cell>
          <cell r="B3897" t="str">
            <v>AM-2-80-CR</v>
          </cell>
          <cell r="O3897"/>
          <cell r="T3897"/>
        </row>
        <row r="3898">
          <cell r="A3898" t="str">
            <v>CERAGON</v>
          </cell>
          <cell r="B3898" t="str">
            <v>AM-3-18-CIRC-CR1</v>
          </cell>
          <cell r="O3898"/>
          <cell r="T3898"/>
        </row>
        <row r="3899">
          <cell r="A3899" t="str">
            <v>CERAGON</v>
          </cell>
          <cell r="B3899" t="str">
            <v>AM-4-18-A</v>
          </cell>
          <cell r="O3899"/>
          <cell r="T3899"/>
        </row>
        <row r="3900">
          <cell r="A3900" t="str">
            <v>CERAGON</v>
          </cell>
          <cell r="B3900" t="str">
            <v>AM-E2-0.2M-28-CIRC-CR1_TMO</v>
          </cell>
          <cell r="O3900"/>
          <cell r="T3900"/>
        </row>
        <row r="3901">
          <cell r="A3901" t="str">
            <v>CERAGON</v>
          </cell>
          <cell r="B3901" t="str">
            <v>Am-2-11W-CR</v>
          </cell>
          <cell r="O3901"/>
          <cell r="T3901"/>
        </row>
        <row r="3902">
          <cell r="A3902" t="str">
            <v>CERAGON</v>
          </cell>
          <cell r="B3902" t="str">
            <v>FIBEAIR 2500SC JET</v>
          </cell>
          <cell r="O3902"/>
          <cell r="T3902"/>
        </row>
        <row r="3903">
          <cell r="A3903" t="str">
            <v>CERAGON</v>
          </cell>
          <cell r="B3903" t="str">
            <v>FIBEAIR 4800_CCIV2</v>
          </cell>
          <cell r="O3903"/>
          <cell r="T3903"/>
        </row>
        <row r="3904">
          <cell r="A3904" t="str">
            <v>CERAGON</v>
          </cell>
          <cell r="B3904" t="str">
            <v>TME-FIBEAIR IP-20C</v>
          </cell>
          <cell r="O3904"/>
          <cell r="T3904"/>
        </row>
        <row r="3905">
          <cell r="A3905" t="str">
            <v>CERAGON</v>
          </cell>
          <cell r="B3905" t="str">
            <v>TME-FIBEAIR RFU-C</v>
          </cell>
          <cell r="O3905"/>
          <cell r="T3905"/>
        </row>
        <row r="3906">
          <cell r="A3906" t="str">
            <v>CHANNEL MASTER</v>
          </cell>
          <cell r="B3906" t="str">
            <v>1.2M</v>
          </cell>
          <cell r="O3906"/>
          <cell r="T3906"/>
        </row>
        <row r="3907">
          <cell r="A3907" t="str">
            <v>CHANNEL MASTER</v>
          </cell>
          <cell r="B3907" t="str">
            <v>1.8M</v>
          </cell>
          <cell r="O3907"/>
          <cell r="T3907"/>
        </row>
        <row r="3908">
          <cell r="A3908" t="str">
            <v>CHANNEL MASTER</v>
          </cell>
          <cell r="B3908" t="str">
            <v>3040642-01</v>
          </cell>
          <cell r="O3908"/>
          <cell r="T3908"/>
        </row>
        <row r="3909">
          <cell r="A3909" t="str">
            <v>CHANNEL MASTER</v>
          </cell>
          <cell r="B3909" t="str">
            <v>3040842-01</v>
          </cell>
          <cell r="O3909"/>
          <cell r="T3909"/>
        </row>
        <row r="3910">
          <cell r="A3910" t="str">
            <v>CHANNEL MASTER</v>
          </cell>
          <cell r="B3910" t="str">
            <v>603-01</v>
          </cell>
          <cell r="O3910"/>
          <cell r="T3910"/>
        </row>
        <row r="3911">
          <cell r="A3911" t="str">
            <v>CHANNEL MASTER</v>
          </cell>
          <cell r="B3911" t="str">
            <v>6195</v>
          </cell>
          <cell r="O3911"/>
          <cell r="T3911"/>
        </row>
        <row r="3912">
          <cell r="A3912" t="str">
            <v>CHANNEL MASTER</v>
          </cell>
          <cell r="B3912" t="str">
            <v>6921</v>
          </cell>
          <cell r="O3912"/>
          <cell r="T3912"/>
        </row>
        <row r="3913">
          <cell r="A3913" t="str">
            <v>CHANNEL MASTER</v>
          </cell>
          <cell r="B3913" t="str">
            <v>CM 4228HD</v>
          </cell>
          <cell r="O3913"/>
          <cell r="T3913"/>
        </row>
        <row r="3914">
          <cell r="A3914" t="str">
            <v>CHANNEL MASTER</v>
          </cell>
          <cell r="B3914" t="str">
            <v>CM-4221HD</v>
          </cell>
          <cell r="O3914"/>
          <cell r="T3914"/>
        </row>
        <row r="3915">
          <cell r="A3915" t="str">
            <v>CHANNEL MASTER</v>
          </cell>
          <cell r="B3915" t="str">
            <v>CM-4228HD</v>
          </cell>
          <cell r="O3915"/>
          <cell r="T3915"/>
        </row>
        <row r="3916">
          <cell r="A3916" t="str">
            <v>CHANNEL MASTER</v>
          </cell>
          <cell r="B3916" t="str">
            <v>CM-5020</v>
          </cell>
          <cell r="O3916"/>
          <cell r="T3916"/>
        </row>
        <row r="3917">
          <cell r="A3917" t="str">
            <v>CHANNEL MASTER</v>
          </cell>
          <cell r="B3917" t="str">
            <v>SSI800096S5_25</v>
          </cell>
          <cell r="O3917"/>
          <cell r="T3917"/>
        </row>
        <row r="3918">
          <cell r="A3918" t="str">
            <v>CHANNEL MASTER</v>
          </cell>
          <cell r="B3918" t="str">
            <v>SSI800368S15</v>
          </cell>
          <cell r="O3918"/>
          <cell r="T3918"/>
        </row>
        <row r="3919">
          <cell r="A3919" t="str">
            <v>CHANNEL MASTER</v>
          </cell>
          <cell r="B3919" t="str">
            <v>SSI805622S12_112</v>
          </cell>
          <cell r="O3919"/>
          <cell r="T3919"/>
        </row>
        <row r="3920">
          <cell r="A3920" t="str">
            <v>CHANNEL MASTER</v>
          </cell>
          <cell r="B3920" t="str">
            <v>SSI805622S12_114</v>
          </cell>
          <cell r="O3920"/>
          <cell r="T3920"/>
        </row>
        <row r="3921">
          <cell r="A3921" t="str">
            <v>CHANNEL MASTER</v>
          </cell>
          <cell r="B3921" t="str">
            <v>SSI805622S15_109</v>
          </cell>
          <cell r="O3921"/>
          <cell r="T3921"/>
        </row>
        <row r="3922">
          <cell r="A3922" t="str">
            <v>CHANNEL MASTER</v>
          </cell>
          <cell r="B3922" t="str">
            <v>SSI805622S15_111</v>
          </cell>
          <cell r="O3922"/>
          <cell r="T3922"/>
        </row>
        <row r="3923">
          <cell r="A3923" t="str">
            <v>CHANNEL MASTER</v>
          </cell>
          <cell r="B3923" t="str">
            <v>SSI805622S19_107</v>
          </cell>
          <cell r="O3923"/>
          <cell r="T3923"/>
        </row>
        <row r="3924">
          <cell r="A3924" t="str">
            <v>CHANNEL MASTER</v>
          </cell>
          <cell r="B3924" t="str">
            <v>SSI805622S19_108</v>
          </cell>
          <cell r="O3924"/>
          <cell r="T3924"/>
        </row>
        <row r="3925">
          <cell r="A3925" t="str">
            <v>CHANNEL MASTER</v>
          </cell>
          <cell r="B3925" t="str">
            <v>SSI814041M17</v>
          </cell>
          <cell r="O3925"/>
          <cell r="T3925"/>
        </row>
        <row r="3926">
          <cell r="A3926" t="str">
            <v>CHANNEL MASTER</v>
          </cell>
          <cell r="B3926" t="str">
            <v>SSI814041M31</v>
          </cell>
          <cell r="O3926"/>
          <cell r="T3926"/>
        </row>
        <row r="3927">
          <cell r="A3927" t="str">
            <v>CHANNEL MASTER</v>
          </cell>
          <cell r="B3927" t="str">
            <v>SSI814129S19</v>
          </cell>
          <cell r="O3927"/>
          <cell r="T3927"/>
        </row>
        <row r="3928">
          <cell r="A3928" t="str">
            <v>CHANNEL MASTER</v>
          </cell>
          <cell r="B3928" t="str">
            <v>SSI816702S14</v>
          </cell>
          <cell r="O3928"/>
          <cell r="T3928"/>
        </row>
        <row r="3929">
          <cell r="A3929" t="str">
            <v>CHANNEL MASTER</v>
          </cell>
          <cell r="B3929" t="str">
            <v>TYPE 100</v>
          </cell>
          <cell r="O3929"/>
          <cell r="T3929"/>
        </row>
        <row r="3930">
          <cell r="A3930" t="str">
            <v>CHANNEL MASTER</v>
          </cell>
          <cell r="B3930" t="str">
            <v>TYPE 120</v>
          </cell>
          <cell r="O3930"/>
          <cell r="T3930"/>
        </row>
        <row r="3931">
          <cell r="A3931" t="str">
            <v>CHANNEL MASTER</v>
          </cell>
          <cell r="B3931" t="str">
            <v>TYPE 180TX</v>
          </cell>
          <cell r="O3931"/>
          <cell r="T3931"/>
        </row>
        <row r="3932">
          <cell r="A3932" t="str">
            <v>CHANNEL MASTER</v>
          </cell>
          <cell r="B3932" t="str">
            <v>TYPE 750</v>
          </cell>
          <cell r="O3932"/>
          <cell r="T3932"/>
        </row>
        <row r="3933">
          <cell r="A3933" t="str">
            <v>CHANNEL MASTER</v>
          </cell>
          <cell r="B3933" t="str">
            <v>TYPE 900</v>
          </cell>
          <cell r="O3933"/>
          <cell r="T3933"/>
        </row>
        <row r="3934">
          <cell r="A3934" t="str">
            <v>CISCO SYSTEM</v>
          </cell>
          <cell r="B3934" t="str">
            <v>AIR-ANT1949</v>
          </cell>
          <cell r="O3934"/>
          <cell r="T3934"/>
        </row>
        <row r="3935">
          <cell r="A3935" t="str">
            <v>CISCO SYSTEM</v>
          </cell>
          <cell r="B3935" t="str">
            <v>AIR-ANT3338</v>
          </cell>
          <cell r="O3935"/>
          <cell r="T3935"/>
        </row>
        <row r="3936">
          <cell r="A3936" t="str">
            <v>CISCO SYSTEM</v>
          </cell>
          <cell r="B3936" t="str">
            <v>AIR-ANT3338 W/RADOME</v>
          </cell>
          <cell r="O3936"/>
          <cell r="T3936"/>
        </row>
        <row r="3937">
          <cell r="A3937" t="str">
            <v>CISCO SYSTEM</v>
          </cell>
          <cell r="B3937" t="str">
            <v>AIR-ANT4121</v>
          </cell>
          <cell r="O3937"/>
          <cell r="T3937"/>
        </row>
        <row r="3938">
          <cell r="A3938" t="str">
            <v>CISCO SYSTEM</v>
          </cell>
          <cell r="B3938" t="str">
            <v>AIR-ANT58G28SDA-N</v>
          </cell>
          <cell r="O3938"/>
          <cell r="T3938"/>
        </row>
        <row r="3939">
          <cell r="A3939" t="str">
            <v>CISCO SYSTEM</v>
          </cell>
          <cell r="B3939" t="str">
            <v>AIR-BR1310G-x-K9_CCIV2</v>
          </cell>
          <cell r="O3939"/>
          <cell r="T3939"/>
        </row>
        <row r="3940">
          <cell r="A3940" t="str">
            <v>CISCO SYSTEM</v>
          </cell>
          <cell r="B3940" t="str">
            <v>AIR-BR1410A-A-K9-N_CCIV2</v>
          </cell>
          <cell r="O3940"/>
          <cell r="T3940"/>
        </row>
        <row r="3941">
          <cell r="A3941" t="str">
            <v>CISCO SYSTEM</v>
          </cell>
          <cell r="B3941" t="str">
            <v>AIRONET 1552E</v>
          </cell>
          <cell r="O3941"/>
          <cell r="T3941"/>
        </row>
        <row r="3942">
          <cell r="A3942" t="str">
            <v>CISCO SYSTEM</v>
          </cell>
          <cell r="B3942" t="str">
            <v>ANT-4G-PNL-OUT-N</v>
          </cell>
          <cell r="O3942"/>
          <cell r="T3942"/>
        </row>
        <row r="3943">
          <cell r="A3943" t="str">
            <v>CISCO SYSTEM</v>
          </cell>
          <cell r="B3943" t="str">
            <v>ANT-4G-SR-OUT-TNC</v>
          </cell>
          <cell r="O3943"/>
          <cell r="T3943"/>
        </row>
        <row r="3944">
          <cell r="A3944" t="str">
            <v>CLEARWIRE</v>
          </cell>
          <cell r="B3944" t="str">
            <v>TYPE 1 DISH</v>
          </cell>
          <cell r="O3944"/>
          <cell r="T3944"/>
        </row>
        <row r="3945">
          <cell r="A3945" t="str">
            <v>CLEARWIRE</v>
          </cell>
          <cell r="B3945" t="str">
            <v>TYPE II PANEL</v>
          </cell>
          <cell r="O3945"/>
          <cell r="T3945"/>
        </row>
        <row r="3946">
          <cell r="A3946" t="str">
            <v>CLEARWIRE</v>
          </cell>
          <cell r="B3946" t="str">
            <v>TYPE III PANEL</v>
          </cell>
          <cell r="O3946"/>
          <cell r="T3946"/>
        </row>
        <row r="3947">
          <cell r="A3947" t="str">
            <v>CLEARWIRE</v>
          </cell>
          <cell r="B3947" t="str">
            <v>TYPE III PANEL DAP</v>
          </cell>
          <cell r="O3947"/>
          <cell r="T3947"/>
        </row>
        <row r="3948">
          <cell r="A3948" t="str">
            <v>CLEARWIRE</v>
          </cell>
          <cell r="B3948" t="str">
            <v>TYPE IV PANEL</v>
          </cell>
          <cell r="O3948"/>
          <cell r="T3948"/>
        </row>
        <row r="3949">
          <cell r="A3949" t="str">
            <v>CLEARWIRE</v>
          </cell>
          <cell r="B3949" t="str">
            <v>TYPE L PANEL</v>
          </cell>
          <cell r="O3949"/>
          <cell r="T3949"/>
        </row>
        <row r="3950">
          <cell r="A3950" t="str">
            <v>CLEARWIRE</v>
          </cell>
          <cell r="B3950" t="str">
            <v>TYPE LL CYL</v>
          </cell>
          <cell r="O3950"/>
          <cell r="T3950"/>
        </row>
        <row r="3951">
          <cell r="A3951" t="str">
            <v>CLEARWIRE</v>
          </cell>
          <cell r="B3951" t="str">
            <v>TYPE V PANEL</v>
          </cell>
          <cell r="O3951"/>
          <cell r="T3951"/>
        </row>
        <row r="3952">
          <cell r="A3952" t="str">
            <v>CNS SYSTEM</v>
          </cell>
          <cell r="B3952" t="str">
            <v>T3000N</v>
          </cell>
          <cell r="O3952"/>
          <cell r="T3952"/>
        </row>
        <row r="3953">
          <cell r="A3953" t="str">
            <v>COBHAM ANTENNA SYSTEMS</v>
          </cell>
          <cell r="B3953" t="str">
            <v>FPA19-24V/163</v>
          </cell>
          <cell r="O3953"/>
          <cell r="T3953"/>
        </row>
        <row r="3954">
          <cell r="A3954" t="str">
            <v>COBHAM ANTENNA SYSTEMS</v>
          </cell>
          <cell r="B3954" t="str">
            <v>FPA20-47V/1323</v>
          </cell>
          <cell r="O3954"/>
          <cell r="T3954"/>
        </row>
        <row r="3955">
          <cell r="A3955" t="str">
            <v>COBHAM ANTENNA SYSTEMS</v>
          </cell>
          <cell r="B3955" t="str">
            <v>SA14-90-12.5VH/1696</v>
          </cell>
          <cell r="O3955"/>
          <cell r="T3955"/>
        </row>
        <row r="3956">
          <cell r="A3956" t="str">
            <v>CODIYASCA</v>
          </cell>
          <cell r="B3956" t="str">
            <v>LDP-FM4</v>
          </cell>
          <cell r="O3956"/>
          <cell r="T3956"/>
        </row>
        <row r="3957">
          <cell r="A3957" t="str">
            <v>COLE</v>
          </cell>
          <cell r="B3957" t="str">
            <v>07-0200</v>
          </cell>
          <cell r="O3957"/>
          <cell r="T3957"/>
        </row>
        <row r="3958">
          <cell r="A3958" t="str">
            <v>COLUBRIS NETWORKS</v>
          </cell>
          <cell r="B3958" t="str">
            <v>MAP-330R</v>
          </cell>
          <cell r="O3958"/>
          <cell r="T3958"/>
        </row>
        <row r="3959">
          <cell r="A3959" t="str">
            <v>COMARCOM</v>
          </cell>
          <cell r="B3959" t="str">
            <v>CC12-WB</v>
          </cell>
          <cell r="O3959"/>
          <cell r="T3959"/>
        </row>
        <row r="3960">
          <cell r="A3960" t="str">
            <v>COMARCOM</v>
          </cell>
          <cell r="B3960" t="str">
            <v>CMP12WB</v>
          </cell>
          <cell r="O3960"/>
          <cell r="T3960"/>
        </row>
        <row r="3961">
          <cell r="A3961" t="str">
            <v>COMARCOM</v>
          </cell>
          <cell r="B3961" t="str">
            <v>CP32WB</v>
          </cell>
          <cell r="O3961"/>
          <cell r="T3961"/>
        </row>
        <row r="3962">
          <cell r="A3962" t="str">
            <v>COMBA TELECOM</v>
          </cell>
          <cell r="B3962" t="str">
            <v>ODI-065R16M18JJ-GQ</v>
          </cell>
          <cell r="O3962">
            <v>4.9652285760405395</v>
          </cell>
          <cell r="T3962">
            <v>2.6969473419371099</v>
          </cell>
        </row>
        <row r="3963">
          <cell r="A3963" t="str">
            <v>COMBA TELECOM</v>
          </cell>
          <cell r="B3963" t="str">
            <v>ODI2-065R18K-GQ</v>
          </cell>
          <cell r="O3963">
            <v>4.00612906230461</v>
          </cell>
          <cell r="T3963">
            <v>0.98079346133412404</v>
          </cell>
        </row>
        <row r="3964">
          <cell r="A3964" t="str">
            <v>COMBA TELECOM</v>
          </cell>
          <cell r="B3964" t="str">
            <v>ODSI-065R15MMJJJJ16U02-Q</v>
          </cell>
          <cell r="O3964"/>
          <cell r="T3964"/>
        </row>
        <row r="3965">
          <cell r="A3965" t="str">
            <v>COMET</v>
          </cell>
          <cell r="B3965" t="str">
            <v>CFM-95SL</v>
          </cell>
          <cell r="O3965"/>
          <cell r="T3965"/>
        </row>
        <row r="3966">
          <cell r="A3966" t="str">
            <v>COMET</v>
          </cell>
          <cell r="B3966" t="str">
            <v>GP-98</v>
          </cell>
          <cell r="O3966"/>
          <cell r="T3966"/>
        </row>
        <row r="3967">
          <cell r="A3967" t="str">
            <v>COMET ANTENNA</v>
          </cell>
          <cell r="B3967" t="str">
            <v>GP-15</v>
          </cell>
          <cell r="O3967"/>
          <cell r="T3967"/>
        </row>
        <row r="3968">
          <cell r="A3968" t="str">
            <v>COMET ANTENNA</v>
          </cell>
          <cell r="B3968" t="str">
            <v>GP-21</v>
          </cell>
          <cell r="O3968"/>
          <cell r="T3968"/>
        </row>
        <row r="3969">
          <cell r="A3969" t="str">
            <v>COMET ANTENNA</v>
          </cell>
          <cell r="B3969" t="str">
            <v>GP-24-3</v>
          </cell>
          <cell r="O3969"/>
          <cell r="T3969"/>
        </row>
        <row r="3970">
          <cell r="A3970" t="str">
            <v>COMET ANTENNA</v>
          </cell>
          <cell r="B3970" t="str">
            <v>GP-9N</v>
          </cell>
          <cell r="O3970"/>
          <cell r="T3970"/>
        </row>
        <row r="3971">
          <cell r="A3971" t="str">
            <v>COMHAT</v>
          </cell>
          <cell r="B3971" t="str">
            <v>901-HAA1806_00-PA4</v>
          </cell>
          <cell r="O3971"/>
          <cell r="T3971"/>
        </row>
        <row r="3972">
          <cell r="A3972" t="str">
            <v>COMHAT</v>
          </cell>
          <cell r="B3972" t="str">
            <v>HAA2303</v>
          </cell>
          <cell r="O3972"/>
          <cell r="T3972"/>
        </row>
        <row r="3973">
          <cell r="A3973" t="str">
            <v>COMMANDER TECHNOLOGIES</v>
          </cell>
          <cell r="B3973" t="str">
            <v>10017-6</v>
          </cell>
          <cell r="O3973"/>
          <cell r="T3973"/>
        </row>
        <row r="3974">
          <cell r="A3974" t="str">
            <v>COMMANDER TECHNOLOGIES</v>
          </cell>
          <cell r="B3974" t="str">
            <v>10017-8</v>
          </cell>
          <cell r="O3974"/>
          <cell r="T3974"/>
        </row>
        <row r="3975">
          <cell r="A3975" t="str">
            <v>COMMANDER TECHNOLOGIES</v>
          </cell>
          <cell r="B3975" t="str">
            <v>1108-3</v>
          </cell>
          <cell r="O3975"/>
          <cell r="T3975"/>
        </row>
        <row r="3976">
          <cell r="A3976" t="str">
            <v>COMMANDER TECHNOLOGIES</v>
          </cell>
          <cell r="B3976" t="str">
            <v>1142-2AN</v>
          </cell>
          <cell r="O3976"/>
          <cell r="T3976"/>
        </row>
        <row r="3977">
          <cell r="A3977" t="str">
            <v>COMMANDER TECHNOLOGIES</v>
          </cell>
          <cell r="B3977" t="str">
            <v>1142-2BN_20120106</v>
          </cell>
          <cell r="O3977"/>
          <cell r="T3977"/>
        </row>
        <row r="3978">
          <cell r="A3978" t="str">
            <v>COMMANDER TECHNOLOGIES</v>
          </cell>
          <cell r="B3978" t="str">
            <v>1142-2CN</v>
          </cell>
          <cell r="O3978"/>
          <cell r="T3978"/>
        </row>
        <row r="3979">
          <cell r="A3979" t="str">
            <v>COMMANDER TECHNOLOGIES</v>
          </cell>
          <cell r="B3979" t="str">
            <v>1150-6N</v>
          </cell>
          <cell r="O3979"/>
          <cell r="T3979"/>
        </row>
        <row r="3980">
          <cell r="A3980" t="str">
            <v>COMMANDER TECHNOLOGIES</v>
          </cell>
          <cell r="B3980" t="str">
            <v>1151-3N</v>
          </cell>
          <cell r="O3980"/>
          <cell r="T3980"/>
        </row>
        <row r="3981">
          <cell r="A3981" t="str">
            <v>COMMANDER TECHNOLOGIES</v>
          </cell>
          <cell r="B3981" t="str">
            <v>1151-4N</v>
          </cell>
          <cell r="O3981"/>
          <cell r="T3981"/>
        </row>
        <row r="3982">
          <cell r="A3982" t="str">
            <v>COMMANDER TECHNOLOGIES</v>
          </cell>
          <cell r="B3982" t="str">
            <v>150-5N</v>
          </cell>
          <cell r="O3982"/>
          <cell r="T3982"/>
        </row>
        <row r="3983">
          <cell r="A3983" t="str">
            <v>COMMANDER TECHNOLOGIES</v>
          </cell>
          <cell r="B3983" t="str">
            <v>220-1N</v>
          </cell>
          <cell r="O3983"/>
          <cell r="T3983"/>
        </row>
        <row r="3984">
          <cell r="A3984" t="str">
            <v>COMMANDER TECHNOLOGIES</v>
          </cell>
          <cell r="B3984" t="str">
            <v>220-3AN</v>
          </cell>
          <cell r="O3984"/>
          <cell r="T3984"/>
        </row>
        <row r="3985">
          <cell r="A3985" t="str">
            <v>COMMANDER TECHNOLOGIES</v>
          </cell>
          <cell r="B3985" t="str">
            <v>220-3BN</v>
          </cell>
          <cell r="O3985"/>
          <cell r="T3985"/>
        </row>
        <row r="3986">
          <cell r="A3986" t="str">
            <v>COMMANDER TECHNOLOGIES</v>
          </cell>
          <cell r="B3986" t="str">
            <v>220-4N</v>
          </cell>
          <cell r="O3986"/>
          <cell r="T3986"/>
        </row>
        <row r="3987">
          <cell r="A3987" t="str">
            <v>COMMANDER TECHNOLOGIES</v>
          </cell>
          <cell r="B3987" t="str">
            <v>220-7N</v>
          </cell>
          <cell r="O3987"/>
          <cell r="T3987"/>
        </row>
        <row r="3988">
          <cell r="A3988" t="str">
            <v>COMMANDER TECHNOLOGIES</v>
          </cell>
          <cell r="B3988" t="str">
            <v>220-8N</v>
          </cell>
          <cell r="O3988"/>
          <cell r="T3988"/>
        </row>
        <row r="3989">
          <cell r="A3989" t="str">
            <v>COMMANDER TECHNOLOGIES</v>
          </cell>
          <cell r="B3989" t="str">
            <v>220DT3N</v>
          </cell>
          <cell r="O3989"/>
          <cell r="T3989"/>
        </row>
        <row r="3990">
          <cell r="A3990" t="str">
            <v>COMMANDER TECHNOLOGIES</v>
          </cell>
          <cell r="B3990" t="str">
            <v>455-6N</v>
          </cell>
          <cell r="O3990"/>
          <cell r="T3990"/>
        </row>
        <row r="3991">
          <cell r="A3991" t="str">
            <v>COMMANDER TECHNOLOGIES</v>
          </cell>
          <cell r="B3991" t="str">
            <v>455DT3N</v>
          </cell>
          <cell r="O3991"/>
          <cell r="T3991"/>
        </row>
        <row r="3992">
          <cell r="A3992" t="str">
            <v>COMMANDER TECHNOLOGIES</v>
          </cell>
          <cell r="B3992" t="str">
            <v>620-6N</v>
          </cell>
          <cell r="O3992"/>
          <cell r="T3992"/>
        </row>
        <row r="3993">
          <cell r="A3993" t="str">
            <v>COMMANDER TECHNOLOGIES</v>
          </cell>
          <cell r="B3993" t="str">
            <v>620-7N</v>
          </cell>
          <cell r="O3993"/>
          <cell r="T3993"/>
        </row>
        <row r="3994">
          <cell r="A3994" t="str">
            <v>COMMANDER TECHNOLOGIES</v>
          </cell>
          <cell r="B3994" t="str">
            <v>AO8410M-24T0</v>
          </cell>
          <cell r="O3994"/>
          <cell r="T3994"/>
        </row>
        <row r="3995">
          <cell r="A3995" t="str">
            <v>COMMANDER TECHNOLOGIES</v>
          </cell>
          <cell r="B3995" t="str">
            <v>CMD201-7</v>
          </cell>
          <cell r="O3995"/>
          <cell r="T3995"/>
        </row>
        <row r="3996">
          <cell r="A3996" t="str">
            <v>COMMANDER TECHNOLOGIES</v>
          </cell>
          <cell r="B3996" t="str">
            <v>VHF 9</v>
          </cell>
          <cell r="O3996"/>
          <cell r="T3996"/>
        </row>
        <row r="3997">
          <cell r="A3997" t="str">
            <v>COMMSCOPE</v>
          </cell>
          <cell r="B3997" t="str">
            <v>2CPX208R-V1</v>
          </cell>
          <cell r="O3997">
            <v>11.3347849151235</v>
          </cell>
          <cell r="T3997">
            <v>2.6648833804736598</v>
          </cell>
        </row>
        <row r="3998">
          <cell r="A3998" t="str">
            <v>COMMSCOPE</v>
          </cell>
          <cell r="B3998" t="str">
            <v>2H-33A-R2</v>
          </cell>
          <cell r="O3998">
            <v>3.3103417540512297</v>
          </cell>
          <cell r="T3998">
            <v>1.9854928705623498</v>
          </cell>
        </row>
        <row r="3999">
          <cell r="A3999" t="str">
            <v>COMMSCOPE</v>
          </cell>
          <cell r="B3999" t="str">
            <v>2HH-38A-R4</v>
          </cell>
          <cell r="O3999">
            <v>6.3247217549999988</v>
          </cell>
          <cell r="T3999">
            <v>2.4349275870000002</v>
          </cell>
        </row>
        <row r="4000">
          <cell r="A4000" t="str">
            <v>COMMSCOPE</v>
          </cell>
          <cell r="B4000" t="str">
            <v>2HH-38A-R4-V2_TMO</v>
          </cell>
          <cell r="O4000">
            <v>6.3247217548670589</v>
          </cell>
          <cell r="T4000">
            <v>2.4349275867631404</v>
          </cell>
        </row>
        <row r="4001">
          <cell r="A4001" t="str">
            <v>COMMSCOPE</v>
          </cell>
          <cell r="B4001" t="str">
            <v>2NN2H4-33B-R6B_20241121</v>
          </cell>
          <cell r="O4001"/>
          <cell r="T4001"/>
        </row>
        <row r="4002">
          <cell r="A4002" t="str">
            <v>COMMSCOPE</v>
          </cell>
          <cell r="B4002" t="str">
            <v>2NN2H4-33C-R6B_20241121</v>
          </cell>
          <cell r="O4002">
            <v>12.8876543209877</v>
          </cell>
          <cell r="T4002">
            <v>4.7297940637320304</v>
          </cell>
        </row>
        <row r="4003">
          <cell r="A4003" t="str">
            <v>COMMSCOPE</v>
          </cell>
          <cell r="B4003" t="str">
            <v>2NN2HH-33B-R4</v>
          </cell>
          <cell r="O4003">
            <v>9.2874449771398986</v>
          </cell>
          <cell r="T4003">
            <v>3.4135092858063203</v>
          </cell>
        </row>
        <row r="4004">
          <cell r="A4004" t="str">
            <v>COMMSCOPE</v>
          </cell>
          <cell r="B4004" t="str">
            <v>2NN2HH-33C-R4</v>
          </cell>
          <cell r="O4004">
            <v>12.953274499999988</v>
          </cell>
          <cell r="T4004">
            <v>4.8944306050000002</v>
          </cell>
        </row>
        <row r="4005">
          <cell r="A4005" t="str">
            <v>COMMSCOPE</v>
          </cell>
          <cell r="B4005" t="str">
            <v>2NN2HH-33C-R4_20240326</v>
          </cell>
          <cell r="O4005">
            <v>12.8876543209877</v>
          </cell>
          <cell r="T4005">
            <v>4.7297940637320304</v>
          </cell>
        </row>
        <row r="4006">
          <cell r="A4006" t="str">
            <v>COMMSCOPE</v>
          </cell>
          <cell r="B4006" t="str">
            <v>2UNPX206.12R2</v>
          </cell>
          <cell r="O4006">
            <v>9.6848910108024704</v>
          </cell>
          <cell r="T4006">
            <v>3.3922024690666297</v>
          </cell>
        </row>
        <row r="4007">
          <cell r="A4007" t="str">
            <v>COMMSCOPE</v>
          </cell>
          <cell r="B4007" t="str">
            <v>2VV-33C-R4</v>
          </cell>
          <cell r="O4007">
            <v>6.1958922200587194</v>
          </cell>
          <cell r="T4007">
            <v>3.5883320644178203</v>
          </cell>
        </row>
        <row r="4008">
          <cell r="A4008" t="str">
            <v>COMMSCOPE</v>
          </cell>
          <cell r="B4008" t="str">
            <v>3 B 0.9 11HPX</v>
          </cell>
          <cell r="O4008"/>
          <cell r="T4008"/>
        </row>
        <row r="4009">
          <cell r="A4009" t="str">
            <v>COMMSCOPE</v>
          </cell>
          <cell r="B4009" t="str">
            <v>3-H24A-3XR</v>
          </cell>
          <cell r="O4009"/>
          <cell r="T4009"/>
        </row>
        <row r="4010">
          <cell r="A4010" t="str">
            <v>COMMSCOPE</v>
          </cell>
          <cell r="B4010" t="str">
            <v>3X-KKV4S4-65B-R15_20240219</v>
          </cell>
          <cell r="O4010"/>
          <cell r="T4010"/>
        </row>
        <row r="4011">
          <cell r="A4011" t="str">
            <v>COMMSCOPE</v>
          </cell>
          <cell r="B4011" t="str">
            <v>3X-V65A-3XR</v>
          </cell>
          <cell r="O4011"/>
          <cell r="T4011"/>
        </row>
        <row r="4012">
          <cell r="A4012" t="str">
            <v>COMMSCOPE</v>
          </cell>
          <cell r="B4012" t="str">
            <v>49-4M-B2</v>
          </cell>
          <cell r="O4012"/>
          <cell r="T4012"/>
        </row>
        <row r="4013">
          <cell r="A4013" t="str">
            <v>COMMSCOPE</v>
          </cell>
          <cell r="B4013" t="str">
            <v>4P-4M-B2</v>
          </cell>
          <cell r="O4013">
            <v>3.9192592592592597</v>
          </cell>
          <cell r="T4013">
            <v>1.3310767733393398</v>
          </cell>
        </row>
        <row r="4014">
          <cell r="A4014" t="str">
            <v>COMMSCOPE</v>
          </cell>
          <cell r="B4014" t="str">
            <v>4P-4M-B2_CCIV2</v>
          </cell>
          <cell r="O4014">
            <v>3.9192592592592597</v>
          </cell>
          <cell r="T4014">
            <v>1.3310767733393398</v>
          </cell>
        </row>
        <row r="4015">
          <cell r="A4015" t="str">
            <v>COMMSCOPE</v>
          </cell>
          <cell r="B4015" t="str">
            <v>5NPX1006F</v>
          </cell>
          <cell r="O4015">
            <v>11.3888526822745</v>
          </cell>
          <cell r="T4015">
            <v>2.5246780499780699</v>
          </cell>
        </row>
        <row r="4016">
          <cell r="A4016" t="str">
            <v>COMMSCOPE</v>
          </cell>
          <cell r="B4016" t="str">
            <v>5UPX0805F</v>
          </cell>
          <cell r="O4016">
            <v>35.095472306059001</v>
          </cell>
          <cell r="T4016">
            <v>6.5555359427941102</v>
          </cell>
        </row>
        <row r="4017">
          <cell r="A4017" t="str">
            <v>COMMSCOPE</v>
          </cell>
          <cell r="B4017" t="str">
            <v>844G80VTA-SX</v>
          </cell>
          <cell r="O4017">
            <v>2.2373509839999999</v>
          </cell>
          <cell r="T4017">
            <v>2.622555615</v>
          </cell>
        </row>
        <row r="4018">
          <cell r="A4018" t="str">
            <v>COMMSCOPE</v>
          </cell>
          <cell r="B4018" t="str">
            <v>854DG70VTRSX</v>
          </cell>
          <cell r="O4018"/>
          <cell r="T4018"/>
        </row>
        <row r="4019">
          <cell r="A4019" t="str">
            <v>COMMSCOPE</v>
          </cell>
          <cell r="B4019" t="str">
            <v>8P-4L4M-B2-DS_20240404</v>
          </cell>
          <cell r="O4019">
            <v>7.1667100694444388</v>
          </cell>
          <cell r="T4019">
            <v>2.9159390610420499</v>
          </cell>
        </row>
        <row r="4020">
          <cell r="A4020" t="str">
            <v>COMMSCOPE</v>
          </cell>
          <cell r="B4020" t="str">
            <v>ADFD1820-3333B-XDM</v>
          </cell>
          <cell r="O4020">
            <v>11.582783559999989</v>
          </cell>
          <cell r="T4020">
            <v>2.65657816</v>
          </cell>
        </row>
        <row r="4021">
          <cell r="A4021" t="str">
            <v>COMMSCOPE</v>
          </cell>
          <cell r="B4021" t="str">
            <v>ADFD1820-33B-A2M</v>
          </cell>
          <cell r="O4021">
            <v>11.582783559999989</v>
          </cell>
          <cell r="T4021">
            <v>2.65657816</v>
          </cell>
        </row>
        <row r="4022">
          <cell r="A4022" t="str">
            <v>COMMSCOPE</v>
          </cell>
          <cell r="B4022" t="str">
            <v>ANT3 A 0.6_TMO</v>
          </cell>
          <cell r="O4022"/>
          <cell r="T4022"/>
        </row>
        <row r="4023">
          <cell r="A4023" t="str">
            <v>COMMSCOPE</v>
          </cell>
          <cell r="B4023" t="str">
            <v>CELLMAX-D-CPUSE</v>
          </cell>
          <cell r="O4023"/>
          <cell r="T4023"/>
        </row>
        <row r="4024">
          <cell r="A4024" t="str">
            <v>COMMSCOPE</v>
          </cell>
          <cell r="B4024" t="str">
            <v>CELLMAX-O-CPUSE</v>
          </cell>
          <cell r="O4024"/>
          <cell r="T4024"/>
        </row>
        <row r="4025">
          <cell r="A4025" t="str">
            <v>COMMSCOPE</v>
          </cell>
          <cell r="B4025" t="str">
            <v>CMAX-D-43-UW-I53</v>
          </cell>
          <cell r="O4025"/>
          <cell r="T4025"/>
        </row>
        <row r="4026">
          <cell r="A4026" t="str">
            <v>COMMSCOPE</v>
          </cell>
          <cell r="B4026" t="str">
            <v>CMAX-DM60-43-V53</v>
          </cell>
          <cell r="O4026"/>
          <cell r="T4026"/>
        </row>
        <row r="4027">
          <cell r="A4027" t="str">
            <v>COMMSCOPE</v>
          </cell>
          <cell r="B4027" t="str">
            <v>CMAX-EXT-43-I53</v>
          </cell>
          <cell r="O4027"/>
          <cell r="T4027"/>
        </row>
        <row r="4028">
          <cell r="A4028" t="str">
            <v>COMMSCOPE</v>
          </cell>
          <cell r="B4028" t="str">
            <v>CMAX-EXT-CPUSEI53</v>
          </cell>
          <cell r="O4028"/>
          <cell r="T4028"/>
        </row>
        <row r="4029">
          <cell r="A4029" t="str">
            <v>COMMSCOPE</v>
          </cell>
          <cell r="B4029" t="str">
            <v>CMAX-O-43-UW-I53</v>
          </cell>
          <cell r="O4029"/>
          <cell r="T4029"/>
        </row>
        <row r="4030">
          <cell r="A4030" t="str">
            <v>COMMSCOPE</v>
          </cell>
          <cell r="B4030" t="str">
            <v>CV3PX310R1</v>
          </cell>
          <cell r="O4030">
            <v>6.8034094669999989</v>
          </cell>
          <cell r="T4030">
            <v>4.0473719069999996</v>
          </cell>
        </row>
        <row r="4031">
          <cell r="A4031" t="str">
            <v>COMMSCOPE</v>
          </cell>
          <cell r="B4031" t="str">
            <v>CVV65ASX-3X2</v>
          </cell>
          <cell r="O4031">
            <v>3.0812572339999997</v>
          </cell>
          <cell r="T4031">
            <v>1.8473628309999999</v>
          </cell>
        </row>
        <row r="4032">
          <cell r="A4032" t="str">
            <v>COMMSCOPE</v>
          </cell>
          <cell r="B4032" t="str">
            <v>CVV65BSX-3X2</v>
          </cell>
          <cell r="O4032">
            <v>4.2914375959999997</v>
          </cell>
          <cell r="T4032">
            <v>2.5742243440000001</v>
          </cell>
        </row>
        <row r="4033">
          <cell r="A4033" t="str">
            <v>COMMSCOPE</v>
          </cell>
          <cell r="B4033" t="str">
            <v>CVV65BSX-M</v>
          </cell>
          <cell r="O4033">
            <v>4.2914375959999997</v>
          </cell>
          <cell r="T4033">
            <v>2.5742243440000001</v>
          </cell>
        </row>
        <row r="4034">
          <cell r="A4034" t="str">
            <v>COMMSCOPE</v>
          </cell>
          <cell r="B4034" t="str">
            <v>CVVPX306R3</v>
          </cell>
          <cell r="O4034">
            <v>4.1243948789999996</v>
          </cell>
          <cell r="T4034">
            <v>2.4622273970000004</v>
          </cell>
        </row>
        <row r="4035">
          <cell r="A4035" t="str">
            <v>COMMSCOPE</v>
          </cell>
          <cell r="B4035" t="str">
            <v>DB201-L</v>
          </cell>
          <cell r="O4035"/>
          <cell r="T4035"/>
        </row>
        <row r="4036">
          <cell r="A4036" t="str">
            <v>COMMSCOPE</v>
          </cell>
          <cell r="B4036" t="str">
            <v>DB222-A</v>
          </cell>
          <cell r="O4036"/>
          <cell r="T4036"/>
        </row>
        <row r="4037">
          <cell r="A4037" t="str">
            <v>COMMSCOPE</v>
          </cell>
          <cell r="B4037" t="str">
            <v>DB224-A</v>
          </cell>
          <cell r="O4037"/>
          <cell r="T4037"/>
        </row>
        <row r="4038">
          <cell r="A4038" t="str">
            <v>COMMSCOPE</v>
          </cell>
          <cell r="B4038" t="str">
            <v>DB224-B</v>
          </cell>
          <cell r="O4038"/>
          <cell r="T4038"/>
        </row>
        <row r="4039">
          <cell r="A4039" t="str">
            <v>COMMSCOPE</v>
          </cell>
          <cell r="B4039" t="str">
            <v>DB224-C</v>
          </cell>
          <cell r="O4039"/>
          <cell r="T4039"/>
        </row>
        <row r="4040">
          <cell r="A4040" t="str">
            <v>COMMSCOPE</v>
          </cell>
          <cell r="B4040" t="str">
            <v>DB224-E</v>
          </cell>
          <cell r="O4040"/>
          <cell r="T4040"/>
        </row>
        <row r="4041">
          <cell r="A4041" t="str">
            <v>COMMSCOPE</v>
          </cell>
          <cell r="B4041" t="str">
            <v>DB264-C</v>
          </cell>
          <cell r="O4041"/>
          <cell r="T4041"/>
        </row>
        <row r="4042">
          <cell r="A4042" t="str">
            <v>COMMSCOPE</v>
          </cell>
          <cell r="B4042" t="str">
            <v>DB404-B</v>
          </cell>
          <cell r="O4042"/>
          <cell r="T4042"/>
        </row>
        <row r="4043">
          <cell r="A4043" t="str">
            <v>COMMSCOPE</v>
          </cell>
          <cell r="B4043" t="str">
            <v>DB408-B</v>
          </cell>
          <cell r="O4043"/>
          <cell r="T4043"/>
        </row>
        <row r="4044">
          <cell r="A4044" t="str">
            <v>COMMSCOPE</v>
          </cell>
          <cell r="B4044" t="str">
            <v>DB411-B</v>
          </cell>
          <cell r="O4044"/>
          <cell r="T4044"/>
        </row>
        <row r="4045">
          <cell r="A4045" t="str">
            <v>COMMSCOPE</v>
          </cell>
          <cell r="B4045" t="str">
            <v>DB420-B</v>
          </cell>
          <cell r="O4045"/>
          <cell r="T4045"/>
        </row>
        <row r="4046">
          <cell r="A4046" t="str">
            <v>COMMSCOPE</v>
          </cell>
          <cell r="B4046" t="str">
            <v>DB583-ST</v>
          </cell>
          <cell r="O4046"/>
          <cell r="T4046"/>
        </row>
        <row r="4047">
          <cell r="A4047" t="str">
            <v>COMMSCOPE</v>
          </cell>
          <cell r="B4047" t="str">
            <v>DB583-XT</v>
          </cell>
          <cell r="O4047"/>
          <cell r="T4047"/>
        </row>
        <row r="4048">
          <cell r="A4048" t="str">
            <v>COMMSCOPE</v>
          </cell>
          <cell r="B4048" t="str">
            <v>DB583E-SN</v>
          </cell>
          <cell r="O4048"/>
          <cell r="T4048"/>
        </row>
        <row r="4049">
          <cell r="A4049" t="str">
            <v>COMMSCOPE</v>
          </cell>
          <cell r="B4049" t="str">
            <v>DB586-Y</v>
          </cell>
          <cell r="O4049"/>
          <cell r="T4049"/>
        </row>
        <row r="4050">
          <cell r="A4050" t="str">
            <v>COMMSCOPE</v>
          </cell>
          <cell r="B4050" t="str">
            <v>DB589-Y</v>
          </cell>
          <cell r="O4050"/>
          <cell r="T4050"/>
        </row>
        <row r="4051">
          <cell r="A4051" t="str">
            <v>COMMSCOPE</v>
          </cell>
          <cell r="B4051" t="str">
            <v>DB630-C</v>
          </cell>
          <cell r="O4051"/>
          <cell r="T4051"/>
        </row>
        <row r="4052">
          <cell r="A4052" t="str">
            <v>COMMSCOPE</v>
          </cell>
          <cell r="B4052" t="str">
            <v>DB633-C</v>
          </cell>
          <cell r="O4052"/>
          <cell r="T4052"/>
        </row>
        <row r="4053">
          <cell r="A4053" t="str">
            <v>COMMSCOPE</v>
          </cell>
          <cell r="B4053" t="str">
            <v>DB636-C</v>
          </cell>
          <cell r="O4053"/>
          <cell r="T4053"/>
        </row>
        <row r="4054">
          <cell r="A4054" t="str">
            <v>COMMSCOPE</v>
          </cell>
          <cell r="B4054" t="str">
            <v>DB809KE-XT</v>
          </cell>
          <cell r="O4054"/>
          <cell r="T4054"/>
        </row>
        <row r="4055">
          <cell r="A4055" t="str">
            <v>COMMSCOPE</v>
          </cell>
          <cell r="B4055" t="str">
            <v>DB810E-PS</v>
          </cell>
          <cell r="O4055"/>
          <cell r="T4055"/>
        </row>
        <row r="4056">
          <cell r="A4056" t="str">
            <v>COMMSCOPE</v>
          </cell>
          <cell r="B4056" t="str">
            <v>DB810KE-SY</v>
          </cell>
          <cell r="O4056"/>
          <cell r="T4056"/>
        </row>
        <row r="4057">
          <cell r="A4057" t="str">
            <v>COMMSCOPE</v>
          </cell>
          <cell r="B4057" t="str">
            <v>DB810KE-XC</v>
          </cell>
          <cell r="O4057"/>
          <cell r="T4057"/>
        </row>
        <row r="4058">
          <cell r="A4058" t="str">
            <v>COMMSCOPE</v>
          </cell>
          <cell r="B4058" t="str">
            <v>DB844G65ZAXY</v>
          </cell>
          <cell r="O4058">
            <v>4.1472111304012396</v>
          </cell>
          <cell r="T4058">
            <v>3.6751502093795403</v>
          </cell>
        </row>
        <row r="4059">
          <cell r="A4059" t="str">
            <v>COMMSCOPE</v>
          </cell>
          <cell r="B4059" t="str">
            <v>DB846H80E-SX_20060612</v>
          </cell>
          <cell r="O4059"/>
          <cell r="T4059"/>
        </row>
        <row r="4060">
          <cell r="A4060" t="str">
            <v>COMMSCOPE</v>
          </cell>
          <cell r="B4060" t="str">
            <v>DBXLH-6565A-VTM</v>
          </cell>
          <cell r="O4060">
            <v>4.5505860450000002</v>
          </cell>
          <cell r="T4060">
            <v>2.2416005370000001</v>
          </cell>
        </row>
        <row r="4061">
          <cell r="A4061" t="str">
            <v>COMMSCOPE</v>
          </cell>
          <cell r="B4061" t="str">
            <v>DBXLH-6565B-A2M</v>
          </cell>
          <cell r="O4061">
            <v>7.0252168629835392</v>
          </cell>
          <cell r="T4061">
            <v>3.4544267838008098</v>
          </cell>
        </row>
        <row r="4062">
          <cell r="A4062" t="str">
            <v>COMMSCOPE</v>
          </cell>
          <cell r="B4062" t="str">
            <v>DBXLH-6565C-VTM</v>
          </cell>
          <cell r="O4062"/>
          <cell r="T4062"/>
        </row>
        <row r="4063">
          <cell r="A4063" t="str">
            <v>COMMSCOPE</v>
          </cell>
          <cell r="B4063" t="str">
            <v>DBXNH-6565A-A2M</v>
          </cell>
          <cell r="O4063">
            <v>2.94</v>
          </cell>
          <cell r="T4063">
            <v>1.76</v>
          </cell>
        </row>
        <row r="4064">
          <cell r="A4064" t="str">
            <v>COMMSCOPE</v>
          </cell>
          <cell r="B4064" t="str">
            <v>DBXNH-6565A-A2M_CCIV2</v>
          </cell>
          <cell r="O4064">
            <v>2.94</v>
          </cell>
          <cell r="T4064">
            <v>1.76</v>
          </cell>
        </row>
        <row r="4065">
          <cell r="A4065" t="str">
            <v>COMMSCOPE</v>
          </cell>
          <cell r="B4065" t="str">
            <v>DBXNH-6565A-R2M</v>
          </cell>
          <cell r="O4065">
            <v>2.94</v>
          </cell>
          <cell r="T4065">
            <v>1.76</v>
          </cell>
        </row>
        <row r="4066">
          <cell r="A4066" t="str">
            <v>COMMSCOPE</v>
          </cell>
          <cell r="B4066" t="str">
            <v>DBXNH-6565A-VTM</v>
          </cell>
          <cell r="O4066">
            <v>2.94</v>
          </cell>
          <cell r="T4066">
            <v>1.76</v>
          </cell>
        </row>
        <row r="4067">
          <cell r="A4067" t="str">
            <v>COMMSCOPE</v>
          </cell>
          <cell r="B4067" t="str">
            <v>DBXNH-6565B-A2M</v>
          </cell>
          <cell r="O4067">
            <v>4.16</v>
          </cell>
          <cell r="T4067">
            <v>2.4899999999999998</v>
          </cell>
        </row>
        <row r="4068">
          <cell r="A4068" t="str">
            <v>COMMSCOPE</v>
          </cell>
          <cell r="B4068" t="str">
            <v>DBXNH-6565B-VTM</v>
          </cell>
          <cell r="O4068">
            <v>4.16</v>
          </cell>
          <cell r="T4068">
            <v>2.4899999999999998</v>
          </cell>
        </row>
        <row r="4069">
          <cell r="A4069" t="str">
            <v>COMMSCOPE</v>
          </cell>
          <cell r="B4069" t="str">
            <v>DBXNH-8585A-VTM</v>
          </cell>
          <cell r="O4069">
            <v>2.936585166</v>
          </cell>
          <cell r="T4069">
            <v>1.7605495019999999</v>
          </cell>
        </row>
        <row r="4070">
          <cell r="A4070" t="str">
            <v>COMMSCOPE</v>
          </cell>
          <cell r="B4070" t="str">
            <v>DBXNH-8585B-A2M</v>
          </cell>
          <cell r="O4070">
            <v>3.9953457750000001</v>
          </cell>
          <cell r="T4070">
            <v>2.3969035860000001</v>
          </cell>
        </row>
        <row r="4071">
          <cell r="A4071" t="str">
            <v>COMMSCOPE</v>
          </cell>
          <cell r="B4071" t="str">
            <v>DBXRH-8585C-A2M</v>
          </cell>
          <cell r="O4071">
            <v>5.6703366129999999</v>
          </cell>
          <cell r="T4071">
            <v>3.4022068220000001</v>
          </cell>
        </row>
        <row r="4072">
          <cell r="A4072" t="str">
            <v>COMMSCOPE</v>
          </cell>
          <cell r="B4072" t="str">
            <v>DBXRH-8585C-VTM</v>
          </cell>
          <cell r="O4072">
            <v>5.6703366129999999</v>
          </cell>
          <cell r="T4072">
            <v>3.4022068220000001</v>
          </cell>
        </row>
        <row r="4073">
          <cell r="A4073" t="str">
            <v>COMMSCOPE</v>
          </cell>
          <cell r="B4073" t="str">
            <v>DHHTT65B-3XR</v>
          </cell>
          <cell r="O4073">
            <v>4.159146894</v>
          </cell>
          <cell r="T4073">
            <v>2.4932440119999999</v>
          </cell>
        </row>
        <row r="4074">
          <cell r="A4074" t="str">
            <v>COMMSCOPE</v>
          </cell>
          <cell r="B4074" t="str">
            <v>DMM65B-M</v>
          </cell>
          <cell r="O4074">
            <v>4.2914375959999997</v>
          </cell>
          <cell r="T4074">
            <v>2.5742243440000001</v>
          </cell>
        </row>
        <row r="4075">
          <cell r="A4075" t="str">
            <v>COMMSCOPE</v>
          </cell>
          <cell r="B4075" t="str">
            <v>DT465B-2XR</v>
          </cell>
          <cell r="O4075">
            <v>5.2864691849999996</v>
          </cell>
          <cell r="T4075">
            <v>3.0527498110000004</v>
          </cell>
        </row>
        <row r="4076">
          <cell r="A4076" t="str">
            <v>COMMSCOPE</v>
          </cell>
          <cell r="B4076" t="str">
            <v>DT465B-2XR-V2</v>
          </cell>
          <cell r="O4076">
            <v>5.2864691849999996</v>
          </cell>
          <cell r="T4076">
            <v>3.0527498110000004</v>
          </cell>
        </row>
        <row r="4077">
          <cell r="A4077" t="str">
            <v>COMMSCOPE</v>
          </cell>
          <cell r="B4077" t="str">
            <v>F-65C-R1</v>
          </cell>
          <cell r="O4077">
            <v>6.13</v>
          </cell>
          <cell r="T4077">
            <v>3.55</v>
          </cell>
        </row>
        <row r="4078">
          <cell r="A4078" t="str">
            <v>COMMSCOPE</v>
          </cell>
          <cell r="B4078" t="str">
            <v>FF-65B-R1</v>
          </cell>
          <cell r="O4078">
            <v>9.7077546300000002</v>
          </cell>
          <cell r="T4078">
            <v>3.5679899749999997</v>
          </cell>
        </row>
        <row r="4079">
          <cell r="A4079" t="str">
            <v>COMMSCOPE</v>
          </cell>
          <cell r="B4079" t="str">
            <v>FF-65B-R2</v>
          </cell>
          <cell r="O4079">
            <v>7.6155373466435199</v>
          </cell>
          <cell r="T4079">
            <v>3.0135893704927303</v>
          </cell>
        </row>
        <row r="4080">
          <cell r="A4080" t="str">
            <v>COMMSCOPE</v>
          </cell>
          <cell r="B4080" t="str">
            <v>FF-65C-R1</v>
          </cell>
          <cell r="O4080">
            <v>12.94999999999999</v>
          </cell>
          <cell r="T4080">
            <v>4.8899999999999997</v>
          </cell>
        </row>
        <row r="4081">
          <cell r="A4081" t="str">
            <v>COMMSCOPE</v>
          </cell>
          <cell r="B4081" t="str">
            <v>FF-65C-R1_V2</v>
          </cell>
          <cell r="O4081">
            <v>12.953274499999988</v>
          </cell>
          <cell r="T4081">
            <v>4.8944306050000002</v>
          </cell>
        </row>
        <row r="4082">
          <cell r="A4082" t="str">
            <v>COMMSCOPE</v>
          </cell>
          <cell r="B4082" t="str">
            <v>FF-65C-R2</v>
          </cell>
          <cell r="O4082">
            <v>12.94999999999999</v>
          </cell>
          <cell r="T4082">
            <v>4.8899999999999997</v>
          </cell>
        </row>
        <row r="4083">
          <cell r="A4083" t="str">
            <v>COMMSCOPE</v>
          </cell>
          <cell r="B4083" t="str">
            <v>FF2HH-6533A-R5</v>
          </cell>
          <cell r="O4083">
            <v>6.3247217548670589</v>
          </cell>
          <cell r="T4083">
            <v>2.4349275867631404</v>
          </cell>
        </row>
        <row r="4084">
          <cell r="A4084" t="str">
            <v>COMMSCOPE</v>
          </cell>
          <cell r="B4084" t="str">
            <v>FF2HH-6533C-R5</v>
          </cell>
          <cell r="O4084">
            <v>12.8876543209877</v>
          </cell>
          <cell r="T4084">
            <v>4.7297940637320304</v>
          </cell>
        </row>
        <row r="4085">
          <cell r="A4085" t="str">
            <v>COMMSCOPE</v>
          </cell>
          <cell r="B4085" t="str">
            <v>FFHH-65A-R3</v>
          </cell>
          <cell r="O4085">
            <v>6.3247217549999988</v>
          </cell>
          <cell r="T4085">
            <v>2.4349275870000002</v>
          </cell>
        </row>
        <row r="4086">
          <cell r="A4086" t="str">
            <v>COMMSCOPE</v>
          </cell>
          <cell r="B4086" t="str">
            <v>FFHH-65B-R3</v>
          </cell>
          <cell r="O4086">
            <v>9.2900000000000009</v>
          </cell>
          <cell r="T4086">
            <v>3.4099999999999997</v>
          </cell>
        </row>
        <row r="4087">
          <cell r="A4087" t="str">
            <v>COMMSCOPE</v>
          </cell>
          <cell r="B4087" t="str">
            <v>FFHH-65C-R2-UPM</v>
          </cell>
          <cell r="O4087">
            <v>12.953274498456798</v>
          </cell>
          <cell r="T4087">
            <v>4.8944306051242794</v>
          </cell>
        </row>
        <row r="4088">
          <cell r="A4088" t="str">
            <v>COMMSCOPE</v>
          </cell>
          <cell r="B4088" t="str">
            <v>FFHH-65C-R3</v>
          </cell>
          <cell r="O4088">
            <v>12.94999999999999</v>
          </cell>
          <cell r="T4088">
            <v>4.8899999999999997</v>
          </cell>
        </row>
        <row r="4089">
          <cell r="A4089" t="str">
            <v>COMMSCOPE</v>
          </cell>
          <cell r="B4089" t="str">
            <v>FFHH-65C-R3_T-MOBILE</v>
          </cell>
          <cell r="O4089">
            <v>12.953274499999988</v>
          </cell>
          <cell r="T4089">
            <v>4.8944306050000002</v>
          </cell>
        </row>
        <row r="4090">
          <cell r="A4090" t="str">
            <v>COMMSCOPE</v>
          </cell>
          <cell r="B4090" t="str">
            <v>FFHH-65C-R4</v>
          </cell>
          <cell r="O4090">
            <v>12.94999999999999</v>
          </cell>
          <cell r="T4090">
            <v>4.8899999999999997</v>
          </cell>
        </row>
        <row r="4091">
          <cell r="A4091" t="str">
            <v>COMMSCOPE</v>
          </cell>
          <cell r="B4091" t="str">
            <v>FFV4-65A-R3-V1</v>
          </cell>
          <cell r="O4091">
            <v>6.3247217548670589</v>
          </cell>
          <cell r="T4091">
            <v>2.4349275867631404</v>
          </cell>
        </row>
        <row r="4092">
          <cell r="A4092" t="str">
            <v>COMMSCOPE</v>
          </cell>
          <cell r="B4092" t="str">
            <v>FFV4-65A-R6</v>
          </cell>
          <cell r="O4092">
            <v>6.097217934485589</v>
          </cell>
          <cell r="T4092">
            <v>2.4782656732077197</v>
          </cell>
        </row>
        <row r="4093">
          <cell r="A4093" t="str">
            <v>COMMSCOPE</v>
          </cell>
          <cell r="B4093" t="str">
            <v>FFV4-65B-R3-HG</v>
          </cell>
          <cell r="O4093"/>
          <cell r="T4093"/>
        </row>
        <row r="4094">
          <cell r="A4094" t="str">
            <v>COMMSCOPE</v>
          </cell>
          <cell r="B4094" t="str">
            <v>FFV4-65B-R3-V1_TMO</v>
          </cell>
          <cell r="O4094">
            <v>9.2874449771398986</v>
          </cell>
          <cell r="T4094">
            <v>3.4135092858063203</v>
          </cell>
        </row>
        <row r="4095">
          <cell r="A4095" t="str">
            <v>COMMSCOPE</v>
          </cell>
          <cell r="B4095" t="str">
            <v>FFV4-65B-R6</v>
          </cell>
          <cell r="O4095">
            <v>7.6155373439999998</v>
          </cell>
          <cell r="T4095">
            <v>3.01358937</v>
          </cell>
        </row>
        <row r="4096">
          <cell r="A4096" t="str">
            <v>COMMSCOPE</v>
          </cell>
          <cell r="B4096" t="str">
            <v>FFV4-65C-R3-V1</v>
          </cell>
          <cell r="O4096">
            <v>12.953274498456798</v>
          </cell>
          <cell r="T4096">
            <v>4.8944306051242794</v>
          </cell>
        </row>
        <row r="4097">
          <cell r="A4097" t="str">
            <v>COMMSCOPE</v>
          </cell>
          <cell r="B4097" t="str">
            <v>FFV4-65C-R3-V1_TMO</v>
          </cell>
          <cell r="O4097">
            <v>12.953274498456798</v>
          </cell>
          <cell r="T4097">
            <v>4.8944306051242794</v>
          </cell>
        </row>
        <row r="4098">
          <cell r="A4098" t="str">
            <v>COMMSCOPE</v>
          </cell>
          <cell r="B4098" t="str">
            <v>FFV4-65C-R6</v>
          </cell>
          <cell r="O4098">
            <v>9.7536410110000009</v>
          </cell>
          <cell r="T4098">
            <v>3.962248239</v>
          </cell>
        </row>
        <row r="4099">
          <cell r="A4099" t="str">
            <v>COMMSCOPE</v>
          </cell>
          <cell r="B4099" t="str">
            <v>FFV4S4-65C-R7</v>
          </cell>
          <cell r="O4099">
            <v>9.7381510416666703</v>
          </cell>
          <cell r="T4099">
            <v>3.8516642624091801</v>
          </cell>
        </row>
        <row r="4100">
          <cell r="A4100" t="str">
            <v>COMMSCOPE</v>
          </cell>
          <cell r="B4100" t="str">
            <v>FFVV-65A-R2</v>
          </cell>
          <cell r="O4100">
            <v>6.3247217548670589</v>
          </cell>
          <cell r="T4100">
            <v>2.4349275867631404</v>
          </cell>
        </row>
        <row r="4101">
          <cell r="A4101" t="str">
            <v>COMMSCOPE</v>
          </cell>
          <cell r="B4101" t="str">
            <v>FFVV-65A-R2-V1_TMO</v>
          </cell>
          <cell r="O4101">
            <v>6.3247217548670589</v>
          </cell>
          <cell r="T4101">
            <v>2.4349275867631404</v>
          </cell>
        </row>
        <row r="4102">
          <cell r="A4102" t="str">
            <v>COMMSCOPE</v>
          </cell>
          <cell r="B4102" t="str">
            <v>FFVV-65B-R2</v>
          </cell>
          <cell r="O4102">
            <v>7.1667100694444388</v>
          </cell>
          <cell r="T4102">
            <v>2.9159390610420499</v>
          </cell>
        </row>
        <row r="4103">
          <cell r="A4103" t="str">
            <v>COMMSCOPE</v>
          </cell>
          <cell r="B4103" t="str">
            <v>FFVV-65B-R2-HG</v>
          </cell>
          <cell r="O4103"/>
          <cell r="T4103"/>
        </row>
        <row r="4104">
          <cell r="A4104" t="str">
            <v>COMMSCOPE</v>
          </cell>
          <cell r="B4104" t="str">
            <v>FFVV-65B-R2N23_20230105_TMO</v>
          </cell>
          <cell r="O4104">
            <v>7.3588493441357992</v>
          </cell>
          <cell r="T4104">
            <v>2.7618462761795897</v>
          </cell>
        </row>
        <row r="4105">
          <cell r="A4105" t="str">
            <v>COMMSCOPE</v>
          </cell>
          <cell r="B4105" t="str">
            <v>FFVV-65B-R3-V1_TMO</v>
          </cell>
          <cell r="O4105">
            <v>9.7077546300000002</v>
          </cell>
          <cell r="T4105">
            <v>3.5679899749999997</v>
          </cell>
        </row>
        <row r="4106">
          <cell r="A4106" t="str">
            <v>COMMSCOPE</v>
          </cell>
          <cell r="B4106" t="str">
            <v>FFVV-65C-R2</v>
          </cell>
          <cell r="O4106">
            <v>9.7381510416666703</v>
          </cell>
          <cell r="T4106">
            <v>3.8516642624091801</v>
          </cell>
        </row>
        <row r="4107">
          <cell r="A4107" t="str">
            <v>COMMSCOPE</v>
          </cell>
          <cell r="B4107" t="str">
            <v>FFVV-65C-R2-HG</v>
          </cell>
          <cell r="O4107">
            <v>12.8876543209877</v>
          </cell>
          <cell r="T4107">
            <v>4.7297940637320304</v>
          </cell>
        </row>
        <row r="4108">
          <cell r="A4108" t="str">
            <v>COMMSCOPE</v>
          </cell>
          <cell r="B4108" t="str">
            <v>FFVV-65C-R2-UPM</v>
          </cell>
          <cell r="O4108">
            <v>12.953274498456798</v>
          </cell>
          <cell r="T4108">
            <v>4.8944306051242794</v>
          </cell>
        </row>
        <row r="4109">
          <cell r="A4109" t="str">
            <v>COMMSCOPE</v>
          </cell>
          <cell r="B4109" t="str">
            <v>FFVV-65C-R2N23</v>
          </cell>
          <cell r="O4109">
            <v>10.2562692901235</v>
          </cell>
          <cell r="T4109">
            <v>3.84948331274627</v>
          </cell>
        </row>
        <row r="4110">
          <cell r="A4110" t="str">
            <v>COMMSCOPE</v>
          </cell>
          <cell r="B4110" t="str">
            <v>FFVV-65C-R2N23_20230814_TMO</v>
          </cell>
          <cell r="O4110">
            <v>10.2562692901235</v>
          </cell>
          <cell r="T4110">
            <v>3.84948331274627</v>
          </cell>
        </row>
        <row r="4111">
          <cell r="A4111" t="str">
            <v>COMMSCOPE</v>
          </cell>
          <cell r="B4111" t="str">
            <v>FFVV-65C-R3-V1</v>
          </cell>
          <cell r="O4111">
            <v>12.953274499999988</v>
          </cell>
          <cell r="T4111">
            <v>4.8944306050000002</v>
          </cell>
        </row>
        <row r="4112">
          <cell r="A4112" t="str">
            <v>COMMSCOPE</v>
          </cell>
          <cell r="B4112" t="str">
            <v>FFVV-65C-R3-V1_TMO</v>
          </cell>
          <cell r="O4112">
            <v>12.953274498456798</v>
          </cell>
          <cell r="T4112">
            <v>4.8944306051242794</v>
          </cell>
        </row>
        <row r="4113">
          <cell r="A4113" t="str">
            <v>COMMSCOPE</v>
          </cell>
          <cell r="B4113" t="str">
            <v>FHH-65B-R3</v>
          </cell>
          <cell r="O4113">
            <v>4.5421369030000003</v>
          </cell>
          <cell r="T4113">
            <v>2.6308718070000001</v>
          </cell>
        </row>
        <row r="4114">
          <cell r="A4114" t="str">
            <v>COMMSCOPE</v>
          </cell>
          <cell r="B4114" t="str">
            <v>FHH-65C-R3</v>
          </cell>
          <cell r="O4114">
            <v>6.13</v>
          </cell>
          <cell r="T4114">
            <v>3.55</v>
          </cell>
        </row>
        <row r="4115">
          <cell r="A4115" t="str">
            <v>COMMSCOPE</v>
          </cell>
          <cell r="B4115" t="str">
            <v>FHH-65C-R3_T-MOBILE</v>
          </cell>
          <cell r="O4115">
            <v>6.1291550319999999</v>
          </cell>
          <cell r="T4115">
            <v>3.5498425460000003</v>
          </cell>
        </row>
        <row r="4116">
          <cell r="A4116" t="str">
            <v>COMMSCOPE</v>
          </cell>
          <cell r="B4116" t="str">
            <v>FRAME-U-E2</v>
          </cell>
          <cell r="O4116"/>
          <cell r="T4116"/>
        </row>
        <row r="4117">
          <cell r="A4117" t="str">
            <v>COMMSCOPE</v>
          </cell>
          <cell r="B4117" t="str">
            <v>FVV-65A-R3</v>
          </cell>
          <cell r="O4117">
            <v>3.08</v>
          </cell>
          <cell r="T4117">
            <v>1.8499999999999999</v>
          </cell>
        </row>
        <row r="4118">
          <cell r="A4118" t="str">
            <v>COMMSCOPE</v>
          </cell>
          <cell r="B4118" t="str">
            <v>FVV-65A-R3-V1</v>
          </cell>
          <cell r="O4118">
            <v>3.09038676697531</v>
          </cell>
          <cell r="T4118">
            <v>1.8540037810692098</v>
          </cell>
        </row>
        <row r="4119">
          <cell r="A4119" t="str">
            <v>COMMSCOPE</v>
          </cell>
          <cell r="B4119" t="str">
            <v>FVV-65B-R3</v>
          </cell>
          <cell r="O4119">
            <v>3.9157421875000002</v>
          </cell>
          <cell r="T4119">
            <v>2.3494096798756003</v>
          </cell>
        </row>
        <row r="4120">
          <cell r="A4120" t="str">
            <v>COMMSCOPE</v>
          </cell>
          <cell r="B4120" t="str">
            <v>FVV-65B-R3-V1</v>
          </cell>
          <cell r="O4120">
            <v>3.9157421875000002</v>
          </cell>
          <cell r="T4120">
            <v>2.3494096798756003</v>
          </cell>
        </row>
        <row r="4121">
          <cell r="A4121" t="str">
            <v>COMMSCOPE</v>
          </cell>
          <cell r="B4121" t="str">
            <v>FVV-65C-R3</v>
          </cell>
          <cell r="O4121">
            <v>5.4647231867283894</v>
          </cell>
          <cell r="T4121">
            <v>3.2781845967001502</v>
          </cell>
        </row>
        <row r="4122">
          <cell r="A4122" t="str">
            <v>COMMSCOPE</v>
          </cell>
          <cell r="B4122" t="str">
            <v>HBX-3319DS-VTM</v>
          </cell>
          <cell r="O4122">
            <v>5.2257741129999991</v>
          </cell>
          <cell r="T4122">
            <v>2.5726164480000002</v>
          </cell>
        </row>
        <row r="4123">
          <cell r="A4123" t="str">
            <v>COMMSCOPE</v>
          </cell>
          <cell r="B4123" t="str">
            <v>HBX-4517DS-VTM</v>
          </cell>
          <cell r="O4123">
            <v>5.2257741129999991</v>
          </cell>
          <cell r="T4123">
            <v>2.5726164480000002</v>
          </cell>
        </row>
        <row r="4124">
          <cell r="A4124" t="str">
            <v>COMMSCOPE</v>
          </cell>
          <cell r="B4124" t="str">
            <v>HBX-4517DS1-A1M</v>
          </cell>
          <cell r="O4124">
            <v>5.2257741129999991</v>
          </cell>
          <cell r="T4124">
            <v>2.5726164480000002</v>
          </cell>
        </row>
        <row r="4125">
          <cell r="A4125" t="str">
            <v>COMMSCOPE</v>
          </cell>
          <cell r="B4125" t="str">
            <v>HBX-4519DS-A1M</v>
          </cell>
          <cell r="O4125">
            <v>7.0252168629999989</v>
          </cell>
          <cell r="T4125">
            <v>3.4544267839999998</v>
          </cell>
        </row>
        <row r="4126">
          <cell r="A4126" t="str">
            <v>COMMSCOPE</v>
          </cell>
          <cell r="B4126" t="str">
            <v>HBX-6511DS-T10M</v>
          </cell>
          <cell r="O4126">
            <v>0.58821566358024702</v>
          </cell>
          <cell r="T4126">
            <v>0.29527299304369792</v>
          </cell>
        </row>
        <row r="4127">
          <cell r="A4127" t="str">
            <v>COMMSCOPE</v>
          </cell>
          <cell r="B4127" t="str">
            <v>HBX-6513DS-VTM</v>
          </cell>
          <cell r="O4127">
            <v>1.0957296489999999</v>
          </cell>
          <cell r="T4127">
            <v>0.54855215199999996</v>
          </cell>
        </row>
        <row r="4128">
          <cell r="A4128" t="str">
            <v>COMMSCOPE</v>
          </cell>
          <cell r="B4128" t="str">
            <v>HBX-6516DS-A1M</v>
          </cell>
          <cell r="O4128">
            <v>2.1752799399999998</v>
          </cell>
          <cell r="T4128">
            <v>1.0866312459999998</v>
          </cell>
        </row>
        <row r="4129">
          <cell r="A4129" t="str">
            <v>COMMSCOPE</v>
          </cell>
          <cell r="B4129" t="str">
            <v>HBX-6516DS-A1M_T-MOBILE</v>
          </cell>
          <cell r="O4129">
            <v>2.1752799399999998</v>
          </cell>
          <cell r="T4129">
            <v>1.0866312459999998</v>
          </cell>
        </row>
        <row r="4130">
          <cell r="A4130" t="str">
            <v>COMMSCOPE</v>
          </cell>
          <cell r="B4130" t="str">
            <v>HBX-6516DS-VTM</v>
          </cell>
          <cell r="O4130">
            <v>2.1752799399999998</v>
          </cell>
          <cell r="T4130">
            <v>1.08663124</v>
          </cell>
        </row>
        <row r="4131">
          <cell r="A4131" t="str">
            <v>COMMSCOPE</v>
          </cell>
          <cell r="B4131" t="str">
            <v>HBX-6517DS-R2M</v>
          </cell>
          <cell r="O4131">
            <v>3.2196059990000001</v>
          </cell>
          <cell r="T4131">
            <v>1.6064283559999999</v>
          </cell>
        </row>
        <row r="4132">
          <cell r="A4132" t="str">
            <v>COMMSCOPE</v>
          </cell>
          <cell r="B4132" t="str">
            <v>HBX-6517DS-VTM</v>
          </cell>
          <cell r="O4132">
            <v>3.2196059990000001</v>
          </cell>
          <cell r="T4132">
            <v>1.6064283559999999</v>
          </cell>
        </row>
        <row r="4133">
          <cell r="A4133" t="str">
            <v>COMMSCOPE</v>
          </cell>
          <cell r="B4133" t="str">
            <v>HBX-9014DS-VTM</v>
          </cell>
          <cell r="O4133">
            <v>2.1613035909999998</v>
          </cell>
          <cell r="T4133">
            <v>1.1093340190000001</v>
          </cell>
        </row>
        <row r="4134">
          <cell r="A4134" t="str">
            <v>COMMSCOPE</v>
          </cell>
          <cell r="B4134" t="str">
            <v>HBX-9016DS-A1M</v>
          </cell>
          <cell r="O4134">
            <v>3.2136996559999997</v>
          </cell>
          <cell r="T4134">
            <v>1.8193400049999999</v>
          </cell>
        </row>
        <row r="4135">
          <cell r="A4135" t="str">
            <v>COMMSCOPE</v>
          </cell>
          <cell r="B4135" t="str">
            <v>HBX-9016DS-VTM</v>
          </cell>
          <cell r="O4135">
            <v>3.2136996559999997</v>
          </cell>
          <cell r="T4135">
            <v>1.8193400049999999</v>
          </cell>
        </row>
        <row r="4136">
          <cell r="A4136" t="str">
            <v>COMMSCOPE</v>
          </cell>
          <cell r="B4136" t="str">
            <v>HBXX-3319DS-A2M</v>
          </cell>
          <cell r="O4136">
            <v>11.582783559999989</v>
          </cell>
          <cell r="T4136">
            <v>2.65657816</v>
          </cell>
        </row>
        <row r="4137">
          <cell r="A4137" t="str">
            <v>COMMSCOPE</v>
          </cell>
          <cell r="B4137" t="str">
            <v>HBXX-3319DS-A2M_T-MOBILE</v>
          </cell>
          <cell r="O4137">
            <v>11.582783559999989</v>
          </cell>
          <cell r="T4137">
            <v>2.65657816</v>
          </cell>
        </row>
        <row r="4138">
          <cell r="A4138" t="str">
            <v>COMMSCOPE</v>
          </cell>
          <cell r="B4138" t="str">
            <v>HBXX-3319DS-VTM</v>
          </cell>
          <cell r="O4138">
            <v>11.582783559999989</v>
          </cell>
          <cell r="T4138">
            <v>2.65657816</v>
          </cell>
        </row>
        <row r="4139">
          <cell r="A4139" t="str">
            <v>COMMSCOPE</v>
          </cell>
          <cell r="B4139" t="str">
            <v>HBXX-3817TB-VTM</v>
          </cell>
          <cell r="O4139">
            <v>2.8805136</v>
          </cell>
          <cell r="T4139">
            <v>1.7280827949999999</v>
          </cell>
        </row>
        <row r="4140">
          <cell r="A4140" t="str">
            <v>COMMSCOPE</v>
          </cell>
          <cell r="B4140" t="str">
            <v>HBXX-3817TB1-A2M</v>
          </cell>
          <cell r="O4140">
            <v>2.8805136</v>
          </cell>
          <cell r="T4140">
            <v>1.7280827949999999</v>
          </cell>
        </row>
        <row r="4141">
          <cell r="A4141" t="str">
            <v>COMMSCOPE</v>
          </cell>
          <cell r="B4141" t="str">
            <v>HBXX-3817TB1-VTM</v>
          </cell>
          <cell r="O4141">
            <v>2.8805136</v>
          </cell>
          <cell r="T4141">
            <v>1.7280827949999999</v>
          </cell>
        </row>
        <row r="4142">
          <cell r="A4142" t="str">
            <v>COMMSCOPE</v>
          </cell>
          <cell r="B4142" t="str">
            <v>HBXX-6516DS-A2M</v>
          </cell>
          <cell r="O4142">
            <v>5.1893053809999996</v>
          </cell>
          <cell r="T4142">
            <v>2.8978417429999999</v>
          </cell>
        </row>
        <row r="4143">
          <cell r="A4143" t="str">
            <v>COMMSCOPE</v>
          </cell>
          <cell r="B4143" t="str">
            <v>HBXX-6516DS-A2M_T-MOBILE</v>
          </cell>
          <cell r="O4143">
            <v>2.7047661072530897</v>
          </cell>
          <cell r="T4143">
            <v>1.6227082155180399</v>
          </cell>
        </row>
        <row r="4144">
          <cell r="A4144" t="str">
            <v>COMMSCOPE</v>
          </cell>
          <cell r="B4144" t="str">
            <v>HBXX-6516DS-VTM</v>
          </cell>
          <cell r="O4144">
            <v>5.1893053809999996</v>
          </cell>
          <cell r="T4144">
            <v>2.8978417429999999</v>
          </cell>
        </row>
        <row r="4145">
          <cell r="A4145" t="str">
            <v>COMMSCOPE</v>
          </cell>
          <cell r="B4145" t="str">
            <v>HBXX-6517DS-A1M</v>
          </cell>
          <cell r="O4145">
            <v>8.0202867100000006</v>
          </cell>
          <cell r="T4145">
            <v>4.3686218139999999</v>
          </cell>
        </row>
        <row r="4146">
          <cell r="A4146" t="str">
            <v>COMMSCOPE</v>
          </cell>
          <cell r="B4146" t="str">
            <v>HBXX-6517DS-A2M</v>
          </cell>
          <cell r="O4146">
            <v>8.0202867100000006</v>
          </cell>
          <cell r="T4146">
            <v>4.3686218139999999</v>
          </cell>
        </row>
        <row r="4147">
          <cell r="A4147" t="str">
            <v>COMMSCOPE</v>
          </cell>
          <cell r="B4147" t="str">
            <v>HBXX-6517DS-A2M_T-MOBILE</v>
          </cell>
          <cell r="O4147">
            <v>8.020572421999999</v>
          </cell>
          <cell r="T4147">
            <v>4.3594323370000003</v>
          </cell>
        </row>
        <row r="4148">
          <cell r="A4148" t="str">
            <v>COMMSCOPE</v>
          </cell>
          <cell r="B4148" t="str">
            <v>HBXX-6517DS-VTM</v>
          </cell>
          <cell r="O4148">
            <v>8.0202867100000006</v>
          </cell>
          <cell r="T4148">
            <v>4.3686218139999999</v>
          </cell>
        </row>
        <row r="4149">
          <cell r="A4149" t="str">
            <v>COMMSCOPE</v>
          </cell>
          <cell r="B4149" t="str">
            <v>HBXX-9014DS-A2M</v>
          </cell>
          <cell r="O4149">
            <v>5.1893053809999996</v>
          </cell>
          <cell r="T4149">
            <v>2.8978417429999999</v>
          </cell>
        </row>
        <row r="4150">
          <cell r="A4150" t="str">
            <v>COMMSCOPE</v>
          </cell>
          <cell r="B4150" t="str">
            <v>HBXX-9014DS-A2M_T-MOBILE</v>
          </cell>
          <cell r="O4150">
            <v>5.1893053809999996</v>
          </cell>
          <cell r="T4150">
            <v>2.8978417429999999</v>
          </cell>
        </row>
        <row r="4151">
          <cell r="A4151" t="str">
            <v>COMMSCOPE</v>
          </cell>
          <cell r="B4151" t="str">
            <v>HBXX-9014DS-R2M</v>
          </cell>
          <cell r="O4151">
            <v>5.1893053809999996</v>
          </cell>
          <cell r="T4151">
            <v>2.8978417429999999</v>
          </cell>
        </row>
        <row r="4152">
          <cell r="A4152" t="str">
            <v>COMMSCOPE</v>
          </cell>
          <cell r="B4152" t="str">
            <v>HBXX-9016DS-A2M</v>
          </cell>
          <cell r="O4152">
            <v>7.9399999999999995</v>
          </cell>
          <cell r="T4152">
            <v>4.43</v>
          </cell>
        </row>
        <row r="4153">
          <cell r="A4153" t="str">
            <v>COMMSCOPE</v>
          </cell>
          <cell r="B4153" t="str">
            <v>HBXXX-6516DS-A3M</v>
          </cell>
          <cell r="O4153">
            <v>9.3394114850000012</v>
          </cell>
          <cell r="T4153">
            <v>1.7053331439999999</v>
          </cell>
        </row>
        <row r="4154">
          <cell r="A4154" t="str">
            <v>COMMSCOPE</v>
          </cell>
          <cell r="B4154" t="str">
            <v>HH45A-2XB1</v>
          </cell>
          <cell r="O4154">
            <v>4.8046223960000001</v>
          </cell>
          <cell r="T4154">
            <v>1.4193155309999999</v>
          </cell>
        </row>
        <row r="4155">
          <cell r="A4155" t="str">
            <v>COMMSCOPE</v>
          </cell>
          <cell r="B4155" t="str">
            <v>HHT4-65B-R2</v>
          </cell>
          <cell r="O4155">
            <v>6.0432629239999995</v>
          </cell>
          <cell r="T4155">
            <v>3.13339978</v>
          </cell>
        </row>
        <row r="4156">
          <cell r="A4156" t="str">
            <v>COMMSCOPE</v>
          </cell>
          <cell r="B4156" t="str">
            <v>HHT465B-PF-2XR</v>
          </cell>
          <cell r="O4156">
            <v>5.7968026619999993</v>
          </cell>
          <cell r="T4156">
            <v>3.0169110569999997</v>
          </cell>
        </row>
        <row r="4157">
          <cell r="A4157" t="str">
            <v>COMMSCOPE</v>
          </cell>
          <cell r="B4157" t="str">
            <v>HHTT65A-F-4X2</v>
          </cell>
          <cell r="O4157">
            <v>4.4822534259999998</v>
          </cell>
          <cell r="T4157">
            <v>1.737206442</v>
          </cell>
        </row>
        <row r="4158">
          <cell r="A4158" t="str">
            <v>COMMSCOPE</v>
          </cell>
          <cell r="B4158" t="str">
            <v>HHTTP-65T-F</v>
          </cell>
          <cell r="O4158">
            <v>0.81270145697975005</v>
          </cell>
          <cell r="T4158">
            <v>0.23365661310551503</v>
          </cell>
        </row>
        <row r="4159">
          <cell r="A4159" t="str">
            <v>COMMSCOPE</v>
          </cell>
          <cell r="B4159" t="str">
            <v>HP10-105-P3A</v>
          </cell>
          <cell r="O4159"/>
          <cell r="T4159"/>
        </row>
        <row r="4160">
          <cell r="A4160" t="str">
            <v>COMMSCOPE</v>
          </cell>
          <cell r="B4160" t="str">
            <v>HP4-107-D3A/B</v>
          </cell>
          <cell r="O4160"/>
          <cell r="T4160"/>
        </row>
        <row r="4161">
          <cell r="A4161" t="str">
            <v>COMMSCOPE</v>
          </cell>
          <cell r="B4161" t="str">
            <v>HP4-107-P3A/B</v>
          </cell>
          <cell r="O4161"/>
          <cell r="T4161"/>
        </row>
        <row r="4162">
          <cell r="A4162" t="str">
            <v>COMMSCOPE</v>
          </cell>
          <cell r="B4162" t="str">
            <v>HP6-107-P3A/H</v>
          </cell>
          <cell r="O4162"/>
          <cell r="T4162"/>
        </row>
        <row r="4163">
          <cell r="A4163" t="str">
            <v>COMMSCOPE</v>
          </cell>
          <cell r="B4163" t="str">
            <v>HP6-44-D1A/G</v>
          </cell>
          <cell r="O4163"/>
          <cell r="T4163"/>
        </row>
        <row r="4164">
          <cell r="A4164" t="str">
            <v>COMMSCOPE</v>
          </cell>
          <cell r="B4164" t="str">
            <v>HP6-59-D1A/K</v>
          </cell>
          <cell r="O4164"/>
          <cell r="T4164"/>
        </row>
        <row r="4165">
          <cell r="A4165" t="str">
            <v>COMMSCOPE</v>
          </cell>
          <cell r="B4165" t="str">
            <v>HP6-59-P1A/K</v>
          </cell>
          <cell r="O4165"/>
          <cell r="T4165"/>
        </row>
        <row r="4166">
          <cell r="A4166" t="str">
            <v>COMMSCOPE</v>
          </cell>
          <cell r="B4166" t="str">
            <v>HP6-59-P2A/K</v>
          </cell>
          <cell r="O4166"/>
          <cell r="T4166"/>
        </row>
        <row r="4167">
          <cell r="A4167" t="str">
            <v>COMMSCOPE</v>
          </cell>
          <cell r="B4167" t="str">
            <v>HP6-59W-P1A/C</v>
          </cell>
          <cell r="O4167"/>
          <cell r="T4167"/>
        </row>
        <row r="4168">
          <cell r="A4168" t="str">
            <v>COMMSCOPE</v>
          </cell>
          <cell r="B4168" t="str">
            <v>HP6-59W-P3A/C</v>
          </cell>
          <cell r="O4168"/>
          <cell r="T4168"/>
        </row>
        <row r="4169">
          <cell r="A4169" t="str">
            <v>COMMSCOPE</v>
          </cell>
          <cell r="B4169" t="str">
            <v>HP6-65-D1A_K</v>
          </cell>
          <cell r="O4169"/>
          <cell r="T4169"/>
        </row>
        <row r="4170">
          <cell r="A4170" t="str">
            <v>COMMSCOPE</v>
          </cell>
          <cell r="B4170" t="str">
            <v>HP8-107-D4M</v>
          </cell>
          <cell r="O4170"/>
          <cell r="T4170"/>
        </row>
        <row r="4171">
          <cell r="A4171" t="str">
            <v>COMMSCOPE</v>
          </cell>
          <cell r="B4171" t="str">
            <v>HP8-57W</v>
          </cell>
          <cell r="O4171"/>
          <cell r="T4171"/>
        </row>
        <row r="4172">
          <cell r="A4172" t="str">
            <v>COMMSCOPE</v>
          </cell>
          <cell r="B4172" t="str">
            <v>HP8-59</v>
          </cell>
          <cell r="O4172"/>
          <cell r="T4172"/>
        </row>
        <row r="4173">
          <cell r="A4173" t="str">
            <v>COMMSCOPE</v>
          </cell>
          <cell r="B4173" t="str">
            <v>HP8-59W</v>
          </cell>
          <cell r="O4173"/>
          <cell r="T4173"/>
        </row>
        <row r="4174">
          <cell r="A4174" t="str">
            <v>COMMSCOPE</v>
          </cell>
          <cell r="B4174" t="str">
            <v>HP8-611</v>
          </cell>
          <cell r="O4174"/>
          <cell r="T4174"/>
        </row>
        <row r="4175">
          <cell r="A4175" t="str">
            <v>COMMSCOPE</v>
          </cell>
          <cell r="B4175" t="str">
            <v>HPX4-105-P3A</v>
          </cell>
          <cell r="O4175"/>
          <cell r="T4175"/>
        </row>
        <row r="4176">
          <cell r="A4176" t="str">
            <v>COMMSCOPE</v>
          </cell>
          <cell r="B4176" t="str">
            <v>HPX4-107/B</v>
          </cell>
          <cell r="O4176"/>
          <cell r="T4176"/>
        </row>
        <row r="4177">
          <cell r="A4177" t="str">
            <v>COMMSCOPE</v>
          </cell>
          <cell r="B4177" t="str">
            <v>HPX4-59-P3A/A</v>
          </cell>
          <cell r="O4177"/>
          <cell r="T4177"/>
        </row>
        <row r="4178">
          <cell r="A4178" t="str">
            <v>COMMSCOPE</v>
          </cell>
          <cell r="B4178" t="str">
            <v>HPX4-59/A</v>
          </cell>
          <cell r="O4178"/>
          <cell r="T4178"/>
        </row>
        <row r="4179">
          <cell r="A4179" t="str">
            <v>COMMSCOPE</v>
          </cell>
          <cell r="B4179" t="str">
            <v>HPX6-107-P1A/F</v>
          </cell>
          <cell r="O4179"/>
          <cell r="T4179"/>
        </row>
        <row r="4180">
          <cell r="A4180" t="str">
            <v>COMMSCOPE</v>
          </cell>
          <cell r="B4180" t="str">
            <v>HPX6-107/F</v>
          </cell>
          <cell r="O4180"/>
          <cell r="T4180"/>
        </row>
        <row r="4181">
          <cell r="A4181" t="str">
            <v>COMMSCOPE</v>
          </cell>
          <cell r="B4181" t="str">
            <v>HPX6-130-C1A/B</v>
          </cell>
          <cell r="O4181"/>
          <cell r="T4181"/>
        </row>
        <row r="4182">
          <cell r="A4182" t="str">
            <v>COMMSCOPE</v>
          </cell>
          <cell r="B4182" t="str">
            <v>HPX6-59-P3A/K</v>
          </cell>
          <cell r="O4182"/>
          <cell r="T4182"/>
        </row>
        <row r="4183">
          <cell r="A4183" t="str">
            <v>COMMSCOPE</v>
          </cell>
          <cell r="B4183" t="str">
            <v>HPX6-59_20110510</v>
          </cell>
          <cell r="O4183"/>
          <cell r="T4183"/>
        </row>
        <row r="4184">
          <cell r="A4184" t="str">
            <v>COMMSCOPE</v>
          </cell>
          <cell r="B4184" t="str">
            <v>HPX6-65-P1A/F</v>
          </cell>
          <cell r="O4184"/>
          <cell r="T4184"/>
        </row>
        <row r="4185">
          <cell r="A4185" t="str">
            <v>COMMSCOPE</v>
          </cell>
          <cell r="B4185" t="str">
            <v>HPX8-59</v>
          </cell>
          <cell r="O4185"/>
          <cell r="T4185"/>
        </row>
        <row r="4186">
          <cell r="A4186" t="str">
            <v>COMMSCOPE</v>
          </cell>
          <cell r="B4186" t="str">
            <v>HPX8-59-P3A</v>
          </cell>
          <cell r="O4186"/>
          <cell r="T4186"/>
        </row>
        <row r="4187">
          <cell r="A4187" t="str">
            <v>COMMSCOPE</v>
          </cell>
          <cell r="B4187" t="str">
            <v>HPX8-65</v>
          </cell>
          <cell r="O4187"/>
          <cell r="T4187"/>
        </row>
        <row r="4188">
          <cell r="A4188" t="str">
            <v>COMMSCOPE</v>
          </cell>
          <cell r="B4188" t="str">
            <v>HSX10-59-D3M</v>
          </cell>
          <cell r="O4188"/>
          <cell r="T4188"/>
        </row>
        <row r="4189">
          <cell r="A4189" t="str">
            <v>COMMSCOPE</v>
          </cell>
          <cell r="B4189" t="str">
            <v>HSX4-107-P3A/A</v>
          </cell>
          <cell r="O4189"/>
          <cell r="T4189"/>
        </row>
        <row r="4190">
          <cell r="A4190" t="str">
            <v>COMMSCOPE</v>
          </cell>
          <cell r="B4190" t="str">
            <v>HSX4-59-D3A/A</v>
          </cell>
          <cell r="O4190"/>
          <cell r="T4190"/>
        </row>
        <row r="4191">
          <cell r="A4191" t="str">
            <v>COMMSCOPE</v>
          </cell>
          <cell r="B4191" t="str">
            <v>HSX4-59-P3A/A</v>
          </cell>
          <cell r="O4191"/>
          <cell r="T4191"/>
        </row>
        <row r="4192">
          <cell r="A4192" t="str">
            <v>COMMSCOPE</v>
          </cell>
          <cell r="B4192" t="str">
            <v>HSX6-107/A</v>
          </cell>
          <cell r="O4192"/>
          <cell r="T4192"/>
        </row>
        <row r="4193">
          <cell r="A4193" t="str">
            <v>COMMSCOPE</v>
          </cell>
          <cell r="B4193" t="str">
            <v>HSX6-180/A</v>
          </cell>
          <cell r="O4193"/>
          <cell r="T4193"/>
        </row>
        <row r="4194">
          <cell r="A4194" t="str">
            <v>COMMSCOPE</v>
          </cell>
          <cell r="B4194" t="str">
            <v>HSX8-59</v>
          </cell>
          <cell r="O4194"/>
          <cell r="T4194"/>
        </row>
        <row r="4195">
          <cell r="A4195" t="str">
            <v>COMMSCOPE</v>
          </cell>
          <cell r="B4195" t="str">
            <v>HSX8-59-D3M</v>
          </cell>
          <cell r="O4195"/>
          <cell r="T4195"/>
        </row>
        <row r="4196">
          <cell r="A4196" t="str">
            <v>COMMSCOPE</v>
          </cell>
          <cell r="B4196" t="str">
            <v>HT65A-F-2X2</v>
          </cell>
          <cell r="O4196">
            <v>1.9819839889999997</v>
          </cell>
          <cell r="T4196">
            <v>1.2233131749999999</v>
          </cell>
        </row>
        <row r="4197">
          <cell r="A4197" t="str">
            <v>COMMSCOPE</v>
          </cell>
          <cell r="B4197" t="str">
            <v>HT65A-F-M</v>
          </cell>
          <cell r="O4197">
            <v>1.9819839889999997</v>
          </cell>
          <cell r="T4197">
            <v>1.2233131749999999</v>
          </cell>
        </row>
        <row r="4198">
          <cell r="A4198" t="str">
            <v>COMMSCOPE</v>
          </cell>
          <cell r="B4198" t="str">
            <v>HWX-6516DS1-VTM</v>
          </cell>
          <cell r="O4198">
            <v>1.9819839889999997</v>
          </cell>
          <cell r="T4198">
            <v>1.2233131749999999</v>
          </cell>
        </row>
        <row r="4199">
          <cell r="A4199" t="str">
            <v>COMMSCOPE</v>
          </cell>
          <cell r="B4199" t="str">
            <v>HWXX-6516DS-A2M</v>
          </cell>
          <cell r="O4199">
            <v>4.4822534259999998</v>
          </cell>
          <cell r="T4199">
            <v>1.737206442</v>
          </cell>
        </row>
        <row r="4200">
          <cell r="A4200" t="str">
            <v>COMMSCOPE</v>
          </cell>
          <cell r="B4200" t="str">
            <v>HWXX-6516DS1-A2M</v>
          </cell>
          <cell r="O4200">
            <v>4.4822534259999998</v>
          </cell>
          <cell r="T4200">
            <v>1.737206442</v>
          </cell>
        </row>
        <row r="4201">
          <cell r="A4201" t="str">
            <v>COMMSCOPE</v>
          </cell>
          <cell r="B4201" t="str">
            <v>HWXXX-6516DS-A3M</v>
          </cell>
          <cell r="O4201">
            <v>7.7521511293584098</v>
          </cell>
          <cell r="T4201">
            <v>1.82241438692168</v>
          </cell>
        </row>
        <row r="4202">
          <cell r="A4202" t="str">
            <v>COMMSCOPE</v>
          </cell>
          <cell r="B4202" t="str">
            <v>HX10-11W-6GF</v>
          </cell>
          <cell r="O4202"/>
          <cell r="T4202"/>
        </row>
        <row r="4203">
          <cell r="A4203" t="str">
            <v>COMMSCOPE</v>
          </cell>
          <cell r="B4203" t="str">
            <v>HX10-6W</v>
          </cell>
          <cell r="O4203"/>
          <cell r="T4203"/>
        </row>
        <row r="4204">
          <cell r="A4204" t="str">
            <v>COMMSCOPE</v>
          </cell>
          <cell r="B4204" t="str">
            <v>HX6-11W</v>
          </cell>
          <cell r="O4204"/>
          <cell r="T4204"/>
        </row>
        <row r="4205">
          <cell r="A4205" t="str">
            <v>COMMSCOPE</v>
          </cell>
          <cell r="B4205" t="str">
            <v>HX6-11W-6GR</v>
          </cell>
          <cell r="O4205"/>
          <cell r="T4205"/>
        </row>
        <row r="4206">
          <cell r="A4206" t="str">
            <v>COMMSCOPE</v>
          </cell>
          <cell r="B4206" t="str">
            <v>HX6-4_20230901</v>
          </cell>
          <cell r="O4206"/>
          <cell r="T4206"/>
        </row>
        <row r="4207">
          <cell r="A4207" t="str">
            <v>COMMSCOPE</v>
          </cell>
          <cell r="B4207" t="str">
            <v>HX6-611-6WH/B_20240627</v>
          </cell>
          <cell r="O4207"/>
          <cell r="T4207"/>
        </row>
        <row r="4208">
          <cell r="A4208" t="str">
            <v>COMMSCOPE</v>
          </cell>
          <cell r="B4208" t="str">
            <v>HX6-6W</v>
          </cell>
          <cell r="O4208"/>
          <cell r="T4208"/>
        </row>
        <row r="4209">
          <cell r="A4209" t="str">
            <v>COMMSCOPE</v>
          </cell>
          <cell r="B4209" t="str">
            <v>HX6-6W-6GR</v>
          </cell>
          <cell r="O4209"/>
          <cell r="T4209"/>
        </row>
        <row r="4210">
          <cell r="A4210" t="str">
            <v>COMMSCOPE</v>
          </cell>
          <cell r="B4210" t="str">
            <v>HX6-6W-6GR_CCIV2</v>
          </cell>
          <cell r="O4210"/>
          <cell r="T4210"/>
        </row>
        <row r="4211">
          <cell r="A4211" t="str">
            <v>COMMSCOPE</v>
          </cell>
          <cell r="B4211" t="str">
            <v>HX6-6W-6WH</v>
          </cell>
          <cell r="O4211"/>
          <cell r="T4211"/>
        </row>
        <row r="4212">
          <cell r="A4212" t="str">
            <v>COMMSCOPE</v>
          </cell>
          <cell r="B4212" t="str">
            <v>HX6-7W-6GR</v>
          </cell>
          <cell r="O4212"/>
          <cell r="T4212"/>
        </row>
        <row r="4213">
          <cell r="A4213" t="str">
            <v>COMMSCOPE</v>
          </cell>
          <cell r="B4213" t="str">
            <v>HX8-11W</v>
          </cell>
          <cell r="O4213"/>
          <cell r="T4213"/>
        </row>
        <row r="4214">
          <cell r="A4214" t="str">
            <v>COMMSCOPE</v>
          </cell>
          <cell r="B4214" t="str">
            <v>HX8-11W-3GF</v>
          </cell>
          <cell r="O4214"/>
          <cell r="T4214"/>
        </row>
        <row r="4215">
          <cell r="A4215" t="str">
            <v>COMMSCOPE</v>
          </cell>
          <cell r="B4215" t="str">
            <v>HX8-6W-6GF</v>
          </cell>
          <cell r="O4215"/>
          <cell r="T4215"/>
        </row>
        <row r="4216">
          <cell r="A4216" t="str">
            <v>COMMSCOPE</v>
          </cell>
          <cell r="B4216" t="str">
            <v>HX8-6W_20230901</v>
          </cell>
          <cell r="O4216"/>
          <cell r="T4216"/>
        </row>
        <row r="4217">
          <cell r="A4217" t="str">
            <v>COMMSCOPE</v>
          </cell>
          <cell r="B4217" t="str">
            <v>HX8-7W-6GF</v>
          </cell>
          <cell r="O4217"/>
          <cell r="T4217"/>
        </row>
        <row r="4218">
          <cell r="A4218" t="str">
            <v>COMMSCOPE</v>
          </cell>
          <cell r="B4218" t="str">
            <v>JAH4-65B-R4</v>
          </cell>
          <cell r="O4218">
            <v>5.29</v>
          </cell>
          <cell r="T4218">
            <v>3.05</v>
          </cell>
        </row>
        <row r="4219">
          <cell r="A4219" t="str">
            <v>COMMSCOPE</v>
          </cell>
          <cell r="B4219" t="str">
            <v>JAH4-65C-R4</v>
          </cell>
          <cell r="O4219">
            <v>6.46</v>
          </cell>
          <cell r="T4219">
            <v>3.86</v>
          </cell>
        </row>
        <row r="4220">
          <cell r="A4220" t="str">
            <v>COMMSCOPE</v>
          </cell>
          <cell r="B4220" t="str">
            <v>JAHH-33C-R3B</v>
          </cell>
          <cell r="O4220">
            <v>12.953274499999988</v>
          </cell>
          <cell r="T4220">
            <v>4.8944306050000002</v>
          </cell>
        </row>
        <row r="4221">
          <cell r="A4221" t="str">
            <v>COMMSCOPE</v>
          </cell>
          <cell r="B4221" t="str">
            <v>JAHH-45A-R3B</v>
          </cell>
          <cell r="O4221">
            <v>6.1952449849999995</v>
          </cell>
          <cell r="T4221">
            <v>2.4171008950000004</v>
          </cell>
        </row>
        <row r="4222">
          <cell r="A4222" t="str">
            <v>COMMSCOPE</v>
          </cell>
          <cell r="B4222" t="str">
            <v>JAHH-45B-R3B</v>
          </cell>
          <cell r="O4222">
            <v>8.3281394680000016</v>
          </cell>
          <cell r="T4222">
            <v>3.2444589269999997</v>
          </cell>
        </row>
        <row r="4223">
          <cell r="A4223" t="str">
            <v>COMMSCOPE</v>
          </cell>
          <cell r="B4223" t="str">
            <v>JAHH-45C-R3B</v>
          </cell>
          <cell r="O4223">
            <v>11.008010219999989</v>
          </cell>
          <cell r="T4223">
            <v>4.2935034069999993</v>
          </cell>
        </row>
        <row r="4224">
          <cell r="A4224" t="str">
            <v>COMMSCOPE</v>
          </cell>
          <cell r="B4224" t="str">
            <v>JAHH-65A-R3B</v>
          </cell>
          <cell r="O4224">
            <v>3.3</v>
          </cell>
          <cell r="T4224">
            <v>1.98</v>
          </cell>
        </row>
        <row r="4225">
          <cell r="A4225" t="str">
            <v>COMMSCOPE</v>
          </cell>
          <cell r="B4225" t="str">
            <v>JAHH-65B-R3B</v>
          </cell>
          <cell r="O4225">
            <v>5.2864691849999996</v>
          </cell>
          <cell r="T4225">
            <v>3.0527498110000004</v>
          </cell>
        </row>
        <row r="4226">
          <cell r="A4226" t="str">
            <v>COMMSCOPE</v>
          </cell>
          <cell r="B4226" t="str">
            <v>JAHH-65B-R3B-V3</v>
          </cell>
          <cell r="O4226">
            <v>5.2864691849999996</v>
          </cell>
          <cell r="T4226">
            <v>3.0527498110000004</v>
          </cell>
        </row>
        <row r="4227">
          <cell r="A4227" t="str">
            <v>COMMSCOPE</v>
          </cell>
          <cell r="B4227" t="str">
            <v>JAHH-65C-R3B</v>
          </cell>
          <cell r="O4227">
            <v>6.46</v>
          </cell>
          <cell r="T4227">
            <v>3.86</v>
          </cell>
        </row>
        <row r="4228">
          <cell r="A4228" t="str">
            <v>COMMSCOPE</v>
          </cell>
          <cell r="B4228" t="str">
            <v>JAHH-65C-R3B-V2</v>
          </cell>
          <cell r="O4228">
            <v>6.46</v>
          </cell>
          <cell r="T4228">
            <v>3.86</v>
          </cell>
        </row>
        <row r="4229">
          <cell r="A4229" t="str">
            <v>COMMSCOPE</v>
          </cell>
          <cell r="B4229" t="str">
            <v>JAHH-65C-R3B-V3</v>
          </cell>
          <cell r="O4229">
            <v>6.46</v>
          </cell>
          <cell r="T4229">
            <v>3.86</v>
          </cell>
        </row>
        <row r="4230">
          <cell r="A4230" t="str">
            <v>COMMSCOPE</v>
          </cell>
          <cell r="B4230" t="str">
            <v>JAHH-65C-R3B-V3_CCIV2</v>
          </cell>
          <cell r="O4230">
            <v>6.46</v>
          </cell>
          <cell r="T4230">
            <v>3.86</v>
          </cell>
        </row>
        <row r="4231">
          <cell r="A4231" t="str">
            <v>COMMSCOPE</v>
          </cell>
          <cell r="B4231" t="str">
            <v>JAHH-85C-R3B</v>
          </cell>
          <cell r="O4231">
            <v>7.1652972769999996</v>
          </cell>
          <cell r="T4231">
            <v>4.2786892209999996</v>
          </cell>
        </row>
        <row r="4232">
          <cell r="A4232" t="str">
            <v>COMMSCOPE</v>
          </cell>
          <cell r="B4232" t="str">
            <v>JAHHSS-65C-R3BT4</v>
          </cell>
          <cell r="O4232">
            <v>7.1652972769434395</v>
          </cell>
          <cell r="T4232">
            <v>4.2786892209170198</v>
          </cell>
        </row>
        <row r="4233">
          <cell r="A4233" t="str">
            <v>COMMSCOPE</v>
          </cell>
          <cell r="B4233" t="str">
            <v>JCV4-65B-R6</v>
          </cell>
          <cell r="O4233">
            <v>5.2743641367871295</v>
          </cell>
          <cell r="T4233">
            <v>3.14412636470216</v>
          </cell>
        </row>
        <row r="4234">
          <cell r="A4234" t="str">
            <v>COMMSCOPE</v>
          </cell>
          <cell r="B4234" t="str">
            <v>JJAAH4-65B-R6</v>
          </cell>
          <cell r="O4234">
            <v>7.09</v>
          </cell>
          <cell r="T4234">
            <v>2.88</v>
          </cell>
        </row>
        <row r="4235">
          <cell r="A4235" t="str">
            <v>COMMSCOPE</v>
          </cell>
          <cell r="B4235" t="str">
            <v>JJAAH4-65C-R6</v>
          </cell>
          <cell r="O4235">
            <v>9.75364101080247</v>
          </cell>
          <cell r="T4235">
            <v>3.9622482389668598</v>
          </cell>
        </row>
        <row r="4236">
          <cell r="A4236" t="str">
            <v>COMMSCOPE</v>
          </cell>
          <cell r="B4236" t="str">
            <v>KKVVSS-65C-T-R3B_20250103</v>
          </cell>
          <cell r="O4236"/>
          <cell r="T4236"/>
        </row>
        <row r="4237">
          <cell r="A4237" t="str">
            <v>COMMSCOPE</v>
          </cell>
          <cell r="B4237" t="str">
            <v>KVVSS-65A-R3</v>
          </cell>
          <cell r="O4237"/>
          <cell r="T4237"/>
        </row>
        <row r="4238">
          <cell r="A4238" t="str">
            <v>COMMSCOPE</v>
          </cell>
          <cell r="B4238" t="str">
            <v>KVVSS-65A-R3-V1</v>
          </cell>
          <cell r="O4238">
            <v>2.5449754050925901</v>
          </cell>
          <cell r="T4238">
            <v>1.5270432879820599</v>
          </cell>
        </row>
        <row r="4239">
          <cell r="A4239" t="str">
            <v>COMMSCOPE</v>
          </cell>
          <cell r="B4239" t="str">
            <v>KVVSS-65A-R3_20240404</v>
          </cell>
          <cell r="O4239">
            <v>2.5449754050925901</v>
          </cell>
          <cell r="T4239">
            <v>1.5270432879820599</v>
          </cell>
        </row>
        <row r="4240">
          <cell r="A4240" t="str">
            <v>COMMSCOPE</v>
          </cell>
          <cell r="B4240" t="str">
            <v>KVVSS-65A_R3</v>
          </cell>
          <cell r="O4240">
            <v>2.5449754050925901</v>
          </cell>
          <cell r="T4240">
            <v>1.5270432879820599</v>
          </cell>
        </row>
        <row r="4241">
          <cell r="A4241" t="str">
            <v>COMMSCOPE</v>
          </cell>
          <cell r="B4241" t="str">
            <v>LBX-3319DS-VTM</v>
          </cell>
          <cell r="O4241"/>
          <cell r="T4241"/>
        </row>
        <row r="4242">
          <cell r="A4242" t="str">
            <v>COMMSCOPE</v>
          </cell>
          <cell r="B4242" t="str">
            <v>LBX-9012DS-A1M</v>
          </cell>
          <cell r="O4242">
            <v>4.4941624859999996</v>
          </cell>
          <cell r="T4242">
            <v>2.2067020509999997</v>
          </cell>
        </row>
        <row r="4243">
          <cell r="A4243" t="str">
            <v>COMMSCOPE</v>
          </cell>
          <cell r="B4243" t="str">
            <v>LBX-9012DS-VTM</v>
          </cell>
          <cell r="O4243">
            <v>4.4941624859999996</v>
          </cell>
          <cell r="T4243">
            <v>2.2067020509999997</v>
          </cell>
        </row>
        <row r="4244">
          <cell r="A4244" t="str">
            <v>COMMSCOPE</v>
          </cell>
          <cell r="B4244" t="str">
            <v>LDX-3316DS-VTM</v>
          </cell>
          <cell r="O4244">
            <v>10.979046103395101</v>
          </cell>
          <cell r="T4244">
            <v>3.4014921772860198</v>
          </cell>
        </row>
        <row r="4245">
          <cell r="A4245" t="str">
            <v>COMMSCOPE</v>
          </cell>
          <cell r="B4245" t="str">
            <v>LDX-6513DS-A1M</v>
          </cell>
          <cell r="O4245">
            <v>4.5505860450000002</v>
          </cell>
          <cell r="T4245">
            <v>2.2416005370000001</v>
          </cell>
        </row>
        <row r="4246">
          <cell r="A4246" t="str">
            <v>COMMSCOPE</v>
          </cell>
          <cell r="B4246" t="str">
            <v>LDX-6515DS-A1M</v>
          </cell>
          <cell r="O4246">
            <v>7.6410160329999997</v>
          </cell>
          <cell r="T4246">
            <v>3.7441066890000001</v>
          </cell>
        </row>
        <row r="4247">
          <cell r="A4247" t="str">
            <v>COMMSCOPE</v>
          </cell>
          <cell r="B4247" t="str">
            <v>LDX-6516DS-A1M</v>
          </cell>
          <cell r="O4247">
            <v>9.5938624219999991</v>
          </cell>
          <cell r="T4247">
            <v>4.7154158969999997</v>
          </cell>
        </row>
        <row r="4248">
          <cell r="A4248" t="str">
            <v>COMMSCOPE</v>
          </cell>
          <cell r="B4248" t="str">
            <v>LDX-9013DS-VTM</v>
          </cell>
          <cell r="O4248"/>
          <cell r="T4248"/>
        </row>
        <row r="4249">
          <cell r="A4249" t="str">
            <v>COMMSCOPE</v>
          </cell>
          <cell r="B4249" t="str">
            <v>LDXX-6515DS-A2M</v>
          </cell>
          <cell r="O4249"/>
          <cell r="T4249"/>
        </row>
        <row r="4250">
          <cell r="A4250" t="str">
            <v>COMMSCOPE</v>
          </cell>
          <cell r="B4250" t="str">
            <v>LLPX310R-V1</v>
          </cell>
          <cell r="O4250">
            <v>3.8956373709999998</v>
          </cell>
          <cell r="T4250">
            <v>1.4956598619999999</v>
          </cell>
        </row>
        <row r="4251">
          <cell r="A4251" t="str">
            <v>COMMSCOPE</v>
          </cell>
          <cell r="B4251" t="str">
            <v>LLPX411R-V1</v>
          </cell>
          <cell r="O4251">
            <v>4.3179402970679002</v>
          </cell>
          <cell r="T4251">
            <v>1.65763826875447</v>
          </cell>
        </row>
        <row r="4252">
          <cell r="A4252" t="str">
            <v>COMMSCOPE</v>
          </cell>
          <cell r="B4252" t="str">
            <v>LNX-4514DS-A1M</v>
          </cell>
          <cell r="O4252">
            <v>7.1720679009999992</v>
          </cell>
          <cell r="T4252">
            <v>3.0387886600000003</v>
          </cell>
        </row>
        <row r="4253">
          <cell r="A4253" t="str">
            <v>COMMSCOPE</v>
          </cell>
          <cell r="B4253" t="str">
            <v>LNX-6512DS-A1M</v>
          </cell>
          <cell r="O4253">
            <v>2.69</v>
          </cell>
          <cell r="T4253">
            <v>1.6199999999999999</v>
          </cell>
        </row>
        <row r="4254">
          <cell r="A4254" t="str">
            <v>COMMSCOPE</v>
          </cell>
          <cell r="B4254" t="str">
            <v>LNX-6512DS-VTM</v>
          </cell>
          <cell r="O4254">
            <v>2.69</v>
          </cell>
          <cell r="T4254">
            <v>1.6199999999999999</v>
          </cell>
        </row>
        <row r="4255">
          <cell r="A4255" t="str">
            <v>COMMSCOPE</v>
          </cell>
          <cell r="B4255" t="str">
            <v>LNX-6513DS-A1M</v>
          </cell>
          <cell r="O4255">
            <v>2.8805136</v>
          </cell>
          <cell r="T4255">
            <v>1.7280827949999999</v>
          </cell>
        </row>
        <row r="4256">
          <cell r="A4256" t="str">
            <v>COMMSCOPE</v>
          </cell>
          <cell r="B4256" t="str">
            <v>LNX-6513DS-VTM</v>
          </cell>
          <cell r="O4256">
            <v>2.8805136</v>
          </cell>
          <cell r="T4256">
            <v>1.7280827949999999</v>
          </cell>
        </row>
        <row r="4257">
          <cell r="A4257" t="str">
            <v>COMMSCOPE</v>
          </cell>
          <cell r="B4257" t="str">
            <v>LNX-6514DS-A1M</v>
          </cell>
          <cell r="O4257">
            <v>4.159146894</v>
          </cell>
          <cell r="T4257">
            <v>2.4932440119999999</v>
          </cell>
        </row>
        <row r="4258">
          <cell r="A4258" t="str">
            <v>COMMSCOPE</v>
          </cell>
          <cell r="B4258" t="str">
            <v>LNX-6514DS-A1M_T-MOBILE</v>
          </cell>
          <cell r="O4258">
            <v>4.159146894</v>
          </cell>
          <cell r="T4258">
            <v>2.4932440119999999</v>
          </cell>
        </row>
        <row r="4259">
          <cell r="A4259" t="str">
            <v>COMMSCOPE</v>
          </cell>
          <cell r="B4259" t="str">
            <v>LNX-6514DS-AIM</v>
          </cell>
          <cell r="O4259">
            <v>4.159146894</v>
          </cell>
          <cell r="T4259">
            <v>2.4932440119999999</v>
          </cell>
        </row>
        <row r="4260">
          <cell r="A4260" t="str">
            <v>COMMSCOPE</v>
          </cell>
          <cell r="B4260" t="str">
            <v>LNX-6514DS-VTM</v>
          </cell>
          <cell r="O4260">
            <v>4.159146894</v>
          </cell>
          <cell r="T4260">
            <v>2.4932440119999999</v>
          </cell>
        </row>
        <row r="4261">
          <cell r="A4261" t="str">
            <v>COMMSCOPE</v>
          </cell>
          <cell r="B4261" t="str">
            <v>LNX-6515DS-A1M</v>
          </cell>
          <cell r="O4261">
            <v>5.42</v>
          </cell>
          <cell r="T4261">
            <v>3.25</v>
          </cell>
        </row>
        <row r="4262">
          <cell r="A4262" t="str">
            <v>COMMSCOPE</v>
          </cell>
          <cell r="B4262" t="str">
            <v>LNX-6515DS-A1M_T-MOBILE</v>
          </cell>
          <cell r="O4262">
            <v>5.422178819</v>
          </cell>
          <cell r="T4262">
            <v>3.2528717299999999</v>
          </cell>
        </row>
        <row r="4263">
          <cell r="A4263" t="str">
            <v>COMMSCOPE</v>
          </cell>
          <cell r="B4263" t="str">
            <v>LNX-6515DS-R2M</v>
          </cell>
          <cell r="O4263">
            <v>5.42</v>
          </cell>
          <cell r="T4263">
            <v>3.25</v>
          </cell>
        </row>
        <row r="4264">
          <cell r="A4264" t="str">
            <v>COMMSCOPE</v>
          </cell>
          <cell r="B4264" t="str">
            <v>LNX-6515DS-VTM</v>
          </cell>
          <cell r="O4264">
            <v>5.42</v>
          </cell>
          <cell r="T4264">
            <v>3.25</v>
          </cell>
        </row>
        <row r="4265">
          <cell r="A4265" t="str">
            <v>COMMSCOPE</v>
          </cell>
          <cell r="B4265" t="str">
            <v>LNX-8513DS-A1M</v>
          </cell>
          <cell r="O4265">
            <v>4.159146894</v>
          </cell>
          <cell r="T4265">
            <v>2.4932440119999999</v>
          </cell>
        </row>
        <row r="4266">
          <cell r="A4266" t="str">
            <v>COMMSCOPE</v>
          </cell>
          <cell r="B4266" t="str">
            <v>LNX-8513DS-VTM</v>
          </cell>
          <cell r="O4266">
            <v>4.159146894</v>
          </cell>
          <cell r="T4266">
            <v>2.4932440119999999</v>
          </cell>
        </row>
        <row r="4267">
          <cell r="A4267" t="str">
            <v>COMMSCOPE</v>
          </cell>
          <cell r="B4267" t="str">
            <v>LNX-8514DS-A1M</v>
          </cell>
          <cell r="O4267">
            <v>5.6703366129999999</v>
          </cell>
          <cell r="T4267">
            <v>3.4022068220000001</v>
          </cell>
        </row>
        <row r="4268">
          <cell r="A4268" t="str">
            <v>COMMSCOPE</v>
          </cell>
          <cell r="B4268" t="str">
            <v>LNX-8514DS-VTM</v>
          </cell>
          <cell r="O4268">
            <v>5.6703366129999999</v>
          </cell>
          <cell r="T4268">
            <v>3.4022068220000001</v>
          </cell>
        </row>
        <row r="4269">
          <cell r="A4269" t="str">
            <v>COMMSCOPE</v>
          </cell>
          <cell r="B4269" t="str">
            <v>LRX-8512DS-A1M</v>
          </cell>
          <cell r="O4269">
            <v>2.936585166</v>
          </cell>
          <cell r="T4269">
            <v>1.7605495019999999</v>
          </cell>
        </row>
        <row r="4270">
          <cell r="A4270" t="str">
            <v>COMMSCOPE</v>
          </cell>
          <cell r="B4270" t="str">
            <v>LX6-11W_20230606</v>
          </cell>
          <cell r="O4270"/>
          <cell r="T4270"/>
        </row>
        <row r="4271">
          <cell r="A4271" t="str">
            <v>COMMSCOPE</v>
          </cell>
          <cell r="B4271" t="str">
            <v>LX6-6W-6GR</v>
          </cell>
          <cell r="O4271"/>
          <cell r="T4271"/>
        </row>
        <row r="4272">
          <cell r="A4272" t="str">
            <v>COMMSCOPE</v>
          </cell>
          <cell r="B4272" t="str">
            <v>MBDHH-65C-A3M</v>
          </cell>
          <cell r="O4272">
            <v>5.5879533179012295</v>
          </cell>
          <cell r="T4272">
            <v>3.3521657714775897</v>
          </cell>
        </row>
        <row r="4273">
          <cell r="A4273" t="str">
            <v>COMMSCOPE</v>
          </cell>
          <cell r="B4273" t="str">
            <v>MBLHH-65C-VTM</v>
          </cell>
          <cell r="O4273">
            <v>9.5451824999999992</v>
          </cell>
          <cell r="T4273">
            <v>4.681972429</v>
          </cell>
        </row>
        <row r="4274">
          <cell r="A4274" t="str">
            <v>COMMSCOPE</v>
          </cell>
          <cell r="B4274" t="str">
            <v>MD-IS2</v>
          </cell>
          <cell r="O4274"/>
          <cell r="T4274"/>
        </row>
        <row r="4275">
          <cell r="A4275" t="str">
            <v>COMMSCOPE</v>
          </cell>
          <cell r="B4275" t="str">
            <v>MD-IS4</v>
          </cell>
          <cell r="O4275"/>
          <cell r="T4275"/>
        </row>
        <row r="4276">
          <cell r="A4276" t="str">
            <v>COMMSCOPE</v>
          </cell>
          <cell r="B4276" t="str">
            <v>MD-S10</v>
          </cell>
          <cell r="O4276"/>
          <cell r="T4276"/>
        </row>
        <row r="4277">
          <cell r="A4277" t="str">
            <v>COMMSCOPE</v>
          </cell>
          <cell r="B4277" t="str">
            <v>MD-S3</v>
          </cell>
          <cell r="O4277"/>
          <cell r="T4277"/>
        </row>
        <row r="4278">
          <cell r="A4278" t="str">
            <v>COMMSCOPE</v>
          </cell>
          <cell r="B4278" t="str">
            <v>MD-S3_V2</v>
          </cell>
          <cell r="O4278"/>
          <cell r="T4278"/>
        </row>
        <row r="4279">
          <cell r="A4279" t="str">
            <v>COMMSCOPE</v>
          </cell>
          <cell r="B4279" t="str">
            <v>MD-S4</v>
          </cell>
          <cell r="O4279"/>
          <cell r="T4279"/>
        </row>
        <row r="4280">
          <cell r="A4280" t="str">
            <v>COMMSCOPE</v>
          </cell>
          <cell r="B4280" t="str">
            <v>MD-S6</v>
          </cell>
          <cell r="O4280"/>
          <cell r="T4280"/>
        </row>
        <row r="4281">
          <cell r="A4281" t="str">
            <v>COMMSCOPE</v>
          </cell>
          <cell r="B4281" t="str">
            <v>MD-S8</v>
          </cell>
          <cell r="O4281"/>
          <cell r="T4281"/>
        </row>
        <row r="4282">
          <cell r="A4282" t="str">
            <v>COMMSCOPE</v>
          </cell>
          <cell r="B4282" t="str">
            <v>MD-SQ2</v>
          </cell>
          <cell r="O4282"/>
          <cell r="T4282"/>
        </row>
        <row r="4283">
          <cell r="A4283" t="str">
            <v>COMMSCOPE</v>
          </cell>
          <cell r="B4283" t="str">
            <v>MD-SQ3</v>
          </cell>
          <cell r="O4283"/>
          <cell r="T4283"/>
        </row>
        <row r="4284">
          <cell r="A4284" t="str">
            <v>COMMSCOPE</v>
          </cell>
          <cell r="B4284" t="str">
            <v>MD-SQ3_CCIV2</v>
          </cell>
          <cell r="O4284"/>
          <cell r="T4284"/>
        </row>
        <row r="4285">
          <cell r="A4285" t="str">
            <v>COMMSCOPE</v>
          </cell>
          <cell r="B4285" t="str">
            <v>MD-SQ4</v>
          </cell>
          <cell r="O4285"/>
          <cell r="T4285"/>
        </row>
        <row r="4286">
          <cell r="A4286" t="str">
            <v>COMMSCOPE</v>
          </cell>
          <cell r="B4286" t="str">
            <v>N45C-1XB1</v>
          </cell>
          <cell r="O4286">
            <v>10.678158760000001</v>
          </cell>
          <cell r="T4286">
            <v>4.2825420319999994</v>
          </cell>
        </row>
        <row r="4287">
          <cell r="A4287" t="str">
            <v>COMMSCOPE</v>
          </cell>
          <cell r="B4287" t="str">
            <v>NH180QS-DG-F0M</v>
          </cell>
          <cell r="O4287"/>
          <cell r="T4287"/>
        </row>
        <row r="4288">
          <cell r="A4288" t="str">
            <v>COMMSCOPE</v>
          </cell>
          <cell r="B4288" t="str">
            <v>NH65S-DF-F0M</v>
          </cell>
          <cell r="O4288">
            <v>1.54717206790123</v>
          </cell>
          <cell r="T4288">
            <v>0.92894137603345184</v>
          </cell>
        </row>
        <row r="4289">
          <cell r="A4289" t="str">
            <v>COMMSCOPE</v>
          </cell>
          <cell r="B4289" t="str">
            <v>NHH-33A-R2B</v>
          </cell>
          <cell r="O4289">
            <v>6.3398003472222193</v>
          </cell>
          <cell r="T4289">
            <v>2.3755336215076199</v>
          </cell>
        </row>
        <row r="4290">
          <cell r="A4290" t="str">
            <v>COMMSCOPE</v>
          </cell>
          <cell r="B4290" t="str">
            <v>NHH-33B-R2B</v>
          </cell>
          <cell r="O4290">
            <v>9.7077546300000002</v>
          </cell>
          <cell r="T4290">
            <v>3.5679899749999997</v>
          </cell>
        </row>
        <row r="4291">
          <cell r="A4291" t="str">
            <v>COMMSCOPE</v>
          </cell>
          <cell r="B4291" t="str">
            <v>NHH-33C-R2B</v>
          </cell>
          <cell r="O4291">
            <v>12.953274498456798</v>
          </cell>
          <cell r="T4291">
            <v>4.8944306051242794</v>
          </cell>
        </row>
        <row r="4292">
          <cell r="A4292" t="str">
            <v>COMMSCOPE</v>
          </cell>
          <cell r="B4292" t="str">
            <v>NHH-45A-R2B</v>
          </cell>
          <cell r="O4292">
            <v>5.3264274689999995</v>
          </cell>
          <cell r="T4292">
            <v>2.0786569720000001</v>
          </cell>
        </row>
        <row r="4293">
          <cell r="A4293" t="str">
            <v>COMMSCOPE</v>
          </cell>
          <cell r="B4293" t="str">
            <v>NHH-45B-R2B</v>
          </cell>
          <cell r="O4293">
            <v>8.3281394680000016</v>
          </cell>
          <cell r="T4293">
            <v>3.2444589269999997</v>
          </cell>
        </row>
        <row r="4294">
          <cell r="A4294" t="str">
            <v>COMMSCOPE</v>
          </cell>
          <cell r="B4294" t="str">
            <v>NHH-45C-HG-R2B_20241008</v>
          </cell>
          <cell r="O4294"/>
          <cell r="T4294"/>
        </row>
        <row r="4295">
          <cell r="A4295" t="str">
            <v>COMMSCOPE</v>
          </cell>
          <cell r="B4295" t="str">
            <v>NHH-45C-R2B</v>
          </cell>
          <cell r="O4295">
            <v>10.678158760000001</v>
          </cell>
          <cell r="T4295">
            <v>4.2825420319999994</v>
          </cell>
        </row>
        <row r="4296">
          <cell r="A4296" t="str">
            <v>COMMSCOPE</v>
          </cell>
          <cell r="B4296" t="str">
            <v>NHH-55A-R2B</v>
          </cell>
          <cell r="O4296"/>
          <cell r="T4296"/>
        </row>
        <row r="4297">
          <cell r="A4297" t="str">
            <v>COMMSCOPE</v>
          </cell>
          <cell r="B4297" t="str">
            <v>NHH-55B-R2B</v>
          </cell>
          <cell r="O4297">
            <v>4.3740590809710298</v>
          </cell>
          <cell r="T4297">
            <v>2.5335186864850701</v>
          </cell>
        </row>
        <row r="4298">
          <cell r="A4298" t="str">
            <v>COMMSCOPE</v>
          </cell>
          <cell r="B4298" t="str">
            <v>NHH-55C-R2B</v>
          </cell>
          <cell r="O4298">
            <v>6.1291550319408499</v>
          </cell>
          <cell r="T4298">
            <v>3.5498425455672002</v>
          </cell>
        </row>
        <row r="4299">
          <cell r="A4299" t="str">
            <v>COMMSCOPE</v>
          </cell>
          <cell r="B4299" t="str">
            <v>NHH-65A-R2B</v>
          </cell>
          <cell r="O4299">
            <v>3.0812572339999997</v>
          </cell>
          <cell r="T4299">
            <v>1.8473628309999999</v>
          </cell>
        </row>
        <row r="4300">
          <cell r="A4300" t="str">
            <v>COMMSCOPE</v>
          </cell>
          <cell r="B4300" t="str">
            <v>NHH-65B-HG-R2B</v>
          </cell>
          <cell r="O4300">
            <v>3.9388339120370399</v>
          </cell>
          <cell r="T4300">
            <v>2.3631634127108598</v>
          </cell>
        </row>
        <row r="4301">
          <cell r="A4301" t="str">
            <v>COMMSCOPE</v>
          </cell>
          <cell r="B4301" t="str">
            <v>NHH-65B-R2B</v>
          </cell>
          <cell r="O4301">
            <v>4.159146894</v>
          </cell>
          <cell r="T4301">
            <v>2.4932440119999999</v>
          </cell>
        </row>
        <row r="4302">
          <cell r="A4302" t="str">
            <v>COMMSCOPE</v>
          </cell>
          <cell r="B4302" t="str">
            <v>NHH-65C-HG-R2B</v>
          </cell>
          <cell r="O4302">
            <v>5.4647231867283894</v>
          </cell>
          <cell r="T4302">
            <v>3.2781845967001502</v>
          </cell>
        </row>
        <row r="4303">
          <cell r="A4303" t="str">
            <v>COMMSCOPE</v>
          </cell>
          <cell r="B4303" t="str">
            <v>NHH-65C-HG-R2B_20241121</v>
          </cell>
          <cell r="O4303">
            <v>5.4647231867283894</v>
          </cell>
          <cell r="T4303">
            <v>3.2781845967001502</v>
          </cell>
        </row>
        <row r="4304">
          <cell r="A4304" t="str">
            <v>COMMSCOPE</v>
          </cell>
          <cell r="B4304" t="str">
            <v>NHH-65C-R2B</v>
          </cell>
          <cell r="O4304">
            <v>5.6703366129999999</v>
          </cell>
          <cell r="T4304">
            <v>3.4022068220000001</v>
          </cell>
        </row>
        <row r="4305">
          <cell r="A4305" t="str">
            <v>COMMSCOPE</v>
          </cell>
          <cell r="B4305" t="str">
            <v>NHH-65C-R2B_CCIV2</v>
          </cell>
          <cell r="O4305">
            <v>5.4647231867283894</v>
          </cell>
          <cell r="T4305">
            <v>3.2781845967001502</v>
          </cell>
        </row>
        <row r="4306">
          <cell r="A4306" t="str">
            <v>COMMSCOPE</v>
          </cell>
          <cell r="B4306" t="str">
            <v>NHH-65C-R3BD_20241121</v>
          </cell>
          <cell r="O4306">
            <v>7.1652972769434395</v>
          </cell>
          <cell r="T4306">
            <v>4.2786892209170198</v>
          </cell>
        </row>
        <row r="4307">
          <cell r="A4307" t="str">
            <v>COMMSCOPE</v>
          </cell>
          <cell r="B4307" t="str">
            <v>NHH-85B-R2B</v>
          </cell>
          <cell r="O4307">
            <v>4.159146894</v>
          </cell>
          <cell r="T4307">
            <v>2.4932440119999999</v>
          </cell>
        </row>
        <row r="4308">
          <cell r="A4308" t="str">
            <v>COMMSCOPE</v>
          </cell>
          <cell r="B4308" t="str">
            <v>NHH-85C-R2B</v>
          </cell>
          <cell r="O4308">
            <v>5.6703366129999999</v>
          </cell>
          <cell r="T4308">
            <v>3.4022068220000001</v>
          </cell>
        </row>
        <row r="4309">
          <cell r="A4309" t="str">
            <v>COMMSCOPE</v>
          </cell>
          <cell r="B4309" t="str">
            <v>NHHS4-45A-R3B</v>
          </cell>
          <cell r="O4309">
            <v>5.2727854938271594</v>
          </cell>
          <cell r="T4309">
            <v>2.0892855066713802</v>
          </cell>
        </row>
        <row r="4310">
          <cell r="A4310" t="str">
            <v>COMMSCOPE</v>
          </cell>
          <cell r="B4310" t="str">
            <v>NHHS4-45B-R3B</v>
          </cell>
          <cell r="O4310">
            <v>7.1667100694444388</v>
          </cell>
          <cell r="T4310">
            <v>2.9159390610420499</v>
          </cell>
        </row>
        <row r="4311">
          <cell r="A4311" t="str">
            <v>COMMSCOPE</v>
          </cell>
          <cell r="B4311" t="str">
            <v>NHHS4-45C-R3B</v>
          </cell>
          <cell r="O4311">
            <v>10.678158757716</v>
          </cell>
          <cell r="T4311">
            <v>4.2825420323233594</v>
          </cell>
        </row>
        <row r="4312">
          <cell r="A4312" t="str">
            <v>COMMSCOPE</v>
          </cell>
          <cell r="B4312" t="str">
            <v>NHHS4-65A-R3B</v>
          </cell>
          <cell r="O4312">
            <v>3.3556749733875</v>
          </cell>
          <cell r="T4312">
            <v>2.0124137372449002</v>
          </cell>
        </row>
        <row r="4313">
          <cell r="A4313" t="str">
            <v>COMMSCOPE</v>
          </cell>
          <cell r="B4313" t="str">
            <v>NHHS4-65B-R3B</v>
          </cell>
          <cell r="O4313">
            <v>5.2743641367871295</v>
          </cell>
          <cell r="T4313">
            <v>3.14412636470216</v>
          </cell>
        </row>
        <row r="4314">
          <cell r="A4314" t="str">
            <v>COMMSCOPE</v>
          </cell>
          <cell r="B4314" t="str">
            <v>NHHS4-65C-R38</v>
          </cell>
          <cell r="O4314">
            <v>7.1652972769434395</v>
          </cell>
          <cell r="T4314">
            <v>4.2786892209170198</v>
          </cell>
        </row>
        <row r="4315">
          <cell r="A4315" t="str">
            <v>COMMSCOPE</v>
          </cell>
          <cell r="B4315" t="str">
            <v>NHHS4-65C-R3B</v>
          </cell>
          <cell r="O4315">
            <v>7.1652972769434395</v>
          </cell>
          <cell r="T4315">
            <v>4.2786892209170198</v>
          </cell>
        </row>
        <row r="4316">
          <cell r="A4316" t="str">
            <v>COMMSCOPE</v>
          </cell>
          <cell r="B4316" t="str">
            <v>NHHSS-45A-R2BT4</v>
          </cell>
          <cell r="O4316">
            <v>5.3505111882716001</v>
          </cell>
          <cell r="T4316">
            <v>2.0883613980313998</v>
          </cell>
        </row>
        <row r="4317">
          <cell r="A4317" t="str">
            <v>COMMSCOPE</v>
          </cell>
          <cell r="B4317" t="str">
            <v>NHHSS-45B-R2B</v>
          </cell>
          <cell r="O4317">
            <v>8.2279320987654287</v>
          </cell>
          <cell r="T4317">
            <v>3.21041637640776</v>
          </cell>
        </row>
        <row r="4318">
          <cell r="A4318" t="str">
            <v>COMMSCOPE</v>
          </cell>
          <cell r="B4318" t="str">
            <v>NHHSS-45B-R2BT4</v>
          </cell>
          <cell r="O4318">
            <v>8.2279320987654287</v>
          </cell>
          <cell r="T4318">
            <v>3.21041637640776</v>
          </cell>
        </row>
        <row r="4319">
          <cell r="A4319" t="str">
            <v>COMMSCOPE</v>
          </cell>
          <cell r="B4319" t="str">
            <v>NHHSS-45C-R2BT10</v>
          </cell>
          <cell r="O4319">
            <v>10.678158757716</v>
          </cell>
          <cell r="T4319">
            <v>4.2825420323233594</v>
          </cell>
        </row>
        <row r="4320">
          <cell r="A4320" t="str">
            <v>COMMSCOPE</v>
          </cell>
          <cell r="B4320" t="str">
            <v>NHHSS-45C-R2BT2</v>
          </cell>
          <cell r="O4320">
            <v>10.678158757716</v>
          </cell>
          <cell r="T4320">
            <v>4.2825420323233594</v>
          </cell>
        </row>
        <row r="4321">
          <cell r="A4321" t="str">
            <v>COMMSCOPE</v>
          </cell>
          <cell r="B4321" t="str">
            <v>NHHSS-45C-R2BT4</v>
          </cell>
          <cell r="O4321">
            <v>10.678158757716</v>
          </cell>
          <cell r="T4321">
            <v>4.2825420323233594</v>
          </cell>
        </row>
        <row r="4322">
          <cell r="A4322" t="str">
            <v>COMMSCOPE</v>
          </cell>
          <cell r="B4322" t="str">
            <v>NHHSS-45C-R2BT8</v>
          </cell>
          <cell r="O4322">
            <v>10.678158757716</v>
          </cell>
          <cell r="T4322">
            <v>4.2825420323233594</v>
          </cell>
        </row>
        <row r="4323">
          <cell r="A4323" t="str">
            <v>COMMSCOPE</v>
          </cell>
          <cell r="B4323" t="str">
            <v>NHHSS-55C-R2BT4</v>
          </cell>
          <cell r="O4323">
            <v>5.6968605324074097</v>
          </cell>
          <cell r="T4323">
            <v>3.29728756091404</v>
          </cell>
        </row>
        <row r="4324">
          <cell r="A4324" t="str">
            <v>COMMSCOPE</v>
          </cell>
          <cell r="B4324" t="str">
            <v>NHHSS-65A-R2B</v>
          </cell>
          <cell r="O4324">
            <v>2.8874522569444396</v>
          </cell>
          <cell r="T4324">
            <v>1.7324800642985101</v>
          </cell>
        </row>
        <row r="4325">
          <cell r="A4325" t="str">
            <v>COMMSCOPE</v>
          </cell>
          <cell r="B4325" t="str">
            <v>NHHSS-65A-R2BT4</v>
          </cell>
          <cell r="O4325">
            <v>3.09038676697531</v>
          </cell>
          <cell r="T4325">
            <v>1.8540037810692098</v>
          </cell>
        </row>
        <row r="4326">
          <cell r="A4326" t="str">
            <v>COMMSCOPE</v>
          </cell>
          <cell r="B4326" t="str">
            <v>NHHSS-65B-HGT-R3B_20240618</v>
          </cell>
          <cell r="O4326">
            <v>4.3664313271604893</v>
          </cell>
          <cell r="T4326">
            <v>2.6197062710249899</v>
          </cell>
        </row>
        <row r="4327">
          <cell r="A4327" t="str">
            <v>COMMSCOPE</v>
          </cell>
          <cell r="B4327" t="str">
            <v>NHHSS-65B-R2B</v>
          </cell>
          <cell r="O4327">
            <v>3.969225019</v>
          </cell>
          <cell r="T4327">
            <v>2.3810687240000004</v>
          </cell>
        </row>
        <row r="4328">
          <cell r="A4328" t="str">
            <v>COMMSCOPE</v>
          </cell>
          <cell r="B4328" t="str">
            <v>NHHSS-65B-R2BT2</v>
          </cell>
          <cell r="O4328">
            <v>3.9388339120370399</v>
          </cell>
          <cell r="T4328">
            <v>2.3631634127108598</v>
          </cell>
        </row>
        <row r="4329">
          <cell r="A4329" t="str">
            <v>COMMSCOPE</v>
          </cell>
          <cell r="B4329" t="str">
            <v>NHHSS-65B-R2BT4</v>
          </cell>
          <cell r="O4329">
            <v>3.9388339120370399</v>
          </cell>
          <cell r="T4329">
            <v>2.3631634127108598</v>
          </cell>
        </row>
        <row r="4330">
          <cell r="A4330" t="str">
            <v>COMMSCOPE</v>
          </cell>
          <cell r="B4330" t="str">
            <v>NHHSS-65B-R3B</v>
          </cell>
          <cell r="O4330">
            <v>3.9388339120370399</v>
          </cell>
          <cell r="T4330">
            <v>2.3631634127108598</v>
          </cell>
        </row>
        <row r="4331">
          <cell r="A4331" t="str">
            <v>COMMSCOPE</v>
          </cell>
          <cell r="B4331" t="str">
            <v>NHHSS-65C-HG-R3B_20240909</v>
          </cell>
          <cell r="O4331">
            <v>5.4647231867283894</v>
          </cell>
          <cell r="T4331">
            <v>3.2781845967001502</v>
          </cell>
        </row>
        <row r="4332">
          <cell r="A4332" t="str">
            <v>COMMSCOPE</v>
          </cell>
          <cell r="B4332" t="str">
            <v>NHHSS-65C-R2B</v>
          </cell>
          <cell r="O4332">
            <v>5.4647231869999988</v>
          </cell>
          <cell r="T4332">
            <v>3.2781845970000001</v>
          </cell>
        </row>
        <row r="4333">
          <cell r="A4333" t="str">
            <v>COMMSCOPE</v>
          </cell>
          <cell r="B4333" t="str">
            <v>NHHSS-65C-R2BT2</v>
          </cell>
          <cell r="O4333">
            <v>5.4647231867283894</v>
          </cell>
          <cell r="T4333">
            <v>3.2781845967001502</v>
          </cell>
        </row>
        <row r="4334">
          <cell r="A4334" t="str">
            <v>COMMSCOPE</v>
          </cell>
          <cell r="B4334" t="str">
            <v>NHHSS-65C-R2BT4</v>
          </cell>
          <cell r="O4334">
            <v>5.4647231867283894</v>
          </cell>
          <cell r="T4334">
            <v>3.2781845967001502</v>
          </cell>
        </row>
        <row r="4335">
          <cell r="A4335" t="str">
            <v>COMMSCOPE</v>
          </cell>
          <cell r="B4335" t="str">
            <v>NHHSS-65C-R2BT6</v>
          </cell>
          <cell r="O4335">
            <v>5.4647231867283894</v>
          </cell>
          <cell r="T4335">
            <v>3.2781845967001502</v>
          </cell>
        </row>
        <row r="4336">
          <cell r="A4336" t="str">
            <v>COMMSCOPE</v>
          </cell>
          <cell r="B4336" t="str">
            <v>NHHSS-65C-R2BT8-V2</v>
          </cell>
          <cell r="O4336">
            <v>5.4647231867283894</v>
          </cell>
          <cell r="T4336">
            <v>3.2781845967001502</v>
          </cell>
        </row>
        <row r="4337">
          <cell r="A4337" t="str">
            <v>COMMSCOPE</v>
          </cell>
          <cell r="B4337" t="str">
            <v>NN-65B-HG-R1B_20241102</v>
          </cell>
          <cell r="O4337">
            <v>7.1667100694444388</v>
          </cell>
          <cell r="T4337">
            <v>2.9159390610420499</v>
          </cell>
        </row>
        <row r="4338">
          <cell r="A4338" t="str">
            <v>COMMSCOPE</v>
          </cell>
          <cell r="B4338" t="str">
            <v>NN-65C-HG-R1B_20241102</v>
          </cell>
          <cell r="O4338">
            <v>9.7381510416666703</v>
          </cell>
          <cell r="T4338">
            <v>3.8516642624091801</v>
          </cell>
        </row>
        <row r="4339">
          <cell r="A4339" t="str">
            <v>COMMSCOPE</v>
          </cell>
          <cell r="B4339" t="str">
            <v>NN-65C-HG-R2BD_20250318</v>
          </cell>
          <cell r="O4339"/>
          <cell r="T4339"/>
        </row>
        <row r="4340">
          <cell r="A4340" t="str">
            <v>COMMSCOPE</v>
          </cell>
          <cell r="B4340" t="str">
            <v>NNH4-45A-R3B-V1</v>
          </cell>
          <cell r="O4340">
            <v>6.2570987654321</v>
          </cell>
          <cell r="T4340">
            <v>2.4418536127622601</v>
          </cell>
        </row>
        <row r="4341">
          <cell r="A4341" t="str">
            <v>COMMSCOPE</v>
          </cell>
          <cell r="B4341" t="str">
            <v>NNH4-45A-R6</v>
          </cell>
          <cell r="O4341">
            <v>6.2570987654321</v>
          </cell>
          <cell r="T4341">
            <v>2.4418536127622601</v>
          </cell>
        </row>
        <row r="4342">
          <cell r="A4342" t="str">
            <v>COMMSCOPE</v>
          </cell>
          <cell r="B4342" t="str">
            <v>NNH4-45B-R6</v>
          </cell>
          <cell r="O4342">
            <v>8.2549864969999991</v>
          </cell>
          <cell r="T4342">
            <v>3.2208664570000001</v>
          </cell>
        </row>
        <row r="4343">
          <cell r="A4343" t="str">
            <v>COMMSCOPE</v>
          </cell>
          <cell r="B4343" t="str">
            <v>NNH4-65A-R3B-V1</v>
          </cell>
          <cell r="O4343">
            <v>5.7740449678630599</v>
          </cell>
          <cell r="T4343">
            <v>2.2887813772749999</v>
          </cell>
        </row>
        <row r="4344">
          <cell r="A4344" t="str">
            <v>COMMSCOPE</v>
          </cell>
          <cell r="B4344" t="str">
            <v>NNH4-65A-R6</v>
          </cell>
          <cell r="O4344">
            <v>5.7097511569999995</v>
          </cell>
          <cell r="T4344">
            <v>2.321960201</v>
          </cell>
        </row>
        <row r="4345">
          <cell r="A4345" t="str">
            <v>COMMSCOPE</v>
          </cell>
          <cell r="B4345" t="str">
            <v>NNH4-65A-R6D_20220502</v>
          </cell>
          <cell r="O4345"/>
          <cell r="T4345"/>
        </row>
        <row r="4346">
          <cell r="A4346" t="str">
            <v>COMMSCOPE</v>
          </cell>
          <cell r="B4346" t="str">
            <v>NNH4-65A-R6H4</v>
          </cell>
          <cell r="O4346">
            <v>6.0972179339999997</v>
          </cell>
          <cell r="T4346">
            <v>2.4782656730000001</v>
          </cell>
        </row>
        <row r="4347">
          <cell r="A4347" t="str">
            <v>COMMSCOPE</v>
          </cell>
          <cell r="B4347" t="str">
            <v>NNH4-65B-R3-UPM</v>
          </cell>
          <cell r="O4347">
            <v>11.392741238579799</v>
          </cell>
          <cell r="T4347">
            <v>4.2387046692937904</v>
          </cell>
        </row>
        <row r="4348">
          <cell r="A4348" t="str">
            <v>COMMSCOPE</v>
          </cell>
          <cell r="B4348" t="str">
            <v>NNH4-65B-R3-UPM-V2_20241125</v>
          </cell>
          <cell r="O4348"/>
          <cell r="T4348"/>
        </row>
        <row r="4349">
          <cell r="A4349" t="str">
            <v>COMMSCOPE</v>
          </cell>
          <cell r="B4349" t="str">
            <v>NNH4-65B-R3B-V1_20241124</v>
          </cell>
          <cell r="O4349">
            <v>7.1667100694444388</v>
          </cell>
          <cell r="T4349">
            <v>2.9159390610420499</v>
          </cell>
        </row>
        <row r="4350">
          <cell r="A4350" t="str">
            <v>COMMSCOPE</v>
          </cell>
          <cell r="B4350" t="str">
            <v>NNH4-65B-R6</v>
          </cell>
          <cell r="O4350">
            <v>7.6155373439999998</v>
          </cell>
          <cell r="T4350">
            <v>3.0135167970000003</v>
          </cell>
        </row>
        <row r="4351">
          <cell r="A4351" t="str">
            <v>COMMSCOPE</v>
          </cell>
          <cell r="B4351" t="str">
            <v>NNH4-65B-R6H4</v>
          </cell>
          <cell r="O4351">
            <v>7.6155373439999998</v>
          </cell>
          <cell r="T4351">
            <v>3.0135167970000003</v>
          </cell>
        </row>
        <row r="4352">
          <cell r="A4352" t="str">
            <v>COMMSCOPE</v>
          </cell>
          <cell r="B4352" t="str">
            <v>NNH4-65B-R6H4-V1</v>
          </cell>
          <cell r="O4352">
            <v>7.6155373466435199</v>
          </cell>
          <cell r="T4352">
            <v>3.0135893704927303</v>
          </cell>
        </row>
        <row r="4353">
          <cell r="A4353" t="str">
            <v>COMMSCOPE</v>
          </cell>
          <cell r="B4353" t="str">
            <v>NNH4-65B-R6H4-V2</v>
          </cell>
          <cell r="O4353">
            <v>7.1667100694444388</v>
          </cell>
          <cell r="T4353">
            <v>2.9159390610420499</v>
          </cell>
        </row>
        <row r="4354">
          <cell r="A4354" t="str">
            <v>COMMSCOPE</v>
          </cell>
          <cell r="B4354" t="str">
            <v>NNH4-65B-R6H4-V3</v>
          </cell>
          <cell r="O4354">
            <v>7.1667100694444388</v>
          </cell>
          <cell r="T4354">
            <v>2.9159390610420499</v>
          </cell>
        </row>
        <row r="4355">
          <cell r="A4355" t="str">
            <v>COMMSCOPE</v>
          </cell>
          <cell r="B4355" t="str">
            <v>NNH4-65B-R6H4_CCIV2</v>
          </cell>
          <cell r="O4355">
            <v>7.6155373439999998</v>
          </cell>
          <cell r="T4355">
            <v>3.01358937</v>
          </cell>
        </row>
        <row r="4356">
          <cell r="A4356" t="str">
            <v>COMMSCOPE</v>
          </cell>
          <cell r="B4356" t="str">
            <v>NNH4-65B-R6H4_CCIV3</v>
          </cell>
          <cell r="O4356">
            <v>7.6155373466435199</v>
          </cell>
          <cell r="T4356">
            <v>3.0135893704927303</v>
          </cell>
        </row>
        <row r="4357">
          <cell r="A4357" t="str">
            <v>COMMSCOPE</v>
          </cell>
          <cell r="B4357" t="str">
            <v>NNH4-65B-R6N17</v>
          </cell>
          <cell r="O4357">
            <v>5.7747506528554702</v>
          </cell>
          <cell r="T4357">
            <v>2.7166493618882699</v>
          </cell>
        </row>
        <row r="4358">
          <cell r="A4358" t="str">
            <v>COMMSCOPE</v>
          </cell>
          <cell r="B4358" t="str">
            <v>NNH4-65B-R6_CCIV2</v>
          </cell>
          <cell r="O4358">
            <v>7.6155373439999998</v>
          </cell>
          <cell r="T4358">
            <v>3.01358937</v>
          </cell>
        </row>
        <row r="4359">
          <cell r="A4359" t="str">
            <v>COMMSCOPE</v>
          </cell>
          <cell r="B4359" t="str">
            <v>NNH4-65B-R6_v2</v>
          </cell>
          <cell r="O4359">
            <v>7.6155373439999998</v>
          </cell>
          <cell r="T4359">
            <v>3.0135167970000003</v>
          </cell>
        </row>
        <row r="4360">
          <cell r="A4360" t="str">
            <v>COMMSCOPE</v>
          </cell>
          <cell r="B4360" t="str">
            <v>NNH4-65B-R8D</v>
          </cell>
          <cell r="O4360">
            <v>7.1667100694444388</v>
          </cell>
          <cell r="T4360">
            <v>2.9159390610420499</v>
          </cell>
        </row>
        <row r="4361">
          <cell r="A4361" t="str">
            <v>COMMSCOPE</v>
          </cell>
          <cell r="B4361" t="str">
            <v>NNH4-65C-R3B-V1</v>
          </cell>
          <cell r="O4361">
            <v>9.75364101080247</v>
          </cell>
          <cell r="T4361">
            <v>3.9622482389668598</v>
          </cell>
        </row>
        <row r="4362">
          <cell r="A4362" t="str">
            <v>COMMSCOPE</v>
          </cell>
          <cell r="B4362" t="str">
            <v>NNH4-65C-R6</v>
          </cell>
          <cell r="O4362">
            <v>9.75</v>
          </cell>
          <cell r="T4362">
            <v>3.96</v>
          </cell>
        </row>
        <row r="4363">
          <cell r="A4363" t="str">
            <v>COMMSCOPE</v>
          </cell>
          <cell r="B4363" t="str">
            <v>NNH4-65C-R6-HG</v>
          </cell>
          <cell r="O4363">
            <v>12.953274498456798</v>
          </cell>
          <cell r="T4363">
            <v>4.8944306051242794</v>
          </cell>
        </row>
        <row r="4364">
          <cell r="A4364" t="str">
            <v>COMMSCOPE</v>
          </cell>
          <cell r="B4364" t="str">
            <v>NNH4-65C-R6-UPM</v>
          </cell>
          <cell r="O4364">
            <v>15.925810185185199</v>
          </cell>
          <cell r="T4364">
            <v>5.7548776074485195</v>
          </cell>
        </row>
        <row r="4365">
          <cell r="A4365" t="str">
            <v>COMMSCOPE</v>
          </cell>
          <cell r="B4365" t="str">
            <v>NNH4-65C-R6-UPM-V2_20241003</v>
          </cell>
          <cell r="O4365"/>
          <cell r="T4365"/>
        </row>
        <row r="4366">
          <cell r="A4366" t="str">
            <v>COMMSCOPE</v>
          </cell>
          <cell r="B4366" t="str">
            <v>NNH4-65C-R6-UPM-x</v>
          </cell>
          <cell r="O4366">
            <v>15.925810185185199</v>
          </cell>
          <cell r="T4366">
            <v>5.9398753005442595</v>
          </cell>
        </row>
        <row r="4367">
          <cell r="A4367" t="str">
            <v>COMMSCOPE</v>
          </cell>
          <cell r="B4367" t="str">
            <v>NNH4-65C-R6-V1</v>
          </cell>
          <cell r="O4367">
            <v>9.75364101080247</v>
          </cell>
          <cell r="T4367">
            <v>3.9622482389668598</v>
          </cell>
        </row>
        <row r="4368">
          <cell r="A4368" t="str">
            <v>COMMSCOPE</v>
          </cell>
          <cell r="B4368" t="str">
            <v>NNH4-65C-R6-V2</v>
          </cell>
          <cell r="O4368">
            <v>9.7536410110000009</v>
          </cell>
          <cell r="T4368">
            <v>3.962248239</v>
          </cell>
        </row>
        <row r="4369">
          <cell r="A4369" t="str">
            <v>COMMSCOPE</v>
          </cell>
          <cell r="B4369" t="str">
            <v>NNH4-65C-R6-V3</v>
          </cell>
          <cell r="O4369">
            <v>9.7536410110000009</v>
          </cell>
          <cell r="T4369">
            <v>3.962248239</v>
          </cell>
        </row>
        <row r="4370">
          <cell r="A4370" t="str">
            <v>COMMSCOPE</v>
          </cell>
          <cell r="B4370" t="str">
            <v>NNH4-65C-R6-V3_CCIV2</v>
          </cell>
          <cell r="O4370">
            <v>9.7296633873456813</v>
          </cell>
          <cell r="T4370">
            <v>3.84793636029347</v>
          </cell>
        </row>
        <row r="4371">
          <cell r="A4371" t="str">
            <v>COMMSCOPE</v>
          </cell>
          <cell r="B4371" t="str">
            <v>NNH4-65C-R6-V4</v>
          </cell>
          <cell r="O4371">
            <v>9.7381510416666703</v>
          </cell>
          <cell r="T4371">
            <v>3.8516642624091801</v>
          </cell>
        </row>
        <row r="4372">
          <cell r="A4372" t="str">
            <v>COMMSCOPE</v>
          </cell>
          <cell r="B4372" t="str">
            <v>NNH4-65C-R6H4</v>
          </cell>
          <cell r="O4372">
            <v>9.75364101080247</v>
          </cell>
          <cell r="T4372">
            <v>3.9622482389668598</v>
          </cell>
        </row>
        <row r="4373">
          <cell r="A4373" t="str">
            <v>COMMSCOPE</v>
          </cell>
          <cell r="B4373" t="str">
            <v>NNH4-65C-R6N17</v>
          </cell>
          <cell r="O4373">
            <v>7.6321173450000002</v>
          </cell>
          <cell r="T4373">
            <v>3.5905069099999998</v>
          </cell>
        </row>
        <row r="4374">
          <cell r="A4374" t="str">
            <v>COMMSCOPE</v>
          </cell>
          <cell r="B4374" t="str">
            <v>NNH4-65C-R8D</v>
          </cell>
          <cell r="O4374">
            <v>9.75364101080247</v>
          </cell>
          <cell r="T4374">
            <v>3.9622482389668598</v>
          </cell>
        </row>
        <row r="4375">
          <cell r="A4375" t="str">
            <v>COMMSCOPE</v>
          </cell>
          <cell r="B4375" t="str">
            <v>NNH4-65D-R6</v>
          </cell>
          <cell r="O4375">
            <v>10.84</v>
          </cell>
          <cell r="T4375">
            <v>4.3999999999999995</v>
          </cell>
        </row>
        <row r="4376">
          <cell r="A4376" t="str">
            <v>COMMSCOPE</v>
          </cell>
          <cell r="B4376" t="str">
            <v>NNH4-65D-R6_CCIV2</v>
          </cell>
          <cell r="O4376">
            <v>10.84</v>
          </cell>
          <cell r="T4376">
            <v>4.3999999999999995</v>
          </cell>
        </row>
        <row r="4377">
          <cell r="A4377" t="str">
            <v>COMMSCOPE</v>
          </cell>
          <cell r="B4377" t="str">
            <v>NNH4-85B-R6</v>
          </cell>
          <cell r="O4377">
            <v>7.6155373466435199</v>
          </cell>
          <cell r="T4377">
            <v>3.0135893704927303</v>
          </cell>
        </row>
        <row r="4378">
          <cell r="A4378" t="str">
            <v>COMMSCOPE</v>
          </cell>
          <cell r="B4378" t="str">
            <v>NNH4S4-65B-R4B-V1</v>
          </cell>
          <cell r="O4378">
            <v>7.1667100694444388</v>
          </cell>
          <cell r="T4378">
            <v>2.9159390610420499</v>
          </cell>
        </row>
        <row r="4379">
          <cell r="A4379" t="str">
            <v>COMMSCOPE</v>
          </cell>
          <cell r="B4379" t="str">
            <v>NNH4S4-65B-R7</v>
          </cell>
          <cell r="O4379">
            <v>7.1667100694444388</v>
          </cell>
          <cell r="T4379">
            <v>2.9159390610420499</v>
          </cell>
        </row>
        <row r="4380">
          <cell r="A4380" t="str">
            <v>COMMSCOPE</v>
          </cell>
          <cell r="B4380" t="str">
            <v>NNH4S4-65C-R4B-V1</v>
          </cell>
          <cell r="O4380">
            <v>9.7381510416666703</v>
          </cell>
          <cell r="T4380">
            <v>3.8516642624091801</v>
          </cell>
        </row>
        <row r="4381">
          <cell r="A4381" t="str">
            <v>COMMSCOPE</v>
          </cell>
          <cell r="B4381" t="str">
            <v>NNH4S4-65C-R7</v>
          </cell>
          <cell r="O4381">
            <v>9.75364101080247</v>
          </cell>
          <cell r="T4381">
            <v>3.9622482389668598</v>
          </cell>
        </row>
        <row r="4382">
          <cell r="A4382" t="str">
            <v>COMMSCOPE</v>
          </cell>
          <cell r="B4382" t="str">
            <v>NNH4SS-45A-R3BT8_20220114</v>
          </cell>
          <cell r="O4382"/>
          <cell r="T4382"/>
        </row>
        <row r="4383">
          <cell r="A4383" t="str">
            <v>COMMSCOPE</v>
          </cell>
          <cell r="B4383" t="str">
            <v>NNH4SS-45B-R3BT8</v>
          </cell>
          <cell r="O4383">
            <v>8.2549864969135793</v>
          </cell>
          <cell r="T4383">
            <v>3.2208664570060201</v>
          </cell>
        </row>
        <row r="4384">
          <cell r="A4384" t="str">
            <v>COMMSCOPE</v>
          </cell>
          <cell r="B4384" t="str">
            <v>NNH4SS-45C-R3BT8_20240909</v>
          </cell>
          <cell r="O4384">
            <v>10.678158757716</v>
          </cell>
          <cell r="T4384">
            <v>4.2825420323233594</v>
          </cell>
        </row>
        <row r="4385">
          <cell r="A4385" t="str">
            <v>COMMSCOPE</v>
          </cell>
          <cell r="B4385" t="str">
            <v>NNH4SS-65A-R3BT8</v>
          </cell>
          <cell r="O4385">
            <v>5.7740449678630599</v>
          </cell>
          <cell r="T4385">
            <v>2.2887813772749999</v>
          </cell>
        </row>
        <row r="4386">
          <cell r="A4386" t="str">
            <v>COMMSCOPE</v>
          </cell>
          <cell r="B4386" t="str">
            <v>NNH4SS-65B-R3BT8</v>
          </cell>
          <cell r="O4386">
            <v>7.1667100694444388</v>
          </cell>
          <cell r="T4386">
            <v>2.9159390610420499</v>
          </cell>
        </row>
        <row r="4387">
          <cell r="A4387" t="str">
            <v>COMMSCOPE</v>
          </cell>
          <cell r="B4387" t="str">
            <v>NNH4SS-65C-R3BT8</v>
          </cell>
          <cell r="O4387">
            <v>9.75364101080247</v>
          </cell>
          <cell r="T4387">
            <v>3.9622482389668598</v>
          </cell>
        </row>
        <row r="4388">
          <cell r="A4388" t="str">
            <v>COMMSCOPE</v>
          </cell>
          <cell r="B4388" t="str">
            <v>NNHH-45A-R4</v>
          </cell>
          <cell r="O4388">
            <v>6.2570987654321</v>
          </cell>
          <cell r="T4388">
            <v>2.4418536127622601</v>
          </cell>
        </row>
        <row r="4389">
          <cell r="A4389" t="str">
            <v>COMMSCOPE</v>
          </cell>
          <cell r="B4389" t="str">
            <v>NNHH-45B-R4</v>
          </cell>
          <cell r="O4389">
            <v>8.2279320989999984</v>
          </cell>
          <cell r="T4389">
            <v>3.210416376</v>
          </cell>
        </row>
        <row r="4390">
          <cell r="A4390" t="str">
            <v>COMMSCOPE</v>
          </cell>
          <cell r="B4390" t="str">
            <v>NNHH-45B-R4_20241121</v>
          </cell>
          <cell r="O4390">
            <v>8.2279320987654287</v>
          </cell>
          <cell r="T4390">
            <v>3.21041637640776</v>
          </cell>
        </row>
        <row r="4391">
          <cell r="A4391" t="str">
            <v>COMMSCOPE</v>
          </cell>
          <cell r="B4391" t="str">
            <v>NNHH-45C-R4</v>
          </cell>
          <cell r="O4391">
            <v>12.8876543209877</v>
          </cell>
          <cell r="T4391">
            <v>4.7297940637320304</v>
          </cell>
        </row>
        <row r="4392">
          <cell r="A4392" t="str">
            <v>COMMSCOPE</v>
          </cell>
          <cell r="B4392" t="str">
            <v>NNHH-65A-R4</v>
          </cell>
          <cell r="O4392">
            <v>5.7097511569999995</v>
          </cell>
          <cell r="T4392">
            <v>2.321960201</v>
          </cell>
        </row>
        <row r="4393">
          <cell r="A4393" t="str">
            <v>COMMSCOPE</v>
          </cell>
          <cell r="B4393" t="str">
            <v>NNHH-65A-R4-UPM</v>
          </cell>
          <cell r="O4393">
            <v>5.7856626157407396</v>
          </cell>
          <cell r="T4393">
            <v>2.35402862271168</v>
          </cell>
        </row>
        <row r="4394">
          <cell r="A4394" t="str">
            <v>COMMSCOPE</v>
          </cell>
          <cell r="B4394" t="str">
            <v>NNHH-65A-R4-V2</v>
          </cell>
          <cell r="O4394">
            <v>6.0972179339999997</v>
          </cell>
          <cell r="T4394">
            <v>2.4782656730000001</v>
          </cell>
        </row>
        <row r="4395">
          <cell r="A4395" t="str">
            <v>COMMSCOPE</v>
          </cell>
          <cell r="B4395" t="str">
            <v>NNHH-65A-R4_CCIV2</v>
          </cell>
          <cell r="O4395">
            <v>5.7097511574074096</v>
          </cell>
          <cell r="T4395">
            <v>2.3219602007070197</v>
          </cell>
        </row>
        <row r="4396">
          <cell r="A4396" t="str">
            <v>COMMSCOPE</v>
          </cell>
          <cell r="B4396" t="str">
            <v>NNHH-65A-R6H4_20231109</v>
          </cell>
          <cell r="O4396"/>
          <cell r="T4396"/>
        </row>
        <row r="4397">
          <cell r="A4397" t="str">
            <v>COMMSCOPE</v>
          </cell>
          <cell r="B4397" t="str">
            <v>NNHH-65B-R2-UPM</v>
          </cell>
          <cell r="O4397">
            <v>11.392741238579799</v>
          </cell>
          <cell r="T4397">
            <v>4.2387046692937904</v>
          </cell>
        </row>
        <row r="4398">
          <cell r="A4398" t="str">
            <v>COMMSCOPE</v>
          </cell>
          <cell r="B4398" t="str">
            <v>NNHH-65B-R4</v>
          </cell>
          <cell r="O4398">
            <v>7.6199999999999992</v>
          </cell>
          <cell r="T4398">
            <v>3.01</v>
          </cell>
        </row>
        <row r="4399">
          <cell r="A4399" t="str">
            <v>COMMSCOPE</v>
          </cell>
          <cell r="B4399" t="str">
            <v>NNHH-65B-R4N17</v>
          </cell>
          <cell r="O4399">
            <v>5.7747506528554702</v>
          </cell>
          <cell r="T4399">
            <v>2.7166493618882699</v>
          </cell>
        </row>
        <row r="4400">
          <cell r="A4400" t="str">
            <v>COMMSCOPE</v>
          </cell>
          <cell r="B4400" t="str">
            <v>NNHH-65B-R4_231109</v>
          </cell>
          <cell r="O4400">
            <v>7.6155373466435199</v>
          </cell>
          <cell r="T4400">
            <v>3.0135893704927303</v>
          </cell>
        </row>
        <row r="4401">
          <cell r="A4401" t="str">
            <v>COMMSCOPE</v>
          </cell>
          <cell r="B4401" t="str">
            <v>NNHH-65B-R4_CCIV2</v>
          </cell>
          <cell r="O4401">
            <v>7.6199999999999992</v>
          </cell>
          <cell r="T4401">
            <v>3.01</v>
          </cell>
        </row>
        <row r="4402">
          <cell r="A4402" t="str">
            <v>COMMSCOPE</v>
          </cell>
          <cell r="B4402" t="str">
            <v>NNHH-65B-R4_CCIV3</v>
          </cell>
          <cell r="O4402">
            <v>7.6155373466435199</v>
          </cell>
          <cell r="T4402">
            <v>3.0135893704927303</v>
          </cell>
        </row>
        <row r="4403">
          <cell r="A4403" t="str">
            <v>COMMSCOPE</v>
          </cell>
          <cell r="B4403" t="str">
            <v>NNHH-65C-R2-UPM</v>
          </cell>
          <cell r="O4403">
            <v>16.110363618827201</v>
          </cell>
          <cell r="T4403">
            <v>5.9926593472289396</v>
          </cell>
        </row>
        <row r="4404">
          <cell r="A4404" t="str">
            <v>COMMSCOPE</v>
          </cell>
          <cell r="B4404" t="str">
            <v>NNHH-65C-R4</v>
          </cell>
          <cell r="O4404">
            <v>9.75</v>
          </cell>
          <cell r="T4404">
            <v>3.96</v>
          </cell>
        </row>
        <row r="4405">
          <cell r="A4405" t="str">
            <v>COMMSCOPE</v>
          </cell>
          <cell r="B4405" t="str">
            <v>NNHH-65C-R4-CCIV3</v>
          </cell>
          <cell r="O4405">
            <v>9.75364101080247</v>
          </cell>
          <cell r="T4405">
            <v>3.9622482389668598</v>
          </cell>
        </row>
        <row r="4406">
          <cell r="A4406" t="str">
            <v>COMMSCOPE</v>
          </cell>
          <cell r="B4406" t="str">
            <v>NNHH-65C-R4_CCIV2</v>
          </cell>
          <cell r="O4406">
            <v>9.7536410110000009</v>
          </cell>
          <cell r="T4406">
            <v>3.962248239</v>
          </cell>
        </row>
        <row r="4407">
          <cell r="A4407" t="str">
            <v>COMMSCOPE</v>
          </cell>
          <cell r="B4407" t="str">
            <v>NNHH-65C-R4_CCIV4</v>
          </cell>
          <cell r="O4407">
            <v>9.75364101080247</v>
          </cell>
          <cell r="T4407">
            <v>3.9622482389668598</v>
          </cell>
        </row>
        <row r="4408">
          <cell r="A4408" t="str">
            <v>COMMSCOPE</v>
          </cell>
          <cell r="B4408" t="str">
            <v>NNHH-65CR4_CCIV2</v>
          </cell>
          <cell r="O4408">
            <v>9.7536410110000009</v>
          </cell>
          <cell r="T4408">
            <v>3.962248239</v>
          </cell>
        </row>
        <row r="4409">
          <cell r="A4409" t="str">
            <v>COMMSCOPE</v>
          </cell>
          <cell r="B4409" t="str">
            <v>NNHHS4-65A-R5</v>
          </cell>
          <cell r="O4409">
            <v>0</v>
          </cell>
          <cell r="T4409">
            <v>0</v>
          </cell>
        </row>
        <row r="4410">
          <cell r="A4410" t="str">
            <v>COMMSCOPE</v>
          </cell>
          <cell r="B4410" t="str">
            <v>NNHHS4-65A-R5_20210921</v>
          </cell>
          <cell r="O4410">
            <v>5.7740449678630599</v>
          </cell>
          <cell r="T4410">
            <v>2.2887813772749999</v>
          </cell>
        </row>
        <row r="4411">
          <cell r="A4411" t="str">
            <v>COMMSCOPE</v>
          </cell>
          <cell r="B4411" t="str">
            <v>NNHHS4-65B-R5</v>
          </cell>
          <cell r="O4411">
            <v>7.1667100694444388</v>
          </cell>
          <cell r="T4411">
            <v>2.9159390610420499</v>
          </cell>
        </row>
        <row r="4412">
          <cell r="A4412" t="str">
            <v>COMMSCOPE</v>
          </cell>
          <cell r="B4412" t="str">
            <v>NNHHS4-65B-R5-V2</v>
          </cell>
          <cell r="O4412">
            <v>7.6155373466435199</v>
          </cell>
          <cell r="T4412">
            <v>3.0135893704927303</v>
          </cell>
        </row>
        <row r="4413">
          <cell r="A4413" t="str">
            <v>COMMSCOPE</v>
          </cell>
          <cell r="B4413" t="str">
            <v>NNHHS4-65C-R5-V2</v>
          </cell>
          <cell r="O4413">
            <v>9.75364101080247</v>
          </cell>
          <cell r="T4413">
            <v>3.9622482389668598</v>
          </cell>
        </row>
        <row r="4414">
          <cell r="A4414" t="str">
            <v>COMMSCOPE</v>
          </cell>
          <cell r="B4414" t="str">
            <v>NNSS-65B-HG-R2B_20241102</v>
          </cell>
          <cell r="O4414">
            <v>7.1667100694444388</v>
          </cell>
          <cell r="T4414">
            <v>2.9159390610420499</v>
          </cell>
        </row>
        <row r="4415">
          <cell r="A4415" t="str">
            <v>COMMSCOPE</v>
          </cell>
          <cell r="B4415" t="str">
            <v>NNSS-65C-HG-R2B_20241102</v>
          </cell>
          <cell r="O4415">
            <v>9.7381510416666703</v>
          </cell>
          <cell r="T4415">
            <v>3.8516642624091801</v>
          </cell>
        </row>
        <row r="4416">
          <cell r="A4416" t="str">
            <v>COMMSCOPE</v>
          </cell>
          <cell r="B4416" t="str">
            <v>NNV4-45B-R6</v>
          </cell>
          <cell r="O4416"/>
          <cell r="T4416"/>
        </row>
        <row r="4417">
          <cell r="A4417" t="str">
            <v>COMMSCOPE</v>
          </cell>
          <cell r="B4417" t="str">
            <v>NNV4-65B-R6</v>
          </cell>
          <cell r="O4417">
            <v>7.6155373470000001</v>
          </cell>
          <cell r="T4417">
            <v>3.0135167980000004</v>
          </cell>
        </row>
        <row r="4418">
          <cell r="A4418" t="str">
            <v>COMMSCOPE</v>
          </cell>
          <cell r="B4418" t="str">
            <v>NNV4S6-65S-F4</v>
          </cell>
          <cell r="O4418">
            <v>3.0667043538380097</v>
          </cell>
          <cell r="T4418">
            <v>1.2489986564442701</v>
          </cell>
        </row>
        <row r="4419">
          <cell r="A4419" t="str">
            <v>COMMSCOPE</v>
          </cell>
          <cell r="B4419" t="str">
            <v>NNV4SSP-360S-F4</v>
          </cell>
          <cell r="O4419"/>
          <cell r="T4419"/>
        </row>
        <row r="4420">
          <cell r="A4420" t="str">
            <v>COMMSCOPE</v>
          </cell>
          <cell r="B4420" t="str">
            <v>NNV4SSP-65S-F4</v>
          </cell>
          <cell r="O4420">
            <v>3.0667043538380097</v>
          </cell>
          <cell r="T4420">
            <v>1.2489986564442701</v>
          </cell>
        </row>
        <row r="4421">
          <cell r="A4421" t="str">
            <v>COMMSCOPE</v>
          </cell>
          <cell r="B4421" t="str">
            <v>NNVV-65B-R4</v>
          </cell>
          <cell r="O4421">
            <v>7.6199999999999992</v>
          </cell>
          <cell r="T4421">
            <v>3.01</v>
          </cell>
        </row>
        <row r="4422">
          <cell r="A4422" t="str">
            <v>COMMSCOPE</v>
          </cell>
          <cell r="B4422" t="str">
            <v>NNVV-65C-R4</v>
          </cell>
          <cell r="O4422">
            <v>9.75</v>
          </cell>
          <cell r="T4422">
            <v>3.96</v>
          </cell>
        </row>
        <row r="4423">
          <cell r="A4423" t="str">
            <v>COMMSCOPE</v>
          </cell>
          <cell r="B4423" t="str">
            <v>P2-57W-P7A</v>
          </cell>
          <cell r="O4423"/>
          <cell r="T4423"/>
        </row>
        <row r="4424">
          <cell r="A4424" t="str">
            <v>COMMSCOPE</v>
          </cell>
          <cell r="B4424" t="str">
            <v>P4-57W-PXA</v>
          </cell>
          <cell r="O4424"/>
          <cell r="T4424"/>
        </row>
        <row r="4425">
          <cell r="A4425" t="str">
            <v>COMMSCOPE</v>
          </cell>
          <cell r="B4425" t="str">
            <v>P4-57W-PXA W/RADOME</v>
          </cell>
          <cell r="O4425"/>
          <cell r="T4425"/>
        </row>
        <row r="4426">
          <cell r="A4426" t="str">
            <v>COMMSCOPE</v>
          </cell>
          <cell r="B4426" t="str">
            <v>P4-57W-PXA/A</v>
          </cell>
          <cell r="O4426"/>
          <cell r="T4426"/>
        </row>
        <row r="4427">
          <cell r="A4427" t="str">
            <v>COMMSCOPE</v>
          </cell>
          <cell r="B4427" t="str">
            <v>P4F-52-NXA/A W/RADOME</v>
          </cell>
          <cell r="O4427"/>
          <cell r="T4427"/>
        </row>
        <row r="4428">
          <cell r="A4428" t="str">
            <v>COMMSCOPE</v>
          </cell>
          <cell r="B4428" t="str">
            <v>P4F-57W-N7A/A</v>
          </cell>
          <cell r="O4428"/>
          <cell r="T4428"/>
        </row>
        <row r="4429">
          <cell r="A4429" t="str">
            <v>COMMSCOPE</v>
          </cell>
          <cell r="B4429" t="str">
            <v>P4F-57W-NXA/A</v>
          </cell>
          <cell r="O4429"/>
          <cell r="T4429"/>
        </row>
        <row r="4430">
          <cell r="A4430" t="str">
            <v>COMMSCOPE</v>
          </cell>
          <cell r="B4430" t="str">
            <v>P8-122-CXA</v>
          </cell>
          <cell r="O4430"/>
          <cell r="T4430"/>
        </row>
        <row r="4431">
          <cell r="A4431" t="str">
            <v>COMMSCOPE</v>
          </cell>
          <cell r="B4431" t="str">
            <v>PAR10-59W-P7A</v>
          </cell>
          <cell r="O4431"/>
          <cell r="T4431"/>
        </row>
        <row r="4432">
          <cell r="A4432" t="str">
            <v>COMMSCOPE</v>
          </cell>
          <cell r="B4432" t="str">
            <v>PAR6-59-PXA/B</v>
          </cell>
          <cell r="O4432"/>
          <cell r="T4432"/>
        </row>
        <row r="4433">
          <cell r="A4433" t="str">
            <v>COMMSCOPE</v>
          </cell>
          <cell r="B4433" t="str">
            <v>PAR6-59/B</v>
          </cell>
          <cell r="O4433"/>
          <cell r="T4433"/>
        </row>
        <row r="4434">
          <cell r="A4434" t="str">
            <v>COMMSCOPE</v>
          </cell>
          <cell r="B4434" t="str">
            <v>PAR6-59/B W/RADOME</v>
          </cell>
          <cell r="O4434"/>
          <cell r="T4434"/>
        </row>
        <row r="4435">
          <cell r="A4435" t="str">
            <v>COMMSCOPE</v>
          </cell>
          <cell r="B4435" t="str">
            <v>PAR6-59W-PXA/A</v>
          </cell>
          <cell r="O4435"/>
          <cell r="T4435"/>
        </row>
        <row r="4436">
          <cell r="A4436" t="str">
            <v>COMMSCOPE</v>
          </cell>
          <cell r="B4436" t="str">
            <v>PAR6-59W-PXA/B</v>
          </cell>
          <cell r="O4436"/>
          <cell r="T4436"/>
        </row>
        <row r="4437">
          <cell r="A4437" t="str">
            <v>COMMSCOPE</v>
          </cell>
          <cell r="B4437" t="str">
            <v>PAR6-65-PXA/B</v>
          </cell>
          <cell r="O4437"/>
          <cell r="T4437"/>
        </row>
        <row r="4438">
          <cell r="A4438" t="str">
            <v>COMMSCOPE</v>
          </cell>
          <cell r="B4438" t="str">
            <v>PAR8-59W-PXA</v>
          </cell>
          <cell r="O4438"/>
          <cell r="T4438"/>
        </row>
        <row r="4439">
          <cell r="A4439" t="str">
            <v>COMMSCOPE</v>
          </cell>
          <cell r="B4439" t="str">
            <v>PAR8-65-D7A</v>
          </cell>
          <cell r="O4439"/>
          <cell r="T4439"/>
        </row>
        <row r="4440">
          <cell r="A4440" t="str">
            <v>COMMSCOPE</v>
          </cell>
          <cell r="B4440" t="str">
            <v>PARX6-59-DXA/A</v>
          </cell>
          <cell r="O4440"/>
          <cell r="T4440"/>
        </row>
        <row r="4441">
          <cell r="A4441" t="str">
            <v>COMMSCOPE</v>
          </cell>
          <cell r="B4441" t="str">
            <v>PARX6-59-DXA/A W/RADOME</v>
          </cell>
          <cell r="O4441"/>
          <cell r="T4441"/>
        </row>
        <row r="4442">
          <cell r="A4442" t="str">
            <v>COMMSCOPE</v>
          </cell>
          <cell r="B4442" t="str">
            <v>PARX6-59W-PXA/A</v>
          </cell>
          <cell r="O4442"/>
          <cell r="T4442"/>
        </row>
        <row r="4443">
          <cell r="A4443" t="str">
            <v>COMMSCOPE</v>
          </cell>
          <cell r="B4443" t="str">
            <v>PARX6-59W-PXA/B</v>
          </cell>
          <cell r="O4443"/>
          <cell r="T4443"/>
        </row>
        <row r="4444">
          <cell r="A4444" t="str">
            <v>COMMSCOPE</v>
          </cell>
          <cell r="B4444" t="str">
            <v>PARX8-59W</v>
          </cell>
          <cell r="O4444"/>
          <cell r="T4444"/>
        </row>
        <row r="4445">
          <cell r="A4445" t="str">
            <v>COMMSCOPE</v>
          </cell>
          <cell r="B4445" t="str">
            <v>PL10-57W-P7A</v>
          </cell>
          <cell r="O4445"/>
          <cell r="T4445"/>
        </row>
        <row r="4446">
          <cell r="A4446" t="str">
            <v>COMMSCOPE</v>
          </cell>
          <cell r="B4446" t="str">
            <v>PL4-107-PXA-/F</v>
          </cell>
          <cell r="O4446"/>
          <cell r="T4446"/>
        </row>
        <row r="4447">
          <cell r="A4447" t="str">
            <v>COMMSCOPE</v>
          </cell>
          <cell r="B4447" t="str">
            <v>PL4-107-PXA/F</v>
          </cell>
          <cell r="O4447"/>
          <cell r="T4447"/>
        </row>
        <row r="4448">
          <cell r="A4448" t="str">
            <v>COMMSCOPE</v>
          </cell>
          <cell r="B4448" t="str">
            <v>PL4-107-PXA/F W/RADOME</v>
          </cell>
          <cell r="O4448"/>
          <cell r="T4448"/>
        </row>
        <row r="4449">
          <cell r="A4449" t="str">
            <v>COMMSCOPE</v>
          </cell>
          <cell r="B4449" t="str">
            <v>PL4-107-PXA/F W/SHROUD</v>
          </cell>
          <cell r="O4449"/>
          <cell r="T4449"/>
        </row>
        <row r="4450">
          <cell r="A4450" t="str">
            <v>COMMSCOPE</v>
          </cell>
          <cell r="B4450" t="str">
            <v>PL4-59-PXA</v>
          </cell>
          <cell r="O4450"/>
          <cell r="T4450"/>
        </row>
        <row r="4451">
          <cell r="A4451" t="str">
            <v>COMMSCOPE</v>
          </cell>
          <cell r="B4451" t="str">
            <v>PL6-59-PXA/F</v>
          </cell>
          <cell r="O4451"/>
          <cell r="T4451"/>
        </row>
        <row r="4452">
          <cell r="A4452" t="str">
            <v>COMMSCOPE</v>
          </cell>
          <cell r="B4452" t="str">
            <v>PL6-59W-PXA/C</v>
          </cell>
          <cell r="O4452"/>
          <cell r="T4452"/>
        </row>
        <row r="4453">
          <cell r="A4453" t="str">
            <v>COMMSCOPE</v>
          </cell>
          <cell r="B4453" t="str">
            <v>PL6-65/G</v>
          </cell>
          <cell r="O4453"/>
          <cell r="T4453"/>
        </row>
        <row r="4454">
          <cell r="A4454" t="str">
            <v>COMMSCOPE</v>
          </cell>
          <cell r="B4454" t="str">
            <v>PL8-57W-PXA</v>
          </cell>
          <cell r="O4454"/>
          <cell r="T4454"/>
        </row>
        <row r="4455">
          <cell r="A4455" t="str">
            <v>COMMSCOPE</v>
          </cell>
          <cell r="B4455" t="str">
            <v>PL8-59</v>
          </cell>
          <cell r="O4455"/>
          <cell r="T4455"/>
        </row>
        <row r="4456">
          <cell r="A4456" t="str">
            <v>COMMSCOPE</v>
          </cell>
          <cell r="B4456" t="str">
            <v>PL8-59-P7A</v>
          </cell>
          <cell r="O4456"/>
          <cell r="T4456"/>
        </row>
        <row r="4457">
          <cell r="A4457" t="str">
            <v>COMMSCOPE</v>
          </cell>
          <cell r="B4457" t="str">
            <v>PL8-59-PXA</v>
          </cell>
          <cell r="O4457"/>
          <cell r="T4457"/>
        </row>
        <row r="4458">
          <cell r="A4458" t="str">
            <v>COMMSCOPE</v>
          </cell>
          <cell r="B4458" t="str">
            <v>PL8-65-D7A</v>
          </cell>
          <cell r="O4458"/>
          <cell r="T4458"/>
        </row>
        <row r="4459">
          <cell r="A4459" t="str">
            <v>COMMSCOPE</v>
          </cell>
          <cell r="B4459" t="str">
            <v>PX2F-52-NXA</v>
          </cell>
          <cell r="O4459"/>
          <cell r="T4459"/>
        </row>
        <row r="4460">
          <cell r="A4460" t="str">
            <v>COMMSCOPE</v>
          </cell>
          <cell r="B4460" t="str">
            <v>PX4-102-P7A</v>
          </cell>
          <cell r="O4460"/>
          <cell r="T4460"/>
        </row>
        <row r="4461">
          <cell r="A4461" t="str">
            <v>COMMSCOPE</v>
          </cell>
          <cell r="B4461" t="str">
            <v>PX4-102-P7A W_RADOME</v>
          </cell>
          <cell r="O4461"/>
          <cell r="T4461"/>
        </row>
        <row r="4462">
          <cell r="A4462" t="str">
            <v>COMMSCOPE</v>
          </cell>
          <cell r="B4462" t="str">
            <v>PXL6-107-P7A/D</v>
          </cell>
          <cell r="O4462"/>
          <cell r="T4462"/>
        </row>
        <row r="4463">
          <cell r="A4463" t="str">
            <v>COMMSCOPE</v>
          </cell>
          <cell r="B4463" t="str">
            <v>PXL8-107</v>
          </cell>
          <cell r="O4463"/>
          <cell r="T4463"/>
        </row>
        <row r="4464">
          <cell r="A4464" t="str">
            <v>COMMSCOPE</v>
          </cell>
          <cell r="B4464" t="str">
            <v>PXL8-107-P7A W/RADOME</v>
          </cell>
          <cell r="O4464"/>
          <cell r="T4464"/>
        </row>
        <row r="4465">
          <cell r="A4465" t="str">
            <v>COMMSCOPE</v>
          </cell>
          <cell r="B4465" t="str">
            <v>PXL8-107-P7A W/SHROUD</v>
          </cell>
          <cell r="O4465"/>
          <cell r="T4465"/>
        </row>
        <row r="4466">
          <cell r="A4466" t="str">
            <v>COMMSCOPE</v>
          </cell>
          <cell r="B4466" t="str">
            <v>PXL8107-P7A</v>
          </cell>
          <cell r="O4466"/>
          <cell r="T4466"/>
        </row>
        <row r="4467">
          <cell r="A4467" t="str">
            <v>COMMSCOPE</v>
          </cell>
          <cell r="B4467" t="str">
            <v>R2HH-6533C-R3-V1</v>
          </cell>
          <cell r="O4467">
            <v>7.1652972769434395</v>
          </cell>
          <cell r="T4467">
            <v>4.2786892209170198</v>
          </cell>
        </row>
        <row r="4468">
          <cell r="A4468" t="str">
            <v>COMMSCOPE</v>
          </cell>
          <cell r="B4468" t="str">
            <v>R2HH-6533C-R5</v>
          </cell>
          <cell r="O4468">
            <v>6.4593491247747892</v>
          </cell>
          <cell r="T4468">
            <v>3.8558986143740097</v>
          </cell>
        </row>
        <row r="4469">
          <cell r="A4469" t="str">
            <v>COMMSCOPE</v>
          </cell>
          <cell r="B4469" t="str">
            <v>R2V4PX306R</v>
          </cell>
          <cell r="O4469">
            <v>10.745370370370399</v>
          </cell>
          <cell r="T4469">
            <v>4.4941071381394195</v>
          </cell>
        </row>
        <row r="4470">
          <cell r="A4470" t="str">
            <v>COMMSCOPE</v>
          </cell>
          <cell r="B4470" t="str">
            <v>R2V4PX310R</v>
          </cell>
          <cell r="O4470">
            <v>19.265596064814797</v>
          </cell>
          <cell r="T4470">
            <v>7.3331687034810296</v>
          </cell>
        </row>
        <row r="4471">
          <cell r="A4471" t="str">
            <v>COMMSCOPE</v>
          </cell>
          <cell r="B4471" t="str">
            <v>RHHTT-65A-R4</v>
          </cell>
          <cell r="O4471">
            <v>3.3103417540512297</v>
          </cell>
          <cell r="T4471">
            <v>1.9854928705623498</v>
          </cell>
        </row>
        <row r="4472">
          <cell r="A4472" t="str">
            <v>COMMSCOPE</v>
          </cell>
          <cell r="B4472" t="str">
            <v>RR-65B-R2</v>
          </cell>
          <cell r="O4472">
            <v>7.6155373466435199</v>
          </cell>
          <cell r="T4472">
            <v>3.0135893704927303</v>
          </cell>
        </row>
        <row r="4473">
          <cell r="A4473" t="str">
            <v>COMMSCOPE</v>
          </cell>
          <cell r="B4473" t="str">
            <v>RR-IS24</v>
          </cell>
          <cell r="O4473"/>
          <cell r="T4473"/>
        </row>
        <row r="4474">
          <cell r="A4474" t="str">
            <v>COMMSCOPE</v>
          </cell>
          <cell r="B4474" t="str">
            <v>RR2HH-6533D-R6</v>
          </cell>
          <cell r="O4474">
            <v>10.8410686728395</v>
          </cell>
          <cell r="T4474">
            <v>4.4035885410217501</v>
          </cell>
        </row>
        <row r="4475">
          <cell r="A4475" t="str">
            <v>COMMSCOPE</v>
          </cell>
          <cell r="B4475" t="str">
            <v>RR2VV-6533B-R6</v>
          </cell>
          <cell r="O4475">
            <v>8.3484037422839492</v>
          </cell>
          <cell r="T4475">
            <v>3.3919469601349097</v>
          </cell>
        </row>
        <row r="4476">
          <cell r="A4476" t="str">
            <v>COMMSCOPE</v>
          </cell>
          <cell r="B4476" t="str">
            <v>RR2VV-6533D-R6_20240909</v>
          </cell>
          <cell r="O4476">
            <v>10.8410686728395</v>
          </cell>
          <cell r="T4476">
            <v>4.4035885410217501</v>
          </cell>
        </row>
        <row r="4477">
          <cell r="A4477" t="str">
            <v>COMMSCOPE</v>
          </cell>
          <cell r="B4477" t="str">
            <v>RRV4-65B-R6</v>
          </cell>
          <cell r="O4477">
            <v>7.6155373470000001</v>
          </cell>
          <cell r="T4477">
            <v>3.0135167980000004</v>
          </cell>
        </row>
        <row r="4478">
          <cell r="A4478" t="str">
            <v>COMMSCOPE</v>
          </cell>
          <cell r="B4478" t="str">
            <v>RRZZ-65B-R4</v>
          </cell>
          <cell r="O4478">
            <v>7.6155373470000001</v>
          </cell>
          <cell r="T4478">
            <v>3.0135167980000004</v>
          </cell>
        </row>
        <row r="4479">
          <cell r="A4479" t="str">
            <v>COMMSCOPE</v>
          </cell>
          <cell r="B4479" t="str">
            <v>RRZZHHTT-65A-R6H4_CCIV2</v>
          </cell>
          <cell r="O4479">
            <v>6.097217934485589</v>
          </cell>
          <cell r="T4479">
            <v>2.4782656732077197</v>
          </cell>
        </row>
        <row r="4480">
          <cell r="A4480" t="str">
            <v>COMMSCOPE</v>
          </cell>
          <cell r="B4480" t="str">
            <v>RRZZHHTT-65B-R6H4</v>
          </cell>
          <cell r="O4480">
            <v>11.2118724682947</v>
          </cell>
          <cell r="T4480">
            <v>4.5608636534616194</v>
          </cell>
        </row>
        <row r="4481">
          <cell r="A4481" t="str">
            <v>COMMSCOPE</v>
          </cell>
          <cell r="B4481" t="str">
            <v>RRZZT4-65A-R5</v>
          </cell>
          <cell r="O4481">
            <v>6.097217934485589</v>
          </cell>
          <cell r="T4481">
            <v>2.4782656732077197</v>
          </cell>
        </row>
        <row r="4482">
          <cell r="A4482" t="str">
            <v>COMMSCOPE</v>
          </cell>
          <cell r="B4482" t="str">
            <v>RRZZV6-65D-R10</v>
          </cell>
          <cell r="O4482"/>
          <cell r="T4482"/>
        </row>
        <row r="4483">
          <cell r="A4483" t="str">
            <v>COMMSCOPE</v>
          </cell>
          <cell r="B4483" t="str">
            <v>RUCKUS R510</v>
          </cell>
          <cell r="O4483"/>
          <cell r="T4483"/>
        </row>
        <row r="4484">
          <cell r="A4484" t="str">
            <v>COMMSCOPE</v>
          </cell>
          <cell r="B4484" t="str">
            <v>RUCKUS T310_C_D</v>
          </cell>
          <cell r="O4484"/>
          <cell r="T4484"/>
        </row>
        <row r="4485">
          <cell r="A4485" t="str">
            <v>COMMSCOPE</v>
          </cell>
          <cell r="B4485" t="str">
            <v>RUCKUS T310_S_N</v>
          </cell>
          <cell r="O4485"/>
          <cell r="T4485"/>
        </row>
        <row r="4486">
          <cell r="A4486" t="str">
            <v>COMMSCOPE</v>
          </cell>
          <cell r="B4486" t="str">
            <v>RV4PX308R</v>
          </cell>
          <cell r="O4486">
            <v>5.5415499839999995</v>
          </cell>
          <cell r="T4486">
            <v>3.3080498890000003</v>
          </cell>
        </row>
        <row r="4487">
          <cell r="A4487" t="str">
            <v>COMMSCOPE</v>
          </cell>
          <cell r="B4487" t="str">
            <v>RV4PX310B1</v>
          </cell>
          <cell r="O4487">
            <v>6.8034094669999989</v>
          </cell>
          <cell r="T4487">
            <v>4.0473719069999996</v>
          </cell>
        </row>
        <row r="4488">
          <cell r="A4488" t="str">
            <v>COMMSCOPE</v>
          </cell>
          <cell r="B4488" t="str">
            <v>RV4PX310R-V2</v>
          </cell>
          <cell r="O4488">
            <v>6.8</v>
          </cell>
          <cell r="T4488">
            <v>4.05</v>
          </cell>
        </row>
        <row r="4489">
          <cell r="A4489" t="str">
            <v>COMMSCOPE</v>
          </cell>
          <cell r="B4489" t="str">
            <v>RVV-33B-R3</v>
          </cell>
          <cell r="O4489">
            <v>9.7077546300000002</v>
          </cell>
          <cell r="T4489">
            <v>3.5679899749999997</v>
          </cell>
        </row>
        <row r="4490">
          <cell r="A4490" t="str">
            <v>COMMSCOPE</v>
          </cell>
          <cell r="B4490" t="str">
            <v>RVV65A-3X2</v>
          </cell>
          <cell r="O4490">
            <v>3.0812572339999997</v>
          </cell>
          <cell r="T4490">
            <v>1.8473628309999999</v>
          </cell>
        </row>
        <row r="4491">
          <cell r="A4491" t="str">
            <v>COMMSCOPE</v>
          </cell>
          <cell r="B4491" t="str">
            <v>RVV65B-C3-3XR</v>
          </cell>
          <cell r="O4491">
            <v>4.159146894</v>
          </cell>
          <cell r="T4491">
            <v>2.4932440119999999</v>
          </cell>
        </row>
        <row r="4492">
          <cell r="A4492" t="str">
            <v>COMMSCOPE</v>
          </cell>
          <cell r="B4492" t="str">
            <v>RVVPX305.10R3</v>
          </cell>
          <cell r="O4492">
            <v>3.6384568699999997</v>
          </cell>
          <cell r="T4492">
            <v>2.1720685419999999</v>
          </cell>
        </row>
        <row r="4493">
          <cell r="A4493" t="str">
            <v>COMMSCOPE</v>
          </cell>
          <cell r="B4493" t="str">
            <v>RVVPX306.11R3</v>
          </cell>
          <cell r="O4493">
            <v>4.2539208714446195</v>
          </cell>
          <cell r="T4493">
            <v>2.5394621801369199</v>
          </cell>
        </row>
        <row r="4494">
          <cell r="A4494" t="str">
            <v>COMMSCOPE</v>
          </cell>
          <cell r="B4494" t="str">
            <v>RVVPX308. 10RXM-4L</v>
          </cell>
          <cell r="O4494">
            <v>5.5415499839999995</v>
          </cell>
          <cell r="T4494">
            <v>3.3080498890000003</v>
          </cell>
        </row>
        <row r="4495">
          <cell r="A4495" t="str">
            <v>COMMSCOPE</v>
          </cell>
          <cell r="B4495" t="str">
            <v>RVVPX310B2</v>
          </cell>
          <cell r="O4495">
            <v>6.8034094669999989</v>
          </cell>
          <cell r="T4495">
            <v>4.0473719069999996</v>
          </cell>
        </row>
        <row r="4496">
          <cell r="A4496" t="str">
            <v>COMMSCOPE</v>
          </cell>
          <cell r="B4496" t="str">
            <v>RVVPX310R-V</v>
          </cell>
          <cell r="O4496"/>
          <cell r="T4496"/>
        </row>
        <row r="4497">
          <cell r="A4497" t="str">
            <v>COMMSCOPE</v>
          </cell>
          <cell r="B4497" t="str">
            <v>RZV-65B-R3</v>
          </cell>
          <cell r="O4497">
            <v>5.2743641367871295</v>
          </cell>
          <cell r="T4497">
            <v>3.14412636470216</v>
          </cell>
        </row>
        <row r="4498">
          <cell r="A4498" t="str">
            <v>COMMSCOPE</v>
          </cell>
          <cell r="B4498" t="str">
            <v>S4-90M-R1-V2</v>
          </cell>
          <cell r="O4498">
            <v>2.6667838541666695</v>
          </cell>
          <cell r="T4498">
            <v>1.03428341608062</v>
          </cell>
        </row>
        <row r="4499">
          <cell r="A4499" t="str">
            <v>COMMSCOPE</v>
          </cell>
          <cell r="B4499" t="str">
            <v>S4-90M-R1-V3</v>
          </cell>
          <cell r="O4499">
            <v>2.6667838541666695</v>
          </cell>
          <cell r="T4499">
            <v>1.03428341608062</v>
          </cell>
        </row>
        <row r="4500">
          <cell r="A4500" t="str">
            <v>COMMSCOPE</v>
          </cell>
          <cell r="B4500" t="str">
            <v>S4-90M-R1-V5</v>
          </cell>
          <cell r="O4500">
            <v>2.6667838541666695</v>
          </cell>
          <cell r="T4500">
            <v>1.03428341608062</v>
          </cell>
        </row>
        <row r="4501">
          <cell r="A4501" t="str">
            <v>COMMSCOPE</v>
          </cell>
          <cell r="B4501" t="str">
            <v>S4-90M-R1B</v>
          </cell>
          <cell r="O4501">
            <v>2.6667838541666695</v>
          </cell>
          <cell r="T4501">
            <v>1.03428341608062</v>
          </cell>
        </row>
        <row r="4502">
          <cell r="A4502" t="str">
            <v>COMMSCOPE</v>
          </cell>
          <cell r="B4502" t="str">
            <v>SBCHH-1D65B-V1</v>
          </cell>
          <cell r="O4502">
            <v>4.159146894</v>
          </cell>
          <cell r="T4502">
            <v>2.4932440119999999</v>
          </cell>
        </row>
        <row r="4503">
          <cell r="A4503" t="str">
            <v>COMMSCOPE</v>
          </cell>
          <cell r="B4503" t="str">
            <v>SBCHH-1D90B</v>
          </cell>
          <cell r="O4503">
            <v>4.159146894</v>
          </cell>
          <cell r="T4503">
            <v>2.4932440119999999</v>
          </cell>
        </row>
        <row r="4504">
          <cell r="A4504" t="str">
            <v>COMMSCOPE</v>
          </cell>
          <cell r="B4504" t="str">
            <v>SBHH-1D3817TB</v>
          </cell>
          <cell r="O4504">
            <v>2.8805136</v>
          </cell>
          <cell r="T4504">
            <v>1.7280827949999999</v>
          </cell>
        </row>
        <row r="4505">
          <cell r="A4505" t="str">
            <v>COMMSCOPE</v>
          </cell>
          <cell r="B4505" t="str">
            <v>SBHH-1D6516DS</v>
          </cell>
          <cell r="O4505">
            <v>5.1893053809999996</v>
          </cell>
          <cell r="T4505">
            <v>2.8978417429999999</v>
          </cell>
        </row>
        <row r="4506">
          <cell r="A4506" t="str">
            <v>COMMSCOPE</v>
          </cell>
          <cell r="B4506" t="str">
            <v>SBJA44-1D45C</v>
          </cell>
          <cell r="O4506"/>
          <cell r="T4506"/>
        </row>
        <row r="4507">
          <cell r="A4507" t="str">
            <v>COMMSCOPE</v>
          </cell>
          <cell r="B4507" t="str">
            <v>SBJAH4-1D65B-DL</v>
          </cell>
          <cell r="O4507">
            <v>5.29</v>
          </cell>
          <cell r="T4507">
            <v>3.05</v>
          </cell>
        </row>
        <row r="4508">
          <cell r="A4508" t="str">
            <v>COMMSCOPE</v>
          </cell>
          <cell r="B4508" t="str">
            <v>SBJAH4-1D65C-DL</v>
          </cell>
          <cell r="O4508">
            <v>6.46</v>
          </cell>
          <cell r="T4508">
            <v>3.86</v>
          </cell>
        </row>
        <row r="4509">
          <cell r="A4509" t="str">
            <v>COMMSCOPE</v>
          </cell>
          <cell r="B4509" t="str">
            <v>SBJAHH-1D45C</v>
          </cell>
          <cell r="O4509">
            <v>10.678158757716</v>
          </cell>
          <cell r="T4509">
            <v>4.2825420323233594</v>
          </cell>
        </row>
        <row r="4510">
          <cell r="A4510" t="str">
            <v>COMMSCOPE</v>
          </cell>
          <cell r="B4510" t="str">
            <v>SBJAHH-1D65B-DL</v>
          </cell>
          <cell r="O4510">
            <v>4.159146894</v>
          </cell>
          <cell r="T4510">
            <v>2.4932440119999999</v>
          </cell>
        </row>
        <row r="4511">
          <cell r="A4511" t="str">
            <v>COMMSCOPE</v>
          </cell>
          <cell r="B4511" t="str">
            <v>SBJAHH-1D65C-DL</v>
          </cell>
          <cell r="O4511">
            <v>5.6703366129999999</v>
          </cell>
          <cell r="T4511">
            <v>3.4022068220000001</v>
          </cell>
        </row>
        <row r="4512">
          <cell r="A4512" t="str">
            <v>COMMSCOPE</v>
          </cell>
          <cell r="B4512" t="str">
            <v>SBNH-1D4545A</v>
          </cell>
          <cell r="O4512">
            <v>8.3046392750000013</v>
          </cell>
          <cell r="T4512">
            <v>3.6935888029999999</v>
          </cell>
        </row>
        <row r="4513">
          <cell r="A4513" t="str">
            <v>COMMSCOPE</v>
          </cell>
          <cell r="B4513" t="str">
            <v>SBNH-1D6565A</v>
          </cell>
          <cell r="O4513">
            <v>2.936585166</v>
          </cell>
          <cell r="T4513">
            <v>1.7605495019999999</v>
          </cell>
        </row>
        <row r="4514">
          <cell r="A4514" t="str">
            <v>COMMSCOPE</v>
          </cell>
          <cell r="B4514" t="str">
            <v>SBNH-1D6565B</v>
          </cell>
          <cell r="O4514">
            <v>4.16</v>
          </cell>
          <cell r="T4514">
            <v>2.4899999999999998</v>
          </cell>
        </row>
        <row r="4515">
          <cell r="A4515" t="str">
            <v>COMMSCOPE</v>
          </cell>
          <cell r="B4515" t="str">
            <v>SBNH-1D6565C</v>
          </cell>
          <cell r="O4515">
            <v>5.67</v>
          </cell>
          <cell r="T4515">
            <v>3.4</v>
          </cell>
        </row>
        <row r="4516">
          <cell r="A4516" t="str">
            <v>COMMSCOPE</v>
          </cell>
          <cell r="B4516" t="str">
            <v>SBNH-1D65A</v>
          </cell>
          <cell r="O4516">
            <v>3.0812572339999997</v>
          </cell>
          <cell r="T4516">
            <v>1.8473628309999999</v>
          </cell>
        </row>
        <row r="4517">
          <cell r="A4517" t="str">
            <v>COMMSCOPE</v>
          </cell>
          <cell r="B4517" t="str">
            <v>SBNH-1D65A-SR</v>
          </cell>
          <cell r="O4517">
            <v>3.0812572339999997</v>
          </cell>
          <cell r="T4517">
            <v>1.8473628309999999</v>
          </cell>
        </row>
        <row r="4518">
          <cell r="A4518" t="str">
            <v>COMMSCOPE</v>
          </cell>
          <cell r="B4518" t="str">
            <v>SBNH-1D65B</v>
          </cell>
          <cell r="O4518">
            <v>4.159146894</v>
          </cell>
          <cell r="T4518">
            <v>2.4932440119999999</v>
          </cell>
        </row>
        <row r="4519">
          <cell r="A4519" t="str">
            <v>COMMSCOPE</v>
          </cell>
          <cell r="B4519" t="str">
            <v>SBNH-1D65C</v>
          </cell>
          <cell r="O4519">
            <v>5.6703366129999999</v>
          </cell>
          <cell r="T4519">
            <v>3.4022068220000001</v>
          </cell>
        </row>
        <row r="4520">
          <cell r="A4520" t="str">
            <v>COMMSCOPE</v>
          </cell>
          <cell r="B4520" t="str">
            <v>SBNH-1D65C-SR</v>
          </cell>
          <cell r="O4520">
            <v>5.6703366129999999</v>
          </cell>
          <cell r="T4520">
            <v>3.4022068220000001</v>
          </cell>
        </row>
        <row r="4521">
          <cell r="A4521" t="str">
            <v>COMMSCOPE</v>
          </cell>
          <cell r="B4521" t="str">
            <v>SBNH-1D65C.TMO</v>
          </cell>
          <cell r="O4521">
            <v>5.6703366129999999</v>
          </cell>
          <cell r="T4521">
            <v>3.4022068220000001</v>
          </cell>
        </row>
        <row r="4522">
          <cell r="A4522" t="str">
            <v>COMMSCOPE</v>
          </cell>
          <cell r="B4522" t="str">
            <v>SBNH-1D8585B</v>
          </cell>
          <cell r="O4522">
            <v>4.159146894</v>
          </cell>
          <cell r="T4522">
            <v>2.4932440119999999</v>
          </cell>
        </row>
        <row r="4523">
          <cell r="A4523" t="str">
            <v>COMMSCOPE</v>
          </cell>
          <cell r="B4523" t="str">
            <v>SBNH-1D8585C</v>
          </cell>
          <cell r="O4523">
            <v>5.422178819</v>
          </cell>
          <cell r="T4523">
            <v>3.2528717299999999</v>
          </cell>
        </row>
        <row r="4524">
          <cell r="A4524" t="str">
            <v>COMMSCOPE</v>
          </cell>
          <cell r="B4524" t="str">
            <v>SBNHH-1D45A</v>
          </cell>
          <cell r="O4524">
            <v>5.3264274689999995</v>
          </cell>
          <cell r="T4524">
            <v>2.0786569720000001</v>
          </cell>
        </row>
        <row r="4525">
          <cell r="A4525" t="str">
            <v>COMMSCOPE</v>
          </cell>
          <cell r="B4525" t="str">
            <v>SBNHH-1D45B</v>
          </cell>
          <cell r="O4525">
            <v>8.3281394680000016</v>
          </cell>
          <cell r="T4525">
            <v>3.2444589269999997</v>
          </cell>
        </row>
        <row r="4526">
          <cell r="A4526" t="str">
            <v>COMMSCOPE</v>
          </cell>
          <cell r="B4526" t="str">
            <v>SBNHH-1D45C</v>
          </cell>
          <cell r="O4526">
            <v>10.678158760000001</v>
          </cell>
          <cell r="T4526">
            <v>4.2825420319999994</v>
          </cell>
        </row>
        <row r="4527">
          <cell r="A4527" t="str">
            <v>COMMSCOPE</v>
          </cell>
          <cell r="B4527" t="str">
            <v>SBNHH-1D65A</v>
          </cell>
          <cell r="O4527">
            <v>3.08</v>
          </cell>
          <cell r="T4527">
            <v>1.8499999999999999</v>
          </cell>
        </row>
        <row r="4528">
          <cell r="A4528" t="str">
            <v>COMMSCOPE</v>
          </cell>
          <cell r="B4528" t="str">
            <v>SBNHH-1D65A-SR</v>
          </cell>
          <cell r="O4528">
            <v>3.08</v>
          </cell>
          <cell r="T4528">
            <v>1.8499999999999999</v>
          </cell>
        </row>
        <row r="4529">
          <cell r="A4529" t="str">
            <v>COMMSCOPE</v>
          </cell>
          <cell r="B4529" t="str">
            <v>SBNHH-1D65A_20130913</v>
          </cell>
          <cell r="O4529"/>
          <cell r="T4529"/>
        </row>
        <row r="4530">
          <cell r="A4530" t="str">
            <v>COMMSCOPE</v>
          </cell>
          <cell r="B4530" t="str">
            <v>SBNHH-1D65B</v>
          </cell>
          <cell r="O4530">
            <v>4.16</v>
          </cell>
          <cell r="T4530">
            <v>2.4899999999999998</v>
          </cell>
        </row>
        <row r="4531">
          <cell r="A4531" t="str">
            <v>COMMSCOPE</v>
          </cell>
          <cell r="B4531" t="str">
            <v>SBNHH-1D65B-SR</v>
          </cell>
          <cell r="O4531">
            <v>4.16</v>
          </cell>
          <cell r="T4531">
            <v>2.4899999999999998</v>
          </cell>
        </row>
        <row r="4532">
          <cell r="A4532" t="str">
            <v>COMMSCOPE</v>
          </cell>
          <cell r="B4532" t="str">
            <v>SBNHH-1D65B_T-MOBILE</v>
          </cell>
          <cell r="O4532">
            <v>4.159146894</v>
          </cell>
          <cell r="T4532">
            <v>2.4932440119999999</v>
          </cell>
        </row>
        <row r="4533">
          <cell r="A4533" t="str">
            <v>COMMSCOPE</v>
          </cell>
          <cell r="B4533" t="str">
            <v>SBNHH-1D65C</v>
          </cell>
          <cell r="O4533">
            <v>5.67</v>
          </cell>
          <cell r="T4533">
            <v>3.4</v>
          </cell>
        </row>
        <row r="4534">
          <cell r="A4534" t="str">
            <v>COMMSCOPE</v>
          </cell>
          <cell r="B4534" t="str">
            <v>SBNHH-1D65C-SR</v>
          </cell>
          <cell r="O4534">
            <v>5.67</v>
          </cell>
          <cell r="T4534">
            <v>3.4</v>
          </cell>
        </row>
        <row r="4535">
          <cell r="A4535" t="str">
            <v>COMMSCOPE</v>
          </cell>
          <cell r="B4535" t="str">
            <v>SBNHH-1D65C_T-MOBILE</v>
          </cell>
          <cell r="O4535">
            <v>5.6703366129999999</v>
          </cell>
          <cell r="T4535">
            <v>3.4022068220000001</v>
          </cell>
        </row>
        <row r="4536">
          <cell r="A4536" t="str">
            <v>COMMSCOPE</v>
          </cell>
          <cell r="B4536" t="str">
            <v>SBNHH-1D85A</v>
          </cell>
          <cell r="O4536">
            <v>2.692421875</v>
          </cell>
          <cell r="T4536">
            <v>1.6154000509999999</v>
          </cell>
        </row>
        <row r="4537">
          <cell r="A4537" t="str">
            <v>COMMSCOPE</v>
          </cell>
          <cell r="B4537" t="str">
            <v>SBNHH-1D85B</v>
          </cell>
          <cell r="O4537">
            <v>4.159146894</v>
          </cell>
          <cell r="T4537">
            <v>2.4932440119999999</v>
          </cell>
        </row>
        <row r="4538">
          <cell r="A4538" t="str">
            <v>COMMSCOPE</v>
          </cell>
          <cell r="B4538" t="str">
            <v>SBNHH-1D85C</v>
          </cell>
          <cell r="O4538">
            <v>5.67</v>
          </cell>
          <cell r="T4538">
            <v>3.4</v>
          </cell>
        </row>
        <row r="4539">
          <cell r="A4539" t="str">
            <v>COMMSCOPE</v>
          </cell>
          <cell r="B4539" t="str">
            <v>SHP2-13</v>
          </cell>
          <cell r="O4539"/>
          <cell r="T4539"/>
        </row>
        <row r="4540">
          <cell r="A4540" t="str">
            <v>COMMSCOPE</v>
          </cell>
          <cell r="B4540" t="str">
            <v>SHP2-18-3WH/B</v>
          </cell>
          <cell r="O4540"/>
          <cell r="T4540"/>
        </row>
        <row r="4541">
          <cell r="A4541" t="str">
            <v>COMMSCOPE</v>
          </cell>
          <cell r="B4541" t="str">
            <v>SHP2-26-3WH_B</v>
          </cell>
          <cell r="O4541"/>
          <cell r="T4541"/>
        </row>
        <row r="4542">
          <cell r="A4542" t="str">
            <v>COMMSCOPE</v>
          </cell>
          <cell r="B4542" t="str">
            <v>SHP3-11W</v>
          </cell>
          <cell r="O4542"/>
          <cell r="T4542"/>
        </row>
        <row r="4543">
          <cell r="A4543" t="str">
            <v>COMMSCOPE</v>
          </cell>
          <cell r="B4543" t="str">
            <v>SHP3-11W-6WH/A</v>
          </cell>
          <cell r="O4543"/>
          <cell r="T4543"/>
        </row>
        <row r="4544">
          <cell r="A4544" t="str">
            <v>COMMSCOPE</v>
          </cell>
          <cell r="B4544" t="str">
            <v>SHP3-11W_B</v>
          </cell>
          <cell r="O4544"/>
          <cell r="T4544"/>
        </row>
        <row r="4545">
          <cell r="A4545" t="str">
            <v>COMMSCOPE</v>
          </cell>
          <cell r="B4545" t="str">
            <v>SHP3-6W-4GR</v>
          </cell>
          <cell r="O4545"/>
          <cell r="T4545"/>
        </row>
        <row r="4546">
          <cell r="A4546" t="str">
            <v>COMMSCOPE</v>
          </cell>
          <cell r="B4546" t="str">
            <v>SHP3-6W/B</v>
          </cell>
          <cell r="O4546"/>
          <cell r="T4546"/>
        </row>
        <row r="4547">
          <cell r="A4547" t="str">
            <v>COMMSCOPE</v>
          </cell>
          <cell r="B4547" t="str">
            <v>SHPX1-26-1WH_B</v>
          </cell>
          <cell r="O4547"/>
          <cell r="T4547"/>
        </row>
        <row r="4548">
          <cell r="A4548" t="str">
            <v>COMMSCOPE</v>
          </cell>
          <cell r="B4548" t="str">
            <v>SHPX2-18</v>
          </cell>
          <cell r="O4548"/>
          <cell r="T4548"/>
        </row>
        <row r="4549">
          <cell r="A4549" t="str">
            <v>COMMSCOPE</v>
          </cell>
          <cell r="B4549" t="str">
            <v>SHPX2-18-3GR</v>
          </cell>
          <cell r="O4549"/>
          <cell r="T4549"/>
        </row>
        <row r="4550">
          <cell r="A4550" t="str">
            <v>COMMSCOPE</v>
          </cell>
          <cell r="B4550" t="str">
            <v>SHPX2-18/B_20211008</v>
          </cell>
          <cell r="O4550"/>
          <cell r="T4550"/>
        </row>
        <row r="4551">
          <cell r="A4551" t="str">
            <v>COMMSCOPE</v>
          </cell>
          <cell r="B4551" t="str">
            <v>SHPX2-23</v>
          </cell>
          <cell r="O4551"/>
          <cell r="T4551"/>
        </row>
        <row r="4552">
          <cell r="A4552" t="str">
            <v>COMMSCOPE</v>
          </cell>
          <cell r="B4552" t="str">
            <v>SHPX2-26</v>
          </cell>
          <cell r="O4552"/>
          <cell r="T4552"/>
        </row>
        <row r="4553">
          <cell r="A4553" t="str">
            <v>COMMSCOPE</v>
          </cell>
          <cell r="B4553" t="str">
            <v>SHPX2-28-3WH/B</v>
          </cell>
          <cell r="O4553"/>
          <cell r="T4553"/>
        </row>
        <row r="4554">
          <cell r="A4554" t="str">
            <v>COMMSCOPE</v>
          </cell>
          <cell r="B4554" t="str">
            <v>SHPX2-28-3WH_B</v>
          </cell>
          <cell r="O4554"/>
          <cell r="T4554"/>
        </row>
        <row r="4555">
          <cell r="A4555" t="str">
            <v>COMMSCOPE</v>
          </cell>
          <cell r="B4555" t="str">
            <v>SHPX3-11W</v>
          </cell>
          <cell r="O4555"/>
          <cell r="T4555"/>
        </row>
        <row r="4556">
          <cell r="A4556" t="str">
            <v>COMMSCOPE</v>
          </cell>
          <cell r="B4556" t="str">
            <v>SHPX3-11W-6WG/A_20201202</v>
          </cell>
          <cell r="O4556"/>
          <cell r="T4556"/>
        </row>
        <row r="4557">
          <cell r="A4557" t="str">
            <v>COMMSCOPE</v>
          </cell>
          <cell r="B4557" t="str">
            <v>SHPX3-18-2WH/A</v>
          </cell>
          <cell r="O4557"/>
          <cell r="T4557"/>
        </row>
        <row r="4558">
          <cell r="A4558" t="str">
            <v>COMMSCOPE</v>
          </cell>
          <cell r="B4558" t="str">
            <v>SHPX3-18-3GR</v>
          </cell>
          <cell r="O4558"/>
          <cell r="T4558"/>
        </row>
        <row r="4559">
          <cell r="A4559" t="str">
            <v>COMMSCOPE</v>
          </cell>
          <cell r="B4559" t="str">
            <v>SHPX3-18/B</v>
          </cell>
          <cell r="O4559"/>
          <cell r="T4559"/>
        </row>
        <row r="4560">
          <cell r="A4560" t="str">
            <v>COMMSCOPE</v>
          </cell>
          <cell r="B4560" t="str">
            <v>SHPX3-23</v>
          </cell>
          <cell r="O4560"/>
          <cell r="T4560"/>
        </row>
        <row r="4561">
          <cell r="A4561" t="str">
            <v>COMMSCOPE</v>
          </cell>
          <cell r="B4561" t="str">
            <v>SHPX3-26</v>
          </cell>
          <cell r="O4561"/>
          <cell r="T4561"/>
        </row>
        <row r="4562">
          <cell r="A4562" t="str">
            <v>COMMSCOPE</v>
          </cell>
          <cell r="B4562" t="str">
            <v>SHPX3-6W</v>
          </cell>
          <cell r="O4562"/>
          <cell r="T4562"/>
        </row>
        <row r="4563">
          <cell r="A4563" t="str">
            <v>COMMSCOPE</v>
          </cell>
          <cell r="B4563" t="str">
            <v>SHPX4-11W</v>
          </cell>
          <cell r="O4563"/>
          <cell r="T4563"/>
        </row>
        <row r="4564">
          <cell r="A4564" t="str">
            <v>COMMSCOPE</v>
          </cell>
          <cell r="B4564" t="str">
            <v>SHPX4-11W-6WH</v>
          </cell>
          <cell r="O4564"/>
          <cell r="T4564"/>
        </row>
        <row r="4565">
          <cell r="A4565" t="str">
            <v>COMMSCOPE</v>
          </cell>
          <cell r="B4565" t="str">
            <v>SHPX4-11W_TMO</v>
          </cell>
          <cell r="O4565"/>
          <cell r="T4565"/>
        </row>
        <row r="4566">
          <cell r="A4566" t="str">
            <v>COMMSCOPE</v>
          </cell>
          <cell r="B4566" t="str">
            <v>SHPX4-6W</v>
          </cell>
          <cell r="O4566"/>
          <cell r="T4566"/>
        </row>
        <row r="4567">
          <cell r="A4567" t="str">
            <v>COMMSCOPE</v>
          </cell>
          <cell r="B4567" t="str">
            <v>SS-65M-M</v>
          </cell>
          <cell r="O4567">
            <v>1.6986979166666698</v>
          </cell>
          <cell r="T4567">
            <v>1.0488064049108998</v>
          </cell>
        </row>
        <row r="4568">
          <cell r="A4568" t="str">
            <v>COMMSCOPE</v>
          </cell>
          <cell r="B4568" t="str">
            <v>SS-65M-R2</v>
          </cell>
          <cell r="O4568">
            <v>1.6986979166666698</v>
          </cell>
          <cell r="T4568">
            <v>1.0488064049108998</v>
          </cell>
        </row>
        <row r="4569">
          <cell r="A4569" t="str">
            <v>COMMSCOPE</v>
          </cell>
          <cell r="B4569" t="str">
            <v>SSPX310R</v>
          </cell>
          <cell r="O4569">
            <v>2.6389281159999998</v>
          </cell>
          <cell r="T4569">
            <v>1.0133928459999999</v>
          </cell>
        </row>
        <row r="4570">
          <cell r="A4570" t="str">
            <v>COMMSCOPE</v>
          </cell>
          <cell r="B4570" t="str">
            <v>T4-90A-R1-V2</v>
          </cell>
          <cell r="O4570">
            <v>5.254515817901229</v>
          </cell>
          <cell r="T4570">
            <v>2.0361663023185996</v>
          </cell>
        </row>
        <row r="4571">
          <cell r="A4571" t="str">
            <v>COMMSCOPE</v>
          </cell>
          <cell r="B4571" t="str">
            <v>T4-90B-R1-V4_TMO</v>
          </cell>
          <cell r="O4571">
            <v>7.6118344907407396</v>
          </cell>
          <cell r="T4571">
            <v>2.2473618130822999</v>
          </cell>
        </row>
        <row r="4572">
          <cell r="A4572" t="str">
            <v>COMMSCOPE</v>
          </cell>
          <cell r="B4572" t="str">
            <v>TBXLHA-6565B-A3M</v>
          </cell>
          <cell r="O4572">
            <v>8.2961015780000018</v>
          </cell>
          <cell r="T4572">
            <v>4.0579717640000004</v>
          </cell>
        </row>
        <row r="4573">
          <cell r="A4573" t="str">
            <v>COMMSCOPE</v>
          </cell>
          <cell r="B4573" t="str">
            <v>TBXLHA-6565B-VTM</v>
          </cell>
          <cell r="O4573">
            <v>8.2961015780000018</v>
          </cell>
          <cell r="T4573">
            <v>4.0579717640000004</v>
          </cell>
        </row>
        <row r="4574">
          <cell r="A4574" t="str">
            <v>COMMSCOPE</v>
          </cell>
          <cell r="B4574" t="str">
            <v>TBXLHB-6565A-VTM</v>
          </cell>
          <cell r="O4574">
            <v>8.8035542050000011</v>
          </cell>
          <cell r="T4574">
            <v>3.0319096069999998</v>
          </cell>
        </row>
        <row r="4575">
          <cell r="A4575" t="str">
            <v>COMMSCOPE</v>
          </cell>
          <cell r="B4575" t="str">
            <v>TMA-E15S08P80</v>
          </cell>
          <cell r="O4575"/>
          <cell r="T4575"/>
        </row>
        <row r="4576">
          <cell r="A4576" t="str">
            <v>COMMSCOPE</v>
          </cell>
          <cell r="B4576" t="str">
            <v>TMBX-6517-AIM</v>
          </cell>
          <cell r="O4576">
            <v>3.2196059990000001</v>
          </cell>
          <cell r="T4576">
            <v>1.6064283559999999</v>
          </cell>
        </row>
        <row r="4577">
          <cell r="A4577" t="str">
            <v>COMMSCOPE</v>
          </cell>
          <cell r="B4577" t="str">
            <v>TME- 15Z01P39</v>
          </cell>
          <cell r="O4577"/>
          <cell r="T4577"/>
        </row>
        <row r="4578">
          <cell r="A4578" t="str">
            <v>COMMSCOPE</v>
          </cell>
          <cell r="B4578" t="str">
            <v>TME-CBC1921X-DS</v>
          </cell>
          <cell r="O4578"/>
          <cell r="T4578"/>
        </row>
        <row r="4579">
          <cell r="A4579" t="str">
            <v>COMMSCOPE</v>
          </cell>
          <cell r="B4579" t="str">
            <v>TME-CBC1921Y-DS</v>
          </cell>
          <cell r="O4579"/>
          <cell r="T4579"/>
        </row>
        <row r="4580">
          <cell r="A4580" t="str">
            <v>COMMSCOPE</v>
          </cell>
          <cell r="B4580" t="str">
            <v>TME-CHB726-01</v>
          </cell>
          <cell r="O4580"/>
          <cell r="T4580"/>
        </row>
        <row r="4581">
          <cell r="A4581" t="str">
            <v>COMMSCOPE</v>
          </cell>
          <cell r="B4581" t="str">
            <v>TME-E15R05P19</v>
          </cell>
          <cell r="O4581"/>
          <cell r="T4581"/>
        </row>
        <row r="4582">
          <cell r="A4582" t="str">
            <v>COMMSCOPE</v>
          </cell>
          <cell r="B4582" t="str">
            <v>TME-E15S09P45</v>
          </cell>
          <cell r="O4582"/>
          <cell r="T4582"/>
        </row>
        <row r="4583">
          <cell r="A4583" t="str">
            <v>COMMSCOPE</v>
          </cell>
          <cell r="B4583" t="str">
            <v>TME-E15S09P49</v>
          </cell>
          <cell r="O4583"/>
          <cell r="T4583"/>
        </row>
        <row r="4584">
          <cell r="A4584" t="str">
            <v>COMMSCOPE</v>
          </cell>
          <cell r="B4584" t="str">
            <v>TME-E15S09P84</v>
          </cell>
          <cell r="O4584"/>
          <cell r="T4584"/>
        </row>
        <row r="4585">
          <cell r="A4585" t="str">
            <v>COMMSCOPE</v>
          </cell>
          <cell r="B4585" t="str">
            <v>TME-E15Z01P39</v>
          </cell>
          <cell r="O4585"/>
          <cell r="T4585"/>
        </row>
        <row r="4586">
          <cell r="A4586" t="str">
            <v>COMMSCOPE</v>
          </cell>
          <cell r="B4586" t="str">
            <v>TME-E15Z09P94</v>
          </cell>
          <cell r="O4586"/>
          <cell r="T4586"/>
        </row>
        <row r="4587">
          <cell r="A4587" t="str">
            <v>COMMSCOPE</v>
          </cell>
          <cell r="B4587" t="str">
            <v>TME-ETM190G-12UB</v>
          </cell>
          <cell r="O4587"/>
          <cell r="T4587"/>
        </row>
        <row r="4588">
          <cell r="A4588" t="str">
            <v>COMMSCOPE</v>
          </cell>
          <cell r="B4588" t="str">
            <v>TME-ETM19V2S12UB</v>
          </cell>
          <cell r="O4588"/>
          <cell r="T4588"/>
        </row>
        <row r="4589">
          <cell r="A4589" t="str">
            <v>COMMSCOPE</v>
          </cell>
          <cell r="B4589" t="str">
            <v>TME-RC2DC-1064-PF-48</v>
          </cell>
          <cell r="O4589"/>
          <cell r="T4589"/>
        </row>
        <row r="4590">
          <cell r="A4590" t="str">
            <v>COMMSCOPE</v>
          </cell>
          <cell r="B4590" t="str">
            <v>TME-RC2DC-3315-PF-48</v>
          </cell>
          <cell r="O4590"/>
          <cell r="T4590"/>
        </row>
        <row r="4591">
          <cell r="A4591" t="str">
            <v>COMMSCOPE</v>
          </cell>
          <cell r="B4591" t="str">
            <v>TME-RC2DC-4750-PF-48</v>
          </cell>
          <cell r="O4591"/>
          <cell r="T4591"/>
        </row>
        <row r="4592">
          <cell r="A4592" t="str">
            <v>COMMSCOPE</v>
          </cell>
          <cell r="B4592" t="str">
            <v>TME-RC3DC-3315-PF-48</v>
          </cell>
          <cell r="O4592"/>
          <cell r="T4592"/>
        </row>
        <row r="4593">
          <cell r="A4593" t="str">
            <v>COMMSCOPE</v>
          </cell>
          <cell r="B4593" t="str">
            <v>TME-RCMDC-1064V-PF-48</v>
          </cell>
          <cell r="O4593"/>
          <cell r="T4593"/>
        </row>
        <row r="4594">
          <cell r="A4594" t="str">
            <v>COMMSCOPE</v>
          </cell>
          <cell r="B4594" t="str">
            <v>TME-RCMDC-3315V-PF-48</v>
          </cell>
          <cell r="O4594"/>
          <cell r="T4594"/>
        </row>
        <row r="4595">
          <cell r="A4595" t="str">
            <v>COMMSCOPE</v>
          </cell>
          <cell r="B4595" t="str">
            <v>TME-TMA-S-DB1921-DD-A</v>
          </cell>
          <cell r="O4595"/>
          <cell r="T4595"/>
        </row>
        <row r="4596">
          <cell r="A4596" t="str">
            <v>COMMSCOPE</v>
          </cell>
          <cell r="B4596" t="str">
            <v>TME-TMAQ23-11A</v>
          </cell>
          <cell r="O4596"/>
          <cell r="T4596"/>
        </row>
        <row r="4597">
          <cell r="A4597" t="str">
            <v>COMMSCOPE</v>
          </cell>
          <cell r="B4597" t="str">
            <v>TME-TMAT1921B78-21A</v>
          </cell>
          <cell r="O4597"/>
          <cell r="T4597"/>
        </row>
        <row r="4598">
          <cell r="A4598" t="str">
            <v>COMMSCOPE</v>
          </cell>
          <cell r="B4598" t="str">
            <v>TMZXX-6517-A2M</v>
          </cell>
          <cell r="O4598">
            <v>8.020572421999999</v>
          </cell>
          <cell r="T4598">
            <v>4.3594323370000003</v>
          </cell>
        </row>
        <row r="4599">
          <cell r="A4599" t="str">
            <v>COMMSCOPE</v>
          </cell>
          <cell r="B4599" t="str">
            <v>TMZXXX-6516-A3M</v>
          </cell>
          <cell r="O4599">
            <v>10.97084613</v>
          </cell>
          <cell r="T4599">
            <v>1.9996927419999997</v>
          </cell>
        </row>
        <row r="4600">
          <cell r="A4600" t="str">
            <v>COMMSCOPE</v>
          </cell>
          <cell r="B4600" t="str">
            <v>TTTT65AP-1XR</v>
          </cell>
          <cell r="O4600">
            <v>5.3396894289999999</v>
          </cell>
          <cell r="T4600">
            <v>2.0685130859999998</v>
          </cell>
        </row>
        <row r="4601">
          <cell r="A4601" t="str">
            <v>COMMSCOPE</v>
          </cell>
          <cell r="B4601" t="str">
            <v>TTTT90AP-1XR</v>
          </cell>
          <cell r="O4601">
            <v>5.3396894289999999</v>
          </cell>
          <cell r="T4601">
            <v>2.0685130859999998</v>
          </cell>
        </row>
        <row r="4602">
          <cell r="A4602" t="str">
            <v>COMMSCOPE</v>
          </cell>
          <cell r="B4602" t="str">
            <v>UBP600-4-1</v>
          </cell>
          <cell r="O4602"/>
          <cell r="T4602"/>
        </row>
        <row r="4603">
          <cell r="A4603" t="str">
            <v>COMMSCOPE</v>
          </cell>
          <cell r="B4603" t="str">
            <v>UHP6-59W/B</v>
          </cell>
          <cell r="O4603"/>
          <cell r="T4603"/>
        </row>
        <row r="4604">
          <cell r="A4604" t="str">
            <v>COMMSCOPE</v>
          </cell>
          <cell r="B4604" t="str">
            <v>UHX10-59</v>
          </cell>
          <cell r="O4604"/>
          <cell r="T4604"/>
        </row>
        <row r="4605">
          <cell r="A4605" t="str">
            <v>COMMSCOPE</v>
          </cell>
          <cell r="B4605" t="str">
            <v>UHX12-59W</v>
          </cell>
          <cell r="O4605"/>
          <cell r="T4605"/>
        </row>
        <row r="4606">
          <cell r="A4606" t="str">
            <v>COMMSCOPE</v>
          </cell>
          <cell r="B4606" t="str">
            <v>UHX4-107</v>
          </cell>
          <cell r="O4606"/>
          <cell r="T4606"/>
        </row>
        <row r="4607">
          <cell r="A4607" t="str">
            <v>COMMSCOPE</v>
          </cell>
          <cell r="B4607" t="str">
            <v>UHX4-107-D3A_B</v>
          </cell>
          <cell r="O4607"/>
          <cell r="T4607"/>
        </row>
        <row r="4608">
          <cell r="A4608" t="str">
            <v>COMMSCOPE</v>
          </cell>
          <cell r="B4608" t="str">
            <v>UHX4-107/B</v>
          </cell>
          <cell r="O4608"/>
          <cell r="T4608"/>
        </row>
        <row r="4609">
          <cell r="A4609" t="str">
            <v>COMMSCOPE</v>
          </cell>
          <cell r="B4609" t="str">
            <v>UHX6-107-D3A</v>
          </cell>
          <cell r="O4609"/>
          <cell r="T4609"/>
        </row>
        <row r="4610">
          <cell r="A4610" t="str">
            <v>COMMSCOPE</v>
          </cell>
          <cell r="B4610" t="str">
            <v>UHX6-107-P3A/K</v>
          </cell>
          <cell r="O4610"/>
          <cell r="T4610"/>
        </row>
        <row r="4611">
          <cell r="A4611" t="str">
            <v>COMMSCOPE</v>
          </cell>
          <cell r="B4611" t="str">
            <v>UHX6-107/K</v>
          </cell>
          <cell r="O4611"/>
          <cell r="T4611"/>
        </row>
        <row r="4612">
          <cell r="A4612" t="str">
            <v>COMMSCOPE</v>
          </cell>
          <cell r="B4612" t="str">
            <v>UHX6-59-D3A/L</v>
          </cell>
          <cell r="O4612"/>
          <cell r="T4612"/>
        </row>
        <row r="4613">
          <cell r="A4613" t="str">
            <v>COMMSCOPE</v>
          </cell>
          <cell r="B4613" t="str">
            <v>UHX6-59-D4A/L</v>
          </cell>
          <cell r="O4613"/>
          <cell r="T4613"/>
        </row>
        <row r="4614">
          <cell r="A4614" t="str">
            <v>COMMSCOPE</v>
          </cell>
          <cell r="B4614" t="str">
            <v>UHX6-59-P3A/L</v>
          </cell>
          <cell r="O4614"/>
          <cell r="T4614"/>
        </row>
        <row r="4615">
          <cell r="A4615" t="str">
            <v>COMMSCOPE</v>
          </cell>
          <cell r="B4615" t="str">
            <v>UHX6-59/L</v>
          </cell>
          <cell r="O4615"/>
          <cell r="T4615"/>
        </row>
        <row r="4616">
          <cell r="A4616" t="str">
            <v>COMMSCOPE</v>
          </cell>
          <cell r="B4616" t="str">
            <v>UHX6-59W-P3A/B</v>
          </cell>
          <cell r="O4616"/>
          <cell r="T4616"/>
        </row>
        <row r="4617">
          <cell r="A4617" t="str">
            <v>COMMSCOPE</v>
          </cell>
          <cell r="B4617" t="str">
            <v>UHX6-59W/B</v>
          </cell>
          <cell r="O4617"/>
          <cell r="T4617"/>
        </row>
        <row r="4618">
          <cell r="A4618" t="str">
            <v>COMMSCOPE</v>
          </cell>
          <cell r="B4618" t="str">
            <v>UHX6-65-P3A/F</v>
          </cell>
          <cell r="O4618"/>
          <cell r="T4618"/>
        </row>
        <row r="4619">
          <cell r="A4619" t="str">
            <v>COMMSCOPE</v>
          </cell>
          <cell r="B4619" t="str">
            <v>UHX6-65/F</v>
          </cell>
          <cell r="O4619"/>
          <cell r="T4619"/>
        </row>
        <row r="4620">
          <cell r="A4620" t="str">
            <v>COMMSCOPE</v>
          </cell>
          <cell r="B4620" t="str">
            <v>UHX8-107</v>
          </cell>
          <cell r="O4620"/>
          <cell r="T4620"/>
        </row>
        <row r="4621">
          <cell r="A4621" t="str">
            <v>COMMSCOPE</v>
          </cell>
          <cell r="B4621" t="str">
            <v>UHX8-107-P3A</v>
          </cell>
          <cell r="O4621"/>
          <cell r="T4621"/>
        </row>
        <row r="4622">
          <cell r="A4622" t="str">
            <v>COMMSCOPE</v>
          </cell>
          <cell r="B4622" t="str">
            <v>UHX8-59</v>
          </cell>
          <cell r="O4622"/>
          <cell r="T4622"/>
        </row>
        <row r="4623">
          <cell r="A4623" t="str">
            <v>COMMSCOPE</v>
          </cell>
          <cell r="B4623" t="str">
            <v>UHX8-59-D3A</v>
          </cell>
          <cell r="O4623"/>
          <cell r="T4623"/>
        </row>
        <row r="4624">
          <cell r="A4624" t="str">
            <v>COMMSCOPE</v>
          </cell>
          <cell r="B4624" t="str">
            <v>UHX8-59-P3A</v>
          </cell>
          <cell r="O4624"/>
          <cell r="T4624"/>
        </row>
        <row r="4625">
          <cell r="A4625" t="str">
            <v>COMMSCOPE</v>
          </cell>
          <cell r="B4625" t="str">
            <v>UHX8-59W</v>
          </cell>
          <cell r="O4625"/>
          <cell r="T4625"/>
        </row>
        <row r="4626">
          <cell r="A4626" t="str">
            <v>COMMSCOPE</v>
          </cell>
          <cell r="B4626" t="str">
            <v>UHX8-59W-P3A</v>
          </cell>
          <cell r="O4626"/>
          <cell r="T4626"/>
        </row>
        <row r="4627">
          <cell r="A4627" t="str">
            <v>COMMSCOPE</v>
          </cell>
          <cell r="B4627" t="str">
            <v>UHX8-65</v>
          </cell>
          <cell r="O4627"/>
          <cell r="T4627"/>
        </row>
        <row r="4628">
          <cell r="A4628" t="str">
            <v>COMMSCOPE</v>
          </cell>
          <cell r="B4628" t="str">
            <v>UHX8-65-P3A_20160603</v>
          </cell>
          <cell r="O4628"/>
          <cell r="T4628"/>
        </row>
        <row r="4629">
          <cell r="A4629" t="str">
            <v>COMMSCOPE</v>
          </cell>
          <cell r="B4629" t="str">
            <v>UNA008R</v>
          </cell>
          <cell r="O4629"/>
          <cell r="T4629"/>
        </row>
        <row r="4630">
          <cell r="A4630" t="str">
            <v>COMMSCOPE</v>
          </cell>
          <cell r="B4630" t="str">
            <v>UNNPX206R3</v>
          </cell>
          <cell r="O4630">
            <v>10.1421163</v>
          </cell>
          <cell r="T4630">
            <v>3.7468453650000004</v>
          </cell>
        </row>
        <row r="4631">
          <cell r="A4631" t="str">
            <v>COMMSCOPE</v>
          </cell>
          <cell r="B4631" t="str">
            <v>USX10-11W</v>
          </cell>
          <cell r="O4631"/>
          <cell r="T4631"/>
        </row>
        <row r="4632">
          <cell r="A4632" t="str">
            <v>COMMSCOPE</v>
          </cell>
          <cell r="B4632" t="str">
            <v>USX10-6W-6GF</v>
          </cell>
          <cell r="O4632"/>
          <cell r="T4632"/>
        </row>
        <row r="4633">
          <cell r="A4633" t="str">
            <v>COMMSCOPE</v>
          </cell>
          <cell r="B4633" t="str">
            <v>USX12-11W</v>
          </cell>
          <cell r="O4633"/>
          <cell r="T4633"/>
        </row>
        <row r="4634">
          <cell r="A4634" t="str">
            <v>COMMSCOPE</v>
          </cell>
          <cell r="B4634" t="str">
            <v>USX12-6W</v>
          </cell>
          <cell r="O4634"/>
          <cell r="T4634"/>
        </row>
        <row r="4635">
          <cell r="A4635" t="str">
            <v>COMMSCOPE</v>
          </cell>
          <cell r="B4635" t="str">
            <v>USX6-11W</v>
          </cell>
          <cell r="O4635"/>
          <cell r="T4635"/>
        </row>
        <row r="4636">
          <cell r="A4636" t="str">
            <v>COMMSCOPE</v>
          </cell>
          <cell r="B4636" t="str">
            <v>USX6-11W-2WH</v>
          </cell>
          <cell r="O4636"/>
          <cell r="T4636"/>
        </row>
        <row r="4637">
          <cell r="A4637" t="str">
            <v>COMMSCOPE</v>
          </cell>
          <cell r="B4637" t="str">
            <v>USX6-11W-4GR</v>
          </cell>
          <cell r="O4637"/>
          <cell r="T4637"/>
        </row>
        <row r="4638">
          <cell r="A4638" t="str">
            <v>COMMSCOPE</v>
          </cell>
          <cell r="B4638" t="str">
            <v>USX6-11W-6GR</v>
          </cell>
          <cell r="O4638"/>
          <cell r="T4638"/>
        </row>
        <row r="4639">
          <cell r="A4639" t="str">
            <v>COMMSCOPE</v>
          </cell>
          <cell r="B4639" t="str">
            <v>USX6-11W-6WH</v>
          </cell>
          <cell r="O4639"/>
          <cell r="T4639"/>
        </row>
        <row r="4640">
          <cell r="A4640" t="str">
            <v>COMMSCOPE</v>
          </cell>
          <cell r="B4640" t="str">
            <v>USX6-6W</v>
          </cell>
          <cell r="O4640"/>
          <cell r="T4640"/>
        </row>
        <row r="4641">
          <cell r="A4641" t="str">
            <v>COMMSCOPE</v>
          </cell>
          <cell r="B4641" t="str">
            <v>USX6-6W-4GR</v>
          </cell>
          <cell r="O4641"/>
          <cell r="T4641"/>
        </row>
        <row r="4642">
          <cell r="A4642" t="str">
            <v>COMMSCOPE</v>
          </cell>
          <cell r="B4642" t="str">
            <v>USX6-6W-6GR</v>
          </cell>
          <cell r="O4642"/>
          <cell r="T4642"/>
        </row>
        <row r="4643">
          <cell r="A4643" t="str">
            <v>COMMSCOPE</v>
          </cell>
          <cell r="B4643" t="str">
            <v>USX6-6W-6WH_20240705</v>
          </cell>
          <cell r="O4643"/>
          <cell r="T4643"/>
        </row>
        <row r="4644">
          <cell r="A4644" t="str">
            <v>COMMSCOPE</v>
          </cell>
          <cell r="B4644" t="str">
            <v>USX8-11W</v>
          </cell>
          <cell r="O4644"/>
          <cell r="T4644"/>
        </row>
        <row r="4645">
          <cell r="A4645" t="str">
            <v>COMMSCOPE</v>
          </cell>
          <cell r="B4645" t="str">
            <v>USX8-11W-6GF</v>
          </cell>
          <cell r="O4645"/>
          <cell r="T4645"/>
        </row>
        <row r="4646">
          <cell r="A4646" t="str">
            <v>COMMSCOPE</v>
          </cell>
          <cell r="B4646" t="str">
            <v>USX8-6W</v>
          </cell>
          <cell r="O4646"/>
          <cell r="T4646"/>
        </row>
        <row r="4647">
          <cell r="A4647" t="str">
            <v>COMMSCOPE</v>
          </cell>
          <cell r="B4647" t="str">
            <v>USX8-6W-4GF</v>
          </cell>
          <cell r="O4647"/>
          <cell r="T4647"/>
        </row>
        <row r="4648">
          <cell r="A4648" t="str">
            <v>COMMSCOPE</v>
          </cell>
          <cell r="B4648" t="str">
            <v>USX8-6W-6GF</v>
          </cell>
          <cell r="O4648"/>
          <cell r="T4648"/>
        </row>
        <row r="4649">
          <cell r="A4649" t="str">
            <v>COMMSCOPE</v>
          </cell>
          <cell r="B4649" t="str">
            <v>V4S4P-360S-F2</v>
          </cell>
          <cell r="O4649"/>
          <cell r="T4649"/>
        </row>
        <row r="4650">
          <cell r="A4650" t="str">
            <v>COMMSCOPE</v>
          </cell>
          <cell r="B4650" t="str">
            <v>V4SSPP-360S-F</v>
          </cell>
          <cell r="O4650"/>
          <cell r="T4650"/>
        </row>
        <row r="4651">
          <cell r="A4651" t="str">
            <v>COMMSCOPE</v>
          </cell>
          <cell r="B4651" t="str">
            <v>V65S-1XR</v>
          </cell>
          <cell r="O4651">
            <v>1.2053062815148801</v>
          </cell>
          <cell r="T4651">
            <v>0.74424089359344303</v>
          </cell>
        </row>
        <row r="4652">
          <cell r="A4652" t="str">
            <v>COMMSCOPE</v>
          </cell>
          <cell r="B4652" t="str">
            <v>VHLP1-18/F</v>
          </cell>
          <cell r="O4652"/>
          <cell r="T4652"/>
        </row>
        <row r="4653">
          <cell r="A4653" t="str">
            <v>COMMSCOPE</v>
          </cell>
          <cell r="B4653" t="str">
            <v>VHLP1-23</v>
          </cell>
          <cell r="O4653"/>
          <cell r="T4653"/>
        </row>
        <row r="4654">
          <cell r="A4654" t="str">
            <v>COMMSCOPE</v>
          </cell>
          <cell r="B4654" t="str">
            <v>VHLP1-23-2WH</v>
          </cell>
          <cell r="O4654"/>
          <cell r="T4654"/>
        </row>
        <row r="4655">
          <cell r="A4655" t="str">
            <v>COMMSCOPE</v>
          </cell>
          <cell r="B4655" t="str">
            <v>VHLP1-23-2WH/B</v>
          </cell>
          <cell r="O4655"/>
          <cell r="T4655"/>
        </row>
        <row r="4656">
          <cell r="A4656" t="str">
            <v>COMMSCOPE</v>
          </cell>
          <cell r="B4656" t="str">
            <v>VHLP1-23/B</v>
          </cell>
          <cell r="O4656"/>
          <cell r="T4656"/>
        </row>
        <row r="4657">
          <cell r="A4657" t="str">
            <v>COMMSCOPE</v>
          </cell>
          <cell r="B4657" t="str">
            <v>VHLP1-23/C</v>
          </cell>
          <cell r="O4657"/>
          <cell r="T4657"/>
        </row>
        <row r="4658">
          <cell r="A4658" t="str">
            <v>COMMSCOPE</v>
          </cell>
          <cell r="B4658" t="str">
            <v>VHLP1-80</v>
          </cell>
          <cell r="O4658"/>
          <cell r="T4658"/>
        </row>
        <row r="4659">
          <cell r="A4659" t="str">
            <v>COMMSCOPE</v>
          </cell>
          <cell r="B4659" t="str">
            <v>VHLP1-80A-DET</v>
          </cell>
          <cell r="O4659"/>
          <cell r="T4659"/>
        </row>
        <row r="4660">
          <cell r="A4660" t="str">
            <v>COMMSCOPE</v>
          </cell>
          <cell r="B4660" t="str">
            <v>VHLP2-11W</v>
          </cell>
          <cell r="O4660"/>
          <cell r="T4660"/>
        </row>
        <row r="4661">
          <cell r="A4661" t="str">
            <v>COMMSCOPE</v>
          </cell>
          <cell r="B4661" t="str">
            <v>VHLP2-11W-2WH/B</v>
          </cell>
          <cell r="O4661"/>
          <cell r="T4661"/>
        </row>
        <row r="4662">
          <cell r="A4662" t="str">
            <v>COMMSCOPE</v>
          </cell>
          <cell r="B4662" t="str">
            <v>VHLP2-11W-2WH_A</v>
          </cell>
          <cell r="O4662"/>
          <cell r="T4662"/>
        </row>
        <row r="4663">
          <cell r="A4663" t="str">
            <v>COMMSCOPE</v>
          </cell>
          <cell r="B4663" t="str">
            <v>VHLP2-11W-3WH/A</v>
          </cell>
          <cell r="O4663"/>
          <cell r="T4663"/>
        </row>
        <row r="4664">
          <cell r="A4664" t="str">
            <v>COMMSCOPE</v>
          </cell>
          <cell r="B4664" t="str">
            <v>VHLP2-11W-4WH/A</v>
          </cell>
          <cell r="O4664"/>
          <cell r="T4664"/>
        </row>
        <row r="4665">
          <cell r="A4665" t="str">
            <v>COMMSCOPE</v>
          </cell>
          <cell r="B4665" t="str">
            <v>VHLP2-11W-6GR</v>
          </cell>
          <cell r="O4665"/>
          <cell r="T4665"/>
        </row>
        <row r="4666">
          <cell r="A4666" t="str">
            <v>COMMSCOPE</v>
          </cell>
          <cell r="B4666" t="str">
            <v>VHLP2-11W-6WH/A</v>
          </cell>
          <cell r="O4666"/>
          <cell r="T4666"/>
        </row>
        <row r="4667">
          <cell r="A4667" t="str">
            <v>COMMSCOPE</v>
          </cell>
          <cell r="B4667" t="str">
            <v>VHLP2-11W-GT1</v>
          </cell>
          <cell r="O4667"/>
          <cell r="T4667"/>
        </row>
        <row r="4668">
          <cell r="A4668" t="str">
            <v>COMMSCOPE</v>
          </cell>
          <cell r="B4668" t="str">
            <v>VHLP2-11W-GT2</v>
          </cell>
          <cell r="O4668"/>
          <cell r="T4668"/>
        </row>
        <row r="4669">
          <cell r="A4669" t="str">
            <v>COMMSCOPE</v>
          </cell>
          <cell r="B4669" t="str">
            <v>VHLP2-11W/A</v>
          </cell>
          <cell r="O4669"/>
          <cell r="T4669"/>
        </row>
        <row r="4670">
          <cell r="A4670" t="str">
            <v>COMMSCOPE</v>
          </cell>
          <cell r="B4670" t="str">
            <v>VHLP2-11W/B</v>
          </cell>
          <cell r="O4670"/>
          <cell r="T4670"/>
        </row>
        <row r="4671">
          <cell r="A4671" t="str">
            <v>COMMSCOPE</v>
          </cell>
          <cell r="B4671" t="str">
            <v>VHLP2-11W/B_20230901</v>
          </cell>
          <cell r="O4671"/>
          <cell r="T4671"/>
        </row>
        <row r="4672">
          <cell r="A4672" t="str">
            <v>COMMSCOPE</v>
          </cell>
          <cell r="B4672" t="str">
            <v>VHLP2-18-1WH-C_CCIV2</v>
          </cell>
          <cell r="O4672"/>
          <cell r="T4672"/>
        </row>
        <row r="4673">
          <cell r="A4673" t="str">
            <v>COMMSCOPE</v>
          </cell>
          <cell r="B4673" t="str">
            <v>VHLP2-18-1WH/C</v>
          </cell>
          <cell r="O4673"/>
          <cell r="T4673"/>
        </row>
        <row r="4674">
          <cell r="A4674" t="str">
            <v>COMMSCOPE</v>
          </cell>
          <cell r="B4674" t="str">
            <v>VHLP2-18-2GR/B</v>
          </cell>
          <cell r="O4674"/>
          <cell r="T4674"/>
        </row>
        <row r="4675">
          <cell r="A4675" t="str">
            <v>COMMSCOPE</v>
          </cell>
          <cell r="B4675" t="str">
            <v>VHLP2-18-2WH/B</v>
          </cell>
          <cell r="O4675"/>
          <cell r="T4675"/>
        </row>
        <row r="4676">
          <cell r="A4676" t="str">
            <v>COMMSCOPE</v>
          </cell>
          <cell r="B4676" t="str">
            <v>VHLP2-18-2WH/C</v>
          </cell>
          <cell r="O4676"/>
          <cell r="T4676"/>
        </row>
        <row r="4677">
          <cell r="A4677" t="str">
            <v>COMMSCOPE</v>
          </cell>
          <cell r="B4677" t="str">
            <v>VHLP2-18-3WH/B</v>
          </cell>
          <cell r="O4677"/>
          <cell r="T4677"/>
        </row>
        <row r="4678">
          <cell r="A4678" t="str">
            <v>COMMSCOPE</v>
          </cell>
          <cell r="B4678" t="str">
            <v>VHLP2-18-3WH/C</v>
          </cell>
          <cell r="O4678"/>
          <cell r="T4678"/>
        </row>
        <row r="4679">
          <cell r="A4679" t="str">
            <v>COMMSCOPE</v>
          </cell>
          <cell r="B4679" t="str">
            <v>VHLP2-18/B</v>
          </cell>
          <cell r="O4679"/>
          <cell r="T4679"/>
        </row>
        <row r="4680">
          <cell r="A4680" t="str">
            <v>COMMSCOPE</v>
          </cell>
          <cell r="B4680" t="str">
            <v>VHLP2-18/C</v>
          </cell>
          <cell r="O4680"/>
          <cell r="T4680"/>
        </row>
        <row r="4681">
          <cell r="A4681" t="str">
            <v>COMMSCOPE</v>
          </cell>
          <cell r="B4681" t="str">
            <v>VHLP2-18/C_CCIV2</v>
          </cell>
          <cell r="O4681"/>
          <cell r="T4681"/>
        </row>
        <row r="4682">
          <cell r="A4682" t="str">
            <v>COMMSCOPE</v>
          </cell>
          <cell r="B4682" t="str">
            <v>VHLP2-18/D</v>
          </cell>
          <cell r="O4682"/>
          <cell r="T4682"/>
        </row>
        <row r="4683">
          <cell r="A4683" t="str">
            <v>COMMSCOPE</v>
          </cell>
          <cell r="B4683" t="str">
            <v>VHLP2-23-1</v>
          </cell>
          <cell r="O4683"/>
          <cell r="T4683"/>
        </row>
        <row r="4684">
          <cell r="A4684" t="str">
            <v>COMMSCOPE</v>
          </cell>
          <cell r="B4684" t="str">
            <v>VHLP2-23-1WH/C</v>
          </cell>
          <cell r="O4684"/>
          <cell r="T4684"/>
        </row>
        <row r="4685">
          <cell r="A4685" t="str">
            <v>COMMSCOPE</v>
          </cell>
          <cell r="B4685" t="str">
            <v>VHLP2-23/C</v>
          </cell>
          <cell r="O4685"/>
          <cell r="T4685"/>
        </row>
        <row r="4686">
          <cell r="A4686" t="str">
            <v>COMMSCOPE</v>
          </cell>
          <cell r="B4686" t="str">
            <v>VHLP2-23/C_20211009</v>
          </cell>
          <cell r="O4686"/>
          <cell r="T4686"/>
        </row>
        <row r="4687">
          <cell r="A4687" t="str">
            <v>COMMSCOPE</v>
          </cell>
          <cell r="B4687" t="str">
            <v>VHLP2-23/D</v>
          </cell>
          <cell r="O4687"/>
          <cell r="T4687"/>
        </row>
        <row r="4688">
          <cell r="A4688" t="str">
            <v>COMMSCOPE</v>
          </cell>
          <cell r="B4688" t="str">
            <v>VHLP2-28-1WH/D</v>
          </cell>
          <cell r="O4688"/>
          <cell r="T4688"/>
        </row>
        <row r="4689">
          <cell r="A4689" t="str">
            <v>COMMSCOPE</v>
          </cell>
          <cell r="B4689" t="str">
            <v>VHLP2-7W</v>
          </cell>
          <cell r="O4689"/>
          <cell r="T4689"/>
        </row>
        <row r="4690">
          <cell r="A4690" t="str">
            <v>COMMSCOPE</v>
          </cell>
          <cell r="B4690" t="str">
            <v>VHLP2-7W/C</v>
          </cell>
          <cell r="O4690"/>
          <cell r="T4690"/>
        </row>
        <row r="4691">
          <cell r="A4691" t="str">
            <v>COMMSCOPE</v>
          </cell>
          <cell r="B4691" t="str">
            <v>VHLP2-80</v>
          </cell>
          <cell r="O4691"/>
          <cell r="T4691"/>
        </row>
        <row r="4692">
          <cell r="A4692" t="str">
            <v>COMMSCOPE</v>
          </cell>
          <cell r="B4692" t="str">
            <v>VHLP2-80/B</v>
          </cell>
          <cell r="O4692"/>
          <cell r="T4692"/>
        </row>
        <row r="4693">
          <cell r="A4693" t="str">
            <v>COMMSCOPE</v>
          </cell>
          <cell r="B4693" t="str">
            <v>VHLP2-80_A</v>
          </cell>
          <cell r="O4693"/>
          <cell r="T4693"/>
        </row>
        <row r="4694">
          <cell r="A4694" t="str">
            <v>COMMSCOPE</v>
          </cell>
          <cell r="B4694" t="str">
            <v>VHLP200-23-2WH</v>
          </cell>
          <cell r="O4694"/>
          <cell r="T4694"/>
        </row>
        <row r="4695">
          <cell r="A4695" t="str">
            <v>COMMSCOPE</v>
          </cell>
          <cell r="B4695" t="str">
            <v>VHLP3-11W</v>
          </cell>
          <cell r="O4695"/>
          <cell r="T4695"/>
        </row>
        <row r="4696">
          <cell r="A4696" t="str">
            <v>COMMSCOPE</v>
          </cell>
          <cell r="B4696" t="str">
            <v>VHLP3-11W-2GR</v>
          </cell>
          <cell r="O4696"/>
          <cell r="T4696"/>
        </row>
        <row r="4697">
          <cell r="A4697" t="str">
            <v>COMMSCOPE</v>
          </cell>
          <cell r="B4697" t="str">
            <v>VHLP3-11W-2WH/A</v>
          </cell>
          <cell r="O4697"/>
          <cell r="T4697"/>
        </row>
        <row r="4698">
          <cell r="A4698" t="str">
            <v>COMMSCOPE</v>
          </cell>
          <cell r="B4698" t="str">
            <v>VHLP3-11W-3GR</v>
          </cell>
          <cell r="O4698"/>
          <cell r="T4698"/>
        </row>
        <row r="4699">
          <cell r="A4699" t="str">
            <v>COMMSCOPE</v>
          </cell>
          <cell r="B4699" t="str">
            <v>VHLP3-11W-4WH</v>
          </cell>
          <cell r="O4699"/>
          <cell r="T4699"/>
        </row>
        <row r="4700">
          <cell r="A4700" t="str">
            <v>COMMSCOPE</v>
          </cell>
          <cell r="B4700" t="str">
            <v>VHLP3-11W-6WH/A</v>
          </cell>
          <cell r="O4700"/>
          <cell r="T4700"/>
        </row>
        <row r="4701">
          <cell r="A4701" t="str">
            <v>COMMSCOPE</v>
          </cell>
          <cell r="B4701" t="str">
            <v>VHLP3-11W-GT</v>
          </cell>
          <cell r="O4701"/>
          <cell r="T4701"/>
        </row>
        <row r="4702">
          <cell r="A4702" t="str">
            <v>COMMSCOPE</v>
          </cell>
          <cell r="B4702" t="str">
            <v>VHLP3-11W-GT1</v>
          </cell>
          <cell r="O4702"/>
          <cell r="T4702"/>
        </row>
        <row r="4703">
          <cell r="A4703" t="str">
            <v>COMMSCOPE</v>
          </cell>
          <cell r="B4703" t="str">
            <v>VHLP3-11W-GT2</v>
          </cell>
          <cell r="O4703"/>
          <cell r="T4703"/>
        </row>
        <row r="4704">
          <cell r="A4704" t="str">
            <v>COMMSCOPE</v>
          </cell>
          <cell r="B4704" t="str">
            <v>VHLP3-11W/A</v>
          </cell>
          <cell r="O4704"/>
          <cell r="T4704"/>
        </row>
        <row r="4705">
          <cell r="A4705" t="str">
            <v>COMMSCOPE</v>
          </cell>
          <cell r="B4705" t="str">
            <v>VHLP3-11W/A_20230901_TMO</v>
          </cell>
          <cell r="O4705"/>
          <cell r="T4705"/>
        </row>
        <row r="4706">
          <cell r="A4706" t="str">
            <v>COMMSCOPE</v>
          </cell>
          <cell r="B4706" t="str">
            <v>VHLP3-11W_A_20230901</v>
          </cell>
          <cell r="O4706"/>
          <cell r="T4706"/>
        </row>
        <row r="4707">
          <cell r="A4707" t="str">
            <v>COMMSCOPE</v>
          </cell>
          <cell r="B4707" t="str">
            <v>VHLP3-18-2WH</v>
          </cell>
          <cell r="O4707"/>
          <cell r="T4707"/>
        </row>
        <row r="4708">
          <cell r="A4708" t="str">
            <v>COMMSCOPE</v>
          </cell>
          <cell r="B4708" t="str">
            <v>VHLP3-18-3WH/A_CCIV2</v>
          </cell>
          <cell r="O4708"/>
          <cell r="T4708"/>
        </row>
        <row r="4709">
          <cell r="A4709" t="str">
            <v>COMMSCOPE</v>
          </cell>
          <cell r="B4709" t="str">
            <v>VHLP3-18-3WH_A</v>
          </cell>
          <cell r="O4709"/>
          <cell r="T4709"/>
        </row>
        <row r="4710">
          <cell r="A4710" t="str">
            <v>COMMSCOPE</v>
          </cell>
          <cell r="B4710" t="str">
            <v>VHLP3-18-GT2_20170425</v>
          </cell>
          <cell r="O4710"/>
          <cell r="T4710"/>
        </row>
        <row r="4711">
          <cell r="A4711" t="str">
            <v>COMMSCOPE</v>
          </cell>
          <cell r="B4711" t="str">
            <v>VHLP3-18/A</v>
          </cell>
          <cell r="O4711"/>
          <cell r="T4711"/>
        </row>
        <row r="4712">
          <cell r="A4712" t="str">
            <v>COMMSCOPE</v>
          </cell>
          <cell r="B4712" t="str">
            <v>VHLP3-23</v>
          </cell>
          <cell r="O4712"/>
          <cell r="T4712"/>
        </row>
        <row r="4713">
          <cell r="A4713" t="str">
            <v>COMMSCOPE</v>
          </cell>
          <cell r="B4713" t="str">
            <v>VHLP3-6W-4GR</v>
          </cell>
          <cell r="O4713"/>
          <cell r="T4713"/>
        </row>
        <row r="4714">
          <cell r="A4714" t="str">
            <v>COMMSCOPE</v>
          </cell>
          <cell r="B4714" t="str">
            <v>VHLP3-6W-6WH</v>
          </cell>
          <cell r="O4714"/>
          <cell r="T4714"/>
        </row>
        <row r="4715">
          <cell r="A4715" t="str">
            <v>COMMSCOPE</v>
          </cell>
          <cell r="B4715" t="str">
            <v>VHLP3-6W/A</v>
          </cell>
          <cell r="O4715"/>
          <cell r="T4715"/>
        </row>
        <row r="4716">
          <cell r="A4716" t="str">
            <v>COMMSCOPE</v>
          </cell>
          <cell r="B4716" t="str">
            <v>VHLP3-7W-6WH/A</v>
          </cell>
          <cell r="O4716"/>
          <cell r="T4716"/>
        </row>
        <row r="4717">
          <cell r="A4717" t="str">
            <v>COMMSCOPE</v>
          </cell>
          <cell r="B4717" t="str">
            <v>VHLP4-11</v>
          </cell>
          <cell r="O4717"/>
          <cell r="T4717"/>
        </row>
        <row r="4718">
          <cell r="A4718" t="str">
            <v>COMMSCOPE</v>
          </cell>
          <cell r="B4718" t="str">
            <v>VHLP4-11W-2WH</v>
          </cell>
          <cell r="O4718"/>
          <cell r="T4718"/>
        </row>
        <row r="4719">
          <cell r="A4719" t="str">
            <v>COMMSCOPE</v>
          </cell>
          <cell r="B4719" t="str">
            <v>VHLP4-11W-3WH/A</v>
          </cell>
          <cell r="O4719"/>
          <cell r="T4719"/>
        </row>
        <row r="4720">
          <cell r="A4720" t="str">
            <v>COMMSCOPE</v>
          </cell>
          <cell r="B4720" t="str">
            <v>VHLP4-11W-4WH</v>
          </cell>
          <cell r="O4720"/>
          <cell r="T4720"/>
        </row>
        <row r="4721">
          <cell r="A4721" t="str">
            <v>COMMSCOPE</v>
          </cell>
          <cell r="B4721" t="str">
            <v>VHLP4-11W-4WH/A</v>
          </cell>
          <cell r="O4721"/>
          <cell r="T4721"/>
        </row>
        <row r="4722">
          <cell r="A4722" t="str">
            <v>COMMSCOPE</v>
          </cell>
          <cell r="B4722" t="str">
            <v>VHLP4-11W-6GR/A</v>
          </cell>
          <cell r="O4722"/>
          <cell r="T4722"/>
        </row>
        <row r="4723">
          <cell r="A4723" t="str">
            <v>COMMSCOPE</v>
          </cell>
          <cell r="B4723" t="str">
            <v>VHLP4-11W-6WH</v>
          </cell>
          <cell r="O4723"/>
          <cell r="T4723"/>
        </row>
        <row r="4724">
          <cell r="A4724" t="str">
            <v>COMMSCOPE</v>
          </cell>
          <cell r="B4724" t="str">
            <v>VHLP4-11W-6WH/A</v>
          </cell>
          <cell r="O4724"/>
          <cell r="T4724"/>
        </row>
        <row r="4725">
          <cell r="A4725" t="str">
            <v>COMMSCOPE</v>
          </cell>
          <cell r="B4725" t="str">
            <v>VHLP4-11W-GT1</v>
          </cell>
          <cell r="O4725"/>
          <cell r="T4725"/>
        </row>
        <row r="4726">
          <cell r="A4726" t="str">
            <v>COMMSCOPE</v>
          </cell>
          <cell r="B4726" t="str">
            <v>VHLP4-11W-GT2</v>
          </cell>
          <cell r="O4726"/>
          <cell r="T4726"/>
        </row>
        <row r="4727">
          <cell r="A4727" t="str">
            <v>COMMSCOPE</v>
          </cell>
          <cell r="B4727" t="str">
            <v>VHLP4-11W/A</v>
          </cell>
          <cell r="O4727"/>
          <cell r="T4727"/>
        </row>
        <row r="4728">
          <cell r="A4728" t="str">
            <v>COMMSCOPE</v>
          </cell>
          <cell r="B4728" t="str">
            <v>VHLP4-18-1GR/B</v>
          </cell>
          <cell r="O4728"/>
          <cell r="T4728"/>
        </row>
        <row r="4729">
          <cell r="A4729" t="str">
            <v>COMMSCOPE</v>
          </cell>
          <cell r="B4729" t="str">
            <v>VHLP4-18-3WH/C</v>
          </cell>
          <cell r="O4729"/>
          <cell r="T4729"/>
        </row>
        <row r="4730">
          <cell r="A4730" t="str">
            <v>COMMSCOPE</v>
          </cell>
          <cell r="B4730" t="str">
            <v>VHLP4-18/C</v>
          </cell>
          <cell r="O4730"/>
          <cell r="T4730"/>
        </row>
        <row r="4731">
          <cell r="A4731" t="str">
            <v>COMMSCOPE</v>
          </cell>
          <cell r="B4731" t="str">
            <v>VHLP4-23_C</v>
          </cell>
          <cell r="O4731"/>
          <cell r="T4731"/>
        </row>
        <row r="4732">
          <cell r="A4732" t="str">
            <v>COMMSCOPE</v>
          </cell>
          <cell r="B4732" t="str">
            <v>VHLP4-26-2WH/B</v>
          </cell>
          <cell r="O4732"/>
          <cell r="T4732"/>
        </row>
        <row r="4733">
          <cell r="A4733" t="str">
            <v>COMMSCOPE</v>
          </cell>
          <cell r="B4733" t="str">
            <v>VHLP4-6W-6GR/C</v>
          </cell>
          <cell r="O4733"/>
          <cell r="T4733"/>
        </row>
        <row r="4734">
          <cell r="A4734" t="str">
            <v>COMMSCOPE</v>
          </cell>
          <cell r="B4734" t="str">
            <v>VHLP4-6W-6WH/B</v>
          </cell>
          <cell r="O4734"/>
          <cell r="T4734"/>
        </row>
        <row r="4735">
          <cell r="A4735" t="str">
            <v>COMMSCOPE</v>
          </cell>
          <cell r="B4735" t="str">
            <v>VHLP4-6W-6WH/C</v>
          </cell>
          <cell r="O4735"/>
          <cell r="T4735"/>
        </row>
        <row r="4736">
          <cell r="A4736" t="str">
            <v>COMMSCOPE</v>
          </cell>
          <cell r="B4736" t="str">
            <v>VHLP4-6W/B</v>
          </cell>
          <cell r="O4736"/>
          <cell r="T4736"/>
        </row>
        <row r="4737">
          <cell r="A4737" t="str">
            <v>COMMSCOPE</v>
          </cell>
          <cell r="B4737" t="str">
            <v>VHLP4-6W/C</v>
          </cell>
          <cell r="O4737"/>
          <cell r="T4737"/>
        </row>
        <row r="4738">
          <cell r="A4738" t="str">
            <v>COMMSCOPE</v>
          </cell>
          <cell r="B4738" t="str">
            <v>VHLP4-7W-2WH/E</v>
          </cell>
          <cell r="O4738"/>
          <cell r="T4738"/>
        </row>
        <row r="4739">
          <cell r="A4739" t="str">
            <v>COMMSCOPE</v>
          </cell>
          <cell r="B4739" t="str">
            <v>VHLP4-7W-4WH/E</v>
          </cell>
          <cell r="O4739"/>
          <cell r="T4739"/>
        </row>
        <row r="4740">
          <cell r="A4740" t="str">
            <v>COMMSCOPE</v>
          </cell>
          <cell r="B4740" t="str">
            <v>VHLP6-11-2GR/A</v>
          </cell>
          <cell r="O4740"/>
          <cell r="T4740"/>
        </row>
        <row r="4741">
          <cell r="A4741" t="str">
            <v>COMMSCOPE</v>
          </cell>
          <cell r="B4741" t="str">
            <v>VHLP6-11-3GR/A</v>
          </cell>
          <cell r="O4741"/>
          <cell r="T4741"/>
        </row>
        <row r="4742">
          <cell r="A4742" t="str">
            <v>COMMSCOPE</v>
          </cell>
          <cell r="B4742" t="str">
            <v>VHLP6-11-6WH/A</v>
          </cell>
          <cell r="O4742"/>
          <cell r="T4742"/>
        </row>
        <row r="4743">
          <cell r="A4743" t="str">
            <v>COMMSCOPE</v>
          </cell>
          <cell r="B4743" t="str">
            <v>VHLP6-11/A</v>
          </cell>
          <cell r="O4743"/>
          <cell r="T4743"/>
        </row>
        <row r="4744">
          <cell r="A4744" t="str">
            <v>COMMSCOPE</v>
          </cell>
          <cell r="B4744" t="str">
            <v>VHLP6-11/A_20160608_TMO</v>
          </cell>
          <cell r="O4744"/>
          <cell r="T4744"/>
        </row>
        <row r="4745">
          <cell r="A4745" t="str">
            <v>COMMSCOPE</v>
          </cell>
          <cell r="B4745" t="str">
            <v>VHLP6-11W-6WH/A</v>
          </cell>
          <cell r="O4745"/>
          <cell r="T4745"/>
        </row>
        <row r="4746">
          <cell r="A4746" t="str">
            <v>COMMSCOPE</v>
          </cell>
          <cell r="B4746" t="str">
            <v>VHLP6-11W/A</v>
          </cell>
          <cell r="O4746"/>
          <cell r="T4746"/>
        </row>
        <row r="4747">
          <cell r="A4747" t="str">
            <v>COMMSCOPE</v>
          </cell>
          <cell r="B4747" t="str">
            <v>VHLP6-13-1WH/B</v>
          </cell>
          <cell r="O4747"/>
          <cell r="T4747"/>
        </row>
        <row r="4748">
          <cell r="A4748" t="str">
            <v>COMMSCOPE</v>
          </cell>
          <cell r="B4748" t="str">
            <v>VHLP6-18-1WH_B</v>
          </cell>
          <cell r="O4748"/>
          <cell r="T4748"/>
        </row>
        <row r="4749">
          <cell r="A4749" t="str">
            <v>COMMSCOPE</v>
          </cell>
          <cell r="B4749" t="str">
            <v>VHLP6-18/A</v>
          </cell>
          <cell r="O4749"/>
          <cell r="T4749"/>
        </row>
        <row r="4750">
          <cell r="A4750" t="str">
            <v>COMMSCOPE</v>
          </cell>
          <cell r="B4750" t="str">
            <v>VHLP6-18_B</v>
          </cell>
          <cell r="O4750"/>
          <cell r="T4750"/>
        </row>
        <row r="4751">
          <cell r="A4751" t="str">
            <v>COMMSCOPE</v>
          </cell>
          <cell r="B4751" t="str">
            <v>VHLP6-23/A</v>
          </cell>
          <cell r="O4751"/>
          <cell r="T4751"/>
        </row>
        <row r="4752">
          <cell r="A4752" t="str">
            <v>COMMSCOPE</v>
          </cell>
          <cell r="B4752" t="str">
            <v>VHLP6-23/B</v>
          </cell>
          <cell r="O4752"/>
          <cell r="T4752"/>
        </row>
        <row r="4753">
          <cell r="A4753" t="str">
            <v>COMMSCOPE</v>
          </cell>
          <cell r="B4753" t="str">
            <v>VHLP6-6W-6WH/B</v>
          </cell>
          <cell r="O4753"/>
          <cell r="T4753"/>
        </row>
        <row r="4754">
          <cell r="A4754" t="str">
            <v>COMMSCOPE</v>
          </cell>
          <cell r="B4754" t="str">
            <v>VHLP6-6W/A</v>
          </cell>
          <cell r="O4754"/>
          <cell r="T4754"/>
        </row>
        <row r="4755">
          <cell r="A4755" t="str">
            <v>COMMSCOPE</v>
          </cell>
          <cell r="B4755" t="str">
            <v>VHLP6-6W/B</v>
          </cell>
          <cell r="O4755"/>
          <cell r="T4755"/>
        </row>
        <row r="4756">
          <cell r="A4756" t="str">
            <v>COMMSCOPE</v>
          </cell>
          <cell r="B4756" t="str">
            <v>VHLP6-6WA-6WH</v>
          </cell>
          <cell r="O4756"/>
          <cell r="T4756"/>
        </row>
        <row r="4757">
          <cell r="A4757" t="str">
            <v>COMMSCOPE</v>
          </cell>
          <cell r="B4757" t="str">
            <v>VHLP6-7W-2WH/D</v>
          </cell>
          <cell r="O4757"/>
          <cell r="T4757"/>
        </row>
        <row r="4758">
          <cell r="A4758" t="str">
            <v>COMMSCOPE</v>
          </cell>
          <cell r="B4758" t="str">
            <v>VHLP6-7W-6WH/D</v>
          </cell>
          <cell r="O4758"/>
          <cell r="T4758"/>
        </row>
        <row r="4759">
          <cell r="A4759" t="str">
            <v>COMMSCOPE</v>
          </cell>
          <cell r="B4759" t="str">
            <v>VHLP800-11</v>
          </cell>
          <cell r="O4759"/>
          <cell r="T4759"/>
        </row>
        <row r="4760">
          <cell r="A4760" t="str">
            <v>COMMSCOPE</v>
          </cell>
          <cell r="B4760" t="str">
            <v>VHLP800-11-2GR</v>
          </cell>
          <cell r="O4760"/>
          <cell r="T4760"/>
        </row>
        <row r="4761">
          <cell r="A4761" t="str">
            <v>COMMSCOPE</v>
          </cell>
          <cell r="B4761" t="str">
            <v>VHLP800-11-2WH</v>
          </cell>
          <cell r="O4761"/>
          <cell r="T4761"/>
        </row>
        <row r="4762">
          <cell r="A4762" t="str">
            <v>COMMSCOPE</v>
          </cell>
          <cell r="B4762" t="str">
            <v>VHLP800-11-6GR</v>
          </cell>
          <cell r="O4762"/>
          <cell r="T4762"/>
        </row>
        <row r="4763">
          <cell r="A4763" t="str">
            <v>COMMSCOPE</v>
          </cell>
          <cell r="B4763" t="str">
            <v>VHLPX1-18-1WH/F</v>
          </cell>
          <cell r="O4763"/>
          <cell r="T4763"/>
        </row>
        <row r="4764">
          <cell r="A4764" t="str">
            <v>COMMSCOPE</v>
          </cell>
          <cell r="B4764" t="str">
            <v>VHLPX1-18F</v>
          </cell>
          <cell r="O4764"/>
          <cell r="T4764"/>
        </row>
        <row r="4765">
          <cell r="A4765" t="str">
            <v>COMMSCOPE</v>
          </cell>
          <cell r="B4765" t="str">
            <v>VHLPX1-23-2WH/B</v>
          </cell>
          <cell r="O4765"/>
          <cell r="T4765"/>
        </row>
        <row r="4766">
          <cell r="A4766" t="str">
            <v>COMMSCOPE</v>
          </cell>
          <cell r="B4766" t="str">
            <v>VHLPX1-23-2WH/C</v>
          </cell>
          <cell r="O4766"/>
          <cell r="T4766"/>
        </row>
        <row r="4767">
          <cell r="A4767" t="str">
            <v>COMMSCOPE</v>
          </cell>
          <cell r="B4767" t="str">
            <v>VHLPX1-23_C</v>
          </cell>
          <cell r="O4767"/>
          <cell r="T4767"/>
        </row>
        <row r="4768">
          <cell r="A4768" t="str">
            <v>COMMSCOPE</v>
          </cell>
          <cell r="B4768" t="str">
            <v>VHLPX1-80-det/A</v>
          </cell>
          <cell r="O4768"/>
          <cell r="T4768"/>
        </row>
        <row r="4769">
          <cell r="A4769" t="str">
            <v>COMMSCOPE</v>
          </cell>
          <cell r="B4769" t="str">
            <v>VHLPX2-11W-2WH</v>
          </cell>
          <cell r="O4769"/>
          <cell r="T4769"/>
        </row>
        <row r="4770">
          <cell r="A4770" t="str">
            <v>COMMSCOPE</v>
          </cell>
          <cell r="B4770" t="str">
            <v>VHLPX2-11W-6WH/A</v>
          </cell>
          <cell r="O4770"/>
          <cell r="T4770"/>
        </row>
        <row r="4771">
          <cell r="A4771" t="str">
            <v>COMMSCOPE</v>
          </cell>
          <cell r="B4771" t="str">
            <v>VHLPX2-11W/A</v>
          </cell>
          <cell r="O4771"/>
          <cell r="T4771"/>
        </row>
        <row r="4772">
          <cell r="A4772" t="str">
            <v>COMMSCOPE</v>
          </cell>
          <cell r="B4772" t="str">
            <v>VHLPX2-18-1WH_C</v>
          </cell>
          <cell r="O4772"/>
          <cell r="T4772"/>
        </row>
        <row r="4773">
          <cell r="A4773" t="str">
            <v>COMMSCOPE</v>
          </cell>
          <cell r="B4773" t="str">
            <v>VHLPX2-18-2GR/B</v>
          </cell>
          <cell r="O4773"/>
          <cell r="T4773"/>
        </row>
        <row r="4774">
          <cell r="A4774" t="str">
            <v>COMMSCOPE</v>
          </cell>
          <cell r="B4774" t="str">
            <v>VHLPX2-18-2WH/B</v>
          </cell>
          <cell r="O4774"/>
          <cell r="T4774"/>
        </row>
        <row r="4775">
          <cell r="A4775" t="str">
            <v>COMMSCOPE</v>
          </cell>
          <cell r="B4775" t="str">
            <v>VHLPX2-18-3WH/C</v>
          </cell>
          <cell r="O4775"/>
          <cell r="T4775"/>
        </row>
        <row r="4776">
          <cell r="A4776" t="str">
            <v>COMMSCOPE</v>
          </cell>
          <cell r="B4776" t="str">
            <v>VHLPX2-18/C_20221129</v>
          </cell>
          <cell r="O4776"/>
          <cell r="T4776"/>
        </row>
        <row r="4777">
          <cell r="A4777" t="str">
            <v>COMMSCOPE</v>
          </cell>
          <cell r="B4777" t="str">
            <v>VHLPX2-18/D</v>
          </cell>
          <cell r="O4777"/>
          <cell r="T4777"/>
        </row>
        <row r="4778">
          <cell r="A4778" t="str">
            <v>COMMSCOPE</v>
          </cell>
          <cell r="B4778" t="str">
            <v>VHLPX2-23-1GR/B</v>
          </cell>
          <cell r="O4778"/>
          <cell r="T4778"/>
        </row>
        <row r="4779">
          <cell r="A4779" t="str">
            <v>COMMSCOPE</v>
          </cell>
          <cell r="B4779" t="str">
            <v>VHLPX2-23-1WH/B</v>
          </cell>
          <cell r="O4779"/>
          <cell r="T4779"/>
        </row>
        <row r="4780">
          <cell r="A4780" t="str">
            <v>COMMSCOPE</v>
          </cell>
          <cell r="B4780" t="str">
            <v>VHLPX2-23-2WH/B</v>
          </cell>
          <cell r="O4780"/>
          <cell r="T4780"/>
        </row>
        <row r="4781">
          <cell r="A4781" t="str">
            <v>COMMSCOPE</v>
          </cell>
          <cell r="B4781" t="str">
            <v>VHLPX2-28/D</v>
          </cell>
          <cell r="O4781"/>
          <cell r="T4781"/>
        </row>
        <row r="4782">
          <cell r="A4782" t="str">
            <v>COMMSCOPE</v>
          </cell>
          <cell r="B4782" t="str">
            <v>VHLPX2-80/B_20230901</v>
          </cell>
          <cell r="O4782"/>
          <cell r="T4782"/>
        </row>
        <row r="4783">
          <cell r="A4783" t="str">
            <v>COMMSCOPE</v>
          </cell>
          <cell r="B4783" t="str">
            <v>VHLPX2-80_A</v>
          </cell>
          <cell r="O4783"/>
          <cell r="T4783"/>
        </row>
        <row r="4784">
          <cell r="A4784" t="str">
            <v>COMMSCOPE</v>
          </cell>
          <cell r="B4784" t="str">
            <v>VHLPX3-11W</v>
          </cell>
          <cell r="O4784"/>
          <cell r="T4784"/>
        </row>
        <row r="4785">
          <cell r="A4785" t="str">
            <v>COMMSCOPE</v>
          </cell>
          <cell r="B4785" t="str">
            <v>VHLPX3-11W-3WH/A</v>
          </cell>
          <cell r="O4785"/>
          <cell r="T4785"/>
        </row>
        <row r="4786">
          <cell r="A4786" t="str">
            <v>COMMSCOPE</v>
          </cell>
          <cell r="B4786" t="str">
            <v>VHLPX3-11W-4GR</v>
          </cell>
          <cell r="O4786"/>
          <cell r="T4786"/>
        </row>
        <row r="4787">
          <cell r="A4787" t="str">
            <v>COMMSCOPE</v>
          </cell>
          <cell r="B4787" t="str">
            <v>VHLPX3-11W-4WH</v>
          </cell>
          <cell r="O4787"/>
          <cell r="T4787"/>
        </row>
        <row r="4788">
          <cell r="A4788" t="str">
            <v>COMMSCOPE</v>
          </cell>
          <cell r="B4788" t="str">
            <v>VHLPX3-11W-6WH/A</v>
          </cell>
          <cell r="O4788"/>
          <cell r="T4788"/>
        </row>
        <row r="4789">
          <cell r="A4789" t="str">
            <v>COMMSCOPE</v>
          </cell>
          <cell r="B4789" t="str">
            <v>VHLPX3-11W/A</v>
          </cell>
          <cell r="O4789"/>
          <cell r="T4789"/>
        </row>
        <row r="4790">
          <cell r="A4790" t="str">
            <v>COMMSCOPE</v>
          </cell>
          <cell r="B4790" t="str">
            <v>VHLPX3-18-2GR</v>
          </cell>
          <cell r="O4790"/>
          <cell r="T4790"/>
        </row>
        <row r="4791">
          <cell r="A4791" t="str">
            <v>COMMSCOPE</v>
          </cell>
          <cell r="B4791" t="str">
            <v>VHLPX3-18-2WH</v>
          </cell>
          <cell r="O4791"/>
          <cell r="T4791"/>
        </row>
        <row r="4792">
          <cell r="A4792" t="str">
            <v>COMMSCOPE</v>
          </cell>
          <cell r="B4792" t="str">
            <v>VHLPX3-18-3WH/A</v>
          </cell>
          <cell r="O4792"/>
          <cell r="T4792"/>
        </row>
        <row r="4793">
          <cell r="A4793" t="str">
            <v>COMMSCOPE</v>
          </cell>
          <cell r="B4793" t="str">
            <v>VHLPX3-18_A</v>
          </cell>
          <cell r="O4793"/>
          <cell r="T4793"/>
        </row>
        <row r="4794">
          <cell r="A4794" t="str">
            <v>COMMSCOPE</v>
          </cell>
          <cell r="B4794" t="str">
            <v>VHLPX3-6W</v>
          </cell>
          <cell r="O4794"/>
          <cell r="T4794"/>
        </row>
        <row r="4795">
          <cell r="A4795" t="str">
            <v>COMMSCOPE</v>
          </cell>
          <cell r="B4795" t="str">
            <v>VHLPX3-6W-6GR</v>
          </cell>
          <cell r="O4795"/>
          <cell r="T4795"/>
        </row>
        <row r="4796">
          <cell r="A4796" t="str">
            <v>COMMSCOPE</v>
          </cell>
          <cell r="B4796" t="str">
            <v>VHLPX3-6W-6WH/A</v>
          </cell>
          <cell r="O4796"/>
          <cell r="T4796"/>
        </row>
        <row r="4797">
          <cell r="A4797" t="str">
            <v>COMMSCOPE</v>
          </cell>
          <cell r="B4797" t="str">
            <v>VHLPX4-11/B</v>
          </cell>
          <cell r="O4797"/>
          <cell r="T4797"/>
        </row>
        <row r="4798">
          <cell r="A4798" t="str">
            <v>COMMSCOPE</v>
          </cell>
          <cell r="B4798" t="str">
            <v>VHLPX4-11W</v>
          </cell>
          <cell r="O4798"/>
          <cell r="T4798"/>
        </row>
        <row r="4799">
          <cell r="A4799" t="str">
            <v>COMMSCOPE</v>
          </cell>
          <cell r="B4799" t="str">
            <v>VHLPX4-11W-3GR/A</v>
          </cell>
          <cell r="O4799"/>
          <cell r="T4799"/>
        </row>
        <row r="4800">
          <cell r="A4800" t="str">
            <v>COMMSCOPE</v>
          </cell>
          <cell r="B4800" t="str">
            <v>VHLPX4-11W-3WH/A</v>
          </cell>
          <cell r="O4800"/>
          <cell r="T4800"/>
        </row>
        <row r="4801">
          <cell r="A4801" t="str">
            <v>COMMSCOPE</v>
          </cell>
          <cell r="B4801" t="str">
            <v>VHLPX4-11W-4GR</v>
          </cell>
          <cell r="O4801"/>
          <cell r="T4801"/>
        </row>
        <row r="4802">
          <cell r="A4802" t="str">
            <v>COMMSCOPE</v>
          </cell>
          <cell r="B4802" t="str">
            <v>VHLPX4-11W-4WH</v>
          </cell>
          <cell r="O4802"/>
          <cell r="T4802"/>
        </row>
        <row r="4803">
          <cell r="A4803" t="str">
            <v>COMMSCOPE</v>
          </cell>
          <cell r="B4803" t="str">
            <v>VHLPX4-11W-6GR</v>
          </cell>
          <cell r="O4803"/>
          <cell r="T4803"/>
        </row>
        <row r="4804">
          <cell r="A4804" t="str">
            <v>COMMSCOPE</v>
          </cell>
          <cell r="B4804" t="str">
            <v>VHLPX4-11W-6GR/A</v>
          </cell>
          <cell r="O4804"/>
          <cell r="T4804"/>
        </row>
        <row r="4805">
          <cell r="A4805" t="str">
            <v>COMMSCOPE</v>
          </cell>
          <cell r="B4805" t="str">
            <v>VHLPX4-11W-6WH</v>
          </cell>
          <cell r="O4805"/>
          <cell r="T4805"/>
        </row>
        <row r="4806">
          <cell r="A4806" t="str">
            <v>COMMSCOPE</v>
          </cell>
          <cell r="B4806" t="str">
            <v>VHLPX4-11W-6WH/A</v>
          </cell>
          <cell r="O4806"/>
          <cell r="T4806"/>
        </row>
        <row r="4807">
          <cell r="A4807" t="str">
            <v>COMMSCOPE</v>
          </cell>
          <cell r="B4807" t="str">
            <v>VHLPX4-11W/A_20200115</v>
          </cell>
          <cell r="O4807"/>
          <cell r="T4807"/>
        </row>
        <row r="4808">
          <cell r="A4808" t="str">
            <v>COMMSCOPE</v>
          </cell>
          <cell r="B4808" t="str">
            <v>VHLPX4-11W_A</v>
          </cell>
          <cell r="O4808"/>
          <cell r="T4808"/>
        </row>
        <row r="4809">
          <cell r="A4809" t="str">
            <v>COMMSCOPE</v>
          </cell>
          <cell r="B4809" t="str">
            <v>VHLPX4-18-2GR_B</v>
          </cell>
          <cell r="O4809"/>
          <cell r="T4809"/>
        </row>
        <row r="4810">
          <cell r="A4810" t="str">
            <v>COMMSCOPE</v>
          </cell>
          <cell r="B4810" t="str">
            <v>VHLPX4-18/A</v>
          </cell>
          <cell r="O4810"/>
          <cell r="T4810"/>
        </row>
        <row r="4811">
          <cell r="A4811" t="str">
            <v>COMMSCOPE</v>
          </cell>
          <cell r="B4811" t="str">
            <v>VHLPX4-18/C</v>
          </cell>
          <cell r="O4811"/>
          <cell r="T4811"/>
        </row>
        <row r="4812">
          <cell r="A4812" t="str">
            <v>COMMSCOPE</v>
          </cell>
          <cell r="B4812" t="str">
            <v>VHLPX4-26-2WH/C</v>
          </cell>
          <cell r="O4812"/>
          <cell r="T4812"/>
        </row>
        <row r="4813">
          <cell r="A4813" t="str">
            <v>COMMSCOPE</v>
          </cell>
          <cell r="B4813" t="str">
            <v>VHLPX4-26/C</v>
          </cell>
          <cell r="O4813"/>
          <cell r="T4813"/>
        </row>
        <row r="4814">
          <cell r="A4814" t="str">
            <v>COMMSCOPE</v>
          </cell>
          <cell r="B4814" t="str">
            <v>VHLPX4-6W-4WH/B</v>
          </cell>
          <cell r="O4814"/>
          <cell r="T4814"/>
        </row>
        <row r="4815">
          <cell r="A4815" t="str">
            <v>COMMSCOPE</v>
          </cell>
          <cell r="B4815" t="str">
            <v>VHLPX4-6W-4WH/C</v>
          </cell>
          <cell r="O4815"/>
          <cell r="T4815"/>
        </row>
        <row r="4816">
          <cell r="A4816" t="str">
            <v>COMMSCOPE</v>
          </cell>
          <cell r="B4816" t="str">
            <v>VHLPX4-6W-6GR/B</v>
          </cell>
          <cell r="O4816"/>
          <cell r="T4816"/>
        </row>
        <row r="4817">
          <cell r="A4817" t="str">
            <v>COMMSCOPE</v>
          </cell>
          <cell r="B4817" t="str">
            <v>VHLPX4-6W-6WH/B</v>
          </cell>
          <cell r="O4817"/>
          <cell r="T4817"/>
        </row>
        <row r="4818">
          <cell r="A4818" t="str">
            <v>COMMSCOPE</v>
          </cell>
          <cell r="B4818" t="str">
            <v>VHLPX4-6W-6WH/C</v>
          </cell>
          <cell r="O4818"/>
          <cell r="T4818"/>
        </row>
        <row r="4819">
          <cell r="A4819" t="str">
            <v>COMMSCOPE</v>
          </cell>
          <cell r="B4819" t="str">
            <v>VHLPX6-11-4GR/A</v>
          </cell>
          <cell r="O4819"/>
          <cell r="T4819"/>
        </row>
        <row r="4820">
          <cell r="A4820" t="str">
            <v>COMMSCOPE</v>
          </cell>
          <cell r="B4820" t="str">
            <v>VHLPX6-11-4WH/A</v>
          </cell>
          <cell r="O4820"/>
          <cell r="T4820"/>
        </row>
        <row r="4821">
          <cell r="A4821" t="str">
            <v>COMMSCOPE</v>
          </cell>
          <cell r="B4821" t="str">
            <v>VHLPX6-11-6GR/A</v>
          </cell>
          <cell r="O4821"/>
          <cell r="T4821"/>
        </row>
        <row r="4822">
          <cell r="A4822" t="str">
            <v>COMMSCOPE</v>
          </cell>
          <cell r="B4822" t="str">
            <v>VHLPX6-11/A</v>
          </cell>
          <cell r="O4822"/>
          <cell r="T4822"/>
        </row>
        <row r="4823">
          <cell r="A4823" t="str">
            <v>COMMSCOPE</v>
          </cell>
          <cell r="B4823" t="str">
            <v>VHLPX6-11W-2WH/A</v>
          </cell>
          <cell r="O4823"/>
          <cell r="T4823"/>
        </row>
        <row r="4824">
          <cell r="A4824" t="str">
            <v>COMMSCOPE</v>
          </cell>
          <cell r="B4824" t="str">
            <v>VHLPX6-11W-6WH/A</v>
          </cell>
          <cell r="O4824"/>
          <cell r="T4824"/>
        </row>
        <row r="4825">
          <cell r="A4825" t="str">
            <v>COMMSCOPE</v>
          </cell>
          <cell r="B4825" t="str">
            <v>VHLPX6-11W/A</v>
          </cell>
          <cell r="O4825"/>
          <cell r="T4825"/>
        </row>
        <row r="4826">
          <cell r="A4826" t="str">
            <v>COMMSCOPE</v>
          </cell>
          <cell r="B4826" t="str">
            <v>VHLPX6-18-3WH/A</v>
          </cell>
          <cell r="O4826"/>
          <cell r="T4826"/>
        </row>
        <row r="4827">
          <cell r="A4827" t="str">
            <v>COMMSCOPE</v>
          </cell>
          <cell r="B4827" t="str">
            <v>VHLPX6-18-3WH/B</v>
          </cell>
          <cell r="O4827"/>
          <cell r="T4827"/>
        </row>
        <row r="4828">
          <cell r="A4828" t="str">
            <v>COMMSCOPE</v>
          </cell>
          <cell r="B4828" t="str">
            <v>VHLPX6-18_B</v>
          </cell>
          <cell r="O4828"/>
          <cell r="T4828"/>
        </row>
        <row r="4829">
          <cell r="A4829" t="str">
            <v>COMMSCOPE</v>
          </cell>
          <cell r="B4829" t="str">
            <v>VHLPX6-6W-4WH/A</v>
          </cell>
          <cell r="O4829"/>
          <cell r="T4829"/>
        </row>
        <row r="4830">
          <cell r="A4830" t="str">
            <v>COMMSCOPE</v>
          </cell>
          <cell r="B4830" t="str">
            <v>VHLPX6-6W-6-QD/B</v>
          </cell>
          <cell r="O4830"/>
          <cell r="T4830"/>
        </row>
        <row r="4831">
          <cell r="A4831" t="str">
            <v>COMMSCOPE</v>
          </cell>
          <cell r="B4831" t="str">
            <v>VHLPX6-6W-6WH/B</v>
          </cell>
          <cell r="O4831"/>
          <cell r="T4831"/>
        </row>
        <row r="4832">
          <cell r="A4832" t="str">
            <v>COMMSCOPE</v>
          </cell>
          <cell r="B4832" t="str">
            <v>VHLPX6-6W/B</v>
          </cell>
          <cell r="O4832"/>
          <cell r="T4832"/>
        </row>
        <row r="4833">
          <cell r="A4833" t="str">
            <v>COMMSCOPE</v>
          </cell>
          <cell r="B4833" t="str">
            <v>VHLPX800-11</v>
          </cell>
          <cell r="O4833"/>
          <cell r="T4833"/>
        </row>
        <row r="4834">
          <cell r="A4834" t="str">
            <v>COMMSCOPE</v>
          </cell>
          <cell r="B4834" t="str">
            <v>VHLPX800-11-4GR</v>
          </cell>
          <cell r="O4834"/>
          <cell r="T4834"/>
        </row>
        <row r="4835">
          <cell r="A4835" t="str">
            <v>COMMSCOPE</v>
          </cell>
          <cell r="B4835" t="str">
            <v>VHLPX800-11-4WH</v>
          </cell>
          <cell r="O4835"/>
          <cell r="T4835"/>
        </row>
        <row r="4836">
          <cell r="A4836" t="str">
            <v>COMMSCOPE</v>
          </cell>
          <cell r="B4836" t="str">
            <v>VHLPX800-11-6GR</v>
          </cell>
          <cell r="O4836"/>
          <cell r="T4836"/>
        </row>
        <row r="4837">
          <cell r="A4837" t="str">
            <v>COMMSCOPE</v>
          </cell>
          <cell r="B4837" t="str">
            <v>VHLPX800-11-6WH</v>
          </cell>
          <cell r="O4837"/>
          <cell r="T4837"/>
        </row>
        <row r="4838">
          <cell r="A4838" t="str">
            <v>COMMSCOPE</v>
          </cell>
          <cell r="B4838" t="str">
            <v>VHPX8-6W</v>
          </cell>
          <cell r="O4838"/>
          <cell r="T4838"/>
        </row>
        <row r="4839">
          <cell r="A4839" t="str">
            <v>COMMSCOPE</v>
          </cell>
          <cell r="B4839" t="str">
            <v>VV-65A-R1_TMO</v>
          </cell>
          <cell r="O4839">
            <v>4.4822534258901801</v>
          </cell>
          <cell r="T4839">
            <v>1.7372064417228801</v>
          </cell>
        </row>
        <row r="4840">
          <cell r="A4840" t="str">
            <v>COMMSCOPE</v>
          </cell>
          <cell r="B4840" t="str">
            <v>VV-65A-R2</v>
          </cell>
          <cell r="O4840">
            <v>5.1755219973124102</v>
          </cell>
          <cell r="T4840">
            <v>1.9865412408684699</v>
          </cell>
        </row>
        <row r="4841">
          <cell r="A4841" t="str">
            <v>COMMSCOPE</v>
          </cell>
          <cell r="B4841" t="str">
            <v>VV-65A-R2VB-V2_20241121</v>
          </cell>
          <cell r="O4841"/>
          <cell r="T4841"/>
        </row>
        <row r="4842">
          <cell r="A4842" t="str">
            <v>COMMSCOPE</v>
          </cell>
          <cell r="B4842" t="str">
            <v>VV-65B-R1B</v>
          </cell>
          <cell r="O4842">
            <v>5.8952594519999995</v>
          </cell>
          <cell r="T4842">
            <v>2.2838620810000001</v>
          </cell>
        </row>
        <row r="4843">
          <cell r="A4843" t="str">
            <v>COMMSCOPE</v>
          </cell>
          <cell r="B4843" t="str">
            <v>VV-65B-R1_TMO</v>
          </cell>
          <cell r="O4843">
            <v>5.862688078703699</v>
          </cell>
          <cell r="T4843">
            <v>2.2717148295519198</v>
          </cell>
        </row>
        <row r="4844">
          <cell r="A4844" t="str">
            <v>COMMSCOPE</v>
          </cell>
          <cell r="B4844" t="str">
            <v>VVPX310R-V5</v>
          </cell>
          <cell r="O4844"/>
          <cell r="T4844"/>
        </row>
        <row r="4845">
          <cell r="A4845" t="str">
            <v>COMMSCOPE</v>
          </cell>
          <cell r="B4845" t="str">
            <v>VVSSP-360S-M</v>
          </cell>
          <cell r="O4845"/>
          <cell r="T4845"/>
        </row>
        <row r="4846">
          <cell r="A4846" t="str">
            <v>COMMSCOPE</v>
          </cell>
          <cell r="B4846" t="str">
            <v>VVSSP-65S-R1BV2</v>
          </cell>
          <cell r="O4846">
            <v>1.864472415</v>
          </cell>
          <cell r="T4846">
            <v>0.72364958000000001</v>
          </cell>
        </row>
        <row r="4847">
          <cell r="A4847" t="str">
            <v>COMMSCOPE</v>
          </cell>
          <cell r="B4847" t="str">
            <v>VVSSP-65S-R1BV2-V4_20240909</v>
          </cell>
          <cell r="O4847">
            <v>1.8928370949074098</v>
          </cell>
          <cell r="T4847">
            <v>0.73471275683127302</v>
          </cell>
        </row>
        <row r="4848">
          <cell r="A4848" t="str">
            <v>COMMSCOPE</v>
          </cell>
          <cell r="B4848" t="str">
            <v>W8-90A-F-V2</v>
          </cell>
          <cell r="O4848"/>
          <cell r="T4848"/>
        </row>
        <row r="4849">
          <cell r="A4849" t="str">
            <v>COMMSCOPE</v>
          </cell>
          <cell r="B4849" t="str">
            <v>WPX310R-V5</v>
          </cell>
          <cell r="O4849"/>
          <cell r="T4849"/>
        </row>
        <row r="4850">
          <cell r="A4850" t="str">
            <v>COMMSCOPE</v>
          </cell>
          <cell r="B4850" t="str">
            <v>WSSP-65S-R1B</v>
          </cell>
          <cell r="O4850"/>
          <cell r="T4850"/>
        </row>
        <row r="4851">
          <cell r="A4851" t="str">
            <v>COMMSCOPE</v>
          </cell>
          <cell r="B4851" t="str">
            <v>ZEPHYR</v>
          </cell>
          <cell r="O4851"/>
          <cell r="T4851"/>
        </row>
        <row r="4852">
          <cell r="A4852" t="str">
            <v>COMMUNICATION COMPONENTS INC.</v>
          </cell>
          <cell r="B4852" t="str">
            <v>ANT-SPFH65V6-18</v>
          </cell>
          <cell r="O4852"/>
          <cell r="T4852"/>
        </row>
        <row r="4853">
          <cell r="A4853" t="str">
            <v>COMMUNITY PROFESSIONAL</v>
          </cell>
          <cell r="B4853" t="str">
            <v>R.5-94Z</v>
          </cell>
          <cell r="O4853"/>
          <cell r="T4853"/>
        </row>
        <row r="4854">
          <cell r="A4854" t="str">
            <v>COMMUNITY PROFESSIONAL</v>
          </cell>
          <cell r="B4854" t="str">
            <v>R1-64Z</v>
          </cell>
          <cell r="O4854"/>
          <cell r="T4854"/>
        </row>
        <row r="4855">
          <cell r="A4855" t="str">
            <v>COMMUNTICATION ANTENNA</v>
          </cell>
          <cell r="B4855" t="str">
            <v>ASMD 942</v>
          </cell>
          <cell r="O4855"/>
          <cell r="T4855"/>
        </row>
        <row r="4856">
          <cell r="A4856" t="str">
            <v>COMPROD</v>
          </cell>
          <cell r="B4856" t="str">
            <v>291-70HD-220</v>
          </cell>
          <cell r="O4856"/>
          <cell r="T4856"/>
        </row>
        <row r="4857">
          <cell r="A4857" t="str">
            <v>COMPROD</v>
          </cell>
          <cell r="B4857" t="str">
            <v>295-70-220</v>
          </cell>
          <cell r="O4857"/>
          <cell r="T4857"/>
        </row>
        <row r="4858">
          <cell r="A4858" t="str">
            <v>COMPROD</v>
          </cell>
          <cell r="B4858" t="str">
            <v>365-70</v>
          </cell>
          <cell r="O4858"/>
          <cell r="T4858"/>
        </row>
        <row r="4859">
          <cell r="A4859" t="str">
            <v>COMPROD</v>
          </cell>
          <cell r="B4859" t="str">
            <v>415-70</v>
          </cell>
          <cell r="O4859"/>
          <cell r="T4859"/>
        </row>
        <row r="4860">
          <cell r="A4860" t="str">
            <v>COMPROD</v>
          </cell>
          <cell r="B4860" t="str">
            <v>425-70</v>
          </cell>
          <cell r="O4860"/>
          <cell r="T4860"/>
        </row>
        <row r="4861">
          <cell r="A4861" t="str">
            <v>COMPROD</v>
          </cell>
          <cell r="B4861" t="str">
            <v>440-70</v>
          </cell>
          <cell r="O4861"/>
          <cell r="T4861"/>
        </row>
        <row r="4862">
          <cell r="A4862" t="str">
            <v>COMPROD</v>
          </cell>
          <cell r="B4862" t="str">
            <v>470-70</v>
          </cell>
          <cell r="O4862"/>
          <cell r="T4862"/>
        </row>
        <row r="4863">
          <cell r="A4863" t="str">
            <v>COMPROD</v>
          </cell>
          <cell r="B4863" t="str">
            <v>470-70-HD</v>
          </cell>
          <cell r="O4863"/>
          <cell r="T4863"/>
        </row>
        <row r="4864">
          <cell r="A4864" t="str">
            <v>COMPROD</v>
          </cell>
          <cell r="B4864" t="str">
            <v>471-70</v>
          </cell>
          <cell r="O4864"/>
          <cell r="T4864"/>
        </row>
        <row r="4865">
          <cell r="A4865" t="str">
            <v>COMPROD</v>
          </cell>
          <cell r="B4865" t="str">
            <v>531-70</v>
          </cell>
          <cell r="O4865"/>
          <cell r="T4865"/>
        </row>
        <row r="4866">
          <cell r="A4866" t="str">
            <v>COMPROD</v>
          </cell>
          <cell r="B4866" t="str">
            <v>771-70-40DB</v>
          </cell>
          <cell r="O4866"/>
          <cell r="T4866"/>
        </row>
        <row r="4867">
          <cell r="A4867" t="str">
            <v>COMPROD</v>
          </cell>
          <cell r="B4867" t="str">
            <v>772-70</v>
          </cell>
          <cell r="O4867"/>
          <cell r="T4867"/>
        </row>
        <row r="4868">
          <cell r="A4868" t="str">
            <v>COMPROD</v>
          </cell>
          <cell r="B4868" t="str">
            <v>774-70TM</v>
          </cell>
          <cell r="O4868"/>
          <cell r="T4868"/>
        </row>
        <row r="4869">
          <cell r="A4869" t="str">
            <v>COMPROD</v>
          </cell>
          <cell r="B4869" t="str">
            <v>776-70</v>
          </cell>
          <cell r="O4869"/>
          <cell r="T4869"/>
        </row>
        <row r="4870">
          <cell r="A4870" t="str">
            <v>COMPROD</v>
          </cell>
          <cell r="B4870" t="str">
            <v>776-70-1HDBPSM-40</v>
          </cell>
          <cell r="O4870"/>
          <cell r="T4870"/>
        </row>
        <row r="4871">
          <cell r="A4871" t="str">
            <v>COMPROD</v>
          </cell>
          <cell r="B4871" t="str">
            <v>776-70-1HDBPTM-40</v>
          </cell>
          <cell r="O4871"/>
          <cell r="T4871"/>
        </row>
        <row r="4872">
          <cell r="A4872" t="str">
            <v>COMPROD</v>
          </cell>
          <cell r="B4872" t="str">
            <v>776-70-876F-70</v>
          </cell>
          <cell r="O4872"/>
          <cell r="T4872"/>
        </row>
        <row r="4873">
          <cell r="A4873" t="str">
            <v>COMPROD</v>
          </cell>
          <cell r="B4873" t="str">
            <v>778-70-TM-1/2</v>
          </cell>
          <cell r="O4873"/>
          <cell r="T4873"/>
        </row>
        <row r="4874">
          <cell r="A4874" t="str">
            <v>COMPROD</v>
          </cell>
          <cell r="B4874" t="str">
            <v>778F-70SM</v>
          </cell>
          <cell r="O4874"/>
          <cell r="T4874"/>
        </row>
        <row r="4875">
          <cell r="A4875" t="str">
            <v>COMPROD</v>
          </cell>
          <cell r="B4875" t="str">
            <v>784-70</v>
          </cell>
          <cell r="O4875"/>
          <cell r="T4875"/>
        </row>
        <row r="4876">
          <cell r="A4876" t="str">
            <v>COMPROD</v>
          </cell>
          <cell r="B4876" t="str">
            <v>796-70</v>
          </cell>
          <cell r="O4876"/>
          <cell r="T4876"/>
        </row>
        <row r="4877">
          <cell r="A4877" t="str">
            <v>COMPROD</v>
          </cell>
          <cell r="B4877" t="str">
            <v>799-70</v>
          </cell>
          <cell r="O4877"/>
          <cell r="T4877"/>
        </row>
        <row r="4878">
          <cell r="A4878" t="str">
            <v>COMPROD</v>
          </cell>
          <cell r="B4878" t="str">
            <v>871F702HBSP4DF1/2</v>
          </cell>
          <cell r="O4878">
            <v>0</v>
          </cell>
          <cell r="T4878"/>
        </row>
        <row r="4879">
          <cell r="A4879" t="str">
            <v>COMPROD</v>
          </cell>
          <cell r="B4879" t="str">
            <v>872F-70</v>
          </cell>
          <cell r="O4879"/>
          <cell r="T4879"/>
        </row>
        <row r="4880">
          <cell r="A4880" t="str">
            <v>COMPROD</v>
          </cell>
          <cell r="B4880" t="str">
            <v>872F-70-2</v>
          </cell>
          <cell r="O4880"/>
          <cell r="T4880"/>
        </row>
        <row r="4881">
          <cell r="A4881" t="str">
            <v>COMPROD</v>
          </cell>
          <cell r="B4881" t="str">
            <v>872F-70HDWTMBR/DIN</v>
          </cell>
          <cell r="O4881"/>
          <cell r="T4881"/>
        </row>
        <row r="4882">
          <cell r="A4882" t="str">
            <v>COMPROD</v>
          </cell>
          <cell r="B4882" t="str">
            <v>872F-70SM-1/2</v>
          </cell>
          <cell r="O4882"/>
          <cell r="T4882"/>
        </row>
        <row r="4883">
          <cell r="A4883" t="str">
            <v>COMPROD</v>
          </cell>
          <cell r="B4883" t="str">
            <v>872F-70TM-1/2</v>
          </cell>
          <cell r="O4883"/>
          <cell r="T4883"/>
        </row>
        <row r="4884">
          <cell r="A4884" t="str">
            <v>COMPROD</v>
          </cell>
          <cell r="B4884" t="str">
            <v>874F-70-2</v>
          </cell>
          <cell r="O4884"/>
          <cell r="T4884"/>
        </row>
        <row r="4885">
          <cell r="A4885" t="str">
            <v>COMPROD</v>
          </cell>
          <cell r="B4885" t="str">
            <v>874F-70-220HD</v>
          </cell>
          <cell r="O4885"/>
          <cell r="T4885"/>
        </row>
        <row r="4886">
          <cell r="A4886" t="str">
            <v>COMPROD</v>
          </cell>
          <cell r="B4886" t="str">
            <v>874F-70SM</v>
          </cell>
          <cell r="O4886"/>
          <cell r="T4886"/>
        </row>
        <row r="4887">
          <cell r="A4887" t="str">
            <v>COMPROD</v>
          </cell>
          <cell r="B4887" t="str">
            <v>874F-70TM</v>
          </cell>
          <cell r="O4887"/>
          <cell r="T4887"/>
        </row>
        <row r="4888">
          <cell r="A4888" t="str">
            <v>COMPROD</v>
          </cell>
          <cell r="B4888" t="str">
            <v>876-70</v>
          </cell>
          <cell r="O4888"/>
          <cell r="T4888"/>
        </row>
        <row r="4889">
          <cell r="A4889" t="str">
            <v>COMPROD</v>
          </cell>
          <cell r="B4889" t="str">
            <v>876F-70-2HBSP40DF1/2</v>
          </cell>
          <cell r="O4889"/>
          <cell r="T4889"/>
        </row>
        <row r="4890">
          <cell r="A4890" t="str">
            <v>COMPROD</v>
          </cell>
          <cell r="B4890" t="str">
            <v>882-70HDWBR/DIN</v>
          </cell>
          <cell r="O4890"/>
          <cell r="T4890"/>
        </row>
        <row r="4891">
          <cell r="A4891" t="str">
            <v>COMPROD</v>
          </cell>
          <cell r="B4891" t="str">
            <v>987-70</v>
          </cell>
          <cell r="O4891"/>
          <cell r="T4891"/>
        </row>
        <row r="4892">
          <cell r="A4892" t="str">
            <v>COMPROD</v>
          </cell>
          <cell r="B4892" t="str">
            <v>F3713</v>
          </cell>
          <cell r="O4892"/>
          <cell r="T4892"/>
        </row>
        <row r="4893">
          <cell r="A4893" t="str">
            <v>COMPROD</v>
          </cell>
          <cell r="B4893" t="str">
            <v>VHF 136-174 872F70SM</v>
          </cell>
          <cell r="O4893"/>
          <cell r="T4893"/>
        </row>
        <row r="4894">
          <cell r="A4894" t="str">
            <v>COMSAT RSI</v>
          </cell>
          <cell r="B4894" t="str">
            <v>065-19-2</v>
          </cell>
          <cell r="O4894"/>
          <cell r="T4894"/>
        </row>
        <row r="4895">
          <cell r="A4895" t="str">
            <v>COMSAT RSI</v>
          </cell>
          <cell r="B4895" t="str">
            <v>06549-2</v>
          </cell>
          <cell r="O4895"/>
          <cell r="T4895"/>
        </row>
        <row r="4896">
          <cell r="A4896" t="str">
            <v>COMSAT RSI</v>
          </cell>
          <cell r="B4896" t="str">
            <v>1894A</v>
          </cell>
          <cell r="O4896"/>
          <cell r="T4896"/>
        </row>
        <row r="4897">
          <cell r="A4897" t="str">
            <v>COMSAT RSI</v>
          </cell>
          <cell r="B4897" t="str">
            <v>18A24N</v>
          </cell>
          <cell r="O4897"/>
          <cell r="T4897"/>
        </row>
        <row r="4898">
          <cell r="A4898" t="str">
            <v>COMSAT RSI</v>
          </cell>
          <cell r="B4898" t="str">
            <v>24A72GN-6</v>
          </cell>
          <cell r="O4898"/>
          <cell r="T4898"/>
        </row>
        <row r="4899">
          <cell r="A4899" t="str">
            <v>COMSAT RSI</v>
          </cell>
          <cell r="B4899" t="str">
            <v>60A96DL-2</v>
          </cell>
          <cell r="O4899"/>
          <cell r="T4899"/>
        </row>
        <row r="4900">
          <cell r="A4900" t="str">
            <v>COMSAT RSI</v>
          </cell>
          <cell r="B4900" t="str">
            <v>6HP MARK</v>
          </cell>
          <cell r="O4900"/>
          <cell r="T4900"/>
        </row>
        <row r="4901">
          <cell r="A4901" t="str">
            <v>COMSAT RSI</v>
          </cell>
          <cell r="B4901" t="str">
            <v>71884</v>
          </cell>
          <cell r="O4901"/>
          <cell r="T4901"/>
        </row>
        <row r="4902">
          <cell r="A4902" t="str">
            <v>COMSAT RSI</v>
          </cell>
          <cell r="B4902" t="str">
            <v>75584</v>
          </cell>
          <cell r="O4902"/>
          <cell r="T4902"/>
        </row>
        <row r="4903">
          <cell r="A4903" t="str">
            <v>COMSAT RSI</v>
          </cell>
          <cell r="B4903" t="str">
            <v>755G1</v>
          </cell>
          <cell r="O4903"/>
          <cell r="T4903"/>
        </row>
        <row r="4904">
          <cell r="A4904" t="str">
            <v>COMSAT RSI</v>
          </cell>
          <cell r="B4904" t="str">
            <v>77948</v>
          </cell>
          <cell r="O4904"/>
          <cell r="T4904"/>
        </row>
        <row r="4905">
          <cell r="A4905" t="str">
            <v>COMSAT RSI</v>
          </cell>
          <cell r="B4905" t="str">
            <v>A-18A-2H6</v>
          </cell>
          <cell r="O4905"/>
          <cell r="T4905"/>
        </row>
        <row r="4906">
          <cell r="A4906" t="str">
            <v>COMSAT RSI</v>
          </cell>
          <cell r="B4906" t="str">
            <v>A-18A24E-U</v>
          </cell>
          <cell r="O4906"/>
          <cell r="T4906"/>
        </row>
        <row r="4907">
          <cell r="A4907" t="str">
            <v>COMSAT RSI</v>
          </cell>
          <cell r="B4907" t="str">
            <v>A-18A24N-U</v>
          </cell>
          <cell r="O4907"/>
          <cell r="T4907"/>
        </row>
        <row r="4908">
          <cell r="A4908" t="str">
            <v>COMSAT RSI</v>
          </cell>
          <cell r="B4908" t="str">
            <v>A-24A72GF-S</v>
          </cell>
          <cell r="O4908"/>
          <cell r="T4908"/>
        </row>
        <row r="4909">
          <cell r="A4909" t="str">
            <v>COMSAT RSI</v>
          </cell>
          <cell r="B4909" t="str">
            <v>A18A24E-U</v>
          </cell>
          <cell r="O4909"/>
          <cell r="T4909"/>
        </row>
        <row r="4910">
          <cell r="A4910" t="str">
            <v>COMSAT RSI</v>
          </cell>
          <cell r="B4910" t="str">
            <v>A24A-24</v>
          </cell>
          <cell r="O4910"/>
          <cell r="T4910"/>
        </row>
        <row r="4911">
          <cell r="A4911" t="str">
            <v>COMSAT RSI</v>
          </cell>
          <cell r="B4911" t="str">
            <v>AD090-19-2</v>
          </cell>
          <cell r="O4911"/>
          <cell r="T4911"/>
        </row>
        <row r="4912">
          <cell r="A4912" t="str">
            <v>COMSAT RSI</v>
          </cell>
          <cell r="B4912" t="str">
            <v>AG-944W</v>
          </cell>
          <cell r="O4912"/>
          <cell r="T4912"/>
        </row>
        <row r="4913">
          <cell r="A4913" t="str">
            <v>COMSAT RSI</v>
          </cell>
          <cell r="B4913" t="str">
            <v>COMSAT 1548</v>
          </cell>
          <cell r="O4913"/>
          <cell r="T4913"/>
        </row>
        <row r="4914">
          <cell r="A4914" t="str">
            <v>COMSAT RSI</v>
          </cell>
          <cell r="B4914" t="str">
            <v>CV0-10800</v>
          </cell>
          <cell r="O4914"/>
          <cell r="T4914"/>
        </row>
        <row r="4915">
          <cell r="A4915" t="str">
            <v>COMSAT RSI</v>
          </cell>
          <cell r="B4915" t="str">
            <v>D24A48-DN-1</v>
          </cell>
          <cell r="O4915"/>
          <cell r="T4915"/>
        </row>
        <row r="4916">
          <cell r="A4916" t="str">
            <v>COMSAT RSI</v>
          </cell>
          <cell r="B4916" t="str">
            <v>F-65A96L-2</v>
          </cell>
          <cell r="O4916"/>
          <cell r="T4916"/>
        </row>
        <row r="4917">
          <cell r="A4917" t="str">
            <v>COMSAT RSI</v>
          </cell>
          <cell r="B4917" t="str">
            <v>FP-11A48W-2N</v>
          </cell>
          <cell r="O4917"/>
          <cell r="T4917"/>
        </row>
        <row r="4918">
          <cell r="A4918" t="str">
            <v>COMSAT RSI</v>
          </cell>
          <cell r="B4918" t="str">
            <v>FP11A48W-2N</v>
          </cell>
          <cell r="O4918"/>
          <cell r="T4918"/>
        </row>
        <row r="4919">
          <cell r="A4919" t="str">
            <v>COMSAT RSI</v>
          </cell>
          <cell r="B4919" t="str">
            <v>GENERIC ANTENNA</v>
          </cell>
          <cell r="O4919"/>
          <cell r="T4919"/>
        </row>
        <row r="4920">
          <cell r="A4920" t="str">
            <v>COMSAT RSI</v>
          </cell>
          <cell r="B4920" t="str">
            <v>H357D48N/O</v>
          </cell>
          <cell r="O4920"/>
          <cell r="T4920"/>
        </row>
        <row r="4921">
          <cell r="A4921" t="str">
            <v>COMSAT RSI</v>
          </cell>
          <cell r="B4921" t="str">
            <v>HP-100A120L-S</v>
          </cell>
          <cell r="O4921"/>
          <cell r="T4921"/>
        </row>
        <row r="4922">
          <cell r="A4922" t="str">
            <v>COMSAT RSI</v>
          </cell>
          <cell r="B4922" t="str">
            <v>HP-100A72D-S</v>
          </cell>
          <cell r="O4922"/>
          <cell r="T4922"/>
        </row>
        <row r="4923">
          <cell r="A4923" t="str">
            <v>COMSAT RSI</v>
          </cell>
          <cell r="B4923" t="str">
            <v>HP-105A48L</v>
          </cell>
          <cell r="O4923"/>
          <cell r="T4923"/>
        </row>
        <row r="4924">
          <cell r="A4924" t="str">
            <v>COMSAT RSI</v>
          </cell>
          <cell r="B4924" t="str">
            <v>HP-105A48L-U</v>
          </cell>
          <cell r="O4924"/>
          <cell r="T4924"/>
        </row>
        <row r="4925">
          <cell r="A4925" t="str">
            <v>COMSAT RSI</v>
          </cell>
          <cell r="B4925" t="str">
            <v>HP-170B72L-S</v>
          </cell>
          <cell r="O4925"/>
          <cell r="T4925"/>
        </row>
        <row r="4926">
          <cell r="A4926" t="str">
            <v>COMSAT RSI</v>
          </cell>
          <cell r="B4926" t="str">
            <v>HP-21A72E-S</v>
          </cell>
          <cell r="O4926"/>
          <cell r="T4926"/>
        </row>
        <row r="4927">
          <cell r="A4927" t="str">
            <v>COMSAT RSI</v>
          </cell>
          <cell r="B4927" t="str">
            <v>HP-59A48-U</v>
          </cell>
          <cell r="O4927"/>
          <cell r="T4927"/>
        </row>
        <row r="4928">
          <cell r="A4928" t="str">
            <v>COMSAT RSI</v>
          </cell>
          <cell r="B4928" t="str">
            <v>HP-60A 72DL-2</v>
          </cell>
          <cell r="O4928"/>
          <cell r="T4928"/>
        </row>
        <row r="4929">
          <cell r="A4929" t="str">
            <v>COMSAT RSI</v>
          </cell>
          <cell r="B4929" t="str">
            <v>HP-60A120D-2</v>
          </cell>
          <cell r="O4929"/>
          <cell r="T4929"/>
        </row>
        <row r="4930">
          <cell r="A4930" t="str">
            <v>COMSAT RSI</v>
          </cell>
          <cell r="B4930" t="str">
            <v>HP-60A72DL</v>
          </cell>
          <cell r="O4930"/>
          <cell r="T4930"/>
        </row>
        <row r="4931">
          <cell r="A4931" t="str">
            <v>COMSAT RSI</v>
          </cell>
          <cell r="B4931" t="str">
            <v>HP-60A72DL-S</v>
          </cell>
          <cell r="O4931"/>
          <cell r="T4931"/>
        </row>
        <row r="4932">
          <cell r="A4932" t="str">
            <v>COMSAT RSI</v>
          </cell>
          <cell r="B4932" t="str">
            <v>HP-60A96L-S</v>
          </cell>
          <cell r="O4932"/>
          <cell r="T4932"/>
        </row>
        <row r="4933">
          <cell r="A4933" t="str">
            <v>COMSAT RSI</v>
          </cell>
          <cell r="B4933" t="str">
            <v>HP-60B72L-S</v>
          </cell>
          <cell r="O4933"/>
          <cell r="T4933"/>
        </row>
        <row r="4934">
          <cell r="A4934" t="str">
            <v>COMSAT RSI</v>
          </cell>
          <cell r="B4934" t="str">
            <v>HP-7WA72P-S</v>
          </cell>
          <cell r="O4934"/>
          <cell r="T4934"/>
        </row>
        <row r="4935">
          <cell r="A4935" t="str">
            <v>COMSAT RSI</v>
          </cell>
          <cell r="B4935" t="str">
            <v>HP105A4CL2</v>
          </cell>
          <cell r="O4935"/>
          <cell r="T4935"/>
        </row>
        <row r="4936">
          <cell r="A4936" t="str">
            <v>COMSAT RSI</v>
          </cell>
          <cell r="B4936" t="str">
            <v>HP60A120L-2</v>
          </cell>
          <cell r="O4936"/>
          <cell r="T4936"/>
        </row>
        <row r="4937">
          <cell r="A4937" t="str">
            <v>COMSAT RSI</v>
          </cell>
          <cell r="B4937" t="str">
            <v>HP60A72C-8</v>
          </cell>
          <cell r="O4937"/>
          <cell r="T4937"/>
        </row>
        <row r="4938">
          <cell r="A4938" t="str">
            <v>COMSAT RSI</v>
          </cell>
          <cell r="B4938" t="str">
            <v>HP65A72L-S</v>
          </cell>
          <cell r="O4938"/>
          <cell r="T4938"/>
        </row>
        <row r="4939">
          <cell r="A4939" t="str">
            <v>COMSAT RSI</v>
          </cell>
          <cell r="B4939" t="str">
            <v>HPCOA96L-5</v>
          </cell>
          <cell r="O4939"/>
          <cell r="T4939"/>
        </row>
        <row r="4940">
          <cell r="A4940" t="str">
            <v>COMSAT RSI</v>
          </cell>
          <cell r="B4940" t="str">
            <v>MC7089</v>
          </cell>
          <cell r="O4940"/>
          <cell r="T4940"/>
        </row>
        <row r="4941">
          <cell r="A4941" t="str">
            <v>COMSAT RSI</v>
          </cell>
          <cell r="B4941" t="str">
            <v>MHP-105A72-S</v>
          </cell>
          <cell r="O4941"/>
          <cell r="T4941"/>
        </row>
        <row r="4942">
          <cell r="A4942" t="str">
            <v>COMSAT RSI</v>
          </cell>
          <cell r="B4942" t="str">
            <v>MHP-105A72D-S</v>
          </cell>
          <cell r="O4942"/>
          <cell r="T4942"/>
        </row>
        <row r="4943">
          <cell r="A4943" t="str">
            <v>COMSAT RSI</v>
          </cell>
          <cell r="B4943" t="str">
            <v>MHP-105A96-S</v>
          </cell>
          <cell r="O4943"/>
          <cell r="T4943"/>
        </row>
        <row r="4944">
          <cell r="A4944" t="str">
            <v>COMSAT RSI</v>
          </cell>
          <cell r="B4944" t="str">
            <v>MHP-40A120-S</v>
          </cell>
          <cell r="O4944"/>
          <cell r="T4944"/>
        </row>
        <row r="4945">
          <cell r="A4945" t="str">
            <v>COMSAT RSI</v>
          </cell>
          <cell r="B4945" t="str">
            <v>MHP-60A120L-2</v>
          </cell>
          <cell r="O4945"/>
          <cell r="T4945"/>
        </row>
        <row r="4946">
          <cell r="A4946" t="str">
            <v>COMSAT RSI</v>
          </cell>
          <cell r="B4946" t="str">
            <v>MHP-60A726-S</v>
          </cell>
          <cell r="O4946"/>
          <cell r="T4946"/>
        </row>
        <row r="4947">
          <cell r="A4947" t="str">
            <v>COMSAT RSI</v>
          </cell>
          <cell r="B4947" t="str">
            <v>MHP-60A72D-S</v>
          </cell>
          <cell r="O4947"/>
          <cell r="T4947"/>
        </row>
        <row r="4948">
          <cell r="A4948" t="str">
            <v>COMSAT RSI</v>
          </cell>
          <cell r="B4948" t="str">
            <v>MHP-60A72L-F</v>
          </cell>
          <cell r="O4948"/>
          <cell r="T4948"/>
        </row>
        <row r="4949">
          <cell r="A4949" t="str">
            <v>COMSAT RSI</v>
          </cell>
          <cell r="B4949" t="str">
            <v>MHP-60A96</v>
          </cell>
          <cell r="O4949"/>
          <cell r="T4949"/>
        </row>
        <row r="4950">
          <cell r="A4950" t="str">
            <v>COMSAT RSI</v>
          </cell>
          <cell r="B4950" t="str">
            <v>MHP-60A96-S</v>
          </cell>
          <cell r="O4950"/>
          <cell r="T4950"/>
        </row>
        <row r="4951">
          <cell r="A4951" t="str">
            <v>COMSAT RSI</v>
          </cell>
          <cell r="B4951" t="str">
            <v>MHP-60A96D-S</v>
          </cell>
          <cell r="O4951"/>
          <cell r="T4951"/>
        </row>
        <row r="4952">
          <cell r="A4952" t="str">
            <v>COMSAT RSI</v>
          </cell>
          <cell r="B4952" t="str">
            <v>MHP-60B144-2</v>
          </cell>
          <cell r="O4952"/>
          <cell r="T4952"/>
        </row>
        <row r="4953">
          <cell r="A4953" t="str">
            <v>COMSAT RSI</v>
          </cell>
          <cell r="B4953" t="str">
            <v>MHP-60B144D-2</v>
          </cell>
          <cell r="O4953"/>
          <cell r="T4953"/>
        </row>
        <row r="4954">
          <cell r="A4954" t="str">
            <v>COMSAT RSI</v>
          </cell>
          <cell r="B4954" t="str">
            <v>MHP-80A72D</v>
          </cell>
          <cell r="O4954"/>
          <cell r="T4954"/>
        </row>
        <row r="4955">
          <cell r="A4955" t="str">
            <v>COMSAT RSI</v>
          </cell>
          <cell r="B4955" t="str">
            <v>MHP60A72L-2</v>
          </cell>
          <cell r="O4955"/>
          <cell r="T4955"/>
        </row>
        <row r="4956">
          <cell r="A4956" t="str">
            <v>COMSAT RSI</v>
          </cell>
          <cell r="B4956" t="str">
            <v>P-18A36GP-U</v>
          </cell>
          <cell r="O4956"/>
          <cell r="T4956"/>
        </row>
        <row r="4957">
          <cell r="A4957" t="str">
            <v>COMSAT RSI</v>
          </cell>
          <cell r="B4957" t="str">
            <v>P-20A48GN-U</v>
          </cell>
          <cell r="O4957"/>
          <cell r="T4957"/>
        </row>
        <row r="4958">
          <cell r="A4958" t="str">
            <v>COMSAT RSI</v>
          </cell>
          <cell r="B4958" t="str">
            <v>P-21A 72G-1</v>
          </cell>
          <cell r="O4958"/>
          <cell r="T4958"/>
        </row>
        <row r="4959">
          <cell r="A4959" t="str">
            <v>COMSAT RSI</v>
          </cell>
          <cell r="B4959" t="str">
            <v>P-21A120G</v>
          </cell>
          <cell r="O4959"/>
          <cell r="T4959"/>
        </row>
        <row r="4960">
          <cell r="A4960" t="str">
            <v>COMSAT RSI</v>
          </cell>
          <cell r="B4960" t="str">
            <v>P-21A144GP-S</v>
          </cell>
          <cell r="O4960"/>
          <cell r="T4960"/>
        </row>
        <row r="4961">
          <cell r="A4961" t="str">
            <v>COMSAT RSI</v>
          </cell>
          <cell r="B4961" t="str">
            <v>P-21A48N-U</v>
          </cell>
          <cell r="O4961"/>
          <cell r="T4961"/>
        </row>
        <row r="4962">
          <cell r="A4962" t="str">
            <v>COMSAT RSI</v>
          </cell>
          <cell r="B4962" t="str">
            <v>P-21A72E-S</v>
          </cell>
          <cell r="O4962"/>
          <cell r="T4962"/>
        </row>
        <row r="4963">
          <cell r="A4963" t="str">
            <v>COMSAT RSI</v>
          </cell>
          <cell r="B4963" t="str">
            <v>P-21A72G</v>
          </cell>
          <cell r="O4963"/>
          <cell r="T4963"/>
        </row>
        <row r="4964">
          <cell r="A4964" t="str">
            <v>COMSAT RSI</v>
          </cell>
          <cell r="B4964" t="str">
            <v>P-21A72G-1</v>
          </cell>
          <cell r="O4964"/>
          <cell r="T4964"/>
        </row>
        <row r="4965">
          <cell r="A4965" t="str">
            <v>COMSAT RSI</v>
          </cell>
          <cell r="B4965" t="str">
            <v>P-21A72GN-U</v>
          </cell>
          <cell r="O4965"/>
          <cell r="T4965"/>
        </row>
        <row r="4966">
          <cell r="A4966" t="str">
            <v>COMSAT RSI</v>
          </cell>
          <cell r="B4966" t="str">
            <v>P-21A72L-S</v>
          </cell>
          <cell r="O4966"/>
          <cell r="T4966"/>
        </row>
        <row r="4967">
          <cell r="A4967" t="str">
            <v>COMSAT RSI</v>
          </cell>
          <cell r="B4967" t="str">
            <v>P-21A96G-1</v>
          </cell>
          <cell r="O4967"/>
          <cell r="T4967"/>
        </row>
        <row r="4968">
          <cell r="A4968" t="str">
            <v>COMSAT RSI</v>
          </cell>
          <cell r="B4968" t="str">
            <v>P-22A48GE-U</v>
          </cell>
          <cell r="O4968"/>
          <cell r="T4968"/>
        </row>
        <row r="4969">
          <cell r="A4969" t="str">
            <v>COMSAT RSI</v>
          </cell>
          <cell r="B4969" t="str">
            <v>P-22A72GP-S</v>
          </cell>
          <cell r="O4969"/>
          <cell r="T4969"/>
        </row>
        <row r="4970">
          <cell r="A4970" t="str">
            <v>COMSAT RSI</v>
          </cell>
          <cell r="B4970" t="str">
            <v>P-24872GN-1</v>
          </cell>
          <cell r="O4970"/>
          <cell r="T4970"/>
        </row>
        <row r="4971">
          <cell r="A4971" t="str">
            <v>COMSAT RSI</v>
          </cell>
          <cell r="B4971" t="str">
            <v>P-24A</v>
          </cell>
          <cell r="O4971"/>
          <cell r="T4971"/>
        </row>
        <row r="4972">
          <cell r="A4972" t="str">
            <v>COMSAT RSI</v>
          </cell>
          <cell r="B4972" t="str">
            <v>P-24A35GF-U</v>
          </cell>
          <cell r="O4972"/>
          <cell r="T4972"/>
        </row>
        <row r="4973">
          <cell r="A4973" t="str">
            <v>COMSAT RSI</v>
          </cell>
          <cell r="B4973" t="str">
            <v>P-24A366N-O</v>
          </cell>
          <cell r="O4973"/>
          <cell r="T4973"/>
        </row>
        <row r="4974">
          <cell r="A4974" t="str">
            <v>COMSAT RSI</v>
          </cell>
          <cell r="B4974" t="str">
            <v>P-24A36GE-U</v>
          </cell>
          <cell r="O4974"/>
          <cell r="T4974"/>
        </row>
        <row r="4975">
          <cell r="A4975" t="str">
            <v>COMSAT RSI</v>
          </cell>
          <cell r="B4975" t="str">
            <v>P-24A36GF-U</v>
          </cell>
          <cell r="O4975"/>
          <cell r="T4975"/>
        </row>
        <row r="4976">
          <cell r="A4976" t="str">
            <v>COMSAT RSI</v>
          </cell>
          <cell r="B4976" t="str">
            <v>P-24A36GL-U</v>
          </cell>
          <cell r="O4976"/>
          <cell r="T4976"/>
        </row>
        <row r="4977">
          <cell r="A4977" t="str">
            <v>COMSAT RSI</v>
          </cell>
          <cell r="B4977" t="str">
            <v>P-24A36GN-U</v>
          </cell>
          <cell r="O4977"/>
          <cell r="T4977"/>
        </row>
        <row r="4978">
          <cell r="A4978" t="str">
            <v>COMSAT RSI</v>
          </cell>
          <cell r="B4978" t="str">
            <v>P-24A36GP-U</v>
          </cell>
          <cell r="O4978"/>
          <cell r="T4978"/>
        </row>
        <row r="4979">
          <cell r="A4979" t="str">
            <v>COMSAT RSI</v>
          </cell>
          <cell r="B4979" t="str">
            <v>P-24A48</v>
          </cell>
          <cell r="O4979"/>
          <cell r="T4979"/>
        </row>
        <row r="4980">
          <cell r="A4980" t="str">
            <v>COMSAT RSI</v>
          </cell>
          <cell r="B4980" t="str">
            <v>P-24A48-U</v>
          </cell>
          <cell r="O4980"/>
          <cell r="T4980"/>
        </row>
        <row r="4981">
          <cell r="A4981" t="str">
            <v>COMSAT RSI</v>
          </cell>
          <cell r="B4981" t="str">
            <v>P-24A486N-U</v>
          </cell>
          <cell r="O4981"/>
          <cell r="T4981"/>
        </row>
        <row r="4982">
          <cell r="A4982" t="str">
            <v>COMSAT RSI</v>
          </cell>
          <cell r="B4982" t="str">
            <v>P-24A48GE-U</v>
          </cell>
          <cell r="O4982"/>
          <cell r="T4982"/>
        </row>
        <row r="4983">
          <cell r="A4983" t="str">
            <v>COMSAT RSI</v>
          </cell>
          <cell r="B4983" t="str">
            <v>P-24A48GNU</v>
          </cell>
          <cell r="O4983"/>
          <cell r="T4983"/>
        </row>
        <row r="4984">
          <cell r="A4984" t="str">
            <v>COMSAT RSI</v>
          </cell>
          <cell r="B4984" t="str">
            <v>P-24A48N-2</v>
          </cell>
          <cell r="O4984"/>
          <cell r="T4984"/>
        </row>
        <row r="4985">
          <cell r="A4985" t="str">
            <v>COMSAT RSI</v>
          </cell>
          <cell r="B4985" t="str">
            <v>P-24A48N-U</v>
          </cell>
          <cell r="O4985"/>
          <cell r="T4985"/>
        </row>
        <row r="4986">
          <cell r="A4986" t="str">
            <v>COMSAT RSI</v>
          </cell>
          <cell r="B4986" t="str">
            <v>P-24A72-GR2</v>
          </cell>
          <cell r="O4986"/>
          <cell r="T4986"/>
        </row>
        <row r="4987">
          <cell r="A4987" t="str">
            <v>COMSAT RSI</v>
          </cell>
          <cell r="B4987" t="str">
            <v>P-24A726N</v>
          </cell>
          <cell r="O4987"/>
          <cell r="T4987"/>
        </row>
        <row r="4988">
          <cell r="A4988" t="str">
            <v>COMSAT RSI</v>
          </cell>
          <cell r="B4988" t="str">
            <v>P-24A72E-S</v>
          </cell>
          <cell r="O4988"/>
          <cell r="T4988"/>
        </row>
        <row r="4989">
          <cell r="A4989" t="str">
            <v>COMSAT RSI</v>
          </cell>
          <cell r="B4989" t="str">
            <v>P-24A72GN-2</v>
          </cell>
          <cell r="O4989"/>
          <cell r="T4989"/>
        </row>
        <row r="4990">
          <cell r="A4990" t="str">
            <v>COMSAT RSI</v>
          </cell>
          <cell r="B4990" t="str">
            <v>P-24A72GN-S</v>
          </cell>
          <cell r="O4990"/>
          <cell r="T4990"/>
        </row>
        <row r="4991">
          <cell r="A4991" t="str">
            <v>COMSAT RSI</v>
          </cell>
          <cell r="B4991" t="str">
            <v>P-24A72GN-U</v>
          </cell>
          <cell r="O4991"/>
          <cell r="T4991"/>
        </row>
        <row r="4992">
          <cell r="A4992" t="str">
            <v>COMSAT RSI</v>
          </cell>
          <cell r="B4992" t="str">
            <v>P-24A72N</v>
          </cell>
          <cell r="O4992"/>
          <cell r="T4992"/>
        </row>
        <row r="4993">
          <cell r="A4993" t="str">
            <v>COMSAT RSI</v>
          </cell>
          <cell r="B4993" t="str">
            <v>P-24A8GN-1</v>
          </cell>
          <cell r="O4993"/>
          <cell r="T4993"/>
        </row>
        <row r="4994">
          <cell r="A4994" t="str">
            <v>COMSAT RSI</v>
          </cell>
          <cell r="B4994" t="str">
            <v>P-25A366N.4</v>
          </cell>
          <cell r="O4994"/>
          <cell r="T4994"/>
        </row>
        <row r="4995">
          <cell r="A4995" t="str">
            <v>COMSAT RSI</v>
          </cell>
          <cell r="B4995" t="str">
            <v>P-25A36GN</v>
          </cell>
          <cell r="O4995"/>
          <cell r="T4995"/>
        </row>
        <row r="4996">
          <cell r="A4996" t="str">
            <v>COMSAT RSI</v>
          </cell>
          <cell r="B4996" t="str">
            <v>P-25A36GN-U</v>
          </cell>
          <cell r="O4996"/>
          <cell r="T4996"/>
        </row>
        <row r="4997">
          <cell r="A4997" t="str">
            <v>COMSAT RSI</v>
          </cell>
          <cell r="B4997" t="str">
            <v>P-26A48GE-U</v>
          </cell>
          <cell r="O4997"/>
          <cell r="T4997"/>
        </row>
        <row r="4998">
          <cell r="A4998" t="str">
            <v>COMSAT RSI</v>
          </cell>
          <cell r="B4998" t="str">
            <v>P-2UA48GN-V-DISH</v>
          </cell>
          <cell r="O4998"/>
          <cell r="T4998"/>
        </row>
        <row r="4999">
          <cell r="A4999" t="str">
            <v>COMSAT RSI</v>
          </cell>
          <cell r="B4999" t="str">
            <v>P-4H48GN-U</v>
          </cell>
          <cell r="O4999"/>
          <cell r="T4999"/>
        </row>
        <row r="5000">
          <cell r="A5000" t="str">
            <v>COMSAT RSI</v>
          </cell>
          <cell r="B5000" t="str">
            <v>P-5767N-C</v>
          </cell>
          <cell r="O5000"/>
          <cell r="T5000"/>
        </row>
        <row r="5001">
          <cell r="A5001" t="str">
            <v>COMSAT RSI</v>
          </cell>
          <cell r="B5001" t="str">
            <v>P-57A48-2</v>
          </cell>
          <cell r="O5001"/>
          <cell r="T5001"/>
        </row>
        <row r="5002">
          <cell r="A5002" t="str">
            <v>COMSAT RSI</v>
          </cell>
          <cell r="B5002" t="str">
            <v>P-57A48N-2</v>
          </cell>
          <cell r="O5002"/>
          <cell r="T5002"/>
        </row>
        <row r="5003">
          <cell r="A5003" t="str">
            <v>COMSAT RSI</v>
          </cell>
          <cell r="B5003" t="str">
            <v>P-57A72-2</v>
          </cell>
          <cell r="O5003"/>
          <cell r="T5003"/>
        </row>
        <row r="5004">
          <cell r="A5004" t="str">
            <v>COMSAT RSI</v>
          </cell>
          <cell r="B5004" t="str">
            <v>P-57A72-S</v>
          </cell>
          <cell r="O5004"/>
          <cell r="T5004"/>
        </row>
        <row r="5005">
          <cell r="A5005" t="str">
            <v>COMSAT RSI</v>
          </cell>
          <cell r="B5005" t="str">
            <v>P-57A72N-1</v>
          </cell>
          <cell r="O5005"/>
          <cell r="T5005"/>
        </row>
        <row r="5006">
          <cell r="A5006" t="str">
            <v>COMSAT RSI</v>
          </cell>
          <cell r="B5006" t="str">
            <v>P-57A72N-S</v>
          </cell>
          <cell r="O5006"/>
          <cell r="T5006"/>
        </row>
        <row r="5007">
          <cell r="A5007" t="str">
            <v>COMSAT RSI</v>
          </cell>
          <cell r="B5007" t="str">
            <v>P-57B24-1</v>
          </cell>
          <cell r="O5007"/>
          <cell r="T5007"/>
        </row>
        <row r="5008">
          <cell r="A5008" t="str">
            <v>COMSAT RSI</v>
          </cell>
          <cell r="B5008" t="str">
            <v>P-57B24N-1</v>
          </cell>
          <cell r="O5008"/>
          <cell r="T5008"/>
        </row>
        <row r="5009">
          <cell r="A5009" t="str">
            <v>COMSAT RSI</v>
          </cell>
          <cell r="B5009" t="str">
            <v>P-57B48-U</v>
          </cell>
          <cell r="O5009"/>
          <cell r="T5009"/>
        </row>
        <row r="5010">
          <cell r="A5010" t="str">
            <v>COMSAT RSI</v>
          </cell>
          <cell r="B5010" t="str">
            <v>P-57C24N-1</v>
          </cell>
          <cell r="O5010"/>
          <cell r="T5010"/>
        </row>
        <row r="5011">
          <cell r="A5011" t="str">
            <v>COMSAT RSI</v>
          </cell>
          <cell r="B5011" t="str">
            <v>P-57C48N-U</v>
          </cell>
          <cell r="O5011"/>
          <cell r="T5011"/>
        </row>
        <row r="5012">
          <cell r="A5012" t="str">
            <v>COMSAT RSI</v>
          </cell>
          <cell r="B5012" t="str">
            <v>P-57C72N-U</v>
          </cell>
          <cell r="O5012"/>
          <cell r="T5012"/>
        </row>
        <row r="5013">
          <cell r="A5013" t="str">
            <v>COMSAT RSI</v>
          </cell>
          <cell r="B5013" t="str">
            <v>P-57D48N-V</v>
          </cell>
          <cell r="O5013"/>
          <cell r="T5013"/>
        </row>
        <row r="5014">
          <cell r="A5014" t="str">
            <v>COMSAT RSI</v>
          </cell>
          <cell r="B5014" t="str">
            <v>P-59A120-2</v>
          </cell>
          <cell r="O5014"/>
          <cell r="T5014"/>
        </row>
        <row r="5015">
          <cell r="A5015" t="str">
            <v>COMSAT RSI</v>
          </cell>
          <cell r="B5015" t="str">
            <v>P-59A48-U</v>
          </cell>
          <cell r="O5015"/>
          <cell r="T5015"/>
        </row>
        <row r="5016">
          <cell r="A5016" t="str">
            <v>COMSAT RSI</v>
          </cell>
          <cell r="B5016" t="str">
            <v>P-64A72L</v>
          </cell>
          <cell r="O5016"/>
          <cell r="T5016"/>
        </row>
        <row r="5017">
          <cell r="A5017" t="str">
            <v>COMSAT RSI</v>
          </cell>
          <cell r="B5017" t="str">
            <v>P-65A48</v>
          </cell>
          <cell r="O5017"/>
          <cell r="T5017"/>
        </row>
        <row r="5018">
          <cell r="A5018" t="str">
            <v>COMSAT RSI</v>
          </cell>
          <cell r="B5018" t="str">
            <v>P-65A48L-U</v>
          </cell>
          <cell r="O5018"/>
          <cell r="T5018"/>
        </row>
        <row r="5019">
          <cell r="A5019" t="str">
            <v>COMSAT RSI</v>
          </cell>
          <cell r="B5019" t="str">
            <v>P-65A72L</v>
          </cell>
          <cell r="O5019"/>
          <cell r="T5019"/>
        </row>
        <row r="5020">
          <cell r="A5020" t="str">
            <v>COMSAT RSI</v>
          </cell>
          <cell r="B5020" t="str">
            <v>P-65A72L-U</v>
          </cell>
          <cell r="O5020"/>
          <cell r="T5020"/>
        </row>
        <row r="5021">
          <cell r="A5021" t="str">
            <v>COMSAT RSI</v>
          </cell>
          <cell r="B5021" t="str">
            <v>P-65A96L</v>
          </cell>
          <cell r="O5021"/>
          <cell r="T5021"/>
        </row>
        <row r="5022">
          <cell r="A5022" t="str">
            <v>COMSAT RSI</v>
          </cell>
          <cell r="B5022" t="str">
            <v>P-65A96L-2</v>
          </cell>
          <cell r="O5022"/>
          <cell r="T5022"/>
        </row>
        <row r="5023">
          <cell r="A5023" t="str">
            <v>COMSAT RSI</v>
          </cell>
          <cell r="B5023" t="str">
            <v>P-65A96L-S</v>
          </cell>
          <cell r="O5023"/>
          <cell r="T5023"/>
        </row>
        <row r="5024">
          <cell r="A5024" t="str">
            <v>COMSAT RSI</v>
          </cell>
          <cell r="B5024" t="str">
            <v>P-72A48GN</v>
          </cell>
          <cell r="O5024"/>
          <cell r="T5024"/>
        </row>
        <row r="5025">
          <cell r="A5025" t="str">
            <v>COMSAT RSI</v>
          </cell>
          <cell r="B5025" t="str">
            <v>P-7HA48GP-U</v>
          </cell>
          <cell r="O5025"/>
          <cell r="T5025"/>
        </row>
        <row r="5026">
          <cell r="A5026" t="str">
            <v>COMSAT RSI</v>
          </cell>
          <cell r="B5026" t="str">
            <v>P-7WA72GN-U</v>
          </cell>
          <cell r="O5026"/>
          <cell r="T5026"/>
        </row>
        <row r="5027">
          <cell r="A5027" t="str">
            <v>COMSAT RSI</v>
          </cell>
          <cell r="B5027" t="str">
            <v>P105A24-Z</v>
          </cell>
          <cell r="O5027"/>
          <cell r="T5027"/>
        </row>
        <row r="5028">
          <cell r="A5028" t="str">
            <v>COMSAT RSI</v>
          </cell>
          <cell r="B5028" t="str">
            <v>P105A72G-S</v>
          </cell>
          <cell r="O5028"/>
          <cell r="T5028"/>
        </row>
        <row r="5029">
          <cell r="A5029" t="str">
            <v>COMSAT RSI</v>
          </cell>
          <cell r="B5029" t="str">
            <v>P21A2486-0</v>
          </cell>
          <cell r="O5029"/>
          <cell r="T5029"/>
        </row>
        <row r="5030">
          <cell r="A5030" t="str">
            <v>COMSAT RSI</v>
          </cell>
          <cell r="B5030" t="str">
            <v>P24172GN-2</v>
          </cell>
          <cell r="O5030"/>
          <cell r="T5030"/>
        </row>
        <row r="5031">
          <cell r="A5031" t="str">
            <v>COMSAT RSI</v>
          </cell>
          <cell r="B5031" t="str">
            <v>P24A-48GN-4</v>
          </cell>
          <cell r="O5031"/>
          <cell r="T5031"/>
        </row>
        <row r="5032">
          <cell r="A5032" t="str">
            <v>COMSAT RSI</v>
          </cell>
          <cell r="B5032" t="str">
            <v>P24A120G-N</v>
          </cell>
          <cell r="O5032"/>
          <cell r="T5032"/>
        </row>
        <row r="5033">
          <cell r="A5033" t="str">
            <v>COMSAT RSI</v>
          </cell>
          <cell r="B5033" t="str">
            <v>P24A24N</v>
          </cell>
          <cell r="O5033"/>
          <cell r="T5033"/>
        </row>
        <row r="5034">
          <cell r="A5034" t="str">
            <v>COMSAT RSI</v>
          </cell>
          <cell r="B5034" t="str">
            <v>P24A366G10-U</v>
          </cell>
          <cell r="O5034"/>
          <cell r="T5034"/>
        </row>
        <row r="5035">
          <cell r="A5035" t="str">
            <v>COMSAT RSI</v>
          </cell>
          <cell r="B5035" t="str">
            <v>P24A366N-U</v>
          </cell>
          <cell r="O5035"/>
          <cell r="T5035"/>
        </row>
        <row r="5036">
          <cell r="A5036" t="str">
            <v>COMSAT RSI</v>
          </cell>
          <cell r="B5036" t="str">
            <v>P24A36G10-U</v>
          </cell>
          <cell r="O5036"/>
          <cell r="T5036"/>
        </row>
        <row r="5037">
          <cell r="A5037" t="str">
            <v>COMSAT RSI</v>
          </cell>
          <cell r="B5037" t="str">
            <v>P24A36GN-1</v>
          </cell>
          <cell r="O5037"/>
          <cell r="T5037"/>
        </row>
        <row r="5038">
          <cell r="A5038" t="str">
            <v>COMSAT RSI</v>
          </cell>
          <cell r="B5038" t="str">
            <v>P24A36GN-U</v>
          </cell>
          <cell r="O5038"/>
          <cell r="T5038"/>
        </row>
        <row r="5039">
          <cell r="A5039" t="str">
            <v>COMSAT RSI</v>
          </cell>
          <cell r="B5039" t="str">
            <v>P24A38GN-U</v>
          </cell>
          <cell r="O5039"/>
          <cell r="T5039"/>
        </row>
        <row r="5040">
          <cell r="A5040" t="str">
            <v>COMSAT RSI</v>
          </cell>
          <cell r="B5040" t="str">
            <v>P24A48GN</v>
          </cell>
          <cell r="O5040"/>
          <cell r="T5040"/>
        </row>
        <row r="5041">
          <cell r="A5041" t="str">
            <v>COMSAT RSI</v>
          </cell>
          <cell r="B5041" t="str">
            <v>P24A48GN-4</v>
          </cell>
          <cell r="O5041"/>
          <cell r="T5041"/>
        </row>
        <row r="5042">
          <cell r="A5042" t="str">
            <v>COMSAT RSI</v>
          </cell>
          <cell r="B5042" t="str">
            <v>P24A48GN-90</v>
          </cell>
          <cell r="O5042"/>
          <cell r="T5042"/>
        </row>
        <row r="5043">
          <cell r="A5043" t="str">
            <v>COMSAT RSI</v>
          </cell>
          <cell r="B5043" t="str">
            <v>P24A48GN-U</v>
          </cell>
          <cell r="O5043"/>
          <cell r="T5043"/>
        </row>
        <row r="5044">
          <cell r="A5044" t="str">
            <v>COMSAT RSI</v>
          </cell>
          <cell r="B5044" t="str">
            <v>P24A72GN-2</v>
          </cell>
          <cell r="O5044"/>
          <cell r="T5044"/>
        </row>
        <row r="5045">
          <cell r="A5045" t="str">
            <v>COMSAT RSI</v>
          </cell>
          <cell r="B5045" t="str">
            <v>P24A72GN-5</v>
          </cell>
          <cell r="O5045"/>
          <cell r="T5045"/>
        </row>
        <row r="5046">
          <cell r="A5046" t="str">
            <v>COMSAT RSI</v>
          </cell>
          <cell r="B5046" t="str">
            <v>P24A72GN1</v>
          </cell>
          <cell r="O5046"/>
          <cell r="T5046"/>
        </row>
        <row r="5047">
          <cell r="A5047" t="str">
            <v>COMSAT RSI</v>
          </cell>
          <cell r="B5047" t="str">
            <v>P24A72GV-4</v>
          </cell>
          <cell r="O5047"/>
          <cell r="T5047"/>
        </row>
        <row r="5048">
          <cell r="A5048" t="str">
            <v>COMSAT RSI</v>
          </cell>
          <cell r="B5048" t="str">
            <v>P25A36GN-U</v>
          </cell>
          <cell r="O5048"/>
          <cell r="T5048"/>
        </row>
        <row r="5049">
          <cell r="A5049" t="str">
            <v>COMSAT RSI</v>
          </cell>
          <cell r="B5049" t="str">
            <v>P29A36GN-U</v>
          </cell>
          <cell r="O5049"/>
          <cell r="T5049"/>
        </row>
        <row r="5050">
          <cell r="A5050" t="str">
            <v>COMSAT RSI</v>
          </cell>
          <cell r="B5050" t="str">
            <v>P2A36GN</v>
          </cell>
          <cell r="O5050"/>
          <cell r="T5050"/>
        </row>
        <row r="5051">
          <cell r="A5051" t="str">
            <v>COMSAT RSI</v>
          </cell>
          <cell r="B5051" t="str">
            <v>P5736GNU</v>
          </cell>
          <cell r="O5051"/>
          <cell r="T5051"/>
        </row>
        <row r="5052">
          <cell r="A5052" t="str">
            <v>COMSAT RSI</v>
          </cell>
          <cell r="B5052" t="str">
            <v>P5748GN-U</v>
          </cell>
          <cell r="O5052"/>
          <cell r="T5052"/>
        </row>
        <row r="5053">
          <cell r="A5053" t="str">
            <v>COMSAT RSI</v>
          </cell>
          <cell r="B5053" t="str">
            <v>P5748N-1</v>
          </cell>
          <cell r="O5053"/>
          <cell r="T5053"/>
        </row>
        <row r="5054">
          <cell r="A5054" t="str">
            <v>COMSAT RSI</v>
          </cell>
          <cell r="B5054" t="str">
            <v>P57624N-1</v>
          </cell>
          <cell r="O5054"/>
          <cell r="T5054"/>
        </row>
        <row r="5055">
          <cell r="A5055" t="str">
            <v>COMSAT RSI</v>
          </cell>
          <cell r="B5055" t="str">
            <v>P57A48-2</v>
          </cell>
          <cell r="O5055"/>
          <cell r="T5055"/>
        </row>
        <row r="5056">
          <cell r="A5056" t="str">
            <v>COMSAT RSI</v>
          </cell>
          <cell r="B5056" t="str">
            <v>P57A72N-1</v>
          </cell>
          <cell r="O5056"/>
          <cell r="T5056"/>
        </row>
        <row r="5057">
          <cell r="A5057" t="str">
            <v>COMSAT RSI</v>
          </cell>
          <cell r="B5057" t="str">
            <v>P57A72N-A</v>
          </cell>
          <cell r="O5057"/>
          <cell r="T5057"/>
        </row>
        <row r="5058">
          <cell r="A5058" t="str">
            <v>COMSAT RSI</v>
          </cell>
          <cell r="B5058" t="str">
            <v>P57A96N-8DISH</v>
          </cell>
          <cell r="O5058"/>
          <cell r="T5058"/>
        </row>
        <row r="5059">
          <cell r="A5059" t="str">
            <v>COMSAT RSI</v>
          </cell>
          <cell r="B5059" t="str">
            <v>P57B48N-U</v>
          </cell>
          <cell r="O5059"/>
          <cell r="T5059"/>
        </row>
        <row r="5060">
          <cell r="A5060" t="str">
            <v>COMSAT RSI</v>
          </cell>
          <cell r="B5060" t="str">
            <v>P57D48NU</v>
          </cell>
          <cell r="O5060"/>
          <cell r="T5060"/>
        </row>
        <row r="5061">
          <cell r="A5061" t="str">
            <v>COMSAT RSI</v>
          </cell>
          <cell r="B5061" t="str">
            <v>P60A72V-2</v>
          </cell>
          <cell r="O5061"/>
          <cell r="T5061"/>
        </row>
        <row r="5062">
          <cell r="A5062" t="str">
            <v>COMSAT RSI</v>
          </cell>
          <cell r="B5062" t="str">
            <v>P65A120L-2</v>
          </cell>
          <cell r="O5062"/>
          <cell r="T5062"/>
        </row>
        <row r="5063">
          <cell r="A5063" t="str">
            <v>COMSAT RSI</v>
          </cell>
          <cell r="B5063" t="str">
            <v>P65A72-72-DISH</v>
          </cell>
          <cell r="O5063"/>
          <cell r="T5063"/>
        </row>
        <row r="5064">
          <cell r="A5064" t="str">
            <v>COMSAT RSI</v>
          </cell>
          <cell r="B5064" t="str">
            <v>P7WA486N-1</v>
          </cell>
          <cell r="O5064"/>
          <cell r="T5064"/>
        </row>
        <row r="5065">
          <cell r="A5065" t="str">
            <v>COMSAT RSI</v>
          </cell>
          <cell r="B5065" t="str">
            <v>PA-21A72N-S</v>
          </cell>
          <cell r="O5065"/>
          <cell r="T5065"/>
        </row>
        <row r="5066">
          <cell r="A5066" t="str">
            <v>COMSAT RSI</v>
          </cell>
          <cell r="B5066" t="str">
            <v>PA-21B72G</v>
          </cell>
          <cell r="O5066"/>
          <cell r="T5066"/>
        </row>
        <row r="5067">
          <cell r="A5067" t="str">
            <v>COMSAT RSI</v>
          </cell>
          <cell r="B5067" t="str">
            <v>PA-21B72GF-S</v>
          </cell>
          <cell r="O5067"/>
          <cell r="T5067"/>
        </row>
        <row r="5068">
          <cell r="A5068" t="str">
            <v>COMSAT RSI</v>
          </cell>
          <cell r="B5068" t="str">
            <v>PA-21B72GF-U</v>
          </cell>
          <cell r="O5068"/>
          <cell r="T5068"/>
        </row>
        <row r="5069">
          <cell r="A5069" t="str">
            <v>COMSAT RSI</v>
          </cell>
          <cell r="B5069" t="str">
            <v>PA-21B72GP-S</v>
          </cell>
          <cell r="O5069"/>
          <cell r="T5069"/>
        </row>
        <row r="5070">
          <cell r="A5070" t="str">
            <v>COMSAT RSI</v>
          </cell>
          <cell r="B5070" t="str">
            <v>PA21A72L</v>
          </cell>
          <cell r="O5070"/>
          <cell r="T5070"/>
        </row>
        <row r="5071">
          <cell r="A5071" t="str">
            <v>COMSAT RSI</v>
          </cell>
          <cell r="B5071" t="str">
            <v>PC5-033-63-0</v>
          </cell>
          <cell r="O5071"/>
          <cell r="T5071"/>
        </row>
        <row r="5072">
          <cell r="A5072" t="str">
            <v>COMSAT RSI</v>
          </cell>
          <cell r="B5072" t="str">
            <v>PC55065-19-2</v>
          </cell>
          <cell r="O5072"/>
          <cell r="T5072"/>
        </row>
        <row r="5073">
          <cell r="A5073" t="str">
            <v>COMSAT RSI</v>
          </cell>
          <cell r="B5073" t="str">
            <v>PCA060-19-011</v>
          </cell>
          <cell r="O5073"/>
          <cell r="T5073"/>
        </row>
        <row r="5074">
          <cell r="A5074" t="str">
            <v>COMSAT RSI</v>
          </cell>
          <cell r="B5074" t="str">
            <v>PCA060-19-OH</v>
          </cell>
          <cell r="O5074"/>
          <cell r="T5074"/>
        </row>
        <row r="5075">
          <cell r="A5075" t="str">
            <v>COMSAT RSI</v>
          </cell>
          <cell r="B5075" t="str">
            <v>PCD0050-20</v>
          </cell>
          <cell r="O5075"/>
          <cell r="T5075"/>
        </row>
        <row r="5076">
          <cell r="A5076" t="str">
            <v>COMSAT RSI</v>
          </cell>
          <cell r="B5076" t="str">
            <v>PCDS090-20-2</v>
          </cell>
          <cell r="O5076"/>
          <cell r="T5076"/>
        </row>
        <row r="5077">
          <cell r="A5077" t="str">
            <v>COMSAT RSI</v>
          </cell>
          <cell r="B5077" t="str">
            <v>PCFA090-19-0</v>
          </cell>
          <cell r="O5077"/>
          <cell r="T5077"/>
        </row>
        <row r="5078">
          <cell r="A5078" t="str">
            <v>COMSAT RSI</v>
          </cell>
          <cell r="B5078" t="str">
            <v>PCS A060-19</v>
          </cell>
          <cell r="O5078"/>
          <cell r="T5078"/>
        </row>
        <row r="5079">
          <cell r="A5079" t="str">
            <v>COMSAT RSI</v>
          </cell>
          <cell r="B5079" t="str">
            <v>PCS A065-19-2</v>
          </cell>
          <cell r="O5079"/>
          <cell r="T5079"/>
        </row>
        <row r="5080">
          <cell r="A5080" t="str">
            <v>COMSAT RSI</v>
          </cell>
          <cell r="B5080" t="str">
            <v>PCS A090-16</v>
          </cell>
          <cell r="O5080"/>
          <cell r="T5080"/>
        </row>
        <row r="5081">
          <cell r="A5081" t="str">
            <v>COMSAT RSI</v>
          </cell>
          <cell r="B5081" t="str">
            <v>PCS D085-17-2</v>
          </cell>
          <cell r="O5081"/>
          <cell r="T5081"/>
        </row>
        <row r="5082">
          <cell r="A5082" t="str">
            <v>COMSAT RSI</v>
          </cell>
          <cell r="B5082" t="str">
            <v>PCS S-090-19</v>
          </cell>
          <cell r="O5082"/>
          <cell r="T5082"/>
        </row>
        <row r="5083">
          <cell r="A5083" t="str">
            <v>COMSAT RSI</v>
          </cell>
          <cell r="B5083" t="str">
            <v>PCS-065-9-2</v>
          </cell>
          <cell r="O5083"/>
          <cell r="T5083"/>
        </row>
        <row r="5084">
          <cell r="A5084" t="str">
            <v>COMSAT RSI</v>
          </cell>
          <cell r="B5084" t="str">
            <v>PCS-A033-19</v>
          </cell>
          <cell r="O5084"/>
          <cell r="T5084"/>
        </row>
        <row r="5085">
          <cell r="A5085" t="str">
            <v>COMSAT RSI</v>
          </cell>
          <cell r="B5085" t="str">
            <v>PCS0060-19-OH</v>
          </cell>
          <cell r="O5085"/>
          <cell r="T5085"/>
        </row>
        <row r="5086">
          <cell r="A5086" t="str">
            <v>COMSAT RSI</v>
          </cell>
          <cell r="B5086" t="str">
            <v>PCS0090-20-2</v>
          </cell>
          <cell r="O5086"/>
          <cell r="T5086"/>
        </row>
        <row r="5087">
          <cell r="A5087" t="str">
            <v>COMSAT RSI</v>
          </cell>
          <cell r="B5087" t="str">
            <v>PCS0601908</v>
          </cell>
          <cell r="O5087"/>
          <cell r="T5087"/>
        </row>
        <row r="5088">
          <cell r="A5088" t="str">
            <v>COMSAT RSI</v>
          </cell>
          <cell r="B5088" t="str">
            <v>PCS065-10-0</v>
          </cell>
          <cell r="O5088"/>
          <cell r="T5088"/>
        </row>
        <row r="5089">
          <cell r="A5089" t="str">
            <v>COMSAT RSI</v>
          </cell>
          <cell r="B5089" t="str">
            <v>PCS065-13-2</v>
          </cell>
          <cell r="O5089"/>
          <cell r="T5089"/>
        </row>
        <row r="5090">
          <cell r="A5090" t="str">
            <v>COMSAT RSI</v>
          </cell>
          <cell r="B5090" t="str">
            <v>PCS065-19-2</v>
          </cell>
          <cell r="O5090"/>
          <cell r="T5090"/>
        </row>
        <row r="5091">
          <cell r="A5091" t="str">
            <v>COMSAT RSI</v>
          </cell>
          <cell r="B5091" t="str">
            <v>PCS090-20-2</v>
          </cell>
          <cell r="O5091"/>
          <cell r="T5091"/>
        </row>
        <row r="5092">
          <cell r="A5092" t="str">
            <v>COMSAT RSI</v>
          </cell>
          <cell r="B5092" t="str">
            <v>PCS090.13.0</v>
          </cell>
          <cell r="O5092"/>
          <cell r="T5092"/>
        </row>
        <row r="5093">
          <cell r="A5093" t="str">
            <v>COMSAT RSI</v>
          </cell>
          <cell r="B5093" t="str">
            <v>PCS09019-0</v>
          </cell>
          <cell r="O5093"/>
          <cell r="T5093"/>
        </row>
        <row r="5094">
          <cell r="A5094" t="str">
            <v>COMSAT RSI</v>
          </cell>
          <cell r="B5094" t="str">
            <v>PCS360-2N</v>
          </cell>
          <cell r="O5094"/>
          <cell r="T5094"/>
        </row>
        <row r="5095">
          <cell r="A5095" t="str">
            <v>COMSAT RSI</v>
          </cell>
          <cell r="B5095" t="str">
            <v>PCS5090-19-2</v>
          </cell>
          <cell r="O5095"/>
          <cell r="T5095"/>
        </row>
        <row r="5096">
          <cell r="A5096" t="str">
            <v>COMSAT RSI</v>
          </cell>
          <cell r="B5096" t="str">
            <v>PCSA 19-0-2</v>
          </cell>
          <cell r="O5096"/>
          <cell r="T5096"/>
        </row>
        <row r="5097">
          <cell r="A5097" t="str">
            <v>COMSAT RSI</v>
          </cell>
          <cell r="B5097" t="str">
            <v>PCSA-090-19-0</v>
          </cell>
          <cell r="O5097"/>
          <cell r="T5097"/>
        </row>
        <row r="5098">
          <cell r="A5098" t="str">
            <v>COMSAT RSI</v>
          </cell>
          <cell r="B5098" t="str">
            <v>PCSA0090-19-0</v>
          </cell>
          <cell r="O5098"/>
          <cell r="T5098"/>
        </row>
        <row r="5099">
          <cell r="A5099" t="str">
            <v>COMSAT RSI</v>
          </cell>
          <cell r="B5099" t="str">
            <v>PCSA030-09-0</v>
          </cell>
          <cell r="O5099"/>
          <cell r="T5099"/>
        </row>
        <row r="5100">
          <cell r="A5100" t="str">
            <v>COMSAT RSI</v>
          </cell>
          <cell r="B5100" t="str">
            <v>PCSA030-19-0</v>
          </cell>
          <cell r="O5100"/>
          <cell r="T5100"/>
        </row>
        <row r="5101">
          <cell r="A5101" t="str">
            <v>COMSAT RSI</v>
          </cell>
          <cell r="B5101" t="str">
            <v>PCSA033-13-0</v>
          </cell>
          <cell r="O5101"/>
          <cell r="T5101"/>
        </row>
        <row r="5102">
          <cell r="A5102" t="str">
            <v>COMSAT RSI</v>
          </cell>
          <cell r="B5102" t="str">
            <v>PCSA033-19-0</v>
          </cell>
          <cell r="O5102"/>
          <cell r="T5102"/>
        </row>
        <row r="5103">
          <cell r="A5103" t="str">
            <v>COMSAT RSI</v>
          </cell>
          <cell r="B5103" t="str">
            <v>PCSA033-19Y</v>
          </cell>
          <cell r="O5103"/>
          <cell r="T5103"/>
        </row>
        <row r="5104">
          <cell r="A5104" t="str">
            <v>COMSAT RSI</v>
          </cell>
          <cell r="B5104" t="str">
            <v>PCSA060-030-0</v>
          </cell>
          <cell r="O5104"/>
          <cell r="T5104"/>
        </row>
        <row r="5105">
          <cell r="A5105" t="str">
            <v>COMSAT RSI</v>
          </cell>
          <cell r="B5105" t="str">
            <v>PCSA060-1-19-0H</v>
          </cell>
          <cell r="O5105"/>
          <cell r="T5105"/>
        </row>
        <row r="5106">
          <cell r="A5106" t="str">
            <v>COMSAT RSI</v>
          </cell>
          <cell r="B5106" t="str">
            <v>PCSA060-16-00</v>
          </cell>
          <cell r="O5106"/>
          <cell r="T5106"/>
        </row>
        <row r="5107">
          <cell r="A5107" t="str">
            <v>COMSAT RSI</v>
          </cell>
          <cell r="B5107" t="str">
            <v>PCSA060-19-00</v>
          </cell>
          <cell r="O5107"/>
          <cell r="T5107"/>
        </row>
        <row r="5108">
          <cell r="A5108" t="str">
            <v>COMSAT RSI</v>
          </cell>
          <cell r="B5108" t="str">
            <v>PCSA060-19-011</v>
          </cell>
          <cell r="O5108"/>
          <cell r="T5108"/>
        </row>
        <row r="5109">
          <cell r="A5109" t="str">
            <v>COMSAT RSI</v>
          </cell>
          <cell r="B5109" t="str">
            <v>PCSA060-19-045</v>
          </cell>
          <cell r="O5109"/>
          <cell r="T5109"/>
        </row>
        <row r="5110">
          <cell r="A5110" t="str">
            <v>COMSAT RSI</v>
          </cell>
          <cell r="B5110" t="str">
            <v>PCSA060-19-0H</v>
          </cell>
          <cell r="O5110"/>
          <cell r="T5110"/>
        </row>
        <row r="5111">
          <cell r="A5111" t="str">
            <v>COMSAT RSI</v>
          </cell>
          <cell r="B5111" t="str">
            <v>PCSA060-19-OH</v>
          </cell>
          <cell r="O5111"/>
          <cell r="T5111"/>
        </row>
        <row r="5112">
          <cell r="A5112" t="str">
            <v>COMSAT RSI</v>
          </cell>
          <cell r="B5112" t="str">
            <v>PCSA060F9208</v>
          </cell>
          <cell r="O5112"/>
          <cell r="T5112"/>
        </row>
        <row r="5113">
          <cell r="A5113" t="str">
            <v>COMSAT RSI</v>
          </cell>
          <cell r="B5113" t="str">
            <v>PCSA065</v>
          </cell>
          <cell r="O5113"/>
          <cell r="T5113"/>
        </row>
        <row r="5114">
          <cell r="A5114" t="str">
            <v>COMSAT RSI</v>
          </cell>
          <cell r="B5114" t="str">
            <v>PCSA065-16-00</v>
          </cell>
          <cell r="O5114">
            <v>3.5918214699074102</v>
          </cell>
          <cell r="T5114">
            <v>3.1120298854238495</v>
          </cell>
        </row>
        <row r="5115">
          <cell r="A5115" t="str">
            <v>COMSAT RSI</v>
          </cell>
          <cell r="B5115" t="str">
            <v>PCSA065-16-02</v>
          </cell>
          <cell r="O5115"/>
          <cell r="T5115"/>
        </row>
        <row r="5116">
          <cell r="A5116" t="str">
            <v>COMSAT RSI</v>
          </cell>
          <cell r="B5116" t="str">
            <v>PCSA065-19</v>
          </cell>
          <cell r="O5116"/>
          <cell r="T5116"/>
        </row>
        <row r="5117">
          <cell r="A5117" t="str">
            <v>COMSAT RSI</v>
          </cell>
          <cell r="B5117" t="str">
            <v>PCSA065-19-0</v>
          </cell>
          <cell r="O5117">
            <v>4.33875626929012</v>
          </cell>
          <cell r="T5117">
            <v>3.75611920945942</v>
          </cell>
        </row>
        <row r="5118">
          <cell r="A5118" t="str">
            <v>COMSAT RSI</v>
          </cell>
          <cell r="B5118" t="str">
            <v>PCSA065-19-2</v>
          </cell>
          <cell r="O5118">
            <v>4.33875626929012</v>
          </cell>
          <cell r="T5118">
            <v>3.75611920945942</v>
          </cell>
        </row>
        <row r="5119">
          <cell r="A5119" t="str">
            <v>COMSAT RSI</v>
          </cell>
          <cell r="B5119" t="str">
            <v>PCSA065-19-O</v>
          </cell>
          <cell r="O5119"/>
          <cell r="T5119"/>
        </row>
        <row r="5120">
          <cell r="A5120" t="str">
            <v>COMSAT RSI</v>
          </cell>
          <cell r="B5120" t="str">
            <v>PCSA065-19-OH</v>
          </cell>
          <cell r="O5120"/>
          <cell r="T5120"/>
        </row>
        <row r="5121">
          <cell r="A5121" t="str">
            <v>COMSAT RSI</v>
          </cell>
          <cell r="B5121" t="str">
            <v>PCSA065-190</v>
          </cell>
          <cell r="O5121"/>
          <cell r="T5121"/>
        </row>
        <row r="5122">
          <cell r="A5122" t="str">
            <v>COMSAT RSI</v>
          </cell>
          <cell r="B5122" t="str">
            <v>PCSA080-19-OH</v>
          </cell>
          <cell r="O5122"/>
          <cell r="T5122"/>
        </row>
        <row r="5123">
          <cell r="A5123" t="str">
            <v>COMSAT RSI</v>
          </cell>
          <cell r="B5123" t="str">
            <v>PCSA090-13-0</v>
          </cell>
          <cell r="O5123">
            <v>3.4816729359567899</v>
          </cell>
          <cell r="T5123">
            <v>2.3204588161258197</v>
          </cell>
        </row>
        <row r="5124">
          <cell r="A5124" t="str">
            <v>COMSAT RSI</v>
          </cell>
          <cell r="B5124" t="str">
            <v>PCSA090-16-0</v>
          </cell>
          <cell r="O5124"/>
          <cell r="T5124"/>
        </row>
        <row r="5125">
          <cell r="A5125" t="str">
            <v>COMSAT RSI</v>
          </cell>
          <cell r="B5125" t="str">
            <v>PCSA090-16-2</v>
          </cell>
          <cell r="O5125"/>
          <cell r="T5125"/>
        </row>
        <row r="5126">
          <cell r="A5126" t="str">
            <v>COMSAT RSI</v>
          </cell>
          <cell r="B5126" t="str">
            <v>PCSA090-19-0</v>
          </cell>
          <cell r="O5126">
            <v>5.2113985339506197</v>
          </cell>
          <cell r="T5126">
            <v>3.4665948450975597</v>
          </cell>
        </row>
        <row r="5127">
          <cell r="A5127" t="str">
            <v>COMSAT RSI</v>
          </cell>
          <cell r="B5127" t="str">
            <v>PCSA090-19-02</v>
          </cell>
          <cell r="O5127">
            <v>5.2113985339506197</v>
          </cell>
          <cell r="T5127">
            <v>3.4665948450975597</v>
          </cell>
        </row>
        <row r="5128">
          <cell r="A5128" t="str">
            <v>COMSAT RSI</v>
          </cell>
          <cell r="B5128" t="str">
            <v>PCSA0901-0</v>
          </cell>
          <cell r="O5128"/>
          <cell r="T5128"/>
        </row>
        <row r="5129">
          <cell r="A5129" t="str">
            <v>COMSAT RSI</v>
          </cell>
          <cell r="B5129" t="str">
            <v>PCSA09013</v>
          </cell>
          <cell r="O5129"/>
          <cell r="T5129"/>
        </row>
        <row r="5130">
          <cell r="A5130" t="str">
            <v>COMSAT RSI</v>
          </cell>
          <cell r="B5130" t="str">
            <v>PCSA09019-0</v>
          </cell>
          <cell r="O5130"/>
          <cell r="T5130"/>
        </row>
        <row r="5131">
          <cell r="A5131" t="str">
            <v>COMSAT RSI</v>
          </cell>
          <cell r="B5131" t="str">
            <v>PCSA090190-0</v>
          </cell>
          <cell r="O5131"/>
          <cell r="T5131"/>
        </row>
        <row r="5132">
          <cell r="A5132" t="str">
            <v>COMSAT RSI</v>
          </cell>
          <cell r="B5132" t="str">
            <v>PCSA0A013-2</v>
          </cell>
          <cell r="O5132"/>
          <cell r="T5132"/>
        </row>
        <row r="5133">
          <cell r="A5133" t="str">
            <v>COMSAT RSI</v>
          </cell>
          <cell r="B5133" t="str">
            <v>PCSA105-13-2</v>
          </cell>
          <cell r="O5133">
            <v>2.8162196180555599</v>
          </cell>
          <cell r="T5133">
            <v>1.90710018495808</v>
          </cell>
        </row>
        <row r="5134">
          <cell r="A5134" t="str">
            <v>COMSAT RSI</v>
          </cell>
          <cell r="B5134" t="str">
            <v>PCSA105-19-2</v>
          </cell>
          <cell r="O5134"/>
          <cell r="T5134"/>
        </row>
        <row r="5135">
          <cell r="A5135" t="str">
            <v>COMSAT RSI</v>
          </cell>
          <cell r="B5135" t="str">
            <v>PCSA115-19-0</v>
          </cell>
          <cell r="O5135"/>
          <cell r="T5135"/>
        </row>
        <row r="5136">
          <cell r="A5136" t="str">
            <v>COMSAT RSI</v>
          </cell>
          <cell r="B5136" t="str">
            <v>PCSAO65-19-OH</v>
          </cell>
          <cell r="O5136"/>
          <cell r="T5136"/>
        </row>
        <row r="5137">
          <cell r="A5137" t="str">
            <v>COMSAT RSI</v>
          </cell>
          <cell r="B5137" t="str">
            <v>PCSB360-252</v>
          </cell>
          <cell r="O5137"/>
          <cell r="T5137"/>
        </row>
        <row r="5138">
          <cell r="A5138" t="str">
            <v>COMSAT RSI</v>
          </cell>
          <cell r="B5138" t="str">
            <v>PCSC 360-25-2</v>
          </cell>
          <cell r="O5138"/>
          <cell r="T5138"/>
        </row>
        <row r="5139">
          <cell r="A5139" t="str">
            <v>COMSAT RSI</v>
          </cell>
          <cell r="B5139" t="str">
            <v>PCSC-360-25-2</v>
          </cell>
          <cell r="O5139"/>
          <cell r="T5139"/>
        </row>
        <row r="5140">
          <cell r="A5140" t="str">
            <v>COMSAT RSI</v>
          </cell>
          <cell r="B5140" t="str">
            <v>PCSD08-17-2</v>
          </cell>
          <cell r="O5140"/>
          <cell r="T5140"/>
        </row>
        <row r="5141">
          <cell r="A5141" t="str">
            <v>COMSAT RSI</v>
          </cell>
          <cell r="B5141" t="str">
            <v>PCSD085-17-2</v>
          </cell>
          <cell r="O5141"/>
          <cell r="T5141"/>
        </row>
        <row r="5142">
          <cell r="A5142" t="str">
            <v>COMSAT RSI</v>
          </cell>
          <cell r="B5142" t="str">
            <v>PCSD085-742</v>
          </cell>
          <cell r="O5142"/>
          <cell r="T5142"/>
        </row>
        <row r="5143">
          <cell r="A5143" t="str">
            <v>COMSAT RSI</v>
          </cell>
          <cell r="B5143" t="str">
            <v>PCSD090-20-2</v>
          </cell>
          <cell r="O5143"/>
          <cell r="T5143"/>
        </row>
        <row r="5144">
          <cell r="A5144" t="str">
            <v>COMSAT RSI</v>
          </cell>
          <cell r="B5144" t="str">
            <v>PCSS 090-190</v>
          </cell>
          <cell r="O5144"/>
          <cell r="T5144"/>
        </row>
        <row r="5145">
          <cell r="A5145" t="str">
            <v>COMSAT RSI</v>
          </cell>
          <cell r="B5145" t="str">
            <v>PCSS065-10-5</v>
          </cell>
          <cell r="O5145"/>
          <cell r="T5145"/>
        </row>
        <row r="5146">
          <cell r="A5146" t="str">
            <v>COMSAT RSI</v>
          </cell>
          <cell r="B5146" t="str">
            <v>PCSS065-13-2</v>
          </cell>
          <cell r="O5146">
            <v>2.2263340390281003</v>
          </cell>
          <cell r="T5146">
            <v>0.45036226411069002</v>
          </cell>
        </row>
        <row r="5147">
          <cell r="A5147" t="str">
            <v>COMSAT RSI</v>
          </cell>
          <cell r="B5147" t="str">
            <v>PCSS090-12-2</v>
          </cell>
          <cell r="O5147"/>
          <cell r="T5147"/>
        </row>
        <row r="5148">
          <cell r="A5148" t="str">
            <v>COMSAT RSI</v>
          </cell>
          <cell r="B5148" t="str">
            <v>PCSS09013-2</v>
          </cell>
          <cell r="O5148"/>
          <cell r="T5148"/>
        </row>
        <row r="5149">
          <cell r="A5149" t="str">
            <v>COMSAT RSI</v>
          </cell>
          <cell r="B5149" t="str">
            <v>PCSX 065-18-00DP</v>
          </cell>
          <cell r="O5149"/>
          <cell r="T5149"/>
        </row>
        <row r="5150">
          <cell r="A5150" t="str">
            <v>COMSAT RSI</v>
          </cell>
          <cell r="B5150" t="str">
            <v>PCSX065-18-0</v>
          </cell>
          <cell r="O5150"/>
          <cell r="T5150"/>
        </row>
        <row r="5151">
          <cell r="A5151" t="str">
            <v>COMSAT RSI</v>
          </cell>
          <cell r="B5151" t="str">
            <v>PCSX065-18-2</v>
          </cell>
          <cell r="O5151"/>
          <cell r="T5151"/>
        </row>
        <row r="5152">
          <cell r="A5152" t="str">
            <v>COMSAT RSI</v>
          </cell>
          <cell r="B5152" t="str">
            <v>PCSX085-182</v>
          </cell>
          <cell r="O5152"/>
          <cell r="T5152"/>
        </row>
        <row r="5153">
          <cell r="A5153" t="str">
            <v>COMSAT RSI</v>
          </cell>
          <cell r="B5153" t="str">
            <v>PCSX08518-0</v>
          </cell>
          <cell r="O5153"/>
          <cell r="T5153"/>
        </row>
        <row r="5154">
          <cell r="A5154" t="str">
            <v>COMSAT RSI</v>
          </cell>
          <cell r="B5154" t="str">
            <v>PCSX65-18-00DP</v>
          </cell>
          <cell r="O5154"/>
          <cell r="T5154"/>
        </row>
        <row r="5155">
          <cell r="A5155" t="str">
            <v>COMSAT RSI</v>
          </cell>
          <cell r="B5155" t="str">
            <v>PCX65-18-00DP</v>
          </cell>
          <cell r="O5155"/>
          <cell r="T5155"/>
        </row>
        <row r="5156">
          <cell r="A5156" t="str">
            <v>COMSAT RSI</v>
          </cell>
          <cell r="B5156" t="str">
            <v>PFP-1584</v>
          </cell>
          <cell r="O5156"/>
          <cell r="T5156"/>
        </row>
        <row r="5157">
          <cell r="A5157" t="str">
            <v>COMSAT RSI</v>
          </cell>
          <cell r="B5157" t="str">
            <v>PG55090-130</v>
          </cell>
          <cell r="O5157"/>
          <cell r="T5157"/>
        </row>
        <row r="5158">
          <cell r="A5158" t="str">
            <v>COMSAT RSI</v>
          </cell>
          <cell r="B5158" t="str">
            <v>PS66762</v>
          </cell>
          <cell r="O5158"/>
          <cell r="T5158"/>
        </row>
        <row r="5159">
          <cell r="A5159" t="str">
            <v>COMSAT RSI</v>
          </cell>
          <cell r="B5159" t="str">
            <v>PSA-090-19-0</v>
          </cell>
          <cell r="O5159"/>
          <cell r="T5159"/>
        </row>
        <row r="5160">
          <cell r="A5160" t="str">
            <v>COMSAT RSI</v>
          </cell>
          <cell r="B5160" t="str">
            <v>PSA033-13-2</v>
          </cell>
          <cell r="O5160"/>
          <cell r="T5160"/>
        </row>
        <row r="5161">
          <cell r="A5161" t="str">
            <v>COMSAT RSI</v>
          </cell>
          <cell r="B5161" t="str">
            <v>PSA033-19-0</v>
          </cell>
          <cell r="O5161"/>
          <cell r="T5161"/>
        </row>
        <row r="5162">
          <cell r="A5162" t="str">
            <v>COMSAT RSI</v>
          </cell>
          <cell r="B5162" t="str">
            <v>PSA065-19-0</v>
          </cell>
          <cell r="O5162"/>
          <cell r="T5162"/>
        </row>
        <row r="5163">
          <cell r="A5163" t="str">
            <v>COMSAT RSI</v>
          </cell>
          <cell r="B5163" t="str">
            <v>PSC8065-19-0</v>
          </cell>
          <cell r="O5163"/>
          <cell r="T5163"/>
        </row>
        <row r="5164">
          <cell r="A5164" t="str">
            <v>COMSAT RSI</v>
          </cell>
          <cell r="B5164" t="str">
            <v>PSX033-18-00DP</v>
          </cell>
          <cell r="O5164"/>
          <cell r="T5164"/>
        </row>
        <row r="5165">
          <cell r="A5165" t="str">
            <v>COMSAT RSI</v>
          </cell>
          <cell r="B5165" t="str">
            <v>PT-65A96-S</v>
          </cell>
          <cell r="O5165"/>
          <cell r="T5165"/>
        </row>
        <row r="5166">
          <cell r="A5166" t="str">
            <v>COMSAT RSI</v>
          </cell>
          <cell r="B5166" t="str">
            <v>PT22W96N-2</v>
          </cell>
          <cell r="O5166"/>
          <cell r="T5166"/>
        </row>
        <row r="5167">
          <cell r="A5167" t="str">
            <v>COMSAT RSI</v>
          </cell>
          <cell r="B5167" t="str">
            <v>PZSS090-190</v>
          </cell>
          <cell r="O5167"/>
          <cell r="T5167"/>
        </row>
        <row r="5168">
          <cell r="A5168" t="str">
            <v>COMSAT RSI</v>
          </cell>
          <cell r="B5168" t="str">
            <v>SSI806302P270_3</v>
          </cell>
          <cell r="O5168"/>
          <cell r="T5168"/>
        </row>
        <row r="5169">
          <cell r="A5169" t="str">
            <v>COMSAT RSI</v>
          </cell>
          <cell r="B5169" t="str">
            <v>SSI806302P270_4</v>
          </cell>
          <cell r="O5169"/>
          <cell r="T5169"/>
        </row>
        <row r="5170">
          <cell r="A5170" t="str">
            <v>COMSAT RSI</v>
          </cell>
          <cell r="B5170" t="str">
            <v>SSI806627-5</v>
          </cell>
          <cell r="O5170"/>
          <cell r="T5170"/>
        </row>
        <row r="5171">
          <cell r="A5171" t="str">
            <v>COMSAT RSI</v>
          </cell>
          <cell r="B5171" t="str">
            <v>SSI806628P108</v>
          </cell>
          <cell r="O5171"/>
          <cell r="T5171"/>
        </row>
        <row r="5172">
          <cell r="A5172" t="str">
            <v>COMSAT RSI</v>
          </cell>
          <cell r="B5172" t="str">
            <v>SSI806841P111</v>
          </cell>
          <cell r="O5172"/>
          <cell r="T5172"/>
        </row>
        <row r="5173">
          <cell r="A5173" t="str">
            <v>COMSAT RSI</v>
          </cell>
          <cell r="B5173" t="str">
            <v>SSI809161G220</v>
          </cell>
          <cell r="O5173"/>
          <cell r="T5173"/>
        </row>
        <row r="5174">
          <cell r="A5174" t="str">
            <v>COMSAT RSI</v>
          </cell>
          <cell r="B5174" t="str">
            <v>SSI809233P248</v>
          </cell>
          <cell r="O5174"/>
          <cell r="T5174"/>
        </row>
        <row r="5175">
          <cell r="A5175" t="str">
            <v>COMSAT RSI</v>
          </cell>
          <cell r="B5175" t="str">
            <v>SSI809288-6PANEL</v>
          </cell>
          <cell r="O5175"/>
          <cell r="T5175"/>
        </row>
        <row r="5176">
          <cell r="A5176" t="str">
            <v>COMSAT RSI</v>
          </cell>
          <cell r="B5176" t="str">
            <v>SSI809302P270_1</v>
          </cell>
          <cell r="O5176"/>
          <cell r="T5176"/>
        </row>
        <row r="5177">
          <cell r="A5177" t="str">
            <v>COMSAT RSI</v>
          </cell>
          <cell r="B5177" t="str">
            <v>SSI809302P270_2</v>
          </cell>
          <cell r="O5177"/>
          <cell r="T5177"/>
        </row>
        <row r="5178">
          <cell r="A5178" t="str">
            <v>COMSAT RSI</v>
          </cell>
          <cell r="B5178" t="str">
            <v>SSI809302P270_5</v>
          </cell>
          <cell r="O5178"/>
          <cell r="T5178"/>
        </row>
        <row r="5179">
          <cell r="A5179" t="str">
            <v>COMSAT RSI</v>
          </cell>
          <cell r="B5179" t="str">
            <v>SSI809302P270_6</v>
          </cell>
          <cell r="O5179"/>
          <cell r="T5179"/>
        </row>
        <row r="5180">
          <cell r="A5180" t="str">
            <v>COMSAT RSI</v>
          </cell>
          <cell r="B5180" t="str">
            <v>SSI809302P295_7</v>
          </cell>
          <cell r="O5180"/>
          <cell r="T5180"/>
        </row>
        <row r="5181">
          <cell r="A5181" t="str">
            <v>COMSAT RSI</v>
          </cell>
          <cell r="B5181" t="str">
            <v>SSI809302P295_8</v>
          </cell>
          <cell r="O5181"/>
          <cell r="T5181"/>
        </row>
        <row r="5182">
          <cell r="A5182" t="str">
            <v>COMSAT RSI</v>
          </cell>
          <cell r="B5182" t="str">
            <v>SSI809302P295_9</v>
          </cell>
          <cell r="O5182"/>
          <cell r="T5182"/>
        </row>
        <row r="5183">
          <cell r="A5183" t="str">
            <v>COMSAT RSI</v>
          </cell>
          <cell r="B5183" t="str">
            <v>SSI809302P305_10</v>
          </cell>
          <cell r="O5183"/>
          <cell r="T5183"/>
        </row>
        <row r="5184">
          <cell r="A5184" t="str">
            <v>COMSAT RSI</v>
          </cell>
          <cell r="B5184" t="str">
            <v>SSI809302P305_11</v>
          </cell>
          <cell r="O5184"/>
          <cell r="T5184"/>
        </row>
        <row r="5185">
          <cell r="A5185" t="str">
            <v>COMSAT RSI</v>
          </cell>
          <cell r="B5185" t="str">
            <v>SSI809302P305_12</v>
          </cell>
          <cell r="O5185"/>
          <cell r="T5185"/>
        </row>
        <row r="5186">
          <cell r="A5186" t="str">
            <v>COMSAT RSI</v>
          </cell>
          <cell r="B5186" t="str">
            <v>SSI809513G216_7</v>
          </cell>
          <cell r="O5186"/>
          <cell r="T5186"/>
        </row>
        <row r="5187">
          <cell r="A5187" t="str">
            <v>COMSAT RSI</v>
          </cell>
          <cell r="B5187" t="str">
            <v>SSI811936-4PANEL</v>
          </cell>
          <cell r="O5187"/>
          <cell r="T5187"/>
        </row>
        <row r="5188">
          <cell r="A5188" t="str">
            <v>COMSAT RSI</v>
          </cell>
          <cell r="B5188" t="str">
            <v>SSI812217-5PANEL</v>
          </cell>
          <cell r="O5188"/>
          <cell r="T5188"/>
        </row>
        <row r="5189">
          <cell r="A5189" t="str">
            <v>COMSAT RSI</v>
          </cell>
          <cell r="B5189" t="str">
            <v>SSI812449P163</v>
          </cell>
          <cell r="O5189"/>
          <cell r="T5189"/>
        </row>
        <row r="5190">
          <cell r="A5190" t="str">
            <v>COMSAT RSI</v>
          </cell>
          <cell r="B5190" t="str">
            <v>SSI813537P298</v>
          </cell>
          <cell r="O5190"/>
          <cell r="T5190"/>
        </row>
        <row r="5191">
          <cell r="A5191" t="str">
            <v>COMSAT RSI</v>
          </cell>
          <cell r="B5191" t="str">
            <v>SSI814735G118</v>
          </cell>
          <cell r="O5191"/>
          <cell r="T5191"/>
        </row>
        <row r="5192">
          <cell r="A5192" t="str">
            <v>COMSAT RSI</v>
          </cell>
          <cell r="B5192" t="str">
            <v>SSI814997P241</v>
          </cell>
          <cell r="O5192"/>
          <cell r="T5192"/>
        </row>
        <row r="5193">
          <cell r="A5193" t="str">
            <v>COMSAT RSI</v>
          </cell>
          <cell r="B5193" t="str">
            <v>SSI815651P76</v>
          </cell>
          <cell r="O5193"/>
          <cell r="T5193"/>
        </row>
        <row r="5194">
          <cell r="A5194" t="str">
            <v>COMSAT RSI</v>
          </cell>
          <cell r="B5194" t="str">
            <v>SSI816325P190</v>
          </cell>
          <cell r="O5194"/>
          <cell r="T5194"/>
        </row>
        <row r="5195">
          <cell r="A5195" t="str">
            <v>COMSAT RSI</v>
          </cell>
          <cell r="B5195" t="str">
            <v>SSI816330-5 DISH</v>
          </cell>
          <cell r="O5195"/>
          <cell r="T5195"/>
        </row>
        <row r="5196">
          <cell r="A5196" t="str">
            <v>COMSAT RSI</v>
          </cell>
          <cell r="B5196" t="str">
            <v>SSI816340-6PAN2</v>
          </cell>
          <cell r="O5196"/>
          <cell r="T5196"/>
        </row>
        <row r="5197">
          <cell r="A5197" t="str">
            <v>COMSAT RSI</v>
          </cell>
          <cell r="B5197" t="str">
            <v>SSI816345M144</v>
          </cell>
          <cell r="O5197"/>
          <cell r="T5197"/>
        </row>
        <row r="5198">
          <cell r="A5198" t="str">
            <v>COMSAT RSI</v>
          </cell>
          <cell r="B5198" t="str">
            <v>SSI816345M145</v>
          </cell>
          <cell r="O5198"/>
          <cell r="T5198"/>
        </row>
        <row r="5199">
          <cell r="A5199" t="str">
            <v>COMSAT RSI</v>
          </cell>
          <cell r="B5199" t="str">
            <v>SSI816349P146_1</v>
          </cell>
          <cell r="O5199"/>
          <cell r="T5199"/>
        </row>
        <row r="5200">
          <cell r="A5200" t="str">
            <v>COMSAT RSI</v>
          </cell>
          <cell r="B5200" t="str">
            <v>SSI816367-6PANEL</v>
          </cell>
          <cell r="O5200"/>
          <cell r="T5200"/>
        </row>
        <row r="5201">
          <cell r="A5201" t="str">
            <v>COMSAT RSI</v>
          </cell>
          <cell r="B5201" t="str">
            <v>SSI816407P118_1</v>
          </cell>
          <cell r="O5201"/>
          <cell r="T5201"/>
        </row>
        <row r="5202">
          <cell r="A5202" t="str">
            <v>COMSAT RSI</v>
          </cell>
          <cell r="B5202" t="str">
            <v>SSI816423-6PANEL</v>
          </cell>
          <cell r="O5202"/>
          <cell r="T5202"/>
        </row>
        <row r="5203">
          <cell r="A5203" t="str">
            <v>COMSAT RSI</v>
          </cell>
          <cell r="B5203" t="str">
            <v>SSI816498-2.25PANEL</v>
          </cell>
          <cell r="O5203"/>
          <cell r="T5203"/>
        </row>
        <row r="5204">
          <cell r="A5204" t="str">
            <v>COMSAT RSI</v>
          </cell>
          <cell r="B5204" t="str">
            <v>T65A96LS</v>
          </cell>
          <cell r="O5204"/>
          <cell r="T5204"/>
        </row>
        <row r="5205">
          <cell r="A5205" t="str">
            <v>COMSAT RSI</v>
          </cell>
          <cell r="B5205" t="str">
            <v>T7H412N-2</v>
          </cell>
          <cell r="O5205"/>
          <cell r="T5205"/>
        </row>
        <row r="5206">
          <cell r="A5206" t="str">
            <v>COMSAT RSI</v>
          </cell>
          <cell r="B5206" t="str">
            <v>UND-14A76H-1G-D2</v>
          </cell>
          <cell r="O5206"/>
          <cell r="T5206"/>
        </row>
        <row r="5207">
          <cell r="A5207" t="str">
            <v>COMTELCO</v>
          </cell>
          <cell r="B5207" t="str">
            <v>2Y33810CC</v>
          </cell>
          <cell r="O5207"/>
          <cell r="T5207"/>
        </row>
        <row r="5208">
          <cell r="A5208" t="str">
            <v>COMTELCO</v>
          </cell>
          <cell r="B5208" t="str">
            <v>BS-130 U</v>
          </cell>
          <cell r="O5208"/>
          <cell r="T5208"/>
        </row>
        <row r="5209">
          <cell r="A5209" t="str">
            <v>COMTELCO</v>
          </cell>
          <cell r="B5209" t="str">
            <v>BS1850XL6</v>
          </cell>
          <cell r="O5209"/>
          <cell r="T5209"/>
        </row>
        <row r="5210">
          <cell r="A5210" t="str">
            <v>COMTELCO</v>
          </cell>
          <cell r="B5210" t="str">
            <v>BS900HP</v>
          </cell>
          <cell r="O5210"/>
          <cell r="T5210"/>
        </row>
        <row r="5211">
          <cell r="A5211" t="str">
            <v>COMTELCO</v>
          </cell>
          <cell r="B5211" t="str">
            <v>BSDB18U8</v>
          </cell>
          <cell r="O5211"/>
          <cell r="T5211"/>
        </row>
        <row r="5212">
          <cell r="A5212" t="str">
            <v>COMTELCO</v>
          </cell>
          <cell r="B5212" t="str">
            <v>BSL150XL3-A</v>
          </cell>
          <cell r="O5212"/>
          <cell r="T5212"/>
        </row>
        <row r="5213">
          <cell r="A5213" t="str">
            <v>COMTELCO</v>
          </cell>
          <cell r="B5213" t="str">
            <v>BSL150XL3-B</v>
          </cell>
          <cell r="O5213"/>
          <cell r="T5213"/>
        </row>
        <row r="5214">
          <cell r="A5214" t="str">
            <v>COMTELCO</v>
          </cell>
          <cell r="B5214" t="str">
            <v>BSL150XL3-C</v>
          </cell>
          <cell r="O5214"/>
          <cell r="T5214"/>
        </row>
        <row r="5215">
          <cell r="A5215" t="str">
            <v>COMTELCO</v>
          </cell>
          <cell r="B5215" t="str">
            <v>BSL450XL6</v>
          </cell>
          <cell r="O5215"/>
          <cell r="T5215"/>
        </row>
        <row r="5216">
          <cell r="A5216" t="str">
            <v>COMTELCO</v>
          </cell>
          <cell r="B5216" t="str">
            <v>BSL450XL6-C</v>
          </cell>
          <cell r="O5216"/>
          <cell r="T5216"/>
        </row>
        <row r="5217">
          <cell r="A5217" t="str">
            <v>COMTELCO</v>
          </cell>
          <cell r="B5217" t="str">
            <v>BSLL450XL4.5</v>
          </cell>
          <cell r="O5217"/>
          <cell r="T5217"/>
        </row>
        <row r="5218">
          <cell r="A5218" t="str">
            <v>COMTELCO</v>
          </cell>
          <cell r="B5218" t="str">
            <v>Y22915-915</v>
          </cell>
          <cell r="O5218"/>
          <cell r="T5218"/>
        </row>
        <row r="5219">
          <cell r="A5219" t="str">
            <v>CONCEAL FAB</v>
          </cell>
          <cell r="B5219" t="str">
            <v>900422</v>
          </cell>
          <cell r="O5219"/>
          <cell r="T5219"/>
        </row>
        <row r="5220">
          <cell r="A5220" t="str">
            <v>CONTROP</v>
          </cell>
          <cell r="B5220" t="str">
            <v>IMS1 PAYLOAD ICD</v>
          </cell>
          <cell r="O5220"/>
          <cell r="T5220"/>
        </row>
        <row r="5221">
          <cell r="A5221" t="str">
            <v>COOPER LIGHTING SOLUTIONS</v>
          </cell>
          <cell r="B5221" t="str">
            <v>Ephesus All Field</v>
          </cell>
          <cell r="O5221"/>
          <cell r="T5221"/>
        </row>
        <row r="5222">
          <cell r="A5222" t="str">
            <v>COOPER LIGHTING SOLUTIONS</v>
          </cell>
          <cell r="B5222" t="str">
            <v>LUMASPORT PRISM</v>
          </cell>
          <cell r="O5222"/>
          <cell r="T5222"/>
        </row>
        <row r="5223">
          <cell r="A5223" t="str">
            <v>COPPER LABS INC</v>
          </cell>
          <cell r="B5223" t="str">
            <v>COPPER CUBE</v>
          </cell>
          <cell r="O5223"/>
          <cell r="T5223"/>
        </row>
        <row r="5224">
          <cell r="A5224" t="str">
            <v>CPI</v>
          </cell>
          <cell r="B5224" t="str">
            <v>CPI-VO10-2K_202410</v>
          </cell>
          <cell r="O5224"/>
          <cell r="T5224"/>
        </row>
        <row r="5225">
          <cell r="A5225" t="str">
            <v>CROWN</v>
          </cell>
          <cell r="B5225" t="str">
            <v>ICE SHIELD_LARGE</v>
          </cell>
          <cell r="O5225"/>
          <cell r="T5225"/>
        </row>
        <row r="5226">
          <cell r="A5226" t="str">
            <v>CROWN</v>
          </cell>
          <cell r="B5226" t="str">
            <v>ICE SHIELD_SMALL</v>
          </cell>
          <cell r="O5226"/>
          <cell r="T5226"/>
        </row>
        <row r="5227">
          <cell r="A5227" t="str">
            <v>CROWN</v>
          </cell>
          <cell r="B5227" t="str">
            <v>TME-RM FIBER BOX</v>
          </cell>
          <cell r="O5227"/>
          <cell r="T5227"/>
        </row>
        <row r="5228">
          <cell r="A5228" t="str">
            <v>CSA WIRELESS</v>
          </cell>
          <cell r="B5228" t="str">
            <v>160-470 7DB</v>
          </cell>
          <cell r="O5228"/>
          <cell r="T5228"/>
        </row>
        <row r="5229">
          <cell r="A5229" t="str">
            <v>CSA WIRELESS</v>
          </cell>
          <cell r="B5229" t="str">
            <v>A-1845E50</v>
          </cell>
          <cell r="O5229"/>
          <cell r="T5229"/>
        </row>
        <row r="5230">
          <cell r="A5230" t="str">
            <v>CSA WIRELESS</v>
          </cell>
          <cell r="B5230" t="str">
            <v>A-18A12N-C</v>
          </cell>
          <cell r="O5230"/>
          <cell r="T5230"/>
        </row>
        <row r="5231">
          <cell r="A5231" t="str">
            <v>CSA WIRELESS</v>
          </cell>
          <cell r="B5231" t="str">
            <v>A-18A24E</v>
          </cell>
          <cell r="O5231"/>
          <cell r="T5231"/>
        </row>
        <row r="5232">
          <cell r="A5232" t="str">
            <v>CSA WIRELESS</v>
          </cell>
          <cell r="B5232" t="str">
            <v>A-18A24E-C</v>
          </cell>
          <cell r="O5232"/>
          <cell r="T5232"/>
        </row>
        <row r="5233">
          <cell r="A5233" t="str">
            <v>CSA WIRELESS</v>
          </cell>
          <cell r="B5233" t="str">
            <v>A-18A24E-U</v>
          </cell>
          <cell r="O5233"/>
          <cell r="T5233"/>
        </row>
        <row r="5234">
          <cell r="A5234" t="str">
            <v>CSA WIRELESS</v>
          </cell>
          <cell r="B5234" t="str">
            <v>A-18A24N-C</v>
          </cell>
          <cell r="O5234"/>
          <cell r="T5234"/>
        </row>
        <row r="5235">
          <cell r="A5235" t="str">
            <v>CSA WIRELESS</v>
          </cell>
          <cell r="B5235" t="str">
            <v>A-18A24N-U</v>
          </cell>
          <cell r="O5235"/>
          <cell r="T5235"/>
        </row>
        <row r="5236">
          <cell r="A5236" t="str">
            <v>CSA WIRELESS</v>
          </cell>
          <cell r="B5236" t="str">
            <v>A-24A24E-C</v>
          </cell>
          <cell r="O5236"/>
          <cell r="T5236"/>
        </row>
        <row r="5237">
          <cell r="A5237" t="str">
            <v>CSA WIRELESS</v>
          </cell>
          <cell r="B5237" t="str">
            <v>A-24A24E-U</v>
          </cell>
          <cell r="O5237"/>
          <cell r="T5237"/>
        </row>
        <row r="5238">
          <cell r="A5238" t="str">
            <v>CSA WIRELESS</v>
          </cell>
          <cell r="B5238" t="str">
            <v>A-24A24M-U</v>
          </cell>
          <cell r="O5238"/>
          <cell r="T5238"/>
        </row>
        <row r="5239">
          <cell r="A5239" t="str">
            <v>CSA WIRELESS</v>
          </cell>
          <cell r="B5239" t="str">
            <v>A-24A24N-C</v>
          </cell>
          <cell r="O5239"/>
          <cell r="T5239"/>
        </row>
        <row r="5240">
          <cell r="A5240" t="str">
            <v>CSA WIRELESS</v>
          </cell>
          <cell r="B5240" t="str">
            <v>A-24A24N-U</v>
          </cell>
          <cell r="O5240"/>
          <cell r="T5240"/>
        </row>
        <row r="5241">
          <cell r="A5241" t="str">
            <v>CSA WIRELESS</v>
          </cell>
          <cell r="B5241" t="str">
            <v>A-35A12N-C</v>
          </cell>
          <cell r="O5241"/>
          <cell r="T5241"/>
        </row>
        <row r="5242">
          <cell r="A5242" t="str">
            <v>CSA WIRELESS</v>
          </cell>
          <cell r="B5242" t="str">
            <v>A-35A24N-U</v>
          </cell>
          <cell r="O5242"/>
          <cell r="T5242"/>
        </row>
        <row r="5243">
          <cell r="A5243" t="str">
            <v>CSA WIRELESS</v>
          </cell>
          <cell r="B5243" t="str">
            <v>A-57A12N-C</v>
          </cell>
          <cell r="O5243"/>
          <cell r="T5243"/>
        </row>
        <row r="5244">
          <cell r="A5244" t="str">
            <v>CSA WIRELESS</v>
          </cell>
          <cell r="B5244" t="str">
            <v>A-57A24N-C</v>
          </cell>
          <cell r="O5244"/>
          <cell r="T5244"/>
        </row>
        <row r="5245">
          <cell r="A5245" t="str">
            <v>CSA WIRELESS</v>
          </cell>
          <cell r="B5245" t="str">
            <v>A-57A24N-U</v>
          </cell>
          <cell r="O5245"/>
          <cell r="T5245"/>
        </row>
        <row r="5246">
          <cell r="A5246" t="str">
            <v>CSA WIRELESS</v>
          </cell>
          <cell r="B5246" t="str">
            <v>AG-800-18-0N</v>
          </cell>
          <cell r="O5246"/>
          <cell r="T5246"/>
        </row>
        <row r="5247">
          <cell r="A5247" t="str">
            <v>CSA WIRELESS</v>
          </cell>
          <cell r="B5247" t="str">
            <v>B800A040-25-0D</v>
          </cell>
          <cell r="O5247"/>
          <cell r="T5247"/>
        </row>
        <row r="5248">
          <cell r="A5248" t="str">
            <v>CSA WIRELESS</v>
          </cell>
          <cell r="B5248" t="str">
            <v>B800A040-25-0E</v>
          </cell>
          <cell r="O5248"/>
          <cell r="T5248"/>
        </row>
        <row r="5249">
          <cell r="A5249" t="str">
            <v>CSA WIRELESS</v>
          </cell>
          <cell r="B5249" t="str">
            <v>B800A040-25-4E</v>
          </cell>
          <cell r="O5249"/>
          <cell r="T5249"/>
        </row>
        <row r="5250">
          <cell r="A5250" t="str">
            <v>CSA WIRELESS</v>
          </cell>
          <cell r="B5250" t="str">
            <v>B800A040-25-4N</v>
          </cell>
          <cell r="O5250"/>
          <cell r="T5250"/>
        </row>
        <row r="5251">
          <cell r="A5251" t="str">
            <v>CSA WIRELESS</v>
          </cell>
          <cell r="B5251" t="str">
            <v>B800A065-12-0</v>
          </cell>
          <cell r="O5251"/>
          <cell r="T5251"/>
        </row>
        <row r="5252">
          <cell r="A5252" t="str">
            <v>CSA WIRELESS</v>
          </cell>
          <cell r="B5252" t="str">
            <v>B800A065-12-5</v>
          </cell>
          <cell r="O5252"/>
          <cell r="T5252"/>
        </row>
        <row r="5253">
          <cell r="A5253" t="str">
            <v>CSA WIRELESS</v>
          </cell>
          <cell r="B5253" t="str">
            <v>B800A065-18-0E</v>
          </cell>
          <cell r="O5253"/>
          <cell r="T5253"/>
        </row>
        <row r="5254">
          <cell r="A5254" t="str">
            <v>CSA WIRELESS</v>
          </cell>
          <cell r="B5254" t="str">
            <v>B800A065-18-0N</v>
          </cell>
          <cell r="O5254"/>
          <cell r="T5254"/>
        </row>
        <row r="5255">
          <cell r="A5255" t="str">
            <v>CSA WIRELESS</v>
          </cell>
          <cell r="B5255" t="str">
            <v>B800A065-18-4</v>
          </cell>
          <cell r="O5255"/>
          <cell r="T5255"/>
        </row>
        <row r="5256">
          <cell r="A5256" t="str">
            <v>CSA WIRELESS</v>
          </cell>
          <cell r="B5256" t="str">
            <v>B800A065-18-4E</v>
          </cell>
          <cell r="O5256"/>
          <cell r="T5256"/>
        </row>
        <row r="5257">
          <cell r="A5257" t="str">
            <v>CSA WIRELESS</v>
          </cell>
          <cell r="B5257" t="str">
            <v>B800A065-18-4N</v>
          </cell>
          <cell r="O5257"/>
          <cell r="T5257"/>
        </row>
        <row r="5258">
          <cell r="A5258" t="str">
            <v>CSA WIRELESS</v>
          </cell>
          <cell r="B5258" t="str">
            <v>B800A065-18-6E</v>
          </cell>
          <cell r="O5258"/>
          <cell r="T5258"/>
        </row>
        <row r="5259">
          <cell r="A5259" t="str">
            <v>CSA WIRELESS</v>
          </cell>
          <cell r="B5259" t="str">
            <v>B800A065-18-6N</v>
          </cell>
          <cell r="O5259"/>
          <cell r="T5259"/>
        </row>
        <row r="5260">
          <cell r="A5260" t="str">
            <v>CSA WIRELESS</v>
          </cell>
          <cell r="B5260" t="str">
            <v>B800A065-25-0</v>
          </cell>
          <cell r="O5260"/>
          <cell r="T5260"/>
        </row>
        <row r="5261">
          <cell r="A5261" t="str">
            <v>CSA WIRELESS</v>
          </cell>
          <cell r="B5261" t="str">
            <v>B800A065-25-4</v>
          </cell>
          <cell r="O5261"/>
          <cell r="T5261"/>
        </row>
        <row r="5262">
          <cell r="A5262" t="str">
            <v>CSA WIRELESS</v>
          </cell>
          <cell r="B5262" t="str">
            <v>B800A085-18-0</v>
          </cell>
          <cell r="O5262"/>
          <cell r="T5262"/>
        </row>
        <row r="5263">
          <cell r="A5263" t="str">
            <v>CSA WIRELESS</v>
          </cell>
          <cell r="B5263" t="str">
            <v>B800A085-18-4</v>
          </cell>
          <cell r="O5263"/>
          <cell r="T5263"/>
        </row>
        <row r="5264">
          <cell r="A5264" t="str">
            <v>CSA WIRELESS</v>
          </cell>
          <cell r="B5264" t="str">
            <v>B800A085-25</v>
          </cell>
          <cell r="O5264"/>
          <cell r="T5264"/>
        </row>
        <row r="5265">
          <cell r="A5265" t="str">
            <v>CSA WIRELESS</v>
          </cell>
          <cell r="B5265" t="str">
            <v>B800A085-25-0E</v>
          </cell>
          <cell r="O5265"/>
          <cell r="T5265"/>
        </row>
        <row r="5266">
          <cell r="A5266" t="str">
            <v>CSA WIRELESS</v>
          </cell>
          <cell r="B5266" t="str">
            <v>B800A085-25-0N</v>
          </cell>
          <cell r="O5266"/>
          <cell r="T5266"/>
        </row>
        <row r="5267">
          <cell r="A5267" t="str">
            <v>CSA WIRELESS</v>
          </cell>
          <cell r="B5267" t="str">
            <v>B800A085-25-4E</v>
          </cell>
          <cell r="O5267"/>
          <cell r="T5267"/>
        </row>
        <row r="5268">
          <cell r="A5268" t="str">
            <v>CSA WIRELESS</v>
          </cell>
          <cell r="B5268" t="str">
            <v>B800A085-25-4N</v>
          </cell>
          <cell r="O5268"/>
          <cell r="T5268"/>
        </row>
        <row r="5269">
          <cell r="A5269" t="str">
            <v>CSA WIRELESS</v>
          </cell>
          <cell r="B5269" t="str">
            <v>B800A105-12-E</v>
          </cell>
          <cell r="O5269"/>
          <cell r="T5269"/>
        </row>
        <row r="5270">
          <cell r="A5270" t="str">
            <v>CSA WIRELESS</v>
          </cell>
          <cell r="B5270" t="str">
            <v>B800A105-12-N</v>
          </cell>
          <cell r="O5270"/>
          <cell r="T5270"/>
        </row>
        <row r="5271">
          <cell r="A5271" t="str">
            <v>CSA WIRELESS</v>
          </cell>
          <cell r="B5271" t="str">
            <v>B800A105-18-0</v>
          </cell>
          <cell r="O5271"/>
          <cell r="T5271"/>
        </row>
        <row r="5272">
          <cell r="A5272" t="str">
            <v>CSA WIRELESS</v>
          </cell>
          <cell r="B5272" t="str">
            <v>B800A105-18-4</v>
          </cell>
          <cell r="O5272"/>
          <cell r="T5272"/>
        </row>
        <row r="5273">
          <cell r="A5273" t="str">
            <v>CSA WIRELESS</v>
          </cell>
          <cell r="B5273" t="str">
            <v>B800A105-18-6</v>
          </cell>
          <cell r="O5273"/>
          <cell r="T5273"/>
        </row>
        <row r="5274">
          <cell r="A5274" t="str">
            <v>CSA WIRELESS</v>
          </cell>
          <cell r="B5274" t="str">
            <v>B800A105-25-0</v>
          </cell>
          <cell r="O5274"/>
          <cell r="T5274"/>
        </row>
        <row r="5275">
          <cell r="A5275" t="str">
            <v>CSA WIRELESS</v>
          </cell>
          <cell r="B5275" t="str">
            <v>B800X-065-25-4</v>
          </cell>
          <cell r="O5275"/>
          <cell r="T5275"/>
        </row>
        <row r="5276">
          <cell r="A5276" t="str">
            <v>CSA WIRELESS</v>
          </cell>
          <cell r="B5276" t="str">
            <v>B800X-065-25-6</v>
          </cell>
          <cell r="O5276"/>
          <cell r="T5276"/>
        </row>
        <row r="5277">
          <cell r="A5277" t="str">
            <v>CSA WIRELESS</v>
          </cell>
          <cell r="B5277" t="str">
            <v>B800X065-19-6</v>
          </cell>
          <cell r="O5277"/>
          <cell r="T5277"/>
        </row>
        <row r="5278">
          <cell r="A5278" t="str">
            <v>CSA WIRELESS</v>
          </cell>
          <cell r="B5278" t="str">
            <v>CVO-10800</v>
          </cell>
          <cell r="O5278"/>
          <cell r="T5278"/>
        </row>
        <row r="5279">
          <cell r="A5279" t="str">
            <v>CSA WIRELESS</v>
          </cell>
          <cell r="B5279" t="str">
            <v>FG-844</v>
          </cell>
          <cell r="O5279"/>
          <cell r="T5279"/>
        </row>
        <row r="5280">
          <cell r="A5280" t="str">
            <v>CSA WIRELESS</v>
          </cell>
          <cell r="B5280" t="str">
            <v>HP-100A120DL-S</v>
          </cell>
          <cell r="O5280"/>
          <cell r="T5280"/>
        </row>
        <row r="5281">
          <cell r="A5281" t="str">
            <v>CSA WIRELESS</v>
          </cell>
          <cell r="B5281" t="str">
            <v>HP-100A72-S</v>
          </cell>
          <cell r="O5281"/>
          <cell r="T5281"/>
        </row>
        <row r="5282">
          <cell r="A5282" t="str">
            <v>CSA WIRELESS</v>
          </cell>
          <cell r="B5282" t="str">
            <v>HP-105A120-S</v>
          </cell>
          <cell r="O5282"/>
          <cell r="T5282"/>
        </row>
        <row r="5283">
          <cell r="A5283" t="str">
            <v>CSA WIRELESS</v>
          </cell>
          <cell r="B5283" t="str">
            <v>HP-105A48D-U</v>
          </cell>
          <cell r="O5283"/>
          <cell r="T5283"/>
        </row>
        <row r="5284">
          <cell r="A5284" t="str">
            <v>CSA WIRELESS</v>
          </cell>
          <cell r="B5284" t="str">
            <v>HP-105A72-S</v>
          </cell>
          <cell r="O5284"/>
          <cell r="T5284"/>
        </row>
        <row r="5285">
          <cell r="A5285" t="str">
            <v>CSA WIRELESS</v>
          </cell>
          <cell r="B5285" t="str">
            <v>HP-105A72L-S</v>
          </cell>
          <cell r="O5285"/>
          <cell r="T5285"/>
        </row>
        <row r="5286">
          <cell r="A5286" t="str">
            <v>CSA WIRELESS</v>
          </cell>
          <cell r="B5286" t="str">
            <v>HP-170A24D-2</v>
          </cell>
          <cell r="O5286"/>
          <cell r="T5286"/>
        </row>
        <row r="5287">
          <cell r="A5287" t="str">
            <v>CSA WIRELESS</v>
          </cell>
          <cell r="B5287" t="str">
            <v>HP-21A48F-U</v>
          </cell>
          <cell r="O5287"/>
          <cell r="T5287"/>
        </row>
        <row r="5288">
          <cell r="A5288" t="str">
            <v>CSA WIRELESS</v>
          </cell>
          <cell r="B5288" t="str">
            <v>HP-21A72</v>
          </cell>
          <cell r="O5288"/>
          <cell r="T5288"/>
        </row>
        <row r="5289">
          <cell r="A5289" t="str">
            <v>CSA WIRELESS</v>
          </cell>
          <cell r="B5289" t="str">
            <v>HP-21A72-S</v>
          </cell>
          <cell r="O5289"/>
          <cell r="T5289"/>
        </row>
        <row r="5290">
          <cell r="A5290" t="str">
            <v>CSA WIRELESS</v>
          </cell>
          <cell r="B5290" t="str">
            <v>HP-21A72L-S</v>
          </cell>
          <cell r="O5290"/>
          <cell r="T5290"/>
        </row>
        <row r="5291">
          <cell r="A5291" t="str">
            <v>CSA WIRELESS</v>
          </cell>
          <cell r="B5291" t="str">
            <v>HP-21A96</v>
          </cell>
          <cell r="O5291"/>
          <cell r="T5291"/>
        </row>
        <row r="5292">
          <cell r="A5292" t="str">
            <v>CSA WIRELESS</v>
          </cell>
          <cell r="B5292" t="str">
            <v>HP-21A96-S</v>
          </cell>
          <cell r="O5292"/>
          <cell r="T5292"/>
        </row>
        <row r="5293">
          <cell r="A5293" t="str">
            <v>CSA WIRELESS</v>
          </cell>
          <cell r="B5293" t="str">
            <v>HP-60A72DL-S</v>
          </cell>
          <cell r="O5293"/>
          <cell r="T5293"/>
        </row>
        <row r="5294">
          <cell r="A5294" t="str">
            <v>CSA WIRELESS</v>
          </cell>
          <cell r="B5294" t="str">
            <v>HP-60A72L-S</v>
          </cell>
          <cell r="O5294"/>
          <cell r="T5294"/>
        </row>
        <row r="5295">
          <cell r="A5295" t="str">
            <v>CSA WIRELESS</v>
          </cell>
          <cell r="B5295" t="str">
            <v>HP-60A96D</v>
          </cell>
          <cell r="O5295"/>
          <cell r="T5295"/>
        </row>
        <row r="5296">
          <cell r="A5296" t="str">
            <v>CSA WIRELESS</v>
          </cell>
          <cell r="B5296" t="str">
            <v>HP-65B96L-S</v>
          </cell>
          <cell r="O5296"/>
          <cell r="T5296"/>
        </row>
        <row r="5297">
          <cell r="A5297" t="str">
            <v>CSA WIRELESS</v>
          </cell>
          <cell r="B5297" t="str">
            <v>MHP-100A96-S</v>
          </cell>
          <cell r="O5297"/>
          <cell r="T5297"/>
        </row>
        <row r="5298">
          <cell r="A5298" t="str">
            <v>CSA WIRELESS</v>
          </cell>
          <cell r="B5298" t="str">
            <v>MHP-100A96D-S</v>
          </cell>
          <cell r="O5298"/>
          <cell r="T5298"/>
        </row>
        <row r="5299">
          <cell r="A5299" t="str">
            <v>CSA WIRELESS</v>
          </cell>
          <cell r="B5299" t="str">
            <v>MHP-21B96L</v>
          </cell>
          <cell r="O5299"/>
          <cell r="T5299"/>
        </row>
        <row r="5300">
          <cell r="A5300" t="str">
            <v>CSA WIRELESS</v>
          </cell>
          <cell r="B5300" t="str">
            <v>MHP-60A120D-S</v>
          </cell>
          <cell r="O5300"/>
          <cell r="T5300"/>
        </row>
        <row r="5301">
          <cell r="A5301" t="str">
            <v>CSA WIRELESS</v>
          </cell>
          <cell r="B5301" t="str">
            <v>MHP-60A72</v>
          </cell>
          <cell r="O5301"/>
          <cell r="T5301"/>
        </row>
        <row r="5302">
          <cell r="A5302" t="str">
            <v>CSA WIRELESS</v>
          </cell>
          <cell r="B5302" t="str">
            <v>MHP-60A72-S</v>
          </cell>
          <cell r="O5302"/>
          <cell r="T5302"/>
        </row>
        <row r="5303">
          <cell r="A5303" t="str">
            <v>CSA WIRELESS</v>
          </cell>
          <cell r="B5303" t="str">
            <v>MHP-60A72D-S</v>
          </cell>
          <cell r="O5303"/>
          <cell r="T5303"/>
        </row>
        <row r="5304">
          <cell r="A5304" t="str">
            <v>CSA WIRELESS</v>
          </cell>
          <cell r="B5304" t="str">
            <v>MHP-60A96</v>
          </cell>
          <cell r="O5304"/>
          <cell r="T5304"/>
        </row>
        <row r="5305">
          <cell r="A5305" t="str">
            <v>CSA WIRELESS</v>
          </cell>
          <cell r="B5305" t="str">
            <v>MHP-60A96-S</v>
          </cell>
          <cell r="O5305"/>
          <cell r="T5305"/>
        </row>
        <row r="5306">
          <cell r="A5306" t="str">
            <v>CSA WIRELESS</v>
          </cell>
          <cell r="B5306" t="str">
            <v>MHP-60A96D-2</v>
          </cell>
          <cell r="O5306"/>
          <cell r="T5306"/>
        </row>
        <row r="5307">
          <cell r="A5307" t="str">
            <v>CSA WIRELESS</v>
          </cell>
          <cell r="B5307" t="str">
            <v>MHP-60A96D-S</v>
          </cell>
          <cell r="O5307"/>
          <cell r="T5307"/>
        </row>
        <row r="5308">
          <cell r="A5308" t="str">
            <v>CSA WIRELESS</v>
          </cell>
          <cell r="B5308" t="str">
            <v>MHP-60A96DL-S</v>
          </cell>
          <cell r="O5308"/>
          <cell r="T5308"/>
        </row>
        <row r="5309">
          <cell r="A5309" t="str">
            <v>CSA WIRELESS</v>
          </cell>
          <cell r="B5309" t="str">
            <v>MHP-80A72</v>
          </cell>
          <cell r="O5309"/>
          <cell r="T5309"/>
        </row>
        <row r="5310">
          <cell r="A5310" t="str">
            <v>CSA WIRELESS</v>
          </cell>
          <cell r="B5310" t="str">
            <v>P-20A48GL</v>
          </cell>
          <cell r="O5310"/>
          <cell r="T5310"/>
        </row>
        <row r="5311">
          <cell r="A5311" t="str">
            <v>CSA WIRELESS</v>
          </cell>
          <cell r="B5311" t="str">
            <v>P-21A120F-S</v>
          </cell>
          <cell r="O5311"/>
          <cell r="T5311"/>
        </row>
        <row r="5312">
          <cell r="A5312" t="str">
            <v>CSA WIRELESS</v>
          </cell>
          <cell r="B5312" t="str">
            <v>P-21A120G</v>
          </cell>
          <cell r="O5312"/>
          <cell r="T5312"/>
        </row>
        <row r="5313">
          <cell r="A5313" t="str">
            <v>CSA WIRELESS</v>
          </cell>
          <cell r="B5313" t="str">
            <v>P-21A120G-S</v>
          </cell>
          <cell r="O5313"/>
          <cell r="T5313"/>
        </row>
        <row r="5314">
          <cell r="A5314" t="str">
            <v>CSA WIRELESS</v>
          </cell>
          <cell r="B5314" t="str">
            <v>P-21A120GF-S</v>
          </cell>
          <cell r="O5314"/>
          <cell r="T5314"/>
        </row>
        <row r="5315">
          <cell r="A5315" t="str">
            <v>CSA WIRELESS</v>
          </cell>
          <cell r="B5315" t="str">
            <v>P-21A120N-S</v>
          </cell>
          <cell r="O5315"/>
          <cell r="T5315"/>
        </row>
        <row r="5316">
          <cell r="A5316" t="str">
            <v>CSA WIRELESS</v>
          </cell>
          <cell r="B5316" t="str">
            <v>P-21A144G-S</v>
          </cell>
          <cell r="O5316"/>
          <cell r="T5316"/>
        </row>
        <row r="5317">
          <cell r="A5317" t="str">
            <v>CSA WIRELESS</v>
          </cell>
          <cell r="B5317" t="str">
            <v>P-21A144GF-S</v>
          </cell>
          <cell r="O5317"/>
          <cell r="T5317"/>
        </row>
        <row r="5318">
          <cell r="A5318" t="str">
            <v>CSA WIRELESS</v>
          </cell>
          <cell r="B5318" t="str">
            <v>P-21A180GF-2</v>
          </cell>
          <cell r="O5318"/>
          <cell r="T5318"/>
        </row>
        <row r="5319">
          <cell r="A5319" t="str">
            <v>CSA WIRELESS</v>
          </cell>
          <cell r="B5319" t="str">
            <v>P-21A48-U</v>
          </cell>
          <cell r="O5319"/>
          <cell r="T5319"/>
        </row>
        <row r="5320">
          <cell r="A5320" t="str">
            <v>CSA WIRELESS</v>
          </cell>
          <cell r="B5320" t="str">
            <v>P-21A48G-U</v>
          </cell>
          <cell r="O5320"/>
          <cell r="T5320"/>
        </row>
        <row r="5321">
          <cell r="A5321" t="str">
            <v>CSA WIRELESS</v>
          </cell>
          <cell r="B5321" t="str">
            <v>P-21A48GF-U</v>
          </cell>
          <cell r="O5321"/>
          <cell r="T5321"/>
        </row>
        <row r="5322">
          <cell r="A5322" t="str">
            <v>CSA WIRELESS</v>
          </cell>
          <cell r="B5322" t="str">
            <v>P-21A48GN-U</v>
          </cell>
          <cell r="O5322"/>
          <cell r="T5322"/>
        </row>
        <row r="5323">
          <cell r="A5323" t="str">
            <v>CSA WIRELESS</v>
          </cell>
          <cell r="B5323" t="str">
            <v>P-21A48N-U</v>
          </cell>
          <cell r="O5323"/>
          <cell r="T5323"/>
        </row>
        <row r="5324">
          <cell r="A5324" t="str">
            <v>CSA WIRELESS</v>
          </cell>
          <cell r="B5324" t="str">
            <v>P-21A96F-S</v>
          </cell>
          <cell r="O5324"/>
          <cell r="T5324"/>
        </row>
        <row r="5325">
          <cell r="A5325" t="str">
            <v>CSA WIRELESS</v>
          </cell>
          <cell r="B5325" t="str">
            <v>P-21A96G-S</v>
          </cell>
          <cell r="O5325"/>
          <cell r="T5325"/>
        </row>
        <row r="5326">
          <cell r="A5326" t="str">
            <v>CSA WIRELESS</v>
          </cell>
          <cell r="B5326" t="str">
            <v>P-21A96GF-S</v>
          </cell>
          <cell r="O5326"/>
          <cell r="T5326"/>
        </row>
        <row r="5327">
          <cell r="A5327" t="str">
            <v>CSA WIRELESS</v>
          </cell>
          <cell r="B5327" t="str">
            <v>P-21A96N-S</v>
          </cell>
          <cell r="O5327"/>
          <cell r="T5327"/>
        </row>
        <row r="5328">
          <cell r="A5328" t="str">
            <v>CSA WIRELESS</v>
          </cell>
          <cell r="B5328" t="str">
            <v>P-24A48G</v>
          </cell>
          <cell r="O5328"/>
          <cell r="T5328"/>
        </row>
        <row r="5329">
          <cell r="A5329" t="str">
            <v>CSA WIRELESS</v>
          </cell>
          <cell r="B5329" t="str">
            <v>P-24A48G-U</v>
          </cell>
          <cell r="O5329"/>
          <cell r="T5329"/>
        </row>
        <row r="5330">
          <cell r="A5330" t="str">
            <v>CSA WIRELESS</v>
          </cell>
          <cell r="B5330" t="str">
            <v>P-24A48GE</v>
          </cell>
          <cell r="O5330"/>
          <cell r="T5330"/>
        </row>
        <row r="5331">
          <cell r="A5331" t="str">
            <v>CSA WIRELESS</v>
          </cell>
          <cell r="B5331" t="str">
            <v>P-24A48GE-U</v>
          </cell>
          <cell r="O5331"/>
          <cell r="T5331"/>
        </row>
        <row r="5332">
          <cell r="A5332" t="str">
            <v>CSA WIRELESS</v>
          </cell>
          <cell r="B5332" t="str">
            <v>P-24A48GF-U</v>
          </cell>
          <cell r="O5332"/>
          <cell r="T5332"/>
        </row>
        <row r="5333">
          <cell r="A5333" t="str">
            <v>CSA WIRELESS</v>
          </cell>
          <cell r="B5333" t="str">
            <v>P-24A48GN</v>
          </cell>
          <cell r="O5333"/>
          <cell r="T5333"/>
        </row>
        <row r="5334">
          <cell r="A5334" t="str">
            <v>CSA WIRELESS</v>
          </cell>
          <cell r="B5334" t="str">
            <v>P-24A48KGF-U</v>
          </cell>
          <cell r="O5334"/>
          <cell r="T5334"/>
        </row>
        <row r="5335">
          <cell r="A5335" t="str">
            <v>CSA WIRELESS</v>
          </cell>
          <cell r="B5335" t="str">
            <v>P-24A72G-U</v>
          </cell>
          <cell r="O5335"/>
          <cell r="T5335"/>
        </row>
        <row r="5336">
          <cell r="A5336" t="str">
            <v>CSA WIRELESS</v>
          </cell>
          <cell r="B5336" t="str">
            <v>P-24A72GN</v>
          </cell>
          <cell r="O5336"/>
          <cell r="T5336"/>
        </row>
        <row r="5337">
          <cell r="A5337" t="str">
            <v>CSA WIRELESS</v>
          </cell>
          <cell r="B5337" t="str">
            <v>P-24A96GF-S</v>
          </cell>
          <cell r="O5337"/>
          <cell r="T5337"/>
        </row>
        <row r="5338">
          <cell r="A5338" t="str">
            <v>CSA WIRELESS</v>
          </cell>
          <cell r="B5338" t="str">
            <v>P-24A96GN-S</v>
          </cell>
          <cell r="O5338"/>
          <cell r="T5338"/>
        </row>
        <row r="5339">
          <cell r="A5339" t="str">
            <v>CSA WIRELESS</v>
          </cell>
          <cell r="B5339" t="str">
            <v>P-25A48GF-U</v>
          </cell>
          <cell r="O5339"/>
          <cell r="T5339"/>
        </row>
        <row r="5340">
          <cell r="A5340" t="str">
            <v>CSA WIRELESS</v>
          </cell>
          <cell r="B5340" t="str">
            <v>P-25A48GN-U</v>
          </cell>
          <cell r="O5340"/>
          <cell r="T5340"/>
        </row>
        <row r="5341">
          <cell r="A5341" t="str">
            <v>CSA WIRELESS</v>
          </cell>
          <cell r="B5341" t="str">
            <v>P-57A72-U</v>
          </cell>
          <cell r="O5341"/>
          <cell r="T5341"/>
        </row>
        <row r="5342">
          <cell r="A5342" t="str">
            <v>CSA WIRELESS</v>
          </cell>
          <cell r="B5342" t="str">
            <v>P-57A72N-U</v>
          </cell>
          <cell r="O5342"/>
          <cell r="T5342"/>
        </row>
        <row r="5343">
          <cell r="A5343" t="str">
            <v>CSA WIRELESS</v>
          </cell>
          <cell r="B5343" t="str">
            <v>P-57A96N-S</v>
          </cell>
          <cell r="O5343"/>
          <cell r="T5343"/>
        </row>
        <row r="5344">
          <cell r="A5344" t="str">
            <v>CSA WIRELESS</v>
          </cell>
          <cell r="B5344" t="str">
            <v>P-60A96L-S</v>
          </cell>
          <cell r="O5344"/>
          <cell r="T5344"/>
        </row>
        <row r="5345">
          <cell r="A5345" t="str">
            <v>CSA WIRELESS</v>
          </cell>
          <cell r="B5345" t="str">
            <v>P-65A48L-U</v>
          </cell>
          <cell r="O5345"/>
          <cell r="T5345"/>
        </row>
        <row r="5346">
          <cell r="A5346" t="str">
            <v>CSA WIRELESS</v>
          </cell>
          <cell r="B5346" t="str">
            <v>PCNS085-13-0</v>
          </cell>
          <cell r="O5346"/>
          <cell r="T5346"/>
        </row>
        <row r="5347">
          <cell r="A5347" t="str">
            <v>CSA WIRELESS</v>
          </cell>
          <cell r="B5347" t="str">
            <v>PCNS085-19-0</v>
          </cell>
          <cell r="O5347"/>
          <cell r="T5347"/>
        </row>
        <row r="5348">
          <cell r="A5348" t="str">
            <v>CSA WIRELESS</v>
          </cell>
          <cell r="B5348" t="str">
            <v>PCS A060-19-OH</v>
          </cell>
          <cell r="O5348"/>
          <cell r="T5348"/>
        </row>
        <row r="5349">
          <cell r="A5349" t="str">
            <v>CSA WIRELESS</v>
          </cell>
          <cell r="B5349" t="str">
            <v>PCS-A090-1917</v>
          </cell>
          <cell r="O5349"/>
          <cell r="T5349"/>
        </row>
        <row r="5350">
          <cell r="A5350" t="str">
            <v>CSA WIRELESS</v>
          </cell>
          <cell r="B5350" t="str">
            <v>PCS060-19-OH</v>
          </cell>
          <cell r="O5350"/>
          <cell r="T5350"/>
        </row>
        <row r="5351">
          <cell r="A5351" t="str">
            <v>CSA WIRELESS</v>
          </cell>
          <cell r="B5351" t="str">
            <v>PCSA-VBW6-13-0</v>
          </cell>
          <cell r="O5351"/>
          <cell r="T5351"/>
        </row>
        <row r="5352">
          <cell r="A5352" t="str">
            <v>CSA WIRELESS</v>
          </cell>
          <cell r="B5352" t="str">
            <v>PCSA-VBW6-19-0</v>
          </cell>
          <cell r="O5352"/>
          <cell r="T5352"/>
        </row>
        <row r="5353">
          <cell r="A5353" t="str">
            <v>CSA WIRELESS</v>
          </cell>
          <cell r="B5353" t="str">
            <v>PCSA-VBW6-19-2</v>
          </cell>
          <cell r="O5353"/>
          <cell r="T5353"/>
        </row>
        <row r="5354">
          <cell r="A5354" t="str">
            <v>CSA WIRELESS</v>
          </cell>
          <cell r="B5354" t="str">
            <v>PCSA-VBW6-19-4</v>
          </cell>
          <cell r="O5354"/>
          <cell r="T5354"/>
        </row>
        <row r="5355">
          <cell r="A5355" t="str">
            <v>CSA WIRELESS</v>
          </cell>
          <cell r="B5355" t="str">
            <v>PCSA-VBW6-19-5</v>
          </cell>
          <cell r="O5355"/>
          <cell r="T5355"/>
        </row>
        <row r="5356">
          <cell r="A5356" t="str">
            <v>CSA WIRELESS</v>
          </cell>
          <cell r="B5356" t="str">
            <v>PCSA030-13-0</v>
          </cell>
          <cell r="O5356"/>
          <cell r="T5356"/>
        </row>
        <row r="5357">
          <cell r="A5357" t="str">
            <v>CSA WIRELESS</v>
          </cell>
          <cell r="B5357" t="str">
            <v>PCSA030-13-2</v>
          </cell>
          <cell r="O5357"/>
          <cell r="T5357"/>
        </row>
        <row r="5358">
          <cell r="A5358" t="str">
            <v>CSA WIRELESS</v>
          </cell>
          <cell r="B5358" t="str">
            <v>PCSA030-13-5</v>
          </cell>
          <cell r="O5358"/>
          <cell r="T5358"/>
        </row>
        <row r="5359">
          <cell r="A5359" t="str">
            <v>CSA WIRELESS</v>
          </cell>
          <cell r="B5359" t="str">
            <v>PCSA030-19-0</v>
          </cell>
          <cell r="O5359"/>
          <cell r="T5359"/>
        </row>
        <row r="5360">
          <cell r="A5360" t="str">
            <v>CSA WIRELESS</v>
          </cell>
          <cell r="B5360" t="str">
            <v>PCSA030-19-2</v>
          </cell>
          <cell r="O5360"/>
          <cell r="T5360"/>
        </row>
        <row r="5361">
          <cell r="A5361" t="str">
            <v>CSA WIRELESS</v>
          </cell>
          <cell r="B5361" t="str">
            <v>PCSA030-19-3</v>
          </cell>
          <cell r="O5361"/>
          <cell r="T5361"/>
        </row>
        <row r="5362">
          <cell r="A5362" t="str">
            <v>CSA WIRELESS</v>
          </cell>
          <cell r="B5362" t="str">
            <v>PCSA030-19-5</v>
          </cell>
          <cell r="O5362"/>
          <cell r="T5362"/>
        </row>
        <row r="5363">
          <cell r="A5363" t="str">
            <v>CSA WIRELESS</v>
          </cell>
          <cell r="B5363" t="str">
            <v>PCSA033-13-0</v>
          </cell>
          <cell r="O5363"/>
          <cell r="T5363"/>
        </row>
        <row r="5364">
          <cell r="A5364" t="str">
            <v>CSA WIRELESS</v>
          </cell>
          <cell r="B5364" t="str">
            <v>PCSA033-13-2</v>
          </cell>
          <cell r="O5364"/>
          <cell r="T5364"/>
        </row>
        <row r="5365">
          <cell r="A5365" t="str">
            <v>CSA WIRELESS</v>
          </cell>
          <cell r="B5365" t="str">
            <v>PCSA033-19-0</v>
          </cell>
          <cell r="O5365"/>
          <cell r="T5365"/>
        </row>
        <row r="5366">
          <cell r="A5366" t="str">
            <v>CSA WIRELESS</v>
          </cell>
          <cell r="B5366" t="str">
            <v>PCSA033-19-2</v>
          </cell>
          <cell r="O5366"/>
          <cell r="T5366"/>
        </row>
        <row r="5367">
          <cell r="A5367" t="str">
            <v>CSA WIRELESS</v>
          </cell>
          <cell r="B5367" t="str">
            <v>PCSA033-19-5</v>
          </cell>
          <cell r="O5367"/>
          <cell r="T5367"/>
        </row>
        <row r="5368">
          <cell r="A5368" t="str">
            <v>CSA WIRELESS</v>
          </cell>
          <cell r="B5368" t="str">
            <v>PCSA038-13-0</v>
          </cell>
          <cell r="O5368"/>
          <cell r="T5368"/>
        </row>
        <row r="5369">
          <cell r="A5369" t="str">
            <v>CSA WIRELESS</v>
          </cell>
          <cell r="B5369" t="str">
            <v>PCSA038-13-2</v>
          </cell>
          <cell r="O5369"/>
          <cell r="T5369"/>
        </row>
        <row r="5370">
          <cell r="A5370" t="str">
            <v>CSA WIRELESS</v>
          </cell>
          <cell r="B5370" t="str">
            <v>PCSA038-13-5</v>
          </cell>
          <cell r="O5370"/>
          <cell r="T5370"/>
        </row>
        <row r="5371">
          <cell r="A5371" t="str">
            <v>CSA WIRELESS</v>
          </cell>
          <cell r="B5371" t="str">
            <v>PCSA038-19-0</v>
          </cell>
          <cell r="O5371"/>
          <cell r="T5371"/>
        </row>
        <row r="5372">
          <cell r="A5372" t="str">
            <v>CSA WIRELESS</v>
          </cell>
          <cell r="B5372" t="str">
            <v>PCSA038-19-2</v>
          </cell>
          <cell r="O5372"/>
          <cell r="T5372"/>
        </row>
        <row r="5373">
          <cell r="A5373" t="str">
            <v>CSA WIRELESS</v>
          </cell>
          <cell r="B5373" t="str">
            <v>PCSA038-19-5</v>
          </cell>
          <cell r="O5373"/>
          <cell r="T5373"/>
        </row>
        <row r="5374">
          <cell r="A5374" t="str">
            <v>CSA WIRELESS</v>
          </cell>
          <cell r="B5374" t="str">
            <v>PCSA045-13-0</v>
          </cell>
          <cell r="O5374"/>
          <cell r="T5374"/>
        </row>
        <row r="5375">
          <cell r="A5375" t="str">
            <v>CSA WIRELESS</v>
          </cell>
          <cell r="B5375" t="str">
            <v>PCSA045-13-2</v>
          </cell>
          <cell r="O5375"/>
          <cell r="T5375"/>
        </row>
        <row r="5376">
          <cell r="A5376" t="str">
            <v>CSA WIRELESS</v>
          </cell>
          <cell r="B5376" t="str">
            <v>PCSA045-13-5</v>
          </cell>
          <cell r="O5376"/>
          <cell r="T5376"/>
        </row>
        <row r="5377">
          <cell r="A5377" t="str">
            <v>CSA WIRELESS</v>
          </cell>
          <cell r="B5377" t="str">
            <v>PCSA045-19-0</v>
          </cell>
          <cell r="O5377"/>
          <cell r="T5377"/>
        </row>
        <row r="5378">
          <cell r="A5378" t="str">
            <v>CSA WIRELESS</v>
          </cell>
          <cell r="B5378" t="str">
            <v>PCSA045-19-2</v>
          </cell>
          <cell r="O5378"/>
          <cell r="T5378"/>
        </row>
        <row r="5379">
          <cell r="A5379" t="str">
            <v>CSA WIRELESS</v>
          </cell>
          <cell r="B5379" t="str">
            <v>PCSA045-19-3</v>
          </cell>
          <cell r="O5379"/>
          <cell r="T5379"/>
        </row>
        <row r="5380">
          <cell r="A5380" t="str">
            <v>CSA WIRELESS</v>
          </cell>
          <cell r="B5380" t="str">
            <v>PCSA045-19-4</v>
          </cell>
          <cell r="O5380"/>
          <cell r="T5380"/>
        </row>
        <row r="5381">
          <cell r="A5381" t="str">
            <v>CSA WIRELESS</v>
          </cell>
          <cell r="B5381" t="str">
            <v>PCSA045-19-5</v>
          </cell>
          <cell r="O5381"/>
          <cell r="T5381"/>
        </row>
        <row r="5382">
          <cell r="A5382" t="str">
            <v>CSA WIRELESS</v>
          </cell>
          <cell r="B5382" t="str">
            <v>PCSA060-19-0</v>
          </cell>
          <cell r="O5382">
            <v>4.33875626929012</v>
          </cell>
          <cell r="T5382">
            <v>3.75611920945942</v>
          </cell>
        </row>
        <row r="5383">
          <cell r="A5383" t="str">
            <v>CSA WIRELESS</v>
          </cell>
          <cell r="B5383" t="str">
            <v>PCSA060-19-08</v>
          </cell>
          <cell r="O5383"/>
          <cell r="T5383"/>
        </row>
        <row r="5384">
          <cell r="A5384" t="str">
            <v>CSA WIRELESS</v>
          </cell>
          <cell r="B5384" t="str">
            <v>PCSA060-19-2</v>
          </cell>
          <cell r="O5384">
            <v>4.33875626929012</v>
          </cell>
          <cell r="T5384">
            <v>3.75611920945942</v>
          </cell>
        </row>
        <row r="5385">
          <cell r="A5385" t="str">
            <v>CSA WIRELESS</v>
          </cell>
          <cell r="B5385" t="str">
            <v>PCSA065-13-0</v>
          </cell>
          <cell r="O5385">
            <v>2.8510985730000002</v>
          </cell>
          <cell r="T5385">
            <v>2.4716309289999998</v>
          </cell>
        </row>
        <row r="5386">
          <cell r="A5386" t="str">
            <v>CSA WIRELESS</v>
          </cell>
          <cell r="B5386" t="str">
            <v>PCSA065-13-2</v>
          </cell>
          <cell r="O5386">
            <v>2.8510985730000002</v>
          </cell>
          <cell r="T5386">
            <v>2.4716309289999998</v>
          </cell>
        </row>
        <row r="5387">
          <cell r="A5387" t="str">
            <v>CSA WIRELESS</v>
          </cell>
          <cell r="B5387" t="str">
            <v>PCSA065-13-5</v>
          </cell>
          <cell r="O5387">
            <v>2.8510985730000002</v>
          </cell>
          <cell r="T5387">
            <v>2.4716309289999998</v>
          </cell>
        </row>
        <row r="5388">
          <cell r="A5388" t="str">
            <v>CSA WIRELESS</v>
          </cell>
          <cell r="B5388" t="str">
            <v>PCSA065-16-0</v>
          </cell>
          <cell r="O5388">
            <v>3.5918214699999997</v>
          </cell>
          <cell r="T5388">
            <v>3.1120298849999997</v>
          </cell>
        </row>
        <row r="5389">
          <cell r="A5389" t="str">
            <v>CSA WIRELESS</v>
          </cell>
          <cell r="B5389" t="str">
            <v>PCSA065-16-2</v>
          </cell>
          <cell r="O5389">
            <v>3.5918214699999997</v>
          </cell>
          <cell r="T5389">
            <v>3.1120298849999997</v>
          </cell>
        </row>
        <row r="5390">
          <cell r="A5390" t="str">
            <v>CSA WIRELESS</v>
          </cell>
          <cell r="B5390" t="str">
            <v>PCSA065-16-5</v>
          </cell>
          <cell r="O5390">
            <v>3.5918214699999997</v>
          </cell>
          <cell r="T5390">
            <v>3.1120298849999997</v>
          </cell>
        </row>
        <row r="5391">
          <cell r="A5391" t="str">
            <v>CSA WIRELESS</v>
          </cell>
          <cell r="B5391" t="str">
            <v>PCSA065-19-0</v>
          </cell>
          <cell r="O5391">
            <v>4.3387562690000001</v>
          </cell>
          <cell r="T5391">
            <v>3.756119209</v>
          </cell>
        </row>
        <row r="5392">
          <cell r="A5392" t="str">
            <v>CSA WIRELESS</v>
          </cell>
          <cell r="B5392" t="str">
            <v>PCSA065-19-1</v>
          </cell>
          <cell r="O5392">
            <v>4.3387562690000001</v>
          </cell>
          <cell r="T5392">
            <v>3.756119209</v>
          </cell>
        </row>
        <row r="5393">
          <cell r="A5393" t="str">
            <v>CSA WIRELESS</v>
          </cell>
          <cell r="B5393" t="str">
            <v>PCSA065-19-2</v>
          </cell>
          <cell r="O5393">
            <v>4.3387562690000001</v>
          </cell>
          <cell r="T5393">
            <v>3.756119209</v>
          </cell>
        </row>
        <row r="5394">
          <cell r="A5394" t="str">
            <v>CSA WIRELESS</v>
          </cell>
          <cell r="B5394" t="str">
            <v>PCSA065-19-3</v>
          </cell>
          <cell r="O5394">
            <v>4.3387562690000001</v>
          </cell>
          <cell r="T5394">
            <v>3.756119209</v>
          </cell>
        </row>
        <row r="5395">
          <cell r="A5395" t="str">
            <v>CSA WIRELESS</v>
          </cell>
          <cell r="B5395" t="str">
            <v>PCSA065-19-4</v>
          </cell>
          <cell r="O5395">
            <v>4.3387562690000001</v>
          </cell>
          <cell r="T5395">
            <v>3.756119209</v>
          </cell>
        </row>
        <row r="5396">
          <cell r="A5396" t="str">
            <v>CSA WIRELESS</v>
          </cell>
          <cell r="B5396" t="str">
            <v>PCSA065-19-5</v>
          </cell>
          <cell r="O5396">
            <v>4.3387562690000001</v>
          </cell>
          <cell r="T5396">
            <v>3.756119209</v>
          </cell>
        </row>
        <row r="5397">
          <cell r="A5397" t="str">
            <v>CSA WIRELESS</v>
          </cell>
          <cell r="B5397" t="str">
            <v>PCSA065-19-6</v>
          </cell>
          <cell r="O5397">
            <v>4.3387562690000001</v>
          </cell>
          <cell r="T5397">
            <v>3.756119209</v>
          </cell>
        </row>
        <row r="5398">
          <cell r="A5398" t="str">
            <v>CSA WIRELESS</v>
          </cell>
          <cell r="B5398" t="str">
            <v>PCSA090-13-0</v>
          </cell>
          <cell r="O5398">
            <v>3.4816729359567899</v>
          </cell>
          <cell r="T5398">
            <v>2.3204588161258197</v>
          </cell>
        </row>
        <row r="5399">
          <cell r="A5399" t="str">
            <v>CSA WIRELESS</v>
          </cell>
          <cell r="B5399" t="str">
            <v>PCSA090-13-2</v>
          </cell>
          <cell r="O5399">
            <v>3.4816729359567899</v>
          </cell>
          <cell r="T5399">
            <v>2.3204588161258197</v>
          </cell>
        </row>
        <row r="5400">
          <cell r="A5400" t="str">
            <v>CSA WIRELESS</v>
          </cell>
          <cell r="B5400" t="str">
            <v>PCSA090-16-0</v>
          </cell>
          <cell r="O5400">
            <v>4.3333931327160498</v>
          </cell>
          <cell r="T5400">
            <v>2.8858885119670501</v>
          </cell>
        </row>
        <row r="5401">
          <cell r="A5401" t="str">
            <v>CSA WIRELESS</v>
          </cell>
          <cell r="B5401" t="str">
            <v>PCSA090-16-2</v>
          </cell>
          <cell r="O5401">
            <v>4.3333931327160498</v>
          </cell>
          <cell r="T5401">
            <v>2.8858885119670501</v>
          </cell>
        </row>
        <row r="5402">
          <cell r="A5402" t="str">
            <v>CSA WIRELESS</v>
          </cell>
          <cell r="B5402" t="str">
            <v>PCSA090-19-0</v>
          </cell>
          <cell r="O5402">
            <v>5.2113985339506197</v>
          </cell>
          <cell r="T5402">
            <v>3.4665948450975597</v>
          </cell>
        </row>
        <row r="5403">
          <cell r="A5403" t="str">
            <v>CSA WIRELESS</v>
          </cell>
          <cell r="B5403" t="str">
            <v>PCSA090-19-2</v>
          </cell>
          <cell r="O5403">
            <v>5.2113985339506197</v>
          </cell>
          <cell r="T5403">
            <v>3.4665948450975597</v>
          </cell>
        </row>
        <row r="5404">
          <cell r="A5404" t="str">
            <v>CSA WIRELESS</v>
          </cell>
          <cell r="B5404" t="str">
            <v>PCSA090-19-3</v>
          </cell>
          <cell r="O5404">
            <v>5.2113985339506197</v>
          </cell>
          <cell r="T5404">
            <v>3.4665948450975597</v>
          </cell>
        </row>
        <row r="5405">
          <cell r="A5405" t="str">
            <v>CSA WIRELESS</v>
          </cell>
          <cell r="B5405" t="str">
            <v>PCSA090-19-4</v>
          </cell>
          <cell r="O5405">
            <v>5.2113985339506197</v>
          </cell>
          <cell r="T5405">
            <v>3.4665948450975597</v>
          </cell>
        </row>
        <row r="5406">
          <cell r="A5406" t="str">
            <v>CSA WIRELESS</v>
          </cell>
          <cell r="B5406" t="str">
            <v>PCSA090-19-5</v>
          </cell>
          <cell r="O5406">
            <v>5.2113985339506197</v>
          </cell>
          <cell r="T5406">
            <v>3.4665948450975597</v>
          </cell>
        </row>
        <row r="5407">
          <cell r="A5407" t="str">
            <v>CSA WIRELESS</v>
          </cell>
          <cell r="B5407" t="str">
            <v>PCSA105-13-2</v>
          </cell>
          <cell r="O5407">
            <v>2.8162196180555599</v>
          </cell>
          <cell r="T5407">
            <v>1.90710018495808</v>
          </cell>
        </row>
        <row r="5408">
          <cell r="A5408" t="str">
            <v>CSA WIRELESS</v>
          </cell>
          <cell r="B5408" t="str">
            <v>PCSA105-19-0</v>
          </cell>
          <cell r="O5408">
            <v>5.2113985339506197</v>
          </cell>
          <cell r="T5408">
            <v>3.4665948450975597</v>
          </cell>
        </row>
        <row r="5409">
          <cell r="A5409" t="str">
            <v>CSA WIRELESS</v>
          </cell>
          <cell r="B5409" t="str">
            <v>PCSA105-19-2</v>
          </cell>
          <cell r="O5409">
            <v>5.2113985339506197</v>
          </cell>
          <cell r="T5409">
            <v>3.4665948450975597</v>
          </cell>
        </row>
        <row r="5410">
          <cell r="A5410" t="str">
            <v>CSA WIRELESS</v>
          </cell>
          <cell r="B5410" t="str">
            <v>PCSA105-19-3</v>
          </cell>
          <cell r="O5410">
            <v>5.2113985339506197</v>
          </cell>
          <cell r="T5410">
            <v>3.4665948450975597</v>
          </cell>
        </row>
        <row r="5411">
          <cell r="A5411" t="str">
            <v>CSA WIRELESS</v>
          </cell>
          <cell r="B5411" t="str">
            <v>PCSA105-19-4</v>
          </cell>
          <cell r="O5411">
            <v>5.2113985339506197</v>
          </cell>
          <cell r="T5411">
            <v>3.4665948450975597</v>
          </cell>
        </row>
        <row r="5412">
          <cell r="A5412" t="str">
            <v>CSA WIRELESS</v>
          </cell>
          <cell r="B5412" t="str">
            <v>PCSA105-19-5</v>
          </cell>
          <cell r="O5412">
            <v>5.2113985339506197</v>
          </cell>
          <cell r="T5412">
            <v>3.4665948450975597</v>
          </cell>
        </row>
        <row r="5413">
          <cell r="A5413" t="str">
            <v>CSA WIRELESS</v>
          </cell>
          <cell r="B5413" t="str">
            <v>PCSA109-19-0</v>
          </cell>
          <cell r="O5413"/>
          <cell r="T5413"/>
        </row>
        <row r="5414">
          <cell r="A5414" t="str">
            <v>CSA WIRELESS</v>
          </cell>
          <cell r="B5414" t="str">
            <v>PCSA115-13-2</v>
          </cell>
          <cell r="O5414"/>
          <cell r="T5414"/>
        </row>
        <row r="5415">
          <cell r="A5415" t="str">
            <v>CSA WIRELESS</v>
          </cell>
          <cell r="B5415" t="str">
            <v>PCSA115-19-0</v>
          </cell>
          <cell r="O5415"/>
          <cell r="T5415"/>
        </row>
        <row r="5416">
          <cell r="A5416" t="str">
            <v>CSA WIRELESS</v>
          </cell>
          <cell r="B5416" t="str">
            <v>PCSA115-19-2</v>
          </cell>
          <cell r="O5416"/>
          <cell r="T5416"/>
        </row>
        <row r="5417">
          <cell r="A5417" t="str">
            <v>CSA WIRELESS</v>
          </cell>
          <cell r="B5417" t="str">
            <v>PCSAO60-19-OH</v>
          </cell>
          <cell r="O5417"/>
          <cell r="T5417"/>
        </row>
        <row r="5418">
          <cell r="A5418" t="str">
            <v>CSA WIRELESS</v>
          </cell>
          <cell r="B5418" t="str">
            <v>PCSC360-25-2</v>
          </cell>
          <cell r="O5418"/>
          <cell r="T5418"/>
        </row>
        <row r="5419">
          <cell r="A5419" t="str">
            <v>CSA WIRELESS</v>
          </cell>
          <cell r="B5419" t="str">
            <v>PCSS-VBW6-13-0</v>
          </cell>
          <cell r="O5419"/>
          <cell r="T5419"/>
        </row>
        <row r="5420">
          <cell r="A5420" t="str">
            <v>CSA WIRELESS</v>
          </cell>
          <cell r="B5420" t="str">
            <v>PCSS-VBW6-13-2</v>
          </cell>
          <cell r="O5420"/>
          <cell r="T5420"/>
        </row>
        <row r="5421">
          <cell r="A5421" t="str">
            <v>CSA WIRELESS</v>
          </cell>
          <cell r="B5421" t="str">
            <v>PCSS-VBW6-13-4</v>
          </cell>
          <cell r="O5421"/>
          <cell r="T5421"/>
        </row>
        <row r="5422">
          <cell r="A5422" t="str">
            <v>CSA WIRELESS</v>
          </cell>
          <cell r="B5422" t="str">
            <v>PCSS065-06-5</v>
          </cell>
          <cell r="O5422"/>
          <cell r="T5422"/>
        </row>
        <row r="5423">
          <cell r="A5423" t="str">
            <v>CSA WIRELESS</v>
          </cell>
          <cell r="B5423" t="str">
            <v>PCSS065-10-0</v>
          </cell>
          <cell r="O5423">
            <v>2.1073609478208697</v>
          </cell>
          <cell r="T5423">
            <v>0.42632379233985002</v>
          </cell>
        </row>
        <row r="5424">
          <cell r="A5424" t="str">
            <v>CSA WIRELESS</v>
          </cell>
          <cell r="B5424" t="str">
            <v>PCSS065-10-2</v>
          </cell>
          <cell r="O5424"/>
          <cell r="T5424"/>
        </row>
        <row r="5425">
          <cell r="A5425" t="str">
            <v>CSA WIRELESS</v>
          </cell>
          <cell r="B5425" t="str">
            <v>PCSS065-10-5</v>
          </cell>
          <cell r="O5425">
            <v>2.1073609478208697</v>
          </cell>
          <cell r="T5425">
            <v>0.42632379233985002</v>
          </cell>
        </row>
        <row r="5426">
          <cell r="A5426" t="str">
            <v>CSA WIRELESS</v>
          </cell>
          <cell r="B5426" t="str">
            <v>PCSS065-13-0</v>
          </cell>
          <cell r="O5426">
            <v>2.2263340390281003</v>
          </cell>
          <cell r="T5426">
            <v>0.45036226411069002</v>
          </cell>
        </row>
        <row r="5427">
          <cell r="A5427" t="str">
            <v>CSA WIRELESS</v>
          </cell>
          <cell r="B5427" t="str">
            <v>PCSS065-13-2</v>
          </cell>
          <cell r="O5427">
            <v>2.2263340390281003</v>
          </cell>
          <cell r="T5427">
            <v>0.45036226411069002</v>
          </cell>
        </row>
        <row r="5428">
          <cell r="A5428" t="str">
            <v>CSA WIRELESS</v>
          </cell>
          <cell r="B5428" t="str">
            <v>PCSS065-13-5</v>
          </cell>
          <cell r="O5428"/>
          <cell r="T5428"/>
        </row>
        <row r="5429">
          <cell r="A5429" t="str">
            <v>CSA WIRELESS</v>
          </cell>
          <cell r="B5429" t="str">
            <v>PCSS065-16-2</v>
          </cell>
          <cell r="O5429"/>
          <cell r="T5429"/>
        </row>
        <row r="5430">
          <cell r="A5430" t="str">
            <v>CSA WIRELESS</v>
          </cell>
          <cell r="B5430" t="str">
            <v>PCSS065-19-0</v>
          </cell>
          <cell r="O5430">
            <v>4.1459466426180889</v>
          </cell>
          <cell r="T5430">
            <v>0.83687452447709898</v>
          </cell>
        </row>
        <row r="5431">
          <cell r="A5431" t="str">
            <v>CSA WIRELESS</v>
          </cell>
          <cell r="B5431" t="str">
            <v>PCSS065-19-2</v>
          </cell>
          <cell r="O5431">
            <v>4.1459466426180889</v>
          </cell>
          <cell r="T5431">
            <v>0.83687452447709898</v>
          </cell>
        </row>
        <row r="5432">
          <cell r="A5432" t="str">
            <v>CSA WIRELESS</v>
          </cell>
          <cell r="B5432" t="str">
            <v>PCSS065-19-5</v>
          </cell>
          <cell r="O5432"/>
          <cell r="T5432"/>
        </row>
        <row r="5433">
          <cell r="A5433" t="str">
            <v>CSA WIRELESS</v>
          </cell>
          <cell r="B5433" t="str">
            <v>PCSS065-32-2</v>
          </cell>
          <cell r="O5433"/>
          <cell r="T5433"/>
        </row>
        <row r="5434">
          <cell r="A5434" t="str">
            <v>CSA WIRELESS</v>
          </cell>
          <cell r="B5434" t="str">
            <v>PCSS090-10-0</v>
          </cell>
          <cell r="O5434"/>
          <cell r="T5434"/>
        </row>
        <row r="5435">
          <cell r="A5435" t="str">
            <v>CSA WIRELESS</v>
          </cell>
          <cell r="B5435" t="str">
            <v>PCSS090-13-0</v>
          </cell>
          <cell r="O5435">
            <v>2.2263340390281003</v>
          </cell>
          <cell r="T5435">
            <v>0.45036226411069002</v>
          </cell>
        </row>
        <row r="5436">
          <cell r="A5436" t="str">
            <v>CSA WIRELESS</v>
          </cell>
          <cell r="B5436" t="str">
            <v>PCSS090-13-2</v>
          </cell>
          <cell r="O5436">
            <v>2.2263340390281003</v>
          </cell>
          <cell r="T5436">
            <v>0.45036226411069002</v>
          </cell>
        </row>
        <row r="5437">
          <cell r="A5437" t="str">
            <v>CSA WIRELESS</v>
          </cell>
          <cell r="B5437" t="str">
            <v>PCSS090-13-5</v>
          </cell>
          <cell r="O5437">
            <v>2.2263340390281003</v>
          </cell>
          <cell r="T5437">
            <v>0.45036226411069002</v>
          </cell>
        </row>
        <row r="5438">
          <cell r="A5438" t="str">
            <v>CSA WIRELESS</v>
          </cell>
          <cell r="B5438" t="str">
            <v>PCSS090-19</v>
          </cell>
          <cell r="O5438"/>
          <cell r="T5438"/>
        </row>
        <row r="5439">
          <cell r="A5439" t="str">
            <v>CSA WIRELESS</v>
          </cell>
          <cell r="B5439" t="str">
            <v>PCSS090-19-0</v>
          </cell>
          <cell r="O5439">
            <v>4.1459466426180889</v>
          </cell>
          <cell r="T5439">
            <v>0.83687452447709898</v>
          </cell>
        </row>
        <row r="5440">
          <cell r="A5440" t="str">
            <v>CSA WIRELESS</v>
          </cell>
          <cell r="B5440" t="str">
            <v>PCSS090-19-2</v>
          </cell>
          <cell r="O5440"/>
          <cell r="T5440"/>
        </row>
        <row r="5441">
          <cell r="A5441" t="str">
            <v>CSA WIRELESS</v>
          </cell>
          <cell r="B5441" t="str">
            <v>PCSX033-13-2</v>
          </cell>
          <cell r="O5441"/>
          <cell r="T5441"/>
        </row>
        <row r="5442">
          <cell r="A5442" t="str">
            <v>CSA WIRELESS</v>
          </cell>
          <cell r="B5442" t="str">
            <v>PCSX033-18-0</v>
          </cell>
          <cell r="O5442"/>
          <cell r="T5442"/>
        </row>
        <row r="5443">
          <cell r="A5443" t="str">
            <v>CSA WIRELESS</v>
          </cell>
          <cell r="B5443" t="str">
            <v>PCSX065-13-2</v>
          </cell>
          <cell r="O5443"/>
          <cell r="T5443"/>
        </row>
        <row r="5444">
          <cell r="A5444" t="str">
            <v>CSA WIRELESS</v>
          </cell>
          <cell r="B5444" t="str">
            <v>PCSX065-13-5</v>
          </cell>
          <cell r="O5444">
            <v>2.17904556528251</v>
          </cell>
          <cell r="T5444">
            <v>1.14056615512377</v>
          </cell>
        </row>
        <row r="5445">
          <cell r="A5445" t="str">
            <v>CSA WIRELESS</v>
          </cell>
          <cell r="B5445" t="str">
            <v>PCSX065-18</v>
          </cell>
          <cell r="O5445"/>
          <cell r="T5445"/>
        </row>
        <row r="5446">
          <cell r="A5446" t="str">
            <v>CSA WIRELESS</v>
          </cell>
          <cell r="B5446" t="str">
            <v>PCSX065-18-02</v>
          </cell>
          <cell r="O5446"/>
          <cell r="T5446"/>
        </row>
        <row r="5447">
          <cell r="A5447" t="str">
            <v>CSA WIRELESS</v>
          </cell>
          <cell r="B5447" t="str">
            <v>PCSX065-18-0H</v>
          </cell>
          <cell r="O5447">
            <v>3.0171734751834096</v>
          </cell>
          <cell r="T5447">
            <v>1.7957866732152099</v>
          </cell>
        </row>
        <row r="5448">
          <cell r="A5448" t="str">
            <v>CSA WIRELESS</v>
          </cell>
          <cell r="B5448" t="str">
            <v>PCSX065-18-0HA</v>
          </cell>
          <cell r="O5448"/>
          <cell r="T5448"/>
        </row>
        <row r="5449">
          <cell r="A5449" t="str">
            <v>CSA WIRELESS</v>
          </cell>
          <cell r="B5449" t="str">
            <v>PCSX065-18-2</v>
          </cell>
          <cell r="O5449"/>
          <cell r="T5449"/>
        </row>
        <row r="5450">
          <cell r="A5450" t="str">
            <v>CSA WIRELESS</v>
          </cell>
          <cell r="B5450" t="str">
            <v>PCSX065-18-2H</v>
          </cell>
          <cell r="O5450">
            <v>3.0171734751834096</v>
          </cell>
          <cell r="T5450">
            <v>1.7957866732152099</v>
          </cell>
        </row>
        <row r="5451">
          <cell r="A5451" t="str">
            <v>CSA WIRELESS</v>
          </cell>
          <cell r="B5451" t="str">
            <v>PCSX065-18-2HA</v>
          </cell>
          <cell r="O5451"/>
          <cell r="T5451"/>
        </row>
        <row r="5452">
          <cell r="A5452" t="str">
            <v>CSA WIRELESS</v>
          </cell>
          <cell r="B5452" t="str">
            <v>PCSX065-18-5</v>
          </cell>
          <cell r="O5452"/>
          <cell r="T5452"/>
        </row>
        <row r="5453">
          <cell r="A5453" t="str">
            <v>CSA WIRELESS</v>
          </cell>
          <cell r="B5453" t="str">
            <v>PCSX065-18-5H</v>
          </cell>
          <cell r="O5453">
            <v>3.0171734751834096</v>
          </cell>
          <cell r="T5453">
            <v>1.7957866732152099</v>
          </cell>
        </row>
        <row r="5454">
          <cell r="A5454" t="str">
            <v>CSA WIRELESS</v>
          </cell>
          <cell r="B5454" t="str">
            <v>PCSX065-18-5HA</v>
          </cell>
          <cell r="O5454"/>
          <cell r="T5454"/>
        </row>
        <row r="5455">
          <cell r="A5455" t="str">
            <v>CSA WIRELESS</v>
          </cell>
          <cell r="B5455" t="str">
            <v>PCSX065-19-A06</v>
          </cell>
          <cell r="O5455">
            <v>3.5584900810000004</v>
          </cell>
          <cell r="T5455">
            <v>2.0694217309999998</v>
          </cell>
        </row>
        <row r="5456">
          <cell r="A5456" t="str">
            <v>CSA WIRELESS</v>
          </cell>
          <cell r="B5456" t="str">
            <v>PCSX085-13-0</v>
          </cell>
          <cell r="O5456"/>
          <cell r="T5456"/>
        </row>
        <row r="5457">
          <cell r="A5457" t="str">
            <v>CSA WIRELESS</v>
          </cell>
          <cell r="B5457" t="str">
            <v>PCSX085-13-2</v>
          </cell>
          <cell r="O5457"/>
          <cell r="T5457"/>
        </row>
        <row r="5458">
          <cell r="A5458" t="str">
            <v>CSA WIRELESS</v>
          </cell>
          <cell r="B5458" t="str">
            <v>PCSX085-18-0</v>
          </cell>
          <cell r="O5458"/>
          <cell r="T5458"/>
        </row>
        <row r="5459">
          <cell r="A5459" t="str">
            <v>CSA WIRELESS</v>
          </cell>
          <cell r="B5459" t="str">
            <v>PCSX085-18-2</v>
          </cell>
          <cell r="O5459"/>
          <cell r="T5459"/>
        </row>
        <row r="5460">
          <cell r="A5460" t="str">
            <v>CSA WIRELESS</v>
          </cell>
          <cell r="B5460" t="str">
            <v>PCSX085-18-5H</v>
          </cell>
          <cell r="O5460"/>
          <cell r="T5460"/>
        </row>
        <row r="5461">
          <cell r="A5461" t="str">
            <v>CSA WIRELESS</v>
          </cell>
          <cell r="B5461" t="str">
            <v>PCSX085-19-2Q</v>
          </cell>
          <cell r="O5461"/>
          <cell r="T5461"/>
        </row>
        <row r="5462">
          <cell r="A5462" t="str">
            <v>CSA WIRELESS</v>
          </cell>
          <cell r="B5462" t="str">
            <v>PCSX085-19-A28</v>
          </cell>
          <cell r="O5462">
            <v>3.5584900810000004</v>
          </cell>
          <cell r="T5462">
            <v>2.0694217309999998</v>
          </cell>
        </row>
        <row r="5463">
          <cell r="A5463" t="str">
            <v>CSA WIRELESS</v>
          </cell>
          <cell r="B5463" t="str">
            <v>PCX065-1</v>
          </cell>
          <cell r="O5463"/>
          <cell r="T5463"/>
        </row>
        <row r="5464">
          <cell r="A5464" t="str">
            <v>CSA WIRELESS</v>
          </cell>
          <cell r="B5464" t="str">
            <v>PZSA090-19-2</v>
          </cell>
          <cell r="O5464"/>
          <cell r="T5464"/>
        </row>
        <row r="5465">
          <cell r="A5465" t="str">
            <v>CSA WIRELESS</v>
          </cell>
          <cell r="B5465" t="str">
            <v>R-18A39E-C</v>
          </cell>
          <cell r="O5465"/>
          <cell r="T5465"/>
        </row>
        <row r="5466">
          <cell r="A5466" t="str">
            <v>CSA WIRELESS</v>
          </cell>
          <cell r="B5466" t="str">
            <v>SA-13</v>
          </cell>
          <cell r="O5466"/>
          <cell r="T5466"/>
        </row>
        <row r="5467">
          <cell r="A5467" t="str">
            <v>CSA WIRELESS</v>
          </cell>
          <cell r="B5467" t="str">
            <v>SSI806642P170</v>
          </cell>
          <cell r="O5467"/>
          <cell r="T5467"/>
        </row>
        <row r="5468">
          <cell r="A5468" t="str">
            <v>CSA WIRELESS</v>
          </cell>
          <cell r="B5468" t="str">
            <v>V6515A-V6518A</v>
          </cell>
          <cell r="O5468"/>
          <cell r="T5468"/>
        </row>
        <row r="5469">
          <cell r="A5469" t="str">
            <v>CSA WIRELESS</v>
          </cell>
          <cell r="B5469" t="str">
            <v>V9014A-V90172</v>
          </cell>
          <cell r="O5469">
            <v>2.6137088923587499</v>
          </cell>
          <cell r="T5469">
            <v>2.1316578928883798</v>
          </cell>
        </row>
        <row r="5470">
          <cell r="A5470" t="str">
            <v>CSA WIRELESS</v>
          </cell>
          <cell r="B5470" t="str">
            <v>V9015A-V90182</v>
          </cell>
          <cell r="O5470"/>
          <cell r="T5470"/>
        </row>
        <row r="5471">
          <cell r="A5471" t="str">
            <v>CSA WIRELESS</v>
          </cell>
          <cell r="B5471" t="str">
            <v>W65-19-A06</v>
          </cell>
          <cell r="O5471">
            <v>3.5584900810000004</v>
          </cell>
          <cell r="T5471">
            <v>2.0694217309999998</v>
          </cell>
        </row>
        <row r="5472">
          <cell r="A5472" t="str">
            <v>CSA WIRELESS</v>
          </cell>
          <cell r="B5472" t="str">
            <v>WWT65-13-A010</v>
          </cell>
          <cell r="O5472"/>
          <cell r="T5472"/>
        </row>
        <row r="5473">
          <cell r="A5473" t="str">
            <v>CSA WIRELESS</v>
          </cell>
          <cell r="B5473" t="str">
            <v>X6517A-X65192</v>
          </cell>
          <cell r="O5473"/>
          <cell r="T5473"/>
        </row>
        <row r="5474">
          <cell r="A5474" t="str">
            <v>CSA WIRELESS</v>
          </cell>
          <cell r="B5474" t="str">
            <v>X6517A-X6519A</v>
          </cell>
          <cell r="O5474"/>
          <cell r="T5474"/>
        </row>
        <row r="5475">
          <cell r="A5475" t="str">
            <v>CSI WIRELESS</v>
          </cell>
          <cell r="B5475" t="str">
            <v>MGA-2</v>
          </cell>
          <cell r="O5475"/>
          <cell r="T5475"/>
        </row>
        <row r="5476">
          <cell r="A5476" t="str">
            <v>CSI-CELLULAR SPECIALTIES</v>
          </cell>
          <cell r="B5476" t="str">
            <v>CSI-AY/809-960/11</v>
          </cell>
          <cell r="O5476"/>
          <cell r="T5476"/>
        </row>
        <row r="5477">
          <cell r="A5477" t="str">
            <v>CSS</v>
          </cell>
          <cell r="B5477" t="str">
            <v>AMD16-90</v>
          </cell>
          <cell r="O5477">
            <v>2.2834495560000003</v>
          </cell>
          <cell r="T5477">
            <v>1.5216799620000001</v>
          </cell>
        </row>
        <row r="5478">
          <cell r="A5478" t="str">
            <v>CSS</v>
          </cell>
          <cell r="B5478" t="str">
            <v>AMD17-65-0</v>
          </cell>
          <cell r="O5478">
            <v>2.289560915</v>
          </cell>
          <cell r="T5478">
            <v>1.5161869619999999</v>
          </cell>
        </row>
        <row r="5479">
          <cell r="A5479" t="str">
            <v>CSS</v>
          </cell>
          <cell r="B5479" t="str">
            <v>AMD17-65-2</v>
          </cell>
          <cell r="O5479">
            <v>2.289560915</v>
          </cell>
          <cell r="T5479">
            <v>1.5161869619999999</v>
          </cell>
        </row>
        <row r="5480">
          <cell r="A5480" t="str">
            <v>CSS</v>
          </cell>
          <cell r="B5480" t="str">
            <v>AMD17-80</v>
          </cell>
          <cell r="O5480">
            <v>2.289560915</v>
          </cell>
          <cell r="T5480">
            <v>1.5161869619999999</v>
          </cell>
        </row>
        <row r="5481">
          <cell r="A5481" t="str">
            <v>CSS</v>
          </cell>
          <cell r="B5481" t="str">
            <v>AMD18-80</v>
          </cell>
          <cell r="O5481">
            <v>3.4354490919999998</v>
          </cell>
          <cell r="T5481">
            <v>2.2800826960000005</v>
          </cell>
        </row>
        <row r="5482">
          <cell r="A5482" t="str">
            <v>CSS</v>
          </cell>
          <cell r="B5482" t="str">
            <v>AMD19-45</v>
          </cell>
          <cell r="O5482">
            <v>4.6552982794136897</v>
          </cell>
          <cell r="T5482">
            <v>2.0982944620333903</v>
          </cell>
        </row>
        <row r="5483">
          <cell r="A5483" t="str">
            <v>CSS</v>
          </cell>
          <cell r="B5483" t="str">
            <v>AMD19-65</v>
          </cell>
          <cell r="O5483"/>
          <cell r="T5483"/>
        </row>
        <row r="5484">
          <cell r="A5484" t="str">
            <v>CSS</v>
          </cell>
          <cell r="B5484" t="str">
            <v>AMP17-65-0</v>
          </cell>
          <cell r="O5484">
            <v>2.2834495560000003</v>
          </cell>
          <cell r="T5484">
            <v>1.5216799620000001</v>
          </cell>
        </row>
        <row r="5485">
          <cell r="A5485" t="str">
            <v>CSS</v>
          </cell>
          <cell r="B5485" t="str">
            <v>AMP17-65-2</v>
          </cell>
          <cell r="O5485">
            <v>2.2834495560000003</v>
          </cell>
          <cell r="T5485">
            <v>1.5216799620000001</v>
          </cell>
        </row>
        <row r="5486">
          <cell r="A5486" t="str">
            <v>CSS</v>
          </cell>
          <cell r="B5486" t="str">
            <v>AXP-MB-430</v>
          </cell>
          <cell r="O5486">
            <v>5.0398259639999994</v>
          </cell>
          <cell r="T5486">
            <v>2.8222910539999999</v>
          </cell>
        </row>
        <row r="5487">
          <cell r="A5487" t="str">
            <v>CSS</v>
          </cell>
          <cell r="B5487" t="str">
            <v>AXP-MB-430-2</v>
          </cell>
          <cell r="O5487">
            <v>5.0398259639999994</v>
          </cell>
          <cell r="T5487">
            <v>2.8222910539999999</v>
          </cell>
        </row>
        <row r="5488">
          <cell r="A5488" t="str">
            <v>CSS</v>
          </cell>
          <cell r="B5488" t="str">
            <v>AXP-MB-430-2I</v>
          </cell>
          <cell r="O5488">
            <v>5.0398259639999994</v>
          </cell>
          <cell r="T5488">
            <v>2.8222910539999999</v>
          </cell>
        </row>
        <row r="5489">
          <cell r="A5489" t="str">
            <v>CSS</v>
          </cell>
          <cell r="B5489" t="str">
            <v>AXP15-60</v>
          </cell>
          <cell r="O5489">
            <v>1.1233786800000001</v>
          </cell>
          <cell r="T5489">
            <v>0.73833452899999985</v>
          </cell>
        </row>
        <row r="5490">
          <cell r="A5490" t="str">
            <v>CSS</v>
          </cell>
          <cell r="B5490" t="str">
            <v>AXP16-45</v>
          </cell>
          <cell r="O5490">
            <v>2.20612444558587</v>
          </cell>
          <cell r="T5490">
            <v>0.99778518427923502</v>
          </cell>
        </row>
        <row r="5491">
          <cell r="A5491" t="str">
            <v>CSS</v>
          </cell>
          <cell r="B5491" t="str">
            <v>AXP16-45-6</v>
          </cell>
          <cell r="O5491">
            <v>2.20612444558587</v>
          </cell>
          <cell r="T5491">
            <v>0.99778518427923502</v>
          </cell>
        </row>
        <row r="5492">
          <cell r="A5492" t="str">
            <v>CSS</v>
          </cell>
          <cell r="B5492" t="str">
            <v>AXP16-80</v>
          </cell>
          <cell r="O5492">
            <v>2.2618484760000004</v>
          </cell>
          <cell r="T5492">
            <v>1.4978773569999999</v>
          </cell>
        </row>
        <row r="5493">
          <cell r="A5493" t="str">
            <v>CSS</v>
          </cell>
          <cell r="B5493" t="str">
            <v>AXP16-80-0</v>
          </cell>
          <cell r="O5493">
            <v>2.2618484760000004</v>
          </cell>
          <cell r="T5493">
            <v>1.4978773569999999</v>
          </cell>
        </row>
        <row r="5494">
          <cell r="A5494" t="str">
            <v>CSS</v>
          </cell>
          <cell r="B5494" t="str">
            <v>AXP16-80-0D</v>
          </cell>
          <cell r="O5494">
            <v>2.2618484760000004</v>
          </cell>
          <cell r="T5494">
            <v>1.4978773569999999</v>
          </cell>
        </row>
        <row r="5495">
          <cell r="A5495" t="str">
            <v>CSS</v>
          </cell>
          <cell r="B5495" t="str">
            <v>AXP16-80-0I</v>
          </cell>
          <cell r="O5495">
            <v>2.2618484760000004</v>
          </cell>
          <cell r="T5495">
            <v>1.4978773569999999</v>
          </cell>
        </row>
        <row r="5496">
          <cell r="A5496" t="str">
            <v>CSS</v>
          </cell>
          <cell r="B5496" t="str">
            <v>AXP16-80-2</v>
          </cell>
          <cell r="O5496">
            <v>2.2618484760000004</v>
          </cell>
          <cell r="T5496">
            <v>1.4978773569999999</v>
          </cell>
        </row>
        <row r="5497">
          <cell r="A5497" t="str">
            <v>CSS</v>
          </cell>
          <cell r="B5497" t="str">
            <v>AXP16-80-2D</v>
          </cell>
          <cell r="O5497">
            <v>2.2618484760000004</v>
          </cell>
          <cell r="T5497">
            <v>1.4978773569999999</v>
          </cell>
        </row>
        <row r="5498">
          <cell r="A5498" t="str">
            <v>CSS</v>
          </cell>
          <cell r="B5498" t="str">
            <v>AXP16-80-2I</v>
          </cell>
          <cell r="O5498">
            <v>2.2618484760000004</v>
          </cell>
          <cell r="T5498">
            <v>1.4978773569999999</v>
          </cell>
        </row>
        <row r="5499">
          <cell r="A5499" t="str">
            <v>CSS</v>
          </cell>
          <cell r="B5499" t="str">
            <v>AXP16-80-2IP</v>
          </cell>
          <cell r="O5499">
            <v>2.2618484760000004</v>
          </cell>
          <cell r="T5499">
            <v>1.4978773569999999</v>
          </cell>
        </row>
        <row r="5500">
          <cell r="A5500" t="str">
            <v>CSS</v>
          </cell>
          <cell r="B5500" t="str">
            <v>AXP16-80-4</v>
          </cell>
          <cell r="O5500">
            <v>2.2618484760000004</v>
          </cell>
          <cell r="T5500">
            <v>1.4978773569999999</v>
          </cell>
        </row>
        <row r="5501">
          <cell r="A5501" t="str">
            <v>CSS</v>
          </cell>
          <cell r="B5501" t="str">
            <v>AXP16-80-4I</v>
          </cell>
          <cell r="O5501">
            <v>2.2618484760000004</v>
          </cell>
          <cell r="T5501">
            <v>1.4978773569999999</v>
          </cell>
        </row>
        <row r="5502">
          <cell r="A5502" t="str">
            <v>CSS</v>
          </cell>
          <cell r="B5502" t="str">
            <v>AXP16-80-6</v>
          </cell>
          <cell r="O5502">
            <v>2.289560915</v>
          </cell>
          <cell r="T5502">
            <v>1.5161869619999999</v>
          </cell>
        </row>
        <row r="5503">
          <cell r="A5503" t="str">
            <v>CSS</v>
          </cell>
          <cell r="B5503" t="str">
            <v>AXP16-80-6I</v>
          </cell>
          <cell r="O5503">
            <v>2.2618484760000004</v>
          </cell>
          <cell r="T5503">
            <v>1.4978773569999999</v>
          </cell>
        </row>
        <row r="5504">
          <cell r="A5504" t="str">
            <v>CSS</v>
          </cell>
          <cell r="B5504" t="str">
            <v>AXP18-60</v>
          </cell>
          <cell r="O5504">
            <v>2.289560915</v>
          </cell>
          <cell r="T5504">
            <v>1.5161869619999999</v>
          </cell>
        </row>
        <row r="5505">
          <cell r="A5505" t="str">
            <v>CSS</v>
          </cell>
          <cell r="B5505" t="str">
            <v>AXP18-60-0</v>
          </cell>
          <cell r="O5505">
            <v>2.2895609153402297</v>
          </cell>
          <cell r="T5505">
            <v>1.5161869616792301</v>
          </cell>
        </row>
        <row r="5506">
          <cell r="A5506" t="str">
            <v>CSS</v>
          </cell>
          <cell r="B5506" t="str">
            <v>AXP18-60-0D</v>
          </cell>
          <cell r="O5506">
            <v>2.289560915</v>
          </cell>
          <cell r="T5506">
            <v>1.5161869619999999</v>
          </cell>
        </row>
        <row r="5507">
          <cell r="A5507" t="str">
            <v>CSS</v>
          </cell>
          <cell r="B5507" t="str">
            <v>AXP18-60-0I</v>
          </cell>
          <cell r="O5507">
            <v>2.2618484760000004</v>
          </cell>
          <cell r="T5507">
            <v>1.4978773569999999</v>
          </cell>
        </row>
        <row r="5508">
          <cell r="A5508" t="str">
            <v>CSS</v>
          </cell>
          <cell r="B5508" t="str">
            <v>AXP18-60-1I</v>
          </cell>
          <cell r="O5508">
            <v>2.2618484760000004</v>
          </cell>
          <cell r="T5508">
            <v>1.4978773569999999</v>
          </cell>
        </row>
        <row r="5509">
          <cell r="A5509" t="str">
            <v>CSS</v>
          </cell>
          <cell r="B5509" t="str">
            <v>AXP18-60-2</v>
          </cell>
          <cell r="O5509">
            <v>2.2895609153402297</v>
          </cell>
          <cell r="T5509">
            <v>1.5161869616792301</v>
          </cell>
        </row>
        <row r="5510">
          <cell r="A5510" t="str">
            <v>CSS</v>
          </cell>
          <cell r="B5510" t="str">
            <v>AXP18-60-2D</v>
          </cell>
          <cell r="O5510">
            <v>2.2895609153402297</v>
          </cell>
          <cell r="T5510">
            <v>1.5161869616792301</v>
          </cell>
        </row>
        <row r="5511">
          <cell r="A5511" t="str">
            <v>CSS</v>
          </cell>
          <cell r="B5511" t="str">
            <v>AXP18-60-2I</v>
          </cell>
          <cell r="O5511">
            <v>2.2618484760000004</v>
          </cell>
          <cell r="T5511">
            <v>1.4978773569999999</v>
          </cell>
        </row>
        <row r="5512">
          <cell r="A5512" t="str">
            <v>CSS</v>
          </cell>
          <cell r="B5512" t="str">
            <v>AXP18-60-2IP</v>
          </cell>
          <cell r="O5512">
            <v>2.2618484760000004</v>
          </cell>
          <cell r="T5512">
            <v>1.4978773569999999</v>
          </cell>
        </row>
        <row r="5513">
          <cell r="A5513" t="str">
            <v>CSS</v>
          </cell>
          <cell r="B5513" t="str">
            <v>AXP18-60-3I</v>
          </cell>
          <cell r="O5513">
            <v>2.2618484760000004</v>
          </cell>
          <cell r="T5513">
            <v>1.4978773569999999</v>
          </cell>
        </row>
        <row r="5514">
          <cell r="A5514" t="str">
            <v>CSS</v>
          </cell>
          <cell r="B5514" t="str">
            <v>AXP18-60-4</v>
          </cell>
          <cell r="O5514">
            <v>2.2895609153402297</v>
          </cell>
          <cell r="T5514">
            <v>1.5161869616792301</v>
          </cell>
        </row>
        <row r="5515">
          <cell r="A5515" t="str">
            <v>CSS</v>
          </cell>
          <cell r="B5515" t="str">
            <v>AXP18-60-4D</v>
          </cell>
          <cell r="O5515">
            <v>2.2895609153402297</v>
          </cell>
          <cell r="T5515">
            <v>1.5161869616792301</v>
          </cell>
        </row>
        <row r="5516">
          <cell r="A5516" t="str">
            <v>CSS</v>
          </cell>
          <cell r="B5516" t="str">
            <v>AXP18-60-4I</v>
          </cell>
          <cell r="O5516">
            <v>2.2618484760000004</v>
          </cell>
          <cell r="T5516">
            <v>1.4978773569999999</v>
          </cell>
        </row>
        <row r="5517">
          <cell r="A5517" t="str">
            <v>CSS</v>
          </cell>
          <cell r="B5517" t="str">
            <v>AXP18-60-6</v>
          </cell>
          <cell r="O5517">
            <v>2.2895609153402297</v>
          </cell>
          <cell r="T5517">
            <v>1.5161869616792301</v>
          </cell>
        </row>
        <row r="5518">
          <cell r="A5518" t="str">
            <v>CSS</v>
          </cell>
          <cell r="B5518" t="str">
            <v>AXP18-60-6I</v>
          </cell>
          <cell r="O5518">
            <v>2.289560915</v>
          </cell>
          <cell r="T5518">
            <v>1.5161869619999999</v>
          </cell>
        </row>
        <row r="5519">
          <cell r="A5519" t="str">
            <v>CSS</v>
          </cell>
          <cell r="B5519" t="str">
            <v>AXP18-80</v>
          </cell>
          <cell r="O5519">
            <v>3.4354490919999998</v>
          </cell>
          <cell r="T5519">
            <v>2.2800826960000005</v>
          </cell>
        </row>
        <row r="5520">
          <cell r="A5520" t="str">
            <v>CSS</v>
          </cell>
          <cell r="B5520" t="str">
            <v>AXP18-80-0</v>
          </cell>
          <cell r="O5520">
            <v>3.4354490919999998</v>
          </cell>
          <cell r="T5520">
            <v>2.2800826960000005</v>
          </cell>
        </row>
        <row r="5521">
          <cell r="A5521" t="str">
            <v>CSS</v>
          </cell>
          <cell r="B5521" t="str">
            <v>AXP18-80-0I</v>
          </cell>
          <cell r="O5521">
            <v>3.347960552</v>
          </cell>
          <cell r="T5521">
            <v>2.23428812</v>
          </cell>
        </row>
        <row r="5522">
          <cell r="A5522" t="str">
            <v>CSS</v>
          </cell>
          <cell r="B5522" t="str">
            <v>AXP18-80-2</v>
          </cell>
          <cell r="O5522">
            <v>3.4354490919999998</v>
          </cell>
          <cell r="T5522">
            <v>2.2800826960000005</v>
          </cell>
        </row>
        <row r="5523">
          <cell r="A5523" t="str">
            <v>CSS</v>
          </cell>
          <cell r="B5523" t="str">
            <v>AXP18-80-2I</v>
          </cell>
          <cell r="O5523">
            <v>3.347960552</v>
          </cell>
          <cell r="T5523">
            <v>2.23428812</v>
          </cell>
        </row>
        <row r="5524">
          <cell r="A5524" t="str">
            <v>CSS</v>
          </cell>
          <cell r="B5524" t="str">
            <v>AXP18-80-2IP</v>
          </cell>
          <cell r="O5524">
            <v>3.347960552</v>
          </cell>
          <cell r="T5524">
            <v>2.23428812</v>
          </cell>
        </row>
        <row r="5525">
          <cell r="A5525" t="str">
            <v>CSS</v>
          </cell>
          <cell r="B5525" t="str">
            <v>AXP18-80-4</v>
          </cell>
          <cell r="O5525">
            <v>3.4354490919999998</v>
          </cell>
          <cell r="T5525">
            <v>2.2800826960000005</v>
          </cell>
        </row>
        <row r="5526">
          <cell r="A5526" t="str">
            <v>CSS</v>
          </cell>
          <cell r="B5526" t="str">
            <v>AXP18-80-4I</v>
          </cell>
          <cell r="O5526">
            <v>3.347960552</v>
          </cell>
          <cell r="T5526">
            <v>2.23428812</v>
          </cell>
        </row>
        <row r="5527">
          <cell r="A5527" t="str">
            <v>CSS</v>
          </cell>
          <cell r="B5527" t="str">
            <v>AXP19-45</v>
          </cell>
          <cell r="O5527">
            <v>4.6552982794136897</v>
          </cell>
          <cell r="T5527">
            <v>2.0982944620333903</v>
          </cell>
        </row>
        <row r="5528">
          <cell r="A5528" t="str">
            <v>CSS</v>
          </cell>
          <cell r="B5528" t="str">
            <v>AXP19-45-0</v>
          </cell>
          <cell r="O5528">
            <v>4.6552982794136897</v>
          </cell>
          <cell r="T5528">
            <v>2.0982944620333903</v>
          </cell>
        </row>
        <row r="5529">
          <cell r="A5529" t="str">
            <v>CSS</v>
          </cell>
          <cell r="B5529" t="str">
            <v>AXP19-45-2</v>
          </cell>
          <cell r="O5529">
            <v>4.6552982794136897</v>
          </cell>
          <cell r="T5529">
            <v>2.0982944620333903</v>
          </cell>
        </row>
        <row r="5530">
          <cell r="A5530" t="str">
            <v>CSS</v>
          </cell>
          <cell r="B5530" t="str">
            <v>AXP19-45-4</v>
          </cell>
          <cell r="O5530">
            <v>4.6552982794136897</v>
          </cell>
          <cell r="T5530">
            <v>2.0982944620333903</v>
          </cell>
        </row>
        <row r="5531">
          <cell r="A5531" t="str">
            <v>CSS</v>
          </cell>
          <cell r="B5531" t="str">
            <v>AXP19-45-6</v>
          </cell>
          <cell r="O5531">
            <v>4.6552982794136897</v>
          </cell>
          <cell r="T5531">
            <v>2.0982944620333903</v>
          </cell>
        </row>
        <row r="5532">
          <cell r="A5532" t="str">
            <v>CSS</v>
          </cell>
          <cell r="B5532" t="str">
            <v>AXP19-60</v>
          </cell>
          <cell r="O5532">
            <v>3.4354490919999998</v>
          </cell>
          <cell r="T5532">
            <v>2.2800826960000005</v>
          </cell>
        </row>
        <row r="5533">
          <cell r="A5533" t="str">
            <v>CSS</v>
          </cell>
          <cell r="B5533" t="str">
            <v>AXP19-60-0</v>
          </cell>
          <cell r="O5533">
            <v>3.4354490919999998</v>
          </cell>
          <cell r="T5533">
            <v>2.2800826960000005</v>
          </cell>
        </row>
        <row r="5534">
          <cell r="A5534" t="str">
            <v>CSS</v>
          </cell>
          <cell r="B5534" t="str">
            <v>AXP19-60-0I</v>
          </cell>
          <cell r="O5534">
            <v>3.4354490919999998</v>
          </cell>
          <cell r="T5534">
            <v>2.2800826960000005</v>
          </cell>
        </row>
        <row r="5535">
          <cell r="A5535" t="str">
            <v>CSS</v>
          </cell>
          <cell r="B5535" t="str">
            <v>AXP19-60-2</v>
          </cell>
          <cell r="O5535">
            <v>3.4354490919999998</v>
          </cell>
          <cell r="T5535">
            <v>2.2800826960000005</v>
          </cell>
        </row>
        <row r="5536">
          <cell r="A5536" t="str">
            <v>CSS</v>
          </cell>
          <cell r="B5536" t="str">
            <v>AXP19-60-2I</v>
          </cell>
          <cell r="O5536">
            <v>3.4354490919999998</v>
          </cell>
          <cell r="T5536">
            <v>2.2800826960000005</v>
          </cell>
        </row>
        <row r="5537">
          <cell r="A5537" t="str">
            <v>CSS</v>
          </cell>
          <cell r="B5537" t="str">
            <v>AXP19-60-4</v>
          </cell>
          <cell r="O5537">
            <v>3.4354490919999998</v>
          </cell>
          <cell r="T5537">
            <v>2.2800826960000005</v>
          </cell>
        </row>
        <row r="5538">
          <cell r="A5538" t="str">
            <v>CSS</v>
          </cell>
          <cell r="B5538" t="str">
            <v>AXP19-60-6</v>
          </cell>
          <cell r="O5538">
            <v>3.4354490919999998</v>
          </cell>
          <cell r="T5538">
            <v>2.2800826960000005</v>
          </cell>
        </row>
        <row r="5539">
          <cell r="A5539" t="str">
            <v>CSS</v>
          </cell>
          <cell r="B5539" t="str">
            <v>AXP19-60-I</v>
          </cell>
          <cell r="O5539">
            <v>3.4354490919999998</v>
          </cell>
          <cell r="T5539">
            <v>2.2800826960000005</v>
          </cell>
        </row>
        <row r="5540">
          <cell r="A5540" t="str">
            <v>CSS</v>
          </cell>
          <cell r="B5540" t="str">
            <v>AXP19-80</v>
          </cell>
          <cell r="O5540">
            <v>4.5926587169999999</v>
          </cell>
          <cell r="T5540">
            <v>3.0520987809999998</v>
          </cell>
        </row>
        <row r="5541">
          <cell r="A5541" t="str">
            <v>CSS</v>
          </cell>
          <cell r="B5541" t="str">
            <v>AXP19-80-0</v>
          </cell>
          <cell r="O5541">
            <v>4.5926587169999999</v>
          </cell>
          <cell r="T5541">
            <v>3.0520987809999998</v>
          </cell>
        </row>
        <row r="5542">
          <cell r="A5542" t="str">
            <v>CSS</v>
          </cell>
          <cell r="B5542" t="str">
            <v>AXP19-80-2</v>
          </cell>
          <cell r="O5542">
            <v>4.5926587169999999</v>
          </cell>
          <cell r="T5542">
            <v>3.0520987809999998</v>
          </cell>
        </row>
        <row r="5543">
          <cell r="A5543" t="str">
            <v>CSS</v>
          </cell>
          <cell r="B5543" t="str">
            <v>AXP19-80-4</v>
          </cell>
          <cell r="O5543">
            <v>4.5926587169999999</v>
          </cell>
          <cell r="T5543">
            <v>3.0520987809999998</v>
          </cell>
        </row>
        <row r="5544">
          <cell r="A5544" t="str">
            <v>CSS</v>
          </cell>
          <cell r="B5544" t="str">
            <v>AXP19-80-6</v>
          </cell>
          <cell r="O5544">
            <v>4.5926587169999999</v>
          </cell>
          <cell r="T5544">
            <v>3.0520987809999998</v>
          </cell>
        </row>
        <row r="5545">
          <cell r="A5545" t="str">
            <v>CSS</v>
          </cell>
          <cell r="B5545" t="str">
            <v>AXP20-33</v>
          </cell>
          <cell r="O5545">
            <v>5.0398259639999994</v>
          </cell>
          <cell r="T5545">
            <v>2.8222910539999999</v>
          </cell>
        </row>
        <row r="5546">
          <cell r="A5546" t="str">
            <v>CSS</v>
          </cell>
          <cell r="B5546" t="str">
            <v>AXP20-33-00</v>
          </cell>
          <cell r="O5546">
            <v>5.0398259639999994</v>
          </cell>
          <cell r="T5546">
            <v>2.8222910539999999</v>
          </cell>
        </row>
        <row r="5547">
          <cell r="A5547" t="str">
            <v>CSS</v>
          </cell>
          <cell r="B5547" t="str">
            <v>AXP20-45</v>
          </cell>
          <cell r="O5547">
            <v>6.8459283279999994</v>
          </cell>
          <cell r="T5547">
            <v>3.0803848790000004</v>
          </cell>
        </row>
        <row r="5548">
          <cell r="A5548" t="str">
            <v>CSS</v>
          </cell>
          <cell r="B5548" t="str">
            <v>AXP20-45-0</v>
          </cell>
          <cell r="O5548">
            <v>6.8459283279999994</v>
          </cell>
          <cell r="T5548">
            <v>3.0803848790000004</v>
          </cell>
        </row>
        <row r="5549">
          <cell r="A5549" t="str">
            <v>CSS</v>
          </cell>
          <cell r="B5549" t="str">
            <v>AXP20-45-2</v>
          </cell>
          <cell r="O5549">
            <v>6.8459283279999994</v>
          </cell>
          <cell r="T5549">
            <v>3.0803848790000004</v>
          </cell>
        </row>
        <row r="5550">
          <cell r="A5550" t="str">
            <v>CSS</v>
          </cell>
          <cell r="B5550" t="str">
            <v>AXP20-45-2I</v>
          </cell>
          <cell r="O5550">
            <v>6.8459283279999994</v>
          </cell>
          <cell r="T5550">
            <v>3.0803848790000004</v>
          </cell>
        </row>
        <row r="5551">
          <cell r="A5551" t="str">
            <v>CSS</v>
          </cell>
          <cell r="B5551" t="str">
            <v>AXP20-45-4</v>
          </cell>
          <cell r="O5551">
            <v>6.8459283279999994</v>
          </cell>
          <cell r="T5551">
            <v>3.0803848790000004</v>
          </cell>
        </row>
        <row r="5552">
          <cell r="A5552" t="str">
            <v>CSS</v>
          </cell>
          <cell r="B5552" t="str">
            <v>AXP20-60</v>
          </cell>
          <cell r="O5552">
            <v>4.5926587169999999</v>
          </cell>
          <cell r="T5552">
            <v>3.0520987809999998</v>
          </cell>
        </row>
        <row r="5553">
          <cell r="A5553" t="str">
            <v>CSS</v>
          </cell>
          <cell r="B5553" t="str">
            <v>AXP20-60-0</v>
          </cell>
          <cell r="O5553">
            <v>4.5926587169999999</v>
          </cell>
          <cell r="T5553">
            <v>3.0520987809999998</v>
          </cell>
        </row>
        <row r="5554">
          <cell r="A5554" t="str">
            <v>CSS</v>
          </cell>
          <cell r="B5554" t="str">
            <v>AXP20-60-2</v>
          </cell>
          <cell r="O5554">
            <v>4.8798283179999995</v>
          </cell>
          <cell r="T5554">
            <v>3.2437681169999997</v>
          </cell>
        </row>
        <row r="5555">
          <cell r="A5555" t="str">
            <v>CSS</v>
          </cell>
          <cell r="B5555" t="str">
            <v>AXP20-60-4</v>
          </cell>
          <cell r="O5555">
            <v>4.8798283179999995</v>
          </cell>
          <cell r="T5555">
            <v>3.2437681169999997</v>
          </cell>
        </row>
        <row r="5556">
          <cell r="A5556" t="str">
            <v>CSS</v>
          </cell>
          <cell r="B5556" t="str">
            <v>AXP20-60-6</v>
          </cell>
          <cell r="O5556">
            <v>4.8798283179999995</v>
          </cell>
          <cell r="T5556">
            <v>3.2437681169999997</v>
          </cell>
        </row>
        <row r="5557">
          <cell r="A5557" t="str">
            <v>CSS</v>
          </cell>
          <cell r="B5557" t="str">
            <v>AXP20-FRO33</v>
          </cell>
          <cell r="O5557">
            <v>5.1701379239999996</v>
          </cell>
          <cell r="T5557">
            <v>2.8524687360000001</v>
          </cell>
        </row>
        <row r="5558">
          <cell r="A5558" t="str">
            <v>CSS</v>
          </cell>
          <cell r="B5558" t="str">
            <v>AXP20-FRO33-0</v>
          </cell>
          <cell r="O5558">
            <v>5.1701379239999996</v>
          </cell>
          <cell r="T5558">
            <v>2.8524687360000001</v>
          </cell>
        </row>
        <row r="5559">
          <cell r="A5559" t="str">
            <v>CSS</v>
          </cell>
          <cell r="B5559" t="str">
            <v>AXP22-FRO33</v>
          </cell>
          <cell r="O5559">
            <v>7.7778211809999993</v>
          </cell>
          <cell r="T5559">
            <v>4.2988428709999997</v>
          </cell>
        </row>
        <row r="5560">
          <cell r="A5560" t="str">
            <v>CSS</v>
          </cell>
          <cell r="B5560" t="str">
            <v>AXP22-FRO33-0</v>
          </cell>
          <cell r="O5560">
            <v>7.7778211809999993</v>
          </cell>
          <cell r="T5560">
            <v>4.2988428709999997</v>
          </cell>
        </row>
        <row r="5561">
          <cell r="A5561" t="str">
            <v>CSS</v>
          </cell>
          <cell r="B5561" t="str">
            <v>C7AP-FRO-656</v>
          </cell>
          <cell r="O5561"/>
          <cell r="T5561"/>
        </row>
        <row r="5562">
          <cell r="A5562" t="str">
            <v>CSS</v>
          </cell>
          <cell r="B5562" t="str">
            <v>C7C-FRO-656</v>
          </cell>
          <cell r="O5562">
            <v>9.5712625389999992</v>
          </cell>
          <cell r="T5562">
            <v>4.7386881430000001</v>
          </cell>
        </row>
        <row r="5563">
          <cell r="A5563" t="str">
            <v>CSS</v>
          </cell>
          <cell r="B5563" t="str">
            <v>C7CAP-FRO-656</v>
          </cell>
          <cell r="O5563"/>
          <cell r="T5563"/>
        </row>
        <row r="5564">
          <cell r="A5564" t="str">
            <v>CSS</v>
          </cell>
          <cell r="B5564" t="str">
            <v>C7CAP-FRO-656-22-IP</v>
          </cell>
          <cell r="O5564">
            <v>12.396749610000001</v>
          </cell>
          <cell r="T5564">
            <v>6.0621000199999999</v>
          </cell>
        </row>
        <row r="5565">
          <cell r="A5565" t="str">
            <v>CSS</v>
          </cell>
          <cell r="B5565" t="str">
            <v>C7CAP-FRO-856IP</v>
          </cell>
          <cell r="O5565">
            <v>16.3114679783951</v>
          </cell>
          <cell r="T5565">
            <v>7.8296703819330187</v>
          </cell>
        </row>
        <row r="5566">
          <cell r="A5566" t="str">
            <v>CSS</v>
          </cell>
          <cell r="B5566" t="str">
            <v>CAP-FRO-656</v>
          </cell>
          <cell r="O5566">
            <v>3.4354490919999998</v>
          </cell>
          <cell r="T5566">
            <v>2.2800826960000005</v>
          </cell>
        </row>
        <row r="5567">
          <cell r="A5567" t="str">
            <v>CSS</v>
          </cell>
          <cell r="B5567" t="str">
            <v>CCAP6-FRO56</v>
          </cell>
          <cell r="O5567">
            <v>8.8881655089999985</v>
          </cell>
          <cell r="T5567">
            <v>4.9411464779999994</v>
          </cell>
        </row>
        <row r="5568">
          <cell r="A5568" t="str">
            <v>CSS</v>
          </cell>
          <cell r="B5568" t="str">
            <v>CCAP8-FRO56</v>
          </cell>
          <cell r="O5568">
            <v>12.05457522999999</v>
          </cell>
          <cell r="T5568">
            <v>6.708743052</v>
          </cell>
        </row>
        <row r="5569">
          <cell r="A5569" t="str">
            <v>CSS</v>
          </cell>
          <cell r="B5569" t="str">
            <v>CSS-XB-1865-VE</v>
          </cell>
          <cell r="O5569">
            <v>2.2834495560000003</v>
          </cell>
          <cell r="T5569">
            <v>1.5216799620000001</v>
          </cell>
        </row>
        <row r="5570">
          <cell r="A5570" t="str">
            <v>CSS</v>
          </cell>
          <cell r="B5570" t="str">
            <v>CSS-XS4-65-R</v>
          </cell>
          <cell r="O5570">
            <v>2.289560915</v>
          </cell>
          <cell r="T5570">
            <v>1.5161869619999999</v>
          </cell>
        </row>
        <row r="5571">
          <cell r="A5571" t="str">
            <v>CSS</v>
          </cell>
          <cell r="B5571" t="str">
            <v>CSS-XS4-65-R1</v>
          </cell>
          <cell r="O5571">
            <v>2.289560915</v>
          </cell>
          <cell r="T5571">
            <v>1.5161869619999999</v>
          </cell>
        </row>
        <row r="5572">
          <cell r="A5572" t="str">
            <v>CSS</v>
          </cell>
          <cell r="B5572" t="str">
            <v>CSSK-DTMA-XS465R-8-EF</v>
          </cell>
          <cell r="O5572">
            <v>2.289560915</v>
          </cell>
          <cell r="T5572">
            <v>1.5161869619999999</v>
          </cell>
        </row>
        <row r="5573">
          <cell r="A5573" t="str">
            <v>CSS</v>
          </cell>
          <cell r="B5573" t="str">
            <v>CX7CQAP-665-00VR0</v>
          </cell>
          <cell r="O5573"/>
          <cell r="T5573"/>
        </row>
        <row r="5574">
          <cell r="A5574" t="str">
            <v>CSS</v>
          </cell>
          <cell r="B5574" t="str">
            <v>CYL-X7CAP-465</v>
          </cell>
          <cell r="O5574"/>
          <cell r="T5574"/>
        </row>
        <row r="5575">
          <cell r="A5575" t="str">
            <v>CSS</v>
          </cell>
          <cell r="B5575" t="str">
            <v>CYL-X7CAP-665</v>
          </cell>
          <cell r="O5575">
            <v>5.9675703143704188</v>
          </cell>
          <cell r="T5575">
            <v>6.0519004879913094</v>
          </cell>
        </row>
        <row r="5576">
          <cell r="A5576" t="str">
            <v>CSS</v>
          </cell>
          <cell r="B5576" t="str">
            <v>CYL-X7CAP-665-42</v>
          </cell>
          <cell r="O5576">
            <v>5.9675703143704188</v>
          </cell>
          <cell r="T5576">
            <v>6.0519004879913094</v>
          </cell>
        </row>
        <row r="5577">
          <cell r="A5577" t="str">
            <v>CSS</v>
          </cell>
          <cell r="B5577" t="str">
            <v>DU04-8670</v>
          </cell>
          <cell r="O5577">
            <v>4.7833342979999998</v>
          </cell>
          <cell r="T5577">
            <v>2.8651257279999998</v>
          </cell>
        </row>
        <row r="5578">
          <cell r="A5578" t="str">
            <v>CSS</v>
          </cell>
          <cell r="B5578" t="str">
            <v>DU08-8670</v>
          </cell>
          <cell r="O5578">
            <v>10.060788001543198</v>
          </cell>
          <cell r="T5578">
            <v>6.0062757366436896</v>
          </cell>
        </row>
        <row r="5579">
          <cell r="A5579" t="str">
            <v>CSS</v>
          </cell>
          <cell r="B5579" t="str">
            <v>DU08-8686-20</v>
          </cell>
          <cell r="O5579">
            <v>10.15325039</v>
          </cell>
          <cell r="T5579">
            <v>6.1111912779999997</v>
          </cell>
        </row>
        <row r="5580">
          <cell r="A5580" t="str">
            <v>CSS</v>
          </cell>
          <cell r="B5580" t="str">
            <v>DUO1417-10570</v>
          </cell>
          <cell r="O5580">
            <v>4.7813980519999992</v>
          </cell>
          <cell r="T5580">
            <v>2.8569426040000003</v>
          </cell>
        </row>
        <row r="5581">
          <cell r="A5581" t="str">
            <v>CSS</v>
          </cell>
          <cell r="B5581" t="str">
            <v>DUO1417-8670</v>
          </cell>
          <cell r="O5581">
            <v>4.7813980519999992</v>
          </cell>
          <cell r="T5581">
            <v>2.8569426040000003</v>
          </cell>
        </row>
        <row r="5582">
          <cell r="A5582" t="str">
            <v>CSS</v>
          </cell>
          <cell r="B5582" t="str">
            <v>DUO1417-8686</v>
          </cell>
          <cell r="O5582">
            <v>4.7833342979999998</v>
          </cell>
          <cell r="T5582">
            <v>2.8651257279999998</v>
          </cell>
        </row>
        <row r="5583">
          <cell r="A5583" t="str">
            <v>CSS</v>
          </cell>
          <cell r="B5583" t="str">
            <v>DUO1417-8686-00I</v>
          </cell>
          <cell r="O5583">
            <v>4.7833342979999998</v>
          </cell>
          <cell r="T5583">
            <v>2.8651257279999998</v>
          </cell>
        </row>
        <row r="5584">
          <cell r="A5584" t="str">
            <v>CSS</v>
          </cell>
          <cell r="B5584" t="str">
            <v>DUO1417-8686-04</v>
          </cell>
          <cell r="O5584">
            <v>4.7833342979999998</v>
          </cell>
          <cell r="T5584">
            <v>2.8651257279999998</v>
          </cell>
        </row>
        <row r="5585">
          <cell r="A5585" t="str">
            <v>CSS</v>
          </cell>
          <cell r="B5585" t="str">
            <v>DUO1417-8686-04I</v>
          </cell>
          <cell r="O5585">
            <v>4.8002247300000001</v>
          </cell>
          <cell r="T5585">
            <v>2.8754666600000003</v>
          </cell>
        </row>
        <row r="5586">
          <cell r="A5586" t="str">
            <v>CSS</v>
          </cell>
          <cell r="B5586" t="str">
            <v>DUO1417-8686-20I</v>
          </cell>
          <cell r="O5586">
            <v>4.8002247300000001</v>
          </cell>
          <cell r="T5586">
            <v>2.8754666600000003</v>
          </cell>
        </row>
        <row r="5587">
          <cell r="A5587" t="str">
            <v>CSS</v>
          </cell>
          <cell r="B5587" t="str">
            <v>DUO1417-8686-22I</v>
          </cell>
          <cell r="O5587">
            <v>4.8002247300000001</v>
          </cell>
          <cell r="T5587">
            <v>2.8754666600000003</v>
          </cell>
        </row>
        <row r="5588">
          <cell r="A5588" t="str">
            <v>CSS</v>
          </cell>
          <cell r="B5588" t="str">
            <v>DUO1417-8686-24I</v>
          </cell>
          <cell r="O5588">
            <v>4.8002247300000001</v>
          </cell>
          <cell r="T5588">
            <v>2.8754666600000003</v>
          </cell>
        </row>
        <row r="5589">
          <cell r="A5589" t="str">
            <v>CSS</v>
          </cell>
          <cell r="B5589" t="str">
            <v>DUO1417-8686-40C</v>
          </cell>
          <cell r="O5589">
            <v>4.7833342979999998</v>
          </cell>
          <cell r="T5589">
            <v>2.8651257279999998</v>
          </cell>
        </row>
        <row r="5590">
          <cell r="A5590" t="str">
            <v>CSS</v>
          </cell>
          <cell r="B5590" t="str">
            <v>DUO1417-8686-40I</v>
          </cell>
          <cell r="O5590">
            <v>4.8002247300000001</v>
          </cell>
          <cell r="T5590">
            <v>2.8754666600000003</v>
          </cell>
        </row>
        <row r="5591">
          <cell r="A5591" t="str">
            <v>CSS</v>
          </cell>
          <cell r="B5591" t="str">
            <v>DUO1417-8686-44I</v>
          </cell>
          <cell r="O5591">
            <v>4.8002247300000001</v>
          </cell>
          <cell r="T5591">
            <v>2.8754666600000003</v>
          </cell>
        </row>
        <row r="5592">
          <cell r="A5592" t="str">
            <v>CSS</v>
          </cell>
          <cell r="B5592" t="str">
            <v>DUO1417-8686-60I</v>
          </cell>
          <cell r="O5592">
            <v>4.7833342979999998</v>
          </cell>
          <cell r="T5592">
            <v>2.8651257279999998</v>
          </cell>
        </row>
        <row r="5593">
          <cell r="A5593" t="str">
            <v>CSS</v>
          </cell>
          <cell r="B5593" t="str">
            <v>DUO1417-8686I</v>
          </cell>
          <cell r="O5593">
            <v>4.8002247300000001</v>
          </cell>
          <cell r="T5593">
            <v>2.8754666600000003</v>
          </cell>
        </row>
        <row r="5594">
          <cell r="A5594" t="str">
            <v>CSS</v>
          </cell>
          <cell r="B5594" t="str">
            <v>DUO1518-7865</v>
          </cell>
          <cell r="O5594"/>
          <cell r="T5594"/>
        </row>
        <row r="5595">
          <cell r="A5595" t="str">
            <v>CSS</v>
          </cell>
          <cell r="B5595" t="str">
            <v>DUO1619-6060</v>
          </cell>
          <cell r="O5595">
            <v>6.4266396604938301</v>
          </cell>
          <cell r="T5595">
            <v>2.9194009210920804</v>
          </cell>
        </row>
        <row r="5596">
          <cell r="A5596" t="str">
            <v>CSS</v>
          </cell>
          <cell r="B5596" t="str">
            <v>DUO1619-6060-20I</v>
          </cell>
          <cell r="O5596"/>
          <cell r="T5596"/>
        </row>
        <row r="5597">
          <cell r="A5597" t="str">
            <v>CSS</v>
          </cell>
          <cell r="B5597" t="str">
            <v>DUO1619-6060-640I</v>
          </cell>
          <cell r="O5597"/>
          <cell r="T5597"/>
        </row>
        <row r="5598">
          <cell r="A5598" t="str">
            <v>CSS</v>
          </cell>
          <cell r="B5598" t="str">
            <v>DUO2-8670</v>
          </cell>
          <cell r="O5598">
            <v>2.9007831790123499</v>
          </cell>
          <cell r="T5598">
            <v>1.2883723347926899</v>
          </cell>
        </row>
        <row r="5599">
          <cell r="A5599" t="str">
            <v>CSS</v>
          </cell>
          <cell r="B5599" t="str">
            <v>DUO4-6060</v>
          </cell>
          <cell r="O5599">
            <v>6.4266396604938301</v>
          </cell>
          <cell r="T5599">
            <v>2.9194009210920804</v>
          </cell>
        </row>
        <row r="5600">
          <cell r="A5600" t="str">
            <v>CSS</v>
          </cell>
          <cell r="B5600" t="str">
            <v>DUO4-7865</v>
          </cell>
          <cell r="O5600">
            <v>6.411627121913579</v>
          </cell>
          <cell r="T5600">
            <v>2.88195416405439</v>
          </cell>
        </row>
        <row r="5601">
          <cell r="A5601" t="str">
            <v>CSS</v>
          </cell>
          <cell r="B5601" t="str">
            <v>DUO4-7865-00</v>
          </cell>
          <cell r="O5601"/>
          <cell r="T5601"/>
        </row>
        <row r="5602">
          <cell r="A5602" t="str">
            <v>CSS</v>
          </cell>
          <cell r="B5602" t="str">
            <v>DUO4-7878</v>
          </cell>
          <cell r="O5602">
            <v>6.411627121913579</v>
          </cell>
          <cell r="T5602">
            <v>2.88195416405439</v>
          </cell>
        </row>
        <row r="5603">
          <cell r="A5603" t="str">
            <v>CSS</v>
          </cell>
          <cell r="B5603" t="str">
            <v>DUO4-7878-00</v>
          </cell>
          <cell r="O5603"/>
          <cell r="T5603"/>
        </row>
        <row r="5604">
          <cell r="A5604" t="str">
            <v>CSS</v>
          </cell>
          <cell r="B5604" t="str">
            <v>DUO4-8670</v>
          </cell>
          <cell r="O5604">
            <v>4.7813980519999992</v>
          </cell>
          <cell r="T5604">
            <v>2.8569426040000003</v>
          </cell>
        </row>
        <row r="5605">
          <cell r="A5605" t="str">
            <v>CSS</v>
          </cell>
          <cell r="B5605" t="str">
            <v>DUO4-8670-00</v>
          </cell>
          <cell r="O5605">
            <v>4.7813980519999992</v>
          </cell>
          <cell r="T5605">
            <v>2.8569426040000003</v>
          </cell>
        </row>
        <row r="5606">
          <cell r="A5606" t="str">
            <v>CSS</v>
          </cell>
          <cell r="B5606" t="str">
            <v>DUO4-8670-04</v>
          </cell>
          <cell r="O5606">
            <v>4.7813980519999992</v>
          </cell>
          <cell r="T5606">
            <v>2.8569426040000003</v>
          </cell>
        </row>
        <row r="5607">
          <cell r="A5607" t="str">
            <v>CSS</v>
          </cell>
          <cell r="B5607" t="str">
            <v>DUO4-8670-2</v>
          </cell>
          <cell r="O5607">
            <v>4.7833342979999998</v>
          </cell>
          <cell r="T5607">
            <v>2.8651257279999998</v>
          </cell>
        </row>
        <row r="5608">
          <cell r="A5608" t="str">
            <v>CSS</v>
          </cell>
          <cell r="B5608" t="str">
            <v>DUO4-8670-20</v>
          </cell>
          <cell r="O5608">
            <v>4.7813980519999992</v>
          </cell>
          <cell r="T5608">
            <v>2.8569426040000003</v>
          </cell>
        </row>
        <row r="5609">
          <cell r="A5609" t="str">
            <v>CSS</v>
          </cell>
          <cell r="B5609" t="str">
            <v>DUO4-8670-24</v>
          </cell>
          <cell r="O5609">
            <v>4.7813980519999992</v>
          </cell>
          <cell r="T5609">
            <v>2.8569426040000003</v>
          </cell>
        </row>
        <row r="5610">
          <cell r="A5610" t="str">
            <v>CSS</v>
          </cell>
          <cell r="B5610" t="str">
            <v>DUO4-8670-60</v>
          </cell>
          <cell r="O5610">
            <v>4.7813980519999992</v>
          </cell>
          <cell r="T5610">
            <v>2.8569426040000003</v>
          </cell>
        </row>
        <row r="5611">
          <cell r="A5611" t="str">
            <v>CSS</v>
          </cell>
          <cell r="B5611" t="str">
            <v>DUO4-8670-64</v>
          </cell>
          <cell r="O5611">
            <v>4.7813980519999992</v>
          </cell>
          <cell r="T5611">
            <v>2.8569426040000003</v>
          </cell>
        </row>
        <row r="5612">
          <cell r="A5612" t="str">
            <v>CSS</v>
          </cell>
          <cell r="B5612" t="str">
            <v>DUO4-8686</v>
          </cell>
          <cell r="O5612">
            <v>4.7833342979999998</v>
          </cell>
          <cell r="T5612">
            <v>2.8651257279999998</v>
          </cell>
        </row>
        <row r="5613">
          <cell r="A5613" t="str">
            <v>CSS</v>
          </cell>
          <cell r="B5613" t="str">
            <v>DUO4-8686-00</v>
          </cell>
          <cell r="O5613">
            <v>4.7833342979999998</v>
          </cell>
          <cell r="T5613">
            <v>2.8651257279999998</v>
          </cell>
        </row>
        <row r="5614">
          <cell r="A5614" t="str">
            <v>CSS</v>
          </cell>
          <cell r="B5614" t="str">
            <v>DUO4-8686-00I</v>
          </cell>
          <cell r="O5614">
            <v>4.7833342979999998</v>
          </cell>
          <cell r="T5614">
            <v>2.8651257279999998</v>
          </cell>
        </row>
        <row r="5615">
          <cell r="A5615" t="str">
            <v>CSS</v>
          </cell>
          <cell r="B5615" t="str">
            <v>DUO4-8686-20</v>
          </cell>
          <cell r="O5615">
            <v>4.7833342979999998</v>
          </cell>
          <cell r="T5615">
            <v>2.8651257279999998</v>
          </cell>
        </row>
        <row r="5616">
          <cell r="A5616" t="str">
            <v>CSS</v>
          </cell>
          <cell r="B5616" t="str">
            <v>DUO4-8686-60</v>
          </cell>
          <cell r="O5616">
            <v>4.7833342979999998</v>
          </cell>
          <cell r="T5616">
            <v>2.8651257279999998</v>
          </cell>
        </row>
        <row r="5617">
          <cell r="A5617" t="str">
            <v>CSS</v>
          </cell>
          <cell r="B5617" t="str">
            <v>DUO6-6060</v>
          </cell>
          <cell r="O5617">
            <v>9.5169744010315789</v>
          </cell>
          <cell r="T5617">
            <v>4.7113767549263592</v>
          </cell>
        </row>
        <row r="5618">
          <cell r="A5618" t="str">
            <v>CSS</v>
          </cell>
          <cell r="B5618" t="str">
            <v>DUO6-6060-00I</v>
          </cell>
          <cell r="O5618">
            <v>9.7925250769999987</v>
          </cell>
          <cell r="T5618">
            <v>4.7589494979999989</v>
          </cell>
        </row>
        <row r="5619">
          <cell r="A5619" t="str">
            <v>CSS</v>
          </cell>
          <cell r="B5619" t="str">
            <v>DUO6-6060-20</v>
          </cell>
          <cell r="O5619">
            <v>9.7925250769999987</v>
          </cell>
          <cell r="T5619">
            <v>4.7589494979999989</v>
          </cell>
        </row>
        <row r="5620">
          <cell r="A5620" t="str">
            <v>CSS</v>
          </cell>
          <cell r="B5620" t="str">
            <v>DUO6-6060-20I</v>
          </cell>
          <cell r="O5620">
            <v>9.7925250769999987</v>
          </cell>
          <cell r="T5620">
            <v>4.7589494979999989</v>
          </cell>
        </row>
        <row r="5621">
          <cell r="A5621" t="str">
            <v>CSS</v>
          </cell>
          <cell r="B5621" t="str">
            <v>DUO6-6060-42</v>
          </cell>
          <cell r="O5621">
            <v>9.7925250769999987</v>
          </cell>
          <cell r="T5621">
            <v>4.7589494979999989</v>
          </cell>
        </row>
        <row r="5622">
          <cell r="A5622" t="str">
            <v>CSS</v>
          </cell>
          <cell r="B5622" t="str">
            <v>DUO6-6060-42I</v>
          </cell>
          <cell r="O5622">
            <v>9.7925250769999987</v>
          </cell>
          <cell r="T5622">
            <v>4.7589494979999989</v>
          </cell>
        </row>
        <row r="5623">
          <cell r="A5623" t="str">
            <v>CSS</v>
          </cell>
          <cell r="B5623" t="str">
            <v>DUO6-8686-00</v>
          </cell>
          <cell r="O5623">
            <v>7.474735817</v>
          </cell>
          <cell r="T5623">
            <v>4.1927423639999999</v>
          </cell>
        </row>
        <row r="5624">
          <cell r="A5624" t="str">
            <v>CSS</v>
          </cell>
          <cell r="B5624" t="str">
            <v>DUO6-8686-22I</v>
          </cell>
          <cell r="O5624">
            <v>7.474735817</v>
          </cell>
          <cell r="T5624">
            <v>4.1927423639999999</v>
          </cell>
        </row>
        <row r="5625">
          <cell r="A5625" t="str">
            <v>CSS</v>
          </cell>
          <cell r="B5625" t="str">
            <v>DUO8-10570</v>
          </cell>
          <cell r="O5625">
            <v>10.060787999999999</v>
          </cell>
          <cell r="T5625">
            <v>6.0062757369999993</v>
          </cell>
        </row>
        <row r="5626">
          <cell r="A5626" t="str">
            <v>CSS</v>
          </cell>
          <cell r="B5626" t="str">
            <v>DUO8-6060</v>
          </cell>
          <cell r="O5626">
            <v>13.897260802469098</v>
          </cell>
          <cell r="T5626">
            <v>6.3809985015729698</v>
          </cell>
        </row>
        <row r="5627">
          <cell r="A5627" t="str">
            <v>CSS</v>
          </cell>
          <cell r="B5627" t="str">
            <v>DUO8-6060-20</v>
          </cell>
          <cell r="O5627">
            <v>14.34970582561729</v>
          </cell>
          <cell r="T5627">
            <v>6.21302243352158</v>
          </cell>
        </row>
        <row r="5628">
          <cell r="A5628" t="str">
            <v>CSS</v>
          </cell>
          <cell r="B5628" t="str">
            <v>DUO8-6060-20I</v>
          </cell>
          <cell r="O5628"/>
          <cell r="T5628"/>
        </row>
        <row r="5629">
          <cell r="A5629" t="str">
            <v>CSS</v>
          </cell>
          <cell r="B5629" t="str">
            <v>DUO8-6060-22</v>
          </cell>
          <cell r="O5629">
            <v>13.897260802469098</v>
          </cell>
          <cell r="T5629">
            <v>6.3809985015729698</v>
          </cell>
        </row>
        <row r="5630">
          <cell r="A5630" t="str">
            <v>CSS</v>
          </cell>
          <cell r="B5630" t="str">
            <v>DUO8-6060-22I</v>
          </cell>
          <cell r="O5630"/>
          <cell r="T5630"/>
        </row>
        <row r="5631">
          <cell r="A5631" t="str">
            <v>CSS</v>
          </cell>
          <cell r="B5631" t="str">
            <v>DUO8-6060-2D</v>
          </cell>
          <cell r="O5631">
            <v>13.897260802469098</v>
          </cell>
          <cell r="T5631">
            <v>6.3809985015729698</v>
          </cell>
        </row>
        <row r="5632">
          <cell r="A5632" t="str">
            <v>CSS</v>
          </cell>
          <cell r="B5632" t="str">
            <v>DUO8-6060-4-0</v>
          </cell>
          <cell r="O5632">
            <v>13.897260802469098</v>
          </cell>
          <cell r="T5632">
            <v>6.3809985015729698</v>
          </cell>
        </row>
        <row r="5633">
          <cell r="A5633" t="str">
            <v>CSS</v>
          </cell>
          <cell r="B5633" t="str">
            <v>DUO8-7865</v>
          </cell>
          <cell r="O5633"/>
          <cell r="T5633"/>
        </row>
        <row r="5634">
          <cell r="A5634" t="str">
            <v>CSS</v>
          </cell>
          <cell r="B5634" t="str">
            <v>DUO8-7865-20I</v>
          </cell>
          <cell r="O5634">
            <v>13.900815007716091</v>
          </cell>
          <cell r="T5634">
            <v>6.30221706105627</v>
          </cell>
        </row>
        <row r="5635">
          <cell r="A5635" t="str">
            <v>CSS</v>
          </cell>
          <cell r="B5635" t="str">
            <v>DUO8-8686</v>
          </cell>
          <cell r="O5635">
            <v>10.15325039</v>
          </cell>
          <cell r="T5635">
            <v>6.1111912779999997</v>
          </cell>
        </row>
        <row r="5636">
          <cell r="A5636" t="str">
            <v>CSS</v>
          </cell>
          <cell r="B5636" t="str">
            <v>DUO8-8686-00</v>
          </cell>
          <cell r="O5636">
            <v>10.15325039</v>
          </cell>
          <cell r="T5636">
            <v>6.1111912779999997</v>
          </cell>
        </row>
        <row r="5637">
          <cell r="A5637" t="str">
            <v>CSS</v>
          </cell>
          <cell r="B5637" t="str">
            <v>DUO8-8686-00-I</v>
          </cell>
          <cell r="O5637">
            <v>10.15325039</v>
          </cell>
          <cell r="T5637">
            <v>6.1111912779999997</v>
          </cell>
        </row>
        <row r="5638">
          <cell r="A5638" t="str">
            <v>CSS</v>
          </cell>
          <cell r="B5638" t="str">
            <v>DUO8-8686-00I</v>
          </cell>
          <cell r="O5638">
            <v>10.15325039</v>
          </cell>
          <cell r="T5638">
            <v>6.1111912779999997</v>
          </cell>
        </row>
        <row r="5639">
          <cell r="A5639" t="str">
            <v>CSS</v>
          </cell>
          <cell r="B5639" t="str">
            <v>DUO8-8686-2-0C</v>
          </cell>
          <cell r="O5639">
            <v>10.15325039</v>
          </cell>
          <cell r="T5639">
            <v>6.1111912779999997</v>
          </cell>
        </row>
        <row r="5640">
          <cell r="A5640" t="str">
            <v>CSS</v>
          </cell>
          <cell r="B5640" t="str">
            <v>DUO8-8686-20</v>
          </cell>
          <cell r="O5640">
            <v>10.15325039</v>
          </cell>
          <cell r="T5640">
            <v>6.1111912779999997</v>
          </cell>
        </row>
        <row r="5641">
          <cell r="A5641" t="str">
            <v>CSS</v>
          </cell>
          <cell r="B5641" t="str">
            <v>DUO8-8686-20I</v>
          </cell>
          <cell r="O5641">
            <v>10.15325039</v>
          </cell>
          <cell r="T5641">
            <v>6.1111912779999997</v>
          </cell>
        </row>
        <row r="5642">
          <cell r="A5642" t="str">
            <v>CSS</v>
          </cell>
          <cell r="B5642" t="str">
            <v>DUO8-8686-22</v>
          </cell>
          <cell r="O5642">
            <v>10.15325039</v>
          </cell>
          <cell r="T5642">
            <v>6.1111912779999997</v>
          </cell>
        </row>
        <row r="5643">
          <cell r="A5643" t="str">
            <v>CSS</v>
          </cell>
          <cell r="B5643" t="str">
            <v>DUO8-8686-22I</v>
          </cell>
          <cell r="O5643">
            <v>10.15325039</v>
          </cell>
          <cell r="T5643">
            <v>6.1111912779999997</v>
          </cell>
        </row>
        <row r="5644">
          <cell r="A5644" t="str">
            <v>CSS</v>
          </cell>
          <cell r="B5644" t="str">
            <v>DUO8-8686-2D</v>
          </cell>
          <cell r="O5644">
            <v>13.296122685185198</v>
          </cell>
          <cell r="T5644">
            <v>6.1703112122739796</v>
          </cell>
        </row>
        <row r="5645">
          <cell r="A5645" t="str">
            <v>CSS</v>
          </cell>
          <cell r="B5645" t="str">
            <v>DUO8-8686-40</v>
          </cell>
          <cell r="O5645">
            <v>10.060788001543198</v>
          </cell>
          <cell r="T5645">
            <v>6.0062757366436896</v>
          </cell>
        </row>
        <row r="5646">
          <cell r="A5646" t="str">
            <v>CSS</v>
          </cell>
          <cell r="B5646" t="str">
            <v>FLG-X7C-465</v>
          </cell>
          <cell r="O5646">
            <v>5.56572627314815</v>
          </cell>
          <cell r="T5646">
            <v>2.4815040681193996</v>
          </cell>
        </row>
        <row r="5647">
          <cell r="A5647" t="str">
            <v>CSS</v>
          </cell>
          <cell r="B5647" t="str">
            <v>FLG-X7C-665</v>
          </cell>
          <cell r="O5647">
            <v>8.2719618055555593</v>
          </cell>
          <cell r="T5647">
            <v>3.5898854774511899</v>
          </cell>
        </row>
        <row r="5648">
          <cell r="A5648" t="str">
            <v>CSS</v>
          </cell>
          <cell r="B5648" t="str">
            <v>FLG-X7CAP-465</v>
          </cell>
          <cell r="O5648">
            <v>5.56572627314815</v>
          </cell>
          <cell r="T5648">
            <v>2.4815040681193996</v>
          </cell>
        </row>
        <row r="5649">
          <cell r="A5649" t="str">
            <v>CSS</v>
          </cell>
          <cell r="B5649" t="str">
            <v>FLG-X7CAP-465-42IP</v>
          </cell>
          <cell r="O5649">
            <v>5.56572627314815</v>
          </cell>
          <cell r="T5649">
            <v>2.4815040681193996</v>
          </cell>
        </row>
        <row r="5650">
          <cell r="A5650" t="str">
            <v>CSS</v>
          </cell>
          <cell r="B5650" t="str">
            <v>FLG-X7CAP-665</v>
          </cell>
          <cell r="O5650">
            <v>8.2719618055555593</v>
          </cell>
          <cell r="T5650">
            <v>3.5898854774511899</v>
          </cell>
        </row>
        <row r="5651">
          <cell r="A5651" t="str">
            <v>CSS</v>
          </cell>
          <cell r="B5651" t="str">
            <v>FLG-X7CAP-665-42</v>
          </cell>
          <cell r="O5651">
            <v>8.2719618055555593</v>
          </cell>
          <cell r="T5651">
            <v>3.5898854774511899</v>
          </cell>
        </row>
        <row r="5652">
          <cell r="A5652" t="str">
            <v>CSS</v>
          </cell>
          <cell r="B5652" t="str">
            <v>FLG-X7CAP-665I</v>
          </cell>
          <cell r="O5652">
            <v>8.2719618055555593</v>
          </cell>
          <cell r="T5652">
            <v>3.5898854774511899</v>
          </cell>
        </row>
        <row r="5653">
          <cell r="A5653" t="str">
            <v>CSS</v>
          </cell>
          <cell r="B5653" t="str">
            <v>MBA4-38</v>
          </cell>
          <cell r="O5653">
            <v>5.0398259639999994</v>
          </cell>
          <cell r="T5653">
            <v>2.8222910539999999</v>
          </cell>
        </row>
        <row r="5654">
          <cell r="A5654" t="str">
            <v>CSS</v>
          </cell>
          <cell r="B5654" t="str">
            <v>MBA4-38-0</v>
          </cell>
          <cell r="O5654">
            <v>5.0398259639999994</v>
          </cell>
          <cell r="T5654">
            <v>2.8222910539999999</v>
          </cell>
        </row>
        <row r="5655">
          <cell r="A5655" t="str">
            <v>CSS</v>
          </cell>
          <cell r="B5655" t="str">
            <v>MD13-105-0D</v>
          </cell>
          <cell r="O5655"/>
          <cell r="T5655"/>
        </row>
        <row r="5656">
          <cell r="A5656" t="str">
            <v>CSS</v>
          </cell>
          <cell r="B5656" t="str">
            <v>MD15-105</v>
          </cell>
          <cell r="O5656"/>
          <cell r="T5656"/>
        </row>
        <row r="5657">
          <cell r="A5657" t="str">
            <v>CSS</v>
          </cell>
          <cell r="B5657" t="str">
            <v>MD15-125</v>
          </cell>
          <cell r="O5657"/>
          <cell r="T5657"/>
        </row>
        <row r="5658">
          <cell r="A5658" t="str">
            <v>CSS</v>
          </cell>
          <cell r="B5658" t="str">
            <v>MD16-90</v>
          </cell>
          <cell r="O5658">
            <v>2.2834495560000003</v>
          </cell>
          <cell r="T5658">
            <v>1.5216799620000001</v>
          </cell>
        </row>
        <row r="5659">
          <cell r="A5659" t="str">
            <v>CSS</v>
          </cell>
          <cell r="B5659" t="str">
            <v>MD16-90-0D</v>
          </cell>
          <cell r="O5659"/>
          <cell r="T5659"/>
        </row>
        <row r="5660">
          <cell r="A5660" t="str">
            <v>CSS</v>
          </cell>
          <cell r="B5660" t="str">
            <v>MD16-90-0N</v>
          </cell>
          <cell r="O5660">
            <v>2.2834495560000003</v>
          </cell>
          <cell r="T5660">
            <v>1.5216799620000001</v>
          </cell>
        </row>
        <row r="5661">
          <cell r="A5661" t="str">
            <v>CSS</v>
          </cell>
          <cell r="B5661" t="str">
            <v>MD17-80</v>
          </cell>
          <cell r="O5661">
            <v>2.2834495560000003</v>
          </cell>
          <cell r="T5661">
            <v>1.5216799620000001</v>
          </cell>
        </row>
        <row r="5662">
          <cell r="A5662" t="str">
            <v>CSS</v>
          </cell>
          <cell r="B5662" t="str">
            <v>MP13-85</v>
          </cell>
          <cell r="O5662">
            <v>1.1233786800000001</v>
          </cell>
          <cell r="T5662">
            <v>0.73833452899999985</v>
          </cell>
        </row>
        <row r="5663">
          <cell r="A5663" t="str">
            <v>CSS</v>
          </cell>
          <cell r="B5663" t="str">
            <v>MP13-85-0D</v>
          </cell>
          <cell r="O5663"/>
          <cell r="T5663"/>
        </row>
        <row r="5664">
          <cell r="A5664" t="str">
            <v>CSS</v>
          </cell>
          <cell r="B5664" t="str">
            <v>MP15-65-0</v>
          </cell>
          <cell r="O5664">
            <v>1.1233786800000001</v>
          </cell>
          <cell r="T5664">
            <v>0.73833452899999985</v>
          </cell>
        </row>
        <row r="5665">
          <cell r="A5665" t="str">
            <v>CSS</v>
          </cell>
          <cell r="B5665" t="str">
            <v>MP15-65-0D</v>
          </cell>
          <cell r="O5665">
            <v>1.1233786800000001</v>
          </cell>
          <cell r="T5665">
            <v>0.73833452899999985</v>
          </cell>
        </row>
        <row r="5666">
          <cell r="A5666" t="str">
            <v>CSS</v>
          </cell>
          <cell r="B5666" t="str">
            <v>MP15-65-0N</v>
          </cell>
          <cell r="O5666"/>
          <cell r="T5666"/>
        </row>
        <row r="5667">
          <cell r="A5667" t="str">
            <v>CSS</v>
          </cell>
          <cell r="B5667" t="str">
            <v>MP16-45</v>
          </cell>
          <cell r="O5667"/>
          <cell r="T5667"/>
        </row>
        <row r="5668">
          <cell r="A5668" t="str">
            <v>CSS</v>
          </cell>
          <cell r="B5668" t="str">
            <v>MP16-85</v>
          </cell>
          <cell r="O5668">
            <v>2.2834495560000003</v>
          </cell>
          <cell r="T5668">
            <v>1.5216799620000001</v>
          </cell>
        </row>
        <row r="5669">
          <cell r="A5669" t="str">
            <v>CSS</v>
          </cell>
          <cell r="B5669" t="str">
            <v>MP16-85-0D</v>
          </cell>
          <cell r="O5669">
            <v>2.2834495560000003</v>
          </cell>
          <cell r="T5669">
            <v>1.5216799620000001</v>
          </cell>
        </row>
        <row r="5670">
          <cell r="A5670" t="str">
            <v>CSS</v>
          </cell>
          <cell r="B5670" t="str">
            <v>MP16-85-2D</v>
          </cell>
          <cell r="O5670">
            <v>2.2834495560000003</v>
          </cell>
          <cell r="T5670">
            <v>1.5216799620000001</v>
          </cell>
        </row>
        <row r="5671">
          <cell r="A5671" t="str">
            <v>CSS</v>
          </cell>
          <cell r="B5671" t="str">
            <v>MP17-65</v>
          </cell>
          <cell r="O5671">
            <v>2.2834495560000003</v>
          </cell>
          <cell r="T5671">
            <v>1.5216799620000001</v>
          </cell>
        </row>
        <row r="5672">
          <cell r="A5672" t="str">
            <v>CSS</v>
          </cell>
          <cell r="B5672" t="str">
            <v>MP17-65-0</v>
          </cell>
          <cell r="O5672">
            <v>2.2834495560000003</v>
          </cell>
          <cell r="T5672">
            <v>1.5216799620000001</v>
          </cell>
        </row>
        <row r="5673">
          <cell r="A5673" t="str">
            <v>CSS</v>
          </cell>
          <cell r="B5673" t="str">
            <v>MP17-65-2</v>
          </cell>
          <cell r="O5673">
            <v>2.2834495560000003</v>
          </cell>
          <cell r="T5673">
            <v>1.5216799620000001</v>
          </cell>
        </row>
        <row r="5674">
          <cell r="A5674" t="str">
            <v>CSS</v>
          </cell>
          <cell r="B5674" t="str">
            <v>MP17-65-4</v>
          </cell>
          <cell r="O5674">
            <v>2.2834495560000003</v>
          </cell>
          <cell r="T5674">
            <v>1.5216799620000001</v>
          </cell>
        </row>
        <row r="5675">
          <cell r="A5675" t="str">
            <v>CSS</v>
          </cell>
          <cell r="B5675" t="str">
            <v>MP17-65-6</v>
          </cell>
          <cell r="O5675">
            <v>2.2834495560000003</v>
          </cell>
          <cell r="T5675">
            <v>1.5216799620000001</v>
          </cell>
        </row>
        <row r="5676">
          <cell r="A5676" t="str">
            <v>CSS</v>
          </cell>
          <cell r="B5676" t="str">
            <v>MP18-33-0</v>
          </cell>
          <cell r="O5676"/>
          <cell r="T5676"/>
        </row>
        <row r="5677">
          <cell r="A5677" t="str">
            <v>CSS</v>
          </cell>
          <cell r="B5677" t="str">
            <v>MP18-85</v>
          </cell>
          <cell r="O5677">
            <v>3.4354490921119796</v>
          </cell>
          <cell r="T5677">
            <v>2.2800826955421996</v>
          </cell>
        </row>
        <row r="5678">
          <cell r="A5678" t="str">
            <v>CSS</v>
          </cell>
          <cell r="B5678" t="str">
            <v>MP18-85-0D</v>
          </cell>
          <cell r="O5678">
            <v>3.4354490921119796</v>
          </cell>
          <cell r="T5678">
            <v>2.2800826955421996</v>
          </cell>
        </row>
        <row r="5679">
          <cell r="A5679" t="str">
            <v>CSS</v>
          </cell>
          <cell r="B5679" t="str">
            <v>MP18-85-0N</v>
          </cell>
          <cell r="O5679">
            <v>3.4354490921119796</v>
          </cell>
          <cell r="T5679">
            <v>2.2800826955421996</v>
          </cell>
        </row>
        <row r="5680">
          <cell r="A5680" t="str">
            <v>CSS</v>
          </cell>
          <cell r="B5680" t="str">
            <v>MP18-85-2D</v>
          </cell>
          <cell r="O5680">
            <v>3.4354490921119796</v>
          </cell>
          <cell r="T5680">
            <v>2.2800826955421996</v>
          </cell>
        </row>
        <row r="5681">
          <cell r="A5681" t="str">
            <v>CSS</v>
          </cell>
          <cell r="B5681" t="str">
            <v>MP18-85-2N</v>
          </cell>
          <cell r="O5681">
            <v>3.4354490921119796</v>
          </cell>
          <cell r="T5681">
            <v>2.2800826955421996</v>
          </cell>
        </row>
        <row r="5682">
          <cell r="A5682" t="str">
            <v>CSS</v>
          </cell>
          <cell r="B5682" t="str">
            <v>MP19-45</v>
          </cell>
          <cell r="O5682"/>
          <cell r="T5682"/>
        </row>
        <row r="5683">
          <cell r="A5683" t="str">
            <v>CSS</v>
          </cell>
          <cell r="B5683" t="str">
            <v>MP19-45-0D</v>
          </cell>
          <cell r="O5683"/>
          <cell r="T5683"/>
        </row>
        <row r="5684">
          <cell r="A5684" t="str">
            <v>CSS</v>
          </cell>
          <cell r="B5684" t="str">
            <v>MP19-45-0N</v>
          </cell>
          <cell r="O5684"/>
          <cell r="T5684"/>
        </row>
        <row r="5685">
          <cell r="A5685" t="str">
            <v>CSS</v>
          </cell>
          <cell r="B5685" t="str">
            <v>MP19-65</v>
          </cell>
          <cell r="O5685">
            <v>3.4354490921119796</v>
          </cell>
          <cell r="T5685">
            <v>2.2800826955421996</v>
          </cell>
        </row>
        <row r="5686">
          <cell r="A5686" t="str">
            <v>CSS</v>
          </cell>
          <cell r="B5686" t="str">
            <v>MP19-65-2D</v>
          </cell>
          <cell r="O5686">
            <v>3.4354490921119796</v>
          </cell>
          <cell r="T5686">
            <v>2.2800826955421996</v>
          </cell>
        </row>
        <row r="5687">
          <cell r="A5687" t="str">
            <v>CSS</v>
          </cell>
          <cell r="B5687" t="str">
            <v>MP19-65_CCIV2</v>
          </cell>
          <cell r="O5687">
            <v>3.4354490921119796</v>
          </cell>
          <cell r="T5687">
            <v>2.2800826955421996</v>
          </cell>
        </row>
        <row r="5688">
          <cell r="A5688" t="str">
            <v>CSS</v>
          </cell>
          <cell r="B5688" t="str">
            <v>MP19-85</v>
          </cell>
          <cell r="O5688">
            <v>4.5926587169999999</v>
          </cell>
          <cell r="T5688">
            <v>3.0520987809999998</v>
          </cell>
        </row>
        <row r="5689">
          <cell r="A5689" t="str">
            <v>CSS</v>
          </cell>
          <cell r="B5689" t="str">
            <v>MP19-85-0D</v>
          </cell>
          <cell r="O5689">
            <v>4.5926587169999999</v>
          </cell>
          <cell r="T5689">
            <v>3.0520987809999998</v>
          </cell>
        </row>
        <row r="5690">
          <cell r="A5690" t="str">
            <v>CSS</v>
          </cell>
          <cell r="B5690" t="str">
            <v>MP19-85-2D</v>
          </cell>
          <cell r="O5690">
            <v>4.5926587169999999</v>
          </cell>
          <cell r="T5690">
            <v>3.0520987809999998</v>
          </cell>
        </row>
        <row r="5691">
          <cell r="A5691" t="str">
            <v>CSS</v>
          </cell>
          <cell r="B5691" t="str">
            <v>MP20-33-0D</v>
          </cell>
          <cell r="O5691"/>
          <cell r="T5691"/>
        </row>
        <row r="5692">
          <cell r="A5692" t="str">
            <v>CSS</v>
          </cell>
          <cell r="B5692" t="str">
            <v>MP20-33-2D</v>
          </cell>
          <cell r="O5692"/>
          <cell r="T5692"/>
        </row>
        <row r="5693">
          <cell r="A5693" t="str">
            <v>CSS</v>
          </cell>
          <cell r="B5693" t="str">
            <v>MP20-45-0D</v>
          </cell>
          <cell r="O5693"/>
          <cell r="T5693"/>
        </row>
        <row r="5694">
          <cell r="A5694" t="str">
            <v>CSS</v>
          </cell>
          <cell r="B5694" t="str">
            <v>MP20-45-2D</v>
          </cell>
          <cell r="O5694"/>
          <cell r="T5694"/>
        </row>
        <row r="5695">
          <cell r="A5695" t="str">
            <v>CSS</v>
          </cell>
          <cell r="B5695" t="str">
            <v>MP20-45-2N</v>
          </cell>
          <cell r="O5695"/>
          <cell r="T5695"/>
        </row>
        <row r="5696">
          <cell r="A5696" t="str">
            <v>CSS</v>
          </cell>
          <cell r="B5696" t="str">
            <v>MP20-65</v>
          </cell>
          <cell r="O5696">
            <v>4.5926587169999999</v>
          </cell>
          <cell r="T5696">
            <v>3.0520987809999998</v>
          </cell>
        </row>
        <row r="5697">
          <cell r="A5697" t="str">
            <v>CSS</v>
          </cell>
          <cell r="B5697" t="str">
            <v>MP20-65-0D</v>
          </cell>
          <cell r="O5697">
            <v>4.5926587169999999</v>
          </cell>
          <cell r="T5697">
            <v>3.0520987809999998</v>
          </cell>
        </row>
        <row r="5698">
          <cell r="A5698" t="str">
            <v>CSS</v>
          </cell>
          <cell r="B5698" t="str">
            <v>MP20-65-2</v>
          </cell>
          <cell r="O5698">
            <v>4.5926587169999999</v>
          </cell>
          <cell r="T5698">
            <v>3.0520987809999998</v>
          </cell>
        </row>
        <row r="5699">
          <cell r="A5699" t="str">
            <v>CSS</v>
          </cell>
          <cell r="B5699" t="str">
            <v>MP20-65-2D</v>
          </cell>
          <cell r="O5699">
            <v>4.5926587169999999</v>
          </cell>
          <cell r="T5699">
            <v>3.0520987809999998</v>
          </cell>
        </row>
        <row r="5700">
          <cell r="A5700" t="str">
            <v>CSS</v>
          </cell>
          <cell r="B5700" t="str">
            <v>MP20-65-2N</v>
          </cell>
          <cell r="O5700">
            <v>4.5926587169999999</v>
          </cell>
          <cell r="T5700">
            <v>3.0520987809999998</v>
          </cell>
        </row>
        <row r="5701">
          <cell r="A5701" t="str">
            <v>CSS</v>
          </cell>
          <cell r="B5701" t="str">
            <v>MP22-33</v>
          </cell>
          <cell r="O5701"/>
          <cell r="T5701"/>
        </row>
        <row r="5702">
          <cell r="A5702" t="str">
            <v>CSS</v>
          </cell>
          <cell r="B5702" t="str">
            <v>MP22-33-0D</v>
          </cell>
          <cell r="O5702"/>
          <cell r="T5702"/>
        </row>
        <row r="5703">
          <cell r="A5703" t="str">
            <v>CSS</v>
          </cell>
          <cell r="B5703" t="str">
            <v>MP22-33-2D</v>
          </cell>
          <cell r="O5703"/>
          <cell r="T5703"/>
        </row>
        <row r="5704">
          <cell r="A5704" t="str">
            <v>CSS</v>
          </cell>
          <cell r="B5704" t="str">
            <v>QAP-460-VR0</v>
          </cell>
          <cell r="O5704">
            <v>5.0633659709999996</v>
          </cell>
          <cell r="T5704">
            <v>2.854714338</v>
          </cell>
        </row>
        <row r="5705">
          <cell r="A5705" t="str">
            <v>CSS</v>
          </cell>
          <cell r="B5705" t="str">
            <v>QAP-460-VR4</v>
          </cell>
          <cell r="O5705">
            <v>5.0398259639999994</v>
          </cell>
          <cell r="T5705">
            <v>2.8222910539999999</v>
          </cell>
        </row>
        <row r="5706">
          <cell r="A5706" t="str">
            <v>CSS</v>
          </cell>
          <cell r="B5706" t="str">
            <v>QAP-480-V</v>
          </cell>
          <cell r="O5706">
            <v>5.0398259639999994</v>
          </cell>
          <cell r="T5706">
            <v>2.8222910539999999</v>
          </cell>
        </row>
        <row r="5707">
          <cell r="A5707" t="str">
            <v>CSS</v>
          </cell>
          <cell r="B5707" t="str">
            <v>QAP-480-VR0</v>
          </cell>
          <cell r="O5707">
            <v>5.0633659709999996</v>
          </cell>
          <cell r="T5707">
            <v>2.854714338</v>
          </cell>
        </row>
        <row r="5708">
          <cell r="A5708" t="str">
            <v>CSS</v>
          </cell>
          <cell r="B5708" t="str">
            <v>QAP-480-VR4</v>
          </cell>
          <cell r="O5708">
            <v>5.0398259639999994</v>
          </cell>
          <cell r="T5708">
            <v>2.8222910539999999</v>
          </cell>
        </row>
        <row r="5709">
          <cell r="A5709" t="str">
            <v>CSS</v>
          </cell>
          <cell r="B5709" t="str">
            <v>QAP-660-V</v>
          </cell>
          <cell r="O5709">
            <v>7.474735817</v>
          </cell>
          <cell r="T5709">
            <v>4.1927423639999999</v>
          </cell>
        </row>
        <row r="5710">
          <cell r="A5710" t="str">
            <v>CSS</v>
          </cell>
          <cell r="B5710" t="str">
            <v>QAP-660-VM0</v>
          </cell>
          <cell r="O5710">
            <v>7.474735817</v>
          </cell>
          <cell r="T5710">
            <v>4.1927423639999999</v>
          </cell>
        </row>
        <row r="5711">
          <cell r="A5711" t="str">
            <v>CSS</v>
          </cell>
          <cell r="B5711" t="str">
            <v>QAP-660-VR0</v>
          </cell>
          <cell r="O5711">
            <v>7.474735817</v>
          </cell>
          <cell r="T5711">
            <v>4.1927423639999999</v>
          </cell>
        </row>
        <row r="5712">
          <cell r="A5712" t="str">
            <v>CSS</v>
          </cell>
          <cell r="B5712" t="str">
            <v>QAP-660-VR4</v>
          </cell>
          <cell r="O5712">
            <v>7.474735817</v>
          </cell>
          <cell r="T5712">
            <v>4.1927423639999999</v>
          </cell>
        </row>
        <row r="5713">
          <cell r="A5713" t="str">
            <v>CSS</v>
          </cell>
          <cell r="B5713" t="str">
            <v>QAP-680-V</v>
          </cell>
          <cell r="O5713">
            <v>7.474735817</v>
          </cell>
          <cell r="T5713">
            <v>4.1927423639999999</v>
          </cell>
        </row>
        <row r="5714">
          <cell r="A5714" t="str">
            <v>CSS</v>
          </cell>
          <cell r="B5714" t="str">
            <v>QCAP-FRO-656</v>
          </cell>
          <cell r="O5714">
            <v>8.8881655089999985</v>
          </cell>
          <cell r="T5714">
            <v>4.9411464779999994</v>
          </cell>
        </row>
        <row r="5715">
          <cell r="A5715" t="str">
            <v>CSS</v>
          </cell>
          <cell r="B5715" t="str">
            <v>S-V7CAP-880-22I</v>
          </cell>
          <cell r="O5715">
            <v>12.010296103395101</v>
          </cell>
          <cell r="T5715">
            <v>6.6841077732833796</v>
          </cell>
        </row>
        <row r="5716">
          <cell r="A5716" t="str">
            <v>CSS</v>
          </cell>
          <cell r="B5716" t="str">
            <v>SA-13</v>
          </cell>
          <cell r="O5716"/>
          <cell r="T5716"/>
        </row>
        <row r="5717">
          <cell r="A5717" t="str">
            <v>CSS</v>
          </cell>
          <cell r="B5717" t="str">
            <v>SA10</v>
          </cell>
          <cell r="O5717"/>
          <cell r="T5717"/>
        </row>
        <row r="5718">
          <cell r="A5718" t="str">
            <v>CSS</v>
          </cell>
          <cell r="B5718" t="str">
            <v>SA10-78</v>
          </cell>
          <cell r="O5718"/>
          <cell r="T5718"/>
        </row>
        <row r="5719">
          <cell r="A5719" t="str">
            <v>CSS</v>
          </cell>
          <cell r="B5719" t="str">
            <v>SA11-125</v>
          </cell>
          <cell r="O5719"/>
          <cell r="T5719"/>
        </row>
        <row r="5720">
          <cell r="A5720" t="str">
            <v>CSS</v>
          </cell>
          <cell r="B5720" t="str">
            <v>SA11-125-0D</v>
          </cell>
          <cell r="O5720"/>
          <cell r="T5720"/>
        </row>
        <row r="5721">
          <cell r="A5721" t="str">
            <v>CSS</v>
          </cell>
          <cell r="B5721" t="str">
            <v>SA11-125-0N</v>
          </cell>
          <cell r="O5721"/>
          <cell r="T5721"/>
        </row>
        <row r="5722">
          <cell r="A5722" t="str">
            <v>CSS</v>
          </cell>
          <cell r="B5722" t="str">
            <v>SA11-125-2D</v>
          </cell>
          <cell r="O5722"/>
          <cell r="T5722"/>
        </row>
        <row r="5723">
          <cell r="A5723" t="str">
            <v>CSS</v>
          </cell>
          <cell r="B5723" t="str">
            <v>SA11-125-2N</v>
          </cell>
          <cell r="O5723"/>
          <cell r="T5723"/>
        </row>
        <row r="5724">
          <cell r="A5724" t="str">
            <v>CSS</v>
          </cell>
          <cell r="B5724" t="str">
            <v>SA11-125-6D</v>
          </cell>
          <cell r="O5724"/>
          <cell r="T5724"/>
        </row>
        <row r="5725">
          <cell r="A5725" t="str">
            <v>CSS</v>
          </cell>
          <cell r="B5725" t="str">
            <v>SA11-125-6N</v>
          </cell>
          <cell r="O5725"/>
          <cell r="T5725"/>
        </row>
        <row r="5726">
          <cell r="A5726" t="str">
            <v>CSS</v>
          </cell>
          <cell r="B5726" t="str">
            <v>SA11-60-0D</v>
          </cell>
          <cell r="O5726"/>
          <cell r="T5726"/>
        </row>
        <row r="5727">
          <cell r="A5727" t="str">
            <v>CSS</v>
          </cell>
          <cell r="B5727" t="str">
            <v>SA12-105</v>
          </cell>
          <cell r="O5727">
            <v>4.7833342979999998</v>
          </cell>
          <cell r="T5727">
            <v>2.8651257279999998</v>
          </cell>
        </row>
        <row r="5728">
          <cell r="A5728" t="str">
            <v>CSS</v>
          </cell>
          <cell r="B5728" t="str">
            <v>SA12-105-0D</v>
          </cell>
          <cell r="O5728">
            <v>4.7833342979999998</v>
          </cell>
          <cell r="T5728">
            <v>2.8651257279999998</v>
          </cell>
        </row>
        <row r="5729">
          <cell r="A5729" t="str">
            <v>CSS</v>
          </cell>
          <cell r="B5729" t="str">
            <v>SA12-105-2D</v>
          </cell>
          <cell r="O5729">
            <v>4.7833342979999998</v>
          </cell>
          <cell r="T5729">
            <v>2.8651257279999998</v>
          </cell>
        </row>
        <row r="5730">
          <cell r="A5730" t="str">
            <v>CSS</v>
          </cell>
          <cell r="B5730" t="str">
            <v>SA12-105-4D</v>
          </cell>
          <cell r="O5730">
            <v>4.7833342979999998</v>
          </cell>
          <cell r="T5730">
            <v>2.8651257279999998</v>
          </cell>
        </row>
        <row r="5731">
          <cell r="A5731" t="str">
            <v>CSS</v>
          </cell>
          <cell r="B5731" t="str">
            <v>SA12-105-6D</v>
          </cell>
          <cell r="O5731">
            <v>4.7833342979999998</v>
          </cell>
          <cell r="T5731">
            <v>2.8651257279999998</v>
          </cell>
        </row>
        <row r="5732">
          <cell r="A5732" t="str">
            <v>CSS</v>
          </cell>
          <cell r="B5732" t="str">
            <v>SA12-40-0</v>
          </cell>
          <cell r="O5732"/>
          <cell r="T5732"/>
        </row>
        <row r="5733">
          <cell r="A5733" t="str">
            <v>CSS</v>
          </cell>
          <cell r="B5733" t="str">
            <v>SA13</v>
          </cell>
          <cell r="O5733"/>
          <cell r="T5733"/>
        </row>
        <row r="5734">
          <cell r="A5734" t="str">
            <v>CSS</v>
          </cell>
          <cell r="B5734" t="str">
            <v>SA13-125</v>
          </cell>
          <cell r="O5734"/>
          <cell r="T5734"/>
        </row>
        <row r="5735">
          <cell r="A5735" t="str">
            <v>CSS</v>
          </cell>
          <cell r="B5735" t="str">
            <v>SA13-78</v>
          </cell>
          <cell r="O5735"/>
          <cell r="T5735"/>
        </row>
        <row r="5736">
          <cell r="A5736" t="str">
            <v>CSS</v>
          </cell>
          <cell r="B5736" t="str">
            <v>SA13-78-0D</v>
          </cell>
          <cell r="O5736">
            <v>6.411627121913579</v>
          </cell>
          <cell r="T5736">
            <v>2.88195416405439</v>
          </cell>
        </row>
        <row r="5737">
          <cell r="A5737" t="str">
            <v>CSS</v>
          </cell>
          <cell r="B5737" t="str">
            <v>SA13-78-2</v>
          </cell>
          <cell r="O5737"/>
          <cell r="T5737"/>
        </row>
        <row r="5738">
          <cell r="A5738" t="str">
            <v>CSS</v>
          </cell>
          <cell r="B5738" t="str">
            <v>SA13-78-2D</v>
          </cell>
          <cell r="O5738">
            <v>6.411627121913579</v>
          </cell>
          <cell r="T5738">
            <v>2.88195416405439</v>
          </cell>
        </row>
        <row r="5739">
          <cell r="A5739" t="str">
            <v>CSS</v>
          </cell>
          <cell r="B5739" t="str">
            <v>SA13-78-4</v>
          </cell>
          <cell r="O5739"/>
          <cell r="T5739"/>
        </row>
        <row r="5740">
          <cell r="A5740" t="str">
            <v>CSS</v>
          </cell>
          <cell r="B5740" t="str">
            <v>SA13-78-4D</v>
          </cell>
          <cell r="O5740">
            <v>6.411627121913579</v>
          </cell>
          <cell r="T5740">
            <v>2.88195416405439</v>
          </cell>
        </row>
        <row r="5741">
          <cell r="A5741" t="str">
            <v>CSS</v>
          </cell>
          <cell r="B5741" t="str">
            <v>SA13-78-6</v>
          </cell>
          <cell r="O5741">
            <v>6.411627121913579</v>
          </cell>
          <cell r="T5741">
            <v>2.88195416405439</v>
          </cell>
        </row>
        <row r="5742">
          <cell r="A5742" t="str">
            <v>CSS</v>
          </cell>
          <cell r="B5742" t="str">
            <v>SA13-78-X</v>
          </cell>
          <cell r="O5742"/>
          <cell r="T5742"/>
        </row>
        <row r="5743">
          <cell r="A5743" t="str">
            <v>CSS</v>
          </cell>
          <cell r="B5743" t="str">
            <v>SA13-86</v>
          </cell>
          <cell r="O5743"/>
          <cell r="T5743"/>
        </row>
        <row r="5744">
          <cell r="A5744" t="str">
            <v>CSS</v>
          </cell>
          <cell r="B5744" t="str">
            <v>SA13-86-0</v>
          </cell>
          <cell r="O5744">
            <v>6.3455295138888896</v>
          </cell>
          <cell r="T5744">
            <v>2.9503595788511796</v>
          </cell>
        </row>
        <row r="5745">
          <cell r="A5745" t="str">
            <v>CSS</v>
          </cell>
          <cell r="B5745" t="str">
            <v>SA13-86-0D</v>
          </cell>
          <cell r="O5745">
            <v>6.3455295138888896</v>
          </cell>
          <cell r="T5745">
            <v>2.9503595788511796</v>
          </cell>
        </row>
        <row r="5746">
          <cell r="A5746" t="str">
            <v>CSS</v>
          </cell>
          <cell r="B5746" t="str">
            <v>SA13-86-2</v>
          </cell>
          <cell r="O5746">
            <v>4.7833342979999998</v>
          </cell>
          <cell r="T5746">
            <v>2.8651257279999998</v>
          </cell>
        </row>
        <row r="5747">
          <cell r="A5747" t="str">
            <v>CSS</v>
          </cell>
          <cell r="B5747" t="str">
            <v>SA13-86-2D</v>
          </cell>
          <cell r="O5747">
            <v>4.7833342979999998</v>
          </cell>
          <cell r="T5747">
            <v>2.8651257279999998</v>
          </cell>
        </row>
        <row r="5748">
          <cell r="A5748" t="str">
            <v>CSS</v>
          </cell>
          <cell r="B5748" t="str">
            <v>SA13-86-4</v>
          </cell>
          <cell r="O5748">
            <v>6.3455295138888896</v>
          </cell>
          <cell r="T5748">
            <v>2.9503595788511796</v>
          </cell>
        </row>
        <row r="5749">
          <cell r="A5749" t="str">
            <v>CSS</v>
          </cell>
          <cell r="B5749" t="str">
            <v>SA13-86-4D</v>
          </cell>
          <cell r="O5749">
            <v>4.7833342979999998</v>
          </cell>
          <cell r="T5749">
            <v>2.8651257279999998</v>
          </cell>
        </row>
        <row r="5750">
          <cell r="A5750" t="str">
            <v>CSS</v>
          </cell>
          <cell r="B5750" t="str">
            <v>SA13-86-6D</v>
          </cell>
          <cell r="O5750">
            <v>4.7833342979999998</v>
          </cell>
          <cell r="T5750">
            <v>2.8651257279999998</v>
          </cell>
        </row>
        <row r="5751">
          <cell r="A5751" t="str">
            <v>CSS</v>
          </cell>
          <cell r="B5751" t="str">
            <v>SA14-105</v>
          </cell>
          <cell r="O5751">
            <v>10.15325039</v>
          </cell>
          <cell r="T5751">
            <v>6.1111912779999997</v>
          </cell>
        </row>
        <row r="5752">
          <cell r="A5752" t="str">
            <v>CSS</v>
          </cell>
          <cell r="B5752" t="str">
            <v>SA14-105-2D</v>
          </cell>
          <cell r="O5752">
            <v>10.15325039</v>
          </cell>
          <cell r="T5752">
            <v>6.1111912779999997</v>
          </cell>
        </row>
        <row r="5753">
          <cell r="A5753" t="str">
            <v>CSS</v>
          </cell>
          <cell r="B5753" t="str">
            <v>SA14-105-2N</v>
          </cell>
          <cell r="O5753">
            <v>10.060788001543198</v>
          </cell>
          <cell r="T5753">
            <v>6.0062757366436896</v>
          </cell>
        </row>
        <row r="5754">
          <cell r="A5754" t="str">
            <v>CSS</v>
          </cell>
          <cell r="B5754" t="str">
            <v>SA14-105-4D</v>
          </cell>
          <cell r="O5754">
            <v>10.060787999999999</v>
          </cell>
          <cell r="T5754">
            <v>6.0062757369999993</v>
          </cell>
        </row>
        <row r="5755">
          <cell r="A5755" t="str">
            <v>CSS</v>
          </cell>
          <cell r="B5755" t="str">
            <v>SA14-60</v>
          </cell>
          <cell r="O5755"/>
          <cell r="T5755"/>
        </row>
        <row r="5756">
          <cell r="A5756" t="str">
            <v>CSS</v>
          </cell>
          <cell r="B5756" t="str">
            <v>SA14-60-0</v>
          </cell>
          <cell r="O5756">
            <v>6.6716676311728387</v>
          </cell>
          <cell r="T5756">
            <v>2.8673179781701297</v>
          </cell>
        </row>
        <row r="5757">
          <cell r="A5757" t="str">
            <v>CSS</v>
          </cell>
          <cell r="B5757" t="str">
            <v>SA14-60-0D</v>
          </cell>
          <cell r="O5757"/>
          <cell r="T5757"/>
        </row>
        <row r="5758">
          <cell r="A5758" t="str">
            <v>CSS</v>
          </cell>
          <cell r="B5758" t="str">
            <v>SA14-60-2</v>
          </cell>
          <cell r="O5758">
            <v>6.6716676311728387</v>
          </cell>
          <cell r="T5758">
            <v>2.8673179781701297</v>
          </cell>
        </row>
        <row r="5759">
          <cell r="A5759" t="str">
            <v>CSS</v>
          </cell>
          <cell r="B5759" t="str">
            <v>SA14-60-2D</v>
          </cell>
          <cell r="O5759"/>
          <cell r="T5759"/>
        </row>
        <row r="5760">
          <cell r="A5760" t="str">
            <v>CSS</v>
          </cell>
          <cell r="B5760" t="str">
            <v>SA14-60-4</v>
          </cell>
          <cell r="O5760">
            <v>6.6716676311728387</v>
          </cell>
          <cell r="T5760">
            <v>2.8673179781701297</v>
          </cell>
        </row>
        <row r="5761">
          <cell r="A5761" t="str">
            <v>CSS</v>
          </cell>
          <cell r="B5761" t="str">
            <v>SA14-60-4D</v>
          </cell>
          <cell r="O5761"/>
          <cell r="T5761"/>
        </row>
        <row r="5762">
          <cell r="A5762" t="str">
            <v>CSS</v>
          </cell>
          <cell r="B5762" t="str">
            <v>SA14-60-6</v>
          </cell>
          <cell r="O5762">
            <v>6.6716676311728387</v>
          </cell>
          <cell r="T5762">
            <v>2.8673179781701297</v>
          </cell>
        </row>
        <row r="5763">
          <cell r="A5763" t="str">
            <v>CSS</v>
          </cell>
          <cell r="B5763" t="str">
            <v>SA14-60-6D</v>
          </cell>
          <cell r="O5763"/>
          <cell r="T5763"/>
        </row>
        <row r="5764">
          <cell r="A5764" t="str">
            <v>CSS</v>
          </cell>
          <cell r="B5764" t="str">
            <v>SA14-60-X</v>
          </cell>
          <cell r="O5764">
            <v>6.6716676311728387</v>
          </cell>
          <cell r="T5764">
            <v>2.8673179781701297</v>
          </cell>
        </row>
        <row r="5765">
          <cell r="A5765" t="str">
            <v>CSS</v>
          </cell>
          <cell r="B5765" t="str">
            <v>SA14-78</v>
          </cell>
          <cell r="O5765">
            <v>10.108902391975299</v>
          </cell>
          <cell r="T5765">
            <v>4.5884855554314097</v>
          </cell>
        </row>
        <row r="5766">
          <cell r="A5766" t="str">
            <v>CSS</v>
          </cell>
          <cell r="B5766" t="str">
            <v>SA14-78-0D</v>
          </cell>
          <cell r="O5766"/>
          <cell r="T5766"/>
        </row>
        <row r="5767">
          <cell r="A5767" t="str">
            <v>CSS</v>
          </cell>
          <cell r="B5767" t="str">
            <v>SA14-78-4D</v>
          </cell>
          <cell r="O5767">
            <v>10.108902391975299</v>
          </cell>
          <cell r="T5767">
            <v>4.5884855554314097</v>
          </cell>
        </row>
        <row r="5768">
          <cell r="A5768" t="str">
            <v>CSS</v>
          </cell>
          <cell r="B5768" t="str">
            <v>SA14-86-0</v>
          </cell>
          <cell r="O5768">
            <v>7.441975309</v>
          </cell>
          <cell r="T5768">
            <v>4.4744405899999995</v>
          </cell>
        </row>
        <row r="5769">
          <cell r="A5769" t="str">
            <v>CSS</v>
          </cell>
          <cell r="B5769" t="str">
            <v>SA14-86-0D</v>
          </cell>
          <cell r="O5769">
            <v>7.441975309</v>
          </cell>
          <cell r="T5769">
            <v>4.4744405899999995</v>
          </cell>
        </row>
        <row r="5770">
          <cell r="A5770" t="str">
            <v>CSS</v>
          </cell>
          <cell r="B5770" t="str">
            <v>SA15-40</v>
          </cell>
          <cell r="O5770"/>
          <cell r="T5770"/>
        </row>
        <row r="5771">
          <cell r="A5771" t="str">
            <v>CSS</v>
          </cell>
          <cell r="B5771" t="str">
            <v>SA15-60</v>
          </cell>
          <cell r="O5771"/>
          <cell r="T5771"/>
        </row>
        <row r="5772">
          <cell r="A5772" t="str">
            <v>CSS</v>
          </cell>
          <cell r="B5772" t="str">
            <v>SA15-60-0D</v>
          </cell>
          <cell r="O5772">
            <v>10.4581163194444</v>
          </cell>
          <cell r="T5772">
            <v>4.5103061303994298</v>
          </cell>
        </row>
        <row r="5773">
          <cell r="A5773" t="str">
            <v>CSS</v>
          </cell>
          <cell r="B5773" t="str">
            <v>SA15-60-4D</v>
          </cell>
          <cell r="O5773">
            <v>10.4581163194444</v>
          </cell>
          <cell r="T5773">
            <v>4.5103061303994298</v>
          </cell>
        </row>
        <row r="5774">
          <cell r="A5774" t="str">
            <v>CSS</v>
          </cell>
          <cell r="B5774" t="str">
            <v>SA15-78</v>
          </cell>
          <cell r="O5774"/>
          <cell r="T5774"/>
        </row>
        <row r="5775">
          <cell r="A5775" t="str">
            <v>CSS</v>
          </cell>
          <cell r="B5775" t="str">
            <v>SA15-78-0D</v>
          </cell>
          <cell r="O5775">
            <v>13.900815007716091</v>
          </cell>
          <cell r="T5775">
            <v>6.30221706105627</v>
          </cell>
        </row>
        <row r="5776">
          <cell r="A5776" t="str">
            <v>CSS</v>
          </cell>
          <cell r="B5776" t="str">
            <v>SA15-78-0N</v>
          </cell>
          <cell r="O5776">
            <v>13.900815007716091</v>
          </cell>
          <cell r="T5776">
            <v>6.30221706105627</v>
          </cell>
        </row>
        <row r="5777">
          <cell r="A5777" t="str">
            <v>CSS</v>
          </cell>
          <cell r="B5777" t="str">
            <v>SA15-78-2D</v>
          </cell>
          <cell r="O5777">
            <v>13.900815007716091</v>
          </cell>
          <cell r="T5777">
            <v>6.30221706105627</v>
          </cell>
        </row>
        <row r="5778">
          <cell r="A5778" t="str">
            <v>CSS</v>
          </cell>
          <cell r="B5778" t="str">
            <v>SA15-78-4D</v>
          </cell>
          <cell r="O5778">
            <v>13.900815007716091</v>
          </cell>
          <cell r="T5778">
            <v>6.30221706105627</v>
          </cell>
        </row>
        <row r="5779">
          <cell r="A5779" t="str">
            <v>CSS</v>
          </cell>
          <cell r="B5779" t="str">
            <v>SA15-86</v>
          </cell>
          <cell r="O5779">
            <v>10.15325039</v>
          </cell>
          <cell r="T5779">
            <v>6.1111912779999997</v>
          </cell>
        </row>
        <row r="5780">
          <cell r="A5780" t="str">
            <v>CSS</v>
          </cell>
          <cell r="B5780" t="str">
            <v>SA15-86-0D</v>
          </cell>
          <cell r="O5780">
            <v>10.15325039</v>
          </cell>
          <cell r="T5780">
            <v>6.1111912779999997</v>
          </cell>
        </row>
        <row r="5781">
          <cell r="A5781" t="str">
            <v>CSS</v>
          </cell>
          <cell r="B5781" t="str">
            <v>SA15-86-0I</v>
          </cell>
          <cell r="O5781">
            <v>10.060787999999999</v>
          </cell>
          <cell r="T5781">
            <v>6.0062757369999993</v>
          </cell>
        </row>
        <row r="5782">
          <cell r="A5782" t="str">
            <v>CSS</v>
          </cell>
          <cell r="B5782" t="str">
            <v>SA15-86-2</v>
          </cell>
          <cell r="O5782">
            <v>10.15325039</v>
          </cell>
          <cell r="T5782">
            <v>6.1111912779999997</v>
          </cell>
        </row>
        <row r="5783">
          <cell r="A5783" t="str">
            <v>CSS</v>
          </cell>
          <cell r="B5783" t="str">
            <v>SA15-86-2D</v>
          </cell>
          <cell r="O5783">
            <v>10.15325039</v>
          </cell>
          <cell r="T5783">
            <v>6.1111912779999997</v>
          </cell>
        </row>
        <row r="5784">
          <cell r="A5784" t="str">
            <v>CSS</v>
          </cell>
          <cell r="B5784" t="str">
            <v>SA15-86-4D</v>
          </cell>
          <cell r="O5784">
            <v>10.15325039</v>
          </cell>
          <cell r="T5784">
            <v>6.1111912779999997</v>
          </cell>
        </row>
        <row r="5785">
          <cell r="A5785" t="str">
            <v>CSS</v>
          </cell>
          <cell r="B5785" t="str">
            <v>SA16-60</v>
          </cell>
          <cell r="O5785">
            <v>14.34970582561729</v>
          </cell>
          <cell r="T5785">
            <v>6.21302243352158</v>
          </cell>
        </row>
        <row r="5786">
          <cell r="A5786" t="str">
            <v>CSS</v>
          </cell>
          <cell r="B5786" t="str">
            <v>SA16-60-0D</v>
          </cell>
          <cell r="O5786">
            <v>14.34970582561729</v>
          </cell>
          <cell r="T5786">
            <v>6.21302243352158</v>
          </cell>
        </row>
        <row r="5787">
          <cell r="A5787" t="str">
            <v>CSS</v>
          </cell>
          <cell r="B5787" t="str">
            <v>SA16-60-0I</v>
          </cell>
          <cell r="O5787">
            <v>14.34970582561729</v>
          </cell>
          <cell r="T5787">
            <v>6.21302243352158</v>
          </cell>
        </row>
        <row r="5788">
          <cell r="A5788" t="str">
            <v>CSS</v>
          </cell>
          <cell r="B5788" t="str">
            <v>SA16-60-2</v>
          </cell>
          <cell r="O5788"/>
          <cell r="T5788"/>
        </row>
        <row r="5789">
          <cell r="A5789" t="str">
            <v>CSS</v>
          </cell>
          <cell r="B5789" t="str">
            <v>SA16-60-2D</v>
          </cell>
          <cell r="O5789">
            <v>14.34970582561729</v>
          </cell>
          <cell r="T5789">
            <v>6.21302243352158</v>
          </cell>
        </row>
        <row r="5790">
          <cell r="A5790" t="str">
            <v>CSS</v>
          </cell>
          <cell r="B5790" t="str">
            <v>SA16-60-4D</v>
          </cell>
          <cell r="O5790"/>
          <cell r="T5790"/>
        </row>
        <row r="5791">
          <cell r="A5791" t="str">
            <v>CSS</v>
          </cell>
          <cell r="B5791" t="str">
            <v>SSI806858-4PANEL</v>
          </cell>
          <cell r="O5791"/>
          <cell r="T5791"/>
        </row>
        <row r="5792">
          <cell r="A5792" t="str">
            <v>CSS</v>
          </cell>
          <cell r="B5792" t="str">
            <v>TM-6</v>
          </cell>
          <cell r="O5792"/>
          <cell r="T5792"/>
        </row>
        <row r="5793">
          <cell r="A5793" t="str">
            <v>CSS</v>
          </cell>
          <cell r="B5793" t="str">
            <v>TM-DB6</v>
          </cell>
          <cell r="O5793"/>
          <cell r="T5793"/>
        </row>
        <row r="5794">
          <cell r="A5794" t="str">
            <v>CSS</v>
          </cell>
          <cell r="B5794" t="str">
            <v>TME-CSS-RET-200</v>
          </cell>
          <cell r="O5794"/>
          <cell r="T5794"/>
        </row>
        <row r="5795">
          <cell r="A5795" t="str">
            <v>CSS</v>
          </cell>
          <cell r="B5795" t="str">
            <v>TME-DBC-750</v>
          </cell>
          <cell r="O5795"/>
          <cell r="T5795"/>
        </row>
        <row r="5796">
          <cell r="A5796" t="str">
            <v>CSS</v>
          </cell>
          <cell r="B5796" t="str">
            <v>TME-DBC-7CAP</v>
          </cell>
          <cell r="O5796"/>
          <cell r="T5796"/>
        </row>
        <row r="5797">
          <cell r="A5797" t="str">
            <v>CSS</v>
          </cell>
          <cell r="B5797" t="str">
            <v>TPC13-65</v>
          </cell>
          <cell r="O5797"/>
          <cell r="T5797"/>
        </row>
        <row r="5798">
          <cell r="A5798" t="str">
            <v>CSS</v>
          </cell>
          <cell r="B5798" t="str">
            <v>TRIO04-80</v>
          </cell>
          <cell r="O5798">
            <v>5.0398259639999994</v>
          </cell>
          <cell r="T5798">
            <v>2.8222910539999999</v>
          </cell>
        </row>
        <row r="5799">
          <cell r="A5799" t="str">
            <v>CSS</v>
          </cell>
          <cell r="B5799" t="str">
            <v>TRIO4-60</v>
          </cell>
          <cell r="O5799">
            <v>5.0398259639999994</v>
          </cell>
          <cell r="T5799">
            <v>2.8222910539999999</v>
          </cell>
        </row>
        <row r="5800">
          <cell r="A5800" t="str">
            <v>CSS</v>
          </cell>
          <cell r="B5800" t="str">
            <v>TRIO4-80</v>
          </cell>
          <cell r="O5800"/>
          <cell r="T5800"/>
        </row>
        <row r="5801">
          <cell r="A5801" t="str">
            <v>CSS</v>
          </cell>
          <cell r="B5801" t="str">
            <v>TRIO4-80-00</v>
          </cell>
          <cell r="O5801"/>
          <cell r="T5801"/>
        </row>
        <row r="5802">
          <cell r="A5802" t="str">
            <v>CSS</v>
          </cell>
          <cell r="B5802" t="str">
            <v>TRIO4-80-00I</v>
          </cell>
          <cell r="O5802">
            <v>5.0398259639999994</v>
          </cell>
          <cell r="T5802">
            <v>2.8222910539999999</v>
          </cell>
        </row>
        <row r="5803">
          <cell r="A5803" t="str">
            <v>CSS</v>
          </cell>
          <cell r="B5803" t="str">
            <v>V7-FRO-860</v>
          </cell>
          <cell r="O5803">
            <v>10.90117188</v>
          </cell>
          <cell r="T5803">
            <v>6.6566602139999995</v>
          </cell>
        </row>
        <row r="5804">
          <cell r="A5804" t="str">
            <v>CSS</v>
          </cell>
          <cell r="B5804" t="str">
            <v>V7C-440</v>
          </cell>
          <cell r="O5804"/>
          <cell r="T5804"/>
        </row>
        <row r="5805">
          <cell r="A5805" t="str">
            <v>CSS</v>
          </cell>
          <cell r="B5805" t="str">
            <v>V7C-440-0</v>
          </cell>
          <cell r="O5805"/>
          <cell r="T5805"/>
        </row>
        <row r="5806">
          <cell r="A5806" t="str">
            <v>CSS</v>
          </cell>
          <cell r="B5806" t="str">
            <v>V7C-465</v>
          </cell>
          <cell r="O5806">
            <v>5.1701379239999996</v>
          </cell>
          <cell r="T5806">
            <v>2.8524687360000001</v>
          </cell>
        </row>
        <row r="5807">
          <cell r="A5807" t="str">
            <v>CSS</v>
          </cell>
          <cell r="B5807" t="str">
            <v>V7C-480</v>
          </cell>
          <cell r="O5807">
            <v>5.1701379239999996</v>
          </cell>
          <cell r="T5807">
            <v>2.8524687360000001</v>
          </cell>
        </row>
        <row r="5808">
          <cell r="A5808" t="str">
            <v>CSS</v>
          </cell>
          <cell r="B5808" t="str">
            <v>V7C-480-0</v>
          </cell>
          <cell r="O5808">
            <v>5.1701379239999996</v>
          </cell>
          <cell r="T5808">
            <v>2.8524687360000001</v>
          </cell>
        </row>
        <row r="5809">
          <cell r="A5809" t="str">
            <v>CSS</v>
          </cell>
          <cell r="B5809" t="str">
            <v>V7C-640</v>
          </cell>
          <cell r="O5809"/>
          <cell r="T5809"/>
        </row>
        <row r="5810">
          <cell r="A5810" t="str">
            <v>CSS</v>
          </cell>
          <cell r="B5810" t="str">
            <v>V7C-640-0</v>
          </cell>
          <cell r="O5810"/>
          <cell r="T5810"/>
        </row>
        <row r="5811">
          <cell r="A5811" t="str">
            <v>CSS</v>
          </cell>
          <cell r="B5811" t="str">
            <v>V7C-665</v>
          </cell>
          <cell r="O5811">
            <v>7.6232397760000001</v>
          </cell>
          <cell r="T5811">
            <v>4.2142882849999994</v>
          </cell>
        </row>
        <row r="5812">
          <cell r="A5812" t="str">
            <v>CSS</v>
          </cell>
          <cell r="B5812" t="str">
            <v>V7C-665-0</v>
          </cell>
          <cell r="O5812">
            <v>7.474735817</v>
          </cell>
          <cell r="T5812">
            <v>4.1927423639999999</v>
          </cell>
        </row>
        <row r="5813">
          <cell r="A5813" t="str">
            <v>CSS</v>
          </cell>
          <cell r="B5813" t="str">
            <v>V7C-665-2</v>
          </cell>
          <cell r="O5813">
            <v>7.474735817</v>
          </cell>
          <cell r="T5813">
            <v>4.1927423639999999</v>
          </cell>
        </row>
        <row r="5814">
          <cell r="A5814" t="str">
            <v>CSS</v>
          </cell>
          <cell r="B5814" t="str">
            <v>V7C-665-4</v>
          </cell>
          <cell r="O5814">
            <v>7.474735817</v>
          </cell>
          <cell r="T5814">
            <v>4.1927423639999999</v>
          </cell>
        </row>
        <row r="5815">
          <cell r="A5815" t="str">
            <v>CSS</v>
          </cell>
          <cell r="B5815" t="str">
            <v>V7C-665-6</v>
          </cell>
          <cell r="O5815">
            <v>7.474735817</v>
          </cell>
          <cell r="T5815">
            <v>4.1927423639999999</v>
          </cell>
        </row>
        <row r="5816">
          <cell r="A5816" t="str">
            <v>CSS</v>
          </cell>
          <cell r="B5816" t="str">
            <v>V7C-680</v>
          </cell>
          <cell r="O5816">
            <v>7.4253564020000002</v>
          </cell>
          <cell r="T5816">
            <v>4.1043900749999995</v>
          </cell>
        </row>
        <row r="5817">
          <cell r="A5817" t="str">
            <v>CSS</v>
          </cell>
          <cell r="B5817" t="str">
            <v>V7C-680-0</v>
          </cell>
          <cell r="O5817">
            <v>7.6232397760000001</v>
          </cell>
          <cell r="T5817">
            <v>4.2142882849999994</v>
          </cell>
        </row>
        <row r="5818">
          <cell r="A5818" t="str">
            <v>CSS</v>
          </cell>
          <cell r="B5818" t="str">
            <v>V7C-680-0D</v>
          </cell>
          <cell r="O5818">
            <v>7.4253564020000002</v>
          </cell>
          <cell r="T5818">
            <v>4.1043900749999995</v>
          </cell>
        </row>
        <row r="5819">
          <cell r="A5819" t="str">
            <v>CSS</v>
          </cell>
          <cell r="B5819" t="str">
            <v>V7C-680-2</v>
          </cell>
          <cell r="O5819">
            <v>7.474735817</v>
          </cell>
          <cell r="T5819">
            <v>4.1927423639999999</v>
          </cell>
        </row>
        <row r="5820">
          <cell r="A5820" t="str">
            <v>CSS</v>
          </cell>
          <cell r="B5820" t="str">
            <v>V7C-840</v>
          </cell>
          <cell r="O5820"/>
          <cell r="T5820"/>
        </row>
        <row r="5821">
          <cell r="A5821" t="str">
            <v>CSS</v>
          </cell>
          <cell r="B5821" t="str">
            <v>V7C-840-0</v>
          </cell>
          <cell r="O5821"/>
          <cell r="T5821"/>
        </row>
        <row r="5822">
          <cell r="A5822" t="str">
            <v>CSS</v>
          </cell>
          <cell r="B5822" t="str">
            <v>V7C-865</v>
          </cell>
          <cell r="O5822">
            <v>10.105666469999989</v>
          </cell>
          <cell r="T5822">
            <v>5.592068403999999</v>
          </cell>
        </row>
        <row r="5823">
          <cell r="A5823" t="str">
            <v>CSS</v>
          </cell>
          <cell r="B5823" t="str">
            <v>V7C-865-0</v>
          </cell>
          <cell r="O5823">
            <v>10.105666469999989</v>
          </cell>
          <cell r="T5823">
            <v>5.592068403999999</v>
          </cell>
        </row>
        <row r="5824">
          <cell r="A5824" t="str">
            <v>CSS</v>
          </cell>
          <cell r="B5824" t="str">
            <v>V7C-865-0IP</v>
          </cell>
          <cell r="O5824">
            <v>10.11043192</v>
          </cell>
          <cell r="T5824">
            <v>5.6774190349999989</v>
          </cell>
        </row>
        <row r="5825">
          <cell r="A5825" t="str">
            <v>CSS</v>
          </cell>
          <cell r="B5825" t="str">
            <v>V7C-865-2</v>
          </cell>
          <cell r="O5825">
            <v>10.105666469999989</v>
          </cell>
          <cell r="T5825">
            <v>5.592068403999999</v>
          </cell>
        </row>
        <row r="5826">
          <cell r="A5826" t="str">
            <v>CSS</v>
          </cell>
          <cell r="B5826" t="str">
            <v>V7C-865-4</v>
          </cell>
          <cell r="O5826">
            <v>10.105666469999989</v>
          </cell>
          <cell r="T5826">
            <v>5.592068403999999</v>
          </cell>
        </row>
        <row r="5827">
          <cell r="A5827" t="str">
            <v>CSS</v>
          </cell>
          <cell r="B5827" t="str">
            <v>V7C-880</v>
          </cell>
          <cell r="O5827">
            <v>10.11043192</v>
          </cell>
          <cell r="T5827">
            <v>5.6774190349999989</v>
          </cell>
        </row>
        <row r="5828">
          <cell r="A5828" t="str">
            <v>CSS</v>
          </cell>
          <cell r="B5828" t="str">
            <v>V7C-880-0IP</v>
          </cell>
          <cell r="O5828">
            <v>10.11043192</v>
          </cell>
          <cell r="T5828">
            <v>5.6774190349999989</v>
          </cell>
        </row>
        <row r="5829">
          <cell r="A5829" t="str">
            <v>CSS</v>
          </cell>
          <cell r="B5829" t="str">
            <v>V7C-880-2I</v>
          </cell>
          <cell r="O5829">
            <v>10.231442899999989</v>
          </cell>
          <cell r="T5829">
            <v>5.6608887179999998</v>
          </cell>
        </row>
        <row r="5830">
          <cell r="A5830" t="str">
            <v>CSS</v>
          </cell>
          <cell r="B5830" t="str">
            <v>V7C-FRO-440</v>
          </cell>
          <cell r="O5830">
            <v>8.4730131172839513</v>
          </cell>
          <cell r="T5830">
            <v>2.4655632581768301</v>
          </cell>
        </row>
        <row r="5831">
          <cell r="A5831" t="str">
            <v>CSS</v>
          </cell>
          <cell r="B5831" t="str">
            <v>V7C-FRO-440-0</v>
          </cell>
          <cell r="O5831">
            <v>8.4730131172839513</v>
          </cell>
          <cell r="T5831">
            <v>2.4655632581768301</v>
          </cell>
        </row>
        <row r="5832">
          <cell r="A5832" t="str">
            <v>CSS</v>
          </cell>
          <cell r="B5832" t="str">
            <v>V7C-FRO-440-2</v>
          </cell>
          <cell r="O5832">
            <v>8.4730131172839513</v>
          </cell>
          <cell r="T5832">
            <v>2.4655632581768301</v>
          </cell>
        </row>
        <row r="5833">
          <cell r="A5833" t="str">
            <v>CSS</v>
          </cell>
          <cell r="B5833" t="str">
            <v>V7C-FRO-440-4</v>
          </cell>
          <cell r="O5833">
            <v>8.4730131172839513</v>
          </cell>
          <cell r="T5833">
            <v>2.4655632581768301</v>
          </cell>
        </row>
        <row r="5834">
          <cell r="A5834" t="str">
            <v>CSS</v>
          </cell>
          <cell r="B5834" t="str">
            <v>V7C-FRO-440-6</v>
          </cell>
          <cell r="O5834">
            <v>8.4730131172839513</v>
          </cell>
          <cell r="T5834">
            <v>2.4655632581768301</v>
          </cell>
        </row>
        <row r="5835">
          <cell r="A5835" t="str">
            <v>CSS</v>
          </cell>
          <cell r="B5835" t="str">
            <v>V7C-FRO-460</v>
          </cell>
          <cell r="O5835">
            <v>5.9884088999999996</v>
          </cell>
          <cell r="T5835">
            <v>3.2387880260000004</v>
          </cell>
        </row>
        <row r="5836">
          <cell r="A5836" t="str">
            <v>CSS</v>
          </cell>
          <cell r="B5836" t="str">
            <v>V7C-FRO-460-0</v>
          </cell>
          <cell r="O5836">
            <v>5.9884088999999996</v>
          </cell>
          <cell r="T5836">
            <v>3.2387880260000004</v>
          </cell>
        </row>
        <row r="5837">
          <cell r="A5837" t="str">
            <v>CSS</v>
          </cell>
          <cell r="B5837" t="str">
            <v>V7C-FRO-460-2</v>
          </cell>
          <cell r="O5837">
            <v>7.5600898158336696</v>
          </cell>
          <cell r="T5837">
            <v>3.7325790099851299</v>
          </cell>
        </row>
        <row r="5838">
          <cell r="A5838" t="str">
            <v>CSS</v>
          </cell>
          <cell r="B5838" t="str">
            <v>V7C-FRO-460-4</v>
          </cell>
          <cell r="O5838">
            <v>6.177792245</v>
          </cell>
          <cell r="T5838">
            <v>2.9613422949999997</v>
          </cell>
        </row>
        <row r="5839">
          <cell r="A5839" t="str">
            <v>CSS</v>
          </cell>
          <cell r="B5839" t="str">
            <v>V7C-FRO-460-6</v>
          </cell>
          <cell r="O5839">
            <v>6.177792245</v>
          </cell>
          <cell r="T5839">
            <v>2.9613422949999997</v>
          </cell>
        </row>
        <row r="5840">
          <cell r="A5840" t="str">
            <v>CSS</v>
          </cell>
          <cell r="B5840" t="str">
            <v>V7C-FRO-640</v>
          </cell>
          <cell r="O5840">
            <v>12.68039641</v>
          </cell>
          <cell r="T5840">
            <v>5.9759793619999995</v>
          </cell>
        </row>
        <row r="5841">
          <cell r="A5841" t="str">
            <v>CSS</v>
          </cell>
          <cell r="B5841" t="str">
            <v>V7C-FRO-640-0</v>
          </cell>
          <cell r="O5841">
            <v>12.68039641</v>
          </cell>
          <cell r="T5841">
            <v>5.9759793619999995</v>
          </cell>
        </row>
        <row r="5842">
          <cell r="A5842" t="str">
            <v>CSS</v>
          </cell>
          <cell r="B5842" t="str">
            <v>V7C-FRO-640-2</v>
          </cell>
          <cell r="O5842">
            <v>12.68039641</v>
          </cell>
          <cell r="T5842">
            <v>5.9759793619999995</v>
          </cell>
        </row>
        <row r="5843">
          <cell r="A5843" t="str">
            <v>CSS</v>
          </cell>
          <cell r="B5843" t="str">
            <v>V7C-FRO-640-4</v>
          </cell>
          <cell r="O5843">
            <v>12.68039641</v>
          </cell>
          <cell r="T5843">
            <v>5.9759793619999995</v>
          </cell>
        </row>
        <row r="5844">
          <cell r="A5844" t="str">
            <v>CSS</v>
          </cell>
          <cell r="B5844" t="str">
            <v>V7C-FRO-640-6</v>
          </cell>
          <cell r="O5844">
            <v>12.68039641</v>
          </cell>
          <cell r="T5844">
            <v>5.9759793619999995</v>
          </cell>
        </row>
        <row r="5845">
          <cell r="A5845" t="str">
            <v>CSS</v>
          </cell>
          <cell r="B5845" t="str">
            <v>V7C-FRO-660</v>
          </cell>
          <cell r="O5845">
            <v>8.8881655089999985</v>
          </cell>
          <cell r="T5845">
            <v>4.9411464779999994</v>
          </cell>
        </row>
        <row r="5846">
          <cell r="A5846" t="str">
            <v>CSS</v>
          </cell>
          <cell r="B5846" t="str">
            <v>V7C-FRO-660-0</v>
          </cell>
          <cell r="O5846">
            <v>8.8881655089999985</v>
          </cell>
          <cell r="T5846">
            <v>4.9411464779999994</v>
          </cell>
        </row>
        <row r="5847">
          <cell r="A5847" t="str">
            <v>CSS</v>
          </cell>
          <cell r="B5847" t="str">
            <v>V7C-FRO-660-0D</v>
          </cell>
          <cell r="O5847">
            <v>8.8881655089999985</v>
          </cell>
          <cell r="T5847">
            <v>4.9411464779999994</v>
          </cell>
        </row>
        <row r="5848">
          <cell r="A5848" t="str">
            <v>CSS</v>
          </cell>
          <cell r="B5848" t="str">
            <v>V7C-FRO-660-2</v>
          </cell>
          <cell r="O5848">
            <v>8.8881655089999985</v>
          </cell>
          <cell r="T5848">
            <v>4.9411464779999994</v>
          </cell>
        </row>
        <row r="5849">
          <cell r="A5849" t="str">
            <v>CSS</v>
          </cell>
          <cell r="B5849" t="str">
            <v>V7C-FRO-660-4</v>
          </cell>
          <cell r="O5849">
            <v>8.8881655089999985</v>
          </cell>
          <cell r="T5849">
            <v>4.9411464779999994</v>
          </cell>
        </row>
        <row r="5850">
          <cell r="A5850" t="str">
            <v>CSS</v>
          </cell>
          <cell r="B5850" t="str">
            <v>V7C-FRO-660-4D</v>
          </cell>
          <cell r="O5850">
            <v>8.8881655089999985</v>
          </cell>
          <cell r="T5850">
            <v>4.9411464779999994</v>
          </cell>
        </row>
        <row r="5851">
          <cell r="A5851" t="str">
            <v>CSS</v>
          </cell>
          <cell r="B5851" t="str">
            <v>V7C-FRO-660-6</v>
          </cell>
          <cell r="O5851">
            <v>8.8881655089999985</v>
          </cell>
          <cell r="T5851">
            <v>4.9411464779999994</v>
          </cell>
        </row>
        <row r="5852">
          <cell r="A5852" t="str">
            <v>CSS</v>
          </cell>
          <cell r="B5852" t="str">
            <v>V7C-FRO-840</v>
          </cell>
          <cell r="O5852">
            <v>17.188720100308601</v>
          </cell>
          <cell r="T5852">
            <v>8.1175123537502589</v>
          </cell>
        </row>
        <row r="5853">
          <cell r="A5853" t="str">
            <v>CSS</v>
          </cell>
          <cell r="B5853" t="str">
            <v>V7C-FRO-840-0</v>
          </cell>
          <cell r="O5853">
            <v>17.188720100308601</v>
          </cell>
          <cell r="T5853">
            <v>8.1175123537502589</v>
          </cell>
        </row>
        <row r="5854">
          <cell r="A5854" t="str">
            <v>CSS</v>
          </cell>
          <cell r="B5854" t="str">
            <v>V7C-FRO-840-2</v>
          </cell>
          <cell r="O5854">
            <v>17.188720100308601</v>
          </cell>
          <cell r="T5854">
            <v>8.1175123537502589</v>
          </cell>
        </row>
        <row r="5855">
          <cell r="A5855" t="str">
            <v>CSS</v>
          </cell>
          <cell r="B5855" t="str">
            <v>V7C-FRO-840-4</v>
          </cell>
          <cell r="O5855">
            <v>17.188720100308601</v>
          </cell>
          <cell r="T5855">
            <v>8.1175123537502589</v>
          </cell>
        </row>
        <row r="5856">
          <cell r="A5856" t="str">
            <v>CSS</v>
          </cell>
          <cell r="B5856" t="str">
            <v>V7C-FRO-840-6</v>
          </cell>
          <cell r="O5856">
            <v>17.188720100308601</v>
          </cell>
          <cell r="T5856">
            <v>8.1175123537502589</v>
          </cell>
        </row>
        <row r="5857">
          <cell r="A5857" t="str">
            <v>CSS</v>
          </cell>
          <cell r="B5857" t="str">
            <v>V7C-FRO-860</v>
          </cell>
          <cell r="O5857">
            <v>12.05457522999999</v>
          </cell>
          <cell r="T5857">
            <v>6.708743052</v>
          </cell>
        </row>
        <row r="5858">
          <cell r="A5858" t="str">
            <v>CSS</v>
          </cell>
          <cell r="B5858" t="str">
            <v>V7C-FRO-860-0</v>
          </cell>
          <cell r="O5858">
            <v>12.05457522999999</v>
          </cell>
          <cell r="T5858">
            <v>6.708743052</v>
          </cell>
        </row>
        <row r="5859">
          <cell r="A5859" t="str">
            <v>CSS</v>
          </cell>
          <cell r="B5859" t="str">
            <v>V7C-FRO-860-2</v>
          </cell>
          <cell r="O5859">
            <v>12.05457522999999</v>
          </cell>
          <cell r="T5859">
            <v>6.708743052</v>
          </cell>
        </row>
        <row r="5860">
          <cell r="A5860" t="str">
            <v>CSS</v>
          </cell>
          <cell r="B5860" t="str">
            <v>V7C-FRO-860-2I</v>
          </cell>
          <cell r="O5860">
            <v>12.05457522999999</v>
          </cell>
          <cell r="T5860">
            <v>6.708743052</v>
          </cell>
        </row>
        <row r="5861">
          <cell r="A5861" t="str">
            <v>CSS</v>
          </cell>
          <cell r="B5861" t="str">
            <v>V7C-FRO-860-4</v>
          </cell>
          <cell r="O5861">
            <v>12.05457522999999</v>
          </cell>
          <cell r="T5861">
            <v>6.708743052</v>
          </cell>
        </row>
        <row r="5862">
          <cell r="A5862" t="str">
            <v>CSS</v>
          </cell>
          <cell r="B5862" t="str">
            <v>V7C-FRO-860-6</v>
          </cell>
          <cell r="O5862">
            <v>12.05457522999999</v>
          </cell>
          <cell r="T5862">
            <v>6.708743052</v>
          </cell>
        </row>
        <row r="5863">
          <cell r="A5863" t="str">
            <v>CSS</v>
          </cell>
          <cell r="B5863" t="str">
            <v>V7C-FRO-860-V</v>
          </cell>
          <cell r="O5863">
            <v>12.05457522999999</v>
          </cell>
          <cell r="T5863">
            <v>6.708743052</v>
          </cell>
        </row>
        <row r="5864">
          <cell r="A5864" t="str">
            <v>CSS</v>
          </cell>
          <cell r="B5864" t="str">
            <v>V7CAP-465</v>
          </cell>
          <cell r="O5864">
            <v>5.0398259639999994</v>
          </cell>
          <cell r="T5864">
            <v>2.8222910539999999</v>
          </cell>
        </row>
        <row r="5865">
          <cell r="A5865" t="str">
            <v>CSS</v>
          </cell>
          <cell r="B5865" t="str">
            <v>V7CAP-465-42I</v>
          </cell>
          <cell r="O5865">
            <v>5.0398259639999994</v>
          </cell>
          <cell r="T5865">
            <v>2.8222910539999999</v>
          </cell>
        </row>
        <row r="5866">
          <cell r="A5866" t="str">
            <v>CSS</v>
          </cell>
          <cell r="B5866" t="str">
            <v>V7CAP-480</v>
          </cell>
          <cell r="O5866">
            <v>7.5600898159999996</v>
          </cell>
          <cell r="T5866">
            <v>3.7325790100000003</v>
          </cell>
        </row>
        <row r="5867">
          <cell r="A5867" t="str">
            <v>CSS</v>
          </cell>
          <cell r="B5867" t="str">
            <v>V7CAP-480-42I</v>
          </cell>
          <cell r="O5867">
            <v>7.5600898159999996</v>
          </cell>
          <cell r="T5867">
            <v>3.7325790100000003</v>
          </cell>
        </row>
        <row r="5868">
          <cell r="A5868" t="str">
            <v>CSS</v>
          </cell>
          <cell r="B5868" t="str">
            <v>V7CAP-480-42IP</v>
          </cell>
          <cell r="O5868">
            <v>7.5600898159999996</v>
          </cell>
          <cell r="T5868">
            <v>3.7325790100000003</v>
          </cell>
        </row>
        <row r="5869">
          <cell r="A5869" t="str">
            <v>CSS</v>
          </cell>
          <cell r="B5869" t="str">
            <v>V7CAP-480-62I</v>
          </cell>
          <cell r="O5869">
            <v>7.5600898159999996</v>
          </cell>
          <cell r="T5869">
            <v>3.7325790100000003</v>
          </cell>
        </row>
        <row r="5870">
          <cell r="A5870" t="str">
            <v>CSS</v>
          </cell>
          <cell r="B5870" t="str">
            <v>V7CAP-665</v>
          </cell>
          <cell r="O5870">
            <v>7.6232397760000001</v>
          </cell>
          <cell r="T5870">
            <v>4.2142882849999994</v>
          </cell>
        </row>
        <row r="5871">
          <cell r="A5871" t="str">
            <v>CSS</v>
          </cell>
          <cell r="B5871" t="str">
            <v>V7CAP-865</v>
          </cell>
          <cell r="O5871">
            <v>10.11043192</v>
          </cell>
          <cell r="T5871">
            <v>5.6774190349999989</v>
          </cell>
        </row>
        <row r="5872">
          <cell r="A5872" t="str">
            <v>CSS</v>
          </cell>
          <cell r="B5872" t="str">
            <v>V7CAP-865-20I</v>
          </cell>
          <cell r="O5872">
            <v>10.231442899999989</v>
          </cell>
          <cell r="T5872">
            <v>5.6608887179999998</v>
          </cell>
        </row>
        <row r="5873">
          <cell r="A5873" t="str">
            <v>CSS</v>
          </cell>
          <cell r="B5873" t="str">
            <v>V7CAP-865-22I</v>
          </cell>
          <cell r="O5873">
            <v>10.231442899999989</v>
          </cell>
          <cell r="T5873">
            <v>5.6608887179999998</v>
          </cell>
        </row>
        <row r="5874">
          <cell r="A5874" t="str">
            <v>CSS</v>
          </cell>
          <cell r="B5874" t="str">
            <v>V7CAP-865-42I</v>
          </cell>
          <cell r="O5874">
            <v>10.231442899999989</v>
          </cell>
          <cell r="T5874">
            <v>5.6608887179999998</v>
          </cell>
        </row>
        <row r="5875">
          <cell r="A5875" t="str">
            <v>CSS</v>
          </cell>
          <cell r="B5875" t="str">
            <v>VC-678</v>
          </cell>
          <cell r="O5875">
            <v>7.4253564020000002</v>
          </cell>
          <cell r="T5875">
            <v>4.1043900749999995</v>
          </cell>
        </row>
        <row r="5876">
          <cell r="A5876" t="str">
            <v>CSS</v>
          </cell>
          <cell r="B5876" t="str">
            <v>VC-678-0</v>
          </cell>
          <cell r="O5876">
            <v>7.4253564020000002</v>
          </cell>
          <cell r="T5876">
            <v>4.1043900749999995</v>
          </cell>
        </row>
        <row r="5877">
          <cell r="A5877" t="str">
            <v>CSS</v>
          </cell>
          <cell r="B5877" t="str">
            <v>X7-440</v>
          </cell>
          <cell r="O5877"/>
          <cell r="T5877"/>
        </row>
        <row r="5878">
          <cell r="A5878" t="str">
            <v>CSS</v>
          </cell>
          <cell r="B5878" t="str">
            <v>X7-465</v>
          </cell>
          <cell r="O5878">
            <v>5.0398259639999994</v>
          </cell>
          <cell r="T5878">
            <v>2.8222910539999999</v>
          </cell>
        </row>
        <row r="5879">
          <cell r="A5879" t="str">
            <v>CSS</v>
          </cell>
          <cell r="B5879" t="str">
            <v>X7-465-6</v>
          </cell>
          <cell r="O5879">
            <v>5.0398259639999994</v>
          </cell>
          <cell r="T5879">
            <v>2.8222910539999999</v>
          </cell>
        </row>
        <row r="5880">
          <cell r="A5880" t="str">
            <v>CSS</v>
          </cell>
          <cell r="B5880" t="str">
            <v>X7-465-X</v>
          </cell>
          <cell r="O5880">
            <v>5.0398259639999994</v>
          </cell>
          <cell r="T5880">
            <v>2.8222910539999999</v>
          </cell>
        </row>
        <row r="5881">
          <cell r="A5881" t="str">
            <v>CSS</v>
          </cell>
          <cell r="B5881" t="str">
            <v>X7-480</v>
          </cell>
          <cell r="O5881">
            <v>5.1701379239999996</v>
          </cell>
          <cell r="T5881">
            <v>2.8524687360000001</v>
          </cell>
        </row>
        <row r="5882">
          <cell r="A5882" t="str">
            <v>CSS</v>
          </cell>
          <cell r="B5882" t="str">
            <v>X7-480-2</v>
          </cell>
          <cell r="O5882">
            <v>5.0919159970000001</v>
          </cell>
          <cell r="T5882">
            <v>2.8093865740000004</v>
          </cell>
        </row>
        <row r="5883">
          <cell r="A5883" t="str">
            <v>CSS</v>
          </cell>
          <cell r="B5883" t="str">
            <v>X7-480-4</v>
          </cell>
          <cell r="O5883">
            <v>5.1701379239999996</v>
          </cell>
          <cell r="T5883">
            <v>2.8524687360000001</v>
          </cell>
        </row>
        <row r="5884">
          <cell r="A5884" t="str">
            <v>CSS</v>
          </cell>
          <cell r="B5884" t="str">
            <v>X7-480-6</v>
          </cell>
          <cell r="O5884">
            <v>5.0919159970000001</v>
          </cell>
          <cell r="T5884">
            <v>2.8093865740000004</v>
          </cell>
        </row>
        <row r="5885">
          <cell r="A5885" t="str">
            <v>CSS</v>
          </cell>
          <cell r="B5885" t="str">
            <v>X7-640</v>
          </cell>
          <cell r="O5885"/>
          <cell r="T5885"/>
        </row>
        <row r="5886">
          <cell r="A5886" t="str">
            <v>CSS</v>
          </cell>
          <cell r="B5886" t="str">
            <v>X7-665</v>
          </cell>
          <cell r="O5886">
            <v>7.6232397760000001</v>
          </cell>
          <cell r="T5886">
            <v>4.2142882849999994</v>
          </cell>
        </row>
        <row r="5887">
          <cell r="A5887" t="str">
            <v>CSS</v>
          </cell>
          <cell r="B5887" t="str">
            <v>X7-665-0</v>
          </cell>
          <cell r="O5887">
            <v>7.6232397760000001</v>
          </cell>
          <cell r="T5887">
            <v>4.2142882849999994</v>
          </cell>
        </row>
        <row r="5888">
          <cell r="A5888" t="str">
            <v>CSS</v>
          </cell>
          <cell r="B5888" t="str">
            <v>X7-665-0I</v>
          </cell>
          <cell r="O5888">
            <v>7.4253564020000002</v>
          </cell>
          <cell r="T5888">
            <v>4.1043900749999995</v>
          </cell>
        </row>
        <row r="5889">
          <cell r="A5889" t="str">
            <v>CSS</v>
          </cell>
          <cell r="B5889" t="str">
            <v>X7-665-2D</v>
          </cell>
          <cell r="O5889">
            <v>7.6232397760000001</v>
          </cell>
          <cell r="T5889">
            <v>4.2142882849999994</v>
          </cell>
        </row>
        <row r="5890">
          <cell r="A5890" t="str">
            <v>CSS</v>
          </cell>
          <cell r="B5890" t="str">
            <v>X7-665-4</v>
          </cell>
          <cell r="O5890">
            <v>7.474735817</v>
          </cell>
          <cell r="T5890">
            <v>4.1927423639999999</v>
          </cell>
        </row>
        <row r="5891">
          <cell r="A5891" t="str">
            <v>CSS</v>
          </cell>
          <cell r="B5891" t="str">
            <v>X7-665-4D</v>
          </cell>
          <cell r="O5891">
            <v>7.4253564020000002</v>
          </cell>
          <cell r="T5891">
            <v>4.1043900749999995</v>
          </cell>
        </row>
        <row r="5892">
          <cell r="A5892" t="str">
            <v>CSS</v>
          </cell>
          <cell r="B5892" t="str">
            <v>X7-665-6</v>
          </cell>
          <cell r="O5892">
            <v>7.474735817</v>
          </cell>
          <cell r="T5892">
            <v>4.1927423639999999</v>
          </cell>
        </row>
        <row r="5893">
          <cell r="A5893" t="str">
            <v>CSS</v>
          </cell>
          <cell r="B5893" t="str">
            <v>X7-665-6D</v>
          </cell>
          <cell r="O5893">
            <v>7.4253564020000002</v>
          </cell>
          <cell r="T5893">
            <v>4.1043900749999995</v>
          </cell>
        </row>
        <row r="5894">
          <cell r="A5894" t="str">
            <v>CSS</v>
          </cell>
          <cell r="B5894" t="str">
            <v>X7-680-0D</v>
          </cell>
          <cell r="O5894">
            <v>7.3089915219999995</v>
          </cell>
          <cell r="T5894">
            <v>4.5062713189999997</v>
          </cell>
        </row>
        <row r="5895">
          <cell r="A5895" t="str">
            <v>CSS</v>
          </cell>
          <cell r="B5895" t="str">
            <v>X7-840</v>
          </cell>
          <cell r="O5895"/>
          <cell r="T5895"/>
        </row>
        <row r="5896">
          <cell r="A5896" t="str">
            <v>CSS</v>
          </cell>
          <cell r="B5896" t="str">
            <v>X7-865</v>
          </cell>
          <cell r="O5896">
            <v>10.11043192</v>
          </cell>
          <cell r="T5896">
            <v>5.6774190349999989</v>
          </cell>
        </row>
        <row r="5897">
          <cell r="A5897" t="str">
            <v>CSS</v>
          </cell>
          <cell r="B5897" t="str">
            <v>X7-865-2</v>
          </cell>
          <cell r="O5897">
            <v>10.11043192</v>
          </cell>
          <cell r="T5897">
            <v>5.6774190349999989</v>
          </cell>
        </row>
        <row r="5898">
          <cell r="A5898" t="str">
            <v>CSS</v>
          </cell>
          <cell r="B5898" t="str">
            <v>X7-865-4</v>
          </cell>
          <cell r="O5898">
            <v>10.11043192</v>
          </cell>
          <cell r="T5898">
            <v>5.6774190349999989</v>
          </cell>
        </row>
        <row r="5899">
          <cell r="A5899" t="str">
            <v>CSS</v>
          </cell>
          <cell r="B5899" t="str">
            <v>X7-865-6</v>
          </cell>
          <cell r="O5899">
            <v>10.11043192</v>
          </cell>
          <cell r="T5899">
            <v>5.6774190349999989</v>
          </cell>
        </row>
        <row r="5900">
          <cell r="A5900" t="str">
            <v>CSS</v>
          </cell>
          <cell r="B5900" t="str">
            <v>X7-865-6D</v>
          </cell>
          <cell r="O5900">
            <v>10.11043192</v>
          </cell>
          <cell r="T5900">
            <v>5.6774190349999989</v>
          </cell>
        </row>
        <row r="5901">
          <cell r="A5901" t="str">
            <v>CSS</v>
          </cell>
          <cell r="B5901" t="str">
            <v>X7-880</v>
          </cell>
          <cell r="O5901">
            <v>10.231442899999989</v>
          </cell>
          <cell r="T5901">
            <v>5.6608887179999998</v>
          </cell>
        </row>
        <row r="5902">
          <cell r="A5902" t="str">
            <v>CSS</v>
          </cell>
          <cell r="B5902" t="str">
            <v>X7-FRO-460</v>
          </cell>
          <cell r="O5902">
            <v>6.177792245</v>
          </cell>
          <cell r="T5902">
            <v>2.9613422949999997</v>
          </cell>
        </row>
        <row r="5903">
          <cell r="A5903" t="str">
            <v>CSS</v>
          </cell>
          <cell r="B5903" t="str">
            <v>X7-FRO-640</v>
          </cell>
          <cell r="O5903">
            <v>12.68039641</v>
          </cell>
          <cell r="T5903">
            <v>5.9759793619999995</v>
          </cell>
        </row>
        <row r="5904">
          <cell r="A5904" t="str">
            <v>CSS</v>
          </cell>
          <cell r="B5904" t="str">
            <v>X7-FRO-640-0</v>
          </cell>
          <cell r="O5904">
            <v>12.68039641</v>
          </cell>
          <cell r="T5904">
            <v>5.9759793619999995</v>
          </cell>
        </row>
        <row r="5905">
          <cell r="A5905" t="str">
            <v>CSS</v>
          </cell>
          <cell r="B5905" t="str">
            <v>X7-FRO-640-6D</v>
          </cell>
          <cell r="O5905">
            <v>12.68039641</v>
          </cell>
          <cell r="T5905">
            <v>5.9759793619999995</v>
          </cell>
        </row>
        <row r="5906">
          <cell r="A5906" t="str">
            <v>CSS</v>
          </cell>
          <cell r="B5906" t="str">
            <v>X7-FRO-660</v>
          </cell>
          <cell r="O5906">
            <v>8.8881655089999985</v>
          </cell>
          <cell r="T5906">
            <v>4.9411464779999994</v>
          </cell>
        </row>
        <row r="5907">
          <cell r="A5907" t="str">
            <v>CSS</v>
          </cell>
          <cell r="B5907" t="str">
            <v>X7-FRO-660-0</v>
          </cell>
          <cell r="O5907">
            <v>8.8881655089999985</v>
          </cell>
          <cell r="T5907">
            <v>4.9411464779999994</v>
          </cell>
        </row>
        <row r="5908">
          <cell r="A5908" t="str">
            <v>CSS</v>
          </cell>
          <cell r="B5908" t="str">
            <v>X7-FRO-660-0D</v>
          </cell>
          <cell r="O5908">
            <v>8.8881655089999985</v>
          </cell>
          <cell r="T5908">
            <v>4.9411464779999994</v>
          </cell>
        </row>
        <row r="5909">
          <cell r="A5909" t="str">
            <v>CSS</v>
          </cell>
          <cell r="B5909" t="str">
            <v>X7-FRO-660-2</v>
          </cell>
          <cell r="O5909">
            <v>8.8881655089999985</v>
          </cell>
          <cell r="T5909">
            <v>4.9411464779999994</v>
          </cell>
        </row>
        <row r="5910">
          <cell r="A5910" t="str">
            <v>CSS</v>
          </cell>
          <cell r="B5910" t="str">
            <v>X7-FRO-660-2D</v>
          </cell>
          <cell r="O5910">
            <v>8.8881655089999985</v>
          </cell>
          <cell r="T5910">
            <v>4.9411464779999994</v>
          </cell>
        </row>
        <row r="5911">
          <cell r="A5911" t="str">
            <v>CSS</v>
          </cell>
          <cell r="B5911" t="str">
            <v>X7-FRO-660-4</v>
          </cell>
          <cell r="O5911">
            <v>8.8881655089999985</v>
          </cell>
          <cell r="T5911">
            <v>4.9411464779999994</v>
          </cell>
        </row>
        <row r="5912">
          <cell r="A5912" t="str">
            <v>CSS</v>
          </cell>
          <cell r="B5912" t="str">
            <v>X7-FRO-660-4D</v>
          </cell>
          <cell r="O5912">
            <v>8.8881655089999985</v>
          </cell>
          <cell r="T5912">
            <v>4.9411464779999994</v>
          </cell>
        </row>
        <row r="5913">
          <cell r="A5913" t="str">
            <v>CSS</v>
          </cell>
          <cell r="B5913" t="str">
            <v>X7-FRO-660-6</v>
          </cell>
          <cell r="O5913">
            <v>8.8881655089999985</v>
          </cell>
          <cell r="T5913">
            <v>4.9411464779999994</v>
          </cell>
        </row>
        <row r="5914">
          <cell r="A5914" t="str">
            <v>CSS</v>
          </cell>
          <cell r="B5914" t="str">
            <v>X7-FRO-660-6D</v>
          </cell>
          <cell r="O5914">
            <v>8.8881655089999985</v>
          </cell>
          <cell r="T5914">
            <v>4.9411464779999994</v>
          </cell>
        </row>
        <row r="5915">
          <cell r="A5915" t="str">
            <v>CSS</v>
          </cell>
          <cell r="B5915" t="str">
            <v>X7-FRO-660-8</v>
          </cell>
          <cell r="O5915">
            <v>8.8881655089999985</v>
          </cell>
          <cell r="T5915">
            <v>4.9411464779999994</v>
          </cell>
        </row>
        <row r="5916">
          <cell r="A5916" t="str">
            <v>CSS</v>
          </cell>
          <cell r="B5916" t="str">
            <v>X7-FRO-840</v>
          </cell>
          <cell r="O5916">
            <v>17.188720100308601</v>
          </cell>
          <cell r="T5916">
            <v>8.1175123537502589</v>
          </cell>
        </row>
        <row r="5917">
          <cell r="A5917" t="str">
            <v>CSS</v>
          </cell>
          <cell r="B5917" t="str">
            <v>X7-FRO-860</v>
          </cell>
          <cell r="O5917">
            <v>12.05457522999999</v>
          </cell>
          <cell r="T5917">
            <v>6.708743052</v>
          </cell>
        </row>
        <row r="5918">
          <cell r="A5918" t="str">
            <v>CSS</v>
          </cell>
          <cell r="B5918" t="str">
            <v>X7-FRO-860-2</v>
          </cell>
          <cell r="O5918">
            <v>12.05457522999999</v>
          </cell>
          <cell r="T5918">
            <v>6.708743052</v>
          </cell>
        </row>
        <row r="5919">
          <cell r="A5919" t="str">
            <v>CSS</v>
          </cell>
          <cell r="B5919" t="str">
            <v>X7C-265</v>
          </cell>
          <cell r="O5919">
            <v>2.2158666090000003</v>
          </cell>
          <cell r="T5919">
            <v>1.233011898</v>
          </cell>
        </row>
        <row r="5920">
          <cell r="A5920" t="str">
            <v>CSS</v>
          </cell>
          <cell r="B5920" t="str">
            <v>X7C-465</v>
          </cell>
          <cell r="O5920">
            <v>5.0633659709999996</v>
          </cell>
          <cell r="T5920">
            <v>2.854714338</v>
          </cell>
        </row>
        <row r="5921">
          <cell r="A5921" t="str">
            <v>CSS</v>
          </cell>
          <cell r="B5921" t="str">
            <v>X7C-465-0</v>
          </cell>
          <cell r="O5921">
            <v>5.0398259639999994</v>
          </cell>
          <cell r="T5921">
            <v>2.8222910539999999</v>
          </cell>
        </row>
        <row r="5922">
          <cell r="A5922" t="str">
            <v>CSS</v>
          </cell>
          <cell r="B5922" t="str">
            <v>X7C-465-6</v>
          </cell>
          <cell r="O5922">
            <v>5.0398259639999994</v>
          </cell>
          <cell r="T5922">
            <v>2.8222910539999999</v>
          </cell>
        </row>
        <row r="5923">
          <cell r="A5923" t="str">
            <v>CSS</v>
          </cell>
          <cell r="B5923" t="str">
            <v>X7C-465-6IP</v>
          </cell>
          <cell r="O5923">
            <v>5.0398259639999994</v>
          </cell>
          <cell r="T5923">
            <v>2.8222910539999999</v>
          </cell>
        </row>
        <row r="5924">
          <cell r="A5924" t="str">
            <v>CSS</v>
          </cell>
          <cell r="B5924" t="str">
            <v>X7C-480</v>
          </cell>
          <cell r="O5924">
            <v>5.0919159970000001</v>
          </cell>
          <cell r="T5924">
            <v>2.8093865740000004</v>
          </cell>
        </row>
        <row r="5925">
          <cell r="A5925" t="str">
            <v>CSS</v>
          </cell>
          <cell r="B5925" t="str">
            <v>X7C-480-0</v>
          </cell>
          <cell r="O5925">
            <v>5.1701379239999996</v>
          </cell>
          <cell r="T5925">
            <v>2.8524687360000001</v>
          </cell>
        </row>
        <row r="5926">
          <cell r="A5926" t="str">
            <v>CSS</v>
          </cell>
          <cell r="B5926" t="str">
            <v>X7C-480-2</v>
          </cell>
          <cell r="O5926">
            <v>5.0919159970000001</v>
          </cell>
          <cell r="T5926">
            <v>2.8093865740000004</v>
          </cell>
        </row>
        <row r="5927">
          <cell r="A5927" t="str">
            <v>CSS</v>
          </cell>
          <cell r="B5927" t="str">
            <v>X7C-480-4D</v>
          </cell>
          <cell r="O5927">
            <v>5.0919159970000001</v>
          </cell>
          <cell r="T5927">
            <v>2.8093865740000004</v>
          </cell>
        </row>
        <row r="5928">
          <cell r="A5928" t="str">
            <v>CSS</v>
          </cell>
          <cell r="B5928" t="str">
            <v>X7C-480-6</v>
          </cell>
          <cell r="O5928">
            <v>5.1701379239999996</v>
          </cell>
          <cell r="T5928">
            <v>2.8524687360000001</v>
          </cell>
        </row>
        <row r="5929">
          <cell r="A5929" t="str">
            <v>CSS</v>
          </cell>
          <cell r="B5929" t="str">
            <v>X7C-480-6IP</v>
          </cell>
          <cell r="O5929">
            <v>5.0919159970000001</v>
          </cell>
          <cell r="T5929">
            <v>2.8093865740000004</v>
          </cell>
        </row>
        <row r="5930">
          <cell r="A5930" t="str">
            <v>CSS</v>
          </cell>
          <cell r="B5930" t="str">
            <v>X7C-665</v>
          </cell>
          <cell r="O5930">
            <v>7.474735817</v>
          </cell>
          <cell r="T5930">
            <v>4.1927423639999999</v>
          </cell>
        </row>
        <row r="5931">
          <cell r="A5931" t="str">
            <v>CSS</v>
          </cell>
          <cell r="B5931" t="str">
            <v>X7C-665-0</v>
          </cell>
          <cell r="O5931">
            <v>7.5695023150000003</v>
          </cell>
          <cell r="T5931">
            <v>4.1843681400000001</v>
          </cell>
        </row>
        <row r="5932">
          <cell r="A5932" t="str">
            <v>CSS</v>
          </cell>
          <cell r="B5932" t="str">
            <v>X7C-665-0I</v>
          </cell>
          <cell r="O5932">
            <v>7.4983546289999996</v>
          </cell>
          <cell r="T5932">
            <v>4.1455759150000002</v>
          </cell>
        </row>
        <row r="5933">
          <cell r="A5933" t="str">
            <v>CSS</v>
          </cell>
          <cell r="B5933" t="str">
            <v>X7C-665-2</v>
          </cell>
          <cell r="O5933">
            <v>7.5695023150000003</v>
          </cell>
          <cell r="T5933">
            <v>4.1843681400000001</v>
          </cell>
        </row>
        <row r="5934">
          <cell r="A5934" t="str">
            <v>CSS</v>
          </cell>
          <cell r="B5934" t="str">
            <v>X7C-665-2D</v>
          </cell>
          <cell r="O5934">
            <v>7.5695023150000003</v>
          </cell>
          <cell r="T5934">
            <v>4.1843681400000001</v>
          </cell>
        </row>
        <row r="5935">
          <cell r="A5935" t="str">
            <v>CSS</v>
          </cell>
          <cell r="B5935" t="str">
            <v>X7C-665-2I</v>
          </cell>
          <cell r="O5935">
            <v>7.4983546289999996</v>
          </cell>
          <cell r="T5935">
            <v>4.1455759150000002</v>
          </cell>
        </row>
        <row r="5936">
          <cell r="A5936" t="str">
            <v>CSS</v>
          </cell>
          <cell r="B5936" t="str">
            <v>X7C-665-4</v>
          </cell>
          <cell r="O5936">
            <v>7.5695023150000003</v>
          </cell>
          <cell r="T5936">
            <v>4.1843681400000001</v>
          </cell>
        </row>
        <row r="5937">
          <cell r="A5937" t="str">
            <v>CSS</v>
          </cell>
          <cell r="B5937" t="str">
            <v>X7C-665-4D</v>
          </cell>
          <cell r="O5937">
            <v>7.5695023150000003</v>
          </cell>
          <cell r="T5937">
            <v>4.1843681400000001</v>
          </cell>
        </row>
        <row r="5938">
          <cell r="A5938" t="str">
            <v>CSS</v>
          </cell>
          <cell r="B5938" t="str">
            <v>X7C-665-4IP</v>
          </cell>
          <cell r="O5938">
            <v>7.5695023150000003</v>
          </cell>
          <cell r="T5938">
            <v>4.1843681400000001</v>
          </cell>
        </row>
        <row r="5939">
          <cell r="A5939" t="str">
            <v>CSS</v>
          </cell>
          <cell r="B5939" t="str">
            <v>X7C-665-6</v>
          </cell>
          <cell r="O5939">
            <v>7.5695023150000003</v>
          </cell>
          <cell r="T5939">
            <v>4.1843681400000001</v>
          </cell>
        </row>
        <row r="5940">
          <cell r="A5940" t="str">
            <v>CSS</v>
          </cell>
          <cell r="B5940" t="str">
            <v>X7C-665-6D</v>
          </cell>
          <cell r="O5940">
            <v>7.5695023150000003</v>
          </cell>
          <cell r="T5940">
            <v>4.1843681400000001</v>
          </cell>
        </row>
        <row r="5941">
          <cell r="A5941" t="str">
            <v>CSS</v>
          </cell>
          <cell r="B5941" t="str">
            <v>X7C-665-6I-BOT</v>
          </cell>
          <cell r="O5941">
            <v>7.474735817</v>
          </cell>
          <cell r="T5941">
            <v>4.1927423639999999</v>
          </cell>
        </row>
        <row r="5942">
          <cell r="A5942" t="str">
            <v>CSS</v>
          </cell>
          <cell r="B5942" t="str">
            <v>X7C-665-8</v>
          </cell>
          <cell r="O5942"/>
          <cell r="T5942"/>
        </row>
        <row r="5943">
          <cell r="A5943" t="str">
            <v>CSS</v>
          </cell>
          <cell r="B5943" t="str">
            <v>X7C-665-V</v>
          </cell>
          <cell r="O5943">
            <v>7.3725762579999996</v>
          </cell>
          <cell r="T5943">
            <v>4.2485643309999999</v>
          </cell>
        </row>
        <row r="5944">
          <cell r="A5944" t="str">
            <v>CSS</v>
          </cell>
          <cell r="B5944" t="str">
            <v>X7C-665-VR0</v>
          </cell>
          <cell r="O5944">
            <v>7.474735817</v>
          </cell>
          <cell r="T5944">
            <v>4.1927423639999999</v>
          </cell>
        </row>
        <row r="5945">
          <cell r="A5945" t="str">
            <v>CSS</v>
          </cell>
          <cell r="B5945" t="str">
            <v>X7C-665-VR4</v>
          </cell>
          <cell r="O5945">
            <v>7.474735817</v>
          </cell>
          <cell r="T5945">
            <v>4.1927423639999999</v>
          </cell>
        </row>
        <row r="5946">
          <cell r="A5946" t="str">
            <v>CSS</v>
          </cell>
          <cell r="B5946" t="str">
            <v>X7C-680</v>
          </cell>
          <cell r="O5946">
            <v>7.3089915219999995</v>
          </cell>
          <cell r="T5946">
            <v>4.5062713189999997</v>
          </cell>
        </row>
        <row r="5947">
          <cell r="A5947" t="str">
            <v>CSS</v>
          </cell>
          <cell r="B5947" t="str">
            <v>X7C-680-0</v>
          </cell>
          <cell r="O5947">
            <v>7.5695023150000003</v>
          </cell>
          <cell r="T5947">
            <v>4.1843681400000001</v>
          </cell>
        </row>
        <row r="5948">
          <cell r="A5948" t="str">
            <v>CSS</v>
          </cell>
          <cell r="B5948" t="str">
            <v>X7C-680-2</v>
          </cell>
          <cell r="O5948">
            <v>7.3089915219999995</v>
          </cell>
          <cell r="T5948">
            <v>4.5062713189999997</v>
          </cell>
        </row>
        <row r="5949">
          <cell r="A5949" t="str">
            <v>CSS</v>
          </cell>
          <cell r="B5949" t="str">
            <v>X7C-680-2D</v>
          </cell>
          <cell r="O5949">
            <v>7.3089915219999995</v>
          </cell>
          <cell r="T5949">
            <v>4.5062713189999997</v>
          </cell>
        </row>
        <row r="5950">
          <cell r="A5950" t="str">
            <v>CSS</v>
          </cell>
          <cell r="B5950" t="str">
            <v>X7C-680-6</v>
          </cell>
          <cell r="O5950">
            <v>7.4253564020000002</v>
          </cell>
          <cell r="T5950">
            <v>4.1043900749999995</v>
          </cell>
        </row>
        <row r="5951">
          <cell r="A5951" t="str">
            <v>CSS</v>
          </cell>
          <cell r="B5951" t="str">
            <v>X7C-865</v>
          </cell>
          <cell r="O5951">
            <v>10.105666469999989</v>
          </cell>
          <cell r="T5951">
            <v>5.592068403999999</v>
          </cell>
        </row>
        <row r="5952">
          <cell r="A5952" t="str">
            <v>CSS</v>
          </cell>
          <cell r="B5952" t="str">
            <v>X7C-865-0</v>
          </cell>
          <cell r="O5952">
            <v>10.105666469999989</v>
          </cell>
          <cell r="T5952">
            <v>5.592068403999999</v>
          </cell>
        </row>
        <row r="5953">
          <cell r="A5953" t="str">
            <v>CSS</v>
          </cell>
          <cell r="B5953" t="str">
            <v>X7C-865-0I</v>
          </cell>
          <cell r="O5953">
            <v>10.11043192</v>
          </cell>
          <cell r="T5953">
            <v>5.6774190349999989</v>
          </cell>
        </row>
        <row r="5954">
          <cell r="A5954" t="str">
            <v>CSS</v>
          </cell>
          <cell r="B5954" t="str">
            <v>X7C-865-2</v>
          </cell>
          <cell r="O5954">
            <v>10.105666469999989</v>
          </cell>
          <cell r="T5954">
            <v>5.592068403999999</v>
          </cell>
        </row>
        <row r="5955">
          <cell r="A5955" t="str">
            <v>CSS</v>
          </cell>
          <cell r="B5955" t="str">
            <v>X7C-865-2I</v>
          </cell>
          <cell r="O5955">
            <v>10.105666469999989</v>
          </cell>
          <cell r="T5955">
            <v>5.592068403999999</v>
          </cell>
        </row>
        <row r="5956">
          <cell r="A5956" t="str">
            <v>CSS</v>
          </cell>
          <cell r="B5956" t="str">
            <v>X7C-865-2IP</v>
          </cell>
          <cell r="O5956">
            <v>10.11043192</v>
          </cell>
          <cell r="T5956">
            <v>5.6774190349999989</v>
          </cell>
        </row>
        <row r="5957">
          <cell r="A5957" t="str">
            <v>CSS</v>
          </cell>
          <cell r="B5957" t="str">
            <v>X7C-865-4</v>
          </cell>
          <cell r="O5957">
            <v>10.105666469999989</v>
          </cell>
          <cell r="T5957">
            <v>5.592068403999999</v>
          </cell>
        </row>
        <row r="5958">
          <cell r="A5958" t="str">
            <v>CSS</v>
          </cell>
          <cell r="B5958" t="str">
            <v>X7C-865-4IP</v>
          </cell>
          <cell r="O5958">
            <v>10.11043192</v>
          </cell>
          <cell r="T5958">
            <v>5.6774190349999989</v>
          </cell>
        </row>
        <row r="5959">
          <cell r="A5959" t="str">
            <v>CSS</v>
          </cell>
          <cell r="B5959" t="str">
            <v>X7C-865-6</v>
          </cell>
          <cell r="O5959">
            <v>10.105666469999989</v>
          </cell>
          <cell r="T5959">
            <v>5.592068403999999</v>
          </cell>
        </row>
        <row r="5960">
          <cell r="A5960" t="str">
            <v>CSS</v>
          </cell>
          <cell r="B5960" t="str">
            <v>X7C-865-V</v>
          </cell>
          <cell r="O5960">
            <v>10.11043192</v>
          </cell>
          <cell r="T5960">
            <v>5.6774190349999989</v>
          </cell>
        </row>
        <row r="5961">
          <cell r="A5961" t="str">
            <v>CSS</v>
          </cell>
          <cell r="B5961" t="str">
            <v>X7C-865-V-01</v>
          </cell>
          <cell r="O5961">
            <v>10.105666469999989</v>
          </cell>
          <cell r="T5961">
            <v>5.592068403999999</v>
          </cell>
        </row>
        <row r="5962">
          <cell r="A5962" t="str">
            <v>CSS</v>
          </cell>
          <cell r="B5962" t="str">
            <v>X7C-880</v>
          </cell>
          <cell r="O5962">
            <v>10.152730630000001</v>
          </cell>
          <cell r="T5962">
            <v>5.6170318449999996</v>
          </cell>
        </row>
        <row r="5963">
          <cell r="A5963" t="str">
            <v>CSS</v>
          </cell>
          <cell r="B5963" t="str">
            <v>X7C-880-0</v>
          </cell>
          <cell r="O5963">
            <v>10.11043192</v>
          </cell>
          <cell r="T5963">
            <v>5.6774190349999989</v>
          </cell>
        </row>
        <row r="5964">
          <cell r="A5964" t="str">
            <v>CSS</v>
          </cell>
          <cell r="B5964" t="str">
            <v>X7C-880-0D</v>
          </cell>
          <cell r="O5964">
            <v>10.11043192</v>
          </cell>
          <cell r="T5964">
            <v>5.6774190349999989</v>
          </cell>
        </row>
        <row r="5965">
          <cell r="A5965" t="str">
            <v>CSS</v>
          </cell>
          <cell r="B5965" t="str">
            <v>X7C-880-0I</v>
          </cell>
          <cell r="O5965">
            <v>10.11043192</v>
          </cell>
          <cell r="T5965">
            <v>5.6774190349999989</v>
          </cell>
        </row>
        <row r="5966">
          <cell r="A5966" t="str">
            <v>CSS</v>
          </cell>
          <cell r="B5966" t="str">
            <v>X7C-880-2</v>
          </cell>
          <cell r="O5966">
            <v>10.152730630000001</v>
          </cell>
          <cell r="T5966">
            <v>5.6170318449999996</v>
          </cell>
        </row>
        <row r="5967">
          <cell r="A5967" t="str">
            <v>CSS</v>
          </cell>
          <cell r="B5967" t="str">
            <v>X7C-880-2D</v>
          </cell>
          <cell r="O5967">
            <v>10.11043192</v>
          </cell>
          <cell r="T5967">
            <v>5.6774190349999989</v>
          </cell>
        </row>
        <row r="5968">
          <cell r="A5968" t="str">
            <v>CSS</v>
          </cell>
          <cell r="B5968" t="str">
            <v>X7C-880-2I</v>
          </cell>
          <cell r="O5968">
            <v>10.11043192</v>
          </cell>
          <cell r="T5968">
            <v>5.6774190349999989</v>
          </cell>
        </row>
        <row r="5969">
          <cell r="A5969" t="str">
            <v>CSS</v>
          </cell>
          <cell r="B5969" t="str">
            <v>X7C-880-2IP</v>
          </cell>
          <cell r="O5969">
            <v>10.11043192</v>
          </cell>
          <cell r="T5969">
            <v>5.6774190349999989</v>
          </cell>
        </row>
        <row r="5970">
          <cell r="A5970" t="str">
            <v>CSS</v>
          </cell>
          <cell r="B5970" t="str">
            <v>X7C-880-4</v>
          </cell>
          <cell r="O5970">
            <v>10.152730630000001</v>
          </cell>
          <cell r="T5970">
            <v>5.6170318449999996</v>
          </cell>
        </row>
        <row r="5971">
          <cell r="A5971" t="str">
            <v>CSS</v>
          </cell>
          <cell r="B5971" t="str">
            <v>X7C-880-6</v>
          </cell>
          <cell r="O5971">
            <v>10.152730630000001</v>
          </cell>
          <cell r="T5971">
            <v>5.6170318449999996</v>
          </cell>
        </row>
        <row r="5972">
          <cell r="A5972" t="str">
            <v>CSS</v>
          </cell>
          <cell r="B5972" t="str">
            <v>X7C-880-6D</v>
          </cell>
          <cell r="O5972">
            <v>10.11043192</v>
          </cell>
          <cell r="T5972">
            <v>5.6774190349999989</v>
          </cell>
        </row>
        <row r="5973">
          <cell r="A5973" t="str">
            <v>CSS</v>
          </cell>
          <cell r="B5973" t="str">
            <v>X7C-880-V</v>
          </cell>
          <cell r="O5973">
            <v>10.11043192</v>
          </cell>
          <cell r="T5973">
            <v>5.6774190349999989</v>
          </cell>
        </row>
        <row r="5974">
          <cell r="A5974" t="str">
            <v>CSS</v>
          </cell>
          <cell r="B5974" t="str">
            <v>X7C-880-VR0</v>
          </cell>
          <cell r="O5974">
            <v>10.11043192</v>
          </cell>
          <cell r="T5974">
            <v>5.6774190349999989</v>
          </cell>
        </row>
        <row r="5975">
          <cell r="A5975" t="str">
            <v>CSS</v>
          </cell>
          <cell r="B5975" t="str">
            <v>X7C-FRO-433</v>
          </cell>
          <cell r="O5975"/>
          <cell r="T5975"/>
        </row>
        <row r="5976">
          <cell r="A5976" t="str">
            <v>CSS</v>
          </cell>
          <cell r="B5976" t="str">
            <v>X7C-FRO-433-0</v>
          </cell>
          <cell r="O5976"/>
          <cell r="T5976"/>
        </row>
        <row r="5977">
          <cell r="A5977" t="str">
            <v>CSS</v>
          </cell>
          <cell r="B5977" t="str">
            <v>X7C-FRO-433-4</v>
          </cell>
          <cell r="O5977"/>
          <cell r="T5977"/>
        </row>
        <row r="5978">
          <cell r="A5978" t="str">
            <v>CSS</v>
          </cell>
          <cell r="B5978" t="str">
            <v>X7C-FRO-433-4I</v>
          </cell>
          <cell r="O5978"/>
          <cell r="T5978"/>
        </row>
        <row r="5979">
          <cell r="A5979" t="str">
            <v>CSS</v>
          </cell>
          <cell r="B5979" t="str">
            <v>X7C-FRO-440</v>
          </cell>
          <cell r="O5979">
            <v>8.4730131172839513</v>
          </cell>
          <cell r="T5979">
            <v>2.4655632581768301</v>
          </cell>
        </row>
        <row r="5980">
          <cell r="A5980" t="str">
            <v>CSS</v>
          </cell>
          <cell r="B5980" t="str">
            <v>X7C-FRO-440-0</v>
          </cell>
          <cell r="O5980">
            <v>8.4730131172839513</v>
          </cell>
          <cell r="T5980">
            <v>2.4655632581768301</v>
          </cell>
        </row>
        <row r="5981">
          <cell r="A5981" t="str">
            <v>CSS</v>
          </cell>
          <cell r="B5981" t="str">
            <v>X7C-FRO-440-2</v>
          </cell>
          <cell r="O5981">
            <v>8.4730131172839513</v>
          </cell>
          <cell r="T5981">
            <v>2.4655632581768301</v>
          </cell>
        </row>
        <row r="5982">
          <cell r="A5982" t="str">
            <v>CSS</v>
          </cell>
          <cell r="B5982" t="str">
            <v>X7C-FRO-440-4</v>
          </cell>
          <cell r="O5982">
            <v>8.4730131172839513</v>
          </cell>
          <cell r="T5982">
            <v>2.4655632581768301</v>
          </cell>
        </row>
        <row r="5983">
          <cell r="A5983" t="str">
            <v>CSS</v>
          </cell>
          <cell r="B5983" t="str">
            <v>X7C-FRO-440-6</v>
          </cell>
          <cell r="O5983">
            <v>8.4730131172839513</v>
          </cell>
          <cell r="T5983">
            <v>2.4655632581768301</v>
          </cell>
        </row>
        <row r="5984">
          <cell r="A5984" t="str">
            <v>CSS</v>
          </cell>
          <cell r="B5984" t="str">
            <v>X7C-FRO-440-VR0</v>
          </cell>
          <cell r="O5984">
            <v>8.4730131172839513</v>
          </cell>
          <cell r="T5984">
            <v>2.4655632581768301</v>
          </cell>
        </row>
        <row r="5985">
          <cell r="A5985" t="str">
            <v>CSS</v>
          </cell>
          <cell r="B5985" t="str">
            <v>X7C-FRO-440-VR4</v>
          </cell>
          <cell r="O5985">
            <v>8.4730131172839513</v>
          </cell>
          <cell r="T5985">
            <v>2.4655632581768301</v>
          </cell>
        </row>
        <row r="5986">
          <cell r="A5986" t="str">
            <v>CSS</v>
          </cell>
          <cell r="B5986" t="str">
            <v>X7C-FRO-460</v>
          </cell>
          <cell r="O5986">
            <v>6.5556658739999989</v>
          </cell>
          <cell r="T5986">
            <v>3.6084643769999998</v>
          </cell>
        </row>
        <row r="5987">
          <cell r="A5987" t="str">
            <v>CSS</v>
          </cell>
          <cell r="B5987" t="str">
            <v>X7C-FRO-460-0</v>
          </cell>
          <cell r="O5987">
            <v>6.5556658739999989</v>
          </cell>
          <cell r="T5987">
            <v>3.6084643769999998</v>
          </cell>
        </row>
        <row r="5988">
          <cell r="A5988" t="str">
            <v>CSS</v>
          </cell>
          <cell r="B5988" t="str">
            <v>X7C-FRO-460-2</v>
          </cell>
          <cell r="O5988">
            <v>6.5556658739999989</v>
          </cell>
          <cell r="T5988">
            <v>3.6084643769999998</v>
          </cell>
        </row>
        <row r="5989">
          <cell r="A5989" t="str">
            <v>CSS</v>
          </cell>
          <cell r="B5989" t="str">
            <v>X7C-FRO-460-4</v>
          </cell>
          <cell r="O5989">
            <v>6.177792245</v>
          </cell>
          <cell r="T5989">
            <v>2.9613422949999997</v>
          </cell>
        </row>
        <row r="5990">
          <cell r="A5990" t="str">
            <v>CSS</v>
          </cell>
          <cell r="B5990" t="str">
            <v>X7C-FRO-460-6</v>
          </cell>
          <cell r="O5990">
            <v>6.177792245</v>
          </cell>
          <cell r="T5990">
            <v>2.9613422949999997</v>
          </cell>
        </row>
        <row r="5991">
          <cell r="A5991" t="str">
            <v>CSS</v>
          </cell>
          <cell r="B5991" t="str">
            <v>X7C-FRO-460-VR0</v>
          </cell>
          <cell r="O5991">
            <v>6.5556658739999989</v>
          </cell>
          <cell r="T5991">
            <v>3.6084643769999998</v>
          </cell>
        </row>
        <row r="5992">
          <cell r="A5992" t="str">
            <v>CSS</v>
          </cell>
          <cell r="B5992" t="str">
            <v>X7C-FRO-630-V</v>
          </cell>
          <cell r="O5992"/>
          <cell r="T5992"/>
        </row>
        <row r="5993">
          <cell r="A5993" t="str">
            <v>CSS</v>
          </cell>
          <cell r="B5993" t="str">
            <v>X7C-FRO-640</v>
          </cell>
          <cell r="O5993">
            <v>12.785325038580201</v>
          </cell>
          <cell r="T5993">
            <v>4.7996712862594499</v>
          </cell>
        </row>
        <row r="5994">
          <cell r="A5994" t="str">
            <v>CSS</v>
          </cell>
          <cell r="B5994" t="str">
            <v>X7C-FRO-640-0</v>
          </cell>
          <cell r="O5994">
            <v>12.68039641</v>
          </cell>
          <cell r="T5994">
            <v>5.9759793619999995</v>
          </cell>
        </row>
        <row r="5995">
          <cell r="A5995" t="str">
            <v>CSS</v>
          </cell>
          <cell r="B5995" t="str">
            <v>X7C-FRO-640-2</v>
          </cell>
          <cell r="O5995">
            <v>12.68039641</v>
          </cell>
          <cell r="T5995">
            <v>5.9759793619999995</v>
          </cell>
        </row>
        <row r="5996">
          <cell r="A5996" t="str">
            <v>CSS</v>
          </cell>
          <cell r="B5996" t="str">
            <v>X7C-FRO-640-2I</v>
          </cell>
          <cell r="O5996"/>
          <cell r="T5996"/>
        </row>
        <row r="5997">
          <cell r="A5997" t="str">
            <v>CSS</v>
          </cell>
          <cell r="B5997" t="str">
            <v>X7C-FRO-640-4</v>
          </cell>
          <cell r="O5997">
            <v>12.68039641</v>
          </cell>
          <cell r="T5997">
            <v>5.9759793619999995</v>
          </cell>
        </row>
        <row r="5998">
          <cell r="A5998" t="str">
            <v>CSS</v>
          </cell>
          <cell r="B5998" t="str">
            <v>X7C-FRO-640-6</v>
          </cell>
          <cell r="O5998">
            <v>12.68039641</v>
          </cell>
          <cell r="T5998">
            <v>5.9759793619999995</v>
          </cell>
        </row>
        <row r="5999">
          <cell r="A5999" t="str">
            <v>CSS</v>
          </cell>
          <cell r="B5999" t="str">
            <v>X7C-FRO-640-V</v>
          </cell>
          <cell r="O5999">
            <v>12.396749610000001</v>
          </cell>
          <cell r="T5999">
            <v>6.0621000199999999</v>
          </cell>
        </row>
        <row r="6000">
          <cell r="A6000" t="str">
            <v>CSS</v>
          </cell>
          <cell r="B6000" t="str">
            <v>X7C-FRO-640-VR0</v>
          </cell>
          <cell r="O6000">
            <v>12.396749610000001</v>
          </cell>
          <cell r="T6000">
            <v>6.0621000199999999</v>
          </cell>
        </row>
        <row r="6001">
          <cell r="A6001" t="str">
            <v>CSS</v>
          </cell>
          <cell r="B6001" t="str">
            <v>X7C-FRO-640-VR4</v>
          </cell>
          <cell r="O6001">
            <v>12.396749610000001</v>
          </cell>
          <cell r="T6001">
            <v>6.0621000199999999</v>
          </cell>
        </row>
        <row r="6002">
          <cell r="A6002" t="str">
            <v>CSS</v>
          </cell>
          <cell r="B6002" t="str">
            <v>X7C-FRO-660</v>
          </cell>
          <cell r="O6002">
            <v>8.8881655089999985</v>
          </cell>
          <cell r="T6002">
            <v>4.9411464779999994</v>
          </cell>
        </row>
        <row r="6003">
          <cell r="A6003" t="str">
            <v>CSS</v>
          </cell>
          <cell r="B6003" t="str">
            <v>X7C-FRO-660-0</v>
          </cell>
          <cell r="O6003">
            <v>8.8881655089999985</v>
          </cell>
          <cell r="T6003">
            <v>4.9411464779999994</v>
          </cell>
        </row>
        <row r="6004">
          <cell r="A6004" t="str">
            <v>CSS</v>
          </cell>
          <cell r="B6004" t="str">
            <v>X7C-FRO-660-2</v>
          </cell>
          <cell r="O6004">
            <v>8.8881655089999985</v>
          </cell>
          <cell r="T6004">
            <v>4.9411464779999994</v>
          </cell>
        </row>
        <row r="6005">
          <cell r="A6005" t="str">
            <v>CSS</v>
          </cell>
          <cell r="B6005" t="str">
            <v>X7C-FRO-660-4</v>
          </cell>
          <cell r="O6005">
            <v>8.8881655089999985</v>
          </cell>
          <cell r="T6005">
            <v>4.9411464779999994</v>
          </cell>
        </row>
        <row r="6006">
          <cell r="A6006" t="str">
            <v>CSS</v>
          </cell>
          <cell r="B6006" t="str">
            <v>X7C-FRO-660-4I</v>
          </cell>
          <cell r="O6006">
            <v>8.8881655089999985</v>
          </cell>
          <cell r="T6006">
            <v>4.9411464779999994</v>
          </cell>
        </row>
        <row r="6007">
          <cell r="A6007" t="str">
            <v>CSS</v>
          </cell>
          <cell r="B6007" t="str">
            <v>X7C-FRO-660-4IP</v>
          </cell>
          <cell r="O6007">
            <v>8.8881655089999985</v>
          </cell>
          <cell r="T6007">
            <v>4.9411464779999994</v>
          </cell>
        </row>
        <row r="6008">
          <cell r="A6008" t="str">
            <v>CSS</v>
          </cell>
          <cell r="B6008" t="str">
            <v>X7C-FRO-660-6</v>
          </cell>
          <cell r="O6008">
            <v>8.8881655089999985</v>
          </cell>
          <cell r="T6008">
            <v>4.9411464779999994</v>
          </cell>
        </row>
        <row r="6009">
          <cell r="A6009" t="str">
            <v>CSS</v>
          </cell>
          <cell r="B6009" t="str">
            <v>X7C-FRO-660-6I</v>
          </cell>
          <cell r="O6009">
            <v>8.8881655089999985</v>
          </cell>
          <cell r="T6009">
            <v>4.9411464779999994</v>
          </cell>
        </row>
        <row r="6010">
          <cell r="A6010" t="str">
            <v>CSS</v>
          </cell>
          <cell r="B6010" t="str">
            <v>X7C-FRO-660-V</v>
          </cell>
          <cell r="O6010">
            <v>8.8881655089999985</v>
          </cell>
          <cell r="T6010">
            <v>4.9411464779999994</v>
          </cell>
        </row>
        <row r="6011">
          <cell r="A6011" t="str">
            <v>CSS</v>
          </cell>
          <cell r="B6011" t="str">
            <v>X7C-FRO-660-VR0</v>
          </cell>
          <cell r="O6011">
            <v>8.8881655089999985</v>
          </cell>
          <cell r="T6011">
            <v>4.9411464779999994</v>
          </cell>
        </row>
        <row r="6012">
          <cell r="A6012" t="str">
            <v>CSS</v>
          </cell>
          <cell r="B6012" t="str">
            <v>X7C-FRO-830-V</v>
          </cell>
          <cell r="O6012">
            <v>22.328061990255389</v>
          </cell>
          <cell r="T6012">
            <v>6.4732433392351796</v>
          </cell>
        </row>
        <row r="6013">
          <cell r="A6013" t="str">
            <v>CSS</v>
          </cell>
          <cell r="B6013" t="str">
            <v>X7C-FRO-840</v>
          </cell>
          <cell r="O6013">
            <v>16.503055310000001</v>
          </cell>
          <cell r="T6013">
            <v>7.9327075139999996</v>
          </cell>
        </row>
        <row r="6014">
          <cell r="A6014" t="str">
            <v>CSS</v>
          </cell>
          <cell r="B6014" t="str">
            <v>X7C-FRO-840-0</v>
          </cell>
          <cell r="O6014">
            <v>16.503055310000001</v>
          </cell>
          <cell r="T6014">
            <v>7.9327075139999996</v>
          </cell>
        </row>
        <row r="6015">
          <cell r="A6015" t="str">
            <v>CSS</v>
          </cell>
          <cell r="B6015" t="str">
            <v>X7C-FRO-840-0I</v>
          </cell>
          <cell r="O6015">
            <v>17.349295910493797</v>
          </cell>
          <cell r="T6015">
            <v>8.1991471896521606</v>
          </cell>
        </row>
        <row r="6016">
          <cell r="A6016" t="str">
            <v>CSS</v>
          </cell>
          <cell r="B6016" t="str">
            <v>X7C-FRO-840-2</v>
          </cell>
          <cell r="O6016">
            <v>17.349295910493797</v>
          </cell>
          <cell r="T6016">
            <v>8.1991471896521606</v>
          </cell>
        </row>
        <row r="6017">
          <cell r="A6017" t="str">
            <v>CSS</v>
          </cell>
          <cell r="B6017" t="str">
            <v>X7C-FRO-840-4</v>
          </cell>
          <cell r="O6017">
            <v>17.349295910493797</v>
          </cell>
          <cell r="T6017">
            <v>8.1991471896521606</v>
          </cell>
        </row>
        <row r="6018">
          <cell r="A6018" t="str">
            <v>CSS</v>
          </cell>
          <cell r="B6018" t="str">
            <v>X7C-FRO-840-4IP</v>
          </cell>
          <cell r="O6018">
            <v>17.349295910493797</v>
          </cell>
          <cell r="T6018">
            <v>8.1991471896521606</v>
          </cell>
        </row>
        <row r="6019">
          <cell r="A6019" t="str">
            <v>CSS</v>
          </cell>
          <cell r="B6019" t="str">
            <v>X7C-FRO-840-6</v>
          </cell>
          <cell r="O6019">
            <v>17.349295910493797</v>
          </cell>
          <cell r="T6019">
            <v>8.1991471896521606</v>
          </cell>
        </row>
        <row r="6020">
          <cell r="A6020" t="str">
            <v>CSS</v>
          </cell>
          <cell r="B6020" t="str">
            <v>X7C-FRO-840-6IP</v>
          </cell>
          <cell r="O6020">
            <v>17.349295910493797</v>
          </cell>
          <cell r="T6020">
            <v>8.1991471896521606</v>
          </cell>
        </row>
        <row r="6021">
          <cell r="A6021" t="str">
            <v>CSS</v>
          </cell>
          <cell r="B6021" t="str">
            <v>X7C-FRO-840-V</v>
          </cell>
          <cell r="O6021">
            <v>16.503055310000001</v>
          </cell>
          <cell r="T6021">
            <v>7.9327075139999996</v>
          </cell>
        </row>
        <row r="6022">
          <cell r="A6022" t="str">
            <v>CSS</v>
          </cell>
          <cell r="B6022" t="str">
            <v>X7C-FRO-840-VR0</v>
          </cell>
          <cell r="O6022">
            <v>16.503055310000001</v>
          </cell>
          <cell r="T6022">
            <v>7.9327075139999996</v>
          </cell>
        </row>
        <row r="6023">
          <cell r="A6023" t="str">
            <v>CSS</v>
          </cell>
          <cell r="B6023" t="str">
            <v>X7C-FRO-840-VR4</v>
          </cell>
          <cell r="O6023">
            <v>16.503055310000001</v>
          </cell>
          <cell r="T6023">
            <v>7.9327075139999996</v>
          </cell>
        </row>
        <row r="6024">
          <cell r="A6024" t="str">
            <v>CSS</v>
          </cell>
          <cell r="B6024" t="str">
            <v>X7C-FRO-860</v>
          </cell>
          <cell r="O6024">
            <v>12.05457522999999</v>
          </cell>
          <cell r="T6024">
            <v>6.708743052</v>
          </cell>
        </row>
        <row r="6025">
          <cell r="A6025" t="str">
            <v>CSS</v>
          </cell>
          <cell r="B6025" t="str">
            <v>X7C-FRO-860-0</v>
          </cell>
          <cell r="O6025">
            <v>12.05457522999999</v>
          </cell>
          <cell r="T6025">
            <v>6.708743052</v>
          </cell>
        </row>
        <row r="6026">
          <cell r="A6026" t="str">
            <v>CSS</v>
          </cell>
          <cell r="B6026" t="str">
            <v>X7C-FRO-860-2</v>
          </cell>
          <cell r="O6026">
            <v>12.05457522999999</v>
          </cell>
          <cell r="T6026">
            <v>6.708743052</v>
          </cell>
        </row>
        <row r="6027">
          <cell r="A6027" t="str">
            <v>CSS</v>
          </cell>
          <cell r="B6027" t="str">
            <v>X7C-FRO-860-2I</v>
          </cell>
          <cell r="O6027">
            <v>12.05457522999999</v>
          </cell>
          <cell r="T6027">
            <v>6.708743052</v>
          </cell>
        </row>
        <row r="6028">
          <cell r="A6028" t="str">
            <v>CSS</v>
          </cell>
          <cell r="B6028" t="str">
            <v>X7C-FRO-860-4</v>
          </cell>
          <cell r="O6028">
            <v>12.05457522999999</v>
          </cell>
          <cell r="T6028">
            <v>6.708743052</v>
          </cell>
        </row>
        <row r="6029">
          <cell r="A6029" t="str">
            <v>CSS</v>
          </cell>
          <cell r="B6029" t="str">
            <v>X7C-FRO-860-4IP</v>
          </cell>
          <cell r="O6029">
            <v>12.05457522999999</v>
          </cell>
          <cell r="T6029">
            <v>6.708743052</v>
          </cell>
        </row>
        <row r="6030">
          <cell r="A6030" t="str">
            <v>CSS</v>
          </cell>
          <cell r="B6030" t="str">
            <v>X7C-FRO-860-6</v>
          </cell>
          <cell r="O6030">
            <v>12.05457522999999</v>
          </cell>
          <cell r="T6030">
            <v>6.708743052</v>
          </cell>
        </row>
        <row r="6031">
          <cell r="A6031" t="str">
            <v>CSS</v>
          </cell>
          <cell r="B6031" t="str">
            <v>X7C-FRO-860-V</v>
          </cell>
          <cell r="O6031">
            <v>12.05457522999999</v>
          </cell>
          <cell r="T6031">
            <v>6.708743052</v>
          </cell>
        </row>
        <row r="6032">
          <cell r="A6032" t="str">
            <v>CSS</v>
          </cell>
          <cell r="B6032" t="str">
            <v>X7C-FRO-860-VR-L4</v>
          </cell>
          <cell r="O6032">
            <v>12.05457522999999</v>
          </cell>
          <cell r="T6032">
            <v>6.708743052</v>
          </cell>
        </row>
        <row r="6033">
          <cell r="A6033" t="str">
            <v>CSS</v>
          </cell>
          <cell r="B6033" t="str">
            <v>X7C-FRO-860-VR0</v>
          </cell>
          <cell r="O6033">
            <v>12.05457522999999</v>
          </cell>
          <cell r="T6033">
            <v>6.708743052</v>
          </cell>
        </row>
        <row r="6034">
          <cell r="A6034" t="str">
            <v>CSS</v>
          </cell>
          <cell r="B6034" t="str">
            <v>X7C-FRO-860-VR4</v>
          </cell>
          <cell r="O6034">
            <v>12.05457522999999</v>
          </cell>
          <cell r="T6034">
            <v>6.708743052</v>
          </cell>
        </row>
        <row r="6035">
          <cell r="A6035" t="str">
            <v>CSS</v>
          </cell>
          <cell r="B6035" t="str">
            <v>X7C-HB-611</v>
          </cell>
          <cell r="O6035"/>
          <cell r="T6035"/>
        </row>
        <row r="6036">
          <cell r="A6036" t="str">
            <v>CSS</v>
          </cell>
          <cell r="B6036" t="str">
            <v>X7C-MB-434</v>
          </cell>
          <cell r="O6036"/>
          <cell r="T6036"/>
        </row>
        <row r="6037">
          <cell r="A6037" t="str">
            <v>CSS</v>
          </cell>
          <cell r="B6037" t="str">
            <v>X7C-MB-434-2</v>
          </cell>
          <cell r="O6037">
            <v>11.1501671528061</v>
          </cell>
          <cell r="T6037">
            <v>3.2128110900834099</v>
          </cell>
        </row>
        <row r="6038">
          <cell r="A6038" t="str">
            <v>CSS</v>
          </cell>
          <cell r="B6038" t="str">
            <v>X7C-MB-434-2I</v>
          </cell>
          <cell r="O6038"/>
          <cell r="T6038"/>
        </row>
        <row r="6039">
          <cell r="A6039" t="str">
            <v>CSS</v>
          </cell>
          <cell r="B6039" t="str">
            <v>X7C-MB-434-6</v>
          </cell>
          <cell r="O6039">
            <v>11.1501671528061</v>
          </cell>
          <cell r="T6039">
            <v>3.2128110900834099</v>
          </cell>
        </row>
        <row r="6040">
          <cell r="A6040" t="str">
            <v>CSS</v>
          </cell>
          <cell r="B6040" t="str">
            <v>X7C-MB-634</v>
          </cell>
          <cell r="O6040"/>
          <cell r="T6040"/>
        </row>
        <row r="6041">
          <cell r="A6041" t="str">
            <v>CSS</v>
          </cell>
          <cell r="B6041" t="str">
            <v>X7C-TB-622</v>
          </cell>
          <cell r="O6041"/>
          <cell r="T6041"/>
        </row>
        <row r="6042">
          <cell r="A6042" t="str">
            <v>CSS</v>
          </cell>
          <cell r="B6042" t="str">
            <v>X7C6-FRO60-4</v>
          </cell>
          <cell r="O6042">
            <v>9.8586118175602113</v>
          </cell>
          <cell r="T6042">
            <v>4.8820576282207098</v>
          </cell>
        </row>
        <row r="6043">
          <cell r="A6043" t="str">
            <v>CSS</v>
          </cell>
          <cell r="B6043" t="str">
            <v>X7CAP-265-0</v>
          </cell>
          <cell r="O6043">
            <v>2.2158666090000003</v>
          </cell>
          <cell r="T6043">
            <v>1.233011898</v>
          </cell>
        </row>
        <row r="6044">
          <cell r="A6044" t="str">
            <v>CSS</v>
          </cell>
          <cell r="B6044" t="str">
            <v>X7CAP-465-00</v>
          </cell>
          <cell r="O6044">
            <v>5.0398259639999994</v>
          </cell>
          <cell r="T6044">
            <v>2.8222910539999999</v>
          </cell>
        </row>
        <row r="6045">
          <cell r="A6045" t="str">
            <v>CSS</v>
          </cell>
          <cell r="B6045" t="str">
            <v>X7CAP-465-00I</v>
          </cell>
          <cell r="O6045">
            <v>5.0398259639999994</v>
          </cell>
          <cell r="T6045">
            <v>2.8222910539999999</v>
          </cell>
        </row>
        <row r="6046">
          <cell r="A6046" t="str">
            <v>CSS</v>
          </cell>
          <cell r="B6046" t="str">
            <v>X7CAP-465-00I-BOT</v>
          </cell>
          <cell r="O6046">
            <v>5.0398259639999994</v>
          </cell>
          <cell r="T6046">
            <v>2.8222910539999999</v>
          </cell>
        </row>
        <row r="6047">
          <cell r="A6047" t="str">
            <v>CSS</v>
          </cell>
          <cell r="B6047" t="str">
            <v>X7CAP-465-20</v>
          </cell>
          <cell r="O6047">
            <v>5.0398259639999994</v>
          </cell>
          <cell r="T6047">
            <v>2.8222910539999999</v>
          </cell>
        </row>
        <row r="6048">
          <cell r="A6048" t="str">
            <v>CSS</v>
          </cell>
          <cell r="B6048" t="str">
            <v>X7CAP-465-20IP</v>
          </cell>
          <cell r="O6048">
            <v>5.0398259639999994</v>
          </cell>
          <cell r="T6048">
            <v>2.8222910539999999</v>
          </cell>
        </row>
        <row r="6049">
          <cell r="A6049" t="str">
            <v>CSS</v>
          </cell>
          <cell r="B6049" t="str">
            <v>X7CAP-465-22</v>
          </cell>
          <cell r="O6049">
            <v>5.0398259639999994</v>
          </cell>
          <cell r="T6049">
            <v>2.8222910539999999</v>
          </cell>
        </row>
        <row r="6050">
          <cell r="A6050" t="str">
            <v>CSS</v>
          </cell>
          <cell r="B6050" t="str">
            <v>X7CAP-465-22I</v>
          </cell>
          <cell r="O6050">
            <v>5.0398259639999994</v>
          </cell>
          <cell r="T6050">
            <v>2.8222910539999999</v>
          </cell>
        </row>
        <row r="6051">
          <cell r="A6051" t="str">
            <v>CSS</v>
          </cell>
          <cell r="B6051" t="str">
            <v>X7CAP-465-22IP</v>
          </cell>
          <cell r="O6051">
            <v>5.0398259639999994</v>
          </cell>
          <cell r="T6051">
            <v>2.8222910539999999</v>
          </cell>
        </row>
        <row r="6052">
          <cell r="A6052" t="str">
            <v>CSS</v>
          </cell>
          <cell r="B6052" t="str">
            <v>X7CAP-465-42</v>
          </cell>
          <cell r="O6052">
            <v>5.0398259639999994</v>
          </cell>
          <cell r="T6052">
            <v>2.8222910539999999</v>
          </cell>
        </row>
        <row r="6053">
          <cell r="A6053" t="str">
            <v>CSS</v>
          </cell>
          <cell r="B6053" t="str">
            <v>X7CAP-465-42-I</v>
          </cell>
          <cell r="O6053">
            <v>5.1701379239999996</v>
          </cell>
          <cell r="T6053">
            <v>2.8524687360000001</v>
          </cell>
        </row>
        <row r="6054">
          <cell r="A6054" t="str">
            <v>CSS</v>
          </cell>
          <cell r="B6054" t="str">
            <v>X7CAP-465-42IP</v>
          </cell>
          <cell r="O6054">
            <v>5.0398259639999994</v>
          </cell>
          <cell r="T6054">
            <v>2.8222910539999999</v>
          </cell>
        </row>
        <row r="6055">
          <cell r="A6055" t="str">
            <v>CSS</v>
          </cell>
          <cell r="B6055" t="str">
            <v>X7CAP-465-60</v>
          </cell>
          <cell r="O6055">
            <v>5.0398259639999994</v>
          </cell>
          <cell r="T6055">
            <v>2.8222910539999999</v>
          </cell>
        </row>
        <row r="6056">
          <cell r="A6056" t="str">
            <v>CSS</v>
          </cell>
          <cell r="B6056" t="str">
            <v>X7CAP-465-60I</v>
          </cell>
          <cell r="O6056">
            <v>5.1701379239999996</v>
          </cell>
          <cell r="T6056">
            <v>2.8524687360000001</v>
          </cell>
        </row>
        <row r="6057">
          <cell r="A6057" t="str">
            <v>CSS</v>
          </cell>
          <cell r="B6057" t="str">
            <v>X7CAP-465-60IP</v>
          </cell>
          <cell r="O6057">
            <v>5.0398259639999994</v>
          </cell>
          <cell r="T6057">
            <v>2.8222910539999999</v>
          </cell>
        </row>
        <row r="6058">
          <cell r="A6058" t="str">
            <v>CSS</v>
          </cell>
          <cell r="B6058" t="str">
            <v>X7CAP-465-62</v>
          </cell>
          <cell r="O6058">
            <v>5.0398259639999994</v>
          </cell>
          <cell r="T6058">
            <v>2.8222910539999999</v>
          </cell>
        </row>
        <row r="6059">
          <cell r="A6059" t="str">
            <v>CSS</v>
          </cell>
          <cell r="B6059" t="str">
            <v>X7CAP-465-62IP</v>
          </cell>
          <cell r="O6059">
            <v>5.0398259639999994</v>
          </cell>
          <cell r="T6059">
            <v>2.8222910539999999</v>
          </cell>
        </row>
        <row r="6060">
          <cell r="A6060" t="str">
            <v>CSS</v>
          </cell>
          <cell r="B6060" t="str">
            <v>X7CAP-465-80IP</v>
          </cell>
          <cell r="O6060">
            <v>5.0398259639999994</v>
          </cell>
          <cell r="T6060">
            <v>2.8222910539999999</v>
          </cell>
        </row>
        <row r="6061">
          <cell r="A6061" t="str">
            <v>CSS</v>
          </cell>
          <cell r="B6061" t="str">
            <v>X7CAP-465-V</v>
          </cell>
          <cell r="O6061">
            <v>5.0398259639999994</v>
          </cell>
          <cell r="T6061">
            <v>2.8222910539999999</v>
          </cell>
        </row>
        <row r="6062">
          <cell r="A6062" t="str">
            <v>CSS</v>
          </cell>
          <cell r="B6062" t="str">
            <v>X7CAP-465-VM0-42IP</v>
          </cell>
          <cell r="O6062">
            <v>5.0398259639999994</v>
          </cell>
          <cell r="T6062">
            <v>2.8222910539999999</v>
          </cell>
        </row>
        <row r="6063">
          <cell r="A6063" t="str">
            <v>CSS</v>
          </cell>
          <cell r="B6063" t="str">
            <v>X7CAP-465-VM0-62</v>
          </cell>
          <cell r="O6063">
            <v>5.0398259639999994</v>
          </cell>
          <cell r="T6063">
            <v>2.8222910539999999</v>
          </cell>
        </row>
        <row r="6064">
          <cell r="A6064" t="str">
            <v>CSS</v>
          </cell>
          <cell r="B6064" t="str">
            <v>X7CAP-465-VM0-62IP</v>
          </cell>
          <cell r="O6064">
            <v>5.0398259639999994</v>
          </cell>
          <cell r="T6064">
            <v>2.8222910539999999</v>
          </cell>
        </row>
        <row r="6065">
          <cell r="A6065" t="str">
            <v>CSS</v>
          </cell>
          <cell r="B6065" t="str">
            <v>X7CAP-465-VM0-84IP</v>
          </cell>
          <cell r="O6065">
            <v>5.0398259639999994</v>
          </cell>
          <cell r="T6065">
            <v>2.8222910539999999</v>
          </cell>
        </row>
        <row r="6066">
          <cell r="A6066" t="str">
            <v>CSS</v>
          </cell>
          <cell r="B6066" t="str">
            <v>X7CAP-465-VMO-42</v>
          </cell>
          <cell r="O6066"/>
          <cell r="T6066"/>
        </row>
        <row r="6067">
          <cell r="A6067" t="str">
            <v>CSS</v>
          </cell>
          <cell r="B6067" t="str">
            <v>X7CAP-480</v>
          </cell>
          <cell r="O6067">
            <v>7.5600898158336696</v>
          </cell>
          <cell r="T6067">
            <v>3.7325790099851299</v>
          </cell>
        </row>
        <row r="6068">
          <cell r="A6068" t="str">
            <v>CSS</v>
          </cell>
          <cell r="B6068" t="str">
            <v>X7CAP-480-00</v>
          </cell>
          <cell r="O6068">
            <v>7.5600898158336696</v>
          </cell>
          <cell r="T6068">
            <v>3.7325790099851299</v>
          </cell>
        </row>
        <row r="6069">
          <cell r="A6069" t="str">
            <v>CSS</v>
          </cell>
          <cell r="B6069" t="str">
            <v>X7CAP-480-00I</v>
          </cell>
          <cell r="O6069">
            <v>7.5600898159999996</v>
          </cell>
          <cell r="T6069">
            <v>3.7325790100000003</v>
          </cell>
        </row>
        <row r="6070">
          <cell r="A6070" t="str">
            <v>CSS</v>
          </cell>
          <cell r="B6070" t="str">
            <v>X7CAP-480-00IP</v>
          </cell>
          <cell r="O6070">
            <v>7.5600898159999996</v>
          </cell>
          <cell r="T6070">
            <v>3.7325790100000003</v>
          </cell>
        </row>
        <row r="6071">
          <cell r="A6071" t="str">
            <v>CSS</v>
          </cell>
          <cell r="B6071" t="str">
            <v>X7CAP-480-02I</v>
          </cell>
          <cell r="O6071">
            <v>7.5600898159999996</v>
          </cell>
          <cell r="T6071">
            <v>3.7325790100000003</v>
          </cell>
        </row>
        <row r="6072">
          <cell r="A6072" t="str">
            <v>CSS</v>
          </cell>
          <cell r="B6072" t="str">
            <v>X7CAP-480-04IP</v>
          </cell>
          <cell r="O6072">
            <v>7.5600898159999996</v>
          </cell>
          <cell r="T6072">
            <v>3.7325790100000003</v>
          </cell>
        </row>
        <row r="6073">
          <cell r="A6073" t="str">
            <v>CSS</v>
          </cell>
          <cell r="B6073" t="str">
            <v>X7CAP-480-20</v>
          </cell>
          <cell r="O6073">
            <v>7.5600898159999996</v>
          </cell>
          <cell r="T6073">
            <v>3.7325790100000003</v>
          </cell>
        </row>
        <row r="6074">
          <cell r="A6074" t="str">
            <v>CSS</v>
          </cell>
          <cell r="B6074" t="str">
            <v>X7CAP-480-22</v>
          </cell>
          <cell r="O6074">
            <v>7.5600898159999996</v>
          </cell>
          <cell r="T6074">
            <v>3.7325790100000003</v>
          </cell>
        </row>
        <row r="6075">
          <cell r="A6075" t="str">
            <v>CSS</v>
          </cell>
          <cell r="B6075" t="str">
            <v>X7CAP-480-22I</v>
          </cell>
          <cell r="O6075">
            <v>7.5600898159999996</v>
          </cell>
          <cell r="T6075">
            <v>3.7325790100000003</v>
          </cell>
        </row>
        <row r="6076">
          <cell r="A6076" t="str">
            <v>CSS</v>
          </cell>
          <cell r="B6076" t="str">
            <v>X7CAP-480-22IP</v>
          </cell>
          <cell r="O6076">
            <v>7.5600898159999996</v>
          </cell>
          <cell r="T6076">
            <v>3.7325790100000003</v>
          </cell>
        </row>
        <row r="6077">
          <cell r="A6077" t="str">
            <v>CSS</v>
          </cell>
          <cell r="B6077" t="str">
            <v>X7CAP-480-40IP</v>
          </cell>
          <cell r="O6077">
            <v>7.5600898159999996</v>
          </cell>
          <cell r="T6077">
            <v>3.7325790100000003</v>
          </cell>
        </row>
        <row r="6078">
          <cell r="A6078" t="str">
            <v>CSS</v>
          </cell>
          <cell r="B6078" t="str">
            <v>X7CAP-480-42</v>
          </cell>
          <cell r="O6078">
            <v>7.5600898159999996</v>
          </cell>
          <cell r="T6078">
            <v>3.7325790100000003</v>
          </cell>
        </row>
        <row r="6079">
          <cell r="A6079" t="str">
            <v>CSS</v>
          </cell>
          <cell r="B6079" t="str">
            <v>X7CAP-480-42I</v>
          </cell>
          <cell r="O6079">
            <v>7.5600898159999996</v>
          </cell>
          <cell r="T6079">
            <v>3.7325790100000003</v>
          </cell>
        </row>
        <row r="6080">
          <cell r="A6080" t="str">
            <v>CSS</v>
          </cell>
          <cell r="B6080" t="str">
            <v>X7CAP-480-42IP</v>
          </cell>
          <cell r="O6080">
            <v>7.5600898159999996</v>
          </cell>
          <cell r="T6080">
            <v>3.7325790100000003</v>
          </cell>
        </row>
        <row r="6081">
          <cell r="A6081" t="str">
            <v>CSS</v>
          </cell>
          <cell r="B6081" t="str">
            <v>X7CAP-480-62IP</v>
          </cell>
          <cell r="O6081">
            <v>7.5600898159999996</v>
          </cell>
          <cell r="T6081">
            <v>3.7325790100000003</v>
          </cell>
        </row>
        <row r="6082">
          <cell r="A6082" t="str">
            <v>CSS</v>
          </cell>
          <cell r="B6082" t="str">
            <v>X7CAP-480-V</v>
          </cell>
          <cell r="O6082">
            <v>7.5600898159999996</v>
          </cell>
          <cell r="T6082">
            <v>3.7325790100000003</v>
          </cell>
        </row>
        <row r="6083">
          <cell r="A6083" t="str">
            <v>CSS</v>
          </cell>
          <cell r="B6083" t="str">
            <v>X7CAP-480-VM0</v>
          </cell>
          <cell r="O6083">
            <v>7.5600898159999996</v>
          </cell>
          <cell r="T6083">
            <v>3.7325790100000003</v>
          </cell>
        </row>
        <row r="6084">
          <cell r="A6084" t="str">
            <v>CSS</v>
          </cell>
          <cell r="B6084" t="str">
            <v>X7CAP-480-VM0-42IP</v>
          </cell>
          <cell r="O6084">
            <v>7.5600898159999996</v>
          </cell>
          <cell r="T6084">
            <v>3.7325790100000003</v>
          </cell>
        </row>
        <row r="6085">
          <cell r="A6085" t="str">
            <v>CSS</v>
          </cell>
          <cell r="B6085" t="str">
            <v>X7CAP-480-VM0-62IP</v>
          </cell>
          <cell r="O6085">
            <v>7.5600898159999996</v>
          </cell>
          <cell r="T6085">
            <v>3.7325790100000003</v>
          </cell>
        </row>
        <row r="6086">
          <cell r="A6086" t="str">
            <v>CSS</v>
          </cell>
          <cell r="B6086" t="str">
            <v>X7CAP-480-VM0-82IP</v>
          </cell>
          <cell r="O6086">
            <v>7.5600898159999996</v>
          </cell>
          <cell r="T6086">
            <v>3.7325790100000003</v>
          </cell>
        </row>
        <row r="6087">
          <cell r="A6087" t="str">
            <v>CSS</v>
          </cell>
          <cell r="B6087" t="str">
            <v>X7CAP-480-VM0-IP</v>
          </cell>
          <cell r="O6087">
            <v>6.177792245</v>
          </cell>
          <cell r="T6087">
            <v>2.9613422949999997</v>
          </cell>
        </row>
        <row r="6088">
          <cell r="A6088" t="str">
            <v>CSS</v>
          </cell>
          <cell r="B6088" t="str">
            <v>X7CAP-480-VR0</v>
          </cell>
          <cell r="O6088">
            <v>6.5556658739999989</v>
          </cell>
          <cell r="T6088">
            <v>3.6084643769999998</v>
          </cell>
        </row>
        <row r="6089">
          <cell r="A6089" t="str">
            <v>CSS</v>
          </cell>
          <cell r="B6089" t="str">
            <v>X7CAP-480-VR0-IP</v>
          </cell>
          <cell r="O6089">
            <v>6.177792245</v>
          </cell>
          <cell r="T6089">
            <v>2.9613422949999997</v>
          </cell>
        </row>
        <row r="6090">
          <cell r="A6090" t="str">
            <v>CSS</v>
          </cell>
          <cell r="B6090" t="str">
            <v>X7CAP-665</v>
          </cell>
          <cell r="O6090">
            <v>7.474735817</v>
          </cell>
          <cell r="T6090">
            <v>4.1927423639999999</v>
          </cell>
        </row>
        <row r="6091">
          <cell r="A6091" t="str">
            <v>CSS</v>
          </cell>
          <cell r="B6091" t="str">
            <v>X7CAP-665-00I</v>
          </cell>
          <cell r="O6091">
            <v>7.474735817</v>
          </cell>
          <cell r="T6091">
            <v>4.1927423639999999</v>
          </cell>
        </row>
        <row r="6092">
          <cell r="A6092" t="str">
            <v>CSS</v>
          </cell>
          <cell r="B6092" t="str">
            <v>X7CAP-665-20I</v>
          </cell>
          <cell r="O6092">
            <v>7.474735817</v>
          </cell>
          <cell r="T6092">
            <v>4.1927423639999999</v>
          </cell>
        </row>
        <row r="6093">
          <cell r="A6093" t="str">
            <v>CSS</v>
          </cell>
          <cell r="B6093" t="str">
            <v>X7CAP-665-22</v>
          </cell>
          <cell r="O6093">
            <v>7.474735817</v>
          </cell>
          <cell r="T6093">
            <v>4.1927423639999999</v>
          </cell>
        </row>
        <row r="6094">
          <cell r="A6094" t="str">
            <v>CSS</v>
          </cell>
          <cell r="B6094" t="str">
            <v>X7CAP-665-22IP</v>
          </cell>
          <cell r="O6094">
            <v>7.474735817</v>
          </cell>
          <cell r="T6094">
            <v>4.1927423639999999</v>
          </cell>
        </row>
        <row r="6095">
          <cell r="A6095" t="str">
            <v>CSS</v>
          </cell>
          <cell r="B6095" t="str">
            <v>X7CAP-665-I</v>
          </cell>
          <cell r="O6095">
            <v>7.474735817</v>
          </cell>
          <cell r="T6095">
            <v>4.1927423639999999</v>
          </cell>
        </row>
        <row r="6096">
          <cell r="A6096" t="str">
            <v>CSS</v>
          </cell>
          <cell r="B6096" t="str">
            <v>X7CAP-665-V</v>
          </cell>
          <cell r="O6096">
            <v>7.474735817</v>
          </cell>
          <cell r="T6096">
            <v>4.1927423639999999</v>
          </cell>
        </row>
        <row r="6097">
          <cell r="A6097" t="str">
            <v>CSS</v>
          </cell>
          <cell r="B6097" t="str">
            <v>X7CAP-665-VM0-IP</v>
          </cell>
          <cell r="O6097">
            <v>7.474735817</v>
          </cell>
          <cell r="T6097">
            <v>4.1927423639999999</v>
          </cell>
        </row>
        <row r="6098">
          <cell r="A6098" t="str">
            <v>CSS</v>
          </cell>
          <cell r="B6098" t="str">
            <v>X7CAP-665-VM4</v>
          </cell>
          <cell r="O6098">
            <v>7.474735817</v>
          </cell>
          <cell r="T6098">
            <v>4.1927423639999999</v>
          </cell>
        </row>
        <row r="6099">
          <cell r="A6099" t="str">
            <v>CSS</v>
          </cell>
          <cell r="B6099" t="str">
            <v>X7CAP-665-VR0</v>
          </cell>
          <cell r="O6099">
            <v>7.474735817</v>
          </cell>
          <cell r="T6099">
            <v>4.1927423639999999</v>
          </cell>
        </row>
        <row r="6100">
          <cell r="A6100" t="str">
            <v>CSS</v>
          </cell>
          <cell r="B6100" t="str">
            <v>X7CAP-665-VR0-62</v>
          </cell>
          <cell r="O6100">
            <v>7.474735817</v>
          </cell>
          <cell r="T6100">
            <v>4.1927423639999999</v>
          </cell>
        </row>
        <row r="6101">
          <cell r="A6101" t="str">
            <v>CSS</v>
          </cell>
          <cell r="B6101" t="str">
            <v>X7CAP-665-VR0-I</v>
          </cell>
          <cell r="O6101">
            <v>7.474735817</v>
          </cell>
          <cell r="T6101">
            <v>4.1927423639999999</v>
          </cell>
        </row>
        <row r="6102">
          <cell r="A6102" t="str">
            <v>CSS</v>
          </cell>
          <cell r="B6102" t="str">
            <v>X7CAP-665-VR0-IP</v>
          </cell>
          <cell r="O6102">
            <v>7.474735817</v>
          </cell>
          <cell r="T6102">
            <v>4.1927423639999999</v>
          </cell>
        </row>
        <row r="6103">
          <cell r="A6103" t="str">
            <v>CSS</v>
          </cell>
          <cell r="B6103" t="str">
            <v>X7CAP-665-VR4</v>
          </cell>
          <cell r="O6103">
            <v>7.474735817</v>
          </cell>
          <cell r="T6103">
            <v>4.1927423639999999</v>
          </cell>
        </row>
        <row r="6104">
          <cell r="A6104" t="str">
            <v>CSS</v>
          </cell>
          <cell r="B6104" t="str">
            <v>X7CAP-665-XYIP</v>
          </cell>
          <cell r="O6104">
            <v>7.474735817</v>
          </cell>
          <cell r="T6104">
            <v>4.1927423639999999</v>
          </cell>
        </row>
        <row r="6105">
          <cell r="A6105" t="str">
            <v>CSS</v>
          </cell>
          <cell r="B6105" t="str">
            <v>X7CAP-680</v>
          </cell>
          <cell r="O6105">
            <v>9.5169744010315789</v>
          </cell>
          <cell r="T6105">
            <v>4.7113767549263592</v>
          </cell>
        </row>
        <row r="6106">
          <cell r="A6106" t="str">
            <v>CSS</v>
          </cell>
          <cell r="B6106" t="str">
            <v>X7CAP-680-22I</v>
          </cell>
          <cell r="O6106">
            <v>9.5169744010315789</v>
          </cell>
          <cell r="T6106">
            <v>4.7113767549263592</v>
          </cell>
        </row>
        <row r="6107">
          <cell r="A6107" t="str">
            <v>CSS</v>
          </cell>
          <cell r="B6107" t="str">
            <v>X7CAP-680-22IP</v>
          </cell>
          <cell r="O6107">
            <v>9.5169744010315789</v>
          </cell>
          <cell r="T6107">
            <v>4.7113767549263592</v>
          </cell>
        </row>
        <row r="6108">
          <cell r="A6108" t="str">
            <v>CSS</v>
          </cell>
          <cell r="B6108" t="str">
            <v>X7CAP-680-42</v>
          </cell>
          <cell r="O6108">
            <v>8.7524691360000002</v>
          </cell>
          <cell r="T6108">
            <v>4.8664027020000002</v>
          </cell>
        </row>
        <row r="6109">
          <cell r="A6109" t="str">
            <v>CSS</v>
          </cell>
          <cell r="B6109" t="str">
            <v>X7CAP-680-42IP</v>
          </cell>
          <cell r="O6109">
            <v>8.8881655089999985</v>
          </cell>
          <cell r="T6109">
            <v>4.9411464779999994</v>
          </cell>
        </row>
        <row r="6110">
          <cell r="A6110" t="str">
            <v>CSS</v>
          </cell>
          <cell r="B6110" t="str">
            <v>X7CAP-680-62</v>
          </cell>
          <cell r="O6110">
            <v>8.7524691360000002</v>
          </cell>
          <cell r="T6110">
            <v>4.8664027020000002</v>
          </cell>
        </row>
        <row r="6111">
          <cell r="A6111" t="str">
            <v>CSS</v>
          </cell>
          <cell r="B6111" t="str">
            <v>X7CAP-680-62IP</v>
          </cell>
          <cell r="O6111">
            <v>8.8881655089999985</v>
          </cell>
          <cell r="T6111">
            <v>4.9411464779999994</v>
          </cell>
        </row>
        <row r="6112">
          <cell r="A6112" t="str">
            <v>CSS</v>
          </cell>
          <cell r="B6112" t="str">
            <v>X7CAP-680-I</v>
          </cell>
          <cell r="O6112">
            <v>8.8881655089999985</v>
          </cell>
          <cell r="T6112">
            <v>4.9411464779999994</v>
          </cell>
        </row>
        <row r="6113">
          <cell r="A6113" t="str">
            <v>CSS</v>
          </cell>
          <cell r="B6113" t="str">
            <v>X7CAP-680-V</v>
          </cell>
          <cell r="O6113">
            <v>8.8881655089999985</v>
          </cell>
          <cell r="T6113">
            <v>4.9411464779999994</v>
          </cell>
        </row>
        <row r="6114">
          <cell r="A6114" t="str">
            <v>CSS</v>
          </cell>
          <cell r="B6114" t="str">
            <v>X7CAP-680-VM0</v>
          </cell>
          <cell r="O6114">
            <v>8.8881655089999985</v>
          </cell>
          <cell r="T6114">
            <v>4.9411464779999994</v>
          </cell>
        </row>
        <row r="6115">
          <cell r="A6115" t="str">
            <v>CSS</v>
          </cell>
          <cell r="B6115" t="str">
            <v>X7CAP-680-VM4</v>
          </cell>
          <cell r="O6115"/>
          <cell r="T6115"/>
        </row>
        <row r="6116">
          <cell r="A6116" t="str">
            <v>CSS</v>
          </cell>
          <cell r="B6116" t="str">
            <v>X7CAP-680-VR0</v>
          </cell>
          <cell r="O6116">
            <v>8.8881655089999985</v>
          </cell>
          <cell r="T6116">
            <v>4.9411464779999994</v>
          </cell>
        </row>
        <row r="6117">
          <cell r="A6117" t="str">
            <v>CSS</v>
          </cell>
          <cell r="B6117" t="str">
            <v>X7CAP-680-VR0-62</v>
          </cell>
          <cell r="O6117">
            <v>8.7524691360000002</v>
          </cell>
          <cell r="T6117">
            <v>4.8664027020000002</v>
          </cell>
        </row>
        <row r="6118">
          <cell r="A6118" t="str">
            <v>CSS</v>
          </cell>
          <cell r="B6118" t="str">
            <v>X7CAP-680-VR0I</v>
          </cell>
          <cell r="O6118">
            <v>8.7524691360000002</v>
          </cell>
          <cell r="T6118">
            <v>4.8664027020000002</v>
          </cell>
        </row>
        <row r="6119">
          <cell r="A6119" t="str">
            <v>CSS</v>
          </cell>
          <cell r="B6119" t="str">
            <v>X7CAP-680-VR4</v>
          </cell>
          <cell r="O6119">
            <v>8.7524691360000002</v>
          </cell>
          <cell r="T6119">
            <v>4.8664027020000002</v>
          </cell>
        </row>
        <row r="6120">
          <cell r="A6120" t="str">
            <v>CSS</v>
          </cell>
          <cell r="B6120" t="str">
            <v>X7CAP-86-865-V</v>
          </cell>
          <cell r="O6120">
            <v>10.11043192</v>
          </cell>
          <cell r="T6120">
            <v>5.6774190349999989</v>
          </cell>
        </row>
        <row r="6121">
          <cell r="A6121" t="str">
            <v>CSS</v>
          </cell>
          <cell r="B6121" t="str">
            <v>X7CAP-86-865-VR4</v>
          </cell>
          <cell r="O6121">
            <v>10.11043192</v>
          </cell>
          <cell r="T6121">
            <v>5.6774190349999989</v>
          </cell>
        </row>
        <row r="6122">
          <cell r="A6122" t="str">
            <v>CSS</v>
          </cell>
          <cell r="B6122" t="str">
            <v>X7CAP-86-880-VM0</v>
          </cell>
          <cell r="O6122">
            <v>10.90117188</v>
          </cell>
          <cell r="T6122">
            <v>6.6566602139999995</v>
          </cell>
        </row>
        <row r="6123">
          <cell r="A6123" t="str">
            <v>CSS</v>
          </cell>
          <cell r="B6123" t="str">
            <v>X7CAP-86-880-VR0</v>
          </cell>
          <cell r="O6123">
            <v>10.90117188</v>
          </cell>
          <cell r="T6123">
            <v>6.6566602139999995</v>
          </cell>
        </row>
        <row r="6124">
          <cell r="A6124" t="str">
            <v>CSS</v>
          </cell>
          <cell r="B6124" t="str">
            <v>X7CAP-865</v>
          </cell>
          <cell r="O6124">
            <v>10.11043192</v>
          </cell>
          <cell r="T6124">
            <v>5.6774190349999989</v>
          </cell>
        </row>
        <row r="6125">
          <cell r="A6125" t="str">
            <v>CSS</v>
          </cell>
          <cell r="B6125" t="str">
            <v>X7CAP-865-0</v>
          </cell>
          <cell r="O6125">
            <v>10.11043192</v>
          </cell>
          <cell r="T6125">
            <v>5.6774190349999989</v>
          </cell>
        </row>
        <row r="6126">
          <cell r="A6126" t="str">
            <v>CSS</v>
          </cell>
          <cell r="B6126" t="str">
            <v>X7CAP-865-00I</v>
          </cell>
          <cell r="O6126">
            <v>10.11043192</v>
          </cell>
          <cell r="T6126">
            <v>5.6774190349999989</v>
          </cell>
        </row>
        <row r="6127">
          <cell r="A6127" t="str">
            <v>CSS</v>
          </cell>
          <cell r="B6127" t="str">
            <v>X7CAP-865-20</v>
          </cell>
          <cell r="O6127">
            <v>10.11043192</v>
          </cell>
          <cell r="T6127">
            <v>5.6774190349999989</v>
          </cell>
        </row>
        <row r="6128">
          <cell r="A6128" t="str">
            <v>CSS</v>
          </cell>
          <cell r="B6128" t="str">
            <v>X7CAP-865-20I</v>
          </cell>
          <cell r="O6128">
            <v>10.11043192</v>
          </cell>
          <cell r="T6128">
            <v>5.6774190349999989</v>
          </cell>
        </row>
        <row r="6129">
          <cell r="A6129" t="str">
            <v>CSS</v>
          </cell>
          <cell r="B6129" t="str">
            <v>X7CAP-865-20I-BOT</v>
          </cell>
          <cell r="O6129">
            <v>10.11043192</v>
          </cell>
          <cell r="T6129">
            <v>5.6774190349999989</v>
          </cell>
        </row>
        <row r="6130">
          <cell r="A6130" t="str">
            <v>CSS</v>
          </cell>
          <cell r="B6130" t="str">
            <v>X7CAP-865-22</v>
          </cell>
          <cell r="O6130">
            <v>10.11043192</v>
          </cell>
          <cell r="T6130">
            <v>5.6774190349999989</v>
          </cell>
        </row>
        <row r="6131">
          <cell r="A6131" t="str">
            <v>CSS</v>
          </cell>
          <cell r="B6131" t="str">
            <v>X7CAP-865-42</v>
          </cell>
          <cell r="O6131">
            <v>10.11043192</v>
          </cell>
          <cell r="T6131">
            <v>5.6774190349999989</v>
          </cell>
        </row>
        <row r="6132">
          <cell r="A6132" t="str">
            <v>CSS</v>
          </cell>
          <cell r="B6132" t="str">
            <v>X7CAP-865-42I</v>
          </cell>
          <cell r="O6132">
            <v>10.11043192</v>
          </cell>
          <cell r="T6132">
            <v>5.6774190349999989</v>
          </cell>
        </row>
        <row r="6133">
          <cell r="A6133" t="str">
            <v>CSS</v>
          </cell>
          <cell r="B6133" t="str">
            <v>X7CAP-865-44</v>
          </cell>
          <cell r="O6133">
            <v>10.11043192</v>
          </cell>
          <cell r="T6133">
            <v>5.6774190349999989</v>
          </cell>
        </row>
        <row r="6134">
          <cell r="A6134" t="str">
            <v>CSS</v>
          </cell>
          <cell r="B6134" t="str">
            <v>X7CAP-865-44I</v>
          </cell>
          <cell r="O6134">
            <v>10.11043192</v>
          </cell>
          <cell r="T6134">
            <v>5.6774190349999989</v>
          </cell>
        </row>
        <row r="6135">
          <cell r="A6135" t="str">
            <v>CSS</v>
          </cell>
          <cell r="B6135" t="str">
            <v>X7CAP-880</v>
          </cell>
          <cell r="O6135">
            <v>10.90117188</v>
          </cell>
          <cell r="T6135">
            <v>6.6566602139999995</v>
          </cell>
        </row>
        <row r="6136">
          <cell r="A6136" t="str">
            <v>CSS</v>
          </cell>
          <cell r="B6136" t="str">
            <v>X7CAP-880-0</v>
          </cell>
          <cell r="O6136">
            <v>10.90117188</v>
          </cell>
          <cell r="T6136">
            <v>6.6566602139999995</v>
          </cell>
        </row>
        <row r="6137">
          <cell r="A6137" t="str">
            <v>CSS</v>
          </cell>
          <cell r="B6137" t="str">
            <v>X7CAP-880-20I</v>
          </cell>
          <cell r="O6137">
            <v>10.90117188</v>
          </cell>
          <cell r="T6137">
            <v>6.6566602139999995</v>
          </cell>
        </row>
        <row r="6138">
          <cell r="A6138" t="str">
            <v>CSS</v>
          </cell>
          <cell r="B6138" t="str">
            <v>X7CAP-880-20I-BOT</v>
          </cell>
          <cell r="O6138">
            <v>10.90117188</v>
          </cell>
          <cell r="T6138">
            <v>6.6566602139999995</v>
          </cell>
        </row>
        <row r="6139">
          <cell r="A6139" t="str">
            <v>CSS</v>
          </cell>
          <cell r="B6139" t="str">
            <v>X7CAP-880-22I-BOT</v>
          </cell>
          <cell r="O6139">
            <v>10.90117188</v>
          </cell>
          <cell r="T6139">
            <v>6.6566602139999995</v>
          </cell>
        </row>
        <row r="6140">
          <cell r="A6140" t="str">
            <v>CSS</v>
          </cell>
          <cell r="B6140" t="str">
            <v>X7CAP-FRO-124</v>
          </cell>
          <cell r="O6140"/>
          <cell r="T6140"/>
        </row>
        <row r="6141">
          <cell r="A6141" t="str">
            <v>CSS</v>
          </cell>
          <cell r="B6141" t="str">
            <v>X7CAP-FRO-440</v>
          </cell>
          <cell r="O6141">
            <v>11.1501671528061</v>
          </cell>
          <cell r="T6141">
            <v>3.2128110900834099</v>
          </cell>
        </row>
        <row r="6142">
          <cell r="A6142" t="str">
            <v>CSS</v>
          </cell>
          <cell r="B6142" t="str">
            <v>X7CAP-FRO-440-22IP</v>
          </cell>
          <cell r="O6142">
            <v>11.1501671528061</v>
          </cell>
          <cell r="T6142">
            <v>3.2128110900834099</v>
          </cell>
        </row>
        <row r="6143">
          <cell r="A6143" t="str">
            <v>CSS</v>
          </cell>
          <cell r="B6143" t="str">
            <v>X7CAP-FRO-440-60</v>
          </cell>
          <cell r="O6143">
            <v>11.1501671528061</v>
          </cell>
          <cell r="T6143">
            <v>3.2128110900834099</v>
          </cell>
        </row>
        <row r="6144">
          <cell r="A6144" t="str">
            <v>CSS</v>
          </cell>
          <cell r="B6144" t="str">
            <v>X7CAP-FRO-440-62</v>
          </cell>
          <cell r="O6144">
            <v>11.1501671528061</v>
          </cell>
          <cell r="T6144">
            <v>3.2128110900834099</v>
          </cell>
        </row>
        <row r="6145">
          <cell r="A6145" t="str">
            <v>CSS</v>
          </cell>
          <cell r="B6145" t="str">
            <v>X7CAP-FRO-440-VR0</v>
          </cell>
          <cell r="O6145">
            <v>11.1501671528061</v>
          </cell>
          <cell r="T6145">
            <v>3.2128110900834099</v>
          </cell>
        </row>
        <row r="6146">
          <cell r="A6146" t="str">
            <v>CSS</v>
          </cell>
          <cell r="B6146" t="str">
            <v>X7CAP-FRO-640-VR0</v>
          </cell>
          <cell r="O6146">
            <v>16.569704861111088</v>
          </cell>
          <cell r="T6146">
            <v>4.7950467382747801</v>
          </cell>
        </row>
        <row r="6147">
          <cell r="A6147" t="str">
            <v>CSS</v>
          </cell>
          <cell r="B6147" t="str">
            <v>X7CAP-FRO-640-VR4</v>
          </cell>
          <cell r="O6147">
            <v>16.569704861111088</v>
          </cell>
          <cell r="T6147">
            <v>4.7950467382747801</v>
          </cell>
        </row>
        <row r="6148">
          <cell r="A6148" t="str">
            <v>CSS</v>
          </cell>
          <cell r="B6148" t="str">
            <v>X7CP-465-00</v>
          </cell>
          <cell r="O6148">
            <v>5.1701379239999996</v>
          </cell>
          <cell r="T6148">
            <v>2.8524687360000001</v>
          </cell>
        </row>
        <row r="6149">
          <cell r="A6149" t="str">
            <v>CSS</v>
          </cell>
          <cell r="B6149" t="str">
            <v>X7CP-665-00</v>
          </cell>
          <cell r="O6149">
            <v>7.4253564020000002</v>
          </cell>
          <cell r="T6149">
            <v>4.1043900749999995</v>
          </cell>
        </row>
        <row r="6150">
          <cell r="A6150" t="str">
            <v>CSS</v>
          </cell>
          <cell r="B6150" t="str">
            <v>X7CP-865-00</v>
          </cell>
          <cell r="O6150">
            <v>10.231442899999989</v>
          </cell>
          <cell r="T6150">
            <v>5.6608887179999998</v>
          </cell>
        </row>
        <row r="6151">
          <cell r="A6151" t="str">
            <v>CSS</v>
          </cell>
          <cell r="B6151" t="str">
            <v>X7CQAP-445-V</v>
          </cell>
          <cell r="O6151">
            <v>8.4730131172839513</v>
          </cell>
          <cell r="T6151">
            <v>2.4655632581768301</v>
          </cell>
        </row>
        <row r="6152">
          <cell r="A6152" t="str">
            <v>CSS</v>
          </cell>
          <cell r="B6152" t="str">
            <v>X7CQAP-445-VR0</v>
          </cell>
          <cell r="O6152">
            <v>8.4730131172839513</v>
          </cell>
          <cell r="T6152">
            <v>2.4655632581768301</v>
          </cell>
        </row>
        <row r="6153">
          <cell r="A6153" t="str">
            <v>CSS</v>
          </cell>
          <cell r="B6153" t="str">
            <v>X7CQAP-465-VR0</v>
          </cell>
          <cell r="O6153">
            <v>7.5600898159999996</v>
          </cell>
          <cell r="T6153">
            <v>3.7325790100000003</v>
          </cell>
        </row>
        <row r="6154">
          <cell r="A6154" t="str">
            <v>CSS</v>
          </cell>
          <cell r="B6154" t="str">
            <v>X7CQAP-633-VR0</v>
          </cell>
          <cell r="O6154">
            <v>8.7524691360000002</v>
          </cell>
          <cell r="T6154">
            <v>4.8664027020000002</v>
          </cell>
        </row>
        <row r="6155">
          <cell r="A6155" t="str">
            <v>CSS</v>
          </cell>
          <cell r="B6155" t="str">
            <v>X7CQAP-645-V</v>
          </cell>
          <cell r="O6155">
            <v>12.396749610000001</v>
          </cell>
          <cell r="T6155">
            <v>6.0621000199999999</v>
          </cell>
        </row>
        <row r="6156">
          <cell r="A6156" t="str">
            <v>CSS</v>
          </cell>
          <cell r="B6156" t="str">
            <v>X7CQAP-665-V</v>
          </cell>
          <cell r="O6156">
            <v>7.474735817</v>
          </cell>
          <cell r="T6156">
            <v>4.1927423639999999</v>
          </cell>
        </row>
        <row r="6157">
          <cell r="A6157" t="str">
            <v>CSS</v>
          </cell>
          <cell r="B6157" t="str">
            <v>X7CQAP-665-VR0</v>
          </cell>
          <cell r="O6157">
            <v>8.8881655089999985</v>
          </cell>
          <cell r="T6157">
            <v>4.9411464779999994</v>
          </cell>
        </row>
        <row r="6158">
          <cell r="A6158" t="str">
            <v>CSS</v>
          </cell>
          <cell r="B6158" t="str">
            <v>X7CQAP-86-845-VR0</v>
          </cell>
          <cell r="O6158">
            <v>12.170910789999999</v>
          </cell>
          <cell r="T6158">
            <v>6.045676714999999</v>
          </cell>
        </row>
        <row r="6159">
          <cell r="A6159" t="str">
            <v>CSS</v>
          </cell>
          <cell r="B6159" t="str">
            <v>X7CQAP-86-865-V</v>
          </cell>
          <cell r="O6159">
            <v>10.90117188</v>
          </cell>
          <cell r="T6159">
            <v>6.6566602139999995</v>
          </cell>
        </row>
        <row r="6160">
          <cell r="A6160" t="str">
            <v>CSS</v>
          </cell>
          <cell r="B6160" t="str">
            <v>X7CQAP-86-865-VRO</v>
          </cell>
          <cell r="O6160">
            <v>10.90117188</v>
          </cell>
          <cell r="T6160">
            <v>6.6566602139999995</v>
          </cell>
        </row>
        <row r="6161">
          <cell r="A6161" t="str">
            <v>CSS</v>
          </cell>
          <cell r="B6161" t="str">
            <v>XAP-460-VM</v>
          </cell>
          <cell r="O6161">
            <v>2.289560915</v>
          </cell>
          <cell r="T6161">
            <v>1.5161869619999999</v>
          </cell>
        </row>
        <row r="6162">
          <cell r="A6162" t="str">
            <v>CSS</v>
          </cell>
          <cell r="B6162" t="str">
            <v>XAP-460-VR0</v>
          </cell>
          <cell r="O6162">
            <v>2.289560915</v>
          </cell>
          <cell r="T6162">
            <v>1.5161869619999999</v>
          </cell>
        </row>
        <row r="6163">
          <cell r="A6163" t="str">
            <v>CSS</v>
          </cell>
          <cell r="B6163" t="str">
            <v>XAP-480-V</v>
          </cell>
          <cell r="O6163">
            <v>2.289560915</v>
          </cell>
          <cell r="T6163">
            <v>1.5161869619999999</v>
          </cell>
        </row>
        <row r="6164">
          <cell r="A6164" t="str">
            <v>CSS</v>
          </cell>
          <cell r="B6164" t="str">
            <v>XAP-645-VR0</v>
          </cell>
          <cell r="O6164">
            <v>7.474735817</v>
          </cell>
          <cell r="T6164">
            <v>4.1927423639999999</v>
          </cell>
        </row>
        <row r="6165">
          <cell r="A6165" t="str">
            <v>CSS</v>
          </cell>
          <cell r="B6165" t="str">
            <v>XAP-660-V</v>
          </cell>
          <cell r="O6165">
            <v>3.3381838348765402</v>
          </cell>
          <cell r="T6165">
            <v>2.457349977377</v>
          </cell>
        </row>
        <row r="6166">
          <cell r="A6166" t="str">
            <v>CSS</v>
          </cell>
          <cell r="B6166" t="str">
            <v>XAP-660-V-0</v>
          </cell>
          <cell r="O6166">
            <v>3.3381838348765402</v>
          </cell>
          <cell r="T6166">
            <v>2.457349977377</v>
          </cell>
        </row>
        <row r="6167">
          <cell r="A6167" t="str">
            <v>CSS</v>
          </cell>
          <cell r="B6167" t="str">
            <v>XAP-660-VR0</v>
          </cell>
          <cell r="O6167">
            <v>3.3381838348765402</v>
          </cell>
          <cell r="T6167">
            <v>2.457349977377</v>
          </cell>
        </row>
        <row r="6168">
          <cell r="A6168" t="str">
            <v>CSS</v>
          </cell>
          <cell r="B6168" t="str">
            <v>XAP-660-VR4</v>
          </cell>
          <cell r="O6168">
            <v>3.3381838348765402</v>
          </cell>
          <cell r="T6168">
            <v>2.457349977377</v>
          </cell>
        </row>
        <row r="6169">
          <cell r="A6169" t="str">
            <v>CSS</v>
          </cell>
          <cell r="B6169" t="str">
            <v>XAP-680-V</v>
          </cell>
          <cell r="O6169">
            <v>3.3381838348765402</v>
          </cell>
          <cell r="T6169">
            <v>2.457349977377</v>
          </cell>
        </row>
        <row r="6170">
          <cell r="A6170" t="str">
            <v>CSS</v>
          </cell>
          <cell r="B6170" t="str">
            <v>XAP-FRO-440-VR0</v>
          </cell>
          <cell r="O6170">
            <v>5.0398259639999994</v>
          </cell>
          <cell r="T6170">
            <v>2.8222910539999999</v>
          </cell>
        </row>
        <row r="6171">
          <cell r="A6171" t="str">
            <v>CSS</v>
          </cell>
          <cell r="B6171" t="str">
            <v>XAP-FRO-460-VR0</v>
          </cell>
          <cell r="O6171"/>
          <cell r="T6171"/>
        </row>
        <row r="6172">
          <cell r="A6172" t="str">
            <v>CSS</v>
          </cell>
          <cell r="B6172" t="str">
            <v>XAP-FRO-633-VM0</v>
          </cell>
          <cell r="O6172">
            <v>7.7058881689999996</v>
          </cell>
          <cell r="T6172">
            <v>4.3510055699999999</v>
          </cell>
        </row>
        <row r="6173">
          <cell r="A6173" t="str">
            <v>CSS</v>
          </cell>
          <cell r="B6173" t="str">
            <v>XAP-FRO-633-VR0</v>
          </cell>
          <cell r="O6173">
            <v>7.7058881689999996</v>
          </cell>
          <cell r="T6173">
            <v>4.3510055699999999</v>
          </cell>
        </row>
        <row r="6174">
          <cell r="A6174" t="str">
            <v>CSS</v>
          </cell>
          <cell r="B6174" t="str">
            <v>XAP-FRO-640-V</v>
          </cell>
          <cell r="O6174">
            <v>7.474735817</v>
          </cell>
          <cell r="T6174">
            <v>4.1927423639999999</v>
          </cell>
        </row>
        <row r="6175">
          <cell r="A6175" t="str">
            <v>CSS</v>
          </cell>
          <cell r="B6175" t="str">
            <v>XAP-FRO-660-VR0</v>
          </cell>
          <cell r="O6175">
            <v>3.5975288120000002</v>
          </cell>
          <cell r="T6175">
            <v>2.3884172500000003</v>
          </cell>
        </row>
        <row r="6176">
          <cell r="A6176" t="str">
            <v>CSS</v>
          </cell>
          <cell r="B6176" t="str">
            <v>XAP-HB-311</v>
          </cell>
          <cell r="O6176"/>
          <cell r="T6176"/>
        </row>
        <row r="6177">
          <cell r="A6177" t="str">
            <v>CSS</v>
          </cell>
          <cell r="B6177" t="str">
            <v>XAP-TB-322</v>
          </cell>
          <cell r="O6177"/>
          <cell r="T6177"/>
        </row>
        <row r="6178">
          <cell r="A6178" t="str">
            <v>CSS</v>
          </cell>
          <cell r="B6178" t="str">
            <v>XC 865-0</v>
          </cell>
          <cell r="O6178">
            <v>10.11043192</v>
          </cell>
          <cell r="T6178">
            <v>5.6774190349999989</v>
          </cell>
        </row>
        <row r="6179">
          <cell r="A6179" t="str">
            <v>CSS</v>
          </cell>
          <cell r="B6179" t="str">
            <v>XC-480-0</v>
          </cell>
          <cell r="O6179">
            <v>5.0919159970000001</v>
          </cell>
          <cell r="T6179">
            <v>2.8093865740000004</v>
          </cell>
        </row>
        <row r="6180">
          <cell r="A6180" t="str">
            <v>CSS</v>
          </cell>
          <cell r="B6180" t="str">
            <v>XC-665</v>
          </cell>
          <cell r="O6180">
            <v>7.474735817</v>
          </cell>
          <cell r="T6180">
            <v>4.1927423639999999</v>
          </cell>
        </row>
        <row r="6181">
          <cell r="A6181" t="str">
            <v>CSS</v>
          </cell>
          <cell r="B6181" t="str">
            <v>XC-680</v>
          </cell>
          <cell r="O6181"/>
          <cell r="T6181"/>
        </row>
        <row r="6182">
          <cell r="A6182" t="str">
            <v>CSS</v>
          </cell>
          <cell r="B6182" t="str">
            <v>XC-680-0</v>
          </cell>
          <cell r="O6182"/>
          <cell r="T6182"/>
        </row>
        <row r="6183">
          <cell r="A6183" t="str">
            <v>CSS</v>
          </cell>
          <cell r="B6183" t="str">
            <v>XC-880</v>
          </cell>
          <cell r="O6183">
            <v>10.231442899999989</v>
          </cell>
          <cell r="T6183">
            <v>5.6608887179999998</v>
          </cell>
        </row>
        <row r="6184">
          <cell r="A6184" t="str">
            <v>CSS</v>
          </cell>
          <cell r="B6184" t="str">
            <v>XC-FRO-460</v>
          </cell>
          <cell r="O6184">
            <v>6.177792245</v>
          </cell>
          <cell r="T6184">
            <v>2.9613422949999997</v>
          </cell>
        </row>
        <row r="6185">
          <cell r="A6185" t="str">
            <v>CSS</v>
          </cell>
          <cell r="B6185" t="str">
            <v>XC-MB-434</v>
          </cell>
          <cell r="O6185"/>
          <cell r="T6185"/>
        </row>
        <row r="6186">
          <cell r="A6186" t="str">
            <v>CSS</v>
          </cell>
          <cell r="B6186" t="str">
            <v>XDU08-65-42I</v>
          </cell>
          <cell r="O6186">
            <v>10.11043192</v>
          </cell>
          <cell r="T6186">
            <v>5.6774190349999989</v>
          </cell>
        </row>
        <row r="6187">
          <cell r="A6187" t="str">
            <v>CSS</v>
          </cell>
          <cell r="B6187" t="str">
            <v>XDUO-4-65-00</v>
          </cell>
          <cell r="O6187">
            <v>5.0398259639999994</v>
          </cell>
          <cell r="T6187">
            <v>2.8222910539999999</v>
          </cell>
        </row>
        <row r="6188">
          <cell r="A6188" t="str">
            <v>CSS</v>
          </cell>
          <cell r="B6188" t="str">
            <v>XDUO1416-80</v>
          </cell>
          <cell r="O6188"/>
          <cell r="T6188"/>
        </row>
        <row r="6189">
          <cell r="A6189" t="str">
            <v>CSS</v>
          </cell>
          <cell r="B6189" t="str">
            <v>XDUO1416-80-20I</v>
          </cell>
          <cell r="O6189">
            <v>7.5600898159999996</v>
          </cell>
          <cell r="T6189">
            <v>3.7325790100000003</v>
          </cell>
        </row>
        <row r="6190">
          <cell r="A6190" t="str">
            <v>CSS</v>
          </cell>
          <cell r="B6190" t="str">
            <v>XDUO1518-65-00</v>
          </cell>
          <cell r="O6190"/>
          <cell r="T6190"/>
        </row>
        <row r="6191">
          <cell r="A6191" t="str">
            <v>CSS</v>
          </cell>
          <cell r="B6191" t="str">
            <v>XDUO1618-80</v>
          </cell>
          <cell r="O6191"/>
          <cell r="T6191"/>
        </row>
        <row r="6192">
          <cell r="A6192" t="str">
            <v>CSS</v>
          </cell>
          <cell r="B6192" t="str">
            <v>XDUO1618-80-00I</v>
          </cell>
          <cell r="O6192">
            <v>9.858611818</v>
          </cell>
          <cell r="T6192">
            <v>4.8820576279999992</v>
          </cell>
        </row>
        <row r="6193">
          <cell r="A6193" t="str">
            <v>CSS</v>
          </cell>
          <cell r="B6193" t="str">
            <v>XDUO1618-80-40</v>
          </cell>
          <cell r="O6193">
            <v>9.8586118175602113</v>
          </cell>
          <cell r="T6193">
            <v>4.8820576282207098</v>
          </cell>
        </row>
        <row r="6194">
          <cell r="A6194" t="str">
            <v>CSS</v>
          </cell>
          <cell r="B6194" t="str">
            <v>XDUO1618-80-42</v>
          </cell>
          <cell r="O6194"/>
          <cell r="T6194"/>
        </row>
        <row r="6195">
          <cell r="A6195" t="str">
            <v>CSS</v>
          </cell>
          <cell r="B6195" t="str">
            <v>XDUO1619-65-00</v>
          </cell>
          <cell r="O6195">
            <v>13.159630590000001</v>
          </cell>
          <cell r="T6195">
            <v>6.1957365959999997</v>
          </cell>
        </row>
        <row r="6196">
          <cell r="A6196" t="str">
            <v>CSS</v>
          </cell>
          <cell r="B6196" t="str">
            <v>XDUO1619-65-42I</v>
          </cell>
          <cell r="O6196">
            <v>13.159630590000001</v>
          </cell>
          <cell r="T6196">
            <v>6.1957365959999997</v>
          </cell>
        </row>
        <row r="6197">
          <cell r="A6197" t="str">
            <v>CSS</v>
          </cell>
          <cell r="B6197" t="str">
            <v>XDUO1718-80</v>
          </cell>
          <cell r="O6197">
            <v>13.388054589999989</v>
          </cell>
          <cell r="T6197">
            <v>6.6397740379999997</v>
          </cell>
        </row>
        <row r="6198">
          <cell r="A6198" t="str">
            <v>CSS</v>
          </cell>
          <cell r="B6198" t="str">
            <v>XDUO1718-80-00</v>
          </cell>
          <cell r="O6198">
            <v>13.388054589999989</v>
          </cell>
          <cell r="T6198">
            <v>6.6397740379999997</v>
          </cell>
        </row>
        <row r="6199">
          <cell r="A6199" t="str">
            <v>CSS</v>
          </cell>
          <cell r="B6199" t="str">
            <v>XDUO1718-80-42</v>
          </cell>
          <cell r="O6199">
            <v>13.388054589999989</v>
          </cell>
          <cell r="T6199">
            <v>6.6397740379999997</v>
          </cell>
        </row>
        <row r="6200">
          <cell r="A6200" t="str">
            <v>CSS</v>
          </cell>
          <cell r="B6200" t="str">
            <v>XDUO1718-80-64</v>
          </cell>
          <cell r="O6200">
            <v>13.388054589999989</v>
          </cell>
          <cell r="T6200">
            <v>6.6397740379999997</v>
          </cell>
        </row>
        <row r="6201">
          <cell r="A6201" t="str">
            <v>CSS</v>
          </cell>
          <cell r="B6201" t="str">
            <v>XDUO4-65-00</v>
          </cell>
          <cell r="O6201">
            <v>5.0398259639999994</v>
          </cell>
          <cell r="T6201">
            <v>2.8222910539999999</v>
          </cell>
        </row>
        <row r="6202">
          <cell r="A6202" t="str">
            <v>CSS</v>
          </cell>
          <cell r="B6202" t="str">
            <v>XDUO4-65-R</v>
          </cell>
          <cell r="O6202">
            <v>5.0398259639999994</v>
          </cell>
          <cell r="T6202">
            <v>2.8222910539999999</v>
          </cell>
        </row>
        <row r="6203">
          <cell r="A6203" t="str">
            <v>CSS</v>
          </cell>
          <cell r="B6203" t="str">
            <v>XDUO4-65-V</v>
          </cell>
          <cell r="O6203">
            <v>5.0398259639999994</v>
          </cell>
          <cell r="T6203">
            <v>2.8222910539999999</v>
          </cell>
        </row>
        <row r="6204">
          <cell r="A6204" t="str">
            <v>CSS</v>
          </cell>
          <cell r="B6204" t="str">
            <v>XDUO4-80</v>
          </cell>
          <cell r="O6204">
            <v>5.0398259639999994</v>
          </cell>
          <cell r="T6204">
            <v>2.8222910539999999</v>
          </cell>
        </row>
        <row r="6205">
          <cell r="A6205" t="str">
            <v>CSS</v>
          </cell>
          <cell r="B6205" t="str">
            <v>XDUO4-80-R</v>
          </cell>
          <cell r="O6205">
            <v>5.0633659709999996</v>
          </cell>
          <cell r="T6205">
            <v>2.854714338</v>
          </cell>
        </row>
        <row r="6206">
          <cell r="A6206" t="str">
            <v>CSS</v>
          </cell>
          <cell r="B6206" t="str">
            <v>XDUO4-80-V</v>
          </cell>
          <cell r="O6206">
            <v>5.0633659709999996</v>
          </cell>
          <cell r="T6206">
            <v>2.854714338</v>
          </cell>
        </row>
        <row r="6207">
          <cell r="A6207" t="str">
            <v>CSS</v>
          </cell>
          <cell r="B6207" t="str">
            <v>XDUO6-65</v>
          </cell>
          <cell r="O6207">
            <v>7.474735817</v>
          </cell>
          <cell r="T6207">
            <v>4.1927423639999999</v>
          </cell>
        </row>
        <row r="6208">
          <cell r="A6208" t="str">
            <v>CSS</v>
          </cell>
          <cell r="B6208" t="str">
            <v>XDUO6-65-42I</v>
          </cell>
          <cell r="O6208">
            <v>7.474735817</v>
          </cell>
          <cell r="T6208">
            <v>4.1927423639999999</v>
          </cell>
        </row>
        <row r="6209">
          <cell r="A6209" t="str">
            <v>CSS</v>
          </cell>
          <cell r="B6209" t="str">
            <v>XDUO6-65-62I</v>
          </cell>
          <cell r="O6209">
            <v>7.474735817</v>
          </cell>
          <cell r="T6209">
            <v>4.1927423639999999</v>
          </cell>
        </row>
        <row r="6210">
          <cell r="A6210" t="str">
            <v>CSS</v>
          </cell>
          <cell r="B6210" t="str">
            <v>XDUO6-65-R</v>
          </cell>
          <cell r="O6210">
            <v>7.7058881689999996</v>
          </cell>
          <cell r="T6210">
            <v>4.3510055699999999</v>
          </cell>
        </row>
        <row r="6211">
          <cell r="A6211" t="str">
            <v>CSS</v>
          </cell>
          <cell r="B6211" t="str">
            <v>XDUO6-65-V</v>
          </cell>
          <cell r="O6211">
            <v>7.7058881689999996</v>
          </cell>
          <cell r="T6211">
            <v>4.3510055699999999</v>
          </cell>
        </row>
        <row r="6212">
          <cell r="A6212" t="str">
            <v>CSS</v>
          </cell>
          <cell r="B6212" t="str">
            <v>XDUO6-80-00I</v>
          </cell>
          <cell r="O6212">
            <v>7.7058881689999996</v>
          </cell>
          <cell r="T6212">
            <v>4.3510055699999999</v>
          </cell>
        </row>
        <row r="6213">
          <cell r="A6213" t="str">
            <v>CSS</v>
          </cell>
          <cell r="B6213" t="str">
            <v>XDUO6-80-R</v>
          </cell>
          <cell r="O6213">
            <v>7.7058881689999996</v>
          </cell>
          <cell r="T6213">
            <v>4.3510055699999999</v>
          </cell>
        </row>
        <row r="6214">
          <cell r="A6214" t="str">
            <v>CSS</v>
          </cell>
          <cell r="B6214" t="str">
            <v>XDUO6-80-V</v>
          </cell>
          <cell r="O6214">
            <v>7.7058881689999996</v>
          </cell>
          <cell r="T6214">
            <v>4.3510055699999999</v>
          </cell>
        </row>
        <row r="6215">
          <cell r="A6215" t="str">
            <v>CSS</v>
          </cell>
          <cell r="B6215" t="str">
            <v>XDUO8-65</v>
          </cell>
          <cell r="O6215">
            <v>9.6777295519999988</v>
          </cell>
          <cell r="T6215">
            <v>5.4344127899999997</v>
          </cell>
        </row>
        <row r="6216">
          <cell r="A6216" t="str">
            <v>CSS</v>
          </cell>
          <cell r="B6216" t="str">
            <v>XDUO8-65-00</v>
          </cell>
          <cell r="O6216">
            <v>9.6777295519999988</v>
          </cell>
          <cell r="T6216">
            <v>5.4344127899999997</v>
          </cell>
        </row>
        <row r="6217">
          <cell r="A6217" t="str">
            <v>CSS</v>
          </cell>
          <cell r="B6217" t="str">
            <v>XDUO8-65-00I</v>
          </cell>
          <cell r="O6217">
            <v>9.6777295519999988</v>
          </cell>
          <cell r="T6217">
            <v>5.4344127899999997</v>
          </cell>
        </row>
        <row r="6218">
          <cell r="A6218" t="str">
            <v>CSS</v>
          </cell>
          <cell r="B6218" t="str">
            <v>XDUO8-65-20I</v>
          </cell>
          <cell r="O6218">
            <v>9.6777295519999988</v>
          </cell>
          <cell r="T6218">
            <v>5.4344127899999997</v>
          </cell>
        </row>
        <row r="6219">
          <cell r="A6219" t="str">
            <v>CSS</v>
          </cell>
          <cell r="B6219" t="str">
            <v>XDUO8-65-V</v>
          </cell>
          <cell r="O6219"/>
          <cell r="T6219"/>
        </row>
        <row r="6220">
          <cell r="A6220" t="str">
            <v>CSS</v>
          </cell>
          <cell r="B6220" t="str">
            <v>XDUO8-80</v>
          </cell>
          <cell r="O6220"/>
          <cell r="T6220"/>
        </row>
        <row r="6221">
          <cell r="A6221" t="str">
            <v>CSS</v>
          </cell>
          <cell r="B6221" t="str">
            <v>XDUO8-80-00-I</v>
          </cell>
          <cell r="O6221">
            <v>10.398543595679</v>
          </cell>
          <cell r="T6221">
            <v>5.8355209257813501</v>
          </cell>
        </row>
        <row r="6222">
          <cell r="A6222" t="str">
            <v>CSS</v>
          </cell>
          <cell r="B6222" t="str">
            <v>XDUO8-80-22I</v>
          </cell>
          <cell r="O6222"/>
          <cell r="T6222"/>
        </row>
        <row r="6223">
          <cell r="A6223" t="str">
            <v>CSS</v>
          </cell>
          <cell r="B6223" t="str">
            <v>XDUO8-80-R</v>
          </cell>
          <cell r="O6223">
            <v>9.6777295519999988</v>
          </cell>
          <cell r="T6223">
            <v>5.4344127899999997</v>
          </cell>
        </row>
        <row r="6224">
          <cell r="A6224" t="str">
            <v>CSS</v>
          </cell>
          <cell r="B6224" t="str">
            <v>XGI4-3565-0</v>
          </cell>
          <cell r="O6224">
            <v>6.259592013999999</v>
          </cell>
          <cell r="T6224">
            <v>3.0889689870000003</v>
          </cell>
        </row>
        <row r="6225">
          <cell r="A6225" t="str">
            <v>CSS</v>
          </cell>
          <cell r="B6225" t="str">
            <v>XGI8-3060-2D</v>
          </cell>
          <cell r="O6225">
            <v>13.388054589999989</v>
          </cell>
          <cell r="T6225">
            <v>6.6397740379999997</v>
          </cell>
        </row>
        <row r="6226">
          <cell r="A6226" t="str">
            <v>CSS</v>
          </cell>
          <cell r="B6226" t="str">
            <v>XGI8-3565-2D</v>
          </cell>
          <cell r="O6226">
            <v>13.388054589999989</v>
          </cell>
          <cell r="T6226">
            <v>6.6397740379999997</v>
          </cell>
        </row>
        <row r="6227">
          <cell r="A6227" t="str">
            <v>CSS</v>
          </cell>
          <cell r="B6227" t="str">
            <v>XGL4-3565-0</v>
          </cell>
          <cell r="O6227">
            <v>6.259592013999999</v>
          </cell>
          <cell r="T6227">
            <v>3.0889689870000003</v>
          </cell>
        </row>
        <row r="6228">
          <cell r="A6228" t="str">
            <v>CSS</v>
          </cell>
          <cell r="B6228" t="str">
            <v>XP15-60-2D</v>
          </cell>
          <cell r="O6228"/>
          <cell r="T6228"/>
        </row>
        <row r="6229">
          <cell r="A6229" t="str">
            <v>CSS</v>
          </cell>
          <cell r="B6229" t="str">
            <v>XP16-80</v>
          </cell>
          <cell r="O6229">
            <v>2.2834495560000003</v>
          </cell>
          <cell r="T6229">
            <v>1.5216799620000001</v>
          </cell>
        </row>
        <row r="6230">
          <cell r="A6230" t="str">
            <v>CSS</v>
          </cell>
          <cell r="B6230" t="str">
            <v>XP16-80-0D</v>
          </cell>
          <cell r="O6230">
            <v>2.2834495560000003</v>
          </cell>
          <cell r="T6230">
            <v>1.5216799620000001</v>
          </cell>
        </row>
        <row r="6231">
          <cell r="A6231" t="str">
            <v>CSS</v>
          </cell>
          <cell r="B6231" t="str">
            <v>XP16-80-0I</v>
          </cell>
          <cell r="O6231">
            <v>2.289560915</v>
          </cell>
          <cell r="T6231">
            <v>1.5161869619999999</v>
          </cell>
        </row>
        <row r="6232">
          <cell r="A6232" t="str">
            <v>CSS</v>
          </cell>
          <cell r="B6232" t="str">
            <v>XP16-80-2D</v>
          </cell>
          <cell r="O6232">
            <v>2.2834495560000003</v>
          </cell>
          <cell r="T6232">
            <v>1.5216799620000001</v>
          </cell>
        </row>
        <row r="6233">
          <cell r="A6233" t="str">
            <v>CSS</v>
          </cell>
          <cell r="B6233" t="str">
            <v>XP16-80-2I</v>
          </cell>
          <cell r="O6233">
            <v>2.289560915</v>
          </cell>
          <cell r="T6233">
            <v>1.5161869619999999</v>
          </cell>
        </row>
        <row r="6234">
          <cell r="A6234" t="str">
            <v>CSS</v>
          </cell>
          <cell r="B6234" t="str">
            <v>XP16-80-3N</v>
          </cell>
          <cell r="O6234"/>
          <cell r="T6234"/>
        </row>
        <row r="6235">
          <cell r="A6235" t="str">
            <v>CSS</v>
          </cell>
          <cell r="B6235" t="str">
            <v>XP16-80XI</v>
          </cell>
          <cell r="O6235">
            <v>2.289560915</v>
          </cell>
          <cell r="T6235">
            <v>1.5161869619999999</v>
          </cell>
        </row>
        <row r="6236">
          <cell r="A6236" t="str">
            <v>CSS</v>
          </cell>
          <cell r="B6236" t="str">
            <v>XP18-60</v>
          </cell>
          <cell r="O6236">
            <v>2.2834495560000003</v>
          </cell>
          <cell r="T6236">
            <v>1.5216799620000001</v>
          </cell>
        </row>
        <row r="6237">
          <cell r="A6237" t="str">
            <v>CSS</v>
          </cell>
          <cell r="B6237" t="str">
            <v>XP18-60-0D</v>
          </cell>
          <cell r="O6237">
            <v>2.2834495560000003</v>
          </cell>
          <cell r="T6237">
            <v>1.5216799620000001</v>
          </cell>
        </row>
        <row r="6238">
          <cell r="A6238" t="str">
            <v>CSS</v>
          </cell>
          <cell r="B6238" t="str">
            <v>XP18-60-2D</v>
          </cell>
          <cell r="O6238">
            <v>2.2834495560000003</v>
          </cell>
          <cell r="T6238">
            <v>1.5216799620000001</v>
          </cell>
        </row>
        <row r="6239">
          <cell r="A6239" t="str">
            <v>CSS</v>
          </cell>
          <cell r="B6239" t="str">
            <v>XP18-60-2I</v>
          </cell>
          <cell r="O6239">
            <v>2.2834495560000003</v>
          </cell>
          <cell r="T6239">
            <v>1.5216799620000001</v>
          </cell>
        </row>
        <row r="6240">
          <cell r="A6240" t="str">
            <v>CSS</v>
          </cell>
          <cell r="B6240" t="str">
            <v>XP18-60-4D</v>
          </cell>
          <cell r="O6240">
            <v>2.2834495560000003</v>
          </cell>
          <cell r="T6240">
            <v>1.5216799620000001</v>
          </cell>
        </row>
        <row r="6241">
          <cell r="A6241" t="str">
            <v>CSS</v>
          </cell>
          <cell r="B6241" t="str">
            <v>XP18-60-XI</v>
          </cell>
          <cell r="O6241">
            <v>2.289560915</v>
          </cell>
          <cell r="T6241">
            <v>1.5161869619999999</v>
          </cell>
        </row>
        <row r="6242">
          <cell r="A6242" t="str">
            <v>CSS</v>
          </cell>
          <cell r="B6242" t="str">
            <v>XP18-80</v>
          </cell>
          <cell r="O6242">
            <v>3.4354490919999998</v>
          </cell>
          <cell r="T6242">
            <v>2.2800826960000005</v>
          </cell>
        </row>
        <row r="6243">
          <cell r="A6243" t="str">
            <v>CSS</v>
          </cell>
          <cell r="B6243" t="str">
            <v>XP18-80-0</v>
          </cell>
          <cell r="O6243">
            <v>3.4354490919999998</v>
          </cell>
          <cell r="T6243">
            <v>2.2800826960000005</v>
          </cell>
        </row>
        <row r="6244">
          <cell r="A6244" t="str">
            <v>CSS</v>
          </cell>
          <cell r="B6244" t="str">
            <v>XP18-80-0D</v>
          </cell>
          <cell r="O6244">
            <v>3.4354490921119796</v>
          </cell>
          <cell r="T6244">
            <v>2.2800826955421996</v>
          </cell>
        </row>
        <row r="6245">
          <cell r="A6245" t="str">
            <v>CSS</v>
          </cell>
          <cell r="B6245" t="str">
            <v>XP18-80-2</v>
          </cell>
          <cell r="O6245">
            <v>3.4354490919999998</v>
          </cell>
          <cell r="T6245">
            <v>2.2800826960000005</v>
          </cell>
        </row>
        <row r="6246">
          <cell r="A6246" t="str">
            <v>CSS</v>
          </cell>
          <cell r="B6246" t="str">
            <v>XP18-80-2D</v>
          </cell>
          <cell r="O6246">
            <v>3.4354490921119796</v>
          </cell>
          <cell r="T6246">
            <v>2.2800826955421996</v>
          </cell>
        </row>
        <row r="6247">
          <cell r="A6247" t="str">
            <v>CSS</v>
          </cell>
          <cell r="B6247" t="str">
            <v>XP18-80-2I</v>
          </cell>
          <cell r="O6247">
            <v>3.4354490919999998</v>
          </cell>
          <cell r="T6247">
            <v>2.2800826960000005</v>
          </cell>
        </row>
        <row r="6248">
          <cell r="A6248" t="str">
            <v>CSS</v>
          </cell>
          <cell r="B6248" t="str">
            <v>XP18-80_CCIV2</v>
          </cell>
          <cell r="O6248">
            <v>3.4354490921119796</v>
          </cell>
          <cell r="T6248">
            <v>2.2800826955421996</v>
          </cell>
        </row>
        <row r="6249">
          <cell r="A6249" t="str">
            <v>CSS</v>
          </cell>
          <cell r="B6249" t="str">
            <v>XP18-85-0D</v>
          </cell>
          <cell r="O6249">
            <v>3.4354490921119796</v>
          </cell>
          <cell r="T6249">
            <v>2.2800826955421996</v>
          </cell>
        </row>
        <row r="6250">
          <cell r="A6250" t="str">
            <v>CSS</v>
          </cell>
          <cell r="B6250" t="str">
            <v>XP18-85-0N</v>
          </cell>
          <cell r="O6250">
            <v>3.4354490921119796</v>
          </cell>
          <cell r="T6250">
            <v>2.2800826955421996</v>
          </cell>
        </row>
        <row r="6251">
          <cell r="A6251" t="str">
            <v>CSS</v>
          </cell>
          <cell r="B6251" t="str">
            <v>XP19-45</v>
          </cell>
          <cell r="O6251">
            <v>4.1653389417844</v>
          </cell>
          <cell r="T6251">
            <v>1.7640951235498801</v>
          </cell>
        </row>
        <row r="6252">
          <cell r="A6252" t="str">
            <v>CSS</v>
          </cell>
          <cell r="B6252" t="str">
            <v>XP19-45-2D</v>
          </cell>
          <cell r="O6252">
            <v>4.1653389417844</v>
          </cell>
          <cell r="T6252">
            <v>1.7640951235498801</v>
          </cell>
        </row>
        <row r="6253">
          <cell r="A6253" t="str">
            <v>CSS</v>
          </cell>
          <cell r="B6253" t="str">
            <v>XP19-45-4D</v>
          </cell>
          <cell r="O6253">
            <v>4.1653389417844</v>
          </cell>
          <cell r="T6253">
            <v>1.7640951235498801</v>
          </cell>
        </row>
        <row r="6254">
          <cell r="A6254" t="str">
            <v>CSS</v>
          </cell>
          <cell r="B6254" t="str">
            <v>XP19-60</v>
          </cell>
          <cell r="O6254">
            <v>3.4354490919999998</v>
          </cell>
          <cell r="T6254">
            <v>2.2800826960000005</v>
          </cell>
        </row>
        <row r="6255">
          <cell r="A6255" t="str">
            <v>CSS</v>
          </cell>
          <cell r="B6255" t="str">
            <v>XP19-60-0</v>
          </cell>
          <cell r="O6255">
            <v>3.4354490919999998</v>
          </cell>
          <cell r="T6255">
            <v>2.2800826960000005</v>
          </cell>
        </row>
        <row r="6256">
          <cell r="A6256" t="str">
            <v>CSS</v>
          </cell>
          <cell r="B6256" t="str">
            <v>XP19-60-2D</v>
          </cell>
          <cell r="O6256">
            <v>3.4354490921119796</v>
          </cell>
          <cell r="T6256">
            <v>2.2800826955421996</v>
          </cell>
        </row>
        <row r="6257">
          <cell r="A6257" t="str">
            <v>CSS</v>
          </cell>
          <cell r="B6257" t="str">
            <v>XP19-60_CCIV2</v>
          </cell>
          <cell r="O6257">
            <v>3.4354490921119796</v>
          </cell>
          <cell r="T6257">
            <v>2.2800826955421996</v>
          </cell>
        </row>
        <row r="6258">
          <cell r="A6258" t="str">
            <v>CSS</v>
          </cell>
          <cell r="B6258" t="str">
            <v>XP19-80</v>
          </cell>
          <cell r="O6258">
            <v>4.5926587169999999</v>
          </cell>
          <cell r="T6258">
            <v>3.0520987809999998</v>
          </cell>
        </row>
        <row r="6259">
          <cell r="A6259" t="str">
            <v>CSS</v>
          </cell>
          <cell r="B6259" t="str">
            <v>XP19-80-0D</v>
          </cell>
          <cell r="O6259">
            <v>4.5926587169999999</v>
          </cell>
          <cell r="T6259">
            <v>3.0520987809999998</v>
          </cell>
        </row>
        <row r="6260">
          <cell r="A6260" t="str">
            <v>CSS</v>
          </cell>
          <cell r="B6260" t="str">
            <v>XP20-33-0D</v>
          </cell>
          <cell r="O6260"/>
          <cell r="T6260"/>
        </row>
        <row r="6261">
          <cell r="A6261" t="str">
            <v>CSS</v>
          </cell>
          <cell r="B6261" t="str">
            <v>XP20-33-2D</v>
          </cell>
          <cell r="O6261"/>
          <cell r="T6261"/>
        </row>
        <row r="6262">
          <cell r="A6262" t="str">
            <v>CSS</v>
          </cell>
          <cell r="B6262" t="str">
            <v>XP20-45-0D</v>
          </cell>
          <cell r="O6262"/>
          <cell r="T6262"/>
        </row>
        <row r="6263">
          <cell r="A6263" t="str">
            <v>CSS</v>
          </cell>
          <cell r="B6263" t="str">
            <v>XP20-45-0N</v>
          </cell>
          <cell r="O6263"/>
          <cell r="T6263"/>
        </row>
        <row r="6264">
          <cell r="A6264" t="str">
            <v>CSS</v>
          </cell>
          <cell r="B6264" t="str">
            <v>XP20-45-2D</v>
          </cell>
          <cell r="O6264"/>
          <cell r="T6264"/>
        </row>
        <row r="6265">
          <cell r="A6265" t="str">
            <v>CSS</v>
          </cell>
          <cell r="B6265" t="str">
            <v>XP20-60</v>
          </cell>
          <cell r="O6265">
            <v>4.5926587169999999</v>
          </cell>
          <cell r="T6265">
            <v>3.0520987809999998</v>
          </cell>
        </row>
        <row r="6266">
          <cell r="A6266" t="str">
            <v>CSS</v>
          </cell>
          <cell r="B6266" t="str">
            <v>XP20-60-2D</v>
          </cell>
          <cell r="O6266">
            <v>4.6088016010802493</v>
          </cell>
          <cell r="T6266">
            <v>3.0630227663556999</v>
          </cell>
        </row>
        <row r="6267">
          <cell r="A6267" t="str">
            <v>CSS</v>
          </cell>
          <cell r="B6267" t="str">
            <v>XP20-60-4D</v>
          </cell>
          <cell r="O6267">
            <v>4.5926587169999999</v>
          </cell>
          <cell r="T6267">
            <v>3.0520987809999998</v>
          </cell>
        </row>
        <row r="6268">
          <cell r="A6268" t="str">
            <v>CSS</v>
          </cell>
          <cell r="B6268" t="str">
            <v>XP20-60_CCIV2</v>
          </cell>
          <cell r="O6268">
            <v>4.6088016010802493</v>
          </cell>
          <cell r="T6268">
            <v>3.0630227663556999</v>
          </cell>
        </row>
        <row r="6269">
          <cell r="A6269" t="str">
            <v>CSS</v>
          </cell>
          <cell r="B6269" t="str">
            <v>XP22-33-0D</v>
          </cell>
          <cell r="O6269"/>
          <cell r="T6269"/>
        </row>
        <row r="6270">
          <cell r="A6270" t="str">
            <v>CSS</v>
          </cell>
          <cell r="B6270" t="str">
            <v>XP22-33-2D</v>
          </cell>
          <cell r="O6270"/>
          <cell r="T6270"/>
        </row>
        <row r="6271">
          <cell r="A6271" t="str">
            <v>CSS</v>
          </cell>
          <cell r="B6271" t="str">
            <v>XP4-60-R</v>
          </cell>
          <cell r="O6271">
            <v>2.2834495560000003</v>
          </cell>
          <cell r="T6271">
            <v>1.5216799620000001</v>
          </cell>
        </row>
        <row r="6272">
          <cell r="A6272" t="str">
            <v>CSS</v>
          </cell>
          <cell r="B6272" t="str">
            <v>XP4-60-V</v>
          </cell>
          <cell r="O6272">
            <v>2.2834495560000003</v>
          </cell>
          <cell r="T6272">
            <v>1.5216799620000001</v>
          </cell>
        </row>
        <row r="6273">
          <cell r="A6273" t="str">
            <v>CSS</v>
          </cell>
          <cell r="B6273" t="str">
            <v>XP8-60-V</v>
          </cell>
          <cell r="O6273"/>
          <cell r="T6273"/>
        </row>
        <row r="6274">
          <cell r="A6274" t="str">
            <v>CSS</v>
          </cell>
          <cell r="B6274" t="str">
            <v>XPC12-80-0D</v>
          </cell>
          <cell r="O6274"/>
          <cell r="T6274"/>
        </row>
        <row r="6275">
          <cell r="A6275" t="str">
            <v>CSS</v>
          </cell>
          <cell r="B6275" t="str">
            <v>XPC12-80-0N</v>
          </cell>
          <cell r="O6275"/>
          <cell r="T6275"/>
        </row>
        <row r="6276">
          <cell r="A6276" t="str">
            <v>CSS</v>
          </cell>
          <cell r="B6276" t="str">
            <v>XPC12-80-6N</v>
          </cell>
          <cell r="O6276"/>
          <cell r="T6276"/>
        </row>
        <row r="6277">
          <cell r="A6277" t="str">
            <v>CSS</v>
          </cell>
          <cell r="B6277" t="str">
            <v>XPC13-65-0</v>
          </cell>
          <cell r="O6277">
            <v>5.0398259639999994</v>
          </cell>
          <cell r="T6277">
            <v>2.8222910539999999</v>
          </cell>
        </row>
        <row r="6278">
          <cell r="A6278" t="str">
            <v>CSS</v>
          </cell>
          <cell r="B6278" t="str">
            <v>XPC13-65-6D</v>
          </cell>
          <cell r="O6278"/>
          <cell r="T6278"/>
        </row>
        <row r="6279">
          <cell r="A6279" t="str">
            <v>CSS</v>
          </cell>
          <cell r="B6279" t="str">
            <v>XPC14-65</v>
          </cell>
          <cell r="O6279"/>
          <cell r="T6279"/>
        </row>
        <row r="6280">
          <cell r="A6280" t="str">
            <v>CSS</v>
          </cell>
          <cell r="B6280" t="str">
            <v>XPC14-80-0D</v>
          </cell>
          <cell r="O6280"/>
          <cell r="T6280"/>
        </row>
        <row r="6281">
          <cell r="A6281" t="str">
            <v>CSS</v>
          </cell>
          <cell r="B6281" t="str">
            <v>XPC14-80-4D</v>
          </cell>
          <cell r="O6281"/>
          <cell r="T6281"/>
        </row>
        <row r="6282">
          <cell r="A6282" t="str">
            <v>CSS</v>
          </cell>
          <cell r="B6282" t="str">
            <v>XPC15-80-0D</v>
          </cell>
          <cell r="O6282">
            <v>9.6777295519999988</v>
          </cell>
          <cell r="T6282">
            <v>5.4344127899999997</v>
          </cell>
        </row>
        <row r="6283">
          <cell r="A6283" t="str">
            <v>CSS</v>
          </cell>
          <cell r="B6283" t="str">
            <v>XPC16-65</v>
          </cell>
          <cell r="O6283">
            <v>10.11043192</v>
          </cell>
          <cell r="T6283">
            <v>5.6774190349999989</v>
          </cell>
        </row>
        <row r="6284">
          <cell r="A6284" t="str">
            <v>CSS</v>
          </cell>
          <cell r="B6284" t="str">
            <v>XPC16-65-0D</v>
          </cell>
          <cell r="O6284"/>
          <cell r="T6284"/>
        </row>
        <row r="6285">
          <cell r="A6285" t="str">
            <v>CSS</v>
          </cell>
          <cell r="B6285" t="str">
            <v>XPC16-65-0N</v>
          </cell>
          <cell r="O6285"/>
          <cell r="T6285"/>
        </row>
        <row r="6286">
          <cell r="A6286" t="str">
            <v>CSS</v>
          </cell>
          <cell r="B6286" t="str">
            <v>XPC16-65-4D</v>
          </cell>
          <cell r="O6286"/>
          <cell r="T6286"/>
        </row>
        <row r="6287">
          <cell r="A6287" t="str">
            <v>CSS</v>
          </cell>
          <cell r="B6287" t="str">
            <v>XTRIO4-80</v>
          </cell>
          <cell r="O6287"/>
          <cell r="T6287"/>
        </row>
        <row r="6288">
          <cell r="A6288" t="str">
            <v>CSS</v>
          </cell>
          <cell r="B6288" t="str">
            <v>XTRIO4-80-00</v>
          </cell>
          <cell r="O6288">
            <v>5.0398259639999994</v>
          </cell>
          <cell r="T6288">
            <v>2.8222910539999999</v>
          </cell>
        </row>
        <row r="6289">
          <cell r="A6289" t="str">
            <v>CUSHCRAFT</v>
          </cell>
          <cell r="B6289" t="str">
            <v>124WB</v>
          </cell>
          <cell r="O6289"/>
          <cell r="T6289"/>
        </row>
        <row r="6290">
          <cell r="A6290" t="str">
            <v>CUSHCRAFT</v>
          </cell>
          <cell r="B6290" t="str">
            <v>1504S</v>
          </cell>
          <cell r="O6290"/>
          <cell r="T6290"/>
        </row>
        <row r="6291">
          <cell r="A6291" t="str">
            <v>CUSHCRAFT</v>
          </cell>
          <cell r="B6291" t="str">
            <v>4504S</v>
          </cell>
          <cell r="O6291"/>
          <cell r="T6291"/>
        </row>
        <row r="6292">
          <cell r="A6292" t="str">
            <v>CUSHCRAFT</v>
          </cell>
          <cell r="B6292" t="str">
            <v>4508P</v>
          </cell>
          <cell r="O6292"/>
          <cell r="T6292"/>
        </row>
        <row r="6293">
          <cell r="A6293" t="str">
            <v>CUSHCRAFT</v>
          </cell>
          <cell r="B6293" t="str">
            <v>58060B</v>
          </cell>
          <cell r="O6293"/>
          <cell r="T6293"/>
        </row>
        <row r="6294">
          <cell r="A6294" t="str">
            <v>CUSHCRAFT</v>
          </cell>
          <cell r="B6294" t="str">
            <v>A4496S</v>
          </cell>
          <cell r="O6294"/>
          <cell r="T6294"/>
        </row>
        <row r="6295">
          <cell r="A6295" t="str">
            <v>CUSHCRAFT</v>
          </cell>
          <cell r="B6295" t="str">
            <v>AR-270</v>
          </cell>
          <cell r="O6295"/>
          <cell r="T6295"/>
        </row>
        <row r="6296">
          <cell r="A6296" t="str">
            <v>CUSHCRAFT</v>
          </cell>
          <cell r="B6296" t="str">
            <v>ARX2</v>
          </cell>
          <cell r="O6296"/>
          <cell r="T6296"/>
        </row>
        <row r="6297">
          <cell r="A6297" t="str">
            <v>CUSHCRAFT</v>
          </cell>
          <cell r="B6297" t="str">
            <v>ARX220B</v>
          </cell>
          <cell r="O6297"/>
          <cell r="T6297"/>
        </row>
        <row r="6298">
          <cell r="A6298" t="str">
            <v>CUSHCRAFT</v>
          </cell>
          <cell r="B6298" t="str">
            <v>CRS-3-50</v>
          </cell>
          <cell r="O6298"/>
          <cell r="T6298"/>
        </row>
        <row r="6299">
          <cell r="A6299" t="str">
            <v>CUSHCRAFT</v>
          </cell>
          <cell r="B6299" t="str">
            <v>CRS-4</v>
          </cell>
          <cell r="O6299"/>
          <cell r="T6299"/>
        </row>
        <row r="6300">
          <cell r="A6300" t="str">
            <v>CUSHCRAFT</v>
          </cell>
          <cell r="B6300" t="str">
            <v>CRX-150</v>
          </cell>
          <cell r="O6300"/>
          <cell r="T6300"/>
        </row>
        <row r="6301">
          <cell r="A6301" t="str">
            <v>CUSHCRAFT</v>
          </cell>
          <cell r="B6301" t="str">
            <v>CRX-150B</v>
          </cell>
          <cell r="O6301"/>
          <cell r="T6301"/>
        </row>
        <row r="6302">
          <cell r="A6302" t="str">
            <v>CUSHCRAFT</v>
          </cell>
          <cell r="B6302" t="str">
            <v>D40</v>
          </cell>
          <cell r="O6302"/>
          <cell r="T6302"/>
        </row>
        <row r="6303">
          <cell r="A6303" t="str">
            <v>CUSHCRAFT</v>
          </cell>
          <cell r="B6303" t="str">
            <v>J33016D00-90N</v>
          </cell>
          <cell r="O6303"/>
          <cell r="T6303"/>
        </row>
        <row r="6304">
          <cell r="A6304" t="str">
            <v>CUSHCRAFT</v>
          </cell>
          <cell r="B6304" t="str">
            <v>J34220V01-60N</v>
          </cell>
          <cell r="O6304"/>
          <cell r="T6304"/>
        </row>
        <row r="6305">
          <cell r="A6305" t="str">
            <v>CUSHCRAFT</v>
          </cell>
          <cell r="B6305" t="str">
            <v>PC18513N</v>
          </cell>
          <cell r="O6305"/>
          <cell r="T6305"/>
        </row>
        <row r="6306">
          <cell r="A6306" t="str">
            <v>CUSHCRAFT</v>
          </cell>
          <cell r="B6306" t="str">
            <v>PC4-57N</v>
          </cell>
          <cell r="O6306"/>
          <cell r="T6306"/>
        </row>
        <row r="6307">
          <cell r="A6307" t="str">
            <v>CUSHCRAFT</v>
          </cell>
          <cell r="B6307" t="str">
            <v>PC457N</v>
          </cell>
          <cell r="O6307"/>
          <cell r="T6307"/>
        </row>
        <row r="6308">
          <cell r="A6308" t="str">
            <v>CUSHCRAFT</v>
          </cell>
          <cell r="B6308" t="str">
            <v>PC804N</v>
          </cell>
          <cell r="O6308"/>
          <cell r="T6308"/>
        </row>
        <row r="6309">
          <cell r="A6309" t="str">
            <v>CUSHCRAFT</v>
          </cell>
          <cell r="B6309" t="str">
            <v>PC8910N</v>
          </cell>
          <cell r="O6309"/>
          <cell r="T6309"/>
        </row>
        <row r="6310">
          <cell r="A6310" t="str">
            <v>CUSHCRAFT</v>
          </cell>
          <cell r="B6310" t="str">
            <v>PLC2206</v>
          </cell>
          <cell r="O6310"/>
          <cell r="T6310"/>
        </row>
        <row r="6311">
          <cell r="A6311" t="str">
            <v>CUSHCRAFT</v>
          </cell>
          <cell r="B6311" t="str">
            <v>PLC4510N</v>
          </cell>
          <cell r="O6311"/>
          <cell r="T6311"/>
        </row>
        <row r="6312">
          <cell r="A6312" t="str">
            <v>CUSHCRAFT</v>
          </cell>
          <cell r="B6312" t="str">
            <v>PLC496</v>
          </cell>
          <cell r="O6312"/>
          <cell r="T6312"/>
        </row>
        <row r="6313">
          <cell r="A6313" t="str">
            <v>CUSHCRAFT</v>
          </cell>
          <cell r="B6313" t="str">
            <v>S8060B</v>
          </cell>
          <cell r="O6313"/>
          <cell r="T6313"/>
        </row>
        <row r="6314">
          <cell r="A6314" t="str">
            <v>CUSHCRAFT</v>
          </cell>
          <cell r="B6314" t="str">
            <v>SL82184P12NF</v>
          </cell>
          <cell r="O6314"/>
          <cell r="T6314"/>
        </row>
        <row r="6315">
          <cell r="A6315" t="str">
            <v>CUSHCRAFT</v>
          </cell>
          <cell r="B6315" t="str">
            <v>SL82184P36SMM</v>
          </cell>
          <cell r="O6315"/>
          <cell r="T6315"/>
        </row>
        <row r="6316">
          <cell r="A6316" t="str">
            <v>CUSHCRAFT</v>
          </cell>
          <cell r="B6316" t="str">
            <v>SR51120D12SMF</v>
          </cell>
          <cell r="O6316"/>
          <cell r="T6316"/>
        </row>
        <row r="6317">
          <cell r="A6317" t="str">
            <v>CYCLONE</v>
          </cell>
          <cell r="B6317" t="str">
            <v>2.4-120</v>
          </cell>
          <cell r="O6317"/>
          <cell r="T6317"/>
        </row>
        <row r="6318">
          <cell r="A6318" t="str">
            <v>CYCLONE</v>
          </cell>
          <cell r="B6318" t="str">
            <v>2.4-360.812</v>
          </cell>
          <cell r="O6318"/>
          <cell r="T6318"/>
        </row>
        <row r="6319">
          <cell r="A6319" t="str">
            <v>CYCLONE</v>
          </cell>
          <cell r="B6319" t="str">
            <v>2.4BH10.S2</v>
          </cell>
          <cell r="O6319"/>
          <cell r="T6319"/>
        </row>
        <row r="6320">
          <cell r="A6320" t="str">
            <v>CYCLONE</v>
          </cell>
          <cell r="B6320" t="str">
            <v>2400-120</v>
          </cell>
          <cell r="O6320"/>
          <cell r="T6320"/>
        </row>
        <row r="6321">
          <cell r="A6321" t="str">
            <v>CYCLONE</v>
          </cell>
          <cell r="B6321" t="str">
            <v>2400-360.15</v>
          </cell>
          <cell r="O6321"/>
          <cell r="T6321"/>
        </row>
        <row r="6322">
          <cell r="A6322" t="str">
            <v>CYCLONE</v>
          </cell>
          <cell r="B6322" t="str">
            <v>2400VS</v>
          </cell>
          <cell r="O6322"/>
          <cell r="T6322"/>
        </row>
        <row r="6323">
          <cell r="A6323" t="str">
            <v>CYCLONE</v>
          </cell>
          <cell r="B6323" t="str">
            <v>2450-120</v>
          </cell>
          <cell r="O6323"/>
          <cell r="T6323"/>
        </row>
        <row r="6324">
          <cell r="A6324" t="str">
            <v>CYCLONE</v>
          </cell>
          <cell r="B6324" t="str">
            <v>2450VS</v>
          </cell>
          <cell r="O6324"/>
          <cell r="T6324"/>
        </row>
        <row r="6325">
          <cell r="A6325" t="str">
            <v>CYCLONE</v>
          </cell>
          <cell r="B6325" t="str">
            <v>2451VS</v>
          </cell>
          <cell r="O6325"/>
          <cell r="T6325"/>
        </row>
        <row r="6326">
          <cell r="A6326" t="str">
            <v>CYCLONE</v>
          </cell>
          <cell r="B6326" t="str">
            <v>5.2-360.10</v>
          </cell>
          <cell r="O6326"/>
          <cell r="T6326"/>
        </row>
        <row r="6327">
          <cell r="A6327" t="str">
            <v>CYCLONE</v>
          </cell>
          <cell r="B6327" t="str">
            <v>5.7-120</v>
          </cell>
          <cell r="O6327"/>
          <cell r="T6327"/>
        </row>
        <row r="6328">
          <cell r="A6328" t="str">
            <v>CYCLONE</v>
          </cell>
          <cell r="B6328" t="str">
            <v>5.7-360.10</v>
          </cell>
          <cell r="O6328"/>
          <cell r="T6328"/>
        </row>
        <row r="6329">
          <cell r="A6329" t="str">
            <v>CYCLONE</v>
          </cell>
          <cell r="B6329" t="str">
            <v>5.7.360</v>
          </cell>
          <cell r="O6329"/>
          <cell r="T6329"/>
        </row>
        <row r="6330">
          <cell r="A6330" t="str">
            <v>CYCLONE</v>
          </cell>
          <cell r="B6330" t="str">
            <v>5200-120</v>
          </cell>
          <cell r="O6330"/>
          <cell r="T6330"/>
        </row>
        <row r="6331">
          <cell r="A6331" t="str">
            <v>CYCLONE</v>
          </cell>
          <cell r="B6331" t="str">
            <v>5201-120</v>
          </cell>
          <cell r="O6331"/>
          <cell r="T6331"/>
        </row>
        <row r="6332">
          <cell r="A6332" t="str">
            <v>CYCLONE</v>
          </cell>
          <cell r="B6332" t="str">
            <v>5250-120</v>
          </cell>
          <cell r="O6332"/>
          <cell r="T6332"/>
        </row>
        <row r="6333">
          <cell r="A6333" t="str">
            <v>CYCLONE</v>
          </cell>
          <cell r="B6333" t="str">
            <v>5250-60</v>
          </cell>
          <cell r="O6333"/>
          <cell r="T6333"/>
        </row>
        <row r="6334">
          <cell r="A6334" t="str">
            <v>CYCLONE</v>
          </cell>
          <cell r="B6334" t="str">
            <v>5251-120</v>
          </cell>
          <cell r="O6334"/>
          <cell r="T6334"/>
        </row>
        <row r="6335">
          <cell r="A6335" t="str">
            <v>CYCLONE</v>
          </cell>
          <cell r="B6335" t="str">
            <v>5400-120</v>
          </cell>
          <cell r="O6335"/>
          <cell r="T6335"/>
        </row>
        <row r="6336">
          <cell r="A6336" t="str">
            <v>CYCLONE</v>
          </cell>
          <cell r="B6336" t="str">
            <v>5450-120</v>
          </cell>
          <cell r="O6336"/>
          <cell r="T6336"/>
        </row>
        <row r="6337">
          <cell r="A6337" t="str">
            <v>CYCLONE</v>
          </cell>
          <cell r="B6337" t="str">
            <v>5450-60</v>
          </cell>
          <cell r="O6337"/>
          <cell r="T6337"/>
        </row>
        <row r="6338">
          <cell r="A6338" t="str">
            <v>CYCLONE</v>
          </cell>
          <cell r="B6338" t="str">
            <v>5450-60V</v>
          </cell>
          <cell r="O6338"/>
          <cell r="T6338"/>
        </row>
        <row r="6339">
          <cell r="A6339" t="str">
            <v>CYCLONE</v>
          </cell>
          <cell r="B6339" t="str">
            <v>5700-120</v>
          </cell>
          <cell r="O6339"/>
          <cell r="T6339"/>
        </row>
        <row r="6340">
          <cell r="A6340" t="str">
            <v>CYCLONE</v>
          </cell>
          <cell r="B6340" t="str">
            <v>5700-360.10</v>
          </cell>
          <cell r="O6340"/>
          <cell r="T6340"/>
        </row>
        <row r="6341">
          <cell r="A6341" t="str">
            <v>CYCLONE</v>
          </cell>
          <cell r="B6341" t="str">
            <v>5750-120</v>
          </cell>
          <cell r="O6341"/>
          <cell r="T6341"/>
        </row>
        <row r="6342">
          <cell r="A6342" t="str">
            <v>CYCLONE</v>
          </cell>
          <cell r="B6342" t="str">
            <v>900-360.7H</v>
          </cell>
          <cell r="O6342"/>
          <cell r="T6342"/>
        </row>
        <row r="6343">
          <cell r="A6343" t="str">
            <v>CYCLONE</v>
          </cell>
          <cell r="B6343" t="str">
            <v>9000-120.11H</v>
          </cell>
          <cell r="O6343"/>
          <cell r="T6343"/>
        </row>
        <row r="6344">
          <cell r="A6344" t="str">
            <v>CYCLONE</v>
          </cell>
          <cell r="B6344" t="str">
            <v>9000-360.9H</v>
          </cell>
          <cell r="O6344"/>
          <cell r="T6344"/>
        </row>
        <row r="6345">
          <cell r="A6345" t="str">
            <v>CYCLONE</v>
          </cell>
          <cell r="B6345" t="str">
            <v>BH-20</v>
          </cell>
          <cell r="O6345"/>
          <cell r="T6345"/>
        </row>
        <row r="6346">
          <cell r="A6346" t="str">
            <v>CYCLONE</v>
          </cell>
          <cell r="B6346" t="str">
            <v>CY-5V-120-14NM</v>
          </cell>
          <cell r="O6346"/>
          <cell r="T6346"/>
        </row>
        <row r="6347">
          <cell r="A6347" t="str">
            <v>CYCLONE</v>
          </cell>
          <cell r="B6347" t="str">
            <v>CY-R380.600.200</v>
          </cell>
          <cell r="O6347"/>
          <cell r="T6347"/>
        </row>
        <row r="6348">
          <cell r="A6348" t="str">
            <v>DAPA</v>
          </cell>
          <cell r="B6348" t="str">
            <v>06010</v>
          </cell>
          <cell r="O6348"/>
          <cell r="T6348"/>
        </row>
        <row r="6349">
          <cell r="A6349" t="str">
            <v>DAPA</v>
          </cell>
          <cell r="B6349" t="str">
            <v>08010</v>
          </cell>
          <cell r="O6349"/>
          <cell r="T6349"/>
        </row>
        <row r="6350">
          <cell r="A6350" t="str">
            <v>DAPA</v>
          </cell>
          <cell r="B6350" t="str">
            <v>08011</v>
          </cell>
          <cell r="O6350"/>
          <cell r="T6350"/>
        </row>
        <row r="6351">
          <cell r="A6351" t="str">
            <v>DAPA</v>
          </cell>
          <cell r="B6351" t="str">
            <v>09000</v>
          </cell>
          <cell r="O6351"/>
          <cell r="T6351"/>
        </row>
        <row r="6352">
          <cell r="A6352" t="str">
            <v>DAPA</v>
          </cell>
          <cell r="B6352" t="str">
            <v>09010</v>
          </cell>
          <cell r="O6352"/>
          <cell r="T6352"/>
        </row>
        <row r="6353">
          <cell r="A6353" t="str">
            <v>DAPA</v>
          </cell>
          <cell r="B6353" t="str">
            <v>09210</v>
          </cell>
          <cell r="O6353"/>
          <cell r="T6353"/>
        </row>
        <row r="6354">
          <cell r="A6354" t="str">
            <v>DAPA</v>
          </cell>
          <cell r="B6354" t="str">
            <v>16310</v>
          </cell>
          <cell r="O6354">
            <v>1.9779647357941399</v>
          </cell>
          <cell r="T6354">
            <v>0.85585711615775384</v>
          </cell>
        </row>
        <row r="6355">
          <cell r="A6355" t="str">
            <v>DAPA</v>
          </cell>
          <cell r="B6355" t="str">
            <v>16500</v>
          </cell>
          <cell r="O6355">
            <v>1.9779647357941399</v>
          </cell>
          <cell r="T6355">
            <v>0.85585711615775384</v>
          </cell>
        </row>
        <row r="6356">
          <cell r="A6356" t="str">
            <v>DAPA</v>
          </cell>
          <cell r="B6356" t="str">
            <v>19010</v>
          </cell>
          <cell r="O6356">
            <v>4.09902895908409</v>
          </cell>
          <cell r="T6356">
            <v>1.77537408834829</v>
          </cell>
        </row>
        <row r="6357">
          <cell r="A6357" t="str">
            <v>DAPA</v>
          </cell>
          <cell r="B6357" t="str">
            <v>19010S</v>
          </cell>
          <cell r="O6357">
            <v>4.09902895908409</v>
          </cell>
          <cell r="T6357">
            <v>1.77537408834829</v>
          </cell>
        </row>
        <row r="6358">
          <cell r="A6358" t="str">
            <v>DAPA</v>
          </cell>
          <cell r="B6358" t="str">
            <v>2930-006</v>
          </cell>
          <cell r="O6358"/>
          <cell r="T6358"/>
        </row>
        <row r="6359">
          <cell r="A6359" t="str">
            <v>DAPA</v>
          </cell>
          <cell r="B6359" t="str">
            <v>2940.001</v>
          </cell>
          <cell r="O6359"/>
          <cell r="T6359"/>
        </row>
        <row r="6360">
          <cell r="A6360" t="str">
            <v>DAPA</v>
          </cell>
          <cell r="B6360" t="str">
            <v>2940.004</v>
          </cell>
          <cell r="O6360"/>
          <cell r="T6360"/>
        </row>
        <row r="6361">
          <cell r="A6361" t="str">
            <v>DAPA</v>
          </cell>
          <cell r="B6361" t="str">
            <v>2940.006</v>
          </cell>
          <cell r="O6361"/>
          <cell r="T6361"/>
        </row>
        <row r="6362">
          <cell r="A6362" t="str">
            <v>DAPA</v>
          </cell>
          <cell r="B6362" t="str">
            <v>2940.014</v>
          </cell>
          <cell r="O6362"/>
          <cell r="T6362"/>
        </row>
        <row r="6363">
          <cell r="A6363" t="str">
            <v>DAPA</v>
          </cell>
          <cell r="B6363" t="str">
            <v>2960.001</v>
          </cell>
          <cell r="O6363"/>
          <cell r="T6363"/>
        </row>
        <row r="6364">
          <cell r="A6364" t="str">
            <v>DAPA</v>
          </cell>
          <cell r="B6364" t="str">
            <v>2960.004</v>
          </cell>
          <cell r="O6364"/>
          <cell r="T6364"/>
        </row>
        <row r="6365">
          <cell r="A6365" t="str">
            <v>DAPA</v>
          </cell>
          <cell r="B6365" t="str">
            <v>2960.005</v>
          </cell>
          <cell r="O6365"/>
          <cell r="T6365"/>
        </row>
        <row r="6366">
          <cell r="A6366" t="str">
            <v>DAPA</v>
          </cell>
          <cell r="B6366" t="str">
            <v>2960.006</v>
          </cell>
          <cell r="O6366"/>
          <cell r="T6366"/>
        </row>
        <row r="6367">
          <cell r="A6367" t="str">
            <v>DAPA</v>
          </cell>
          <cell r="B6367" t="str">
            <v>2960.007</v>
          </cell>
          <cell r="O6367"/>
          <cell r="T6367"/>
        </row>
        <row r="6368">
          <cell r="A6368" t="str">
            <v>DAPA</v>
          </cell>
          <cell r="B6368" t="str">
            <v>2960.012</v>
          </cell>
          <cell r="O6368"/>
          <cell r="T6368"/>
        </row>
        <row r="6369">
          <cell r="A6369" t="str">
            <v>DAPA</v>
          </cell>
          <cell r="B6369" t="str">
            <v>2960.015</v>
          </cell>
          <cell r="O6369"/>
          <cell r="T6369"/>
        </row>
        <row r="6370">
          <cell r="A6370" t="str">
            <v>DAPA</v>
          </cell>
          <cell r="B6370" t="str">
            <v>2960.016</v>
          </cell>
          <cell r="O6370"/>
          <cell r="T6370"/>
        </row>
        <row r="6371">
          <cell r="A6371" t="str">
            <v>DAPA</v>
          </cell>
          <cell r="B6371" t="str">
            <v>2980</v>
          </cell>
          <cell r="O6371"/>
          <cell r="T6371"/>
        </row>
        <row r="6372">
          <cell r="A6372" t="str">
            <v>DAPA</v>
          </cell>
          <cell r="B6372" t="str">
            <v>2980-006</v>
          </cell>
          <cell r="O6372">
            <v>5.5233410493827195</v>
          </cell>
          <cell r="T6372">
            <v>4.7186581080702892</v>
          </cell>
        </row>
        <row r="6373">
          <cell r="A6373" t="str">
            <v>DAPA</v>
          </cell>
          <cell r="B6373" t="str">
            <v>2980.001</v>
          </cell>
          <cell r="O6373"/>
          <cell r="T6373"/>
        </row>
        <row r="6374">
          <cell r="A6374" t="str">
            <v>DAPA</v>
          </cell>
          <cell r="B6374" t="str">
            <v>2980.002</v>
          </cell>
          <cell r="O6374"/>
          <cell r="T6374"/>
        </row>
        <row r="6375">
          <cell r="A6375" t="str">
            <v>DAPA</v>
          </cell>
          <cell r="B6375" t="str">
            <v>2980.004</v>
          </cell>
          <cell r="O6375"/>
          <cell r="T6375"/>
        </row>
        <row r="6376">
          <cell r="A6376" t="str">
            <v>DAPA</v>
          </cell>
          <cell r="B6376" t="str">
            <v>2980.005</v>
          </cell>
          <cell r="O6376"/>
          <cell r="T6376"/>
        </row>
        <row r="6377">
          <cell r="A6377" t="str">
            <v>DAPA</v>
          </cell>
          <cell r="B6377" t="str">
            <v>2980.006</v>
          </cell>
          <cell r="O6377">
            <v>5.5233410493827195</v>
          </cell>
          <cell r="T6377">
            <v>4.7186581080702892</v>
          </cell>
        </row>
        <row r="6378">
          <cell r="A6378" t="str">
            <v>DAPA</v>
          </cell>
          <cell r="B6378" t="str">
            <v>2980.011</v>
          </cell>
          <cell r="O6378"/>
          <cell r="T6378"/>
        </row>
        <row r="6379">
          <cell r="A6379" t="str">
            <v>DAPA</v>
          </cell>
          <cell r="B6379" t="str">
            <v>2980.012</v>
          </cell>
          <cell r="O6379"/>
          <cell r="T6379"/>
        </row>
        <row r="6380">
          <cell r="A6380" t="str">
            <v>DAPA</v>
          </cell>
          <cell r="B6380" t="str">
            <v>2980.015</v>
          </cell>
          <cell r="O6380"/>
          <cell r="T6380"/>
        </row>
        <row r="6381">
          <cell r="A6381" t="str">
            <v>DAPA</v>
          </cell>
          <cell r="B6381" t="str">
            <v>2980.016</v>
          </cell>
          <cell r="O6381">
            <v>5.5233410493827195</v>
          </cell>
          <cell r="T6381">
            <v>4.7186581080702892</v>
          </cell>
        </row>
        <row r="6382">
          <cell r="A6382" t="str">
            <v>DAPA</v>
          </cell>
          <cell r="B6382" t="str">
            <v>2981-002</v>
          </cell>
          <cell r="O6382"/>
          <cell r="T6382"/>
        </row>
        <row r="6383">
          <cell r="A6383" t="str">
            <v>DAPA</v>
          </cell>
          <cell r="B6383" t="str">
            <v>2990.006</v>
          </cell>
          <cell r="O6383"/>
          <cell r="T6383"/>
        </row>
        <row r="6384">
          <cell r="A6384" t="str">
            <v>DAPA</v>
          </cell>
          <cell r="B6384" t="str">
            <v>38010</v>
          </cell>
          <cell r="O6384">
            <v>2.7492298918953098</v>
          </cell>
          <cell r="T6384">
            <v>1.1921641323091801</v>
          </cell>
        </row>
        <row r="6385">
          <cell r="A6385" t="str">
            <v>DAPA</v>
          </cell>
          <cell r="B6385" t="str">
            <v>39000</v>
          </cell>
          <cell r="O6385">
            <v>4.09902895908409</v>
          </cell>
          <cell r="T6385">
            <v>1.77537408834829</v>
          </cell>
        </row>
        <row r="6386">
          <cell r="A6386" t="str">
            <v>DAPA</v>
          </cell>
          <cell r="B6386" t="str">
            <v>39010</v>
          </cell>
          <cell r="O6386">
            <v>4.09902895908409</v>
          </cell>
          <cell r="T6386">
            <v>1.77537408834829</v>
          </cell>
        </row>
        <row r="6387">
          <cell r="A6387" t="str">
            <v>DAPA</v>
          </cell>
          <cell r="B6387" t="str">
            <v>3960-026</v>
          </cell>
          <cell r="O6387"/>
          <cell r="T6387"/>
        </row>
        <row r="6388">
          <cell r="A6388" t="str">
            <v>DAPA</v>
          </cell>
          <cell r="B6388" t="str">
            <v>3960-046</v>
          </cell>
          <cell r="O6388"/>
          <cell r="T6388"/>
        </row>
        <row r="6389">
          <cell r="A6389" t="str">
            <v>DAPA</v>
          </cell>
          <cell r="B6389" t="str">
            <v>3960-324</v>
          </cell>
          <cell r="O6389"/>
          <cell r="T6389"/>
        </row>
        <row r="6390">
          <cell r="A6390" t="str">
            <v>DAPA</v>
          </cell>
          <cell r="B6390" t="str">
            <v>3960.005</v>
          </cell>
          <cell r="O6390"/>
          <cell r="T6390"/>
        </row>
        <row r="6391">
          <cell r="A6391" t="str">
            <v>DAPA</v>
          </cell>
          <cell r="B6391" t="str">
            <v>3960.024</v>
          </cell>
          <cell r="O6391"/>
          <cell r="T6391"/>
        </row>
        <row r="6392">
          <cell r="A6392" t="str">
            <v>DAPA</v>
          </cell>
          <cell r="B6392" t="str">
            <v>3980.024</v>
          </cell>
          <cell r="O6392"/>
          <cell r="T6392"/>
        </row>
        <row r="6393">
          <cell r="A6393" t="str">
            <v>DAPA</v>
          </cell>
          <cell r="B6393" t="str">
            <v>3980.025</v>
          </cell>
          <cell r="O6393"/>
          <cell r="T6393"/>
        </row>
        <row r="6394">
          <cell r="A6394" t="str">
            <v>DAPA</v>
          </cell>
          <cell r="B6394" t="str">
            <v>42010</v>
          </cell>
          <cell r="O6394">
            <v>0.78349181544794888</v>
          </cell>
          <cell r="T6394">
            <v>0.24597844303774991</v>
          </cell>
        </row>
        <row r="6395">
          <cell r="A6395" t="str">
            <v>DAPA</v>
          </cell>
          <cell r="B6395" t="str">
            <v>45200X</v>
          </cell>
          <cell r="O6395"/>
          <cell r="T6395"/>
        </row>
        <row r="6396">
          <cell r="A6396" t="str">
            <v>DAPA</v>
          </cell>
          <cell r="B6396" t="str">
            <v>46010</v>
          </cell>
          <cell r="O6396">
            <v>2.81543854460871</v>
          </cell>
          <cell r="T6396">
            <v>0.88769593392758295</v>
          </cell>
        </row>
        <row r="6397">
          <cell r="A6397" t="str">
            <v>DAPA</v>
          </cell>
          <cell r="B6397" t="str">
            <v>46210</v>
          </cell>
          <cell r="O6397">
            <v>2.81543854460871</v>
          </cell>
          <cell r="T6397">
            <v>0.88769593392758295</v>
          </cell>
        </row>
        <row r="6398">
          <cell r="A6398" t="str">
            <v>DAPA</v>
          </cell>
          <cell r="B6398" t="str">
            <v>48000</v>
          </cell>
          <cell r="O6398">
            <v>4.2206779240075303</v>
          </cell>
          <cell r="T6398">
            <v>1.3330192137685299</v>
          </cell>
        </row>
        <row r="6399">
          <cell r="A6399" t="str">
            <v>DAPA</v>
          </cell>
          <cell r="B6399" t="str">
            <v>48000S</v>
          </cell>
          <cell r="O6399">
            <v>4.2206779240075303</v>
          </cell>
          <cell r="T6399">
            <v>1.3330192137685299</v>
          </cell>
        </row>
        <row r="6400">
          <cell r="A6400" t="str">
            <v>DAPA</v>
          </cell>
          <cell r="B6400" t="str">
            <v>48010</v>
          </cell>
          <cell r="O6400">
            <v>4.2206779240075303</v>
          </cell>
          <cell r="T6400">
            <v>1.3330192137685299</v>
          </cell>
        </row>
        <row r="6401">
          <cell r="A6401" t="str">
            <v>DAPA</v>
          </cell>
          <cell r="B6401" t="str">
            <v>48010X</v>
          </cell>
          <cell r="O6401"/>
          <cell r="T6401"/>
        </row>
        <row r="6402">
          <cell r="A6402" t="str">
            <v>DAPA</v>
          </cell>
          <cell r="B6402" t="str">
            <v>48200X</v>
          </cell>
          <cell r="O6402"/>
          <cell r="T6402"/>
        </row>
        <row r="6403">
          <cell r="A6403" t="str">
            <v>DAPA</v>
          </cell>
          <cell r="B6403" t="str">
            <v>48210</v>
          </cell>
          <cell r="O6403">
            <v>4.2206779240075303</v>
          </cell>
          <cell r="T6403">
            <v>1.3330192137685299</v>
          </cell>
        </row>
        <row r="6404">
          <cell r="A6404" t="str">
            <v>DAPA</v>
          </cell>
          <cell r="B6404" t="str">
            <v>48210X</v>
          </cell>
          <cell r="O6404"/>
          <cell r="T6404"/>
        </row>
        <row r="6405">
          <cell r="A6405" t="str">
            <v>DAPA</v>
          </cell>
          <cell r="B6405" t="str">
            <v>48212S</v>
          </cell>
          <cell r="O6405">
            <v>4.2206779240075303</v>
          </cell>
          <cell r="T6405">
            <v>1.3330192137685299</v>
          </cell>
        </row>
        <row r="6406">
          <cell r="A6406" t="str">
            <v>DAPA</v>
          </cell>
          <cell r="B6406" t="str">
            <v>48310</v>
          </cell>
          <cell r="O6406">
            <v>4.2206779240075303</v>
          </cell>
          <cell r="T6406">
            <v>1.3330192137685299</v>
          </cell>
        </row>
        <row r="6407">
          <cell r="A6407" t="str">
            <v>DAPA</v>
          </cell>
          <cell r="B6407" t="str">
            <v>48410</v>
          </cell>
          <cell r="O6407"/>
          <cell r="T6407"/>
        </row>
        <row r="6408">
          <cell r="A6408" t="str">
            <v>DAPA</v>
          </cell>
          <cell r="B6408" t="str">
            <v>48600</v>
          </cell>
          <cell r="O6408">
            <v>4.2206779240075303</v>
          </cell>
          <cell r="T6408">
            <v>1.3330192137685299</v>
          </cell>
        </row>
        <row r="6409">
          <cell r="A6409" t="str">
            <v>DAPA</v>
          </cell>
          <cell r="B6409" t="str">
            <v>48610</v>
          </cell>
          <cell r="O6409">
            <v>4.2206779240075303</v>
          </cell>
          <cell r="T6409">
            <v>1.3330192137685299</v>
          </cell>
        </row>
        <row r="6410">
          <cell r="A6410" t="str">
            <v>DAPA</v>
          </cell>
          <cell r="B6410" t="str">
            <v>49000</v>
          </cell>
          <cell r="O6410">
            <v>5.8327470835788491</v>
          </cell>
          <cell r="T6410">
            <v>1.81359383210032</v>
          </cell>
        </row>
        <row r="6411">
          <cell r="A6411" t="str">
            <v>DAPA</v>
          </cell>
          <cell r="B6411" t="str">
            <v>49010</v>
          </cell>
          <cell r="O6411">
            <v>5.8327470835788491</v>
          </cell>
          <cell r="T6411">
            <v>1.81359383210032</v>
          </cell>
        </row>
        <row r="6412">
          <cell r="A6412" t="str">
            <v>DAPA</v>
          </cell>
          <cell r="B6412" t="str">
            <v>49010S</v>
          </cell>
          <cell r="O6412">
            <v>5.8327470835788491</v>
          </cell>
          <cell r="T6412">
            <v>1.81359383210032</v>
          </cell>
        </row>
        <row r="6413">
          <cell r="A6413" t="str">
            <v>DAPA</v>
          </cell>
          <cell r="B6413" t="str">
            <v>49200</v>
          </cell>
          <cell r="O6413">
            <v>5.8327470835788491</v>
          </cell>
          <cell r="T6413">
            <v>1.81359383210032</v>
          </cell>
        </row>
        <row r="6414">
          <cell r="A6414" t="str">
            <v>DAPA</v>
          </cell>
          <cell r="B6414" t="str">
            <v>49210</v>
          </cell>
          <cell r="O6414">
            <v>5.8327470835788491</v>
          </cell>
          <cell r="T6414">
            <v>1.81359383210032</v>
          </cell>
        </row>
        <row r="6415">
          <cell r="A6415" t="str">
            <v>DAPA</v>
          </cell>
          <cell r="B6415" t="str">
            <v>49212</v>
          </cell>
          <cell r="O6415">
            <v>5.8327470835788491</v>
          </cell>
          <cell r="T6415">
            <v>1.81359383210032</v>
          </cell>
        </row>
        <row r="6416">
          <cell r="A6416" t="str">
            <v>DAPA</v>
          </cell>
          <cell r="B6416" t="str">
            <v>49212S</v>
          </cell>
          <cell r="O6416">
            <v>5.8327470835788491</v>
          </cell>
          <cell r="T6416">
            <v>1.81359383210032</v>
          </cell>
        </row>
        <row r="6417">
          <cell r="A6417" t="str">
            <v>DAPA</v>
          </cell>
          <cell r="B6417" t="str">
            <v>49410</v>
          </cell>
          <cell r="O6417">
            <v>5.8327470835788491</v>
          </cell>
          <cell r="T6417">
            <v>1.81359383210032</v>
          </cell>
        </row>
        <row r="6418">
          <cell r="A6418" t="str">
            <v>DAPA</v>
          </cell>
          <cell r="B6418" t="str">
            <v>49412S</v>
          </cell>
          <cell r="O6418">
            <v>5.8327470835788491</v>
          </cell>
          <cell r="T6418">
            <v>1.81359383210032</v>
          </cell>
        </row>
        <row r="6419">
          <cell r="A6419" t="str">
            <v>DAPA</v>
          </cell>
          <cell r="B6419" t="str">
            <v>52910</v>
          </cell>
          <cell r="O6419"/>
          <cell r="T6419"/>
        </row>
        <row r="6420">
          <cell r="A6420" t="str">
            <v>DAPA</v>
          </cell>
          <cell r="B6420" t="str">
            <v>54210</v>
          </cell>
          <cell r="O6420"/>
          <cell r="T6420"/>
        </row>
        <row r="6421">
          <cell r="A6421" t="str">
            <v>DAPA</v>
          </cell>
          <cell r="B6421" t="str">
            <v>56000</v>
          </cell>
          <cell r="O6421">
            <v>1.9779647357941399</v>
          </cell>
          <cell r="T6421">
            <v>0.85585711615775384</v>
          </cell>
        </row>
        <row r="6422">
          <cell r="A6422" t="str">
            <v>DAPA</v>
          </cell>
          <cell r="B6422" t="str">
            <v>56000X</v>
          </cell>
          <cell r="O6422">
            <v>2.0212233417529202</v>
          </cell>
          <cell r="T6422">
            <v>0.87472541299644802</v>
          </cell>
        </row>
        <row r="6423">
          <cell r="A6423" t="str">
            <v>DAPA</v>
          </cell>
          <cell r="B6423" t="str">
            <v>56010</v>
          </cell>
          <cell r="O6423">
            <v>1.9779647357941399</v>
          </cell>
          <cell r="T6423">
            <v>0.85585711615775384</v>
          </cell>
        </row>
        <row r="6424">
          <cell r="A6424" t="str">
            <v>DAPA</v>
          </cell>
          <cell r="B6424" t="str">
            <v>56010X</v>
          </cell>
          <cell r="O6424">
            <v>2.0212233417529202</v>
          </cell>
          <cell r="T6424">
            <v>0.87472541299644802</v>
          </cell>
        </row>
        <row r="6425">
          <cell r="A6425" t="str">
            <v>DAPA</v>
          </cell>
          <cell r="B6425" t="str">
            <v>56210X</v>
          </cell>
          <cell r="O6425">
            <v>2.0212233417529202</v>
          </cell>
          <cell r="T6425">
            <v>0.87472541299644802</v>
          </cell>
        </row>
        <row r="6426">
          <cell r="A6426" t="str">
            <v>DAPA</v>
          </cell>
          <cell r="B6426" t="str">
            <v>56310</v>
          </cell>
          <cell r="O6426">
            <v>1.9779647357941399</v>
          </cell>
          <cell r="T6426">
            <v>0.85585711615775384</v>
          </cell>
        </row>
        <row r="6427">
          <cell r="A6427" t="str">
            <v>DAPA</v>
          </cell>
          <cell r="B6427" t="str">
            <v>58000</v>
          </cell>
          <cell r="O6427">
            <v>2.7492298918953098</v>
          </cell>
          <cell r="T6427">
            <v>1.1921641323091801</v>
          </cell>
        </row>
        <row r="6428">
          <cell r="A6428" t="str">
            <v>DAPA</v>
          </cell>
          <cell r="B6428" t="str">
            <v>58010</v>
          </cell>
          <cell r="O6428">
            <v>2.7492298918953098</v>
          </cell>
          <cell r="T6428">
            <v>1.1921641323091801</v>
          </cell>
        </row>
        <row r="6429">
          <cell r="A6429" t="str">
            <v>DAPA</v>
          </cell>
          <cell r="B6429" t="str">
            <v>58010S</v>
          </cell>
          <cell r="O6429">
            <v>2.7492298918953098</v>
          </cell>
          <cell r="T6429">
            <v>1.1921641323091801</v>
          </cell>
        </row>
        <row r="6430">
          <cell r="A6430" t="str">
            <v>DAPA</v>
          </cell>
          <cell r="B6430" t="str">
            <v>58200</v>
          </cell>
          <cell r="O6430">
            <v>2.7492298918953098</v>
          </cell>
          <cell r="T6430">
            <v>1.1921641323091801</v>
          </cell>
        </row>
        <row r="6431">
          <cell r="A6431" t="str">
            <v>DAPA</v>
          </cell>
          <cell r="B6431" t="str">
            <v>58210</v>
          </cell>
          <cell r="O6431">
            <v>2.7492298918953098</v>
          </cell>
          <cell r="T6431">
            <v>1.1921641323091801</v>
          </cell>
        </row>
        <row r="6432">
          <cell r="A6432" t="str">
            <v>DAPA</v>
          </cell>
          <cell r="B6432" t="str">
            <v>58212</v>
          </cell>
          <cell r="O6432">
            <v>2.7492298918953098</v>
          </cell>
          <cell r="T6432">
            <v>1.1921641323091801</v>
          </cell>
        </row>
        <row r="6433">
          <cell r="A6433" t="str">
            <v>DAPA</v>
          </cell>
          <cell r="B6433" t="str">
            <v>58310</v>
          </cell>
          <cell r="O6433">
            <v>2.7492298918953098</v>
          </cell>
          <cell r="T6433">
            <v>1.1921641323091801</v>
          </cell>
        </row>
        <row r="6434">
          <cell r="A6434" t="str">
            <v>DAPA</v>
          </cell>
          <cell r="B6434" t="str">
            <v>58410</v>
          </cell>
          <cell r="O6434">
            <v>2.7492298918953098</v>
          </cell>
          <cell r="T6434">
            <v>1.1921641323091801</v>
          </cell>
        </row>
        <row r="6435">
          <cell r="A6435" t="str">
            <v>DAPA</v>
          </cell>
          <cell r="B6435" t="str">
            <v>58411</v>
          </cell>
          <cell r="O6435">
            <v>2.7492298918953098</v>
          </cell>
          <cell r="T6435">
            <v>1.1921641323091801</v>
          </cell>
        </row>
        <row r="6436">
          <cell r="A6436" t="str">
            <v>DAPA</v>
          </cell>
          <cell r="B6436" t="str">
            <v>58610</v>
          </cell>
          <cell r="O6436"/>
          <cell r="T6436"/>
        </row>
        <row r="6437">
          <cell r="A6437" t="str">
            <v>DAPA</v>
          </cell>
          <cell r="B6437" t="str">
            <v>59000</v>
          </cell>
          <cell r="O6437">
            <v>4.09902895908409</v>
          </cell>
          <cell r="T6437">
            <v>1.77537408834829</v>
          </cell>
        </row>
        <row r="6438">
          <cell r="A6438" t="str">
            <v>DAPA</v>
          </cell>
          <cell r="B6438" t="str">
            <v>59010</v>
          </cell>
          <cell r="O6438">
            <v>4.09902895908409</v>
          </cell>
          <cell r="T6438">
            <v>1.77537408834829</v>
          </cell>
        </row>
        <row r="6439">
          <cell r="A6439" t="str">
            <v>DAPA</v>
          </cell>
          <cell r="B6439" t="str">
            <v>59010S</v>
          </cell>
          <cell r="O6439">
            <v>4.09902895908409</v>
          </cell>
          <cell r="T6439">
            <v>1.77537408834829</v>
          </cell>
        </row>
        <row r="6440">
          <cell r="A6440" t="str">
            <v>DAPA</v>
          </cell>
          <cell r="B6440" t="str">
            <v>59012</v>
          </cell>
          <cell r="O6440">
            <v>4.09902895908409</v>
          </cell>
          <cell r="T6440">
            <v>1.77537408834829</v>
          </cell>
        </row>
        <row r="6441">
          <cell r="A6441" t="str">
            <v>DAPA</v>
          </cell>
          <cell r="B6441" t="str">
            <v>59200</v>
          </cell>
          <cell r="O6441">
            <v>4.09902895908409</v>
          </cell>
          <cell r="T6441">
            <v>1.77537408834829</v>
          </cell>
        </row>
        <row r="6442">
          <cell r="A6442" t="str">
            <v>DAPA</v>
          </cell>
          <cell r="B6442" t="str">
            <v>59210</v>
          </cell>
          <cell r="O6442">
            <v>4.09902895908409</v>
          </cell>
          <cell r="T6442">
            <v>1.77537408834829</v>
          </cell>
        </row>
        <row r="6443">
          <cell r="A6443" t="str">
            <v>DAPA</v>
          </cell>
          <cell r="B6443" t="str">
            <v>59212</v>
          </cell>
          <cell r="O6443">
            <v>4.09902895908409</v>
          </cell>
          <cell r="T6443">
            <v>1.77537408834829</v>
          </cell>
        </row>
        <row r="6444">
          <cell r="A6444" t="str">
            <v>DAPA</v>
          </cell>
          <cell r="B6444" t="str">
            <v>59300</v>
          </cell>
          <cell r="O6444">
            <v>4.09902895908409</v>
          </cell>
          <cell r="T6444">
            <v>1.77537408834829</v>
          </cell>
        </row>
        <row r="6445">
          <cell r="A6445" t="str">
            <v>DAPA</v>
          </cell>
          <cell r="B6445" t="str">
            <v>59410</v>
          </cell>
          <cell r="O6445">
            <v>4.09902895908409</v>
          </cell>
          <cell r="T6445">
            <v>1.77537408834829</v>
          </cell>
        </row>
        <row r="6446">
          <cell r="A6446" t="str">
            <v>DAPA</v>
          </cell>
          <cell r="B6446" t="str">
            <v>64000</v>
          </cell>
          <cell r="O6446"/>
          <cell r="T6446"/>
        </row>
        <row r="6447">
          <cell r="A6447" t="str">
            <v>DAPA</v>
          </cell>
          <cell r="B6447" t="str">
            <v>68010</v>
          </cell>
          <cell r="O6447">
            <v>2.7492298918953098</v>
          </cell>
          <cell r="T6447">
            <v>1.1921641323091801</v>
          </cell>
        </row>
        <row r="6448">
          <cell r="A6448" t="str">
            <v>DAPA</v>
          </cell>
          <cell r="B6448" t="str">
            <v>68200</v>
          </cell>
          <cell r="O6448">
            <v>2.7492298918953098</v>
          </cell>
          <cell r="T6448">
            <v>1.1921641323091801</v>
          </cell>
        </row>
        <row r="6449">
          <cell r="A6449" t="str">
            <v>DAPA</v>
          </cell>
          <cell r="B6449" t="str">
            <v>68410</v>
          </cell>
          <cell r="O6449">
            <v>2.7492298918953098</v>
          </cell>
          <cell r="T6449">
            <v>1.1921641323091801</v>
          </cell>
        </row>
        <row r="6450">
          <cell r="A6450" t="str">
            <v>DAPA</v>
          </cell>
          <cell r="B6450" t="str">
            <v>69000</v>
          </cell>
          <cell r="O6450">
            <v>4.09902895908409</v>
          </cell>
          <cell r="T6450">
            <v>1.77537408834829</v>
          </cell>
        </row>
        <row r="6451">
          <cell r="A6451" t="str">
            <v>DAPA</v>
          </cell>
          <cell r="B6451" t="str">
            <v>69010</v>
          </cell>
          <cell r="O6451">
            <v>4.09902895908409</v>
          </cell>
          <cell r="T6451">
            <v>1.77537408834829</v>
          </cell>
        </row>
        <row r="6452">
          <cell r="A6452" t="str">
            <v>DAPA</v>
          </cell>
          <cell r="B6452" t="str">
            <v>69210</v>
          </cell>
          <cell r="O6452">
            <v>4.09902895908409</v>
          </cell>
          <cell r="T6452">
            <v>1.77537408834829</v>
          </cell>
        </row>
        <row r="6453">
          <cell r="A6453" t="str">
            <v>DAPA</v>
          </cell>
          <cell r="B6453" t="str">
            <v>74010</v>
          </cell>
          <cell r="O6453"/>
          <cell r="T6453"/>
        </row>
        <row r="6454">
          <cell r="A6454" t="str">
            <v>DAPA</v>
          </cell>
          <cell r="B6454" t="str">
            <v>78010</v>
          </cell>
          <cell r="O6454"/>
          <cell r="T6454"/>
        </row>
        <row r="6455">
          <cell r="A6455" t="str">
            <v>DAPA</v>
          </cell>
          <cell r="B6455" t="str">
            <v>78210</v>
          </cell>
          <cell r="O6455"/>
          <cell r="T6455"/>
        </row>
        <row r="6456">
          <cell r="A6456" t="str">
            <v>DAPA</v>
          </cell>
          <cell r="B6456" t="str">
            <v>79000</v>
          </cell>
          <cell r="O6456"/>
          <cell r="T6456"/>
        </row>
        <row r="6457">
          <cell r="A6457" t="str">
            <v>DAPA</v>
          </cell>
          <cell r="B6457" t="str">
            <v>79010</v>
          </cell>
          <cell r="O6457"/>
          <cell r="T6457"/>
        </row>
        <row r="6458">
          <cell r="A6458" t="str">
            <v>DAPA</v>
          </cell>
          <cell r="B6458" t="str">
            <v>79210</v>
          </cell>
          <cell r="O6458"/>
          <cell r="T6458"/>
        </row>
        <row r="6459">
          <cell r="A6459" t="str">
            <v>DAPA</v>
          </cell>
          <cell r="B6459" t="str">
            <v>79212S</v>
          </cell>
          <cell r="O6459"/>
          <cell r="T6459"/>
        </row>
        <row r="6460">
          <cell r="A6460" t="str">
            <v>DAPA</v>
          </cell>
          <cell r="B6460" t="str">
            <v>85000</v>
          </cell>
          <cell r="O6460"/>
          <cell r="T6460"/>
        </row>
        <row r="6461">
          <cell r="A6461" t="str">
            <v>DAPA</v>
          </cell>
          <cell r="B6461" t="str">
            <v>85210</v>
          </cell>
          <cell r="O6461"/>
          <cell r="T6461"/>
        </row>
        <row r="6462">
          <cell r="A6462" t="str">
            <v>DAPA</v>
          </cell>
          <cell r="B6462" t="str">
            <v>88000</v>
          </cell>
          <cell r="O6462"/>
          <cell r="T6462"/>
        </row>
        <row r="6463">
          <cell r="A6463" t="str">
            <v>DAPA</v>
          </cell>
          <cell r="B6463" t="str">
            <v>88000S</v>
          </cell>
          <cell r="O6463"/>
          <cell r="T6463"/>
        </row>
        <row r="6464">
          <cell r="A6464" t="str">
            <v>DAPA</v>
          </cell>
          <cell r="B6464" t="str">
            <v>88010</v>
          </cell>
          <cell r="O6464"/>
          <cell r="T6464"/>
        </row>
        <row r="6465">
          <cell r="A6465" t="str">
            <v>DAPA</v>
          </cell>
          <cell r="B6465" t="str">
            <v>88010S</v>
          </cell>
          <cell r="O6465"/>
          <cell r="T6465"/>
        </row>
        <row r="6466">
          <cell r="A6466" t="str">
            <v>DAPA</v>
          </cell>
          <cell r="B6466" t="str">
            <v>88210</v>
          </cell>
          <cell r="O6466"/>
          <cell r="T6466"/>
        </row>
        <row r="6467">
          <cell r="A6467" t="str">
            <v>DAPA</v>
          </cell>
          <cell r="B6467" t="str">
            <v>88212</v>
          </cell>
          <cell r="O6467"/>
          <cell r="T6467"/>
        </row>
        <row r="6468">
          <cell r="A6468" t="str">
            <v>DAPA</v>
          </cell>
          <cell r="B6468" t="str">
            <v>88412S</v>
          </cell>
          <cell r="O6468"/>
          <cell r="T6468"/>
        </row>
        <row r="6469">
          <cell r="A6469" t="str">
            <v>DAPA</v>
          </cell>
          <cell r="B6469" t="str">
            <v>88612S</v>
          </cell>
          <cell r="O6469"/>
          <cell r="T6469"/>
        </row>
        <row r="6470">
          <cell r="A6470" t="str">
            <v>DAPA</v>
          </cell>
          <cell r="B6470" t="str">
            <v>89010</v>
          </cell>
          <cell r="O6470"/>
          <cell r="T6470"/>
        </row>
        <row r="6471">
          <cell r="A6471" t="str">
            <v>DAPA</v>
          </cell>
          <cell r="B6471" t="str">
            <v>DM19-00</v>
          </cell>
          <cell r="O6471"/>
          <cell r="T6471"/>
        </row>
        <row r="6472">
          <cell r="A6472" t="str">
            <v>DAPA</v>
          </cell>
          <cell r="B6472" t="str">
            <v>DM19-10</v>
          </cell>
          <cell r="O6472"/>
          <cell r="T6472"/>
        </row>
        <row r="6473">
          <cell r="A6473" t="str">
            <v>DAPA</v>
          </cell>
          <cell r="B6473" t="str">
            <v>DM8-10</v>
          </cell>
          <cell r="O6473"/>
          <cell r="T6473"/>
        </row>
        <row r="6474">
          <cell r="A6474" t="str">
            <v>DAPA</v>
          </cell>
          <cell r="B6474" t="str">
            <v>DM9-10</v>
          </cell>
          <cell r="O6474"/>
          <cell r="T6474"/>
        </row>
        <row r="6475">
          <cell r="A6475" t="str">
            <v>DAPA</v>
          </cell>
          <cell r="B6475" t="str">
            <v>DM9/18-020V</v>
          </cell>
          <cell r="O6475"/>
          <cell r="T6475"/>
        </row>
        <row r="6476">
          <cell r="A6476" t="str">
            <v>DAPA</v>
          </cell>
          <cell r="B6476" t="str">
            <v>EH210</v>
          </cell>
          <cell r="O6476">
            <v>2.7492298918953098</v>
          </cell>
          <cell r="T6476">
            <v>1.1921641323091801</v>
          </cell>
        </row>
        <row r="6477">
          <cell r="A6477" t="str">
            <v>DAPA</v>
          </cell>
          <cell r="B6477" t="str">
            <v>EI010</v>
          </cell>
          <cell r="O6477">
            <v>4.09902895908409</v>
          </cell>
          <cell r="T6477">
            <v>1.77537408834829</v>
          </cell>
        </row>
        <row r="6478">
          <cell r="A6478" t="str">
            <v>DAPA</v>
          </cell>
          <cell r="B6478" t="str">
            <v>GI010</v>
          </cell>
          <cell r="O6478"/>
          <cell r="T6478"/>
        </row>
        <row r="6479">
          <cell r="A6479" t="str">
            <v>DAPA</v>
          </cell>
          <cell r="B6479" t="str">
            <v>HD19-28</v>
          </cell>
          <cell r="O6479"/>
          <cell r="T6479"/>
        </row>
        <row r="6480">
          <cell r="A6480" t="str">
            <v>DAPA</v>
          </cell>
          <cell r="B6480" t="str">
            <v>SSI811737-6PANEL</v>
          </cell>
          <cell r="O6480"/>
          <cell r="T6480"/>
        </row>
        <row r="6481">
          <cell r="A6481" t="str">
            <v>DAPA</v>
          </cell>
          <cell r="B6481" t="str">
            <v>SSI812217-4PANEL</v>
          </cell>
          <cell r="O6481"/>
          <cell r="T6481"/>
        </row>
        <row r="6482">
          <cell r="A6482" t="str">
            <v>DAPA</v>
          </cell>
          <cell r="B6482" t="str">
            <v>SSI816112P199</v>
          </cell>
          <cell r="O6482"/>
          <cell r="T6482"/>
        </row>
        <row r="6483">
          <cell r="A6483" t="str">
            <v>DATA FLOW SYSTEMS</v>
          </cell>
          <cell r="B6483" t="str">
            <v>RTA209A</v>
          </cell>
          <cell r="O6483"/>
          <cell r="T6483"/>
        </row>
        <row r="6484">
          <cell r="A6484" t="str">
            <v>DAVICOM TECHNOLOGIES</v>
          </cell>
          <cell r="B6484" t="str">
            <v>A-1510C3</v>
          </cell>
          <cell r="O6484"/>
          <cell r="T6484"/>
        </row>
        <row r="6485">
          <cell r="A6485" t="str">
            <v>DAVIS</v>
          </cell>
          <cell r="B6485" t="str">
            <v>6152</v>
          </cell>
          <cell r="O6485"/>
          <cell r="T6485"/>
        </row>
        <row r="6486">
          <cell r="A6486" t="str">
            <v>DB SYSTEM INC</v>
          </cell>
          <cell r="B6486" t="str">
            <v>5100A</v>
          </cell>
          <cell r="O6486"/>
          <cell r="T6486"/>
        </row>
        <row r="6487">
          <cell r="A6487" t="str">
            <v>DB SYSTEM INC</v>
          </cell>
          <cell r="B6487" t="str">
            <v>5100A-D</v>
          </cell>
          <cell r="O6487"/>
          <cell r="T6487"/>
        </row>
        <row r="6488">
          <cell r="A6488" t="str">
            <v>DB SYSTEM INC</v>
          </cell>
          <cell r="B6488" t="str">
            <v>5100A-D/180</v>
          </cell>
          <cell r="O6488"/>
          <cell r="T6488"/>
        </row>
        <row r="6489">
          <cell r="A6489" t="str">
            <v>DB SYSTEM INC</v>
          </cell>
          <cell r="B6489" t="str">
            <v>5100A-HS</v>
          </cell>
          <cell r="O6489"/>
          <cell r="T6489"/>
        </row>
        <row r="6490">
          <cell r="A6490" t="str">
            <v>DB SYSTEM INC</v>
          </cell>
          <cell r="B6490" t="str">
            <v>510A-D</v>
          </cell>
          <cell r="O6490"/>
          <cell r="T6490"/>
        </row>
        <row r="6491">
          <cell r="A6491" t="str">
            <v>DB SYSTEM INC</v>
          </cell>
          <cell r="B6491" t="str">
            <v>DB580</v>
          </cell>
          <cell r="O6491"/>
          <cell r="T6491"/>
        </row>
        <row r="6492">
          <cell r="A6492" t="str">
            <v>DB SYSTEM INC</v>
          </cell>
          <cell r="B6492" t="str">
            <v>DBS680</v>
          </cell>
          <cell r="O6492"/>
          <cell r="T6492"/>
        </row>
        <row r="6493">
          <cell r="A6493" t="str">
            <v>DB SYSTEM INC</v>
          </cell>
          <cell r="B6493" t="str">
            <v>DS4A00P36U-D</v>
          </cell>
          <cell r="O6493"/>
          <cell r="T6493"/>
        </row>
        <row r="6494">
          <cell r="A6494" t="str">
            <v>DB SYSTEM INC</v>
          </cell>
          <cell r="B6494" t="str">
            <v>SPD-2059-4M</v>
          </cell>
          <cell r="O6494"/>
          <cell r="T6494"/>
        </row>
        <row r="6495">
          <cell r="A6495" t="str">
            <v>DBSPECTRA</v>
          </cell>
          <cell r="B6495" t="str">
            <v>DB06509-XWBD</v>
          </cell>
          <cell r="O6495">
            <v>1.6920807116496901</v>
          </cell>
          <cell r="T6495">
            <v>0.90307985539024704</v>
          </cell>
        </row>
        <row r="6496">
          <cell r="A6496" t="str">
            <v>DBSPECTRA</v>
          </cell>
          <cell r="B6496" t="str">
            <v>DS1F03F36D-D</v>
          </cell>
          <cell r="O6496"/>
          <cell r="T6496"/>
        </row>
        <row r="6497">
          <cell r="A6497" t="str">
            <v>DBSPECTRA</v>
          </cell>
          <cell r="B6497" t="str">
            <v>DS1F03F36D-N</v>
          </cell>
          <cell r="O6497"/>
          <cell r="T6497"/>
        </row>
        <row r="6498">
          <cell r="A6498" t="str">
            <v>DBSPECTRA</v>
          </cell>
          <cell r="B6498" t="str">
            <v>DS1F03F36D-N_CCIV2</v>
          </cell>
          <cell r="O6498"/>
          <cell r="T6498"/>
        </row>
        <row r="6499">
          <cell r="A6499" t="str">
            <v>DBSPECTRA</v>
          </cell>
          <cell r="B6499" t="str">
            <v>DS1F03F36U-D</v>
          </cell>
          <cell r="O6499"/>
          <cell r="T6499"/>
        </row>
        <row r="6500">
          <cell r="A6500" t="str">
            <v>DBSPECTRA</v>
          </cell>
          <cell r="B6500" t="str">
            <v>DS1F03P36D-D</v>
          </cell>
          <cell r="O6500"/>
          <cell r="T6500"/>
        </row>
        <row r="6501">
          <cell r="A6501" t="str">
            <v>DBSPECTRA</v>
          </cell>
          <cell r="B6501" t="str">
            <v>DS1F06F36U-D</v>
          </cell>
          <cell r="O6501"/>
          <cell r="T6501"/>
        </row>
        <row r="6502">
          <cell r="A6502" t="str">
            <v>DBSPECTRA</v>
          </cell>
          <cell r="B6502" t="str">
            <v>DS1F06F36U-N</v>
          </cell>
          <cell r="O6502"/>
          <cell r="T6502"/>
        </row>
        <row r="6503">
          <cell r="A6503" t="str">
            <v>DBSPECTRA</v>
          </cell>
          <cell r="B6503" t="str">
            <v>DS1G00P36U-D</v>
          </cell>
          <cell r="O6503"/>
          <cell r="T6503"/>
        </row>
        <row r="6504">
          <cell r="A6504" t="str">
            <v>DBSPECTRA</v>
          </cell>
          <cell r="B6504" t="str">
            <v>DS1G03F36D-D</v>
          </cell>
          <cell r="O6504"/>
          <cell r="T6504"/>
        </row>
        <row r="6505">
          <cell r="A6505" t="str">
            <v>DBSPECTRA</v>
          </cell>
          <cell r="B6505" t="str">
            <v>DS1G03P36D-D</v>
          </cell>
          <cell r="O6505"/>
          <cell r="T6505"/>
        </row>
        <row r="6506">
          <cell r="A6506" t="str">
            <v>DBSPECTRA</v>
          </cell>
          <cell r="B6506" t="str">
            <v>DS1G03P36U-D</v>
          </cell>
          <cell r="O6506"/>
          <cell r="T6506"/>
        </row>
        <row r="6507">
          <cell r="A6507" t="str">
            <v>DBSPECTRA</v>
          </cell>
          <cell r="B6507" t="str">
            <v>DS1G06F36U-N</v>
          </cell>
          <cell r="O6507"/>
          <cell r="T6507"/>
        </row>
        <row r="6508">
          <cell r="A6508" t="str">
            <v>DBSPECTRA</v>
          </cell>
          <cell r="B6508" t="str">
            <v>DS1G06P36U</v>
          </cell>
          <cell r="O6508"/>
          <cell r="T6508"/>
        </row>
        <row r="6509">
          <cell r="A6509" t="str">
            <v>DBSPECTRA</v>
          </cell>
          <cell r="B6509" t="str">
            <v>DS1G06P36U-D</v>
          </cell>
          <cell r="O6509"/>
          <cell r="T6509"/>
        </row>
        <row r="6510">
          <cell r="A6510" t="str">
            <v>DBSPECTRA</v>
          </cell>
          <cell r="B6510" t="str">
            <v>DS1W20P17D-D</v>
          </cell>
          <cell r="O6510">
            <v>8.4623479170367393</v>
          </cell>
          <cell r="T6510">
            <v>1.2900781624700299</v>
          </cell>
        </row>
        <row r="6511">
          <cell r="A6511" t="str">
            <v>DBSPECTRA</v>
          </cell>
          <cell r="B6511" t="str">
            <v>DS1X00CS36DN</v>
          </cell>
          <cell r="O6511"/>
          <cell r="T6511"/>
        </row>
        <row r="6512">
          <cell r="A6512" t="str">
            <v>DBSPECTRA</v>
          </cell>
          <cell r="B6512" t="str">
            <v>DS1X00CS36UN</v>
          </cell>
          <cell r="O6512"/>
          <cell r="T6512"/>
        </row>
        <row r="6513">
          <cell r="A6513" t="str">
            <v>DBSPECTRA</v>
          </cell>
          <cell r="B6513" t="str">
            <v>DS2C00F36D-D</v>
          </cell>
          <cell r="O6513"/>
          <cell r="T6513"/>
        </row>
        <row r="6514">
          <cell r="A6514" t="str">
            <v>DBSPECTRA</v>
          </cell>
          <cell r="B6514" t="str">
            <v>DS2C03F36U-N</v>
          </cell>
          <cell r="O6514"/>
          <cell r="T6514"/>
        </row>
        <row r="6515">
          <cell r="A6515" t="str">
            <v>DBSPECTRA</v>
          </cell>
          <cell r="B6515" t="str">
            <v>DS3A08P36U</v>
          </cell>
          <cell r="O6515"/>
          <cell r="T6515"/>
        </row>
        <row r="6516">
          <cell r="A6516" t="str">
            <v>DBSPECTRA</v>
          </cell>
          <cell r="B6516" t="str">
            <v>DS4A06F36D-N</v>
          </cell>
          <cell r="O6516"/>
          <cell r="T6516"/>
        </row>
        <row r="6517">
          <cell r="A6517" t="str">
            <v>DBSPECTRA</v>
          </cell>
          <cell r="B6517" t="str">
            <v>DS4A08F36U-N</v>
          </cell>
          <cell r="O6517"/>
          <cell r="T6517"/>
        </row>
        <row r="6518">
          <cell r="A6518" t="str">
            <v>DBSPECTRA</v>
          </cell>
          <cell r="B6518" t="str">
            <v>DS4B06F36D-N</v>
          </cell>
          <cell r="O6518"/>
          <cell r="T6518"/>
        </row>
        <row r="6519">
          <cell r="A6519" t="str">
            <v>DBSPECTRA</v>
          </cell>
          <cell r="B6519" t="str">
            <v>DS4C00CS36UN</v>
          </cell>
          <cell r="O6519"/>
          <cell r="T6519"/>
        </row>
        <row r="6520">
          <cell r="A6520" t="str">
            <v>DBSPECTRA</v>
          </cell>
          <cell r="B6520" t="str">
            <v>DS4C00F36D-D</v>
          </cell>
          <cell r="O6520"/>
          <cell r="T6520"/>
        </row>
        <row r="6521">
          <cell r="A6521" t="str">
            <v>DBSPECTRA</v>
          </cell>
          <cell r="B6521" t="str">
            <v>DS4C00F36D-D_CCIV2</v>
          </cell>
          <cell r="O6521"/>
          <cell r="T6521"/>
        </row>
        <row r="6522">
          <cell r="A6522" t="str">
            <v>DBSPECTRA</v>
          </cell>
          <cell r="B6522" t="str">
            <v>DS4C00F36U-D</v>
          </cell>
          <cell r="O6522"/>
          <cell r="T6522"/>
        </row>
        <row r="6523">
          <cell r="A6523" t="str">
            <v>DBSPECTRA</v>
          </cell>
          <cell r="B6523" t="str">
            <v>DS4C03F36D-N</v>
          </cell>
          <cell r="O6523"/>
          <cell r="T6523"/>
        </row>
        <row r="6524">
          <cell r="A6524" t="str">
            <v>DBSPECTRA</v>
          </cell>
          <cell r="B6524" t="str">
            <v>DS4C03F36U-D</v>
          </cell>
          <cell r="O6524"/>
          <cell r="T6524"/>
        </row>
        <row r="6525">
          <cell r="A6525" t="str">
            <v>DBSPECTRA</v>
          </cell>
          <cell r="B6525" t="str">
            <v>DS4C03F36U-N</v>
          </cell>
          <cell r="O6525"/>
          <cell r="T6525"/>
        </row>
        <row r="6526">
          <cell r="A6526" t="str">
            <v>DBSPECTRA</v>
          </cell>
          <cell r="B6526" t="str">
            <v>DS4C06F36D-D</v>
          </cell>
          <cell r="O6526"/>
          <cell r="T6526"/>
        </row>
        <row r="6527">
          <cell r="A6527" t="str">
            <v>DBSPECTRA</v>
          </cell>
          <cell r="B6527" t="str">
            <v>DS4C06F36D-N</v>
          </cell>
          <cell r="O6527"/>
          <cell r="T6527"/>
        </row>
        <row r="6528">
          <cell r="A6528" t="str">
            <v>DBSPECTRA</v>
          </cell>
          <cell r="B6528" t="str">
            <v>DS4C06F36U-D</v>
          </cell>
          <cell r="O6528"/>
          <cell r="T6528"/>
        </row>
        <row r="6529">
          <cell r="A6529" t="str">
            <v>DBSPECTRA</v>
          </cell>
          <cell r="B6529" t="str">
            <v>DS4C06F36U-N</v>
          </cell>
          <cell r="O6529"/>
          <cell r="T6529"/>
        </row>
        <row r="6530">
          <cell r="A6530" t="str">
            <v>DBSPECTRA</v>
          </cell>
          <cell r="B6530" t="str">
            <v>DS4C06F36U3N</v>
          </cell>
          <cell r="O6530"/>
          <cell r="T6530"/>
        </row>
        <row r="6531">
          <cell r="A6531" t="str">
            <v>DBSPECTRA</v>
          </cell>
          <cell r="B6531" t="str">
            <v>DS4C06F36U6D</v>
          </cell>
          <cell r="O6531"/>
          <cell r="T6531"/>
        </row>
        <row r="6532">
          <cell r="A6532" t="str">
            <v>DBSPECTRA</v>
          </cell>
          <cell r="B6532" t="str">
            <v>DS4C08F36U-N</v>
          </cell>
          <cell r="O6532"/>
          <cell r="T6532"/>
        </row>
        <row r="6533">
          <cell r="A6533" t="str">
            <v>DBSPECTRA</v>
          </cell>
          <cell r="B6533" t="str">
            <v>DS4C10F36U-N</v>
          </cell>
          <cell r="O6533"/>
          <cell r="T6533"/>
        </row>
        <row r="6534">
          <cell r="A6534" t="str">
            <v>DBSPECTRA</v>
          </cell>
          <cell r="B6534" t="str">
            <v>DS4E08L12U-N</v>
          </cell>
          <cell r="O6534">
            <v>2.5681458270540101</v>
          </cell>
          <cell r="T6534">
            <v>3.2319393608269595</v>
          </cell>
        </row>
        <row r="6535">
          <cell r="A6535" t="str">
            <v>DBSPECTRA</v>
          </cell>
          <cell r="B6535" t="str">
            <v>DS4E08P12U-N</v>
          </cell>
          <cell r="O6535">
            <v>5.3572482638888888</v>
          </cell>
          <cell r="T6535">
            <v>3.85268988963273</v>
          </cell>
        </row>
        <row r="6536">
          <cell r="A6536" t="str">
            <v>DBSPECTRA</v>
          </cell>
          <cell r="B6536" t="str">
            <v>DS4E10P12U-D</v>
          </cell>
          <cell r="O6536">
            <v>8.1122878086419803</v>
          </cell>
          <cell r="T6536">
            <v>5.714965446670309</v>
          </cell>
        </row>
        <row r="6537">
          <cell r="A6537" t="str">
            <v>DBSPECTRA</v>
          </cell>
          <cell r="B6537" t="str">
            <v>DS4E10P12U-D_CCIV2</v>
          </cell>
          <cell r="O6537">
            <v>8.1122878086419803</v>
          </cell>
          <cell r="T6537">
            <v>5.714965446670309</v>
          </cell>
        </row>
        <row r="6538">
          <cell r="A6538" t="str">
            <v>DBSPECTRA</v>
          </cell>
          <cell r="B6538" t="str">
            <v>DS4F03P36U-D</v>
          </cell>
          <cell r="O6538"/>
          <cell r="T6538"/>
        </row>
        <row r="6539">
          <cell r="A6539" t="str">
            <v>DBSPECTRA</v>
          </cell>
          <cell r="B6539" t="str">
            <v>DS4F06P36U-D</v>
          </cell>
          <cell r="O6539"/>
          <cell r="T6539"/>
        </row>
        <row r="6540">
          <cell r="A6540" t="str">
            <v>DBSPECTRA</v>
          </cell>
          <cell r="B6540" t="str">
            <v>DS4F08P36U-D</v>
          </cell>
          <cell r="O6540"/>
          <cell r="T6540"/>
        </row>
        <row r="6541">
          <cell r="A6541" t="str">
            <v>DBSPECTRA</v>
          </cell>
          <cell r="B6541" t="str">
            <v>DS4F09P36U-D</v>
          </cell>
          <cell r="O6541"/>
          <cell r="T6541"/>
        </row>
        <row r="6542">
          <cell r="A6542" t="str">
            <v>DBSPECTRA</v>
          </cell>
          <cell r="B6542" t="str">
            <v>DS7A06F36D-D</v>
          </cell>
          <cell r="O6542"/>
          <cell r="T6542"/>
        </row>
        <row r="6543">
          <cell r="A6543" t="str">
            <v>DBSPECTRA</v>
          </cell>
          <cell r="B6543" t="str">
            <v>DS7A06F36D-N</v>
          </cell>
          <cell r="O6543"/>
          <cell r="T6543"/>
        </row>
        <row r="6544">
          <cell r="A6544" t="str">
            <v>DBSPECTRA</v>
          </cell>
          <cell r="B6544" t="str">
            <v>DS7A06F36U-N</v>
          </cell>
          <cell r="O6544"/>
          <cell r="T6544"/>
        </row>
        <row r="6545">
          <cell r="A6545" t="str">
            <v>DBSPECTRA</v>
          </cell>
          <cell r="B6545" t="str">
            <v>DS7A08F36U-D</v>
          </cell>
          <cell r="O6545"/>
          <cell r="T6545"/>
        </row>
        <row r="6546">
          <cell r="A6546" t="str">
            <v>DBSPECTRA</v>
          </cell>
          <cell r="B6546" t="str">
            <v>DS7A08F36U-N</v>
          </cell>
          <cell r="O6546"/>
          <cell r="T6546"/>
        </row>
        <row r="6547">
          <cell r="A6547" t="str">
            <v>DBSPECTRA</v>
          </cell>
          <cell r="B6547" t="str">
            <v>DS7A12P90U-N</v>
          </cell>
          <cell r="O6547">
            <v>2.69165268132716</v>
          </cell>
          <cell r="T6547">
            <v>4.8234620016283696</v>
          </cell>
        </row>
        <row r="6548">
          <cell r="A6548" t="str">
            <v>DBSPECTRA</v>
          </cell>
          <cell r="B6548" t="str">
            <v>DS7B12F36U-D</v>
          </cell>
          <cell r="O6548"/>
          <cell r="T6548"/>
        </row>
        <row r="6549">
          <cell r="A6549" t="str">
            <v>DBSPECTRA</v>
          </cell>
          <cell r="B6549" t="str">
            <v>DS7C06P36D-D</v>
          </cell>
          <cell r="O6549"/>
          <cell r="T6549"/>
        </row>
        <row r="6550">
          <cell r="A6550" t="str">
            <v>DBSPECTRA</v>
          </cell>
          <cell r="B6550" t="str">
            <v>DS7C06P36T-D</v>
          </cell>
          <cell r="O6550"/>
          <cell r="T6550"/>
        </row>
        <row r="6551">
          <cell r="A6551" t="str">
            <v>DBSPECTRA</v>
          </cell>
          <cell r="B6551" t="str">
            <v>DS7C06P36U-D</v>
          </cell>
          <cell r="O6551"/>
          <cell r="T6551"/>
        </row>
        <row r="6552">
          <cell r="A6552" t="str">
            <v>DBSPECTRA</v>
          </cell>
          <cell r="B6552" t="str">
            <v>DS7C08P36U4D</v>
          </cell>
          <cell r="O6552"/>
          <cell r="T6552"/>
        </row>
        <row r="6553">
          <cell r="A6553" t="str">
            <v>DBSPECTRA</v>
          </cell>
          <cell r="B6553" t="str">
            <v>DS7C08PPVU</v>
          </cell>
          <cell r="O6553"/>
          <cell r="T6553"/>
        </row>
        <row r="6554">
          <cell r="A6554" t="str">
            <v>DBSPECTRA</v>
          </cell>
          <cell r="B6554" t="str">
            <v>DS7C08PPVU2D</v>
          </cell>
          <cell r="O6554"/>
          <cell r="T6554"/>
        </row>
        <row r="6555">
          <cell r="A6555" t="str">
            <v>DBSPECTRA</v>
          </cell>
          <cell r="B6555" t="str">
            <v>DS7C08PPYU-D</v>
          </cell>
          <cell r="O6555"/>
          <cell r="T6555"/>
        </row>
        <row r="6556">
          <cell r="A6556" t="str">
            <v>DBSPECTRA</v>
          </cell>
          <cell r="B6556" t="str">
            <v>DS7C09F36U-D</v>
          </cell>
          <cell r="O6556"/>
          <cell r="T6556"/>
        </row>
        <row r="6557">
          <cell r="A6557" t="str">
            <v>DBSPECTRA</v>
          </cell>
          <cell r="B6557" t="str">
            <v>DS7C09P36D</v>
          </cell>
          <cell r="O6557"/>
          <cell r="T6557"/>
        </row>
        <row r="6558">
          <cell r="A6558" t="str">
            <v>DBSPECTRA</v>
          </cell>
          <cell r="B6558" t="str">
            <v>DS7C09P36UxD</v>
          </cell>
          <cell r="O6558"/>
          <cell r="T6558"/>
        </row>
        <row r="6559">
          <cell r="A6559" t="str">
            <v>DBSPECTRA</v>
          </cell>
          <cell r="B6559" t="str">
            <v>DS7C10F36U-D</v>
          </cell>
          <cell r="O6559"/>
          <cell r="T6559"/>
        </row>
        <row r="6560">
          <cell r="A6560" t="str">
            <v>DBSPECTRA</v>
          </cell>
          <cell r="B6560" t="str">
            <v>DS7C10F36U-N</v>
          </cell>
          <cell r="O6560"/>
          <cell r="T6560"/>
        </row>
        <row r="6561">
          <cell r="A6561" t="str">
            <v>DBSPECTRA</v>
          </cell>
          <cell r="B6561" t="str">
            <v>DS7C10P36UXD</v>
          </cell>
          <cell r="O6561"/>
          <cell r="T6561"/>
        </row>
        <row r="6562">
          <cell r="A6562" t="str">
            <v>DBSPECTRA</v>
          </cell>
          <cell r="B6562" t="str">
            <v>DS7C11PPYU-D</v>
          </cell>
          <cell r="O6562"/>
          <cell r="T6562"/>
        </row>
        <row r="6563">
          <cell r="A6563" t="str">
            <v>DBSPECTRA</v>
          </cell>
          <cell r="B6563" t="str">
            <v>DS7C12P36U-D</v>
          </cell>
          <cell r="O6563"/>
          <cell r="T6563"/>
        </row>
        <row r="6564">
          <cell r="A6564" t="str">
            <v>DBSPECTRA</v>
          </cell>
          <cell r="B6564" t="str">
            <v>DS7C12P36U-D_CCIV2</v>
          </cell>
          <cell r="O6564"/>
          <cell r="T6564"/>
        </row>
        <row r="6565">
          <cell r="A6565" t="str">
            <v>DBSPECTRA</v>
          </cell>
          <cell r="B6565" t="str">
            <v>DS7C12P36U2D</v>
          </cell>
          <cell r="O6565"/>
          <cell r="T6565"/>
        </row>
        <row r="6566">
          <cell r="A6566" t="str">
            <v>DBSPECTRA</v>
          </cell>
          <cell r="B6566" t="str">
            <v>DS7C12P36U4D</v>
          </cell>
          <cell r="O6566"/>
          <cell r="T6566"/>
        </row>
        <row r="6567">
          <cell r="A6567" t="str">
            <v>DBSPECTRA</v>
          </cell>
          <cell r="B6567" t="str">
            <v>DS7C12PPAU</v>
          </cell>
          <cell r="O6567"/>
          <cell r="T6567"/>
        </row>
        <row r="6568">
          <cell r="A6568" t="str">
            <v>DBSPECTRA</v>
          </cell>
          <cell r="B6568" t="str">
            <v>DS7C13PPYU-D</v>
          </cell>
          <cell r="O6568">
            <v>0</v>
          </cell>
          <cell r="T6568"/>
        </row>
        <row r="6569">
          <cell r="A6569" t="str">
            <v>DBSPECTRA</v>
          </cell>
          <cell r="B6569" t="str">
            <v>DS7C15PPAU2D</v>
          </cell>
          <cell r="O6569"/>
          <cell r="T6569"/>
        </row>
        <row r="6570">
          <cell r="A6570" t="str">
            <v>DBSPECTRA</v>
          </cell>
          <cell r="B6570" t="str">
            <v>DS7C17PPAU</v>
          </cell>
          <cell r="O6570">
            <v>0</v>
          </cell>
          <cell r="T6570"/>
        </row>
        <row r="6571">
          <cell r="A6571" t="str">
            <v>DBSPECTRA</v>
          </cell>
          <cell r="B6571" t="str">
            <v>DS7D10F36U-D</v>
          </cell>
          <cell r="O6571"/>
          <cell r="T6571"/>
        </row>
        <row r="6572">
          <cell r="A6572" t="str">
            <v>DBSPECTRA</v>
          </cell>
          <cell r="B6572" t="str">
            <v>DS7D10F36U-N</v>
          </cell>
          <cell r="O6572"/>
          <cell r="T6572"/>
        </row>
        <row r="6573">
          <cell r="A6573" t="str">
            <v>DBSPECTRA</v>
          </cell>
          <cell r="B6573" t="str">
            <v>DS7E12F36U-D</v>
          </cell>
          <cell r="O6573"/>
          <cell r="T6573"/>
        </row>
        <row r="6574">
          <cell r="A6574" t="str">
            <v>DBSPECTRA</v>
          </cell>
          <cell r="B6574" t="str">
            <v>DS7G08Y60U-N</v>
          </cell>
          <cell r="O6574"/>
          <cell r="T6574"/>
        </row>
        <row r="6575">
          <cell r="A6575" t="str">
            <v>DBSPECTRA</v>
          </cell>
          <cell r="B6575" t="str">
            <v>DS7M10P36U-D</v>
          </cell>
          <cell r="O6575"/>
          <cell r="T6575"/>
        </row>
        <row r="6576">
          <cell r="A6576" t="str">
            <v>DBSPECTRA</v>
          </cell>
          <cell r="B6576" t="str">
            <v>DS7M12P36U-D</v>
          </cell>
          <cell r="O6576"/>
          <cell r="T6576"/>
        </row>
        <row r="6577">
          <cell r="A6577" t="str">
            <v>DBSPECTRA</v>
          </cell>
          <cell r="B6577" t="str">
            <v>DS7M12PHUxD_202110</v>
          </cell>
          <cell r="O6577"/>
          <cell r="T6577"/>
        </row>
        <row r="6578">
          <cell r="A6578" t="str">
            <v>DBSPECTRA</v>
          </cell>
          <cell r="B6578" t="str">
            <v>DS7M13PDBU</v>
          </cell>
          <cell r="O6578"/>
          <cell r="T6578"/>
        </row>
        <row r="6579">
          <cell r="A6579" t="str">
            <v>DBSPECTRA</v>
          </cell>
          <cell r="B6579" t="str">
            <v>DS7M14PH2U</v>
          </cell>
          <cell r="O6579"/>
          <cell r="T6579"/>
        </row>
        <row r="6580">
          <cell r="A6580" t="str">
            <v>DBSPECTRA</v>
          </cell>
          <cell r="B6580" t="str">
            <v>DS7W2QT8-02</v>
          </cell>
          <cell r="O6580"/>
          <cell r="T6580"/>
        </row>
        <row r="6581">
          <cell r="A6581" t="str">
            <v>DBSPECTRA</v>
          </cell>
          <cell r="B6581" t="str">
            <v>DS7W4QT8-VT</v>
          </cell>
          <cell r="O6581"/>
          <cell r="T6581"/>
        </row>
        <row r="6582">
          <cell r="A6582" t="str">
            <v>DBSPECTRA</v>
          </cell>
          <cell r="B6582" t="str">
            <v>DS8A03F36U-N</v>
          </cell>
          <cell r="O6582"/>
          <cell r="T6582"/>
        </row>
        <row r="6583">
          <cell r="A6583" t="str">
            <v>DBSPECTRA</v>
          </cell>
          <cell r="B6583" t="str">
            <v>DS8A06F36D-D</v>
          </cell>
          <cell r="O6583"/>
          <cell r="T6583"/>
        </row>
        <row r="6584">
          <cell r="A6584" t="str">
            <v>DBSPECTRA</v>
          </cell>
          <cell r="B6584" t="str">
            <v>DS8A06F36D-N</v>
          </cell>
          <cell r="O6584"/>
          <cell r="T6584"/>
        </row>
        <row r="6585">
          <cell r="A6585" t="str">
            <v>DBSPECTRA</v>
          </cell>
          <cell r="B6585" t="str">
            <v>DS8A06F36U-D</v>
          </cell>
          <cell r="O6585"/>
          <cell r="T6585"/>
        </row>
        <row r="6586">
          <cell r="A6586" t="str">
            <v>DBSPECTRA</v>
          </cell>
          <cell r="B6586" t="str">
            <v>DS8A09F36D-N</v>
          </cell>
          <cell r="O6586"/>
          <cell r="T6586"/>
        </row>
        <row r="6587">
          <cell r="A6587" t="str">
            <v>DBSPECTRA</v>
          </cell>
          <cell r="B6587" t="str">
            <v>DS8A09F36U-D</v>
          </cell>
          <cell r="O6587"/>
          <cell r="T6587"/>
        </row>
        <row r="6588">
          <cell r="A6588" t="str">
            <v>DBSPECTRA</v>
          </cell>
          <cell r="B6588" t="str">
            <v>DS8A10F36U-D</v>
          </cell>
          <cell r="O6588"/>
          <cell r="T6588"/>
        </row>
        <row r="6589">
          <cell r="A6589" t="str">
            <v>DBSPECTRA</v>
          </cell>
          <cell r="B6589" t="str">
            <v>DS8A10F36U-N</v>
          </cell>
          <cell r="O6589"/>
          <cell r="T6589"/>
        </row>
        <row r="6590">
          <cell r="A6590" t="str">
            <v>DBSPECTRA</v>
          </cell>
          <cell r="B6590" t="str">
            <v>DS8A10P36UXD</v>
          </cell>
          <cell r="O6590"/>
          <cell r="T6590"/>
        </row>
        <row r="6591">
          <cell r="A6591" t="str">
            <v>DBSPECTRA</v>
          </cell>
          <cell r="B6591" t="str">
            <v>DS8A12F36U-N</v>
          </cell>
          <cell r="O6591"/>
          <cell r="T6591"/>
        </row>
        <row r="6592">
          <cell r="A6592" t="str">
            <v>DBSPECTRA</v>
          </cell>
          <cell r="B6592" t="str">
            <v>DS8M10P36U3D</v>
          </cell>
          <cell r="O6592"/>
          <cell r="T6592"/>
        </row>
        <row r="6593">
          <cell r="A6593" t="str">
            <v>DBSPECTRA</v>
          </cell>
          <cell r="B6593" t="str">
            <v>DS8M10PH3U</v>
          </cell>
          <cell r="O6593"/>
          <cell r="T6593"/>
        </row>
        <row r="6594">
          <cell r="A6594" t="str">
            <v>DBSPECTRA</v>
          </cell>
          <cell r="B6594" t="str">
            <v>DS8M11PDAUXD</v>
          </cell>
          <cell r="O6594"/>
          <cell r="T6594"/>
        </row>
        <row r="6595">
          <cell r="A6595" t="str">
            <v>DBSPECTRA</v>
          </cell>
          <cell r="B6595" t="str">
            <v>DS8M12P36U-D</v>
          </cell>
          <cell r="O6595"/>
          <cell r="T6595"/>
        </row>
        <row r="6596">
          <cell r="A6596" t="str">
            <v>DBSPECTRA</v>
          </cell>
          <cell r="B6596" t="str">
            <v>DS8M12PH2U</v>
          </cell>
          <cell r="O6596"/>
          <cell r="T6596"/>
        </row>
        <row r="6597">
          <cell r="A6597" t="str">
            <v>DBSPECTRA</v>
          </cell>
          <cell r="B6597" t="str">
            <v>DS8M13PDAU-D</v>
          </cell>
          <cell r="O6597"/>
          <cell r="T6597"/>
        </row>
        <row r="6598">
          <cell r="A6598" t="str">
            <v>DBSPECTRA</v>
          </cell>
          <cell r="B6598" t="str">
            <v>DS8M14PH2U-D</v>
          </cell>
          <cell r="O6598"/>
          <cell r="T6598"/>
        </row>
        <row r="6599">
          <cell r="A6599" t="str">
            <v>DBSPECTRA</v>
          </cell>
          <cell r="B6599" t="str">
            <v>DS9A03F36D-N</v>
          </cell>
          <cell r="O6599"/>
          <cell r="T6599"/>
        </row>
        <row r="6600">
          <cell r="A6600" t="str">
            <v>DBSPECTRA</v>
          </cell>
          <cell r="B6600" t="str">
            <v>DS9A06F36D-N</v>
          </cell>
          <cell r="O6600"/>
          <cell r="T6600"/>
        </row>
        <row r="6601">
          <cell r="A6601" t="str">
            <v>DBSPECTRA</v>
          </cell>
          <cell r="B6601" t="str">
            <v>DS9A06F36T-N</v>
          </cell>
          <cell r="O6601"/>
          <cell r="T6601"/>
        </row>
        <row r="6602">
          <cell r="A6602" t="str">
            <v>DBSPECTRA</v>
          </cell>
          <cell r="B6602" t="str">
            <v>DS9A06P36D-D</v>
          </cell>
          <cell r="O6602"/>
          <cell r="T6602"/>
        </row>
        <row r="6603">
          <cell r="A6603" t="str">
            <v>DBSPECTRA</v>
          </cell>
          <cell r="B6603" t="str">
            <v>DS9A09F36D-N</v>
          </cell>
          <cell r="O6603"/>
          <cell r="T6603"/>
        </row>
        <row r="6604">
          <cell r="A6604" t="str">
            <v>DBSPECTRA</v>
          </cell>
          <cell r="B6604" t="str">
            <v>DS9A09F36U-N</v>
          </cell>
          <cell r="O6604"/>
          <cell r="T6604"/>
        </row>
        <row r="6605">
          <cell r="A6605" t="str">
            <v>DBSPECTRA</v>
          </cell>
          <cell r="B6605" t="str">
            <v>DS9A09P36U-D</v>
          </cell>
          <cell r="O6605"/>
          <cell r="T6605"/>
        </row>
        <row r="6606">
          <cell r="A6606" t="str">
            <v>DBSPECTRA</v>
          </cell>
          <cell r="B6606" t="str">
            <v>DS9A10F36U3D</v>
          </cell>
          <cell r="O6606"/>
          <cell r="T6606"/>
        </row>
        <row r="6607">
          <cell r="A6607" t="str">
            <v>DBSPECTRA</v>
          </cell>
          <cell r="B6607" t="str">
            <v>DS9A10F36U3N</v>
          </cell>
          <cell r="O6607"/>
          <cell r="T6607"/>
        </row>
        <row r="6608">
          <cell r="A6608" t="str">
            <v>DBSPECTRA</v>
          </cell>
          <cell r="B6608" t="str">
            <v>DS9A10P36D3D</v>
          </cell>
          <cell r="O6608"/>
          <cell r="T6608"/>
        </row>
        <row r="6609">
          <cell r="A6609" t="str">
            <v>DBSPECTRA</v>
          </cell>
          <cell r="B6609" t="str">
            <v>DS9A12P36U-D</v>
          </cell>
          <cell r="O6609"/>
          <cell r="T6609"/>
        </row>
        <row r="6610">
          <cell r="A6610" t="str">
            <v>DBSPECTRA</v>
          </cell>
          <cell r="B6610" t="str">
            <v>DS9A12PP12SD</v>
          </cell>
          <cell r="O6610">
            <v>4.2355821088033903</v>
          </cell>
          <cell r="T6610">
            <v>4.0570653717523593</v>
          </cell>
        </row>
        <row r="6611">
          <cell r="A6611" t="str">
            <v>DBSPECTRA</v>
          </cell>
          <cell r="B6611" t="str">
            <v>DSA10P36D3D</v>
          </cell>
          <cell r="O6611"/>
          <cell r="T6611"/>
        </row>
        <row r="6612">
          <cell r="A6612" t="str">
            <v>DBSPECTRA</v>
          </cell>
          <cell r="B6612" t="str">
            <v>SP1G05P36U-D</v>
          </cell>
          <cell r="O6612"/>
          <cell r="T6612"/>
        </row>
        <row r="6613">
          <cell r="A6613" t="str">
            <v>DBSPECTRA</v>
          </cell>
          <cell r="B6613" t="str">
            <v>SP7U14PPTK-D</v>
          </cell>
          <cell r="O6613"/>
          <cell r="T6613"/>
        </row>
        <row r="6614">
          <cell r="A6614" t="str">
            <v>DBSPECTRA</v>
          </cell>
          <cell r="B6614" t="str">
            <v>SP8A10F36MFD</v>
          </cell>
          <cell r="O6614"/>
          <cell r="T6614"/>
        </row>
        <row r="6615">
          <cell r="A6615" t="str">
            <v>DBSPECTRA</v>
          </cell>
          <cell r="B6615" t="str">
            <v>SP9B10F36U-D</v>
          </cell>
          <cell r="O6615"/>
          <cell r="T6615"/>
        </row>
        <row r="6616">
          <cell r="A6616" t="str">
            <v>DBSPECTRA</v>
          </cell>
          <cell r="B6616" t="str">
            <v>SPD-2059-4M</v>
          </cell>
          <cell r="O6616"/>
          <cell r="T6616"/>
        </row>
        <row r="6617">
          <cell r="A6617" t="str">
            <v>DBSPECTRA</v>
          </cell>
          <cell r="B6617" t="str">
            <v>SPD1701-900M</v>
          </cell>
          <cell r="O6617"/>
          <cell r="T6617"/>
        </row>
        <row r="6618">
          <cell r="A6618" t="str">
            <v>DBSPECTRA</v>
          </cell>
          <cell r="B6618" t="str">
            <v>SPD2AMXCD14R</v>
          </cell>
          <cell r="O6618"/>
          <cell r="T6618"/>
        </row>
        <row r="6619">
          <cell r="A6619" t="str">
            <v>DBSPECTRA</v>
          </cell>
          <cell r="B6619" t="str">
            <v>SPD2AMXCD16R</v>
          </cell>
          <cell r="O6619">
            <v>18.345163001543188</v>
          </cell>
          <cell r="T6619">
            <v>6.8488838092491795</v>
          </cell>
        </row>
        <row r="6620">
          <cell r="A6620" t="str">
            <v>DBSPECTRA</v>
          </cell>
          <cell r="B6620" t="str">
            <v>SPD2P6515XLH</v>
          </cell>
          <cell r="O6620">
            <v>12.5027391975309</v>
          </cell>
          <cell r="T6620">
            <v>3.9506853654721601</v>
          </cell>
        </row>
        <row r="6621">
          <cell r="A6621" t="str">
            <v>DBSPECTRA</v>
          </cell>
          <cell r="B6621" t="str">
            <v>SPD2P6516XLH</v>
          </cell>
          <cell r="O6621">
            <v>18.152440200617288</v>
          </cell>
          <cell r="T6621">
            <v>5.68971533114384</v>
          </cell>
        </row>
        <row r="6622">
          <cell r="A6622" t="str">
            <v>DBSPECTRA</v>
          </cell>
          <cell r="B6622" t="str">
            <v>W31EP-D</v>
          </cell>
          <cell r="O6622"/>
          <cell r="T6622"/>
        </row>
        <row r="6623">
          <cell r="A6623" t="str">
            <v>DECIBEL</v>
          </cell>
          <cell r="B6623" t="str">
            <v>139540-4</v>
          </cell>
          <cell r="O6623"/>
          <cell r="T6623"/>
        </row>
        <row r="6624">
          <cell r="A6624" t="str">
            <v>DECIBEL</v>
          </cell>
          <cell r="B6624" t="str">
            <v>15' OMNI</v>
          </cell>
          <cell r="O6624"/>
          <cell r="T6624"/>
        </row>
        <row r="6625">
          <cell r="A6625" t="str">
            <v>DECIBEL</v>
          </cell>
          <cell r="B6625" t="str">
            <v>731DG65V1EXM</v>
          </cell>
          <cell r="O6625">
            <v>5.84693293634807</v>
          </cell>
          <cell r="T6625">
            <v>3.0655585397182898</v>
          </cell>
        </row>
        <row r="6626">
          <cell r="A6626" t="str">
            <v>DECIBEL</v>
          </cell>
          <cell r="B6626" t="str">
            <v>731DG65VTAXM</v>
          </cell>
          <cell r="O6626">
            <v>5.84693293634807</v>
          </cell>
          <cell r="T6626">
            <v>3.0655585397182898</v>
          </cell>
        </row>
        <row r="6627">
          <cell r="A6627" t="str">
            <v>DECIBEL</v>
          </cell>
          <cell r="B6627" t="str">
            <v>731DG85V1EXM</v>
          </cell>
          <cell r="O6627">
            <v>6.9663561486229693</v>
          </cell>
          <cell r="T6627">
            <v>4.14754633499882</v>
          </cell>
        </row>
        <row r="6628">
          <cell r="A6628" t="str">
            <v>DECIBEL</v>
          </cell>
          <cell r="B6628" t="str">
            <v>731DG85VTEXM</v>
          </cell>
          <cell r="O6628">
            <v>5.2981741898148096</v>
          </cell>
          <cell r="T6628">
            <v>2.4939221807614103</v>
          </cell>
        </row>
        <row r="6629">
          <cell r="A6629" t="str">
            <v>DECIBEL</v>
          </cell>
          <cell r="B6629" t="str">
            <v>731DG90VTAXM</v>
          </cell>
          <cell r="O6629">
            <v>6.6554774778456096</v>
          </cell>
          <cell r="T6629">
            <v>3.9061220274623802</v>
          </cell>
        </row>
        <row r="6630">
          <cell r="A6630" t="str">
            <v>DECIBEL</v>
          </cell>
          <cell r="B6630" t="str">
            <v>738DG90VTEWB</v>
          </cell>
          <cell r="O6630"/>
          <cell r="T6630"/>
        </row>
        <row r="6631">
          <cell r="A6631" t="str">
            <v>DECIBEL</v>
          </cell>
          <cell r="B6631" t="str">
            <v>744G65V1ASXM</v>
          </cell>
          <cell r="O6631"/>
          <cell r="T6631"/>
        </row>
        <row r="6632">
          <cell r="A6632" t="str">
            <v>DECIBEL</v>
          </cell>
          <cell r="B6632" t="str">
            <v>774G80V1ESXM</v>
          </cell>
          <cell r="O6632"/>
          <cell r="T6632"/>
        </row>
        <row r="6633">
          <cell r="A6633" t="str">
            <v>DECIBEL</v>
          </cell>
          <cell r="B6633" t="str">
            <v>774G90V1ESXM</v>
          </cell>
          <cell r="O6633"/>
          <cell r="T6633"/>
        </row>
        <row r="6634">
          <cell r="A6634" t="str">
            <v>DECIBEL</v>
          </cell>
          <cell r="B6634" t="str">
            <v>775G90V1ESXM</v>
          </cell>
          <cell r="O6634"/>
          <cell r="T6634"/>
        </row>
        <row r="6635">
          <cell r="A6635" t="str">
            <v>DECIBEL</v>
          </cell>
          <cell r="B6635" t="str">
            <v>775G90V1ESXM-10</v>
          </cell>
          <cell r="O6635"/>
          <cell r="T6635"/>
        </row>
        <row r="6636">
          <cell r="A6636" t="str">
            <v>DECIBEL</v>
          </cell>
          <cell r="B6636" t="str">
            <v>775G90V1ESXM-2</v>
          </cell>
          <cell r="O6636"/>
          <cell r="T6636"/>
        </row>
        <row r="6637">
          <cell r="A6637" t="str">
            <v>DECIBEL</v>
          </cell>
          <cell r="B6637" t="str">
            <v>775G90V1ESXM-4</v>
          </cell>
          <cell r="O6637"/>
          <cell r="T6637"/>
        </row>
        <row r="6638">
          <cell r="A6638" t="str">
            <v>DECIBEL</v>
          </cell>
          <cell r="B6638" t="str">
            <v>775G90V1ESXM-6</v>
          </cell>
          <cell r="O6638"/>
          <cell r="T6638"/>
        </row>
        <row r="6639">
          <cell r="A6639" t="str">
            <v>DECIBEL</v>
          </cell>
          <cell r="B6639" t="str">
            <v>775G90V1ESXM-8</v>
          </cell>
          <cell r="O6639"/>
          <cell r="T6639"/>
        </row>
        <row r="6640">
          <cell r="A6640" t="str">
            <v>DECIBEL</v>
          </cell>
          <cell r="B6640" t="str">
            <v>776QNB120EXM</v>
          </cell>
          <cell r="O6640">
            <v>27.465085461916289</v>
          </cell>
          <cell r="T6640">
            <v>4.5792693522007397</v>
          </cell>
        </row>
        <row r="6641">
          <cell r="A6641" t="str">
            <v>DECIBEL</v>
          </cell>
          <cell r="B6641" t="str">
            <v>778G90VTAXM</v>
          </cell>
          <cell r="O6641"/>
          <cell r="T6641"/>
        </row>
        <row r="6642">
          <cell r="A6642" t="str">
            <v>DECIBEL</v>
          </cell>
          <cell r="B6642" t="str">
            <v>778X105M85V1</v>
          </cell>
          <cell r="O6642"/>
          <cell r="T6642"/>
        </row>
        <row r="6643">
          <cell r="A6643" t="str">
            <v>DECIBEL</v>
          </cell>
          <cell r="B6643" t="str">
            <v>844G45VTZASX</v>
          </cell>
          <cell r="O6643"/>
          <cell r="T6643"/>
        </row>
        <row r="6644">
          <cell r="A6644" t="str">
            <v>DECIBEL</v>
          </cell>
          <cell r="B6644" t="str">
            <v>844G65T6ZAXY</v>
          </cell>
          <cell r="O6644">
            <v>4.2419958672896403</v>
          </cell>
          <cell r="T6644">
            <v>3.55117679657871</v>
          </cell>
        </row>
        <row r="6645">
          <cell r="A6645" t="str">
            <v>DECIBEL</v>
          </cell>
          <cell r="B6645" t="str">
            <v>844G65VTZAS</v>
          </cell>
          <cell r="O6645"/>
          <cell r="T6645"/>
        </row>
        <row r="6646">
          <cell r="A6646" t="str">
            <v>DECIBEL</v>
          </cell>
          <cell r="B6646" t="str">
            <v>844G65VTZASX</v>
          </cell>
          <cell r="O6646"/>
          <cell r="T6646"/>
        </row>
        <row r="6647">
          <cell r="A6647" t="str">
            <v>DECIBEL</v>
          </cell>
          <cell r="B6647" t="str">
            <v>844G80VTA-SX</v>
          </cell>
          <cell r="O6647">
            <v>2.2373509839999999</v>
          </cell>
          <cell r="T6647">
            <v>2.622555615</v>
          </cell>
        </row>
        <row r="6648">
          <cell r="A6648" t="str">
            <v>DECIBEL</v>
          </cell>
          <cell r="B6648" t="str">
            <v>844G90VTA-SX</v>
          </cell>
          <cell r="O6648">
            <v>2.2373509839999999</v>
          </cell>
          <cell r="T6648">
            <v>2.622555615</v>
          </cell>
        </row>
        <row r="6649">
          <cell r="A6649" t="str">
            <v>DECIBEL</v>
          </cell>
          <cell r="B6649" t="str">
            <v>844H105T8ESX</v>
          </cell>
          <cell r="O6649">
            <v>2.2373509839999999</v>
          </cell>
          <cell r="T6649">
            <v>2.622555615</v>
          </cell>
        </row>
        <row r="6650">
          <cell r="A6650" t="str">
            <v>DECIBEL</v>
          </cell>
          <cell r="B6650" t="str">
            <v>844H40VT-XT</v>
          </cell>
          <cell r="O6650"/>
          <cell r="T6650"/>
        </row>
        <row r="6651">
          <cell r="A6651" t="str">
            <v>DECIBEL</v>
          </cell>
          <cell r="B6651" t="str">
            <v>844H40VTE-XT</v>
          </cell>
          <cell r="O6651"/>
          <cell r="T6651"/>
        </row>
        <row r="6652">
          <cell r="A6652" t="str">
            <v>DECIBEL</v>
          </cell>
          <cell r="B6652" t="str">
            <v>844H65T11EXY</v>
          </cell>
          <cell r="O6652">
            <v>6.7273678626543196</v>
          </cell>
          <cell r="T6652">
            <v>3.1392438749338103</v>
          </cell>
        </row>
        <row r="6653">
          <cell r="A6653" t="str">
            <v>DECIBEL</v>
          </cell>
          <cell r="B6653" t="str">
            <v>844H65T13EXY</v>
          </cell>
          <cell r="O6653"/>
          <cell r="T6653"/>
        </row>
        <row r="6654">
          <cell r="A6654" t="str">
            <v>DECIBEL</v>
          </cell>
          <cell r="B6654" t="str">
            <v>844H65T6E-XY</v>
          </cell>
          <cell r="O6654">
            <v>6.7273678626543196</v>
          </cell>
          <cell r="T6654">
            <v>3.1392438749338103</v>
          </cell>
        </row>
        <row r="6655">
          <cell r="A6655" t="str">
            <v>DECIBEL</v>
          </cell>
          <cell r="B6655" t="str">
            <v>844H65T8E-XY</v>
          </cell>
          <cell r="O6655"/>
          <cell r="T6655"/>
        </row>
        <row r="6656">
          <cell r="A6656" t="str">
            <v>DECIBEL</v>
          </cell>
          <cell r="B6656" t="str">
            <v>844H65VTE-SY</v>
          </cell>
          <cell r="O6656"/>
          <cell r="T6656"/>
        </row>
        <row r="6657">
          <cell r="A6657" t="str">
            <v>DECIBEL</v>
          </cell>
          <cell r="B6657" t="str">
            <v>844H65VTE-X</v>
          </cell>
          <cell r="O6657"/>
          <cell r="T6657"/>
        </row>
        <row r="6658">
          <cell r="A6658" t="str">
            <v>DECIBEL</v>
          </cell>
          <cell r="B6658" t="str">
            <v>844H80T6E-XY</v>
          </cell>
          <cell r="O6658"/>
          <cell r="T6658"/>
        </row>
        <row r="6659">
          <cell r="A6659" t="str">
            <v>DECIBEL</v>
          </cell>
          <cell r="B6659" t="str">
            <v>844H90T11EXY</v>
          </cell>
          <cell r="O6659">
            <v>2.2373509839999999</v>
          </cell>
          <cell r="T6659">
            <v>2.622555615</v>
          </cell>
        </row>
        <row r="6660">
          <cell r="A6660" t="str">
            <v>DECIBEL</v>
          </cell>
          <cell r="B6660" t="str">
            <v>844H90T6E-XY</v>
          </cell>
          <cell r="O6660"/>
          <cell r="T6660"/>
        </row>
        <row r="6661">
          <cell r="A6661" t="str">
            <v>DECIBEL</v>
          </cell>
          <cell r="B6661" t="str">
            <v>844H90VTE-XT</v>
          </cell>
          <cell r="O6661">
            <v>2.2373509839999999</v>
          </cell>
          <cell r="T6661">
            <v>2.622555615</v>
          </cell>
        </row>
        <row r="6662">
          <cell r="A6662" t="str">
            <v>DECIBEL</v>
          </cell>
          <cell r="B6662" t="str">
            <v>846H65T5E-SX</v>
          </cell>
          <cell r="O6662">
            <v>10.231973379629601</v>
          </cell>
          <cell r="T6662">
            <v>4.8802020440150597</v>
          </cell>
        </row>
        <row r="6663">
          <cell r="A6663" t="str">
            <v>DECIBEL</v>
          </cell>
          <cell r="B6663" t="str">
            <v>846H80T5E-SX</v>
          </cell>
          <cell r="O6663"/>
          <cell r="T6663"/>
        </row>
        <row r="6664">
          <cell r="A6664" t="str">
            <v>DECIBEL</v>
          </cell>
          <cell r="B6664" t="str">
            <v>846H90T10ESX</v>
          </cell>
          <cell r="O6664"/>
          <cell r="T6664"/>
        </row>
        <row r="6665">
          <cell r="A6665" t="str">
            <v>DECIBEL</v>
          </cell>
          <cell r="B6665" t="str">
            <v>846H90T5E-SX</v>
          </cell>
          <cell r="O6665">
            <v>3.523771199</v>
          </cell>
          <cell r="T6665">
            <v>4.1803394809999999</v>
          </cell>
        </row>
        <row r="6666">
          <cell r="A6666" t="str">
            <v>DECIBEL</v>
          </cell>
          <cell r="B6666" t="str">
            <v>848F65T5E-SX</v>
          </cell>
          <cell r="O6666">
            <v>13.960334683641989</v>
          </cell>
          <cell r="T6666">
            <v>6.6464720035158189</v>
          </cell>
        </row>
        <row r="6667">
          <cell r="A6667" t="str">
            <v>DECIBEL</v>
          </cell>
          <cell r="B6667" t="str">
            <v>848F90T2E-SX</v>
          </cell>
          <cell r="O6667"/>
          <cell r="T6667"/>
        </row>
        <row r="6668">
          <cell r="A6668" t="str">
            <v>DECIBEL</v>
          </cell>
          <cell r="B6668" t="str">
            <v>848F90T5E-SX</v>
          </cell>
          <cell r="O6668">
            <v>4.714876061</v>
          </cell>
          <cell r="T6668">
            <v>5.6270773189999996</v>
          </cell>
        </row>
        <row r="6669">
          <cell r="A6669" t="str">
            <v>DECIBEL</v>
          </cell>
          <cell r="B6669" t="str">
            <v>848H65T6E-XY</v>
          </cell>
          <cell r="O6669"/>
          <cell r="T6669"/>
        </row>
        <row r="6670">
          <cell r="A6670" t="str">
            <v>DECIBEL</v>
          </cell>
          <cell r="B6670" t="str">
            <v>848H90T4E-SX</v>
          </cell>
          <cell r="O6670">
            <v>4.714876061</v>
          </cell>
          <cell r="T6670">
            <v>5.6270773189999996</v>
          </cell>
        </row>
        <row r="6671">
          <cell r="A6671" t="str">
            <v>DECIBEL</v>
          </cell>
          <cell r="B6671" t="str">
            <v>848H90T4E-XY</v>
          </cell>
          <cell r="O6671">
            <v>4.714876061</v>
          </cell>
          <cell r="T6671">
            <v>5.6270773189999996</v>
          </cell>
        </row>
        <row r="6672">
          <cell r="A6672" t="str">
            <v>DECIBEL</v>
          </cell>
          <cell r="B6672" t="str">
            <v>854DF65T5ESX</v>
          </cell>
          <cell r="O6672"/>
          <cell r="T6672"/>
        </row>
        <row r="6673">
          <cell r="A6673" t="str">
            <v>DECIBEL</v>
          </cell>
          <cell r="B6673" t="str">
            <v>854DG65T6ESX</v>
          </cell>
          <cell r="O6673">
            <v>5.4438753858024693</v>
          </cell>
          <cell r="T6673">
            <v>2.45113955970016</v>
          </cell>
        </row>
        <row r="6674">
          <cell r="A6674" t="str">
            <v>DECIBEL</v>
          </cell>
          <cell r="B6674" t="str">
            <v>854DG65VTESX</v>
          </cell>
          <cell r="O6674">
            <v>5.4438753858024693</v>
          </cell>
          <cell r="T6674">
            <v>2.45113955970016</v>
          </cell>
        </row>
        <row r="6675">
          <cell r="A6675" t="str">
            <v>DECIBEL</v>
          </cell>
          <cell r="B6675" t="str">
            <v>854DG85VTEXY</v>
          </cell>
          <cell r="O6675"/>
          <cell r="T6675"/>
        </row>
        <row r="6676">
          <cell r="A6676" t="str">
            <v>DECIBEL</v>
          </cell>
          <cell r="B6676" t="str">
            <v>854DG90T6ESX</v>
          </cell>
          <cell r="O6676">
            <v>5.4306775102823091</v>
          </cell>
          <cell r="T6676">
            <v>2.9286598375586297</v>
          </cell>
        </row>
        <row r="6677">
          <cell r="A6677" t="str">
            <v>DECIBEL</v>
          </cell>
          <cell r="B6677" t="str">
            <v>854DG90VTESX</v>
          </cell>
          <cell r="O6677">
            <v>6.6554774778456096</v>
          </cell>
          <cell r="T6677">
            <v>3.9061220274623802</v>
          </cell>
        </row>
        <row r="6678">
          <cell r="A6678" t="str">
            <v>DECIBEL</v>
          </cell>
          <cell r="B6678" t="str">
            <v>854DG90VTEXC</v>
          </cell>
          <cell r="O6678">
            <v>6.6554774778456096</v>
          </cell>
          <cell r="T6678">
            <v>3.9061220274623802</v>
          </cell>
        </row>
        <row r="6679">
          <cell r="A6679" t="str">
            <v>DECIBEL</v>
          </cell>
          <cell r="B6679" t="str">
            <v>855DD65VTESX</v>
          </cell>
          <cell r="O6679">
            <v>6.8754977942376794</v>
          </cell>
          <cell r="T6679">
            <v>3.2419738809063996</v>
          </cell>
        </row>
        <row r="6680">
          <cell r="A6680" t="str">
            <v>DECIBEL</v>
          </cell>
          <cell r="B6680" t="str">
            <v>855DD90T3ESX</v>
          </cell>
          <cell r="O6680"/>
          <cell r="T6680"/>
        </row>
        <row r="6681">
          <cell r="A6681" t="str">
            <v>DECIBEL</v>
          </cell>
          <cell r="B6681" t="str">
            <v>855DDH65E-SX</v>
          </cell>
          <cell r="O6681">
            <v>6.9308063271604894</v>
          </cell>
          <cell r="T6681">
            <v>3.7446960311556898</v>
          </cell>
        </row>
        <row r="6682">
          <cell r="A6682" t="str">
            <v>DECIBEL</v>
          </cell>
          <cell r="B6682" t="str">
            <v>855DDH90E-SX</v>
          </cell>
          <cell r="O6682"/>
          <cell r="T6682"/>
        </row>
        <row r="6683">
          <cell r="A6683" t="str">
            <v>DECIBEL</v>
          </cell>
          <cell r="B6683" t="str">
            <v>856DG65T6ESX</v>
          </cell>
          <cell r="O6683"/>
          <cell r="T6683"/>
        </row>
        <row r="6684">
          <cell r="A6684" t="str">
            <v>DECIBEL</v>
          </cell>
          <cell r="B6684" t="str">
            <v>856DG65VTASX</v>
          </cell>
          <cell r="O6684">
            <v>8.5116197358547687</v>
          </cell>
          <cell r="T6684">
            <v>4.6029739837440493</v>
          </cell>
        </row>
        <row r="6685">
          <cell r="A6685" t="str">
            <v>DECIBEL</v>
          </cell>
          <cell r="B6685" t="str">
            <v>858DG65T3ESX</v>
          </cell>
          <cell r="O6685"/>
          <cell r="T6685"/>
        </row>
        <row r="6686">
          <cell r="A6686" t="str">
            <v>DECIBEL</v>
          </cell>
          <cell r="B6686" t="str">
            <v>858DG65VTASX</v>
          </cell>
          <cell r="O6686"/>
          <cell r="T6686"/>
        </row>
        <row r="6687">
          <cell r="A6687" t="str">
            <v>DECIBEL</v>
          </cell>
          <cell r="B6687" t="str">
            <v>858DG85T3ESX</v>
          </cell>
          <cell r="O6687">
            <v>11.334077151036698</v>
          </cell>
          <cell r="T6687">
            <v>6.1360988734140092</v>
          </cell>
        </row>
        <row r="6688">
          <cell r="A6688" t="str">
            <v>DECIBEL</v>
          </cell>
          <cell r="B6688" t="str">
            <v>858DG90T2ESX</v>
          </cell>
          <cell r="O6688">
            <v>11.334077151036698</v>
          </cell>
          <cell r="T6688">
            <v>6.1360988734140092</v>
          </cell>
        </row>
        <row r="6689">
          <cell r="A6689" t="str">
            <v>DECIBEL</v>
          </cell>
          <cell r="B6689" t="str">
            <v>858DG90T3ESX</v>
          </cell>
          <cell r="O6689">
            <v>11.334077151036698</v>
          </cell>
          <cell r="T6689">
            <v>6.1360988734140092</v>
          </cell>
        </row>
        <row r="6690">
          <cell r="A6690" t="str">
            <v>DECIBEL</v>
          </cell>
          <cell r="B6690" t="str">
            <v>858HDDH90ESX</v>
          </cell>
          <cell r="O6690">
            <v>11.683739039999999</v>
          </cell>
          <cell r="T6690">
            <v>4.5146201860000001</v>
          </cell>
        </row>
        <row r="6691">
          <cell r="A6691" t="str">
            <v>DECIBEL</v>
          </cell>
          <cell r="B6691" t="str">
            <v>874G105VTESX</v>
          </cell>
          <cell r="O6691"/>
          <cell r="T6691"/>
        </row>
        <row r="6692">
          <cell r="A6692" t="str">
            <v>DECIBEL</v>
          </cell>
          <cell r="B6692" t="str">
            <v>874G90VTE-SX</v>
          </cell>
          <cell r="O6692"/>
          <cell r="T6692"/>
        </row>
        <row r="6693">
          <cell r="A6693" t="str">
            <v>DECIBEL</v>
          </cell>
          <cell r="B6693" t="str">
            <v>878G60T2A-XY</v>
          </cell>
          <cell r="O6693">
            <v>11.4414503058044</v>
          </cell>
          <cell r="T6693">
            <v>4.5175055265365698</v>
          </cell>
        </row>
        <row r="6694">
          <cell r="A6694" t="str">
            <v>DECIBEL</v>
          </cell>
          <cell r="B6694" t="str">
            <v>878G60T4A-XY</v>
          </cell>
          <cell r="O6694">
            <v>11.4414503058044</v>
          </cell>
          <cell r="T6694">
            <v>4.5175055265365698</v>
          </cell>
        </row>
        <row r="6695">
          <cell r="A6695" t="str">
            <v>DECIBEL</v>
          </cell>
          <cell r="B6695" t="str">
            <v>894H65T6E-SX</v>
          </cell>
          <cell r="O6695"/>
          <cell r="T6695"/>
        </row>
        <row r="6696">
          <cell r="A6696" t="str">
            <v>DECIBEL</v>
          </cell>
          <cell r="B6696" t="str">
            <v>894H65VTE-SX</v>
          </cell>
          <cell r="O6696"/>
          <cell r="T6696"/>
        </row>
        <row r="6697">
          <cell r="A6697" t="str">
            <v>DECIBEL</v>
          </cell>
          <cell r="B6697" t="str">
            <v>926DF65T9E-M</v>
          </cell>
          <cell r="O6697">
            <v>1.9246714680000001</v>
          </cell>
          <cell r="T6697">
            <v>1.129127121</v>
          </cell>
        </row>
        <row r="6698">
          <cell r="A6698" t="str">
            <v>DECIBEL</v>
          </cell>
          <cell r="B6698" t="str">
            <v>928DD90T2E-M</v>
          </cell>
          <cell r="O6698"/>
          <cell r="T6698"/>
        </row>
        <row r="6699">
          <cell r="A6699" t="str">
            <v>DECIBEL</v>
          </cell>
          <cell r="B6699" t="str">
            <v>928DG65T2E-M</v>
          </cell>
          <cell r="O6699">
            <v>2.28780638770602</v>
          </cell>
          <cell r="T6699">
            <v>0.99910352248205103</v>
          </cell>
        </row>
        <row r="6700">
          <cell r="A6700" t="str">
            <v>DECIBEL</v>
          </cell>
          <cell r="B6700" t="str">
            <v>928DG65T5E-M</v>
          </cell>
          <cell r="O6700">
            <v>2.28780638770602</v>
          </cell>
          <cell r="T6700">
            <v>0.99910352248205103</v>
          </cell>
        </row>
        <row r="6701">
          <cell r="A6701" t="str">
            <v>DECIBEL</v>
          </cell>
          <cell r="B6701" t="str">
            <v>929DG65T2E-M</v>
          </cell>
          <cell r="O6701">
            <v>2.5676558308836297</v>
          </cell>
          <cell r="T6701">
            <v>1.1232305812935</v>
          </cell>
        </row>
        <row r="6702">
          <cell r="A6702" t="str">
            <v>DECIBEL</v>
          </cell>
          <cell r="B6702" t="str">
            <v>930DD65T4E-M</v>
          </cell>
          <cell r="O6702">
            <v>3.6065950444903203</v>
          </cell>
          <cell r="T6702">
            <v>1.73722561493529</v>
          </cell>
        </row>
        <row r="6703">
          <cell r="A6703" t="str">
            <v>DECIBEL</v>
          </cell>
          <cell r="B6703" t="str">
            <v>930DD90T2E-M</v>
          </cell>
          <cell r="O6703"/>
          <cell r="T6703"/>
        </row>
        <row r="6704">
          <cell r="A6704" t="str">
            <v>DECIBEL</v>
          </cell>
          <cell r="B6704" t="str">
            <v>931DG65T2E-M</v>
          </cell>
          <cell r="O6704">
            <v>3.1212627613383197</v>
          </cell>
          <cell r="T6704">
            <v>1.36862783754708</v>
          </cell>
        </row>
        <row r="6705">
          <cell r="A6705" t="str">
            <v>DECIBEL</v>
          </cell>
          <cell r="B6705" t="str">
            <v>931DG70VTREM</v>
          </cell>
          <cell r="O6705"/>
          <cell r="T6705"/>
        </row>
        <row r="6706">
          <cell r="A6706" t="str">
            <v>DECIBEL</v>
          </cell>
          <cell r="B6706" t="str">
            <v>931LG65VTE-B</v>
          </cell>
          <cell r="O6706">
            <v>3.47625056969988</v>
          </cell>
          <cell r="T6706">
            <v>2.78647823729096</v>
          </cell>
        </row>
        <row r="6707">
          <cell r="A6707" t="str">
            <v>DECIBEL</v>
          </cell>
          <cell r="B6707" t="str">
            <v>932DD65T2E-M</v>
          </cell>
          <cell r="O6707">
            <v>4.1514941776146195</v>
          </cell>
          <cell r="T6707">
            <v>1.99986380910006</v>
          </cell>
        </row>
        <row r="6708">
          <cell r="A6708" t="str">
            <v>DECIBEL</v>
          </cell>
          <cell r="B6708" t="str">
            <v>932DD90T2E-M</v>
          </cell>
          <cell r="O6708"/>
          <cell r="T6708"/>
        </row>
        <row r="6709">
          <cell r="A6709" t="str">
            <v>DECIBEL</v>
          </cell>
          <cell r="B6709" t="str">
            <v>932DG33T2A-M</v>
          </cell>
          <cell r="O6709"/>
          <cell r="T6709"/>
        </row>
        <row r="6710">
          <cell r="A6710" t="str">
            <v>DECIBEL</v>
          </cell>
          <cell r="B6710" t="str">
            <v>932DG65RCE-M</v>
          </cell>
          <cell r="O6710">
            <v>3.1154176570000001</v>
          </cell>
          <cell r="T6710">
            <v>1.3669302779999999</v>
          </cell>
        </row>
        <row r="6711">
          <cell r="A6711" t="str">
            <v>DECIBEL</v>
          </cell>
          <cell r="B6711" t="str">
            <v>932DG65T2E-B</v>
          </cell>
          <cell r="O6711">
            <v>3.1154176570000001</v>
          </cell>
          <cell r="T6711">
            <v>1.3669302779999999</v>
          </cell>
        </row>
        <row r="6712">
          <cell r="A6712" t="str">
            <v>DECIBEL</v>
          </cell>
          <cell r="B6712" t="str">
            <v>932DG65T2E-M</v>
          </cell>
          <cell r="O6712">
            <v>3.1154176570000001</v>
          </cell>
          <cell r="T6712">
            <v>1.3669302779999999</v>
          </cell>
        </row>
        <row r="6713">
          <cell r="A6713" t="str">
            <v>DECIBEL</v>
          </cell>
          <cell r="B6713" t="str">
            <v>932DG65T4E-M</v>
          </cell>
          <cell r="O6713">
            <v>3.1154176570000001</v>
          </cell>
          <cell r="T6713">
            <v>1.3669302779999999</v>
          </cell>
        </row>
        <row r="6714">
          <cell r="A6714" t="str">
            <v>DECIBEL</v>
          </cell>
          <cell r="B6714" t="str">
            <v>932DG65T6E-M</v>
          </cell>
          <cell r="O6714">
            <v>3.1154176570000001</v>
          </cell>
          <cell r="T6714">
            <v>1.3669302779999999</v>
          </cell>
        </row>
        <row r="6715">
          <cell r="A6715" t="str">
            <v>DECIBEL</v>
          </cell>
          <cell r="B6715" t="str">
            <v>932DG65VTE-M</v>
          </cell>
          <cell r="O6715">
            <v>3.1154176570000001</v>
          </cell>
          <cell r="T6715">
            <v>1.3669302779999999</v>
          </cell>
        </row>
        <row r="6716">
          <cell r="A6716" t="str">
            <v>DECIBEL</v>
          </cell>
          <cell r="B6716" t="str">
            <v>932DG90T2E-M</v>
          </cell>
          <cell r="O6716">
            <v>2.1310734205495798</v>
          </cell>
          <cell r="T6716">
            <v>1.0631840593389199</v>
          </cell>
        </row>
        <row r="6717">
          <cell r="A6717" t="str">
            <v>DECIBEL</v>
          </cell>
          <cell r="B6717" t="str">
            <v>932DG90T4E-M</v>
          </cell>
          <cell r="O6717">
            <v>2.1310734205495798</v>
          </cell>
          <cell r="T6717">
            <v>1.0631840593389199</v>
          </cell>
        </row>
        <row r="6718">
          <cell r="A6718" t="str">
            <v>DECIBEL</v>
          </cell>
          <cell r="B6718" t="str">
            <v>932DG90VTE-M</v>
          </cell>
          <cell r="O6718">
            <v>3.1154176570000001</v>
          </cell>
          <cell r="T6718">
            <v>1.3669302779999999</v>
          </cell>
        </row>
        <row r="6719">
          <cell r="A6719" t="str">
            <v>DECIBEL</v>
          </cell>
          <cell r="B6719" t="str">
            <v>932LG65R2E-B</v>
          </cell>
          <cell r="O6719"/>
          <cell r="T6719"/>
        </row>
        <row r="6720">
          <cell r="A6720" t="str">
            <v>DECIBEL</v>
          </cell>
          <cell r="B6720" t="str">
            <v>932LG65T2A-M</v>
          </cell>
          <cell r="O6720"/>
          <cell r="T6720"/>
        </row>
        <row r="6721">
          <cell r="A6721" t="str">
            <v>DECIBEL</v>
          </cell>
          <cell r="B6721" t="str">
            <v>932LG65VTE-B</v>
          </cell>
          <cell r="O6721"/>
          <cell r="T6721"/>
        </row>
        <row r="6722">
          <cell r="A6722" t="str">
            <v>DECIBEL</v>
          </cell>
          <cell r="B6722" t="str">
            <v>932LG65VTE-M</v>
          </cell>
          <cell r="O6722">
            <v>3.7757558706177696</v>
          </cell>
          <cell r="T6722">
            <v>3.0301323178676802</v>
          </cell>
        </row>
        <row r="6723">
          <cell r="A6723" t="str">
            <v>DECIBEL</v>
          </cell>
          <cell r="B6723" t="str">
            <v>932QDG65T2EM</v>
          </cell>
          <cell r="O6723">
            <v>6.4479764845059995</v>
          </cell>
          <cell r="T6723">
            <v>1.6835465329606201</v>
          </cell>
        </row>
        <row r="6724">
          <cell r="A6724" t="str">
            <v>DECIBEL</v>
          </cell>
          <cell r="B6724" t="str">
            <v>932QDG65VTEM</v>
          </cell>
          <cell r="O6724"/>
          <cell r="T6724"/>
        </row>
        <row r="6725">
          <cell r="A6725" t="str">
            <v>DECIBEL</v>
          </cell>
          <cell r="B6725" t="str">
            <v>932QDG85T2EM</v>
          </cell>
          <cell r="O6725"/>
          <cell r="T6725"/>
        </row>
        <row r="6726">
          <cell r="A6726" t="str">
            <v>DECIBEL</v>
          </cell>
          <cell r="B6726" t="str">
            <v>932QDG90T2EM</v>
          </cell>
          <cell r="O6726">
            <v>6.4479764845059995</v>
          </cell>
          <cell r="T6726">
            <v>1.6835465329606201</v>
          </cell>
        </row>
        <row r="6727">
          <cell r="A6727" t="str">
            <v>DECIBEL</v>
          </cell>
          <cell r="B6727" t="str">
            <v>932QDG90VTEM</v>
          </cell>
          <cell r="O6727">
            <v>6.4291859567901195</v>
          </cell>
          <cell r="T6727">
            <v>1.5888393308279198</v>
          </cell>
        </row>
        <row r="6728">
          <cell r="A6728" t="str">
            <v>DECIBEL</v>
          </cell>
          <cell r="B6728" t="str">
            <v>932QLG65R2EB</v>
          </cell>
          <cell r="O6728">
            <v>8.7368200231481499</v>
          </cell>
          <cell r="T6728">
            <v>3.9537312179068897</v>
          </cell>
        </row>
        <row r="6729">
          <cell r="A6729" t="str">
            <v>DECIBEL</v>
          </cell>
          <cell r="B6729" t="str">
            <v>936LG65VTE-B</v>
          </cell>
          <cell r="O6729"/>
          <cell r="T6729"/>
        </row>
        <row r="6730">
          <cell r="A6730" t="str">
            <v>DECIBEL</v>
          </cell>
          <cell r="B6730" t="str">
            <v>938DG65T2A-M</v>
          </cell>
          <cell r="O6730">
            <v>5.3525125263566</v>
          </cell>
          <cell r="T6730">
            <v>2.35558477681634</v>
          </cell>
        </row>
        <row r="6731">
          <cell r="A6731" t="str">
            <v>DECIBEL</v>
          </cell>
          <cell r="B6731" t="str">
            <v>938DG90T2A-M</v>
          </cell>
          <cell r="O6731">
            <v>5.3525125263566</v>
          </cell>
          <cell r="T6731">
            <v>2.35558477681634</v>
          </cell>
        </row>
        <row r="6732">
          <cell r="A6732" t="str">
            <v>DECIBEL</v>
          </cell>
          <cell r="B6732" t="str">
            <v>948F65T2ZE-M</v>
          </cell>
          <cell r="O6732">
            <v>2.73573561108357</v>
          </cell>
          <cell r="T6732">
            <v>1.67631023084991</v>
          </cell>
        </row>
        <row r="6733">
          <cell r="A6733" t="str">
            <v>DECIBEL</v>
          </cell>
          <cell r="B6733" t="str">
            <v>948F65T4E-M</v>
          </cell>
          <cell r="O6733"/>
          <cell r="T6733"/>
        </row>
        <row r="6734">
          <cell r="A6734" t="str">
            <v>DECIBEL</v>
          </cell>
          <cell r="B6734" t="str">
            <v>948F85T4E-M</v>
          </cell>
          <cell r="O6734"/>
          <cell r="T6734"/>
        </row>
        <row r="6735">
          <cell r="A6735" t="str">
            <v>DECIBEL</v>
          </cell>
          <cell r="B6735" t="str">
            <v>950F40T2E-M</v>
          </cell>
          <cell r="O6735"/>
          <cell r="T6735"/>
        </row>
        <row r="6736">
          <cell r="A6736" t="str">
            <v>DECIBEL</v>
          </cell>
          <cell r="B6736" t="str">
            <v>950F40T4E-M</v>
          </cell>
          <cell r="O6736"/>
          <cell r="T6736"/>
        </row>
        <row r="6737">
          <cell r="A6737" t="str">
            <v>DECIBEL</v>
          </cell>
          <cell r="B6737" t="str">
            <v>950F65T2E-M</v>
          </cell>
          <cell r="O6737"/>
          <cell r="T6737"/>
        </row>
        <row r="6738">
          <cell r="A6738" t="str">
            <v>DECIBEL</v>
          </cell>
          <cell r="B6738" t="str">
            <v>950F65T2ZE-M</v>
          </cell>
          <cell r="O6738">
            <v>3.4646437386312896</v>
          </cell>
          <cell r="T6738">
            <v>2.1318648021369899</v>
          </cell>
        </row>
        <row r="6739">
          <cell r="A6739" t="str">
            <v>DECIBEL</v>
          </cell>
          <cell r="B6739" t="str">
            <v>950F65T4E-M</v>
          </cell>
          <cell r="O6739"/>
          <cell r="T6739"/>
        </row>
        <row r="6740">
          <cell r="A6740" t="str">
            <v>DECIBEL</v>
          </cell>
          <cell r="B6740" t="str">
            <v>950F85T2E-M</v>
          </cell>
          <cell r="O6740"/>
          <cell r="T6740"/>
        </row>
        <row r="6741">
          <cell r="A6741" t="str">
            <v>DECIBEL</v>
          </cell>
          <cell r="B6741" t="str">
            <v>950F85T4E-M</v>
          </cell>
          <cell r="O6741"/>
          <cell r="T6741"/>
        </row>
        <row r="6742">
          <cell r="A6742" t="str">
            <v>DECIBEL</v>
          </cell>
          <cell r="B6742" t="str">
            <v>950G65RCZE-M</v>
          </cell>
          <cell r="O6742">
            <v>3.4646437386312896</v>
          </cell>
          <cell r="T6742">
            <v>2.1318648021369899</v>
          </cell>
        </row>
        <row r="6743">
          <cell r="A6743" t="str">
            <v>DECIBEL</v>
          </cell>
          <cell r="B6743" t="str">
            <v>950G65VTZE-M</v>
          </cell>
          <cell r="O6743">
            <v>3.4646437386312896</v>
          </cell>
          <cell r="T6743">
            <v>2.1318648021369899</v>
          </cell>
        </row>
        <row r="6744">
          <cell r="A6744" t="str">
            <v>DECIBEL</v>
          </cell>
          <cell r="B6744" t="str">
            <v>950G85RCE-M</v>
          </cell>
          <cell r="O6744">
            <v>1.3380389883864099</v>
          </cell>
          <cell r="T6744">
            <v>2.8630413915033404</v>
          </cell>
        </row>
        <row r="6745">
          <cell r="A6745" t="str">
            <v>DECIBEL</v>
          </cell>
          <cell r="B6745" t="str">
            <v>950G85VTE-M</v>
          </cell>
          <cell r="O6745">
            <v>1.3380389883864099</v>
          </cell>
          <cell r="T6745">
            <v>2.8630413915033404</v>
          </cell>
        </row>
        <row r="6746">
          <cell r="A6746" t="str">
            <v>DECIBEL</v>
          </cell>
          <cell r="B6746" t="str">
            <v>966DDH90T2EM</v>
          </cell>
          <cell r="O6746">
            <v>2.9487172069999996</v>
          </cell>
          <cell r="T6746">
            <v>1.4739654289999999</v>
          </cell>
        </row>
        <row r="6747">
          <cell r="A6747" t="str">
            <v>DECIBEL</v>
          </cell>
          <cell r="B6747" t="str">
            <v>976H90T2E-M</v>
          </cell>
          <cell r="O6747">
            <v>1.9246714680000001</v>
          </cell>
          <cell r="T6747">
            <v>1.129127121</v>
          </cell>
        </row>
        <row r="6748">
          <cell r="A6748" t="str">
            <v>DECIBEL</v>
          </cell>
          <cell r="B6748" t="str">
            <v>978F30T2E-M</v>
          </cell>
          <cell r="O6748"/>
          <cell r="T6748"/>
        </row>
        <row r="6749">
          <cell r="A6749" t="str">
            <v>DECIBEL</v>
          </cell>
          <cell r="B6749" t="str">
            <v>978F65T2E-M</v>
          </cell>
          <cell r="O6749">
            <v>2.6097879580000001</v>
          </cell>
          <cell r="T6749">
            <v>1.5305318959999998</v>
          </cell>
        </row>
        <row r="6750">
          <cell r="A6750" t="str">
            <v>DECIBEL</v>
          </cell>
          <cell r="B6750" t="str">
            <v>978F90T2E-M</v>
          </cell>
          <cell r="O6750">
            <v>2.6097879580000001</v>
          </cell>
          <cell r="T6750">
            <v>1.5305318959999998</v>
          </cell>
        </row>
        <row r="6751">
          <cell r="A6751" t="str">
            <v>DECIBEL</v>
          </cell>
          <cell r="B6751" t="str">
            <v>978HG85FE-R</v>
          </cell>
          <cell r="O6751"/>
          <cell r="T6751"/>
        </row>
        <row r="6752">
          <cell r="A6752" t="str">
            <v>DECIBEL</v>
          </cell>
          <cell r="B6752" t="str">
            <v>978QNB120E-M</v>
          </cell>
          <cell r="O6752"/>
          <cell r="T6752"/>
        </row>
        <row r="6753">
          <cell r="A6753" t="str">
            <v>DECIBEL</v>
          </cell>
          <cell r="B6753" t="str">
            <v>979H65TO-AWS</v>
          </cell>
          <cell r="O6753">
            <v>2.9424451279999997</v>
          </cell>
          <cell r="T6753">
            <v>1.3065802339999999</v>
          </cell>
        </row>
        <row r="6754">
          <cell r="A6754" t="str">
            <v>DECIBEL</v>
          </cell>
          <cell r="B6754" t="str">
            <v>980F90T2E-M</v>
          </cell>
          <cell r="O6754">
            <v>3.2656643663458396</v>
          </cell>
          <cell r="T6754">
            <v>1.49877683886421</v>
          </cell>
        </row>
        <row r="6755">
          <cell r="A6755" t="str">
            <v>DECIBEL</v>
          </cell>
          <cell r="B6755" t="str">
            <v>980G65T2E-M</v>
          </cell>
          <cell r="O6755">
            <v>1.776991223</v>
          </cell>
          <cell r="T6755">
            <v>0.88822728100000004</v>
          </cell>
        </row>
        <row r="6756">
          <cell r="A6756" t="str">
            <v>DECIBEL</v>
          </cell>
          <cell r="B6756" t="str">
            <v>980G65T6E-M</v>
          </cell>
          <cell r="O6756">
            <v>3.4383298075239104</v>
          </cell>
          <cell r="T6756">
            <v>1.6561358754483</v>
          </cell>
        </row>
        <row r="6757">
          <cell r="A6757" t="str">
            <v>DECIBEL</v>
          </cell>
          <cell r="B6757" t="str">
            <v>980H120T4E-M</v>
          </cell>
          <cell r="O6757">
            <v>3.4383298075239104</v>
          </cell>
          <cell r="T6757">
            <v>1.6561358754483</v>
          </cell>
        </row>
        <row r="6758">
          <cell r="A6758" t="str">
            <v>DECIBEL</v>
          </cell>
          <cell r="B6758" t="str">
            <v>980H90-M</v>
          </cell>
          <cell r="O6758">
            <v>3.2893172290000003</v>
          </cell>
          <cell r="T6758">
            <v>1.460191053</v>
          </cell>
        </row>
        <row r="6759">
          <cell r="A6759" t="str">
            <v>DECIBEL</v>
          </cell>
          <cell r="B6759" t="str">
            <v>980H90T2A-M</v>
          </cell>
          <cell r="O6759"/>
          <cell r="T6759"/>
        </row>
        <row r="6760">
          <cell r="A6760" t="str">
            <v>DECIBEL</v>
          </cell>
          <cell r="B6760" t="str">
            <v>980H90T3R-M</v>
          </cell>
          <cell r="O6760"/>
          <cell r="T6760"/>
        </row>
        <row r="6761">
          <cell r="A6761" t="str">
            <v>DECIBEL</v>
          </cell>
          <cell r="B6761" t="str">
            <v>982F105T2E-M</v>
          </cell>
          <cell r="O6761">
            <v>3.9692212495482395</v>
          </cell>
          <cell r="T6761">
            <v>1.8216554434677501</v>
          </cell>
        </row>
        <row r="6762">
          <cell r="A6762" t="str">
            <v>DECIBEL</v>
          </cell>
          <cell r="B6762" t="str">
            <v>982F30T2E-M</v>
          </cell>
          <cell r="O6762">
            <v>9.1214963130088496</v>
          </cell>
          <cell r="T6762">
            <v>3.9524230396966402</v>
          </cell>
        </row>
        <row r="6763">
          <cell r="A6763" t="str">
            <v>DECIBEL</v>
          </cell>
          <cell r="B6763" t="str">
            <v>982F65T2E-M</v>
          </cell>
          <cell r="O6763">
            <v>3.9692212495482395</v>
          </cell>
          <cell r="T6763">
            <v>1.8216554434677501</v>
          </cell>
        </row>
        <row r="6764">
          <cell r="A6764" t="str">
            <v>DECIBEL</v>
          </cell>
          <cell r="B6764" t="str">
            <v>982G30T2E-M</v>
          </cell>
          <cell r="O6764">
            <v>9.1214963130088496</v>
          </cell>
          <cell r="T6764">
            <v>3.9524230396966402</v>
          </cell>
        </row>
        <row r="6765">
          <cell r="A6765" t="str">
            <v>DECIBEL</v>
          </cell>
          <cell r="B6765" t="str">
            <v>982G65T2E-M</v>
          </cell>
          <cell r="O6765">
            <v>4.0435284769999997</v>
          </cell>
          <cell r="T6765">
            <v>2.3727915669999997</v>
          </cell>
        </row>
        <row r="6766">
          <cell r="A6766" t="str">
            <v>DECIBEL</v>
          </cell>
          <cell r="B6766" t="str">
            <v>982G90T2E-M</v>
          </cell>
          <cell r="O6766">
            <v>3.9692212495482395</v>
          </cell>
          <cell r="T6766">
            <v>1.8216554434677501</v>
          </cell>
        </row>
        <row r="6767">
          <cell r="A6767" t="str">
            <v>DECIBEL</v>
          </cell>
          <cell r="B6767" t="str">
            <v>983H2052TE-M</v>
          </cell>
          <cell r="O6767">
            <v>4.4015318489999995</v>
          </cell>
          <cell r="T6767">
            <v>1.9546337229999999</v>
          </cell>
        </row>
        <row r="6768">
          <cell r="A6768" t="str">
            <v>DECIBEL</v>
          </cell>
          <cell r="B6768" t="str">
            <v>983H65T2A-M</v>
          </cell>
          <cell r="O6768">
            <v>4.4015318489999995</v>
          </cell>
          <cell r="T6768">
            <v>1.9546337229999999</v>
          </cell>
        </row>
        <row r="6769">
          <cell r="A6769" t="str">
            <v>DECIBEL</v>
          </cell>
          <cell r="B6769" t="str">
            <v>983H65T2E-M</v>
          </cell>
          <cell r="O6769">
            <v>4.4507505150000002</v>
          </cell>
          <cell r="T6769">
            <v>2.5938752259999998</v>
          </cell>
        </row>
        <row r="6770">
          <cell r="A6770" t="str">
            <v>DECIBEL</v>
          </cell>
          <cell r="B6770" t="str">
            <v>ADFD0920-6565B-XDM</v>
          </cell>
          <cell r="O6770"/>
          <cell r="T6770"/>
        </row>
        <row r="6771">
          <cell r="A6771" t="str">
            <v>DECIBEL</v>
          </cell>
          <cell r="B6771" t="str">
            <v>ADFD1820-9090B-XD</v>
          </cell>
          <cell r="O6771"/>
          <cell r="T6771"/>
        </row>
        <row r="6772">
          <cell r="A6772" t="str">
            <v>DECIBEL</v>
          </cell>
          <cell r="B6772" t="str">
            <v>ADFD1820-9090B-XDM</v>
          </cell>
          <cell r="O6772"/>
          <cell r="T6772"/>
        </row>
        <row r="6773">
          <cell r="A6773" t="str">
            <v>DECIBEL</v>
          </cell>
          <cell r="B6773" t="str">
            <v>ASP 705K</v>
          </cell>
          <cell r="O6773"/>
          <cell r="T6773"/>
        </row>
        <row r="6774">
          <cell r="A6774" t="str">
            <v>DECIBEL</v>
          </cell>
          <cell r="B6774" t="str">
            <v>ASP-2010</v>
          </cell>
          <cell r="O6774"/>
          <cell r="T6774"/>
        </row>
        <row r="6775">
          <cell r="A6775" t="str">
            <v>DECIBEL</v>
          </cell>
          <cell r="B6775" t="str">
            <v>ASP-2011</v>
          </cell>
          <cell r="O6775"/>
          <cell r="T6775"/>
        </row>
        <row r="6776">
          <cell r="A6776" t="str">
            <v>DECIBEL</v>
          </cell>
          <cell r="B6776" t="str">
            <v>ASP-2015</v>
          </cell>
          <cell r="O6776"/>
          <cell r="T6776"/>
        </row>
        <row r="6777">
          <cell r="A6777" t="str">
            <v>DECIBEL</v>
          </cell>
          <cell r="B6777" t="str">
            <v>ASP-2894</v>
          </cell>
          <cell r="O6777"/>
          <cell r="T6777"/>
        </row>
        <row r="6778">
          <cell r="A6778" t="str">
            <v>DECIBEL</v>
          </cell>
          <cell r="B6778" t="str">
            <v>ASP-2894E</v>
          </cell>
          <cell r="O6778"/>
          <cell r="T6778"/>
        </row>
        <row r="6779">
          <cell r="A6779" t="str">
            <v>DECIBEL</v>
          </cell>
          <cell r="B6779" t="str">
            <v>ASP-2895</v>
          </cell>
          <cell r="O6779"/>
          <cell r="T6779"/>
        </row>
        <row r="6780">
          <cell r="A6780" t="str">
            <v>DECIBEL</v>
          </cell>
          <cell r="B6780" t="str">
            <v>ASP-2895E</v>
          </cell>
          <cell r="O6780"/>
          <cell r="T6780"/>
        </row>
        <row r="6781">
          <cell r="A6781" t="str">
            <v>DECIBEL</v>
          </cell>
          <cell r="B6781" t="str">
            <v>ASP-2895N</v>
          </cell>
          <cell r="O6781"/>
          <cell r="T6781"/>
        </row>
        <row r="6782">
          <cell r="A6782" t="str">
            <v>DECIBEL</v>
          </cell>
          <cell r="B6782" t="str">
            <v>ASP-2896</v>
          </cell>
          <cell r="O6782"/>
          <cell r="T6782"/>
        </row>
        <row r="6783">
          <cell r="A6783" t="str">
            <v>DECIBEL</v>
          </cell>
          <cell r="B6783" t="str">
            <v>ASP-3682</v>
          </cell>
          <cell r="O6783"/>
          <cell r="T6783"/>
        </row>
        <row r="6784">
          <cell r="A6784" t="str">
            <v>DECIBEL</v>
          </cell>
          <cell r="B6784" t="str">
            <v>ASP-3711</v>
          </cell>
          <cell r="O6784"/>
          <cell r="T6784"/>
        </row>
        <row r="6785">
          <cell r="A6785" t="str">
            <v>DECIBEL</v>
          </cell>
          <cell r="B6785" t="str">
            <v>ASP-3712</v>
          </cell>
          <cell r="O6785"/>
          <cell r="T6785"/>
        </row>
        <row r="6786">
          <cell r="A6786" t="str">
            <v>DECIBEL</v>
          </cell>
          <cell r="B6786" t="str">
            <v>ASP-601</v>
          </cell>
          <cell r="O6786"/>
          <cell r="T6786"/>
        </row>
        <row r="6787">
          <cell r="A6787" t="str">
            <v>DECIBEL</v>
          </cell>
          <cell r="B6787" t="str">
            <v>ASP-602</v>
          </cell>
          <cell r="O6787"/>
          <cell r="T6787"/>
        </row>
        <row r="6788">
          <cell r="A6788" t="str">
            <v>DECIBEL</v>
          </cell>
          <cell r="B6788" t="str">
            <v>ASP-634</v>
          </cell>
          <cell r="O6788"/>
          <cell r="T6788"/>
        </row>
        <row r="6789">
          <cell r="A6789" t="str">
            <v>DECIBEL</v>
          </cell>
          <cell r="B6789" t="str">
            <v>ASP-635</v>
          </cell>
          <cell r="O6789"/>
          <cell r="T6789"/>
        </row>
        <row r="6790">
          <cell r="A6790" t="str">
            <v>DECIBEL</v>
          </cell>
          <cell r="B6790" t="str">
            <v>ASP-636</v>
          </cell>
          <cell r="O6790"/>
          <cell r="T6790"/>
        </row>
        <row r="6791">
          <cell r="A6791" t="str">
            <v>DECIBEL</v>
          </cell>
          <cell r="B6791" t="str">
            <v>ASP-655</v>
          </cell>
          <cell r="O6791"/>
          <cell r="T6791"/>
        </row>
        <row r="6792">
          <cell r="A6792" t="str">
            <v>DECIBEL</v>
          </cell>
          <cell r="B6792" t="str">
            <v>ASP-680</v>
          </cell>
          <cell r="O6792"/>
          <cell r="T6792"/>
        </row>
        <row r="6793">
          <cell r="A6793" t="str">
            <v>DECIBEL</v>
          </cell>
          <cell r="B6793" t="str">
            <v>ASP-682</v>
          </cell>
          <cell r="O6793"/>
          <cell r="T6793"/>
        </row>
        <row r="6794">
          <cell r="A6794" t="str">
            <v>DECIBEL</v>
          </cell>
          <cell r="B6794" t="str">
            <v>ASP-685</v>
          </cell>
          <cell r="O6794"/>
          <cell r="T6794"/>
        </row>
        <row r="6795">
          <cell r="A6795" t="str">
            <v>DECIBEL</v>
          </cell>
          <cell r="B6795" t="str">
            <v>ASP-700</v>
          </cell>
          <cell r="O6795"/>
          <cell r="T6795"/>
        </row>
        <row r="6796">
          <cell r="A6796" t="str">
            <v>DECIBEL</v>
          </cell>
          <cell r="B6796" t="str">
            <v>ASP-701</v>
          </cell>
          <cell r="O6796"/>
          <cell r="T6796"/>
        </row>
        <row r="6797">
          <cell r="A6797" t="str">
            <v>DECIBEL</v>
          </cell>
          <cell r="B6797" t="str">
            <v>ASP-702</v>
          </cell>
          <cell r="O6797"/>
          <cell r="T6797"/>
        </row>
        <row r="6798">
          <cell r="A6798" t="str">
            <v>DECIBEL</v>
          </cell>
          <cell r="B6798" t="str">
            <v>ASP-705</v>
          </cell>
          <cell r="O6798"/>
          <cell r="T6798"/>
        </row>
        <row r="6799">
          <cell r="A6799" t="str">
            <v>DECIBEL</v>
          </cell>
          <cell r="B6799" t="str">
            <v>ASP-760</v>
          </cell>
          <cell r="O6799"/>
          <cell r="T6799"/>
        </row>
        <row r="6800">
          <cell r="A6800" t="str">
            <v>DECIBEL</v>
          </cell>
          <cell r="B6800" t="str">
            <v>ASP-7A</v>
          </cell>
          <cell r="O6800"/>
          <cell r="T6800"/>
        </row>
        <row r="6801">
          <cell r="A6801" t="str">
            <v>DECIBEL</v>
          </cell>
          <cell r="B6801" t="str">
            <v>ASP-816</v>
          </cell>
          <cell r="O6801"/>
          <cell r="T6801"/>
        </row>
        <row r="6802">
          <cell r="A6802" t="str">
            <v>DECIBEL</v>
          </cell>
          <cell r="B6802" t="str">
            <v>ASP-817</v>
          </cell>
          <cell r="O6802"/>
          <cell r="T6802"/>
        </row>
        <row r="6803">
          <cell r="A6803" t="str">
            <v>DECIBEL</v>
          </cell>
          <cell r="B6803" t="str">
            <v>ASP-952</v>
          </cell>
          <cell r="O6803"/>
          <cell r="T6803"/>
        </row>
        <row r="6804">
          <cell r="A6804" t="str">
            <v>DECIBEL</v>
          </cell>
          <cell r="B6804" t="str">
            <v>ASP-953</v>
          </cell>
          <cell r="O6804"/>
          <cell r="T6804"/>
        </row>
        <row r="6805">
          <cell r="A6805" t="str">
            <v>DECIBEL</v>
          </cell>
          <cell r="B6805" t="str">
            <v>ASP-955</v>
          </cell>
          <cell r="O6805"/>
          <cell r="T6805"/>
        </row>
        <row r="6806">
          <cell r="A6806" t="str">
            <v>DECIBEL</v>
          </cell>
          <cell r="B6806" t="str">
            <v>ASP-960</v>
          </cell>
          <cell r="O6806"/>
          <cell r="T6806"/>
        </row>
        <row r="6807">
          <cell r="A6807" t="str">
            <v>DECIBEL</v>
          </cell>
          <cell r="B6807" t="str">
            <v>ASP-962</v>
          </cell>
          <cell r="O6807"/>
          <cell r="T6807"/>
        </row>
        <row r="6808">
          <cell r="A6808" t="str">
            <v>DECIBEL</v>
          </cell>
          <cell r="B6808" t="str">
            <v>ASP-973</v>
          </cell>
          <cell r="O6808"/>
          <cell r="T6808"/>
        </row>
        <row r="6809">
          <cell r="A6809" t="str">
            <v>DECIBEL</v>
          </cell>
          <cell r="B6809" t="str">
            <v>ASP-973E</v>
          </cell>
          <cell r="O6809"/>
          <cell r="T6809"/>
        </row>
        <row r="6810">
          <cell r="A6810" t="str">
            <v>DECIBEL</v>
          </cell>
          <cell r="B6810" t="str">
            <v>ASP-977</v>
          </cell>
          <cell r="O6810"/>
          <cell r="T6810"/>
        </row>
        <row r="6811">
          <cell r="A6811" t="str">
            <v>DECIBEL</v>
          </cell>
          <cell r="B6811" t="str">
            <v>ASP967</v>
          </cell>
          <cell r="O6811"/>
          <cell r="T6811"/>
        </row>
        <row r="6812">
          <cell r="A6812" t="str">
            <v>DECIBEL</v>
          </cell>
          <cell r="B6812" t="str">
            <v>ASP974</v>
          </cell>
          <cell r="O6812"/>
          <cell r="T6812"/>
        </row>
        <row r="6813">
          <cell r="A6813" t="str">
            <v>DECIBEL</v>
          </cell>
          <cell r="B6813" t="str">
            <v>ASP989</v>
          </cell>
          <cell r="O6813"/>
          <cell r="T6813"/>
        </row>
        <row r="6814">
          <cell r="A6814" t="str">
            <v>DECIBEL</v>
          </cell>
          <cell r="B6814" t="str">
            <v>ASPA680</v>
          </cell>
          <cell r="O6814"/>
          <cell r="T6814"/>
        </row>
        <row r="6815">
          <cell r="A6815" t="str">
            <v>DECIBEL</v>
          </cell>
          <cell r="B6815" t="str">
            <v>ASPA685</v>
          </cell>
          <cell r="O6815"/>
          <cell r="T6815"/>
        </row>
        <row r="6816">
          <cell r="A6816" t="str">
            <v>DECIBEL</v>
          </cell>
          <cell r="B6816" t="str">
            <v>ASPA977V5</v>
          </cell>
          <cell r="O6816"/>
          <cell r="T6816"/>
        </row>
        <row r="6817">
          <cell r="A6817" t="str">
            <v>DECIBEL</v>
          </cell>
          <cell r="B6817" t="str">
            <v>ASPA977V5E</v>
          </cell>
          <cell r="O6817"/>
          <cell r="T6817"/>
        </row>
        <row r="6818">
          <cell r="A6818" t="str">
            <v>DECIBEL</v>
          </cell>
          <cell r="B6818" t="str">
            <v>ASPB602</v>
          </cell>
          <cell r="O6818"/>
          <cell r="T6818"/>
        </row>
        <row r="6819">
          <cell r="A6819" t="str">
            <v>DECIBEL</v>
          </cell>
          <cell r="B6819" t="str">
            <v>ASPB680</v>
          </cell>
          <cell r="O6819"/>
          <cell r="T6819"/>
        </row>
        <row r="6820">
          <cell r="A6820" t="str">
            <v>DECIBEL</v>
          </cell>
          <cell r="B6820" t="str">
            <v>ASPB682</v>
          </cell>
          <cell r="O6820"/>
          <cell r="T6820"/>
        </row>
        <row r="6821">
          <cell r="A6821" t="str">
            <v>DECIBEL</v>
          </cell>
          <cell r="B6821" t="str">
            <v>ASPC-680</v>
          </cell>
          <cell r="O6821"/>
          <cell r="T6821"/>
        </row>
        <row r="6822">
          <cell r="A6822" t="str">
            <v>DECIBEL</v>
          </cell>
          <cell r="B6822" t="str">
            <v>ASPC-685</v>
          </cell>
          <cell r="O6822"/>
          <cell r="T6822"/>
        </row>
        <row r="6823">
          <cell r="A6823" t="str">
            <v>DECIBEL</v>
          </cell>
          <cell r="B6823" t="str">
            <v>ASPC680</v>
          </cell>
          <cell r="O6823"/>
          <cell r="T6823"/>
        </row>
        <row r="6824">
          <cell r="A6824" t="str">
            <v>DECIBEL</v>
          </cell>
          <cell r="B6824" t="str">
            <v>ASPC682</v>
          </cell>
          <cell r="O6824"/>
          <cell r="T6824"/>
        </row>
        <row r="6825">
          <cell r="A6825" t="str">
            <v>DECIBEL</v>
          </cell>
          <cell r="B6825" t="str">
            <v>ASPD-973</v>
          </cell>
          <cell r="O6825"/>
          <cell r="T6825"/>
        </row>
        <row r="6826">
          <cell r="A6826" t="str">
            <v>DECIBEL</v>
          </cell>
          <cell r="B6826" t="str">
            <v>ASPD-974</v>
          </cell>
          <cell r="O6826"/>
          <cell r="T6826"/>
        </row>
        <row r="6827">
          <cell r="A6827" t="str">
            <v>DECIBEL</v>
          </cell>
          <cell r="B6827" t="str">
            <v>ASPD680</v>
          </cell>
          <cell r="O6827"/>
          <cell r="T6827"/>
        </row>
        <row r="6828">
          <cell r="A6828" t="str">
            <v>DECIBEL</v>
          </cell>
          <cell r="B6828" t="str">
            <v>ASPD950</v>
          </cell>
          <cell r="O6828"/>
          <cell r="T6828"/>
        </row>
        <row r="6829">
          <cell r="A6829" t="str">
            <v>DECIBEL</v>
          </cell>
          <cell r="B6829" t="str">
            <v>ASPD952</v>
          </cell>
          <cell r="O6829"/>
          <cell r="T6829"/>
        </row>
        <row r="6830">
          <cell r="A6830" t="str">
            <v>DECIBEL</v>
          </cell>
          <cell r="B6830" t="str">
            <v>ASPD963</v>
          </cell>
          <cell r="O6830"/>
          <cell r="T6830"/>
        </row>
        <row r="6831">
          <cell r="A6831" t="str">
            <v>DECIBEL</v>
          </cell>
          <cell r="B6831" t="str">
            <v>ASPD974</v>
          </cell>
          <cell r="O6831"/>
          <cell r="T6831"/>
        </row>
        <row r="6832">
          <cell r="A6832" t="str">
            <v>DECIBEL</v>
          </cell>
          <cell r="B6832" t="str">
            <v>ASPD975</v>
          </cell>
          <cell r="O6832"/>
          <cell r="T6832"/>
        </row>
        <row r="6833">
          <cell r="A6833" t="str">
            <v>DECIBEL</v>
          </cell>
          <cell r="B6833" t="str">
            <v>ASPD977</v>
          </cell>
          <cell r="O6833"/>
          <cell r="T6833"/>
        </row>
        <row r="6834">
          <cell r="A6834" t="str">
            <v>DECIBEL</v>
          </cell>
          <cell r="B6834" t="str">
            <v>ASPD978</v>
          </cell>
          <cell r="O6834"/>
          <cell r="T6834"/>
        </row>
        <row r="6835">
          <cell r="A6835" t="str">
            <v>DECIBEL</v>
          </cell>
          <cell r="B6835" t="str">
            <v>ASPE680</v>
          </cell>
          <cell r="O6835"/>
          <cell r="T6835"/>
        </row>
        <row r="6836">
          <cell r="A6836" t="str">
            <v>DECIBEL</v>
          </cell>
          <cell r="B6836" t="str">
            <v>ASPF 973</v>
          </cell>
          <cell r="O6836"/>
          <cell r="T6836"/>
        </row>
        <row r="6837">
          <cell r="A6837" t="str">
            <v>DECIBEL</v>
          </cell>
          <cell r="B6837" t="str">
            <v>ASPF 974</v>
          </cell>
          <cell r="O6837"/>
          <cell r="T6837"/>
        </row>
        <row r="6838">
          <cell r="A6838" t="str">
            <v>DECIBEL</v>
          </cell>
          <cell r="B6838" t="str">
            <v>ASPF-973</v>
          </cell>
          <cell r="O6838"/>
          <cell r="T6838"/>
        </row>
        <row r="6839">
          <cell r="A6839" t="str">
            <v>DECIBEL</v>
          </cell>
          <cell r="B6839" t="str">
            <v>ASPF680</v>
          </cell>
          <cell r="O6839"/>
          <cell r="T6839"/>
        </row>
        <row r="6840">
          <cell r="A6840" t="str">
            <v>DECIBEL</v>
          </cell>
          <cell r="B6840" t="str">
            <v>ASPF701</v>
          </cell>
          <cell r="O6840"/>
          <cell r="T6840"/>
        </row>
        <row r="6841">
          <cell r="A6841" t="str">
            <v>DECIBEL</v>
          </cell>
          <cell r="B6841" t="str">
            <v>ASPF955</v>
          </cell>
          <cell r="O6841"/>
          <cell r="T6841"/>
        </row>
        <row r="6842">
          <cell r="A6842" t="str">
            <v>DECIBEL</v>
          </cell>
          <cell r="B6842" t="str">
            <v>ASPF973</v>
          </cell>
          <cell r="O6842"/>
          <cell r="T6842"/>
        </row>
        <row r="6843">
          <cell r="A6843" t="str">
            <v>DECIBEL</v>
          </cell>
          <cell r="B6843" t="str">
            <v>ASPG-952</v>
          </cell>
          <cell r="O6843"/>
          <cell r="T6843"/>
        </row>
        <row r="6844">
          <cell r="A6844" t="str">
            <v>DECIBEL</v>
          </cell>
          <cell r="B6844" t="str">
            <v>ASPG680</v>
          </cell>
          <cell r="O6844"/>
          <cell r="T6844"/>
        </row>
        <row r="6845">
          <cell r="A6845" t="str">
            <v>DECIBEL</v>
          </cell>
          <cell r="B6845" t="str">
            <v>ASPH-967</v>
          </cell>
          <cell r="O6845"/>
          <cell r="T6845"/>
        </row>
        <row r="6846">
          <cell r="A6846" t="str">
            <v>DECIBEL</v>
          </cell>
          <cell r="B6846" t="str">
            <v>ASPH680</v>
          </cell>
          <cell r="O6846"/>
          <cell r="T6846"/>
        </row>
        <row r="6847">
          <cell r="A6847" t="str">
            <v>DECIBEL</v>
          </cell>
          <cell r="B6847" t="str">
            <v>ASPH967</v>
          </cell>
          <cell r="O6847"/>
          <cell r="T6847"/>
        </row>
        <row r="6848">
          <cell r="A6848" t="str">
            <v>DECIBEL</v>
          </cell>
          <cell r="B6848" t="str">
            <v>ASPJ-810</v>
          </cell>
          <cell r="O6848"/>
          <cell r="T6848"/>
        </row>
        <row r="6849">
          <cell r="A6849" t="str">
            <v>DECIBEL</v>
          </cell>
          <cell r="B6849" t="str">
            <v>ASPJ977</v>
          </cell>
          <cell r="O6849"/>
          <cell r="T6849"/>
        </row>
        <row r="6850">
          <cell r="A6850" t="str">
            <v>DECIBEL</v>
          </cell>
          <cell r="B6850" t="str">
            <v>ASPJ977E</v>
          </cell>
          <cell r="O6850"/>
          <cell r="T6850"/>
        </row>
        <row r="6851">
          <cell r="A6851" t="str">
            <v>DECIBEL</v>
          </cell>
          <cell r="B6851" t="str">
            <v>ASPJ978</v>
          </cell>
          <cell r="O6851"/>
          <cell r="T6851"/>
        </row>
        <row r="6852">
          <cell r="A6852" t="str">
            <v>DECIBEL</v>
          </cell>
          <cell r="B6852" t="str">
            <v>ASPK970</v>
          </cell>
          <cell r="O6852"/>
          <cell r="T6852"/>
        </row>
        <row r="6853">
          <cell r="A6853" t="str">
            <v>DECIBEL</v>
          </cell>
          <cell r="B6853" t="str">
            <v>ASPP2933</v>
          </cell>
          <cell r="O6853"/>
          <cell r="T6853"/>
        </row>
        <row r="6854">
          <cell r="A6854" t="str">
            <v>DECIBEL</v>
          </cell>
          <cell r="B6854" t="str">
            <v>ASPP2936</v>
          </cell>
          <cell r="O6854"/>
          <cell r="T6854"/>
        </row>
        <row r="6855">
          <cell r="A6855" t="str">
            <v>DECIBEL</v>
          </cell>
          <cell r="B6855" t="str">
            <v>ASPP2936E</v>
          </cell>
          <cell r="O6855"/>
          <cell r="T6855"/>
        </row>
        <row r="6856">
          <cell r="A6856" t="str">
            <v>DECIBEL</v>
          </cell>
          <cell r="B6856" t="str">
            <v>ASPP2936G</v>
          </cell>
          <cell r="O6856"/>
          <cell r="T6856"/>
        </row>
        <row r="6857">
          <cell r="A6857" t="str">
            <v>DECIBEL</v>
          </cell>
          <cell r="B6857" t="str">
            <v>ASPR659</v>
          </cell>
          <cell r="O6857"/>
          <cell r="T6857"/>
        </row>
        <row r="6858">
          <cell r="A6858" t="str">
            <v>DECIBEL</v>
          </cell>
          <cell r="B6858" t="str">
            <v>ASPR766P</v>
          </cell>
          <cell r="O6858"/>
          <cell r="T6858"/>
        </row>
        <row r="6859">
          <cell r="A6859" t="str">
            <v>DECIBEL</v>
          </cell>
          <cell r="B6859" t="str">
            <v>B98833E-M</v>
          </cell>
          <cell r="O6859"/>
          <cell r="T6859"/>
        </row>
        <row r="6860">
          <cell r="A6860" t="str">
            <v>DECIBEL</v>
          </cell>
          <cell r="B6860" t="str">
            <v>DB 810K-TX</v>
          </cell>
          <cell r="O6860"/>
          <cell r="T6860"/>
        </row>
        <row r="6861">
          <cell r="A6861" t="str">
            <v>DECIBEL</v>
          </cell>
          <cell r="B6861" t="str">
            <v>DB-10'</v>
          </cell>
          <cell r="O6861"/>
          <cell r="T6861"/>
        </row>
        <row r="6862">
          <cell r="A6862" t="str">
            <v>DECIBEL</v>
          </cell>
          <cell r="B6862" t="str">
            <v>DB-810M-X</v>
          </cell>
          <cell r="O6862"/>
          <cell r="T6862"/>
        </row>
        <row r="6863">
          <cell r="A6863" t="str">
            <v>DECIBEL</v>
          </cell>
          <cell r="B6863" t="str">
            <v>DB-812</v>
          </cell>
          <cell r="O6863"/>
          <cell r="T6863"/>
        </row>
        <row r="6864">
          <cell r="A6864" t="str">
            <v>DECIBEL</v>
          </cell>
          <cell r="B6864" t="str">
            <v>DB1282496</v>
          </cell>
          <cell r="O6864"/>
          <cell r="T6864"/>
        </row>
        <row r="6865">
          <cell r="A6865" t="str">
            <v>DECIBEL</v>
          </cell>
          <cell r="B6865" t="str">
            <v>DB150-4</v>
          </cell>
          <cell r="O6865"/>
          <cell r="T6865"/>
        </row>
        <row r="6866">
          <cell r="A6866" t="str">
            <v>DECIBEL</v>
          </cell>
          <cell r="B6866" t="str">
            <v>DB180</v>
          </cell>
          <cell r="O6866"/>
          <cell r="T6866"/>
        </row>
        <row r="6867">
          <cell r="A6867" t="str">
            <v>DECIBEL</v>
          </cell>
          <cell r="B6867" t="str">
            <v>DB201</v>
          </cell>
          <cell r="O6867"/>
          <cell r="T6867"/>
        </row>
        <row r="6868">
          <cell r="A6868" t="str">
            <v>DECIBEL</v>
          </cell>
          <cell r="B6868" t="str">
            <v>DB201-A</v>
          </cell>
          <cell r="O6868"/>
          <cell r="T6868"/>
        </row>
        <row r="6869">
          <cell r="A6869" t="str">
            <v>DECIBEL</v>
          </cell>
          <cell r="B6869" t="str">
            <v>DB201-B</v>
          </cell>
          <cell r="O6869"/>
          <cell r="T6869"/>
        </row>
        <row r="6870">
          <cell r="A6870" t="str">
            <v>DECIBEL</v>
          </cell>
          <cell r="B6870" t="str">
            <v>DB201-C</v>
          </cell>
          <cell r="O6870"/>
          <cell r="T6870"/>
        </row>
        <row r="6871">
          <cell r="A6871" t="str">
            <v>DECIBEL</v>
          </cell>
          <cell r="B6871" t="str">
            <v>DB201-D</v>
          </cell>
          <cell r="O6871"/>
          <cell r="T6871"/>
        </row>
        <row r="6872">
          <cell r="A6872" t="str">
            <v>DECIBEL</v>
          </cell>
          <cell r="B6872" t="str">
            <v>DB201-E</v>
          </cell>
          <cell r="O6872"/>
          <cell r="T6872"/>
        </row>
        <row r="6873">
          <cell r="A6873" t="str">
            <v>DECIBEL</v>
          </cell>
          <cell r="B6873" t="str">
            <v>DB201-F</v>
          </cell>
          <cell r="O6873"/>
          <cell r="T6873"/>
        </row>
        <row r="6874">
          <cell r="A6874" t="str">
            <v>DECIBEL</v>
          </cell>
          <cell r="B6874" t="str">
            <v>DB201-G</v>
          </cell>
          <cell r="O6874"/>
          <cell r="T6874"/>
        </row>
        <row r="6875">
          <cell r="A6875" t="str">
            <v>DECIBEL</v>
          </cell>
          <cell r="B6875" t="str">
            <v>DB201-H</v>
          </cell>
          <cell r="O6875"/>
          <cell r="T6875"/>
        </row>
        <row r="6876">
          <cell r="A6876" t="str">
            <v>DECIBEL</v>
          </cell>
          <cell r="B6876" t="str">
            <v>DB201-J</v>
          </cell>
          <cell r="O6876"/>
          <cell r="T6876"/>
        </row>
        <row r="6877">
          <cell r="A6877" t="str">
            <v>DECIBEL</v>
          </cell>
          <cell r="B6877" t="str">
            <v>DB201-JJ</v>
          </cell>
          <cell r="O6877"/>
          <cell r="T6877"/>
        </row>
        <row r="6878">
          <cell r="A6878" t="str">
            <v>DECIBEL</v>
          </cell>
          <cell r="B6878" t="str">
            <v>DB201-K</v>
          </cell>
          <cell r="O6878"/>
          <cell r="T6878"/>
        </row>
        <row r="6879">
          <cell r="A6879" t="str">
            <v>DECIBEL</v>
          </cell>
          <cell r="B6879" t="str">
            <v>DB201-L</v>
          </cell>
          <cell r="O6879"/>
          <cell r="T6879"/>
        </row>
        <row r="6880">
          <cell r="A6880" t="str">
            <v>DECIBEL</v>
          </cell>
          <cell r="B6880" t="str">
            <v>DB201-M</v>
          </cell>
          <cell r="O6880"/>
          <cell r="T6880"/>
        </row>
        <row r="6881">
          <cell r="A6881" t="str">
            <v>DECIBEL</v>
          </cell>
          <cell r="B6881" t="str">
            <v>DB201-N</v>
          </cell>
          <cell r="O6881"/>
          <cell r="T6881"/>
        </row>
        <row r="6882">
          <cell r="A6882" t="str">
            <v>DECIBEL</v>
          </cell>
          <cell r="B6882" t="str">
            <v>DB205-A</v>
          </cell>
          <cell r="O6882"/>
          <cell r="T6882"/>
        </row>
        <row r="6883">
          <cell r="A6883" t="str">
            <v>DECIBEL</v>
          </cell>
          <cell r="B6883" t="str">
            <v>DB205-B</v>
          </cell>
          <cell r="O6883"/>
          <cell r="T6883"/>
        </row>
        <row r="6884">
          <cell r="A6884" t="str">
            <v>DECIBEL</v>
          </cell>
          <cell r="B6884" t="str">
            <v>DB205-C</v>
          </cell>
          <cell r="O6884"/>
          <cell r="T6884"/>
        </row>
        <row r="6885">
          <cell r="A6885" t="str">
            <v>DECIBEL</v>
          </cell>
          <cell r="B6885" t="str">
            <v>DB205-E</v>
          </cell>
          <cell r="O6885"/>
          <cell r="T6885"/>
        </row>
        <row r="6886">
          <cell r="A6886" t="str">
            <v>DECIBEL</v>
          </cell>
          <cell r="B6886" t="str">
            <v>DB205-F</v>
          </cell>
          <cell r="O6886"/>
          <cell r="T6886"/>
        </row>
        <row r="6887">
          <cell r="A6887" t="str">
            <v>DECIBEL</v>
          </cell>
          <cell r="B6887" t="str">
            <v>DB205-L</v>
          </cell>
          <cell r="O6887"/>
          <cell r="T6887"/>
        </row>
        <row r="6888">
          <cell r="A6888" t="str">
            <v>DECIBEL</v>
          </cell>
          <cell r="B6888" t="str">
            <v>DB205-M</v>
          </cell>
          <cell r="O6888"/>
          <cell r="T6888"/>
        </row>
        <row r="6889">
          <cell r="A6889" t="str">
            <v>DECIBEL</v>
          </cell>
          <cell r="B6889" t="str">
            <v>DB212</v>
          </cell>
          <cell r="O6889"/>
          <cell r="T6889"/>
        </row>
        <row r="6890">
          <cell r="A6890" t="str">
            <v>DECIBEL</v>
          </cell>
          <cell r="B6890" t="str">
            <v>DB212-1</v>
          </cell>
          <cell r="O6890"/>
          <cell r="T6890"/>
        </row>
        <row r="6891">
          <cell r="A6891" t="str">
            <v>DECIBEL</v>
          </cell>
          <cell r="B6891" t="str">
            <v>DB212-1-50FREQ</v>
          </cell>
          <cell r="O6891"/>
          <cell r="T6891"/>
        </row>
        <row r="6892">
          <cell r="A6892" t="str">
            <v>DECIBEL</v>
          </cell>
          <cell r="B6892" t="str">
            <v>DB212-2-A</v>
          </cell>
          <cell r="O6892"/>
          <cell r="T6892"/>
        </row>
        <row r="6893">
          <cell r="A6893" t="str">
            <v>DECIBEL</v>
          </cell>
          <cell r="B6893" t="str">
            <v>DB212-2-C</v>
          </cell>
          <cell r="O6893"/>
          <cell r="T6893"/>
        </row>
        <row r="6894">
          <cell r="A6894" t="str">
            <v>DECIBEL</v>
          </cell>
          <cell r="B6894" t="str">
            <v>DB212-3-C</v>
          </cell>
          <cell r="O6894"/>
          <cell r="T6894"/>
        </row>
        <row r="6895">
          <cell r="A6895" t="str">
            <v>DECIBEL</v>
          </cell>
          <cell r="B6895" t="str">
            <v>DB212-C</v>
          </cell>
          <cell r="O6895"/>
          <cell r="T6895"/>
        </row>
        <row r="6896">
          <cell r="A6896" t="str">
            <v>DECIBEL</v>
          </cell>
          <cell r="B6896" t="str">
            <v>DB220</v>
          </cell>
          <cell r="O6896"/>
          <cell r="T6896"/>
        </row>
        <row r="6897">
          <cell r="A6897" t="str">
            <v>DECIBEL</v>
          </cell>
          <cell r="B6897" t="str">
            <v>DB220-A</v>
          </cell>
          <cell r="O6897"/>
          <cell r="T6897"/>
        </row>
        <row r="6898">
          <cell r="A6898" t="str">
            <v>DECIBEL</v>
          </cell>
          <cell r="B6898" t="str">
            <v>DB220-B</v>
          </cell>
          <cell r="O6898"/>
          <cell r="T6898"/>
        </row>
        <row r="6899">
          <cell r="A6899" t="str">
            <v>DECIBEL</v>
          </cell>
          <cell r="B6899" t="str">
            <v>DB220-C</v>
          </cell>
          <cell r="O6899"/>
          <cell r="T6899"/>
        </row>
        <row r="6900">
          <cell r="A6900" t="str">
            <v>DECIBEL</v>
          </cell>
          <cell r="B6900" t="str">
            <v>DB220-D</v>
          </cell>
          <cell r="O6900"/>
          <cell r="T6900"/>
        </row>
        <row r="6901">
          <cell r="A6901" t="str">
            <v>DECIBEL</v>
          </cell>
          <cell r="B6901" t="str">
            <v>DB222</v>
          </cell>
          <cell r="O6901"/>
          <cell r="T6901"/>
        </row>
        <row r="6902">
          <cell r="A6902" t="str">
            <v>DECIBEL</v>
          </cell>
          <cell r="B6902" t="str">
            <v>DB222-A</v>
          </cell>
          <cell r="O6902"/>
          <cell r="T6902"/>
        </row>
        <row r="6903">
          <cell r="A6903" t="str">
            <v>DECIBEL</v>
          </cell>
          <cell r="B6903" t="str">
            <v>DB222-B</v>
          </cell>
          <cell r="O6903"/>
          <cell r="T6903"/>
        </row>
        <row r="6904">
          <cell r="A6904" t="str">
            <v>DECIBEL</v>
          </cell>
          <cell r="B6904" t="str">
            <v>DB222-C</v>
          </cell>
          <cell r="O6904"/>
          <cell r="T6904"/>
        </row>
        <row r="6905">
          <cell r="A6905" t="str">
            <v>DECIBEL</v>
          </cell>
          <cell r="B6905" t="str">
            <v>DB222-E</v>
          </cell>
          <cell r="O6905"/>
          <cell r="T6905"/>
        </row>
        <row r="6906">
          <cell r="A6906" t="str">
            <v>DECIBEL</v>
          </cell>
          <cell r="B6906" t="str">
            <v>DB222E</v>
          </cell>
          <cell r="O6906"/>
          <cell r="T6906"/>
        </row>
        <row r="6907">
          <cell r="A6907" t="str">
            <v>DECIBEL</v>
          </cell>
          <cell r="B6907" t="str">
            <v>DB224</v>
          </cell>
          <cell r="O6907"/>
          <cell r="T6907"/>
        </row>
        <row r="6908">
          <cell r="A6908" t="str">
            <v>DECIBEL</v>
          </cell>
          <cell r="B6908" t="str">
            <v>DB224-A</v>
          </cell>
          <cell r="O6908"/>
          <cell r="T6908"/>
        </row>
        <row r="6909">
          <cell r="A6909" t="str">
            <v>DECIBEL</v>
          </cell>
          <cell r="B6909" t="str">
            <v>DB224-B</v>
          </cell>
          <cell r="O6909"/>
          <cell r="T6909"/>
        </row>
        <row r="6910">
          <cell r="A6910" t="str">
            <v>DECIBEL</v>
          </cell>
          <cell r="B6910" t="str">
            <v>DB224-C</v>
          </cell>
          <cell r="O6910"/>
          <cell r="T6910"/>
        </row>
        <row r="6911">
          <cell r="A6911" t="str">
            <v>DECIBEL</v>
          </cell>
          <cell r="B6911" t="str">
            <v>DB224-E</v>
          </cell>
          <cell r="O6911"/>
          <cell r="T6911"/>
        </row>
        <row r="6912">
          <cell r="A6912" t="str">
            <v>DECIBEL</v>
          </cell>
          <cell r="B6912" t="str">
            <v>DB224-F</v>
          </cell>
          <cell r="O6912"/>
          <cell r="T6912"/>
        </row>
        <row r="6913">
          <cell r="A6913" t="str">
            <v>DECIBEL</v>
          </cell>
          <cell r="B6913" t="str">
            <v>DB224-J</v>
          </cell>
          <cell r="O6913"/>
          <cell r="T6913"/>
        </row>
        <row r="6914">
          <cell r="A6914" t="str">
            <v>DECIBEL</v>
          </cell>
          <cell r="B6914" t="str">
            <v>DB224-JJ</v>
          </cell>
          <cell r="O6914"/>
          <cell r="T6914"/>
        </row>
        <row r="6915">
          <cell r="A6915" t="str">
            <v>DECIBEL</v>
          </cell>
          <cell r="B6915" t="str">
            <v>DB224A</v>
          </cell>
          <cell r="O6915"/>
          <cell r="T6915"/>
        </row>
        <row r="6916">
          <cell r="A6916" t="str">
            <v>DECIBEL</v>
          </cell>
          <cell r="B6916" t="str">
            <v>DB224E-A</v>
          </cell>
          <cell r="O6916"/>
          <cell r="T6916"/>
        </row>
        <row r="6917">
          <cell r="A6917" t="str">
            <v>DECIBEL</v>
          </cell>
          <cell r="B6917" t="str">
            <v>DB224E-E</v>
          </cell>
          <cell r="O6917"/>
          <cell r="T6917"/>
        </row>
        <row r="6918">
          <cell r="A6918" t="str">
            <v>DECIBEL</v>
          </cell>
          <cell r="B6918" t="str">
            <v>DB224S</v>
          </cell>
          <cell r="O6918"/>
          <cell r="T6918"/>
        </row>
        <row r="6919">
          <cell r="A6919" t="str">
            <v>DECIBEL</v>
          </cell>
          <cell r="B6919" t="str">
            <v>DB225-2-A</v>
          </cell>
          <cell r="O6919"/>
          <cell r="T6919"/>
        </row>
        <row r="6920">
          <cell r="A6920" t="str">
            <v>DECIBEL</v>
          </cell>
          <cell r="B6920" t="str">
            <v>DB225-2-B</v>
          </cell>
          <cell r="O6920"/>
          <cell r="T6920"/>
        </row>
        <row r="6921">
          <cell r="A6921" t="str">
            <v>DECIBEL</v>
          </cell>
          <cell r="B6921" t="str">
            <v>DB225-2-C</v>
          </cell>
          <cell r="O6921"/>
          <cell r="T6921"/>
        </row>
        <row r="6922">
          <cell r="A6922" t="str">
            <v>DECIBEL</v>
          </cell>
          <cell r="B6922" t="str">
            <v>DB225-2-D</v>
          </cell>
          <cell r="O6922"/>
          <cell r="T6922"/>
        </row>
        <row r="6923">
          <cell r="A6923" t="str">
            <v>DECIBEL</v>
          </cell>
          <cell r="B6923" t="str">
            <v>DB225-2-F</v>
          </cell>
          <cell r="O6923"/>
          <cell r="T6923"/>
        </row>
        <row r="6924">
          <cell r="A6924" t="str">
            <v>DECIBEL</v>
          </cell>
          <cell r="B6924" t="str">
            <v>DB225-2-K</v>
          </cell>
          <cell r="O6924"/>
          <cell r="T6924"/>
        </row>
        <row r="6925">
          <cell r="A6925" t="str">
            <v>DECIBEL</v>
          </cell>
          <cell r="B6925" t="str">
            <v>DB225-4-A</v>
          </cell>
          <cell r="O6925"/>
          <cell r="T6925"/>
        </row>
        <row r="6926">
          <cell r="A6926" t="str">
            <v>DECIBEL</v>
          </cell>
          <cell r="B6926" t="str">
            <v>DB225-4-C</v>
          </cell>
          <cell r="O6926"/>
          <cell r="T6926"/>
        </row>
        <row r="6927">
          <cell r="A6927" t="str">
            <v>DECIBEL</v>
          </cell>
          <cell r="B6927" t="str">
            <v>DB225-4-D</v>
          </cell>
          <cell r="O6927"/>
          <cell r="T6927"/>
        </row>
        <row r="6928">
          <cell r="A6928" t="str">
            <v>DECIBEL</v>
          </cell>
          <cell r="B6928" t="str">
            <v>DB225-4-F</v>
          </cell>
          <cell r="O6928"/>
          <cell r="T6928"/>
        </row>
        <row r="6929">
          <cell r="A6929" t="str">
            <v>DECIBEL</v>
          </cell>
          <cell r="B6929" t="str">
            <v>DB225-4-K</v>
          </cell>
          <cell r="O6929"/>
          <cell r="T6929"/>
        </row>
        <row r="6930">
          <cell r="A6930" t="str">
            <v>DECIBEL</v>
          </cell>
          <cell r="B6930" t="str">
            <v>DB225-A</v>
          </cell>
          <cell r="O6930"/>
          <cell r="T6930"/>
        </row>
        <row r="6931">
          <cell r="A6931" t="str">
            <v>DECIBEL</v>
          </cell>
          <cell r="B6931" t="str">
            <v>DB225-B</v>
          </cell>
          <cell r="O6931"/>
          <cell r="T6931"/>
        </row>
        <row r="6932">
          <cell r="A6932" t="str">
            <v>DECIBEL</v>
          </cell>
          <cell r="B6932" t="str">
            <v>DB225-C</v>
          </cell>
          <cell r="O6932"/>
          <cell r="T6932"/>
        </row>
        <row r="6933">
          <cell r="A6933" t="str">
            <v>DECIBEL</v>
          </cell>
          <cell r="B6933" t="str">
            <v>DB225-D</v>
          </cell>
          <cell r="O6933"/>
          <cell r="T6933"/>
        </row>
        <row r="6934">
          <cell r="A6934" t="str">
            <v>DECIBEL</v>
          </cell>
          <cell r="B6934" t="str">
            <v>DB225-F</v>
          </cell>
          <cell r="O6934"/>
          <cell r="T6934"/>
        </row>
        <row r="6935">
          <cell r="A6935" t="str">
            <v>DECIBEL</v>
          </cell>
          <cell r="B6935" t="str">
            <v>DB225-K</v>
          </cell>
          <cell r="O6935"/>
          <cell r="T6935"/>
        </row>
        <row r="6936">
          <cell r="A6936" t="str">
            <v>DECIBEL</v>
          </cell>
          <cell r="B6936" t="str">
            <v>DB225W-F</v>
          </cell>
          <cell r="O6936"/>
          <cell r="T6936"/>
        </row>
        <row r="6937">
          <cell r="A6937" t="str">
            <v>DECIBEL</v>
          </cell>
          <cell r="B6937" t="str">
            <v>DB228-A</v>
          </cell>
          <cell r="O6937"/>
          <cell r="T6937"/>
        </row>
        <row r="6938">
          <cell r="A6938" t="str">
            <v>DECIBEL</v>
          </cell>
          <cell r="B6938" t="str">
            <v>DB228-B</v>
          </cell>
          <cell r="O6938"/>
          <cell r="T6938"/>
        </row>
        <row r="6939">
          <cell r="A6939" t="str">
            <v>DECIBEL</v>
          </cell>
          <cell r="B6939" t="str">
            <v>DB228-E</v>
          </cell>
          <cell r="O6939"/>
          <cell r="T6939"/>
        </row>
        <row r="6940">
          <cell r="A6940" t="str">
            <v>DECIBEL</v>
          </cell>
          <cell r="B6940" t="str">
            <v>DB22A</v>
          </cell>
          <cell r="O6940"/>
          <cell r="T6940"/>
        </row>
        <row r="6941">
          <cell r="A6941" t="str">
            <v>DECIBEL</v>
          </cell>
          <cell r="B6941" t="str">
            <v>DB230</v>
          </cell>
          <cell r="O6941"/>
          <cell r="T6941"/>
        </row>
        <row r="6942">
          <cell r="A6942" t="str">
            <v>DECIBEL</v>
          </cell>
          <cell r="B6942" t="str">
            <v>DB230-2A</v>
          </cell>
          <cell r="O6942"/>
          <cell r="T6942"/>
        </row>
        <row r="6943">
          <cell r="A6943" t="str">
            <v>DECIBEL</v>
          </cell>
          <cell r="B6943" t="str">
            <v>DB230-2B</v>
          </cell>
          <cell r="O6943"/>
          <cell r="T6943"/>
        </row>
        <row r="6944">
          <cell r="A6944" t="str">
            <v>DECIBEL</v>
          </cell>
          <cell r="B6944" t="str">
            <v>DB230-2C</v>
          </cell>
          <cell r="O6944"/>
          <cell r="T6944"/>
        </row>
        <row r="6945">
          <cell r="A6945" t="str">
            <v>DECIBEL</v>
          </cell>
          <cell r="B6945" t="str">
            <v>DB230-2E</v>
          </cell>
          <cell r="O6945"/>
          <cell r="T6945"/>
        </row>
        <row r="6946">
          <cell r="A6946" t="str">
            <v>DECIBEL</v>
          </cell>
          <cell r="B6946" t="str">
            <v>DB230-2H</v>
          </cell>
          <cell r="O6946"/>
          <cell r="T6946"/>
        </row>
        <row r="6947">
          <cell r="A6947" t="str">
            <v>DECIBEL</v>
          </cell>
          <cell r="B6947" t="str">
            <v>DB230-2J</v>
          </cell>
          <cell r="O6947"/>
          <cell r="T6947"/>
        </row>
        <row r="6948">
          <cell r="A6948" t="str">
            <v>DECIBEL</v>
          </cell>
          <cell r="B6948" t="str">
            <v>DB230-2JJ</v>
          </cell>
          <cell r="O6948"/>
          <cell r="T6948"/>
        </row>
        <row r="6949">
          <cell r="A6949" t="str">
            <v>DECIBEL</v>
          </cell>
          <cell r="B6949" t="str">
            <v>DB230-2L</v>
          </cell>
          <cell r="O6949"/>
          <cell r="T6949"/>
        </row>
        <row r="6950">
          <cell r="A6950" t="str">
            <v>DECIBEL</v>
          </cell>
          <cell r="B6950" t="str">
            <v>DB230-4A</v>
          </cell>
          <cell r="O6950"/>
          <cell r="T6950"/>
        </row>
        <row r="6951">
          <cell r="A6951" t="str">
            <v>DECIBEL</v>
          </cell>
          <cell r="B6951" t="str">
            <v>DB230-4B</v>
          </cell>
          <cell r="O6951"/>
          <cell r="T6951"/>
        </row>
        <row r="6952">
          <cell r="A6952" t="str">
            <v>DECIBEL</v>
          </cell>
          <cell r="B6952" t="str">
            <v>DB230-4E</v>
          </cell>
          <cell r="O6952"/>
          <cell r="T6952"/>
        </row>
        <row r="6953">
          <cell r="A6953" t="str">
            <v>DECIBEL</v>
          </cell>
          <cell r="B6953" t="str">
            <v>DB230-4H</v>
          </cell>
          <cell r="O6953"/>
          <cell r="T6953"/>
        </row>
        <row r="6954">
          <cell r="A6954" t="str">
            <v>DECIBEL</v>
          </cell>
          <cell r="B6954" t="str">
            <v>DB230-4K</v>
          </cell>
          <cell r="O6954"/>
          <cell r="T6954"/>
        </row>
        <row r="6955">
          <cell r="A6955" t="str">
            <v>DECIBEL</v>
          </cell>
          <cell r="B6955" t="str">
            <v>DB230-4L</v>
          </cell>
          <cell r="O6955"/>
          <cell r="T6955"/>
        </row>
        <row r="6956">
          <cell r="A6956" t="str">
            <v>DECIBEL</v>
          </cell>
          <cell r="B6956" t="str">
            <v>DB230-74</v>
          </cell>
          <cell r="O6956"/>
          <cell r="T6956"/>
        </row>
        <row r="6957">
          <cell r="A6957" t="str">
            <v>DECIBEL</v>
          </cell>
          <cell r="B6957" t="str">
            <v>DB230-A</v>
          </cell>
          <cell r="O6957"/>
          <cell r="T6957"/>
        </row>
        <row r="6958">
          <cell r="A6958" t="str">
            <v>DECIBEL</v>
          </cell>
          <cell r="B6958" t="str">
            <v>DB230-B</v>
          </cell>
          <cell r="O6958"/>
          <cell r="T6958"/>
        </row>
        <row r="6959">
          <cell r="A6959" t="str">
            <v>DECIBEL</v>
          </cell>
          <cell r="B6959" t="str">
            <v>DB230-C</v>
          </cell>
          <cell r="O6959"/>
          <cell r="T6959"/>
        </row>
        <row r="6960">
          <cell r="A6960" t="str">
            <v>DECIBEL</v>
          </cell>
          <cell r="B6960" t="str">
            <v>DB230-E</v>
          </cell>
          <cell r="O6960"/>
          <cell r="T6960"/>
        </row>
        <row r="6961">
          <cell r="A6961" t="str">
            <v>DECIBEL</v>
          </cell>
          <cell r="B6961" t="str">
            <v>DB230-H</v>
          </cell>
          <cell r="O6961"/>
          <cell r="T6961"/>
        </row>
        <row r="6962">
          <cell r="A6962" t="str">
            <v>DECIBEL</v>
          </cell>
          <cell r="B6962" t="str">
            <v>DB230-J</v>
          </cell>
          <cell r="O6962"/>
          <cell r="T6962"/>
        </row>
        <row r="6963">
          <cell r="A6963" t="str">
            <v>DECIBEL</v>
          </cell>
          <cell r="B6963" t="str">
            <v>DB230-K</v>
          </cell>
          <cell r="O6963"/>
          <cell r="T6963"/>
        </row>
        <row r="6964">
          <cell r="A6964" t="str">
            <v>DECIBEL</v>
          </cell>
          <cell r="B6964" t="str">
            <v>DB230-L</v>
          </cell>
          <cell r="O6964"/>
          <cell r="T6964"/>
        </row>
        <row r="6965">
          <cell r="A6965" t="str">
            <v>DECIBEL</v>
          </cell>
          <cell r="B6965" t="str">
            <v>DB230W-E</v>
          </cell>
          <cell r="O6965"/>
          <cell r="T6965"/>
        </row>
        <row r="6966">
          <cell r="A6966" t="str">
            <v>DECIBEL</v>
          </cell>
          <cell r="B6966" t="str">
            <v>DB240</v>
          </cell>
          <cell r="O6966"/>
          <cell r="T6966"/>
        </row>
        <row r="6967">
          <cell r="A6967" t="str">
            <v>DECIBEL</v>
          </cell>
          <cell r="B6967" t="str">
            <v>DB240-B</v>
          </cell>
          <cell r="O6967"/>
          <cell r="T6967"/>
        </row>
        <row r="6968">
          <cell r="A6968" t="str">
            <v>DECIBEL</v>
          </cell>
          <cell r="B6968" t="str">
            <v>DB252</v>
          </cell>
          <cell r="O6968"/>
          <cell r="T6968"/>
        </row>
        <row r="6969">
          <cell r="A6969" t="str">
            <v>DECIBEL</v>
          </cell>
          <cell r="B6969" t="str">
            <v>DB254-A</v>
          </cell>
          <cell r="O6969"/>
          <cell r="T6969"/>
        </row>
        <row r="6970">
          <cell r="A6970" t="str">
            <v>DECIBEL</v>
          </cell>
          <cell r="B6970" t="str">
            <v>DB254-B</v>
          </cell>
          <cell r="O6970"/>
          <cell r="T6970"/>
        </row>
        <row r="6971">
          <cell r="A6971" t="str">
            <v>DECIBEL</v>
          </cell>
          <cell r="B6971" t="str">
            <v>DB264</v>
          </cell>
          <cell r="O6971"/>
          <cell r="T6971"/>
        </row>
        <row r="6972">
          <cell r="A6972" t="str">
            <v>DECIBEL</v>
          </cell>
          <cell r="B6972" t="str">
            <v>DB264-A</v>
          </cell>
          <cell r="O6972"/>
          <cell r="T6972"/>
        </row>
        <row r="6973">
          <cell r="A6973" t="str">
            <v>DECIBEL</v>
          </cell>
          <cell r="B6973" t="str">
            <v>DB264-B</v>
          </cell>
          <cell r="O6973"/>
          <cell r="T6973"/>
        </row>
        <row r="6974">
          <cell r="A6974" t="str">
            <v>DECIBEL</v>
          </cell>
          <cell r="B6974" t="str">
            <v>DB264-C</v>
          </cell>
          <cell r="O6974"/>
          <cell r="T6974"/>
        </row>
        <row r="6975">
          <cell r="A6975" t="str">
            <v>DECIBEL</v>
          </cell>
          <cell r="B6975" t="str">
            <v>DB264-JJ</v>
          </cell>
          <cell r="O6975"/>
          <cell r="T6975"/>
        </row>
        <row r="6976">
          <cell r="A6976" t="str">
            <v>DECIBEL</v>
          </cell>
          <cell r="B6976" t="str">
            <v>DB264WE-C</v>
          </cell>
          <cell r="O6976"/>
          <cell r="T6976"/>
        </row>
        <row r="6977">
          <cell r="A6977" t="str">
            <v>DECIBEL</v>
          </cell>
          <cell r="B6977" t="str">
            <v>DB268-B</v>
          </cell>
          <cell r="O6977"/>
          <cell r="T6977"/>
        </row>
        <row r="6978">
          <cell r="A6978" t="str">
            <v>DECIBEL</v>
          </cell>
          <cell r="B6978" t="str">
            <v>DB268-C</v>
          </cell>
          <cell r="O6978"/>
          <cell r="T6978"/>
        </row>
        <row r="6979">
          <cell r="A6979" t="str">
            <v>DECIBEL</v>
          </cell>
          <cell r="B6979" t="str">
            <v>DB268-JJ</v>
          </cell>
          <cell r="O6979"/>
          <cell r="T6979"/>
        </row>
        <row r="6980">
          <cell r="A6980" t="str">
            <v>DECIBEL</v>
          </cell>
          <cell r="B6980" t="str">
            <v>DB268E-A</v>
          </cell>
          <cell r="O6980"/>
          <cell r="T6980"/>
        </row>
        <row r="6981">
          <cell r="A6981" t="str">
            <v>DECIBEL</v>
          </cell>
          <cell r="B6981" t="str">
            <v>DB268E-JJ</v>
          </cell>
          <cell r="O6981"/>
          <cell r="T6981"/>
        </row>
        <row r="6982">
          <cell r="A6982" t="str">
            <v>DECIBEL</v>
          </cell>
          <cell r="B6982" t="str">
            <v>DB286-B</v>
          </cell>
          <cell r="O6982"/>
          <cell r="T6982"/>
        </row>
        <row r="6983">
          <cell r="A6983" t="str">
            <v>DECIBEL</v>
          </cell>
          <cell r="B6983" t="str">
            <v>DB292-A</v>
          </cell>
          <cell r="O6983"/>
          <cell r="T6983"/>
        </row>
        <row r="6984">
          <cell r="A6984" t="str">
            <v>DECIBEL</v>
          </cell>
          <cell r="B6984" t="str">
            <v>DB292-C</v>
          </cell>
          <cell r="O6984"/>
          <cell r="T6984"/>
        </row>
        <row r="6985">
          <cell r="A6985" t="str">
            <v>DECIBEL</v>
          </cell>
          <cell r="B6985" t="str">
            <v>DB292-JJ</v>
          </cell>
          <cell r="O6985"/>
          <cell r="T6985"/>
        </row>
        <row r="6986">
          <cell r="A6986" t="str">
            <v>DECIBEL</v>
          </cell>
          <cell r="B6986" t="str">
            <v>DB304-A</v>
          </cell>
          <cell r="O6986"/>
          <cell r="T6986"/>
        </row>
        <row r="6987">
          <cell r="A6987" t="str">
            <v>DECIBEL</v>
          </cell>
          <cell r="B6987" t="str">
            <v>DB314L</v>
          </cell>
          <cell r="O6987"/>
          <cell r="T6987"/>
        </row>
        <row r="6988">
          <cell r="A6988" t="str">
            <v>DECIBEL</v>
          </cell>
          <cell r="B6988" t="str">
            <v>DB404</v>
          </cell>
          <cell r="O6988"/>
          <cell r="T6988"/>
        </row>
        <row r="6989">
          <cell r="A6989" t="str">
            <v>DECIBEL</v>
          </cell>
          <cell r="B6989" t="str">
            <v>DB404L-B</v>
          </cell>
          <cell r="O6989"/>
          <cell r="T6989"/>
        </row>
        <row r="6990">
          <cell r="A6990" t="str">
            <v>DECIBEL</v>
          </cell>
          <cell r="B6990" t="str">
            <v>DB408</v>
          </cell>
          <cell r="O6990"/>
          <cell r="T6990"/>
        </row>
        <row r="6991">
          <cell r="A6991" t="str">
            <v>DECIBEL</v>
          </cell>
          <cell r="B6991" t="str">
            <v>DB408-4</v>
          </cell>
          <cell r="O6991"/>
          <cell r="T6991"/>
        </row>
        <row r="6992">
          <cell r="A6992" t="str">
            <v>DECIBEL</v>
          </cell>
          <cell r="B6992" t="str">
            <v>DB408-A</v>
          </cell>
          <cell r="O6992"/>
          <cell r="T6992"/>
        </row>
        <row r="6993">
          <cell r="A6993" t="str">
            <v>DECIBEL</v>
          </cell>
          <cell r="B6993" t="str">
            <v>DB408-B</v>
          </cell>
          <cell r="O6993"/>
          <cell r="T6993"/>
        </row>
        <row r="6994">
          <cell r="A6994" t="str">
            <v>DECIBEL</v>
          </cell>
          <cell r="B6994" t="str">
            <v>DB408-C</v>
          </cell>
          <cell r="O6994"/>
          <cell r="T6994"/>
        </row>
        <row r="6995">
          <cell r="A6995" t="str">
            <v>DECIBEL</v>
          </cell>
          <cell r="B6995" t="str">
            <v>DB408-D</v>
          </cell>
          <cell r="O6995"/>
          <cell r="T6995"/>
        </row>
        <row r="6996">
          <cell r="A6996" t="str">
            <v>DECIBEL</v>
          </cell>
          <cell r="B6996" t="str">
            <v>DB408D-B</v>
          </cell>
          <cell r="O6996"/>
          <cell r="T6996"/>
        </row>
        <row r="6997">
          <cell r="A6997" t="str">
            <v>DECIBEL</v>
          </cell>
          <cell r="B6997" t="str">
            <v>DB408D-D</v>
          </cell>
          <cell r="O6997"/>
          <cell r="T6997"/>
        </row>
        <row r="6998">
          <cell r="A6998" t="str">
            <v>DECIBEL</v>
          </cell>
          <cell r="B6998" t="str">
            <v>DB408L-A</v>
          </cell>
          <cell r="O6998"/>
          <cell r="T6998"/>
        </row>
        <row r="6999">
          <cell r="A6999" t="str">
            <v>DECIBEL</v>
          </cell>
          <cell r="B6999" t="str">
            <v>DB408L-C</v>
          </cell>
          <cell r="O6999"/>
          <cell r="T6999"/>
        </row>
        <row r="7000">
          <cell r="A7000" t="str">
            <v>DECIBEL</v>
          </cell>
          <cell r="B7000" t="str">
            <v>DB408T-9-B</v>
          </cell>
          <cell r="O7000"/>
          <cell r="T7000"/>
        </row>
        <row r="7001">
          <cell r="A7001" t="str">
            <v>DECIBEL</v>
          </cell>
          <cell r="B7001" t="str">
            <v>DB408T4-B</v>
          </cell>
          <cell r="O7001"/>
          <cell r="T7001"/>
        </row>
        <row r="7002">
          <cell r="A7002" t="str">
            <v>DECIBEL</v>
          </cell>
          <cell r="B7002" t="str">
            <v>DB408T9-B</v>
          </cell>
          <cell r="O7002"/>
          <cell r="T7002"/>
        </row>
        <row r="7003">
          <cell r="A7003" t="str">
            <v>DECIBEL</v>
          </cell>
          <cell r="B7003" t="str">
            <v>DB411-A</v>
          </cell>
          <cell r="O7003"/>
          <cell r="T7003"/>
        </row>
        <row r="7004">
          <cell r="A7004" t="str">
            <v>DECIBEL</v>
          </cell>
          <cell r="B7004" t="str">
            <v>DB411-B</v>
          </cell>
          <cell r="O7004"/>
          <cell r="T7004"/>
        </row>
        <row r="7005">
          <cell r="A7005" t="str">
            <v>DECIBEL</v>
          </cell>
          <cell r="B7005" t="str">
            <v>DB411-C</v>
          </cell>
          <cell r="O7005"/>
          <cell r="T7005"/>
        </row>
        <row r="7006">
          <cell r="A7006" t="str">
            <v>DECIBEL</v>
          </cell>
          <cell r="B7006" t="str">
            <v>DB411-D</v>
          </cell>
          <cell r="O7006"/>
          <cell r="T7006"/>
        </row>
        <row r="7007">
          <cell r="A7007" t="str">
            <v>DECIBEL</v>
          </cell>
          <cell r="B7007" t="str">
            <v>DB413-A</v>
          </cell>
          <cell r="O7007"/>
          <cell r="T7007"/>
        </row>
        <row r="7008">
          <cell r="A7008" t="str">
            <v>DECIBEL</v>
          </cell>
          <cell r="B7008" t="str">
            <v>DB413-B</v>
          </cell>
          <cell r="O7008"/>
          <cell r="T7008"/>
        </row>
        <row r="7009">
          <cell r="A7009" t="str">
            <v>DECIBEL</v>
          </cell>
          <cell r="B7009" t="str">
            <v>DB413-C</v>
          </cell>
          <cell r="O7009"/>
          <cell r="T7009"/>
        </row>
        <row r="7010">
          <cell r="A7010" t="str">
            <v>DECIBEL</v>
          </cell>
          <cell r="B7010" t="str">
            <v>DB413-D</v>
          </cell>
          <cell r="O7010"/>
          <cell r="T7010"/>
        </row>
        <row r="7011">
          <cell r="A7011" t="str">
            <v>DECIBEL</v>
          </cell>
          <cell r="B7011" t="str">
            <v>DB420</v>
          </cell>
          <cell r="O7011"/>
          <cell r="T7011"/>
        </row>
        <row r="7012">
          <cell r="A7012" t="str">
            <v>DECIBEL</v>
          </cell>
          <cell r="B7012" t="str">
            <v>DB420-A</v>
          </cell>
          <cell r="O7012"/>
          <cell r="T7012"/>
        </row>
        <row r="7013">
          <cell r="A7013" t="str">
            <v>DECIBEL</v>
          </cell>
          <cell r="B7013" t="str">
            <v>DB420-B</v>
          </cell>
          <cell r="O7013"/>
          <cell r="T7013"/>
        </row>
        <row r="7014">
          <cell r="A7014" t="str">
            <v>DECIBEL</v>
          </cell>
          <cell r="B7014" t="str">
            <v>DB420-C</v>
          </cell>
          <cell r="O7014"/>
          <cell r="T7014"/>
        </row>
        <row r="7015">
          <cell r="A7015" t="str">
            <v>DECIBEL</v>
          </cell>
          <cell r="B7015" t="str">
            <v>DB420-D</v>
          </cell>
          <cell r="O7015"/>
          <cell r="T7015"/>
        </row>
        <row r="7016">
          <cell r="A7016" t="str">
            <v>DECIBEL</v>
          </cell>
          <cell r="B7016" t="str">
            <v>DB420D-A</v>
          </cell>
          <cell r="O7016"/>
          <cell r="T7016"/>
        </row>
        <row r="7017">
          <cell r="A7017" t="str">
            <v>DECIBEL</v>
          </cell>
          <cell r="B7017" t="str">
            <v>DB420D-B</v>
          </cell>
          <cell r="O7017"/>
          <cell r="T7017"/>
        </row>
        <row r="7018">
          <cell r="A7018" t="str">
            <v>DECIBEL</v>
          </cell>
          <cell r="B7018" t="str">
            <v>DB420D-C</v>
          </cell>
          <cell r="O7018"/>
          <cell r="T7018"/>
        </row>
        <row r="7019">
          <cell r="A7019" t="str">
            <v>DECIBEL</v>
          </cell>
          <cell r="B7019" t="str">
            <v>DB420D-D</v>
          </cell>
          <cell r="O7019"/>
          <cell r="T7019"/>
        </row>
        <row r="7020">
          <cell r="A7020" t="str">
            <v>DECIBEL</v>
          </cell>
          <cell r="B7020" t="str">
            <v>DB432-A</v>
          </cell>
          <cell r="O7020"/>
          <cell r="T7020"/>
        </row>
        <row r="7021">
          <cell r="A7021" t="str">
            <v>DECIBEL</v>
          </cell>
          <cell r="B7021" t="str">
            <v>DB436-C</v>
          </cell>
          <cell r="O7021"/>
          <cell r="T7021"/>
        </row>
        <row r="7022">
          <cell r="A7022" t="str">
            <v>DECIBEL</v>
          </cell>
          <cell r="B7022" t="str">
            <v>DB437-A</v>
          </cell>
          <cell r="O7022"/>
          <cell r="T7022"/>
        </row>
        <row r="7023">
          <cell r="A7023" t="str">
            <v>DECIBEL</v>
          </cell>
          <cell r="B7023" t="str">
            <v>DB438-A</v>
          </cell>
          <cell r="O7023"/>
          <cell r="T7023"/>
        </row>
        <row r="7024">
          <cell r="A7024" t="str">
            <v>DECIBEL</v>
          </cell>
          <cell r="B7024" t="str">
            <v>DB492A</v>
          </cell>
          <cell r="O7024"/>
          <cell r="T7024"/>
        </row>
        <row r="7025">
          <cell r="A7025" t="str">
            <v>DECIBEL</v>
          </cell>
          <cell r="B7025" t="str">
            <v>DB493-A</v>
          </cell>
          <cell r="O7025"/>
          <cell r="T7025"/>
        </row>
        <row r="7026">
          <cell r="A7026" t="str">
            <v>DECIBEL</v>
          </cell>
          <cell r="B7026" t="str">
            <v>DB495-A</v>
          </cell>
          <cell r="O7026"/>
          <cell r="T7026"/>
        </row>
        <row r="7027">
          <cell r="A7027" t="str">
            <v>DECIBEL</v>
          </cell>
          <cell r="B7027" t="str">
            <v>DB496-A</v>
          </cell>
          <cell r="O7027"/>
          <cell r="T7027"/>
        </row>
        <row r="7028">
          <cell r="A7028" t="str">
            <v>DECIBEL</v>
          </cell>
          <cell r="B7028" t="str">
            <v>DB498</v>
          </cell>
          <cell r="O7028"/>
          <cell r="T7028"/>
        </row>
        <row r="7029">
          <cell r="A7029" t="str">
            <v>DECIBEL</v>
          </cell>
          <cell r="B7029" t="str">
            <v>DB498-A</v>
          </cell>
          <cell r="O7029"/>
          <cell r="T7029"/>
        </row>
        <row r="7030">
          <cell r="A7030" t="str">
            <v>DECIBEL</v>
          </cell>
          <cell r="B7030" t="str">
            <v>DB499-A</v>
          </cell>
          <cell r="O7030"/>
          <cell r="T7030"/>
        </row>
        <row r="7031">
          <cell r="A7031" t="str">
            <v>DECIBEL</v>
          </cell>
          <cell r="B7031" t="str">
            <v>DB499-C</v>
          </cell>
          <cell r="O7031"/>
          <cell r="T7031"/>
        </row>
        <row r="7032">
          <cell r="A7032" t="str">
            <v>DECIBEL</v>
          </cell>
          <cell r="B7032" t="str">
            <v>DB499-K</v>
          </cell>
          <cell r="O7032"/>
          <cell r="T7032"/>
        </row>
        <row r="7033">
          <cell r="A7033" t="str">
            <v>DECIBEL</v>
          </cell>
          <cell r="B7033" t="str">
            <v>DB516</v>
          </cell>
          <cell r="O7033"/>
          <cell r="T7033"/>
        </row>
        <row r="7034">
          <cell r="A7034" t="str">
            <v>DECIBEL</v>
          </cell>
          <cell r="B7034" t="str">
            <v>DB516-A</v>
          </cell>
          <cell r="O7034"/>
          <cell r="T7034"/>
        </row>
        <row r="7035">
          <cell r="A7035" t="str">
            <v>DECIBEL</v>
          </cell>
          <cell r="B7035" t="str">
            <v>DB516-B</v>
          </cell>
          <cell r="O7035"/>
          <cell r="T7035"/>
        </row>
        <row r="7036">
          <cell r="A7036" t="str">
            <v>DECIBEL</v>
          </cell>
          <cell r="B7036" t="str">
            <v>DB516-C</v>
          </cell>
          <cell r="O7036"/>
          <cell r="T7036"/>
        </row>
        <row r="7037">
          <cell r="A7037" t="str">
            <v>DECIBEL</v>
          </cell>
          <cell r="B7037" t="str">
            <v>DB516-E</v>
          </cell>
          <cell r="O7037"/>
          <cell r="T7037"/>
        </row>
        <row r="7038">
          <cell r="A7038" t="str">
            <v>DECIBEL</v>
          </cell>
          <cell r="B7038" t="str">
            <v>DB516-G</v>
          </cell>
          <cell r="O7038"/>
          <cell r="T7038"/>
        </row>
        <row r="7039">
          <cell r="A7039" t="str">
            <v>DECIBEL</v>
          </cell>
          <cell r="B7039" t="str">
            <v>DB536</v>
          </cell>
          <cell r="O7039"/>
          <cell r="T7039"/>
        </row>
        <row r="7040">
          <cell r="A7040" t="str">
            <v>DECIBEL</v>
          </cell>
          <cell r="B7040" t="str">
            <v>DB536-E</v>
          </cell>
          <cell r="O7040"/>
          <cell r="T7040"/>
        </row>
        <row r="7041">
          <cell r="A7041" t="str">
            <v>DECIBEL</v>
          </cell>
          <cell r="B7041" t="str">
            <v>DB536-F</v>
          </cell>
          <cell r="O7041"/>
          <cell r="T7041"/>
        </row>
        <row r="7042">
          <cell r="A7042" t="str">
            <v>DECIBEL</v>
          </cell>
          <cell r="B7042" t="str">
            <v>DB536-G</v>
          </cell>
          <cell r="O7042"/>
          <cell r="T7042"/>
        </row>
        <row r="7043">
          <cell r="A7043" t="str">
            <v>DECIBEL</v>
          </cell>
          <cell r="B7043" t="str">
            <v>DB536-J</v>
          </cell>
          <cell r="O7043"/>
          <cell r="T7043"/>
        </row>
        <row r="7044">
          <cell r="A7044" t="str">
            <v>DECIBEL</v>
          </cell>
          <cell r="B7044" t="str">
            <v>DB538-E</v>
          </cell>
          <cell r="O7044"/>
          <cell r="T7044"/>
        </row>
        <row r="7045">
          <cell r="A7045" t="str">
            <v>DECIBEL</v>
          </cell>
          <cell r="B7045" t="str">
            <v>DB538-F</v>
          </cell>
          <cell r="O7045"/>
          <cell r="T7045"/>
        </row>
        <row r="7046">
          <cell r="A7046" t="str">
            <v>DECIBEL</v>
          </cell>
          <cell r="B7046" t="str">
            <v>DB538-H</v>
          </cell>
          <cell r="O7046"/>
          <cell r="T7046"/>
        </row>
        <row r="7047">
          <cell r="A7047" t="str">
            <v>DECIBEL</v>
          </cell>
          <cell r="B7047" t="str">
            <v>DB538-J</v>
          </cell>
          <cell r="O7047"/>
          <cell r="T7047"/>
        </row>
        <row r="7048">
          <cell r="A7048" t="str">
            <v>DECIBEL</v>
          </cell>
          <cell r="B7048" t="str">
            <v>DB538-K</v>
          </cell>
          <cell r="O7048"/>
          <cell r="T7048"/>
        </row>
        <row r="7049">
          <cell r="A7049" t="str">
            <v>DECIBEL</v>
          </cell>
          <cell r="B7049" t="str">
            <v>DB538-L</v>
          </cell>
          <cell r="O7049"/>
          <cell r="T7049"/>
        </row>
        <row r="7050">
          <cell r="A7050" t="str">
            <v>DECIBEL</v>
          </cell>
          <cell r="B7050" t="str">
            <v>DB540K-E</v>
          </cell>
          <cell r="O7050"/>
          <cell r="T7050"/>
        </row>
        <row r="7051">
          <cell r="A7051" t="str">
            <v>DECIBEL</v>
          </cell>
          <cell r="B7051" t="str">
            <v>DB540K-F</v>
          </cell>
          <cell r="O7051"/>
          <cell r="T7051"/>
        </row>
        <row r="7052">
          <cell r="A7052" t="str">
            <v>DECIBEL</v>
          </cell>
          <cell r="B7052" t="str">
            <v>DB540K-G</v>
          </cell>
          <cell r="O7052"/>
          <cell r="T7052"/>
        </row>
        <row r="7053">
          <cell r="A7053" t="str">
            <v>DECIBEL</v>
          </cell>
          <cell r="B7053" t="str">
            <v>DB540K-J</v>
          </cell>
          <cell r="O7053"/>
          <cell r="T7053"/>
        </row>
        <row r="7054">
          <cell r="A7054" t="str">
            <v>DECIBEL</v>
          </cell>
          <cell r="B7054" t="str">
            <v>DB560</v>
          </cell>
          <cell r="O7054"/>
          <cell r="T7054"/>
        </row>
        <row r="7055">
          <cell r="A7055" t="str">
            <v>DECIBEL</v>
          </cell>
          <cell r="B7055" t="str">
            <v>DB560-E</v>
          </cell>
          <cell r="O7055"/>
          <cell r="T7055"/>
        </row>
        <row r="7056">
          <cell r="A7056" t="str">
            <v>DECIBEL</v>
          </cell>
          <cell r="B7056" t="str">
            <v>DB561</v>
          </cell>
          <cell r="O7056"/>
          <cell r="T7056"/>
        </row>
        <row r="7057">
          <cell r="A7057" t="str">
            <v>DECIBEL</v>
          </cell>
          <cell r="B7057" t="str">
            <v>DB561-XC</v>
          </cell>
          <cell r="O7057"/>
          <cell r="T7057"/>
        </row>
        <row r="7058">
          <cell r="A7058" t="str">
            <v>DECIBEL</v>
          </cell>
          <cell r="B7058" t="str">
            <v>DB561K-CR</v>
          </cell>
          <cell r="O7058"/>
          <cell r="T7058"/>
        </row>
        <row r="7059">
          <cell r="A7059" t="str">
            <v>DECIBEL</v>
          </cell>
          <cell r="B7059" t="str">
            <v>DB561K-CT</v>
          </cell>
          <cell r="O7059"/>
          <cell r="T7059"/>
        </row>
        <row r="7060">
          <cell r="A7060" t="str">
            <v>DECIBEL</v>
          </cell>
          <cell r="B7060" t="str">
            <v>DB561KE-CT</v>
          </cell>
          <cell r="O7060"/>
          <cell r="T7060"/>
        </row>
        <row r="7061">
          <cell r="A7061" t="str">
            <v>DECIBEL</v>
          </cell>
          <cell r="B7061" t="str">
            <v>DB562K</v>
          </cell>
          <cell r="O7061"/>
          <cell r="T7061"/>
        </row>
        <row r="7062">
          <cell r="A7062" t="str">
            <v>DECIBEL</v>
          </cell>
          <cell r="B7062" t="str">
            <v>DB562K-CT</v>
          </cell>
          <cell r="O7062"/>
          <cell r="T7062"/>
        </row>
        <row r="7063">
          <cell r="A7063" t="str">
            <v>DECIBEL</v>
          </cell>
          <cell r="B7063" t="str">
            <v>DB562K-YT</v>
          </cell>
          <cell r="O7063"/>
          <cell r="T7063"/>
        </row>
        <row r="7064">
          <cell r="A7064" t="str">
            <v>DECIBEL</v>
          </cell>
          <cell r="B7064" t="str">
            <v>DB563</v>
          </cell>
          <cell r="O7064"/>
          <cell r="T7064"/>
        </row>
        <row r="7065">
          <cell r="A7065" t="str">
            <v>DECIBEL</v>
          </cell>
          <cell r="B7065" t="str">
            <v>DB563K-CR</v>
          </cell>
          <cell r="O7065"/>
          <cell r="T7065"/>
        </row>
        <row r="7066">
          <cell r="A7066" t="str">
            <v>DECIBEL</v>
          </cell>
          <cell r="B7066" t="str">
            <v>DB563K-CT</v>
          </cell>
          <cell r="O7066"/>
          <cell r="T7066"/>
        </row>
        <row r="7067">
          <cell r="A7067" t="str">
            <v>DECIBEL</v>
          </cell>
          <cell r="B7067" t="str">
            <v>DB563K-TR</v>
          </cell>
          <cell r="O7067"/>
          <cell r="T7067"/>
        </row>
        <row r="7068">
          <cell r="A7068" t="str">
            <v>DECIBEL</v>
          </cell>
          <cell r="B7068" t="str">
            <v>DB563K-TT</v>
          </cell>
          <cell r="O7068"/>
          <cell r="T7068"/>
        </row>
        <row r="7069">
          <cell r="A7069" t="str">
            <v>DECIBEL</v>
          </cell>
          <cell r="B7069" t="str">
            <v>DB564</v>
          </cell>
          <cell r="O7069"/>
          <cell r="T7069"/>
        </row>
        <row r="7070">
          <cell r="A7070" t="str">
            <v>DECIBEL</v>
          </cell>
          <cell r="B7070" t="str">
            <v>DB564K</v>
          </cell>
          <cell r="O7070"/>
          <cell r="T7070"/>
        </row>
        <row r="7071">
          <cell r="A7071" t="str">
            <v>DECIBEL</v>
          </cell>
          <cell r="B7071" t="str">
            <v>DB564K-CR</v>
          </cell>
          <cell r="O7071"/>
          <cell r="T7071"/>
        </row>
        <row r="7072">
          <cell r="A7072" t="str">
            <v>DECIBEL</v>
          </cell>
          <cell r="B7072" t="str">
            <v>DB564K-CT</v>
          </cell>
          <cell r="O7072"/>
          <cell r="T7072"/>
        </row>
        <row r="7073">
          <cell r="A7073" t="str">
            <v>DECIBEL</v>
          </cell>
          <cell r="B7073" t="str">
            <v>DB564K-TR</v>
          </cell>
          <cell r="O7073"/>
          <cell r="T7073"/>
        </row>
        <row r="7074">
          <cell r="A7074" t="str">
            <v>DECIBEL</v>
          </cell>
          <cell r="B7074" t="str">
            <v>DB567</v>
          </cell>
          <cell r="O7074"/>
          <cell r="T7074"/>
        </row>
        <row r="7075">
          <cell r="A7075" t="str">
            <v>DECIBEL</v>
          </cell>
          <cell r="B7075" t="str">
            <v>DB567E</v>
          </cell>
          <cell r="O7075"/>
          <cell r="T7075"/>
        </row>
        <row r="7076">
          <cell r="A7076" t="str">
            <v>DECIBEL</v>
          </cell>
          <cell r="B7076" t="str">
            <v>DB567K-CR</v>
          </cell>
          <cell r="O7076"/>
          <cell r="T7076"/>
        </row>
        <row r="7077">
          <cell r="A7077" t="str">
            <v>DECIBEL</v>
          </cell>
          <cell r="B7077" t="str">
            <v>DB567K-CT</v>
          </cell>
          <cell r="O7077"/>
          <cell r="T7077"/>
        </row>
        <row r="7078">
          <cell r="A7078" t="str">
            <v>DECIBEL</v>
          </cell>
          <cell r="B7078" t="str">
            <v>DB567K890-CT</v>
          </cell>
          <cell r="O7078"/>
          <cell r="T7078"/>
        </row>
        <row r="7079">
          <cell r="A7079" t="str">
            <v>DECIBEL</v>
          </cell>
          <cell r="B7079" t="str">
            <v>DB567KR90</v>
          </cell>
          <cell r="O7079"/>
          <cell r="T7079"/>
        </row>
        <row r="7080">
          <cell r="A7080" t="str">
            <v>DECIBEL</v>
          </cell>
          <cell r="B7080" t="str">
            <v>DB567KR90-CR</v>
          </cell>
          <cell r="O7080"/>
          <cell r="T7080"/>
        </row>
        <row r="7081">
          <cell r="A7081" t="str">
            <v>DECIBEL</v>
          </cell>
          <cell r="B7081" t="str">
            <v>DB567KR90-XC</v>
          </cell>
          <cell r="O7081"/>
          <cell r="T7081"/>
        </row>
        <row r="7082">
          <cell r="A7082" t="str">
            <v>DECIBEL</v>
          </cell>
          <cell r="B7082" t="str">
            <v>DB567KY-CR</v>
          </cell>
          <cell r="O7082"/>
          <cell r="T7082"/>
        </row>
        <row r="7083">
          <cell r="A7083" t="str">
            <v>DECIBEL</v>
          </cell>
          <cell r="B7083" t="str">
            <v>DB567KY-CT</v>
          </cell>
          <cell r="O7083"/>
          <cell r="T7083"/>
        </row>
        <row r="7084">
          <cell r="A7084" t="str">
            <v>DECIBEL</v>
          </cell>
          <cell r="B7084" t="str">
            <v>DB567R90</v>
          </cell>
          <cell r="O7084"/>
          <cell r="T7084"/>
        </row>
        <row r="7085">
          <cell r="A7085" t="str">
            <v>DECIBEL</v>
          </cell>
          <cell r="B7085" t="str">
            <v>DB567R90-CR</v>
          </cell>
          <cell r="O7085"/>
          <cell r="T7085"/>
        </row>
        <row r="7086">
          <cell r="A7086" t="str">
            <v>DECIBEL</v>
          </cell>
          <cell r="B7086" t="str">
            <v>DB567R90-CT</v>
          </cell>
          <cell r="O7086"/>
          <cell r="T7086"/>
        </row>
        <row r="7087">
          <cell r="A7087" t="str">
            <v>DECIBEL</v>
          </cell>
          <cell r="B7087" t="str">
            <v>DB567R90-XC</v>
          </cell>
          <cell r="O7087"/>
          <cell r="T7087"/>
        </row>
        <row r="7088">
          <cell r="A7088" t="str">
            <v>DECIBEL</v>
          </cell>
          <cell r="B7088" t="str">
            <v>DB580</v>
          </cell>
          <cell r="O7088"/>
          <cell r="T7088"/>
        </row>
        <row r="7089">
          <cell r="A7089" t="str">
            <v>DECIBEL</v>
          </cell>
          <cell r="B7089" t="str">
            <v>DB580-XC</v>
          </cell>
          <cell r="O7089"/>
          <cell r="T7089"/>
        </row>
        <row r="7090">
          <cell r="A7090" t="str">
            <v>DECIBEL</v>
          </cell>
          <cell r="B7090" t="str">
            <v>DB580-XT</v>
          </cell>
          <cell r="O7090"/>
          <cell r="T7090"/>
        </row>
        <row r="7091">
          <cell r="A7091" t="str">
            <v>DECIBEL</v>
          </cell>
          <cell r="B7091" t="str">
            <v>DB580-Y</v>
          </cell>
          <cell r="O7091"/>
          <cell r="T7091"/>
        </row>
        <row r="7092">
          <cell r="A7092" t="str">
            <v>DECIBEL</v>
          </cell>
          <cell r="B7092" t="str">
            <v>DB583</v>
          </cell>
          <cell r="O7092"/>
          <cell r="T7092"/>
        </row>
        <row r="7093">
          <cell r="A7093" t="str">
            <v>DECIBEL</v>
          </cell>
          <cell r="B7093" t="str">
            <v>DB583-XC</v>
          </cell>
          <cell r="O7093"/>
          <cell r="T7093"/>
        </row>
        <row r="7094">
          <cell r="A7094" t="str">
            <v>DECIBEL</v>
          </cell>
          <cell r="B7094" t="str">
            <v>DB583-XT</v>
          </cell>
          <cell r="O7094"/>
          <cell r="T7094"/>
        </row>
        <row r="7095">
          <cell r="A7095" t="str">
            <v>DECIBEL</v>
          </cell>
          <cell r="B7095" t="str">
            <v>DB583-Y</v>
          </cell>
          <cell r="O7095"/>
          <cell r="T7095"/>
        </row>
        <row r="7096">
          <cell r="A7096" t="str">
            <v>DECIBEL</v>
          </cell>
          <cell r="B7096" t="str">
            <v>DB586</v>
          </cell>
          <cell r="O7096"/>
          <cell r="T7096"/>
        </row>
        <row r="7097">
          <cell r="A7097" t="str">
            <v>DECIBEL</v>
          </cell>
          <cell r="B7097" t="str">
            <v>DB586-X</v>
          </cell>
          <cell r="O7097"/>
          <cell r="T7097"/>
        </row>
        <row r="7098">
          <cell r="A7098" t="str">
            <v>DECIBEL</v>
          </cell>
          <cell r="B7098" t="str">
            <v>DB586-XC</v>
          </cell>
          <cell r="O7098"/>
          <cell r="T7098"/>
        </row>
        <row r="7099">
          <cell r="A7099" t="str">
            <v>DECIBEL</v>
          </cell>
          <cell r="B7099" t="str">
            <v>DB586-XT</v>
          </cell>
          <cell r="O7099"/>
          <cell r="T7099"/>
        </row>
        <row r="7100">
          <cell r="A7100" t="str">
            <v>DECIBEL</v>
          </cell>
          <cell r="B7100" t="str">
            <v>DB586-Y</v>
          </cell>
          <cell r="O7100"/>
          <cell r="T7100"/>
        </row>
        <row r="7101">
          <cell r="A7101" t="str">
            <v>DECIBEL</v>
          </cell>
          <cell r="B7101" t="str">
            <v>DB586T3-X</v>
          </cell>
          <cell r="O7101"/>
          <cell r="T7101"/>
        </row>
        <row r="7102">
          <cell r="A7102" t="str">
            <v>DECIBEL</v>
          </cell>
          <cell r="B7102" t="str">
            <v>DB586T3-XC</v>
          </cell>
          <cell r="O7102"/>
          <cell r="T7102"/>
        </row>
        <row r="7103">
          <cell r="A7103" t="str">
            <v>DECIBEL</v>
          </cell>
          <cell r="B7103" t="str">
            <v>DB586T3-XT</v>
          </cell>
          <cell r="O7103"/>
          <cell r="T7103"/>
        </row>
        <row r="7104">
          <cell r="A7104" t="str">
            <v>DECIBEL</v>
          </cell>
          <cell r="B7104" t="str">
            <v>DB586T3-Y</v>
          </cell>
          <cell r="O7104"/>
          <cell r="T7104"/>
        </row>
        <row r="7105">
          <cell r="A7105" t="str">
            <v>DECIBEL</v>
          </cell>
          <cell r="B7105" t="str">
            <v>DB586T6-X</v>
          </cell>
          <cell r="O7105"/>
          <cell r="T7105"/>
        </row>
        <row r="7106">
          <cell r="A7106" t="str">
            <v>DECIBEL</v>
          </cell>
          <cell r="B7106" t="str">
            <v>DB586T6-XC</v>
          </cell>
          <cell r="O7106"/>
          <cell r="T7106"/>
        </row>
        <row r="7107">
          <cell r="A7107" t="str">
            <v>DECIBEL</v>
          </cell>
          <cell r="B7107" t="str">
            <v>DB586T6-XT</v>
          </cell>
          <cell r="O7107"/>
          <cell r="T7107"/>
        </row>
        <row r="7108">
          <cell r="A7108" t="str">
            <v>DECIBEL</v>
          </cell>
          <cell r="B7108" t="str">
            <v>DB589</v>
          </cell>
          <cell r="O7108"/>
          <cell r="T7108"/>
        </row>
        <row r="7109">
          <cell r="A7109" t="str">
            <v>DECIBEL</v>
          </cell>
          <cell r="B7109" t="str">
            <v>DB589-XC</v>
          </cell>
          <cell r="O7109"/>
          <cell r="T7109"/>
        </row>
        <row r="7110">
          <cell r="A7110" t="str">
            <v>DECIBEL</v>
          </cell>
          <cell r="B7110" t="str">
            <v>DB589-XT</v>
          </cell>
          <cell r="O7110"/>
          <cell r="T7110"/>
        </row>
        <row r="7111">
          <cell r="A7111" t="str">
            <v>DECIBEL</v>
          </cell>
          <cell r="B7111" t="str">
            <v>DB589-Y</v>
          </cell>
          <cell r="O7111"/>
          <cell r="T7111"/>
        </row>
        <row r="7112">
          <cell r="A7112" t="str">
            <v>DECIBEL</v>
          </cell>
          <cell r="B7112" t="str">
            <v>DB589T3-XC</v>
          </cell>
          <cell r="O7112"/>
          <cell r="T7112"/>
        </row>
        <row r="7113">
          <cell r="A7113" t="str">
            <v>DECIBEL</v>
          </cell>
          <cell r="B7113" t="str">
            <v>DB589T3-XT</v>
          </cell>
          <cell r="O7113"/>
          <cell r="T7113"/>
        </row>
        <row r="7114">
          <cell r="A7114" t="str">
            <v>DECIBEL</v>
          </cell>
          <cell r="B7114" t="str">
            <v>DB589T3-Y</v>
          </cell>
          <cell r="O7114"/>
          <cell r="T7114"/>
        </row>
        <row r="7115">
          <cell r="A7115" t="str">
            <v>DECIBEL</v>
          </cell>
          <cell r="B7115" t="str">
            <v>DB589T6-XC</v>
          </cell>
          <cell r="O7115"/>
          <cell r="T7115"/>
        </row>
        <row r="7116">
          <cell r="A7116" t="str">
            <v>DECIBEL</v>
          </cell>
          <cell r="B7116" t="str">
            <v>DB589T6-XT</v>
          </cell>
          <cell r="O7116"/>
          <cell r="T7116"/>
        </row>
        <row r="7117">
          <cell r="A7117" t="str">
            <v>DECIBEL</v>
          </cell>
          <cell r="B7117" t="str">
            <v>DB589T6-Y</v>
          </cell>
          <cell r="O7117"/>
          <cell r="T7117"/>
        </row>
        <row r="7118">
          <cell r="A7118" t="str">
            <v>DECIBEL</v>
          </cell>
          <cell r="B7118" t="str">
            <v>DB616-AB</v>
          </cell>
          <cell r="O7118"/>
          <cell r="T7118"/>
        </row>
        <row r="7119">
          <cell r="A7119" t="str">
            <v>DECIBEL</v>
          </cell>
          <cell r="B7119" t="str">
            <v>DB616-BC</v>
          </cell>
          <cell r="O7119"/>
          <cell r="T7119"/>
        </row>
        <row r="7120">
          <cell r="A7120" t="str">
            <v>DECIBEL</v>
          </cell>
          <cell r="B7120" t="str">
            <v>DB616D</v>
          </cell>
          <cell r="O7120"/>
          <cell r="T7120"/>
        </row>
        <row r="7121">
          <cell r="A7121" t="str">
            <v>DECIBEL</v>
          </cell>
          <cell r="B7121" t="str">
            <v>DB633-A</v>
          </cell>
          <cell r="O7121"/>
          <cell r="T7121"/>
        </row>
        <row r="7122">
          <cell r="A7122" t="str">
            <v>DECIBEL</v>
          </cell>
          <cell r="B7122" t="str">
            <v>DB633-B</v>
          </cell>
          <cell r="O7122"/>
          <cell r="T7122"/>
        </row>
        <row r="7123">
          <cell r="A7123" t="str">
            <v>DECIBEL</v>
          </cell>
          <cell r="B7123" t="str">
            <v>DB633-C</v>
          </cell>
          <cell r="O7123"/>
          <cell r="T7123"/>
        </row>
        <row r="7124">
          <cell r="A7124" t="str">
            <v>DECIBEL</v>
          </cell>
          <cell r="B7124" t="str">
            <v>DB633-D</v>
          </cell>
          <cell r="O7124"/>
          <cell r="T7124"/>
        </row>
        <row r="7125">
          <cell r="A7125" t="str">
            <v>DECIBEL</v>
          </cell>
          <cell r="B7125" t="str">
            <v>DB636-A</v>
          </cell>
          <cell r="O7125"/>
          <cell r="T7125"/>
        </row>
        <row r="7126">
          <cell r="A7126" t="str">
            <v>DECIBEL</v>
          </cell>
          <cell r="B7126" t="str">
            <v>DB636-B</v>
          </cell>
          <cell r="O7126"/>
          <cell r="T7126"/>
        </row>
        <row r="7127">
          <cell r="A7127" t="str">
            <v>DECIBEL</v>
          </cell>
          <cell r="B7127" t="str">
            <v>DB636-C</v>
          </cell>
          <cell r="O7127"/>
          <cell r="T7127"/>
        </row>
        <row r="7128">
          <cell r="A7128" t="str">
            <v>DECIBEL</v>
          </cell>
          <cell r="B7128" t="str">
            <v>DB636-D</v>
          </cell>
          <cell r="O7128"/>
          <cell r="T7128"/>
        </row>
        <row r="7129">
          <cell r="A7129" t="str">
            <v>DECIBEL</v>
          </cell>
          <cell r="B7129" t="str">
            <v>DB638-A</v>
          </cell>
          <cell r="O7129"/>
          <cell r="T7129"/>
        </row>
        <row r="7130">
          <cell r="A7130" t="str">
            <v>DECIBEL</v>
          </cell>
          <cell r="B7130" t="str">
            <v>DB638-B</v>
          </cell>
          <cell r="O7130"/>
          <cell r="T7130"/>
        </row>
        <row r="7131">
          <cell r="A7131" t="str">
            <v>DECIBEL</v>
          </cell>
          <cell r="B7131" t="str">
            <v>DB638-C</v>
          </cell>
          <cell r="O7131"/>
          <cell r="T7131"/>
        </row>
        <row r="7132">
          <cell r="A7132" t="str">
            <v>DECIBEL</v>
          </cell>
          <cell r="B7132" t="str">
            <v>DB638-D</v>
          </cell>
          <cell r="O7132"/>
          <cell r="T7132"/>
        </row>
        <row r="7133">
          <cell r="A7133" t="str">
            <v>DECIBEL</v>
          </cell>
          <cell r="B7133" t="str">
            <v>DB638NSE-C</v>
          </cell>
          <cell r="O7133"/>
          <cell r="T7133"/>
        </row>
        <row r="7134">
          <cell r="A7134" t="str">
            <v>DECIBEL</v>
          </cell>
          <cell r="B7134" t="str">
            <v>DB640-A</v>
          </cell>
          <cell r="O7134"/>
          <cell r="T7134"/>
        </row>
        <row r="7135">
          <cell r="A7135" t="str">
            <v>DECIBEL</v>
          </cell>
          <cell r="B7135" t="str">
            <v>DB640-B</v>
          </cell>
          <cell r="O7135"/>
          <cell r="T7135"/>
        </row>
        <row r="7136">
          <cell r="A7136" t="str">
            <v>DECIBEL</v>
          </cell>
          <cell r="B7136" t="str">
            <v>DB640-C</v>
          </cell>
          <cell r="O7136"/>
          <cell r="T7136"/>
        </row>
        <row r="7137">
          <cell r="A7137" t="str">
            <v>DECIBEL</v>
          </cell>
          <cell r="B7137" t="str">
            <v>DB640-D</v>
          </cell>
          <cell r="O7137"/>
          <cell r="T7137"/>
        </row>
        <row r="7138">
          <cell r="A7138" t="str">
            <v>DECIBEL</v>
          </cell>
          <cell r="B7138" t="str">
            <v>DB640NS-C</v>
          </cell>
          <cell r="O7138"/>
          <cell r="T7138"/>
        </row>
        <row r="7139">
          <cell r="A7139" t="str">
            <v>DECIBEL</v>
          </cell>
          <cell r="B7139" t="str">
            <v>DB682H120-AD</v>
          </cell>
          <cell r="O7139"/>
          <cell r="T7139"/>
        </row>
        <row r="7140">
          <cell r="A7140" t="str">
            <v>DECIBEL</v>
          </cell>
          <cell r="B7140" t="str">
            <v>DB691H65E-C</v>
          </cell>
          <cell r="O7140"/>
          <cell r="T7140"/>
        </row>
        <row r="7141">
          <cell r="A7141" t="str">
            <v>DECIBEL</v>
          </cell>
          <cell r="B7141" t="str">
            <v>DB692H65E-A</v>
          </cell>
          <cell r="O7141"/>
          <cell r="T7141"/>
        </row>
        <row r="7142">
          <cell r="A7142" t="str">
            <v>DECIBEL</v>
          </cell>
          <cell r="B7142" t="str">
            <v>DB692H65E-C</v>
          </cell>
          <cell r="O7142"/>
          <cell r="T7142"/>
        </row>
        <row r="7143">
          <cell r="A7143" t="str">
            <v>DECIBEL</v>
          </cell>
          <cell r="B7143" t="str">
            <v>DB763TL-YS</v>
          </cell>
          <cell r="O7143"/>
          <cell r="T7143"/>
        </row>
        <row r="7144">
          <cell r="A7144" t="str">
            <v>DECIBEL</v>
          </cell>
          <cell r="B7144" t="str">
            <v>DB772G65ESXM</v>
          </cell>
          <cell r="O7144">
            <v>2.5643325619999997</v>
          </cell>
          <cell r="T7144">
            <v>0.97759872800000003</v>
          </cell>
        </row>
        <row r="7145">
          <cell r="A7145" t="str">
            <v>DECIBEL</v>
          </cell>
          <cell r="B7145" t="str">
            <v>DB774G60ESXM</v>
          </cell>
          <cell r="O7145">
            <v>5.49124225658539</v>
          </cell>
          <cell r="T7145">
            <v>2.1013308339906001</v>
          </cell>
        </row>
        <row r="7146">
          <cell r="A7146" t="str">
            <v>DECIBEL</v>
          </cell>
          <cell r="B7146" t="str">
            <v>DB774G90ESXM</v>
          </cell>
          <cell r="O7146"/>
          <cell r="T7146"/>
        </row>
        <row r="7147">
          <cell r="A7147" t="str">
            <v>DECIBEL</v>
          </cell>
          <cell r="B7147" t="str">
            <v>DB778G90ASXM</v>
          </cell>
          <cell r="O7147"/>
          <cell r="T7147"/>
        </row>
        <row r="7148">
          <cell r="A7148" t="str">
            <v>DECIBEL</v>
          </cell>
          <cell r="B7148" t="str">
            <v>DB799E-M</v>
          </cell>
          <cell r="O7148"/>
          <cell r="T7148"/>
        </row>
        <row r="7149">
          <cell r="A7149" t="str">
            <v>DECIBEL</v>
          </cell>
          <cell r="B7149" t="str">
            <v>DB799N-KL</v>
          </cell>
          <cell r="O7149"/>
          <cell r="T7149"/>
        </row>
        <row r="7150">
          <cell r="A7150" t="str">
            <v>DECIBEL</v>
          </cell>
          <cell r="B7150" t="str">
            <v>DB8009</v>
          </cell>
          <cell r="O7150"/>
          <cell r="T7150"/>
        </row>
        <row r="7151">
          <cell r="A7151" t="str">
            <v>DECIBEL</v>
          </cell>
          <cell r="B7151" t="str">
            <v>DB801Q-XC</v>
          </cell>
          <cell r="O7151"/>
          <cell r="T7151"/>
        </row>
        <row r="7152">
          <cell r="A7152" t="str">
            <v>DECIBEL</v>
          </cell>
          <cell r="B7152" t="str">
            <v>DB803</v>
          </cell>
          <cell r="O7152"/>
          <cell r="T7152"/>
        </row>
        <row r="7153">
          <cell r="A7153" t="str">
            <v>DECIBEL</v>
          </cell>
          <cell r="B7153" t="str">
            <v>DB803KHE-YP</v>
          </cell>
          <cell r="O7153"/>
          <cell r="T7153"/>
        </row>
        <row r="7154">
          <cell r="A7154" t="str">
            <v>DECIBEL</v>
          </cell>
          <cell r="B7154" t="str">
            <v>DB803M-XC</v>
          </cell>
          <cell r="O7154"/>
          <cell r="T7154"/>
        </row>
        <row r="7155">
          <cell r="A7155" t="str">
            <v>DECIBEL</v>
          </cell>
          <cell r="B7155" t="str">
            <v>DB803M-XT</v>
          </cell>
          <cell r="O7155"/>
          <cell r="T7155"/>
        </row>
        <row r="7156">
          <cell r="A7156" t="str">
            <v>DECIBEL</v>
          </cell>
          <cell r="B7156" t="str">
            <v>DB803M-Y</v>
          </cell>
          <cell r="O7156"/>
          <cell r="T7156"/>
        </row>
        <row r="7157">
          <cell r="A7157" t="str">
            <v>DECIBEL</v>
          </cell>
          <cell r="B7157" t="str">
            <v>DB803Q-XC</v>
          </cell>
          <cell r="O7157"/>
          <cell r="T7157"/>
        </row>
        <row r="7158">
          <cell r="A7158" t="str">
            <v>DECIBEL</v>
          </cell>
          <cell r="B7158" t="str">
            <v>DB803Q-XT</v>
          </cell>
          <cell r="O7158"/>
          <cell r="T7158"/>
        </row>
        <row r="7159">
          <cell r="A7159" t="str">
            <v>DECIBEL</v>
          </cell>
          <cell r="B7159" t="str">
            <v>DB803Q-Y</v>
          </cell>
          <cell r="O7159"/>
          <cell r="T7159"/>
        </row>
        <row r="7160">
          <cell r="A7160" t="str">
            <v>DECIBEL</v>
          </cell>
          <cell r="B7160" t="str">
            <v>DB805TRE-YY</v>
          </cell>
          <cell r="O7160"/>
          <cell r="T7160"/>
        </row>
        <row r="7161">
          <cell r="A7161" t="str">
            <v>DECIBEL</v>
          </cell>
          <cell r="B7161" t="str">
            <v>DB806</v>
          </cell>
          <cell r="O7161"/>
          <cell r="T7161"/>
        </row>
        <row r="7162">
          <cell r="A7162" t="str">
            <v>DECIBEL</v>
          </cell>
          <cell r="B7162" t="str">
            <v>DB806-XC</v>
          </cell>
          <cell r="O7162"/>
          <cell r="T7162"/>
        </row>
        <row r="7163">
          <cell r="A7163" t="str">
            <v>DECIBEL</v>
          </cell>
          <cell r="B7163" t="str">
            <v>DB806-XT</v>
          </cell>
          <cell r="O7163"/>
          <cell r="T7163"/>
        </row>
        <row r="7164">
          <cell r="A7164" t="str">
            <v>DECIBEL</v>
          </cell>
          <cell r="B7164" t="str">
            <v>DB806-Y</v>
          </cell>
          <cell r="O7164"/>
          <cell r="T7164"/>
        </row>
        <row r="7165">
          <cell r="A7165" t="str">
            <v>DECIBEL</v>
          </cell>
          <cell r="B7165" t="str">
            <v>DB806D-A</v>
          </cell>
          <cell r="O7165"/>
          <cell r="T7165"/>
        </row>
        <row r="7166">
          <cell r="A7166" t="str">
            <v>DECIBEL</v>
          </cell>
          <cell r="B7166" t="str">
            <v>DB806D-XC</v>
          </cell>
          <cell r="O7166"/>
          <cell r="T7166"/>
        </row>
        <row r="7167">
          <cell r="A7167" t="str">
            <v>DECIBEL</v>
          </cell>
          <cell r="B7167" t="str">
            <v>DB806D-XT</v>
          </cell>
          <cell r="O7167"/>
          <cell r="T7167"/>
        </row>
        <row r="7168">
          <cell r="A7168" t="str">
            <v>DECIBEL</v>
          </cell>
          <cell r="B7168" t="str">
            <v>DB806D-Y</v>
          </cell>
          <cell r="O7168"/>
          <cell r="T7168"/>
        </row>
        <row r="7169">
          <cell r="A7169" t="str">
            <v>DECIBEL</v>
          </cell>
          <cell r="B7169" t="str">
            <v>DB806D-Z</v>
          </cell>
          <cell r="O7169"/>
          <cell r="T7169"/>
        </row>
        <row r="7170">
          <cell r="A7170" t="str">
            <v>DECIBEL</v>
          </cell>
          <cell r="B7170" t="str">
            <v>DB806E-XT</v>
          </cell>
          <cell r="O7170"/>
          <cell r="T7170"/>
        </row>
        <row r="7171">
          <cell r="A7171" t="str">
            <v>DECIBEL</v>
          </cell>
          <cell r="B7171" t="str">
            <v>DB806M-XC</v>
          </cell>
          <cell r="O7171"/>
          <cell r="T7171"/>
        </row>
        <row r="7172">
          <cell r="A7172" t="str">
            <v>DECIBEL</v>
          </cell>
          <cell r="B7172" t="str">
            <v>DB806M-XT</v>
          </cell>
          <cell r="O7172"/>
          <cell r="T7172"/>
        </row>
        <row r="7173">
          <cell r="A7173" t="str">
            <v>DECIBEL</v>
          </cell>
          <cell r="B7173" t="str">
            <v>DB806M-Y</v>
          </cell>
          <cell r="O7173"/>
          <cell r="T7173"/>
        </row>
        <row r="7174">
          <cell r="A7174" t="str">
            <v>DECIBEL</v>
          </cell>
          <cell r="B7174" t="str">
            <v>DB806T3</v>
          </cell>
          <cell r="O7174"/>
          <cell r="T7174"/>
        </row>
        <row r="7175">
          <cell r="A7175" t="str">
            <v>DECIBEL</v>
          </cell>
          <cell r="B7175" t="str">
            <v>DB806T3-SY</v>
          </cell>
          <cell r="O7175"/>
          <cell r="T7175"/>
        </row>
        <row r="7176">
          <cell r="A7176" t="str">
            <v>DECIBEL</v>
          </cell>
          <cell r="B7176" t="str">
            <v>DB806T3-XC</v>
          </cell>
          <cell r="O7176"/>
          <cell r="T7176"/>
        </row>
        <row r="7177">
          <cell r="A7177" t="str">
            <v>DECIBEL</v>
          </cell>
          <cell r="B7177" t="str">
            <v>DB806T3-XT</v>
          </cell>
          <cell r="O7177"/>
          <cell r="T7177"/>
        </row>
        <row r="7178">
          <cell r="A7178" t="str">
            <v>DECIBEL</v>
          </cell>
          <cell r="B7178" t="str">
            <v>DB806T3-Y</v>
          </cell>
          <cell r="O7178"/>
          <cell r="T7178"/>
        </row>
        <row r="7179">
          <cell r="A7179" t="str">
            <v>DECIBEL</v>
          </cell>
          <cell r="B7179" t="str">
            <v>DB806T3-Z</v>
          </cell>
          <cell r="O7179"/>
          <cell r="T7179"/>
        </row>
        <row r="7180">
          <cell r="A7180" t="str">
            <v>DECIBEL</v>
          </cell>
          <cell r="B7180" t="str">
            <v>DB806T6-SY</v>
          </cell>
          <cell r="O7180"/>
          <cell r="T7180"/>
        </row>
        <row r="7181">
          <cell r="A7181" t="str">
            <v>DECIBEL</v>
          </cell>
          <cell r="B7181" t="str">
            <v>DB806T6-XC</v>
          </cell>
          <cell r="O7181"/>
          <cell r="T7181"/>
        </row>
        <row r="7182">
          <cell r="A7182" t="str">
            <v>DECIBEL</v>
          </cell>
          <cell r="B7182" t="str">
            <v>DB806T6-XT</v>
          </cell>
          <cell r="O7182"/>
          <cell r="T7182"/>
        </row>
        <row r="7183">
          <cell r="A7183" t="str">
            <v>DECIBEL</v>
          </cell>
          <cell r="B7183" t="str">
            <v>DB806T6-Y</v>
          </cell>
          <cell r="O7183"/>
          <cell r="T7183"/>
        </row>
        <row r="7184">
          <cell r="A7184" t="str">
            <v>DECIBEL</v>
          </cell>
          <cell r="B7184" t="str">
            <v>DB806T6-Z</v>
          </cell>
          <cell r="O7184"/>
          <cell r="T7184"/>
        </row>
        <row r="7185">
          <cell r="A7185" t="str">
            <v>DECIBEL</v>
          </cell>
          <cell r="B7185" t="str">
            <v>DB806TL-XT</v>
          </cell>
          <cell r="O7185"/>
          <cell r="T7185"/>
        </row>
        <row r="7186">
          <cell r="A7186" t="str">
            <v>DECIBEL</v>
          </cell>
          <cell r="B7186" t="str">
            <v>DB806TL-Y</v>
          </cell>
          <cell r="O7186"/>
          <cell r="T7186"/>
        </row>
        <row r="7187">
          <cell r="A7187" t="str">
            <v>DECIBEL</v>
          </cell>
          <cell r="B7187" t="str">
            <v>DB806TL-Z</v>
          </cell>
          <cell r="O7187"/>
          <cell r="T7187"/>
        </row>
        <row r="7188">
          <cell r="A7188" t="str">
            <v>DECIBEL</v>
          </cell>
          <cell r="B7188" t="str">
            <v>DB809</v>
          </cell>
          <cell r="O7188"/>
          <cell r="T7188"/>
        </row>
        <row r="7189">
          <cell r="A7189" t="str">
            <v>DECIBEL</v>
          </cell>
          <cell r="B7189" t="str">
            <v>DB809-X</v>
          </cell>
          <cell r="O7189"/>
          <cell r="T7189"/>
        </row>
        <row r="7190">
          <cell r="A7190" t="str">
            <v>DECIBEL</v>
          </cell>
          <cell r="B7190" t="str">
            <v>DB809DK-XT</v>
          </cell>
          <cell r="O7190"/>
          <cell r="T7190"/>
        </row>
        <row r="7191">
          <cell r="A7191" t="str">
            <v>DECIBEL</v>
          </cell>
          <cell r="B7191" t="str">
            <v>DB809DK-Y</v>
          </cell>
          <cell r="O7191"/>
          <cell r="T7191"/>
        </row>
        <row r="7192">
          <cell r="A7192" t="str">
            <v>DECIBEL</v>
          </cell>
          <cell r="B7192" t="str">
            <v>DB809DKT3-XT</v>
          </cell>
          <cell r="O7192"/>
          <cell r="T7192"/>
        </row>
        <row r="7193">
          <cell r="A7193" t="str">
            <v>DECIBEL</v>
          </cell>
          <cell r="B7193" t="str">
            <v>DB809K</v>
          </cell>
          <cell r="O7193"/>
          <cell r="T7193"/>
        </row>
        <row r="7194">
          <cell r="A7194" t="str">
            <v>DECIBEL</v>
          </cell>
          <cell r="B7194" t="str">
            <v>DB809K-XC</v>
          </cell>
          <cell r="O7194"/>
          <cell r="T7194"/>
        </row>
        <row r="7195">
          <cell r="A7195" t="str">
            <v>DECIBEL</v>
          </cell>
          <cell r="B7195" t="str">
            <v>DB809K-XT</v>
          </cell>
          <cell r="O7195"/>
          <cell r="T7195"/>
        </row>
        <row r="7196">
          <cell r="A7196" t="str">
            <v>DECIBEL</v>
          </cell>
          <cell r="B7196" t="str">
            <v>DB809K-Y</v>
          </cell>
          <cell r="O7196"/>
          <cell r="T7196"/>
        </row>
        <row r="7197">
          <cell r="A7197" t="str">
            <v>DECIBEL</v>
          </cell>
          <cell r="B7197" t="str">
            <v>DB809K-YP</v>
          </cell>
          <cell r="O7197"/>
          <cell r="T7197"/>
        </row>
        <row r="7198">
          <cell r="A7198" t="str">
            <v>DECIBEL</v>
          </cell>
          <cell r="B7198" t="str">
            <v>DB809KE-SY</v>
          </cell>
          <cell r="O7198"/>
          <cell r="T7198"/>
        </row>
        <row r="7199">
          <cell r="A7199" t="str">
            <v>DECIBEL</v>
          </cell>
          <cell r="B7199" t="str">
            <v>DB809KE-XC</v>
          </cell>
          <cell r="O7199"/>
          <cell r="T7199"/>
        </row>
        <row r="7200">
          <cell r="A7200" t="str">
            <v>DECIBEL</v>
          </cell>
          <cell r="B7200" t="str">
            <v>DB809KE-XT</v>
          </cell>
          <cell r="O7200"/>
          <cell r="T7200"/>
        </row>
        <row r="7201">
          <cell r="A7201" t="str">
            <v>DECIBEL</v>
          </cell>
          <cell r="B7201" t="str">
            <v>DB809KRE-XC</v>
          </cell>
          <cell r="O7201"/>
          <cell r="T7201"/>
        </row>
        <row r="7202">
          <cell r="A7202" t="str">
            <v>DECIBEL</v>
          </cell>
          <cell r="B7202" t="str">
            <v>DB809KRT3-XC</v>
          </cell>
          <cell r="O7202"/>
          <cell r="T7202"/>
        </row>
        <row r="7203">
          <cell r="A7203" t="str">
            <v>DECIBEL</v>
          </cell>
          <cell r="B7203" t="str">
            <v>DB809KSE-YQ</v>
          </cell>
          <cell r="O7203"/>
          <cell r="T7203"/>
        </row>
        <row r="7204">
          <cell r="A7204" t="str">
            <v>DECIBEL</v>
          </cell>
          <cell r="B7204" t="str">
            <v>DB809KSRE-XC</v>
          </cell>
          <cell r="O7204"/>
          <cell r="T7204"/>
        </row>
        <row r="7205">
          <cell r="A7205" t="str">
            <v>DECIBEL</v>
          </cell>
          <cell r="B7205" t="str">
            <v>DB809KT1-YP</v>
          </cell>
          <cell r="O7205"/>
          <cell r="T7205"/>
        </row>
        <row r="7206">
          <cell r="A7206" t="str">
            <v>DECIBEL</v>
          </cell>
          <cell r="B7206" t="str">
            <v>DB809KT2-YP</v>
          </cell>
          <cell r="O7206"/>
          <cell r="T7206"/>
        </row>
        <row r="7207">
          <cell r="A7207" t="str">
            <v>DECIBEL</v>
          </cell>
          <cell r="B7207" t="str">
            <v>DB809KT3-SY</v>
          </cell>
          <cell r="O7207"/>
          <cell r="T7207"/>
        </row>
        <row r="7208">
          <cell r="A7208" t="str">
            <v>DECIBEL</v>
          </cell>
          <cell r="B7208" t="str">
            <v>DB809KT3-XC</v>
          </cell>
          <cell r="O7208"/>
          <cell r="T7208"/>
        </row>
        <row r="7209">
          <cell r="A7209" t="str">
            <v>DECIBEL</v>
          </cell>
          <cell r="B7209" t="str">
            <v>DB809KT3-XT</v>
          </cell>
          <cell r="O7209"/>
          <cell r="T7209"/>
        </row>
        <row r="7210">
          <cell r="A7210" t="str">
            <v>DECIBEL</v>
          </cell>
          <cell r="B7210" t="str">
            <v>DB809KT3-Y</v>
          </cell>
          <cell r="O7210"/>
          <cell r="T7210"/>
        </row>
        <row r="7211">
          <cell r="A7211" t="str">
            <v>DECIBEL</v>
          </cell>
          <cell r="B7211" t="str">
            <v>DB809KT3E-XC</v>
          </cell>
          <cell r="O7211"/>
          <cell r="T7211"/>
        </row>
        <row r="7212">
          <cell r="A7212" t="str">
            <v>DECIBEL</v>
          </cell>
          <cell r="B7212" t="str">
            <v>DB809KT3E-XT</v>
          </cell>
          <cell r="O7212"/>
          <cell r="T7212"/>
        </row>
        <row r="7213">
          <cell r="A7213" t="str">
            <v>DECIBEL</v>
          </cell>
          <cell r="B7213" t="str">
            <v>DB809KT3E-Y</v>
          </cell>
          <cell r="O7213"/>
          <cell r="T7213"/>
        </row>
        <row r="7214">
          <cell r="A7214" t="str">
            <v>DECIBEL</v>
          </cell>
          <cell r="B7214" t="str">
            <v>DB809KT4E-YP</v>
          </cell>
          <cell r="O7214"/>
          <cell r="T7214"/>
        </row>
        <row r="7215">
          <cell r="A7215" t="str">
            <v>DECIBEL</v>
          </cell>
          <cell r="B7215" t="str">
            <v>DB809KT6-SY</v>
          </cell>
          <cell r="O7215"/>
          <cell r="T7215"/>
        </row>
        <row r="7216">
          <cell r="A7216" t="str">
            <v>DECIBEL</v>
          </cell>
          <cell r="B7216" t="str">
            <v>DB809KT6-XC</v>
          </cell>
          <cell r="O7216"/>
          <cell r="T7216"/>
        </row>
        <row r="7217">
          <cell r="A7217" t="str">
            <v>DECIBEL</v>
          </cell>
          <cell r="B7217" t="str">
            <v>DB809KT6-XT</v>
          </cell>
          <cell r="O7217"/>
          <cell r="T7217"/>
        </row>
        <row r="7218">
          <cell r="A7218" t="str">
            <v>DECIBEL</v>
          </cell>
          <cell r="B7218" t="str">
            <v>DB809KT6-Y</v>
          </cell>
          <cell r="O7218"/>
          <cell r="T7218"/>
        </row>
        <row r="7219">
          <cell r="A7219" t="str">
            <v>DECIBEL</v>
          </cell>
          <cell r="B7219" t="str">
            <v>DB809KT6E-XT</v>
          </cell>
          <cell r="O7219"/>
          <cell r="T7219"/>
        </row>
        <row r="7220">
          <cell r="A7220" t="str">
            <v>DECIBEL</v>
          </cell>
          <cell r="B7220" t="str">
            <v>DB809KU3-XC</v>
          </cell>
          <cell r="O7220"/>
          <cell r="T7220"/>
        </row>
        <row r="7221">
          <cell r="A7221" t="str">
            <v>DECIBEL</v>
          </cell>
          <cell r="B7221" t="str">
            <v>DB809KU6-XC</v>
          </cell>
          <cell r="O7221"/>
          <cell r="T7221"/>
        </row>
        <row r="7222">
          <cell r="A7222" t="str">
            <v>DECIBEL</v>
          </cell>
          <cell r="B7222" t="str">
            <v>DB809M</v>
          </cell>
          <cell r="O7222"/>
          <cell r="T7222"/>
        </row>
        <row r="7223">
          <cell r="A7223" t="str">
            <v>DECIBEL</v>
          </cell>
          <cell r="B7223" t="str">
            <v>DB809M-XC</v>
          </cell>
          <cell r="O7223"/>
          <cell r="T7223"/>
        </row>
        <row r="7224">
          <cell r="A7224" t="str">
            <v>DECIBEL</v>
          </cell>
          <cell r="B7224" t="str">
            <v>DB809M-XT</v>
          </cell>
          <cell r="O7224"/>
          <cell r="T7224"/>
        </row>
        <row r="7225">
          <cell r="A7225" t="str">
            <v>DECIBEL</v>
          </cell>
          <cell r="B7225" t="str">
            <v>DB809M-Y</v>
          </cell>
          <cell r="O7225"/>
          <cell r="T7225"/>
        </row>
        <row r="7226">
          <cell r="A7226" t="str">
            <v>DECIBEL</v>
          </cell>
          <cell r="B7226" t="str">
            <v>DB809MT3-XT</v>
          </cell>
          <cell r="O7226"/>
          <cell r="T7226"/>
        </row>
        <row r="7227">
          <cell r="A7227" t="str">
            <v>DECIBEL</v>
          </cell>
          <cell r="B7227" t="str">
            <v>DB809MT3-Y</v>
          </cell>
          <cell r="O7227"/>
          <cell r="T7227"/>
        </row>
        <row r="7228">
          <cell r="A7228" t="str">
            <v>DECIBEL</v>
          </cell>
          <cell r="B7228" t="str">
            <v>DB809MT6-XT</v>
          </cell>
          <cell r="O7228"/>
          <cell r="T7228"/>
        </row>
        <row r="7229">
          <cell r="A7229" t="str">
            <v>DECIBEL</v>
          </cell>
          <cell r="B7229" t="str">
            <v>DB809MT6-Y</v>
          </cell>
          <cell r="O7229"/>
          <cell r="T7229"/>
        </row>
        <row r="7230">
          <cell r="A7230" t="str">
            <v>DECIBEL</v>
          </cell>
          <cell r="B7230" t="str">
            <v>DB809SR-X</v>
          </cell>
          <cell r="O7230"/>
          <cell r="T7230"/>
        </row>
        <row r="7231">
          <cell r="A7231" t="str">
            <v>DECIBEL</v>
          </cell>
          <cell r="B7231" t="str">
            <v>DB809T3-XT</v>
          </cell>
          <cell r="O7231"/>
          <cell r="T7231"/>
        </row>
        <row r="7232">
          <cell r="A7232" t="str">
            <v>DECIBEL</v>
          </cell>
          <cell r="B7232" t="str">
            <v>DB809T3-Y</v>
          </cell>
          <cell r="O7232"/>
          <cell r="T7232"/>
        </row>
        <row r="7233">
          <cell r="A7233" t="str">
            <v>DECIBEL</v>
          </cell>
          <cell r="B7233" t="str">
            <v>DB809T32-XT</v>
          </cell>
          <cell r="O7233"/>
          <cell r="T7233"/>
        </row>
        <row r="7234">
          <cell r="A7234" t="str">
            <v>DECIBEL</v>
          </cell>
          <cell r="B7234" t="str">
            <v>DB809T3E-XC</v>
          </cell>
          <cell r="O7234"/>
          <cell r="T7234"/>
        </row>
        <row r="7235">
          <cell r="A7235" t="str">
            <v>DECIBEL</v>
          </cell>
          <cell r="B7235" t="str">
            <v>DB809T3E-XT</v>
          </cell>
          <cell r="O7235"/>
          <cell r="T7235"/>
        </row>
        <row r="7236">
          <cell r="A7236" t="str">
            <v>DECIBEL</v>
          </cell>
          <cell r="B7236" t="str">
            <v>DB809T6-XC</v>
          </cell>
          <cell r="O7236"/>
          <cell r="T7236"/>
        </row>
        <row r="7237">
          <cell r="A7237" t="str">
            <v>DECIBEL</v>
          </cell>
          <cell r="B7237" t="str">
            <v>DB809T6E-XC</v>
          </cell>
          <cell r="O7237"/>
          <cell r="T7237"/>
        </row>
        <row r="7238">
          <cell r="A7238" t="str">
            <v>DECIBEL</v>
          </cell>
          <cell r="B7238" t="str">
            <v>DB809T6E-XT</v>
          </cell>
          <cell r="O7238"/>
          <cell r="T7238"/>
        </row>
        <row r="7239">
          <cell r="A7239" t="str">
            <v>DECIBEL</v>
          </cell>
          <cell r="B7239" t="str">
            <v>DB810</v>
          </cell>
          <cell r="O7239"/>
          <cell r="T7239"/>
        </row>
        <row r="7240">
          <cell r="A7240" t="str">
            <v>DECIBEL</v>
          </cell>
          <cell r="B7240" t="str">
            <v>DB810-2</v>
          </cell>
          <cell r="O7240"/>
          <cell r="T7240"/>
        </row>
        <row r="7241">
          <cell r="A7241" t="str">
            <v>DECIBEL</v>
          </cell>
          <cell r="B7241" t="str">
            <v>DB810-XC</v>
          </cell>
          <cell r="O7241"/>
          <cell r="T7241"/>
        </row>
        <row r="7242">
          <cell r="A7242" t="str">
            <v>DECIBEL</v>
          </cell>
          <cell r="B7242" t="str">
            <v>DB810K</v>
          </cell>
          <cell r="O7242"/>
          <cell r="T7242"/>
        </row>
        <row r="7243">
          <cell r="A7243" t="str">
            <v>DECIBEL</v>
          </cell>
          <cell r="B7243" t="str">
            <v>DB810K-XC</v>
          </cell>
          <cell r="O7243"/>
          <cell r="T7243"/>
        </row>
        <row r="7244">
          <cell r="A7244" t="str">
            <v>DECIBEL</v>
          </cell>
          <cell r="B7244" t="str">
            <v>DB810K-XT</v>
          </cell>
          <cell r="O7244"/>
          <cell r="T7244"/>
        </row>
        <row r="7245">
          <cell r="A7245" t="str">
            <v>DECIBEL</v>
          </cell>
          <cell r="B7245" t="str">
            <v>DB810K-Y</v>
          </cell>
          <cell r="O7245"/>
          <cell r="T7245"/>
        </row>
        <row r="7246">
          <cell r="A7246" t="str">
            <v>DECIBEL</v>
          </cell>
          <cell r="B7246" t="str">
            <v>DB810K-YP</v>
          </cell>
          <cell r="O7246"/>
          <cell r="T7246"/>
        </row>
        <row r="7247">
          <cell r="A7247" t="str">
            <v>DECIBEL</v>
          </cell>
          <cell r="B7247" t="str">
            <v>DB810KE-SY</v>
          </cell>
          <cell r="O7247"/>
          <cell r="T7247"/>
        </row>
        <row r="7248">
          <cell r="A7248" t="str">
            <v>DECIBEL</v>
          </cell>
          <cell r="B7248" t="str">
            <v>DB810KE-XC</v>
          </cell>
          <cell r="O7248"/>
          <cell r="T7248"/>
        </row>
        <row r="7249">
          <cell r="A7249" t="str">
            <v>DECIBEL</v>
          </cell>
          <cell r="B7249" t="str">
            <v>DB810KE-XT</v>
          </cell>
          <cell r="O7249"/>
          <cell r="T7249"/>
        </row>
        <row r="7250">
          <cell r="A7250" t="str">
            <v>DECIBEL</v>
          </cell>
          <cell r="B7250" t="str">
            <v>DB810KE-Y</v>
          </cell>
          <cell r="O7250"/>
          <cell r="T7250"/>
        </row>
        <row r="7251">
          <cell r="A7251" t="str">
            <v>DECIBEL</v>
          </cell>
          <cell r="B7251" t="str">
            <v>DB810KE-YP</v>
          </cell>
          <cell r="O7251"/>
          <cell r="T7251"/>
        </row>
        <row r="7252">
          <cell r="A7252" t="str">
            <v>DECIBEL</v>
          </cell>
          <cell r="B7252" t="str">
            <v>DB810KF-XC</v>
          </cell>
          <cell r="O7252"/>
          <cell r="T7252"/>
        </row>
        <row r="7253">
          <cell r="A7253" t="str">
            <v>DECIBEL</v>
          </cell>
          <cell r="B7253" t="str">
            <v>DB810KR-XT</v>
          </cell>
          <cell r="O7253"/>
          <cell r="T7253"/>
        </row>
        <row r="7254">
          <cell r="A7254" t="str">
            <v>DECIBEL</v>
          </cell>
          <cell r="B7254" t="str">
            <v>DB810KRE-XT</v>
          </cell>
          <cell r="O7254"/>
          <cell r="T7254"/>
        </row>
        <row r="7255">
          <cell r="A7255" t="str">
            <v>DECIBEL</v>
          </cell>
          <cell r="B7255" t="str">
            <v>DB810KRRE-XT</v>
          </cell>
          <cell r="O7255"/>
          <cell r="T7255"/>
        </row>
        <row r="7256">
          <cell r="A7256" t="str">
            <v>DECIBEL</v>
          </cell>
          <cell r="B7256" t="str">
            <v>DB810KT1E-XC</v>
          </cell>
          <cell r="O7256"/>
          <cell r="T7256"/>
        </row>
        <row r="7257">
          <cell r="A7257" t="str">
            <v>DECIBEL</v>
          </cell>
          <cell r="B7257" t="str">
            <v>DB810KT3-XC</v>
          </cell>
          <cell r="O7257"/>
          <cell r="T7257"/>
        </row>
        <row r="7258">
          <cell r="A7258" t="str">
            <v>DECIBEL</v>
          </cell>
          <cell r="B7258" t="str">
            <v>DB810KT3E-XC</v>
          </cell>
          <cell r="O7258"/>
          <cell r="T7258"/>
        </row>
        <row r="7259">
          <cell r="A7259" t="str">
            <v>DECIBEL</v>
          </cell>
          <cell r="B7259" t="str">
            <v>DB810KU3-XC</v>
          </cell>
          <cell r="O7259"/>
          <cell r="T7259"/>
        </row>
        <row r="7260">
          <cell r="A7260" t="str">
            <v>DECIBEL</v>
          </cell>
          <cell r="B7260" t="str">
            <v>DB810M-1</v>
          </cell>
          <cell r="O7260"/>
          <cell r="T7260"/>
        </row>
        <row r="7261">
          <cell r="A7261" t="str">
            <v>DECIBEL</v>
          </cell>
          <cell r="B7261" t="str">
            <v>DB810M-X</v>
          </cell>
          <cell r="O7261"/>
          <cell r="T7261"/>
        </row>
        <row r="7262">
          <cell r="A7262" t="str">
            <v>DECIBEL</v>
          </cell>
          <cell r="B7262" t="str">
            <v>DB810M-XC</v>
          </cell>
          <cell r="O7262"/>
          <cell r="T7262"/>
        </row>
        <row r="7263">
          <cell r="A7263" t="str">
            <v>DECIBEL</v>
          </cell>
          <cell r="B7263" t="str">
            <v>DB810T3-XC</v>
          </cell>
          <cell r="O7263"/>
          <cell r="T7263"/>
        </row>
        <row r="7264">
          <cell r="A7264" t="str">
            <v>DECIBEL</v>
          </cell>
          <cell r="B7264" t="str">
            <v>DB810T3E-XC</v>
          </cell>
          <cell r="O7264"/>
          <cell r="T7264"/>
        </row>
        <row r="7265">
          <cell r="A7265" t="str">
            <v>DECIBEL</v>
          </cell>
          <cell r="B7265" t="str">
            <v>DB810T3E-XT</v>
          </cell>
          <cell r="O7265"/>
          <cell r="T7265"/>
        </row>
        <row r="7266">
          <cell r="A7266" t="str">
            <v>DECIBEL</v>
          </cell>
          <cell r="B7266" t="str">
            <v>DB810T6-XC</v>
          </cell>
          <cell r="O7266"/>
          <cell r="T7266"/>
        </row>
        <row r="7267">
          <cell r="A7267" t="str">
            <v>DECIBEL</v>
          </cell>
          <cell r="B7267" t="str">
            <v>DB810U3-XC</v>
          </cell>
          <cell r="O7267"/>
          <cell r="T7267"/>
        </row>
        <row r="7268">
          <cell r="A7268" t="str">
            <v>DECIBEL</v>
          </cell>
          <cell r="B7268" t="str">
            <v>DB8110K-XC</v>
          </cell>
          <cell r="O7268"/>
          <cell r="T7268"/>
        </row>
        <row r="7269">
          <cell r="A7269" t="str">
            <v>DECIBEL</v>
          </cell>
          <cell r="B7269" t="str">
            <v>DB812</v>
          </cell>
          <cell r="O7269"/>
          <cell r="T7269"/>
        </row>
        <row r="7270">
          <cell r="A7270" t="str">
            <v>DECIBEL</v>
          </cell>
          <cell r="B7270" t="str">
            <v>DB812 X</v>
          </cell>
          <cell r="O7270"/>
          <cell r="T7270"/>
        </row>
        <row r="7271">
          <cell r="A7271" t="str">
            <v>DECIBEL</v>
          </cell>
          <cell r="B7271" t="str">
            <v>DB812-FX</v>
          </cell>
          <cell r="O7271"/>
          <cell r="T7271"/>
        </row>
        <row r="7272">
          <cell r="A7272" t="str">
            <v>DECIBEL</v>
          </cell>
          <cell r="B7272" t="str">
            <v>DB812-XC</v>
          </cell>
          <cell r="O7272"/>
          <cell r="T7272"/>
        </row>
        <row r="7273">
          <cell r="A7273" t="str">
            <v>DECIBEL</v>
          </cell>
          <cell r="B7273" t="str">
            <v>DB812F-X</v>
          </cell>
          <cell r="O7273"/>
          <cell r="T7273"/>
        </row>
        <row r="7274">
          <cell r="A7274" t="str">
            <v>DECIBEL</v>
          </cell>
          <cell r="B7274" t="str">
            <v>DB812K</v>
          </cell>
          <cell r="O7274"/>
          <cell r="T7274"/>
        </row>
        <row r="7275">
          <cell r="A7275" t="str">
            <v>DECIBEL</v>
          </cell>
          <cell r="B7275" t="str">
            <v>DB812K-XC</v>
          </cell>
          <cell r="O7275"/>
          <cell r="T7275"/>
        </row>
        <row r="7276">
          <cell r="A7276" t="str">
            <v>DECIBEL</v>
          </cell>
          <cell r="B7276" t="str">
            <v>DB812K-Y</v>
          </cell>
          <cell r="O7276"/>
          <cell r="T7276"/>
        </row>
        <row r="7277">
          <cell r="A7277" t="str">
            <v>DECIBEL</v>
          </cell>
          <cell r="B7277" t="str">
            <v>DB812KE-XT</v>
          </cell>
          <cell r="O7277"/>
          <cell r="T7277"/>
        </row>
        <row r="7278">
          <cell r="A7278" t="str">
            <v>DECIBEL</v>
          </cell>
          <cell r="B7278" t="str">
            <v>DB812KE-Y</v>
          </cell>
          <cell r="O7278"/>
          <cell r="T7278"/>
        </row>
        <row r="7279">
          <cell r="A7279" t="str">
            <v>DECIBEL</v>
          </cell>
          <cell r="B7279" t="str">
            <v>DB812KF-X</v>
          </cell>
          <cell r="O7279"/>
          <cell r="T7279"/>
        </row>
        <row r="7280">
          <cell r="A7280" t="str">
            <v>DECIBEL</v>
          </cell>
          <cell r="B7280" t="str">
            <v>DB812KF-XT</v>
          </cell>
          <cell r="O7280"/>
          <cell r="T7280"/>
        </row>
        <row r="7281">
          <cell r="A7281" t="str">
            <v>DECIBEL</v>
          </cell>
          <cell r="B7281" t="str">
            <v>DB812KHF-XC</v>
          </cell>
          <cell r="O7281"/>
          <cell r="T7281"/>
        </row>
        <row r="7282">
          <cell r="A7282" t="str">
            <v>DECIBEL</v>
          </cell>
          <cell r="B7282" t="str">
            <v>DB812KRRE-XC</v>
          </cell>
          <cell r="O7282"/>
          <cell r="T7282"/>
        </row>
        <row r="7283">
          <cell r="A7283" t="str">
            <v>DECIBEL</v>
          </cell>
          <cell r="B7283" t="str">
            <v>DB812KS-XC</v>
          </cell>
          <cell r="O7283"/>
          <cell r="T7283"/>
        </row>
        <row r="7284">
          <cell r="A7284" t="str">
            <v>DECIBEL</v>
          </cell>
          <cell r="B7284" t="str">
            <v>DB812R</v>
          </cell>
          <cell r="O7284"/>
          <cell r="T7284"/>
        </row>
        <row r="7285">
          <cell r="A7285" t="str">
            <v>DECIBEL</v>
          </cell>
          <cell r="B7285" t="str">
            <v>DB81810M-XC</v>
          </cell>
          <cell r="O7285"/>
          <cell r="T7285"/>
        </row>
        <row r="7286">
          <cell r="A7286" t="str">
            <v>DECIBEL</v>
          </cell>
          <cell r="B7286" t="str">
            <v>DB833</v>
          </cell>
          <cell r="O7286"/>
          <cell r="T7286"/>
        </row>
        <row r="7287">
          <cell r="A7287" t="str">
            <v>DECIBEL</v>
          </cell>
          <cell r="B7287" t="str">
            <v>DB833R-F</v>
          </cell>
          <cell r="O7287"/>
          <cell r="T7287"/>
        </row>
        <row r="7288">
          <cell r="A7288" t="str">
            <v>DECIBEL</v>
          </cell>
          <cell r="B7288" t="str">
            <v>DB834</v>
          </cell>
          <cell r="O7288"/>
          <cell r="T7288"/>
        </row>
        <row r="7289">
          <cell r="A7289" t="str">
            <v>DECIBEL</v>
          </cell>
          <cell r="B7289" t="str">
            <v>DB834H70R-F</v>
          </cell>
          <cell r="O7289"/>
          <cell r="T7289"/>
        </row>
        <row r="7290">
          <cell r="A7290" t="str">
            <v>DECIBEL</v>
          </cell>
          <cell r="B7290" t="str">
            <v>DB834H85RE-F</v>
          </cell>
          <cell r="O7290"/>
          <cell r="T7290"/>
        </row>
        <row r="7291">
          <cell r="A7291" t="str">
            <v>DECIBEL</v>
          </cell>
          <cell r="B7291" t="str">
            <v>DB834H85RF-F</v>
          </cell>
          <cell r="O7291"/>
          <cell r="T7291"/>
        </row>
        <row r="7292">
          <cell r="A7292" t="str">
            <v>DECIBEL</v>
          </cell>
          <cell r="B7292" t="str">
            <v>DB834R-F</v>
          </cell>
          <cell r="O7292"/>
          <cell r="T7292"/>
        </row>
        <row r="7293">
          <cell r="A7293" t="str">
            <v>DECIBEL</v>
          </cell>
          <cell r="B7293" t="str">
            <v>DB83RS9</v>
          </cell>
          <cell r="O7293"/>
          <cell r="T7293"/>
        </row>
        <row r="7294">
          <cell r="A7294" t="str">
            <v>DECIBEL</v>
          </cell>
          <cell r="B7294" t="str">
            <v>DB842H40E-SX</v>
          </cell>
          <cell r="O7294"/>
          <cell r="T7294"/>
        </row>
        <row r="7295">
          <cell r="A7295" t="str">
            <v>DECIBEL</v>
          </cell>
          <cell r="B7295" t="str">
            <v>DB842H80E-XY</v>
          </cell>
          <cell r="O7295">
            <v>1.0399604549999999</v>
          </cell>
          <cell r="T7295">
            <v>1.1742629549999999</v>
          </cell>
        </row>
        <row r="7296">
          <cell r="A7296" t="str">
            <v>DECIBEL</v>
          </cell>
          <cell r="B7296" t="str">
            <v>DB842H90-SX</v>
          </cell>
          <cell r="O7296">
            <v>1.0399604549999999</v>
          </cell>
          <cell r="T7296">
            <v>1.1742629549999999</v>
          </cell>
        </row>
        <row r="7297">
          <cell r="A7297" t="str">
            <v>DECIBEL</v>
          </cell>
          <cell r="B7297" t="str">
            <v>DB842H90E-XY</v>
          </cell>
          <cell r="O7297"/>
          <cell r="T7297"/>
        </row>
        <row r="7298">
          <cell r="A7298" t="str">
            <v>DECIBEL</v>
          </cell>
          <cell r="B7298" t="str">
            <v>DB844</v>
          </cell>
          <cell r="O7298"/>
          <cell r="T7298"/>
        </row>
        <row r="7299">
          <cell r="A7299" t="str">
            <v>DECIBEL</v>
          </cell>
          <cell r="B7299" t="str">
            <v>DB844F90A-SX</v>
          </cell>
          <cell r="O7299">
            <v>2.2373509839999999</v>
          </cell>
          <cell r="T7299">
            <v>2.622555615</v>
          </cell>
        </row>
        <row r="7300">
          <cell r="A7300" t="str">
            <v>DECIBEL</v>
          </cell>
          <cell r="B7300" t="str">
            <v>DB844G45ZAXY</v>
          </cell>
          <cell r="O7300"/>
          <cell r="T7300"/>
        </row>
        <row r="7301">
          <cell r="A7301" t="str">
            <v>DECIBEL</v>
          </cell>
          <cell r="B7301" t="str">
            <v>DB844G65ZAXY</v>
          </cell>
          <cell r="O7301">
            <v>4.2419958672896403</v>
          </cell>
          <cell r="T7301">
            <v>3.55117679657871</v>
          </cell>
        </row>
        <row r="7302">
          <cell r="A7302" t="str">
            <v>DECIBEL</v>
          </cell>
          <cell r="B7302" t="str">
            <v>DB844G90A-XC</v>
          </cell>
          <cell r="O7302">
            <v>2.2373509839999999</v>
          </cell>
          <cell r="T7302">
            <v>2.622555615</v>
          </cell>
        </row>
        <row r="7303">
          <cell r="A7303" t="str">
            <v>DECIBEL</v>
          </cell>
          <cell r="B7303" t="str">
            <v>DB844G90A-XY</v>
          </cell>
          <cell r="O7303">
            <v>2.2373509839999999</v>
          </cell>
          <cell r="T7303">
            <v>2.622555615</v>
          </cell>
        </row>
        <row r="7304">
          <cell r="A7304" t="str">
            <v>DECIBEL</v>
          </cell>
          <cell r="B7304" t="str">
            <v>DB844H</v>
          </cell>
          <cell r="O7304"/>
          <cell r="T7304"/>
        </row>
        <row r="7305">
          <cell r="A7305" t="str">
            <v>DECIBEL</v>
          </cell>
          <cell r="B7305" t="str">
            <v>DB844H105</v>
          </cell>
          <cell r="O7305">
            <v>2.2373509839999999</v>
          </cell>
          <cell r="T7305">
            <v>2.622555615</v>
          </cell>
        </row>
        <row r="7306">
          <cell r="A7306" t="str">
            <v>DECIBEL</v>
          </cell>
          <cell r="B7306" t="str">
            <v>DB844H105-SX</v>
          </cell>
          <cell r="O7306">
            <v>2.2373509839999999</v>
          </cell>
          <cell r="T7306">
            <v>2.622555615</v>
          </cell>
        </row>
        <row r="7307">
          <cell r="A7307" t="str">
            <v>DECIBEL</v>
          </cell>
          <cell r="B7307" t="str">
            <v>DB844H105ESX</v>
          </cell>
          <cell r="O7307">
            <v>2.2373509839999999</v>
          </cell>
          <cell r="T7307">
            <v>2.622555615</v>
          </cell>
        </row>
        <row r="7308">
          <cell r="A7308" t="str">
            <v>DECIBEL</v>
          </cell>
          <cell r="B7308" t="str">
            <v>DB844H105T6ESX</v>
          </cell>
          <cell r="O7308">
            <v>2.2373509839999999</v>
          </cell>
          <cell r="T7308">
            <v>2.622555615</v>
          </cell>
        </row>
        <row r="7309">
          <cell r="A7309" t="str">
            <v>DECIBEL</v>
          </cell>
          <cell r="B7309" t="str">
            <v>DB844H40E-SX</v>
          </cell>
          <cell r="O7309"/>
          <cell r="T7309"/>
        </row>
        <row r="7310">
          <cell r="A7310" t="str">
            <v>DECIBEL</v>
          </cell>
          <cell r="B7310" t="str">
            <v>DB844H40E-XT</v>
          </cell>
          <cell r="O7310"/>
          <cell r="T7310"/>
        </row>
        <row r="7311">
          <cell r="A7311" t="str">
            <v>DECIBEL</v>
          </cell>
          <cell r="B7311" t="str">
            <v>DB844H65-XY</v>
          </cell>
          <cell r="O7311"/>
          <cell r="T7311"/>
        </row>
        <row r="7312">
          <cell r="A7312" t="str">
            <v>DECIBEL</v>
          </cell>
          <cell r="B7312" t="str">
            <v>DB844H65E-XT</v>
          </cell>
          <cell r="O7312">
            <v>2.2373509839999999</v>
          </cell>
          <cell r="T7312">
            <v>2.622555615</v>
          </cell>
        </row>
        <row r="7313">
          <cell r="A7313" t="str">
            <v>DECIBEL</v>
          </cell>
          <cell r="B7313" t="str">
            <v>DB844H65E-XY</v>
          </cell>
          <cell r="O7313">
            <v>6.7273678626543196</v>
          </cell>
          <cell r="T7313">
            <v>3.1392438749338103</v>
          </cell>
        </row>
        <row r="7314">
          <cell r="A7314" t="str">
            <v>DECIBEL</v>
          </cell>
          <cell r="B7314" t="str">
            <v>DB844H80-XY</v>
          </cell>
          <cell r="O7314">
            <v>2.2373509839999999</v>
          </cell>
          <cell r="T7314">
            <v>2.622555615</v>
          </cell>
        </row>
        <row r="7315">
          <cell r="A7315" t="str">
            <v>DECIBEL</v>
          </cell>
          <cell r="B7315" t="str">
            <v>DB844H80E-XY</v>
          </cell>
          <cell r="O7315">
            <v>2.2373509839999999</v>
          </cell>
          <cell r="T7315">
            <v>2.622555615</v>
          </cell>
        </row>
        <row r="7316">
          <cell r="A7316" t="str">
            <v>DECIBEL</v>
          </cell>
          <cell r="B7316" t="str">
            <v>DB844H80T11</v>
          </cell>
          <cell r="O7316">
            <v>2.2373509839999999</v>
          </cell>
          <cell r="T7316">
            <v>2.622555615</v>
          </cell>
        </row>
        <row r="7317">
          <cell r="A7317" t="str">
            <v>DECIBEL</v>
          </cell>
          <cell r="B7317" t="str">
            <v>DB844H80T6-XY</v>
          </cell>
          <cell r="O7317">
            <v>2.2373509839999999</v>
          </cell>
          <cell r="T7317">
            <v>2.622555615</v>
          </cell>
        </row>
        <row r="7318">
          <cell r="A7318" t="str">
            <v>DECIBEL</v>
          </cell>
          <cell r="B7318" t="str">
            <v>DB844H90</v>
          </cell>
          <cell r="O7318">
            <v>2.2373509839999999</v>
          </cell>
          <cell r="T7318">
            <v>2.622555615</v>
          </cell>
        </row>
        <row r="7319">
          <cell r="A7319" t="str">
            <v>DECIBEL</v>
          </cell>
          <cell r="B7319" t="str">
            <v>DB844H90-SX</v>
          </cell>
          <cell r="O7319">
            <v>2.2373509839999999</v>
          </cell>
          <cell r="T7319">
            <v>2.622555615</v>
          </cell>
        </row>
        <row r="7320">
          <cell r="A7320" t="str">
            <v>DECIBEL</v>
          </cell>
          <cell r="B7320" t="str">
            <v>DB844H90-XY</v>
          </cell>
          <cell r="O7320">
            <v>2.2373509839999999</v>
          </cell>
          <cell r="T7320">
            <v>2.622555615</v>
          </cell>
        </row>
        <row r="7321">
          <cell r="A7321" t="str">
            <v>DECIBEL</v>
          </cell>
          <cell r="B7321" t="str">
            <v>DB844H90E-SX</v>
          </cell>
          <cell r="O7321">
            <v>2.2373509839999999</v>
          </cell>
          <cell r="T7321">
            <v>2.622555615</v>
          </cell>
        </row>
        <row r="7322">
          <cell r="A7322" t="str">
            <v>DECIBEL</v>
          </cell>
          <cell r="B7322" t="str">
            <v>DB844H90E-XT</v>
          </cell>
          <cell r="O7322"/>
          <cell r="T7322"/>
        </row>
        <row r="7323">
          <cell r="A7323" t="str">
            <v>DECIBEL</v>
          </cell>
          <cell r="B7323" t="str">
            <v>DB844H90E-XY</v>
          </cell>
          <cell r="O7323">
            <v>2.2373509839999999</v>
          </cell>
          <cell r="T7323">
            <v>2.622555615</v>
          </cell>
        </row>
        <row r="7324">
          <cell r="A7324" t="str">
            <v>DECIBEL</v>
          </cell>
          <cell r="B7324" t="str">
            <v>DB844H90T8E-XY</v>
          </cell>
          <cell r="O7324">
            <v>2.2373509839999999</v>
          </cell>
          <cell r="T7324">
            <v>2.622555615</v>
          </cell>
        </row>
        <row r="7325">
          <cell r="A7325" t="str">
            <v>DECIBEL</v>
          </cell>
          <cell r="B7325" t="str">
            <v>DB844H90VT-X</v>
          </cell>
          <cell r="O7325"/>
          <cell r="T7325"/>
        </row>
        <row r="7326">
          <cell r="A7326" t="str">
            <v>DECIBEL</v>
          </cell>
          <cell r="B7326" t="str">
            <v>DB844H90VTE-SY</v>
          </cell>
          <cell r="O7326">
            <v>2.2373509839999999</v>
          </cell>
          <cell r="T7326">
            <v>2.622555615</v>
          </cell>
        </row>
        <row r="7327">
          <cell r="A7327" t="str">
            <v>DECIBEL</v>
          </cell>
          <cell r="B7327" t="str">
            <v>DB844H90VTE-X</v>
          </cell>
          <cell r="O7327">
            <v>2.2373509839999999</v>
          </cell>
          <cell r="T7327">
            <v>2.622555615</v>
          </cell>
        </row>
        <row r="7328">
          <cell r="A7328" t="str">
            <v>DECIBEL</v>
          </cell>
          <cell r="B7328" t="str">
            <v>DB844H90VTE-XT</v>
          </cell>
          <cell r="O7328">
            <v>2.2373509839999999</v>
          </cell>
          <cell r="T7328">
            <v>2.622555615</v>
          </cell>
        </row>
        <row r="7329">
          <cell r="A7329" t="str">
            <v>DECIBEL</v>
          </cell>
          <cell r="B7329" t="str">
            <v>DB845N65ZAXT</v>
          </cell>
          <cell r="O7329">
            <v>5.0839726715659399</v>
          </cell>
          <cell r="T7329">
            <v>4.4467610860972995</v>
          </cell>
        </row>
        <row r="7330">
          <cell r="A7330" t="str">
            <v>DECIBEL</v>
          </cell>
          <cell r="B7330" t="str">
            <v>DB845N65ZAXY</v>
          </cell>
          <cell r="O7330">
            <v>5.0839726715659399</v>
          </cell>
          <cell r="T7330">
            <v>4.4467610860972995</v>
          </cell>
        </row>
        <row r="7331">
          <cell r="A7331" t="str">
            <v>DECIBEL</v>
          </cell>
          <cell r="B7331" t="str">
            <v>DB846F65E-SX</v>
          </cell>
          <cell r="O7331"/>
          <cell r="T7331"/>
        </row>
        <row r="7332">
          <cell r="A7332" t="str">
            <v>DECIBEL</v>
          </cell>
          <cell r="B7332" t="str">
            <v>DB846F65ZASX</v>
          </cell>
          <cell r="O7332">
            <v>6.166015625</v>
          </cell>
          <cell r="T7332">
            <v>5.4130864509999999</v>
          </cell>
        </row>
        <row r="7333">
          <cell r="A7333" t="str">
            <v>DECIBEL</v>
          </cell>
          <cell r="B7333" t="str">
            <v>DB846F65ZAXY</v>
          </cell>
          <cell r="O7333">
            <v>6.166015625</v>
          </cell>
          <cell r="T7333">
            <v>5.4130864509999999</v>
          </cell>
        </row>
        <row r="7334">
          <cell r="A7334" t="str">
            <v>DECIBEL</v>
          </cell>
          <cell r="B7334" t="str">
            <v>DB846F90E-ST</v>
          </cell>
          <cell r="O7334">
            <v>3.523771199</v>
          </cell>
          <cell r="T7334">
            <v>4.1803394809999999</v>
          </cell>
        </row>
        <row r="7335">
          <cell r="A7335" t="str">
            <v>DECIBEL</v>
          </cell>
          <cell r="B7335" t="str">
            <v>DB846F90E-SX</v>
          </cell>
          <cell r="O7335">
            <v>3.523771199</v>
          </cell>
          <cell r="T7335">
            <v>4.1803394809999999</v>
          </cell>
        </row>
        <row r="7336">
          <cell r="A7336" t="str">
            <v>DECIBEL</v>
          </cell>
          <cell r="B7336" t="str">
            <v>DB846G90A-XY</v>
          </cell>
          <cell r="O7336">
            <v>3.523771199</v>
          </cell>
          <cell r="T7336">
            <v>4.1803394809999999</v>
          </cell>
        </row>
        <row r="7337">
          <cell r="A7337" t="str">
            <v>DECIBEL</v>
          </cell>
          <cell r="B7337" t="str">
            <v>DB846H105ESX</v>
          </cell>
          <cell r="O7337">
            <v>3.523771199</v>
          </cell>
          <cell r="T7337">
            <v>4.1803394809999999</v>
          </cell>
        </row>
        <row r="7338">
          <cell r="A7338" t="str">
            <v>DECIBEL</v>
          </cell>
          <cell r="B7338" t="str">
            <v>DB846H65E-SX</v>
          </cell>
          <cell r="O7338"/>
          <cell r="T7338"/>
        </row>
        <row r="7339">
          <cell r="A7339" t="str">
            <v>DECIBEL</v>
          </cell>
          <cell r="B7339" t="str">
            <v>DB846H65E-SY</v>
          </cell>
          <cell r="O7339"/>
          <cell r="T7339"/>
        </row>
        <row r="7340">
          <cell r="A7340" t="str">
            <v>DECIBEL</v>
          </cell>
          <cell r="B7340" t="str">
            <v>DB846H80E</v>
          </cell>
          <cell r="O7340">
            <v>3.523771199</v>
          </cell>
          <cell r="T7340">
            <v>4.1803394809999999</v>
          </cell>
        </row>
        <row r="7341">
          <cell r="A7341" t="str">
            <v>DECIBEL</v>
          </cell>
          <cell r="B7341" t="str">
            <v>DB846H80E-SX</v>
          </cell>
          <cell r="O7341">
            <v>4.15892018344754</v>
          </cell>
          <cell r="T7341">
            <v>5.1123867250125796</v>
          </cell>
        </row>
        <row r="7342">
          <cell r="A7342" t="str">
            <v>DECIBEL</v>
          </cell>
          <cell r="B7342" t="str">
            <v>DB846H90-SX</v>
          </cell>
          <cell r="O7342">
            <v>3.523771199</v>
          </cell>
          <cell r="T7342">
            <v>4.1803394809999999</v>
          </cell>
        </row>
        <row r="7343">
          <cell r="A7343" t="str">
            <v>DECIBEL</v>
          </cell>
          <cell r="B7343" t="str">
            <v>DB846H90E</v>
          </cell>
          <cell r="O7343">
            <v>4.15892018344754</v>
          </cell>
          <cell r="T7343">
            <v>5.1123867250125796</v>
          </cell>
        </row>
        <row r="7344">
          <cell r="A7344" t="str">
            <v>DECIBEL</v>
          </cell>
          <cell r="B7344" t="str">
            <v>DB846H90E-SX</v>
          </cell>
          <cell r="O7344">
            <v>3.523771199</v>
          </cell>
          <cell r="T7344">
            <v>4.1803394809999999</v>
          </cell>
        </row>
        <row r="7345">
          <cell r="A7345" t="str">
            <v>DECIBEL</v>
          </cell>
          <cell r="B7345" t="str">
            <v>DB846H90E-SY</v>
          </cell>
          <cell r="O7345">
            <v>4.15892018344754</v>
          </cell>
          <cell r="T7345">
            <v>5.1123867250125796</v>
          </cell>
        </row>
        <row r="7346">
          <cell r="A7346" t="str">
            <v>DECIBEL</v>
          </cell>
          <cell r="B7346" t="str">
            <v>DB848F40E-SX</v>
          </cell>
          <cell r="O7346"/>
          <cell r="T7346"/>
        </row>
        <row r="7347">
          <cell r="A7347" t="str">
            <v>DECIBEL</v>
          </cell>
          <cell r="B7347" t="str">
            <v>DB848F65E-SX</v>
          </cell>
          <cell r="O7347"/>
          <cell r="T7347"/>
        </row>
        <row r="7348">
          <cell r="A7348" t="str">
            <v>DECIBEL</v>
          </cell>
          <cell r="B7348" t="str">
            <v>DB848F90-SX</v>
          </cell>
          <cell r="O7348">
            <v>4.714876061</v>
          </cell>
          <cell r="T7348">
            <v>5.6270773189999996</v>
          </cell>
        </row>
        <row r="7349">
          <cell r="A7349" t="str">
            <v>DECIBEL</v>
          </cell>
          <cell r="B7349" t="str">
            <v>DB848F90E-SX</v>
          </cell>
          <cell r="O7349"/>
          <cell r="T7349"/>
        </row>
        <row r="7350">
          <cell r="A7350" t="str">
            <v>DECIBEL</v>
          </cell>
          <cell r="B7350" t="str">
            <v>DB848G90E-XY</v>
          </cell>
          <cell r="O7350">
            <v>4.714876061</v>
          </cell>
          <cell r="T7350">
            <v>5.6270773189999996</v>
          </cell>
        </row>
        <row r="7351">
          <cell r="A7351" t="str">
            <v>DECIBEL</v>
          </cell>
          <cell r="B7351" t="str">
            <v>DB848H105ESX</v>
          </cell>
          <cell r="O7351">
            <v>4.714876061</v>
          </cell>
          <cell r="T7351">
            <v>5.6270773189999996</v>
          </cell>
        </row>
        <row r="7352">
          <cell r="A7352" t="str">
            <v>DECIBEL</v>
          </cell>
          <cell r="B7352" t="str">
            <v>DB848H40E-SX</v>
          </cell>
          <cell r="O7352"/>
          <cell r="T7352"/>
        </row>
        <row r="7353">
          <cell r="A7353" t="str">
            <v>DECIBEL</v>
          </cell>
          <cell r="B7353" t="str">
            <v>DB848H65-XY</v>
          </cell>
          <cell r="O7353"/>
          <cell r="T7353"/>
        </row>
        <row r="7354">
          <cell r="A7354" t="str">
            <v>DECIBEL</v>
          </cell>
          <cell r="B7354" t="str">
            <v>DB848H65E-XT</v>
          </cell>
          <cell r="O7354"/>
          <cell r="T7354"/>
        </row>
        <row r="7355">
          <cell r="A7355" t="str">
            <v>DECIBEL</v>
          </cell>
          <cell r="B7355" t="str">
            <v>DB848H65E-XY</v>
          </cell>
          <cell r="O7355"/>
          <cell r="T7355"/>
        </row>
        <row r="7356">
          <cell r="A7356" t="str">
            <v>DECIBEL</v>
          </cell>
          <cell r="B7356" t="str">
            <v>DB848H80E-XY</v>
          </cell>
          <cell r="O7356">
            <v>4.714876061</v>
          </cell>
          <cell r="T7356">
            <v>5.6270773189999996</v>
          </cell>
        </row>
        <row r="7357">
          <cell r="A7357" t="str">
            <v>DECIBEL</v>
          </cell>
          <cell r="B7357" t="str">
            <v>DB848H80E-XY-860H_0</v>
          </cell>
          <cell r="O7357">
            <v>4.714876061</v>
          </cell>
          <cell r="T7357">
            <v>5.6270773189999996</v>
          </cell>
        </row>
        <row r="7358">
          <cell r="A7358" t="str">
            <v>DECIBEL</v>
          </cell>
          <cell r="B7358" t="str">
            <v>DB848H90</v>
          </cell>
          <cell r="O7358">
            <v>4.714876061</v>
          </cell>
          <cell r="T7358">
            <v>5.6270773189999996</v>
          </cell>
        </row>
        <row r="7359">
          <cell r="A7359" t="str">
            <v>DECIBEL</v>
          </cell>
          <cell r="B7359" t="str">
            <v>DB848H90-SX</v>
          </cell>
          <cell r="O7359">
            <v>4.714876061</v>
          </cell>
          <cell r="T7359">
            <v>5.6270773189999996</v>
          </cell>
        </row>
        <row r="7360">
          <cell r="A7360" t="str">
            <v>DECIBEL</v>
          </cell>
          <cell r="B7360" t="str">
            <v>DB848H90-XY</v>
          </cell>
          <cell r="O7360">
            <v>4.714876061</v>
          </cell>
          <cell r="T7360">
            <v>5.6270773189999996</v>
          </cell>
        </row>
        <row r="7361">
          <cell r="A7361" t="str">
            <v>DECIBEL</v>
          </cell>
          <cell r="B7361" t="str">
            <v>DB848H90E</v>
          </cell>
          <cell r="O7361">
            <v>4.714876061</v>
          </cell>
          <cell r="T7361">
            <v>5.6270773189999996</v>
          </cell>
        </row>
        <row r="7362">
          <cell r="A7362" t="str">
            <v>DECIBEL</v>
          </cell>
          <cell r="B7362" t="str">
            <v>DB848H90E-SX</v>
          </cell>
          <cell r="O7362">
            <v>4.714876061</v>
          </cell>
          <cell r="T7362">
            <v>5.6270773189999996</v>
          </cell>
        </row>
        <row r="7363">
          <cell r="A7363" t="str">
            <v>DECIBEL</v>
          </cell>
          <cell r="B7363" t="str">
            <v>DB848H90E-XY</v>
          </cell>
          <cell r="O7363">
            <v>4.714876061</v>
          </cell>
          <cell r="T7363">
            <v>5.6270773189999996</v>
          </cell>
        </row>
        <row r="7364">
          <cell r="A7364" t="str">
            <v>DECIBEL</v>
          </cell>
          <cell r="B7364" t="str">
            <v>DB84H60-X</v>
          </cell>
          <cell r="O7364"/>
          <cell r="T7364"/>
        </row>
        <row r="7365">
          <cell r="A7365" t="str">
            <v>DECIBEL</v>
          </cell>
          <cell r="B7365" t="str">
            <v>DB854</v>
          </cell>
          <cell r="O7365"/>
          <cell r="T7365"/>
        </row>
        <row r="7366">
          <cell r="A7366" t="str">
            <v>DECIBEL</v>
          </cell>
          <cell r="B7366" t="str">
            <v>DB854DD90-SX</v>
          </cell>
          <cell r="O7366">
            <v>5.8657506889999995</v>
          </cell>
          <cell r="T7366">
            <v>2.201705376</v>
          </cell>
        </row>
        <row r="7367">
          <cell r="A7367" t="str">
            <v>DECIBEL</v>
          </cell>
          <cell r="B7367" t="str">
            <v>DB854DG45ASX</v>
          </cell>
          <cell r="O7367"/>
          <cell r="T7367"/>
        </row>
        <row r="7368">
          <cell r="A7368" t="str">
            <v>DECIBEL</v>
          </cell>
          <cell r="B7368" t="str">
            <v>DB854DG65ESX</v>
          </cell>
          <cell r="O7368">
            <v>5.4438753858024693</v>
          </cell>
          <cell r="T7368">
            <v>2.45113955970016</v>
          </cell>
        </row>
        <row r="7369">
          <cell r="A7369" t="str">
            <v>DECIBEL</v>
          </cell>
          <cell r="B7369" t="str">
            <v>DB854DG85ESX</v>
          </cell>
          <cell r="O7369">
            <v>5.8657506889999995</v>
          </cell>
          <cell r="T7369">
            <v>2.201705376</v>
          </cell>
        </row>
        <row r="7370">
          <cell r="A7370" t="str">
            <v>DECIBEL</v>
          </cell>
          <cell r="B7370" t="str">
            <v>DB854DG90ESX</v>
          </cell>
          <cell r="O7370">
            <v>5.4306775102823091</v>
          </cell>
          <cell r="T7370">
            <v>2.9286598375586297</v>
          </cell>
        </row>
        <row r="7371">
          <cell r="A7371" t="str">
            <v>DECIBEL</v>
          </cell>
          <cell r="B7371" t="str">
            <v>DB854H</v>
          </cell>
          <cell r="O7371"/>
          <cell r="T7371"/>
        </row>
        <row r="7372">
          <cell r="A7372" t="str">
            <v>DECIBEL</v>
          </cell>
          <cell r="B7372" t="str">
            <v>DB854H90-SX</v>
          </cell>
          <cell r="O7372"/>
          <cell r="T7372"/>
        </row>
        <row r="7373">
          <cell r="A7373" t="str">
            <v>DECIBEL</v>
          </cell>
          <cell r="B7373" t="str">
            <v>DB854H90E-XY</v>
          </cell>
          <cell r="O7373"/>
          <cell r="T7373"/>
        </row>
        <row r="7374">
          <cell r="A7374" t="str">
            <v>DECIBEL</v>
          </cell>
          <cell r="B7374" t="str">
            <v>DB854HV90</v>
          </cell>
          <cell r="O7374"/>
          <cell r="T7374"/>
        </row>
        <row r="7375">
          <cell r="A7375" t="str">
            <v>DECIBEL</v>
          </cell>
          <cell r="B7375" t="str">
            <v>DB854HV90-SX</v>
          </cell>
          <cell r="O7375"/>
          <cell r="T7375"/>
        </row>
        <row r="7376">
          <cell r="A7376" t="str">
            <v>DECIBEL</v>
          </cell>
          <cell r="B7376" t="str">
            <v>DB854HV90-SY</v>
          </cell>
          <cell r="O7376"/>
          <cell r="T7376"/>
        </row>
        <row r="7377">
          <cell r="A7377" t="str">
            <v>DECIBEL</v>
          </cell>
          <cell r="B7377" t="str">
            <v>DB854HV90DEX</v>
          </cell>
          <cell r="O7377"/>
          <cell r="T7377"/>
        </row>
        <row r="7378">
          <cell r="A7378" t="str">
            <v>DECIBEL</v>
          </cell>
          <cell r="B7378" t="str">
            <v>DB854HV90ESX</v>
          </cell>
          <cell r="O7378"/>
          <cell r="T7378"/>
        </row>
        <row r="7379">
          <cell r="A7379" t="str">
            <v>DECIBEL</v>
          </cell>
          <cell r="B7379" t="str">
            <v>DB854HVH110DSX</v>
          </cell>
          <cell r="O7379"/>
          <cell r="T7379"/>
        </row>
        <row r="7380">
          <cell r="A7380" t="str">
            <v>DECIBEL</v>
          </cell>
          <cell r="B7380" t="str">
            <v>DB854HVH90D</v>
          </cell>
          <cell r="O7380"/>
          <cell r="T7380"/>
        </row>
        <row r="7381">
          <cell r="A7381" t="str">
            <v>DECIBEL</v>
          </cell>
          <cell r="B7381" t="str">
            <v>DB854HVH90D-SX</v>
          </cell>
          <cell r="O7381">
            <v>19.078071952160489</v>
          </cell>
          <cell r="T7381">
            <v>4.7268034500501193</v>
          </cell>
        </row>
        <row r="7382">
          <cell r="A7382" t="str">
            <v>DECIBEL</v>
          </cell>
          <cell r="B7382" t="str">
            <v>DB854HVH90DESX</v>
          </cell>
          <cell r="O7382">
            <v>19.078071952160489</v>
          </cell>
          <cell r="T7382">
            <v>4.7268034500501193</v>
          </cell>
        </row>
        <row r="7383">
          <cell r="A7383" t="str">
            <v>DECIBEL</v>
          </cell>
          <cell r="B7383" t="str">
            <v>DB854VH90D-SX</v>
          </cell>
          <cell r="O7383"/>
          <cell r="T7383"/>
        </row>
        <row r="7384">
          <cell r="A7384" t="str">
            <v>DECIBEL</v>
          </cell>
          <cell r="B7384" t="str">
            <v>DB855DD65ESX</v>
          </cell>
          <cell r="O7384">
            <v>6.8754977942376794</v>
          </cell>
          <cell r="T7384">
            <v>3.2419738809063996</v>
          </cell>
        </row>
        <row r="7385">
          <cell r="A7385" t="str">
            <v>DECIBEL</v>
          </cell>
          <cell r="B7385" t="str">
            <v>DB855DD90-SX</v>
          </cell>
          <cell r="O7385">
            <v>6.8754977942376794</v>
          </cell>
          <cell r="T7385">
            <v>3.2419738809063996</v>
          </cell>
        </row>
        <row r="7386">
          <cell r="A7386" t="str">
            <v>DECIBEL</v>
          </cell>
          <cell r="B7386" t="str">
            <v>DB855DD90ESX</v>
          </cell>
          <cell r="O7386">
            <v>6.8754977942376794</v>
          </cell>
          <cell r="T7386">
            <v>3.2419738809063996</v>
          </cell>
        </row>
        <row r="7387">
          <cell r="A7387" t="str">
            <v>DECIBEL</v>
          </cell>
          <cell r="B7387" t="str">
            <v>DB855DDH90E-SX</v>
          </cell>
          <cell r="O7387">
            <v>6.8754977942376794</v>
          </cell>
          <cell r="T7387">
            <v>3.2419738809063996</v>
          </cell>
        </row>
        <row r="7388">
          <cell r="A7388" t="str">
            <v>DECIBEL</v>
          </cell>
          <cell r="B7388" t="str">
            <v>DB856DG65ESX</v>
          </cell>
          <cell r="O7388">
            <v>8.677521393000001</v>
          </cell>
          <cell r="T7388">
            <v>3.3167969429999999</v>
          </cell>
        </row>
        <row r="7389">
          <cell r="A7389" t="str">
            <v>DECIBEL</v>
          </cell>
          <cell r="B7389" t="str">
            <v>DB856DG65EXY</v>
          </cell>
          <cell r="O7389"/>
          <cell r="T7389"/>
        </row>
        <row r="7390">
          <cell r="A7390" t="str">
            <v>DECIBEL</v>
          </cell>
          <cell r="B7390" t="str">
            <v>DB856DG90ESX</v>
          </cell>
          <cell r="O7390">
            <v>8.5116197358547687</v>
          </cell>
          <cell r="T7390">
            <v>4.6029739837440493</v>
          </cell>
        </row>
        <row r="7391">
          <cell r="A7391" t="str">
            <v>DECIBEL</v>
          </cell>
          <cell r="B7391" t="str">
            <v>DB858</v>
          </cell>
          <cell r="O7391"/>
          <cell r="T7391"/>
        </row>
        <row r="7392">
          <cell r="A7392" t="str">
            <v>DECIBEL</v>
          </cell>
          <cell r="B7392" t="str">
            <v>DB858DDH65E-SX</v>
          </cell>
          <cell r="O7392"/>
          <cell r="T7392"/>
        </row>
        <row r="7393">
          <cell r="A7393" t="str">
            <v>DECIBEL</v>
          </cell>
          <cell r="B7393" t="str">
            <v>DB858DDH90E-SX</v>
          </cell>
          <cell r="O7393">
            <v>11.259370429346689</v>
          </cell>
          <cell r="T7393">
            <v>5.3194987085731391</v>
          </cell>
        </row>
        <row r="7394">
          <cell r="A7394" t="str">
            <v>DECIBEL</v>
          </cell>
          <cell r="B7394" t="str">
            <v>DB858DG65ESX</v>
          </cell>
          <cell r="O7394">
            <v>11.259370429346689</v>
          </cell>
          <cell r="T7394">
            <v>5.3194987085731391</v>
          </cell>
        </row>
        <row r="7395">
          <cell r="A7395" t="str">
            <v>DECIBEL</v>
          </cell>
          <cell r="B7395" t="str">
            <v>DB858DG85ESX</v>
          </cell>
          <cell r="O7395">
            <v>11.18565074</v>
          </cell>
          <cell r="T7395">
            <v>6.7353053039999988</v>
          </cell>
        </row>
        <row r="7396">
          <cell r="A7396" t="str">
            <v>DECIBEL</v>
          </cell>
          <cell r="B7396" t="str">
            <v>DB858DG90ESX</v>
          </cell>
          <cell r="O7396">
            <v>11.334077151036698</v>
          </cell>
          <cell r="T7396">
            <v>6.1360988734140092</v>
          </cell>
        </row>
        <row r="7397">
          <cell r="A7397" t="str">
            <v>DECIBEL</v>
          </cell>
          <cell r="B7397" t="str">
            <v>DB858H90</v>
          </cell>
          <cell r="O7397"/>
          <cell r="T7397"/>
        </row>
        <row r="7398">
          <cell r="A7398" t="str">
            <v>DECIBEL</v>
          </cell>
          <cell r="B7398" t="str">
            <v>DB858H90-SX</v>
          </cell>
          <cell r="O7398">
            <v>19.078071952160489</v>
          </cell>
          <cell r="T7398">
            <v>4.7268034500501193</v>
          </cell>
        </row>
        <row r="7399">
          <cell r="A7399" t="str">
            <v>DECIBEL</v>
          </cell>
          <cell r="B7399" t="str">
            <v>DB858HV90-SX</v>
          </cell>
          <cell r="O7399"/>
          <cell r="T7399"/>
        </row>
        <row r="7400">
          <cell r="A7400" t="str">
            <v>DECIBEL</v>
          </cell>
          <cell r="B7400" t="str">
            <v>DB858HV90ESX</v>
          </cell>
          <cell r="O7400"/>
          <cell r="T7400"/>
        </row>
        <row r="7401">
          <cell r="A7401" t="str">
            <v>DECIBEL</v>
          </cell>
          <cell r="B7401" t="str">
            <v>DB860</v>
          </cell>
          <cell r="O7401"/>
          <cell r="T7401"/>
        </row>
        <row r="7402">
          <cell r="A7402" t="str">
            <v>DECIBEL</v>
          </cell>
          <cell r="B7402" t="str">
            <v>DB864H90E-SX</v>
          </cell>
          <cell r="O7402"/>
          <cell r="T7402"/>
        </row>
        <row r="7403">
          <cell r="A7403" t="str">
            <v>DECIBEL</v>
          </cell>
          <cell r="B7403" t="str">
            <v>DB871H105-SX</v>
          </cell>
          <cell r="O7403">
            <v>1.4176912210000001</v>
          </cell>
          <cell r="T7403">
            <v>0.42524844000000001</v>
          </cell>
        </row>
        <row r="7404">
          <cell r="A7404" t="str">
            <v>DECIBEL</v>
          </cell>
          <cell r="B7404" t="str">
            <v>DB871H105-SY</v>
          </cell>
          <cell r="O7404">
            <v>1.4176912210000001</v>
          </cell>
          <cell r="T7404">
            <v>0.42524844000000001</v>
          </cell>
        </row>
        <row r="7405">
          <cell r="A7405" t="str">
            <v>DECIBEL</v>
          </cell>
          <cell r="B7405" t="str">
            <v>DB871H105-X</v>
          </cell>
          <cell r="O7405">
            <v>1.4176912210000001</v>
          </cell>
          <cell r="T7405">
            <v>0.42524844000000001</v>
          </cell>
        </row>
        <row r="7406">
          <cell r="A7406" t="str">
            <v>DECIBEL</v>
          </cell>
          <cell r="B7406" t="str">
            <v>DB871H105-XT</v>
          </cell>
          <cell r="O7406">
            <v>1.4176912210000001</v>
          </cell>
          <cell r="T7406">
            <v>0.42524844000000001</v>
          </cell>
        </row>
        <row r="7407">
          <cell r="A7407" t="str">
            <v>DECIBEL</v>
          </cell>
          <cell r="B7407" t="str">
            <v>DB871H105-Y</v>
          </cell>
          <cell r="O7407">
            <v>1.4176912210000001</v>
          </cell>
          <cell r="T7407">
            <v>0.42524844000000001</v>
          </cell>
        </row>
        <row r="7408">
          <cell r="A7408" t="str">
            <v>DECIBEL</v>
          </cell>
          <cell r="B7408" t="str">
            <v>DB871H105ESX</v>
          </cell>
          <cell r="O7408">
            <v>1.4176912210000001</v>
          </cell>
          <cell r="T7408">
            <v>0.42524844000000001</v>
          </cell>
        </row>
        <row r="7409">
          <cell r="A7409" t="str">
            <v>DECIBEL</v>
          </cell>
          <cell r="B7409" t="str">
            <v>DB871H120-SX</v>
          </cell>
          <cell r="O7409">
            <v>1.4176912210000001</v>
          </cell>
          <cell r="T7409">
            <v>0.42524844000000001</v>
          </cell>
        </row>
        <row r="7410">
          <cell r="A7410" t="str">
            <v>DECIBEL</v>
          </cell>
          <cell r="B7410" t="str">
            <v>DB871H120-SY</v>
          </cell>
          <cell r="O7410">
            <v>1.4176912210000001</v>
          </cell>
          <cell r="T7410">
            <v>0.42524844000000001</v>
          </cell>
        </row>
        <row r="7411">
          <cell r="A7411" t="str">
            <v>DECIBEL</v>
          </cell>
          <cell r="B7411" t="str">
            <v>DB871H120-X</v>
          </cell>
          <cell r="O7411">
            <v>1.4176912210000001</v>
          </cell>
          <cell r="T7411">
            <v>0.42524844000000001</v>
          </cell>
        </row>
        <row r="7412">
          <cell r="A7412" t="str">
            <v>DECIBEL</v>
          </cell>
          <cell r="B7412" t="str">
            <v>DB871H120-XT</v>
          </cell>
          <cell r="O7412">
            <v>1.4176912210000001</v>
          </cell>
          <cell r="T7412">
            <v>0.42524844000000001</v>
          </cell>
        </row>
        <row r="7413">
          <cell r="A7413" t="str">
            <v>DECIBEL</v>
          </cell>
          <cell r="B7413" t="str">
            <v>DB871H120-Y</v>
          </cell>
          <cell r="O7413">
            <v>1.4176912210000001</v>
          </cell>
          <cell r="T7413">
            <v>0.42524844000000001</v>
          </cell>
        </row>
        <row r="7414">
          <cell r="A7414" t="str">
            <v>DECIBEL</v>
          </cell>
          <cell r="B7414" t="str">
            <v>DB871H83-SX</v>
          </cell>
          <cell r="O7414">
            <v>1.4176912210000001</v>
          </cell>
          <cell r="T7414">
            <v>0.42524844000000001</v>
          </cell>
        </row>
        <row r="7415">
          <cell r="A7415" t="str">
            <v>DECIBEL</v>
          </cell>
          <cell r="B7415" t="str">
            <v>DB871H83-SY</v>
          </cell>
          <cell r="O7415">
            <v>1.4176912210000001</v>
          </cell>
          <cell r="T7415">
            <v>0.42524844000000001</v>
          </cell>
        </row>
        <row r="7416">
          <cell r="A7416" t="str">
            <v>DECIBEL</v>
          </cell>
          <cell r="B7416" t="str">
            <v>DB871H83-X</v>
          </cell>
          <cell r="O7416">
            <v>1.4176912210000001</v>
          </cell>
          <cell r="T7416">
            <v>0.42524844000000001</v>
          </cell>
        </row>
        <row r="7417">
          <cell r="A7417" t="str">
            <v>DECIBEL</v>
          </cell>
          <cell r="B7417" t="str">
            <v>DB871H83-XT</v>
          </cell>
          <cell r="O7417">
            <v>1.4176912210000001</v>
          </cell>
          <cell r="T7417">
            <v>0.42524844000000001</v>
          </cell>
        </row>
        <row r="7418">
          <cell r="A7418" t="str">
            <v>DECIBEL</v>
          </cell>
          <cell r="B7418" t="str">
            <v>DB871H83-Y</v>
          </cell>
          <cell r="O7418">
            <v>1.4176912210000001</v>
          </cell>
          <cell r="T7418">
            <v>0.42524844000000001</v>
          </cell>
        </row>
        <row r="7419">
          <cell r="A7419" t="str">
            <v>DECIBEL</v>
          </cell>
          <cell r="B7419" t="str">
            <v>DB872G45A-XY</v>
          </cell>
          <cell r="O7419">
            <v>2.6128996614763</v>
          </cell>
          <cell r="T7419">
            <v>0.93486845997551804</v>
          </cell>
        </row>
        <row r="7420">
          <cell r="A7420" t="str">
            <v>DECIBEL</v>
          </cell>
          <cell r="B7420" t="str">
            <v>DB872G60A-XY</v>
          </cell>
          <cell r="O7420"/>
          <cell r="T7420"/>
        </row>
        <row r="7421">
          <cell r="A7421" t="str">
            <v>DECIBEL</v>
          </cell>
          <cell r="B7421" t="str">
            <v>DB872H</v>
          </cell>
          <cell r="O7421">
            <v>2.685695494</v>
          </cell>
          <cell r="T7421">
            <v>0.938055007</v>
          </cell>
        </row>
        <row r="7422">
          <cell r="A7422" t="str">
            <v>DECIBEL</v>
          </cell>
          <cell r="B7422" t="str">
            <v>DB872H105</v>
          </cell>
          <cell r="O7422">
            <v>2.685695494</v>
          </cell>
          <cell r="T7422">
            <v>0.938055007</v>
          </cell>
        </row>
        <row r="7423">
          <cell r="A7423" t="str">
            <v>DECIBEL</v>
          </cell>
          <cell r="B7423" t="str">
            <v>DB872H105-SX</v>
          </cell>
          <cell r="O7423">
            <v>2.685695494</v>
          </cell>
          <cell r="T7423">
            <v>0.938055007</v>
          </cell>
        </row>
        <row r="7424">
          <cell r="A7424" t="str">
            <v>DECIBEL</v>
          </cell>
          <cell r="B7424" t="str">
            <v>DB872H105-X</v>
          </cell>
          <cell r="O7424">
            <v>2.685695494</v>
          </cell>
          <cell r="T7424">
            <v>0.938055007</v>
          </cell>
        </row>
        <row r="7425">
          <cell r="A7425" t="str">
            <v>DECIBEL</v>
          </cell>
          <cell r="B7425" t="str">
            <v>DB872H105-XT</v>
          </cell>
          <cell r="O7425">
            <v>2.685695494</v>
          </cell>
          <cell r="T7425">
            <v>0.938055007</v>
          </cell>
        </row>
        <row r="7426">
          <cell r="A7426" t="str">
            <v>DECIBEL</v>
          </cell>
          <cell r="B7426" t="str">
            <v>DB872H105E-Y</v>
          </cell>
          <cell r="O7426">
            <v>2.685695494</v>
          </cell>
          <cell r="T7426">
            <v>0.938055007</v>
          </cell>
        </row>
        <row r="7427">
          <cell r="A7427" t="str">
            <v>DECIBEL</v>
          </cell>
          <cell r="B7427" t="str">
            <v>DB872H105EXT</v>
          </cell>
          <cell r="O7427">
            <v>2.685695494</v>
          </cell>
          <cell r="T7427">
            <v>0.938055007</v>
          </cell>
        </row>
        <row r="7428">
          <cell r="A7428" t="str">
            <v>DECIBEL</v>
          </cell>
          <cell r="B7428" t="str">
            <v>DB872H105F-X</v>
          </cell>
          <cell r="O7428">
            <v>2.685695494</v>
          </cell>
          <cell r="T7428">
            <v>0.938055007</v>
          </cell>
        </row>
        <row r="7429">
          <cell r="A7429" t="str">
            <v>DECIBEL</v>
          </cell>
          <cell r="B7429" t="str">
            <v>DB872H105TL-X</v>
          </cell>
          <cell r="O7429">
            <v>2.685695494</v>
          </cell>
          <cell r="T7429">
            <v>0.938055007</v>
          </cell>
        </row>
        <row r="7430">
          <cell r="A7430" t="str">
            <v>DECIBEL</v>
          </cell>
          <cell r="B7430" t="str">
            <v>DB872H120</v>
          </cell>
          <cell r="O7430">
            <v>2.685695494</v>
          </cell>
          <cell r="T7430">
            <v>0.938055007</v>
          </cell>
        </row>
        <row r="7431">
          <cell r="A7431" t="str">
            <v>DECIBEL</v>
          </cell>
          <cell r="B7431" t="str">
            <v>DB872H120-X</v>
          </cell>
          <cell r="O7431">
            <v>2.685695494</v>
          </cell>
          <cell r="T7431">
            <v>0.938055007</v>
          </cell>
        </row>
        <row r="7432">
          <cell r="A7432" t="str">
            <v>DECIBEL</v>
          </cell>
          <cell r="B7432" t="str">
            <v>DB872H83-X</v>
          </cell>
          <cell r="O7432">
            <v>2.685695494</v>
          </cell>
          <cell r="T7432">
            <v>0.938055007</v>
          </cell>
        </row>
        <row r="7433">
          <cell r="A7433" t="str">
            <v>DECIBEL</v>
          </cell>
          <cell r="B7433" t="str">
            <v>DB873G45E-YY</v>
          </cell>
          <cell r="O7433">
            <v>4.136241826</v>
          </cell>
          <cell r="T7433">
            <v>1.5126414399999999</v>
          </cell>
        </row>
        <row r="7434">
          <cell r="A7434" t="str">
            <v>DECIBEL</v>
          </cell>
          <cell r="B7434" t="str">
            <v>DB874</v>
          </cell>
          <cell r="O7434">
            <v>5.576490433</v>
          </cell>
          <cell r="T7434">
            <v>2.0862919340000001</v>
          </cell>
        </row>
        <row r="7435">
          <cell r="A7435" t="str">
            <v>DECIBEL</v>
          </cell>
          <cell r="B7435" t="str">
            <v>DB874G105ASX</v>
          </cell>
          <cell r="O7435"/>
          <cell r="T7435"/>
        </row>
        <row r="7436">
          <cell r="A7436" t="str">
            <v>DECIBEL</v>
          </cell>
          <cell r="B7436" t="str">
            <v>DB874G105AXY</v>
          </cell>
          <cell r="O7436">
            <v>4.0588864779999998</v>
          </cell>
          <cell r="T7436">
            <v>1.720336944</v>
          </cell>
        </row>
        <row r="7437">
          <cell r="A7437" t="str">
            <v>DECIBEL</v>
          </cell>
          <cell r="B7437" t="str">
            <v>DB874G45A-XY</v>
          </cell>
          <cell r="O7437">
            <v>5.49124225658539</v>
          </cell>
          <cell r="T7437">
            <v>2.1013308339906001</v>
          </cell>
        </row>
        <row r="7438">
          <cell r="A7438" t="str">
            <v>DECIBEL</v>
          </cell>
          <cell r="B7438" t="str">
            <v>DB874G65A-SX</v>
          </cell>
          <cell r="O7438">
            <v>5.576490433</v>
          </cell>
          <cell r="T7438">
            <v>2.0862919340000001</v>
          </cell>
        </row>
        <row r="7439">
          <cell r="A7439" t="str">
            <v>DECIBEL</v>
          </cell>
          <cell r="B7439" t="str">
            <v>DB874G65A-XY</v>
          </cell>
          <cell r="O7439">
            <v>5.576490433</v>
          </cell>
          <cell r="T7439">
            <v>2.0862919340000001</v>
          </cell>
        </row>
        <row r="7440">
          <cell r="A7440" t="str">
            <v>DECIBEL</v>
          </cell>
          <cell r="B7440" t="str">
            <v>DB874G90A-XY</v>
          </cell>
          <cell r="O7440">
            <v>4.1466169945987694</v>
          </cell>
          <cell r="T7440">
            <v>1.95662192061824</v>
          </cell>
        </row>
        <row r="7441">
          <cell r="A7441" t="str">
            <v>DECIBEL</v>
          </cell>
          <cell r="B7441" t="str">
            <v>DB874H</v>
          </cell>
          <cell r="O7441">
            <v>5.576490433</v>
          </cell>
          <cell r="T7441">
            <v>2.0862919340000001</v>
          </cell>
        </row>
        <row r="7442">
          <cell r="A7442" t="str">
            <v>DECIBEL</v>
          </cell>
          <cell r="B7442" t="str">
            <v>DB874H-X</v>
          </cell>
          <cell r="O7442">
            <v>5.576490433</v>
          </cell>
          <cell r="T7442">
            <v>2.0862919340000001</v>
          </cell>
        </row>
        <row r="7443">
          <cell r="A7443" t="str">
            <v>DECIBEL</v>
          </cell>
          <cell r="B7443" t="str">
            <v>DB874H105</v>
          </cell>
          <cell r="O7443">
            <v>5.576490433</v>
          </cell>
          <cell r="T7443">
            <v>2.0862919340000001</v>
          </cell>
        </row>
        <row r="7444">
          <cell r="A7444" t="str">
            <v>DECIBEL</v>
          </cell>
          <cell r="B7444" t="str">
            <v>DB874H105-SX</v>
          </cell>
          <cell r="O7444">
            <v>5.576490433</v>
          </cell>
          <cell r="T7444">
            <v>2.0862919340000001</v>
          </cell>
        </row>
        <row r="7445">
          <cell r="A7445" t="str">
            <v>DECIBEL</v>
          </cell>
          <cell r="B7445" t="str">
            <v>DB874H105-X</v>
          </cell>
          <cell r="O7445">
            <v>5.576490433</v>
          </cell>
          <cell r="T7445">
            <v>2.0862919340000001</v>
          </cell>
        </row>
        <row r="7446">
          <cell r="A7446" t="str">
            <v>DECIBEL</v>
          </cell>
          <cell r="B7446" t="str">
            <v>DB874H105E-X</v>
          </cell>
          <cell r="O7446">
            <v>5.576490433</v>
          </cell>
          <cell r="T7446">
            <v>2.0862919340000001</v>
          </cell>
        </row>
        <row r="7447">
          <cell r="A7447" t="str">
            <v>DECIBEL</v>
          </cell>
          <cell r="B7447" t="str">
            <v>DB874H105ESX</v>
          </cell>
          <cell r="O7447">
            <v>5.576490433</v>
          </cell>
          <cell r="T7447">
            <v>2.0862919340000001</v>
          </cell>
        </row>
        <row r="7448">
          <cell r="A7448" t="str">
            <v>DECIBEL</v>
          </cell>
          <cell r="B7448" t="str">
            <v>DB874H105F-X</v>
          </cell>
          <cell r="O7448">
            <v>5.576490433</v>
          </cell>
          <cell r="T7448">
            <v>2.0862919340000001</v>
          </cell>
        </row>
        <row r="7449">
          <cell r="A7449" t="str">
            <v>DECIBEL</v>
          </cell>
          <cell r="B7449" t="str">
            <v>DB874H120</v>
          </cell>
          <cell r="O7449">
            <v>5.576490433</v>
          </cell>
          <cell r="T7449">
            <v>2.0862919340000001</v>
          </cell>
        </row>
        <row r="7450">
          <cell r="A7450" t="str">
            <v>DECIBEL</v>
          </cell>
          <cell r="B7450" t="str">
            <v>DB874H120-SX</v>
          </cell>
          <cell r="O7450">
            <v>5.576490433</v>
          </cell>
          <cell r="T7450">
            <v>2.0862919340000001</v>
          </cell>
        </row>
        <row r="7451">
          <cell r="A7451" t="str">
            <v>DECIBEL</v>
          </cell>
          <cell r="B7451" t="str">
            <v>DB874H120-X</v>
          </cell>
          <cell r="O7451">
            <v>5.576490433</v>
          </cell>
          <cell r="T7451">
            <v>2.0862919340000001</v>
          </cell>
        </row>
        <row r="7452">
          <cell r="A7452" t="str">
            <v>DECIBEL</v>
          </cell>
          <cell r="B7452" t="str">
            <v>DB874H120ESX</v>
          </cell>
          <cell r="O7452">
            <v>5.576490433</v>
          </cell>
          <cell r="T7452">
            <v>2.0862919340000001</v>
          </cell>
        </row>
        <row r="7453">
          <cell r="A7453" t="str">
            <v>DECIBEL</v>
          </cell>
          <cell r="B7453" t="str">
            <v>DB874H120F-X</v>
          </cell>
          <cell r="O7453">
            <v>5.576490433</v>
          </cell>
          <cell r="T7453">
            <v>2.0862919340000001</v>
          </cell>
        </row>
        <row r="7454">
          <cell r="A7454" t="str">
            <v>DECIBEL</v>
          </cell>
          <cell r="B7454" t="str">
            <v>DB874H120T6-X</v>
          </cell>
          <cell r="O7454">
            <v>5.576490433</v>
          </cell>
          <cell r="T7454">
            <v>2.0862919340000001</v>
          </cell>
        </row>
        <row r="7455">
          <cell r="A7455" t="str">
            <v>DECIBEL</v>
          </cell>
          <cell r="B7455" t="str">
            <v>DB874H83-SX</v>
          </cell>
          <cell r="O7455">
            <v>5.576490433</v>
          </cell>
          <cell r="T7455">
            <v>2.0862919340000001</v>
          </cell>
        </row>
        <row r="7456">
          <cell r="A7456" t="str">
            <v>DECIBEL</v>
          </cell>
          <cell r="B7456" t="str">
            <v>DB874H83-X</v>
          </cell>
          <cell r="O7456">
            <v>5.576490433</v>
          </cell>
          <cell r="T7456">
            <v>2.0862919340000001</v>
          </cell>
        </row>
        <row r="7457">
          <cell r="A7457" t="str">
            <v>DECIBEL</v>
          </cell>
          <cell r="B7457" t="str">
            <v>DB874H83E-SX</v>
          </cell>
          <cell r="O7457">
            <v>5.576490433</v>
          </cell>
          <cell r="T7457">
            <v>2.0862919340000001</v>
          </cell>
        </row>
        <row r="7458">
          <cell r="A7458" t="str">
            <v>DECIBEL</v>
          </cell>
          <cell r="B7458" t="str">
            <v>DB874QNH120-XC</v>
          </cell>
          <cell r="O7458"/>
          <cell r="T7458"/>
        </row>
        <row r="7459">
          <cell r="A7459" t="str">
            <v>DECIBEL</v>
          </cell>
          <cell r="B7459" t="str">
            <v>DB875H105-X</v>
          </cell>
          <cell r="O7459"/>
          <cell r="T7459"/>
        </row>
        <row r="7460">
          <cell r="A7460" t="str">
            <v>DECIBEL</v>
          </cell>
          <cell r="B7460" t="str">
            <v>DB8760SC80-XC</v>
          </cell>
          <cell r="O7460"/>
          <cell r="T7460"/>
        </row>
        <row r="7461">
          <cell r="A7461" t="str">
            <v>DECIBEL</v>
          </cell>
          <cell r="B7461" t="str">
            <v>DB876G105AXY</v>
          </cell>
          <cell r="O7461">
            <v>6.38026684</v>
          </cell>
          <cell r="T7461">
            <v>3.0204005650000001</v>
          </cell>
        </row>
        <row r="7462">
          <cell r="A7462" t="str">
            <v>DECIBEL</v>
          </cell>
          <cell r="B7462" t="str">
            <v>DB876G45A-XY</v>
          </cell>
          <cell r="O7462">
            <v>8.4122168754143498</v>
          </cell>
          <cell r="T7462">
            <v>3.2876387325841598</v>
          </cell>
        </row>
        <row r="7463">
          <cell r="A7463" t="str">
            <v>DECIBEL</v>
          </cell>
          <cell r="B7463" t="str">
            <v>DB876G60A-XY</v>
          </cell>
          <cell r="O7463">
            <v>8.4122168754143498</v>
          </cell>
          <cell r="T7463">
            <v>3.2876387325841598</v>
          </cell>
        </row>
        <row r="7464">
          <cell r="A7464" t="str">
            <v>DECIBEL</v>
          </cell>
          <cell r="B7464" t="str">
            <v>DB876G65A-XY</v>
          </cell>
          <cell r="O7464">
            <v>8.4122168754143498</v>
          </cell>
          <cell r="T7464">
            <v>3.2876387325841598</v>
          </cell>
        </row>
        <row r="7465">
          <cell r="A7465" t="str">
            <v>DECIBEL</v>
          </cell>
          <cell r="B7465" t="str">
            <v>DB876G90A-XY</v>
          </cell>
          <cell r="O7465">
            <v>6.4060346260000003</v>
          </cell>
          <cell r="T7465">
            <v>2.7264315949999998</v>
          </cell>
        </row>
        <row r="7466">
          <cell r="A7466" t="str">
            <v>DECIBEL</v>
          </cell>
          <cell r="B7466" t="str">
            <v>DB876QNLH120XC</v>
          </cell>
          <cell r="O7466"/>
          <cell r="T7466"/>
        </row>
        <row r="7467">
          <cell r="A7467" t="str">
            <v>DECIBEL</v>
          </cell>
          <cell r="B7467" t="str">
            <v>DB878</v>
          </cell>
          <cell r="O7467">
            <v>11.683739039999999</v>
          </cell>
          <cell r="T7467">
            <v>4.5146201860000001</v>
          </cell>
        </row>
        <row r="7468">
          <cell r="A7468" t="str">
            <v>DECIBEL</v>
          </cell>
          <cell r="B7468" t="str">
            <v>DB878G105AXY</v>
          </cell>
          <cell r="O7468">
            <v>8.7930944150000006</v>
          </cell>
          <cell r="T7468">
            <v>3.7496389750000003</v>
          </cell>
        </row>
        <row r="7469">
          <cell r="A7469" t="str">
            <v>DECIBEL</v>
          </cell>
          <cell r="B7469" t="str">
            <v>DB878G60A-XY</v>
          </cell>
          <cell r="O7469">
            <v>11.4414503058044</v>
          </cell>
          <cell r="T7469">
            <v>4.5175055265365698</v>
          </cell>
        </row>
        <row r="7470">
          <cell r="A7470" t="str">
            <v>DECIBEL</v>
          </cell>
          <cell r="B7470" t="str">
            <v>DB878G90A-XY</v>
          </cell>
          <cell r="O7470">
            <v>8.7930944150000006</v>
          </cell>
          <cell r="T7470">
            <v>3.7496389750000003</v>
          </cell>
        </row>
        <row r="7471">
          <cell r="A7471" t="str">
            <v>DECIBEL</v>
          </cell>
          <cell r="B7471" t="str">
            <v>DB878H</v>
          </cell>
          <cell r="O7471">
            <v>11.683739039999999</v>
          </cell>
          <cell r="T7471">
            <v>4.5146201860000001</v>
          </cell>
        </row>
        <row r="7472">
          <cell r="A7472" t="str">
            <v>DECIBEL</v>
          </cell>
          <cell r="B7472" t="str">
            <v>DB878H-SX</v>
          </cell>
          <cell r="O7472">
            <v>11.683739039999999</v>
          </cell>
          <cell r="T7472">
            <v>4.5146201860000001</v>
          </cell>
        </row>
        <row r="7473">
          <cell r="A7473" t="str">
            <v>DECIBEL</v>
          </cell>
          <cell r="B7473" t="str">
            <v>DB878H105</v>
          </cell>
          <cell r="O7473">
            <v>11.683739039999999</v>
          </cell>
          <cell r="T7473">
            <v>4.5146201860000001</v>
          </cell>
        </row>
        <row r="7474">
          <cell r="A7474" t="str">
            <v>DECIBEL</v>
          </cell>
          <cell r="B7474" t="str">
            <v>DB878H105-SX</v>
          </cell>
          <cell r="O7474">
            <v>11.683739039999999</v>
          </cell>
          <cell r="T7474">
            <v>4.5146201860000001</v>
          </cell>
        </row>
        <row r="7475">
          <cell r="A7475" t="str">
            <v>DECIBEL</v>
          </cell>
          <cell r="B7475" t="str">
            <v>DB878H105-X</v>
          </cell>
          <cell r="O7475">
            <v>11.683739039999999</v>
          </cell>
          <cell r="T7475">
            <v>4.5146201860000001</v>
          </cell>
        </row>
        <row r="7476">
          <cell r="A7476" t="str">
            <v>DECIBEL</v>
          </cell>
          <cell r="B7476" t="str">
            <v>DB878H105-Y</v>
          </cell>
          <cell r="O7476">
            <v>11.683739039999999</v>
          </cell>
          <cell r="T7476">
            <v>4.5146201860000001</v>
          </cell>
        </row>
        <row r="7477">
          <cell r="A7477" t="str">
            <v>DECIBEL</v>
          </cell>
          <cell r="B7477" t="str">
            <v>DB878H105ESX</v>
          </cell>
          <cell r="O7477">
            <v>11.683739039999999</v>
          </cell>
          <cell r="T7477">
            <v>4.5146201860000001</v>
          </cell>
        </row>
        <row r="7478">
          <cell r="A7478" t="str">
            <v>DECIBEL</v>
          </cell>
          <cell r="B7478" t="str">
            <v>DB878H105EXC</v>
          </cell>
          <cell r="O7478">
            <v>11.683739039999999</v>
          </cell>
          <cell r="T7478">
            <v>4.5146201860000001</v>
          </cell>
        </row>
        <row r="7479">
          <cell r="A7479" t="str">
            <v>DECIBEL</v>
          </cell>
          <cell r="B7479" t="str">
            <v>DB878H105S-X</v>
          </cell>
          <cell r="O7479">
            <v>11.683739039999999</v>
          </cell>
          <cell r="T7479">
            <v>4.5146201860000001</v>
          </cell>
        </row>
        <row r="7480">
          <cell r="A7480" t="str">
            <v>DECIBEL</v>
          </cell>
          <cell r="B7480" t="str">
            <v>DB878H120</v>
          </cell>
          <cell r="O7480">
            <v>11.683739039999999</v>
          </cell>
          <cell r="T7480">
            <v>4.5146201860000001</v>
          </cell>
        </row>
        <row r="7481">
          <cell r="A7481" t="str">
            <v>DECIBEL</v>
          </cell>
          <cell r="B7481" t="str">
            <v>DB878H120-SX</v>
          </cell>
          <cell r="O7481">
            <v>11.683739039999999</v>
          </cell>
          <cell r="T7481">
            <v>4.5146201860000001</v>
          </cell>
        </row>
        <row r="7482">
          <cell r="A7482" t="str">
            <v>DECIBEL</v>
          </cell>
          <cell r="B7482" t="str">
            <v>DB878H120-X</v>
          </cell>
          <cell r="O7482">
            <v>11.683739039999999</v>
          </cell>
          <cell r="T7482">
            <v>4.5146201860000001</v>
          </cell>
        </row>
        <row r="7483">
          <cell r="A7483" t="str">
            <v>DECIBEL</v>
          </cell>
          <cell r="B7483" t="str">
            <v>DB878H120-Y</v>
          </cell>
          <cell r="O7483">
            <v>11.683739039999999</v>
          </cell>
          <cell r="T7483">
            <v>4.5146201860000001</v>
          </cell>
        </row>
        <row r="7484">
          <cell r="A7484" t="str">
            <v>DECIBEL</v>
          </cell>
          <cell r="B7484" t="str">
            <v>DB878H120ESX</v>
          </cell>
          <cell r="O7484">
            <v>11.683739039999999</v>
          </cell>
          <cell r="T7484">
            <v>4.5146201860000001</v>
          </cell>
        </row>
        <row r="7485">
          <cell r="A7485" t="str">
            <v>DECIBEL</v>
          </cell>
          <cell r="B7485" t="str">
            <v>DB878H120EXT</v>
          </cell>
          <cell r="O7485">
            <v>11.683739039999999</v>
          </cell>
          <cell r="T7485">
            <v>4.5146201860000001</v>
          </cell>
        </row>
        <row r="7486">
          <cell r="A7486" t="str">
            <v>DECIBEL</v>
          </cell>
          <cell r="B7486" t="str">
            <v>DB878H83</v>
          </cell>
          <cell r="O7486">
            <v>11.683739039999999</v>
          </cell>
          <cell r="T7486">
            <v>4.5146201860000001</v>
          </cell>
        </row>
        <row r="7487">
          <cell r="A7487" t="str">
            <v>DECIBEL</v>
          </cell>
          <cell r="B7487" t="str">
            <v>DB878H83-SX</v>
          </cell>
          <cell r="O7487">
            <v>11.683739039999999</v>
          </cell>
          <cell r="T7487">
            <v>4.5146201860000001</v>
          </cell>
        </row>
        <row r="7488">
          <cell r="A7488" t="str">
            <v>DECIBEL</v>
          </cell>
          <cell r="B7488" t="str">
            <v>DB878H83-X</v>
          </cell>
          <cell r="O7488">
            <v>11.683739039999999</v>
          </cell>
          <cell r="T7488">
            <v>4.5146201860000001</v>
          </cell>
        </row>
        <row r="7489">
          <cell r="A7489" t="str">
            <v>DECIBEL</v>
          </cell>
          <cell r="B7489" t="str">
            <v>DB878H83-Y</v>
          </cell>
          <cell r="O7489">
            <v>11.683739039999999</v>
          </cell>
          <cell r="T7489">
            <v>4.5146201860000001</v>
          </cell>
        </row>
        <row r="7490">
          <cell r="A7490" t="str">
            <v>DECIBEL</v>
          </cell>
          <cell r="B7490" t="str">
            <v>DB878H83E-SX</v>
          </cell>
          <cell r="O7490">
            <v>11.683739039999999</v>
          </cell>
          <cell r="T7490">
            <v>4.5146201860000001</v>
          </cell>
        </row>
        <row r="7491">
          <cell r="A7491" t="str">
            <v>DECIBEL</v>
          </cell>
          <cell r="B7491" t="str">
            <v>DB8806</v>
          </cell>
          <cell r="O7491"/>
          <cell r="T7491"/>
        </row>
        <row r="7492">
          <cell r="A7492" t="str">
            <v>DECIBEL</v>
          </cell>
          <cell r="B7492" t="str">
            <v>DB881H60-X</v>
          </cell>
          <cell r="O7492">
            <v>1.4176912210000001</v>
          </cell>
          <cell r="T7492">
            <v>0.42524844000000001</v>
          </cell>
        </row>
        <row r="7493">
          <cell r="A7493" t="str">
            <v>DECIBEL</v>
          </cell>
          <cell r="B7493" t="str">
            <v>DB881H60E-X</v>
          </cell>
          <cell r="O7493">
            <v>1.4176912210000001</v>
          </cell>
          <cell r="T7493">
            <v>0.42524844000000001</v>
          </cell>
        </row>
        <row r="7494">
          <cell r="A7494" t="str">
            <v>DECIBEL</v>
          </cell>
          <cell r="B7494" t="str">
            <v>DB882H45-SY</v>
          </cell>
          <cell r="O7494">
            <v>2.685695494</v>
          </cell>
          <cell r="T7494">
            <v>0.938055007</v>
          </cell>
        </row>
        <row r="7495">
          <cell r="A7495" t="str">
            <v>DECIBEL</v>
          </cell>
          <cell r="B7495" t="str">
            <v>DB882H60-X</v>
          </cell>
          <cell r="O7495">
            <v>2.685695494</v>
          </cell>
          <cell r="T7495">
            <v>0.938055007</v>
          </cell>
        </row>
        <row r="7496">
          <cell r="A7496" t="str">
            <v>DECIBEL</v>
          </cell>
          <cell r="B7496" t="str">
            <v>DB884H45E-XT</v>
          </cell>
          <cell r="O7496">
            <v>5.576490433</v>
          </cell>
          <cell r="T7496">
            <v>2.0862919340000001</v>
          </cell>
        </row>
        <row r="7497">
          <cell r="A7497" t="str">
            <v>DECIBEL</v>
          </cell>
          <cell r="B7497" t="str">
            <v>DB884H60</v>
          </cell>
          <cell r="O7497">
            <v>5.576490433</v>
          </cell>
          <cell r="T7497">
            <v>2.0862919340000001</v>
          </cell>
        </row>
        <row r="7498">
          <cell r="A7498" t="str">
            <v>DECIBEL</v>
          </cell>
          <cell r="B7498" t="str">
            <v>DB884H60-X</v>
          </cell>
          <cell r="O7498">
            <v>5.576490433</v>
          </cell>
          <cell r="T7498">
            <v>2.0862919340000001</v>
          </cell>
        </row>
        <row r="7499">
          <cell r="A7499" t="str">
            <v>DECIBEL</v>
          </cell>
          <cell r="B7499" t="str">
            <v>DB884H60-XT</v>
          </cell>
          <cell r="O7499">
            <v>5.576490433</v>
          </cell>
          <cell r="T7499">
            <v>2.0862919340000001</v>
          </cell>
        </row>
        <row r="7500">
          <cell r="A7500" t="str">
            <v>DECIBEL</v>
          </cell>
          <cell r="B7500" t="str">
            <v>DB886H60-X</v>
          </cell>
          <cell r="O7500"/>
          <cell r="T7500"/>
        </row>
        <row r="7501">
          <cell r="A7501" t="str">
            <v>DECIBEL</v>
          </cell>
          <cell r="B7501" t="str">
            <v>DB894H60-SX</v>
          </cell>
          <cell r="O7501"/>
          <cell r="T7501"/>
        </row>
        <row r="7502">
          <cell r="A7502" t="str">
            <v>DECIBEL</v>
          </cell>
          <cell r="B7502" t="str">
            <v>DB894H60-SY</v>
          </cell>
          <cell r="O7502"/>
          <cell r="T7502"/>
        </row>
        <row r="7503">
          <cell r="A7503" t="str">
            <v>DECIBEL</v>
          </cell>
          <cell r="B7503" t="str">
            <v>DB894H60-XY</v>
          </cell>
          <cell r="O7503"/>
          <cell r="T7503"/>
        </row>
        <row r="7504">
          <cell r="A7504" t="str">
            <v>DECIBEL</v>
          </cell>
          <cell r="B7504" t="str">
            <v>DB894H60E-SX</v>
          </cell>
          <cell r="O7504"/>
          <cell r="T7504"/>
        </row>
        <row r="7505">
          <cell r="A7505" t="str">
            <v>DECIBEL</v>
          </cell>
          <cell r="B7505" t="str">
            <v>DB898</v>
          </cell>
          <cell r="O7505"/>
          <cell r="T7505"/>
        </row>
        <row r="7506">
          <cell r="A7506" t="str">
            <v>DECIBEL</v>
          </cell>
          <cell r="B7506" t="str">
            <v>DB898H60</v>
          </cell>
          <cell r="O7506"/>
          <cell r="T7506"/>
        </row>
        <row r="7507">
          <cell r="A7507" t="str">
            <v>DECIBEL</v>
          </cell>
          <cell r="B7507" t="str">
            <v>DB898H60-SY</v>
          </cell>
          <cell r="O7507"/>
          <cell r="T7507"/>
        </row>
        <row r="7508">
          <cell r="A7508" t="str">
            <v>DECIBEL</v>
          </cell>
          <cell r="B7508" t="str">
            <v>DB898H60-X</v>
          </cell>
          <cell r="O7508"/>
          <cell r="T7508"/>
        </row>
        <row r="7509">
          <cell r="A7509" t="str">
            <v>DECIBEL</v>
          </cell>
          <cell r="B7509" t="str">
            <v>DB898H60-XY</v>
          </cell>
          <cell r="O7509"/>
          <cell r="T7509"/>
        </row>
        <row r="7510">
          <cell r="A7510" t="str">
            <v>DECIBEL</v>
          </cell>
          <cell r="B7510" t="str">
            <v>DB898H65E-SX</v>
          </cell>
          <cell r="O7510"/>
          <cell r="T7510"/>
        </row>
        <row r="7511">
          <cell r="A7511" t="str">
            <v>DECIBEL</v>
          </cell>
          <cell r="B7511" t="str">
            <v>DB898O</v>
          </cell>
          <cell r="O7511"/>
          <cell r="T7511"/>
        </row>
        <row r="7512">
          <cell r="A7512" t="str">
            <v>DECIBEL</v>
          </cell>
          <cell r="B7512" t="str">
            <v>DB909XVTE-M</v>
          </cell>
          <cell r="O7512"/>
          <cell r="T7512"/>
        </row>
        <row r="7513">
          <cell r="A7513" t="str">
            <v>DECIBEL</v>
          </cell>
          <cell r="B7513" t="str">
            <v>DB910C-M</v>
          </cell>
          <cell r="O7513"/>
          <cell r="T7513"/>
        </row>
        <row r="7514">
          <cell r="A7514" t="str">
            <v>DECIBEL</v>
          </cell>
          <cell r="B7514" t="str">
            <v>DB910CE-M</v>
          </cell>
          <cell r="O7514"/>
          <cell r="T7514"/>
        </row>
        <row r="7515">
          <cell r="A7515" t="str">
            <v>DECIBEL</v>
          </cell>
          <cell r="B7515" t="str">
            <v>DB910CN-M</v>
          </cell>
          <cell r="O7515"/>
          <cell r="T7515"/>
        </row>
        <row r="7516">
          <cell r="A7516" t="str">
            <v>DECIBEL</v>
          </cell>
          <cell r="B7516" t="str">
            <v>DB910T3CE-M</v>
          </cell>
          <cell r="O7516"/>
          <cell r="T7516"/>
        </row>
        <row r="7517">
          <cell r="A7517" t="str">
            <v>DECIBEL</v>
          </cell>
          <cell r="B7517" t="str">
            <v>DB930DD65E-M</v>
          </cell>
          <cell r="O7517">
            <v>3.6065950444903203</v>
          </cell>
          <cell r="T7517">
            <v>1.73722561493529</v>
          </cell>
        </row>
        <row r="7518">
          <cell r="A7518" t="str">
            <v>DECIBEL</v>
          </cell>
          <cell r="B7518" t="str">
            <v>DB930DD90-M</v>
          </cell>
          <cell r="O7518"/>
          <cell r="T7518"/>
        </row>
        <row r="7519">
          <cell r="A7519" t="str">
            <v>DECIBEL</v>
          </cell>
          <cell r="B7519" t="str">
            <v>DB931DG65E-M</v>
          </cell>
          <cell r="O7519">
            <v>3.1212627613383197</v>
          </cell>
          <cell r="T7519">
            <v>1.36862783754708</v>
          </cell>
        </row>
        <row r="7520">
          <cell r="A7520" t="str">
            <v>DECIBEL</v>
          </cell>
          <cell r="B7520" t="str">
            <v>DB931DG90E-M</v>
          </cell>
          <cell r="O7520"/>
          <cell r="T7520"/>
        </row>
        <row r="7521">
          <cell r="A7521" t="str">
            <v>DECIBEL</v>
          </cell>
          <cell r="B7521" t="str">
            <v>DB932DD65E-M</v>
          </cell>
          <cell r="O7521">
            <v>4.1514941776146195</v>
          </cell>
          <cell r="T7521">
            <v>1.99986380910006</v>
          </cell>
        </row>
        <row r="7522">
          <cell r="A7522" t="str">
            <v>DECIBEL</v>
          </cell>
          <cell r="B7522" t="str">
            <v>DB932DD90E-M</v>
          </cell>
          <cell r="O7522"/>
          <cell r="T7522"/>
        </row>
        <row r="7523">
          <cell r="A7523" t="str">
            <v>DECIBEL</v>
          </cell>
          <cell r="B7523" t="str">
            <v>DB932DD90T2E-M</v>
          </cell>
          <cell r="O7523"/>
          <cell r="T7523"/>
        </row>
        <row r="7524">
          <cell r="A7524" t="str">
            <v>DECIBEL</v>
          </cell>
          <cell r="B7524" t="str">
            <v>DB932DG65E-B</v>
          </cell>
          <cell r="O7524">
            <v>3.1154176570000001</v>
          </cell>
          <cell r="T7524">
            <v>1.3669302779999999</v>
          </cell>
        </row>
        <row r="7525">
          <cell r="A7525" t="str">
            <v>DECIBEL</v>
          </cell>
          <cell r="B7525" t="str">
            <v>DB932DG65E-M</v>
          </cell>
          <cell r="O7525">
            <v>3.1154176570000001</v>
          </cell>
          <cell r="T7525">
            <v>1.3669302779999999</v>
          </cell>
        </row>
        <row r="7526">
          <cell r="A7526" t="str">
            <v>DECIBEL</v>
          </cell>
          <cell r="B7526" t="str">
            <v>DB932DG90E-M</v>
          </cell>
          <cell r="O7526">
            <v>2.1310734205495798</v>
          </cell>
          <cell r="T7526">
            <v>1.0631840593389199</v>
          </cell>
        </row>
        <row r="7527">
          <cell r="A7527" t="str">
            <v>DECIBEL</v>
          </cell>
          <cell r="B7527" t="str">
            <v>DB932QDG65EM</v>
          </cell>
          <cell r="O7527"/>
          <cell r="T7527"/>
        </row>
        <row r="7528">
          <cell r="A7528" t="str">
            <v>DECIBEL</v>
          </cell>
          <cell r="B7528" t="str">
            <v>DB932QDG85EM</v>
          </cell>
          <cell r="O7528"/>
          <cell r="T7528"/>
        </row>
        <row r="7529">
          <cell r="A7529" t="str">
            <v>DECIBEL</v>
          </cell>
          <cell r="B7529" t="str">
            <v>DB932QDG90EM</v>
          </cell>
          <cell r="O7529"/>
          <cell r="T7529"/>
        </row>
        <row r="7530">
          <cell r="A7530" t="str">
            <v>DECIBEL</v>
          </cell>
          <cell r="B7530" t="str">
            <v>DB932QDG90T4EM</v>
          </cell>
          <cell r="O7530">
            <v>6.4479764845059995</v>
          </cell>
          <cell r="T7530">
            <v>1.6835465329606201</v>
          </cell>
        </row>
        <row r="7531">
          <cell r="A7531" t="str">
            <v>DECIBEL</v>
          </cell>
          <cell r="B7531" t="str">
            <v>DB93DD65E-MS</v>
          </cell>
          <cell r="O7531"/>
          <cell r="T7531"/>
        </row>
        <row r="7532">
          <cell r="A7532" t="str">
            <v>DECIBEL</v>
          </cell>
          <cell r="B7532" t="str">
            <v>DB948F65E-M</v>
          </cell>
          <cell r="O7532"/>
          <cell r="T7532"/>
        </row>
        <row r="7533">
          <cell r="A7533" t="str">
            <v>DECIBEL</v>
          </cell>
          <cell r="B7533" t="str">
            <v>DB948F65T2E-M</v>
          </cell>
          <cell r="O7533"/>
          <cell r="T7533"/>
        </row>
        <row r="7534">
          <cell r="A7534" t="str">
            <v>DECIBEL</v>
          </cell>
          <cell r="B7534" t="str">
            <v>DB948F85E-M</v>
          </cell>
          <cell r="O7534">
            <v>1.1200394008410199</v>
          </cell>
          <cell r="T7534">
            <v>2.2194443643625998</v>
          </cell>
        </row>
        <row r="7535">
          <cell r="A7535" t="str">
            <v>DECIBEL</v>
          </cell>
          <cell r="B7535" t="str">
            <v>DB948F85T2E-M</v>
          </cell>
          <cell r="O7535"/>
          <cell r="T7535"/>
        </row>
        <row r="7536">
          <cell r="A7536" t="str">
            <v>DECIBEL</v>
          </cell>
          <cell r="B7536" t="str">
            <v>DB948G40E-M</v>
          </cell>
          <cell r="O7536"/>
          <cell r="T7536"/>
        </row>
        <row r="7537">
          <cell r="A7537" t="str">
            <v>DECIBEL</v>
          </cell>
          <cell r="B7537" t="str">
            <v>DB948G65E-M</v>
          </cell>
          <cell r="O7537"/>
          <cell r="T7537"/>
        </row>
        <row r="7538">
          <cell r="A7538" t="str">
            <v>DECIBEL</v>
          </cell>
          <cell r="B7538" t="str">
            <v>DB948G85E-M</v>
          </cell>
          <cell r="O7538">
            <v>1.1291603973765398</v>
          </cell>
          <cell r="T7538">
            <v>2.2338517693675204</v>
          </cell>
        </row>
        <row r="7539">
          <cell r="A7539" t="str">
            <v>DECIBEL</v>
          </cell>
          <cell r="B7539" t="str">
            <v>DB948G85E-R</v>
          </cell>
          <cell r="O7539"/>
          <cell r="T7539"/>
        </row>
        <row r="7540">
          <cell r="A7540" t="str">
            <v>DECIBEL</v>
          </cell>
          <cell r="B7540" t="str">
            <v>DB948H90E-M</v>
          </cell>
          <cell r="O7540"/>
          <cell r="T7540"/>
        </row>
        <row r="7541">
          <cell r="A7541" t="str">
            <v>DECIBEL</v>
          </cell>
          <cell r="B7541" t="str">
            <v>DB948P65E-M</v>
          </cell>
          <cell r="O7541"/>
          <cell r="T7541"/>
        </row>
        <row r="7542">
          <cell r="A7542" t="str">
            <v>DECIBEL</v>
          </cell>
          <cell r="B7542" t="str">
            <v>DB948P65T4E-M</v>
          </cell>
          <cell r="O7542"/>
          <cell r="T7542"/>
        </row>
        <row r="7543">
          <cell r="A7543" t="str">
            <v>DECIBEL</v>
          </cell>
          <cell r="B7543" t="str">
            <v>DB948P85E-M</v>
          </cell>
          <cell r="O7543"/>
          <cell r="T7543"/>
        </row>
        <row r="7544">
          <cell r="A7544" t="str">
            <v>DECIBEL</v>
          </cell>
          <cell r="B7544" t="str">
            <v>DB950F40T2E-M</v>
          </cell>
          <cell r="O7544"/>
          <cell r="T7544"/>
        </row>
        <row r="7545">
          <cell r="A7545" t="str">
            <v>DECIBEL</v>
          </cell>
          <cell r="B7545" t="str">
            <v>DB950F65E-M</v>
          </cell>
          <cell r="O7545"/>
          <cell r="T7545"/>
        </row>
        <row r="7546">
          <cell r="A7546" t="str">
            <v>DECIBEL</v>
          </cell>
          <cell r="B7546" t="str">
            <v>DB950F65T2E-M</v>
          </cell>
          <cell r="O7546"/>
          <cell r="T7546"/>
        </row>
        <row r="7547">
          <cell r="A7547" t="str">
            <v>DECIBEL</v>
          </cell>
          <cell r="B7547" t="str">
            <v>DB950F85E-M</v>
          </cell>
          <cell r="O7547">
            <v>1.40012788323768</v>
          </cell>
          <cell r="T7547">
            <v>2.7816819146654499</v>
          </cell>
        </row>
        <row r="7548">
          <cell r="A7548" t="str">
            <v>DECIBEL</v>
          </cell>
          <cell r="B7548" t="str">
            <v>DB950F85T2E-M</v>
          </cell>
          <cell r="O7548">
            <v>1.40012788323768</v>
          </cell>
          <cell r="T7548">
            <v>2.7816819146654499</v>
          </cell>
        </row>
        <row r="7549">
          <cell r="A7549" t="str">
            <v>DECIBEL</v>
          </cell>
          <cell r="B7549" t="str">
            <v>DB950G40E-M</v>
          </cell>
          <cell r="O7549"/>
          <cell r="T7549"/>
        </row>
        <row r="7550">
          <cell r="A7550" t="str">
            <v>DECIBEL</v>
          </cell>
          <cell r="B7550" t="str">
            <v>DB950G40E-R</v>
          </cell>
          <cell r="O7550"/>
          <cell r="T7550"/>
        </row>
        <row r="7551">
          <cell r="A7551" t="str">
            <v>DECIBEL</v>
          </cell>
          <cell r="B7551" t="str">
            <v>DB950G65E-M</v>
          </cell>
          <cell r="O7551">
            <v>5.4714602623456789</v>
          </cell>
          <cell r="T7551">
            <v>3.8433717165822503</v>
          </cell>
        </row>
        <row r="7552">
          <cell r="A7552" t="str">
            <v>DECIBEL</v>
          </cell>
          <cell r="B7552" t="str">
            <v>DB950G85E-M</v>
          </cell>
          <cell r="O7552">
            <v>1.40012788323768</v>
          </cell>
          <cell r="T7552">
            <v>2.7816819146654499</v>
          </cell>
        </row>
        <row r="7553">
          <cell r="A7553" t="str">
            <v>DECIBEL</v>
          </cell>
          <cell r="B7553" t="str">
            <v>DB956G85A-M</v>
          </cell>
          <cell r="O7553"/>
          <cell r="T7553"/>
        </row>
        <row r="7554">
          <cell r="A7554" t="str">
            <v>DECIBEL</v>
          </cell>
          <cell r="B7554" t="str">
            <v>DB958DD90E-M</v>
          </cell>
          <cell r="O7554">
            <v>2.3288752390000003</v>
          </cell>
          <cell r="T7554">
            <v>1.0334841509999999</v>
          </cell>
        </row>
        <row r="7555">
          <cell r="A7555" t="str">
            <v>DECIBEL</v>
          </cell>
          <cell r="B7555" t="str">
            <v>DB958DD90T2E-M</v>
          </cell>
          <cell r="O7555">
            <v>2.3288752390000003</v>
          </cell>
          <cell r="T7555">
            <v>1.0334841509999999</v>
          </cell>
        </row>
        <row r="7556">
          <cell r="A7556" t="str">
            <v>DECIBEL</v>
          </cell>
          <cell r="B7556" t="str">
            <v>DB958DD90T5E-M</v>
          </cell>
          <cell r="O7556">
            <v>2.3288752390000003</v>
          </cell>
          <cell r="T7556">
            <v>1.0334841509999999</v>
          </cell>
        </row>
        <row r="7557">
          <cell r="A7557" t="str">
            <v>DECIBEL</v>
          </cell>
          <cell r="B7557" t="str">
            <v>DB961DD65T4E-M</v>
          </cell>
          <cell r="O7557"/>
          <cell r="T7557"/>
        </row>
        <row r="7558">
          <cell r="A7558" t="str">
            <v>DECIBEL</v>
          </cell>
          <cell r="B7558" t="str">
            <v>DB961DD90-M</v>
          </cell>
          <cell r="O7558">
            <v>3.3070302219999999</v>
          </cell>
          <cell r="T7558">
            <v>1.4685842569999998</v>
          </cell>
        </row>
        <row r="7559">
          <cell r="A7559" t="str">
            <v>DECIBEL</v>
          </cell>
          <cell r="B7559" t="str">
            <v>DB961DD90E-M</v>
          </cell>
          <cell r="O7559">
            <v>3.3070302219999999</v>
          </cell>
          <cell r="T7559">
            <v>1.4685842569999998</v>
          </cell>
        </row>
        <row r="7560">
          <cell r="A7560" t="str">
            <v>DECIBEL</v>
          </cell>
          <cell r="B7560" t="str">
            <v>DB961DD90T2E-M</v>
          </cell>
          <cell r="O7560"/>
          <cell r="T7560"/>
        </row>
        <row r="7561">
          <cell r="A7561" t="str">
            <v>DECIBEL</v>
          </cell>
          <cell r="B7561" t="str">
            <v>DB972H105R-M</v>
          </cell>
          <cell r="O7561"/>
          <cell r="T7561"/>
        </row>
        <row r="7562">
          <cell r="A7562" t="str">
            <v>DECIBEL</v>
          </cell>
          <cell r="B7562" t="str">
            <v>DB972H105S-M</v>
          </cell>
          <cell r="O7562"/>
          <cell r="T7562"/>
        </row>
        <row r="7563">
          <cell r="A7563" t="str">
            <v>DECIBEL</v>
          </cell>
          <cell r="B7563" t="str">
            <v>DB972H120A-M</v>
          </cell>
          <cell r="O7563"/>
          <cell r="T7563"/>
        </row>
        <row r="7564">
          <cell r="A7564" t="str">
            <v>DECIBEL</v>
          </cell>
          <cell r="B7564" t="str">
            <v>DB972H120B-M</v>
          </cell>
          <cell r="O7564"/>
          <cell r="T7564"/>
        </row>
        <row r="7565">
          <cell r="A7565" t="str">
            <v>DECIBEL</v>
          </cell>
          <cell r="B7565" t="str">
            <v>DB972H120E-M</v>
          </cell>
          <cell r="O7565"/>
          <cell r="T7565"/>
        </row>
        <row r="7566">
          <cell r="A7566" t="str">
            <v>DECIBEL</v>
          </cell>
          <cell r="B7566" t="str">
            <v>DB975F65E-M</v>
          </cell>
          <cell r="O7566">
            <v>2.3288752390000003</v>
          </cell>
          <cell r="T7566">
            <v>1.0334841509999999</v>
          </cell>
        </row>
        <row r="7567">
          <cell r="A7567" t="str">
            <v>DECIBEL</v>
          </cell>
          <cell r="B7567" t="str">
            <v>DB976H120T5E-M</v>
          </cell>
          <cell r="O7567">
            <v>1.99525307271417</v>
          </cell>
          <cell r="T7567">
            <v>0.96022673781649404</v>
          </cell>
        </row>
        <row r="7568">
          <cell r="A7568" t="str">
            <v>DECIBEL</v>
          </cell>
          <cell r="B7568" t="str">
            <v>DB976H90E-M</v>
          </cell>
          <cell r="O7568">
            <v>1.9246714680000001</v>
          </cell>
          <cell r="T7568">
            <v>1.129127121</v>
          </cell>
        </row>
        <row r="7569">
          <cell r="A7569" t="str">
            <v>DECIBEL</v>
          </cell>
          <cell r="B7569" t="str">
            <v>DB977H70N-S</v>
          </cell>
          <cell r="O7569">
            <v>2.0177740759999998</v>
          </cell>
          <cell r="T7569">
            <v>0.89531540099999984</v>
          </cell>
        </row>
        <row r="7570">
          <cell r="A7570" t="str">
            <v>DECIBEL</v>
          </cell>
          <cell r="B7570" t="str">
            <v>DB978F105E-M</v>
          </cell>
          <cell r="O7570">
            <v>2.6097879580000001</v>
          </cell>
          <cell r="T7570">
            <v>1.5305318959999998</v>
          </cell>
        </row>
        <row r="7571">
          <cell r="A7571" t="str">
            <v>DECIBEL</v>
          </cell>
          <cell r="B7571" t="str">
            <v>DB978F90E-M</v>
          </cell>
          <cell r="O7571">
            <v>2.6720978410433798</v>
          </cell>
          <cell r="T7571">
            <v>1.2867361319561099</v>
          </cell>
        </row>
        <row r="7572">
          <cell r="A7572" t="str">
            <v>DECIBEL</v>
          </cell>
          <cell r="B7572" t="str">
            <v>DB978G30E-M</v>
          </cell>
          <cell r="O7572"/>
          <cell r="T7572"/>
        </row>
        <row r="7573">
          <cell r="A7573" t="str">
            <v>DECIBEL</v>
          </cell>
          <cell r="B7573" t="str">
            <v>DB978G65E-M</v>
          </cell>
          <cell r="O7573">
            <v>1.52465326</v>
          </cell>
          <cell r="T7573">
            <v>0.76212535400000003</v>
          </cell>
        </row>
        <row r="7574">
          <cell r="A7574" t="str">
            <v>DECIBEL</v>
          </cell>
          <cell r="B7574" t="str">
            <v>DB978G90E-M</v>
          </cell>
          <cell r="O7574">
            <v>1.52465326</v>
          </cell>
          <cell r="T7574">
            <v>0.76212535400000003</v>
          </cell>
        </row>
        <row r="7575">
          <cell r="A7575" t="str">
            <v>DECIBEL</v>
          </cell>
          <cell r="B7575" t="str">
            <v>DB978H</v>
          </cell>
          <cell r="O7575"/>
          <cell r="T7575"/>
        </row>
        <row r="7576">
          <cell r="A7576" t="str">
            <v>DECIBEL</v>
          </cell>
          <cell r="B7576" t="str">
            <v>DB978H105-M</v>
          </cell>
          <cell r="O7576">
            <v>2.6720978410433798</v>
          </cell>
          <cell r="T7576">
            <v>1.2867361319561099</v>
          </cell>
        </row>
        <row r="7577">
          <cell r="A7577" t="str">
            <v>DECIBEL</v>
          </cell>
          <cell r="B7577" t="str">
            <v>DB978H105B-M</v>
          </cell>
          <cell r="O7577">
            <v>2.6720978410433798</v>
          </cell>
          <cell r="T7577">
            <v>1.2867361319561099</v>
          </cell>
        </row>
        <row r="7578">
          <cell r="A7578" t="str">
            <v>DECIBEL</v>
          </cell>
          <cell r="B7578" t="str">
            <v>DB978H105E-M</v>
          </cell>
          <cell r="O7578">
            <v>2.6720978410433798</v>
          </cell>
          <cell r="T7578">
            <v>1.2867361319561099</v>
          </cell>
        </row>
        <row r="7579">
          <cell r="A7579" t="str">
            <v>DECIBEL</v>
          </cell>
          <cell r="B7579" t="str">
            <v>DB978H105T2E-M</v>
          </cell>
          <cell r="O7579"/>
          <cell r="T7579"/>
        </row>
        <row r="7580">
          <cell r="A7580" t="str">
            <v>DECIBEL</v>
          </cell>
          <cell r="B7580" t="str">
            <v>DB978H120A-M</v>
          </cell>
          <cell r="O7580">
            <v>2.6720978410433798</v>
          </cell>
          <cell r="T7580">
            <v>1.2867361319561099</v>
          </cell>
        </row>
        <row r="7581">
          <cell r="A7581" t="str">
            <v>DECIBEL</v>
          </cell>
          <cell r="B7581" t="str">
            <v>DB978H120E-M</v>
          </cell>
          <cell r="O7581">
            <v>2.6720978410433798</v>
          </cell>
          <cell r="T7581">
            <v>1.2867361319561099</v>
          </cell>
        </row>
        <row r="7582">
          <cell r="A7582" t="str">
            <v>DECIBEL</v>
          </cell>
          <cell r="B7582" t="str">
            <v>DB978H30E-M</v>
          </cell>
          <cell r="O7582"/>
          <cell r="T7582"/>
        </row>
        <row r="7583">
          <cell r="A7583" t="str">
            <v>DECIBEL</v>
          </cell>
          <cell r="B7583" t="str">
            <v>DB978H65A-M</v>
          </cell>
          <cell r="O7583">
            <v>2.3288752390000003</v>
          </cell>
          <cell r="T7583">
            <v>1.0334841509999999</v>
          </cell>
        </row>
        <row r="7584">
          <cell r="A7584" t="str">
            <v>DECIBEL</v>
          </cell>
          <cell r="B7584" t="str">
            <v>DB978H65B-M</v>
          </cell>
          <cell r="O7584">
            <v>2.3288752390000003</v>
          </cell>
          <cell r="T7584">
            <v>1.0334841509999999</v>
          </cell>
        </row>
        <row r="7585">
          <cell r="A7585" t="str">
            <v>DECIBEL</v>
          </cell>
          <cell r="B7585" t="str">
            <v>DB978H65E-M</v>
          </cell>
          <cell r="O7585">
            <v>2.3288752390000003</v>
          </cell>
          <cell r="T7585">
            <v>1.0334841509999999</v>
          </cell>
        </row>
        <row r="7586">
          <cell r="A7586" t="str">
            <v>DECIBEL</v>
          </cell>
          <cell r="B7586" t="str">
            <v>DB978H65N-M</v>
          </cell>
          <cell r="O7586">
            <v>2.3288752390000003</v>
          </cell>
          <cell r="T7586">
            <v>1.0334841509999999</v>
          </cell>
        </row>
        <row r="7587">
          <cell r="A7587" t="str">
            <v>DECIBEL</v>
          </cell>
          <cell r="B7587" t="str">
            <v>DB978H65R-M</v>
          </cell>
          <cell r="O7587">
            <v>2.3288752390000003</v>
          </cell>
          <cell r="T7587">
            <v>1.0334841509999999</v>
          </cell>
        </row>
        <row r="7588">
          <cell r="A7588" t="str">
            <v>DECIBEL</v>
          </cell>
          <cell r="B7588" t="str">
            <v>DB978H65S-M</v>
          </cell>
          <cell r="O7588">
            <v>2.3288752390000003</v>
          </cell>
          <cell r="T7588">
            <v>1.0334841509999999</v>
          </cell>
        </row>
        <row r="7589">
          <cell r="A7589" t="str">
            <v>DECIBEL</v>
          </cell>
          <cell r="B7589" t="str">
            <v>DB978H65T2E-M</v>
          </cell>
          <cell r="O7589">
            <v>2.6720978410433798</v>
          </cell>
          <cell r="T7589">
            <v>1.2867361319561099</v>
          </cell>
        </row>
        <row r="7590">
          <cell r="A7590" t="str">
            <v>DECIBEL</v>
          </cell>
          <cell r="B7590" t="str">
            <v>DB978H65T7E-M</v>
          </cell>
          <cell r="O7590">
            <v>2.6720978410433798</v>
          </cell>
          <cell r="T7590">
            <v>1.2867361319561099</v>
          </cell>
        </row>
        <row r="7591">
          <cell r="A7591" t="str">
            <v>DECIBEL</v>
          </cell>
          <cell r="B7591" t="str">
            <v>DB978H90E-M</v>
          </cell>
          <cell r="O7591"/>
          <cell r="T7591"/>
        </row>
        <row r="7592">
          <cell r="A7592" t="str">
            <v>DECIBEL</v>
          </cell>
          <cell r="B7592" t="str">
            <v>DB978H90T2E-M</v>
          </cell>
          <cell r="O7592">
            <v>2.6720978410433798</v>
          </cell>
          <cell r="T7592">
            <v>1.2867361319561099</v>
          </cell>
        </row>
        <row r="7593">
          <cell r="A7593" t="str">
            <v>DECIBEL</v>
          </cell>
          <cell r="B7593" t="str">
            <v>DB978H90T5E-M</v>
          </cell>
          <cell r="O7593"/>
          <cell r="T7593"/>
        </row>
        <row r="7594">
          <cell r="A7594" t="str">
            <v>DECIBEL</v>
          </cell>
          <cell r="B7594" t="str">
            <v>DB978H90T7E-M</v>
          </cell>
          <cell r="O7594">
            <v>2.3288752390000003</v>
          </cell>
          <cell r="T7594">
            <v>1.0334841509999999</v>
          </cell>
        </row>
        <row r="7595">
          <cell r="A7595" t="str">
            <v>DECIBEL</v>
          </cell>
          <cell r="B7595" t="str">
            <v>DB978HG65E-R</v>
          </cell>
          <cell r="O7595">
            <v>1.99525307271417</v>
          </cell>
          <cell r="T7595">
            <v>0.96022673781649404</v>
          </cell>
        </row>
        <row r="7596">
          <cell r="A7596" t="str">
            <v>DECIBEL</v>
          </cell>
          <cell r="B7596" t="str">
            <v>DB979H65E-M</v>
          </cell>
          <cell r="O7596">
            <v>2.9424451279999997</v>
          </cell>
          <cell r="T7596">
            <v>1.3065802339999999</v>
          </cell>
        </row>
        <row r="7597">
          <cell r="A7597" t="str">
            <v>DECIBEL</v>
          </cell>
          <cell r="B7597" t="str">
            <v>DB979H90E-M</v>
          </cell>
          <cell r="O7597">
            <v>2.9424451279999997</v>
          </cell>
          <cell r="T7597">
            <v>1.3065802339999999</v>
          </cell>
        </row>
        <row r="7598">
          <cell r="A7598" t="str">
            <v>DECIBEL</v>
          </cell>
          <cell r="B7598" t="str">
            <v>DB979H90T2E-M</v>
          </cell>
          <cell r="O7598">
            <v>2.9424451279999997</v>
          </cell>
          <cell r="T7598">
            <v>1.3065802339999999</v>
          </cell>
        </row>
        <row r="7599">
          <cell r="A7599" t="str">
            <v>DECIBEL</v>
          </cell>
          <cell r="B7599" t="str">
            <v>DB980</v>
          </cell>
          <cell r="O7599"/>
          <cell r="T7599"/>
        </row>
        <row r="7600">
          <cell r="A7600" t="str">
            <v>DECIBEL</v>
          </cell>
          <cell r="B7600" t="str">
            <v>DB980F65E-M</v>
          </cell>
          <cell r="O7600">
            <v>3.4383298075239104</v>
          </cell>
          <cell r="T7600">
            <v>1.6561358754483</v>
          </cell>
        </row>
        <row r="7601">
          <cell r="A7601" t="str">
            <v>DECIBEL</v>
          </cell>
          <cell r="B7601" t="str">
            <v>DB980F65N-S</v>
          </cell>
          <cell r="O7601">
            <v>3.4383298075239104</v>
          </cell>
          <cell r="T7601">
            <v>1.6561358754483</v>
          </cell>
        </row>
        <row r="7602">
          <cell r="A7602" t="str">
            <v>DECIBEL</v>
          </cell>
          <cell r="B7602" t="str">
            <v>DB980F65T2E-M</v>
          </cell>
          <cell r="O7602">
            <v>3.4383298075239104</v>
          </cell>
          <cell r="T7602">
            <v>1.6561358754483</v>
          </cell>
        </row>
        <row r="7603">
          <cell r="A7603" t="str">
            <v>DECIBEL</v>
          </cell>
          <cell r="B7603" t="str">
            <v>DB980F65T4E-M</v>
          </cell>
          <cell r="O7603">
            <v>3.4383298075239104</v>
          </cell>
          <cell r="T7603">
            <v>1.6561358754483</v>
          </cell>
        </row>
        <row r="7604">
          <cell r="A7604" t="str">
            <v>DECIBEL</v>
          </cell>
          <cell r="B7604" t="str">
            <v>DB980F90</v>
          </cell>
          <cell r="O7604"/>
          <cell r="T7604"/>
        </row>
        <row r="7605">
          <cell r="A7605" t="str">
            <v>DECIBEL</v>
          </cell>
          <cell r="B7605" t="str">
            <v>DB980F90E-M</v>
          </cell>
          <cell r="O7605">
            <v>3.4383298075239104</v>
          </cell>
          <cell r="T7605">
            <v>1.6561358754483</v>
          </cell>
        </row>
        <row r="7606">
          <cell r="A7606" t="str">
            <v>DECIBEL</v>
          </cell>
          <cell r="B7606" t="str">
            <v>DB980F90T2E-M</v>
          </cell>
          <cell r="O7606">
            <v>1.776991223</v>
          </cell>
          <cell r="T7606">
            <v>0.88822728100000004</v>
          </cell>
        </row>
        <row r="7607">
          <cell r="A7607" t="str">
            <v>DECIBEL</v>
          </cell>
          <cell r="B7607" t="str">
            <v>DB980G105E-M</v>
          </cell>
          <cell r="O7607">
            <v>3.4383298075239104</v>
          </cell>
          <cell r="T7607">
            <v>1.6561358754483</v>
          </cell>
        </row>
        <row r="7608">
          <cell r="A7608" t="str">
            <v>DECIBEL</v>
          </cell>
          <cell r="B7608" t="str">
            <v>DB980G65EUKL</v>
          </cell>
          <cell r="O7608">
            <v>3.4383298075239104</v>
          </cell>
          <cell r="T7608">
            <v>1.6561358754483</v>
          </cell>
        </row>
        <row r="7609">
          <cell r="A7609" t="str">
            <v>DECIBEL</v>
          </cell>
          <cell r="B7609" t="str">
            <v>DB980G90E-M</v>
          </cell>
          <cell r="O7609">
            <v>1.776991223</v>
          </cell>
          <cell r="T7609">
            <v>0.88822728100000004</v>
          </cell>
        </row>
        <row r="7610">
          <cell r="A7610" t="str">
            <v>DECIBEL</v>
          </cell>
          <cell r="B7610" t="str">
            <v>DB980G90T2E-M</v>
          </cell>
          <cell r="O7610">
            <v>3.4383298075239104</v>
          </cell>
          <cell r="T7610">
            <v>1.6561358754483</v>
          </cell>
        </row>
        <row r="7611">
          <cell r="A7611" t="str">
            <v>DECIBEL</v>
          </cell>
          <cell r="B7611" t="str">
            <v>DB980H</v>
          </cell>
          <cell r="O7611"/>
          <cell r="T7611"/>
        </row>
        <row r="7612">
          <cell r="A7612" t="str">
            <v>DECIBEL</v>
          </cell>
          <cell r="B7612" t="str">
            <v>DB980H105A-M</v>
          </cell>
          <cell r="O7612"/>
          <cell r="T7612"/>
        </row>
        <row r="7613">
          <cell r="A7613" t="str">
            <v>DECIBEL</v>
          </cell>
          <cell r="B7613" t="str">
            <v>DB980H105B-M</v>
          </cell>
          <cell r="O7613"/>
          <cell r="T7613"/>
        </row>
        <row r="7614">
          <cell r="A7614" t="str">
            <v>DECIBEL</v>
          </cell>
          <cell r="B7614" t="str">
            <v>DB980H105E-M</v>
          </cell>
          <cell r="O7614"/>
          <cell r="T7614"/>
        </row>
        <row r="7615">
          <cell r="A7615" t="str">
            <v>DECIBEL</v>
          </cell>
          <cell r="B7615" t="str">
            <v>DB980H105N-M</v>
          </cell>
          <cell r="O7615"/>
          <cell r="T7615"/>
        </row>
        <row r="7616">
          <cell r="A7616" t="str">
            <v>DECIBEL</v>
          </cell>
          <cell r="B7616" t="str">
            <v>DB980H105R-M</v>
          </cell>
          <cell r="O7616"/>
          <cell r="T7616"/>
        </row>
        <row r="7617">
          <cell r="A7617" t="str">
            <v>DECIBEL</v>
          </cell>
          <cell r="B7617" t="str">
            <v>DB980H105S-M</v>
          </cell>
          <cell r="O7617"/>
          <cell r="T7617"/>
        </row>
        <row r="7618">
          <cell r="A7618" t="str">
            <v>DECIBEL</v>
          </cell>
          <cell r="B7618" t="str">
            <v>DB980H105T2E-M</v>
          </cell>
          <cell r="O7618">
            <v>3.2893172290000003</v>
          </cell>
          <cell r="T7618">
            <v>1.460191053</v>
          </cell>
        </row>
        <row r="7619">
          <cell r="A7619" t="str">
            <v>DECIBEL</v>
          </cell>
          <cell r="B7619" t="str">
            <v>DB980H120A-M</v>
          </cell>
          <cell r="O7619"/>
          <cell r="T7619"/>
        </row>
        <row r="7620">
          <cell r="A7620" t="str">
            <v>DECIBEL</v>
          </cell>
          <cell r="B7620" t="str">
            <v>DB980H120B-M</v>
          </cell>
          <cell r="O7620"/>
          <cell r="T7620"/>
        </row>
        <row r="7621">
          <cell r="A7621" t="str">
            <v>DECIBEL</v>
          </cell>
          <cell r="B7621" t="str">
            <v>DB980H120E-M</v>
          </cell>
          <cell r="O7621"/>
          <cell r="T7621"/>
        </row>
        <row r="7622">
          <cell r="A7622" t="str">
            <v>DECIBEL</v>
          </cell>
          <cell r="B7622" t="str">
            <v>DB980H120N-M</v>
          </cell>
          <cell r="O7622"/>
          <cell r="T7622"/>
        </row>
        <row r="7623">
          <cell r="A7623" t="str">
            <v>DECIBEL</v>
          </cell>
          <cell r="B7623" t="str">
            <v>DB980H120R-M</v>
          </cell>
          <cell r="O7623"/>
          <cell r="T7623"/>
        </row>
        <row r="7624">
          <cell r="A7624" t="str">
            <v>DECIBEL</v>
          </cell>
          <cell r="B7624" t="str">
            <v>DB980H120S-M</v>
          </cell>
          <cell r="O7624"/>
          <cell r="T7624"/>
        </row>
        <row r="7625">
          <cell r="A7625" t="str">
            <v>DECIBEL</v>
          </cell>
          <cell r="B7625" t="str">
            <v>DB980H120T2E-M</v>
          </cell>
          <cell r="O7625">
            <v>1.776991223</v>
          </cell>
          <cell r="T7625">
            <v>0.88822728100000004</v>
          </cell>
        </row>
        <row r="7626">
          <cell r="A7626" t="str">
            <v>DECIBEL</v>
          </cell>
          <cell r="B7626" t="str">
            <v>DB980H65A-M</v>
          </cell>
          <cell r="O7626"/>
          <cell r="T7626"/>
        </row>
        <row r="7627">
          <cell r="A7627" t="str">
            <v>DECIBEL</v>
          </cell>
          <cell r="B7627" t="str">
            <v>DB980H65B-M</v>
          </cell>
          <cell r="O7627"/>
          <cell r="T7627"/>
        </row>
        <row r="7628">
          <cell r="A7628" t="str">
            <v>DECIBEL</v>
          </cell>
          <cell r="B7628" t="str">
            <v>DB980H65E-M</v>
          </cell>
          <cell r="O7628">
            <v>3.2893172290000003</v>
          </cell>
          <cell r="T7628">
            <v>1.460191053</v>
          </cell>
        </row>
        <row r="7629">
          <cell r="A7629" t="str">
            <v>DECIBEL</v>
          </cell>
          <cell r="B7629" t="str">
            <v>DB980H65T2E-KL</v>
          </cell>
          <cell r="O7629">
            <v>3.2893172290000003</v>
          </cell>
          <cell r="T7629">
            <v>1.460191053</v>
          </cell>
        </row>
        <row r="7630">
          <cell r="A7630" t="str">
            <v>DECIBEL</v>
          </cell>
          <cell r="B7630" t="str">
            <v>DB980H65T2E-M</v>
          </cell>
          <cell r="O7630">
            <v>3.2893172290000003</v>
          </cell>
          <cell r="T7630">
            <v>1.460191053</v>
          </cell>
        </row>
        <row r="7631">
          <cell r="A7631" t="str">
            <v>DECIBEL</v>
          </cell>
          <cell r="B7631" t="str">
            <v>DB980H65T3E-M</v>
          </cell>
          <cell r="O7631">
            <v>3.2893172290000003</v>
          </cell>
          <cell r="T7631">
            <v>1.460191053</v>
          </cell>
        </row>
        <row r="7632">
          <cell r="A7632" t="str">
            <v>DECIBEL</v>
          </cell>
          <cell r="B7632" t="str">
            <v>DB980H65T4E-M</v>
          </cell>
          <cell r="O7632">
            <v>3.2893172290000003</v>
          </cell>
          <cell r="T7632">
            <v>1.460191053</v>
          </cell>
        </row>
        <row r="7633">
          <cell r="A7633" t="str">
            <v>DECIBEL</v>
          </cell>
          <cell r="B7633" t="str">
            <v>DB980H65T5E-M</v>
          </cell>
          <cell r="O7633">
            <v>3.2893172290000003</v>
          </cell>
          <cell r="T7633">
            <v>1.460191053</v>
          </cell>
        </row>
        <row r="7634">
          <cell r="A7634" t="str">
            <v>DECIBEL</v>
          </cell>
          <cell r="B7634" t="str">
            <v>DB980H90A-M</v>
          </cell>
          <cell r="O7634">
            <v>3.2893172290000003</v>
          </cell>
          <cell r="T7634">
            <v>1.460191053</v>
          </cell>
        </row>
        <row r="7635">
          <cell r="A7635" t="str">
            <v>DECIBEL</v>
          </cell>
          <cell r="B7635" t="str">
            <v>DB980H90E-M</v>
          </cell>
          <cell r="O7635">
            <v>3.2893172290000003</v>
          </cell>
          <cell r="T7635">
            <v>1.460191053</v>
          </cell>
        </row>
        <row r="7636">
          <cell r="A7636" t="str">
            <v>DECIBEL</v>
          </cell>
          <cell r="B7636" t="str">
            <v>DB980H90T2</v>
          </cell>
          <cell r="O7636">
            <v>3.2893172290000003</v>
          </cell>
          <cell r="T7636">
            <v>1.460191053</v>
          </cell>
        </row>
        <row r="7637">
          <cell r="A7637" t="str">
            <v>DECIBEL</v>
          </cell>
          <cell r="B7637" t="str">
            <v>DB980H90T2A-M</v>
          </cell>
          <cell r="O7637">
            <v>3.2893172290000003</v>
          </cell>
          <cell r="T7637">
            <v>1.460191053</v>
          </cell>
        </row>
        <row r="7638">
          <cell r="A7638" t="str">
            <v>DECIBEL</v>
          </cell>
          <cell r="B7638" t="str">
            <v>DB980H90T2E-M</v>
          </cell>
          <cell r="O7638">
            <v>3.2893172290000003</v>
          </cell>
          <cell r="T7638">
            <v>1.460191053</v>
          </cell>
        </row>
        <row r="7639">
          <cell r="A7639" t="str">
            <v>DECIBEL</v>
          </cell>
          <cell r="B7639" t="str">
            <v>DB980H90T3E-M</v>
          </cell>
          <cell r="O7639">
            <v>3.2893172290000003</v>
          </cell>
          <cell r="T7639">
            <v>1.460191053</v>
          </cell>
        </row>
        <row r="7640">
          <cell r="A7640" t="str">
            <v>DECIBEL</v>
          </cell>
          <cell r="B7640" t="str">
            <v>DB980H90T4E-M</v>
          </cell>
          <cell r="O7640">
            <v>3.2893172290000003</v>
          </cell>
          <cell r="T7640">
            <v>1.460191053</v>
          </cell>
        </row>
        <row r="7641">
          <cell r="A7641" t="str">
            <v>DECIBEL</v>
          </cell>
          <cell r="B7641" t="str">
            <v>DB980H90T6E-M</v>
          </cell>
          <cell r="O7641">
            <v>3.2893172290000003</v>
          </cell>
          <cell r="T7641">
            <v>1.460191053</v>
          </cell>
        </row>
        <row r="7642">
          <cell r="A7642" t="str">
            <v>DECIBEL</v>
          </cell>
          <cell r="B7642" t="str">
            <v>DB982F105E-M</v>
          </cell>
          <cell r="O7642">
            <v>3.9692212495482395</v>
          </cell>
          <cell r="T7642">
            <v>1.8216554434677501</v>
          </cell>
        </row>
        <row r="7643">
          <cell r="A7643" t="str">
            <v>DECIBEL</v>
          </cell>
          <cell r="B7643" t="str">
            <v>DB982F30E-M</v>
          </cell>
          <cell r="O7643"/>
          <cell r="T7643"/>
        </row>
        <row r="7644">
          <cell r="A7644" t="str">
            <v>DECIBEL</v>
          </cell>
          <cell r="B7644" t="str">
            <v>DB982F65E-M</v>
          </cell>
          <cell r="O7644">
            <v>3.9981661649999998</v>
          </cell>
          <cell r="T7644">
            <v>1.7754136539999998</v>
          </cell>
        </row>
        <row r="7645">
          <cell r="A7645" t="str">
            <v>DECIBEL</v>
          </cell>
          <cell r="B7645" t="str">
            <v>DB982F65T2E-M</v>
          </cell>
          <cell r="O7645">
            <v>4.1514941776146195</v>
          </cell>
          <cell r="T7645">
            <v>1.99986380910006</v>
          </cell>
        </row>
        <row r="7646">
          <cell r="A7646" t="str">
            <v>DECIBEL</v>
          </cell>
          <cell r="B7646" t="str">
            <v>DB982F90T2E-M</v>
          </cell>
          <cell r="O7646">
            <v>4.1514941776146195</v>
          </cell>
          <cell r="T7646">
            <v>1.99986380910006</v>
          </cell>
        </row>
        <row r="7647">
          <cell r="A7647" t="str">
            <v>DECIBEL</v>
          </cell>
          <cell r="B7647" t="str">
            <v>DB982G105E-M</v>
          </cell>
          <cell r="O7647">
            <v>4.0435284769999997</v>
          </cell>
          <cell r="T7647">
            <v>2.3727915669999997</v>
          </cell>
        </row>
        <row r="7648">
          <cell r="A7648" t="str">
            <v>DECIBEL</v>
          </cell>
          <cell r="B7648" t="str">
            <v>DB982G30E-M</v>
          </cell>
          <cell r="O7648">
            <v>9.1214963130088496</v>
          </cell>
          <cell r="T7648">
            <v>3.9524230396966402</v>
          </cell>
        </row>
        <row r="7649">
          <cell r="A7649" t="str">
            <v>DECIBEL</v>
          </cell>
          <cell r="B7649" t="str">
            <v>DB982G65E-M</v>
          </cell>
          <cell r="O7649">
            <v>4.1514941776146195</v>
          </cell>
          <cell r="T7649">
            <v>1.99986380910006</v>
          </cell>
        </row>
        <row r="7650">
          <cell r="A7650" t="str">
            <v>DECIBEL</v>
          </cell>
          <cell r="B7650" t="str">
            <v>DB982G90E-M</v>
          </cell>
          <cell r="O7650">
            <v>4.0435284769999997</v>
          </cell>
          <cell r="T7650">
            <v>2.3727915669999997</v>
          </cell>
        </row>
        <row r="7651">
          <cell r="A7651" t="str">
            <v>DECIBEL</v>
          </cell>
          <cell r="B7651" t="str">
            <v>DB982H105E-M</v>
          </cell>
          <cell r="O7651">
            <v>3.9981661649999998</v>
          </cell>
          <cell r="T7651">
            <v>1.7754136539999998</v>
          </cell>
        </row>
        <row r="7652">
          <cell r="A7652" t="str">
            <v>DECIBEL</v>
          </cell>
          <cell r="B7652" t="str">
            <v>DB982H33E-M</v>
          </cell>
          <cell r="O7652"/>
          <cell r="T7652"/>
        </row>
        <row r="7653">
          <cell r="A7653" t="str">
            <v>DECIBEL</v>
          </cell>
          <cell r="B7653" t="str">
            <v>DB982H33N-M</v>
          </cell>
          <cell r="O7653"/>
          <cell r="T7653"/>
        </row>
        <row r="7654">
          <cell r="A7654" t="str">
            <v>DECIBEL</v>
          </cell>
          <cell r="B7654" t="str">
            <v>DB982H33T2E-M</v>
          </cell>
          <cell r="O7654"/>
          <cell r="T7654"/>
        </row>
        <row r="7655">
          <cell r="A7655" t="str">
            <v>DECIBEL</v>
          </cell>
          <cell r="B7655" t="str">
            <v>DB982H65E-M</v>
          </cell>
          <cell r="O7655">
            <v>3.9981661649999998</v>
          </cell>
          <cell r="T7655">
            <v>1.7754136539999998</v>
          </cell>
        </row>
        <row r="7656">
          <cell r="A7656" t="str">
            <v>DECIBEL</v>
          </cell>
          <cell r="B7656" t="str">
            <v>DB982H65T2E-M</v>
          </cell>
          <cell r="O7656">
            <v>3.9981661649999998</v>
          </cell>
          <cell r="T7656">
            <v>1.7754136539999998</v>
          </cell>
        </row>
        <row r="7657">
          <cell r="A7657" t="str">
            <v>DECIBEL</v>
          </cell>
          <cell r="B7657" t="str">
            <v>DB982H90A-M</v>
          </cell>
          <cell r="O7657">
            <v>3.9981661649999998</v>
          </cell>
          <cell r="T7657">
            <v>1.7754136539999998</v>
          </cell>
        </row>
        <row r="7658">
          <cell r="A7658" t="str">
            <v>DECIBEL</v>
          </cell>
          <cell r="B7658" t="str">
            <v>DB982H90E-M</v>
          </cell>
          <cell r="O7658">
            <v>3.9981661649999998</v>
          </cell>
          <cell r="T7658">
            <v>1.7754136539999998</v>
          </cell>
        </row>
        <row r="7659">
          <cell r="A7659" t="str">
            <v>DECIBEL</v>
          </cell>
          <cell r="B7659" t="str">
            <v>DB982H90T2A-M</v>
          </cell>
          <cell r="O7659"/>
          <cell r="T7659"/>
        </row>
        <row r="7660">
          <cell r="A7660" t="str">
            <v>DECIBEL</v>
          </cell>
          <cell r="B7660" t="str">
            <v>DB982H90T2E-M</v>
          </cell>
          <cell r="O7660">
            <v>3.9981661649999998</v>
          </cell>
          <cell r="T7660">
            <v>1.7754136539999998</v>
          </cell>
        </row>
        <row r="7661">
          <cell r="A7661" t="str">
            <v>DECIBEL</v>
          </cell>
          <cell r="B7661" t="str">
            <v>DB983</v>
          </cell>
          <cell r="O7661">
            <v>4.4015318489999995</v>
          </cell>
          <cell r="T7661">
            <v>1.9546337229999999</v>
          </cell>
        </row>
        <row r="7662">
          <cell r="A7662" t="str">
            <v>DECIBEL</v>
          </cell>
          <cell r="B7662" t="str">
            <v>DB983G90A-M</v>
          </cell>
          <cell r="O7662"/>
          <cell r="T7662"/>
        </row>
        <row r="7663">
          <cell r="A7663" t="str">
            <v>DECIBEL</v>
          </cell>
          <cell r="B7663" t="str">
            <v>DB983H30E-M</v>
          </cell>
          <cell r="O7663">
            <v>9.8711904269982504</v>
          </cell>
          <cell r="T7663">
            <v>4.2730226868853602</v>
          </cell>
        </row>
        <row r="7664">
          <cell r="A7664" t="str">
            <v>DECIBEL</v>
          </cell>
          <cell r="B7664" t="str">
            <v>DB983H65</v>
          </cell>
          <cell r="O7664"/>
          <cell r="T7664"/>
        </row>
        <row r="7665">
          <cell r="A7665" t="str">
            <v>DECIBEL</v>
          </cell>
          <cell r="B7665" t="str">
            <v>DB983H65A-M</v>
          </cell>
          <cell r="O7665">
            <v>4.4015318489999995</v>
          </cell>
          <cell r="T7665">
            <v>1.9546337229999999</v>
          </cell>
        </row>
        <row r="7666">
          <cell r="A7666" t="str">
            <v>DECIBEL</v>
          </cell>
          <cell r="B7666" t="str">
            <v>DB983H65B-M</v>
          </cell>
          <cell r="O7666">
            <v>4.4015318489999995</v>
          </cell>
          <cell r="T7666">
            <v>1.9546337229999999</v>
          </cell>
        </row>
        <row r="7667">
          <cell r="A7667" t="str">
            <v>DECIBEL</v>
          </cell>
          <cell r="B7667" t="str">
            <v>DB983H65E-M</v>
          </cell>
          <cell r="O7667">
            <v>4.4015318489999995</v>
          </cell>
          <cell r="T7667">
            <v>1.9546337229999999</v>
          </cell>
        </row>
        <row r="7668">
          <cell r="A7668" t="str">
            <v>DECIBEL</v>
          </cell>
          <cell r="B7668" t="str">
            <v>DB983H65N-M</v>
          </cell>
          <cell r="O7668">
            <v>4.4015318489999995</v>
          </cell>
          <cell r="T7668">
            <v>1.9546337229999999</v>
          </cell>
        </row>
        <row r="7669">
          <cell r="A7669" t="str">
            <v>DECIBEL</v>
          </cell>
          <cell r="B7669" t="str">
            <v>DB983H65T2A-M</v>
          </cell>
          <cell r="O7669">
            <v>4.4015318489999995</v>
          </cell>
          <cell r="T7669">
            <v>1.9546337229999999</v>
          </cell>
        </row>
        <row r="7670">
          <cell r="A7670" t="str">
            <v>DECIBEL</v>
          </cell>
          <cell r="B7670" t="str">
            <v>DB983H65T2E-M</v>
          </cell>
          <cell r="O7670">
            <v>4.4507505150000002</v>
          </cell>
          <cell r="T7670">
            <v>2.5938752259999998</v>
          </cell>
        </row>
        <row r="7671">
          <cell r="A7671" t="str">
            <v>DECIBEL</v>
          </cell>
          <cell r="B7671" t="str">
            <v>DB992HG28N-B</v>
          </cell>
          <cell r="O7671"/>
          <cell r="T7671"/>
        </row>
        <row r="7672">
          <cell r="A7672" t="str">
            <v>DECIBEL</v>
          </cell>
          <cell r="B7672" t="str">
            <v>DBC09H</v>
          </cell>
          <cell r="O7672"/>
          <cell r="T7672"/>
        </row>
        <row r="7673">
          <cell r="A7673" t="str">
            <v>DECIBEL</v>
          </cell>
          <cell r="B7673" t="str">
            <v>DBHVH90D-SX</v>
          </cell>
          <cell r="O7673"/>
          <cell r="T7673"/>
        </row>
        <row r="7674">
          <cell r="A7674" t="str">
            <v>DECIBEL</v>
          </cell>
          <cell r="B7674" t="str">
            <v>DBS561-XC</v>
          </cell>
          <cell r="O7674"/>
          <cell r="T7674"/>
        </row>
        <row r="7675">
          <cell r="A7675" t="str">
            <v>DECIBEL</v>
          </cell>
          <cell r="B7675" t="str">
            <v>DBS567KR90-XC</v>
          </cell>
          <cell r="O7675"/>
          <cell r="T7675"/>
        </row>
        <row r="7676">
          <cell r="A7676" t="str">
            <v>DECIBEL</v>
          </cell>
          <cell r="B7676" t="str">
            <v>DBXLH-6565A-VTM</v>
          </cell>
          <cell r="O7676">
            <v>4.5505860449632403</v>
          </cell>
          <cell r="T7676">
            <v>2.2416005371782504</v>
          </cell>
        </row>
        <row r="7677">
          <cell r="A7677" t="str">
            <v>DECIBEL</v>
          </cell>
          <cell r="B7677" t="str">
            <v>DBXLH-8585A-VTM</v>
          </cell>
          <cell r="O7677">
            <v>4.9516497880000001</v>
          </cell>
          <cell r="T7677">
            <v>2.699984535</v>
          </cell>
        </row>
        <row r="7678">
          <cell r="A7678" t="str">
            <v>DECIBEL</v>
          </cell>
          <cell r="B7678" t="str">
            <v>DBXLH-9090A-R1M</v>
          </cell>
          <cell r="O7678">
            <v>7.1178015879999998</v>
          </cell>
          <cell r="T7678">
            <v>2.2446287170000003</v>
          </cell>
        </row>
        <row r="7679">
          <cell r="A7679" t="str">
            <v>DECIBEL</v>
          </cell>
          <cell r="B7679" t="str">
            <v>DBXLH-9090A-R2M</v>
          </cell>
          <cell r="O7679">
            <v>7.1178015879999998</v>
          </cell>
          <cell r="T7679">
            <v>2.2446287170000003</v>
          </cell>
        </row>
        <row r="7680">
          <cell r="A7680" t="str">
            <v>DECIBEL</v>
          </cell>
          <cell r="B7680" t="str">
            <v>DBXLH-9090A-VTM</v>
          </cell>
          <cell r="O7680">
            <v>7.1178015879999998</v>
          </cell>
          <cell r="T7680">
            <v>2.2446287170000003</v>
          </cell>
        </row>
        <row r="7681">
          <cell r="A7681" t="str">
            <v>DECIBEL</v>
          </cell>
          <cell r="B7681" t="str">
            <v>DBXLH-9090B-R1M</v>
          </cell>
          <cell r="O7681">
            <v>11.534350890000001</v>
          </cell>
          <cell r="T7681">
            <v>3.6163409579999999</v>
          </cell>
        </row>
        <row r="7682">
          <cell r="A7682" t="str">
            <v>DECIBEL</v>
          </cell>
          <cell r="B7682" t="str">
            <v>DBXLH-9090B-R2M</v>
          </cell>
          <cell r="O7682">
            <v>11.534350890000001</v>
          </cell>
          <cell r="T7682">
            <v>3.6163409579999999</v>
          </cell>
        </row>
        <row r="7683">
          <cell r="A7683" t="str">
            <v>DECIBEL</v>
          </cell>
          <cell r="B7683" t="str">
            <v>DBXLH-9090B-VTM</v>
          </cell>
          <cell r="O7683">
            <v>11.534350890000001</v>
          </cell>
          <cell r="T7683">
            <v>3.6163409579999999</v>
          </cell>
        </row>
        <row r="7684">
          <cell r="A7684" t="str">
            <v>DECIBEL</v>
          </cell>
          <cell r="B7684" t="str">
            <v>DBXLH-9090C-R1M</v>
          </cell>
          <cell r="O7684">
            <v>14.094427999999999</v>
          </cell>
          <cell r="T7684">
            <v>4.4224639309999993</v>
          </cell>
        </row>
        <row r="7685">
          <cell r="A7685" t="str">
            <v>DECIBEL</v>
          </cell>
          <cell r="B7685" t="str">
            <v>DBXLH-9090C-R2M</v>
          </cell>
          <cell r="O7685">
            <v>14.094427999999999</v>
          </cell>
          <cell r="T7685">
            <v>4.4224639309999993</v>
          </cell>
        </row>
        <row r="7686">
          <cell r="A7686" t="str">
            <v>DECIBEL</v>
          </cell>
          <cell r="B7686" t="str">
            <v>DBXLH-9090C-VTM</v>
          </cell>
          <cell r="O7686">
            <v>14.094427999999999</v>
          </cell>
          <cell r="T7686">
            <v>4.4224639309999993</v>
          </cell>
        </row>
        <row r="7687">
          <cell r="A7687" t="str">
            <v>DECIBEL</v>
          </cell>
          <cell r="B7687" t="str">
            <v>OGC-826</v>
          </cell>
          <cell r="O7687"/>
          <cell r="T7687"/>
        </row>
        <row r="7688">
          <cell r="A7688" t="str">
            <v>DECIBEL</v>
          </cell>
          <cell r="B7688" t="str">
            <v>S809R-XT</v>
          </cell>
          <cell r="O7688"/>
          <cell r="T7688"/>
        </row>
        <row r="7689">
          <cell r="A7689" t="str">
            <v>DECIBEL</v>
          </cell>
          <cell r="B7689" t="str">
            <v>S809SR-XT</v>
          </cell>
          <cell r="O7689"/>
          <cell r="T7689"/>
        </row>
        <row r="7690">
          <cell r="A7690" t="str">
            <v>DECIBEL</v>
          </cell>
          <cell r="B7690" t="str">
            <v>S874QNB-XC</v>
          </cell>
          <cell r="O7690"/>
          <cell r="T7690"/>
        </row>
        <row r="7691">
          <cell r="A7691" t="str">
            <v>DECIBEL</v>
          </cell>
          <cell r="B7691" t="str">
            <v>SBH-2D6516</v>
          </cell>
          <cell r="O7691"/>
          <cell r="T7691"/>
        </row>
        <row r="7692">
          <cell r="A7692" t="str">
            <v>DECIBEL</v>
          </cell>
          <cell r="B7692" t="str">
            <v>SBS809KT4A-YP</v>
          </cell>
          <cell r="O7692"/>
          <cell r="T7692"/>
        </row>
        <row r="7693">
          <cell r="A7693" t="str">
            <v>DECIBEL</v>
          </cell>
          <cell r="B7693" t="str">
            <v>SSI085622D298</v>
          </cell>
          <cell r="O7693"/>
          <cell r="T7693"/>
        </row>
        <row r="7694">
          <cell r="A7694" t="str">
            <v>DECIBEL</v>
          </cell>
          <cell r="B7694" t="str">
            <v>SSI8000096O140_1</v>
          </cell>
          <cell r="O7694"/>
          <cell r="T7694"/>
        </row>
        <row r="7695">
          <cell r="A7695" t="str">
            <v>DECIBEL</v>
          </cell>
          <cell r="B7695" t="str">
            <v>SSI8000096O140_3</v>
          </cell>
          <cell r="O7695"/>
          <cell r="T7695"/>
        </row>
        <row r="7696">
          <cell r="A7696" t="str">
            <v>DECIBEL</v>
          </cell>
          <cell r="B7696" t="str">
            <v>SSI800096O51_19</v>
          </cell>
          <cell r="O7696"/>
          <cell r="T7696"/>
        </row>
        <row r="7697">
          <cell r="A7697" t="str">
            <v>DECIBEL</v>
          </cell>
          <cell r="B7697" t="str">
            <v>SSI800276D460</v>
          </cell>
          <cell r="O7697"/>
          <cell r="T7697"/>
        </row>
        <row r="7698">
          <cell r="A7698" t="str">
            <v>DECIBEL</v>
          </cell>
          <cell r="B7698" t="str">
            <v>SSI800368D494</v>
          </cell>
          <cell r="O7698"/>
          <cell r="T7698"/>
        </row>
        <row r="7699">
          <cell r="A7699" t="str">
            <v>DECIBEL</v>
          </cell>
          <cell r="B7699" t="str">
            <v>SSI800368D500</v>
          </cell>
          <cell r="O7699"/>
          <cell r="T7699"/>
        </row>
        <row r="7700">
          <cell r="A7700" t="str">
            <v>DECIBEL</v>
          </cell>
          <cell r="B7700" t="str">
            <v>SSI800369B455</v>
          </cell>
          <cell r="O7700"/>
          <cell r="T7700"/>
        </row>
        <row r="7701">
          <cell r="A7701" t="str">
            <v>DECIBEL</v>
          </cell>
          <cell r="B7701" t="str">
            <v>SSI800369B491</v>
          </cell>
          <cell r="O7701"/>
          <cell r="T7701"/>
        </row>
        <row r="7702">
          <cell r="A7702" t="str">
            <v>DECIBEL</v>
          </cell>
          <cell r="B7702" t="str">
            <v>SSI800369D491</v>
          </cell>
          <cell r="O7702"/>
          <cell r="T7702"/>
        </row>
        <row r="7703">
          <cell r="A7703" t="str">
            <v>DECIBEL</v>
          </cell>
          <cell r="B7703" t="str">
            <v>SSI800369O491</v>
          </cell>
          <cell r="O7703"/>
          <cell r="T7703"/>
        </row>
        <row r="7704">
          <cell r="A7704" t="str">
            <v>DECIBEL</v>
          </cell>
          <cell r="B7704" t="str">
            <v>SSI800426D80</v>
          </cell>
          <cell r="O7704"/>
          <cell r="T7704"/>
        </row>
        <row r="7705">
          <cell r="A7705" t="str">
            <v>DECIBEL</v>
          </cell>
          <cell r="B7705" t="str">
            <v>SSI805203O494_11</v>
          </cell>
          <cell r="O7705"/>
          <cell r="T7705"/>
        </row>
        <row r="7706">
          <cell r="A7706" t="str">
            <v>DECIBEL</v>
          </cell>
          <cell r="B7706" t="str">
            <v>SSI805622O174_63</v>
          </cell>
          <cell r="O7706"/>
          <cell r="T7706"/>
        </row>
        <row r="7707">
          <cell r="A7707" t="str">
            <v>DECIBEL</v>
          </cell>
          <cell r="B7707" t="str">
            <v>SSI81160915 WHIP</v>
          </cell>
          <cell r="O7707"/>
          <cell r="T7707"/>
        </row>
        <row r="7708">
          <cell r="A7708" t="str">
            <v>DECIBEL</v>
          </cell>
          <cell r="B7708" t="str">
            <v>SSI811616-12OMNI</v>
          </cell>
          <cell r="O7708"/>
          <cell r="T7708"/>
        </row>
        <row r="7709">
          <cell r="A7709" t="str">
            <v>DECIBEL</v>
          </cell>
          <cell r="B7709" t="str">
            <v>SSI812263-15</v>
          </cell>
          <cell r="O7709"/>
          <cell r="T7709"/>
        </row>
        <row r="7710">
          <cell r="A7710" t="str">
            <v>DECIBEL</v>
          </cell>
          <cell r="B7710" t="str">
            <v>SSI813241P100</v>
          </cell>
          <cell r="O7710"/>
          <cell r="T7710"/>
        </row>
        <row r="7711">
          <cell r="A7711" t="str">
            <v>DECIBEL</v>
          </cell>
          <cell r="B7711" t="str">
            <v>SSI814129D36</v>
          </cell>
          <cell r="O7711"/>
          <cell r="T7711"/>
        </row>
        <row r="7712">
          <cell r="A7712" t="str">
            <v>DECIBEL</v>
          </cell>
          <cell r="B7712" t="str">
            <v>SSI814129O48</v>
          </cell>
          <cell r="O7712"/>
          <cell r="T7712"/>
        </row>
        <row r="7713">
          <cell r="A7713" t="str">
            <v>DECIBEL</v>
          </cell>
          <cell r="B7713" t="str">
            <v>SSI815424P8</v>
          </cell>
          <cell r="O7713"/>
          <cell r="T7713"/>
        </row>
        <row r="7714">
          <cell r="A7714" t="str">
            <v>DECIBEL</v>
          </cell>
          <cell r="B7714" t="str">
            <v>SSI815775O284_4</v>
          </cell>
          <cell r="O7714"/>
          <cell r="T7714"/>
        </row>
        <row r="7715">
          <cell r="A7715" t="str">
            <v>DECIBEL</v>
          </cell>
          <cell r="B7715" t="str">
            <v>SSI815775O284_5</v>
          </cell>
          <cell r="O7715"/>
          <cell r="T7715"/>
        </row>
        <row r="7716">
          <cell r="A7716" t="str">
            <v>DECIBEL</v>
          </cell>
          <cell r="B7716" t="str">
            <v>SSI815775O284_6</v>
          </cell>
          <cell r="O7716"/>
          <cell r="T7716"/>
        </row>
        <row r="7717">
          <cell r="A7717" t="str">
            <v>DECIBEL</v>
          </cell>
          <cell r="B7717" t="str">
            <v>SSI815775O284_7</v>
          </cell>
          <cell r="O7717"/>
          <cell r="T7717"/>
        </row>
        <row r="7718">
          <cell r="A7718" t="str">
            <v>DECIBEL</v>
          </cell>
          <cell r="B7718" t="str">
            <v>SSI816112P153</v>
          </cell>
          <cell r="O7718"/>
          <cell r="T7718"/>
        </row>
        <row r="7719">
          <cell r="A7719" t="str">
            <v>DECIBEL</v>
          </cell>
          <cell r="B7719" t="str">
            <v>SSI816221P282</v>
          </cell>
          <cell r="O7719"/>
          <cell r="T7719"/>
        </row>
        <row r="7720">
          <cell r="A7720" t="str">
            <v>DECIBEL</v>
          </cell>
          <cell r="B7720" t="str">
            <v>SSI816611-15WHIP</v>
          </cell>
          <cell r="O7720"/>
          <cell r="T7720"/>
        </row>
        <row r="7721">
          <cell r="A7721" t="str">
            <v>DECIBEL</v>
          </cell>
          <cell r="B7721" t="str">
            <v>SSI816622-2YAGI</v>
          </cell>
          <cell r="O7721"/>
          <cell r="T7721"/>
        </row>
        <row r="7722">
          <cell r="A7722" t="str">
            <v>DECIBEL</v>
          </cell>
          <cell r="B7722" t="str">
            <v>SSI816622-REFLEC</v>
          </cell>
          <cell r="O7722"/>
          <cell r="T7722"/>
        </row>
        <row r="7723">
          <cell r="A7723" t="str">
            <v>DECIBEL</v>
          </cell>
          <cell r="B7723" t="str">
            <v>SSI816671-O 176 10</v>
          </cell>
          <cell r="O7723"/>
          <cell r="T7723"/>
        </row>
        <row r="7724">
          <cell r="A7724" t="str">
            <v>DECIBEL</v>
          </cell>
          <cell r="B7724" t="str">
            <v>SSI816671-O 176 11</v>
          </cell>
          <cell r="O7724"/>
          <cell r="T7724"/>
        </row>
        <row r="7725">
          <cell r="A7725" t="str">
            <v>DECIBEL</v>
          </cell>
          <cell r="B7725" t="str">
            <v>SSI816721-15WHIP</v>
          </cell>
          <cell r="O7725"/>
          <cell r="T7725"/>
        </row>
        <row r="7726">
          <cell r="A7726" t="str">
            <v>DECIBEL</v>
          </cell>
          <cell r="B7726" t="str">
            <v>TBXLHB-6565A-VTM</v>
          </cell>
          <cell r="O7726">
            <v>8.8035542050000011</v>
          </cell>
          <cell r="T7726">
            <v>3.0319096069999998</v>
          </cell>
        </row>
        <row r="7727">
          <cell r="A7727" t="str">
            <v>DECIBEL</v>
          </cell>
          <cell r="B7727" t="str">
            <v>UMWD-03319-XDM</v>
          </cell>
          <cell r="O7727">
            <v>4.8850354119999988</v>
          </cell>
          <cell r="T7727">
            <v>2.3085128280000005</v>
          </cell>
        </row>
        <row r="7728">
          <cell r="A7728" t="str">
            <v>DECIBEL</v>
          </cell>
          <cell r="B7728" t="str">
            <v>UMWD-06513-XD</v>
          </cell>
          <cell r="O7728">
            <v>1.22374469521605</v>
          </cell>
          <cell r="T7728">
            <v>0.61220231398164604</v>
          </cell>
        </row>
        <row r="7729">
          <cell r="A7729" t="str">
            <v>DECIBEL</v>
          </cell>
          <cell r="B7729" t="str">
            <v>UMWD-06517-2D</v>
          </cell>
          <cell r="O7729">
            <v>3.5070781660000003</v>
          </cell>
          <cell r="T7729">
            <v>1.7470756869999999</v>
          </cell>
        </row>
        <row r="7730">
          <cell r="A7730" t="str">
            <v>DECIBEL</v>
          </cell>
          <cell r="B7730" t="str">
            <v>UMWD-09014B-R2DH</v>
          </cell>
          <cell r="O7730">
            <v>2.1361622299382703</v>
          </cell>
          <cell r="T7730">
            <v>1.0681441453379599</v>
          </cell>
        </row>
        <row r="7731">
          <cell r="A7731" t="str">
            <v>DECIBEL</v>
          </cell>
          <cell r="B7731" t="str">
            <v>UMWD-09016-XD</v>
          </cell>
          <cell r="O7731">
            <v>3.7592179187350303</v>
          </cell>
          <cell r="T7731">
            <v>1.8758763363875099</v>
          </cell>
        </row>
        <row r="7732">
          <cell r="A7732" t="str">
            <v>DECIBEL</v>
          </cell>
          <cell r="B7732" t="str">
            <v>UMWDP-06516-XD</v>
          </cell>
          <cell r="O7732">
            <v>2.2889824459999999</v>
          </cell>
          <cell r="T7732">
            <v>1.1444048899999999</v>
          </cell>
        </row>
        <row r="7733">
          <cell r="A7733" t="str">
            <v>DENGYO</v>
          </cell>
          <cell r="B7733" t="str">
            <v>DEC4-1A2G2U-RC65</v>
          </cell>
          <cell r="O7733">
            <v>3.8752348572530897</v>
          </cell>
          <cell r="T7733">
            <v>2.0042104413316801</v>
          </cell>
        </row>
        <row r="7734">
          <cell r="A7734" t="str">
            <v>DENGYO</v>
          </cell>
          <cell r="B7734" t="str">
            <v>DEC4-1A2G2U-RC85</v>
          </cell>
          <cell r="O7734"/>
          <cell r="T7734"/>
        </row>
        <row r="7735">
          <cell r="A7735" t="str">
            <v>DENGYO</v>
          </cell>
          <cell r="B7735" t="str">
            <v>DEC6-1A2G2U-RC65</v>
          </cell>
          <cell r="O7735">
            <v>6.2739679783950599</v>
          </cell>
          <cell r="T7735">
            <v>3.2433279073471399</v>
          </cell>
        </row>
        <row r="7736">
          <cell r="A7736" t="str">
            <v>DENGYO</v>
          </cell>
          <cell r="B7736" t="str">
            <v>DOD8-2LX4HX-BW45</v>
          </cell>
          <cell r="O7736">
            <v>17.230853097934101</v>
          </cell>
          <cell r="T7736">
            <v>5.1693838438985003</v>
          </cell>
        </row>
        <row r="7737">
          <cell r="A7737" t="str">
            <v>DENGYO</v>
          </cell>
          <cell r="B7737" t="str">
            <v>OCT4-1A1G2U-RD85</v>
          </cell>
          <cell r="O7737">
            <v>3.8752348572530897</v>
          </cell>
          <cell r="T7737">
            <v>2.0042104413316801</v>
          </cell>
        </row>
        <row r="7738">
          <cell r="A7738" t="str">
            <v>DENGYO</v>
          </cell>
          <cell r="B7738" t="str">
            <v>OCT4-2LX2HX-BR65_TMO</v>
          </cell>
          <cell r="O7738">
            <v>7.7962242863744997</v>
          </cell>
          <cell r="T7738">
            <v>2.8053847522915398</v>
          </cell>
        </row>
        <row r="7739">
          <cell r="A7739" t="str">
            <v>DENGYO</v>
          </cell>
          <cell r="B7739" t="str">
            <v>OCT6-2LX2HX-BW45</v>
          </cell>
          <cell r="O7739">
            <v>11.32</v>
          </cell>
          <cell r="T7739">
            <v>4.07</v>
          </cell>
        </row>
        <row r="7740">
          <cell r="A7740" t="str">
            <v>DENGYO</v>
          </cell>
          <cell r="B7740" t="str">
            <v>OCT6-2LX2HX-BW45_CCIV2</v>
          </cell>
          <cell r="O7740">
            <v>11.326827739197491</v>
          </cell>
          <cell r="T7740">
            <v>4.0770958137752995</v>
          </cell>
        </row>
        <row r="7741">
          <cell r="A7741" t="str">
            <v>DENGYO</v>
          </cell>
          <cell r="B7741" t="str">
            <v>OCT6-2LX2HX-BW65</v>
          </cell>
          <cell r="O7741">
            <v>12.21140046</v>
          </cell>
          <cell r="T7741">
            <v>3.673326758</v>
          </cell>
        </row>
        <row r="7742">
          <cell r="A7742" t="str">
            <v>DENGYO</v>
          </cell>
          <cell r="B7742" t="str">
            <v>OCT6-2LX2HX-BW90</v>
          </cell>
          <cell r="O7742">
            <v>11.326827739197491</v>
          </cell>
          <cell r="T7742">
            <v>4.0770958137752995</v>
          </cell>
        </row>
        <row r="7743">
          <cell r="A7743" t="str">
            <v>DENGYO</v>
          </cell>
          <cell r="B7743" t="str">
            <v>OCT8-2LX2HX-BW45</v>
          </cell>
          <cell r="O7743">
            <v>15.23029519</v>
          </cell>
          <cell r="T7743">
            <v>5.4842155579999998</v>
          </cell>
        </row>
        <row r="7744">
          <cell r="A7744" t="str">
            <v>DENGYO</v>
          </cell>
          <cell r="B7744" t="str">
            <v>OCT8-2LX2HX-BW45_CCIV2</v>
          </cell>
          <cell r="O7744">
            <v>15.23029519</v>
          </cell>
          <cell r="T7744">
            <v>5.4842155579999998</v>
          </cell>
        </row>
        <row r="7745">
          <cell r="A7745" t="str">
            <v>DENGYO</v>
          </cell>
          <cell r="B7745" t="str">
            <v>OCT8-2LX2HX-BW45_CCIV3</v>
          </cell>
          <cell r="O7745">
            <v>15.230295190698801</v>
          </cell>
          <cell r="T7745">
            <v>5.4842155575604696</v>
          </cell>
        </row>
        <row r="7746">
          <cell r="A7746" t="str">
            <v>DENGYO</v>
          </cell>
          <cell r="B7746" t="str">
            <v>OCT8-2LX2HX-BW65</v>
          </cell>
          <cell r="O7746">
            <v>16.875898190000001</v>
          </cell>
          <cell r="T7746">
            <v>5.0712996419999996</v>
          </cell>
        </row>
        <row r="7747">
          <cell r="A7747" t="str">
            <v>DENGYO</v>
          </cell>
          <cell r="B7747" t="str">
            <v>OCT8-2LX2HX-BW65_CCIV2</v>
          </cell>
          <cell r="O7747">
            <v>15.230295190698801</v>
          </cell>
          <cell r="T7747">
            <v>5.4842155575604696</v>
          </cell>
        </row>
        <row r="7748">
          <cell r="A7748" t="str">
            <v>DENGYO</v>
          </cell>
          <cell r="B7748" t="str">
            <v>OCT8-2LX2HX-BW65_CCIV3</v>
          </cell>
          <cell r="O7748">
            <v>15.230295190698801</v>
          </cell>
          <cell r="T7748">
            <v>5.4842155575604696</v>
          </cell>
        </row>
        <row r="7749">
          <cell r="A7749" t="str">
            <v>DENGYO</v>
          </cell>
          <cell r="B7749" t="str">
            <v>QUA4-1LX1HX-BW65</v>
          </cell>
          <cell r="O7749"/>
          <cell r="T7749"/>
        </row>
        <row r="7750">
          <cell r="A7750" t="str">
            <v>DENGYO</v>
          </cell>
          <cell r="B7750" t="str">
            <v>QUA4-2HX-CB65</v>
          </cell>
          <cell r="O7750">
            <v>2.44042881544001</v>
          </cell>
          <cell r="T7750">
            <v>1.2960344645447899</v>
          </cell>
        </row>
        <row r="7751">
          <cell r="A7751" t="str">
            <v>DENGYO</v>
          </cell>
          <cell r="B7751" t="str">
            <v>QUA8-1LX1HX-BW45</v>
          </cell>
          <cell r="O7751">
            <v>12.9184751157407</v>
          </cell>
          <cell r="T7751">
            <v>5.0345825131268391</v>
          </cell>
        </row>
        <row r="7752">
          <cell r="A7752" t="str">
            <v>DENGYO</v>
          </cell>
          <cell r="B7752" t="str">
            <v>QUA8-1LX1HX-BW65</v>
          </cell>
          <cell r="O7752">
            <v>9.6976224922839496</v>
          </cell>
          <cell r="T7752">
            <v>4.5069966832292998</v>
          </cell>
        </row>
        <row r="7753">
          <cell r="A7753" t="str">
            <v>DH SATELLITE</v>
          </cell>
          <cell r="B7753" t="str">
            <v>3.7 METER</v>
          </cell>
          <cell r="O7753"/>
          <cell r="T7753"/>
        </row>
        <row r="7754">
          <cell r="A7754" t="str">
            <v>DIAMOND ANTENNA</v>
          </cell>
          <cell r="B7754" t="str">
            <v>A502HB</v>
          </cell>
          <cell r="O7754"/>
          <cell r="T7754"/>
        </row>
        <row r="7755">
          <cell r="A7755" t="str">
            <v>DIAMOND ANTENNA</v>
          </cell>
          <cell r="B7755" t="str">
            <v>D130J</v>
          </cell>
          <cell r="O7755"/>
          <cell r="T7755"/>
        </row>
        <row r="7756">
          <cell r="A7756" t="str">
            <v>DIAMOND ANTENNA</v>
          </cell>
          <cell r="B7756" t="str">
            <v>DP-GH62</v>
          </cell>
          <cell r="O7756"/>
          <cell r="T7756"/>
        </row>
        <row r="7757">
          <cell r="A7757" t="str">
            <v>DIAMOND ANTENNA</v>
          </cell>
          <cell r="B7757" t="str">
            <v>V2000A</v>
          </cell>
          <cell r="O7757"/>
          <cell r="T7757"/>
        </row>
        <row r="7758">
          <cell r="A7758" t="str">
            <v>DIAMOND ANTENNA</v>
          </cell>
          <cell r="B7758" t="str">
            <v>X200A</v>
          </cell>
          <cell r="O7758"/>
          <cell r="T7758"/>
        </row>
        <row r="7759">
          <cell r="A7759" t="str">
            <v>DIAMOND ANTENNA</v>
          </cell>
          <cell r="B7759" t="str">
            <v>X500HNA</v>
          </cell>
          <cell r="O7759"/>
          <cell r="T7759"/>
        </row>
        <row r="7760">
          <cell r="A7760" t="str">
            <v>DIAMOND ANTENNA</v>
          </cell>
          <cell r="B7760" t="str">
            <v>X50A</v>
          </cell>
          <cell r="O7760"/>
          <cell r="T7760"/>
        </row>
        <row r="7761">
          <cell r="A7761" t="str">
            <v>DIAMOND ANTENNA</v>
          </cell>
          <cell r="B7761" t="str">
            <v>X50NA</v>
          </cell>
          <cell r="O7761"/>
          <cell r="T7761"/>
        </row>
        <row r="7762">
          <cell r="A7762" t="str">
            <v>DIAMOND ANTENNA</v>
          </cell>
          <cell r="B7762" t="str">
            <v>X510NA</v>
          </cell>
          <cell r="O7762"/>
          <cell r="T7762"/>
        </row>
        <row r="7763">
          <cell r="A7763" t="str">
            <v>DIAMOND ANTENNA</v>
          </cell>
          <cell r="B7763" t="str">
            <v>X510NJ</v>
          </cell>
          <cell r="O7763"/>
          <cell r="T7763"/>
        </row>
        <row r="7764">
          <cell r="A7764" t="str">
            <v>DIELECTRIC</v>
          </cell>
          <cell r="B7764" t="str">
            <v>7C-M16-C-719-LOWRFR LP</v>
          </cell>
          <cell r="O7764"/>
          <cell r="T7764"/>
        </row>
        <row r="7765">
          <cell r="A7765" t="str">
            <v>DIELECTRIC</v>
          </cell>
          <cell r="B7765" t="str">
            <v>7P-C1-2-CP-L</v>
          </cell>
          <cell r="O7765"/>
          <cell r="T7765"/>
        </row>
        <row r="7766">
          <cell r="A7766" t="str">
            <v>DIELECTRIC</v>
          </cell>
          <cell r="B7766" t="str">
            <v>7P-P2-6-C-L</v>
          </cell>
          <cell r="O7766"/>
          <cell r="T7766"/>
        </row>
        <row r="7767">
          <cell r="A7767" t="str">
            <v>DIELECTRIC</v>
          </cell>
          <cell r="B7767" t="str">
            <v>7R-0-8-C-L-5E</v>
          </cell>
          <cell r="O7767"/>
          <cell r="T7767"/>
        </row>
        <row r="7768">
          <cell r="A7768" t="str">
            <v>DIELECTRIC</v>
          </cell>
          <cell r="B7768" t="str">
            <v>7R-O-10-C-L</v>
          </cell>
          <cell r="O7768"/>
          <cell r="T7768"/>
        </row>
        <row r="7769">
          <cell r="A7769" t="str">
            <v>DIELECTRIC</v>
          </cell>
          <cell r="B7769" t="str">
            <v>ANT DLP12B-VP</v>
          </cell>
          <cell r="O7769"/>
          <cell r="T7769"/>
        </row>
        <row r="7770">
          <cell r="A7770" t="str">
            <v>DIELECTRIC</v>
          </cell>
          <cell r="B7770" t="str">
            <v>ANT DLP12W</v>
          </cell>
          <cell r="O7770"/>
          <cell r="T7770"/>
        </row>
        <row r="7771">
          <cell r="A7771" t="str">
            <v>DIELECTRIC</v>
          </cell>
          <cell r="B7771" t="str">
            <v>DCBR-C3-12/36H-1</v>
          </cell>
          <cell r="O7771"/>
          <cell r="T7771"/>
        </row>
        <row r="7772">
          <cell r="A7772" t="str">
            <v>DIELECTRIC</v>
          </cell>
          <cell r="B7772" t="str">
            <v>DCBR-C3-2HBA/4-1</v>
          </cell>
          <cell r="O7772"/>
          <cell r="T7772"/>
        </row>
        <row r="7773">
          <cell r="A7773" t="str">
            <v>DIELECTRIC</v>
          </cell>
          <cell r="B7773" t="str">
            <v>DCPJ-C2-1FM/2H-1-N</v>
          </cell>
          <cell r="O7773"/>
          <cell r="T7773"/>
        </row>
        <row r="7774">
          <cell r="A7774" t="str">
            <v>DIELECTRIC</v>
          </cell>
          <cell r="B7774" t="str">
            <v>DCR-C1</v>
          </cell>
          <cell r="O7774"/>
          <cell r="T7774"/>
        </row>
        <row r="7775">
          <cell r="A7775" t="str">
            <v>DIELECTRIC</v>
          </cell>
          <cell r="B7775" t="str">
            <v>DCR-C12 W/DEICERS</v>
          </cell>
          <cell r="O7775"/>
          <cell r="T7775"/>
        </row>
        <row r="7776">
          <cell r="A7776" t="str">
            <v>DIELECTRIC</v>
          </cell>
          <cell r="B7776" t="str">
            <v>DCR-H3</v>
          </cell>
          <cell r="O7776"/>
          <cell r="T7776"/>
        </row>
        <row r="7777">
          <cell r="A7777" t="str">
            <v>DIELECTRIC</v>
          </cell>
          <cell r="B7777" t="str">
            <v>DCR-H4</v>
          </cell>
          <cell r="O7777"/>
          <cell r="T7777"/>
        </row>
        <row r="7778">
          <cell r="A7778" t="str">
            <v>DIELECTRIC</v>
          </cell>
          <cell r="B7778" t="str">
            <v>DCR-L1</v>
          </cell>
          <cell r="O7778"/>
          <cell r="T7778"/>
        </row>
        <row r="7779">
          <cell r="A7779" t="str">
            <v>DIELECTRIC</v>
          </cell>
          <cell r="B7779" t="str">
            <v>DCR-M12</v>
          </cell>
          <cell r="O7779"/>
          <cell r="T7779"/>
        </row>
        <row r="7780">
          <cell r="A7780" t="str">
            <v>DIELECTRIC</v>
          </cell>
          <cell r="B7780" t="str">
            <v>DCR-M2E5</v>
          </cell>
          <cell r="O7780"/>
          <cell r="T7780"/>
        </row>
        <row r="7781">
          <cell r="A7781" t="str">
            <v>DIELECTRIC</v>
          </cell>
          <cell r="B7781" t="str">
            <v>DCR-M4C50</v>
          </cell>
          <cell r="O7781"/>
          <cell r="T7781"/>
        </row>
        <row r="7782">
          <cell r="A7782" t="str">
            <v>DIELECTRIC</v>
          </cell>
          <cell r="B7782" t="str">
            <v>DCR-M5</v>
          </cell>
          <cell r="O7782"/>
          <cell r="T7782"/>
        </row>
        <row r="7783">
          <cell r="A7783" t="str">
            <v>DIELECTRIC</v>
          </cell>
          <cell r="B7783" t="str">
            <v>DCR-M8C50</v>
          </cell>
          <cell r="O7783"/>
          <cell r="T7783"/>
        </row>
        <row r="7784">
          <cell r="A7784" t="str">
            <v>DIELECTRIC</v>
          </cell>
          <cell r="B7784" t="str">
            <v>DCR-T1</v>
          </cell>
          <cell r="O7784"/>
          <cell r="T7784"/>
        </row>
        <row r="7785">
          <cell r="A7785" t="str">
            <v>DIELECTRIC</v>
          </cell>
          <cell r="B7785" t="str">
            <v>DCR-T4</v>
          </cell>
          <cell r="O7785"/>
          <cell r="T7785"/>
        </row>
        <row r="7786">
          <cell r="A7786" t="str">
            <v>DIELECTRIC</v>
          </cell>
          <cell r="B7786" t="str">
            <v>DCRE2EXD OS_20240712</v>
          </cell>
          <cell r="O7786"/>
          <cell r="T7786"/>
        </row>
        <row r="7787">
          <cell r="A7787" t="str">
            <v>DIELECTRIC</v>
          </cell>
          <cell r="B7787" t="str">
            <v>DCRH2E5R</v>
          </cell>
          <cell r="O7787"/>
          <cell r="T7787"/>
        </row>
        <row r="7788">
          <cell r="A7788" t="str">
            <v>DIELECTRIC</v>
          </cell>
          <cell r="B7788" t="str">
            <v>DCRH3E</v>
          </cell>
          <cell r="O7788"/>
          <cell r="T7788"/>
        </row>
        <row r="7789">
          <cell r="A7789" t="str">
            <v>DIELECTRIC</v>
          </cell>
          <cell r="B7789" t="str">
            <v>DCRM10CXD OS_20241120</v>
          </cell>
          <cell r="O7789"/>
          <cell r="T7789"/>
        </row>
        <row r="7790">
          <cell r="A7790" t="str">
            <v>DIELECTRIC</v>
          </cell>
          <cell r="B7790" t="str">
            <v>DCRT1</v>
          </cell>
          <cell r="O7790"/>
          <cell r="T7790"/>
        </row>
        <row r="7791">
          <cell r="A7791" t="str">
            <v>DIELECTRIC</v>
          </cell>
          <cell r="B7791" t="str">
            <v>DCRT4B50XP OS</v>
          </cell>
          <cell r="O7791"/>
          <cell r="T7791"/>
        </row>
        <row r="7792">
          <cell r="A7792" t="str">
            <v>DIELECTRIC</v>
          </cell>
          <cell r="B7792" t="str">
            <v>DCRV2ED_20240521</v>
          </cell>
          <cell r="O7792">
            <v>0</v>
          </cell>
          <cell r="T7792">
            <v>0</v>
          </cell>
        </row>
        <row r="7793">
          <cell r="A7793" t="str">
            <v>DIELECTRIC</v>
          </cell>
          <cell r="B7793" t="str">
            <v>DCVP3BXD SP_20250610</v>
          </cell>
          <cell r="O7793"/>
          <cell r="T7793"/>
        </row>
        <row r="7794">
          <cell r="A7794" t="str">
            <v>DIELECTRIC</v>
          </cell>
          <cell r="B7794" t="str">
            <v>DLP-12B</v>
          </cell>
          <cell r="O7794"/>
          <cell r="T7794"/>
        </row>
        <row r="7795">
          <cell r="A7795" t="str">
            <v>DIELECTRIC</v>
          </cell>
          <cell r="B7795" t="str">
            <v>DLP-12J</v>
          </cell>
          <cell r="O7795"/>
          <cell r="T7795"/>
        </row>
        <row r="7796">
          <cell r="A7796" t="str">
            <v>DIELECTRIC</v>
          </cell>
          <cell r="B7796" t="str">
            <v>DLP-8B</v>
          </cell>
          <cell r="O7796"/>
          <cell r="T7796"/>
        </row>
        <row r="7797">
          <cell r="A7797" t="str">
            <v>DIELECTRIC</v>
          </cell>
          <cell r="B7797" t="str">
            <v>DLP-8B/VP</v>
          </cell>
          <cell r="O7797"/>
          <cell r="T7797"/>
        </row>
        <row r="7798">
          <cell r="A7798" t="str">
            <v>DIELECTRIC</v>
          </cell>
          <cell r="B7798" t="str">
            <v>DLP-8J</v>
          </cell>
          <cell r="O7798"/>
          <cell r="T7798"/>
        </row>
        <row r="7799">
          <cell r="A7799" t="str">
            <v>DIELECTRIC</v>
          </cell>
          <cell r="B7799" t="str">
            <v>DLP-8M/VP</v>
          </cell>
          <cell r="O7799"/>
          <cell r="T7799"/>
        </row>
        <row r="7800">
          <cell r="A7800" t="str">
            <v>DIELECTRIC</v>
          </cell>
          <cell r="B7800" t="str">
            <v>TF-12BH</v>
          </cell>
          <cell r="O7800"/>
          <cell r="T7800"/>
        </row>
        <row r="7801">
          <cell r="A7801" t="str">
            <v>DIELECTRIC</v>
          </cell>
          <cell r="B7801" t="str">
            <v>TF-4BL</v>
          </cell>
          <cell r="O7801"/>
          <cell r="T7801"/>
        </row>
        <row r="7802">
          <cell r="A7802" t="str">
            <v>DIELECTRIC</v>
          </cell>
          <cell r="B7802" t="str">
            <v>TFU-10DSC-R O4</v>
          </cell>
          <cell r="O7802"/>
          <cell r="T7802"/>
        </row>
        <row r="7803">
          <cell r="A7803" t="str">
            <v>DIELECTRIC</v>
          </cell>
          <cell r="B7803" t="str">
            <v>TFU-11JTH/VP-R 6T180(SP)</v>
          </cell>
          <cell r="O7803"/>
          <cell r="T7803"/>
        </row>
        <row r="7804">
          <cell r="A7804" t="str">
            <v>DIELECTRIC</v>
          </cell>
          <cell r="B7804" t="str">
            <v>TFU-12DSB-R BP285</v>
          </cell>
          <cell r="O7804"/>
          <cell r="T7804"/>
        </row>
        <row r="7805">
          <cell r="A7805" t="str">
            <v>DIELECTRIC</v>
          </cell>
          <cell r="B7805" t="str">
            <v>TFU-12DSB-R J</v>
          </cell>
          <cell r="O7805"/>
          <cell r="T7805"/>
        </row>
        <row r="7806">
          <cell r="A7806" t="str">
            <v>DIELECTRIC</v>
          </cell>
          <cell r="B7806" t="str">
            <v>TFU-12DSC-R P230</v>
          </cell>
          <cell r="O7806"/>
          <cell r="T7806"/>
        </row>
        <row r="7807">
          <cell r="A7807" t="str">
            <v>DIELECTRIC</v>
          </cell>
          <cell r="B7807" t="str">
            <v>TFU-13JSC/CP-R O3</v>
          </cell>
          <cell r="O7807"/>
          <cell r="T7807"/>
        </row>
        <row r="7808">
          <cell r="A7808" t="str">
            <v>DIELECTRIC</v>
          </cell>
          <cell r="B7808" t="str">
            <v>TFU-14JTH-R 6T180 (SP)</v>
          </cell>
          <cell r="O7808"/>
          <cell r="T7808"/>
        </row>
        <row r="7809">
          <cell r="A7809" t="str">
            <v>DIELECTRIC</v>
          </cell>
          <cell r="B7809" t="str">
            <v>TFU-16WB-R C160</v>
          </cell>
          <cell r="O7809"/>
          <cell r="T7809"/>
        </row>
        <row r="7810">
          <cell r="A7810" t="str">
            <v>DIELECTRIC</v>
          </cell>
          <cell r="B7810" t="str">
            <v>TFU-18DSC/VP-RP230</v>
          </cell>
          <cell r="O7810"/>
          <cell r="T7810"/>
        </row>
        <row r="7811">
          <cell r="A7811" t="str">
            <v>DIELECTRIC</v>
          </cell>
          <cell r="B7811" t="str">
            <v>TFU-18JTH/VP-R P230</v>
          </cell>
          <cell r="O7811"/>
          <cell r="T7811"/>
        </row>
        <row r="7812">
          <cell r="A7812" t="str">
            <v>DIELECTRIC</v>
          </cell>
          <cell r="B7812" t="str">
            <v>TFU-19ETT-R 2BP270</v>
          </cell>
          <cell r="O7812"/>
          <cell r="T7812"/>
        </row>
        <row r="7813">
          <cell r="A7813" t="str">
            <v>DIELECTRIC</v>
          </cell>
          <cell r="B7813" t="str">
            <v>TFU-20GTH/VP-R S190</v>
          </cell>
          <cell r="O7813"/>
          <cell r="T7813"/>
        </row>
        <row r="7814">
          <cell r="A7814" t="str">
            <v>DIELECTRIC</v>
          </cell>
          <cell r="B7814" t="str">
            <v>TFU-20JDAS</v>
          </cell>
          <cell r="O7814"/>
          <cell r="T7814"/>
        </row>
        <row r="7815">
          <cell r="A7815" t="str">
            <v>DIELECTRIC</v>
          </cell>
          <cell r="B7815" t="str">
            <v>TFU-21JSC/VP-R-C160</v>
          </cell>
          <cell r="O7815"/>
          <cell r="T7815"/>
        </row>
        <row r="7816">
          <cell r="A7816" t="str">
            <v>DIELECTRIC</v>
          </cell>
          <cell r="B7816" t="str">
            <v>TFU-22DSC/VP-R BP285</v>
          </cell>
          <cell r="O7816"/>
          <cell r="T7816"/>
        </row>
        <row r="7817">
          <cell r="A7817" t="str">
            <v>DIELECTRIC</v>
          </cell>
          <cell r="B7817" t="str">
            <v>TFU-24WB</v>
          </cell>
          <cell r="O7817"/>
          <cell r="T7817"/>
        </row>
        <row r="7818">
          <cell r="A7818" t="str">
            <v>DIELECTRIC</v>
          </cell>
          <cell r="B7818" t="str">
            <v>TFU-24WB/VP-R C160_20250225</v>
          </cell>
          <cell r="O7818"/>
          <cell r="T7818"/>
        </row>
        <row r="7819">
          <cell r="A7819" t="str">
            <v>DIELECTRIC</v>
          </cell>
          <cell r="B7819" t="str">
            <v>TFU-25ETT/VP-R 4P230</v>
          </cell>
          <cell r="O7819"/>
          <cell r="T7819"/>
        </row>
        <row r="7820">
          <cell r="A7820" t="str">
            <v>DIELECTRIC</v>
          </cell>
          <cell r="B7820" t="str">
            <v>TFU-26ETT/VP-R 4C130</v>
          </cell>
          <cell r="O7820"/>
          <cell r="T7820"/>
        </row>
        <row r="7821">
          <cell r="A7821" t="str">
            <v>DIELECTRIC</v>
          </cell>
          <cell r="B7821" t="str">
            <v>TFU-27ETT-HO6</v>
          </cell>
          <cell r="O7821"/>
          <cell r="T7821"/>
        </row>
        <row r="7822">
          <cell r="A7822" t="str">
            <v>DIELECTRIC</v>
          </cell>
          <cell r="B7822" t="str">
            <v>TFU-30DSC/VP-R P220</v>
          </cell>
          <cell r="O7822"/>
          <cell r="T7822"/>
        </row>
        <row r="7823">
          <cell r="A7823" t="str">
            <v>DIELECTRIC</v>
          </cell>
          <cell r="B7823" t="str">
            <v>TFU-30JDAS-41</v>
          </cell>
          <cell r="O7823"/>
          <cell r="T7823"/>
        </row>
        <row r="7824">
          <cell r="A7824" t="str">
            <v>DIELECTRIC</v>
          </cell>
          <cell r="B7824" t="str">
            <v>TFU-31ETT/VP-RO6</v>
          </cell>
          <cell r="O7824"/>
          <cell r="T7824"/>
        </row>
        <row r="7825">
          <cell r="A7825" t="str">
            <v>DIELECTRIC</v>
          </cell>
          <cell r="B7825" t="str">
            <v>TFU-32ETT/VP-R 06</v>
          </cell>
          <cell r="O7825"/>
          <cell r="T7825"/>
        </row>
        <row r="7826">
          <cell r="A7826" t="str">
            <v>DIELECTRIC</v>
          </cell>
          <cell r="B7826" t="str">
            <v>TFU-32GTH/VP-R DC SP130</v>
          </cell>
          <cell r="O7826"/>
          <cell r="T7826"/>
        </row>
        <row r="7827">
          <cell r="A7827" t="str">
            <v>DIELECTRIC</v>
          </cell>
          <cell r="B7827" t="str">
            <v>TFU-33J</v>
          </cell>
          <cell r="O7827"/>
          <cell r="T7827"/>
        </row>
        <row r="7828">
          <cell r="A7828" t="str">
            <v>DIELECTRIC</v>
          </cell>
          <cell r="B7828" t="str">
            <v>TFU-34JSC-R 03</v>
          </cell>
          <cell r="O7828"/>
          <cell r="T7828"/>
        </row>
        <row r="7829">
          <cell r="A7829" t="str">
            <v>DIELECTRIC</v>
          </cell>
          <cell r="B7829" t="str">
            <v>TFU-36JDAS</v>
          </cell>
          <cell r="O7829"/>
          <cell r="T7829"/>
        </row>
        <row r="7830">
          <cell r="A7830" t="str">
            <v>DIELECTRIC</v>
          </cell>
          <cell r="B7830" t="str">
            <v>TFU-36JDAS-55</v>
          </cell>
          <cell r="O7830"/>
          <cell r="T7830"/>
        </row>
        <row r="7831">
          <cell r="A7831" t="str">
            <v>DIELECTRIC</v>
          </cell>
          <cell r="B7831" t="str">
            <v>TFU-8DSC/VP-R 04</v>
          </cell>
          <cell r="O7831"/>
          <cell r="T7831"/>
        </row>
        <row r="7832">
          <cell r="A7832" t="str">
            <v>DIELECTRIC</v>
          </cell>
          <cell r="B7832" t="str">
            <v>TFU-WB-16</v>
          </cell>
          <cell r="O7832"/>
          <cell r="T7832"/>
        </row>
        <row r="7833">
          <cell r="A7833" t="str">
            <v>DIELECTRIC</v>
          </cell>
          <cell r="B7833" t="str">
            <v>THA-C3-6H/18HD-1-T</v>
          </cell>
          <cell r="O7833"/>
          <cell r="T7833"/>
        </row>
        <row r="7834">
          <cell r="A7834" t="str">
            <v>DIELECTRIC</v>
          </cell>
          <cell r="B7834" t="str">
            <v>TLP-08A-1E</v>
          </cell>
          <cell r="O7834"/>
          <cell r="T7834"/>
        </row>
        <row r="7835">
          <cell r="A7835" t="str">
            <v>DIELECTRIC</v>
          </cell>
          <cell r="B7835" t="str">
            <v>TLP-08B-1E</v>
          </cell>
          <cell r="O7835"/>
          <cell r="T7835"/>
        </row>
        <row r="7836">
          <cell r="A7836" t="str">
            <v>DIELECTRIC</v>
          </cell>
          <cell r="B7836" t="str">
            <v>TLP-08M-1E</v>
          </cell>
          <cell r="O7836"/>
          <cell r="T7836"/>
        </row>
        <row r="7837">
          <cell r="A7837" t="str">
            <v>DIELECTRIC</v>
          </cell>
          <cell r="B7837" t="str">
            <v>TLP-08P-1E</v>
          </cell>
          <cell r="O7837"/>
          <cell r="T7837"/>
        </row>
        <row r="7838">
          <cell r="A7838" t="str">
            <v>DIELECTRIC</v>
          </cell>
          <cell r="B7838" t="str">
            <v>TLP-08P-2E</v>
          </cell>
          <cell r="O7838"/>
          <cell r="T7838"/>
        </row>
        <row r="7839">
          <cell r="A7839" t="str">
            <v>DIELECTRIC</v>
          </cell>
          <cell r="B7839" t="str">
            <v>TLP-12</v>
          </cell>
          <cell r="O7839"/>
          <cell r="T7839"/>
        </row>
        <row r="7840">
          <cell r="A7840" t="str">
            <v>DIELECTRIC</v>
          </cell>
          <cell r="B7840" t="str">
            <v>TLP-12A/CP-R</v>
          </cell>
          <cell r="O7840"/>
          <cell r="T7840"/>
        </row>
        <row r="7841">
          <cell r="A7841" t="str">
            <v>DIELECTRIC</v>
          </cell>
          <cell r="B7841" t="str">
            <v>TLP-12A/VP-R</v>
          </cell>
          <cell r="O7841"/>
          <cell r="T7841"/>
        </row>
        <row r="7842">
          <cell r="A7842" t="str">
            <v>DIELECTRIC</v>
          </cell>
          <cell r="B7842" t="str">
            <v>TLP-12B/VP</v>
          </cell>
          <cell r="O7842"/>
          <cell r="T7842"/>
        </row>
        <row r="7843">
          <cell r="A7843" t="str">
            <v>DIELECTRIC</v>
          </cell>
          <cell r="B7843" t="str">
            <v>TLP-12M-1E</v>
          </cell>
          <cell r="O7843"/>
          <cell r="T7843"/>
        </row>
        <row r="7844">
          <cell r="A7844" t="str">
            <v>DIELECTRIC</v>
          </cell>
          <cell r="B7844" t="str">
            <v>TLP-12P-1E</v>
          </cell>
          <cell r="O7844"/>
          <cell r="T7844"/>
        </row>
        <row r="7845">
          <cell r="A7845" t="str">
            <v>DIELECTRIC</v>
          </cell>
          <cell r="B7845" t="str">
            <v>TLP-12W/VP-R</v>
          </cell>
          <cell r="O7845"/>
          <cell r="T7845"/>
        </row>
        <row r="7846">
          <cell r="A7846" t="str">
            <v>DIELECTRIC</v>
          </cell>
          <cell r="B7846" t="str">
            <v>TLP-12W_VP_20240228</v>
          </cell>
          <cell r="O7846"/>
          <cell r="T7846"/>
        </row>
        <row r="7847">
          <cell r="A7847" t="str">
            <v>DIELECTRIC</v>
          </cell>
          <cell r="B7847" t="str">
            <v>TLP-16</v>
          </cell>
          <cell r="O7847"/>
          <cell r="T7847"/>
        </row>
        <row r="7848">
          <cell r="A7848" t="str">
            <v>DIELECTRIC</v>
          </cell>
          <cell r="B7848" t="str">
            <v>TLP-16A</v>
          </cell>
          <cell r="O7848"/>
          <cell r="T7848"/>
        </row>
        <row r="7849">
          <cell r="A7849" t="str">
            <v>DIELECTRIC</v>
          </cell>
          <cell r="B7849" t="str">
            <v>TLP-16A-1E</v>
          </cell>
          <cell r="O7849"/>
          <cell r="T7849"/>
        </row>
        <row r="7850">
          <cell r="A7850" t="str">
            <v>DIELECTRIC</v>
          </cell>
          <cell r="B7850" t="str">
            <v>TLP-16A/CP-R</v>
          </cell>
          <cell r="O7850"/>
          <cell r="T7850"/>
        </row>
        <row r="7851">
          <cell r="A7851" t="str">
            <v>DIELECTRIC</v>
          </cell>
          <cell r="B7851" t="str">
            <v>TLP-16A/CR-R</v>
          </cell>
          <cell r="O7851"/>
          <cell r="T7851"/>
        </row>
        <row r="7852">
          <cell r="A7852" t="str">
            <v>DIELECTRIC</v>
          </cell>
          <cell r="B7852" t="str">
            <v>TLP-16B (C)</v>
          </cell>
          <cell r="O7852"/>
          <cell r="T7852"/>
        </row>
        <row r="7853">
          <cell r="A7853" t="str">
            <v>DIELECTRIC</v>
          </cell>
          <cell r="B7853" t="str">
            <v>TLP-16I/VP-R</v>
          </cell>
          <cell r="O7853"/>
          <cell r="T7853"/>
        </row>
        <row r="7854">
          <cell r="A7854" t="str">
            <v>DIELECTRIC</v>
          </cell>
          <cell r="B7854" t="str">
            <v>TLP-16J</v>
          </cell>
          <cell r="O7854"/>
          <cell r="T7854"/>
        </row>
        <row r="7855">
          <cell r="A7855" t="str">
            <v>DIELECTRIC</v>
          </cell>
          <cell r="B7855" t="str">
            <v>TLP-16M</v>
          </cell>
          <cell r="O7855"/>
          <cell r="T7855"/>
        </row>
        <row r="7856">
          <cell r="A7856" t="str">
            <v>DIELECTRIC</v>
          </cell>
          <cell r="B7856" t="str">
            <v>TLP-24A</v>
          </cell>
          <cell r="O7856"/>
          <cell r="T7856"/>
        </row>
        <row r="7857">
          <cell r="A7857" t="str">
            <v>DIELECTRIC</v>
          </cell>
          <cell r="B7857" t="str">
            <v>TLP-24A W/NULL FILL-2E</v>
          </cell>
          <cell r="O7857"/>
          <cell r="T7857"/>
        </row>
        <row r="7858">
          <cell r="A7858" t="str">
            <v>DIELECTRIC</v>
          </cell>
          <cell r="B7858" t="str">
            <v>TLP-24A/CP-R</v>
          </cell>
          <cell r="O7858"/>
          <cell r="T7858"/>
        </row>
        <row r="7859">
          <cell r="A7859" t="str">
            <v>DIELECTRIC</v>
          </cell>
          <cell r="B7859" t="str">
            <v>TLP-24J (C)</v>
          </cell>
          <cell r="O7859"/>
          <cell r="T7859"/>
        </row>
        <row r="7860">
          <cell r="A7860" t="str">
            <v>DIELECTRIC</v>
          </cell>
          <cell r="B7860" t="str">
            <v>TLP-24J-R</v>
          </cell>
          <cell r="O7860"/>
          <cell r="T7860"/>
        </row>
        <row r="7861">
          <cell r="A7861" t="str">
            <v>DIELECTRIC</v>
          </cell>
          <cell r="B7861" t="str">
            <v>TLP-24M</v>
          </cell>
          <cell r="O7861"/>
          <cell r="T7861"/>
        </row>
        <row r="7862">
          <cell r="A7862" t="str">
            <v>DIELECTRIC</v>
          </cell>
          <cell r="B7862" t="str">
            <v>TLP-4F_VP-R</v>
          </cell>
          <cell r="O7862"/>
          <cell r="T7862"/>
        </row>
        <row r="7863">
          <cell r="A7863" t="str">
            <v>DIELECTRIC</v>
          </cell>
          <cell r="B7863" t="str">
            <v>TLP-8</v>
          </cell>
          <cell r="O7863"/>
          <cell r="T7863"/>
        </row>
        <row r="7864">
          <cell r="A7864" t="str">
            <v>DIELECTRIC</v>
          </cell>
          <cell r="B7864" t="str">
            <v>TLP-8/CP-R C200 SP</v>
          </cell>
          <cell r="O7864"/>
          <cell r="T7864"/>
        </row>
        <row r="7865">
          <cell r="A7865" t="str">
            <v>DIELECTRIC</v>
          </cell>
          <cell r="B7865" t="str">
            <v>TLP-8/CP-R P250</v>
          </cell>
          <cell r="O7865"/>
          <cell r="T7865"/>
        </row>
        <row r="7866">
          <cell r="A7866" t="str">
            <v>DIELECTRIC</v>
          </cell>
          <cell r="B7866" t="str">
            <v>TLP-8A/VP-R</v>
          </cell>
          <cell r="O7866"/>
          <cell r="T7866"/>
        </row>
        <row r="7867">
          <cell r="A7867" t="str">
            <v>DIELECTRIC</v>
          </cell>
          <cell r="B7867" t="str">
            <v>TLP-8A/VP-R_20240506</v>
          </cell>
          <cell r="O7867"/>
          <cell r="T7867"/>
        </row>
        <row r="7868">
          <cell r="A7868" t="str">
            <v>DIELECTRIC</v>
          </cell>
          <cell r="B7868" t="str">
            <v>TLP-8M</v>
          </cell>
          <cell r="O7868"/>
          <cell r="T7868"/>
        </row>
        <row r="7869">
          <cell r="A7869" t="str">
            <v>DIELECTRIC</v>
          </cell>
          <cell r="B7869" t="str">
            <v>TLP-8M_CCIV2</v>
          </cell>
          <cell r="O7869"/>
          <cell r="T7869"/>
        </row>
        <row r="7870">
          <cell r="A7870" t="str">
            <v>DIELECTRIC</v>
          </cell>
          <cell r="B7870" t="str">
            <v>TLP-8W-R</v>
          </cell>
          <cell r="O7870"/>
          <cell r="T7870"/>
        </row>
        <row r="7871">
          <cell r="A7871" t="str">
            <v>DIELECTRIC</v>
          </cell>
          <cell r="B7871" t="str">
            <v>TLS-V4/VP-R</v>
          </cell>
          <cell r="O7871"/>
          <cell r="T7871"/>
        </row>
        <row r="7872">
          <cell r="A7872" t="str">
            <v>DIELECTRIC</v>
          </cell>
          <cell r="B7872" t="str">
            <v>TLS-V4M/VP-R OS</v>
          </cell>
          <cell r="O7872"/>
          <cell r="T7872"/>
        </row>
        <row r="7873">
          <cell r="A7873" t="str">
            <v>DIELECTRIC</v>
          </cell>
          <cell r="B7873" t="str">
            <v>TLSV12-BB</v>
          </cell>
          <cell r="O7873"/>
          <cell r="T7873"/>
        </row>
        <row r="7874">
          <cell r="A7874" t="str">
            <v>DIELECTRIC</v>
          </cell>
          <cell r="B7874" t="str">
            <v>TLSV4-BB</v>
          </cell>
          <cell r="O7874"/>
          <cell r="T7874"/>
        </row>
        <row r="7875">
          <cell r="A7875" t="str">
            <v>DIELECTRIC</v>
          </cell>
          <cell r="B7875" t="str">
            <v>TLSV8-BB</v>
          </cell>
          <cell r="O7875"/>
          <cell r="T7875"/>
        </row>
        <row r="7876">
          <cell r="A7876" t="str">
            <v>DIELECTRIC</v>
          </cell>
          <cell r="B7876" t="str">
            <v>TUA-C2-1/2M-1-K</v>
          </cell>
          <cell r="O7876"/>
          <cell r="T7876"/>
        </row>
        <row r="7877">
          <cell r="A7877" t="str">
            <v>DIELECTRIC</v>
          </cell>
          <cell r="B7877" t="str">
            <v>TUA-P4-4/10U-1 SM</v>
          </cell>
          <cell r="O7877"/>
          <cell r="T7877"/>
        </row>
        <row r="7878">
          <cell r="A7878" t="str">
            <v>DIELECTRIC</v>
          </cell>
          <cell r="B7878" t="str">
            <v>TUM-LP-C3-2/6M-1-K</v>
          </cell>
          <cell r="O7878"/>
          <cell r="T7878"/>
        </row>
        <row r="7879">
          <cell r="A7879" t="str">
            <v>DIELECTRIC</v>
          </cell>
          <cell r="B7879" t="str">
            <v>TUP-C4</v>
          </cell>
          <cell r="O7879"/>
          <cell r="T7879"/>
        </row>
        <row r="7880">
          <cell r="A7880" t="str">
            <v>DIELECTRIC</v>
          </cell>
          <cell r="B7880" t="str">
            <v>TUX</v>
          </cell>
          <cell r="O7880">
            <v>6.2750289351851896</v>
          </cell>
          <cell r="T7880">
            <v>7.8737441764216491</v>
          </cell>
        </row>
        <row r="7881">
          <cell r="A7881" t="str">
            <v>DIGITAL ANTENNA</v>
          </cell>
          <cell r="B7881" t="str">
            <v>288-PW</v>
          </cell>
          <cell r="O7881"/>
          <cell r="T7881"/>
        </row>
        <row r="7882">
          <cell r="A7882" t="str">
            <v>DIGITAL ANTENNA</v>
          </cell>
          <cell r="B7882" t="str">
            <v>457-DB</v>
          </cell>
          <cell r="O7882"/>
          <cell r="T7882"/>
        </row>
        <row r="7883">
          <cell r="A7883" t="str">
            <v>DMS WIRELESS</v>
          </cell>
          <cell r="B7883" t="str">
            <v>CPE7008VH-75F</v>
          </cell>
          <cell r="O7883"/>
          <cell r="T7883"/>
        </row>
        <row r="7884">
          <cell r="A7884" t="str">
            <v>DMS WIRELESS</v>
          </cell>
          <cell r="B7884" t="str">
            <v>PA90018014H</v>
          </cell>
          <cell r="O7884"/>
          <cell r="T7884"/>
        </row>
        <row r="7885">
          <cell r="A7885" t="str">
            <v>DOME &amp; MARGOLIN</v>
          </cell>
          <cell r="B7885" t="str">
            <v>DMN96-1/A</v>
          </cell>
          <cell r="O7885"/>
          <cell r="T7885"/>
        </row>
        <row r="7886">
          <cell r="A7886" t="str">
            <v>DOTWORKZ</v>
          </cell>
          <cell r="B7886" t="str">
            <v>D2</v>
          </cell>
          <cell r="O7886"/>
          <cell r="T7886"/>
        </row>
        <row r="7887">
          <cell r="A7887" t="str">
            <v>DRAGONWAVE</v>
          </cell>
          <cell r="B7887" t="str">
            <v>74-000128-01-01</v>
          </cell>
          <cell r="O7887"/>
          <cell r="T7887"/>
        </row>
        <row r="7888">
          <cell r="A7888" t="str">
            <v>DRAGONWAVE</v>
          </cell>
          <cell r="B7888" t="str">
            <v>74-000128-02-01</v>
          </cell>
          <cell r="O7888"/>
          <cell r="T7888"/>
        </row>
        <row r="7889">
          <cell r="A7889" t="str">
            <v>DRAGONWAVE</v>
          </cell>
          <cell r="B7889" t="str">
            <v>A-ANT-10G-1-C</v>
          </cell>
          <cell r="O7889"/>
          <cell r="T7889"/>
        </row>
        <row r="7890">
          <cell r="A7890" t="str">
            <v>DRAGONWAVE</v>
          </cell>
          <cell r="B7890" t="str">
            <v>A-ANT-11G-1-C</v>
          </cell>
          <cell r="O7890"/>
          <cell r="T7890"/>
        </row>
        <row r="7891">
          <cell r="A7891" t="str">
            <v>DRAGONWAVE</v>
          </cell>
          <cell r="B7891" t="str">
            <v>A-ANT-11G-2-C</v>
          </cell>
          <cell r="O7891"/>
          <cell r="T7891"/>
        </row>
        <row r="7892">
          <cell r="A7892" t="str">
            <v>DRAGONWAVE</v>
          </cell>
          <cell r="B7892" t="str">
            <v>A-ANT-11G-2-C_CCIV2</v>
          </cell>
          <cell r="O7892"/>
          <cell r="T7892"/>
        </row>
        <row r="7893">
          <cell r="A7893" t="str">
            <v>DRAGONWAVE</v>
          </cell>
          <cell r="B7893" t="str">
            <v>A-ANT-11G-2.5-C</v>
          </cell>
          <cell r="O7893"/>
          <cell r="T7893"/>
        </row>
        <row r="7894">
          <cell r="A7894" t="str">
            <v>DRAGONWAVE</v>
          </cell>
          <cell r="B7894" t="str">
            <v>A-ANT-11G-3-C</v>
          </cell>
          <cell r="O7894"/>
          <cell r="T7894"/>
        </row>
        <row r="7895">
          <cell r="A7895" t="str">
            <v>DRAGONWAVE</v>
          </cell>
          <cell r="B7895" t="str">
            <v>A-ANT-11G-30-C-A</v>
          </cell>
          <cell r="O7895"/>
          <cell r="T7895"/>
        </row>
        <row r="7896">
          <cell r="A7896" t="str">
            <v>DRAGONWAVE</v>
          </cell>
          <cell r="B7896" t="str">
            <v>A-ANT-11G-4-C</v>
          </cell>
          <cell r="O7896"/>
          <cell r="T7896"/>
        </row>
        <row r="7897">
          <cell r="A7897" t="str">
            <v>DRAGONWAVE</v>
          </cell>
          <cell r="B7897" t="str">
            <v>A-ANT-11G-48-C-A</v>
          </cell>
          <cell r="O7897"/>
          <cell r="T7897"/>
        </row>
        <row r="7898">
          <cell r="A7898" t="str">
            <v>DRAGONWAVE</v>
          </cell>
          <cell r="B7898" t="str">
            <v>A-ANT-11G-6-C</v>
          </cell>
          <cell r="O7898"/>
          <cell r="T7898"/>
        </row>
        <row r="7899">
          <cell r="A7899" t="str">
            <v>DRAGONWAVE</v>
          </cell>
          <cell r="B7899" t="str">
            <v>A-ANT-12G-2-C</v>
          </cell>
          <cell r="O7899"/>
          <cell r="T7899"/>
        </row>
        <row r="7900">
          <cell r="A7900" t="str">
            <v>DRAGONWAVE</v>
          </cell>
          <cell r="B7900" t="str">
            <v>A-ANT-12G-2.5C</v>
          </cell>
          <cell r="O7900"/>
          <cell r="T7900"/>
        </row>
        <row r="7901">
          <cell r="A7901" t="str">
            <v>DRAGONWAVE</v>
          </cell>
          <cell r="B7901" t="str">
            <v>A-ANT-13G-2-C</v>
          </cell>
          <cell r="O7901"/>
          <cell r="T7901"/>
        </row>
        <row r="7902">
          <cell r="A7902" t="str">
            <v>DRAGONWAVE</v>
          </cell>
          <cell r="B7902" t="str">
            <v>A-ANT-13G-3-C</v>
          </cell>
          <cell r="O7902"/>
          <cell r="T7902"/>
        </row>
        <row r="7903">
          <cell r="A7903" t="str">
            <v>DRAGONWAVE</v>
          </cell>
          <cell r="B7903" t="str">
            <v>A-ANT-13G-4-C</v>
          </cell>
          <cell r="O7903"/>
          <cell r="T7903"/>
        </row>
        <row r="7904">
          <cell r="A7904" t="str">
            <v>DRAGONWAVE</v>
          </cell>
          <cell r="B7904" t="str">
            <v>A-ANT-15G-2-C</v>
          </cell>
          <cell r="O7904"/>
          <cell r="T7904"/>
        </row>
        <row r="7905">
          <cell r="A7905" t="str">
            <v>DRAGONWAVE</v>
          </cell>
          <cell r="B7905" t="str">
            <v>A-ANT-15G-6-C</v>
          </cell>
          <cell r="O7905"/>
          <cell r="T7905"/>
        </row>
        <row r="7906">
          <cell r="A7906" t="str">
            <v>DRAGONWAVE</v>
          </cell>
          <cell r="B7906" t="str">
            <v>A-ANT-18G-1-C</v>
          </cell>
          <cell r="O7906"/>
          <cell r="T7906"/>
        </row>
        <row r="7907">
          <cell r="A7907" t="str">
            <v>DRAGONWAVE</v>
          </cell>
          <cell r="B7907" t="str">
            <v>A-ANT-18G-2-C</v>
          </cell>
          <cell r="O7907"/>
          <cell r="T7907"/>
        </row>
        <row r="7908">
          <cell r="A7908" t="str">
            <v>DRAGONWAVE</v>
          </cell>
          <cell r="B7908" t="str">
            <v>A-ANT-18G-2.5-C</v>
          </cell>
          <cell r="O7908"/>
          <cell r="T7908"/>
        </row>
        <row r="7909">
          <cell r="A7909" t="str">
            <v>DRAGONWAVE</v>
          </cell>
          <cell r="B7909" t="str">
            <v>A-ANT-18G-24-C-A</v>
          </cell>
          <cell r="O7909"/>
          <cell r="T7909"/>
        </row>
        <row r="7910">
          <cell r="A7910" t="str">
            <v>DRAGONWAVE</v>
          </cell>
          <cell r="B7910" t="str">
            <v>A-ANT-18G-24-C-A W/RADOME</v>
          </cell>
          <cell r="O7910"/>
          <cell r="T7910"/>
        </row>
        <row r="7911">
          <cell r="A7911" t="str">
            <v>DRAGONWAVE</v>
          </cell>
          <cell r="B7911" t="str">
            <v>A-ANT-18G-24-C-A W/SHROUD</v>
          </cell>
          <cell r="O7911"/>
          <cell r="T7911"/>
        </row>
        <row r="7912">
          <cell r="A7912" t="str">
            <v>DRAGONWAVE</v>
          </cell>
          <cell r="B7912" t="str">
            <v>A-ANT-18G-3-C</v>
          </cell>
          <cell r="O7912"/>
          <cell r="T7912"/>
        </row>
        <row r="7913">
          <cell r="A7913" t="str">
            <v>DRAGONWAVE</v>
          </cell>
          <cell r="B7913" t="str">
            <v>A-ANT-18G-30-C</v>
          </cell>
          <cell r="O7913"/>
          <cell r="T7913"/>
        </row>
        <row r="7914">
          <cell r="A7914" t="str">
            <v>DRAGONWAVE</v>
          </cell>
          <cell r="B7914" t="str">
            <v>A-ANT-23G-1-C</v>
          </cell>
          <cell r="O7914"/>
          <cell r="T7914"/>
        </row>
        <row r="7915">
          <cell r="A7915" t="str">
            <v>DRAGONWAVE</v>
          </cell>
          <cell r="B7915" t="str">
            <v>A-ANT-23G-12-C</v>
          </cell>
          <cell r="O7915"/>
          <cell r="T7915"/>
        </row>
        <row r="7916">
          <cell r="A7916" t="str">
            <v>DRAGONWAVE</v>
          </cell>
          <cell r="B7916" t="str">
            <v>A-ANT-23G-2-C</v>
          </cell>
          <cell r="O7916"/>
          <cell r="T7916"/>
        </row>
        <row r="7917">
          <cell r="A7917" t="str">
            <v>DRAGONWAVE</v>
          </cell>
          <cell r="B7917" t="str">
            <v>A-ANT-23G-2.5-C</v>
          </cell>
          <cell r="O7917"/>
          <cell r="T7917"/>
        </row>
        <row r="7918">
          <cell r="A7918" t="str">
            <v>DRAGONWAVE</v>
          </cell>
          <cell r="B7918" t="str">
            <v>A-ANT-24G-06-C</v>
          </cell>
          <cell r="O7918"/>
          <cell r="T7918"/>
        </row>
        <row r="7919">
          <cell r="A7919" t="str">
            <v>DRAGONWAVE</v>
          </cell>
          <cell r="B7919" t="str">
            <v>A-ANT-24U-1-C</v>
          </cell>
          <cell r="O7919"/>
          <cell r="T7919"/>
        </row>
        <row r="7920">
          <cell r="A7920" t="str">
            <v>DRAGONWAVE</v>
          </cell>
          <cell r="B7920" t="str">
            <v>A-ANT-26G-2-C</v>
          </cell>
          <cell r="O7920"/>
          <cell r="T7920"/>
        </row>
        <row r="7921">
          <cell r="A7921" t="str">
            <v>DRAGONWAVE</v>
          </cell>
          <cell r="B7921" t="str">
            <v>A-ANT-26G-2.5-C</v>
          </cell>
          <cell r="O7921"/>
          <cell r="T7921"/>
        </row>
        <row r="7922">
          <cell r="A7922" t="str">
            <v>DRAGONWAVE</v>
          </cell>
          <cell r="B7922" t="str">
            <v>A-ANT-28G-06-C</v>
          </cell>
          <cell r="O7922"/>
          <cell r="T7922"/>
        </row>
        <row r="7923">
          <cell r="A7923" t="str">
            <v>DRAGONWAVE</v>
          </cell>
          <cell r="B7923" t="str">
            <v>A-ANT-28G-1-C</v>
          </cell>
          <cell r="O7923"/>
          <cell r="T7923"/>
        </row>
        <row r="7924">
          <cell r="A7924" t="str">
            <v>DRAGONWAVE</v>
          </cell>
          <cell r="B7924" t="str">
            <v>A-ANT-28G-2-C</v>
          </cell>
          <cell r="O7924"/>
          <cell r="T7924"/>
        </row>
        <row r="7925">
          <cell r="A7925" t="str">
            <v>DRAGONWAVE</v>
          </cell>
          <cell r="B7925" t="str">
            <v>A-ANT-38G-2-C</v>
          </cell>
          <cell r="O7925"/>
          <cell r="T7925"/>
        </row>
        <row r="7926">
          <cell r="A7926" t="str">
            <v>DRAGONWAVE</v>
          </cell>
          <cell r="B7926" t="str">
            <v>A-ANT-6G-6-C</v>
          </cell>
          <cell r="O7926"/>
          <cell r="T7926"/>
        </row>
        <row r="7927">
          <cell r="A7927" t="str">
            <v>DRAGONWAVE</v>
          </cell>
          <cell r="B7927" t="str">
            <v>AIRPAIR 12</v>
          </cell>
          <cell r="O7927"/>
          <cell r="T7927"/>
        </row>
        <row r="7928">
          <cell r="A7928" t="str">
            <v>DRAGONWAVE</v>
          </cell>
          <cell r="B7928" t="str">
            <v>AIRPAIR 24</v>
          </cell>
          <cell r="O7928"/>
          <cell r="T7928"/>
        </row>
        <row r="7929">
          <cell r="A7929" t="str">
            <v>DRAGONWAVE</v>
          </cell>
          <cell r="B7929" t="str">
            <v>AIRPAIR100</v>
          </cell>
          <cell r="O7929"/>
          <cell r="T7929"/>
        </row>
        <row r="7930">
          <cell r="A7930" t="str">
            <v>DRAGONWAVE</v>
          </cell>
          <cell r="B7930" t="str">
            <v>AVENUE LINK</v>
          </cell>
          <cell r="O7930"/>
          <cell r="T7930"/>
        </row>
        <row r="7931">
          <cell r="A7931" t="str">
            <v>DRAGONWAVE</v>
          </cell>
          <cell r="B7931" t="str">
            <v>DW55A11.06</v>
          </cell>
          <cell r="O7931"/>
          <cell r="T7931"/>
        </row>
        <row r="7932">
          <cell r="A7932" t="str">
            <v>DRAGONWAVE</v>
          </cell>
          <cell r="B7932" t="str">
            <v>HARMONY ENHANCED MC_CCIV2</v>
          </cell>
          <cell r="O7932"/>
          <cell r="T7932"/>
        </row>
        <row r="7933">
          <cell r="A7933" t="str">
            <v>DRAGONWAVE</v>
          </cell>
          <cell r="B7933" t="str">
            <v>HORIZON S-SERIES INTEGRATED</v>
          </cell>
          <cell r="O7933"/>
          <cell r="T7933"/>
        </row>
        <row r="7934">
          <cell r="A7934" t="str">
            <v>DRAGONWAVE</v>
          </cell>
          <cell r="B7934" t="str">
            <v>TME-AIRPAIR ODU</v>
          </cell>
          <cell r="O7934"/>
          <cell r="T7934"/>
        </row>
        <row r="7935">
          <cell r="A7935" t="str">
            <v>E-BAND COMMUNICATIONS</v>
          </cell>
          <cell r="B7935" t="str">
            <v>ANT-200-0060</v>
          </cell>
          <cell r="O7935"/>
          <cell r="T7935"/>
        </row>
        <row r="7936">
          <cell r="A7936" t="str">
            <v>E-BAND COMMUNICATIONS</v>
          </cell>
          <cell r="B7936" t="str">
            <v>E-LINK 1000EXR-1FT</v>
          </cell>
          <cell r="O7936"/>
          <cell r="T7936"/>
        </row>
        <row r="7937">
          <cell r="A7937" t="str">
            <v>E-BAND COMMUNICATIONS</v>
          </cell>
          <cell r="B7937" t="str">
            <v>E-LINK 1000EXR-2FT</v>
          </cell>
          <cell r="O7937"/>
          <cell r="T7937"/>
        </row>
        <row r="7938">
          <cell r="A7938" t="str">
            <v>EATON</v>
          </cell>
          <cell r="B7938" t="str">
            <v>CRTK-A</v>
          </cell>
          <cell r="O7938"/>
          <cell r="T7938"/>
        </row>
        <row r="7939">
          <cell r="A7939" t="str">
            <v>ELECTRONICS RESEARCH INC</v>
          </cell>
          <cell r="B7939" t="str">
            <v>100A-4F-HW</v>
          </cell>
          <cell r="O7939"/>
          <cell r="T7939"/>
        </row>
        <row r="7940">
          <cell r="A7940" t="str">
            <v>ELECTRONICS RESEARCH INC</v>
          </cell>
          <cell r="B7940" t="str">
            <v>AL8OC-14-E</v>
          </cell>
          <cell r="O7940"/>
          <cell r="T7940"/>
        </row>
        <row r="7941">
          <cell r="A7941" t="str">
            <v>ELECTRONICS RESEARCH INC</v>
          </cell>
          <cell r="B7941" t="str">
            <v>IA39437-1</v>
          </cell>
          <cell r="O7941"/>
          <cell r="T7941"/>
        </row>
        <row r="7942">
          <cell r="A7942" t="str">
            <v>ELECTRONICS RESEARCH INC</v>
          </cell>
          <cell r="B7942" t="str">
            <v>ISA12-08S</v>
          </cell>
          <cell r="O7942"/>
          <cell r="T7942"/>
        </row>
        <row r="7943">
          <cell r="A7943" t="str">
            <v>ELECTRONICS RESEARCH INC</v>
          </cell>
          <cell r="B7943" t="str">
            <v>LP-6E</v>
          </cell>
          <cell r="O7943"/>
          <cell r="T7943"/>
        </row>
        <row r="7944">
          <cell r="A7944" t="str">
            <v>ELECTRONICS RESEARCH INC</v>
          </cell>
          <cell r="B7944" t="str">
            <v>LPX-3E</v>
          </cell>
          <cell r="O7944"/>
          <cell r="T7944"/>
        </row>
        <row r="7945">
          <cell r="A7945" t="str">
            <v>ELECTRONICS RESEARCH INC</v>
          </cell>
          <cell r="B7945" t="str">
            <v>P300-3AE</v>
          </cell>
          <cell r="O7945"/>
          <cell r="T7945"/>
        </row>
        <row r="7946">
          <cell r="A7946" t="str">
            <v>ELECTRONICS RESEARCH INC</v>
          </cell>
          <cell r="B7946" t="str">
            <v>SHPX-4AE-HW-DA</v>
          </cell>
          <cell r="O7946"/>
          <cell r="T7946"/>
        </row>
        <row r="7947">
          <cell r="A7947" t="str">
            <v>EM WAVE INC</v>
          </cell>
          <cell r="B7947" t="str">
            <v>073-0010</v>
          </cell>
          <cell r="O7947"/>
          <cell r="T7947"/>
        </row>
        <row r="7948">
          <cell r="A7948" t="str">
            <v>EM WAVE INC</v>
          </cell>
          <cell r="B7948" t="str">
            <v>073-0010_CCIV2</v>
          </cell>
          <cell r="O7948"/>
          <cell r="T7948"/>
        </row>
        <row r="7949">
          <cell r="A7949" t="str">
            <v>EMPTY</v>
          </cell>
          <cell r="B7949" t="str">
            <v>EMPTY_MOUNT</v>
          </cell>
          <cell r="O7949"/>
          <cell r="T7949"/>
        </row>
        <row r="7950">
          <cell r="A7950" t="str">
            <v>EMPTY</v>
          </cell>
          <cell r="B7950" t="str">
            <v>TME_MOUNT</v>
          </cell>
          <cell r="O7950"/>
          <cell r="T7950"/>
        </row>
        <row r="7951">
          <cell r="A7951" t="str">
            <v>EMS WIRELESS</v>
          </cell>
          <cell r="B7951" t="str">
            <v>105-10-00NAS</v>
          </cell>
          <cell r="O7951"/>
          <cell r="T7951"/>
        </row>
        <row r="7952">
          <cell r="A7952" t="str">
            <v>EMS WIRELESS</v>
          </cell>
          <cell r="B7952" t="str">
            <v>17020</v>
          </cell>
          <cell r="O7952"/>
          <cell r="T7952"/>
        </row>
        <row r="7953">
          <cell r="A7953" t="str">
            <v>EMS WIRELESS</v>
          </cell>
          <cell r="B7953" t="str">
            <v>1702D</v>
          </cell>
          <cell r="O7953"/>
          <cell r="T7953"/>
        </row>
        <row r="7954">
          <cell r="A7954" t="str">
            <v>EMS WIRELESS</v>
          </cell>
          <cell r="B7954" t="str">
            <v>18-90M2400</v>
          </cell>
          <cell r="O7954"/>
          <cell r="T7954"/>
        </row>
        <row r="7955">
          <cell r="A7955" t="str">
            <v>EMS WIRELESS</v>
          </cell>
          <cell r="B7955" t="str">
            <v>19-ACCELLERATOR</v>
          </cell>
          <cell r="O7955"/>
          <cell r="T7955"/>
        </row>
        <row r="7956">
          <cell r="A7956" t="str">
            <v>EMS WIRELESS</v>
          </cell>
          <cell r="B7956" t="str">
            <v>5651300NR2</v>
          </cell>
          <cell r="O7956"/>
          <cell r="T7956"/>
        </row>
        <row r="7957">
          <cell r="A7957" t="str">
            <v>EMS WIRELESS</v>
          </cell>
          <cell r="B7957" t="str">
            <v>601352-8020C</v>
          </cell>
          <cell r="O7957"/>
          <cell r="T7957"/>
        </row>
        <row r="7958">
          <cell r="A7958" t="str">
            <v>EMS WIRELESS</v>
          </cell>
          <cell r="B7958" t="str">
            <v>603582-R06500C</v>
          </cell>
          <cell r="O7958"/>
          <cell r="T7958"/>
        </row>
        <row r="7959">
          <cell r="A7959" t="str">
            <v>EMS WIRELESS</v>
          </cell>
          <cell r="B7959" t="str">
            <v>79000-46A</v>
          </cell>
          <cell r="O7959"/>
          <cell r="T7959"/>
        </row>
        <row r="7960">
          <cell r="A7960" t="str">
            <v>EMS WIRELESS</v>
          </cell>
          <cell r="B7960" t="str">
            <v>8V901200DRL2</v>
          </cell>
          <cell r="O7960"/>
          <cell r="T7960"/>
        </row>
        <row r="7961">
          <cell r="A7961" t="str">
            <v>EMS WIRELESS</v>
          </cell>
          <cell r="B7961" t="str">
            <v>90-12-05NA</v>
          </cell>
          <cell r="O7961"/>
          <cell r="T7961"/>
        </row>
        <row r="7962">
          <cell r="A7962" t="str">
            <v>EMS WIRELESS</v>
          </cell>
          <cell r="B7962" t="str">
            <v>90-12-10N-A</v>
          </cell>
          <cell r="O7962"/>
          <cell r="T7962"/>
        </row>
        <row r="7963">
          <cell r="A7963" t="str">
            <v>EMS WIRELESS</v>
          </cell>
          <cell r="B7963" t="str">
            <v>90-12-10NAS</v>
          </cell>
          <cell r="O7963"/>
          <cell r="T7963"/>
        </row>
        <row r="7964">
          <cell r="A7964" t="str">
            <v>EMS WIRELESS</v>
          </cell>
          <cell r="B7964" t="str">
            <v>90-17-00DP</v>
          </cell>
          <cell r="O7964"/>
          <cell r="T7964"/>
        </row>
        <row r="7965">
          <cell r="A7965" t="str">
            <v>EMS WIRELESS</v>
          </cell>
          <cell r="B7965" t="str">
            <v>DR33-18-04DPL4</v>
          </cell>
          <cell r="O7965">
            <v>7.0196554369999991</v>
          </cell>
          <cell r="T7965">
            <v>2.6745108289999999</v>
          </cell>
        </row>
        <row r="7966">
          <cell r="A7966" t="str">
            <v>EMS WIRELESS</v>
          </cell>
          <cell r="B7966" t="str">
            <v>DR65-12-00DBL</v>
          </cell>
          <cell r="O7966">
            <v>11.18565074</v>
          </cell>
          <cell r="T7966">
            <v>6.7353053039999988</v>
          </cell>
        </row>
        <row r="7967">
          <cell r="A7967" t="str">
            <v>EMS WIRELESS</v>
          </cell>
          <cell r="B7967" t="str">
            <v>DR65-12-00NBL</v>
          </cell>
          <cell r="O7967">
            <v>11.18565074</v>
          </cell>
          <cell r="T7967">
            <v>6.7353053039999988</v>
          </cell>
        </row>
        <row r="7968">
          <cell r="A7968" t="str">
            <v>EMS WIRELESS</v>
          </cell>
          <cell r="B7968" t="str">
            <v>DR65-12-05DBL</v>
          </cell>
          <cell r="O7968">
            <v>11.18565074</v>
          </cell>
          <cell r="T7968">
            <v>6.7353053039999988</v>
          </cell>
        </row>
        <row r="7969">
          <cell r="A7969" t="str">
            <v>EMS WIRELESS</v>
          </cell>
          <cell r="B7969" t="str">
            <v>DR65-12-05NBL</v>
          </cell>
          <cell r="O7969">
            <v>11.18565074</v>
          </cell>
          <cell r="T7969">
            <v>6.7353053039999988</v>
          </cell>
        </row>
        <row r="7970">
          <cell r="A7970" t="str">
            <v>EMS WIRELESS</v>
          </cell>
          <cell r="B7970" t="str">
            <v>DR65-15-00DPL2</v>
          </cell>
          <cell r="O7970">
            <v>4.5185361789999998</v>
          </cell>
          <cell r="T7970">
            <v>1.541157745</v>
          </cell>
        </row>
        <row r="7971">
          <cell r="A7971" t="str">
            <v>EMS WIRELESS</v>
          </cell>
          <cell r="B7971" t="str">
            <v>DR65-15-02DPL2</v>
          </cell>
          <cell r="O7971">
            <v>4.5185361789999998</v>
          </cell>
          <cell r="T7971">
            <v>1.541157745</v>
          </cell>
        </row>
        <row r="7972">
          <cell r="A7972" t="str">
            <v>EMS WIRELESS</v>
          </cell>
          <cell r="B7972" t="str">
            <v>DR65-15-04DPL2</v>
          </cell>
          <cell r="O7972">
            <v>4.5185361789999998</v>
          </cell>
          <cell r="T7972">
            <v>1.541157745</v>
          </cell>
        </row>
        <row r="7973">
          <cell r="A7973" t="str">
            <v>EMS WIRELESS</v>
          </cell>
          <cell r="B7973" t="str">
            <v>DR65-18-00DP</v>
          </cell>
          <cell r="O7973">
            <v>9.5231970520000004</v>
          </cell>
          <cell r="T7973">
            <v>3.230200768</v>
          </cell>
        </row>
        <row r="7974">
          <cell r="A7974" t="str">
            <v>EMS WIRELESS</v>
          </cell>
          <cell r="B7974" t="str">
            <v>DR65-18-00DPL2</v>
          </cell>
          <cell r="O7974">
            <v>9.5231970520000004</v>
          </cell>
          <cell r="T7974">
            <v>3.230200768</v>
          </cell>
        </row>
        <row r="7975">
          <cell r="A7975" t="str">
            <v>EMS WIRELESS</v>
          </cell>
          <cell r="B7975" t="str">
            <v>DR65-18-00DPL2Q</v>
          </cell>
          <cell r="O7975">
            <v>6.2577839480000002</v>
          </cell>
          <cell r="T7975">
            <v>2.3858247690000001</v>
          </cell>
        </row>
        <row r="7976">
          <cell r="A7976" t="str">
            <v>EMS WIRELESS</v>
          </cell>
          <cell r="B7976" t="str">
            <v>DR65-18-02DP</v>
          </cell>
          <cell r="O7976">
            <v>9.5231970520000004</v>
          </cell>
          <cell r="T7976">
            <v>3.230200768</v>
          </cell>
        </row>
        <row r="7977">
          <cell r="A7977" t="str">
            <v>EMS WIRELESS</v>
          </cell>
          <cell r="B7977" t="str">
            <v>DR65-18-02DPL2Q</v>
          </cell>
          <cell r="O7977">
            <v>6.2577839480000002</v>
          </cell>
          <cell r="T7977">
            <v>2.3858247690000001</v>
          </cell>
        </row>
        <row r="7978">
          <cell r="A7978" t="str">
            <v>EMS WIRELESS</v>
          </cell>
          <cell r="B7978" t="str">
            <v>DR65-18-02NPL2Q</v>
          </cell>
          <cell r="O7978">
            <v>6.2577839480000002</v>
          </cell>
          <cell r="T7978">
            <v>2.3858247690000001</v>
          </cell>
        </row>
        <row r="7979">
          <cell r="A7979" t="str">
            <v>EMS WIRELESS</v>
          </cell>
          <cell r="B7979" t="str">
            <v>DR65-18-04DPL2Q</v>
          </cell>
          <cell r="O7979">
            <v>6.2577839480000002</v>
          </cell>
          <cell r="T7979">
            <v>2.3858247690000001</v>
          </cell>
        </row>
        <row r="7980">
          <cell r="A7980" t="str">
            <v>EMS WIRELESS</v>
          </cell>
          <cell r="B7980" t="str">
            <v>DR65-18-06DPL2Q</v>
          </cell>
          <cell r="O7980">
            <v>6.2577839480000002</v>
          </cell>
          <cell r="T7980">
            <v>2.3858247690000001</v>
          </cell>
        </row>
        <row r="7981">
          <cell r="A7981" t="str">
            <v>EMS WIRELESS</v>
          </cell>
          <cell r="B7981" t="str">
            <v>DR65-19-00DPQ</v>
          </cell>
          <cell r="O7981">
            <v>8.5377398580000001</v>
          </cell>
          <cell r="T7981">
            <v>3.2421234549999998</v>
          </cell>
        </row>
        <row r="7982">
          <cell r="A7982" t="str">
            <v>EMS WIRELESS</v>
          </cell>
          <cell r="B7982" t="str">
            <v>DR65-19-02DPQ</v>
          </cell>
          <cell r="O7982">
            <v>8.3140713690771602</v>
          </cell>
          <cell r="T7982">
            <v>3.1580193207335503</v>
          </cell>
        </row>
        <row r="7983">
          <cell r="A7983" t="str">
            <v>EMS WIRELESS</v>
          </cell>
          <cell r="B7983" t="str">
            <v>DR65-19-04DPQ</v>
          </cell>
          <cell r="O7983">
            <v>8.5377398580000001</v>
          </cell>
          <cell r="T7983">
            <v>3.2421234549999998</v>
          </cell>
        </row>
        <row r="7984">
          <cell r="A7984" t="str">
            <v>EMS WIRELESS</v>
          </cell>
          <cell r="B7984" t="str">
            <v>DR65-19-06DPQ</v>
          </cell>
          <cell r="O7984">
            <v>8.5377398580000001</v>
          </cell>
          <cell r="T7984">
            <v>3.2421234549999998</v>
          </cell>
        </row>
        <row r="7985">
          <cell r="A7985" t="str">
            <v>EMS WIRELESS</v>
          </cell>
          <cell r="B7985" t="str">
            <v>DR65-19-VDPQ/-R</v>
          </cell>
          <cell r="O7985">
            <v>10.520448243054</v>
          </cell>
          <cell r="T7985">
            <v>3.2125054881177095</v>
          </cell>
        </row>
        <row r="7986">
          <cell r="A7986" t="str">
            <v>EMS WIRELESS</v>
          </cell>
          <cell r="B7986" t="str">
            <v>DR65-19-XXDPQ</v>
          </cell>
          <cell r="O7986">
            <v>8.5377398580000001</v>
          </cell>
          <cell r="T7986">
            <v>3.2421234549999998</v>
          </cell>
        </row>
        <row r="7987">
          <cell r="A7987" t="str">
            <v>EMS WIRELESS</v>
          </cell>
          <cell r="B7987" t="str">
            <v>DR85-17-00DPL2Q</v>
          </cell>
          <cell r="O7987">
            <v>6.2577839480000002</v>
          </cell>
          <cell r="T7987">
            <v>2.3858247690000001</v>
          </cell>
        </row>
        <row r="7988">
          <cell r="A7988" t="str">
            <v>EMS WIRELESS</v>
          </cell>
          <cell r="B7988" t="str">
            <v>DR85-17-02DPL2Q</v>
          </cell>
          <cell r="O7988">
            <v>6.2577839480000002</v>
          </cell>
          <cell r="T7988">
            <v>2.3858247690000001</v>
          </cell>
        </row>
        <row r="7989">
          <cell r="A7989" t="str">
            <v>EMS WIRELESS</v>
          </cell>
          <cell r="B7989" t="str">
            <v>DR85-17-04DPL2Q</v>
          </cell>
          <cell r="O7989">
            <v>6.2577839480000002</v>
          </cell>
          <cell r="T7989">
            <v>2.3858247690000001</v>
          </cell>
        </row>
        <row r="7990">
          <cell r="A7990" t="str">
            <v>EMS WIRELESS</v>
          </cell>
          <cell r="B7990" t="str">
            <v>DR85-17-06DPL2Q</v>
          </cell>
          <cell r="O7990">
            <v>6.2577839480000002</v>
          </cell>
          <cell r="T7990">
            <v>2.3858247690000001</v>
          </cell>
        </row>
        <row r="7991">
          <cell r="A7991" t="str">
            <v>EMS WIRELESS</v>
          </cell>
          <cell r="B7991" t="str">
            <v>DR90-11-00DBL</v>
          </cell>
          <cell r="O7991">
            <v>11.18565074</v>
          </cell>
          <cell r="T7991">
            <v>6.7353053039999988</v>
          </cell>
        </row>
        <row r="7992">
          <cell r="A7992" t="str">
            <v>EMS WIRELESS</v>
          </cell>
          <cell r="B7992" t="str">
            <v>DR90-11-00NBL</v>
          </cell>
          <cell r="O7992">
            <v>11.18565074</v>
          </cell>
          <cell r="T7992">
            <v>6.7353053039999988</v>
          </cell>
        </row>
        <row r="7993">
          <cell r="A7993" t="str">
            <v>EMS WIRELESS</v>
          </cell>
          <cell r="B7993" t="str">
            <v>DR90-11-05DBL</v>
          </cell>
          <cell r="O7993">
            <v>11.18565074</v>
          </cell>
          <cell r="T7993">
            <v>6.7353053039999988</v>
          </cell>
        </row>
        <row r="7994">
          <cell r="A7994" t="str">
            <v>EMS WIRELESS</v>
          </cell>
          <cell r="B7994" t="str">
            <v>DR90-11-05NBL</v>
          </cell>
          <cell r="O7994">
            <v>11.18565074</v>
          </cell>
          <cell r="T7994">
            <v>6.7353053039999988</v>
          </cell>
        </row>
        <row r="7995">
          <cell r="A7995" t="str">
            <v>EMS WIRELESS</v>
          </cell>
          <cell r="B7995" t="str">
            <v>DR90-14-00DPL2</v>
          </cell>
          <cell r="O7995">
            <v>4.5185361789999998</v>
          </cell>
          <cell r="T7995">
            <v>1.541157745</v>
          </cell>
        </row>
        <row r="7996">
          <cell r="A7996" t="str">
            <v>EMS WIRELESS</v>
          </cell>
          <cell r="B7996" t="str">
            <v>DR90-17-00DP</v>
          </cell>
          <cell r="O7996">
            <v>9.5231970520000004</v>
          </cell>
          <cell r="T7996">
            <v>3.230200768</v>
          </cell>
        </row>
        <row r="7997">
          <cell r="A7997" t="str">
            <v>EMS WIRELESS</v>
          </cell>
          <cell r="B7997" t="str">
            <v>DR90-17-00NP</v>
          </cell>
          <cell r="O7997">
            <v>9.5231970520000004</v>
          </cell>
          <cell r="T7997">
            <v>3.230200768</v>
          </cell>
        </row>
        <row r="7998">
          <cell r="A7998" t="str">
            <v>EMS WIRELESS</v>
          </cell>
          <cell r="B7998" t="str">
            <v>DR90-17-02DP</v>
          </cell>
          <cell r="O7998">
            <v>9.5231970520000004</v>
          </cell>
          <cell r="T7998">
            <v>3.230200768</v>
          </cell>
        </row>
        <row r="7999">
          <cell r="A7999" t="str">
            <v>EMS WIRELESS</v>
          </cell>
          <cell r="B7999" t="str">
            <v>DR90-17-02NP</v>
          </cell>
          <cell r="O7999">
            <v>9.5231970520000004</v>
          </cell>
          <cell r="T7999">
            <v>3.230200768</v>
          </cell>
        </row>
        <row r="8000">
          <cell r="A8000" t="str">
            <v>EMS WIRELESS</v>
          </cell>
          <cell r="B8000" t="str">
            <v>EMS 6431</v>
          </cell>
          <cell r="O8000"/>
          <cell r="T8000"/>
        </row>
        <row r="8001">
          <cell r="A8001" t="str">
            <v>EMS WIRELESS</v>
          </cell>
          <cell r="B8001" t="str">
            <v>EMS90-12-00NA</v>
          </cell>
          <cell r="O8001"/>
          <cell r="T8001"/>
        </row>
        <row r="8002">
          <cell r="A8002" t="str">
            <v>EMS WIRELESS</v>
          </cell>
          <cell r="B8002" t="str">
            <v>ES40-11-00NA</v>
          </cell>
          <cell r="O8002"/>
          <cell r="T8002"/>
        </row>
        <row r="8003">
          <cell r="A8003" t="str">
            <v>EMS WIRELESS</v>
          </cell>
          <cell r="B8003" t="str">
            <v>ES90-11-00NA</v>
          </cell>
          <cell r="O8003"/>
          <cell r="T8003"/>
        </row>
        <row r="8004">
          <cell r="A8004" t="str">
            <v>EMS WIRELESS</v>
          </cell>
          <cell r="B8004" t="str">
            <v>ES90-11-00NN</v>
          </cell>
          <cell r="O8004"/>
          <cell r="T8004"/>
        </row>
        <row r="8005">
          <cell r="A8005" t="str">
            <v>EMS WIRELESS</v>
          </cell>
          <cell r="B8005" t="str">
            <v>F0900900NA2</v>
          </cell>
          <cell r="O8005"/>
          <cell r="T8005"/>
        </row>
        <row r="8006">
          <cell r="A8006" t="str">
            <v>EMS WIRELESS</v>
          </cell>
          <cell r="B8006" t="str">
            <v>F1105-1200-NA2</v>
          </cell>
          <cell r="O8006"/>
          <cell r="T8006"/>
        </row>
        <row r="8007">
          <cell r="A8007" t="str">
            <v>EMS WIRELESS</v>
          </cell>
          <cell r="B8007" t="str">
            <v>F590-11-00DA</v>
          </cell>
          <cell r="O8007">
            <v>11.683739039999999</v>
          </cell>
          <cell r="T8007">
            <v>4.5146201860000001</v>
          </cell>
        </row>
        <row r="8008">
          <cell r="A8008" t="str">
            <v>EMS WIRELESS</v>
          </cell>
          <cell r="B8008" t="str">
            <v>FD1051200NA-2</v>
          </cell>
          <cell r="O8008"/>
          <cell r="T8008"/>
        </row>
        <row r="8009">
          <cell r="A8009" t="str">
            <v>EMS WIRELESS</v>
          </cell>
          <cell r="B8009" t="str">
            <v>FQ65-11-00NA2</v>
          </cell>
          <cell r="O8009">
            <v>11.18565074</v>
          </cell>
          <cell r="T8009">
            <v>6.7353053039999988</v>
          </cell>
        </row>
        <row r="8010">
          <cell r="A8010" t="str">
            <v>EMS WIRELESS</v>
          </cell>
          <cell r="B8010" t="str">
            <v>FQ90-09-00DA-2</v>
          </cell>
          <cell r="O8010">
            <v>11.18565074</v>
          </cell>
          <cell r="T8010">
            <v>6.7353053039999988</v>
          </cell>
        </row>
        <row r="8011">
          <cell r="A8011" t="str">
            <v>EMS WIRELESS</v>
          </cell>
          <cell r="B8011" t="str">
            <v>FQ90-09-00NA-2</v>
          </cell>
          <cell r="O8011">
            <v>11.18565074</v>
          </cell>
          <cell r="T8011">
            <v>6.7353053039999988</v>
          </cell>
        </row>
        <row r="8012">
          <cell r="A8012" t="str">
            <v>EMS WIRELESS</v>
          </cell>
          <cell r="B8012" t="str">
            <v>FR65-11-00DA2</v>
          </cell>
          <cell r="O8012">
            <v>3.444215856</v>
          </cell>
          <cell r="T8012">
            <v>2.074473163</v>
          </cell>
        </row>
        <row r="8013">
          <cell r="A8013" t="str">
            <v>EMS WIRELESS</v>
          </cell>
          <cell r="B8013" t="str">
            <v>FR65-12-00DAL2</v>
          </cell>
          <cell r="O8013">
            <v>5.4140924349999997</v>
          </cell>
          <cell r="T8013">
            <v>3.2615385049999999</v>
          </cell>
        </row>
        <row r="8014">
          <cell r="A8014" t="str">
            <v>EMS WIRELESS</v>
          </cell>
          <cell r="B8014" t="str">
            <v>FR65-12-05DAL2</v>
          </cell>
          <cell r="O8014">
            <v>5.4140924349999997</v>
          </cell>
          <cell r="T8014">
            <v>3.2615385049999999</v>
          </cell>
        </row>
        <row r="8015">
          <cell r="A8015" t="str">
            <v>EMS WIRELESS</v>
          </cell>
          <cell r="B8015" t="str">
            <v>FR65-12-05DAL4</v>
          </cell>
          <cell r="O8015"/>
          <cell r="T8015"/>
        </row>
        <row r="8016">
          <cell r="A8016" t="str">
            <v>EMS WIRELESS</v>
          </cell>
          <cell r="B8016" t="str">
            <v>FR65-12-10DAL2</v>
          </cell>
          <cell r="O8016">
            <v>5.4140924349999997</v>
          </cell>
          <cell r="T8016">
            <v>3.2615385049999999</v>
          </cell>
        </row>
        <row r="8017">
          <cell r="A8017" t="str">
            <v>EMS WIRELESS</v>
          </cell>
          <cell r="B8017" t="str">
            <v>FR65-13-00DAL2</v>
          </cell>
          <cell r="O8017">
            <v>8.176090975000001</v>
          </cell>
          <cell r="T8017">
            <v>4.9236840050000001</v>
          </cell>
        </row>
        <row r="8018">
          <cell r="A8018" t="str">
            <v>EMS WIRELESS</v>
          </cell>
          <cell r="B8018" t="str">
            <v>FR65-13-00NAL2</v>
          </cell>
          <cell r="O8018">
            <v>8.176090975000001</v>
          </cell>
          <cell r="T8018">
            <v>4.9236840050000001</v>
          </cell>
        </row>
        <row r="8019">
          <cell r="A8019" t="str">
            <v>EMS WIRELESS</v>
          </cell>
          <cell r="B8019" t="str">
            <v>FR65-13-05DAL2</v>
          </cell>
          <cell r="O8019">
            <v>8.176090975000001</v>
          </cell>
          <cell r="T8019">
            <v>4.9236840050000001</v>
          </cell>
        </row>
        <row r="8020">
          <cell r="A8020" t="str">
            <v>EMS WIRELESS</v>
          </cell>
          <cell r="B8020" t="str">
            <v>FR65-13-05NAL2</v>
          </cell>
          <cell r="O8020">
            <v>8.176090975000001</v>
          </cell>
          <cell r="T8020">
            <v>4.9236840050000001</v>
          </cell>
        </row>
        <row r="8021">
          <cell r="A8021" t="str">
            <v>EMS WIRELESS</v>
          </cell>
          <cell r="B8021" t="str">
            <v>FR65-13-10DAL2</v>
          </cell>
          <cell r="O8021">
            <v>8.176090975000001</v>
          </cell>
          <cell r="T8021">
            <v>4.9236840050000001</v>
          </cell>
        </row>
        <row r="8022">
          <cell r="A8022" t="str">
            <v>EMS WIRELESS</v>
          </cell>
          <cell r="B8022" t="str">
            <v>FR65-13-10NAL2</v>
          </cell>
          <cell r="O8022">
            <v>8.176090975000001</v>
          </cell>
          <cell r="T8022">
            <v>4.9236840050000001</v>
          </cell>
        </row>
        <row r="8023">
          <cell r="A8023" t="str">
            <v>EMS WIRELESS</v>
          </cell>
          <cell r="B8023" t="str">
            <v>FR65-14-00DAL2</v>
          </cell>
          <cell r="O8023">
            <v>11.18565074</v>
          </cell>
          <cell r="T8023">
            <v>6.7353053039999988</v>
          </cell>
        </row>
        <row r="8024">
          <cell r="A8024" t="str">
            <v>EMS WIRELESS</v>
          </cell>
          <cell r="B8024" t="str">
            <v>FR65-14-00DBL2</v>
          </cell>
          <cell r="O8024">
            <v>11.18565074</v>
          </cell>
          <cell r="T8024">
            <v>6.7353053039999988</v>
          </cell>
        </row>
        <row r="8025">
          <cell r="A8025" t="str">
            <v>EMS WIRELESS</v>
          </cell>
          <cell r="B8025" t="str">
            <v>FR65-14-00NAL2</v>
          </cell>
          <cell r="O8025">
            <v>11.18565074</v>
          </cell>
          <cell r="T8025">
            <v>6.7353053039999988</v>
          </cell>
        </row>
        <row r="8026">
          <cell r="A8026" t="str">
            <v>EMS WIRELESS</v>
          </cell>
          <cell r="B8026" t="str">
            <v>FR65-14-00NBL2</v>
          </cell>
          <cell r="O8026">
            <v>11.18565074</v>
          </cell>
          <cell r="T8026">
            <v>6.7353053039999988</v>
          </cell>
        </row>
        <row r="8027">
          <cell r="A8027" t="str">
            <v>EMS WIRELESS</v>
          </cell>
          <cell r="B8027" t="str">
            <v>FR65-14-05DA-2</v>
          </cell>
          <cell r="O8027">
            <v>5.4140924349999997</v>
          </cell>
          <cell r="T8027">
            <v>3.2615385049999999</v>
          </cell>
        </row>
        <row r="8028">
          <cell r="A8028" t="str">
            <v>EMS WIRELESS</v>
          </cell>
          <cell r="B8028" t="str">
            <v>FR65-14-05DAL2</v>
          </cell>
          <cell r="O8028">
            <v>11.18565074</v>
          </cell>
          <cell r="T8028">
            <v>6.7353053039999988</v>
          </cell>
        </row>
        <row r="8029">
          <cell r="A8029" t="str">
            <v>EMS WIRELESS</v>
          </cell>
          <cell r="B8029" t="str">
            <v>FR65-14-05DBL2</v>
          </cell>
          <cell r="O8029">
            <v>11.18565074</v>
          </cell>
          <cell r="T8029">
            <v>6.7353053039999988</v>
          </cell>
        </row>
        <row r="8030">
          <cell r="A8030" t="str">
            <v>EMS WIRELESS</v>
          </cell>
          <cell r="B8030" t="str">
            <v>FR65-14-05NAL2</v>
          </cell>
          <cell r="O8030">
            <v>11.18565074</v>
          </cell>
          <cell r="T8030">
            <v>6.7353053039999988</v>
          </cell>
        </row>
        <row r="8031">
          <cell r="A8031" t="str">
            <v>EMS WIRELESS</v>
          </cell>
          <cell r="B8031" t="str">
            <v>FR65-14-05NBL2</v>
          </cell>
          <cell r="O8031">
            <v>11.18565074</v>
          </cell>
          <cell r="T8031">
            <v>6.7353053039999988</v>
          </cell>
        </row>
        <row r="8032">
          <cell r="A8032" t="str">
            <v>EMS WIRELESS</v>
          </cell>
          <cell r="B8032" t="str">
            <v>FR65-14-10DAL2</v>
          </cell>
          <cell r="O8032">
            <v>11.18565074</v>
          </cell>
          <cell r="T8032">
            <v>6.7353053039999988</v>
          </cell>
        </row>
        <row r="8033">
          <cell r="A8033" t="str">
            <v>EMS WIRELESS</v>
          </cell>
          <cell r="B8033" t="str">
            <v>FR65-17-00DP</v>
          </cell>
          <cell r="O8033">
            <v>4.5185361789999998</v>
          </cell>
          <cell r="T8033">
            <v>1.541157745</v>
          </cell>
        </row>
        <row r="8034">
          <cell r="A8034" t="str">
            <v>EMS WIRELESS</v>
          </cell>
          <cell r="B8034" t="str">
            <v>FR65-17-02DP</v>
          </cell>
          <cell r="O8034">
            <v>4.5185361789999998</v>
          </cell>
          <cell r="T8034">
            <v>1.541157745</v>
          </cell>
        </row>
        <row r="8035">
          <cell r="A8035" t="str">
            <v>EMS WIRELESS</v>
          </cell>
          <cell r="B8035" t="str">
            <v>FR65-17-04DP</v>
          </cell>
          <cell r="O8035">
            <v>4.5185361789999998</v>
          </cell>
          <cell r="T8035">
            <v>1.541157745</v>
          </cell>
        </row>
        <row r="8036">
          <cell r="A8036" t="str">
            <v>EMS WIRELESS</v>
          </cell>
          <cell r="B8036" t="str">
            <v>FR65-18-00DVL</v>
          </cell>
          <cell r="O8036">
            <v>2.9519103609999999</v>
          </cell>
          <cell r="T8036">
            <v>1.731882199</v>
          </cell>
        </row>
        <row r="8037">
          <cell r="A8037" t="str">
            <v>EMS WIRELESS</v>
          </cell>
          <cell r="B8037" t="str">
            <v>FR70-12-00DAL2</v>
          </cell>
          <cell r="O8037">
            <v>5.4140924349999997</v>
          </cell>
          <cell r="T8037">
            <v>3.2615385049999999</v>
          </cell>
        </row>
        <row r="8038">
          <cell r="A8038" t="str">
            <v>EMS WIRELESS</v>
          </cell>
          <cell r="B8038" t="str">
            <v>FR70-12-05DAL2</v>
          </cell>
          <cell r="O8038">
            <v>5.4140924349999997</v>
          </cell>
          <cell r="T8038">
            <v>3.2615385049999999</v>
          </cell>
        </row>
        <row r="8039">
          <cell r="A8039" t="str">
            <v>EMS WIRELESS</v>
          </cell>
          <cell r="B8039" t="str">
            <v>FR70-12-10DAL2</v>
          </cell>
          <cell r="O8039">
            <v>5.4140924349999997</v>
          </cell>
          <cell r="T8039">
            <v>3.2615385049999999</v>
          </cell>
        </row>
        <row r="8040">
          <cell r="A8040" t="str">
            <v>EMS WIRELESS</v>
          </cell>
          <cell r="B8040" t="str">
            <v>FR70-13-00DAL2</v>
          </cell>
          <cell r="O8040">
            <v>8.176090975000001</v>
          </cell>
          <cell r="T8040">
            <v>4.9236840050000001</v>
          </cell>
        </row>
        <row r="8041">
          <cell r="A8041" t="str">
            <v>EMS WIRELESS</v>
          </cell>
          <cell r="B8041" t="str">
            <v>FR80-11-00DAL2</v>
          </cell>
          <cell r="O8041">
            <v>5.4140924349999997</v>
          </cell>
          <cell r="T8041">
            <v>3.2615385049999999</v>
          </cell>
        </row>
        <row r="8042">
          <cell r="A8042" t="str">
            <v>EMS WIRELESS</v>
          </cell>
          <cell r="B8042" t="str">
            <v>FR80-11-00NAL2</v>
          </cell>
          <cell r="O8042">
            <v>5.4140924349999997</v>
          </cell>
          <cell r="T8042">
            <v>3.2615385049999999</v>
          </cell>
        </row>
        <row r="8043">
          <cell r="A8043" t="str">
            <v>EMS WIRELESS</v>
          </cell>
          <cell r="B8043" t="str">
            <v>FR80-11-05DAL2</v>
          </cell>
          <cell r="O8043">
            <v>5.4140924349999997</v>
          </cell>
          <cell r="T8043">
            <v>3.2615385049999999</v>
          </cell>
        </row>
        <row r="8044">
          <cell r="A8044" t="str">
            <v>EMS WIRELESS</v>
          </cell>
          <cell r="B8044" t="str">
            <v>FR80-11-05NAL2</v>
          </cell>
          <cell r="O8044">
            <v>5.4140924349999997</v>
          </cell>
          <cell r="T8044">
            <v>3.2615385049999999</v>
          </cell>
        </row>
        <row r="8045">
          <cell r="A8045" t="str">
            <v>EMS WIRELESS</v>
          </cell>
          <cell r="B8045" t="str">
            <v>FR80-11-10DAL2</v>
          </cell>
          <cell r="O8045">
            <v>5.4140924349999997</v>
          </cell>
          <cell r="T8045">
            <v>3.2615385049999999</v>
          </cell>
        </row>
        <row r="8046">
          <cell r="A8046" t="str">
            <v>EMS WIRELESS</v>
          </cell>
          <cell r="B8046" t="str">
            <v>FR80-11-10NAL2</v>
          </cell>
          <cell r="O8046">
            <v>5.4140924349999997</v>
          </cell>
          <cell r="T8046">
            <v>3.2615385049999999</v>
          </cell>
        </row>
        <row r="8047">
          <cell r="A8047" t="str">
            <v>EMS WIRELESS</v>
          </cell>
          <cell r="B8047" t="str">
            <v>FR80-13-05DAL2</v>
          </cell>
          <cell r="O8047">
            <v>8.176090975000001</v>
          </cell>
          <cell r="T8047">
            <v>4.9236840050000001</v>
          </cell>
        </row>
        <row r="8048">
          <cell r="A8048" t="str">
            <v>EMS WIRELESS</v>
          </cell>
          <cell r="B8048" t="str">
            <v>FR80-14-00DAL2</v>
          </cell>
          <cell r="O8048">
            <v>11.18565074</v>
          </cell>
          <cell r="T8048">
            <v>6.7353053039999988</v>
          </cell>
        </row>
        <row r="8049">
          <cell r="A8049" t="str">
            <v>EMS WIRELESS</v>
          </cell>
          <cell r="B8049" t="str">
            <v>FR851704DP</v>
          </cell>
          <cell r="O8049"/>
          <cell r="T8049"/>
        </row>
        <row r="8050">
          <cell r="A8050" t="str">
            <v>EMS WIRELESS</v>
          </cell>
          <cell r="B8050" t="str">
            <v>FR90-09-00DA2</v>
          </cell>
          <cell r="O8050">
            <v>3.444215856</v>
          </cell>
          <cell r="T8050">
            <v>2.074473163</v>
          </cell>
        </row>
        <row r="8051">
          <cell r="A8051" t="str">
            <v>EMS WIRELESS</v>
          </cell>
          <cell r="B8051" t="str">
            <v>FR90-09-00NA2</v>
          </cell>
          <cell r="O8051">
            <v>3.444215856</v>
          </cell>
          <cell r="T8051">
            <v>2.074473163</v>
          </cell>
        </row>
        <row r="8052">
          <cell r="A8052" t="str">
            <v>EMS WIRELESS</v>
          </cell>
          <cell r="B8052" t="str">
            <v>FR90-11-00DA-2</v>
          </cell>
          <cell r="O8052">
            <v>5.4140924349999997</v>
          </cell>
          <cell r="T8052">
            <v>3.2615385049999999</v>
          </cell>
        </row>
        <row r="8053">
          <cell r="A8053" t="str">
            <v>EMS WIRELESS</v>
          </cell>
          <cell r="B8053" t="str">
            <v>FR90-11-00DA-L2</v>
          </cell>
          <cell r="O8053"/>
          <cell r="T8053"/>
        </row>
        <row r="8054">
          <cell r="A8054" t="str">
            <v>EMS WIRELESS</v>
          </cell>
          <cell r="B8054" t="str">
            <v>FR90-11-00DAL2</v>
          </cell>
          <cell r="O8054">
            <v>5.4140924349999997</v>
          </cell>
          <cell r="T8054">
            <v>3.2615385049999999</v>
          </cell>
        </row>
        <row r="8055">
          <cell r="A8055" t="str">
            <v>EMS WIRELESS</v>
          </cell>
          <cell r="B8055" t="str">
            <v>FR90-11-00NBL2</v>
          </cell>
          <cell r="O8055">
            <v>5.4140924349999997</v>
          </cell>
          <cell r="T8055">
            <v>3.2615385049999999</v>
          </cell>
        </row>
        <row r="8056">
          <cell r="A8056" t="str">
            <v>EMS WIRELESS</v>
          </cell>
          <cell r="B8056" t="str">
            <v>FR90-11-05DAL2</v>
          </cell>
          <cell r="O8056">
            <v>5.4140924349999997</v>
          </cell>
          <cell r="T8056">
            <v>3.2615385049999999</v>
          </cell>
        </row>
        <row r="8057">
          <cell r="A8057" t="str">
            <v>EMS WIRELESS</v>
          </cell>
          <cell r="B8057" t="str">
            <v>FR90-12-00DAL2</v>
          </cell>
          <cell r="O8057">
            <v>8.176090975000001</v>
          </cell>
          <cell r="T8057">
            <v>4.9236840050000001</v>
          </cell>
        </row>
        <row r="8058">
          <cell r="A8058" t="str">
            <v>EMS WIRELESS</v>
          </cell>
          <cell r="B8058" t="str">
            <v>FR90-12-00NAL2</v>
          </cell>
          <cell r="O8058">
            <v>8.176090975000001</v>
          </cell>
          <cell r="T8058">
            <v>4.9236840050000001</v>
          </cell>
        </row>
        <row r="8059">
          <cell r="A8059" t="str">
            <v>EMS WIRELESS</v>
          </cell>
          <cell r="B8059" t="str">
            <v>FR90-12-00_AL2</v>
          </cell>
          <cell r="O8059">
            <v>8.176090975000001</v>
          </cell>
          <cell r="T8059">
            <v>4.9236840050000001</v>
          </cell>
        </row>
        <row r="8060">
          <cell r="A8060" t="str">
            <v>EMS WIRELESS</v>
          </cell>
          <cell r="B8060" t="str">
            <v>FR90-12-05DAL2</v>
          </cell>
          <cell r="O8060">
            <v>8.176090975000001</v>
          </cell>
          <cell r="T8060">
            <v>4.9236840050000001</v>
          </cell>
        </row>
        <row r="8061">
          <cell r="A8061" t="str">
            <v>EMS WIRELESS</v>
          </cell>
          <cell r="B8061" t="str">
            <v>FR90-12-05NAL2</v>
          </cell>
          <cell r="O8061">
            <v>8.176090975000001</v>
          </cell>
          <cell r="T8061">
            <v>4.9236840050000001</v>
          </cell>
        </row>
        <row r="8062">
          <cell r="A8062" t="str">
            <v>EMS WIRELESS</v>
          </cell>
          <cell r="B8062" t="str">
            <v>FR90-12-10DAL2</v>
          </cell>
          <cell r="O8062">
            <v>8.176090975000001</v>
          </cell>
          <cell r="T8062">
            <v>4.9236840050000001</v>
          </cell>
        </row>
        <row r="8063">
          <cell r="A8063" t="str">
            <v>EMS WIRELESS</v>
          </cell>
          <cell r="B8063" t="str">
            <v>FR90-12-10NAL2</v>
          </cell>
          <cell r="O8063">
            <v>8.176090975000001</v>
          </cell>
          <cell r="T8063">
            <v>4.9236840050000001</v>
          </cell>
        </row>
        <row r="8064">
          <cell r="A8064" t="str">
            <v>EMS WIRELESS</v>
          </cell>
          <cell r="B8064" t="str">
            <v>FR90-13-00DA2</v>
          </cell>
          <cell r="O8064">
            <v>11.18565074</v>
          </cell>
          <cell r="T8064">
            <v>6.7353053039999988</v>
          </cell>
        </row>
        <row r="8065">
          <cell r="A8065" t="str">
            <v>EMS WIRELESS</v>
          </cell>
          <cell r="B8065" t="str">
            <v>FR90-13-00DAL2</v>
          </cell>
          <cell r="O8065">
            <v>11.18565074</v>
          </cell>
          <cell r="T8065">
            <v>6.7353053039999988</v>
          </cell>
        </row>
        <row r="8066">
          <cell r="A8066" t="str">
            <v>EMS WIRELESS</v>
          </cell>
          <cell r="B8066" t="str">
            <v>FR90-13-00DBL2</v>
          </cell>
          <cell r="O8066">
            <v>11.18565074</v>
          </cell>
          <cell r="T8066">
            <v>6.7353053039999988</v>
          </cell>
        </row>
        <row r="8067">
          <cell r="A8067" t="str">
            <v>EMS WIRELESS</v>
          </cell>
          <cell r="B8067" t="str">
            <v>FR90-13-00NAL2</v>
          </cell>
          <cell r="O8067">
            <v>11.18565074</v>
          </cell>
          <cell r="T8067">
            <v>6.7353053039999988</v>
          </cell>
        </row>
        <row r="8068">
          <cell r="A8068" t="str">
            <v>EMS WIRELESS</v>
          </cell>
          <cell r="B8068" t="str">
            <v>FR90-13-05DAL2</v>
          </cell>
          <cell r="O8068">
            <v>11.18565074</v>
          </cell>
          <cell r="T8068">
            <v>6.7353053039999988</v>
          </cell>
        </row>
        <row r="8069">
          <cell r="A8069" t="str">
            <v>EMS WIRELESS</v>
          </cell>
          <cell r="B8069" t="str">
            <v>FR90-13-05DBL2</v>
          </cell>
          <cell r="O8069">
            <v>11.18565074</v>
          </cell>
          <cell r="T8069">
            <v>6.7353053039999988</v>
          </cell>
        </row>
        <row r="8070">
          <cell r="A8070" t="str">
            <v>EMS WIRELESS</v>
          </cell>
          <cell r="B8070" t="str">
            <v>FR90-13-05NAL2</v>
          </cell>
          <cell r="O8070">
            <v>11.18565074</v>
          </cell>
          <cell r="T8070">
            <v>6.7353053039999988</v>
          </cell>
        </row>
        <row r="8071">
          <cell r="A8071" t="str">
            <v>EMS WIRELESS</v>
          </cell>
          <cell r="B8071" t="str">
            <v>FR90-16-00DP</v>
          </cell>
          <cell r="O8071">
            <v>4.5185361789999998</v>
          </cell>
          <cell r="T8071">
            <v>1.541157745</v>
          </cell>
        </row>
        <row r="8072">
          <cell r="A8072" t="str">
            <v>EMS WIRELESS</v>
          </cell>
          <cell r="B8072" t="str">
            <v>FR90-16-02DP</v>
          </cell>
          <cell r="O8072">
            <v>4.5185361789999998</v>
          </cell>
          <cell r="T8072">
            <v>1.541157745</v>
          </cell>
        </row>
        <row r="8073">
          <cell r="A8073" t="str">
            <v>EMS WIRELESS</v>
          </cell>
          <cell r="B8073" t="str">
            <v>FR90-16-04DP</v>
          </cell>
          <cell r="O8073">
            <v>4.5185361789999998</v>
          </cell>
          <cell r="T8073">
            <v>1.541157745</v>
          </cell>
        </row>
        <row r="8074">
          <cell r="A8074" t="str">
            <v>EMS WIRELESS</v>
          </cell>
          <cell r="B8074" t="str">
            <v>FR90-17-00DVL</v>
          </cell>
          <cell r="O8074">
            <v>2.9519103609999999</v>
          </cell>
          <cell r="T8074">
            <v>1.731882199</v>
          </cell>
        </row>
        <row r="8075">
          <cell r="A8075" t="str">
            <v>EMS WIRELESS</v>
          </cell>
          <cell r="B8075" t="str">
            <v>FR90-17-00NVL</v>
          </cell>
          <cell r="O8075">
            <v>2.9519103609999999</v>
          </cell>
          <cell r="T8075">
            <v>1.731882199</v>
          </cell>
        </row>
        <row r="8076">
          <cell r="A8076" t="str">
            <v>EMS WIRELESS</v>
          </cell>
          <cell r="B8076" t="str">
            <v>FR90-17-02DP</v>
          </cell>
          <cell r="O8076"/>
          <cell r="T8076"/>
        </row>
        <row r="8077">
          <cell r="A8077" t="str">
            <v>EMS WIRELESS</v>
          </cell>
          <cell r="B8077" t="str">
            <v>FR90-18-02DP</v>
          </cell>
          <cell r="O8077"/>
          <cell r="T8077"/>
        </row>
        <row r="8078">
          <cell r="A8078" t="str">
            <v>EMS WIRELESS</v>
          </cell>
          <cell r="B8078" t="str">
            <v>FR901002 DP</v>
          </cell>
          <cell r="O8078"/>
          <cell r="T8078"/>
        </row>
        <row r="8079">
          <cell r="A8079" t="str">
            <v>EMS WIRELESS</v>
          </cell>
          <cell r="B8079" t="str">
            <v>FR90100DAL2</v>
          </cell>
          <cell r="O8079">
            <v>5.4140924349999997</v>
          </cell>
          <cell r="T8079">
            <v>3.2615385049999999</v>
          </cell>
        </row>
        <row r="8080">
          <cell r="A8080" t="str">
            <v>EMS WIRELESS</v>
          </cell>
          <cell r="B8080" t="str">
            <v>FR9011000AL-2</v>
          </cell>
          <cell r="O8080"/>
          <cell r="T8080"/>
        </row>
        <row r="8081">
          <cell r="A8081" t="str">
            <v>EMS WIRELESS</v>
          </cell>
          <cell r="B8081" t="str">
            <v>FR901602</v>
          </cell>
          <cell r="O8081"/>
          <cell r="T8081"/>
        </row>
        <row r="8082">
          <cell r="A8082" t="str">
            <v>EMS WIRELESS</v>
          </cell>
          <cell r="B8082" t="str">
            <v>FRB517040P</v>
          </cell>
          <cell r="O8082"/>
          <cell r="T8082"/>
        </row>
        <row r="8083">
          <cell r="A8083" t="str">
            <v>EMS WIRELESS</v>
          </cell>
          <cell r="B8083" t="str">
            <v>FS-80-10-05NR2</v>
          </cell>
          <cell r="O8083"/>
          <cell r="T8083"/>
        </row>
        <row r="8084">
          <cell r="A8084" t="str">
            <v>EMS WIRELESS</v>
          </cell>
          <cell r="B8084" t="str">
            <v>FS45-14-00NAL2</v>
          </cell>
          <cell r="O8084">
            <v>13.5092294095497</v>
          </cell>
          <cell r="T8084">
            <v>5.9739177235108203</v>
          </cell>
        </row>
        <row r="8085">
          <cell r="A8085" t="str">
            <v>EMS WIRELESS</v>
          </cell>
          <cell r="B8085" t="str">
            <v>FS65-11-00DA-2</v>
          </cell>
          <cell r="O8085">
            <v>6.8936621919999999</v>
          </cell>
          <cell r="T8085">
            <v>4.1548650709999997</v>
          </cell>
        </row>
        <row r="8086">
          <cell r="A8086" t="str">
            <v>EMS WIRELESS</v>
          </cell>
          <cell r="B8086" t="str">
            <v>FS65-11-02NA2</v>
          </cell>
          <cell r="O8086"/>
          <cell r="T8086"/>
        </row>
        <row r="8087">
          <cell r="A8087" t="str">
            <v>EMS WIRELESS</v>
          </cell>
          <cell r="B8087" t="str">
            <v>FS65-12-00DAL2</v>
          </cell>
          <cell r="O8087">
            <v>11.18565074</v>
          </cell>
          <cell r="T8087">
            <v>6.7353053039999988</v>
          </cell>
        </row>
        <row r="8088">
          <cell r="A8088" t="str">
            <v>EMS WIRELESS</v>
          </cell>
          <cell r="B8088" t="str">
            <v>FS65-12-05DAL2</v>
          </cell>
          <cell r="O8088">
            <v>11.18565074</v>
          </cell>
          <cell r="T8088">
            <v>6.7353053039999988</v>
          </cell>
        </row>
        <row r="8089">
          <cell r="A8089" t="str">
            <v>EMS WIRELESS</v>
          </cell>
          <cell r="B8089" t="str">
            <v>FS65-12-05NAL2</v>
          </cell>
          <cell r="O8089">
            <v>11.18565074</v>
          </cell>
          <cell r="T8089">
            <v>6.7353053039999988</v>
          </cell>
        </row>
        <row r="8090">
          <cell r="A8090" t="str">
            <v>EMS WIRELESS</v>
          </cell>
          <cell r="B8090" t="str">
            <v>FS65-13-00NA-2</v>
          </cell>
          <cell r="O8090">
            <v>11.18565074</v>
          </cell>
          <cell r="T8090">
            <v>6.7353053039999988</v>
          </cell>
        </row>
        <row r="8091">
          <cell r="A8091" t="str">
            <v>EMS WIRELESS</v>
          </cell>
          <cell r="B8091" t="str">
            <v>FS65-13-05NA-2</v>
          </cell>
          <cell r="O8091"/>
          <cell r="T8091"/>
        </row>
        <row r="8092">
          <cell r="A8092" t="str">
            <v>EMS WIRELESS</v>
          </cell>
          <cell r="B8092" t="str">
            <v>FS65-13-10NA-2</v>
          </cell>
          <cell r="O8092"/>
          <cell r="T8092"/>
        </row>
        <row r="8093">
          <cell r="A8093" t="str">
            <v>EMS WIRELESS</v>
          </cell>
          <cell r="B8093" t="str">
            <v>FS70-12</v>
          </cell>
          <cell r="O8093"/>
          <cell r="T8093"/>
        </row>
        <row r="8094">
          <cell r="A8094" t="str">
            <v>EMS WIRELESS</v>
          </cell>
          <cell r="B8094" t="str">
            <v>FS70-12-00DA-2</v>
          </cell>
          <cell r="O8094">
            <v>11.18565074</v>
          </cell>
          <cell r="T8094">
            <v>6.7353053039999988</v>
          </cell>
        </row>
        <row r="8095">
          <cell r="A8095" t="str">
            <v>EMS WIRELESS</v>
          </cell>
          <cell r="B8095" t="str">
            <v>FS70-12-00DAL2</v>
          </cell>
          <cell r="O8095">
            <v>11.18565074</v>
          </cell>
          <cell r="T8095">
            <v>6.7353053039999988</v>
          </cell>
        </row>
        <row r="8096">
          <cell r="A8096" t="str">
            <v>EMS WIRELESS</v>
          </cell>
          <cell r="B8096" t="str">
            <v>FS70-12-00NAL2</v>
          </cell>
          <cell r="O8096">
            <v>11.18565074</v>
          </cell>
          <cell r="T8096">
            <v>6.7353053039999988</v>
          </cell>
        </row>
        <row r="8097">
          <cell r="A8097" t="str">
            <v>EMS WIRELESS</v>
          </cell>
          <cell r="B8097" t="str">
            <v>FS70-12-05DAL2</v>
          </cell>
          <cell r="O8097">
            <v>11.18565074</v>
          </cell>
          <cell r="T8097">
            <v>6.7353053039999988</v>
          </cell>
        </row>
        <row r="8098">
          <cell r="A8098" t="str">
            <v>EMS WIRELESS</v>
          </cell>
          <cell r="B8098" t="str">
            <v>FS70-12-05NAL2</v>
          </cell>
          <cell r="O8098">
            <v>11.18565074</v>
          </cell>
          <cell r="T8098">
            <v>6.7353053039999988</v>
          </cell>
        </row>
        <row r="8099">
          <cell r="A8099" t="str">
            <v>EMS WIRELESS</v>
          </cell>
          <cell r="B8099" t="str">
            <v>FS70-12-10DAL2</v>
          </cell>
          <cell r="O8099">
            <v>11.18565074</v>
          </cell>
          <cell r="T8099">
            <v>6.7353053039999988</v>
          </cell>
        </row>
        <row r="8100">
          <cell r="A8100" t="str">
            <v>EMS WIRELESS</v>
          </cell>
          <cell r="B8100" t="str">
            <v>FS70-12-10NAL2</v>
          </cell>
          <cell r="O8100">
            <v>11.18565074</v>
          </cell>
          <cell r="T8100">
            <v>6.7353053039999988</v>
          </cell>
        </row>
        <row r="8101">
          <cell r="A8101" t="str">
            <v>EMS WIRELESS</v>
          </cell>
          <cell r="B8101" t="str">
            <v>FS701205NAL2</v>
          </cell>
          <cell r="O8101"/>
          <cell r="T8101"/>
        </row>
        <row r="8102">
          <cell r="A8102" t="str">
            <v>EMS WIRELESS</v>
          </cell>
          <cell r="B8102" t="str">
            <v>FS80-10-05NA2</v>
          </cell>
          <cell r="O8102">
            <v>6.8936621919999999</v>
          </cell>
          <cell r="T8102">
            <v>4.1548650709999997</v>
          </cell>
        </row>
        <row r="8103">
          <cell r="A8103" t="str">
            <v>EMS WIRELESS</v>
          </cell>
          <cell r="B8103" t="str">
            <v>FS80-10-05NR2</v>
          </cell>
          <cell r="O8103">
            <v>6.8936621919999999</v>
          </cell>
          <cell r="T8103">
            <v>4.1548650709999997</v>
          </cell>
        </row>
        <row r="8104">
          <cell r="A8104" t="str">
            <v>EMS WIRELESS</v>
          </cell>
          <cell r="B8104" t="str">
            <v>FS90-09-00DA2</v>
          </cell>
          <cell r="O8104">
            <v>6.8936621919999999</v>
          </cell>
          <cell r="T8104">
            <v>4.1548650709999997</v>
          </cell>
        </row>
        <row r="8105">
          <cell r="A8105" t="str">
            <v>EMS WIRELESS</v>
          </cell>
          <cell r="B8105" t="str">
            <v>FS90-09-00NA-2</v>
          </cell>
          <cell r="O8105">
            <v>6.8936621919999999</v>
          </cell>
          <cell r="T8105">
            <v>4.1548650709999997</v>
          </cell>
        </row>
        <row r="8106">
          <cell r="A8106" t="str">
            <v>EMS WIRELESS</v>
          </cell>
          <cell r="B8106" t="str">
            <v>FS90-09-05DA2</v>
          </cell>
          <cell r="O8106">
            <v>6.8936621919999999</v>
          </cell>
          <cell r="T8106">
            <v>4.1548650709999997</v>
          </cell>
        </row>
        <row r="8107">
          <cell r="A8107" t="str">
            <v>EMS WIRELESS</v>
          </cell>
          <cell r="B8107" t="str">
            <v>FS90-09-05NA-2</v>
          </cell>
          <cell r="O8107">
            <v>6.8936621919999999</v>
          </cell>
          <cell r="T8107">
            <v>4.1548650709999997</v>
          </cell>
        </row>
        <row r="8108">
          <cell r="A8108" t="str">
            <v>EMS WIRELESS</v>
          </cell>
          <cell r="B8108" t="str">
            <v>FS90-09-10DA2</v>
          </cell>
          <cell r="O8108">
            <v>6.8936621919999999</v>
          </cell>
          <cell r="T8108">
            <v>4.1548650709999997</v>
          </cell>
        </row>
        <row r="8109">
          <cell r="A8109" t="str">
            <v>EMS WIRELESS</v>
          </cell>
          <cell r="B8109" t="str">
            <v>FS90-09-10NA2</v>
          </cell>
          <cell r="O8109">
            <v>6.8936621919999999</v>
          </cell>
          <cell r="T8109">
            <v>4.1548650709999997</v>
          </cell>
        </row>
        <row r="8110">
          <cell r="A8110" t="str">
            <v>EMS WIRELESS</v>
          </cell>
          <cell r="B8110" t="str">
            <v>FS90-11-000DR2</v>
          </cell>
          <cell r="O8110"/>
          <cell r="T8110"/>
        </row>
        <row r="8111">
          <cell r="A8111" t="str">
            <v>EMS WIRELESS</v>
          </cell>
          <cell r="B8111" t="str">
            <v>FS90-11-00DA-2</v>
          </cell>
          <cell r="O8111">
            <v>11.18565074</v>
          </cell>
          <cell r="T8111">
            <v>6.7353053039999988</v>
          </cell>
        </row>
        <row r="8112">
          <cell r="A8112" t="str">
            <v>EMS WIRELESS</v>
          </cell>
          <cell r="B8112" t="str">
            <v>FS90-11-00DAL2</v>
          </cell>
          <cell r="O8112">
            <v>11.18565074</v>
          </cell>
          <cell r="T8112">
            <v>6.7353053039999988</v>
          </cell>
        </row>
        <row r="8113">
          <cell r="A8113" t="str">
            <v>EMS WIRELESS</v>
          </cell>
          <cell r="B8113" t="str">
            <v>FS90-11-00NAL2</v>
          </cell>
          <cell r="O8113">
            <v>11.18565074</v>
          </cell>
          <cell r="T8113">
            <v>6.7353053039999988</v>
          </cell>
        </row>
        <row r="8114">
          <cell r="A8114" t="str">
            <v>EMS WIRELESS</v>
          </cell>
          <cell r="B8114" t="str">
            <v>FS90-11-05DA</v>
          </cell>
          <cell r="O8114"/>
          <cell r="T8114"/>
        </row>
        <row r="8115">
          <cell r="A8115" t="str">
            <v>EMS WIRELESS</v>
          </cell>
          <cell r="B8115" t="str">
            <v>FS90-11-05DAL2</v>
          </cell>
          <cell r="O8115">
            <v>11.18565074</v>
          </cell>
          <cell r="T8115">
            <v>6.7353053039999988</v>
          </cell>
        </row>
        <row r="8116">
          <cell r="A8116" t="str">
            <v>EMS WIRELESS</v>
          </cell>
          <cell r="B8116" t="str">
            <v>FS90-11-05NAL2</v>
          </cell>
          <cell r="O8116">
            <v>11.18565074</v>
          </cell>
          <cell r="T8116">
            <v>6.7353053039999988</v>
          </cell>
        </row>
        <row r="8117">
          <cell r="A8117" t="str">
            <v>EMS WIRELESS</v>
          </cell>
          <cell r="B8117" t="str">
            <v>FS90-11-10DAL2</v>
          </cell>
          <cell r="O8117">
            <v>11.18565074</v>
          </cell>
          <cell r="T8117">
            <v>6.7353053039999988</v>
          </cell>
        </row>
        <row r="8118">
          <cell r="A8118" t="str">
            <v>EMS WIRELESS</v>
          </cell>
          <cell r="B8118" t="str">
            <v>FS90-11-10NAL2</v>
          </cell>
          <cell r="O8118">
            <v>11.18565074</v>
          </cell>
          <cell r="T8118">
            <v>6.7353053039999988</v>
          </cell>
        </row>
        <row r="8119">
          <cell r="A8119" t="str">
            <v>EMS WIRELESS</v>
          </cell>
          <cell r="B8119" t="str">
            <v>FS9011000 R2</v>
          </cell>
          <cell r="O8119"/>
          <cell r="T8119"/>
        </row>
        <row r="8120">
          <cell r="A8120" t="str">
            <v>EMS WIRELESS</v>
          </cell>
          <cell r="B8120" t="str">
            <v>FS901100DR</v>
          </cell>
          <cell r="O8120"/>
          <cell r="T8120"/>
        </row>
        <row r="8121">
          <cell r="A8121" t="str">
            <v>EMS WIRELESS</v>
          </cell>
          <cell r="B8121" t="str">
            <v>FS901100DR-2</v>
          </cell>
          <cell r="O8121"/>
          <cell r="T8121"/>
        </row>
        <row r="8122">
          <cell r="A8122" t="str">
            <v>EMS WIRELESS</v>
          </cell>
          <cell r="B8122" t="str">
            <v>FS901105NA2</v>
          </cell>
          <cell r="O8122">
            <v>11.18565074</v>
          </cell>
          <cell r="T8122">
            <v>6.7353053039999988</v>
          </cell>
        </row>
        <row r="8123">
          <cell r="A8123" t="str">
            <v>EMS WIRELESS</v>
          </cell>
          <cell r="B8123" t="str">
            <v>FU-105</v>
          </cell>
          <cell r="O8123"/>
          <cell r="T8123"/>
        </row>
        <row r="8124">
          <cell r="A8124" t="str">
            <v>EMS WIRELESS</v>
          </cell>
          <cell r="B8124" t="str">
            <v>FU10515020P</v>
          </cell>
          <cell r="O8124"/>
          <cell r="T8124"/>
        </row>
        <row r="8125">
          <cell r="A8125" t="str">
            <v>EMS WIRELESS</v>
          </cell>
          <cell r="B8125" t="str">
            <v>FU651500DA2</v>
          </cell>
          <cell r="O8125"/>
          <cell r="T8125"/>
        </row>
        <row r="8126">
          <cell r="A8126" t="str">
            <v>EMS WIRELESS</v>
          </cell>
          <cell r="B8126" t="str">
            <v>FV 9012-05-DA2</v>
          </cell>
          <cell r="O8126"/>
          <cell r="T8126"/>
        </row>
        <row r="8127">
          <cell r="A8127" t="str">
            <v>EMS WIRELESS</v>
          </cell>
          <cell r="B8127" t="str">
            <v>FV105-10-00DA-2</v>
          </cell>
          <cell r="O8127"/>
          <cell r="T8127"/>
        </row>
        <row r="8128">
          <cell r="A8128" t="str">
            <v>EMS WIRELESS</v>
          </cell>
          <cell r="B8128" t="str">
            <v>FV105-10-00DA2</v>
          </cell>
          <cell r="O8128"/>
          <cell r="T8128"/>
        </row>
        <row r="8129">
          <cell r="A8129" t="str">
            <v>EMS WIRELESS</v>
          </cell>
          <cell r="B8129" t="str">
            <v>FV105-10-00NA</v>
          </cell>
          <cell r="O8129"/>
          <cell r="T8129"/>
        </row>
        <row r="8130">
          <cell r="A8130" t="str">
            <v>EMS WIRELESS</v>
          </cell>
          <cell r="B8130" t="str">
            <v>FV105-10-00NA-2</v>
          </cell>
          <cell r="O8130">
            <v>5.4140924349999997</v>
          </cell>
          <cell r="T8130">
            <v>3.2615385049999999</v>
          </cell>
        </row>
        <row r="8131">
          <cell r="A8131" t="str">
            <v>EMS WIRELESS</v>
          </cell>
          <cell r="B8131" t="str">
            <v>FV105-10-00NA2</v>
          </cell>
          <cell r="O8131">
            <v>5.4140924349999997</v>
          </cell>
          <cell r="T8131">
            <v>3.2615385049999999</v>
          </cell>
        </row>
        <row r="8132">
          <cell r="A8132" t="str">
            <v>EMS WIRELESS</v>
          </cell>
          <cell r="B8132" t="str">
            <v>FV105-10-05DA2</v>
          </cell>
          <cell r="O8132">
            <v>5.4140924349999997</v>
          </cell>
          <cell r="T8132">
            <v>3.2615385049999999</v>
          </cell>
        </row>
        <row r="8133">
          <cell r="A8133" t="str">
            <v>EMS WIRELESS</v>
          </cell>
          <cell r="B8133" t="str">
            <v>FV105-10-05NA2</v>
          </cell>
          <cell r="O8133">
            <v>5.4140924349999997</v>
          </cell>
          <cell r="T8133">
            <v>3.2615385049999999</v>
          </cell>
        </row>
        <row r="8134">
          <cell r="A8134" t="str">
            <v>EMS WIRELESS</v>
          </cell>
          <cell r="B8134" t="str">
            <v>FV105-10-10NA-2</v>
          </cell>
          <cell r="O8134">
            <v>5.4140924349999997</v>
          </cell>
          <cell r="T8134">
            <v>3.2615385049999999</v>
          </cell>
        </row>
        <row r="8135">
          <cell r="A8135" t="str">
            <v>EMS WIRELESS</v>
          </cell>
          <cell r="B8135" t="str">
            <v>FV105-11-00DAL2</v>
          </cell>
          <cell r="O8135">
            <v>8.176090975000001</v>
          </cell>
          <cell r="T8135">
            <v>4.9236840050000001</v>
          </cell>
        </row>
        <row r="8136">
          <cell r="A8136" t="str">
            <v>EMS WIRELESS</v>
          </cell>
          <cell r="B8136" t="str">
            <v>FV105-11-00NA-2</v>
          </cell>
          <cell r="O8136">
            <v>8.176090975000001</v>
          </cell>
          <cell r="T8136">
            <v>4.9236840050000001</v>
          </cell>
        </row>
        <row r="8137">
          <cell r="A8137" t="str">
            <v>EMS WIRELESS</v>
          </cell>
          <cell r="B8137" t="str">
            <v>FV105-11-00NA2</v>
          </cell>
          <cell r="O8137">
            <v>8.176090975000001</v>
          </cell>
          <cell r="T8137">
            <v>4.9236840050000001</v>
          </cell>
        </row>
        <row r="8138">
          <cell r="A8138" t="str">
            <v>EMS WIRELESS</v>
          </cell>
          <cell r="B8138" t="str">
            <v>FV105-12-00-NA-2</v>
          </cell>
          <cell r="O8138">
            <v>11.18565074</v>
          </cell>
          <cell r="T8138">
            <v>6.7353053039999988</v>
          </cell>
        </row>
        <row r="8139">
          <cell r="A8139" t="str">
            <v>EMS WIRELESS</v>
          </cell>
          <cell r="B8139" t="str">
            <v>FV105-12-00DA2</v>
          </cell>
          <cell r="O8139">
            <v>11.18565074</v>
          </cell>
          <cell r="T8139">
            <v>6.7353053039999988</v>
          </cell>
        </row>
        <row r="8140">
          <cell r="A8140" t="str">
            <v>EMS WIRELESS</v>
          </cell>
          <cell r="B8140" t="str">
            <v>FV105-12-00DAL2</v>
          </cell>
          <cell r="O8140">
            <v>11.18565074</v>
          </cell>
          <cell r="T8140">
            <v>6.7353053039999988</v>
          </cell>
        </row>
        <row r="8141">
          <cell r="A8141" t="str">
            <v>EMS WIRELESS</v>
          </cell>
          <cell r="B8141" t="str">
            <v>FV105-12-00DB2</v>
          </cell>
          <cell r="O8141">
            <v>11.18565074</v>
          </cell>
          <cell r="T8141">
            <v>6.7353053039999988</v>
          </cell>
        </row>
        <row r="8142">
          <cell r="A8142" t="str">
            <v>EMS WIRELESS</v>
          </cell>
          <cell r="B8142" t="str">
            <v>FV105-12-00NA-2</v>
          </cell>
          <cell r="O8142">
            <v>11.18565074</v>
          </cell>
          <cell r="T8142">
            <v>6.7353053039999988</v>
          </cell>
        </row>
        <row r="8143">
          <cell r="A8143" t="str">
            <v>EMS WIRELESS</v>
          </cell>
          <cell r="B8143" t="str">
            <v>FV105-12-00NA2</v>
          </cell>
          <cell r="O8143">
            <v>11.18565074</v>
          </cell>
          <cell r="T8143">
            <v>6.7353053039999988</v>
          </cell>
        </row>
        <row r="8144">
          <cell r="A8144" t="str">
            <v>EMS WIRELESS</v>
          </cell>
          <cell r="B8144" t="str">
            <v>FV105-12-00NB2</v>
          </cell>
          <cell r="O8144">
            <v>11.18565074</v>
          </cell>
          <cell r="T8144">
            <v>6.7353053039999988</v>
          </cell>
        </row>
        <row r="8145">
          <cell r="A8145" t="str">
            <v>EMS WIRELESS</v>
          </cell>
          <cell r="B8145" t="str">
            <v>FV105-12-00XAL2</v>
          </cell>
          <cell r="O8145"/>
          <cell r="T8145"/>
        </row>
        <row r="8146">
          <cell r="A8146" t="str">
            <v>EMS WIRELESS</v>
          </cell>
          <cell r="B8146" t="str">
            <v>FV105-12-05DA2</v>
          </cell>
          <cell r="O8146">
            <v>11.18565074</v>
          </cell>
          <cell r="T8146">
            <v>6.7353053039999988</v>
          </cell>
        </row>
        <row r="8147">
          <cell r="A8147" t="str">
            <v>EMS WIRELESS</v>
          </cell>
          <cell r="B8147" t="str">
            <v>FV105-12-05NA2</v>
          </cell>
          <cell r="O8147">
            <v>11.18565074</v>
          </cell>
          <cell r="T8147">
            <v>6.7353053039999988</v>
          </cell>
        </row>
        <row r="8148">
          <cell r="A8148" t="str">
            <v>EMS WIRELESS</v>
          </cell>
          <cell r="B8148" t="str">
            <v>FV105-12-10DA2</v>
          </cell>
          <cell r="O8148">
            <v>11.18565074</v>
          </cell>
          <cell r="T8148">
            <v>6.7353053039999988</v>
          </cell>
        </row>
        <row r="8149">
          <cell r="A8149" t="str">
            <v>EMS WIRELESS</v>
          </cell>
          <cell r="B8149" t="str">
            <v>FV105-12-10NA2</v>
          </cell>
          <cell r="O8149">
            <v>11.18565074</v>
          </cell>
          <cell r="T8149">
            <v>6.7353053039999988</v>
          </cell>
        </row>
        <row r="8150">
          <cell r="A8150" t="str">
            <v>EMS WIRELESS</v>
          </cell>
          <cell r="B8150" t="str">
            <v>FV105-15-00DP</v>
          </cell>
          <cell r="O8150">
            <v>4.5185361789999998</v>
          </cell>
          <cell r="T8150">
            <v>1.541157745</v>
          </cell>
        </row>
        <row r="8151">
          <cell r="A8151" t="str">
            <v>EMS WIRELESS</v>
          </cell>
          <cell r="B8151" t="str">
            <v>FV105-15-02</v>
          </cell>
          <cell r="O8151">
            <v>4.5185361789999998</v>
          </cell>
          <cell r="T8151">
            <v>1.541157745</v>
          </cell>
        </row>
        <row r="8152">
          <cell r="A8152" t="str">
            <v>EMS WIRELESS</v>
          </cell>
          <cell r="B8152" t="str">
            <v>FV1051005DA-2</v>
          </cell>
          <cell r="O8152"/>
          <cell r="T8152"/>
        </row>
        <row r="8153">
          <cell r="A8153" t="str">
            <v>EMS WIRELESS</v>
          </cell>
          <cell r="B8153" t="str">
            <v>FV45-12-00NA-2</v>
          </cell>
          <cell r="O8153">
            <v>3.444215856</v>
          </cell>
          <cell r="T8153">
            <v>2.074473163</v>
          </cell>
        </row>
        <row r="8154">
          <cell r="A8154" t="str">
            <v>EMS WIRELESS</v>
          </cell>
          <cell r="B8154" t="str">
            <v>FV60-1500NA</v>
          </cell>
          <cell r="O8154"/>
          <cell r="T8154"/>
        </row>
        <row r="8155">
          <cell r="A8155" t="str">
            <v>EMS WIRELESS</v>
          </cell>
          <cell r="B8155" t="str">
            <v>FV601300DAL2</v>
          </cell>
          <cell r="O8155"/>
          <cell r="T8155"/>
        </row>
        <row r="8156">
          <cell r="A8156" t="str">
            <v>EMS WIRELESS</v>
          </cell>
          <cell r="B8156" t="str">
            <v>FV65-11-00NA-2</v>
          </cell>
          <cell r="O8156">
            <v>3.444215856</v>
          </cell>
          <cell r="T8156">
            <v>2.074473163</v>
          </cell>
        </row>
        <row r="8157">
          <cell r="A8157" t="str">
            <v>EMS WIRELESS</v>
          </cell>
          <cell r="B8157" t="str">
            <v>FV65-12-00DAL2</v>
          </cell>
          <cell r="O8157">
            <v>5.4140924349999997</v>
          </cell>
          <cell r="T8157">
            <v>3.2615385049999999</v>
          </cell>
        </row>
        <row r="8158">
          <cell r="A8158" t="str">
            <v>EMS WIRELESS</v>
          </cell>
          <cell r="B8158" t="str">
            <v>FV65-12-05DAL2</v>
          </cell>
          <cell r="O8158">
            <v>5.4140924349999997</v>
          </cell>
          <cell r="T8158">
            <v>3.2615385049999999</v>
          </cell>
        </row>
        <row r="8159">
          <cell r="A8159" t="str">
            <v>EMS WIRELESS</v>
          </cell>
          <cell r="B8159" t="str">
            <v>FV65-13-00DAL2</v>
          </cell>
          <cell r="O8159">
            <v>8.176090975000001</v>
          </cell>
          <cell r="T8159">
            <v>4.9236840050000001</v>
          </cell>
        </row>
        <row r="8160">
          <cell r="A8160" t="str">
            <v>EMS WIRELESS</v>
          </cell>
          <cell r="B8160" t="str">
            <v>FV65-13-00DBL2</v>
          </cell>
          <cell r="O8160">
            <v>8.176090975000001</v>
          </cell>
          <cell r="T8160">
            <v>4.9236840050000001</v>
          </cell>
        </row>
        <row r="8161">
          <cell r="A8161" t="str">
            <v>EMS WIRELESS</v>
          </cell>
          <cell r="B8161" t="str">
            <v>FV65-13-00NBL2</v>
          </cell>
          <cell r="O8161">
            <v>8.176090975000001</v>
          </cell>
          <cell r="T8161">
            <v>4.9236840050000001</v>
          </cell>
        </row>
        <row r="8162">
          <cell r="A8162" t="str">
            <v>EMS WIRELESS</v>
          </cell>
          <cell r="B8162" t="str">
            <v>FV65-13-05BL2</v>
          </cell>
          <cell r="O8162">
            <v>8.176090975000001</v>
          </cell>
          <cell r="T8162">
            <v>4.9236840050000001</v>
          </cell>
        </row>
        <row r="8163">
          <cell r="A8163" t="str">
            <v>EMS WIRELESS</v>
          </cell>
          <cell r="B8163" t="str">
            <v>FV65-13-05DAL2</v>
          </cell>
          <cell r="O8163">
            <v>8.176090975000001</v>
          </cell>
          <cell r="T8163">
            <v>4.9236840050000001</v>
          </cell>
        </row>
        <row r="8164">
          <cell r="A8164" t="str">
            <v>EMS WIRELESS</v>
          </cell>
          <cell r="B8164" t="str">
            <v>FV65-13-05DBL2</v>
          </cell>
          <cell r="O8164">
            <v>8.176090975000001</v>
          </cell>
          <cell r="T8164">
            <v>4.9236840050000001</v>
          </cell>
        </row>
        <row r="8165">
          <cell r="A8165" t="str">
            <v>EMS WIRELESS</v>
          </cell>
          <cell r="B8165" t="str">
            <v>FV65-13-05NBL2</v>
          </cell>
          <cell r="O8165">
            <v>8.176090975000001</v>
          </cell>
          <cell r="T8165">
            <v>4.9236840050000001</v>
          </cell>
        </row>
        <row r="8166">
          <cell r="A8166" t="str">
            <v>EMS WIRELESS</v>
          </cell>
          <cell r="B8166" t="str">
            <v>FV65-13-10DBL2</v>
          </cell>
          <cell r="O8166">
            <v>8.176090975000001</v>
          </cell>
          <cell r="T8166">
            <v>4.9236840050000001</v>
          </cell>
        </row>
        <row r="8167">
          <cell r="A8167" t="str">
            <v>EMS WIRELESS</v>
          </cell>
          <cell r="B8167" t="str">
            <v>FV65-13-10NBL2</v>
          </cell>
          <cell r="O8167">
            <v>8.176090975000001</v>
          </cell>
          <cell r="T8167">
            <v>4.9236840050000001</v>
          </cell>
        </row>
        <row r="8168">
          <cell r="A8168" t="str">
            <v>EMS WIRELESS</v>
          </cell>
          <cell r="B8168" t="str">
            <v>FV65-14-00DA2</v>
          </cell>
          <cell r="O8168">
            <v>8.176090975000001</v>
          </cell>
          <cell r="T8168">
            <v>4.9236840050000001</v>
          </cell>
        </row>
        <row r="8169">
          <cell r="A8169" t="str">
            <v>EMS WIRELESS</v>
          </cell>
          <cell r="B8169" t="str">
            <v>FV65-14-00DAL2</v>
          </cell>
          <cell r="O8169">
            <v>11.18565074</v>
          </cell>
          <cell r="T8169">
            <v>6.7353053039999988</v>
          </cell>
        </row>
        <row r="8170">
          <cell r="A8170" t="str">
            <v>EMS WIRELESS</v>
          </cell>
          <cell r="B8170" t="str">
            <v>FV65-14-00DBL2</v>
          </cell>
          <cell r="O8170">
            <v>11.18565074</v>
          </cell>
          <cell r="T8170">
            <v>6.7353053039999988</v>
          </cell>
        </row>
        <row r="8171">
          <cell r="A8171" t="str">
            <v>EMS WIRELESS</v>
          </cell>
          <cell r="B8171" t="str">
            <v>FV65-14-00NA2</v>
          </cell>
          <cell r="O8171">
            <v>8.176090975000001</v>
          </cell>
          <cell r="T8171">
            <v>4.9236840050000001</v>
          </cell>
        </row>
        <row r="8172">
          <cell r="A8172" t="str">
            <v>EMS WIRELESS</v>
          </cell>
          <cell r="B8172" t="str">
            <v>FV65-14-00NBL2</v>
          </cell>
          <cell r="O8172">
            <v>11.18565074</v>
          </cell>
          <cell r="T8172">
            <v>6.7353053039999988</v>
          </cell>
        </row>
        <row r="8173">
          <cell r="A8173" t="str">
            <v>EMS WIRELESS</v>
          </cell>
          <cell r="B8173" t="str">
            <v>FV65-14-05DA2</v>
          </cell>
          <cell r="O8173">
            <v>8.176090975000001</v>
          </cell>
          <cell r="T8173">
            <v>4.9236840050000001</v>
          </cell>
        </row>
        <row r="8174">
          <cell r="A8174" t="str">
            <v>EMS WIRELESS</v>
          </cell>
          <cell r="B8174" t="str">
            <v>FV65-14-05DBL2</v>
          </cell>
          <cell r="O8174">
            <v>11.18565074</v>
          </cell>
          <cell r="T8174">
            <v>6.7353053039999988</v>
          </cell>
        </row>
        <row r="8175">
          <cell r="A8175" t="str">
            <v>EMS WIRELESS</v>
          </cell>
          <cell r="B8175" t="str">
            <v>FV65-14-05NA2</v>
          </cell>
          <cell r="O8175">
            <v>8.176090975000001</v>
          </cell>
          <cell r="T8175">
            <v>4.9236840050000001</v>
          </cell>
        </row>
        <row r="8176">
          <cell r="A8176" t="str">
            <v>EMS WIRELESS</v>
          </cell>
          <cell r="B8176" t="str">
            <v>FV65-14-05NBL2</v>
          </cell>
          <cell r="O8176">
            <v>11.18565074</v>
          </cell>
          <cell r="T8176">
            <v>6.7353053039999988</v>
          </cell>
        </row>
        <row r="8177">
          <cell r="A8177" t="str">
            <v>EMS WIRELESS</v>
          </cell>
          <cell r="B8177" t="str">
            <v>FV65-14-10DA2</v>
          </cell>
          <cell r="O8177">
            <v>8.176090975000001</v>
          </cell>
          <cell r="T8177">
            <v>4.9236840050000001</v>
          </cell>
        </row>
        <row r="8178">
          <cell r="A8178" t="str">
            <v>EMS WIRELESS</v>
          </cell>
          <cell r="B8178" t="str">
            <v>FV65-14-10DBL2</v>
          </cell>
          <cell r="O8178">
            <v>11.18565074</v>
          </cell>
          <cell r="T8178">
            <v>6.7353053039999988</v>
          </cell>
        </row>
        <row r="8179">
          <cell r="A8179" t="str">
            <v>EMS WIRELESS</v>
          </cell>
          <cell r="B8179" t="str">
            <v>FV65-14-10NA2</v>
          </cell>
          <cell r="O8179">
            <v>8.176090975000001</v>
          </cell>
          <cell r="T8179">
            <v>4.9236840050000001</v>
          </cell>
        </row>
        <row r="8180">
          <cell r="A8180" t="str">
            <v>EMS WIRELESS</v>
          </cell>
          <cell r="B8180" t="str">
            <v>FV65-14-10NBL2</v>
          </cell>
          <cell r="O8180">
            <v>11.18565074</v>
          </cell>
          <cell r="T8180">
            <v>6.7353053039999988</v>
          </cell>
        </row>
        <row r="8181">
          <cell r="A8181" t="str">
            <v>EMS WIRELESS</v>
          </cell>
          <cell r="B8181" t="str">
            <v>FV65-1400</v>
          </cell>
          <cell r="O8181"/>
          <cell r="T8181"/>
        </row>
        <row r="8182">
          <cell r="A8182" t="str">
            <v>EMS WIRELESS</v>
          </cell>
          <cell r="B8182" t="str">
            <v>FV65-15-00-A2</v>
          </cell>
          <cell r="O8182">
            <v>11.18565074</v>
          </cell>
          <cell r="T8182">
            <v>6.7353053039999988</v>
          </cell>
        </row>
        <row r="8183">
          <cell r="A8183" t="str">
            <v>EMS WIRELESS</v>
          </cell>
          <cell r="B8183" t="str">
            <v>FV65-15-00DA-2</v>
          </cell>
          <cell r="O8183"/>
          <cell r="T8183"/>
        </row>
        <row r="8184">
          <cell r="A8184" t="str">
            <v>EMS WIRELESS</v>
          </cell>
          <cell r="B8184" t="str">
            <v>FV65-15-00DA2</v>
          </cell>
          <cell r="O8184"/>
          <cell r="T8184"/>
        </row>
        <row r="8185">
          <cell r="A8185" t="str">
            <v>EMS WIRELESS</v>
          </cell>
          <cell r="B8185" t="str">
            <v>FV65-15-00DP-2</v>
          </cell>
          <cell r="O8185">
            <v>11.18565074</v>
          </cell>
          <cell r="T8185">
            <v>6.7353053039999988</v>
          </cell>
        </row>
        <row r="8186">
          <cell r="A8186" t="str">
            <v>EMS WIRELESS</v>
          </cell>
          <cell r="B8186" t="str">
            <v>FV65-15-05A2</v>
          </cell>
          <cell r="O8186">
            <v>11.18565074</v>
          </cell>
          <cell r="T8186">
            <v>6.7353053039999988</v>
          </cell>
        </row>
        <row r="8187">
          <cell r="A8187" t="str">
            <v>EMS WIRELESS</v>
          </cell>
          <cell r="B8187" t="str">
            <v>FV65-17-00DP</v>
          </cell>
          <cell r="O8187">
            <v>4.5185361789999998</v>
          </cell>
          <cell r="T8187">
            <v>1.541157745</v>
          </cell>
        </row>
        <row r="8188">
          <cell r="A8188" t="str">
            <v>EMS WIRELESS</v>
          </cell>
          <cell r="B8188" t="str">
            <v>FV65-17-02DP</v>
          </cell>
          <cell r="O8188">
            <v>4.5185361789999998</v>
          </cell>
          <cell r="T8188">
            <v>1.541157745</v>
          </cell>
        </row>
        <row r="8189">
          <cell r="A8189" t="str">
            <v>EMS WIRELESS</v>
          </cell>
          <cell r="B8189" t="str">
            <v>FV65-17-04DP</v>
          </cell>
          <cell r="O8189">
            <v>4.5185361789999998</v>
          </cell>
          <cell r="T8189">
            <v>1.541157745</v>
          </cell>
        </row>
        <row r="8190">
          <cell r="A8190" t="str">
            <v>EMS WIRELESS</v>
          </cell>
          <cell r="B8190" t="str">
            <v>FV65-1704</v>
          </cell>
          <cell r="O8190"/>
          <cell r="T8190"/>
        </row>
        <row r="8191">
          <cell r="A8191" t="str">
            <v>EMS WIRELESS</v>
          </cell>
          <cell r="B8191" t="str">
            <v>FV6502-P</v>
          </cell>
          <cell r="O8191"/>
          <cell r="T8191"/>
        </row>
        <row r="8192">
          <cell r="A8192" t="str">
            <v>EMS WIRELESS</v>
          </cell>
          <cell r="B8192" t="str">
            <v>FV651210NAL2</v>
          </cell>
          <cell r="O8192"/>
          <cell r="T8192"/>
        </row>
        <row r="8193">
          <cell r="A8193" t="str">
            <v>EMS WIRELESS</v>
          </cell>
          <cell r="B8193" t="str">
            <v>FV651300NA2</v>
          </cell>
          <cell r="O8193"/>
          <cell r="T8193"/>
        </row>
        <row r="8194">
          <cell r="A8194" t="str">
            <v>EMS WIRELESS</v>
          </cell>
          <cell r="B8194" t="str">
            <v>FV651500082</v>
          </cell>
          <cell r="O8194">
            <v>11.18565074</v>
          </cell>
          <cell r="T8194">
            <v>6.7353053039999988</v>
          </cell>
        </row>
        <row r="8195">
          <cell r="A8195" t="str">
            <v>EMS WIRELESS</v>
          </cell>
          <cell r="B8195" t="str">
            <v>FV70-12-00DA2</v>
          </cell>
          <cell r="O8195">
            <v>5.4140924349999997</v>
          </cell>
          <cell r="T8195">
            <v>3.2615385049999999</v>
          </cell>
        </row>
        <row r="8196">
          <cell r="A8196" t="str">
            <v>EMS WIRELESS</v>
          </cell>
          <cell r="B8196" t="str">
            <v>FV70-12-00DAL2</v>
          </cell>
          <cell r="O8196">
            <v>5.4140924349999997</v>
          </cell>
          <cell r="T8196">
            <v>3.2615385049999999</v>
          </cell>
        </row>
        <row r="8197">
          <cell r="A8197" t="str">
            <v>EMS WIRELESS</v>
          </cell>
          <cell r="B8197" t="str">
            <v>FV70-12-00NA2</v>
          </cell>
          <cell r="O8197">
            <v>5.4140924349999997</v>
          </cell>
          <cell r="T8197">
            <v>3.2615385049999999</v>
          </cell>
        </row>
        <row r="8198">
          <cell r="A8198" t="str">
            <v>EMS WIRELESS</v>
          </cell>
          <cell r="B8198" t="str">
            <v>FV70-12-00NAL2</v>
          </cell>
          <cell r="O8198">
            <v>5.4140924349999997</v>
          </cell>
          <cell r="T8198">
            <v>3.2615385049999999</v>
          </cell>
        </row>
        <row r="8199">
          <cell r="A8199" t="str">
            <v>EMS WIRELESS</v>
          </cell>
          <cell r="B8199" t="str">
            <v>FV70-12-05-AL2</v>
          </cell>
          <cell r="O8199">
            <v>5.4140924349999997</v>
          </cell>
          <cell r="T8199">
            <v>3.2615385049999999</v>
          </cell>
        </row>
        <row r="8200">
          <cell r="A8200" t="str">
            <v>EMS WIRELESS</v>
          </cell>
          <cell r="B8200" t="str">
            <v>FV70-12-05DA2</v>
          </cell>
          <cell r="O8200">
            <v>5.4140924349999997</v>
          </cell>
          <cell r="T8200">
            <v>3.2615385049999999</v>
          </cell>
        </row>
        <row r="8201">
          <cell r="A8201" t="str">
            <v>EMS WIRELESS</v>
          </cell>
          <cell r="B8201" t="str">
            <v>FV70-12-05DAL2</v>
          </cell>
          <cell r="O8201">
            <v>5.4140924349999997</v>
          </cell>
          <cell r="T8201">
            <v>3.2615385049999999</v>
          </cell>
        </row>
        <row r="8202">
          <cell r="A8202" t="str">
            <v>EMS WIRELESS</v>
          </cell>
          <cell r="B8202" t="str">
            <v>FV70-12-05NA2</v>
          </cell>
          <cell r="O8202">
            <v>5.4140924349999997</v>
          </cell>
          <cell r="T8202">
            <v>3.2615385049999999</v>
          </cell>
        </row>
        <row r="8203">
          <cell r="A8203" t="str">
            <v>EMS WIRELESS</v>
          </cell>
          <cell r="B8203" t="str">
            <v>FV70-12-05NAL2</v>
          </cell>
          <cell r="O8203">
            <v>5.4140924349999997</v>
          </cell>
          <cell r="T8203">
            <v>3.2615385049999999</v>
          </cell>
        </row>
        <row r="8204">
          <cell r="A8204" t="str">
            <v>EMS WIRELESS</v>
          </cell>
          <cell r="B8204" t="str">
            <v>FV70-12-10DA2</v>
          </cell>
          <cell r="O8204">
            <v>5.4140924349999997</v>
          </cell>
          <cell r="T8204">
            <v>3.2615385049999999</v>
          </cell>
        </row>
        <row r="8205">
          <cell r="A8205" t="str">
            <v>EMS WIRELESS</v>
          </cell>
          <cell r="B8205" t="str">
            <v>FV70-12-10DAL2</v>
          </cell>
          <cell r="O8205">
            <v>5.4140924349999997</v>
          </cell>
          <cell r="T8205">
            <v>3.2615385049999999</v>
          </cell>
        </row>
        <row r="8206">
          <cell r="A8206" t="str">
            <v>EMS WIRELESS</v>
          </cell>
          <cell r="B8206" t="str">
            <v>FV70-12-10NA2</v>
          </cell>
          <cell r="O8206">
            <v>5.4140924349999997</v>
          </cell>
          <cell r="T8206">
            <v>3.2615385049999999</v>
          </cell>
        </row>
        <row r="8207">
          <cell r="A8207" t="str">
            <v>EMS WIRELESS</v>
          </cell>
          <cell r="B8207" t="str">
            <v>FV70-12-10NAL2</v>
          </cell>
          <cell r="O8207">
            <v>5.4140924349999997</v>
          </cell>
          <cell r="T8207">
            <v>3.2615385049999999</v>
          </cell>
        </row>
        <row r="8208">
          <cell r="A8208" t="str">
            <v>EMS WIRELESS</v>
          </cell>
          <cell r="B8208" t="str">
            <v>FV70-13-00DA2</v>
          </cell>
          <cell r="O8208">
            <v>8.176090975000001</v>
          </cell>
          <cell r="T8208">
            <v>4.9236840050000001</v>
          </cell>
        </row>
        <row r="8209">
          <cell r="A8209" t="str">
            <v>EMS WIRELESS</v>
          </cell>
          <cell r="B8209" t="str">
            <v>FV70-13-00NA2</v>
          </cell>
          <cell r="O8209">
            <v>8.176090975000001</v>
          </cell>
          <cell r="T8209">
            <v>4.9236840050000001</v>
          </cell>
        </row>
        <row r="8210">
          <cell r="A8210" t="str">
            <v>EMS WIRELESS</v>
          </cell>
          <cell r="B8210" t="str">
            <v>FV70-13-05DAL2</v>
          </cell>
          <cell r="O8210">
            <v>8.176090975000001</v>
          </cell>
          <cell r="T8210">
            <v>4.9236840050000001</v>
          </cell>
        </row>
        <row r="8211">
          <cell r="A8211" t="str">
            <v>EMS WIRELESS</v>
          </cell>
          <cell r="B8211" t="str">
            <v>FV80-11-10NAL2</v>
          </cell>
          <cell r="O8211">
            <v>5.4140924349999997</v>
          </cell>
          <cell r="T8211">
            <v>3.2615385049999999</v>
          </cell>
        </row>
        <row r="8212">
          <cell r="A8212" t="str">
            <v>EMS WIRELESS</v>
          </cell>
          <cell r="B8212" t="str">
            <v>FV80-12</v>
          </cell>
          <cell r="O8212"/>
          <cell r="T8212"/>
        </row>
        <row r="8213">
          <cell r="A8213" t="str">
            <v>EMS WIRELESS</v>
          </cell>
          <cell r="B8213" t="str">
            <v>FV80-12-00</v>
          </cell>
          <cell r="O8213"/>
          <cell r="T8213"/>
        </row>
        <row r="8214">
          <cell r="A8214" t="str">
            <v>EMS WIRELESS</v>
          </cell>
          <cell r="B8214" t="str">
            <v>FV80-12-00DA2</v>
          </cell>
          <cell r="O8214">
            <v>5.4140924349999997</v>
          </cell>
          <cell r="T8214">
            <v>3.2615385049999999</v>
          </cell>
        </row>
        <row r="8215">
          <cell r="A8215" t="str">
            <v>EMS WIRELESS</v>
          </cell>
          <cell r="B8215" t="str">
            <v>FV80-13-00DA2</v>
          </cell>
          <cell r="O8215"/>
          <cell r="T8215"/>
        </row>
        <row r="8216">
          <cell r="A8216" t="str">
            <v>EMS WIRELESS</v>
          </cell>
          <cell r="B8216" t="str">
            <v>FV80-13-00DAL2</v>
          </cell>
          <cell r="O8216">
            <v>8.176090975000001</v>
          </cell>
          <cell r="T8216">
            <v>4.9236840050000001</v>
          </cell>
        </row>
        <row r="8217">
          <cell r="A8217" t="str">
            <v>EMS WIRELESS</v>
          </cell>
          <cell r="B8217" t="str">
            <v>FV80-13-00NA-2</v>
          </cell>
          <cell r="O8217">
            <v>5.4140924349999997</v>
          </cell>
          <cell r="T8217">
            <v>3.2615385049999999</v>
          </cell>
        </row>
        <row r="8218">
          <cell r="A8218" t="str">
            <v>EMS WIRELESS</v>
          </cell>
          <cell r="B8218" t="str">
            <v>FV80-13-00NA2</v>
          </cell>
          <cell r="O8218">
            <v>8.176090975000001</v>
          </cell>
          <cell r="T8218">
            <v>4.9236840050000001</v>
          </cell>
        </row>
        <row r="8219">
          <cell r="A8219" t="str">
            <v>EMS WIRELESS</v>
          </cell>
          <cell r="B8219" t="str">
            <v>FV80-13-05DAL2</v>
          </cell>
          <cell r="O8219">
            <v>8.176090975000001</v>
          </cell>
          <cell r="T8219">
            <v>4.9236840050000001</v>
          </cell>
        </row>
        <row r="8220">
          <cell r="A8220" t="str">
            <v>EMS WIRELESS</v>
          </cell>
          <cell r="B8220" t="str">
            <v>FV80-14-00DA2</v>
          </cell>
          <cell r="O8220">
            <v>11.18565074</v>
          </cell>
          <cell r="T8220">
            <v>6.7353053039999988</v>
          </cell>
        </row>
        <row r="8221">
          <cell r="A8221" t="str">
            <v>EMS WIRELESS</v>
          </cell>
          <cell r="B8221" t="str">
            <v>FV80-14-00NA2</v>
          </cell>
          <cell r="O8221">
            <v>11.18565074</v>
          </cell>
          <cell r="T8221">
            <v>6.7353053039999988</v>
          </cell>
        </row>
        <row r="8222">
          <cell r="A8222" t="str">
            <v>EMS WIRELESS</v>
          </cell>
          <cell r="B8222" t="str">
            <v>FV80-14-00NAL2</v>
          </cell>
          <cell r="O8222">
            <v>11.18565074</v>
          </cell>
          <cell r="T8222">
            <v>6.7353053039999988</v>
          </cell>
        </row>
        <row r="8223">
          <cell r="A8223" t="str">
            <v>EMS WIRELESS</v>
          </cell>
          <cell r="B8223" t="str">
            <v>FV801400DA2</v>
          </cell>
          <cell r="O8223"/>
          <cell r="T8223"/>
        </row>
        <row r="8224">
          <cell r="A8224" t="str">
            <v>EMS WIRELESS</v>
          </cell>
          <cell r="B8224" t="str">
            <v>FV90-09-00DA2</v>
          </cell>
          <cell r="O8224">
            <v>3.444215856</v>
          </cell>
          <cell r="T8224">
            <v>2.074473163</v>
          </cell>
        </row>
        <row r="8225">
          <cell r="A8225" t="str">
            <v>EMS WIRELESS</v>
          </cell>
          <cell r="B8225" t="str">
            <v>FV90-11</v>
          </cell>
          <cell r="O8225">
            <v>5.4140924349999997</v>
          </cell>
          <cell r="T8225">
            <v>3.2615385049999999</v>
          </cell>
        </row>
        <row r="8226">
          <cell r="A8226" t="str">
            <v>EMS WIRELESS</v>
          </cell>
          <cell r="B8226" t="str">
            <v>FV90-11-00DA4</v>
          </cell>
          <cell r="O8226"/>
          <cell r="T8226"/>
        </row>
        <row r="8227">
          <cell r="A8227" t="str">
            <v>EMS WIRELESS</v>
          </cell>
          <cell r="B8227" t="str">
            <v>FV90-11-00DAL2</v>
          </cell>
          <cell r="O8227">
            <v>5.4140924349999997</v>
          </cell>
          <cell r="T8227">
            <v>3.2615385049999999</v>
          </cell>
        </row>
        <row r="8228">
          <cell r="A8228" t="str">
            <v>EMS WIRELESS</v>
          </cell>
          <cell r="B8228" t="str">
            <v>FV90-11-00DBL2</v>
          </cell>
          <cell r="O8228">
            <v>5.4140924349999997</v>
          </cell>
          <cell r="T8228">
            <v>3.2615385049999999</v>
          </cell>
        </row>
        <row r="8229">
          <cell r="A8229" t="str">
            <v>EMS WIRELESS</v>
          </cell>
          <cell r="B8229" t="str">
            <v>FV90-11-00NA</v>
          </cell>
          <cell r="O8229"/>
          <cell r="T8229"/>
        </row>
        <row r="8230">
          <cell r="A8230" t="str">
            <v>EMS WIRELESS</v>
          </cell>
          <cell r="B8230" t="str">
            <v>FV90-11-00NA-2</v>
          </cell>
          <cell r="O8230">
            <v>5.4140924349999997</v>
          </cell>
          <cell r="T8230">
            <v>3.2615385049999999</v>
          </cell>
        </row>
        <row r="8231">
          <cell r="A8231" t="str">
            <v>EMS WIRELESS</v>
          </cell>
          <cell r="B8231" t="str">
            <v>FV90-11-00NA2</v>
          </cell>
          <cell r="O8231">
            <v>5.4140924349999997</v>
          </cell>
          <cell r="T8231">
            <v>3.2615385049999999</v>
          </cell>
        </row>
        <row r="8232">
          <cell r="A8232" t="str">
            <v>EMS WIRELESS</v>
          </cell>
          <cell r="B8232" t="str">
            <v>FV90-11-050AL-2</v>
          </cell>
          <cell r="O8232"/>
          <cell r="T8232"/>
        </row>
        <row r="8233">
          <cell r="A8233" t="str">
            <v>EMS WIRELESS</v>
          </cell>
          <cell r="B8233" t="str">
            <v>FV90-11-05DAL2</v>
          </cell>
          <cell r="O8233">
            <v>5.4140924349999997</v>
          </cell>
          <cell r="T8233">
            <v>3.2615385049999999</v>
          </cell>
        </row>
        <row r="8234">
          <cell r="A8234" t="str">
            <v>EMS WIRELESS</v>
          </cell>
          <cell r="B8234" t="str">
            <v>FV90-12-00</v>
          </cell>
          <cell r="O8234">
            <v>8.176090975000001</v>
          </cell>
          <cell r="T8234">
            <v>4.9236840050000001</v>
          </cell>
        </row>
        <row r="8235">
          <cell r="A8235" t="str">
            <v>EMS WIRELESS</v>
          </cell>
          <cell r="B8235" t="str">
            <v>FV90-12-00DA2</v>
          </cell>
          <cell r="O8235">
            <v>8.176090975000001</v>
          </cell>
          <cell r="T8235">
            <v>4.9236840050000001</v>
          </cell>
        </row>
        <row r="8236">
          <cell r="A8236" t="str">
            <v>EMS WIRELESS</v>
          </cell>
          <cell r="B8236" t="str">
            <v>FV90-12-00DA4</v>
          </cell>
          <cell r="O8236"/>
          <cell r="T8236"/>
        </row>
        <row r="8237">
          <cell r="A8237" t="str">
            <v>EMS WIRELESS</v>
          </cell>
          <cell r="B8237" t="str">
            <v>FV90-12-00DAL-2</v>
          </cell>
          <cell r="O8237">
            <v>8.176090975000001</v>
          </cell>
          <cell r="T8237">
            <v>4.9236840050000001</v>
          </cell>
        </row>
        <row r="8238">
          <cell r="A8238" t="str">
            <v>EMS WIRELESS</v>
          </cell>
          <cell r="B8238" t="str">
            <v>FV90-12-00DAL2</v>
          </cell>
          <cell r="O8238">
            <v>8.176090975000001</v>
          </cell>
          <cell r="T8238">
            <v>4.9236840050000001</v>
          </cell>
        </row>
        <row r="8239">
          <cell r="A8239" t="str">
            <v>EMS WIRELESS</v>
          </cell>
          <cell r="B8239" t="str">
            <v>FV90-12-00DBL2</v>
          </cell>
          <cell r="O8239">
            <v>8.176090975000001</v>
          </cell>
          <cell r="T8239">
            <v>4.9236840050000001</v>
          </cell>
        </row>
        <row r="8240">
          <cell r="A8240" t="str">
            <v>EMS WIRELESS</v>
          </cell>
          <cell r="B8240" t="str">
            <v>FV90-12-00NA-2</v>
          </cell>
          <cell r="O8240">
            <v>8.176090975000001</v>
          </cell>
          <cell r="T8240">
            <v>4.9236840050000001</v>
          </cell>
        </row>
        <row r="8241">
          <cell r="A8241" t="str">
            <v>EMS WIRELESS</v>
          </cell>
          <cell r="B8241" t="str">
            <v>FV90-12-00NBL2</v>
          </cell>
          <cell r="O8241">
            <v>8.176090975000001</v>
          </cell>
          <cell r="T8241">
            <v>4.9236840050000001</v>
          </cell>
        </row>
        <row r="8242">
          <cell r="A8242" t="str">
            <v>EMS WIRELESS</v>
          </cell>
          <cell r="B8242" t="str">
            <v>FV90-12-05DA2</v>
          </cell>
          <cell r="O8242">
            <v>8.176090975000001</v>
          </cell>
          <cell r="T8242">
            <v>4.9236840050000001</v>
          </cell>
        </row>
        <row r="8243">
          <cell r="A8243" t="str">
            <v>EMS WIRELESS</v>
          </cell>
          <cell r="B8243" t="str">
            <v>FV90-12-05DAL-2</v>
          </cell>
          <cell r="O8243">
            <v>8.176090975000001</v>
          </cell>
          <cell r="T8243">
            <v>4.9236840050000001</v>
          </cell>
        </row>
        <row r="8244">
          <cell r="A8244" t="str">
            <v>EMS WIRELESS</v>
          </cell>
          <cell r="B8244" t="str">
            <v>FV90-12-05DAL2</v>
          </cell>
          <cell r="O8244">
            <v>8.176090975000001</v>
          </cell>
          <cell r="T8244">
            <v>4.9236840050000001</v>
          </cell>
        </row>
        <row r="8245">
          <cell r="A8245" t="str">
            <v>EMS WIRELESS</v>
          </cell>
          <cell r="B8245" t="str">
            <v>FV90-12-05DBL2</v>
          </cell>
          <cell r="O8245">
            <v>8.176090975000001</v>
          </cell>
          <cell r="T8245">
            <v>4.9236840050000001</v>
          </cell>
        </row>
        <row r="8246">
          <cell r="A8246" t="str">
            <v>EMS WIRELESS</v>
          </cell>
          <cell r="B8246" t="str">
            <v>FV90-12-05NA</v>
          </cell>
          <cell r="O8246">
            <v>8.176090975000001</v>
          </cell>
          <cell r="T8246">
            <v>4.9236840050000001</v>
          </cell>
        </row>
        <row r="8247">
          <cell r="A8247" t="str">
            <v>EMS WIRELESS</v>
          </cell>
          <cell r="B8247" t="str">
            <v>FV90-12-05NA-2</v>
          </cell>
          <cell r="O8247">
            <v>8.176090975000001</v>
          </cell>
          <cell r="T8247">
            <v>4.9236840050000001</v>
          </cell>
        </row>
        <row r="8248">
          <cell r="A8248" t="str">
            <v>EMS WIRELESS</v>
          </cell>
          <cell r="B8248" t="str">
            <v>FV90-12-05NBL2</v>
          </cell>
          <cell r="O8248">
            <v>8.176090975000001</v>
          </cell>
          <cell r="T8248">
            <v>4.9236840050000001</v>
          </cell>
        </row>
        <row r="8249">
          <cell r="A8249" t="str">
            <v>EMS WIRELESS</v>
          </cell>
          <cell r="B8249" t="str">
            <v>FV90-12-05_A2</v>
          </cell>
          <cell r="O8249">
            <v>8.176090975000001</v>
          </cell>
          <cell r="T8249">
            <v>4.9236840050000001</v>
          </cell>
        </row>
        <row r="8250">
          <cell r="A8250" t="str">
            <v>EMS WIRELESS</v>
          </cell>
          <cell r="B8250" t="str">
            <v>FV90-12-10DBL2</v>
          </cell>
          <cell r="O8250">
            <v>8.176090975000001</v>
          </cell>
          <cell r="T8250">
            <v>4.9236840050000001</v>
          </cell>
        </row>
        <row r="8251">
          <cell r="A8251" t="str">
            <v>EMS WIRELESS</v>
          </cell>
          <cell r="B8251" t="str">
            <v>FV90-12-10NA</v>
          </cell>
          <cell r="O8251"/>
          <cell r="T8251"/>
        </row>
        <row r="8252">
          <cell r="A8252" t="str">
            <v>EMS WIRELESS</v>
          </cell>
          <cell r="B8252" t="str">
            <v>FV90-12-10NA-2</v>
          </cell>
          <cell r="O8252">
            <v>8.176090975000001</v>
          </cell>
          <cell r="T8252">
            <v>4.9236840050000001</v>
          </cell>
        </row>
        <row r="8253">
          <cell r="A8253" t="str">
            <v>EMS WIRELESS</v>
          </cell>
          <cell r="B8253" t="str">
            <v>FV90-12-10NBL2</v>
          </cell>
          <cell r="O8253">
            <v>8.176090975000001</v>
          </cell>
          <cell r="T8253">
            <v>4.9236840050000001</v>
          </cell>
        </row>
        <row r="8254">
          <cell r="A8254" t="str">
            <v>EMS WIRELESS</v>
          </cell>
          <cell r="B8254" t="str">
            <v>FV90-13</v>
          </cell>
          <cell r="O8254"/>
          <cell r="T8254"/>
        </row>
        <row r="8255">
          <cell r="A8255" t="str">
            <v>EMS WIRELESS</v>
          </cell>
          <cell r="B8255" t="str">
            <v>FV90-13-00DA-2</v>
          </cell>
          <cell r="O8255">
            <v>11.18565074</v>
          </cell>
          <cell r="T8255">
            <v>6.7353053039999988</v>
          </cell>
        </row>
        <row r="8256">
          <cell r="A8256" t="str">
            <v>EMS WIRELESS</v>
          </cell>
          <cell r="B8256" t="str">
            <v>FV90-13-00DAL2</v>
          </cell>
          <cell r="O8256">
            <v>11.18565074</v>
          </cell>
          <cell r="T8256">
            <v>6.7353053039999988</v>
          </cell>
        </row>
        <row r="8257">
          <cell r="A8257" t="str">
            <v>EMS WIRELESS</v>
          </cell>
          <cell r="B8257" t="str">
            <v>FV90-13-00DBL2</v>
          </cell>
          <cell r="O8257">
            <v>11.18565074</v>
          </cell>
          <cell r="T8257">
            <v>6.7353053039999988</v>
          </cell>
        </row>
        <row r="8258">
          <cell r="A8258" t="str">
            <v>EMS WIRELESS</v>
          </cell>
          <cell r="B8258" t="str">
            <v>FV90-13-00NA-2</v>
          </cell>
          <cell r="O8258">
            <v>11.18565074</v>
          </cell>
          <cell r="T8258">
            <v>6.7353053039999988</v>
          </cell>
        </row>
        <row r="8259">
          <cell r="A8259" t="str">
            <v>EMS WIRELESS</v>
          </cell>
          <cell r="B8259" t="str">
            <v>FV90-13-00NAL2</v>
          </cell>
          <cell r="O8259">
            <v>11.18565074</v>
          </cell>
          <cell r="T8259">
            <v>6.7353053039999988</v>
          </cell>
        </row>
        <row r="8260">
          <cell r="A8260" t="str">
            <v>EMS WIRELESS</v>
          </cell>
          <cell r="B8260" t="str">
            <v>FV90-13-05DAL2</v>
          </cell>
          <cell r="O8260">
            <v>11.18565074</v>
          </cell>
          <cell r="T8260">
            <v>6.7353053039999988</v>
          </cell>
        </row>
        <row r="8261">
          <cell r="A8261" t="str">
            <v>EMS WIRELESS</v>
          </cell>
          <cell r="B8261" t="str">
            <v>FV90-13-05DBL2</v>
          </cell>
          <cell r="O8261">
            <v>11.18565074</v>
          </cell>
          <cell r="T8261">
            <v>6.7353053039999988</v>
          </cell>
        </row>
        <row r="8262">
          <cell r="A8262" t="str">
            <v>EMS WIRELESS</v>
          </cell>
          <cell r="B8262" t="str">
            <v>FV90-13-05NAL2</v>
          </cell>
          <cell r="O8262">
            <v>11.18565074</v>
          </cell>
          <cell r="T8262">
            <v>6.7353053039999988</v>
          </cell>
        </row>
        <row r="8263">
          <cell r="A8263" t="str">
            <v>EMS WIRELESS</v>
          </cell>
          <cell r="B8263" t="str">
            <v>FV90-1300</v>
          </cell>
          <cell r="O8263"/>
          <cell r="T8263"/>
        </row>
        <row r="8264">
          <cell r="A8264" t="str">
            <v>EMS WIRELESS</v>
          </cell>
          <cell r="B8264" t="str">
            <v>FV90-16-00DP</v>
          </cell>
          <cell r="O8264">
            <v>4.5185361789999998</v>
          </cell>
          <cell r="T8264">
            <v>1.541157745</v>
          </cell>
        </row>
        <row r="8265">
          <cell r="A8265" t="str">
            <v>EMS WIRELESS</v>
          </cell>
          <cell r="B8265" t="str">
            <v>FV90-16-02DP</v>
          </cell>
          <cell r="O8265">
            <v>4.5185361789999998</v>
          </cell>
          <cell r="T8265">
            <v>1.541157745</v>
          </cell>
        </row>
        <row r="8266">
          <cell r="A8266" t="str">
            <v>EMS WIRELESS</v>
          </cell>
          <cell r="B8266" t="str">
            <v>FV90-16-04DP</v>
          </cell>
          <cell r="O8266">
            <v>4.5185361789999998</v>
          </cell>
          <cell r="T8266">
            <v>1.541157745</v>
          </cell>
        </row>
        <row r="8267">
          <cell r="A8267" t="str">
            <v>EMS WIRELESS</v>
          </cell>
          <cell r="B8267" t="str">
            <v>FV90-1604DP</v>
          </cell>
          <cell r="O8267"/>
          <cell r="T8267"/>
        </row>
        <row r="8268">
          <cell r="A8268" t="str">
            <v>EMS WIRELESS</v>
          </cell>
          <cell r="B8268" t="str">
            <v>FV901105</v>
          </cell>
          <cell r="O8268"/>
          <cell r="T8268"/>
        </row>
        <row r="8269">
          <cell r="A8269" t="str">
            <v>EMS WIRELESS</v>
          </cell>
          <cell r="B8269" t="str">
            <v>FV9012-05DA10</v>
          </cell>
          <cell r="O8269"/>
          <cell r="T8269"/>
        </row>
        <row r="8270">
          <cell r="A8270" t="str">
            <v>EMS WIRELESS</v>
          </cell>
          <cell r="B8270" t="str">
            <v>FV9012-05DA3</v>
          </cell>
          <cell r="O8270"/>
          <cell r="T8270"/>
        </row>
        <row r="8271">
          <cell r="A8271" t="str">
            <v>EMS WIRELESS</v>
          </cell>
          <cell r="B8271" t="str">
            <v>FV9012-05DA4</v>
          </cell>
          <cell r="O8271"/>
          <cell r="T8271"/>
        </row>
        <row r="8272">
          <cell r="A8272" t="str">
            <v>EMS WIRELESS</v>
          </cell>
          <cell r="B8272" t="str">
            <v>FV9012-05DA5</v>
          </cell>
          <cell r="O8272"/>
          <cell r="T8272"/>
        </row>
        <row r="8273">
          <cell r="A8273" t="str">
            <v>EMS WIRELESS</v>
          </cell>
          <cell r="B8273" t="str">
            <v>FV9012-05DA6</v>
          </cell>
          <cell r="O8273"/>
          <cell r="T8273"/>
        </row>
        <row r="8274">
          <cell r="A8274" t="str">
            <v>EMS WIRELESS</v>
          </cell>
          <cell r="B8274" t="str">
            <v>FV9012-05DA7</v>
          </cell>
          <cell r="O8274"/>
          <cell r="T8274"/>
        </row>
        <row r="8275">
          <cell r="A8275" t="str">
            <v>EMS WIRELESS</v>
          </cell>
          <cell r="B8275" t="str">
            <v>FV9012-05DA8</v>
          </cell>
          <cell r="O8275"/>
          <cell r="T8275"/>
        </row>
        <row r="8276">
          <cell r="A8276" t="str">
            <v>EMS WIRELESS</v>
          </cell>
          <cell r="B8276" t="str">
            <v>FV9012-05DA9</v>
          </cell>
          <cell r="O8276"/>
          <cell r="T8276"/>
        </row>
        <row r="8277">
          <cell r="A8277" t="str">
            <v>EMS WIRELESS</v>
          </cell>
          <cell r="B8277" t="str">
            <v>FV9012050A2</v>
          </cell>
          <cell r="O8277">
            <v>8.176090975000001</v>
          </cell>
          <cell r="T8277">
            <v>4.9236840050000001</v>
          </cell>
        </row>
        <row r="8278">
          <cell r="A8278" t="str">
            <v>EMS WIRELESS</v>
          </cell>
          <cell r="B8278" t="str">
            <v>FV901205N2</v>
          </cell>
          <cell r="O8278"/>
          <cell r="T8278"/>
        </row>
        <row r="8279">
          <cell r="A8279" t="str">
            <v>EMS WIRELESS</v>
          </cell>
          <cell r="B8279" t="str">
            <v>FV9012OSDACZ</v>
          </cell>
          <cell r="O8279"/>
          <cell r="T8279"/>
        </row>
        <row r="8280">
          <cell r="A8280" t="str">
            <v>EMS WIRELESS</v>
          </cell>
          <cell r="B8280" t="str">
            <v>FV90162DP</v>
          </cell>
          <cell r="O8280"/>
          <cell r="T8280"/>
        </row>
        <row r="8281">
          <cell r="A8281" t="str">
            <v>EMS WIRELESS</v>
          </cell>
          <cell r="B8281" t="str">
            <v>IS901105NA2</v>
          </cell>
          <cell r="O8281"/>
          <cell r="T8281"/>
        </row>
        <row r="8282">
          <cell r="A8282" t="str">
            <v>EMS WIRELESS</v>
          </cell>
          <cell r="B8282" t="str">
            <v>KRV65-18-00DP</v>
          </cell>
          <cell r="O8282"/>
          <cell r="T8282"/>
        </row>
        <row r="8283">
          <cell r="A8283" t="str">
            <v>EMS WIRELESS</v>
          </cell>
          <cell r="B8283" t="str">
            <v>KRV65-18-02DP</v>
          </cell>
          <cell r="O8283"/>
          <cell r="T8283"/>
        </row>
        <row r="8284">
          <cell r="A8284" t="str">
            <v>EMS WIRELESS</v>
          </cell>
          <cell r="B8284" t="str">
            <v>KRV90-17-00DP</v>
          </cell>
          <cell r="O8284"/>
          <cell r="T8284"/>
        </row>
        <row r="8285">
          <cell r="A8285" t="str">
            <v>EMS WIRELESS</v>
          </cell>
          <cell r="B8285" t="str">
            <v>KRV90-17-04DP</v>
          </cell>
          <cell r="O8285"/>
          <cell r="T8285"/>
        </row>
        <row r="8286">
          <cell r="A8286" t="str">
            <v>EMS WIRELESS</v>
          </cell>
          <cell r="B8286" t="str">
            <v>LR65-13-00DB2</v>
          </cell>
          <cell r="O8286">
            <v>8.176090975000001</v>
          </cell>
          <cell r="T8286">
            <v>4.9236840050000001</v>
          </cell>
        </row>
        <row r="8287">
          <cell r="A8287" t="str">
            <v>EMS WIRELESS</v>
          </cell>
          <cell r="B8287" t="str">
            <v>LR65-13-00NB2</v>
          </cell>
          <cell r="O8287">
            <v>8.176090975000001</v>
          </cell>
          <cell r="T8287">
            <v>4.9236840050000001</v>
          </cell>
        </row>
        <row r="8288">
          <cell r="A8288" t="str">
            <v>EMS WIRELESS</v>
          </cell>
          <cell r="B8288" t="str">
            <v>LR65-13-03DB2</v>
          </cell>
          <cell r="O8288">
            <v>8.176090975000001</v>
          </cell>
          <cell r="T8288">
            <v>4.9236840050000001</v>
          </cell>
        </row>
        <row r="8289">
          <cell r="A8289" t="str">
            <v>EMS WIRELESS</v>
          </cell>
          <cell r="B8289" t="str">
            <v>LR65-13-03NB2</v>
          </cell>
          <cell r="O8289">
            <v>8.176090975000001</v>
          </cell>
          <cell r="T8289">
            <v>4.9236840050000001</v>
          </cell>
        </row>
        <row r="8290">
          <cell r="A8290" t="str">
            <v>EMS WIRELESS</v>
          </cell>
          <cell r="B8290" t="str">
            <v>LR65-13-06DB2</v>
          </cell>
          <cell r="O8290">
            <v>8.176090975000001</v>
          </cell>
          <cell r="T8290">
            <v>4.9236840050000001</v>
          </cell>
        </row>
        <row r="8291">
          <cell r="A8291" t="str">
            <v>EMS WIRELESS</v>
          </cell>
          <cell r="B8291" t="str">
            <v>LR65-13-06NB2</v>
          </cell>
          <cell r="O8291">
            <v>8.176090975000001</v>
          </cell>
          <cell r="T8291">
            <v>4.9236840050000001</v>
          </cell>
        </row>
        <row r="8292">
          <cell r="A8292" t="str">
            <v>EMS WIRELESS</v>
          </cell>
          <cell r="B8292" t="str">
            <v>LR65-14-00DA2</v>
          </cell>
          <cell r="O8292">
            <v>11.18565074</v>
          </cell>
          <cell r="T8292">
            <v>6.7353053039999988</v>
          </cell>
        </row>
        <row r="8293">
          <cell r="A8293" t="str">
            <v>EMS WIRELESS</v>
          </cell>
          <cell r="B8293" t="str">
            <v>LR65-14-00NA2</v>
          </cell>
          <cell r="O8293">
            <v>11.18565074</v>
          </cell>
          <cell r="T8293">
            <v>6.7353053039999988</v>
          </cell>
        </row>
        <row r="8294">
          <cell r="A8294" t="str">
            <v>EMS WIRELESS</v>
          </cell>
          <cell r="B8294" t="str">
            <v>LR65-14-03DA2</v>
          </cell>
          <cell r="O8294">
            <v>11.18565074</v>
          </cell>
          <cell r="T8294">
            <v>6.7353053039999988</v>
          </cell>
        </row>
        <row r="8295">
          <cell r="A8295" t="str">
            <v>EMS WIRELESS</v>
          </cell>
          <cell r="B8295" t="str">
            <v>LR65-14-03NA2</v>
          </cell>
          <cell r="O8295">
            <v>11.18565074</v>
          </cell>
          <cell r="T8295">
            <v>6.7353053039999988</v>
          </cell>
        </row>
        <row r="8296">
          <cell r="A8296" t="str">
            <v>EMS WIRELESS</v>
          </cell>
          <cell r="B8296" t="str">
            <v>LR65-14-05DA2</v>
          </cell>
          <cell r="O8296">
            <v>11.18565074</v>
          </cell>
          <cell r="T8296">
            <v>6.7353053039999988</v>
          </cell>
        </row>
        <row r="8297">
          <cell r="A8297" t="str">
            <v>EMS WIRELESS</v>
          </cell>
          <cell r="B8297" t="str">
            <v>LR65-14-05NA2</v>
          </cell>
          <cell r="O8297"/>
          <cell r="T8297"/>
        </row>
        <row r="8298">
          <cell r="A8298" t="str">
            <v>EMS WIRELESS</v>
          </cell>
          <cell r="B8298" t="str">
            <v>LR65-14-06DA2</v>
          </cell>
          <cell r="O8298">
            <v>11.18565074</v>
          </cell>
          <cell r="T8298">
            <v>6.7353053039999988</v>
          </cell>
        </row>
        <row r="8299">
          <cell r="A8299" t="str">
            <v>EMS WIRELESS</v>
          </cell>
          <cell r="B8299" t="str">
            <v>LR65-14-06NA2</v>
          </cell>
          <cell r="O8299">
            <v>11.18565074</v>
          </cell>
          <cell r="T8299">
            <v>6.7353053039999988</v>
          </cell>
        </row>
        <row r="8300">
          <cell r="A8300" t="str">
            <v>EMS WIRELESS</v>
          </cell>
          <cell r="B8300" t="str">
            <v>LR90-12-00DA2</v>
          </cell>
          <cell r="O8300">
            <v>8.176090975000001</v>
          </cell>
          <cell r="T8300">
            <v>4.9236840050000001</v>
          </cell>
        </row>
        <row r="8301">
          <cell r="A8301" t="str">
            <v>EMS WIRELESS</v>
          </cell>
          <cell r="B8301" t="str">
            <v>LR90-13-00DA2</v>
          </cell>
          <cell r="O8301">
            <v>11.18565074</v>
          </cell>
          <cell r="T8301">
            <v>6.7353053039999988</v>
          </cell>
        </row>
        <row r="8302">
          <cell r="A8302" t="str">
            <v>EMS WIRELESS</v>
          </cell>
          <cell r="B8302" t="str">
            <v>LR90-13-00NA2</v>
          </cell>
          <cell r="O8302">
            <v>11.18565074</v>
          </cell>
          <cell r="T8302">
            <v>6.7353053039999988</v>
          </cell>
        </row>
        <row r="8303">
          <cell r="A8303" t="str">
            <v>EMS WIRELESS</v>
          </cell>
          <cell r="B8303" t="str">
            <v>LR90-13-03DA2</v>
          </cell>
          <cell r="O8303">
            <v>11.18565074</v>
          </cell>
          <cell r="T8303">
            <v>6.7353053039999988</v>
          </cell>
        </row>
        <row r="8304">
          <cell r="A8304" t="str">
            <v>EMS WIRELESS</v>
          </cell>
          <cell r="B8304" t="str">
            <v>LR90-13-03NA2</v>
          </cell>
          <cell r="O8304">
            <v>11.18565074</v>
          </cell>
          <cell r="T8304">
            <v>6.7353053039999988</v>
          </cell>
        </row>
        <row r="8305">
          <cell r="A8305" t="str">
            <v>EMS WIRELESS</v>
          </cell>
          <cell r="B8305" t="str">
            <v>LR90-13-06DA2</v>
          </cell>
          <cell r="O8305">
            <v>11.18565074</v>
          </cell>
          <cell r="T8305">
            <v>6.7353053039999988</v>
          </cell>
        </row>
        <row r="8306">
          <cell r="A8306" t="str">
            <v>EMS WIRELESS</v>
          </cell>
          <cell r="B8306" t="str">
            <v>LR90-13-06NA2</v>
          </cell>
          <cell r="O8306">
            <v>11.18565074</v>
          </cell>
          <cell r="T8306">
            <v>6.7353053039999988</v>
          </cell>
        </row>
        <row r="8307">
          <cell r="A8307" t="str">
            <v>EMS WIRELESS</v>
          </cell>
          <cell r="B8307" t="str">
            <v>LV20-20-00DP</v>
          </cell>
          <cell r="O8307"/>
          <cell r="T8307"/>
        </row>
        <row r="8308">
          <cell r="A8308" t="str">
            <v>EMS WIRELESS</v>
          </cell>
          <cell r="B8308" t="str">
            <v>LV65-13-00DA2</v>
          </cell>
          <cell r="O8308">
            <v>8.176090975000001</v>
          </cell>
          <cell r="T8308">
            <v>4.9236840050000001</v>
          </cell>
        </row>
        <row r="8309">
          <cell r="A8309" t="str">
            <v>EMS WIRELESS</v>
          </cell>
          <cell r="B8309" t="str">
            <v>LV65-13-00DB2</v>
          </cell>
          <cell r="O8309">
            <v>8.176090975000001</v>
          </cell>
          <cell r="T8309">
            <v>4.9236840050000001</v>
          </cell>
        </row>
        <row r="8310">
          <cell r="A8310" t="str">
            <v>EMS WIRELESS</v>
          </cell>
          <cell r="B8310" t="str">
            <v>LV65-13-00NA2</v>
          </cell>
          <cell r="O8310">
            <v>8.176090975000001</v>
          </cell>
          <cell r="T8310">
            <v>4.9236840050000001</v>
          </cell>
        </row>
        <row r="8311">
          <cell r="A8311" t="str">
            <v>EMS WIRELESS</v>
          </cell>
          <cell r="B8311" t="str">
            <v>LV65-13-00NB2</v>
          </cell>
          <cell r="O8311">
            <v>8.176090975000001</v>
          </cell>
          <cell r="T8311">
            <v>4.9236840050000001</v>
          </cell>
        </row>
        <row r="8312">
          <cell r="A8312" t="str">
            <v>EMS WIRELESS</v>
          </cell>
          <cell r="B8312" t="str">
            <v>LV65-13-03DB2</v>
          </cell>
          <cell r="O8312">
            <v>8.176090975000001</v>
          </cell>
          <cell r="T8312">
            <v>4.9236840050000001</v>
          </cell>
        </row>
        <row r="8313">
          <cell r="A8313" t="str">
            <v>EMS WIRELESS</v>
          </cell>
          <cell r="B8313" t="str">
            <v>LV65-13-03NB2</v>
          </cell>
          <cell r="O8313">
            <v>8.176090975000001</v>
          </cell>
          <cell r="T8313">
            <v>4.9236840050000001</v>
          </cell>
        </row>
        <row r="8314">
          <cell r="A8314" t="str">
            <v>EMS WIRELESS</v>
          </cell>
          <cell r="B8314" t="str">
            <v>LV65-13-06DB2</v>
          </cell>
          <cell r="O8314">
            <v>8.176090975000001</v>
          </cell>
          <cell r="T8314">
            <v>4.9236840050000001</v>
          </cell>
        </row>
        <row r="8315">
          <cell r="A8315" t="str">
            <v>EMS WIRELESS</v>
          </cell>
          <cell r="B8315" t="str">
            <v>LV65-13-06NB2</v>
          </cell>
          <cell r="O8315">
            <v>8.176090975000001</v>
          </cell>
          <cell r="T8315">
            <v>4.9236840050000001</v>
          </cell>
        </row>
        <row r="8316">
          <cell r="A8316" t="str">
            <v>EMS WIRELESS</v>
          </cell>
          <cell r="B8316" t="str">
            <v>LV90-12-00DA2</v>
          </cell>
          <cell r="O8316">
            <v>8.176090975000001</v>
          </cell>
          <cell r="T8316">
            <v>4.9236840050000001</v>
          </cell>
        </row>
        <row r="8317">
          <cell r="A8317" t="str">
            <v>EMS WIRELESS</v>
          </cell>
          <cell r="B8317" t="str">
            <v>LV90-12-00NA2</v>
          </cell>
          <cell r="O8317">
            <v>8.176090975000001</v>
          </cell>
          <cell r="T8317">
            <v>4.9236840050000001</v>
          </cell>
        </row>
        <row r="8318">
          <cell r="A8318" t="str">
            <v>EMS WIRELESS</v>
          </cell>
          <cell r="B8318" t="str">
            <v>LV90-12-03DA2</v>
          </cell>
          <cell r="O8318">
            <v>8.176090975000001</v>
          </cell>
          <cell r="T8318">
            <v>4.9236840050000001</v>
          </cell>
        </row>
        <row r="8319">
          <cell r="A8319" t="str">
            <v>EMS WIRELESS</v>
          </cell>
          <cell r="B8319" t="str">
            <v>LV90-12-03NA2</v>
          </cell>
          <cell r="O8319">
            <v>8.176090975000001</v>
          </cell>
          <cell r="T8319">
            <v>4.9236840050000001</v>
          </cell>
        </row>
        <row r="8320">
          <cell r="A8320" t="str">
            <v>EMS WIRELESS</v>
          </cell>
          <cell r="B8320" t="str">
            <v>LV90-12-06DA2</v>
          </cell>
          <cell r="O8320">
            <v>8.176090975000001</v>
          </cell>
          <cell r="T8320">
            <v>4.9236840050000001</v>
          </cell>
        </row>
        <row r="8321">
          <cell r="A8321" t="str">
            <v>EMS WIRELESS</v>
          </cell>
          <cell r="B8321" t="str">
            <v>LV90-12-06NA2</v>
          </cell>
          <cell r="O8321">
            <v>8.176090975000001</v>
          </cell>
          <cell r="T8321">
            <v>4.9236840050000001</v>
          </cell>
        </row>
        <row r="8322">
          <cell r="A8322" t="str">
            <v>EMS WIRELESS</v>
          </cell>
          <cell r="B8322" t="str">
            <v>MB100RR650200DPAL</v>
          </cell>
          <cell r="O8322">
            <v>8.4292684398383901</v>
          </cell>
          <cell r="T8322">
            <v>2.8764232056225101</v>
          </cell>
        </row>
        <row r="8323">
          <cell r="A8323" t="str">
            <v>EMS WIRELESS</v>
          </cell>
          <cell r="B8323" t="str">
            <v>MB48RR650200DPALQ</v>
          </cell>
          <cell r="O8323">
            <v>6.3367307008056288</v>
          </cell>
          <cell r="T8323">
            <v>2.79864514935307</v>
          </cell>
        </row>
        <row r="8324">
          <cell r="A8324" t="str">
            <v>EMS WIRELESS</v>
          </cell>
          <cell r="B8324" t="str">
            <v>MB48RR65VDPALQ/-R</v>
          </cell>
          <cell r="O8324">
            <v>7.0279899691357999</v>
          </cell>
          <cell r="T8324">
            <v>3.1028428587946899</v>
          </cell>
        </row>
        <row r="8325">
          <cell r="A8325" t="str">
            <v>EMS WIRELESS</v>
          </cell>
          <cell r="B8325" t="str">
            <v>MB48RR65VDPALQ_R12</v>
          </cell>
          <cell r="O8325">
            <v>5.8303430609999998</v>
          </cell>
          <cell r="T8325">
            <v>3.512942765</v>
          </cell>
        </row>
        <row r="8326">
          <cell r="A8326" t="str">
            <v>EMS WIRELESS</v>
          </cell>
          <cell r="B8326" t="str">
            <v>MB48RR80VDPALQ/-R</v>
          </cell>
          <cell r="O8326">
            <v>7.0279899691357999</v>
          </cell>
          <cell r="T8326">
            <v>3.1028428587946899</v>
          </cell>
        </row>
        <row r="8327">
          <cell r="A8327" t="str">
            <v>EMS WIRELESS</v>
          </cell>
          <cell r="B8327" t="str">
            <v>MB48RR80VDPALQ/R</v>
          </cell>
          <cell r="O8327"/>
          <cell r="T8327"/>
        </row>
        <row r="8328">
          <cell r="A8328" t="str">
            <v>EMS WIRELESS</v>
          </cell>
          <cell r="B8328" t="str">
            <v>MB48RR80VDPALQ_R12</v>
          </cell>
          <cell r="O8328">
            <v>5.8303430609999998</v>
          </cell>
          <cell r="T8328">
            <v>3.512942765</v>
          </cell>
        </row>
        <row r="8329">
          <cell r="A8329" t="str">
            <v>EMS WIRELESS</v>
          </cell>
          <cell r="B8329" t="str">
            <v>MB48RV650000DPBLQ</v>
          </cell>
          <cell r="O8329"/>
          <cell r="T8329"/>
        </row>
        <row r="8330">
          <cell r="A8330" t="str">
            <v>EMS WIRELESS</v>
          </cell>
          <cell r="B8330" t="str">
            <v>MB72RR65VDPALQ/-R</v>
          </cell>
          <cell r="O8330">
            <v>9.8700607019745483</v>
          </cell>
          <cell r="T8330">
            <v>4.3607675125088496</v>
          </cell>
        </row>
        <row r="8331">
          <cell r="A8331" t="str">
            <v>EMS WIRELESS</v>
          </cell>
          <cell r="B8331" t="str">
            <v>MB72RR80VDPALQ</v>
          </cell>
          <cell r="O8331">
            <v>9.8700607019745483</v>
          </cell>
          <cell r="T8331">
            <v>4.3607675125088496</v>
          </cell>
        </row>
        <row r="8332">
          <cell r="A8332" t="str">
            <v>EMS WIRELESS</v>
          </cell>
          <cell r="B8332" t="str">
            <v>MB72RR80VDPALQ/-R</v>
          </cell>
          <cell r="O8332">
            <v>9.8700607019745483</v>
          </cell>
          <cell r="T8332">
            <v>4.3607675125088496</v>
          </cell>
        </row>
        <row r="8333">
          <cell r="A8333" t="str">
            <v>EMS WIRELESS</v>
          </cell>
          <cell r="B8333" t="str">
            <v>MB72RR80VDPALQ_R12</v>
          </cell>
          <cell r="O8333">
            <v>8.176090975000001</v>
          </cell>
          <cell r="T8333">
            <v>4.9236840050000001</v>
          </cell>
        </row>
        <row r="8334">
          <cell r="A8334" t="str">
            <v>EMS WIRELESS</v>
          </cell>
          <cell r="B8334" t="str">
            <v>MB96RR900200DPBL</v>
          </cell>
          <cell r="O8334">
            <v>11.18565074</v>
          </cell>
          <cell r="T8334">
            <v>6.7353053039999988</v>
          </cell>
        </row>
        <row r="8335">
          <cell r="A8335" t="str">
            <v>EMS WIRELESS</v>
          </cell>
          <cell r="B8335" t="str">
            <v>MR5901702DP</v>
          </cell>
          <cell r="O8335"/>
          <cell r="T8335"/>
        </row>
        <row r="8336">
          <cell r="A8336" t="str">
            <v>EMS WIRELESS</v>
          </cell>
          <cell r="B8336" t="str">
            <v>MTFR90-11-000DAL2-CMX</v>
          </cell>
          <cell r="O8336"/>
          <cell r="T8336"/>
        </row>
        <row r="8337">
          <cell r="A8337" t="str">
            <v>EMS WIRELESS</v>
          </cell>
          <cell r="B8337" t="str">
            <v>MTRR75-17-000DPL</v>
          </cell>
          <cell r="O8337"/>
          <cell r="T8337"/>
        </row>
        <row r="8338">
          <cell r="A8338" t="str">
            <v>EMS WIRELESS</v>
          </cell>
          <cell r="B8338" t="str">
            <v>PR017060D</v>
          </cell>
          <cell r="O8338"/>
          <cell r="T8338"/>
        </row>
        <row r="8339">
          <cell r="A8339" t="str">
            <v>EMS WIRELESS</v>
          </cell>
          <cell r="B8339" t="str">
            <v>R020</v>
          </cell>
          <cell r="O8339"/>
          <cell r="T8339"/>
        </row>
        <row r="8340">
          <cell r="A8340" t="str">
            <v>EMS WIRELESS</v>
          </cell>
          <cell r="B8340" t="str">
            <v>R8657802DP</v>
          </cell>
          <cell r="O8340"/>
          <cell r="T8340"/>
        </row>
        <row r="8341">
          <cell r="A8341" t="str">
            <v>EMS WIRELESS</v>
          </cell>
          <cell r="B8341" t="str">
            <v>R901702DP</v>
          </cell>
          <cell r="O8341"/>
          <cell r="T8341"/>
        </row>
        <row r="8342">
          <cell r="A8342" t="str">
            <v>EMS WIRELESS</v>
          </cell>
          <cell r="B8342" t="str">
            <v>RB9017026P</v>
          </cell>
          <cell r="O8342"/>
          <cell r="T8342"/>
        </row>
        <row r="8343">
          <cell r="A8343" t="str">
            <v>EMS WIRELESS</v>
          </cell>
          <cell r="B8343" t="str">
            <v>RG6518020P</v>
          </cell>
          <cell r="O8343"/>
          <cell r="T8343"/>
        </row>
        <row r="8344">
          <cell r="A8344" t="str">
            <v>EMS WIRELESS</v>
          </cell>
          <cell r="B8344" t="str">
            <v>RP901706DP</v>
          </cell>
          <cell r="O8344"/>
          <cell r="T8344"/>
        </row>
        <row r="8345">
          <cell r="A8345" t="str">
            <v>EMS WIRELESS</v>
          </cell>
          <cell r="B8345" t="str">
            <v>RR01702DP</v>
          </cell>
          <cell r="O8345"/>
          <cell r="T8345"/>
        </row>
        <row r="8346">
          <cell r="A8346" t="str">
            <v>EMS WIRELESS</v>
          </cell>
          <cell r="B8346" t="str">
            <v>RR30-17-02DP</v>
          </cell>
          <cell r="O8346"/>
          <cell r="T8346"/>
        </row>
        <row r="8347">
          <cell r="A8347" t="str">
            <v>EMS WIRELESS</v>
          </cell>
          <cell r="B8347" t="str">
            <v>RR33-18-00DPL3</v>
          </cell>
          <cell r="O8347">
            <v>3.5217634210000002</v>
          </cell>
          <cell r="T8347">
            <v>1.34127654</v>
          </cell>
        </row>
        <row r="8348">
          <cell r="A8348" t="str">
            <v>EMS WIRELESS</v>
          </cell>
          <cell r="B8348" t="str">
            <v>RR33-18-00DPL4</v>
          </cell>
          <cell r="O8348">
            <v>3.5217634210000002</v>
          </cell>
          <cell r="T8348">
            <v>1.34127654</v>
          </cell>
        </row>
        <row r="8349">
          <cell r="A8349" t="str">
            <v>EMS WIRELESS</v>
          </cell>
          <cell r="B8349" t="str">
            <v>RR33-18-04DPL4</v>
          </cell>
          <cell r="O8349">
            <v>3.5217634210000002</v>
          </cell>
          <cell r="T8349">
            <v>1.34127654</v>
          </cell>
        </row>
        <row r="8350">
          <cell r="A8350" t="str">
            <v>EMS WIRELESS</v>
          </cell>
          <cell r="B8350" t="str">
            <v>RR33-20-00DP</v>
          </cell>
          <cell r="O8350">
            <v>6.8936621919999999</v>
          </cell>
          <cell r="T8350">
            <v>4.1548650709999997</v>
          </cell>
        </row>
        <row r="8351">
          <cell r="A8351" t="str">
            <v>EMS WIRELESS</v>
          </cell>
          <cell r="B8351" t="str">
            <v>RR33-20-00DPL4</v>
          </cell>
          <cell r="O8351">
            <v>7.0196554369999991</v>
          </cell>
          <cell r="T8351">
            <v>2.6745108289999999</v>
          </cell>
        </row>
        <row r="8352">
          <cell r="A8352" t="str">
            <v>EMS WIRELESS</v>
          </cell>
          <cell r="B8352" t="str">
            <v>RR33-20-02DP</v>
          </cell>
          <cell r="O8352">
            <v>6.8936621919999999</v>
          </cell>
          <cell r="T8352">
            <v>4.1548650709999997</v>
          </cell>
        </row>
        <row r="8353">
          <cell r="A8353" t="str">
            <v>EMS WIRELESS</v>
          </cell>
          <cell r="B8353" t="str">
            <v>RR33-20-02DPL4</v>
          </cell>
          <cell r="O8353">
            <v>7.0196554369999991</v>
          </cell>
          <cell r="T8353">
            <v>2.6745108289999999</v>
          </cell>
        </row>
        <row r="8354">
          <cell r="A8354" t="str">
            <v>EMS WIRELESS</v>
          </cell>
          <cell r="B8354" t="str">
            <v>RR33-20-04DPL4</v>
          </cell>
          <cell r="O8354">
            <v>7.0196554369999991</v>
          </cell>
          <cell r="T8354">
            <v>2.6745108289999999</v>
          </cell>
        </row>
        <row r="8355">
          <cell r="A8355" t="str">
            <v>EMS WIRELESS</v>
          </cell>
          <cell r="B8355" t="str">
            <v>RR33-20-06DPL4</v>
          </cell>
          <cell r="O8355">
            <v>7.0196554369999991</v>
          </cell>
          <cell r="T8355">
            <v>2.6745108289999999</v>
          </cell>
        </row>
        <row r="8356">
          <cell r="A8356" t="str">
            <v>EMS WIRELESS</v>
          </cell>
          <cell r="B8356" t="str">
            <v>RR33-20-VDPL4_R</v>
          </cell>
          <cell r="O8356">
            <v>7.0196554369999991</v>
          </cell>
          <cell r="T8356">
            <v>2.6745108289999999</v>
          </cell>
        </row>
        <row r="8357">
          <cell r="A8357" t="str">
            <v>EMS WIRELESS</v>
          </cell>
          <cell r="B8357" t="str">
            <v>RR33-20-XXDPL4</v>
          </cell>
          <cell r="O8357">
            <v>7.0196554369999991</v>
          </cell>
          <cell r="T8357">
            <v>2.6745108289999999</v>
          </cell>
        </row>
        <row r="8358">
          <cell r="A8358" t="str">
            <v>EMS WIRELESS</v>
          </cell>
          <cell r="B8358" t="str">
            <v>RR33200203</v>
          </cell>
          <cell r="O8358"/>
          <cell r="T8358"/>
        </row>
        <row r="8359">
          <cell r="A8359" t="str">
            <v>EMS WIRELESS</v>
          </cell>
          <cell r="B8359" t="str">
            <v>RR360-10-00DPL</v>
          </cell>
          <cell r="O8359"/>
          <cell r="T8359"/>
        </row>
        <row r="8360">
          <cell r="A8360" t="str">
            <v>EMS WIRELESS</v>
          </cell>
          <cell r="B8360" t="str">
            <v>RR45-14-00DBL2</v>
          </cell>
          <cell r="O8360">
            <v>6.3367307008056288</v>
          </cell>
          <cell r="T8360">
            <v>2.79864514935307</v>
          </cell>
        </row>
        <row r="8361">
          <cell r="A8361" t="str">
            <v>EMS WIRELESS</v>
          </cell>
          <cell r="B8361" t="str">
            <v>RR45-14-00NBL2</v>
          </cell>
          <cell r="O8361">
            <v>6.3367307008056288</v>
          </cell>
          <cell r="T8361">
            <v>2.79864514935307</v>
          </cell>
        </row>
        <row r="8362">
          <cell r="A8362" t="str">
            <v>EMS WIRELESS</v>
          </cell>
          <cell r="B8362" t="str">
            <v>RR45-14-00XAL2</v>
          </cell>
          <cell r="O8362">
            <v>6.3367307008056288</v>
          </cell>
          <cell r="T8362">
            <v>2.79864514935307</v>
          </cell>
        </row>
        <row r="8363">
          <cell r="A8363" t="str">
            <v>EMS WIRELESS</v>
          </cell>
          <cell r="B8363" t="str">
            <v>RR45-14-05DBL2</v>
          </cell>
          <cell r="O8363">
            <v>6.3367307008056288</v>
          </cell>
          <cell r="T8363">
            <v>2.79864514935307</v>
          </cell>
        </row>
        <row r="8364">
          <cell r="A8364" t="str">
            <v>EMS WIRELESS</v>
          </cell>
          <cell r="B8364" t="str">
            <v>RR45-14-05NBL2</v>
          </cell>
          <cell r="O8364">
            <v>6.3367307008056288</v>
          </cell>
          <cell r="T8364">
            <v>2.79864514935307</v>
          </cell>
        </row>
        <row r="8365">
          <cell r="A8365" t="str">
            <v>EMS WIRELESS</v>
          </cell>
          <cell r="B8365" t="str">
            <v>RR45-1400</v>
          </cell>
          <cell r="O8365"/>
          <cell r="T8365"/>
        </row>
        <row r="8366">
          <cell r="A8366" t="str">
            <v>EMS WIRELESS</v>
          </cell>
          <cell r="B8366" t="str">
            <v>RR45-17-00DPL4</v>
          </cell>
          <cell r="O8366">
            <v>3.5217634210000002</v>
          </cell>
          <cell r="T8366">
            <v>1.34127654</v>
          </cell>
        </row>
        <row r="8367">
          <cell r="A8367" t="str">
            <v>EMS WIRELESS</v>
          </cell>
          <cell r="B8367" t="str">
            <v>RR45-17-04DPL4</v>
          </cell>
          <cell r="O8367">
            <v>3.5217634210000002</v>
          </cell>
          <cell r="T8367">
            <v>1.34127654</v>
          </cell>
        </row>
        <row r="8368">
          <cell r="A8368" t="str">
            <v>EMS WIRELESS</v>
          </cell>
          <cell r="B8368" t="str">
            <v>RR45-19-00DPL4</v>
          </cell>
          <cell r="O8368">
            <v>5.5061161719999996</v>
          </cell>
          <cell r="T8368">
            <v>2.0944132389999996</v>
          </cell>
        </row>
        <row r="8369">
          <cell r="A8369" t="str">
            <v>EMS WIRELESS</v>
          </cell>
          <cell r="B8369" t="str">
            <v>RR45-19-02DPL4</v>
          </cell>
          <cell r="O8369">
            <v>5.5061161719999996</v>
          </cell>
          <cell r="T8369">
            <v>2.0944132389999996</v>
          </cell>
        </row>
        <row r="8370">
          <cell r="A8370" t="str">
            <v>EMS WIRELESS</v>
          </cell>
          <cell r="B8370" t="str">
            <v>RR45-19-04DPL4</v>
          </cell>
          <cell r="O8370">
            <v>5.5061161719999996</v>
          </cell>
          <cell r="T8370">
            <v>2.0944132389999996</v>
          </cell>
        </row>
        <row r="8371">
          <cell r="A8371" t="str">
            <v>EMS WIRELESS</v>
          </cell>
          <cell r="B8371" t="str">
            <v>RR45-19-06DPL4</v>
          </cell>
          <cell r="O8371">
            <v>5.5061161719999996</v>
          </cell>
          <cell r="T8371">
            <v>2.0944132389999996</v>
          </cell>
        </row>
        <row r="8372">
          <cell r="A8372" t="str">
            <v>EMS WIRELESS</v>
          </cell>
          <cell r="B8372" t="str">
            <v>RR65-12-00DA4</v>
          </cell>
          <cell r="O8372"/>
          <cell r="T8372"/>
        </row>
        <row r="8373">
          <cell r="A8373" t="str">
            <v>EMS WIRELESS</v>
          </cell>
          <cell r="B8373" t="str">
            <v>RR65-12-00DAL4</v>
          </cell>
          <cell r="O8373"/>
          <cell r="T8373"/>
        </row>
        <row r="8374">
          <cell r="A8374" t="str">
            <v>EMS WIRELESS</v>
          </cell>
          <cell r="B8374" t="str">
            <v>RR65-12-00DBL</v>
          </cell>
          <cell r="O8374">
            <v>5.4140924349999997</v>
          </cell>
          <cell r="T8374">
            <v>3.2615385049999999</v>
          </cell>
        </row>
        <row r="8375">
          <cell r="A8375" t="str">
            <v>EMS WIRELESS</v>
          </cell>
          <cell r="B8375" t="str">
            <v>RR65-12-00NBL</v>
          </cell>
          <cell r="O8375">
            <v>5.4140924349999997</v>
          </cell>
          <cell r="T8375">
            <v>3.2615385049999999</v>
          </cell>
        </row>
        <row r="8376">
          <cell r="A8376" t="str">
            <v>EMS WIRELESS</v>
          </cell>
          <cell r="B8376" t="str">
            <v>RR65-12-05DBL</v>
          </cell>
          <cell r="O8376">
            <v>5.4140924349999997</v>
          </cell>
          <cell r="T8376">
            <v>3.2615385049999999</v>
          </cell>
        </row>
        <row r="8377">
          <cell r="A8377" t="str">
            <v>EMS WIRELESS</v>
          </cell>
          <cell r="B8377" t="str">
            <v>RR65-12-05NBL</v>
          </cell>
          <cell r="O8377">
            <v>5.4140924349999997</v>
          </cell>
          <cell r="T8377">
            <v>3.2615385049999999</v>
          </cell>
        </row>
        <row r="8378">
          <cell r="A8378" t="str">
            <v>EMS WIRELESS</v>
          </cell>
          <cell r="B8378" t="str">
            <v>RR65-12-10DBL</v>
          </cell>
          <cell r="O8378">
            <v>5.4140924349999997</v>
          </cell>
          <cell r="T8378">
            <v>3.2615385049999999</v>
          </cell>
        </row>
        <row r="8379">
          <cell r="A8379" t="str">
            <v>EMS WIRELESS</v>
          </cell>
          <cell r="B8379" t="str">
            <v>RR65-12-10NBL</v>
          </cell>
          <cell r="O8379">
            <v>5.4140924349999997</v>
          </cell>
          <cell r="T8379">
            <v>3.2615385049999999</v>
          </cell>
        </row>
        <row r="8380">
          <cell r="A8380" t="str">
            <v>EMS WIRELESS</v>
          </cell>
          <cell r="B8380" t="str">
            <v>RR65-12-V212DB</v>
          </cell>
          <cell r="O8380">
            <v>5.5061161719999996</v>
          </cell>
          <cell r="T8380">
            <v>2.0944132389999996</v>
          </cell>
        </row>
        <row r="8381">
          <cell r="A8381" t="str">
            <v>EMS WIRELESS</v>
          </cell>
          <cell r="B8381" t="str">
            <v>RR65-12-V212NB</v>
          </cell>
          <cell r="O8381">
            <v>5.4140924349999997</v>
          </cell>
          <cell r="T8381">
            <v>3.2615385049999999</v>
          </cell>
        </row>
        <row r="8382">
          <cell r="A8382" t="str">
            <v>EMS WIRELESS</v>
          </cell>
          <cell r="B8382" t="str">
            <v>RR65-13-00DA2</v>
          </cell>
          <cell r="O8382">
            <v>5.4140924349999997</v>
          </cell>
          <cell r="T8382">
            <v>3.2615385049999999</v>
          </cell>
        </row>
        <row r="8383">
          <cell r="A8383" t="str">
            <v>EMS WIRELESS</v>
          </cell>
          <cell r="B8383" t="str">
            <v>RR65-13-VDBL/-R</v>
          </cell>
          <cell r="O8383">
            <v>8.176090975000001</v>
          </cell>
          <cell r="T8383">
            <v>4.9236840050000001</v>
          </cell>
        </row>
        <row r="8384">
          <cell r="A8384" t="str">
            <v>EMS WIRELESS</v>
          </cell>
          <cell r="B8384" t="str">
            <v>RR65-13-VDBL2/-R</v>
          </cell>
          <cell r="O8384">
            <v>8.176090975000001</v>
          </cell>
          <cell r="T8384">
            <v>4.9236840050000001</v>
          </cell>
        </row>
        <row r="8385">
          <cell r="A8385" t="str">
            <v>EMS WIRELESS</v>
          </cell>
          <cell r="B8385" t="str">
            <v>RR65-15-00DAL2</v>
          </cell>
          <cell r="O8385">
            <v>11.18565074</v>
          </cell>
          <cell r="T8385">
            <v>6.7353053039999988</v>
          </cell>
        </row>
        <row r="8386">
          <cell r="A8386" t="str">
            <v>EMS WIRELESS</v>
          </cell>
          <cell r="B8386" t="str">
            <v>RR65-15-00DP</v>
          </cell>
          <cell r="O8386">
            <v>2.3047379740000005</v>
          </cell>
          <cell r="T8386">
            <v>0.78977299899999986</v>
          </cell>
        </row>
        <row r="8387">
          <cell r="A8387" t="str">
            <v>EMS WIRELESS</v>
          </cell>
          <cell r="B8387" t="str">
            <v>RR65-15-00DPL2</v>
          </cell>
          <cell r="O8387">
            <v>2.3047379740000005</v>
          </cell>
          <cell r="T8387">
            <v>0.78977299899999986</v>
          </cell>
        </row>
        <row r="8388">
          <cell r="A8388" t="str">
            <v>EMS WIRELESS</v>
          </cell>
          <cell r="B8388" t="str">
            <v>RR65-15-02DPL2</v>
          </cell>
          <cell r="O8388">
            <v>2.3047379740000005</v>
          </cell>
          <cell r="T8388">
            <v>0.78977299899999986</v>
          </cell>
        </row>
        <row r="8389">
          <cell r="A8389" t="str">
            <v>EMS WIRELESS</v>
          </cell>
          <cell r="B8389" t="str">
            <v>RR65-15-04DP</v>
          </cell>
          <cell r="O8389">
            <v>2.3047379740000005</v>
          </cell>
          <cell r="T8389">
            <v>0.78977299899999986</v>
          </cell>
        </row>
        <row r="8390">
          <cell r="A8390" t="str">
            <v>EMS WIRELESS</v>
          </cell>
          <cell r="B8390" t="str">
            <v>RR65-17-00DPL2</v>
          </cell>
          <cell r="O8390">
            <v>3.8096709320000004</v>
          </cell>
          <cell r="T8390">
            <v>1.3059778229999999</v>
          </cell>
        </row>
        <row r="8391">
          <cell r="A8391" t="str">
            <v>EMS WIRELESS</v>
          </cell>
          <cell r="B8391" t="str">
            <v>RR65-17-02DPL2</v>
          </cell>
          <cell r="O8391">
            <v>3.8096709320000004</v>
          </cell>
          <cell r="T8391">
            <v>1.3059778229999999</v>
          </cell>
        </row>
        <row r="8392">
          <cell r="A8392" t="str">
            <v>EMS WIRELESS</v>
          </cell>
          <cell r="B8392" t="str">
            <v>RR65-17-04DPL2</v>
          </cell>
          <cell r="O8392">
            <v>3.8096709320000004</v>
          </cell>
          <cell r="T8392">
            <v>1.3059778229999999</v>
          </cell>
        </row>
        <row r="8393">
          <cell r="A8393" t="str">
            <v>EMS WIRELESS</v>
          </cell>
          <cell r="B8393" t="str">
            <v>RR65-17-06DPL2</v>
          </cell>
          <cell r="O8393">
            <v>3.8096709320000004</v>
          </cell>
          <cell r="T8393">
            <v>1.3059778229999999</v>
          </cell>
        </row>
        <row r="8394">
          <cell r="A8394" t="str">
            <v>EMS WIRELESS</v>
          </cell>
          <cell r="B8394" t="str">
            <v>RR65-17-10DPL2</v>
          </cell>
          <cell r="O8394">
            <v>3.8096709320000004</v>
          </cell>
          <cell r="T8394">
            <v>1.3059778229999999</v>
          </cell>
        </row>
        <row r="8395">
          <cell r="A8395" t="str">
            <v>EMS WIRELESS</v>
          </cell>
          <cell r="B8395" t="str">
            <v>RR65-18-00DP</v>
          </cell>
          <cell r="O8395">
            <v>4.5185361789999998</v>
          </cell>
          <cell r="T8395">
            <v>1.541157745</v>
          </cell>
        </row>
        <row r="8396">
          <cell r="A8396" t="str">
            <v>EMS WIRELESS</v>
          </cell>
          <cell r="B8396" t="str">
            <v>RR65-18-00DPL2</v>
          </cell>
          <cell r="O8396">
            <v>4.5185361789999998</v>
          </cell>
          <cell r="T8396">
            <v>1.541157745</v>
          </cell>
        </row>
        <row r="8397">
          <cell r="A8397" t="str">
            <v>EMS WIRELESS</v>
          </cell>
          <cell r="B8397" t="str">
            <v>RR65-18-00DY</v>
          </cell>
          <cell r="O8397">
            <v>3.8096709320000004</v>
          </cell>
          <cell r="T8397">
            <v>1.3059778229999999</v>
          </cell>
        </row>
        <row r="8398">
          <cell r="A8398" t="str">
            <v>EMS WIRELESS</v>
          </cell>
          <cell r="B8398" t="str">
            <v>RR65-18-01DP</v>
          </cell>
          <cell r="O8398"/>
          <cell r="T8398"/>
        </row>
        <row r="8399">
          <cell r="A8399" t="str">
            <v>EMS WIRELESS</v>
          </cell>
          <cell r="B8399" t="str">
            <v>RR65-18-02DP</v>
          </cell>
          <cell r="O8399">
            <v>4.5185361789999998</v>
          </cell>
          <cell r="T8399">
            <v>1.541157745</v>
          </cell>
        </row>
        <row r="8400">
          <cell r="A8400" t="str">
            <v>EMS WIRELESS</v>
          </cell>
          <cell r="B8400" t="str">
            <v>RR65-18-02DPL2</v>
          </cell>
          <cell r="O8400">
            <v>4.5185361789999998</v>
          </cell>
          <cell r="T8400">
            <v>1.541157745</v>
          </cell>
        </row>
        <row r="8401">
          <cell r="A8401" t="str">
            <v>EMS WIRELESS</v>
          </cell>
          <cell r="B8401" t="str">
            <v>RR65-18-02DPL5</v>
          </cell>
          <cell r="O8401">
            <v>4.5185361789999998</v>
          </cell>
          <cell r="T8401">
            <v>1.541157745</v>
          </cell>
        </row>
        <row r="8402">
          <cell r="A8402" t="str">
            <v>EMS WIRELESS</v>
          </cell>
          <cell r="B8402" t="str">
            <v>RR65-18-02DY</v>
          </cell>
          <cell r="O8402">
            <v>3.8096709320000004</v>
          </cell>
          <cell r="T8402">
            <v>1.3059778229999999</v>
          </cell>
        </row>
        <row r="8403">
          <cell r="A8403" t="str">
            <v>EMS WIRELESS</v>
          </cell>
          <cell r="B8403" t="str">
            <v>RR65-18-03DP</v>
          </cell>
          <cell r="O8403"/>
          <cell r="T8403"/>
        </row>
        <row r="8404">
          <cell r="A8404" t="str">
            <v>EMS WIRELESS</v>
          </cell>
          <cell r="B8404" t="str">
            <v>RR65-18-04DP</v>
          </cell>
          <cell r="O8404">
            <v>4.5185361789999998</v>
          </cell>
          <cell r="T8404">
            <v>1.541157745</v>
          </cell>
        </row>
        <row r="8405">
          <cell r="A8405" t="str">
            <v>EMS WIRELESS</v>
          </cell>
          <cell r="B8405" t="str">
            <v>RR65-18-04DP5</v>
          </cell>
          <cell r="O8405">
            <v>4.5185361789999998</v>
          </cell>
          <cell r="T8405">
            <v>1.541157745</v>
          </cell>
        </row>
        <row r="8406">
          <cell r="A8406" t="str">
            <v>EMS WIRELESS</v>
          </cell>
          <cell r="B8406" t="str">
            <v>RR65-18-04DPL2</v>
          </cell>
          <cell r="O8406">
            <v>4.5185361789999998</v>
          </cell>
          <cell r="T8406">
            <v>1.541157745</v>
          </cell>
        </row>
        <row r="8407">
          <cell r="A8407" t="str">
            <v>EMS WIRELESS</v>
          </cell>
          <cell r="B8407" t="str">
            <v>RR65-18-06DP</v>
          </cell>
          <cell r="O8407">
            <v>4.5185361789999998</v>
          </cell>
          <cell r="T8407">
            <v>1.541157745</v>
          </cell>
        </row>
        <row r="8408">
          <cell r="A8408" t="str">
            <v>EMS WIRELESS</v>
          </cell>
          <cell r="B8408" t="str">
            <v>RR65-18-06DP5</v>
          </cell>
          <cell r="O8408">
            <v>4.5185361789999998</v>
          </cell>
          <cell r="T8408">
            <v>1.541157745</v>
          </cell>
        </row>
        <row r="8409">
          <cell r="A8409" t="str">
            <v>EMS WIRELESS</v>
          </cell>
          <cell r="B8409" t="str">
            <v>RR65-18-06DPL2</v>
          </cell>
          <cell r="O8409">
            <v>4.5185361789999998</v>
          </cell>
          <cell r="T8409">
            <v>1.541157745</v>
          </cell>
        </row>
        <row r="8410">
          <cell r="A8410" t="str">
            <v>EMS WIRELESS</v>
          </cell>
          <cell r="B8410" t="str">
            <v>RR65-18-VDPL2</v>
          </cell>
          <cell r="O8410">
            <v>4.5185361789999998</v>
          </cell>
          <cell r="T8410">
            <v>1.541157745</v>
          </cell>
        </row>
        <row r="8411">
          <cell r="A8411" t="str">
            <v>EMS WIRELESS</v>
          </cell>
          <cell r="B8411" t="str">
            <v>RR65-18-VDPL2/-R</v>
          </cell>
          <cell r="O8411">
            <v>4.5185361789999998</v>
          </cell>
          <cell r="T8411">
            <v>1.541157745</v>
          </cell>
        </row>
        <row r="8412">
          <cell r="A8412" t="str">
            <v>EMS WIRELESS</v>
          </cell>
          <cell r="B8412" t="str">
            <v>RR65-18-VDUL2/-R</v>
          </cell>
          <cell r="O8412">
            <v>4.5185361789999998</v>
          </cell>
          <cell r="T8412">
            <v>1.541157745</v>
          </cell>
        </row>
        <row r="8413">
          <cell r="A8413" t="str">
            <v>EMS WIRELESS</v>
          </cell>
          <cell r="B8413" t="str">
            <v>RR65-1802XP</v>
          </cell>
          <cell r="O8413">
            <v>4.5185361789999998</v>
          </cell>
          <cell r="T8413">
            <v>1.541157745</v>
          </cell>
        </row>
        <row r="8414">
          <cell r="A8414" t="str">
            <v>EMS WIRELESS</v>
          </cell>
          <cell r="B8414" t="str">
            <v>RR65-19-00DP</v>
          </cell>
          <cell r="O8414">
            <v>5.9497082409999988</v>
          </cell>
          <cell r="T8414">
            <v>2.4938239529999997</v>
          </cell>
        </row>
        <row r="8415">
          <cell r="A8415" t="str">
            <v>EMS WIRELESS</v>
          </cell>
          <cell r="B8415" t="str">
            <v>RR65-19-00DP5</v>
          </cell>
          <cell r="O8415">
            <v>5.9497082409999988</v>
          </cell>
          <cell r="T8415">
            <v>2.4938239529999997</v>
          </cell>
        </row>
        <row r="8416">
          <cell r="A8416" t="str">
            <v>EMS WIRELESS</v>
          </cell>
          <cell r="B8416" t="str">
            <v>RR65-19-00DPL5</v>
          </cell>
          <cell r="O8416">
            <v>5.9497082408373494</v>
          </cell>
          <cell r="T8416">
            <v>2.4938239529889503</v>
          </cell>
        </row>
        <row r="8417">
          <cell r="A8417" t="str">
            <v>EMS WIRELESS</v>
          </cell>
          <cell r="B8417" t="str">
            <v>RR65-19-02DP</v>
          </cell>
          <cell r="O8417">
            <v>5.9497082409999988</v>
          </cell>
          <cell r="T8417">
            <v>2.4938239529999997</v>
          </cell>
        </row>
        <row r="8418">
          <cell r="A8418" t="str">
            <v>EMS WIRELESS</v>
          </cell>
          <cell r="B8418" t="str">
            <v>RR65-19-02DP5</v>
          </cell>
          <cell r="O8418">
            <v>5.9497082409999988</v>
          </cell>
          <cell r="T8418">
            <v>2.4938239529999997</v>
          </cell>
        </row>
        <row r="8419">
          <cell r="A8419" t="str">
            <v>EMS WIRELESS</v>
          </cell>
          <cell r="B8419" t="str">
            <v>RR65-19-02DPL5</v>
          </cell>
          <cell r="O8419">
            <v>5.9497082409999988</v>
          </cell>
          <cell r="T8419">
            <v>2.4938239529999997</v>
          </cell>
        </row>
        <row r="8420">
          <cell r="A8420" t="str">
            <v>EMS WIRELESS</v>
          </cell>
          <cell r="B8420" t="str">
            <v>RR65-19-02DY</v>
          </cell>
          <cell r="O8420">
            <v>4.5185361789999998</v>
          </cell>
          <cell r="T8420">
            <v>1.541157745</v>
          </cell>
        </row>
        <row r="8421">
          <cell r="A8421" t="str">
            <v>EMS WIRELESS</v>
          </cell>
          <cell r="B8421" t="str">
            <v>RR65-19-04DP</v>
          </cell>
          <cell r="O8421">
            <v>5.9497082409999988</v>
          </cell>
          <cell r="T8421">
            <v>2.4938239529999997</v>
          </cell>
        </row>
        <row r="8422">
          <cell r="A8422" t="str">
            <v>EMS WIRELESS</v>
          </cell>
          <cell r="B8422" t="str">
            <v>RR65-19-04DP5</v>
          </cell>
          <cell r="O8422">
            <v>5.9497082409999988</v>
          </cell>
          <cell r="T8422">
            <v>2.4938239529999997</v>
          </cell>
        </row>
        <row r="8423">
          <cell r="A8423" t="str">
            <v>EMS WIRELESS</v>
          </cell>
          <cell r="B8423" t="str">
            <v>RR65-19-06DP</v>
          </cell>
          <cell r="O8423">
            <v>5.9497082409999988</v>
          </cell>
          <cell r="T8423">
            <v>2.4938239529999997</v>
          </cell>
        </row>
        <row r="8424">
          <cell r="A8424" t="str">
            <v>EMS WIRELESS</v>
          </cell>
          <cell r="B8424" t="str">
            <v>RR65-19-VDP</v>
          </cell>
          <cell r="O8424">
            <v>5.9497082409999988</v>
          </cell>
          <cell r="T8424">
            <v>2.4938239529999997</v>
          </cell>
        </row>
        <row r="8425">
          <cell r="A8425" t="str">
            <v>EMS WIRELESS</v>
          </cell>
          <cell r="B8425" t="str">
            <v>RR65-19-VDP/-R</v>
          </cell>
          <cell r="O8425">
            <v>5.9497082409999988</v>
          </cell>
          <cell r="T8425">
            <v>2.4938239529999997</v>
          </cell>
        </row>
        <row r="8426">
          <cell r="A8426" t="str">
            <v>EMS WIRELESS</v>
          </cell>
          <cell r="B8426" t="str">
            <v>RR65-90DP</v>
          </cell>
          <cell r="O8426"/>
          <cell r="T8426"/>
        </row>
        <row r="8427">
          <cell r="A8427" t="str">
            <v>EMS WIRELESS</v>
          </cell>
          <cell r="B8427" t="str">
            <v>RR65/9020D</v>
          </cell>
          <cell r="O8427"/>
          <cell r="T8427"/>
        </row>
        <row r="8428">
          <cell r="A8428" t="str">
            <v>EMS WIRELESS</v>
          </cell>
          <cell r="B8428" t="str">
            <v>RR6518020T</v>
          </cell>
          <cell r="O8428"/>
          <cell r="T8428"/>
        </row>
        <row r="8429">
          <cell r="A8429" t="str">
            <v>EMS WIRELESS</v>
          </cell>
          <cell r="B8429" t="str">
            <v>RR651802AP</v>
          </cell>
          <cell r="O8429"/>
          <cell r="T8429"/>
        </row>
        <row r="8430">
          <cell r="A8430" t="str">
            <v>EMS WIRELESS</v>
          </cell>
          <cell r="B8430" t="str">
            <v>RR651804DP</v>
          </cell>
          <cell r="O8430"/>
          <cell r="T8430"/>
        </row>
        <row r="8431">
          <cell r="A8431" t="str">
            <v>EMS WIRELESS</v>
          </cell>
          <cell r="B8431" t="str">
            <v>RR6519000P</v>
          </cell>
          <cell r="O8431"/>
          <cell r="T8431"/>
        </row>
        <row r="8432">
          <cell r="A8432" t="str">
            <v>EMS WIRELESS</v>
          </cell>
          <cell r="B8432" t="str">
            <v>RR651900DP</v>
          </cell>
          <cell r="O8432"/>
          <cell r="T8432"/>
        </row>
        <row r="8433">
          <cell r="A8433" t="str">
            <v>EMS WIRELESS</v>
          </cell>
          <cell r="B8433" t="str">
            <v>RR651900DP2</v>
          </cell>
          <cell r="O8433"/>
          <cell r="T8433"/>
        </row>
        <row r="8434">
          <cell r="A8434" t="str">
            <v>EMS WIRELESS</v>
          </cell>
          <cell r="B8434" t="str">
            <v>RR651900P</v>
          </cell>
          <cell r="O8434"/>
          <cell r="T8434"/>
        </row>
        <row r="8435">
          <cell r="A8435" t="str">
            <v>EMS WIRELESS</v>
          </cell>
          <cell r="B8435" t="str">
            <v>RR651902DP</v>
          </cell>
          <cell r="O8435"/>
          <cell r="T8435"/>
        </row>
        <row r="8436">
          <cell r="A8436" t="str">
            <v>EMS WIRELESS</v>
          </cell>
          <cell r="B8436" t="str">
            <v>RR651YO2DP</v>
          </cell>
          <cell r="O8436"/>
          <cell r="T8436"/>
        </row>
        <row r="8437">
          <cell r="A8437" t="str">
            <v>EMS WIRELESS</v>
          </cell>
          <cell r="B8437" t="str">
            <v>RR70-12-00</v>
          </cell>
          <cell r="O8437"/>
          <cell r="T8437"/>
        </row>
        <row r="8438">
          <cell r="A8438" t="str">
            <v>EMS WIRELESS</v>
          </cell>
          <cell r="B8438" t="str">
            <v>RR70-12-00NA2</v>
          </cell>
          <cell r="O8438">
            <v>5.4140924349999997</v>
          </cell>
          <cell r="T8438">
            <v>3.2615385049999999</v>
          </cell>
        </row>
        <row r="8439">
          <cell r="A8439" t="str">
            <v>EMS WIRELESS</v>
          </cell>
          <cell r="B8439" t="str">
            <v>RR70-12-05DA2</v>
          </cell>
          <cell r="O8439">
            <v>5.4140924349999997</v>
          </cell>
          <cell r="T8439">
            <v>3.2615385049999999</v>
          </cell>
        </row>
        <row r="8440">
          <cell r="A8440" t="str">
            <v>EMS WIRELESS</v>
          </cell>
          <cell r="B8440" t="str">
            <v>RR70-12-XXXA2</v>
          </cell>
          <cell r="O8440">
            <v>5.4140924349999997</v>
          </cell>
          <cell r="T8440">
            <v>3.2615385049999999</v>
          </cell>
        </row>
        <row r="8441">
          <cell r="A8441" t="str">
            <v>EMS WIRELESS</v>
          </cell>
          <cell r="B8441" t="str">
            <v>RR90-07-00DP</v>
          </cell>
          <cell r="O8441">
            <v>0.68690617300000001</v>
          </cell>
          <cell r="T8441">
            <v>0.23610611100000001</v>
          </cell>
        </row>
        <row r="8442">
          <cell r="A8442" t="str">
            <v>EMS WIRELESS</v>
          </cell>
          <cell r="B8442" t="str">
            <v>RR90-07-00NP</v>
          </cell>
          <cell r="O8442">
            <v>0.68690617300000001</v>
          </cell>
          <cell r="T8442">
            <v>0.23610611100000001</v>
          </cell>
        </row>
        <row r="8443">
          <cell r="A8443" t="str">
            <v>EMS WIRELESS</v>
          </cell>
          <cell r="B8443" t="str">
            <v>RR90-11-00DBL</v>
          </cell>
          <cell r="O8443">
            <v>5.4140924349999997</v>
          </cell>
          <cell r="T8443">
            <v>3.2615385049999999</v>
          </cell>
        </row>
        <row r="8444">
          <cell r="A8444" t="str">
            <v>EMS WIRELESS</v>
          </cell>
          <cell r="B8444" t="str">
            <v>RR90-11-00NBL</v>
          </cell>
          <cell r="O8444">
            <v>5.4140924349999997</v>
          </cell>
          <cell r="T8444">
            <v>3.2615385049999999</v>
          </cell>
        </row>
        <row r="8445">
          <cell r="A8445" t="str">
            <v>EMS WIRELESS</v>
          </cell>
          <cell r="B8445" t="str">
            <v>RR90-11-05DBL</v>
          </cell>
          <cell r="O8445">
            <v>5.4140924349999997</v>
          </cell>
          <cell r="T8445">
            <v>3.2615385049999999</v>
          </cell>
        </row>
        <row r="8446">
          <cell r="A8446" t="str">
            <v>EMS WIRELESS</v>
          </cell>
          <cell r="B8446" t="str">
            <v>RR90-11-05NBL</v>
          </cell>
          <cell r="O8446">
            <v>5.4140924349999997</v>
          </cell>
          <cell r="T8446">
            <v>3.2615385049999999</v>
          </cell>
        </row>
        <row r="8447">
          <cell r="A8447" t="str">
            <v>EMS WIRELESS</v>
          </cell>
          <cell r="B8447" t="str">
            <v>RR90-11-10DBL</v>
          </cell>
          <cell r="O8447">
            <v>5.4140924349999997</v>
          </cell>
          <cell r="T8447">
            <v>3.2615385049999999</v>
          </cell>
        </row>
        <row r="8448">
          <cell r="A8448" t="str">
            <v>EMS WIRELESS</v>
          </cell>
          <cell r="B8448" t="str">
            <v>RR90-11-10NBL</v>
          </cell>
          <cell r="O8448">
            <v>5.4140924349999997</v>
          </cell>
          <cell r="T8448">
            <v>3.2615385049999999</v>
          </cell>
        </row>
        <row r="8449">
          <cell r="A8449" t="str">
            <v>EMS WIRELESS</v>
          </cell>
          <cell r="B8449" t="str">
            <v>RR90-11-V212XB</v>
          </cell>
          <cell r="O8449">
            <v>5.4140924349999997</v>
          </cell>
          <cell r="T8449">
            <v>3.2615385049999999</v>
          </cell>
        </row>
        <row r="8450">
          <cell r="A8450" t="str">
            <v>EMS WIRELESS</v>
          </cell>
          <cell r="B8450" t="str">
            <v>RR90-12-00DA2</v>
          </cell>
          <cell r="O8450">
            <v>5.4140924349999997</v>
          </cell>
          <cell r="T8450">
            <v>3.2615385049999999</v>
          </cell>
        </row>
        <row r="8451">
          <cell r="A8451" t="str">
            <v>EMS WIRELESS</v>
          </cell>
          <cell r="B8451" t="str">
            <v>RR90-12-00NA-2</v>
          </cell>
          <cell r="O8451">
            <v>5.4140924349999997</v>
          </cell>
          <cell r="T8451">
            <v>3.2615385049999999</v>
          </cell>
        </row>
        <row r="8452">
          <cell r="A8452" t="str">
            <v>EMS WIRELESS</v>
          </cell>
          <cell r="B8452" t="str">
            <v>RR90-12-00NA2</v>
          </cell>
          <cell r="O8452">
            <v>5.4140924349999997</v>
          </cell>
          <cell r="T8452">
            <v>3.2615385049999999</v>
          </cell>
        </row>
        <row r="8453">
          <cell r="A8453" t="str">
            <v>EMS WIRELESS</v>
          </cell>
          <cell r="B8453" t="str">
            <v>RR90-12-02DA2</v>
          </cell>
          <cell r="O8453">
            <v>5.4140924349999997</v>
          </cell>
          <cell r="T8453">
            <v>3.2615385049999999</v>
          </cell>
        </row>
        <row r="8454">
          <cell r="A8454" t="str">
            <v>EMS WIRELESS</v>
          </cell>
          <cell r="B8454" t="str">
            <v>RR90-12-05DA2</v>
          </cell>
          <cell r="O8454"/>
          <cell r="T8454"/>
        </row>
        <row r="8455">
          <cell r="A8455" t="str">
            <v>EMS WIRELESS</v>
          </cell>
          <cell r="B8455" t="str">
            <v>RR90-12-05NA2</v>
          </cell>
          <cell r="O8455">
            <v>5.4140924349999997</v>
          </cell>
          <cell r="T8455">
            <v>3.2615385049999999</v>
          </cell>
        </row>
        <row r="8456">
          <cell r="A8456" t="str">
            <v>EMS WIRELESS</v>
          </cell>
          <cell r="B8456" t="str">
            <v>RR90-12-VAL2/-R</v>
          </cell>
          <cell r="O8456">
            <v>8.176090975000001</v>
          </cell>
          <cell r="T8456">
            <v>4.9236840050000001</v>
          </cell>
        </row>
        <row r="8457">
          <cell r="A8457" t="str">
            <v>EMS WIRELESS</v>
          </cell>
          <cell r="B8457" t="str">
            <v>RR90-12-VDBL2/-R</v>
          </cell>
          <cell r="O8457">
            <v>8.176090975000001</v>
          </cell>
          <cell r="T8457">
            <v>4.9236840050000001</v>
          </cell>
        </row>
        <row r="8458">
          <cell r="A8458" t="str">
            <v>EMS WIRELESS</v>
          </cell>
          <cell r="B8458" t="str">
            <v>RR90-13-00DAL2</v>
          </cell>
          <cell r="O8458">
            <v>11.18565074</v>
          </cell>
          <cell r="T8458">
            <v>6.7353053039999988</v>
          </cell>
        </row>
        <row r="8459">
          <cell r="A8459" t="str">
            <v>EMS WIRELESS</v>
          </cell>
          <cell r="B8459" t="str">
            <v>RR90-13-00NAL2</v>
          </cell>
          <cell r="O8459">
            <v>11.18565074</v>
          </cell>
          <cell r="T8459">
            <v>6.7353053039999988</v>
          </cell>
        </row>
        <row r="8460">
          <cell r="A8460" t="str">
            <v>EMS WIRELESS</v>
          </cell>
          <cell r="B8460" t="str">
            <v>RR90-13-10DAL2</v>
          </cell>
          <cell r="O8460">
            <v>11.18565074</v>
          </cell>
          <cell r="T8460">
            <v>6.7353053039999988</v>
          </cell>
        </row>
        <row r="8461">
          <cell r="A8461" t="str">
            <v>EMS WIRELESS</v>
          </cell>
          <cell r="B8461" t="str">
            <v>RR90-13-10NAL2</v>
          </cell>
          <cell r="O8461">
            <v>11.18565074</v>
          </cell>
          <cell r="T8461">
            <v>6.7353053039999988</v>
          </cell>
        </row>
        <row r="8462">
          <cell r="A8462" t="str">
            <v>EMS WIRELESS</v>
          </cell>
          <cell r="B8462" t="str">
            <v>RR90-16-00DPL2</v>
          </cell>
          <cell r="O8462">
            <v>3.8096709320000004</v>
          </cell>
          <cell r="T8462">
            <v>1.3059778229999999</v>
          </cell>
        </row>
        <row r="8463">
          <cell r="A8463" t="str">
            <v>EMS WIRELESS</v>
          </cell>
          <cell r="B8463" t="str">
            <v>RR90-16-02DP</v>
          </cell>
          <cell r="O8463"/>
          <cell r="T8463"/>
        </row>
        <row r="8464">
          <cell r="A8464" t="str">
            <v>EMS WIRELESS</v>
          </cell>
          <cell r="B8464" t="str">
            <v>RR90-16-02DPL2</v>
          </cell>
          <cell r="O8464">
            <v>3.8096709320000004</v>
          </cell>
          <cell r="T8464">
            <v>1.3059778229999999</v>
          </cell>
        </row>
        <row r="8465">
          <cell r="A8465" t="str">
            <v>EMS WIRELESS</v>
          </cell>
          <cell r="B8465" t="str">
            <v>RR90-16-04DPL2</v>
          </cell>
          <cell r="O8465">
            <v>3.8096709320000004</v>
          </cell>
          <cell r="T8465">
            <v>1.3059778229999999</v>
          </cell>
        </row>
        <row r="8466">
          <cell r="A8466" t="str">
            <v>EMS WIRELESS</v>
          </cell>
          <cell r="B8466" t="str">
            <v>RR90-17-00DP</v>
          </cell>
          <cell r="O8466">
            <v>4.5185361789999998</v>
          </cell>
          <cell r="T8466">
            <v>1.541157745</v>
          </cell>
        </row>
        <row r="8467">
          <cell r="A8467" t="str">
            <v>EMS WIRELESS</v>
          </cell>
          <cell r="B8467" t="str">
            <v>RR90-17-00DPL2</v>
          </cell>
          <cell r="O8467">
            <v>4.5185361789999998</v>
          </cell>
          <cell r="T8467">
            <v>1.541157745</v>
          </cell>
        </row>
        <row r="8468">
          <cell r="A8468" t="str">
            <v>EMS WIRELESS</v>
          </cell>
          <cell r="B8468" t="str">
            <v>RR90-17-02DB</v>
          </cell>
          <cell r="O8468"/>
          <cell r="T8468"/>
        </row>
        <row r="8469">
          <cell r="A8469" t="str">
            <v>EMS WIRELESS</v>
          </cell>
          <cell r="B8469" t="str">
            <v>RR90-17-02DP</v>
          </cell>
          <cell r="O8469">
            <v>4.5185361789999998</v>
          </cell>
          <cell r="T8469">
            <v>1.541157745</v>
          </cell>
        </row>
        <row r="8470">
          <cell r="A8470" t="str">
            <v>EMS WIRELESS</v>
          </cell>
          <cell r="B8470" t="str">
            <v>RR90-17-02DPL2</v>
          </cell>
          <cell r="O8470">
            <v>4.5185361789999998</v>
          </cell>
          <cell r="T8470">
            <v>1.541157745</v>
          </cell>
        </row>
        <row r="8471">
          <cell r="A8471" t="str">
            <v>EMS WIRELESS</v>
          </cell>
          <cell r="B8471" t="str">
            <v>RR90-17-04DP</v>
          </cell>
          <cell r="O8471">
            <v>4.5185361789999998</v>
          </cell>
          <cell r="T8471">
            <v>1.541157745</v>
          </cell>
        </row>
        <row r="8472">
          <cell r="A8472" t="str">
            <v>EMS WIRELESS</v>
          </cell>
          <cell r="B8472" t="str">
            <v>RR90-17-04DPL2</v>
          </cell>
          <cell r="O8472">
            <v>4.5185361789999998</v>
          </cell>
          <cell r="T8472">
            <v>1.541157745</v>
          </cell>
        </row>
        <row r="8473">
          <cell r="A8473" t="str">
            <v>EMS WIRELESS</v>
          </cell>
          <cell r="B8473" t="str">
            <v>RR90-17-06DP</v>
          </cell>
          <cell r="O8473">
            <v>4.5185361789999998</v>
          </cell>
          <cell r="T8473">
            <v>1.541157745</v>
          </cell>
        </row>
        <row r="8474">
          <cell r="A8474" t="str">
            <v>EMS WIRELESS</v>
          </cell>
          <cell r="B8474" t="str">
            <v>RR90-17-06DPL2</v>
          </cell>
          <cell r="O8474">
            <v>4.5185361789999998</v>
          </cell>
          <cell r="T8474">
            <v>1.541157745</v>
          </cell>
        </row>
        <row r="8475">
          <cell r="A8475" t="str">
            <v>EMS WIRELESS</v>
          </cell>
          <cell r="B8475" t="str">
            <v>RR90-17-08DP</v>
          </cell>
          <cell r="O8475">
            <v>4.5185361789999998</v>
          </cell>
          <cell r="T8475">
            <v>1.541157745</v>
          </cell>
        </row>
        <row r="8476">
          <cell r="A8476" t="str">
            <v>EMS WIRELESS</v>
          </cell>
          <cell r="B8476" t="str">
            <v>RR90-17-220P</v>
          </cell>
          <cell r="O8476"/>
          <cell r="T8476"/>
        </row>
        <row r="8477">
          <cell r="A8477" t="str">
            <v>EMS WIRELESS</v>
          </cell>
          <cell r="B8477" t="str">
            <v>RR90-17-VDPL2-R</v>
          </cell>
          <cell r="O8477">
            <v>4.5185361789999998</v>
          </cell>
          <cell r="T8477">
            <v>1.541157745</v>
          </cell>
        </row>
        <row r="8478">
          <cell r="A8478" t="str">
            <v>EMS WIRELESS</v>
          </cell>
          <cell r="B8478" t="str">
            <v>RR90-17-XXXP</v>
          </cell>
          <cell r="O8478">
            <v>4.5185361789999998</v>
          </cell>
          <cell r="T8478">
            <v>1.541157745</v>
          </cell>
        </row>
        <row r="8479">
          <cell r="A8479" t="str">
            <v>EMS WIRELESS</v>
          </cell>
          <cell r="B8479" t="str">
            <v>RR90-18-00DP</v>
          </cell>
          <cell r="O8479">
            <v>5.9497082409999988</v>
          </cell>
          <cell r="T8479">
            <v>2.4938239529999997</v>
          </cell>
        </row>
        <row r="8480">
          <cell r="A8480" t="str">
            <v>EMS WIRELESS</v>
          </cell>
          <cell r="B8480" t="str">
            <v>RR90-18-00P</v>
          </cell>
          <cell r="O8480"/>
          <cell r="T8480"/>
        </row>
        <row r="8481">
          <cell r="A8481" t="str">
            <v>EMS WIRELESS</v>
          </cell>
          <cell r="B8481" t="str">
            <v>RR90-18-02DP</v>
          </cell>
          <cell r="O8481">
            <v>5.9497082409999988</v>
          </cell>
          <cell r="T8481">
            <v>2.4938239529999997</v>
          </cell>
        </row>
        <row r="8482">
          <cell r="A8482" t="str">
            <v>EMS WIRELESS</v>
          </cell>
          <cell r="B8482" t="str">
            <v>RR90-18-04DP</v>
          </cell>
          <cell r="O8482">
            <v>5.9497082409999988</v>
          </cell>
          <cell r="T8482">
            <v>2.4938239529999997</v>
          </cell>
        </row>
        <row r="8483">
          <cell r="A8483" t="str">
            <v>EMS WIRELESS</v>
          </cell>
          <cell r="B8483" t="str">
            <v>RR90-18-06DP</v>
          </cell>
          <cell r="O8483">
            <v>5.9497082408373494</v>
          </cell>
          <cell r="T8483">
            <v>2.4938239529889503</v>
          </cell>
        </row>
        <row r="8484">
          <cell r="A8484" t="str">
            <v>EMS WIRELESS</v>
          </cell>
          <cell r="B8484" t="str">
            <v>RR90-18-VDP/-R</v>
          </cell>
          <cell r="O8484">
            <v>5.9497082409999988</v>
          </cell>
          <cell r="T8484">
            <v>2.4938239529999997</v>
          </cell>
        </row>
        <row r="8485">
          <cell r="A8485" t="str">
            <v>EMS WIRELESS</v>
          </cell>
          <cell r="B8485" t="str">
            <v>RR90-90-12DP</v>
          </cell>
          <cell r="O8485"/>
          <cell r="T8485"/>
        </row>
        <row r="8486">
          <cell r="A8486" t="str">
            <v>EMS WIRELESS</v>
          </cell>
          <cell r="B8486" t="str">
            <v>RR901400DP</v>
          </cell>
          <cell r="O8486"/>
          <cell r="T8486"/>
        </row>
        <row r="8487">
          <cell r="A8487" t="str">
            <v>EMS WIRELESS</v>
          </cell>
          <cell r="B8487" t="str">
            <v>RR901706DP</v>
          </cell>
          <cell r="O8487"/>
          <cell r="T8487"/>
        </row>
        <row r="8488">
          <cell r="A8488" t="str">
            <v>EMS WIRELESS</v>
          </cell>
          <cell r="B8488" t="str">
            <v>RR901782DP</v>
          </cell>
          <cell r="O8488"/>
          <cell r="T8488"/>
        </row>
        <row r="8489">
          <cell r="A8489" t="str">
            <v>EMS WIRELESS</v>
          </cell>
          <cell r="B8489" t="str">
            <v>RR9018000P</v>
          </cell>
          <cell r="O8489"/>
          <cell r="T8489"/>
        </row>
        <row r="8490">
          <cell r="A8490" t="str">
            <v>EMS WIRELESS</v>
          </cell>
          <cell r="B8490" t="str">
            <v>RR901800DP</v>
          </cell>
          <cell r="O8490"/>
          <cell r="T8490"/>
        </row>
        <row r="8491">
          <cell r="A8491" t="str">
            <v>EMS WIRELESS</v>
          </cell>
          <cell r="B8491" t="str">
            <v>RS45-14-00DAL2</v>
          </cell>
          <cell r="O8491">
            <v>13.5092294095497</v>
          </cell>
          <cell r="T8491">
            <v>5.9739177235108203</v>
          </cell>
        </row>
        <row r="8492">
          <cell r="A8492" t="str">
            <v>EMS WIRELESS</v>
          </cell>
          <cell r="B8492" t="str">
            <v>RS45-14-00NAL2</v>
          </cell>
          <cell r="O8492">
            <v>13.5092294095497</v>
          </cell>
          <cell r="T8492">
            <v>5.9739177235108203</v>
          </cell>
        </row>
        <row r="8493">
          <cell r="A8493" t="str">
            <v>EMS WIRELESS</v>
          </cell>
          <cell r="B8493" t="str">
            <v>RS65-12-00DAL2</v>
          </cell>
          <cell r="O8493">
            <v>11.18565074</v>
          </cell>
          <cell r="T8493">
            <v>6.7353053039999988</v>
          </cell>
        </row>
        <row r="8494">
          <cell r="A8494" t="str">
            <v>EMS WIRELESS</v>
          </cell>
          <cell r="B8494" t="str">
            <v>RS65-13-00DA2</v>
          </cell>
          <cell r="O8494">
            <v>11.18565074</v>
          </cell>
          <cell r="T8494">
            <v>6.7353053039999988</v>
          </cell>
        </row>
        <row r="8495">
          <cell r="A8495" t="str">
            <v>EMS WIRELESS</v>
          </cell>
          <cell r="B8495" t="str">
            <v>RS65-13-00NA2</v>
          </cell>
          <cell r="O8495">
            <v>11.18565074</v>
          </cell>
          <cell r="T8495">
            <v>6.7353053039999988</v>
          </cell>
        </row>
        <row r="8496">
          <cell r="A8496" t="str">
            <v>EMS WIRELESS</v>
          </cell>
          <cell r="B8496" t="str">
            <v>RS65-13-05DA2</v>
          </cell>
          <cell r="O8496">
            <v>11.18565074</v>
          </cell>
          <cell r="T8496">
            <v>6.7353053039999988</v>
          </cell>
        </row>
        <row r="8497">
          <cell r="A8497" t="str">
            <v>EMS WIRELESS</v>
          </cell>
          <cell r="B8497" t="str">
            <v>RS65-13-05NA2</v>
          </cell>
          <cell r="O8497">
            <v>11.18565074</v>
          </cell>
          <cell r="T8497">
            <v>6.7353053039999988</v>
          </cell>
        </row>
        <row r="8498">
          <cell r="A8498" t="str">
            <v>EMS WIRELESS</v>
          </cell>
          <cell r="B8498" t="str">
            <v>RS65-18-00</v>
          </cell>
          <cell r="O8498"/>
          <cell r="T8498"/>
        </row>
        <row r="8499">
          <cell r="A8499" t="str">
            <v>EMS WIRELESS</v>
          </cell>
          <cell r="B8499" t="str">
            <v>RS80-12-00DA2</v>
          </cell>
          <cell r="O8499">
            <v>11.18565074</v>
          </cell>
          <cell r="T8499">
            <v>6.7353053039999988</v>
          </cell>
        </row>
        <row r="8500">
          <cell r="A8500" t="str">
            <v>EMS WIRELESS</v>
          </cell>
          <cell r="B8500" t="str">
            <v>RS80-12-00NA2</v>
          </cell>
          <cell r="O8500">
            <v>11.18565074</v>
          </cell>
          <cell r="T8500">
            <v>6.7353053039999988</v>
          </cell>
        </row>
        <row r="8501">
          <cell r="A8501" t="str">
            <v>EMS WIRELESS</v>
          </cell>
          <cell r="B8501" t="str">
            <v>RS89-14-00DP</v>
          </cell>
          <cell r="O8501"/>
          <cell r="T8501"/>
        </row>
        <row r="8502">
          <cell r="A8502" t="str">
            <v>EMS WIRELESS</v>
          </cell>
          <cell r="B8502" t="str">
            <v>RS90-10-00NA-2</v>
          </cell>
          <cell r="O8502"/>
          <cell r="T8502"/>
        </row>
        <row r="8503">
          <cell r="A8503" t="str">
            <v>EMS WIRELESS</v>
          </cell>
          <cell r="B8503" t="str">
            <v>RS90-12-00DA2</v>
          </cell>
          <cell r="O8503">
            <v>11.18565074</v>
          </cell>
          <cell r="T8503">
            <v>6.7353053039999988</v>
          </cell>
        </row>
        <row r="8504">
          <cell r="A8504" t="str">
            <v>EMS WIRELESS</v>
          </cell>
          <cell r="B8504" t="str">
            <v>RS90-12-00NA-2</v>
          </cell>
          <cell r="O8504">
            <v>11.18565074</v>
          </cell>
          <cell r="T8504">
            <v>6.7353053039999988</v>
          </cell>
        </row>
        <row r="8505">
          <cell r="A8505" t="str">
            <v>EMS WIRELESS</v>
          </cell>
          <cell r="B8505" t="str">
            <v>RS90-12-00NA2</v>
          </cell>
          <cell r="O8505">
            <v>11.18565074</v>
          </cell>
          <cell r="T8505">
            <v>6.7353053039999988</v>
          </cell>
        </row>
        <row r="8506">
          <cell r="A8506" t="str">
            <v>EMS WIRELESS</v>
          </cell>
          <cell r="B8506" t="str">
            <v>RS90-12-05DA-2</v>
          </cell>
          <cell r="O8506">
            <v>11.18565074</v>
          </cell>
          <cell r="T8506">
            <v>6.7353053039999988</v>
          </cell>
        </row>
        <row r="8507">
          <cell r="A8507" t="str">
            <v>EMS WIRELESS</v>
          </cell>
          <cell r="B8507" t="str">
            <v>RS90-12-05DA2</v>
          </cell>
          <cell r="O8507">
            <v>11.18565074</v>
          </cell>
          <cell r="T8507">
            <v>6.7353053039999988</v>
          </cell>
        </row>
        <row r="8508">
          <cell r="A8508" t="str">
            <v>EMS WIRELESS</v>
          </cell>
          <cell r="B8508" t="str">
            <v>RS90-12-05NA2</v>
          </cell>
          <cell r="O8508">
            <v>11.18565074</v>
          </cell>
          <cell r="T8508">
            <v>6.7353053039999988</v>
          </cell>
        </row>
        <row r="8509">
          <cell r="A8509" t="str">
            <v>EMS WIRELESS</v>
          </cell>
          <cell r="B8509" t="str">
            <v>RS90-14-00-DP</v>
          </cell>
          <cell r="O8509"/>
          <cell r="T8509"/>
        </row>
        <row r="8510">
          <cell r="A8510" t="str">
            <v>EMS WIRELESS</v>
          </cell>
          <cell r="B8510" t="str">
            <v>RS90-14-00DP</v>
          </cell>
          <cell r="O8510">
            <v>4.5185361789999998</v>
          </cell>
          <cell r="T8510">
            <v>1.541157745</v>
          </cell>
        </row>
        <row r="8511">
          <cell r="A8511" t="str">
            <v>EMS WIRELESS</v>
          </cell>
          <cell r="B8511" t="str">
            <v>RS90-17-00DP</v>
          </cell>
          <cell r="O8511">
            <v>9.5231970520000004</v>
          </cell>
          <cell r="T8511">
            <v>3.230200768</v>
          </cell>
        </row>
        <row r="8512">
          <cell r="A8512" t="str">
            <v>EMS WIRELESS</v>
          </cell>
          <cell r="B8512" t="str">
            <v>RS90-17-02DP</v>
          </cell>
          <cell r="O8512">
            <v>9.5231970520000004</v>
          </cell>
          <cell r="T8512">
            <v>3.230200768</v>
          </cell>
        </row>
        <row r="8513">
          <cell r="A8513" t="str">
            <v>EMS WIRELESS</v>
          </cell>
          <cell r="B8513" t="str">
            <v>RS901200NA2</v>
          </cell>
          <cell r="O8513">
            <v>11.18565074</v>
          </cell>
          <cell r="T8513">
            <v>6.7353053039999988</v>
          </cell>
        </row>
        <row r="8514">
          <cell r="A8514" t="str">
            <v>EMS WIRELESS</v>
          </cell>
          <cell r="B8514" t="str">
            <v>RS901400DP</v>
          </cell>
          <cell r="O8514"/>
          <cell r="T8514"/>
        </row>
        <row r="8515">
          <cell r="A8515" t="str">
            <v>EMS WIRELESS</v>
          </cell>
          <cell r="B8515" t="str">
            <v>RS901702DP</v>
          </cell>
          <cell r="O8515"/>
          <cell r="T8515"/>
        </row>
        <row r="8516">
          <cell r="A8516" t="str">
            <v>EMS WIRELESS</v>
          </cell>
          <cell r="B8516" t="str">
            <v>RU901200DR2</v>
          </cell>
          <cell r="O8516"/>
          <cell r="T8516"/>
        </row>
        <row r="8517">
          <cell r="A8517" t="str">
            <v>EMS WIRELESS</v>
          </cell>
          <cell r="B8517" t="str">
            <v>RV 65- 19-00</v>
          </cell>
          <cell r="O8517"/>
          <cell r="T8517"/>
        </row>
        <row r="8518">
          <cell r="A8518" t="str">
            <v>EMS WIRELESS</v>
          </cell>
          <cell r="B8518" t="str">
            <v>RV 65-18-XX02</v>
          </cell>
          <cell r="O8518">
            <v>4.5185361789999998</v>
          </cell>
          <cell r="T8518">
            <v>1.541157745</v>
          </cell>
        </row>
        <row r="8519">
          <cell r="A8519" t="str">
            <v>EMS WIRELESS</v>
          </cell>
          <cell r="B8519" t="str">
            <v>RV 65-18-XXDP</v>
          </cell>
          <cell r="O8519">
            <v>4.5185361789999998</v>
          </cell>
          <cell r="T8519">
            <v>1.541157745</v>
          </cell>
        </row>
        <row r="8520">
          <cell r="A8520" t="str">
            <v>EMS WIRELESS</v>
          </cell>
          <cell r="B8520" t="str">
            <v>RV 651806DP</v>
          </cell>
          <cell r="O8520"/>
          <cell r="T8520"/>
        </row>
        <row r="8521">
          <cell r="A8521" t="str">
            <v>EMS WIRELESS</v>
          </cell>
          <cell r="B8521" t="str">
            <v>RV-90-17-02DP</v>
          </cell>
          <cell r="O8521"/>
          <cell r="T8521"/>
        </row>
        <row r="8522">
          <cell r="A8522" t="str">
            <v>EMS WIRELESS</v>
          </cell>
          <cell r="B8522" t="str">
            <v>RV105 1700DP</v>
          </cell>
          <cell r="O8522"/>
          <cell r="T8522"/>
        </row>
        <row r="8523">
          <cell r="A8523" t="str">
            <v>EMS WIRELESS</v>
          </cell>
          <cell r="B8523" t="str">
            <v>RV105-11-00A2</v>
          </cell>
          <cell r="O8523">
            <v>5.4140924349999997</v>
          </cell>
          <cell r="T8523">
            <v>3.2615385049999999</v>
          </cell>
        </row>
        <row r="8524">
          <cell r="A8524" t="str">
            <v>EMS WIRELESS</v>
          </cell>
          <cell r="B8524" t="str">
            <v>RV105-11-00DA2</v>
          </cell>
          <cell r="O8524">
            <v>5.4140924349999997</v>
          </cell>
          <cell r="T8524">
            <v>3.2615385049999999</v>
          </cell>
        </row>
        <row r="8525">
          <cell r="A8525" t="str">
            <v>EMS WIRELESS</v>
          </cell>
          <cell r="B8525" t="str">
            <v>RV105-11-00NA2</v>
          </cell>
          <cell r="O8525">
            <v>5.4140924349999997</v>
          </cell>
          <cell r="T8525">
            <v>3.2615385049999999</v>
          </cell>
        </row>
        <row r="8526">
          <cell r="A8526" t="str">
            <v>EMS WIRELESS</v>
          </cell>
          <cell r="B8526" t="str">
            <v>RV105-11-05DA2</v>
          </cell>
          <cell r="O8526">
            <v>5.4140924349999997</v>
          </cell>
          <cell r="T8526">
            <v>3.2615385049999999</v>
          </cell>
        </row>
        <row r="8527">
          <cell r="A8527" t="str">
            <v>EMS WIRELESS</v>
          </cell>
          <cell r="B8527" t="str">
            <v>RV105-11-05NA2</v>
          </cell>
          <cell r="O8527">
            <v>5.4140924349999997</v>
          </cell>
          <cell r="T8527">
            <v>3.2615385049999999</v>
          </cell>
        </row>
        <row r="8528">
          <cell r="A8528" t="str">
            <v>EMS WIRELESS</v>
          </cell>
          <cell r="B8528" t="str">
            <v>RV105-12-10DAL2</v>
          </cell>
          <cell r="O8528">
            <v>11.18565074</v>
          </cell>
          <cell r="T8528">
            <v>6.7353053039999988</v>
          </cell>
        </row>
        <row r="8529">
          <cell r="A8529" t="str">
            <v>EMS WIRELESS</v>
          </cell>
          <cell r="B8529" t="str">
            <v>RV105-16-00DP</v>
          </cell>
          <cell r="O8529">
            <v>4.5185361789999998</v>
          </cell>
          <cell r="T8529">
            <v>1.541157745</v>
          </cell>
        </row>
        <row r="8530">
          <cell r="A8530" t="str">
            <v>EMS WIRELESS</v>
          </cell>
          <cell r="B8530" t="str">
            <v>RV105-16-XXDP</v>
          </cell>
          <cell r="O8530">
            <v>4.5185361789999998</v>
          </cell>
          <cell r="T8530">
            <v>1.541157745</v>
          </cell>
        </row>
        <row r="8531">
          <cell r="A8531" t="str">
            <v>EMS WIRELESS</v>
          </cell>
          <cell r="B8531" t="str">
            <v>RV105-17-00DP</v>
          </cell>
          <cell r="O8531">
            <v>5.9497082409999988</v>
          </cell>
          <cell r="T8531">
            <v>2.4938239529999997</v>
          </cell>
        </row>
        <row r="8532">
          <cell r="A8532" t="str">
            <v>EMS WIRELESS</v>
          </cell>
          <cell r="B8532" t="str">
            <v>RV33-18-00DPL4</v>
          </cell>
          <cell r="O8532">
            <v>3.5217634210000002</v>
          </cell>
          <cell r="T8532">
            <v>1.34127654</v>
          </cell>
        </row>
        <row r="8533">
          <cell r="A8533" t="str">
            <v>EMS WIRELESS</v>
          </cell>
          <cell r="B8533" t="str">
            <v>RV33-18-02DPL4</v>
          </cell>
          <cell r="O8533">
            <v>3.5217634210000002</v>
          </cell>
          <cell r="T8533">
            <v>1.34127654</v>
          </cell>
        </row>
        <row r="8534">
          <cell r="A8534" t="str">
            <v>EMS WIRELESS</v>
          </cell>
          <cell r="B8534" t="str">
            <v>RV33-18-04DPL4</v>
          </cell>
          <cell r="O8534">
            <v>3.5217634210000002</v>
          </cell>
          <cell r="T8534">
            <v>1.34127654</v>
          </cell>
        </row>
        <row r="8535">
          <cell r="A8535" t="str">
            <v>EMS WIRELESS</v>
          </cell>
          <cell r="B8535" t="str">
            <v>RV33-20-00DP</v>
          </cell>
          <cell r="O8535">
            <v>6.8936621919999999</v>
          </cell>
          <cell r="T8535">
            <v>4.1548650709999997</v>
          </cell>
        </row>
        <row r="8536">
          <cell r="A8536" t="str">
            <v>EMS WIRELESS</v>
          </cell>
          <cell r="B8536" t="str">
            <v>RV33-20-00DPL4</v>
          </cell>
          <cell r="O8536">
            <v>7.0196554369999991</v>
          </cell>
          <cell r="T8536">
            <v>2.6745108289999999</v>
          </cell>
        </row>
        <row r="8537">
          <cell r="A8537" t="str">
            <v>EMS WIRELESS</v>
          </cell>
          <cell r="B8537" t="str">
            <v>RV33-20-02DP</v>
          </cell>
          <cell r="O8537">
            <v>6.8936621919999999</v>
          </cell>
          <cell r="T8537">
            <v>4.1548650709999997</v>
          </cell>
        </row>
        <row r="8538">
          <cell r="A8538" t="str">
            <v>EMS WIRELESS</v>
          </cell>
          <cell r="B8538" t="str">
            <v>RV33-20-02DPL4</v>
          </cell>
          <cell r="O8538">
            <v>7.0196554369999991</v>
          </cell>
          <cell r="T8538">
            <v>2.6745108289999999</v>
          </cell>
        </row>
        <row r="8539">
          <cell r="A8539" t="str">
            <v>EMS WIRELESS</v>
          </cell>
          <cell r="B8539" t="str">
            <v>RV33-20-04DPL4</v>
          </cell>
          <cell r="O8539">
            <v>7.0196554369999991</v>
          </cell>
          <cell r="T8539">
            <v>2.6745108289999999</v>
          </cell>
        </row>
        <row r="8540">
          <cell r="A8540" t="str">
            <v>EMS WIRELESS</v>
          </cell>
          <cell r="B8540" t="str">
            <v>RV33-20-06DPL4</v>
          </cell>
          <cell r="O8540">
            <v>7.0196554369999991</v>
          </cell>
          <cell r="T8540">
            <v>2.6745108289999999</v>
          </cell>
        </row>
        <row r="8541">
          <cell r="A8541" t="str">
            <v>EMS WIRELESS</v>
          </cell>
          <cell r="B8541" t="str">
            <v>RV332000DP</v>
          </cell>
          <cell r="O8541"/>
          <cell r="T8541"/>
        </row>
        <row r="8542">
          <cell r="A8542" t="str">
            <v>EMS WIRELESS</v>
          </cell>
          <cell r="B8542" t="str">
            <v>RV45-14-00DAL2</v>
          </cell>
          <cell r="O8542">
            <v>6.3367307008056288</v>
          </cell>
          <cell r="T8542">
            <v>2.79864514935307</v>
          </cell>
        </row>
        <row r="8543">
          <cell r="A8543" t="str">
            <v>EMS WIRELESS</v>
          </cell>
          <cell r="B8543" t="str">
            <v>RV45-14-00DBL2</v>
          </cell>
          <cell r="O8543">
            <v>6.3367307008056288</v>
          </cell>
          <cell r="T8543">
            <v>2.79864514935307</v>
          </cell>
        </row>
        <row r="8544">
          <cell r="A8544" t="str">
            <v>EMS WIRELESS</v>
          </cell>
          <cell r="B8544" t="str">
            <v>RV45-14-00NBL2</v>
          </cell>
          <cell r="O8544">
            <v>6.3367307008056288</v>
          </cell>
          <cell r="T8544">
            <v>2.79864514935307</v>
          </cell>
        </row>
        <row r="8545">
          <cell r="A8545" t="str">
            <v>EMS WIRELESS</v>
          </cell>
          <cell r="B8545" t="str">
            <v>RV45-17-00DPL4</v>
          </cell>
          <cell r="O8545">
            <v>3.5217634210000002</v>
          </cell>
          <cell r="T8545">
            <v>1.34127654</v>
          </cell>
        </row>
        <row r="8546">
          <cell r="A8546" t="str">
            <v>EMS WIRELESS</v>
          </cell>
          <cell r="B8546" t="str">
            <v>RV45-17-04DPL4</v>
          </cell>
          <cell r="O8546">
            <v>3.5217634210000002</v>
          </cell>
          <cell r="T8546">
            <v>1.34127654</v>
          </cell>
        </row>
        <row r="8547">
          <cell r="A8547" t="str">
            <v>EMS WIRELESS</v>
          </cell>
          <cell r="B8547" t="str">
            <v>RV45-19-00DPL4</v>
          </cell>
          <cell r="O8547">
            <v>5.5061161719999996</v>
          </cell>
          <cell r="T8547">
            <v>2.0944132389999996</v>
          </cell>
        </row>
        <row r="8548">
          <cell r="A8548" t="str">
            <v>EMS WIRELESS</v>
          </cell>
          <cell r="B8548" t="str">
            <v>RV45-19-02DPL4</v>
          </cell>
          <cell r="O8548">
            <v>5.5061161719999996</v>
          </cell>
          <cell r="T8548">
            <v>2.0944132389999996</v>
          </cell>
        </row>
        <row r="8549">
          <cell r="A8549" t="str">
            <v>EMS WIRELESS</v>
          </cell>
          <cell r="B8549" t="str">
            <v>RV45-19-02NPL4</v>
          </cell>
          <cell r="O8549">
            <v>5.5061161719999996</v>
          </cell>
          <cell r="T8549">
            <v>2.0944132389999996</v>
          </cell>
        </row>
        <row r="8550">
          <cell r="A8550" t="str">
            <v>EMS WIRELESS</v>
          </cell>
          <cell r="B8550" t="str">
            <v>RV45-19-04DPL4</v>
          </cell>
          <cell r="O8550">
            <v>5.5061161719999996</v>
          </cell>
          <cell r="T8550">
            <v>2.0944132389999996</v>
          </cell>
        </row>
        <row r="8551">
          <cell r="A8551" t="str">
            <v>EMS WIRELESS</v>
          </cell>
          <cell r="B8551" t="str">
            <v>RV45-19-06DPL4</v>
          </cell>
          <cell r="O8551">
            <v>5.5061161719999996</v>
          </cell>
          <cell r="T8551">
            <v>2.0944132389999996</v>
          </cell>
        </row>
        <row r="8552">
          <cell r="A8552" t="str">
            <v>EMS WIRELESS</v>
          </cell>
          <cell r="B8552" t="str">
            <v>RV65-08-00DP</v>
          </cell>
          <cell r="O8552">
            <v>0.68690617300000001</v>
          </cell>
          <cell r="T8552">
            <v>0.23610611100000001</v>
          </cell>
        </row>
        <row r="8553">
          <cell r="A8553" t="str">
            <v>EMS WIRELESS</v>
          </cell>
          <cell r="B8553" t="str">
            <v>RV65-11-00NA2</v>
          </cell>
          <cell r="O8553">
            <v>3.444215856</v>
          </cell>
          <cell r="T8553">
            <v>2.074473163</v>
          </cell>
        </row>
        <row r="8554">
          <cell r="A8554" t="str">
            <v>EMS WIRELESS</v>
          </cell>
          <cell r="B8554" t="str">
            <v>RV65-12-00DBL</v>
          </cell>
          <cell r="O8554">
            <v>5.4140924349999997</v>
          </cell>
          <cell r="T8554">
            <v>3.2615385049999999</v>
          </cell>
        </row>
        <row r="8555">
          <cell r="A8555" t="str">
            <v>EMS WIRELESS</v>
          </cell>
          <cell r="B8555" t="str">
            <v>RV65-12-00DP</v>
          </cell>
          <cell r="O8555">
            <v>1.07469070529684</v>
          </cell>
          <cell r="T8555">
            <v>0.36920326533016501</v>
          </cell>
        </row>
        <row r="8556">
          <cell r="A8556" t="str">
            <v>EMS WIRELESS</v>
          </cell>
          <cell r="B8556" t="str">
            <v>RV65-12-00NBL</v>
          </cell>
          <cell r="O8556">
            <v>5.4140924349999997</v>
          </cell>
          <cell r="T8556">
            <v>3.2615385049999999</v>
          </cell>
        </row>
        <row r="8557">
          <cell r="A8557" t="str">
            <v>EMS WIRELESS</v>
          </cell>
          <cell r="B8557" t="str">
            <v>RV65-12-05DAL2</v>
          </cell>
          <cell r="O8557">
            <v>5.4140924349999997</v>
          </cell>
          <cell r="T8557">
            <v>3.2615385049999999</v>
          </cell>
        </row>
        <row r="8558">
          <cell r="A8558" t="str">
            <v>EMS WIRELESS</v>
          </cell>
          <cell r="B8558" t="str">
            <v>RV65-12-05DBL</v>
          </cell>
          <cell r="O8558">
            <v>5.4140924349999997</v>
          </cell>
          <cell r="T8558">
            <v>3.2615385049999999</v>
          </cell>
        </row>
        <row r="8559">
          <cell r="A8559" t="str">
            <v>EMS WIRELESS</v>
          </cell>
          <cell r="B8559" t="str">
            <v>RV65-12-05NBL</v>
          </cell>
          <cell r="O8559">
            <v>5.4140924349999997</v>
          </cell>
          <cell r="T8559">
            <v>3.2615385049999999</v>
          </cell>
        </row>
        <row r="8560">
          <cell r="A8560" t="str">
            <v>EMS WIRELESS</v>
          </cell>
          <cell r="B8560" t="str">
            <v>RV65-12-10DBL</v>
          </cell>
          <cell r="O8560">
            <v>5.4140924349999997</v>
          </cell>
          <cell r="T8560">
            <v>3.2615385049999999</v>
          </cell>
        </row>
        <row r="8561">
          <cell r="A8561" t="str">
            <v>EMS WIRELESS</v>
          </cell>
          <cell r="B8561" t="str">
            <v>RV65-12-10NBL</v>
          </cell>
          <cell r="O8561">
            <v>5.4140924349999997</v>
          </cell>
          <cell r="T8561">
            <v>3.2615385049999999</v>
          </cell>
        </row>
        <row r="8562">
          <cell r="A8562" t="str">
            <v>EMS WIRELESS</v>
          </cell>
          <cell r="B8562" t="str">
            <v>RV65-12-V212DB</v>
          </cell>
          <cell r="O8562">
            <v>5.4140924349999997</v>
          </cell>
          <cell r="T8562">
            <v>3.2615385049999999</v>
          </cell>
        </row>
        <row r="8563">
          <cell r="A8563" t="str">
            <v>EMS WIRELESS</v>
          </cell>
          <cell r="B8563" t="str">
            <v>RV65-12-V212NB</v>
          </cell>
          <cell r="O8563">
            <v>5.4140924349999997</v>
          </cell>
          <cell r="T8563">
            <v>3.2615385049999999</v>
          </cell>
        </row>
        <row r="8564">
          <cell r="A8564" t="str">
            <v>EMS WIRELESS</v>
          </cell>
          <cell r="B8564" t="str">
            <v>RV65-13-00DA2</v>
          </cell>
          <cell r="O8564">
            <v>5.4140924349999997</v>
          </cell>
          <cell r="T8564">
            <v>3.2615385049999999</v>
          </cell>
        </row>
        <row r="8565">
          <cell r="A8565" t="str">
            <v>EMS WIRELESS</v>
          </cell>
          <cell r="B8565" t="str">
            <v>RV65-13-00NA2</v>
          </cell>
          <cell r="O8565">
            <v>5.4140924349999997</v>
          </cell>
          <cell r="T8565">
            <v>3.2615385049999999</v>
          </cell>
        </row>
        <row r="8566">
          <cell r="A8566" t="str">
            <v>EMS WIRELESS</v>
          </cell>
          <cell r="B8566" t="str">
            <v>RV65-13-05DA2</v>
          </cell>
          <cell r="O8566">
            <v>5.4140924349999997</v>
          </cell>
          <cell r="T8566">
            <v>3.2615385049999999</v>
          </cell>
        </row>
        <row r="8567">
          <cell r="A8567" t="str">
            <v>EMS WIRELESS</v>
          </cell>
          <cell r="B8567" t="str">
            <v>RV65-13-05NA2</v>
          </cell>
          <cell r="O8567">
            <v>5.4140924349999997</v>
          </cell>
          <cell r="T8567">
            <v>3.2615385049999999</v>
          </cell>
        </row>
        <row r="8568">
          <cell r="A8568" t="str">
            <v>EMS WIRELESS</v>
          </cell>
          <cell r="B8568" t="str">
            <v>RV65-15-00DP</v>
          </cell>
          <cell r="O8568">
            <v>2.3047379740000005</v>
          </cell>
          <cell r="T8568">
            <v>0.78977299899999986</v>
          </cell>
        </row>
        <row r="8569">
          <cell r="A8569" t="str">
            <v>EMS WIRELESS</v>
          </cell>
          <cell r="B8569" t="str">
            <v>RV65-15-04DP</v>
          </cell>
          <cell r="O8569">
            <v>2.3047379740000005</v>
          </cell>
          <cell r="T8569">
            <v>0.78977299899999986</v>
          </cell>
        </row>
        <row r="8570">
          <cell r="A8570" t="str">
            <v>EMS WIRELESS</v>
          </cell>
          <cell r="B8570" t="str">
            <v>RV65-15-04DPL2</v>
          </cell>
          <cell r="O8570">
            <v>0.91182870400000005</v>
          </cell>
          <cell r="T8570">
            <v>0.45571539500000002</v>
          </cell>
        </row>
        <row r="8571">
          <cell r="A8571" t="str">
            <v>EMS WIRELESS</v>
          </cell>
          <cell r="B8571" t="str">
            <v>RV65-15-05DA2</v>
          </cell>
          <cell r="O8571">
            <v>11.18565074</v>
          </cell>
          <cell r="T8571">
            <v>6.7353053039999988</v>
          </cell>
        </row>
        <row r="8572">
          <cell r="A8572" t="str">
            <v>EMS WIRELESS</v>
          </cell>
          <cell r="B8572" t="str">
            <v>RV65-15-06DP</v>
          </cell>
          <cell r="O8572"/>
          <cell r="T8572"/>
        </row>
        <row r="8573">
          <cell r="A8573" t="str">
            <v>EMS WIRELESS</v>
          </cell>
          <cell r="B8573" t="str">
            <v>RV65-17-00DPL2</v>
          </cell>
          <cell r="O8573">
            <v>2.6097879580000001</v>
          </cell>
          <cell r="T8573">
            <v>1.5305318959999998</v>
          </cell>
        </row>
        <row r="8574">
          <cell r="A8574" t="str">
            <v>EMS WIRELESS</v>
          </cell>
          <cell r="B8574" t="str">
            <v>RV65-17-02DPL2</v>
          </cell>
          <cell r="O8574">
            <v>2.6097879580000001</v>
          </cell>
          <cell r="T8574">
            <v>1.5305318959999998</v>
          </cell>
        </row>
        <row r="8575">
          <cell r="A8575" t="str">
            <v>EMS WIRELESS</v>
          </cell>
          <cell r="B8575" t="str">
            <v>RV65-17-04DPL2</v>
          </cell>
          <cell r="O8575">
            <v>2.6097879580000001</v>
          </cell>
          <cell r="T8575">
            <v>1.5305318959999998</v>
          </cell>
        </row>
        <row r="8576">
          <cell r="A8576" t="str">
            <v>EMS WIRELESS</v>
          </cell>
          <cell r="B8576" t="str">
            <v>RV65-17-06DPL2</v>
          </cell>
          <cell r="O8576">
            <v>2.6097879580000001</v>
          </cell>
          <cell r="T8576">
            <v>1.5305318959999998</v>
          </cell>
        </row>
        <row r="8577">
          <cell r="A8577" t="str">
            <v>EMS WIRELESS</v>
          </cell>
          <cell r="B8577" t="str">
            <v>RV65-18-00DP</v>
          </cell>
          <cell r="O8577">
            <v>4.5185361789999998</v>
          </cell>
          <cell r="T8577">
            <v>1.541157745</v>
          </cell>
        </row>
        <row r="8578">
          <cell r="A8578" t="str">
            <v>EMS WIRELESS</v>
          </cell>
          <cell r="B8578" t="str">
            <v>RV65-18-00DPL2</v>
          </cell>
          <cell r="O8578">
            <v>2.9519103609999999</v>
          </cell>
          <cell r="T8578">
            <v>1.731882199</v>
          </cell>
        </row>
        <row r="8579">
          <cell r="A8579" t="str">
            <v>EMS WIRELESS</v>
          </cell>
          <cell r="B8579" t="str">
            <v>RV65-18-02</v>
          </cell>
          <cell r="O8579"/>
          <cell r="T8579"/>
        </row>
        <row r="8580">
          <cell r="A8580" t="str">
            <v>EMS WIRELESS</v>
          </cell>
          <cell r="B8580" t="str">
            <v>RV65-18-02DP</v>
          </cell>
          <cell r="O8580">
            <v>4.5185361789999998</v>
          </cell>
          <cell r="T8580">
            <v>1.541157745</v>
          </cell>
        </row>
        <row r="8581">
          <cell r="A8581" t="str">
            <v>EMS WIRELESS</v>
          </cell>
          <cell r="B8581" t="str">
            <v>RV65-18-02DP-12</v>
          </cell>
          <cell r="O8581"/>
          <cell r="T8581"/>
        </row>
        <row r="8582">
          <cell r="A8582" t="str">
            <v>EMS WIRELESS</v>
          </cell>
          <cell r="B8582" t="str">
            <v>RV65-18-02DPL2</v>
          </cell>
          <cell r="O8582">
            <v>2.9519103609999999</v>
          </cell>
          <cell r="T8582">
            <v>1.731882199</v>
          </cell>
        </row>
        <row r="8583">
          <cell r="A8583" t="str">
            <v>EMS WIRELESS</v>
          </cell>
          <cell r="B8583" t="str">
            <v>RV65-18-03</v>
          </cell>
          <cell r="O8583"/>
          <cell r="T8583"/>
        </row>
        <row r="8584">
          <cell r="A8584" t="str">
            <v>EMS WIRELESS</v>
          </cell>
          <cell r="B8584" t="str">
            <v>RV65-18-04DP</v>
          </cell>
          <cell r="O8584">
            <v>4.5185361789999998</v>
          </cell>
          <cell r="T8584">
            <v>1.541157745</v>
          </cell>
        </row>
        <row r="8585">
          <cell r="A8585" t="str">
            <v>EMS WIRELESS</v>
          </cell>
          <cell r="B8585" t="str">
            <v>RV65-18-04DPL2</v>
          </cell>
          <cell r="O8585">
            <v>2.9519103609999999</v>
          </cell>
          <cell r="T8585">
            <v>1.731882199</v>
          </cell>
        </row>
        <row r="8586">
          <cell r="A8586" t="str">
            <v>EMS WIRELESS</v>
          </cell>
          <cell r="B8586" t="str">
            <v>RV65-18-06DP</v>
          </cell>
          <cell r="O8586">
            <v>4.5185361789999998</v>
          </cell>
          <cell r="T8586">
            <v>1.541157745</v>
          </cell>
        </row>
        <row r="8587">
          <cell r="A8587" t="str">
            <v>EMS WIRELESS</v>
          </cell>
          <cell r="B8587" t="str">
            <v>RV65-18-06DPL2</v>
          </cell>
          <cell r="O8587">
            <v>2.9519103609999999</v>
          </cell>
          <cell r="T8587">
            <v>1.731882199</v>
          </cell>
        </row>
        <row r="8588">
          <cell r="A8588" t="str">
            <v>EMS WIRELESS</v>
          </cell>
          <cell r="B8588" t="str">
            <v>RV65-1800</v>
          </cell>
          <cell r="O8588"/>
          <cell r="T8588"/>
        </row>
        <row r="8589">
          <cell r="A8589" t="str">
            <v>EMS WIRELESS</v>
          </cell>
          <cell r="B8589" t="str">
            <v>RV65-19-00</v>
          </cell>
          <cell r="O8589"/>
          <cell r="T8589"/>
        </row>
        <row r="8590">
          <cell r="A8590" t="str">
            <v>EMS WIRELESS</v>
          </cell>
          <cell r="B8590" t="str">
            <v>RV65-19-00DP</v>
          </cell>
          <cell r="O8590">
            <v>5.9497082409999988</v>
          </cell>
          <cell r="T8590">
            <v>2.4938239529999997</v>
          </cell>
        </row>
        <row r="8591">
          <cell r="A8591" t="str">
            <v>EMS WIRELESS</v>
          </cell>
          <cell r="B8591" t="str">
            <v>RV65-19-02DP</v>
          </cell>
          <cell r="O8591">
            <v>5.9497082409999988</v>
          </cell>
          <cell r="T8591">
            <v>2.4938239529999997</v>
          </cell>
        </row>
        <row r="8592">
          <cell r="A8592" t="str">
            <v>EMS WIRELESS</v>
          </cell>
          <cell r="B8592" t="str">
            <v>RV65-19-04DP</v>
          </cell>
          <cell r="O8592">
            <v>5.9497082409999988</v>
          </cell>
          <cell r="T8592">
            <v>2.4938239529999997</v>
          </cell>
        </row>
        <row r="8593">
          <cell r="A8593" t="str">
            <v>EMS WIRELESS</v>
          </cell>
          <cell r="B8593" t="str">
            <v>RV65-19-06DP</v>
          </cell>
          <cell r="O8593">
            <v>5.9497082409999988</v>
          </cell>
          <cell r="T8593">
            <v>2.4938239529999997</v>
          </cell>
        </row>
        <row r="8594">
          <cell r="A8594" t="str">
            <v>EMS WIRELESS</v>
          </cell>
          <cell r="B8594" t="str">
            <v>RV6518000P</v>
          </cell>
          <cell r="O8594"/>
          <cell r="T8594"/>
        </row>
        <row r="8595">
          <cell r="A8595" t="str">
            <v>EMS WIRELESS</v>
          </cell>
          <cell r="B8595" t="str">
            <v>RV651802DP</v>
          </cell>
          <cell r="O8595"/>
          <cell r="T8595"/>
        </row>
        <row r="8596">
          <cell r="A8596" t="str">
            <v>EMS WIRELESS</v>
          </cell>
          <cell r="B8596" t="str">
            <v>RV651804DP</v>
          </cell>
          <cell r="O8596"/>
          <cell r="T8596"/>
        </row>
        <row r="8597">
          <cell r="A8597" t="str">
            <v>EMS WIRELESS</v>
          </cell>
          <cell r="B8597" t="str">
            <v>RV65182</v>
          </cell>
          <cell r="O8597"/>
          <cell r="T8597"/>
        </row>
        <row r="8598">
          <cell r="A8598" t="str">
            <v>EMS WIRELESS</v>
          </cell>
          <cell r="B8598" t="str">
            <v>RV80-10-00NA2</v>
          </cell>
          <cell r="O8598">
            <v>3.444215856</v>
          </cell>
          <cell r="T8598">
            <v>2.074473163</v>
          </cell>
        </row>
        <row r="8599">
          <cell r="A8599" t="str">
            <v>EMS WIRELESS</v>
          </cell>
          <cell r="B8599" t="str">
            <v>RV80-12-00DAL2</v>
          </cell>
          <cell r="O8599">
            <v>5.4140924349999997</v>
          </cell>
          <cell r="T8599">
            <v>3.2615385049999999</v>
          </cell>
        </row>
        <row r="8600">
          <cell r="A8600" t="str">
            <v>EMS WIRELESS</v>
          </cell>
          <cell r="B8600" t="str">
            <v>RV80-17-02DP</v>
          </cell>
          <cell r="O8600"/>
          <cell r="T8600"/>
        </row>
        <row r="8601">
          <cell r="A8601" t="str">
            <v>EMS WIRELESS</v>
          </cell>
          <cell r="B8601" t="str">
            <v>RV80-18-00NV</v>
          </cell>
          <cell r="O8601">
            <v>2.0276286650000004</v>
          </cell>
          <cell r="T8601">
            <v>1.1894458209999998</v>
          </cell>
        </row>
        <row r="8602">
          <cell r="A8602" t="str">
            <v>EMS WIRELESS</v>
          </cell>
          <cell r="B8602" t="str">
            <v>RV90</v>
          </cell>
          <cell r="O8602"/>
          <cell r="T8602"/>
        </row>
        <row r="8603">
          <cell r="A8603" t="str">
            <v>EMS WIRELESS</v>
          </cell>
          <cell r="B8603" t="str">
            <v>RV90-1-702DP</v>
          </cell>
          <cell r="O8603"/>
          <cell r="T8603"/>
        </row>
        <row r="8604">
          <cell r="A8604" t="str">
            <v>EMS WIRELESS</v>
          </cell>
          <cell r="B8604" t="str">
            <v>RV90-11-00DBL</v>
          </cell>
          <cell r="O8604">
            <v>5.4140924349999997</v>
          </cell>
          <cell r="T8604">
            <v>3.2615385049999999</v>
          </cell>
        </row>
        <row r="8605">
          <cell r="A8605" t="str">
            <v>EMS WIRELESS</v>
          </cell>
          <cell r="B8605" t="str">
            <v>RV90-11-00NBL</v>
          </cell>
          <cell r="O8605">
            <v>5.4140924349999997</v>
          </cell>
          <cell r="T8605">
            <v>3.2615385049999999</v>
          </cell>
        </row>
        <row r="8606">
          <cell r="A8606" t="str">
            <v>EMS WIRELESS</v>
          </cell>
          <cell r="B8606" t="str">
            <v>RV90-11-05DBL</v>
          </cell>
          <cell r="O8606">
            <v>5.4140924349999997</v>
          </cell>
          <cell r="T8606">
            <v>3.2615385049999999</v>
          </cell>
        </row>
        <row r="8607">
          <cell r="A8607" t="str">
            <v>EMS WIRELESS</v>
          </cell>
          <cell r="B8607" t="str">
            <v>RV90-11-05NBL</v>
          </cell>
          <cell r="O8607">
            <v>5.4140924349999997</v>
          </cell>
          <cell r="T8607">
            <v>3.2615385049999999</v>
          </cell>
        </row>
        <row r="8608">
          <cell r="A8608" t="str">
            <v>EMS WIRELESS</v>
          </cell>
          <cell r="B8608" t="str">
            <v>RV90-11-10DBL</v>
          </cell>
          <cell r="O8608">
            <v>5.4140924349999997</v>
          </cell>
          <cell r="T8608">
            <v>3.2615385049999999</v>
          </cell>
        </row>
        <row r="8609">
          <cell r="A8609" t="str">
            <v>EMS WIRELESS</v>
          </cell>
          <cell r="B8609" t="str">
            <v>RV90-11-10NBL</v>
          </cell>
          <cell r="O8609">
            <v>5.4140924349999997</v>
          </cell>
          <cell r="T8609">
            <v>3.2615385049999999</v>
          </cell>
        </row>
        <row r="8610">
          <cell r="A8610" t="str">
            <v>EMS WIRELESS</v>
          </cell>
          <cell r="B8610" t="str">
            <v>RV90-12</v>
          </cell>
          <cell r="O8610">
            <v>5.4140924349999997</v>
          </cell>
          <cell r="T8610">
            <v>3.2615385049999999</v>
          </cell>
        </row>
        <row r="8611">
          <cell r="A8611" t="str">
            <v>EMS WIRELESS</v>
          </cell>
          <cell r="B8611" t="str">
            <v>RV90-12-00-DA-2</v>
          </cell>
          <cell r="O8611"/>
          <cell r="T8611"/>
        </row>
        <row r="8612">
          <cell r="A8612" t="str">
            <v>EMS WIRELESS</v>
          </cell>
          <cell r="B8612" t="str">
            <v>RV90-12-00DA-2</v>
          </cell>
          <cell r="O8612">
            <v>5.4140924349999997</v>
          </cell>
          <cell r="T8612">
            <v>3.2615385049999999</v>
          </cell>
        </row>
        <row r="8613">
          <cell r="A8613" t="str">
            <v>EMS WIRELESS</v>
          </cell>
          <cell r="B8613" t="str">
            <v>RV90-12-00DA2</v>
          </cell>
          <cell r="O8613">
            <v>5.4140924349999997</v>
          </cell>
          <cell r="T8613">
            <v>3.2615385049999999</v>
          </cell>
        </row>
        <row r="8614">
          <cell r="A8614" t="str">
            <v>EMS WIRELESS</v>
          </cell>
          <cell r="B8614" t="str">
            <v>RV90-12-00DA4</v>
          </cell>
          <cell r="O8614"/>
          <cell r="T8614"/>
        </row>
        <row r="8615">
          <cell r="A8615" t="str">
            <v>EMS WIRELESS</v>
          </cell>
          <cell r="B8615" t="str">
            <v>RV90-12-00NA-2</v>
          </cell>
          <cell r="O8615">
            <v>5.4140924349999997</v>
          </cell>
          <cell r="T8615">
            <v>3.2615385049999999</v>
          </cell>
        </row>
        <row r="8616">
          <cell r="A8616" t="str">
            <v>EMS WIRELESS</v>
          </cell>
          <cell r="B8616" t="str">
            <v>RV90-12-00NA2</v>
          </cell>
          <cell r="O8616">
            <v>5.4140924349999997</v>
          </cell>
          <cell r="T8616">
            <v>3.2615385049999999</v>
          </cell>
        </row>
        <row r="8617">
          <cell r="A8617" t="str">
            <v>EMS WIRELESS</v>
          </cell>
          <cell r="B8617" t="str">
            <v>RV90-12-03DA-2</v>
          </cell>
          <cell r="O8617">
            <v>5.4140924349999997</v>
          </cell>
          <cell r="T8617">
            <v>3.2615385049999999</v>
          </cell>
        </row>
        <row r="8618">
          <cell r="A8618" t="str">
            <v>EMS WIRELESS</v>
          </cell>
          <cell r="B8618" t="str">
            <v>RV90-12-03DA2</v>
          </cell>
          <cell r="O8618">
            <v>8.176090975000001</v>
          </cell>
          <cell r="T8618">
            <v>4.9236840050000001</v>
          </cell>
        </row>
        <row r="8619">
          <cell r="A8619" t="str">
            <v>EMS WIRELESS</v>
          </cell>
          <cell r="B8619" t="str">
            <v>RV90-12-05DA-2</v>
          </cell>
          <cell r="O8619">
            <v>5.4140924349999997</v>
          </cell>
          <cell r="T8619">
            <v>3.2615385049999999</v>
          </cell>
        </row>
        <row r="8620">
          <cell r="A8620" t="str">
            <v>EMS WIRELESS</v>
          </cell>
          <cell r="B8620" t="str">
            <v>RV90-12-05DA2</v>
          </cell>
          <cell r="O8620">
            <v>5.4140924349999997</v>
          </cell>
          <cell r="T8620">
            <v>3.2615385049999999</v>
          </cell>
        </row>
        <row r="8621">
          <cell r="A8621" t="str">
            <v>EMS WIRELESS</v>
          </cell>
          <cell r="B8621" t="str">
            <v>RV90-12-05NA2</v>
          </cell>
          <cell r="O8621">
            <v>5.4140924349999997</v>
          </cell>
          <cell r="T8621">
            <v>3.2615385049999999</v>
          </cell>
        </row>
        <row r="8622">
          <cell r="A8622" t="str">
            <v>EMS WIRELESS</v>
          </cell>
          <cell r="B8622" t="str">
            <v>RV90-12-50DA2</v>
          </cell>
          <cell r="O8622">
            <v>5.4140924349999997</v>
          </cell>
          <cell r="T8622">
            <v>3.2615385049999999</v>
          </cell>
        </row>
        <row r="8623">
          <cell r="A8623" t="str">
            <v>EMS WIRELESS</v>
          </cell>
          <cell r="B8623" t="str">
            <v>RV90-1200DA</v>
          </cell>
          <cell r="O8623"/>
          <cell r="T8623"/>
        </row>
        <row r="8624">
          <cell r="A8624" t="str">
            <v>EMS WIRELESS</v>
          </cell>
          <cell r="B8624" t="str">
            <v>RV90-13-10NAL2</v>
          </cell>
          <cell r="O8624">
            <v>11.18565074</v>
          </cell>
          <cell r="T8624">
            <v>6.7353053039999988</v>
          </cell>
        </row>
        <row r="8625">
          <cell r="A8625" t="str">
            <v>EMS WIRELESS</v>
          </cell>
          <cell r="B8625" t="str">
            <v>RV90-14-00DPL2</v>
          </cell>
          <cell r="O8625">
            <v>0.91182870400000005</v>
          </cell>
          <cell r="T8625">
            <v>0.45571539500000002</v>
          </cell>
        </row>
        <row r="8626">
          <cell r="A8626" t="str">
            <v>EMS WIRELESS</v>
          </cell>
          <cell r="B8626" t="str">
            <v>RV90-14-04DP</v>
          </cell>
          <cell r="O8626">
            <v>2.3047379740000005</v>
          </cell>
          <cell r="T8626">
            <v>0.78977299899999986</v>
          </cell>
        </row>
        <row r="8627">
          <cell r="A8627" t="str">
            <v>EMS WIRELESS</v>
          </cell>
          <cell r="B8627" t="str">
            <v>RV90-14-XXDB2-LOG</v>
          </cell>
          <cell r="O8627"/>
          <cell r="T8627"/>
        </row>
        <row r="8628">
          <cell r="A8628" t="str">
            <v>EMS WIRELESS</v>
          </cell>
          <cell r="B8628" t="str">
            <v>RV90-16-00DPL2</v>
          </cell>
          <cell r="O8628">
            <v>2.6097879580000001</v>
          </cell>
          <cell r="T8628">
            <v>1.5305318959999998</v>
          </cell>
        </row>
        <row r="8629">
          <cell r="A8629" t="str">
            <v>EMS WIRELESS</v>
          </cell>
          <cell r="B8629" t="str">
            <v>RV90-16-02DP</v>
          </cell>
          <cell r="O8629"/>
          <cell r="T8629"/>
        </row>
        <row r="8630">
          <cell r="A8630" t="str">
            <v>EMS WIRELESS</v>
          </cell>
          <cell r="B8630" t="str">
            <v>RV90-17</v>
          </cell>
          <cell r="O8630"/>
          <cell r="T8630"/>
        </row>
        <row r="8631">
          <cell r="A8631" t="str">
            <v>EMS WIRELESS</v>
          </cell>
          <cell r="B8631" t="str">
            <v>RV90-17-00DP</v>
          </cell>
          <cell r="O8631">
            <v>4.5185361789999998</v>
          </cell>
          <cell r="T8631">
            <v>1.541157745</v>
          </cell>
        </row>
        <row r="8632">
          <cell r="A8632" t="str">
            <v>EMS WIRELESS</v>
          </cell>
          <cell r="B8632" t="str">
            <v>RV90-17-00DPL2</v>
          </cell>
          <cell r="O8632">
            <v>2.9519103609999999</v>
          </cell>
          <cell r="T8632">
            <v>1.731882199</v>
          </cell>
        </row>
        <row r="8633">
          <cell r="A8633" t="str">
            <v>EMS WIRELESS</v>
          </cell>
          <cell r="B8633" t="str">
            <v>RV90-17-02DP</v>
          </cell>
          <cell r="O8633">
            <v>4.5185361789999998</v>
          </cell>
          <cell r="T8633">
            <v>1.541157745</v>
          </cell>
        </row>
        <row r="8634">
          <cell r="A8634" t="str">
            <v>EMS WIRELESS</v>
          </cell>
          <cell r="B8634" t="str">
            <v>RV90-17-02DPL2</v>
          </cell>
          <cell r="O8634">
            <v>2.9519103609999999</v>
          </cell>
          <cell r="T8634">
            <v>1.731882199</v>
          </cell>
        </row>
        <row r="8635">
          <cell r="A8635" t="str">
            <v>EMS WIRELESS</v>
          </cell>
          <cell r="B8635" t="str">
            <v>RV90-17-02DT</v>
          </cell>
          <cell r="O8635"/>
          <cell r="T8635"/>
        </row>
        <row r="8636">
          <cell r="A8636" t="str">
            <v>EMS WIRELESS</v>
          </cell>
          <cell r="B8636" t="str">
            <v>RV90-17-04DP</v>
          </cell>
          <cell r="O8636">
            <v>4.5185361789999998</v>
          </cell>
          <cell r="T8636">
            <v>1.541157745</v>
          </cell>
        </row>
        <row r="8637">
          <cell r="A8637" t="str">
            <v>EMS WIRELESS</v>
          </cell>
          <cell r="B8637" t="str">
            <v>RV90-17-04DPL2</v>
          </cell>
          <cell r="O8637">
            <v>2.9519103609999999</v>
          </cell>
          <cell r="T8637">
            <v>1.731882199</v>
          </cell>
        </row>
        <row r="8638">
          <cell r="A8638" t="str">
            <v>EMS WIRELESS</v>
          </cell>
          <cell r="B8638" t="str">
            <v>RV90-17-06DP</v>
          </cell>
          <cell r="O8638">
            <v>4.5185361789999998</v>
          </cell>
          <cell r="T8638">
            <v>1.541157745</v>
          </cell>
        </row>
        <row r="8639">
          <cell r="A8639" t="str">
            <v>EMS WIRELESS</v>
          </cell>
          <cell r="B8639" t="str">
            <v>RV90-17-08DP</v>
          </cell>
          <cell r="O8639">
            <v>4.5185361789999998</v>
          </cell>
          <cell r="T8639">
            <v>1.541157745</v>
          </cell>
        </row>
        <row r="8640">
          <cell r="A8640" t="str">
            <v>EMS WIRELESS</v>
          </cell>
          <cell r="B8640" t="str">
            <v>RV90-1702OD</v>
          </cell>
          <cell r="O8640"/>
          <cell r="T8640"/>
        </row>
        <row r="8641">
          <cell r="A8641" t="str">
            <v>EMS WIRELESS</v>
          </cell>
          <cell r="B8641" t="str">
            <v>RV90-18-00</v>
          </cell>
          <cell r="O8641"/>
          <cell r="T8641"/>
        </row>
        <row r="8642">
          <cell r="A8642" t="str">
            <v>EMS WIRELESS</v>
          </cell>
          <cell r="B8642" t="str">
            <v>RV90-18-00DP</v>
          </cell>
          <cell r="O8642">
            <v>5.9497082409999988</v>
          </cell>
          <cell r="T8642">
            <v>2.4938239529999997</v>
          </cell>
        </row>
        <row r="8643">
          <cell r="A8643" t="str">
            <v>EMS WIRELESS</v>
          </cell>
          <cell r="B8643" t="str">
            <v>RV90-18-02</v>
          </cell>
          <cell r="O8643"/>
          <cell r="T8643"/>
        </row>
        <row r="8644">
          <cell r="A8644" t="str">
            <v>EMS WIRELESS</v>
          </cell>
          <cell r="B8644" t="str">
            <v>RV90-18-02DP</v>
          </cell>
          <cell r="O8644">
            <v>5.9497082409999988</v>
          </cell>
          <cell r="T8644">
            <v>2.4938239529999997</v>
          </cell>
        </row>
        <row r="8645">
          <cell r="A8645" t="str">
            <v>EMS WIRELESS</v>
          </cell>
          <cell r="B8645" t="str">
            <v>RV90-18-04DP</v>
          </cell>
          <cell r="O8645">
            <v>5.9497082409999988</v>
          </cell>
          <cell r="T8645">
            <v>2.4938239529999997</v>
          </cell>
        </row>
        <row r="8646">
          <cell r="A8646" t="str">
            <v>EMS WIRELESS</v>
          </cell>
          <cell r="B8646" t="str">
            <v>RV90-18-06DP</v>
          </cell>
          <cell r="O8646">
            <v>5.9497082409999988</v>
          </cell>
          <cell r="T8646">
            <v>2.4938239529999997</v>
          </cell>
        </row>
        <row r="8647">
          <cell r="A8647" t="str">
            <v>EMS WIRELESS</v>
          </cell>
          <cell r="B8647" t="str">
            <v>RV90-1802</v>
          </cell>
          <cell r="O8647"/>
          <cell r="T8647"/>
        </row>
        <row r="8648">
          <cell r="A8648" t="str">
            <v>EMS WIRELESS</v>
          </cell>
          <cell r="B8648" t="str">
            <v>RV90-702-DP</v>
          </cell>
          <cell r="O8648"/>
          <cell r="T8648"/>
        </row>
        <row r="8649">
          <cell r="A8649" t="str">
            <v>EMS WIRELESS</v>
          </cell>
          <cell r="B8649" t="str">
            <v>RV9012000DA2</v>
          </cell>
          <cell r="O8649"/>
          <cell r="T8649"/>
        </row>
        <row r="8650">
          <cell r="A8650" t="str">
            <v>EMS WIRELESS</v>
          </cell>
          <cell r="B8650" t="str">
            <v>RV9012000R2</v>
          </cell>
          <cell r="O8650"/>
          <cell r="T8650"/>
        </row>
        <row r="8651">
          <cell r="A8651" t="str">
            <v>EMS WIRELESS</v>
          </cell>
          <cell r="B8651" t="str">
            <v>RV901702</v>
          </cell>
          <cell r="O8651"/>
          <cell r="T8651"/>
        </row>
        <row r="8652">
          <cell r="A8652" t="str">
            <v>EMS WIRELESS</v>
          </cell>
          <cell r="B8652" t="str">
            <v>RV9017020</v>
          </cell>
          <cell r="O8652"/>
          <cell r="T8652"/>
        </row>
        <row r="8653">
          <cell r="A8653" t="str">
            <v>EMS WIRELESS</v>
          </cell>
          <cell r="B8653" t="str">
            <v>RV90170202DP</v>
          </cell>
          <cell r="O8653"/>
          <cell r="T8653"/>
        </row>
        <row r="8654">
          <cell r="A8654" t="str">
            <v>EMS WIRELESS</v>
          </cell>
          <cell r="B8654" t="str">
            <v>RV90172</v>
          </cell>
          <cell r="O8654"/>
          <cell r="T8654"/>
        </row>
        <row r="8655">
          <cell r="A8655" t="str">
            <v>EMS WIRELESS</v>
          </cell>
          <cell r="B8655" t="str">
            <v>RV901802DP</v>
          </cell>
          <cell r="O8655"/>
          <cell r="T8655"/>
        </row>
        <row r="8656">
          <cell r="A8656" t="str">
            <v>EMS WIRELESS</v>
          </cell>
          <cell r="B8656" t="str">
            <v>RVG318020P</v>
          </cell>
          <cell r="O8656"/>
          <cell r="T8656"/>
        </row>
        <row r="8657">
          <cell r="A8657" t="str">
            <v>EMS WIRELESS</v>
          </cell>
          <cell r="B8657" t="str">
            <v>SR9017000P</v>
          </cell>
          <cell r="O8657"/>
          <cell r="T8657"/>
        </row>
        <row r="8658">
          <cell r="A8658" t="str">
            <v>EMS WIRELESS</v>
          </cell>
          <cell r="B8658" t="str">
            <v>SSI806340P101</v>
          </cell>
          <cell r="O8658"/>
          <cell r="T8658"/>
        </row>
        <row r="8659">
          <cell r="A8659" t="str">
            <v>EMS WIRELESS</v>
          </cell>
          <cell r="B8659" t="str">
            <v>SSI807212-3PANEL</v>
          </cell>
          <cell r="O8659"/>
          <cell r="T8659"/>
        </row>
        <row r="8660">
          <cell r="A8660" t="str">
            <v>EMS WIRELESS</v>
          </cell>
          <cell r="B8660" t="str">
            <v>SSI807212-4PANEL</v>
          </cell>
          <cell r="O8660"/>
          <cell r="T8660"/>
        </row>
        <row r="8661">
          <cell r="A8661" t="str">
            <v>EMS WIRELESS</v>
          </cell>
          <cell r="B8661" t="str">
            <v>SSI813241P110</v>
          </cell>
          <cell r="O8661"/>
          <cell r="T8661"/>
        </row>
        <row r="8662">
          <cell r="A8662" t="str">
            <v>EMS WIRELESS</v>
          </cell>
          <cell r="B8662" t="str">
            <v>SSI813246O168</v>
          </cell>
          <cell r="O8662"/>
          <cell r="T8662"/>
        </row>
        <row r="8663">
          <cell r="A8663" t="str">
            <v>EMS WIRELESS</v>
          </cell>
          <cell r="B8663" t="str">
            <v>SSI813362P225</v>
          </cell>
          <cell r="O8663"/>
          <cell r="T8663"/>
        </row>
        <row r="8664">
          <cell r="A8664" t="str">
            <v>EMS WIRELESS</v>
          </cell>
          <cell r="B8664" t="str">
            <v>SV901600DP</v>
          </cell>
          <cell r="O8664"/>
          <cell r="T8664"/>
        </row>
        <row r="8665">
          <cell r="A8665" t="str">
            <v>EMS WIRELESS</v>
          </cell>
          <cell r="B8665" t="str">
            <v>TR65-18-00DPL2Q</v>
          </cell>
          <cell r="O8665">
            <v>7.3107880015432096</v>
          </cell>
          <cell r="T8665">
            <v>3.22365139877944</v>
          </cell>
        </row>
        <row r="8666">
          <cell r="A8666" t="str">
            <v>EMS WIRELESS</v>
          </cell>
          <cell r="B8666" t="str">
            <v>TR65-18-04DPL2Q</v>
          </cell>
          <cell r="O8666">
            <v>7.3107880015432096</v>
          </cell>
          <cell r="T8666">
            <v>3.22365139877944</v>
          </cell>
        </row>
        <row r="8667">
          <cell r="A8667" t="str">
            <v>EMS WIRELESS</v>
          </cell>
          <cell r="B8667" t="str">
            <v>TR65-18-06DPL2Q</v>
          </cell>
          <cell r="O8667">
            <v>7.3107880015432096</v>
          </cell>
          <cell r="T8667">
            <v>3.22365139877944</v>
          </cell>
        </row>
        <row r="8668">
          <cell r="A8668" t="str">
            <v>EMS WIRELESS</v>
          </cell>
          <cell r="B8668" t="str">
            <v>TR65-19-00DPQ</v>
          </cell>
          <cell r="O8668">
            <v>9.8700607019745483</v>
          </cell>
          <cell r="T8668">
            <v>4.3607675125088496</v>
          </cell>
        </row>
        <row r="8669">
          <cell r="A8669" t="str">
            <v>EMS WIRELESS</v>
          </cell>
          <cell r="B8669" t="str">
            <v>TR65-19-02DPQ</v>
          </cell>
          <cell r="O8669">
            <v>9.8700607019745483</v>
          </cell>
          <cell r="T8669">
            <v>4.3607675125088496</v>
          </cell>
        </row>
        <row r="8670">
          <cell r="A8670" t="str">
            <v>EMS WIRELESS</v>
          </cell>
          <cell r="B8670" t="str">
            <v>TR65-19-04DPQ</v>
          </cell>
          <cell r="O8670">
            <v>9.8700607019745483</v>
          </cell>
          <cell r="T8670">
            <v>4.3607675125088496</v>
          </cell>
        </row>
        <row r="8671">
          <cell r="A8671" t="str">
            <v>EQUINOX</v>
          </cell>
          <cell r="B8671" t="str">
            <v>WARM-18R</v>
          </cell>
          <cell r="O8671"/>
          <cell r="T8671"/>
        </row>
        <row r="8672">
          <cell r="A8672" t="str">
            <v>ERA</v>
          </cell>
          <cell r="B8672" t="str">
            <v>AL10W</v>
          </cell>
          <cell r="O8672"/>
          <cell r="T8672"/>
        </row>
        <row r="8673">
          <cell r="A8673" t="str">
            <v>ERA</v>
          </cell>
          <cell r="B8673" t="str">
            <v>AL1W</v>
          </cell>
          <cell r="O8673"/>
          <cell r="T8673"/>
        </row>
        <row r="8674">
          <cell r="A8674" t="str">
            <v>ERI</v>
          </cell>
          <cell r="B8674" t="str">
            <v>100-1</v>
          </cell>
          <cell r="O8674"/>
          <cell r="T8674"/>
        </row>
        <row r="8675">
          <cell r="A8675" t="str">
            <v>ERI</v>
          </cell>
          <cell r="B8675" t="str">
            <v>100-2HW</v>
          </cell>
          <cell r="O8675"/>
          <cell r="T8675"/>
        </row>
        <row r="8676">
          <cell r="A8676" t="str">
            <v>ERI</v>
          </cell>
          <cell r="B8676" t="str">
            <v>100A-1M</v>
          </cell>
          <cell r="O8676"/>
          <cell r="T8676"/>
        </row>
        <row r="8677">
          <cell r="A8677" t="str">
            <v>ERI</v>
          </cell>
          <cell r="B8677" t="str">
            <v>100A-2F</v>
          </cell>
          <cell r="O8677"/>
          <cell r="T8677"/>
        </row>
        <row r="8678">
          <cell r="A8678" t="str">
            <v>ERI</v>
          </cell>
          <cell r="B8678" t="str">
            <v>100A-2F-DA-HW</v>
          </cell>
          <cell r="O8678"/>
          <cell r="T8678"/>
        </row>
        <row r="8679">
          <cell r="A8679" t="str">
            <v>ERI</v>
          </cell>
          <cell r="B8679" t="str">
            <v>100A-2F-HW</v>
          </cell>
          <cell r="O8679"/>
          <cell r="T8679"/>
        </row>
        <row r="8680">
          <cell r="A8680" t="str">
            <v>ERI</v>
          </cell>
          <cell r="B8680" t="str">
            <v>1086-ICP-DA</v>
          </cell>
          <cell r="O8680"/>
          <cell r="T8680"/>
        </row>
        <row r="8681">
          <cell r="A8681" t="str">
            <v>ERI</v>
          </cell>
          <cell r="B8681" t="str">
            <v>1092-1CP-DA</v>
          </cell>
          <cell r="O8681"/>
          <cell r="T8681"/>
        </row>
        <row r="8682">
          <cell r="A8682" t="str">
            <v>ERI</v>
          </cell>
          <cell r="B8682" t="str">
            <v>1092-3CP-DA</v>
          </cell>
          <cell r="O8682"/>
          <cell r="T8682"/>
        </row>
        <row r="8683">
          <cell r="A8683" t="str">
            <v>ERI</v>
          </cell>
          <cell r="B8683" t="str">
            <v>1105-1</v>
          </cell>
          <cell r="O8683"/>
          <cell r="T8683"/>
        </row>
        <row r="8684">
          <cell r="A8684" t="str">
            <v>ERI</v>
          </cell>
          <cell r="B8684" t="str">
            <v>1105-2</v>
          </cell>
          <cell r="O8684"/>
          <cell r="T8684"/>
        </row>
        <row r="8685">
          <cell r="A8685" t="str">
            <v>ERI</v>
          </cell>
          <cell r="B8685" t="str">
            <v>1105-3</v>
          </cell>
          <cell r="O8685"/>
          <cell r="T8685"/>
        </row>
        <row r="8686">
          <cell r="A8686" t="str">
            <v>ERI</v>
          </cell>
          <cell r="B8686" t="str">
            <v>1105-6B</v>
          </cell>
          <cell r="O8686"/>
          <cell r="T8686"/>
        </row>
        <row r="8687">
          <cell r="A8687" t="str">
            <v>ERI</v>
          </cell>
          <cell r="B8687" t="str">
            <v>1183-3CP</v>
          </cell>
          <cell r="O8687"/>
          <cell r="T8687"/>
        </row>
        <row r="8688">
          <cell r="A8688" t="str">
            <v>ERI</v>
          </cell>
          <cell r="B8688" t="str">
            <v>1194-3CP-DA-SP</v>
          </cell>
          <cell r="O8688"/>
          <cell r="T8688"/>
        </row>
        <row r="8689">
          <cell r="A8689" t="str">
            <v>ERI</v>
          </cell>
          <cell r="B8689" t="str">
            <v>300-2AC</v>
          </cell>
          <cell r="O8689"/>
          <cell r="T8689"/>
        </row>
        <row r="8690">
          <cell r="A8690" t="str">
            <v>ERI</v>
          </cell>
          <cell r="B8690" t="str">
            <v>300G-4AC</v>
          </cell>
          <cell r="O8690"/>
          <cell r="T8690"/>
        </row>
        <row r="8691">
          <cell r="A8691" t="str">
            <v>ERI</v>
          </cell>
          <cell r="B8691" t="str">
            <v>601-48</v>
          </cell>
          <cell r="O8691"/>
          <cell r="T8691"/>
        </row>
        <row r="8692">
          <cell r="A8692" t="str">
            <v>ERI</v>
          </cell>
          <cell r="B8692" t="str">
            <v>601-91</v>
          </cell>
          <cell r="O8692"/>
          <cell r="T8692"/>
        </row>
        <row r="8693">
          <cell r="A8693" t="str">
            <v>ERI</v>
          </cell>
          <cell r="B8693" t="str">
            <v>AL12-24-PL</v>
          </cell>
          <cell r="O8693"/>
          <cell r="T8693"/>
        </row>
        <row r="8694">
          <cell r="A8694" t="str">
            <v>ERI</v>
          </cell>
          <cell r="B8694" t="str">
            <v>AL12O-16-3PLE</v>
          </cell>
          <cell r="O8694"/>
          <cell r="T8694"/>
        </row>
        <row r="8695">
          <cell r="A8695" t="str">
            <v>ERI</v>
          </cell>
          <cell r="B8695" t="str">
            <v>AL12O-21-PM</v>
          </cell>
          <cell r="O8695"/>
          <cell r="T8695"/>
        </row>
        <row r="8696">
          <cell r="A8696" t="str">
            <v>ERI</v>
          </cell>
          <cell r="B8696" t="str">
            <v>AL12W-22-PLE</v>
          </cell>
          <cell r="O8696"/>
          <cell r="T8696"/>
        </row>
        <row r="8697">
          <cell r="A8697" t="str">
            <v>ERI</v>
          </cell>
          <cell r="B8697" t="str">
            <v>AL1ZW-42-PL</v>
          </cell>
          <cell r="O8697"/>
          <cell r="T8697"/>
        </row>
        <row r="8698">
          <cell r="A8698" t="str">
            <v>ERI</v>
          </cell>
          <cell r="B8698" t="str">
            <v>AL60-21</v>
          </cell>
          <cell r="O8698"/>
          <cell r="T8698"/>
        </row>
        <row r="8699">
          <cell r="A8699" t="str">
            <v>ERI</v>
          </cell>
          <cell r="B8699" t="str">
            <v>AL8-26</v>
          </cell>
          <cell r="O8699"/>
          <cell r="T8699"/>
        </row>
        <row r="8700">
          <cell r="A8700" t="str">
            <v>ERI</v>
          </cell>
          <cell r="B8700" t="str">
            <v>AL8-W</v>
          </cell>
          <cell r="O8700"/>
          <cell r="T8700"/>
        </row>
        <row r="8701">
          <cell r="A8701" t="str">
            <v>ERI</v>
          </cell>
          <cell r="B8701" t="str">
            <v>ALP-12L5</v>
          </cell>
          <cell r="O8701"/>
          <cell r="T8701"/>
        </row>
        <row r="8702">
          <cell r="A8702" t="str">
            <v>ERI</v>
          </cell>
          <cell r="B8702" t="str">
            <v>ALP-32L3-HSNR-19</v>
          </cell>
          <cell r="O8702"/>
          <cell r="T8702"/>
        </row>
        <row r="8703">
          <cell r="A8703" t="str">
            <v>ERI</v>
          </cell>
          <cell r="B8703" t="str">
            <v>ALP-32L3-HSNR-21</v>
          </cell>
          <cell r="O8703"/>
          <cell r="T8703"/>
        </row>
        <row r="8704">
          <cell r="A8704" t="str">
            <v>ERI</v>
          </cell>
          <cell r="B8704" t="str">
            <v>ALP16L2-HSER-44</v>
          </cell>
          <cell r="O8704"/>
          <cell r="T8704"/>
        </row>
        <row r="8705">
          <cell r="A8705" t="str">
            <v>ERI</v>
          </cell>
          <cell r="B8705" t="str">
            <v>ALP23L3-HSPX-57</v>
          </cell>
          <cell r="O8705"/>
          <cell r="T8705"/>
        </row>
        <row r="8706">
          <cell r="A8706" t="str">
            <v>ERI</v>
          </cell>
          <cell r="B8706" t="str">
            <v>ALP4L1-HSOC-52</v>
          </cell>
          <cell r="O8706"/>
          <cell r="T8706"/>
        </row>
        <row r="8707">
          <cell r="A8707" t="str">
            <v>ERI</v>
          </cell>
          <cell r="B8707" t="str">
            <v>ALP8L3-HSER-20</v>
          </cell>
          <cell r="O8707"/>
          <cell r="T8707"/>
        </row>
        <row r="8708">
          <cell r="A8708" t="str">
            <v>ERI</v>
          </cell>
          <cell r="B8708" t="str">
            <v>ATW16HS3-ETO10-21L</v>
          </cell>
          <cell r="O8708"/>
          <cell r="T8708"/>
        </row>
        <row r="8709">
          <cell r="A8709" t="str">
            <v>ERI</v>
          </cell>
          <cell r="B8709" t="str">
            <v>ATW18H4-HSP4-51S</v>
          </cell>
          <cell r="O8709"/>
          <cell r="T8709"/>
        </row>
        <row r="8710">
          <cell r="A8710" t="str">
            <v>ERI</v>
          </cell>
          <cell r="B8710" t="str">
            <v>ATW23H3-ETO-28H</v>
          </cell>
          <cell r="O8710"/>
          <cell r="T8710"/>
        </row>
        <row r="8711">
          <cell r="A8711" t="str">
            <v>ERI</v>
          </cell>
          <cell r="B8711" t="str">
            <v>ATW24H3-HSC170-30H_01102018</v>
          </cell>
          <cell r="O8711"/>
          <cell r="T8711"/>
        </row>
        <row r="8712">
          <cell r="A8712" t="str">
            <v>ERI</v>
          </cell>
          <cell r="B8712" t="str">
            <v>ATW25H3-HSC1-22S</v>
          </cell>
          <cell r="O8712"/>
          <cell r="T8712"/>
        </row>
        <row r="8713">
          <cell r="A8713" t="str">
            <v>ERI</v>
          </cell>
          <cell r="B8713" t="str">
            <v>ATW25H3-HTC4U-24S</v>
          </cell>
          <cell r="O8713"/>
          <cell r="T8713"/>
        </row>
        <row r="8714">
          <cell r="A8714" t="str">
            <v>ERI</v>
          </cell>
          <cell r="B8714" t="str">
            <v>ATW27H3-ESC1-31H</v>
          </cell>
          <cell r="O8714"/>
          <cell r="T8714"/>
        </row>
        <row r="8715">
          <cell r="A8715" t="str">
            <v>ERI</v>
          </cell>
          <cell r="B8715" t="str">
            <v>ATW27H4-HTC3L-48H</v>
          </cell>
          <cell r="O8715"/>
          <cell r="T8715"/>
        </row>
        <row r="8716">
          <cell r="A8716" t="str">
            <v>ERI</v>
          </cell>
          <cell r="B8716" t="str">
            <v>ATW27H5-HTOL-44S</v>
          </cell>
          <cell r="O8716"/>
          <cell r="T8716"/>
        </row>
        <row r="8717">
          <cell r="A8717" t="str">
            <v>ERI</v>
          </cell>
          <cell r="B8717" t="str">
            <v>ATW30H3-HTP5-44H</v>
          </cell>
          <cell r="O8717"/>
          <cell r="T8717"/>
        </row>
        <row r="8718">
          <cell r="A8718" t="str">
            <v>ERI</v>
          </cell>
          <cell r="B8718" t="str">
            <v>ATW30H5-HSC4L-44H</v>
          </cell>
          <cell r="O8718"/>
          <cell r="T8718"/>
        </row>
        <row r="8719">
          <cell r="A8719" t="str">
            <v>ERI</v>
          </cell>
          <cell r="B8719" t="str">
            <v>ATW30HS3-ETO-36H</v>
          </cell>
          <cell r="O8719"/>
          <cell r="T8719"/>
        </row>
        <row r="8720">
          <cell r="A8720" t="str">
            <v>ERI</v>
          </cell>
          <cell r="B8720" t="str">
            <v>ATW8HS3-ESO-36H</v>
          </cell>
          <cell r="O8720"/>
          <cell r="T8720"/>
        </row>
        <row r="8721">
          <cell r="A8721" t="str">
            <v>ERI</v>
          </cell>
          <cell r="B8721" t="str">
            <v>DI-4A-HW</v>
          </cell>
          <cell r="O8721"/>
          <cell r="T8721"/>
        </row>
        <row r="8722">
          <cell r="A8722" t="str">
            <v>ERI</v>
          </cell>
          <cell r="B8722" t="str">
            <v>ERI ATW25H3-HTP1L-33H</v>
          </cell>
          <cell r="O8722"/>
          <cell r="T8722"/>
        </row>
        <row r="8723">
          <cell r="A8723" t="str">
            <v>ERI</v>
          </cell>
          <cell r="B8723" t="str">
            <v>ETU-P2HC-4</v>
          </cell>
          <cell r="O8723"/>
          <cell r="T8723"/>
        </row>
        <row r="8724">
          <cell r="A8724" t="str">
            <v>ERI</v>
          </cell>
          <cell r="B8724" t="str">
            <v>ETV2H5-CSP3O-11</v>
          </cell>
          <cell r="O8724"/>
          <cell r="T8724"/>
        </row>
        <row r="8725">
          <cell r="A8725" t="str">
            <v>ERI</v>
          </cell>
          <cell r="B8725" t="str">
            <v>FMH-2AE-HW</v>
          </cell>
          <cell r="O8725"/>
          <cell r="T8725"/>
        </row>
        <row r="8726">
          <cell r="A8726" t="str">
            <v>ERI</v>
          </cell>
          <cell r="B8726" t="str">
            <v>G5CPM-2</v>
          </cell>
          <cell r="O8726"/>
          <cell r="T8726"/>
        </row>
        <row r="8727">
          <cell r="A8727" t="str">
            <v>ERI</v>
          </cell>
          <cell r="B8727" t="str">
            <v>HMD12H0-WNQ</v>
          </cell>
          <cell r="O8727"/>
          <cell r="T8727"/>
        </row>
        <row r="8728">
          <cell r="A8728" t="str">
            <v>ERI</v>
          </cell>
          <cell r="B8728" t="str">
            <v>HMD12HC-WNQ</v>
          </cell>
          <cell r="O8728"/>
          <cell r="T8728"/>
        </row>
        <row r="8729">
          <cell r="A8729" t="str">
            <v>ERI</v>
          </cell>
          <cell r="B8729" t="str">
            <v>HMD12VC-WNQ</v>
          </cell>
          <cell r="O8729"/>
          <cell r="T8729"/>
        </row>
        <row r="8730">
          <cell r="A8730" t="str">
            <v>ERI</v>
          </cell>
          <cell r="B8730" t="str">
            <v>ISA07-06S-FACE</v>
          </cell>
          <cell r="O8730"/>
          <cell r="T8730"/>
        </row>
        <row r="8731">
          <cell r="A8731" t="str">
            <v>ERI</v>
          </cell>
          <cell r="B8731" t="str">
            <v>LAL8</v>
          </cell>
          <cell r="O8731"/>
          <cell r="T8731"/>
        </row>
        <row r="8732">
          <cell r="A8732" t="str">
            <v>ERI</v>
          </cell>
          <cell r="B8732" t="str">
            <v>LP-2E-DA-HW</v>
          </cell>
          <cell r="O8732"/>
          <cell r="T8732"/>
        </row>
        <row r="8733">
          <cell r="A8733" t="str">
            <v>ERI</v>
          </cell>
          <cell r="B8733" t="str">
            <v>LP-2E-HW</v>
          </cell>
          <cell r="O8733"/>
          <cell r="T8733"/>
        </row>
        <row r="8734">
          <cell r="A8734" t="str">
            <v>ERI</v>
          </cell>
          <cell r="B8734" t="str">
            <v>LP-3E</v>
          </cell>
          <cell r="O8734"/>
          <cell r="T8734"/>
        </row>
        <row r="8735">
          <cell r="A8735" t="str">
            <v>ERI</v>
          </cell>
          <cell r="B8735" t="str">
            <v>LP-3E-92.5MHZ</v>
          </cell>
          <cell r="O8735"/>
          <cell r="T8735"/>
        </row>
        <row r="8736">
          <cell r="A8736" t="str">
            <v>ERI</v>
          </cell>
          <cell r="B8736" t="str">
            <v>LP-3E-DA-HW</v>
          </cell>
          <cell r="O8736"/>
          <cell r="T8736"/>
        </row>
        <row r="8737">
          <cell r="A8737" t="str">
            <v>ERI</v>
          </cell>
          <cell r="B8737" t="str">
            <v>LP-4C</v>
          </cell>
          <cell r="O8737"/>
          <cell r="T8737"/>
        </row>
        <row r="8738">
          <cell r="A8738" t="str">
            <v>ERI</v>
          </cell>
          <cell r="B8738" t="str">
            <v>LP-4E-DA</v>
          </cell>
          <cell r="O8738"/>
          <cell r="T8738"/>
        </row>
        <row r="8739">
          <cell r="A8739" t="str">
            <v>ERI</v>
          </cell>
          <cell r="B8739" t="str">
            <v>LP-6C</v>
          </cell>
          <cell r="O8739"/>
          <cell r="T8739"/>
        </row>
        <row r="8740">
          <cell r="A8740" t="str">
            <v>ERI</v>
          </cell>
          <cell r="B8740" t="str">
            <v>LPX-1E</v>
          </cell>
          <cell r="O8740"/>
          <cell r="T8740"/>
        </row>
        <row r="8741">
          <cell r="A8741" t="str">
            <v>ERI</v>
          </cell>
          <cell r="B8741" t="str">
            <v>LPX-2C</v>
          </cell>
          <cell r="O8741"/>
          <cell r="T8741"/>
        </row>
        <row r="8742">
          <cell r="A8742" t="str">
            <v>ERI</v>
          </cell>
          <cell r="B8742" t="str">
            <v>LPX-2E</v>
          </cell>
          <cell r="O8742"/>
          <cell r="T8742"/>
        </row>
        <row r="8743">
          <cell r="A8743" t="str">
            <v>ERI</v>
          </cell>
          <cell r="B8743" t="str">
            <v>LPX-2E-HW</v>
          </cell>
          <cell r="O8743"/>
          <cell r="T8743"/>
        </row>
        <row r="8744">
          <cell r="A8744" t="str">
            <v>ERI</v>
          </cell>
          <cell r="B8744" t="str">
            <v>LPX-3C</v>
          </cell>
          <cell r="O8744"/>
          <cell r="T8744"/>
        </row>
        <row r="8745">
          <cell r="A8745" t="str">
            <v>ERI</v>
          </cell>
          <cell r="B8745" t="str">
            <v>LPX-3E</v>
          </cell>
          <cell r="O8745"/>
          <cell r="T8745"/>
        </row>
        <row r="8746">
          <cell r="A8746" t="str">
            <v>ERI</v>
          </cell>
          <cell r="B8746" t="str">
            <v>LPX-3E W/RADOME</v>
          </cell>
          <cell r="O8746"/>
          <cell r="T8746"/>
        </row>
        <row r="8747">
          <cell r="A8747" t="str">
            <v>ERI</v>
          </cell>
          <cell r="B8747" t="str">
            <v>LPX-3E-HW</v>
          </cell>
          <cell r="O8747"/>
          <cell r="T8747"/>
        </row>
        <row r="8748">
          <cell r="A8748" t="str">
            <v>ERI</v>
          </cell>
          <cell r="B8748" t="str">
            <v>LPX-4C FULL WAVE</v>
          </cell>
          <cell r="O8748"/>
          <cell r="T8748"/>
        </row>
        <row r="8749">
          <cell r="A8749" t="str">
            <v>ERI</v>
          </cell>
          <cell r="B8749" t="str">
            <v>LPX-4C-HW</v>
          </cell>
          <cell r="O8749"/>
          <cell r="T8749"/>
        </row>
        <row r="8750">
          <cell r="A8750" t="str">
            <v>ERI</v>
          </cell>
          <cell r="B8750" t="str">
            <v>LPX-4E</v>
          </cell>
          <cell r="O8750"/>
          <cell r="T8750"/>
        </row>
        <row r="8751">
          <cell r="A8751" t="str">
            <v>ERI</v>
          </cell>
          <cell r="B8751" t="str">
            <v>LPX-4E-HW</v>
          </cell>
          <cell r="O8751"/>
          <cell r="T8751"/>
        </row>
        <row r="8752">
          <cell r="A8752" t="str">
            <v>ERI</v>
          </cell>
          <cell r="B8752" t="str">
            <v>LPX-4E-HW W/RADOME</v>
          </cell>
          <cell r="O8752"/>
          <cell r="T8752"/>
        </row>
        <row r="8753">
          <cell r="A8753" t="str">
            <v>ERI</v>
          </cell>
          <cell r="B8753" t="str">
            <v>LPX-5C</v>
          </cell>
          <cell r="O8753"/>
          <cell r="T8753"/>
        </row>
        <row r="8754">
          <cell r="A8754" t="str">
            <v>ERI</v>
          </cell>
          <cell r="B8754" t="str">
            <v>LPX-6C-HW</v>
          </cell>
          <cell r="O8754"/>
          <cell r="T8754"/>
        </row>
        <row r="8755">
          <cell r="A8755" t="str">
            <v>ERI</v>
          </cell>
          <cell r="B8755" t="str">
            <v>LPX2C</v>
          </cell>
          <cell r="O8755"/>
          <cell r="T8755"/>
        </row>
        <row r="8756">
          <cell r="A8756" t="str">
            <v>ERI</v>
          </cell>
          <cell r="B8756" t="str">
            <v>LPX2E</v>
          </cell>
          <cell r="O8756"/>
          <cell r="T8756"/>
        </row>
        <row r="8757">
          <cell r="A8757" t="str">
            <v>ERI</v>
          </cell>
          <cell r="B8757" t="str">
            <v>MP-2E</v>
          </cell>
          <cell r="O8757"/>
          <cell r="T8757"/>
        </row>
        <row r="8758">
          <cell r="A8758" t="str">
            <v>ERI</v>
          </cell>
          <cell r="B8758" t="str">
            <v>MP-3C</v>
          </cell>
          <cell r="O8758"/>
          <cell r="T8758"/>
        </row>
        <row r="8759">
          <cell r="A8759" t="str">
            <v>ERI</v>
          </cell>
          <cell r="B8759" t="str">
            <v>MP-4C</v>
          </cell>
          <cell r="O8759"/>
          <cell r="T8759"/>
        </row>
        <row r="8760">
          <cell r="A8760" t="str">
            <v>ERI</v>
          </cell>
          <cell r="B8760" t="str">
            <v>MP-5C-HW</v>
          </cell>
          <cell r="O8760"/>
          <cell r="T8760"/>
        </row>
        <row r="8761">
          <cell r="A8761" t="str">
            <v>ERI</v>
          </cell>
          <cell r="B8761" t="str">
            <v>MP-8C-DA</v>
          </cell>
          <cell r="O8761"/>
          <cell r="T8761"/>
        </row>
        <row r="8762">
          <cell r="A8762" t="str">
            <v>ERI</v>
          </cell>
          <cell r="B8762" t="str">
            <v>MPX-1E</v>
          </cell>
          <cell r="O8762"/>
          <cell r="T8762"/>
        </row>
        <row r="8763">
          <cell r="A8763" t="str">
            <v>ERI</v>
          </cell>
          <cell r="B8763" t="str">
            <v>MPX-2E</v>
          </cell>
          <cell r="O8763"/>
          <cell r="T8763"/>
        </row>
        <row r="8764">
          <cell r="A8764" t="str">
            <v>ERI</v>
          </cell>
          <cell r="B8764" t="str">
            <v>MPX-4AE</v>
          </cell>
          <cell r="O8764"/>
          <cell r="T8764"/>
        </row>
        <row r="8765">
          <cell r="A8765" t="str">
            <v>ERI</v>
          </cell>
          <cell r="B8765" t="str">
            <v>MPX-5AC</v>
          </cell>
          <cell r="O8765"/>
          <cell r="T8765"/>
        </row>
        <row r="8766">
          <cell r="A8766" t="str">
            <v>ERI</v>
          </cell>
          <cell r="B8766" t="str">
            <v>MPX-6C</v>
          </cell>
          <cell r="O8766"/>
          <cell r="T8766"/>
        </row>
        <row r="8767">
          <cell r="A8767" t="str">
            <v>ERI</v>
          </cell>
          <cell r="B8767" t="str">
            <v>MPX-6C-HW</v>
          </cell>
          <cell r="O8767"/>
          <cell r="T8767"/>
        </row>
        <row r="8768">
          <cell r="A8768" t="str">
            <v>ERI</v>
          </cell>
          <cell r="B8768" t="str">
            <v>P300-1AE</v>
          </cell>
          <cell r="O8768"/>
          <cell r="T8768"/>
        </row>
        <row r="8769">
          <cell r="A8769" t="str">
            <v>ERI</v>
          </cell>
          <cell r="B8769" t="str">
            <v>P300-4BC-DA</v>
          </cell>
          <cell r="O8769"/>
          <cell r="T8769"/>
        </row>
        <row r="8770">
          <cell r="A8770" t="str">
            <v>ERI</v>
          </cell>
          <cell r="B8770" t="str">
            <v>P300G-2AE</v>
          </cell>
          <cell r="O8770"/>
          <cell r="T8770"/>
        </row>
        <row r="8771">
          <cell r="A8771" t="str">
            <v>ERI</v>
          </cell>
          <cell r="B8771" t="str">
            <v>P350-3AE-DA</v>
          </cell>
          <cell r="O8771"/>
          <cell r="T8771"/>
        </row>
        <row r="8772">
          <cell r="A8772" t="str">
            <v>ERI</v>
          </cell>
          <cell r="B8772" t="str">
            <v>PAN301-1B-DA</v>
          </cell>
          <cell r="O8772"/>
          <cell r="T8772"/>
        </row>
        <row r="8773">
          <cell r="A8773" t="str">
            <v>ERI</v>
          </cell>
          <cell r="B8773" t="str">
            <v>SHP-10C6-SP</v>
          </cell>
          <cell r="O8773"/>
          <cell r="T8773"/>
        </row>
        <row r="8774">
          <cell r="A8774" t="str">
            <v>ERI</v>
          </cell>
          <cell r="B8774" t="str">
            <v>SHP-12AC</v>
          </cell>
          <cell r="O8774"/>
          <cell r="T8774"/>
        </row>
        <row r="8775">
          <cell r="A8775" t="str">
            <v>ERI</v>
          </cell>
          <cell r="B8775" t="str">
            <v>SHP-1AE</v>
          </cell>
          <cell r="O8775"/>
          <cell r="T8775"/>
        </row>
        <row r="8776">
          <cell r="A8776" t="str">
            <v>ERI</v>
          </cell>
          <cell r="B8776" t="str">
            <v>SHP-1AE_LP_88-96</v>
          </cell>
          <cell r="O8776"/>
          <cell r="T8776"/>
        </row>
        <row r="8777">
          <cell r="A8777" t="str">
            <v>ERI</v>
          </cell>
          <cell r="B8777" t="str">
            <v>SHP-2AE</v>
          </cell>
          <cell r="O8777"/>
          <cell r="T8777"/>
        </row>
        <row r="8778">
          <cell r="A8778" t="str">
            <v>ERI</v>
          </cell>
          <cell r="B8778" t="str">
            <v>SHP-3AE</v>
          </cell>
          <cell r="O8778"/>
          <cell r="T8778"/>
        </row>
        <row r="8779">
          <cell r="A8779" t="str">
            <v>ERI</v>
          </cell>
          <cell r="B8779" t="str">
            <v>SHP-4AC</v>
          </cell>
          <cell r="O8779"/>
          <cell r="T8779"/>
        </row>
        <row r="8780">
          <cell r="A8780" t="str">
            <v>ERI</v>
          </cell>
          <cell r="B8780" t="str">
            <v>SHP-4AC-HW</v>
          </cell>
          <cell r="O8780"/>
          <cell r="T8780"/>
        </row>
        <row r="8781">
          <cell r="A8781" t="str">
            <v>ERI</v>
          </cell>
          <cell r="B8781" t="str">
            <v>SHP-5AC</v>
          </cell>
          <cell r="O8781"/>
          <cell r="T8781"/>
        </row>
        <row r="8782">
          <cell r="A8782" t="str">
            <v>ERI</v>
          </cell>
          <cell r="B8782" t="str">
            <v>SHP-5AE</v>
          </cell>
          <cell r="O8782"/>
          <cell r="T8782"/>
        </row>
        <row r="8783">
          <cell r="A8783" t="str">
            <v>ERI</v>
          </cell>
          <cell r="B8783" t="str">
            <v>SHP-6AC</v>
          </cell>
          <cell r="O8783"/>
          <cell r="T8783"/>
        </row>
        <row r="8784">
          <cell r="A8784" t="str">
            <v>ERI</v>
          </cell>
          <cell r="B8784" t="str">
            <v>SHP-6AC-HW-SP</v>
          </cell>
          <cell r="O8784"/>
          <cell r="T8784"/>
        </row>
        <row r="8785">
          <cell r="A8785" t="str">
            <v>ERI</v>
          </cell>
          <cell r="B8785" t="str">
            <v>SHP-6AE-DA-HW</v>
          </cell>
          <cell r="O8785"/>
          <cell r="T8785"/>
        </row>
        <row r="8786">
          <cell r="A8786" t="str">
            <v>ERI</v>
          </cell>
          <cell r="B8786" t="str">
            <v>SHP-8AC/LP-6C-SP</v>
          </cell>
          <cell r="O8786"/>
          <cell r="T8786"/>
        </row>
        <row r="8787">
          <cell r="A8787" t="str">
            <v>ERI</v>
          </cell>
          <cell r="B8787" t="str">
            <v>SHPX-10AC</v>
          </cell>
          <cell r="O8787"/>
          <cell r="T8787"/>
        </row>
        <row r="8788">
          <cell r="A8788" t="str">
            <v>ERI</v>
          </cell>
          <cell r="B8788" t="str">
            <v>SHPX-10AC-HW</v>
          </cell>
          <cell r="O8788"/>
          <cell r="T8788"/>
        </row>
        <row r="8789">
          <cell r="A8789" t="str">
            <v>ERI</v>
          </cell>
          <cell r="B8789" t="str">
            <v>SHPX-10BC-HW</v>
          </cell>
          <cell r="O8789"/>
          <cell r="T8789"/>
        </row>
        <row r="8790">
          <cell r="A8790" t="str">
            <v>ERI</v>
          </cell>
          <cell r="B8790" t="str">
            <v>SHPX-12AC-HW</v>
          </cell>
          <cell r="O8790"/>
          <cell r="T8790"/>
        </row>
        <row r="8791">
          <cell r="A8791" t="str">
            <v>ERI</v>
          </cell>
          <cell r="B8791" t="str">
            <v>SHPX-12BC</v>
          </cell>
          <cell r="O8791"/>
          <cell r="T8791"/>
        </row>
        <row r="8792">
          <cell r="A8792" t="str">
            <v>ERI</v>
          </cell>
          <cell r="B8792" t="str">
            <v>SHPX-1AE</v>
          </cell>
          <cell r="O8792"/>
          <cell r="T8792"/>
        </row>
        <row r="8793">
          <cell r="A8793" t="str">
            <v>ERI</v>
          </cell>
          <cell r="B8793" t="str">
            <v>SHPX-2AC</v>
          </cell>
          <cell r="O8793"/>
          <cell r="T8793"/>
        </row>
        <row r="8794">
          <cell r="A8794" t="str">
            <v>ERI</v>
          </cell>
          <cell r="B8794" t="str">
            <v>SHPX-2AC-HW</v>
          </cell>
          <cell r="O8794"/>
          <cell r="T8794"/>
        </row>
        <row r="8795">
          <cell r="A8795" t="str">
            <v>ERI</v>
          </cell>
          <cell r="B8795" t="str">
            <v>SHPX-2BC-HW</v>
          </cell>
          <cell r="O8795"/>
          <cell r="T8795"/>
        </row>
        <row r="8796">
          <cell r="A8796" t="str">
            <v>ERI</v>
          </cell>
          <cell r="B8796" t="str">
            <v>SHPX-3AC</v>
          </cell>
          <cell r="O8796"/>
          <cell r="T8796"/>
        </row>
        <row r="8797">
          <cell r="A8797" t="str">
            <v>ERI</v>
          </cell>
          <cell r="B8797" t="str">
            <v>SHPX-3AC-HW</v>
          </cell>
          <cell r="O8797"/>
          <cell r="T8797"/>
        </row>
        <row r="8798">
          <cell r="A8798" t="str">
            <v>ERI</v>
          </cell>
          <cell r="B8798" t="str">
            <v>SHPX-3AE</v>
          </cell>
          <cell r="O8798"/>
          <cell r="T8798"/>
        </row>
        <row r="8799">
          <cell r="A8799" t="str">
            <v>ERI</v>
          </cell>
          <cell r="B8799" t="str">
            <v>SHPX-4AC</v>
          </cell>
          <cell r="O8799"/>
          <cell r="T8799"/>
        </row>
        <row r="8800">
          <cell r="A8800" t="str">
            <v>ERI</v>
          </cell>
          <cell r="B8800" t="str">
            <v>SHPX-4AC-HW</v>
          </cell>
          <cell r="O8800"/>
          <cell r="T8800"/>
        </row>
        <row r="8801">
          <cell r="A8801" t="str">
            <v>ERI</v>
          </cell>
          <cell r="B8801" t="str">
            <v>SHPX-4AE</v>
          </cell>
          <cell r="O8801"/>
          <cell r="T8801"/>
        </row>
        <row r="8802">
          <cell r="A8802" t="str">
            <v>ERI</v>
          </cell>
          <cell r="B8802" t="str">
            <v>SHPX-4C-HW</v>
          </cell>
          <cell r="O8802"/>
          <cell r="T8802"/>
        </row>
        <row r="8803">
          <cell r="A8803" t="str">
            <v>ERI</v>
          </cell>
          <cell r="B8803" t="str">
            <v>SHPX-5AE</v>
          </cell>
          <cell r="O8803"/>
          <cell r="T8803"/>
        </row>
        <row r="8804">
          <cell r="A8804" t="str">
            <v>ERI</v>
          </cell>
          <cell r="B8804" t="str">
            <v>SHPX-5AE_CCIV2</v>
          </cell>
          <cell r="O8804"/>
          <cell r="T8804"/>
        </row>
        <row r="8805">
          <cell r="A8805" t="str">
            <v>ERI</v>
          </cell>
          <cell r="B8805" t="str">
            <v>SHPX-6AC</v>
          </cell>
          <cell r="O8805"/>
          <cell r="T8805"/>
        </row>
        <row r="8806">
          <cell r="A8806" t="str">
            <v>ERI</v>
          </cell>
          <cell r="B8806" t="str">
            <v>SHPX-6AC6-SP</v>
          </cell>
          <cell r="O8806"/>
          <cell r="T8806"/>
        </row>
        <row r="8807">
          <cell r="A8807" t="str">
            <v>ERI</v>
          </cell>
          <cell r="B8807" t="str">
            <v>SHPX-6C3-SP</v>
          </cell>
          <cell r="O8807"/>
          <cell r="T8807"/>
        </row>
        <row r="8808">
          <cell r="A8808" t="str">
            <v>ERI</v>
          </cell>
          <cell r="B8808" t="str">
            <v>SHPX-6CE</v>
          </cell>
          <cell r="O8808"/>
          <cell r="T8808"/>
        </row>
        <row r="8809">
          <cell r="A8809" t="str">
            <v>ERI</v>
          </cell>
          <cell r="B8809" t="str">
            <v>SHPX-7AC</v>
          </cell>
          <cell r="O8809"/>
          <cell r="T8809"/>
        </row>
        <row r="8810">
          <cell r="A8810" t="str">
            <v>ERI</v>
          </cell>
          <cell r="B8810" t="str">
            <v>SHPX-8AC</v>
          </cell>
          <cell r="O8810"/>
          <cell r="T8810"/>
        </row>
        <row r="8811">
          <cell r="A8811" t="str">
            <v>ERI</v>
          </cell>
          <cell r="B8811" t="str">
            <v>SHPX-8AC-HW</v>
          </cell>
          <cell r="O8811"/>
          <cell r="T8811"/>
        </row>
        <row r="8812">
          <cell r="A8812" t="str">
            <v>ERI</v>
          </cell>
          <cell r="B8812" t="str">
            <v>SHPX-8AC-SP</v>
          </cell>
          <cell r="O8812"/>
          <cell r="T8812"/>
        </row>
        <row r="8813">
          <cell r="A8813" t="str">
            <v>ERI</v>
          </cell>
          <cell r="B8813" t="str">
            <v>SHPXF-5-AE-DA-SP 104.9FM</v>
          </cell>
          <cell r="O8813"/>
          <cell r="T8813"/>
        </row>
        <row r="8814">
          <cell r="A8814" t="str">
            <v>ERICSSON</v>
          </cell>
          <cell r="B8814" t="str">
            <v>2200 0L 2M 1.5M</v>
          </cell>
          <cell r="O8814"/>
          <cell r="T8814"/>
        </row>
        <row r="8815">
          <cell r="A8815" t="str">
            <v>ERICSSON</v>
          </cell>
          <cell r="B8815" t="str">
            <v>2205</v>
          </cell>
          <cell r="O8815">
            <v>0.61520574891199098</v>
          </cell>
          <cell r="T8815">
            <v>0.322981134698346</v>
          </cell>
        </row>
        <row r="8816">
          <cell r="A8816" t="str">
            <v>ERICSSON</v>
          </cell>
          <cell r="B8816" t="str">
            <v>2208</v>
          </cell>
          <cell r="O8816">
            <v>0.61520574891199098</v>
          </cell>
          <cell r="T8816">
            <v>0.322981134698346</v>
          </cell>
        </row>
        <row r="8817">
          <cell r="A8817" t="str">
            <v>ERICSSON</v>
          </cell>
          <cell r="B8817" t="str">
            <v>2208 KRY 901369_CCIV2</v>
          </cell>
          <cell r="O8817">
            <v>1.21699151709096</v>
          </cell>
          <cell r="T8817">
            <v>0.61037473767779593</v>
          </cell>
        </row>
        <row r="8818">
          <cell r="A8818" t="str">
            <v>ERICSSON</v>
          </cell>
          <cell r="B8818" t="str">
            <v>33445</v>
          </cell>
          <cell r="O8818"/>
          <cell r="T8818"/>
        </row>
        <row r="8819">
          <cell r="A8819" t="str">
            <v>ERICSSON</v>
          </cell>
          <cell r="B8819" t="str">
            <v>3JR39282AAAA</v>
          </cell>
          <cell r="O8819"/>
          <cell r="T8819"/>
        </row>
        <row r="8820">
          <cell r="A8820" t="str">
            <v>ERICSSON</v>
          </cell>
          <cell r="B8820" t="str">
            <v>4003_840590966_TMO</v>
          </cell>
          <cell r="O8820">
            <v>10.2368537808642</v>
          </cell>
          <cell r="T8820">
            <v>3.1165065043922797</v>
          </cell>
        </row>
        <row r="8821">
          <cell r="A8821" t="str">
            <v>ERICSSON</v>
          </cell>
          <cell r="B8821" t="str">
            <v>4408</v>
          </cell>
          <cell r="O8821">
            <v>0.59946020336932004</v>
          </cell>
          <cell r="T8821">
            <v>0.393303517816677</v>
          </cell>
        </row>
        <row r="8822">
          <cell r="A8822" t="str">
            <v>ERICSSON</v>
          </cell>
          <cell r="B8822" t="str">
            <v>4408 W/KRE 105 281/1</v>
          </cell>
          <cell r="O8822">
            <v>0.80129349366429303</v>
          </cell>
          <cell r="T8822">
            <v>0.10066657207074999</v>
          </cell>
        </row>
        <row r="8823">
          <cell r="A8823" t="str">
            <v>ERICSSON</v>
          </cell>
          <cell r="B8823" t="str">
            <v>800442008</v>
          </cell>
          <cell r="O8823">
            <v>11.160734953703699</v>
          </cell>
          <cell r="T8823">
            <v>4.1303209188488896</v>
          </cell>
        </row>
        <row r="8824">
          <cell r="A8824" t="str">
            <v>ERICSSON</v>
          </cell>
          <cell r="B8824" t="str">
            <v>822 (13-38 GHZ)</v>
          </cell>
          <cell r="O8824"/>
          <cell r="T8824"/>
        </row>
        <row r="8825">
          <cell r="A8825" t="str">
            <v>ERICSSON</v>
          </cell>
          <cell r="B8825" t="str">
            <v>840480965</v>
          </cell>
          <cell r="O8825">
            <v>11.3397183641975</v>
          </cell>
          <cell r="T8825">
            <v>3.8560034581207199</v>
          </cell>
        </row>
        <row r="8826">
          <cell r="A8826" t="str">
            <v>ERICSSON</v>
          </cell>
          <cell r="B8826" t="str">
            <v>840480965K</v>
          </cell>
          <cell r="O8826"/>
          <cell r="T8826"/>
        </row>
        <row r="8827">
          <cell r="A8827" t="str">
            <v>ERICSSON</v>
          </cell>
          <cell r="B8827" t="str">
            <v>840590966</v>
          </cell>
          <cell r="O8827">
            <v>10.2368537808642</v>
          </cell>
          <cell r="T8827">
            <v>3.1165065043922797</v>
          </cell>
        </row>
        <row r="8828">
          <cell r="A8828" t="str">
            <v>ERICSSON</v>
          </cell>
          <cell r="B8828" t="str">
            <v>845350910_2021</v>
          </cell>
          <cell r="O8828"/>
          <cell r="T8828"/>
        </row>
        <row r="8829">
          <cell r="A8829" t="str">
            <v>ERICSSON</v>
          </cell>
          <cell r="B8829" t="str">
            <v>ADVANCED AIR_CCIV2</v>
          </cell>
          <cell r="O8829">
            <v>1.91913865231914</v>
          </cell>
          <cell r="T8829">
            <v>0.56029028933082703</v>
          </cell>
        </row>
        <row r="8830">
          <cell r="A8830" t="str">
            <v>ERICSSON</v>
          </cell>
          <cell r="B8830" t="str">
            <v>AE/LZT 712 0018-4</v>
          </cell>
          <cell r="O8830"/>
          <cell r="T8830"/>
        </row>
        <row r="8831">
          <cell r="A8831" t="str">
            <v>ERICSSON</v>
          </cell>
          <cell r="B8831" t="str">
            <v>AIR -32 B2A/B66AA</v>
          </cell>
          <cell r="O8831">
            <v>3.8552641143927704</v>
          </cell>
          <cell r="T8831">
            <v>2.50593241487667</v>
          </cell>
        </row>
        <row r="8832">
          <cell r="A8832" t="str">
            <v>ERICSSON</v>
          </cell>
          <cell r="B8832" t="str">
            <v>AIR -32 B2A/B66AA_CCIV2</v>
          </cell>
          <cell r="O8832">
            <v>3.8552641143927704</v>
          </cell>
          <cell r="T8832">
            <v>2.50593241487667</v>
          </cell>
        </row>
        <row r="8833">
          <cell r="A8833" t="str">
            <v>ERICSSON</v>
          </cell>
          <cell r="B8833" t="str">
            <v>AIR 1641 B25 B66_TMO</v>
          </cell>
          <cell r="O8833">
            <v>11.572574326074399</v>
          </cell>
          <cell r="T8833">
            <v>6.3077339319702599</v>
          </cell>
        </row>
        <row r="8834">
          <cell r="A8834" t="str">
            <v>ERICSSON</v>
          </cell>
          <cell r="B8834" t="str">
            <v>AIR 1641 B66/B25</v>
          </cell>
          <cell r="O8834">
            <v>11.730290638249301</v>
          </cell>
          <cell r="T8834">
            <v>4.8932361384692502</v>
          </cell>
        </row>
        <row r="8835">
          <cell r="A8835" t="str">
            <v>ERICSSON</v>
          </cell>
          <cell r="B8835" t="str">
            <v>AIR 1652 B77</v>
          </cell>
          <cell r="O8835"/>
          <cell r="T8835"/>
        </row>
        <row r="8836">
          <cell r="A8836" t="str">
            <v>ERICSSON</v>
          </cell>
          <cell r="B8836" t="str">
            <v>AIR 1672_20240627</v>
          </cell>
          <cell r="O8836"/>
          <cell r="T8836"/>
        </row>
        <row r="8837">
          <cell r="A8837" t="str">
            <v>ERICSSON</v>
          </cell>
          <cell r="B8837" t="str">
            <v>AIR 21</v>
          </cell>
          <cell r="O8837">
            <v>3.1934810248286096</v>
          </cell>
          <cell r="T8837">
            <v>1.9774924811076697</v>
          </cell>
        </row>
        <row r="8838">
          <cell r="A8838" t="str">
            <v>ERICSSON</v>
          </cell>
          <cell r="B8838" t="str">
            <v>AIR 21 8FT</v>
          </cell>
          <cell r="O8838">
            <v>6.4085584034086489</v>
          </cell>
          <cell r="T8838">
            <v>4.0518004040067304</v>
          </cell>
        </row>
        <row r="8839">
          <cell r="A8839" t="str">
            <v>ERICSSON</v>
          </cell>
          <cell r="B8839" t="str">
            <v>AIR 21 B2A/B4P</v>
          </cell>
          <cell r="O8839">
            <v>3.1934810248286096</v>
          </cell>
          <cell r="T8839">
            <v>1.9774924811076697</v>
          </cell>
        </row>
        <row r="8840">
          <cell r="A8840" t="str">
            <v>ERICSSON</v>
          </cell>
          <cell r="B8840" t="str">
            <v>AIR 21 B4A/B12-B5P 2.4M</v>
          </cell>
          <cell r="O8840">
            <v>6.4085584034086489</v>
          </cell>
          <cell r="T8840">
            <v>4.0518004040067304</v>
          </cell>
        </row>
        <row r="8841">
          <cell r="A8841" t="str">
            <v>ERICSSON</v>
          </cell>
          <cell r="B8841" t="str">
            <v>AIR 21 B4A/B12P-B5P 6 FT</v>
          </cell>
          <cell r="O8841">
            <v>6.4755100033182096</v>
          </cell>
          <cell r="T8841">
            <v>3.3229587307773603</v>
          </cell>
        </row>
        <row r="8842">
          <cell r="A8842" t="str">
            <v>ERICSSON</v>
          </cell>
          <cell r="B8842" t="str">
            <v>AIR 21 B4A/B2P</v>
          </cell>
          <cell r="O8842">
            <v>3.1934810248286096</v>
          </cell>
          <cell r="T8842">
            <v>1.9774924811076697</v>
          </cell>
        </row>
        <row r="8843">
          <cell r="A8843" t="str">
            <v>ERICSSON</v>
          </cell>
          <cell r="B8843" t="str">
            <v>AIR 21_CCIV2</v>
          </cell>
          <cell r="O8843">
            <v>3.19</v>
          </cell>
          <cell r="T8843">
            <v>1.98</v>
          </cell>
        </row>
        <row r="8844">
          <cell r="A8844" t="str">
            <v>ERICSSON</v>
          </cell>
          <cell r="B8844" t="str">
            <v>AIR 32</v>
          </cell>
          <cell r="O8844">
            <v>3.8552641143927704</v>
          </cell>
          <cell r="T8844">
            <v>2.50593241487667</v>
          </cell>
        </row>
        <row r="8845">
          <cell r="A8845" t="str">
            <v>ERICSSON</v>
          </cell>
          <cell r="B8845" t="str">
            <v>AIR 32 B2A B66AA</v>
          </cell>
          <cell r="O8845">
            <v>3.8552641143927704</v>
          </cell>
          <cell r="T8845">
            <v>2.50593241487667</v>
          </cell>
        </row>
        <row r="8846">
          <cell r="A8846" t="str">
            <v>ERICSSON</v>
          </cell>
          <cell r="B8846" t="str">
            <v>AIR 32 B2A B66AA_T-MOBILE</v>
          </cell>
          <cell r="O8846">
            <v>3.8552641143927704</v>
          </cell>
          <cell r="T8846">
            <v>2.50593241487667</v>
          </cell>
        </row>
        <row r="8847">
          <cell r="A8847" t="str">
            <v>ERICSSON</v>
          </cell>
          <cell r="B8847" t="str">
            <v>AIR 32 B2A B66AP</v>
          </cell>
          <cell r="O8847">
            <v>3.8552641143927704</v>
          </cell>
          <cell r="T8847">
            <v>2.50593241487667</v>
          </cell>
        </row>
        <row r="8848">
          <cell r="A8848" t="str">
            <v>ERICSSON</v>
          </cell>
          <cell r="B8848" t="str">
            <v>AIR 32 B2A/B66AA</v>
          </cell>
          <cell r="O8848">
            <v>3.8552641143927704</v>
          </cell>
          <cell r="T8848">
            <v>2.50593241487667</v>
          </cell>
        </row>
        <row r="8849">
          <cell r="A8849" t="str">
            <v>ERICSSON</v>
          </cell>
          <cell r="B8849" t="str">
            <v>AIR 32 B2A/B66AA_CCIV2</v>
          </cell>
          <cell r="O8849">
            <v>3.8552641143927704</v>
          </cell>
          <cell r="T8849">
            <v>2.50593241487667</v>
          </cell>
        </row>
        <row r="8850">
          <cell r="A8850" t="str">
            <v>ERICSSON</v>
          </cell>
          <cell r="B8850" t="str">
            <v>AIR 32 B4A B2P</v>
          </cell>
          <cell r="O8850">
            <v>3.8552641143927704</v>
          </cell>
          <cell r="T8850">
            <v>2.50593241487667</v>
          </cell>
        </row>
        <row r="8851">
          <cell r="A8851" t="str">
            <v>ERICSSON</v>
          </cell>
          <cell r="B8851" t="str">
            <v>AIR 32 B4A B2P_T-MOBILE</v>
          </cell>
          <cell r="O8851">
            <v>3.8552641143927704</v>
          </cell>
          <cell r="T8851">
            <v>2.50593241487667</v>
          </cell>
        </row>
        <row r="8852">
          <cell r="A8852" t="str">
            <v>ERICSSON</v>
          </cell>
          <cell r="B8852" t="str">
            <v>AIR 32 B4A/B2P</v>
          </cell>
          <cell r="O8852">
            <v>3.8552641143927704</v>
          </cell>
          <cell r="T8852">
            <v>2.50593241487667</v>
          </cell>
        </row>
        <row r="8853">
          <cell r="A8853" t="str">
            <v>ERICSSON</v>
          </cell>
          <cell r="B8853" t="str">
            <v>AIR 32 B4A/B2P_CCIV2</v>
          </cell>
          <cell r="O8853">
            <v>3.8552641143927704</v>
          </cell>
          <cell r="T8853">
            <v>2.50593241487667</v>
          </cell>
        </row>
        <row r="8854">
          <cell r="A8854" t="str">
            <v>ERICSSON</v>
          </cell>
          <cell r="B8854" t="str">
            <v>AIR 32 B66A/B2P</v>
          </cell>
          <cell r="O8854">
            <v>3.8552641143927704</v>
          </cell>
          <cell r="T8854">
            <v>2.50593241487667</v>
          </cell>
        </row>
        <row r="8855">
          <cell r="A8855" t="str">
            <v>ERICSSON</v>
          </cell>
          <cell r="B8855" t="str">
            <v>AIR 32 B66AA B2P</v>
          </cell>
          <cell r="O8855">
            <v>3.8552641143927704</v>
          </cell>
          <cell r="T8855">
            <v>2.50593241487667</v>
          </cell>
        </row>
        <row r="8856">
          <cell r="A8856" t="str">
            <v>ERICSSON</v>
          </cell>
          <cell r="B8856" t="str">
            <v>AIR 32 B66AA B2P_T-MOBILE</v>
          </cell>
          <cell r="O8856">
            <v>3.8552641143927704</v>
          </cell>
          <cell r="T8856">
            <v>2.50593241487667</v>
          </cell>
        </row>
        <row r="8857">
          <cell r="A8857" t="str">
            <v>ERICSSON</v>
          </cell>
          <cell r="B8857" t="str">
            <v>AIR 3246 B66</v>
          </cell>
          <cell r="O8857">
            <v>7.3062789351851896</v>
          </cell>
          <cell r="T8857">
            <v>4.29674287429307</v>
          </cell>
        </row>
        <row r="8858">
          <cell r="A8858" t="str">
            <v>ERICSSON</v>
          </cell>
          <cell r="B8858" t="str">
            <v>AIR 3246 B66/B25</v>
          </cell>
          <cell r="O8858">
            <v>7.3062789351851896</v>
          </cell>
          <cell r="T8858">
            <v>4.29674287429307</v>
          </cell>
        </row>
        <row r="8859">
          <cell r="A8859" t="str">
            <v>ERICSSON</v>
          </cell>
          <cell r="B8859" t="str">
            <v>AIR 3246 B66_CCIV2</v>
          </cell>
          <cell r="O8859">
            <v>7.3062789351851896</v>
          </cell>
          <cell r="T8859">
            <v>4.29674287429307</v>
          </cell>
        </row>
        <row r="8860">
          <cell r="A8860" t="str">
            <v>ERICSSON</v>
          </cell>
          <cell r="B8860" t="str">
            <v>AIR 3246 B66_T-MOBILE</v>
          </cell>
          <cell r="O8860">
            <v>7.3062789351851896</v>
          </cell>
          <cell r="T8860">
            <v>4.29674287429307</v>
          </cell>
        </row>
        <row r="8861">
          <cell r="A8861" t="str">
            <v>ERICSSON</v>
          </cell>
          <cell r="B8861" t="str">
            <v>AIR 3258 B78V</v>
          </cell>
          <cell r="O8861"/>
          <cell r="T8861"/>
        </row>
        <row r="8862">
          <cell r="A8862" t="str">
            <v>ERICSSON</v>
          </cell>
          <cell r="B8862" t="str">
            <v>AIR 3268 B42</v>
          </cell>
          <cell r="O8862"/>
          <cell r="T8862"/>
        </row>
        <row r="8863">
          <cell r="A8863" t="str">
            <v>ERICSSON</v>
          </cell>
          <cell r="B8863" t="str">
            <v>AIR 3268 B48_20221115</v>
          </cell>
          <cell r="O8863"/>
          <cell r="T8863"/>
        </row>
        <row r="8864">
          <cell r="A8864" t="str">
            <v>ERICSSON</v>
          </cell>
          <cell r="B8864" t="str">
            <v>AIR 3268 B78Y</v>
          </cell>
          <cell r="O8864"/>
          <cell r="T8864"/>
        </row>
        <row r="8865">
          <cell r="A8865" t="str">
            <v>ERICSSON</v>
          </cell>
          <cell r="B8865" t="str">
            <v>AIR 3283 B25 B66</v>
          </cell>
          <cell r="O8865"/>
          <cell r="T8865"/>
        </row>
        <row r="8866">
          <cell r="A8866" t="str">
            <v>ERICSSON</v>
          </cell>
          <cell r="B8866" t="str">
            <v>AIR 32_CCIV2</v>
          </cell>
          <cell r="O8866">
            <v>3.8552641143927704</v>
          </cell>
          <cell r="T8866">
            <v>2.50593241487667</v>
          </cell>
        </row>
        <row r="8867">
          <cell r="A8867" t="str">
            <v>ERICSSON</v>
          </cell>
          <cell r="B8867" t="str">
            <v>AIR 33</v>
          </cell>
          <cell r="O8867">
            <v>3.8552641143927704</v>
          </cell>
          <cell r="T8867">
            <v>2.50593241487667</v>
          </cell>
        </row>
        <row r="8868">
          <cell r="A8868" t="str">
            <v>ERICSSON</v>
          </cell>
          <cell r="B8868" t="str">
            <v>AIR 4455 B1 B3_TMO</v>
          </cell>
          <cell r="O8868"/>
          <cell r="T8868"/>
        </row>
        <row r="8869">
          <cell r="A8869" t="str">
            <v>ERICSSON</v>
          </cell>
          <cell r="B8869" t="str">
            <v>AIR 4455 B2/B25 B66A_TMO</v>
          </cell>
          <cell r="O8869"/>
          <cell r="T8869"/>
        </row>
        <row r="8870">
          <cell r="A8870" t="str">
            <v>ERICSSON</v>
          </cell>
          <cell r="B8870" t="str">
            <v>AIR 5121_CCIV2</v>
          </cell>
          <cell r="O8870">
            <v>2.43208960262346</v>
          </cell>
          <cell r="T8870">
            <v>0.69378125029114002</v>
          </cell>
        </row>
        <row r="8871">
          <cell r="A8871" t="str">
            <v>ERICSSON</v>
          </cell>
          <cell r="B8871" t="str">
            <v>AIR 5122</v>
          </cell>
          <cell r="O8871">
            <v>1.91913865231914</v>
          </cell>
          <cell r="T8871">
            <v>0.56029028933082703</v>
          </cell>
        </row>
        <row r="8872">
          <cell r="A8872" t="str">
            <v>ERICSSON</v>
          </cell>
          <cell r="B8872" t="str">
            <v>AIR 5322 B258B AC_20210208</v>
          </cell>
          <cell r="O8872"/>
          <cell r="T8872"/>
        </row>
        <row r="8873">
          <cell r="A8873" t="str">
            <v>ERICSSON</v>
          </cell>
          <cell r="B8873" t="str">
            <v>AIR 5322 B260</v>
          </cell>
          <cell r="O8873"/>
          <cell r="T8873"/>
        </row>
        <row r="8874">
          <cell r="A8874" t="str">
            <v>ERICSSON</v>
          </cell>
          <cell r="B8874" t="str">
            <v>AIR 5322 B261</v>
          </cell>
          <cell r="O8874"/>
          <cell r="T8874"/>
        </row>
        <row r="8875">
          <cell r="A8875" t="str">
            <v>ERICSSON</v>
          </cell>
          <cell r="B8875" t="str">
            <v>AIR 5322 B261_CCIV2</v>
          </cell>
          <cell r="O8875"/>
          <cell r="T8875"/>
        </row>
        <row r="8876">
          <cell r="A8876" t="str">
            <v>ERICSSON</v>
          </cell>
          <cell r="B8876" t="str">
            <v>AIR 5322 DC VERSION_TMO</v>
          </cell>
          <cell r="O8876"/>
          <cell r="T8876"/>
        </row>
        <row r="8877">
          <cell r="A8877" t="str">
            <v>ERICSSON</v>
          </cell>
          <cell r="B8877" t="str">
            <v>AIR 5331</v>
          </cell>
          <cell r="O8877"/>
          <cell r="T8877"/>
        </row>
        <row r="8878">
          <cell r="A8878" t="str">
            <v>ERICSSON</v>
          </cell>
          <cell r="B8878" t="str">
            <v>AIR 5331_CCIV2</v>
          </cell>
          <cell r="O8878"/>
          <cell r="T8878"/>
        </row>
        <row r="8879">
          <cell r="A8879" t="str">
            <v>ERICSSON</v>
          </cell>
          <cell r="B8879" t="str">
            <v>AIR 6419</v>
          </cell>
          <cell r="O8879">
            <v>3.84071858801157</v>
          </cell>
          <cell r="T8879">
            <v>1.5124916082867099</v>
          </cell>
        </row>
        <row r="8880">
          <cell r="A8880" t="str">
            <v>ERICSSON</v>
          </cell>
          <cell r="B8880" t="str">
            <v>AIR 6419 B41_TMO</v>
          </cell>
          <cell r="O8880">
            <v>0</v>
          </cell>
          <cell r="T8880">
            <v>0</v>
          </cell>
        </row>
        <row r="8881">
          <cell r="A8881" t="str">
            <v>ERICSSON</v>
          </cell>
          <cell r="B8881" t="str">
            <v>AIR 6419 B41_TMO_CCIV2</v>
          </cell>
          <cell r="O8881">
            <v>0</v>
          </cell>
          <cell r="T8881">
            <v>0</v>
          </cell>
        </row>
        <row r="8882">
          <cell r="A8882" t="str">
            <v>ERICSSON</v>
          </cell>
          <cell r="B8882" t="str">
            <v>AIR 6419 B41_TMO_CCIV3</v>
          </cell>
          <cell r="O8882">
            <v>6.4656384710621992</v>
          </cell>
          <cell r="T8882">
            <v>2.42027730413486</v>
          </cell>
        </row>
        <row r="8883">
          <cell r="A8883" t="str">
            <v>ERICSSON</v>
          </cell>
          <cell r="B8883" t="str">
            <v>AIR 6419 B77D</v>
          </cell>
          <cell r="O8883">
            <v>3.46</v>
          </cell>
          <cell r="T8883">
            <v>1.36</v>
          </cell>
        </row>
        <row r="8884">
          <cell r="A8884" t="str">
            <v>ERICSSON</v>
          </cell>
          <cell r="B8884" t="str">
            <v>AIR 6419 B77D_2024</v>
          </cell>
          <cell r="O8884">
            <v>3.4662208529659497</v>
          </cell>
          <cell r="T8884">
            <v>1.36513043996931</v>
          </cell>
        </row>
        <row r="8885">
          <cell r="A8885" t="str">
            <v>ERICSSON</v>
          </cell>
          <cell r="B8885" t="str">
            <v>AIR 6419 B77D_CCIV2</v>
          </cell>
          <cell r="O8885">
            <v>3.4662208529659497</v>
          </cell>
          <cell r="T8885">
            <v>1.36513043996931</v>
          </cell>
        </row>
        <row r="8886">
          <cell r="A8886" t="str">
            <v>ERICSSON</v>
          </cell>
          <cell r="B8886" t="str">
            <v>AIR 6419 B77G</v>
          </cell>
          <cell r="O8886">
            <v>4.6399999999999997</v>
          </cell>
          <cell r="T8886">
            <v>1.86</v>
          </cell>
        </row>
        <row r="8887">
          <cell r="A8887" t="str">
            <v>ERICSSON</v>
          </cell>
          <cell r="B8887" t="str">
            <v>AIR 6419 B77G_2024</v>
          </cell>
          <cell r="O8887">
            <v>3.4662208529659497</v>
          </cell>
          <cell r="T8887">
            <v>1.36513043996931</v>
          </cell>
        </row>
        <row r="8888">
          <cell r="A8888" t="str">
            <v>ERICSSON</v>
          </cell>
          <cell r="B8888" t="str">
            <v>AIR 6419 B77G_CCIV2</v>
          </cell>
          <cell r="O8888">
            <v>4.75</v>
          </cell>
          <cell r="T8888">
            <v>2.21</v>
          </cell>
        </row>
        <row r="8889">
          <cell r="A8889" t="str">
            <v>ERICSSON</v>
          </cell>
          <cell r="B8889" t="str">
            <v>AIR 6419 B77G_CCIV3</v>
          </cell>
          <cell r="O8889">
            <v>3.84</v>
          </cell>
          <cell r="T8889">
            <v>1.512</v>
          </cell>
        </row>
        <row r="8890">
          <cell r="A8890" t="str">
            <v>ERICSSON</v>
          </cell>
          <cell r="B8890" t="str">
            <v>AIR 6449</v>
          </cell>
          <cell r="O8890">
            <v>5.2822416668383303</v>
          </cell>
          <cell r="T8890">
            <v>2.0514410761624702</v>
          </cell>
        </row>
        <row r="8891">
          <cell r="A8891" t="str">
            <v>ERICSSON</v>
          </cell>
          <cell r="B8891" t="str">
            <v>AIR 6449 B41</v>
          </cell>
          <cell r="O8891">
            <v>5.2723915242484996</v>
          </cell>
          <cell r="T8891">
            <v>2.0327937555278899</v>
          </cell>
        </row>
        <row r="8892">
          <cell r="A8892" t="str">
            <v>ERICSSON</v>
          </cell>
          <cell r="B8892" t="str">
            <v>AIR 6449 B41K</v>
          </cell>
          <cell r="O8892">
            <v>5.2723915242484996</v>
          </cell>
          <cell r="T8892">
            <v>2.0327937555278899</v>
          </cell>
        </row>
        <row r="8893">
          <cell r="A8893" t="str">
            <v>ERICSSON</v>
          </cell>
          <cell r="B8893" t="str">
            <v>AIR 6449 B42</v>
          </cell>
          <cell r="O8893">
            <v>3.6976590532899296</v>
          </cell>
          <cell r="T8893">
            <v>2.14196623057008</v>
          </cell>
        </row>
        <row r="8894">
          <cell r="A8894" t="str">
            <v>ERICSSON</v>
          </cell>
          <cell r="B8894" t="str">
            <v>AIR 6449 B77</v>
          </cell>
          <cell r="O8894">
            <v>3.6976590532899296</v>
          </cell>
          <cell r="T8894">
            <v>2.14196623057008</v>
          </cell>
        </row>
        <row r="8895">
          <cell r="A8895" t="str">
            <v>ERICSSON</v>
          </cell>
          <cell r="B8895" t="str">
            <v>AIR 6449 B77D</v>
          </cell>
          <cell r="O8895">
            <v>0</v>
          </cell>
          <cell r="T8895">
            <v>0</v>
          </cell>
        </row>
        <row r="8896">
          <cell r="A8896" t="str">
            <v>ERICSSON</v>
          </cell>
          <cell r="B8896" t="str">
            <v>AIR 6449 B77D A15P2L4M</v>
          </cell>
          <cell r="O8896"/>
          <cell r="T8896"/>
        </row>
        <row r="8897">
          <cell r="A8897" t="str">
            <v>ERICSSON</v>
          </cell>
          <cell r="B8897" t="str">
            <v>AIR 6449 B77D C-BAND</v>
          </cell>
          <cell r="O8897">
            <v>0</v>
          </cell>
          <cell r="T8897">
            <v>0</v>
          </cell>
        </row>
        <row r="8898">
          <cell r="A8898" t="str">
            <v>ERICSSON</v>
          </cell>
          <cell r="B8898" t="str">
            <v>AIR 6449 B77D C-BAND_CCIV2</v>
          </cell>
          <cell r="O8898">
            <v>3.63986295123035</v>
          </cell>
          <cell r="T8898">
            <v>1.72389797425969</v>
          </cell>
        </row>
        <row r="8899">
          <cell r="A8899" t="str">
            <v>ERICSSON</v>
          </cell>
          <cell r="B8899" t="str">
            <v>AIR 6449 B77D_20241008</v>
          </cell>
          <cell r="O8899">
            <v>3.63986295123035</v>
          </cell>
          <cell r="T8899">
            <v>1.72389797425969</v>
          </cell>
        </row>
        <row r="8900">
          <cell r="A8900" t="str">
            <v>ERICSSON</v>
          </cell>
          <cell r="B8900" t="str">
            <v>AIR 6449 B77D_CCI4</v>
          </cell>
          <cell r="O8900">
            <v>0</v>
          </cell>
          <cell r="T8900">
            <v>0</v>
          </cell>
        </row>
        <row r="8901">
          <cell r="A8901" t="str">
            <v>ERICSSON</v>
          </cell>
          <cell r="B8901" t="str">
            <v>AIR 6449 B77D_CCIV3</v>
          </cell>
          <cell r="O8901">
            <v>3.6976590532899296</v>
          </cell>
          <cell r="T8901">
            <v>2.14196623057008</v>
          </cell>
        </row>
        <row r="8902">
          <cell r="A8902" t="str">
            <v>ERICSSON</v>
          </cell>
          <cell r="B8902" t="str">
            <v>AIR 6449 B77D_CCVI2</v>
          </cell>
          <cell r="O8902">
            <v>0</v>
          </cell>
          <cell r="T8902">
            <v>0</v>
          </cell>
        </row>
        <row r="8903">
          <cell r="A8903" t="str">
            <v>ERICSSON</v>
          </cell>
          <cell r="B8903" t="str">
            <v>AIR 6449 N77</v>
          </cell>
          <cell r="O8903">
            <v>3.6976590532899296</v>
          </cell>
          <cell r="T8903">
            <v>2.14196623057008</v>
          </cell>
        </row>
        <row r="8904">
          <cell r="A8904" t="str">
            <v>ERICSSON</v>
          </cell>
          <cell r="B8904" t="str">
            <v>AIR 6449 N77_CCIV2</v>
          </cell>
          <cell r="O8904">
            <v>3.7399890397086</v>
          </cell>
          <cell r="T8904">
            <v>2.3321642787106098</v>
          </cell>
        </row>
        <row r="8905">
          <cell r="A8905" t="str">
            <v>ERICSSON</v>
          </cell>
          <cell r="B8905" t="str">
            <v>AIR 6449 n77D</v>
          </cell>
          <cell r="O8905">
            <v>3.6976590532899296</v>
          </cell>
          <cell r="T8905">
            <v>2.14196623057008</v>
          </cell>
        </row>
        <row r="8906">
          <cell r="A8906" t="str">
            <v>ERICSSON</v>
          </cell>
          <cell r="B8906" t="str">
            <v>AIR 6454 B41</v>
          </cell>
          <cell r="O8906">
            <v>7.5975416298784397</v>
          </cell>
          <cell r="T8906">
            <v>2.0704271382925503</v>
          </cell>
        </row>
        <row r="8907">
          <cell r="A8907" t="str">
            <v>ERICSSON</v>
          </cell>
          <cell r="B8907" t="str">
            <v>AIR 6464 B77D B77G</v>
          </cell>
          <cell r="O8907">
            <v>13.569627252377499</v>
          </cell>
          <cell r="T8907">
            <v>8.1508149395125713</v>
          </cell>
        </row>
        <row r="8908">
          <cell r="A8908" t="str">
            <v>ERICSSON</v>
          </cell>
          <cell r="B8908" t="str">
            <v>AIR 6468 B41</v>
          </cell>
          <cell r="O8908">
            <v>7.181613175999999</v>
          </cell>
          <cell r="T8908">
            <v>2.4660963599999999</v>
          </cell>
        </row>
        <row r="8909">
          <cell r="A8909" t="str">
            <v>ERICSSON</v>
          </cell>
          <cell r="B8909" t="str">
            <v>AIR 6472 B77G B77M</v>
          </cell>
          <cell r="O8909"/>
          <cell r="T8909"/>
        </row>
        <row r="8910">
          <cell r="A8910" t="str">
            <v>ERICSSON</v>
          </cell>
          <cell r="B8910" t="str">
            <v>AIR 6472 B77G B77M_20240625</v>
          </cell>
          <cell r="O8910"/>
          <cell r="T8910"/>
        </row>
        <row r="8911">
          <cell r="A8911" t="str">
            <v>ERICSSON</v>
          </cell>
          <cell r="B8911" t="str">
            <v>AIR 6472 B77G B77M_CCIV2</v>
          </cell>
          <cell r="O8911"/>
          <cell r="T8911"/>
        </row>
        <row r="8912">
          <cell r="A8912" t="str">
            <v>ERICSSON</v>
          </cell>
          <cell r="B8912" t="str">
            <v>AIR 6488</v>
          </cell>
          <cell r="O8912">
            <v>4.4734551565414993</v>
          </cell>
          <cell r="T8912">
            <v>1.7684046083133298</v>
          </cell>
        </row>
        <row r="8913">
          <cell r="A8913" t="str">
            <v>ERICSSON</v>
          </cell>
          <cell r="B8913" t="str">
            <v>AIR 6488 B41</v>
          </cell>
          <cell r="O8913">
            <v>6.3234104533143896</v>
          </cell>
          <cell r="T8913">
            <v>2.2810439465738099</v>
          </cell>
        </row>
        <row r="8914">
          <cell r="A8914" t="str">
            <v>ERICSSON</v>
          </cell>
          <cell r="B8914" t="str">
            <v>AIR 6488 B41_CCIV2</v>
          </cell>
          <cell r="O8914">
            <v>6.3234104533143896</v>
          </cell>
          <cell r="T8914">
            <v>2.2810439465738099</v>
          </cell>
        </row>
        <row r="8915">
          <cell r="A8915" t="str">
            <v>ERICSSON</v>
          </cell>
          <cell r="B8915" t="str">
            <v>AIR 6488 B48</v>
          </cell>
          <cell r="O8915">
            <v>4.4804043945577501</v>
          </cell>
          <cell r="T8915">
            <v>2.2525231209469903</v>
          </cell>
        </row>
        <row r="8916">
          <cell r="A8916" t="str">
            <v>ERICSSON</v>
          </cell>
          <cell r="B8916" t="str">
            <v>AIR 6488 B48 AAS</v>
          </cell>
          <cell r="O8916">
            <v>4.4804043945577501</v>
          </cell>
          <cell r="T8916">
            <v>2.2525231209469903</v>
          </cell>
        </row>
        <row r="8917">
          <cell r="A8917" t="str">
            <v>ERICSSON</v>
          </cell>
          <cell r="B8917" t="str">
            <v>AIR 6488 B48_CBRS</v>
          </cell>
          <cell r="O8917"/>
          <cell r="T8917"/>
        </row>
        <row r="8918">
          <cell r="A8918" t="str">
            <v>ERICSSON</v>
          </cell>
          <cell r="B8918" t="str">
            <v>AIR 64TR B77G B77M</v>
          </cell>
          <cell r="O8918"/>
          <cell r="T8918"/>
        </row>
        <row r="8919">
          <cell r="A8919" t="str">
            <v>ERICSSON</v>
          </cell>
          <cell r="B8919" t="str">
            <v>AIR21 B4A B2P_T-MOBILE</v>
          </cell>
          <cell r="O8919">
            <v>3.1934810248286096</v>
          </cell>
          <cell r="T8919">
            <v>1.9774924811076697</v>
          </cell>
        </row>
        <row r="8920">
          <cell r="A8920" t="str">
            <v>ERICSSON</v>
          </cell>
          <cell r="B8920" t="str">
            <v>AIR32 DB B66AA B2A</v>
          </cell>
          <cell r="O8920">
            <v>3.8552641143927704</v>
          </cell>
          <cell r="T8920">
            <v>2.50593241487667</v>
          </cell>
        </row>
        <row r="8921">
          <cell r="A8921" t="str">
            <v>ERICSSON</v>
          </cell>
          <cell r="B8921" t="str">
            <v>AIR32 DB B66AA B2A_CCIV2</v>
          </cell>
          <cell r="O8921">
            <v>3.8552641143927704</v>
          </cell>
          <cell r="T8921">
            <v>2.50593241487667</v>
          </cell>
        </row>
        <row r="8922">
          <cell r="A8922" t="str">
            <v>ERICSSON</v>
          </cell>
          <cell r="B8922" t="str">
            <v>AIR32_TMO</v>
          </cell>
          <cell r="O8922">
            <v>3.8552641143927704</v>
          </cell>
          <cell r="T8922">
            <v>2.50593241487667</v>
          </cell>
        </row>
        <row r="8923">
          <cell r="A8923" t="str">
            <v>ERICSSON</v>
          </cell>
          <cell r="B8923" t="str">
            <v>AIR5121</v>
          </cell>
          <cell r="O8923">
            <v>2.43208960262346</v>
          </cell>
          <cell r="T8923">
            <v>0.69378125029114002</v>
          </cell>
        </row>
        <row r="8924">
          <cell r="A8924" t="str">
            <v>ERICSSON</v>
          </cell>
          <cell r="B8924" t="str">
            <v>AIR5331</v>
          </cell>
          <cell r="O8924">
            <v>2.3704759118278997</v>
          </cell>
          <cell r="T8924">
            <v>0.68895658906148405</v>
          </cell>
        </row>
        <row r="8925">
          <cell r="A8925" t="str">
            <v>ERICSSON</v>
          </cell>
          <cell r="B8925" t="str">
            <v>AIR6419 B41</v>
          </cell>
          <cell r="O8925"/>
          <cell r="T8925"/>
        </row>
        <row r="8926">
          <cell r="A8926" t="str">
            <v>ERICSSON</v>
          </cell>
          <cell r="B8926" t="str">
            <v>AIR6449</v>
          </cell>
          <cell r="O8926">
            <v>3.6976590532899296</v>
          </cell>
          <cell r="T8926">
            <v>2.14196623057008</v>
          </cell>
        </row>
        <row r="8927">
          <cell r="A8927" t="str">
            <v>ERICSSON</v>
          </cell>
          <cell r="B8927" t="str">
            <v>AIR6449 B41</v>
          </cell>
          <cell r="O8927">
            <v>5.2822416668383303</v>
          </cell>
          <cell r="T8927">
            <v>2.0514410761624702</v>
          </cell>
        </row>
        <row r="8928">
          <cell r="A8928" t="str">
            <v>ERICSSON</v>
          </cell>
          <cell r="B8928" t="str">
            <v>AIR6449 B41_T-MOBILE</v>
          </cell>
          <cell r="O8928">
            <v>5.2723915242484996</v>
          </cell>
          <cell r="T8928">
            <v>2.0327937555278899</v>
          </cell>
        </row>
        <row r="8929">
          <cell r="A8929" t="str">
            <v>ERICSSON</v>
          </cell>
          <cell r="B8929" t="str">
            <v>AIR6449_B77D</v>
          </cell>
          <cell r="O8929"/>
          <cell r="T8929"/>
        </row>
        <row r="8930">
          <cell r="A8930" t="str">
            <v>ERICSSON</v>
          </cell>
          <cell r="B8930" t="str">
            <v>AIR6464 B77D B77G</v>
          </cell>
          <cell r="O8930">
            <v>13.569627252377499</v>
          </cell>
          <cell r="T8930">
            <v>8.1508149395125713</v>
          </cell>
        </row>
        <row r="8931">
          <cell r="A8931" t="str">
            <v>ERICSSON</v>
          </cell>
          <cell r="B8931" t="str">
            <v>ALNA</v>
          </cell>
          <cell r="O8931"/>
          <cell r="T8931"/>
        </row>
        <row r="8932">
          <cell r="A8932" t="str">
            <v>ERICSSON</v>
          </cell>
          <cell r="B8932" t="str">
            <v>ANT0 1.2 11 HPX</v>
          </cell>
          <cell r="O8932"/>
          <cell r="T8932"/>
        </row>
        <row r="8933">
          <cell r="A8933" t="str">
            <v>ERICSSON</v>
          </cell>
          <cell r="B8933" t="str">
            <v>ANT0 1.2 11 HPX (TR)</v>
          </cell>
          <cell r="O8933"/>
          <cell r="T8933"/>
        </row>
        <row r="8934">
          <cell r="A8934" t="str">
            <v>ERICSSON</v>
          </cell>
          <cell r="B8934" t="str">
            <v>ANT0 1.8 6L HPX (TR)</v>
          </cell>
          <cell r="O8934"/>
          <cell r="T8934"/>
        </row>
        <row r="8935">
          <cell r="A8935" t="str">
            <v>ERICSSON</v>
          </cell>
          <cell r="B8935" t="str">
            <v>ANT0 3.0 6 HPX</v>
          </cell>
          <cell r="O8935"/>
          <cell r="T8935"/>
        </row>
        <row r="8936">
          <cell r="A8936" t="str">
            <v>ERICSSON</v>
          </cell>
          <cell r="B8936" t="str">
            <v>ANT2  0.9 18 HPX</v>
          </cell>
          <cell r="O8936"/>
          <cell r="T8936"/>
        </row>
        <row r="8937">
          <cell r="A8937" t="str">
            <v>ERICSSON</v>
          </cell>
          <cell r="B8937" t="str">
            <v>ANT2 0.2 28 HP</v>
          </cell>
          <cell r="O8937"/>
          <cell r="T8937"/>
        </row>
        <row r="8938">
          <cell r="A8938" t="str">
            <v>ERICSSON</v>
          </cell>
          <cell r="B8938" t="str">
            <v>ANT2 0.3 18HP</v>
          </cell>
          <cell r="O8938"/>
          <cell r="T8938"/>
        </row>
        <row r="8939">
          <cell r="A8939" t="str">
            <v>ERICSSON</v>
          </cell>
          <cell r="B8939" t="str">
            <v>ANT2 0.3 23 HP (TR)</v>
          </cell>
          <cell r="O8939"/>
          <cell r="T8939"/>
        </row>
        <row r="8940">
          <cell r="A8940" t="str">
            <v>ERICSSON</v>
          </cell>
          <cell r="B8940" t="str">
            <v>ANT2 0.3 23 HPX (TR)</v>
          </cell>
          <cell r="O8940"/>
          <cell r="T8940"/>
        </row>
        <row r="8941">
          <cell r="A8941" t="str">
            <v>ERICSSON</v>
          </cell>
          <cell r="B8941" t="str">
            <v>ANT2 0.3 23HP</v>
          </cell>
          <cell r="O8941"/>
          <cell r="T8941"/>
        </row>
        <row r="8942">
          <cell r="A8942" t="str">
            <v>ERICSSON</v>
          </cell>
          <cell r="B8942" t="str">
            <v>ANT2 0.3 23HPX</v>
          </cell>
          <cell r="O8942"/>
          <cell r="T8942"/>
        </row>
        <row r="8943">
          <cell r="A8943" t="str">
            <v>ERICSSON</v>
          </cell>
          <cell r="B8943" t="str">
            <v>ANT2 0.3 28 HP (TR)</v>
          </cell>
          <cell r="O8943"/>
          <cell r="T8943"/>
        </row>
        <row r="8944">
          <cell r="A8944" t="str">
            <v>ERICSSON</v>
          </cell>
          <cell r="B8944" t="str">
            <v>ANT2 0.3 38 (TR)</v>
          </cell>
          <cell r="O8944"/>
          <cell r="T8944"/>
        </row>
        <row r="8945">
          <cell r="A8945" t="str">
            <v>ERICSSON</v>
          </cell>
          <cell r="B8945" t="str">
            <v>ANT2 0.3 HP</v>
          </cell>
          <cell r="O8945"/>
          <cell r="T8945"/>
        </row>
        <row r="8946">
          <cell r="A8946" t="str">
            <v>ERICSSON</v>
          </cell>
          <cell r="B8946" t="str">
            <v>ANT2 0.6 10/11HP</v>
          </cell>
          <cell r="O8946"/>
          <cell r="T8946"/>
        </row>
        <row r="8947">
          <cell r="A8947" t="str">
            <v>ERICSSON</v>
          </cell>
          <cell r="B8947" t="str">
            <v>ANT2 0.6 10/11HPX</v>
          </cell>
          <cell r="O8947"/>
          <cell r="T8947"/>
        </row>
        <row r="8948">
          <cell r="A8948" t="str">
            <v>ERICSSON</v>
          </cell>
          <cell r="B8948" t="str">
            <v>ANT2 0.6 11 HP (TR)</v>
          </cell>
          <cell r="O8948"/>
          <cell r="T8948"/>
        </row>
        <row r="8949">
          <cell r="A8949" t="str">
            <v>ERICSSON</v>
          </cell>
          <cell r="B8949" t="str">
            <v>ANT2 0.6 11 HPX (DR)</v>
          </cell>
          <cell r="O8949"/>
          <cell r="T8949"/>
        </row>
        <row r="8950">
          <cell r="A8950" t="str">
            <v>ERICSSON</v>
          </cell>
          <cell r="B8950" t="str">
            <v>ANT2 0.6 11 HPX (TR)</v>
          </cell>
          <cell r="O8950"/>
          <cell r="T8950"/>
        </row>
        <row r="8951">
          <cell r="A8951" t="str">
            <v>ERICSSON</v>
          </cell>
          <cell r="B8951" t="str">
            <v>ANT2 0.6 18 HP (TR)</v>
          </cell>
          <cell r="O8951"/>
          <cell r="T8951"/>
        </row>
        <row r="8952">
          <cell r="A8952" t="str">
            <v>ERICSSON</v>
          </cell>
          <cell r="B8952" t="str">
            <v>ANT2 0.6 18HP</v>
          </cell>
          <cell r="O8952"/>
          <cell r="T8952"/>
        </row>
        <row r="8953">
          <cell r="A8953" t="str">
            <v>ERICSSON</v>
          </cell>
          <cell r="B8953" t="str">
            <v>ANT2 0.6 18HPX</v>
          </cell>
          <cell r="O8953"/>
          <cell r="T8953"/>
        </row>
        <row r="8954">
          <cell r="A8954" t="str">
            <v>ERICSSON</v>
          </cell>
          <cell r="B8954" t="str">
            <v>ANT2 0.6 18HPX (TR)</v>
          </cell>
          <cell r="O8954"/>
          <cell r="T8954"/>
        </row>
        <row r="8955">
          <cell r="A8955" t="str">
            <v>ERICSSON</v>
          </cell>
          <cell r="B8955" t="str">
            <v>ANT2 0.6 23 HP (TR)</v>
          </cell>
          <cell r="O8955"/>
          <cell r="T8955"/>
        </row>
        <row r="8956">
          <cell r="A8956" t="str">
            <v>ERICSSON</v>
          </cell>
          <cell r="B8956" t="str">
            <v>ANT2 0.6 23HP</v>
          </cell>
          <cell r="O8956"/>
          <cell r="T8956"/>
        </row>
        <row r="8957">
          <cell r="A8957" t="str">
            <v>ERICSSON</v>
          </cell>
          <cell r="B8957" t="str">
            <v>ANT2 0.6 23HPX</v>
          </cell>
          <cell r="O8957"/>
          <cell r="T8957"/>
        </row>
        <row r="8958">
          <cell r="A8958" t="str">
            <v>ERICSSON</v>
          </cell>
          <cell r="B8958" t="str">
            <v>ANT2 0.6 28 HP (TR)</v>
          </cell>
          <cell r="O8958"/>
          <cell r="T8958"/>
        </row>
        <row r="8959">
          <cell r="A8959" t="str">
            <v>ERICSSON</v>
          </cell>
          <cell r="B8959" t="str">
            <v>ANT2 0.6 28 HPX (TR)</v>
          </cell>
          <cell r="O8959"/>
          <cell r="T8959"/>
        </row>
        <row r="8960">
          <cell r="A8960" t="str">
            <v>ERICSSON</v>
          </cell>
          <cell r="B8960" t="str">
            <v>ANT2 0.6 38 HP</v>
          </cell>
          <cell r="O8960"/>
          <cell r="T8960"/>
        </row>
        <row r="8961">
          <cell r="A8961" t="str">
            <v>ERICSSON</v>
          </cell>
          <cell r="B8961" t="str">
            <v>ANT2 0.9 10/11HP</v>
          </cell>
          <cell r="O8961"/>
          <cell r="T8961"/>
        </row>
        <row r="8962">
          <cell r="A8962" t="str">
            <v>ERICSSON</v>
          </cell>
          <cell r="B8962" t="str">
            <v>ANT2 0.9 10/11HPX</v>
          </cell>
          <cell r="O8962"/>
          <cell r="T8962"/>
        </row>
        <row r="8963">
          <cell r="A8963" t="str">
            <v>ERICSSON</v>
          </cell>
          <cell r="B8963" t="str">
            <v>ANT2 0.9 11 HP (TR)</v>
          </cell>
          <cell r="O8963"/>
          <cell r="T8963"/>
        </row>
        <row r="8964">
          <cell r="A8964" t="str">
            <v>ERICSSON</v>
          </cell>
          <cell r="B8964" t="str">
            <v>ANT2 0.9 11 HPX (TR)</v>
          </cell>
          <cell r="O8964"/>
          <cell r="T8964"/>
        </row>
        <row r="8965">
          <cell r="A8965" t="str">
            <v>ERICSSON</v>
          </cell>
          <cell r="B8965" t="str">
            <v>ANT2 0.9 11 HPX-2 (TR)</v>
          </cell>
          <cell r="O8965"/>
          <cell r="T8965"/>
        </row>
        <row r="8966">
          <cell r="A8966" t="str">
            <v>ERICSSON</v>
          </cell>
          <cell r="B8966" t="str">
            <v>ANT2 0.9 18 HPX</v>
          </cell>
          <cell r="O8966"/>
          <cell r="T8966"/>
        </row>
        <row r="8967">
          <cell r="A8967" t="str">
            <v>ERICSSON</v>
          </cell>
          <cell r="B8967" t="str">
            <v>ANT2 0.9 23 HP (TR)</v>
          </cell>
          <cell r="O8967"/>
          <cell r="T8967"/>
        </row>
        <row r="8968">
          <cell r="A8968" t="str">
            <v>ERICSSON</v>
          </cell>
          <cell r="B8968" t="str">
            <v>ANT2 0.9 28 HP (TR)</v>
          </cell>
          <cell r="O8968"/>
          <cell r="T8968"/>
        </row>
        <row r="8969">
          <cell r="A8969" t="str">
            <v>ERICSSON</v>
          </cell>
          <cell r="B8969" t="str">
            <v>ANT2 1.2 10/11HP</v>
          </cell>
          <cell r="O8969"/>
          <cell r="T8969"/>
        </row>
        <row r="8970">
          <cell r="A8970" t="str">
            <v>ERICSSON</v>
          </cell>
          <cell r="B8970" t="str">
            <v>ANT2 1.2 10/11HPX</v>
          </cell>
          <cell r="O8970"/>
          <cell r="T8970"/>
        </row>
        <row r="8971">
          <cell r="A8971" t="str">
            <v>ERICSSON</v>
          </cell>
          <cell r="B8971" t="str">
            <v>ANT2 1.2 11 HP (TR)</v>
          </cell>
          <cell r="O8971"/>
          <cell r="T8971"/>
        </row>
        <row r="8972">
          <cell r="A8972" t="str">
            <v>ERICSSON</v>
          </cell>
          <cell r="B8972" t="str">
            <v>ANT2 1.2 11 HPX (TR)</v>
          </cell>
          <cell r="O8972"/>
          <cell r="T8972"/>
        </row>
        <row r="8973">
          <cell r="A8973" t="str">
            <v>ERICSSON</v>
          </cell>
          <cell r="B8973" t="str">
            <v>ANT2 1.2 11 HPX-2 (TR)</v>
          </cell>
          <cell r="O8973"/>
          <cell r="T8973"/>
        </row>
        <row r="8974">
          <cell r="A8974" t="str">
            <v>ERICSSON</v>
          </cell>
          <cell r="B8974" t="str">
            <v>ANT2 1.2 18 HPX</v>
          </cell>
          <cell r="O8974"/>
          <cell r="T8974"/>
        </row>
        <row r="8975">
          <cell r="A8975" t="str">
            <v>ERICSSON</v>
          </cell>
          <cell r="B8975" t="str">
            <v>ANT2 1.2 6L HPX</v>
          </cell>
          <cell r="O8975"/>
          <cell r="T8975"/>
        </row>
        <row r="8976">
          <cell r="A8976" t="str">
            <v>ERICSSON</v>
          </cell>
          <cell r="B8976" t="str">
            <v>ANT2 1.8 11 HPX (TR)</v>
          </cell>
          <cell r="O8976"/>
          <cell r="T8976"/>
        </row>
        <row r="8977">
          <cell r="A8977" t="str">
            <v>ERICSSON</v>
          </cell>
          <cell r="B8977" t="str">
            <v>ANT2 1.8 6L HPX (TR)</v>
          </cell>
          <cell r="O8977"/>
          <cell r="T8977"/>
        </row>
        <row r="8978">
          <cell r="A8978" t="str">
            <v>ERICSSON</v>
          </cell>
          <cell r="B8978" t="str">
            <v>ANT2 1.8 6U HPX</v>
          </cell>
          <cell r="O8978"/>
          <cell r="T8978"/>
        </row>
        <row r="8979">
          <cell r="A8979" t="str">
            <v>ERICSSON</v>
          </cell>
          <cell r="B8979" t="str">
            <v>ANT2 1.8 HPX</v>
          </cell>
          <cell r="O8979"/>
          <cell r="T8979"/>
        </row>
        <row r="8980">
          <cell r="A8980" t="str">
            <v>ERICSSON</v>
          </cell>
          <cell r="B8980" t="str">
            <v>ANT2 A 0.3 80 HP</v>
          </cell>
          <cell r="O8980"/>
          <cell r="T8980"/>
        </row>
        <row r="8981">
          <cell r="A8981" t="str">
            <v>ERICSSON</v>
          </cell>
          <cell r="B8981" t="str">
            <v>ANT2 A 0.6 80 HP</v>
          </cell>
          <cell r="O8981"/>
          <cell r="T8981"/>
        </row>
        <row r="8982">
          <cell r="A8982" t="str">
            <v>ERICSSON</v>
          </cell>
          <cell r="B8982" t="str">
            <v>ANT2/2 A 0.6 18/80 HPX/HPX</v>
          </cell>
          <cell r="O8982"/>
          <cell r="T8982"/>
        </row>
        <row r="8983">
          <cell r="A8983" t="str">
            <v>ERICSSON</v>
          </cell>
          <cell r="B8983" t="str">
            <v>ANT2/2 B 0.6 HP/HP</v>
          </cell>
          <cell r="O8983"/>
          <cell r="T8983"/>
        </row>
        <row r="8984">
          <cell r="A8984" t="str">
            <v>ERICSSON</v>
          </cell>
          <cell r="B8984" t="str">
            <v>ANT3 A 0.3 28 HP</v>
          </cell>
          <cell r="O8984"/>
          <cell r="T8984"/>
        </row>
        <row r="8985">
          <cell r="A8985" t="str">
            <v>ERICSSON</v>
          </cell>
          <cell r="B8985" t="str">
            <v>ANT3 A 0.3 HPX_TMO</v>
          </cell>
          <cell r="O8985"/>
          <cell r="T8985"/>
        </row>
        <row r="8986">
          <cell r="A8986" t="str">
            <v>ERICSSON</v>
          </cell>
          <cell r="B8986" t="str">
            <v>ANT3 A 0.3_TMO</v>
          </cell>
          <cell r="O8986"/>
          <cell r="T8986"/>
        </row>
        <row r="8987">
          <cell r="A8987" t="str">
            <v>ERICSSON</v>
          </cell>
          <cell r="B8987" t="str">
            <v>ANT3 A 0.6 HPX_TMO</v>
          </cell>
          <cell r="O8987"/>
          <cell r="T8987"/>
        </row>
        <row r="8988">
          <cell r="A8988" t="str">
            <v>ERICSSON</v>
          </cell>
          <cell r="B8988" t="str">
            <v>ANT3 A 0.6_TMO</v>
          </cell>
          <cell r="O8988"/>
          <cell r="T8988"/>
        </row>
        <row r="8989">
          <cell r="A8989" t="str">
            <v>ERICSSON</v>
          </cell>
          <cell r="B8989" t="str">
            <v>ANT3 A 0.9 HPX</v>
          </cell>
          <cell r="O8989"/>
          <cell r="T8989"/>
        </row>
        <row r="8990">
          <cell r="A8990" t="str">
            <v>ERICSSON</v>
          </cell>
          <cell r="B8990" t="str">
            <v>ANT3 A 1.2 HPX_TMO</v>
          </cell>
          <cell r="O8990"/>
          <cell r="T8990"/>
        </row>
        <row r="8991">
          <cell r="A8991" t="str">
            <v>ERICSSON</v>
          </cell>
          <cell r="B8991" t="str">
            <v>ANT3 A 1.2_TMO</v>
          </cell>
          <cell r="O8991"/>
          <cell r="T8991"/>
        </row>
        <row r="8992">
          <cell r="A8992" t="str">
            <v>ERICSSON</v>
          </cell>
          <cell r="B8992" t="str">
            <v>ANT3 A 1.8 HPX_TMO</v>
          </cell>
          <cell r="O8992"/>
          <cell r="T8992"/>
        </row>
        <row r="8993">
          <cell r="A8993" t="str">
            <v>ERICSSON</v>
          </cell>
          <cell r="B8993" t="str">
            <v>ANT3 A 1.8 HPX_TMO_CCIV2</v>
          </cell>
          <cell r="O8993"/>
          <cell r="T8993"/>
        </row>
        <row r="8994">
          <cell r="A8994" t="str">
            <v>ERICSSON</v>
          </cell>
          <cell r="B8994" t="str">
            <v>ANT3 A 1.8_TMO</v>
          </cell>
          <cell r="O8994"/>
          <cell r="T8994"/>
        </row>
        <row r="8995">
          <cell r="A8995" t="str">
            <v>ERICSSON</v>
          </cell>
          <cell r="B8995" t="str">
            <v>ANT3 B 0.6 18 HPX</v>
          </cell>
          <cell r="O8995"/>
          <cell r="T8995"/>
        </row>
        <row r="8996">
          <cell r="A8996" t="str">
            <v>ERICSSON</v>
          </cell>
          <cell r="B8996" t="str">
            <v>ANT3 B 0.6 HPX</v>
          </cell>
          <cell r="O8996"/>
          <cell r="T8996"/>
        </row>
        <row r="8997">
          <cell r="A8997" t="str">
            <v>ERICSSON</v>
          </cell>
          <cell r="B8997" t="str">
            <v>ANT3 B 0.9 11HPX</v>
          </cell>
          <cell r="O8997"/>
          <cell r="T8997"/>
        </row>
        <row r="8998">
          <cell r="A8998" t="str">
            <v>ERICSSON</v>
          </cell>
          <cell r="B8998" t="str">
            <v>ANT3 B 1.2 11 HPX</v>
          </cell>
          <cell r="O8998"/>
          <cell r="T8998"/>
        </row>
        <row r="8999">
          <cell r="A8999" t="str">
            <v>ERICSSON</v>
          </cell>
          <cell r="B8999" t="str">
            <v>ANT3 C 1.8 15 HPX</v>
          </cell>
          <cell r="O8999"/>
          <cell r="T8999"/>
        </row>
        <row r="9000">
          <cell r="A9000" t="str">
            <v>ERICSSON</v>
          </cell>
          <cell r="B9000" t="str">
            <v>ANTENNA 2001 2L 0M 2.0M</v>
          </cell>
          <cell r="O9000">
            <v>11.270124130140688</v>
          </cell>
          <cell r="T9000">
            <v>3.8717421033461497</v>
          </cell>
        </row>
        <row r="9001">
          <cell r="A9001" t="str">
            <v>ERICSSON</v>
          </cell>
          <cell r="B9001" t="str">
            <v>ANTENNA 2200 0L 2M 1.5M</v>
          </cell>
          <cell r="O9001"/>
          <cell r="T9001"/>
        </row>
        <row r="9002">
          <cell r="A9002" t="str">
            <v>ERICSSON</v>
          </cell>
          <cell r="B9002" t="str">
            <v>ANTENNA 2LB/6HB 1.95M</v>
          </cell>
          <cell r="O9002">
            <v>11.160734953703699</v>
          </cell>
          <cell r="T9002">
            <v>4.1303209188488896</v>
          </cell>
        </row>
        <row r="9003">
          <cell r="A9003" t="str">
            <v>ERICSSON</v>
          </cell>
          <cell r="B9003" t="str">
            <v>ANTENNA 4800 2L 4M 2.4M</v>
          </cell>
          <cell r="O9003">
            <v>10.2368537808642</v>
          </cell>
          <cell r="T9003">
            <v>3.1165065043922797</v>
          </cell>
        </row>
        <row r="9004">
          <cell r="A9004" t="str">
            <v>ERICSSON</v>
          </cell>
          <cell r="B9004" t="str">
            <v>ANTENNA 6524</v>
          </cell>
          <cell r="O9004">
            <v>0.80129349366429303</v>
          </cell>
          <cell r="T9004">
            <v>0.10066657207074999</v>
          </cell>
        </row>
        <row r="9005">
          <cell r="A9005" t="str">
            <v>ERICSSON</v>
          </cell>
          <cell r="B9005" t="str">
            <v>Ant2/2 B 0.6 2380 HPX/HP</v>
          </cell>
          <cell r="O9005"/>
          <cell r="T9005"/>
        </row>
        <row r="9006">
          <cell r="A9006" t="str">
            <v>ERICSSON</v>
          </cell>
          <cell r="B9006" t="str">
            <v>Ant3  B 0.9 18 HPX</v>
          </cell>
          <cell r="O9006"/>
          <cell r="T9006"/>
        </row>
        <row r="9007">
          <cell r="A9007" t="str">
            <v>ERICSSON</v>
          </cell>
          <cell r="B9007" t="str">
            <v>Ant3 B 0.3 18 HPX</v>
          </cell>
          <cell r="O9007"/>
          <cell r="T9007"/>
        </row>
        <row r="9008">
          <cell r="A9008" t="str">
            <v>ERICSSON</v>
          </cell>
          <cell r="B9008" t="str">
            <v>Antenna 4004 2L 2M 1.8m</v>
          </cell>
          <cell r="O9008">
            <v>7.9253694718169099</v>
          </cell>
          <cell r="T9008">
            <v>2.4140343314628603</v>
          </cell>
        </row>
        <row r="9009">
          <cell r="A9009" t="str">
            <v>ERICSSON</v>
          </cell>
          <cell r="B9009" t="str">
            <v>CBRS 2208</v>
          </cell>
          <cell r="O9009">
            <v>0.60868619978902305</v>
          </cell>
          <cell r="T9009">
            <v>0.383285688937197</v>
          </cell>
        </row>
        <row r="9010">
          <cell r="A9010" t="str">
            <v>ERICSSON</v>
          </cell>
          <cell r="B9010" t="str">
            <v>ERICSSON AIR 21 1.3M B4A B2P</v>
          </cell>
          <cell r="O9010">
            <v>3.1934810248286096</v>
          </cell>
          <cell r="T9010">
            <v>1.9774924811076697</v>
          </cell>
        </row>
        <row r="9011">
          <cell r="A9011" t="str">
            <v>ERICSSON</v>
          </cell>
          <cell r="B9011" t="str">
            <v>ERICSSON AIR 21 2.0M  B4A/B5-B12P</v>
          </cell>
          <cell r="O9011">
            <v>6.6110531670118098</v>
          </cell>
          <cell r="T9011">
            <v>3.6658290871529804</v>
          </cell>
        </row>
        <row r="9012">
          <cell r="A9012" t="str">
            <v>ERICSSON</v>
          </cell>
          <cell r="B9012" t="str">
            <v>ERICSSON AIR 21 B2A</v>
          </cell>
          <cell r="O9012">
            <v>3.1934810248286096</v>
          </cell>
          <cell r="T9012">
            <v>1.9774924811076697</v>
          </cell>
        </row>
        <row r="9013">
          <cell r="A9013" t="str">
            <v>ERICSSON</v>
          </cell>
          <cell r="B9013" t="str">
            <v>ERICSSON AIR 21 B2A B4P</v>
          </cell>
          <cell r="O9013">
            <v>3.1934810248286096</v>
          </cell>
          <cell r="T9013">
            <v>1.9774924811076697</v>
          </cell>
        </row>
        <row r="9014">
          <cell r="A9014" t="str">
            <v>ERICSSON</v>
          </cell>
          <cell r="B9014" t="str">
            <v>ERICSSON AIR 21 B2A B4P_T-MOBILE</v>
          </cell>
          <cell r="O9014">
            <v>3.1934810248286096</v>
          </cell>
          <cell r="T9014">
            <v>1.9774924811076697</v>
          </cell>
        </row>
        <row r="9015">
          <cell r="A9015" t="str">
            <v>ERICSSON</v>
          </cell>
          <cell r="B9015" t="str">
            <v>ERICSSON AIR 21 B2P</v>
          </cell>
          <cell r="O9015">
            <v>3.1934810248286096</v>
          </cell>
          <cell r="T9015">
            <v>1.9774924811076697</v>
          </cell>
        </row>
        <row r="9016">
          <cell r="A9016" t="str">
            <v>ERICSSON</v>
          </cell>
          <cell r="B9016" t="str">
            <v>ERICSSON AIR 21 B4A</v>
          </cell>
          <cell r="O9016">
            <v>3.1934810248286096</v>
          </cell>
          <cell r="T9016">
            <v>1.9774924811076697</v>
          </cell>
        </row>
        <row r="9017">
          <cell r="A9017" t="str">
            <v>ERICSSON</v>
          </cell>
          <cell r="B9017" t="str">
            <v>ERICSSON AIR 21 B4A B12P-B5P 8FT</v>
          </cell>
          <cell r="O9017">
            <v>6.4085584034086489</v>
          </cell>
          <cell r="T9017">
            <v>4.0518004040067304</v>
          </cell>
        </row>
        <row r="9018">
          <cell r="A9018" t="str">
            <v>ERICSSON</v>
          </cell>
          <cell r="B9018" t="str">
            <v>ERICSSON AIR 21 B4A B12P-B8P 4FT</v>
          </cell>
          <cell r="O9018">
            <v>4.1516024681235892</v>
          </cell>
          <cell r="T9018">
            <v>2.5149537549378396</v>
          </cell>
        </row>
        <row r="9019">
          <cell r="A9019" t="str">
            <v>ERICSSON</v>
          </cell>
          <cell r="B9019" t="str">
            <v>ERICSSON AIR 21 B4A B12P-B8P 4FT_CCIV2</v>
          </cell>
          <cell r="O9019">
            <v>4.1516024681235892</v>
          </cell>
          <cell r="T9019">
            <v>2.5149537549378396</v>
          </cell>
        </row>
        <row r="9020">
          <cell r="A9020" t="str">
            <v>ERICSSON</v>
          </cell>
          <cell r="B9020" t="str">
            <v>ERICSSON AIR 21 B4A B12P-B8P 6FT</v>
          </cell>
          <cell r="O9020">
            <v>6.6110531670118098</v>
          </cell>
          <cell r="T9020">
            <v>3.6658290871529804</v>
          </cell>
        </row>
        <row r="9021">
          <cell r="A9021" t="str">
            <v>ERICSSON</v>
          </cell>
          <cell r="B9021" t="str">
            <v>ERICSSON AIR 21 B4A B2P</v>
          </cell>
          <cell r="O9021">
            <v>3.1934810248286096</v>
          </cell>
          <cell r="T9021">
            <v>1.9774924811076697</v>
          </cell>
        </row>
        <row r="9022">
          <cell r="A9022" t="str">
            <v>ERICSSON</v>
          </cell>
          <cell r="B9022" t="str">
            <v>ERICSSON AIR 21 B4A B2P_CCIV2</v>
          </cell>
          <cell r="O9022">
            <v>3.1934810248286096</v>
          </cell>
          <cell r="T9022">
            <v>1.9774924811076697</v>
          </cell>
        </row>
        <row r="9023">
          <cell r="A9023" t="str">
            <v>ERICSSON</v>
          </cell>
          <cell r="B9023" t="str">
            <v>ERICSSON AIR 21 B4P</v>
          </cell>
          <cell r="O9023">
            <v>3.1934810248286096</v>
          </cell>
          <cell r="T9023">
            <v>1.9774924811076697</v>
          </cell>
        </row>
        <row r="9024">
          <cell r="A9024" t="str">
            <v>ERICSSON</v>
          </cell>
          <cell r="B9024" t="str">
            <v>ERICSSON AIR 32</v>
          </cell>
          <cell r="O9024">
            <v>3.8552641143927704</v>
          </cell>
          <cell r="T9024">
            <v>2.50593241487667</v>
          </cell>
        </row>
        <row r="9025">
          <cell r="A9025" t="str">
            <v>ERICSSON</v>
          </cell>
          <cell r="B9025" t="str">
            <v>FAU-200</v>
          </cell>
          <cell r="O9025"/>
          <cell r="T9025"/>
        </row>
        <row r="9026">
          <cell r="A9026" t="str">
            <v>ERICSSON</v>
          </cell>
          <cell r="B9026" t="str">
            <v>KRC 118 048/1</v>
          </cell>
          <cell r="O9026">
            <v>6.4085584034086489</v>
          </cell>
          <cell r="T9026">
            <v>4.0518004040067304</v>
          </cell>
        </row>
        <row r="9027">
          <cell r="A9027" t="str">
            <v>ERICSSON</v>
          </cell>
          <cell r="B9027" t="str">
            <v>KRC 118 054/1</v>
          </cell>
          <cell r="O9027">
            <v>6.4085584034086489</v>
          </cell>
          <cell r="T9027">
            <v>4.0518004040067304</v>
          </cell>
        </row>
        <row r="9028">
          <cell r="A9028" t="str">
            <v>ERICSSON</v>
          </cell>
          <cell r="B9028" t="str">
            <v>KRC 118 055/1</v>
          </cell>
          <cell r="O9028">
            <v>6.4755100033182096</v>
          </cell>
          <cell r="T9028">
            <v>3.3229587307773603</v>
          </cell>
        </row>
        <row r="9029">
          <cell r="A9029" t="str">
            <v>ERICSSON</v>
          </cell>
          <cell r="B9029" t="str">
            <v>KRC 118 056/1</v>
          </cell>
          <cell r="O9029">
            <v>6.6110531670118098</v>
          </cell>
          <cell r="T9029">
            <v>3.6658290871529804</v>
          </cell>
        </row>
        <row r="9030">
          <cell r="A9030" t="str">
            <v>ERICSSON</v>
          </cell>
          <cell r="B9030" t="str">
            <v>KRC 118 057/1</v>
          </cell>
          <cell r="O9030">
            <v>3.9641001521233599</v>
          </cell>
          <cell r="T9030">
            <v>2.0048501864316299</v>
          </cell>
        </row>
        <row r="9031">
          <cell r="A9031" t="str">
            <v>ERICSSON</v>
          </cell>
          <cell r="B9031" t="str">
            <v>KRC 118 068/1</v>
          </cell>
          <cell r="O9031">
            <v>3.9641001521233599</v>
          </cell>
          <cell r="T9031">
            <v>2.0048501864316299</v>
          </cell>
        </row>
        <row r="9032">
          <cell r="A9032" t="str">
            <v>ERICSSON</v>
          </cell>
          <cell r="B9032" t="str">
            <v>KRC 118 160/1</v>
          </cell>
          <cell r="O9032">
            <v>3.9641001521233599</v>
          </cell>
          <cell r="T9032">
            <v>2.0048501864316299</v>
          </cell>
        </row>
        <row r="9033">
          <cell r="A9033" t="str">
            <v>ERICSSON</v>
          </cell>
          <cell r="B9033" t="str">
            <v>KRC 118 160/2</v>
          </cell>
          <cell r="O9033">
            <v>6.4755100033182096</v>
          </cell>
          <cell r="T9033">
            <v>3.3229587307773603</v>
          </cell>
        </row>
        <row r="9034">
          <cell r="A9034" t="str">
            <v>ERICSSON</v>
          </cell>
          <cell r="B9034" t="str">
            <v>KRC 118 160/3</v>
          </cell>
          <cell r="O9034">
            <v>8.01407524392671</v>
          </cell>
          <cell r="T9034">
            <v>4.5543939001725802</v>
          </cell>
        </row>
        <row r="9035">
          <cell r="A9035" t="str">
            <v>ERICSSON</v>
          </cell>
          <cell r="B9035" t="str">
            <v>KRC 118 161/1</v>
          </cell>
          <cell r="O9035">
            <v>5.6799139300972197</v>
          </cell>
          <cell r="T9035">
            <v>2.9189136881033897</v>
          </cell>
        </row>
        <row r="9036">
          <cell r="A9036" t="str">
            <v>ERICSSON</v>
          </cell>
          <cell r="B9036" t="str">
            <v>KRC 118 162/1</v>
          </cell>
          <cell r="O9036">
            <v>6.2469717678977288</v>
          </cell>
          <cell r="T9036">
            <v>3.2195273962723996</v>
          </cell>
        </row>
        <row r="9037">
          <cell r="A9037" t="str">
            <v>ERICSSON</v>
          </cell>
          <cell r="B9037" t="str">
            <v>KRC1181601-2</v>
          </cell>
          <cell r="O9037">
            <v>5.6799139300972197</v>
          </cell>
          <cell r="T9037">
            <v>2.9189136881033897</v>
          </cell>
        </row>
        <row r="9038">
          <cell r="A9038" t="str">
            <v>ERICSSON</v>
          </cell>
          <cell r="B9038" t="str">
            <v>KRC1181601-3</v>
          </cell>
          <cell r="O9038">
            <v>7.2560565071135903</v>
          </cell>
          <cell r="T9038">
            <v>3.7454991428628297</v>
          </cell>
        </row>
        <row r="9039">
          <cell r="A9039" t="str">
            <v>ERICSSON</v>
          </cell>
          <cell r="B9039" t="str">
            <v>KRE 101 1916/1</v>
          </cell>
          <cell r="O9039">
            <v>4.15823977623457</v>
          </cell>
          <cell r="T9039">
            <v>2.2216759613036698</v>
          </cell>
        </row>
        <row r="9040">
          <cell r="A9040" t="str">
            <v>ERICSSON</v>
          </cell>
          <cell r="B9040" t="str">
            <v>KRE 101 1973/1</v>
          </cell>
          <cell r="O9040"/>
          <cell r="T9040"/>
        </row>
        <row r="9041">
          <cell r="A9041" t="str">
            <v>ERICSSON</v>
          </cell>
          <cell r="B9041" t="str">
            <v>KRE 101 2011/1</v>
          </cell>
          <cell r="O9041">
            <v>3.78644868827161</v>
          </cell>
          <cell r="T9041">
            <v>2.0225221593169</v>
          </cell>
        </row>
        <row r="9042">
          <cell r="A9042" t="str">
            <v>ERICSSON</v>
          </cell>
          <cell r="B9042" t="str">
            <v>KRE 101 2026/1</v>
          </cell>
          <cell r="O9042">
            <v>2.7241545459632701</v>
          </cell>
          <cell r="T9042">
            <v>1.2036540150714901</v>
          </cell>
        </row>
        <row r="9043">
          <cell r="A9043" t="str">
            <v>ERICSSON</v>
          </cell>
          <cell r="B9043" t="str">
            <v>KRE 101 2249_1_B1</v>
          </cell>
          <cell r="O9043">
            <v>0.79967717624611601</v>
          </cell>
          <cell r="T9043">
            <v>0.10059776995499801</v>
          </cell>
        </row>
        <row r="9044">
          <cell r="A9044" t="str">
            <v>ERICSSON</v>
          </cell>
          <cell r="B9044" t="str">
            <v>KRE 101 2249_1_B2</v>
          </cell>
          <cell r="O9044">
            <v>0.79967717624611601</v>
          </cell>
          <cell r="T9044">
            <v>0.10059776995499801</v>
          </cell>
        </row>
        <row r="9045">
          <cell r="A9045" t="str">
            <v>ERICSSON</v>
          </cell>
          <cell r="B9045" t="str">
            <v>KRE 101 2249_1_B25</v>
          </cell>
          <cell r="O9045">
            <v>0.79967717624611601</v>
          </cell>
          <cell r="T9045">
            <v>0.10059776995499801</v>
          </cell>
        </row>
        <row r="9046">
          <cell r="A9046" t="str">
            <v>ERICSSON</v>
          </cell>
          <cell r="B9046" t="str">
            <v>KRE 101 2249_1_B3</v>
          </cell>
          <cell r="O9046">
            <v>0.79967717624611601</v>
          </cell>
          <cell r="T9046">
            <v>0.10059776995499801</v>
          </cell>
        </row>
        <row r="9047">
          <cell r="A9047" t="str">
            <v>ERICSSON</v>
          </cell>
          <cell r="B9047" t="str">
            <v>KRE 101 2249_1_B4</v>
          </cell>
          <cell r="O9047">
            <v>0.79967717624611601</v>
          </cell>
          <cell r="T9047">
            <v>0.10059776995499801</v>
          </cell>
        </row>
        <row r="9048">
          <cell r="A9048" t="str">
            <v>ERICSSON</v>
          </cell>
          <cell r="B9048" t="str">
            <v>KRE 101 2249_1_B66</v>
          </cell>
          <cell r="O9048">
            <v>0.79967717624611601</v>
          </cell>
          <cell r="T9048">
            <v>0.10059776995499801</v>
          </cell>
        </row>
        <row r="9049">
          <cell r="A9049" t="str">
            <v>ERICSSON</v>
          </cell>
          <cell r="B9049" t="str">
            <v>KRE 101 2249_1_B9</v>
          </cell>
          <cell r="O9049">
            <v>0.79967717624611601</v>
          </cell>
          <cell r="T9049">
            <v>0.10059776995499801</v>
          </cell>
        </row>
        <row r="9050">
          <cell r="A9050" t="str">
            <v>ERICSSON</v>
          </cell>
          <cell r="B9050" t="str">
            <v>KRE 101 2452/1</v>
          </cell>
          <cell r="O9050"/>
          <cell r="T9050"/>
        </row>
        <row r="9051">
          <cell r="A9051" t="str">
            <v>ERICSSON</v>
          </cell>
          <cell r="B9051" t="str">
            <v>KRE 101 2487/1</v>
          </cell>
          <cell r="O9051">
            <v>15.468378665123499</v>
          </cell>
          <cell r="T9051">
            <v>5.26011348409485</v>
          </cell>
        </row>
        <row r="9052">
          <cell r="A9052" t="str">
            <v>ERICSSON</v>
          </cell>
          <cell r="B9052" t="str">
            <v>KRE 101 2526/1</v>
          </cell>
          <cell r="O9052">
            <v>11.3397183641975</v>
          </cell>
          <cell r="T9052">
            <v>3.8560034581207199</v>
          </cell>
        </row>
        <row r="9053">
          <cell r="A9053" t="str">
            <v>ERICSSON</v>
          </cell>
          <cell r="B9053" t="str">
            <v>KRE 101 2527/1_2024</v>
          </cell>
          <cell r="O9053"/>
          <cell r="T9053"/>
        </row>
        <row r="9054">
          <cell r="A9054" t="str">
            <v>ERICSSON</v>
          </cell>
          <cell r="B9054" t="str">
            <v>KRE 101 2540/1_20230717</v>
          </cell>
          <cell r="O9054"/>
          <cell r="T9054"/>
        </row>
        <row r="9055">
          <cell r="A9055" t="str">
            <v>ERICSSON</v>
          </cell>
          <cell r="B9055" t="str">
            <v>KRE 101 2586/1</v>
          </cell>
          <cell r="O9055">
            <v>15.468378665123499</v>
          </cell>
          <cell r="T9055">
            <v>5.26011348409485</v>
          </cell>
        </row>
        <row r="9056">
          <cell r="A9056" t="str">
            <v>ERICSSON</v>
          </cell>
          <cell r="B9056" t="str">
            <v>KRE 101 2586/1_2023</v>
          </cell>
          <cell r="O9056"/>
          <cell r="T9056"/>
        </row>
        <row r="9057">
          <cell r="A9057" t="str">
            <v>ERICSSON</v>
          </cell>
          <cell r="B9057" t="str">
            <v>KRE 101 2627/1</v>
          </cell>
          <cell r="O9057"/>
          <cell r="T9057"/>
        </row>
        <row r="9058">
          <cell r="A9058" t="str">
            <v>ERICSSON</v>
          </cell>
          <cell r="B9058" t="str">
            <v>KRE 1012251/2</v>
          </cell>
          <cell r="O9058">
            <v>0.80129349366429303</v>
          </cell>
          <cell r="T9058">
            <v>0.10066657207074999</v>
          </cell>
        </row>
        <row r="9059">
          <cell r="A9059" t="str">
            <v>ERICSSON</v>
          </cell>
          <cell r="B9059" t="str">
            <v>KRE 1012251/2_CCIV2</v>
          </cell>
          <cell r="O9059">
            <v>1.2065916153509799</v>
          </cell>
          <cell r="T9059">
            <v>0.71072597007237504</v>
          </cell>
        </row>
        <row r="9060">
          <cell r="A9060" t="str">
            <v>ERICSSON</v>
          </cell>
          <cell r="B9060" t="str">
            <v>KRE 105 259/1</v>
          </cell>
          <cell r="O9060"/>
          <cell r="T9060"/>
        </row>
        <row r="9061">
          <cell r="A9061" t="str">
            <v>ERICSSON</v>
          </cell>
          <cell r="B9061" t="str">
            <v>KRE 201 2207/18_TMO</v>
          </cell>
          <cell r="O9061"/>
          <cell r="T9061"/>
        </row>
        <row r="9062">
          <cell r="A9062" t="str">
            <v>ERICSSON</v>
          </cell>
          <cell r="B9062" t="str">
            <v>KRE 201 4220/18</v>
          </cell>
          <cell r="O9062"/>
          <cell r="T9062"/>
        </row>
        <row r="9063">
          <cell r="A9063" t="str">
            <v>ERICSSON</v>
          </cell>
          <cell r="B9063" t="str">
            <v>MINI-LINK 1301</v>
          </cell>
          <cell r="O9063"/>
          <cell r="T9063"/>
        </row>
        <row r="9064">
          <cell r="A9064" t="str">
            <v>ERICSSON</v>
          </cell>
          <cell r="B9064" t="str">
            <v>ML-1</v>
          </cell>
          <cell r="O9064"/>
          <cell r="T9064"/>
        </row>
        <row r="9065">
          <cell r="A9065" t="str">
            <v>ERICSSON</v>
          </cell>
          <cell r="B9065" t="str">
            <v>ML-2</v>
          </cell>
          <cell r="O9065"/>
          <cell r="T9065"/>
        </row>
        <row r="9066">
          <cell r="A9066" t="str">
            <v>ERICSSON</v>
          </cell>
          <cell r="B9066" t="str">
            <v>ML-4</v>
          </cell>
          <cell r="O9066"/>
          <cell r="T9066"/>
        </row>
        <row r="9067">
          <cell r="A9067" t="str">
            <v>ERICSSON</v>
          </cell>
          <cell r="B9067" t="str">
            <v>ML18 RAU1</v>
          </cell>
          <cell r="O9067"/>
          <cell r="T9067"/>
        </row>
        <row r="9068">
          <cell r="A9068" t="str">
            <v>ERICSSON</v>
          </cell>
          <cell r="B9068" t="str">
            <v>ML18RAU1(4)</v>
          </cell>
          <cell r="O9068"/>
          <cell r="T9068"/>
        </row>
        <row r="9069">
          <cell r="A9069" t="str">
            <v>ERICSSON</v>
          </cell>
          <cell r="B9069" t="str">
            <v>Radio 4408</v>
          </cell>
          <cell r="O9069">
            <v>0.60358218212444892</v>
          </cell>
          <cell r="T9069">
            <v>0.331392050285367</v>
          </cell>
        </row>
        <row r="9070">
          <cell r="A9070" t="str">
            <v>ERICSSON</v>
          </cell>
          <cell r="B9070" t="str">
            <v>Radio_2208</v>
          </cell>
          <cell r="O9070">
            <v>0.60868619978902305</v>
          </cell>
          <cell r="T9070">
            <v>0.383285688937197</v>
          </cell>
        </row>
        <row r="9071">
          <cell r="A9071" t="str">
            <v>ERICSSON</v>
          </cell>
          <cell r="B9071" t="str">
            <v>SM6705</v>
          </cell>
          <cell r="O9071"/>
          <cell r="T9071"/>
        </row>
        <row r="9072">
          <cell r="A9072" t="str">
            <v>ERICSSON</v>
          </cell>
          <cell r="B9072" t="str">
            <v>STREETMACRO 6701</v>
          </cell>
          <cell r="O9072">
            <v>1.4195014159975199</v>
          </cell>
          <cell r="T9072">
            <v>0.88667707391123496</v>
          </cell>
        </row>
        <row r="9073">
          <cell r="A9073" t="str">
            <v>ERICSSON</v>
          </cell>
          <cell r="B9073" t="str">
            <v>STREETMACRO 6701_CCIV2</v>
          </cell>
          <cell r="O9073">
            <v>1.4195014159975199</v>
          </cell>
          <cell r="T9073">
            <v>0.88667707391123496</v>
          </cell>
        </row>
        <row r="9074">
          <cell r="A9074" t="str">
            <v>ERICSSON</v>
          </cell>
          <cell r="B9074" t="str">
            <v>TME-ERICSSON A-AIR</v>
          </cell>
          <cell r="O9074"/>
          <cell r="T9074"/>
        </row>
        <row r="9075">
          <cell r="A9075" t="str">
            <v>ERICSSON</v>
          </cell>
          <cell r="B9075" t="str">
            <v>TME-KRY 112 144/1</v>
          </cell>
          <cell r="O9075"/>
          <cell r="T9075"/>
        </row>
        <row r="9076">
          <cell r="A9076" t="str">
            <v>ERICSSON</v>
          </cell>
          <cell r="B9076" t="str">
            <v>TME-KRY 112 489/2</v>
          </cell>
          <cell r="O9076"/>
          <cell r="T9076"/>
        </row>
        <row r="9077">
          <cell r="A9077" t="str">
            <v>ERICSSON</v>
          </cell>
          <cell r="B9077" t="str">
            <v>TME-KRY 112 71/2</v>
          </cell>
          <cell r="O9077"/>
          <cell r="T9077"/>
        </row>
        <row r="9078">
          <cell r="A9078" t="str">
            <v>ERICSSON</v>
          </cell>
          <cell r="B9078" t="str">
            <v>TME-KRY 112 71/3</v>
          </cell>
          <cell r="O9078"/>
          <cell r="T9078"/>
        </row>
        <row r="9079">
          <cell r="A9079" t="str">
            <v>ERICSSON</v>
          </cell>
          <cell r="B9079" t="str">
            <v>TME-KRY 112 75/1</v>
          </cell>
          <cell r="O9079"/>
          <cell r="T9079"/>
        </row>
        <row r="9080">
          <cell r="A9080" t="str">
            <v>ERICSSON</v>
          </cell>
          <cell r="B9080" t="str">
            <v>TME-KRY 112 76/1</v>
          </cell>
          <cell r="O9080"/>
          <cell r="T9080"/>
        </row>
        <row r="9081">
          <cell r="A9081" t="str">
            <v>ERICSSON</v>
          </cell>
          <cell r="B9081" t="str">
            <v>TME-KRY 112 89/5</v>
          </cell>
          <cell r="O9081"/>
          <cell r="T9081"/>
        </row>
        <row r="9082">
          <cell r="A9082" t="str">
            <v>ERICSSON</v>
          </cell>
          <cell r="B9082" t="str">
            <v>TME-MIN-LINK TN-2</v>
          </cell>
          <cell r="O9082"/>
          <cell r="T9082"/>
        </row>
        <row r="9083">
          <cell r="A9083" t="str">
            <v>ERICSSON</v>
          </cell>
          <cell r="B9083" t="str">
            <v>TME-RADIO 2212 B13</v>
          </cell>
          <cell r="O9083"/>
          <cell r="T9083"/>
        </row>
        <row r="9084">
          <cell r="A9084" t="str">
            <v>ERICSSON</v>
          </cell>
          <cell r="B9084" t="str">
            <v>TME-RADIO 2212 B2</v>
          </cell>
          <cell r="O9084"/>
          <cell r="T9084"/>
        </row>
        <row r="9085">
          <cell r="A9085" t="str">
            <v>ERICSSON</v>
          </cell>
          <cell r="B9085" t="str">
            <v>TME-RADIO 4449</v>
          </cell>
          <cell r="O9085"/>
          <cell r="T9085"/>
        </row>
        <row r="9086">
          <cell r="A9086" t="str">
            <v>ERICSSON</v>
          </cell>
          <cell r="B9086" t="str">
            <v>TME-RADIO 8843</v>
          </cell>
          <cell r="O9086"/>
          <cell r="T9086"/>
        </row>
        <row r="9087">
          <cell r="A9087" t="str">
            <v>ERICSSON</v>
          </cell>
          <cell r="B9087" t="str">
            <v>TME-RRU-11</v>
          </cell>
          <cell r="O9087"/>
          <cell r="T9087"/>
        </row>
        <row r="9088">
          <cell r="A9088" t="str">
            <v>ERICSSON</v>
          </cell>
          <cell r="B9088" t="str">
            <v>TME-RRU22 40 W</v>
          </cell>
          <cell r="O9088"/>
          <cell r="T9088"/>
        </row>
        <row r="9089">
          <cell r="A9089" t="str">
            <v>ERICSSON</v>
          </cell>
          <cell r="B9089" t="str">
            <v>TME-RRUL 700 MHZ BAND 13</v>
          </cell>
          <cell r="O9089"/>
          <cell r="T9089"/>
        </row>
        <row r="9090">
          <cell r="A9090" t="str">
            <v>ERICSSON</v>
          </cell>
          <cell r="B9090" t="str">
            <v>TME-RRUS 01</v>
          </cell>
          <cell r="O9090"/>
          <cell r="T9090"/>
        </row>
        <row r="9091">
          <cell r="A9091" t="str">
            <v>ERICSSON</v>
          </cell>
          <cell r="B9091" t="str">
            <v>TME-RRUS 01 W/SOLAR SHIELD</v>
          </cell>
          <cell r="O9091"/>
          <cell r="T9091"/>
        </row>
        <row r="9092">
          <cell r="A9092" t="str">
            <v>ERICSSON</v>
          </cell>
          <cell r="B9092" t="str">
            <v>TME-RRUS 11</v>
          </cell>
          <cell r="O9092"/>
          <cell r="T9092"/>
        </row>
        <row r="9093">
          <cell r="A9093" t="str">
            <v>ERICSSON</v>
          </cell>
          <cell r="B9093" t="str">
            <v>TME-RRUS 11 A2</v>
          </cell>
          <cell r="O9093"/>
          <cell r="T9093"/>
        </row>
        <row r="9094">
          <cell r="A9094" t="str">
            <v>ERICSSON</v>
          </cell>
          <cell r="B9094" t="str">
            <v>TME-RRUS 11 B12</v>
          </cell>
          <cell r="O9094"/>
          <cell r="T9094"/>
        </row>
        <row r="9095">
          <cell r="A9095" t="str">
            <v>ERICSSON</v>
          </cell>
          <cell r="B9095" t="str">
            <v>TME-RRUS 11 B2</v>
          </cell>
          <cell r="O9095"/>
          <cell r="T9095"/>
        </row>
        <row r="9096">
          <cell r="A9096" t="str">
            <v>ERICSSON</v>
          </cell>
          <cell r="B9096" t="str">
            <v>TME-RRUS 11 B4</v>
          </cell>
          <cell r="O9096"/>
          <cell r="T9096"/>
        </row>
        <row r="9097">
          <cell r="A9097" t="str">
            <v>ERICSSON</v>
          </cell>
          <cell r="B9097" t="str">
            <v>TME-RRUS 11 BAND 12</v>
          </cell>
          <cell r="O9097"/>
          <cell r="T9097"/>
        </row>
        <row r="9098">
          <cell r="A9098" t="str">
            <v>ERICSSON</v>
          </cell>
          <cell r="B9098" t="str">
            <v>TME-RRUS 11 BAND 4</v>
          </cell>
          <cell r="O9098"/>
          <cell r="T9098"/>
        </row>
        <row r="9099">
          <cell r="A9099" t="str">
            <v>ERICSSON</v>
          </cell>
          <cell r="B9099" t="str">
            <v>TME-RRUS 11 W/SOLAR SHIELD</v>
          </cell>
          <cell r="O9099"/>
          <cell r="T9099"/>
        </row>
        <row r="9100">
          <cell r="A9100" t="str">
            <v>ERICSSON</v>
          </cell>
          <cell r="B9100" t="str">
            <v>TME-RRUS 11-700</v>
          </cell>
          <cell r="O9100"/>
          <cell r="T9100"/>
        </row>
        <row r="9101">
          <cell r="A9101" t="str">
            <v>ERICSSON</v>
          </cell>
          <cell r="B9101" t="str">
            <v>TME-RRUS 11-AWS</v>
          </cell>
          <cell r="O9101"/>
          <cell r="T9101"/>
        </row>
        <row r="9102">
          <cell r="A9102" t="str">
            <v>ERICSSON</v>
          </cell>
          <cell r="B9102" t="str">
            <v>TME-RRUS 12 B2</v>
          </cell>
          <cell r="O9102"/>
          <cell r="T9102"/>
        </row>
        <row r="9103">
          <cell r="A9103" t="str">
            <v>ERICSSON</v>
          </cell>
          <cell r="B9103" t="str">
            <v>TME-RRUS 12 B2/RRUS A2</v>
          </cell>
          <cell r="O9103"/>
          <cell r="T9103"/>
        </row>
        <row r="9104">
          <cell r="A9104" t="str">
            <v>ERICSSON</v>
          </cell>
          <cell r="B9104" t="str">
            <v>TME-RRUS 12 B4</v>
          </cell>
          <cell r="O9104"/>
          <cell r="T9104"/>
        </row>
        <row r="9105">
          <cell r="A9105" t="str">
            <v>ERICSSON</v>
          </cell>
          <cell r="B9105" t="str">
            <v>TME-RRUS 12 B4/RRUS A2</v>
          </cell>
          <cell r="O9105"/>
          <cell r="T9105"/>
        </row>
        <row r="9106">
          <cell r="A9106" t="str">
            <v>ERICSSON</v>
          </cell>
          <cell r="B9106" t="str">
            <v>TME-RRUS 12 B5</v>
          </cell>
          <cell r="O9106"/>
          <cell r="T9106"/>
        </row>
        <row r="9107">
          <cell r="A9107" t="str">
            <v>ERICSSON</v>
          </cell>
          <cell r="B9107" t="str">
            <v>TME-RRUS 12 W/O SOLAR SHIELD</v>
          </cell>
          <cell r="O9107"/>
          <cell r="T9107"/>
        </row>
        <row r="9108">
          <cell r="A9108" t="str">
            <v>ERICSSON</v>
          </cell>
          <cell r="B9108" t="str">
            <v>TME-RRUS 12 W/SOLAR SHIELD</v>
          </cell>
          <cell r="O9108"/>
          <cell r="T9108"/>
        </row>
        <row r="9109">
          <cell r="A9109" t="str">
            <v>ERICSSON</v>
          </cell>
          <cell r="B9109" t="str">
            <v>TME-RRUS 31 B25</v>
          </cell>
          <cell r="O9109"/>
          <cell r="T9109"/>
        </row>
        <row r="9110">
          <cell r="A9110" t="str">
            <v>ERICSSON</v>
          </cell>
          <cell r="B9110" t="str">
            <v>TME-RRUS 32</v>
          </cell>
          <cell r="O9110"/>
          <cell r="T9110"/>
        </row>
        <row r="9111">
          <cell r="A9111" t="str">
            <v>ERICSSON</v>
          </cell>
          <cell r="B9111" t="str">
            <v>TME-RRUS 32 B2</v>
          </cell>
          <cell r="O9111"/>
          <cell r="T9111"/>
        </row>
        <row r="9112">
          <cell r="A9112" t="str">
            <v>ERICSSON</v>
          </cell>
          <cell r="B9112" t="str">
            <v>TME-RRUS 32 B30</v>
          </cell>
          <cell r="O9112"/>
          <cell r="T9112"/>
        </row>
        <row r="9113">
          <cell r="A9113" t="str">
            <v>ERICSSON</v>
          </cell>
          <cell r="B9113" t="str">
            <v>TME-RRUS 32 B4</v>
          </cell>
          <cell r="O9113"/>
          <cell r="T9113"/>
        </row>
        <row r="9114">
          <cell r="A9114" t="str">
            <v>ERICSSON</v>
          </cell>
          <cell r="B9114" t="str">
            <v>TME-RRUS 32 B66</v>
          </cell>
          <cell r="O9114"/>
          <cell r="T9114"/>
        </row>
        <row r="9115">
          <cell r="A9115" t="str">
            <v>ERICSSON</v>
          </cell>
          <cell r="B9115" t="str">
            <v>TME-RRUS 32/72 B2</v>
          </cell>
          <cell r="O9115"/>
          <cell r="T9115"/>
        </row>
        <row r="9116">
          <cell r="A9116" t="str">
            <v>ERICSSON</v>
          </cell>
          <cell r="B9116" t="str">
            <v>TME-RRUS 32/72 B4</v>
          </cell>
          <cell r="O9116"/>
          <cell r="T9116"/>
        </row>
        <row r="9117">
          <cell r="A9117" t="str">
            <v>ERICSSON</v>
          </cell>
          <cell r="B9117" t="str">
            <v>TME-RRUS 4415 B25_CCIV2</v>
          </cell>
          <cell r="O9117"/>
          <cell r="T9117"/>
        </row>
        <row r="9118">
          <cell r="A9118" t="str">
            <v>ERICSSON</v>
          </cell>
          <cell r="B9118" t="str">
            <v>TME-RRUS 4478 B14</v>
          </cell>
          <cell r="O9118"/>
          <cell r="T9118"/>
        </row>
        <row r="9119">
          <cell r="A9119" t="str">
            <v>ERICSSON</v>
          </cell>
          <cell r="B9119" t="str">
            <v>TME-RRUS A2</v>
          </cell>
          <cell r="O9119"/>
          <cell r="T9119"/>
        </row>
        <row r="9120">
          <cell r="A9120" t="str">
            <v>ERICSSON</v>
          </cell>
          <cell r="B9120" t="str">
            <v>TME-RRUS A2 B13</v>
          </cell>
          <cell r="O9120"/>
          <cell r="T9120"/>
        </row>
        <row r="9121">
          <cell r="A9121" t="str">
            <v>ERICSSON</v>
          </cell>
          <cell r="B9121" t="str">
            <v>TME-RRUS A2 B2</v>
          </cell>
          <cell r="O9121"/>
          <cell r="T9121"/>
        </row>
        <row r="9122">
          <cell r="A9122" t="str">
            <v>ERICSSON</v>
          </cell>
          <cell r="B9122" t="str">
            <v>TME-RRUS A2 B4</v>
          </cell>
          <cell r="O9122"/>
          <cell r="T9122"/>
        </row>
        <row r="9123">
          <cell r="A9123" t="str">
            <v>ERICSSON</v>
          </cell>
          <cell r="B9123" t="str">
            <v>TME-RRUS A2 MODULE</v>
          </cell>
          <cell r="O9123"/>
          <cell r="T9123"/>
        </row>
        <row r="9124">
          <cell r="A9124" t="str">
            <v>ERICSSON</v>
          </cell>
          <cell r="B9124" t="str">
            <v>TME-RRUS B13</v>
          </cell>
          <cell r="O9124"/>
          <cell r="T9124"/>
        </row>
        <row r="9125">
          <cell r="A9125" t="str">
            <v>ERICSSON</v>
          </cell>
          <cell r="B9125" t="str">
            <v>TME-RRUS B13/RRUS A2</v>
          </cell>
          <cell r="O9125"/>
          <cell r="T9125"/>
        </row>
        <row r="9126">
          <cell r="A9126" t="str">
            <v>ERICSSON</v>
          </cell>
          <cell r="B9126" t="str">
            <v>TME-RRUS E2 B29</v>
          </cell>
          <cell r="O9126"/>
          <cell r="T9126"/>
        </row>
        <row r="9127">
          <cell r="A9127" t="str">
            <v>ERICSSON</v>
          </cell>
          <cell r="B9127" t="str">
            <v>TME-RRUS-11</v>
          </cell>
          <cell r="O9127"/>
          <cell r="T9127"/>
        </row>
        <row r="9128">
          <cell r="A9128" t="str">
            <v>ERICSSON</v>
          </cell>
          <cell r="B9128" t="str">
            <v>TME-RRUS-11 1900MHz</v>
          </cell>
          <cell r="O9128"/>
          <cell r="T9128"/>
        </row>
        <row r="9129">
          <cell r="A9129" t="str">
            <v>ERICSSON</v>
          </cell>
          <cell r="B9129" t="str">
            <v>TME-RRUS-11 800MHz</v>
          </cell>
          <cell r="O9129"/>
          <cell r="T9129"/>
        </row>
        <row r="9130">
          <cell r="A9130" t="str">
            <v>ERICSSON</v>
          </cell>
          <cell r="B9130" t="str">
            <v>TME-RRUS-12</v>
          </cell>
          <cell r="O9130"/>
          <cell r="T9130"/>
        </row>
        <row r="9131">
          <cell r="A9131" t="str">
            <v>ERICSSON</v>
          </cell>
          <cell r="B9131" t="str">
            <v>TME-RRUS-32 B30</v>
          </cell>
          <cell r="O9131"/>
          <cell r="T9131"/>
        </row>
        <row r="9132">
          <cell r="A9132" t="str">
            <v>ERICSSON</v>
          </cell>
          <cell r="B9132" t="str">
            <v>TME-RRUS12/RRUS A2</v>
          </cell>
          <cell r="O9132"/>
          <cell r="T9132"/>
        </row>
        <row r="9133">
          <cell r="A9133" t="str">
            <v>ERICSSON</v>
          </cell>
          <cell r="B9133" t="str">
            <v>TME-RRUW</v>
          </cell>
          <cell r="O9133"/>
          <cell r="T9133"/>
        </row>
        <row r="9134">
          <cell r="A9134" t="str">
            <v>ERICSSON</v>
          </cell>
          <cell r="B9134" t="str">
            <v>TME-WCS RRUS-12</v>
          </cell>
          <cell r="O9134"/>
          <cell r="T9134"/>
        </row>
        <row r="9135">
          <cell r="A9135" t="str">
            <v>ERICSSON</v>
          </cell>
          <cell r="B9135" t="str">
            <v>UKY 210 40+</v>
          </cell>
          <cell r="O9135"/>
          <cell r="T9135"/>
        </row>
        <row r="9136">
          <cell r="A9136" t="str">
            <v>ERICSSON</v>
          </cell>
          <cell r="B9136" t="str">
            <v>UKY 210 40+10-42GHZ</v>
          </cell>
          <cell r="O9136"/>
          <cell r="T9136"/>
        </row>
        <row r="9137">
          <cell r="A9137" t="str">
            <v>ERICSSON</v>
          </cell>
          <cell r="B9137" t="str">
            <v>UKY 210 40+7/8GHZ</v>
          </cell>
          <cell r="O9137"/>
          <cell r="T9137"/>
        </row>
        <row r="9138">
          <cell r="A9138" t="str">
            <v>ERICSSON</v>
          </cell>
          <cell r="B9138" t="str">
            <v>UKY 210 43/SC11</v>
          </cell>
          <cell r="O9138"/>
          <cell r="T9138"/>
        </row>
        <row r="9139">
          <cell r="A9139" t="str">
            <v>ERICSSON</v>
          </cell>
          <cell r="B9139" t="str">
            <v>UKY 210 73/DC12</v>
          </cell>
          <cell r="O9139"/>
          <cell r="T9139"/>
        </row>
        <row r="9140">
          <cell r="A9140" t="str">
            <v>ERICSSON</v>
          </cell>
          <cell r="B9140" t="str">
            <v>UKY 210 73/SC15</v>
          </cell>
          <cell r="O9140"/>
          <cell r="T9140"/>
        </row>
        <row r="9141">
          <cell r="A9141" t="str">
            <v>ERICSSON</v>
          </cell>
          <cell r="B9141" t="str">
            <v>UKY 210 75/SC15</v>
          </cell>
          <cell r="O9141"/>
          <cell r="T9141"/>
        </row>
        <row r="9142">
          <cell r="A9142" t="str">
            <v>ERICSSON</v>
          </cell>
          <cell r="B9142" t="str">
            <v>UKY 210 77/DC12</v>
          </cell>
          <cell r="O9142"/>
          <cell r="T9142"/>
        </row>
        <row r="9143">
          <cell r="A9143" t="str">
            <v>ERICSSON</v>
          </cell>
          <cell r="B9143" t="str">
            <v>UKY 210 77/SC11</v>
          </cell>
          <cell r="O9143"/>
          <cell r="T9143"/>
        </row>
        <row r="9144">
          <cell r="A9144" t="str">
            <v>ERICSSON</v>
          </cell>
          <cell r="B9144" t="str">
            <v>UKY 210 77/SC15</v>
          </cell>
          <cell r="O9144"/>
          <cell r="T9144"/>
        </row>
        <row r="9145">
          <cell r="A9145" t="str">
            <v>ERICSSON</v>
          </cell>
          <cell r="B9145" t="str">
            <v>UKY 210 78/SC11</v>
          </cell>
          <cell r="O9145"/>
          <cell r="T9145"/>
        </row>
        <row r="9146">
          <cell r="A9146" t="str">
            <v>ERICSSON</v>
          </cell>
          <cell r="B9146" t="str">
            <v>UKY 210 78/SC15</v>
          </cell>
          <cell r="O9146"/>
          <cell r="T9146"/>
        </row>
        <row r="9147">
          <cell r="A9147" t="str">
            <v>ERICSSON</v>
          </cell>
          <cell r="B9147" t="str">
            <v>UKY 220 12/SC11D</v>
          </cell>
          <cell r="O9147"/>
          <cell r="T9147"/>
        </row>
        <row r="9148">
          <cell r="A9148" t="str">
            <v>ERICSSON</v>
          </cell>
          <cell r="B9148" t="str">
            <v>UKY 220 13/SC12</v>
          </cell>
          <cell r="O9148"/>
          <cell r="T9148"/>
        </row>
        <row r="9149">
          <cell r="A9149" t="str">
            <v>ERICSSON</v>
          </cell>
          <cell r="B9149" t="str">
            <v>UKY 220 16/SC15</v>
          </cell>
          <cell r="O9149"/>
          <cell r="T9149"/>
        </row>
        <row r="9150">
          <cell r="A9150" t="str">
            <v>ERICSSON</v>
          </cell>
          <cell r="B9150" t="str">
            <v>UKY 220 29/SC15</v>
          </cell>
          <cell r="O9150"/>
          <cell r="T9150"/>
        </row>
        <row r="9151">
          <cell r="A9151" t="str">
            <v>ERICSSON</v>
          </cell>
          <cell r="B9151" t="str">
            <v>UKY 220 41/DC15</v>
          </cell>
          <cell r="O9151"/>
          <cell r="T9151"/>
        </row>
        <row r="9152">
          <cell r="A9152" t="str">
            <v>ERICSSON</v>
          </cell>
          <cell r="B9152" t="str">
            <v>UKY 220 41/SC15</v>
          </cell>
          <cell r="O9152"/>
          <cell r="T9152"/>
        </row>
        <row r="9153">
          <cell r="A9153" t="str">
            <v>ERICSSON</v>
          </cell>
          <cell r="B9153" t="str">
            <v>UKY 220 44/SC15</v>
          </cell>
          <cell r="O9153"/>
          <cell r="T9153"/>
        </row>
        <row r="9154">
          <cell r="A9154" t="str">
            <v>ERICSSON</v>
          </cell>
          <cell r="B9154" t="str">
            <v>UKY 220 45/SC15</v>
          </cell>
          <cell r="O9154"/>
          <cell r="T9154"/>
        </row>
        <row r="9155">
          <cell r="A9155" t="str">
            <v>ERICSSON</v>
          </cell>
          <cell r="B9155" t="str">
            <v>UKY 220 77/DC15</v>
          </cell>
          <cell r="O9155"/>
          <cell r="T9155"/>
        </row>
        <row r="9156">
          <cell r="A9156" t="str">
            <v>ESTEEM WIRELESS MODEMS</v>
          </cell>
          <cell r="B9156" t="str">
            <v>AA20C.1</v>
          </cell>
          <cell r="O9156"/>
          <cell r="T9156"/>
        </row>
        <row r="9157">
          <cell r="A9157" t="str">
            <v>EUROPEAN ANTENNAS</v>
          </cell>
          <cell r="B9157" t="str">
            <v>SA14-120-3.5V</v>
          </cell>
          <cell r="O9157"/>
          <cell r="T9157"/>
        </row>
        <row r="9158">
          <cell r="A9158" t="str">
            <v>EUROPEAN ANTENNAS</v>
          </cell>
          <cell r="B9158" t="str">
            <v>SA15-90-3.5V/9312/AIR</v>
          </cell>
          <cell r="O9158"/>
          <cell r="T9158"/>
        </row>
        <row r="9159">
          <cell r="A9159" t="str">
            <v>EUROPEAN ANTENNAS</v>
          </cell>
          <cell r="B9159" t="str">
            <v>SA17-90-5.5V/9502/AIR/INT</v>
          </cell>
          <cell r="O9159"/>
          <cell r="T9159"/>
        </row>
        <row r="9160">
          <cell r="A9160" t="str">
            <v>EXALT COMMUNICATIONS INC</v>
          </cell>
          <cell r="B9160" t="str">
            <v>A100108</v>
          </cell>
          <cell r="O9160"/>
          <cell r="T9160"/>
        </row>
        <row r="9161">
          <cell r="A9161" t="str">
            <v>EXALT COMMUNICATIONS INC</v>
          </cell>
          <cell r="B9161" t="str">
            <v>E50E731</v>
          </cell>
          <cell r="O9161"/>
          <cell r="T9161"/>
        </row>
        <row r="9162">
          <cell r="A9162" t="str">
            <v>EXALT COMMUNICATIONS INC</v>
          </cell>
          <cell r="B9162" t="str">
            <v>EX-5R</v>
          </cell>
          <cell r="O9162"/>
          <cell r="T9162"/>
        </row>
        <row r="9163">
          <cell r="A9163" t="str">
            <v>EXALT COMMUNICATIONS INC</v>
          </cell>
          <cell r="B9163" t="str">
            <v>EX-5R LITE</v>
          </cell>
          <cell r="O9163"/>
          <cell r="T9163"/>
        </row>
        <row r="9164">
          <cell r="A9164" t="str">
            <v>EXALT COMMUNICATIONS INC</v>
          </cell>
          <cell r="B9164" t="str">
            <v>EX-5R-C</v>
          </cell>
          <cell r="O9164"/>
          <cell r="T9164"/>
        </row>
        <row r="9165">
          <cell r="A9165" t="str">
            <v>EXALT COMMUNICATIONS INC</v>
          </cell>
          <cell r="B9165" t="str">
            <v>EX-5R-C LITE</v>
          </cell>
          <cell r="O9165"/>
          <cell r="T9165"/>
        </row>
        <row r="9166">
          <cell r="A9166" t="str">
            <v>EXALT COMMUNICATIONS INC</v>
          </cell>
          <cell r="B9166" t="str">
            <v>EXTENDAIR R5050</v>
          </cell>
          <cell r="O9166"/>
          <cell r="T9166"/>
        </row>
        <row r="9167">
          <cell r="A9167" t="str">
            <v>EXALT COMMUNICATIONS INC</v>
          </cell>
          <cell r="B9167" t="str">
            <v>EXTENDAIR RC5010</v>
          </cell>
          <cell r="O9167"/>
          <cell r="T9167"/>
        </row>
        <row r="9168">
          <cell r="A9168" t="str">
            <v>EXALT COMMUNICATIONS INC</v>
          </cell>
          <cell r="B9168" t="str">
            <v>EXTENDAIR-R5000</v>
          </cell>
          <cell r="O9168"/>
          <cell r="T9168"/>
        </row>
        <row r="9169">
          <cell r="A9169" t="str">
            <v>EXALT COMMUNICATIONS INC</v>
          </cell>
          <cell r="B9169" t="str">
            <v>ExploreAir LR E6LF84H-0252H1</v>
          </cell>
          <cell r="O9169"/>
          <cell r="T9169"/>
        </row>
        <row r="9170">
          <cell r="A9170" t="str">
            <v>FAINI TELECOMMUNICATION SYSTEMS</v>
          </cell>
          <cell r="B9170" t="str">
            <v>FIA 02-710SW_20240905</v>
          </cell>
          <cell r="O9170"/>
          <cell r="T9170"/>
        </row>
        <row r="9171">
          <cell r="A9171" t="str">
            <v>FAINI TELECOMMUNICATION SYSTEMS</v>
          </cell>
          <cell r="B9171" t="str">
            <v>FIA 03-710SW_20230117</v>
          </cell>
          <cell r="O9171"/>
          <cell r="T9171"/>
        </row>
        <row r="9172">
          <cell r="A9172" t="str">
            <v>FAINI TELECOMMUNICATION SYSTEMS</v>
          </cell>
          <cell r="B9172" t="str">
            <v>FIA 06-710SW_20230117</v>
          </cell>
          <cell r="O9172"/>
          <cell r="T9172"/>
        </row>
        <row r="9173">
          <cell r="A9173" t="str">
            <v>FAINI TELECOMMUNICATION SYSTEMS</v>
          </cell>
          <cell r="B9173" t="str">
            <v>HANT 262890 V</v>
          </cell>
          <cell r="O9173"/>
          <cell r="T9173"/>
        </row>
        <row r="9174">
          <cell r="A9174" t="str">
            <v>FAINI TELECOMMUNICATION SYSTEMS</v>
          </cell>
          <cell r="B9174" t="str">
            <v>HANT 2890 H</v>
          </cell>
          <cell r="O9174"/>
          <cell r="T9174"/>
        </row>
        <row r="9175">
          <cell r="A9175" t="str">
            <v>FALCONION</v>
          </cell>
          <cell r="B9175" t="str">
            <v>LY718</v>
          </cell>
          <cell r="O9175"/>
          <cell r="T9175"/>
        </row>
        <row r="9176">
          <cell r="A9176" t="str">
            <v>FARUNO</v>
          </cell>
          <cell r="B9176" t="str">
            <v>FAR-2228-NXT_XN24CF</v>
          </cell>
          <cell r="O9176"/>
          <cell r="T9176"/>
        </row>
        <row r="9177">
          <cell r="A9177" t="str">
            <v>FASTBACK NETWORKS</v>
          </cell>
          <cell r="B9177" t="str">
            <v>IBR 1300_CCIV2</v>
          </cell>
          <cell r="O9177"/>
          <cell r="T9177"/>
        </row>
        <row r="9178">
          <cell r="A9178" t="str">
            <v>FASTBACK NETWORKS</v>
          </cell>
          <cell r="B9178" t="str">
            <v>IBR-1000-38-NA-SPRT</v>
          </cell>
          <cell r="O9178"/>
          <cell r="T9178"/>
        </row>
        <row r="9179">
          <cell r="A9179" t="str">
            <v>FASTBACK NETWORKS</v>
          </cell>
          <cell r="B9179" t="str">
            <v>IBR-1201-83-NA_CCIV2</v>
          </cell>
          <cell r="O9179"/>
          <cell r="T9179"/>
        </row>
        <row r="9180">
          <cell r="A9180" t="str">
            <v>FASTBACK NETWORKS</v>
          </cell>
          <cell r="B9180" t="str">
            <v>IBR-1211-83-NA_CCIV2</v>
          </cell>
          <cell r="O9180"/>
          <cell r="T9180"/>
        </row>
        <row r="9181">
          <cell r="A9181" t="str">
            <v>FASTBACK NETWORKS</v>
          </cell>
          <cell r="B9181" t="str">
            <v>IBR53</v>
          </cell>
          <cell r="O9181"/>
          <cell r="T9181"/>
        </row>
        <row r="9182">
          <cell r="A9182" t="str">
            <v>FEDERAL SIGNAL</v>
          </cell>
          <cell r="B9182" t="str">
            <v>2001-130</v>
          </cell>
          <cell r="O9182"/>
          <cell r="T9182"/>
        </row>
        <row r="9183">
          <cell r="A9183" t="str">
            <v>FEDERAL SIGNAL</v>
          </cell>
          <cell r="B9183" t="str">
            <v>MOD3012</v>
          </cell>
          <cell r="O9183"/>
          <cell r="T9183"/>
        </row>
        <row r="9184">
          <cell r="A9184" t="str">
            <v>FEDERAL SIGNAL</v>
          </cell>
          <cell r="B9184" t="str">
            <v>STH10-240P</v>
          </cell>
          <cell r="O9184"/>
          <cell r="T9184"/>
        </row>
        <row r="9185">
          <cell r="A9185" t="str">
            <v>FIBERGRATE</v>
          </cell>
          <cell r="B9185" t="str">
            <v>I6010</v>
          </cell>
          <cell r="O9185"/>
          <cell r="T9185"/>
        </row>
        <row r="9186">
          <cell r="A9186" t="str">
            <v>FIBERSOURCE</v>
          </cell>
          <cell r="B9186" t="str">
            <v>TME-6775-6</v>
          </cell>
          <cell r="O9186"/>
          <cell r="T9186"/>
        </row>
        <row r="9187">
          <cell r="A9187" t="str">
            <v>FILTRONIC</v>
          </cell>
          <cell r="B9187" t="str">
            <v>P6T2BF-V1</v>
          </cell>
          <cell r="O9187">
            <v>2.0790986689814801</v>
          </cell>
          <cell r="T9187">
            <v>0.91084770570242102</v>
          </cell>
        </row>
        <row r="9188">
          <cell r="A9188" t="str">
            <v>FIRETIDE</v>
          </cell>
          <cell r="B9188" t="str">
            <v>AP20-050-MIMO-19</v>
          </cell>
          <cell r="O9188"/>
          <cell r="T9188"/>
        </row>
        <row r="9189">
          <cell r="A9189" t="str">
            <v>FIRETIDE</v>
          </cell>
          <cell r="B9189" t="str">
            <v>AS120-050-MIMO-15</v>
          </cell>
          <cell r="O9189"/>
          <cell r="T9189"/>
        </row>
        <row r="9190">
          <cell r="A9190" t="str">
            <v>FLIGHT LIGHT INC</v>
          </cell>
          <cell r="B9190" t="str">
            <v>MARKER BALL MODEL JX_24 INCH</v>
          </cell>
          <cell r="O9190"/>
          <cell r="T9190"/>
        </row>
        <row r="9191">
          <cell r="A9191" t="str">
            <v>FLIR</v>
          </cell>
          <cell r="B9191" t="str">
            <v>SR-304</v>
          </cell>
          <cell r="O9191"/>
          <cell r="T9191"/>
        </row>
        <row r="9192">
          <cell r="A9192" t="str">
            <v>FLIR</v>
          </cell>
          <cell r="B9192" t="str">
            <v>SR-309</v>
          </cell>
          <cell r="O9192"/>
          <cell r="T9192"/>
        </row>
        <row r="9193">
          <cell r="A9193" t="str">
            <v>FLIR</v>
          </cell>
          <cell r="B9193" t="str">
            <v>SR-334</v>
          </cell>
          <cell r="O9193"/>
          <cell r="T9193"/>
        </row>
        <row r="9194">
          <cell r="A9194" t="str">
            <v>FOSHAN</v>
          </cell>
          <cell r="B9194" t="str">
            <v>WBL-CJ360V0011Q00CZ01</v>
          </cell>
          <cell r="O9194"/>
          <cell r="T9194"/>
        </row>
        <row r="9195">
          <cell r="A9195" t="str">
            <v>FRED A. NUDD CORP</v>
          </cell>
          <cell r="B9195" t="str">
            <v>3' ICE SHIELD</v>
          </cell>
          <cell r="O9195"/>
          <cell r="T9195"/>
        </row>
        <row r="9196">
          <cell r="A9196" t="str">
            <v>FRED A. NUDD CORP</v>
          </cell>
          <cell r="B9196" t="str">
            <v>6' ICE SHIELD</v>
          </cell>
          <cell r="O9196"/>
          <cell r="T9196"/>
        </row>
        <row r="9197">
          <cell r="A9197" t="str">
            <v>FREEWAVE</v>
          </cell>
          <cell r="B9197" t="str">
            <v>EAN0905WB</v>
          </cell>
          <cell r="O9197"/>
          <cell r="T9197"/>
        </row>
        <row r="9198">
          <cell r="A9198" t="str">
            <v>FURUNO</v>
          </cell>
          <cell r="B9198" t="str">
            <v>FAR-2228-NXT_XN24CF</v>
          </cell>
          <cell r="O9198"/>
          <cell r="T9198"/>
        </row>
        <row r="9199">
          <cell r="A9199" t="str">
            <v>GABRIEL ELECTRONICS</v>
          </cell>
          <cell r="B9199" t="str">
            <v>16-59B</v>
          </cell>
          <cell r="O9199"/>
          <cell r="T9199"/>
        </row>
        <row r="9200">
          <cell r="A9200" t="str">
            <v>GABRIEL ELECTRONICS</v>
          </cell>
          <cell r="B9200" t="str">
            <v>8 FT HP DISH</v>
          </cell>
          <cell r="O9200"/>
          <cell r="T9200"/>
        </row>
        <row r="9201">
          <cell r="A9201" t="str">
            <v>GABRIEL ELECTRONICS</v>
          </cell>
          <cell r="B9201" t="str">
            <v>DDP10P-59BSE</v>
          </cell>
          <cell r="O9201"/>
          <cell r="T9201"/>
        </row>
        <row r="9202">
          <cell r="A9202" t="str">
            <v>GABRIEL ELECTRONICS</v>
          </cell>
          <cell r="B9202" t="str">
            <v>DDP6P-59CSE</v>
          </cell>
          <cell r="O9202"/>
          <cell r="T9202"/>
        </row>
        <row r="9203">
          <cell r="A9203" t="str">
            <v>GABRIEL ELECTRONICS</v>
          </cell>
          <cell r="B9203" t="str">
            <v>DDP8P-3J107ASE</v>
          </cell>
          <cell r="O9203"/>
          <cell r="T9203"/>
        </row>
        <row r="9204">
          <cell r="A9204" t="str">
            <v>GABRIEL ELECTRONICS</v>
          </cell>
          <cell r="B9204" t="str">
            <v>DDP8P-59BSE</v>
          </cell>
          <cell r="O9204"/>
          <cell r="T9204"/>
        </row>
        <row r="9205">
          <cell r="A9205" t="str">
            <v>GABRIEL ELECTRONICS</v>
          </cell>
          <cell r="B9205" t="str">
            <v>DFPD.5-52</v>
          </cell>
          <cell r="O9205"/>
          <cell r="T9205"/>
        </row>
        <row r="9206">
          <cell r="A9206" t="str">
            <v>GABRIEL ELECTRONICS</v>
          </cell>
          <cell r="B9206" t="str">
            <v>DFPD1-52</v>
          </cell>
          <cell r="O9206"/>
          <cell r="T9206"/>
        </row>
        <row r="9207">
          <cell r="A9207" t="str">
            <v>GABRIEL ELECTRONICS</v>
          </cell>
          <cell r="B9207" t="str">
            <v>DFPD2-18</v>
          </cell>
          <cell r="O9207"/>
          <cell r="T9207"/>
        </row>
        <row r="9208">
          <cell r="A9208" t="str">
            <v>GABRIEL ELECTRONICS</v>
          </cell>
          <cell r="B9208" t="str">
            <v>DFPD2-23</v>
          </cell>
          <cell r="O9208"/>
          <cell r="T9208"/>
        </row>
        <row r="9209">
          <cell r="A9209" t="str">
            <v>GABRIEL ELECTRONICS</v>
          </cell>
          <cell r="B9209" t="str">
            <v>DFPD2-52</v>
          </cell>
          <cell r="O9209"/>
          <cell r="T9209"/>
        </row>
        <row r="9210">
          <cell r="A9210" t="str">
            <v>GABRIEL ELECTRONICS</v>
          </cell>
          <cell r="B9210" t="str">
            <v>DFPS1-23</v>
          </cell>
          <cell r="O9210"/>
          <cell r="T9210"/>
        </row>
        <row r="9211">
          <cell r="A9211" t="str">
            <v>GABRIEL ELECTRONICS</v>
          </cell>
          <cell r="B9211" t="str">
            <v>DRFB10-5968SE</v>
          </cell>
          <cell r="O9211"/>
          <cell r="T9211"/>
        </row>
        <row r="9212">
          <cell r="A9212" t="str">
            <v>GABRIEL ELECTRONICS</v>
          </cell>
          <cell r="B9212" t="str">
            <v>DRFB10-59BSE</v>
          </cell>
          <cell r="O9212"/>
          <cell r="T9212"/>
        </row>
        <row r="9213">
          <cell r="A9213" t="str">
            <v>GABRIEL ELECTRONICS</v>
          </cell>
          <cell r="B9213" t="str">
            <v>DRFB10-59CSE</v>
          </cell>
          <cell r="O9213"/>
          <cell r="T9213"/>
        </row>
        <row r="9214">
          <cell r="A9214" t="str">
            <v>GABRIEL ELECTRONICS</v>
          </cell>
          <cell r="B9214" t="str">
            <v>DRFB10-64CSE</v>
          </cell>
          <cell r="O9214"/>
          <cell r="T9214"/>
        </row>
        <row r="9215">
          <cell r="A9215" t="str">
            <v>GABRIEL ELECTRONICS</v>
          </cell>
          <cell r="B9215" t="str">
            <v>DRFB10P-107BSE</v>
          </cell>
          <cell r="O9215"/>
          <cell r="T9215"/>
        </row>
        <row r="9216">
          <cell r="A9216" t="str">
            <v>GABRIEL ELECTRONICS</v>
          </cell>
          <cell r="B9216" t="str">
            <v>DRFB10W-5971SE-P</v>
          </cell>
          <cell r="O9216"/>
          <cell r="T9216"/>
        </row>
        <row r="9217">
          <cell r="A9217" t="str">
            <v>GABRIEL ELECTRONICS</v>
          </cell>
          <cell r="B9217" t="str">
            <v>DRFB12-59CSE</v>
          </cell>
          <cell r="O9217"/>
          <cell r="T9217"/>
        </row>
        <row r="9218">
          <cell r="A9218" t="str">
            <v>GABRIEL ELECTRONICS</v>
          </cell>
          <cell r="B9218" t="str">
            <v>DRFB4-59ASE</v>
          </cell>
          <cell r="O9218"/>
          <cell r="T9218"/>
        </row>
        <row r="9219">
          <cell r="A9219" t="str">
            <v>GABRIEL ELECTRONICS</v>
          </cell>
          <cell r="B9219" t="str">
            <v>DRFB4-59ASE-P</v>
          </cell>
          <cell r="O9219"/>
          <cell r="T9219"/>
        </row>
        <row r="9220">
          <cell r="A9220" t="str">
            <v>GABRIEL ELECTRONICS</v>
          </cell>
          <cell r="B9220" t="str">
            <v>DRFB4-64ASE</v>
          </cell>
          <cell r="O9220"/>
          <cell r="T9220"/>
        </row>
        <row r="9221">
          <cell r="A9221" t="str">
            <v>GABRIEL ELECTRONICS</v>
          </cell>
          <cell r="B9221" t="str">
            <v>DRFB4-64ASE-P</v>
          </cell>
          <cell r="O9221"/>
          <cell r="T9221"/>
        </row>
        <row r="9222">
          <cell r="A9222" t="str">
            <v>GABRIEL ELECTRONICS</v>
          </cell>
          <cell r="B9222" t="str">
            <v>DRFB6-55ASE</v>
          </cell>
          <cell r="O9222"/>
          <cell r="T9222"/>
        </row>
        <row r="9223">
          <cell r="A9223" t="str">
            <v>GABRIEL ELECTRONICS</v>
          </cell>
          <cell r="B9223" t="str">
            <v>DRFB6-5968SE</v>
          </cell>
          <cell r="O9223"/>
          <cell r="T9223"/>
        </row>
        <row r="9224">
          <cell r="A9224" t="str">
            <v>GABRIEL ELECTRONICS</v>
          </cell>
          <cell r="B9224" t="str">
            <v>DRFB6-5971SE</v>
          </cell>
          <cell r="O9224"/>
          <cell r="T9224"/>
        </row>
        <row r="9225">
          <cell r="A9225" t="str">
            <v>GABRIEL ELECTRONICS</v>
          </cell>
          <cell r="B9225" t="str">
            <v>DRFB6-59CSE</v>
          </cell>
          <cell r="O9225"/>
          <cell r="T9225"/>
        </row>
        <row r="9226">
          <cell r="A9226" t="str">
            <v>GABRIEL ELECTRONICS</v>
          </cell>
          <cell r="B9226" t="str">
            <v>DRFB6-64BSE</v>
          </cell>
          <cell r="O9226"/>
          <cell r="T9226"/>
        </row>
        <row r="9227">
          <cell r="A9227" t="str">
            <v>GABRIEL ELECTRONICS</v>
          </cell>
          <cell r="B9227" t="str">
            <v>DRFB6-82SE</v>
          </cell>
          <cell r="O9227"/>
          <cell r="T9227"/>
        </row>
        <row r="9228">
          <cell r="A9228" t="str">
            <v>GABRIEL ELECTRONICS</v>
          </cell>
          <cell r="B9228" t="str">
            <v>DRFB6W-5971SE-P</v>
          </cell>
          <cell r="O9228"/>
          <cell r="T9228"/>
        </row>
        <row r="9229">
          <cell r="A9229" t="str">
            <v>GABRIEL ELECTRONICS</v>
          </cell>
          <cell r="B9229" t="str">
            <v>DRFB8-59BSE</v>
          </cell>
          <cell r="O9229"/>
          <cell r="T9229"/>
        </row>
        <row r="9230">
          <cell r="A9230" t="str">
            <v>GABRIEL ELECTRONICS</v>
          </cell>
          <cell r="B9230" t="str">
            <v>DRFB8-59CSE</v>
          </cell>
          <cell r="O9230"/>
          <cell r="T9230"/>
        </row>
        <row r="9231">
          <cell r="A9231" t="str">
            <v>GABRIEL ELECTRONICS</v>
          </cell>
          <cell r="B9231" t="str">
            <v>DRFB8-64CSE</v>
          </cell>
          <cell r="O9231"/>
          <cell r="T9231"/>
        </row>
        <row r="9232">
          <cell r="A9232" t="str">
            <v>GABRIEL ELECTRONICS</v>
          </cell>
          <cell r="B9232" t="str">
            <v>DRFB8-82SE</v>
          </cell>
          <cell r="O9232"/>
          <cell r="T9232"/>
        </row>
        <row r="9233">
          <cell r="A9233" t="str">
            <v>GABRIEL ELECTRONICS</v>
          </cell>
          <cell r="B9233" t="str">
            <v>DRFB8P-107ASE</v>
          </cell>
          <cell r="O9233"/>
          <cell r="T9233"/>
        </row>
        <row r="9234">
          <cell r="A9234" t="str">
            <v>GABRIEL ELECTRONICS</v>
          </cell>
          <cell r="B9234" t="str">
            <v>DRFB8W-5971SE-P</v>
          </cell>
          <cell r="O9234"/>
          <cell r="T9234"/>
        </row>
        <row r="9235">
          <cell r="A9235" t="str">
            <v>GABRIEL ELECTRONICS</v>
          </cell>
          <cell r="B9235" t="str">
            <v>DRFG6-71SE</v>
          </cell>
          <cell r="O9235"/>
          <cell r="T9235"/>
        </row>
        <row r="9236">
          <cell r="A9236" t="str">
            <v>GABRIEL ELECTRONICS</v>
          </cell>
          <cell r="B9236" t="str">
            <v>DRFG8-71SE</v>
          </cell>
          <cell r="O9236"/>
          <cell r="T9236"/>
        </row>
        <row r="9237">
          <cell r="A9237" t="str">
            <v>GABRIEL ELECTRONICS</v>
          </cell>
          <cell r="B9237" t="str">
            <v>EPD1-49</v>
          </cell>
          <cell r="O9237"/>
          <cell r="T9237"/>
        </row>
        <row r="9238">
          <cell r="A9238" t="str">
            <v>GABRIEL ELECTRONICS</v>
          </cell>
          <cell r="B9238" t="str">
            <v>EPD2-52-N</v>
          </cell>
          <cell r="O9238"/>
          <cell r="T9238"/>
        </row>
        <row r="9239">
          <cell r="A9239" t="str">
            <v>GABRIEL ELECTRONICS</v>
          </cell>
          <cell r="B9239" t="str">
            <v>GF2-180</v>
          </cell>
          <cell r="O9239"/>
          <cell r="T9239"/>
        </row>
        <row r="9240">
          <cell r="A9240" t="str">
            <v>GABRIEL ELECTRONICS</v>
          </cell>
          <cell r="B9240" t="str">
            <v>GF2-220</v>
          </cell>
          <cell r="O9240"/>
          <cell r="T9240"/>
        </row>
        <row r="9241">
          <cell r="A9241" t="str">
            <v>GABRIEL ELECTRONICS</v>
          </cell>
          <cell r="B9241" t="str">
            <v>GHF10W-23</v>
          </cell>
          <cell r="O9241"/>
          <cell r="T9241"/>
        </row>
        <row r="9242">
          <cell r="A9242" t="str">
            <v>GABRIEL ELECTRONICS</v>
          </cell>
          <cell r="B9242" t="str">
            <v>GHF3-13</v>
          </cell>
          <cell r="O9242"/>
          <cell r="T9242"/>
        </row>
        <row r="9243">
          <cell r="A9243" t="str">
            <v>GABRIEL ELECTRONICS</v>
          </cell>
          <cell r="B9243" t="str">
            <v>GHF3-18</v>
          </cell>
          <cell r="O9243"/>
          <cell r="T9243"/>
        </row>
        <row r="9244">
          <cell r="A9244" t="str">
            <v>GABRIEL ELECTRONICS</v>
          </cell>
          <cell r="B9244" t="str">
            <v>GHF3W-23</v>
          </cell>
          <cell r="O9244"/>
          <cell r="T9244"/>
        </row>
        <row r="9245">
          <cell r="A9245" t="str">
            <v>GABRIEL ELECTRONICS</v>
          </cell>
          <cell r="B9245" t="str">
            <v>GHF4-23A</v>
          </cell>
          <cell r="O9245"/>
          <cell r="T9245"/>
        </row>
        <row r="9246">
          <cell r="A9246" t="str">
            <v>GABRIEL ELECTRONICS</v>
          </cell>
          <cell r="B9246" t="str">
            <v>GHF4-25A</v>
          </cell>
          <cell r="O9246"/>
          <cell r="T9246"/>
        </row>
        <row r="9247">
          <cell r="A9247" t="str">
            <v>GABRIEL ELECTRONICS</v>
          </cell>
          <cell r="B9247" t="str">
            <v>GHF4W-23</v>
          </cell>
          <cell r="O9247"/>
          <cell r="T9247"/>
        </row>
        <row r="9248">
          <cell r="A9248" t="str">
            <v>GABRIEL ELECTRONICS</v>
          </cell>
          <cell r="B9248" t="str">
            <v>GHF6-23A</v>
          </cell>
          <cell r="O9248"/>
          <cell r="T9248"/>
        </row>
        <row r="9249">
          <cell r="A9249" t="str">
            <v>GABRIEL ELECTRONICS</v>
          </cell>
          <cell r="B9249" t="str">
            <v>GHF6A-21</v>
          </cell>
          <cell r="O9249"/>
          <cell r="T9249"/>
        </row>
        <row r="9250">
          <cell r="A9250" t="str">
            <v>GABRIEL ELECTRONICS</v>
          </cell>
          <cell r="B9250" t="str">
            <v>GHF6W-23</v>
          </cell>
          <cell r="O9250"/>
          <cell r="T9250"/>
        </row>
        <row r="9251">
          <cell r="A9251" t="str">
            <v>GABRIEL ELECTRONICS</v>
          </cell>
          <cell r="B9251" t="str">
            <v>GHF8-17B</v>
          </cell>
          <cell r="O9251"/>
          <cell r="T9251"/>
        </row>
        <row r="9252">
          <cell r="A9252" t="str">
            <v>GABRIEL ELECTRONICS</v>
          </cell>
          <cell r="B9252" t="str">
            <v>GHF8-23A</v>
          </cell>
          <cell r="O9252"/>
          <cell r="T9252"/>
        </row>
        <row r="9253">
          <cell r="A9253" t="str">
            <v>GABRIEL ELECTRONICS</v>
          </cell>
          <cell r="B9253" t="str">
            <v>GHF8W-23</v>
          </cell>
          <cell r="O9253"/>
          <cell r="T9253"/>
        </row>
        <row r="9254">
          <cell r="A9254" t="str">
            <v>GABRIEL ELECTRONICS</v>
          </cell>
          <cell r="B9254" t="str">
            <v>GLF6-450</v>
          </cell>
          <cell r="O9254"/>
          <cell r="T9254"/>
        </row>
        <row r="9255">
          <cell r="A9255" t="str">
            <v>GABRIEL ELECTRONICS</v>
          </cell>
          <cell r="B9255" t="str">
            <v>HE2-105</v>
          </cell>
          <cell r="O9255"/>
          <cell r="T9255"/>
        </row>
        <row r="9256">
          <cell r="A9256" t="str">
            <v>GABRIEL ELECTRONICS</v>
          </cell>
          <cell r="B9256" t="str">
            <v>HE2-107</v>
          </cell>
          <cell r="O9256"/>
          <cell r="T9256"/>
        </row>
        <row r="9257">
          <cell r="A9257" t="str">
            <v>GABRIEL ELECTRONICS</v>
          </cell>
          <cell r="B9257" t="str">
            <v>HE2-144B</v>
          </cell>
          <cell r="O9257"/>
          <cell r="T9257"/>
        </row>
        <row r="9258">
          <cell r="A9258" t="str">
            <v>GABRIEL ELECTRONICS</v>
          </cell>
          <cell r="B9258" t="str">
            <v>HE2-180A</v>
          </cell>
          <cell r="O9258"/>
          <cell r="T9258"/>
        </row>
        <row r="9259">
          <cell r="A9259" t="str">
            <v>GABRIEL ELECTRONICS</v>
          </cell>
          <cell r="B9259" t="str">
            <v>HE2-180C</v>
          </cell>
          <cell r="O9259"/>
          <cell r="T9259"/>
        </row>
        <row r="9260">
          <cell r="A9260" t="str">
            <v>GABRIEL ELECTRONICS</v>
          </cell>
          <cell r="B9260" t="str">
            <v>HE2.5-180B</v>
          </cell>
          <cell r="O9260"/>
          <cell r="T9260"/>
        </row>
        <row r="9261">
          <cell r="A9261" t="str">
            <v>GABRIEL ELECTRONICS</v>
          </cell>
          <cell r="B9261" t="str">
            <v>HE3-107</v>
          </cell>
          <cell r="O9261"/>
          <cell r="T9261"/>
        </row>
        <row r="9262">
          <cell r="A9262" t="str">
            <v>GABRIEL ELECTRONICS</v>
          </cell>
          <cell r="B9262" t="str">
            <v>HE3-180U</v>
          </cell>
          <cell r="O9262"/>
          <cell r="T9262"/>
        </row>
        <row r="9263">
          <cell r="A9263" t="str">
            <v>GABRIEL ELECTRONICS</v>
          </cell>
          <cell r="B9263" t="str">
            <v>HE4-105</v>
          </cell>
          <cell r="O9263"/>
          <cell r="T9263"/>
        </row>
        <row r="9264">
          <cell r="A9264" t="str">
            <v>GABRIEL ELECTRONICS</v>
          </cell>
          <cell r="B9264" t="str">
            <v>HE4-107</v>
          </cell>
          <cell r="O9264"/>
          <cell r="T9264"/>
        </row>
        <row r="9265">
          <cell r="A9265" t="str">
            <v>GABRIEL ELECTRONICS</v>
          </cell>
          <cell r="B9265" t="str">
            <v>HE4-180A</v>
          </cell>
          <cell r="O9265"/>
          <cell r="T9265"/>
        </row>
        <row r="9266">
          <cell r="A9266" t="str">
            <v>GABRIEL ELECTRONICS</v>
          </cell>
          <cell r="B9266" t="str">
            <v>HE4-180B</v>
          </cell>
          <cell r="O9266"/>
          <cell r="T9266"/>
        </row>
        <row r="9267">
          <cell r="A9267" t="str">
            <v>GABRIEL ELECTRONICS</v>
          </cell>
          <cell r="B9267" t="str">
            <v>HE4-220C</v>
          </cell>
          <cell r="O9267"/>
          <cell r="T9267"/>
        </row>
        <row r="9268">
          <cell r="A9268" t="str">
            <v>GABRIEL ELECTRONICS</v>
          </cell>
          <cell r="B9268" t="str">
            <v>HE6-105</v>
          </cell>
          <cell r="O9268"/>
          <cell r="T9268"/>
        </row>
        <row r="9269">
          <cell r="A9269" t="str">
            <v>GABRIEL ELECTRONICS</v>
          </cell>
          <cell r="B9269" t="str">
            <v>HE6-180B</v>
          </cell>
          <cell r="O9269"/>
          <cell r="T9269"/>
        </row>
        <row r="9270">
          <cell r="A9270" t="str">
            <v>GABRIEL ELECTRONICS</v>
          </cell>
          <cell r="B9270" t="str">
            <v>HED2-107</v>
          </cell>
          <cell r="O9270"/>
          <cell r="T9270"/>
        </row>
        <row r="9271">
          <cell r="A9271" t="str">
            <v>GABRIEL ELECTRONICS</v>
          </cell>
          <cell r="B9271" t="str">
            <v>HED2.5-107</v>
          </cell>
          <cell r="O9271"/>
          <cell r="T9271"/>
        </row>
        <row r="9272">
          <cell r="A9272" t="str">
            <v>GABRIEL ELECTRONICS</v>
          </cell>
          <cell r="B9272" t="str">
            <v>HED3-107</v>
          </cell>
          <cell r="O9272"/>
          <cell r="T9272"/>
        </row>
        <row r="9273">
          <cell r="A9273" t="str">
            <v>GABRIEL ELECTRONICS</v>
          </cell>
          <cell r="B9273" t="str">
            <v>HED4-107</v>
          </cell>
          <cell r="O9273"/>
          <cell r="T9273"/>
        </row>
        <row r="9274">
          <cell r="A9274" t="str">
            <v>GABRIEL ELECTRONICS</v>
          </cell>
          <cell r="B9274" t="str">
            <v>HED6-107</v>
          </cell>
          <cell r="O9274"/>
          <cell r="T9274"/>
        </row>
        <row r="9275">
          <cell r="A9275" t="str">
            <v>GABRIEL ELECTRONICS</v>
          </cell>
          <cell r="B9275" t="str">
            <v>HES1-220</v>
          </cell>
          <cell r="O9275"/>
          <cell r="T9275"/>
        </row>
        <row r="9276">
          <cell r="A9276" t="str">
            <v>GABRIEL ELECTRONICS</v>
          </cell>
          <cell r="B9276" t="str">
            <v>HES2-180</v>
          </cell>
          <cell r="O9276"/>
          <cell r="T9276"/>
        </row>
        <row r="9277">
          <cell r="A9277" t="str">
            <v>GABRIEL ELECTRONICS</v>
          </cell>
          <cell r="B9277" t="str">
            <v>HP-230D48L-U</v>
          </cell>
          <cell r="O9277"/>
          <cell r="T9277"/>
        </row>
        <row r="9278">
          <cell r="A9278" t="str">
            <v>GABRIEL ELECTRONICS</v>
          </cell>
          <cell r="B9278" t="str">
            <v>HP10-23ASE</v>
          </cell>
          <cell r="O9278"/>
          <cell r="T9278"/>
        </row>
        <row r="9279">
          <cell r="A9279" t="str">
            <v>GABRIEL ELECTRONICS</v>
          </cell>
          <cell r="B9279" t="str">
            <v>HP12-23ASE</v>
          </cell>
          <cell r="O9279"/>
          <cell r="T9279"/>
        </row>
        <row r="9280">
          <cell r="A9280" t="str">
            <v>GABRIEL ELECTRONICS</v>
          </cell>
          <cell r="B9280" t="str">
            <v>HP4W-17SE</v>
          </cell>
          <cell r="O9280"/>
          <cell r="T9280"/>
        </row>
        <row r="9281">
          <cell r="A9281" t="str">
            <v>GABRIEL ELECTRONICS</v>
          </cell>
          <cell r="B9281" t="str">
            <v>HP6-23ASE</v>
          </cell>
          <cell r="O9281"/>
          <cell r="T9281"/>
        </row>
        <row r="9282">
          <cell r="A9282" t="str">
            <v>GABRIEL ELECTRONICS</v>
          </cell>
          <cell r="B9282" t="str">
            <v>HQF4-52-N</v>
          </cell>
          <cell r="O9282"/>
          <cell r="T9282"/>
        </row>
        <row r="9283">
          <cell r="A9283" t="str">
            <v>GABRIEL ELECTRONICS</v>
          </cell>
          <cell r="B9283" t="str">
            <v>HQF6-52-N</v>
          </cell>
          <cell r="O9283"/>
          <cell r="T9283"/>
        </row>
        <row r="9284">
          <cell r="A9284" t="str">
            <v>GABRIEL ELECTRONICS</v>
          </cell>
          <cell r="B9284" t="str">
            <v>HQFD2-52-N</v>
          </cell>
          <cell r="O9284"/>
          <cell r="T9284"/>
        </row>
        <row r="9285">
          <cell r="A9285" t="str">
            <v>GABRIEL ELECTRONICS</v>
          </cell>
          <cell r="B9285" t="str">
            <v>HQFD4-52-N</v>
          </cell>
          <cell r="O9285"/>
          <cell r="T9285"/>
        </row>
        <row r="9286">
          <cell r="A9286" t="str">
            <v>GABRIEL ELECTRONICS</v>
          </cell>
          <cell r="B9286" t="str">
            <v>HSS4-57BSE</v>
          </cell>
          <cell r="O9286"/>
          <cell r="T9286"/>
        </row>
        <row r="9287">
          <cell r="A9287" t="str">
            <v>GABRIEL ELECTRONICS</v>
          </cell>
          <cell r="B9287" t="str">
            <v>P-17A120GN-S</v>
          </cell>
          <cell r="O9287"/>
          <cell r="T9287"/>
        </row>
        <row r="9288">
          <cell r="A9288" t="str">
            <v>GABRIEL ELECTRONICS</v>
          </cell>
          <cell r="B9288" t="str">
            <v>P-17A144GN-S</v>
          </cell>
          <cell r="O9288"/>
          <cell r="T9288"/>
        </row>
        <row r="9289">
          <cell r="A9289" t="str">
            <v>GABRIEL ELECTRONICS</v>
          </cell>
          <cell r="B9289" t="str">
            <v>P-17A48GN-U</v>
          </cell>
          <cell r="O9289"/>
          <cell r="T9289"/>
        </row>
        <row r="9290">
          <cell r="A9290" t="str">
            <v>GABRIEL ELECTRONICS</v>
          </cell>
          <cell r="B9290" t="str">
            <v>P-17A72GN-S</v>
          </cell>
          <cell r="O9290"/>
          <cell r="T9290"/>
        </row>
        <row r="9291">
          <cell r="A9291" t="str">
            <v>GABRIEL ELECTRONICS</v>
          </cell>
          <cell r="B9291" t="str">
            <v>P-17A96GE-S</v>
          </cell>
          <cell r="O9291"/>
          <cell r="T9291"/>
        </row>
        <row r="9292">
          <cell r="A9292" t="str">
            <v>GABRIEL ELECTRONICS</v>
          </cell>
          <cell r="B9292" t="str">
            <v>P-17A96GF-S</v>
          </cell>
          <cell r="O9292"/>
          <cell r="T9292"/>
        </row>
        <row r="9293">
          <cell r="A9293" t="str">
            <v>GABRIEL ELECTRONICS</v>
          </cell>
          <cell r="B9293" t="str">
            <v>P-17A96GL-S</v>
          </cell>
          <cell r="O9293"/>
          <cell r="T9293"/>
        </row>
        <row r="9294">
          <cell r="A9294" t="str">
            <v>GABRIEL ELECTRONICS</v>
          </cell>
          <cell r="B9294" t="str">
            <v>P-17A96GN-S</v>
          </cell>
          <cell r="O9294"/>
          <cell r="T9294"/>
        </row>
        <row r="9295">
          <cell r="A9295" t="str">
            <v>GABRIEL ELECTRONICS</v>
          </cell>
          <cell r="B9295" t="str">
            <v>P-17A96GP-S</v>
          </cell>
          <cell r="O9295"/>
          <cell r="T9295"/>
        </row>
        <row r="9296">
          <cell r="A9296" t="str">
            <v>GABRIEL ELECTRONICS</v>
          </cell>
          <cell r="B9296" t="str">
            <v>P-18A48GE-U</v>
          </cell>
          <cell r="O9296"/>
          <cell r="T9296"/>
        </row>
        <row r="9297">
          <cell r="A9297" t="str">
            <v>GABRIEL ELECTRONICS</v>
          </cell>
          <cell r="B9297" t="str">
            <v>P-22A72GE-S</v>
          </cell>
          <cell r="O9297"/>
          <cell r="T9297"/>
        </row>
        <row r="9298">
          <cell r="A9298" t="str">
            <v>GABRIEL ELECTRONICS</v>
          </cell>
          <cell r="B9298" t="str">
            <v>P-22A72GF-S</v>
          </cell>
          <cell r="O9298"/>
          <cell r="T9298"/>
        </row>
        <row r="9299">
          <cell r="A9299" t="str">
            <v>GABRIEL ELECTRONICS</v>
          </cell>
          <cell r="B9299" t="str">
            <v>P-22A72GL-S</v>
          </cell>
          <cell r="O9299"/>
          <cell r="T9299"/>
        </row>
        <row r="9300">
          <cell r="A9300" t="str">
            <v>GABRIEL ELECTRONICS</v>
          </cell>
          <cell r="B9300" t="str">
            <v>P-22A72GN-S</v>
          </cell>
          <cell r="O9300"/>
          <cell r="T9300"/>
        </row>
        <row r="9301">
          <cell r="A9301" t="str">
            <v>GABRIEL ELECTRONICS</v>
          </cell>
          <cell r="B9301" t="str">
            <v>P-22A72GP-S</v>
          </cell>
          <cell r="O9301"/>
          <cell r="T9301"/>
        </row>
        <row r="9302">
          <cell r="A9302" t="str">
            <v>GABRIEL ELECTRONICS</v>
          </cell>
          <cell r="B9302" t="str">
            <v>P-24A120GF-S</v>
          </cell>
          <cell r="O9302"/>
          <cell r="T9302"/>
        </row>
        <row r="9303">
          <cell r="A9303" t="str">
            <v>GABRIEL ELECTRONICS</v>
          </cell>
          <cell r="B9303" t="str">
            <v>P-24A24E-U</v>
          </cell>
          <cell r="O9303"/>
          <cell r="T9303"/>
        </row>
        <row r="9304">
          <cell r="A9304" t="str">
            <v>GABRIEL ELECTRONICS</v>
          </cell>
          <cell r="B9304" t="str">
            <v>P-24A48GN-U</v>
          </cell>
          <cell r="O9304"/>
          <cell r="T9304"/>
        </row>
        <row r="9305">
          <cell r="A9305" t="str">
            <v>GABRIEL ELECTRONICS</v>
          </cell>
          <cell r="B9305" t="str">
            <v>P-24A48GP-U</v>
          </cell>
          <cell r="O9305"/>
          <cell r="T9305"/>
        </row>
        <row r="9306">
          <cell r="A9306" t="str">
            <v>GABRIEL ELECTRONICS</v>
          </cell>
          <cell r="B9306" t="str">
            <v>P-24A72GN-U</v>
          </cell>
          <cell r="O9306"/>
          <cell r="T9306"/>
        </row>
        <row r="9307">
          <cell r="A9307" t="str">
            <v>GABRIEL ELECTRONICS</v>
          </cell>
          <cell r="B9307" t="str">
            <v>P-24A72KGN-U</v>
          </cell>
          <cell r="O9307"/>
          <cell r="T9307"/>
        </row>
        <row r="9308">
          <cell r="A9308" t="str">
            <v>GABRIEL ELECTRONICS</v>
          </cell>
          <cell r="B9308" t="str">
            <v>P-24A96GE-S</v>
          </cell>
          <cell r="O9308"/>
          <cell r="T9308"/>
        </row>
        <row r="9309">
          <cell r="A9309" t="str">
            <v>GABRIEL ELECTRONICS</v>
          </cell>
          <cell r="B9309" t="str">
            <v>P-24A96GF-S</v>
          </cell>
          <cell r="O9309"/>
          <cell r="T9309"/>
        </row>
        <row r="9310">
          <cell r="A9310" t="str">
            <v>GABRIEL ELECTRONICS</v>
          </cell>
          <cell r="B9310" t="str">
            <v>P-24A96GL-S</v>
          </cell>
          <cell r="O9310"/>
          <cell r="T9310"/>
        </row>
        <row r="9311">
          <cell r="A9311" t="str">
            <v>GABRIEL ELECTRONICS</v>
          </cell>
          <cell r="B9311" t="str">
            <v>P-24A96GN-S</v>
          </cell>
          <cell r="O9311"/>
          <cell r="T9311"/>
        </row>
        <row r="9312">
          <cell r="A9312" t="str">
            <v>GABRIEL ELECTRONICS</v>
          </cell>
          <cell r="B9312" t="str">
            <v>P-24A96GP-S</v>
          </cell>
          <cell r="O9312"/>
          <cell r="T9312"/>
        </row>
        <row r="9313">
          <cell r="A9313" t="str">
            <v>GABRIEL ELECTRONICS</v>
          </cell>
          <cell r="B9313" t="str">
            <v>P-24LA72GF-U</v>
          </cell>
          <cell r="O9313"/>
          <cell r="T9313"/>
        </row>
        <row r="9314">
          <cell r="A9314" t="str">
            <v>GABRIEL ELECTRONICS</v>
          </cell>
          <cell r="B9314" t="str">
            <v>P-24LA72GN-U</v>
          </cell>
          <cell r="O9314"/>
          <cell r="T9314"/>
        </row>
        <row r="9315">
          <cell r="A9315" t="str">
            <v>GABRIEL ELECTRONICS</v>
          </cell>
          <cell r="B9315" t="str">
            <v>P-24LA72GP-U</v>
          </cell>
          <cell r="O9315"/>
          <cell r="T9315"/>
        </row>
        <row r="9316">
          <cell r="A9316" t="str">
            <v>GABRIEL ELECTRONICS</v>
          </cell>
          <cell r="B9316" t="str">
            <v>P-25A36GE-U</v>
          </cell>
          <cell r="O9316"/>
          <cell r="T9316"/>
        </row>
        <row r="9317">
          <cell r="A9317" t="str">
            <v>GABRIEL ELECTRONICS</v>
          </cell>
          <cell r="B9317" t="str">
            <v>P-25A36GL-U</v>
          </cell>
          <cell r="O9317"/>
          <cell r="T9317"/>
        </row>
        <row r="9318">
          <cell r="A9318" t="str">
            <v>GABRIEL ELECTRONICS</v>
          </cell>
          <cell r="B9318" t="str">
            <v>P-25A36GN-U</v>
          </cell>
          <cell r="O9318"/>
          <cell r="T9318"/>
        </row>
        <row r="9319">
          <cell r="A9319" t="str">
            <v>GABRIEL ELECTRONICS</v>
          </cell>
          <cell r="B9319" t="str">
            <v>P-25A36GP-U</v>
          </cell>
          <cell r="O9319"/>
          <cell r="T9319"/>
        </row>
        <row r="9320">
          <cell r="A9320" t="str">
            <v>GABRIEL ELECTRONICS</v>
          </cell>
          <cell r="B9320" t="str">
            <v>P-26A48GE-U</v>
          </cell>
          <cell r="O9320"/>
          <cell r="T9320"/>
        </row>
        <row r="9321">
          <cell r="A9321" t="str">
            <v>GABRIEL ELECTRONICS</v>
          </cell>
          <cell r="B9321" t="str">
            <v>P-26A48GF-U</v>
          </cell>
          <cell r="O9321"/>
          <cell r="T9321"/>
        </row>
        <row r="9322">
          <cell r="A9322" t="str">
            <v>GABRIEL ELECTRONICS</v>
          </cell>
          <cell r="B9322" t="str">
            <v>P-26A48GL-U</v>
          </cell>
          <cell r="O9322"/>
          <cell r="T9322"/>
        </row>
        <row r="9323">
          <cell r="A9323" t="str">
            <v>GABRIEL ELECTRONICS</v>
          </cell>
          <cell r="B9323" t="str">
            <v>P-26A48GN-U</v>
          </cell>
          <cell r="O9323"/>
          <cell r="T9323"/>
        </row>
        <row r="9324">
          <cell r="A9324" t="str">
            <v>GABRIEL ELECTRONICS</v>
          </cell>
          <cell r="B9324" t="str">
            <v>P-26A48GP-U</v>
          </cell>
          <cell r="O9324"/>
          <cell r="T9324"/>
        </row>
        <row r="9325">
          <cell r="A9325" t="str">
            <v>GABRIEL ELECTRONICS</v>
          </cell>
          <cell r="B9325" t="str">
            <v>P-6A48GE-U</v>
          </cell>
          <cell r="O9325"/>
          <cell r="T9325"/>
        </row>
        <row r="9326">
          <cell r="A9326" t="str">
            <v>GABRIEL ELECTRONICS</v>
          </cell>
          <cell r="B9326" t="str">
            <v>P-6A48GN-U</v>
          </cell>
          <cell r="O9326"/>
          <cell r="T9326"/>
        </row>
        <row r="9327">
          <cell r="A9327" t="str">
            <v>GABRIEL ELECTRONICS</v>
          </cell>
          <cell r="B9327" t="str">
            <v>P-8A96GP-S</v>
          </cell>
          <cell r="O9327"/>
          <cell r="T9327"/>
        </row>
        <row r="9328">
          <cell r="A9328" t="str">
            <v>GABRIEL ELECTRONICS</v>
          </cell>
          <cell r="B9328" t="str">
            <v>P-9A48GN-U</v>
          </cell>
          <cell r="O9328"/>
          <cell r="T9328"/>
        </row>
        <row r="9329">
          <cell r="A9329" t="str">
            <v>GABRIEL ELECTRONICS</v>
          </cell>
          <cell r="B9329" t="str">
            <v>P-9A72GE-S</v>
          </cell>
          <cell r="O9329"/>
          <cell r="T9329"/>
        </row>
        <row r="9330">
          <cell r="A9330" t="str">
            <v>GABRIEL ELECTRONICS</v>
          </cell>
          <cell r="B9330" t="str">
            <v>P-9A72GF-S</v>
          </cell>
          <cell r="O9330"/>
          <cell r="T9330"/>
        </row>
        <row r="9331">
          <cell r="A9331" t="str">
            <v>GABRIEL ELECTRONICS</v>
          </cell>
          <cell r="B9331" t="str">
            <v>P-9A72GN-S</v>
          </cell>
          <cell r="O9331"/>
          <cell r="T9331"/>
        </row>
        <row r="9332">
          <cell r="A9332" t="str">
            <v>GABRIEL ELECTRONICS</v>
          </cell>
          <cell r="B9332" t="str">
            <v>P-9A72GP-S</v>
          </cell>
          <cell r="O9332"/>
          <cell r="T9332"/>
        </row>
        <row r="9333">
          <cell r="A9333" t="str">
            <v>GABRIEL ELECTRONICS</v>
          </cell>
          <cell r="B9333" t="str">
            <v>P-9A72GP-U</v>
          </cell>
          <cell r="O9333"/>
          <cell r="T9333"/>
        </row>
        <row r="9334">
          <cell r="A9334" t="str">
            <v>GABRIEL ELECTRONICS</v>
          </cell>
          <cell r="B9334" t="str">
            <v>P-9A96GF-S</v>
          </cell>
          <cell r="O9334"/>
          <cell r="T9334"/>
        </row>
        <row r="9335">
          <cell r="A9335" t="str">
            <v>GABRIEL ELECTRONICS</v>
          </cell>
          <cell r="B9335" t="str">
            <v>P-9A96GN-S</v>
          </cell>
          <cell r="O9335"/>
          <cell r="T9335"/>
        </row>
        <row r="9336">
          <cell r="A9336" t="str">
            <v>GABRIEL ELECTRONICS</v>
          </cell>
          <cell r="B9336" t="str">
            <v>P-9LA96GN-S</v>
          </cell>
          <cell r="O9336"/>
          <cell r="T9336"/>
        </row>
        <row r="9337">
          <cell r="A9337" t="str">
            <v>GABRIEL ELECTRONICS</v>
          </cell>
          <cell r="B9337" t="str">
            <v>PE2-180A</v>
          </cell>
          <cell r="O9337"/>
          <cell r="T9337"/>
        </row>
        <row r="9338">
          <cell r="A9338" t="str">
            <v>GABRIEL ELECTRONICS</v>
          </cell>
          <cell r="B9338" t="str">
            <v>PE4-180B</v>
          </cell>
          <cell r="O9338"/>
          <cell r="T9338"/>
        </row>
        <row r="9339">
          <cell r="A9339" t="str">
            <v>GABRIEL ELECTRONICS</v>
          </cell>
          <cell r="B9339" t="str">
            <v>PE4-71</v>
          </cell>
          <cell r="O9339"/>
          <cell r="T9339"/>
        </row>
        <row r="9340">
          <cell r="A9340" t="str">
            <v>GABRIEL ELECTRONICS</v>
          </cell>
          <cell r="B9340" t="str">
            <v>PE6-107</v>
          </cell>
          <cell r="O9340"/>
          <cell r="T9340"/>
        </row>
        <row r="9341">
          <cell r="A9341" t="str">
            <v>GABRIEL ELECTRONICS</v>
          </cell>
          <cell r="B9341" t="str">
            <v>QF2-52</v>
          </cell>
          <cell r="O9341"/>
          <cell r="T9341"/>
        </row>
        <row r="9342">
          <cell r="A9342" t="str">
            <v>GABRIEL ELECTRONICS</v>
          </cell>
          <cell r="B9342" t="str">
            <v>QF2-52-N</v>
          </cell>
          <cell r="O9342"/>
          <cell r="T9342"/>
        </row>
        <row r="9343">
          <cell r="A9343" t="str">
            <v>GABRIEL ELECTRONICS</v>
          </cell>
          <cell r="B9343" t="str">
            <v>QF2.5-52</v>
          </cell>
          <cell r="O9343"/>
          <cell r="T9343"/>
        </row>
        <row r="9344">
          <cell r="A9344" t="str">
            <v>GABRIEL ELECTRONICS</v>
          </cell>
          <cell r="B9344" t="str">
            <v>QF2.5-52-N</v>
          </cell>
          <cell r="O9344"/>
          <cell r="T9344"/>
        </row>
        <row r="9345">
          <cell r="A9345" t="str">
            <v>GABRIEL ELECTRONICS</v>
          </cell>
          <cell r="B9345" t="str">
            <v>QF2.5-52-P</v>
          </cell>
          <cell r="O9345"/>
          <cell r="T9345"/>
        </row>
        <row r="9346">
          <cell r="A9346" t="str">
            <v>GABRIEL ELECTRONICS</v>
          </cell>
          <cell r="B9346" t="str">
            <v>QF4-49-N</v>
          </cell>
          <cell r="O9346"/>
          <cell r="T9346"/>
        </row>
        <row r="9347">
          <cell r="A9347" t="str">
            <v>GABRIEL ELECTRONICS</v>
          </cell>
          <cell r="B9347" t="str">
            <v>QF4-52</v>
          </cell>
          <cell r="O9347"/>
          <cell r="T9347"/>
        </row>
        <row r="9348">
          <cell r="A9348" t="str">
            <v>GABRIEL ELECTRONICS</v>
          </cell>
          <cell r="B9348" t="str">
            <v>QF4-52-N</v>
          </cell>
          <cell r="O9348"/>
          <cell r="T9348"/>
        </row>
        <row r="9349">
          <cell r="A9349" t="str">
            <v>GABRIEL ELECTRONICS</v>
          </cell>
          <cell r="B9349" t="str">
            <v>QF4-52-N-RK</v>
          </cell>
          <cell r="O9349"/>
          <cell r="T9349"/>
        </row>
        <row r="9350">
          <cell r="A9350" t="str">
            <v>GABRIEL ELECTRONICS</v>
          </cell>
          <cell r="B9350" t="str">
            <v>QF6-49-N</v>
          </cell>
          <cell r="O9350"/>
          <cell r="T9350"/>
        </row>
        <row r="9351">
          <cell r="A9351" t="str">
            <v>GABRIEL ELECTRONICS</v>
          </cell>
          <cell r="B9351" t="str">
            <v>QF6-52</v>
          </cell>
          <cell r="O9351"/>
          <cell r="T9351"/>
        </row>
        <row r="9352">
          <cell r="A9352" t="str">
            <v>GABRIEL ELECTRONICS</v>
          </cell>
          <cell r="B9352" t="str">
            <v>QF8-52</v>
          </cell>
          <cell r="O9352"/>
          <cell r="T9352"/>
        </row>
        <row r="9353">
          <cell r="A9353" t="str">
            <v>GABRIEL ELECTRONICS</v>
          </cell>
          <cell r="B9353" t="str">
            <v>QFD2-52-N</v>
          </cell>
          <cell r="O9353"/>
          <cell r="T9353"/>
        </row>
        <row r="9354">
          <cell r="A9354" t="str">
            <v>GABRIEL ELECTRONICS</v>
          </cell>
          <cell r="B9354" t="str">
            <v>QFD2.5-49-N</v>
          </cell>
          <cell r="O9354"/>
          <cell r="T9354"/>
        </row>
        <row r="9355">
          <cell r="A9355" t="str">
            <v>GABRIEL ELECTRONICS</v>
          </cell>
          <cell r="B9355" t="str">
            <v>QFD2.5-52</v>
          </cell>
          <cell r="O9355"/>
          <cell r="T9355"/>
        </row>
        <row r="9356">
          <cell r="A9356" t="str">
            <v>GABRIEL ELECTRONICS</v>
          </cell>
          <cell r="B9356" t="str">
            <v>RDSS10-57CSE</v>
          </cell>
          <cell r="O9356"/>
          <cell r="T9356"/>
        </row>
        <row r="9357">
          <cell r="A9357" t="str">
            <v>GABRIEL ELECTRONICS</v>
          </cell>
          <cell r="B9357" t="str">
            <v>RDSS12-57BSE</v>
          </cell>
          <cell r="O9357"/>
          <cell r="T9357"/>
        </row>
        <row r="9358">
          <cell r="A9358" t="str">
            <v>GABRIEL ELECTRONICS</v>
          </cell>
          <cell r="B9358" t="str">
            <v>RDSS4-57BSE</v>
          </cell>
          <cell r="O9358"/>
          <cell r="T9358"/>
        </row>
        <row r="9359">
          <cell r="A9359" t="str">
            <v>GABRIEL ELECTRONICS</v>
          </cell>
          <cell r="B9359" t="str">
            <v>RDSS6-57BSE</v>
          </cell>
          <cell r="O9359"/>
          <cell r="T9359"/>
        </row>
        <row r="9360">
          <cell r="A9360" t="str">
            <v>GABRIEL ELECTRONICS</v>
          </cell>
          <cell r="B9360" t="str">
            <v>RDSS8-57CSE</v>
          </cell>
          <cell r="O9360"/>
          <cell r="T9360"/>
        </row>
        <row r="9361">
          <cell r="A9361" t="str">
            <v>GABRIEL ELECTRONICS</v>
          </cell>
          <cell r="B9361" t="str">
            <v>RF4W-122BSE</v>
          </cell>
          <cell r="O9361"/>
          <cell r="T9361"/>
        </row>
        <row r="9362">
          <cell r="A9362" t="str">
            <v>GABRIEL ELECTRONICS</v>
          </cell>
          <cell r="B9362" t="str">
            <v>RF6-105BSE</v>
          </cell>
          <cell r="O9362"/>
          <cell r="T9362"/>
        </row>
        <row r="9363">
          <cell r="A9363" t="str">
            <v>GABRIEL ELECTRONICS</v>
          </cell>
          <cell r="B9363" t="str">
            <v>RF6W-122BSE</v>
          </cell>
          <cell r="O9363"/>
          <cell r="T9363"/>
        </row>
        <row r="9364">
          <cell r="A9364" t="str">
            <v>GABRIEL ELECTRONICS</v>
          </cell>
          <cell r="B9364" t="str">
            <v>RFF2-23BSE</v>
          </cell>
          <cell r="O9364"/>
          <cell r="T9364"/>
        </row>
        <row r="9365">
          <cell r="A9365" t="str">
            <v>GABRIEL ELECTRONICS</v>
          </cell>
          <cell r="B9365" t="str">
            <v>RFF2W-23SE</v>
          </cell>
          <cell r="O9365"/>
          <cell r="T9365"/>
        </row>
        <row r="9366">
          <cell r="A9366" t="str">
            <v>GABRIEL ELECTRONICS</v>
          </cell>
          <cell r="B9366" t="str">
            <v>RFF4-23ASE</v>
          </cell>
          <cell r="O9366"/>
          <cell r="T9366"/>
        </row>
        <row r="9367">
          <cell r="A9367" t="str">
            <v>GABRIEL ELECTRONICS</v>
          </cell>
          <cell r="B9367" t="str">
            <v>RFF4-940BSE</v>
          </cell>
          <cell r="O9367"/>
          <cell r="T9367"/>
        </row>
        <row r="9368">
          <cell r="A9368" t="str">
            <v>GABRIEL ELECTRONICS</v>
          </cell>
          <cell r="B9368" t="str">
            <v>RFF6-13SE</v>
          </cell>
          <cell r="O9368"/>
          <cell r="T9368"/>
        </row>
        <row r="9369">
          <cell r="A9369" t="str">
            <v>GABRIEL ELECTRONICS</v>
          </cell>
          <cell r="B9369" t="str">
            <v>RFF8-22SE</v>
          </cell>
          <cell r="O9369"/>
          <cell r="T9369"/>
        </row>
        <row r="9370">
          <cell r="A9370" t="str">
            <v>GABRIEL ELECTRONICS</v>
          </cell>
          <cell r="B9370" t="str">
            <v>RFF8-23ASE</v>
          </cell>
          <cell r="O9370"/>
          <cell r="T9370"/>
        </row>
        <row r="9371">
          <cell r="A9371" t="str">
            <v>GABRIEL ELECTRONICS</v>
          </cell>
          <cell r="B9371" t="str">
            <v>RFF8-940CSE</v>
          </cell>
          <cell r="O9371"/>
          <cell r="T9371"/>
        </row>
        <row r="9372">
          <cell r="A9372" t="str">
            <v>GABRIEL ELECTRONICS</v>
          </cell>
          <cell r="B9372" t="str">
            <v>RSS10-57CSE</v>
          </cell>
          <cell r="O9372"/>
          <cell r="T9372"/>
        </row>
        <row r="9373">
          <cell r="A9373" t="str">
            <v>GABRIEL ELECTRONICS</v>
          </cell>
          <cell r="B9373" t="str">
            <v>RSS12-57BSE</v>
          </cell>
          <cell r="O9373"/>
          <cell r="T9373"/>
        </row>
        <row r="9374">
          <cell r="A9374" t="str">
            <v>GABRIEL ELECTRONICS</v>
          </cell>
          <cell r="B9374" t="str">
            <v>RSS2-57BSE</v>
          </cell>
          <cell r="O9374"/>
          <cell r="T9374"/>
        </row>
        <row r="9375">
          <cell r="A9375" t="str">
            <v>GABRIEL ELECTRONICS</v>
          </cell>
          <cell r="B9375" t="str">
            <v>RSS4-57CSE</v>
          </cell>
          <cell r="O9375"/>
          <cell r="T9375"/>
        </row>
        <row r="9376">
          <cell r="A9376" t="str">
            <v>GABRIEL ELECTRONICS</v>
          </cell>
          <cell r="B9376" t="str">
            <v>RSS6-57CSE</v>
          </cell>
          <cell r="O9376"/>
          <cell r="T9376"/>
        </row>
        <row r="9377">
          <cell r="A9377" t="str">
            <v>GABRIEL ELECTRONICS</v>
          </cell>
          <cell r="B9377" t="str">
            <v>RSS8-57ASE</v>
          </cell>
          <cell r="O9377"/>
          <cell r="T9377"/>
        </row>
        <row r="9378">
          <cell r="A9378" t="str">
            <v>GABRIEL ELECTRONICS</v>
          </cell>
          <cell r="B9378" t="str">
            <v>RSS8-57CSE</v>
          </cell>
          <cell r="O9378"/>
          <cell r="T9378"/>
        </row>
        <row r="9379">
          <cell r="A9379" t="str">
            <v>GABRIEL ELECTRONICS</v>
          </cell>
          <cell r="B9379" t="str">
            <v>SPP4-23B</v>
          </cell>
          <cell r="O9379"/>
          <cell r="T9379"/>
        </row>
        <row r="9380">
          <cell r="A9380" t="str">
            <v>GABRIEL ELECTRONICS</v>
          </cell>
          <cell r="B9380" t="str">
            <v>SR10-107SE</v>
          </cell>
          <cell r="O9380"/>
          <cell r="T9380"/>
        </row>
        <row r="9381">
          <cell r="A9381" t="str">
            <v>GABRIEL ELECTRONICS</v>
          </cell>
          <cell r="B9381" t="str">
            <v>SR6-107SE</v>
          </cell>
          <cell r="O9381"/>
          <cell r="T9381"/>
        </row>
        <row r="9382">
          <cell r="A9382" t="str">
            <v>GABRIEL ELECTRONICS</v>
          </cell>
          <cell r="B9382" t="str">
            <v>SR6-59CSE</v>
          </cell>
          <cell r="O9382"/>
          <cell r="T9382"/>
        </row>
        <row r="9383">
          <cell r="A9383" t="str">
            <v>GABRIEL ELECTRONICS</v>
          </cell>
          <cell r="B9383" t="str">
            <v>SR6-64DSE</v>
          </cell>
          <cell r="O9383"/>
          <cell r="T9383"/>
        </row>
        <row r="9384">
          <cell r="A9384" t="str">
            <v>GABRIEL ELECTRONICS</v>
          </cell>
          <cell r="B9384" t="str">
            <v>SR8-107SE</v>
          </cell>
          <cell r="O9384"/>
          <cell r="T9384"/>
        </row>
        <row r="9385">
          <cell r="A9385" t="str">
            <v>GABRIEL ELECTRONICS</v>
          </cell>
          <cell r="B9385" t="str">
            <v>SR8-64CSE</v>
          </cell>
          <cell r="O9385"/>
          <cell r="T9385"/>
        </row>
        <row r="9386">
          <cell r="A9386" t="str">
            <v>GABRIEL ELECTRONICS</v>
          </cell>
          <cell r="B9386" t="str">
            <v>SRD15L-77</v>
          </cell>
          <cell r="O9386"/>
          <cell r="T9386"/>
        </row>
        <row r="9387">
          <cell r="A9387" t="str">
            <v>GABRIEL ELECTRONICS</v>
          </cell>
          <cell r="B9387" t="str">
            <v>SRD6-59BSE</v>
          </cell>
          <cell r="O9387"/>
          <cell r="T9387"/>
        </row>
        <row r="9388">
          <cell r="A9388" t="str">
            <v>GABRIEL ELECTRONICS</v>
          </cell>
          <cell r="B9388" t="str">
            <v>SRD8-59ASE</v>
          </cell>
          <cell r="O9388"/>
          <cell r="T9388"/>
        </row>
        <row r="9389">
          <cell r="A9389" t="str">
            <v>GABRIEL ELECTRONICS</v>
          </cell>
          <cell r="B9389" t="str">
            <v>SSD2-52A</v>
          </cell>
          <cell r="O9389"/>
          <cell r="T9389"/>
        </row>
        <row r="9390">
          <cell r="A9390" t="str">
            <v>GABRIEL ELECTRONICS</v>
          </cell>
          <cell r="B9390" t="str">
            <v>SSD4-23</v>
          </cell>
          <cell r="O9390"/>
          <cell r="T9390"/>
        </row>
        <row r="9391">
          <cell r="A9391" t="str">
            <v>GABRIEL ELECTRONICS</v>
          </cell>
          <cell r="B9391" t="str">
            <v>SSD4-23A</v>
          </cell>
          <cell r="O9391"/>
          <cell r="T9391"/>
        </row>
        <row r="9392">
          <cell r="A9392" t="str">
            <v>GABRIEL ELECTRONICS</v>
          </cell>
          <cell r="B9392" t="str">
            <v>SSD4-52A</v>
          </cell>
          <cell r="O9392"/>
          <cell r="T9392"/>
        </row>
        <row r="9393">
          <cell r="A9393" t="str">
            <v>GABRIEL ELECTRONICS</v>
          </cell>
          <cell r="B9393" t="str">
            <v>SSD8-23</v>
          </cell>
          <cell r="O9393"/>
          <cell r="T9393"/>
        </row>
        <row r="9394">
          <cell r="A9394" t="str">
            <v>GABRIEL ELECTRONICS</v>
          </cell>
          <cell r="B9394" t="str">
            <v>SSG3-23</v>
          </cell>
          <cell r="O9394"/>
          <cell r="T9394"/>
        </row>
        <row r="9395">
          <cell r="A9395" t="str">
            <v>GABRIEL ELECTRONICS</v>
          </cell>
          <cell r="B9395" t="str">
            <v>SSG3-23A</v>
          </cell>
          <cell r="O9395"/>
          <cell r="T9395"/>
        </row>
        <row r="9396">
          <cell r="A9396" t="str">
            <v>GABRIEL ELECTRONICS</v>
          </cell>
          <cell r="B9396" t="str">
            <v>SSG4-23</v>
          </cell>
          <cell r="O9396"/>
          <cell r="T9396"/>
        </row>
        <row r="9397">
          <cell r="A9397" t="str">
            <v>GABRIEL ELECTRONICS</v>
          </cell>
          <cell r="B9397" t="str">
            <v>SSG4-23A</v>
          </cell>
          <cell r="O9397"/>
          <cell r="T9397"/>
        </row>
        <row r="9398">
          <cell r="A9398" t="str">
            <v>GABRIEL ELECTRONICS</v>
          </cell>
          <cell r="B9398" t="str">
            <v>SSG6-23</v>
          </cell>
          <cell r="O9398"/>
          <cell r="T9398"/>
        </row>
        <row r="9399">
          <cell r="A9399" t="str">
            <v>GABRIEL ELECTRONICS</v>
          </cell>
          <cell r="B9399" t="str">
            <v>SSG6-23A</v>
          </cell>
          <cell r="O9399"/>
          <cell r="T9399"/>
        </row>
        <row r="9400">
          <cell r="A9400" t="str">
            <v>GABRIEL ELECTRONICS</v>
          </cell>
          <cell r="B9400" t="str">
            <v>SSG8-23</v>
          </cell>
          <cell r="O9400"/>
          <cell r="T9400"/>
        </row>
        <row r="9401">
          <cell r="A9401" t="str">
            <v>GABRIEL ELECTRONICS</v>
          </cell>
          <cell r="B9401" t="str">
            <v>SSI812465-10DISH</v>
          </cell>
          <cell r="O9401"/>
          <cell r="T9401"/>
        </row>
        <row r="9402">
          <cell r="A9402" t="str">
            <v>GABRIEL ELECTRONICS</v>
          </cell>
          <cell r="B9402" t="str">
            <v>SSI815554G230</v>
          </cell>
          <cell r="O9402"/>
          <cell r="T9402"/>
        </row>
        <row r="9403">
          <cell r="A9403" t="str">
            <v>GABRIEL ELECTRONICS</v>
          </cell>
          <cell r="B9403" t="str">
            <v>SSI816752M187</v>
          </cell>
          <cell r="O9403"/>
          <cell r="T9403"/>
        </row>
        <row r="9404">
          <cell r="A9404" t="str">
            <v>GABRIEL ELECTRONICS</v>
          </cell>
          <cell r="B9404" t="str">
            <v>SSI816752M263</v>
          </cell>
          <cell r="O9404"/>
          <cell r="T9404"/>
        </row>
        <row r="9405">
          <cell r="A9405" t="str">
            <v>GABRIEL ELECTRONICS</v>
          </cell>
          <cell r="B9405" t="str">
            <v>SSP1-2357</v>
          </cell>
          <cell r="O9405"/>
          <cell r="T9405"/>
        </row>
        <row r="9406">
          <cell r="A9406" t="str">
            <v>GABRIEL ELECTRONICS</v>
          </cell>
          <cell r="B9406" t="str">
            <v>SSP2-23</v>
          </cell>
          <cell r="O9406"/>
          <cell r="T9406"/>
        </row>
        <row r="9407">
          <cell r="A9407" t="str">
            <v>GABRIEL ELECTRONICS</v>
          </cell>
          <cell r="B9407" t="str">
            <v>SSP2-2357</v>
          </cell>
          <cell r="O9407"/>
          <cell r="T9407"/>
        </row>
        <row r="9408">
          <cell r="A9408" t="str">
            <v>GABRIEL ELECTRONICS</v>
          </cell>
          <cell r="B9408" t="str">
            <v>SSP2-23A</v>
          </cell>
          <cell r="O9408"/>
          <cell r="T9408"/>
        </row>
        <row r="9409">
          <cell r="A9409" t="str">
            <v>GABRIEL ELECTRONICS</v>
          </cell>
          <cell r="B9409" t="str">
            <v>SSP2-52A</v>
          </cell>
          <cell r="O9409"/>
          <cell r="T9409"/>
        </row>
        <row r="9410">
          <cell r="A9410" t="str">
            <v>GABRIEL ELECTRONICS</v>
          </cell>
          <cell r="B9410" t="str">
            <v>SSP2-52B</v>
          </cell>
          <cell r="O9410"/>
          <cell r="T9410"/>
        </row>
        <row r="9411">
          <cell r="A9411" t="str">
            <v>GABRIEL ELECTRONICS</v>
          </cell>
          <cell r="B9411" t="str">
            <v>SSP4-23</v>
          </cell>
          <cell r="O9411"/>
          <cell r="T9411"/>
        </row>
        <row r="9412">
          <cell r="A9412" t="str">
            <v>GABRIEL ELECTRONICS</v>
          </cell>
          <cell r="B9412" t="str">
            <v>SSP4-2357</v>
          </cell>
          <cell r="O9412"/>
          <cell r="T9412"/>
        </row>
        <row r="9413">
          <cell r="A9413" t="str">
            <v>GABRIEL ELECTRONICS</v>
          </cell>
          <cell r="B9413" t="str">
            <v>SSP4-23B</v>
          </cell>
          <cell r="O9413"/>
          <cell r="T9413"/>
        </row>
        <row r="9414">
          <cell r="A9414" t="str">
            <v>GABRIEL ELECTRONICS</v>
          </cell>
          <cell r="B9414" t="str">
            <v>SSP4-524</v>
          </cell>
          <cell r="O9414"/>
          <cell r="T9414"/>
        </row>
        <row r="9415">
          <cell r="A9415" t="str">
            <v>GABRIEL ELECTRONICS</v>
          </cell>
          <cell r="B9415" t="str">
            <v>SSP4-52A</v>
          </cell>
          <cell r="O9415"/>
          <cell r="T9415"/>
        </row>
        <row r="9416">
          <cell r="A9416" t="str">
            <v>GABRIEL ELECTRONICS</v>
          </cell>
          <cell r="B9416" t="str">
            <v>SSP4-52B</v>
          </cell>
          <cell r="O9416"/>
          <cell r="T9416"/>
        </row>
        <row r="9417">
          <cell r="A9417" t="str">
            <v>GABRIEL ELECTRONICS</v>
          </cell>
          <cell r="B9417" t="str">
            <v>SSP6-23</v>
          </cell>
          <cell r="O9417"/>
          <cell r="T9417"/>
        </row>
        <row r="9418">
          <cell r="A9418" t="str">
            <v>GABRIEL ELECTRONICS</v>
          </cell>
          <cell r="B9418" t="str">
            <v>SSP6-2357</v>
          </cell>
          <cell r="O9418"/>
          <cell r="T9418"/>
        </row>
        <row r="9419">
          <cell r="A9419" t="str">
            <v>GABRIEL ELECTRONICS</v>
          </cell>
          <cell r="B9419" t="str">
            <v>SSP6-52A</v>
          </cell>
          <cell r="O9419"/>
          <cell r="T9419"/>
        </row>
        <row r="9420">
          <cell r="A9420" t="str">
            <v>GABRIEL ELECTRONICS</v>
          </cell>
          <cell r="B9420" t="str">
            <v>SSP6-57</v>
          </cell>
          <cell r="O9420"/>
          <cell r="T9420"/>
        </row>
        <row r="9421">
          <cell r="A9421" t="str">
            <v>GABRIEL ELECTRONICS</v>
          </cell>
          <cell r="B9421" t="str">
            <v>UCC10-107BSE</v>
          </cell>
          <cell r="O9421"/>
          <cell r="T9421"/>
        </row>
        <row r="9422">
          <cell r="A9422" t="str">
            <v>GABRIEL ELECTRONICS</v>
          </cell>
          <cell r="B9422" t="str">
            <v>UCC10-59CSE</v>
          </cell>
          <cell r="O9422"/>
          <cell r="T9422"/>
        </row>
        <row r="9423">
          <cell r="A9423" t="str">
            <v>GABRIEL ELECTRONICS</v>
          </cell>
          <cell r="B9423" t="str">
            <v>UCC12-59BSE</v>
          </cell>
          <cell r="O9423"/>
          <cell r="T9423"/>
        </row>
        <row r="9424">
          <cell r="A9424" t="str">
            <v>GABRIEL ELECTRONICS</v>
          </cell>
          <cell r="B9424" t="str">
            <v>UCC4-107ASE</v>
          </cell>
          <cell r="O9424"/>
          <cell r="T9424"/>
        </row>
        <row r="9425">
          <cell r="A9425" t="str">
            <v>GABRIEL ELECTRONICS</v>
          </cell>
          <cell r="B9425" t="str">
            <v>UCC6-59ASE</v>
          </cell>
          <cell r="O9425"/>
          <cell r="T9425"/>
        </row>
        <row r="9426">
          <cell r="A9426" t="str">
            <v>GABRIEL ELECTRONICS</v>
          </cell>
          <cell r="B9426" t="str">
            <v>UCC8-107SE</v>
          </cell>
          <cell r="O9426"/>
          <cell r="T9426"/>
        </row>
        <row r="9427">
          <cell r="A9427" t="str">
            <v>GABRIEL ELECTRONICS</v>
          </cell>
          <cell r="B9427" t="str">
            <v>UCC8-59BSE</v>
          </cell>
          <cell r="O9427"/>
          <cell r="T9427"/>
        </row>
        <row r="9428">
          <cell r="A9428" t="str">
            <v>GABRIEL ELECTRONICS</v>
          </cell>
          <cell r="B9428" t="str">
            <v>USR10P-59</v>
          </cell>
          <cell r="O9428"/>
          <cell r="T9428"/>
        </row>
        <row r="9429">
          <cell r="A9429" t="str">
            <v>GABRIEL ELECTRONICS</v>
          </cell>
          <cell r="B9429" t="str">
            <v>USR12P-59</v>
          </cell>
          <cell r="O9429"/>
          <cell r="T9429"/>
        </row>
        <row r="9430">
          <cell r="A9430" t="str">
            <v>GABRIEL ELECTRONICS</v>
          </cell>
          <cell r="B9430" t="str">
            <v>USR15P-59</v>
          </cell>
          <cell r="O9430"/>
          <cell r="T9430"/>
        </row>
        <row r="9431">
          <cell r="A9431" t="str">
            <v>GABRIEL ELECTRONICS</v>
          </cell>
          <cell r="B9431" t="str">
            <v>USR6P-59</v>
          </cell>
          <cell r="O9431"/>
          <cell r="T9431"/>
        </row>
        <row r="9432">
          <cell r="A9432" t="str">
            <v>GABRIEL ELECTRONICS</v>
          </cell>
          <cell r="B9432" t="str">
            <v>USR8P-3J107</v>
          </cell>
          <cell r="O9432"/>
          <cell r="T9432"/>
        </row>
        <row r="9433">
          <cell r="A9433" t="str">
            <v>GABRIEL ELECTRONICS</v>
          </cell>
          <cell r="B9433" t="str">
            <v>USR8P-59</v>
          </cell>
          <cell r="O9433"/>
          <cell r="T9433"/>
        </row>
        <row r="9434">
          <cell r="A9434" t="str">
            <v>GALTRONICS</v>
          </cell>
          <cell r="B9434" t="str">
            <v>04119261-05977-1</v>
          </cell>
          <cell r="O9434">
            <v>1.7673128352168599</v>
          </cell>
          <cell r="T9434">
            <v>0.71560632848751204</v>
          </cell>
        </row>
        <row r="9435">
          <cell r="A9435" t="str">
            <v>GALTRONICS</v>
          </cell>
          <cell r="B9435" t="str">
            <v>D5777I</v>
          </cell>
          <cell r="O9435">
            <v>9.9401885359539293</v>
          </cell>
          <cell r="T9435">
            <v>1.85449556251486</v>
          </cell>
        </row>
        <row r="9436">
          <cell r="A9436" t="str">
            <v>GALTRONICS</v>
          </cell>
          <cell r="B9436" t="str">
            <v>GC2418-07324</v>
          </cell>
          <cell r="O9436"/>
          <cell r="T9436"/>
        </row>
        <row r="9437">
          <cell r="A9437" t="str">
            <v>GALTRONICS</v>
          </cell>
          <cell r="B9437" t="str">
            <v>GD4806-07346</v>
          </cell>
          <cell r="O9437"/>
          <cell r="T9437"/>
        </row>
        <row r="9438">
          <cell r="A9438" t="str">
            <v>GALTRONICS</v>
          </cell>
          <cell r="B9438" t="str">
            <v>GP2414-06844_20210218</v>
          </cell>
          <cell r="O9438"/>
          <cell r="T9438"/>
        </row>
        <row r="9439">
          <cell r="A9439" t="str">
            <v>GALTRONICS</v>
          </cell>
          <cell r="B9439" t="str">
            <v>GP2414-07326</v>
          </cell>
          <cell r="O9439">
            <v>1.8833468364197499</v>
          </cell>
          <cell r="T9439">
            <v>0.91866512888767704</v>
          </cell>
        </row>
        <row r="9440">
          <cell r="A9440" t="str">
            <v>GALTRONICS</v>
          </cell>
          <cell r="B9440" t="str">
            <v>GP3324-07769_20220926</v>
          </cell>
          <cell r="O9440"/>
          <cell r="T9440"/>
        </row>
        <row r="9441">
          <cell r="A9441" t="str">
            <v>GALTRONICS</v>
          </cell>
          <cell r="B9441" t="str">
            <v>GP3608-07429</v>
          </cell>
          <cell r="O9441">
            <v>2.8292373564831701</v>
          </cell>
          <cell r="T9441">
            <v>1.39526014265057</v>
          </cell>
        </row>
        <row r="9442">
          <cell r="A9442" t="str">
            <v>GALTRONICS</v>
          </cell>
          <cell r="B9442" t="str">
            <v>GP3608-B7429</v>
          </cell>
          <cell r="O9442">
            <v>2.8292373564831701</v>
          </cell>
          <cell r="T9442">
            <v>1.39526014265057</v>
          </cell>
        </row>
        <row r="9443">
          <cell r="A9443" t="str">
            <v>GALTRONICS</v>
          </cell>
          <cell r="B9443" t="str">
            <v>GP4812-08038_20240620</v>
          </cell>
          <cell r="O9443"/>
          <cell r="T9443"/>
        </row>
        <row r="9444">
          <cell r="A9444" t="str">
            <v>GALTRONICS</v>
          </cell>
          <cell r="B9444" t="str">
            <v>GP5112-07799_20230906_TMO</v>
          </cell>
          <cell r="O9444"/>
          <cell r="T9444"/>
        </row>
        <row r="9445">
          <cell r="A9445" t="str">
            <v>GALTRONICS</v>
          </cell>
          <cell r="B9445" t="str">
            <v>GP5124-07276</v>
          </cell>
          <cell r="O9445">
            <v>18.508017509888401</v>
          </cell>
          <cell r="T9445">
            <v>3.5072940604898801</v>
          </cell>
        </row>
        <row r="9446">
          <cell r="A9446" t="str">
            <v>GALTRONICS</v>
          </cell>
          <cell r="B9446" t="str">
            <v>GP6436-07695</v>
          </cell>
          <cell r="O9446">
            <v>32.467715938760385</v>
          </cell>
          <cell r="T9446">
            <v>5.4285339544661797</v>
          </cell>
        </row>
        <row r="9447">
          <cell r="A9447" t="str">
            <v>GALTRONICS</v>
          </cell>
          <cell r="B9447" t="str">
            <v>GP6436-07883_202310</v>
          </cell>
          <cell r="O9447"/>
          <cell r="T9447"/>
        </row>
        <row r="9448">
          <cell r="A9448" t="str">
            <v>GALTRONICS</v>
          </cell>
          <cell r="B9448" t="str">
            <v>GP6548-07642_20220720</v>
          </cell>
          <cell r="O9448"/>
          <cell r="T9448"/>
        </row>
        <row r="9449">
          <cell r="A9449" t="str">
            <v>GALTRONICS</v>
          </cell>
          <cell r="B9449" t="str">
            <v>GP6548-07983_20230809</v>
          </cell>
          <cell r="O9449"/>
          <cell r="T9449"/>
        </row>
        <row r="9450">
          <cell r="A9450" t="str">
            <v>GALTRONICS</v>
          </cell>
          <cell r="B9450" t="str">
            <v>GP7112-07041</v>
          </cell>
          <cell r="O9450"/>
          <cell r="T9450"/>
        </row>
        <row r="9451">
          <cell r="A9451" t="str">
            <v>GALTRONICS</v>
          </cell>
          <cell r="B9451" t="str">
            <v>GP7204-06852</v>
          </cell>
          <cell r="O9451">
            <v>12.3436305421288</v>
          </cell>
          <cell r="T9451">
            <v>5.1014066760054195</v>
          </cell>
        </row>
        <row r="9452">
          <cell r="A9452" t="str">
            <v>GALTRONICS</v>
          </cell>
          <cell r="B9452" t="str">
            <v>GP9604-06691</v>
          </cell>
          <cell r="O9452">
            <v>16.884119405864197</v>
          </cell>
          <cell r="T9452">
            <v>6.9790514143687599</v>
          </cell>
        </row>
        <row r="9453">
          <cell r="A9453" t="str">
            <v>GALTRONICS</v>
          </cell>
          <cell r="B9453" t="str">
            <v>GQ2410-B6621</v>
          </cell>
          <cell r="O9453"/>
          <cell r="T9453"/>
        </row>
        <row r="9454">
          <cell r="A9454" t="str">
            <v>GALTRONICS</v>
          </cell>
          <cell r="B9454" t="str">
            <v>GQ2418-07488</v>
          </cell>
          <cell r="O9454"/>
          <cell r="T9454"/>
        </row>
        <row r="9455">
          <cell r="A9455" t="str">
            <v>GB ANTENNAS</v>
          </cell>
          <cell r="B9455" t="str">
            <v>GB 9 ELM</v>
          </cell>
          <cell r="O9455"/>
          <cell r="T9455"/>
        </row>
        <row r="9456">
          <cell r="A9456" t="str">
            <v>GE MDS</v>
          </cell>
          <cell r="B9456" t="str">
            <v>97-3194A16</v>
          </cell>
          <cell r="O9456"/>
          <cell r="T9456"/>
        </row>
        <row r="9457">
          <cell r="A9457" t="str">
            <v>GE MDS</v>
          </cell>
          <cell r="B9457" t="str">
            <v>97-3194A17</v>
          </cell>
          <cell r="O9457"/>
          <cell r="T9457"/>
        </row>
        <row r="9458">
          <cell r="A9458" t="str">
            <v>GE MDS</v>
          </cell>
          <cell r="B9458" t="str">
            <v>97-3194A20</v>
          </cell>
          <cell r="O9458"/>
          <cell r="T9458"/>
        </row>
        <row r="9459">
          <cell r="A9459" t="str">
            <v>GE MDS</v>
          </cell>
          <cell r="B9459" t="str">
            <v>INTREPID ODU ANTENNA</v>
          </cell>
          <cell r="O9459"/>
          <cell r="T9459"/>
        </row>
        <row r="9460">
          <cell r="A9460" t="str">
            <v>GEMTEK TECHNOLOGY CO. LTD</v>
          </cell>
          <cell r="B9460" t="str">
            <v>ANTDD-100</v>
          </cell>
          <cell r="O9460"/>
          <cell r="T9460"/>
        </row>
        <row r="9461">
          <cell r="A9461" t="str">
            <v>GENERAL DYNAMICS</v>
          </cell>
          <cell r="B9461" t="str">
            <v>1132</v>
          </cell>
          <cell r="O9461"/>
          <cell r="T9461"/>
        </row>
        <row r="9462">
          <cell r="A9462" t="str">
            <v>GENERAL DYNAMICS</v>
          </cell>
          <cell r="B9462" t="str">
            <v>2194</v>
          </cell>
          <cell r="O9462"/>
          <cell r="T9462"/>
        </row>
        <row r="9463">
          <cell r="A9463" t="str">
            <v>GENERAL DYNAMICS</v>
          </cell>
          <cell r="B9463" t="str">
            <v>3180</v>
          </cell>
          <cell r="O9463"/>
          <cell r="T9463"/>
        </row>
        <row r="9464">
          <cell r="A9464" t="str">
            <v>GENERAL DYNAMICS</v>
          </cell>
          <cell r="B9464" t="str">
            <v>3892</v>
          </cell>
          <cell r="O9464"/>
          <cell r="T9464"/>
        </row>
        <row r="9465">
          <cell r="A9465" t="str">
            <v>GENERAL DYNAMICS</v>
          </cell>
          <cell r="B9465" t="str">
            <v>CAMERA 1</v>
          </cell>
          <cell r="O9465"/>
          <cell r="T9465"/>
        </row>
        <row r="9466">
          <cell r="A9466" t="str">
            <v>GENERAL DYNAMICS</v>
          </cell>
          <cell r="B9466" t="str">
            <v>P-24A48GN-U</v>
          </cell>
          <cell r="O9466"/>
          <cell r="T9466"/>
        </row>
        <row r="9467">
          <cell r="A9467" t="str">
            <v>GENERAL DYNAMICS</v>
          </cell>
          <cell r="B9467" t="str">
            <v>P-9A48GN-U</v>
          </cell>
          <cell r="O9467"/>
          <cell r="T9467"/>
        </row>
        <row r="9468">
          <cell r="A9468" t="str">
            <v>GENERAL DYNAMICS</v>
          </cell>
          <cell r="B9468" t="str">
            <v>UVU-200</v>
          </cell>
          <cell r="O9468"/>
          <cell r="T9468"/>
        </row>
        <row r="9469">
          <cell r="A9469" t="str">
            <v>GENERIC</v>
          </cell>
          <cell r="B9469" t="str">
            <v>36"x36"x19.2"_50lb</v>
          </cell>
          <cell r="O9469"/>
          <cell r="T9469"/>
        </row>
        <row r="9470">
          <cell r="A9470" t="str">
            <v>GENERIC</v>
          </cell>
          <cell r="B9470" t="str">
            <v>DUMMY ANTENNA</v>
          </cell>
          <cell r="O9470"/>
          <cell r="T9470"/>
        </row>
        <row r="9471">
          <cell r="A9471" t="str">
            <v>GENERIC</v>
          </cell>
          <cell r="B9471" t="str">
            <v>NF1411208</v>
          </cell>
          <cell r="O9471"/>
          <cell r="T9471"/>
        </row>
        <row r="9472">
          <cell r="A9472" t="str">
            <v>GEOSAT</v>
          </cell>
          <cell r="B9472" t="str">
            <v>GEOSAT-36</v>
          </cell>
          <cell r="O9472"/>
          <cell r="T9472"/>
        </row>
        <row r="9473">
          <cell r="A9473" t="str">
            <v>GERALD</v>
          </cell>
          <cell r="B9473" t="str">
            <v>SSI800368Y244</v>
          </cell>
          <cell r="O9473"/>
          <cell r="T9473"/>
        </row>
        <row r="9474">
          <cell r="A9474" t="str">
            <v>GILAT SATELLITE NETWORKS</v>
          </cell>
          <cell r="B9474" t="str">
            <v>AT2191/2193</v>
          </cell>
          <cell r="O9474"/>
          <cell r="T9474"/>
        </row>
        <row r="9475">
          <cell r="A9475" t="str">
            <v>GLOBAL SAT TECHNOLOGY</v>
          </cell>
          <cell r="B9475" t="str">
            <v>AT-65</v>
          </cell>
          <cell r="O9475"/>
          <cell r="T9475"/>
        </row>
        <row r="9476">
          <cell r="A9476" t="str">
            <v>GLOBAL SKYWARE</v>
          </cell>
          <cell r="B9476" t="str">
            <v>62-1225401</v>
          </cell>
          <cell r="O9476"/>
          <cell r="T9476"/>
        </row>
        <row r="9477">
          <cell r="A9477" t="str">
            <v>GLOBTEL</v>
          </cell>
          <cell r="B9477" t="str">
            <v>AIR GIGARAY_CCIV2</v>
          </cell>
          <cell r="O9477"/>
          <cell r="T9477"/>
        </row>
        <row r="9478">
          <cell r="A9478" t="str">
            <v>GOOGLE</v>
          </cell>
          <cell r="B9478" t="str">
            <v>IRED - LOS CONNECTIVITY</v>
          </cell>
          <cell r="O9478"/>
          <cell r="T9478"/>
        </row>
        <row r="9479">
          <cell r="A9479" t="str">
            <v>GOOGLE</v>
          </cell>
          <cell r="B9479" t="str">
            <v>LIGHTBRIDGE BOX_CCIV2</v>
          </cell>
          <cell r="O9479"/>
          <cell r="T9479"/>
        </row>
        <row r="9480">
          <cell r="A9480" t="str">
            <v>GPS</v>
          </cell>
          <cell r="B9480" t="str">
            <v>GPS</v>
          </cell>
          <cell r="O9480"/>
          <cell r="T9480"/>
        </row>
        <row r="9481">
          <cell r="A9481" t="str">
            <v>GPS</v>
          </cell>
          <cell r="B9481" t="str">
            <v>GPS_A</v>
          </cell>
          <cell r="O9481"/>
          <cell r="T9481"/>
        </row>
        <row r="9482">
          <cell r="A9482" t="str">
            <v>GPS</v>
          </cell>
          <cell r="B9482" t="str">
            <v>GPS_RESERVED</v>
          </cell>
          <cell r="O9482"/>
          <cell r="T9482"/>
        </row>
        <row r="9483">
          <cell r="A9483" t="str">
            <v>GTE MLA</v>
          </cell>
          <cell r="B9483" t="str">
            <v>GTE MLA_ANTENNA</v>
          </cell>
          <cell r="O9483"/>
          <cell r="T9483"/>
        </row>
        <row r="9484">
          <cell r="A9484" t="str">
            <v>GUY WIRE ATTACHMENT</v>
          </cell>
          <cell r="B9484" t="str">
            <v>3FTHGT_TORQUE ARM STABILIZER_12FT</v>
          </cell>
          <cell r="O9484"/>
          <cell r="T9484"/>
        </row>
        <row r="9485">
          <cell r="A9485" t="str">
            <v>GUY WIRE ATTACHMENT</v>
          </cell>
          <cell r="B9485" t="str">
            <v>3FTHGT_TORQUE ARM STABILIZER_5FT</v>
          </cell>
          <cell r="O9485"/>
          <cell r="T9485"/>
        </row>
        <row r="9486">
          <cell r="A9486" t="str">
            <v>GUY WIRE ATTACHMENT</v>
          </cell>
          <cell r="B9486" t="str">
            <v>3FTHGT_TORQUE ARM STABILIZER_9FT</v>
          </cell>
          <cell r="O9486"/>
          <cell r="T9486"/>
        </row>
        <row r="9487">
          <cell r="A9487" t="str">
            <v>GUY WIRE ATTACHMENT</v>
          </cell>
          <cell r="B9487" t="str">
            <v>4FTHGT_TORQUE ARM STABILIZER_12FT</v>
          </cell>
          <cell r="O9487"/>
          <cell r="T9487"/>
        </row>
        <row r="9488">
          <cell r="A9488" t="str">
            <v>GUY WIRE ATTACHMENT</v>
          </cell>
          <cell r="B9488" t="str">
            <v>4FTHGT_TORQUE ARM STABILIZER_20FT</v>
          </cell>
          <cell r="O9488"/>
          <cell r="T9488"/>
        </row>
        <row r="9489">
          <cell r="A9489" t="str">
            <v>GUY WIRE ATTACHMENT</v>
          </cell>
          <cell r="B9489" t="str">
            <v>4FTHGT_TORQUE ARM STABILIZER_8FT</v>
          </cell>
          <cell r="O9489"/>
          <cell r="T9489"/>
        </row>
        <row r="9490">
          <cell r="A9490" t="str">
            <v>GUY WIRE ATTACHMENT</v>
          </cell>
          <cell r="B9490" t="str">
            <v>5FTHGT_TORQUE ARM STABILIZER_12FT</v>
          </cell>
          <cell r="O9490"/>
          <cell r="T9490"/>
        </row>
        <row r="9491">
          <cell r="A9491" t="str">
            <v>GUY WIRE ATTACHMENT</v>
          </cell>
          <cell r="B9491" t="str">
            <v>5FTHGT_TORQUE ARM STABILIZER_16FT</v>
          </cell>
          <cell r="O9491"/>
          <cell r="T9491"/>
        </row>
        <row r="9492">
          <cell r="A9492" t="str">
            <v>GUY WIRE ATTACHMENT</v>
          </cell>
          <cell r="B9492" t="str">
            <v>5FTHGT_TORQUE ARM STABILIZER_8FT</v>
          </cell>
          <cell r="O9492"/>
          <cell r="T9492"/>
        </row>
        <row r="9493">
          <cell r="A9493" t="str">
            <v>GUY WIRE ATTACHMENT</v>
          </cell>
          <cell r="B9493" t="str">
            <v>6FTHGT_TORQUE ARM STABILIZER_14FT</v>
          </cell>
          <cell r="O9493"/>
          <cell r="T9493"/>
        </row>
        <row r="9494">
          <cell r="A9494" t="str">
            <v>GUY WIRE ATTACHMENT</v>
          </cell>
          <cell r="B9494" t="str">
            <v>6FTHGT_TORQUE ARM STABILIZER_20FT</v>
          </cell>
          <cell r="O9494"/>
          <cell r="T9494"/>
        </row>
        <row r="9495">
          <cell r="A9495" t="str">
            <v>GUY WIRE ATTACHMENT</v>
          </cell>
          <cell r="B9495" t="str">
            <v>7FTHGT_TORQUE ARM STABILIZER_12FT</v>
          </cell>
          <cell r="O9495"/>
          <cell r="T9495"/>
        </row>
        <row r="9496">
          <cell r="A9496" t="str">
            <v>GUY WIRE ATTACHMENT</v>
          </cell>
          <cell r="B9496" t="str">
            <v>7FTHGT_TORQUE ARM STABILIZER_3FT</v>
          </cell>
          <cell r="O9496"/>
          <cell r="T9496"/>
        </row>
        <row r="9497">
          <cell r="A9497" t="str">
            <v>GUY WIRE ATTACHMENT</v>
          </cell>
          <cell r="B9497" t="str">
            <v>8FTHGT_TORQUE ARM STABILIZER_12FT</v>
          </cell>
          <cell r="O9497"/>
          <cell r="T9497"/>
        </row>
        <row r="9498">
          <cell r="A9498" t="str">
            <v>GUY WIRE ATTACHMENT</v>
          </cell>
          <cell r="B9498" t="str">
            <v>8FTHGT_TORQUE ARM STABILIZER_16FT</v>
          </cell>
          <cell r="O9498"/>
          <cell r="T9498"/>
        </row>
        <row r="9499">
          <cell r="A9499" t="str">
            <v>GUY WIRE ATTACHMENT</v>
          </cell>
          <cell r="B9499" t="str">
            <v>GUY LUG CONNECTION</v>
          </cell>
          <cell r="O9499"/>
          <cell r="T9499"/>
        </row>
        <row r="9500">
          <cell r="A9500" t="str">
            <v>GUY WIRE ATTACHMENT</v>
          </cell>
          <cell r="B9500" t="str">
            <v>TORQUE ARM STABILIZER_8FT</v>
          </cell>
          <cell r="O9500"/>
          <cell r="T9500"/>
        </row>
        <row r="9501">
          <cell r="A9501" t="str">
            <v>HARRIS</v>
          </cell>
          <cell r="B9501" t="str">
            <v>3243400-101</v>
          </cell>
          <cell r="O9501"/>
          <cell r="T9501"/>
        </row>
        <row r="9502">
          <cell r="A9502" t="str">
            <v>HARRIS</v>
          </cell>
          <cell r="B9502" t="str">
            <v>3261375-211</v>
          </cell>
          <cell r="O9502">
            <v>20.885904037518301</v>
          </cell>
          <cell r="T9502">
            <v>5.0439564729493593</v>
          </cell>
        </row>
        <row r="9503">
          <cell r="A9503" t="str">
            <v>HARRIS</v>
          </cell>
          <cell r="B9503" t="str">
            <v>BCK9GKDVM10-12T-2</v>
          </cell>
          <cell r="O9503"/>
          <cell r="T9503"/>
        </row>
        <row r="9504">
          <cell r="A9504" t="str">
            <v>HARRIS</v>
          </cell>
          <cell r="B9504" t="str">
            <v>DVM6-8T</v>
          </cell>
          <cell r="O9504"/>
          <cell r="T9504"/>
        </row>
        <row r="9505">
          <cell r="A9505" t="str">
            <v>HARRIS</v>
          </cell>
          <cell r="B9505" t="str">
            <v>FMH-12AC</v>
          </cell>
          <cell r="O9505"/>
          <cell r="T9505"/>
        </row>
        <row r="9506">
          <cell r="A9506" t="str">
            <v>HARRIS</v>
          </cell>
          <cell r="B9506" t="str">
            <v>FMH-8AC</v>
          </cell>
          <cell r="O9506"/>
          <cell r="T9506"/>
        </row>
        <row r="9507">
          <cell r="A9507" t="str">
            <v>HARRIS</v>
          </cell>
          <cell r="B9507" t="str">
            <v>FML-2C</v>
          </cell>
          <cell r="O9507"/>
          <cell r="T9507"/>
        </row>
        <row r="9508">
          <cell r="A9508" t="str">
            <v>HARRIS</v>
          </cell>
          <cell r="B9508" t="str">
            <v>FML-4C</v>
          </cell>
          <cell r="O9508"/>
          <cell r="T9508"/>
        </row>
        <row r="9509">
          <cell r="A9509" t="str">
            <v>HARRIS</v>
          </cell>
          <cell r="B9509" t="str">
            <v>RF-7800W-AT003</v>
          </cell>
          <cell r="O9509"/>
          <cell r="T9509"/>
        </row>
        <row r="9510">
          <cell r="A9510" t="str">
            <v>HARRIS</v>
          </cell>
          <cell r="B9510" t="str">
            <v>RFU 5200</v>
          </cell>
          <cell r="O9510"/>
          <cell r="T9510"/>
        </row>
        <row r="9511">
          <cell r="A9511" t="str">
            <v>HEWLETT PACKARD</v>
          </cell>
          <cell r="B9511" t="str">
            <v>10509A</v>
          </cell>
          <cell r="O9511"/>
          <cell r="T9511"/>
        </row>
        <row r="9512">
          <cell r="A9512" t="str">
            <v>HIDDEN LEVEL</v>
          </cell>
          <cell r="B9512" t="str">
            <v>HL1000</v>
          </cell>
          <cell r="O9512"/>
          <cell r="T9512"/>
        </row>
        <row r="9513">
          <cell r="A9513" t="str">
            <v>HIKVISION</v>
          </cell>
          <cell r="B9513" t="str">
            <v>DS-2CD2325FHWD-I</v>
          </cell>
          <cell r="O9513"/>
          <cell r="T9513"/>
        </row>
        <row r="9514">
          <cell r="A9514" t="str">
            <v>HIKVISION</v>
          </cell>
          <cell r="B9514" t="str">
            <v>DS-2DF7286S-K20</v>
          </cell>
          <cell r="O9514"/>
          <cell r="T9514"/>
        </row>
        <row r="9515">
          <cell r="A9515" t="str">
            <v>HIKVISION</v>
          </cell>
          <cell r="B9515" t="str">
            <v>DS-2DY3220IW-DE</v>
          </cell>
          <cell r="O9515"/>
          <cell r="T9515"/>
        </row>
        <row r="9516">
          <cell r="A9516" t="str">
            <v>HIRSHMANN</v>
          </cell>
          <cell r="B9516" t="str">
            <v>108425-200</v>
          </cell>
          <cell r="O9516"/>
          <cell r="T9516"/>
        </row>
        <row r="9517">
          <cell r="A9517" t="str">
            <v>HOBO</v>
          </cell>
          <cell r="B9517" t="str">
            <v>S-WCA-M003</v>
          </cell>
          <cell r="O9517"/>
          <cell r="T9517"/>
        </row>
        <row r="9518">
          <cell r="A9518" t="str">
            <v>HOFFMAN</v>
          </cell>
          <cell r="B9518" t="str">
            <v>CSD24206</v>
          </cell>
          <cell r="O9518"/>
          <cell r="T9518"/>
        </row>
        <row r="9519">
          <cell r="A9519" t="str">
            <v>HOFFMAN</v>
          </cell>
          <cell r="B9519" t="str">
            <v>TME-A24H2010ALLP</v>
          </cell>
          <cell r="O9519"/>
          <cell r="T9519"/>
        </row>
        <row r="9520">
          <cell r="A9520" t="str">
            <v>HOFFMAN</v>
          </cell>
          <cell r="B9520" t="str">
            <v>TME-ASE12X12X6</v>
          </cell>
          <cell r="O9520"/>
          <cell r="T9520"/>
        </row>
        <row r="9521">
          <cell r="A9521" t="str">
            <v>HUAWEI TECHNOLOGIES CO</v>
          </cell>
          <cell r="B9521" t="str">
            <v>A11D06HAC</v>
          </cell>
          <cell r="O9521"/>
          <cell r="T9521"/>
        </row>
        <row r="9522">
          <cell r="A9522" t="str">
            <v>HUAWEI TECHNOLOGIES CO</v>
          </cell>
          <cell r="B9522" t="str">
            <v>A11D09HAC</v>
          </cell>
          <cell r="O9522"/>
          <cell r="T9522"/>
        </row>
        <row r="9523">
          <cell r="A9523" t="str">
            <v>HUAWEI TECHNOLOGIES CO</v>
          </cell>
          <cell r="B9523" t="str">
            <v>A11D12HAC</v>
          </cell>
          <cell r="O9523"/>
          <cell r="T9523"/>
        </row>
        <row r="9524">
          <cell r="A9524" t="str">
            <v>HUAWEI TECHNOLOGIES CO</v>
          </cell>
          <cell r="B9524" t="str">
            <v>A18D03HAC</v>
          </cell>
          <cell r="O9524"/>
          <cell r="T9524"/>
        </row>
        <row r="9525">
          <cell r="A9525" t="str">
            <v>HUAWEI TECHNOLOGIES CO</v>
          </cell>
          <cell r="B9525" t="str">
            <v>A18D06HAC</v>
          </cell>
          <cell r="O9525"/>
          <cell r="T9525"/>
        </row>
        <row r="9526">
          <cell r="A9526" t="str">
            <v>HUAWEI TECHNOLOGIES CO</v>
          </cell>
          <cell r="B9526" t="str">
            <v>A18D09HAC</v>
          </cell>
          <cell r="O9526"/>
          <cell r="T9526"/>
        </row>
        <row r="9527">
          <cell r="A9527" t="str">
            <v>HUAWEI TECHNOLOGIES CO</v>
          </cell>
          <cell r="B9527" t="str">
            <v>A23D03HAC</v>
          </cell>
          <cell r="O9527"/>
          <cell r="T9527"/>
        </row>
        <row r="9528">
          <cell r="A9528" t="str">
            <v>HUAWEI TECHNOLOGIES CO</v>
          </cell>
          <cell r="B9528" t="str">
            <v>A23D06HAC</v>
          </cell>
          <cell r="O9528"/>
          <cell r="T9528"/>
        </row>
        <row r="9529">
          <cell r="A9529" t="str">
            <v>HUAWEI TECHNOLOGIES CO</v>
          </cell>
          <cell r="B9529" t="str">
            <v>A79451700V02</v>
          </cell>
          <cell r="O9529">
            <v>6.1795958719135795</v>
          </cell>
          <cell r="T9529">
            <v>3.2245536940526498</v>
          </cell>
        </row>
        <row r="9530">
          <cell r="A9530" t="str">
            <v>HUAWEI TECHNOLOGIES CO</v>
          </cell>
          <cell r="B9530" t="str">
            <v>A80S03HAC</v>
          </cell>
          <cell r="O9530"/>
          <cell r="T9530"/>
        </row>
        <row r="9531">
          <cell r="A9531" t="str">
            <v>HUAWEI TECHNOLOGIES CO</v>
          </cell>
          <cell r="B9531" t="str">
            <v>A80S06HAC</v>
          </cell>
          <cell r="O9531"/>
          <cell r="T9531"/>
        </row>
        <row r="9532">
          <cell r="A9532" t="str">
            <v>HUAWEI TECHNOLOGIES CO</v>
          </cell>
          <cell r="B9532" t="str">
            <v>AAU3911</v>
          </cell>
          <cell r="O9532"/>
          <cell r="T9532"/>
        </row>
        <row r="9533">
          <cell r="A9533" t="str">
            <v>HUAWEI TECHNOLOGIES CO</v>
          </cell>
          <cell r="B9533" t="str">
            <v>ADU451902</v>
          </cell>
          <cell r="O9533"/>
          <cell r="T9533"/>
        </row>
        <row r="9534">
          <cell r="A9534" t="str">
            <v>HUAWEI TECHNOLOGIES CO</v>
          </cell>
          <cell r="B9534" t="str">
            <v>AMB4520R2V06</v>
          </cell>
          <cell r="O9534"/>
          <cell r="T9534"/>
        </row>
        <row r="9535">
          <cell r="A9535" t="str">
            <v>HUAWEI TECHNOLOGIES CO</v>
          </cell>
          <cell r="B9535" t="str">
            <v>ASI4516R0V06</v>
          </cell>
          <cell r="O9535"/>
          <cell r="T9535"/>
        </row>
        <row r="9536">
          <cell r="A9536" t="str">
            <v>HUAWEI TECHNOLOGIES CO</v>
          </cell>
          <cell r="B9536" t="str">
            <v>ASI4516R0V07</v>
          </cell>
          <cell r="O9536"/>
          <cell r="T9536"/>
        </row>
        <row r="9537">
          <cell r="A9537" t="str">
            <v>HUAWEI TECHNOLOGIES CO</v>
          </cell>
          <cell r="B9537" t="str">
            <v>ASI4517R6V06</v>
          </cell>
          <cell r="O9537"/>
          <cell r="T9537"/>
        </row>
        <row r="9538">
          <cell r="A9538" t="str">
            <v>HUAWEI TECHNOLOGIES CO</v>
          </cell>
          <cell r="B9538" t="str">
            <v>ASI4517R6V07</v>
          </cell>
          <cell r="O9538"/>
          <cell r="T9538"/>
        </row>
        <row r="9539">
          <cell r="A9539" t="str">
            <v>HUAWEI TECHNOLOGIES CO</v>
          </cell>
          <cell r="B9539" t="str">
            <v>TME-RRU3702</v>
          </cell>
          <cell r="O9539"/>
          <cell r="T9539"/>
        </row>
        <row r="9540">
          <cell r="A9540" t="str">
            <v>HUBER AND SUHNER</v>
          </cell>
          <cell r="B9540" t="str">
            <v>SOA 9018/360/2/0/V_C</v>
          </cell>
          <cell r="O9540"/>
          <cell r="T9540"/>
        </row>
        <row r="9541">
          <cell r="A9541" t="str">
            <v>HUBER AND SUHNER</v>
          </cell>
          <cell r="B9541" t="str">
            <v>SOA 9018/360/2/0/V_C2</v>
          </cell>
          <cell r="O9541"/>
          <cell r="T9541"/>
        </row>
        <row r="9542">
          <cell r="A9542" t="str">
            <v>HUBER AND SUHNER</v>
          </cell>
          <cell r="B9542" t="str">
            <v>SPA 2400/75/9/0/V</v>
          </cell>
          <cell r="O9542"/>
          <cell r="T9542"/>
        </row>
        <row r="9543">
          <cell r="A9543" t="str">
            <v>HUBER+SUHNER</v>
          </cell>
          <cell r="B9543" t="str">
            <v>SSI812217-6PANEL</v>
          </cell>
          <cell r="O9543"/>
          <cell r="T9543"/>
        </row>
        <row r="9544">
          <cell r="A9544" t="str">
            <v>HUBERANDSUHNER</v>
          </cell>
          <cell r="B9544" t="str">
            <v>1315.17.0005</v>
          </cell>
          <cell r="O9544"/>
          <cell r="T9544"/>
        </row>
        <row r="9545">
          <cell r="A9545" t="str">
            <v>HUBERANDSUHNER</v>
          </cell>
          <cell r="B9545" t="str">
            <v>1399.17.0059</v>
          </cell>
          <cell r="O9545"/>
          <cell r="T9545"/>
        </row>
        <row r="9546">
          <cell r="A9546" t="str">
            <v>HUBERANDSUHNER</v>
          </cell>
          <cell r="B9546" t="str">
            <v>1399.17.0200</v>
          </cell>
          <cell r="O9546"/>
          <cell r="T9546"/>
        </row>
        <row r="9547">
          <cell r="A9547" t="str">
            <v>HUBERANDSUHNER</v>
          </cell>
          <cell r="B9547" t="str">
            <v>34025A</v>
          </cell>
          <cell r="O9547"/>
          <cell r="T9547"/>
        </row>
        <row r="9548">
          <cell r="A9548" t="str">
            <v>HUBERANDSUHNER</v>
          </cell>
          <cell r="B9548" t="str">
            <v>85160014_20240206</v>
          </cell>
          <cell r="O9548"/>
          <cell r="T9548"/>
        </row>
        <row r="9549">
          <cell r="A9549" t="str">
            <v>HUBERANDSUHNER</v>
          </cell>
          <cell r="B9549" t="str">
            <v>SOA 1900/360/5/0/V_C1</v>
          </cell>
          <cell r="O9549"/>
          <cell r="T9549"/>
        </row>
        <row r="9550">
          <cell r="A9550" t="str">
            <v>HUBERANDSUHNER</v>
          </cell>
          <cell r="B9550" t="str">
            <v>SOA 9018/360/2/0/V</v>
          </cell>
          <cell r="O9550"/>
          <cell r="T9550"/>
        </row>
        <row r="9551">
          <cell r="A9551" t="str">
            <v>HUBERANDSUHNER</v>
          </cell>
          <cell r="B9551" t="str">
            <v>SOA 9018/360/2/0/V_C</v>
          </cell>
          <cell r="O9551"/>
          <cell r="T9551"/>
        </row>
        <row r="9552">
          <cell r="A9552" t="str">
            <v>HUBERANDSUHNER</v>
          </cell>
          <cell r="B9552" t="str">
            <v>SPA 1500/110/5/0/CP</v>
          </cell>
          <cell r="O9552"/>
          <cell r="T9552"/>
        </row>
        <row r="9553">
          <cell r="A9553" t="str">
            <v>HUBERANDSUHNER</v>
          </cell>
          <cell r="B9553" t="str">
            <v>SPA 1900/65/19/2/DS</v>
          </cell>
          <cell r="O9553"/>
          <cell r="T9553"/>
        </row>
        <row r="9554">
          <cell r="A9554" t="str">
            <v>HUBERANDSUHNER</v>
          </cell>
          <cell r="B9554" t="str">
            <v>SPA 1900/85/10/0/V</v>
          </cell>
          <cell r="O9554"/>
          <cell r="T9554"/>
        </row>
        <row r="9555">
          <cell r="A9555" t="str">
            <v>HUBERANDSUHNER</v>
          </cell>
          <cell r="B9555" t="str">
            <v>SPA 1900/85/17/2/DL</v>
          </cell>
          <cell r="O9555"/>
          <cell r="T9555"/>
        </row>
        <row r="9556">
          <cell r="A9556" t="str">
            <v>HUBERANDSUHNER</v>
          </cell>
          <cell r="B9556" t="str">
            <v>SPA 2400/35/15/0/LCP</v>
          </cell>
          <cell r="O9556"/>
          <cell r="T9556"/>
        </row>
        <row r="9557">
          <cell r="A9557" t="str">
            <v>HUBERANDSUHNER</v>
          </cell>
          <cell r="B9557" t="str">
            <v>SPA 2400/75/9/0/V</v>
          </cell>
          <cell r="O9557"/>
          <cell r="T9557"/>
        </row>
        <row r="9558">
          <cell r="A9558" t="str">
            <v>HUBERANDSUHNER</v>
          </cell>
          <cell r="B9558" t="str">
            <v>SPA 2400/85/17/0/V</v>
          </cell>
          <cell r="O9558"/>
          <cell r="T9558"/>
        </row>
        <row r="9559">
          <cell r="A9559" t="str">
            <v>HUBERANDSUHNER</v>
          </cell>
          <cell r="B9559" t="str">
            <v>SPA 860/65/9/0/V</v>
          </cell>
          <cell r="O9559"/>
          <cell r="T9559"/>
        </row>
        <row r="9560">
          <cell r="A9560" t="str">
            <v>HUBERANDSUHNER</v>
          </cell>
          <cell r="B9560" t="str">
            <v>SPA 860/85/8/0/V</v>
          </cell>
          <cell r="O9560"/>
          <cell r="T9560"/>
        </row>
        <row r="9561">
          <cell r="A9561" t="str">
            <v>HUGHES</v>
          </cell>
          <cell r="B9561" t="str">
            <v>1500551-0006</v>
          </cell>
          <cell r="O9561"/>
          <cell r="T9561"/>
        </row>
        <row r="9562">
          <cell r="A9562" t="str">
            <v>HUGHES</v>
          </cell>
          <cell r="B9562" t="str">
            <v>1500551-0007</v>
          </cell>
          <cell r="O9562"/>
          <cell r="T9562"/>
        </row>
        <row r="9563">
          <cell r="A9563" t="str">
            <v>HUGHES</v>
          </cell>
          <cell r="B9563" t="str">
            <v>1506345</v>
          </cell>
          <cell r="O9563"/>
          <cell r="T9563"/>
        </row>
        <row r="9564">
          <cell r="A9564" t="str">
            <v>HUGHES</v>
          </cell>
          <cell r="B9564" t="str">
            <v>9400H HUB</v>
          </cell>
          <cell r="O9564"/>
          <cell r="T9564"/>
        </row>
        <row r="9565">
          <cell r="A9565" t="str">
            <v>HUGHES</v>
          </cell>
          <cell r="B9565" t="str">
            <v>9400H ODU</v>
          </cell>
          <cell r="O9565"/>
          <cell r="T9565"/>
        </row>
        <row r="9566">
          <cell r="A9566" t="str">
            <v>HUGHES</v>
          </cell>
          <cell r="B9566" t="str">
            <v>9400R</v>
          </cell>
          <cell r="O9566"/>
          <cell r="T9566"/>
        </row>
        <row r="9567">
          <cell r="A9567" t="str">
            <v>HUGHES</v>
          </cell>
          <cell r="B9567" t="str">
            <v>9400R-1</v>
          </cell>
          <cell r="O9567"/>
          <cell r="T9567"/>
        </row>
        <row r="9568">
          <cell r="A9568" t="str">
            <v>HUGHES</v>
          </cell>
          <cell r="B9568" t="str">
            <v>9400R-2</v>
          </cell>
          <cell r="O9568"/>
          <cell r="T9568"/>
        </row>
        <row r="9569">
          <cell r="A9569" t="str">
            <v>HUSTLER</v>
          </cell>
          <cell r="B9569" t="str">
            <v>G6-440</v>
          </cell>
          <cell r="O9569"/>
          <cell r="T9569"/>
        </row>
        <row r="9570">
          <cell r="A9570" t="str">
            <v>HUSTLER</v>
          </cell>
          <cell r="B9570" t="str">
            <v>G7-144</v>
          </cell>
          <cell r="O9570"/>
          <cell r="T9570"/>
        </row>
        <row r="9571">
          <cell r="A9571" t="str">
            <v>HUSTLER</v>
          </cell>
          <cell r="B9571" t="str">
            <v>G7-150-1</v>
          </cell>
          <cell r="O9571"/>
          <cell r="T9571"/>
        </row>
        <row r="9572">
          <cell r="A9572" t="str">
            <v>HUSTLER</v>
          </cell>
          <cell r="B9572" t="str">
            <v>G7-150-2</v>
          </cell>
          <cell r="O9572"/>
          <cell r="T9572"/>
        </row>
        <row r="9573">
          <cell r="A9573" t="str">
            <v>HUSTLER</v>
          </cell>
          <cell r="B9573" t="str">
            <v>G7-150-3</v>
          </cell>
          <cell r="O9573"/>
          <cell r="T9573"/>
        </row>
        <row r="9574">
          <cell r="A9574" t="str">
            <v>HUSTLER</v>
          </cell>
          <cell r="B9574" t="str">
            <v>G7-220</v>
          </cell>
          <cell r="O9574"/>
          <cell r="T9574"/>
        </row>
        <row r="9575">
          <cell r="A9575" t="str">
            <v>HUSTLER</v>
          </cell>
          <cell r="B9575" t="str">
            <v>GS-440</v>
          </cell>
          <cell r="O9575"/>
          <cell r="T9575"/>
        </row>
        <row r="9576">
          <cell r="A9576" t="str">
            <v>HUSTLER</v>
          </cell>
          <cell r="B9576" t="str">
            <v>HD9-89060</v>
          </cell>
          <cell r="O9576"/>
          <cell r="T9576"/>
        </row>
        <row r="9577">
          <cell r="A9577" t="str">
            <v>HUSTLER</v>
          </cell>
          <cell r="B9577" t="str">
            <v>HS10-12440</v>
          </cell>
          <cell r="O9577"/>
          <cell r="T9577"/>
        </row>
        <row r="9578">
          <cell r="A9578" t="str">
            <v>HUSTLER</v>
          </cell>
          <cell r="B9578" t="str">
            <v>HS12-12430</v>
          </cell>
          <cell r="O9578"/>
          <cell r="T9578"/>
        </row>
        <row r="9579">
          <cell r="A9579" t="str">
            <v>HUSTLER</v>
          </cell>
          <cell r="B9579" t="str">
            <v>HX6-14448</v>
          </cell>
          <cell r="O9579"/>
          <cell r="T9579"/>
        </row>
        <row r="9580">
          <cell r="A9580" t="str">
            <v>HUSTLER</v>
          </cell>
          <cell r="B9580" t="str">
            <v>SSI814129D32</v>
          </cell>
          <cell r="O9580"/>
          <cell r="T9580"/>
        </row>
        <row r="9581">
          <cell r="A9581" t="str">
            <v>HYPERLINK TECHNOLOGIES</v>
          </cell>
          <cell r="B9581" t="str">
            <v>HG2408U</v>
          </cell>
          <cell r="O9581"/>
          <cell r="T9581"/>
        </row>
        <row r="9582">
          <cell r="A9582" t="str">
            <v>HYPERLINK TECHNOLOGIES</v>
          </cell>
          <cell r="B9582" t="str">
            <v>HG2410U</v>
          </cell>
          <cell r="O9582"/>
          <cell r="T9582"/>
        </row>
        <row r="9583">
          <cell r="A9583" t="str">
            <v>HYPERLINK TECHNOLOGIES</v>
          </cell>
          <cell r="B9583" t="str">
            <v>HG2412U</v>
          </cell>
          <cell r="O9583"/>
          <cell r="T9583"/>
        </row>
        <row r="9584">
          <cell r="A9584" t="str">
            <v>HYPERLINK TECHNOLOGIES</v>
          </cell>
          <cell r="B9584" t="str">
            <v>HG2414HSP-090</v>
          </cell>
          <cell r="O9584"/>
          <cell r="T9584"/>
        </row>
        <row r="9585">
          <cell r="A9585" t="str">
            <v>HYPERLINK TECHNOLOGIES</v>
          </cell>
          <cell r="B9585" t="str">
            <v>HG2414SP-120</v>
          </cell>
          <cell r="O9585">
            <v>0.91883188925530501</v>
          </cell>
          <cell r="T9585">
            <v>0.34933420559797196</v>
          </cell>
        </row>
        <row r="9586">
          <cell r="A9586" t="str">
            <v>HYPERLINK TECHNOLOGIES</v>
          </cell>
          <cell r="B9586" t="str">
            <v>HG2415G</v>
          </cell>
          <cell r="O9586"/>
          <cell r="T9586"/>
        </row>
        <row r="9587">
          <cell r="A9587" t="str">
            <v>HYPERLINK TECHNOLOGIES</v>
          </cell>
          <cell r="B9587" t="str">
            <v>HG2415U</v>
          </cell>
          <cell r="O9587"/>
          <cell r="T9587"/>
        </row>
        <row r="9588">
          <cell r="A9588" t="str">
            <v>HYPERLINK TECHNOLOGIES</v>
          </cell>
          <cell r="B9588" t="str">
            <v>HG2415U-PRO</v>
          </cell>
          <cell r="O9588"/>
          <cell r="T9588"/>
        </row>
        <row r="9589">
          <cell r="A9589" t="str">
            <v>HYPERLINK TECHNOLOGIES</v>
          </cell>
          <cell r="B9589" t="str">
            <v>HG2417P-090</v>
          </cell>
          <cell r="O9589">
            <v>1.7771869499999999</v>
          </cell>
          <cell r="T9589">
            <v>0.67468401200000006</v>
          </cell>
        </row>
        <row r="9590">
          <cell r="A9590" t="str">
            <v>HYPERLINK TECHNOLOGIES</v>
          </cell>
          <cell r="B9590" t="str">
            <v>HG2417P-120</v>
          </cell>
          <cell r="O9590">
            <v>1.7771869499999999</v>
          </cell>
          <cell r="T9590">
            <v>0.67468401200000006</v>
          </cell>
        </row>
        <row r="9591">
          <cell r="A9591" t="str">
            <v>HYPERLINK TECHNOLOGIES</v>
          </cell>
          <cell r="B9591" t="str">
            <v>HG2420P-120</v>
          </cell>
          <cell r="O9591">
            <v>3.4048652454050501</v>
          </cell>
          <cell r="T9591">
            <v>1.15565660919088</v>
          </cell>
        </row>
        <row r="9592">
          <cell r="A9592" t="str">
            <v>HYPERLINK TECHNOLOGIES</v>
          </cell>
          <cell r="B9592" t="str">
            <v>HG2424G</v>
          </cell>
          <cell r="O9592"/>
          <cell r="T9592"/>
        </row>
        <row r="9593">
          <cell r="A9593" t="str">
            <v>HYPERLINK TECHNOLOGIES</v>
          </cell>
          <cell r="B9593" t="str">
            <v>HG2458-14P-090</v>
          </cell>
          <cell r="O9593">
            <v>1.0646050600000001</v>
          </cell>
          <cell r="T9593">
            <v>0.404582098</v>
          </cell>
        </row>
        <row r="9594">
          <cell r="A9594" t="str">
            <v>HYPERLINK TECHNOLOGIES</v>
          </cell>
          <cell r="B9594" t="str">
            <v>HG3515P-120</v>
          </cell>
          <cell r="O9594"/>
          <cell r="T9594"/>
        </row>
        <row r="9595">
          <cell r="A9595" t="str">
            <v>HYPERLINK TECHNOLOGIES</v>
          </cell>
          <cell r="B9595" t="str">
            <v>HG5158-28D</v>
          </cell>
          <cell r="O9595"/>
          <cell r="T9595"/>
        </row>
        <row r="9596">
          <cell r="A9596" t="str">
            <v>HYPERLINK TECHNOLOGIES</v>
          </cell>
          <cell r="B9596" t="str">
            <v>HG5158-28D W/RADOME</v>
          </cell>
          <cell r="O9596"/>
          <cell r="T9596"/>
        </row>
        <row r="9597">
          <cell r="A9597" t="str">
            <v>HYPERLINK TECHNOLOGIES</v>
          </cell>
          <cell r="B9597" t="str">
            <v>HG5158-28D W/SHROUD</v>
          </cell>
          <cell r="O9597"/>
          <cell r="T9597"/>
        </row>
        <row r="9598">
          <cell r="A9598" t="str">
            <v>HYPERLINK TECHNOLOGIES</v>
          </cell>
          <cell r="B9598" t="str">
            <v>HG5158-31D</v>
          </cell>
          <cell r="O9598"/>
          <cell r="T9598"/>
        </row>
        <row r="9599">
          <cell r="A9599" t="str">
            <v>HYPERLINK TECHNOLOGIES</v>
          </cell>
          <cell r="B9599" t="str">
            <v>HG5158-31D W/RADOME</v>
          </cell>
          <cell r="O9599"/>
          <cell r="T9599"/>
        </row>
        <row r="9600">
          <cell r="A9600" t="str">
            <v>HYPERLINK TECHNOLOGIES</v>
          </cell>
          <cell r="B9600" t="str">
            <v>HG5158-31D W/SHROUD</v>
          </cell>
          <cell r="O9600"/>
          <cell r="T9600"/>
        </row>
        <row r="9601">
          <cell r="A9601" t="str">
            <v>HYPERLINK TECHNOLOGIES</v>
          </cell>
          <cell r="B9601" t="str">
            <v>HG5310U</v>
          </cell>
          <cell r="O9601"/>
          <cell r="T9601"/>
        </row>
        <row r="9602">
          <cell r="A9602" t="str">
            <v>HYPERLINK TECHNOLOGIES</v>
          </cell>
          <cell r="B9602" t="str">
            <v>HG5412U</v>
          </cell>
          <cell r="O9602"/>
          <cell r="T9602"/>
        </row>
        <row r="9603">
          <cell r="A9603" t="str">
            <v>HYPERLINK TECHNOLOGIES</v>
          </cell>
          <cell r="B9603" t="str">
            <v>HG5417P-090</v>
          </cell>
          <cell r="O9603"/>
          <cell r="T9603"/>
        </row>
        <row r="9604">
          <cell r="A9604" t="str">
            <v>HYPERLINK TECHNOLOGIES</v>
          </cell>
          <cell r="B9604" t="str">
            <v>HG5426G</v>
          </cell>
          <cell r="O9604"/>
          <cell r="T9604"/>
        </row>
        <row r="9605">
          <cell r="A9605" t="str">
            <v>HYPERLINK TECHNOLOGIES</v>
          </cell>
          <cell r="B9605" t="str">
            <v>HG5812U-PRO</v>
          </cell>
          <cell r="O9605"/>
          <cell r="T9605"/>
        </row>
        <row r="9606">
          <cell r="A9606" t="str">
            <v>HYPERLINK TECHNOLOGIES</v>
          </cell>
          <cell r="B9606" t="str">
            <v>HG5817D</v>
          </cell>
          <cell r="O9606"/>
          <cell r="T9606"/>
        </row>
        <row r="9607">
          <cell r="A9607" t="str">
            <v>HYPERLINK TECHNOLOGIES</v>
          </cell>
          <cell r="B9607" t="str">
            <v>HG5817P-090</v>
          </cell>
          <cell r="O9607"/>
          <cell r="T9607"/>
        </row>
        <row r="9608">
          <cell r="A9608" t="str">
            <v>HYPERLINK TECHNOLOGIES</v>
          </cell>
          <cell r="B9608" t="str">
            <v>HG5817P-090_CCIV2</v>
          </cell>
          <cell r="O9608"/>
          <cell r="T9608"/>
        </row>
        <row r="9609">
          <cell r="A9609" t="str">
            <v>HYPERLINK TECHNOLOGIES</v>
          </cell>
          <cell r="B9609" t="str">
            <v>HG5819P</v>
          </cell>
          <cell r="O9609"/>
          <cell r="T9609"/>
        </row>
        <row r="9610">
          <cell r="A9610" t="str">
            <v>HYPERLINK TECHNOLOGIES</v>
          </cell>
          <cell r="B9610" t="str">
            <v>HG5819P_CCIV2</v>
          </cell>
          <cell r="O9610"/>
          <cell r="T9610"/>
        </row>
        <row r="9611">
          <cell r="A9611" t="str">
            <v>HYPERLINK TECHNOLOGIES</v>
          </cell>
          <cell r="B9611" t="str">
            <v>HG5822G</v>
          </cell>
          <cell r="O9611"/>
          <cell r="T9611"/>
        </row>
        <row r="9612">
          <cell r="A9612" t="str">
            <v>HYPERLINK TECHNOLOGIES</v>
          </cell>
          <cell r="B9612" t="str">
            <v>HG5827G</v>
          </cell>
          <cell r="O9612"/>
          <cell r="T9612"/>
        </row>
        <row r="9613">
          <cell r="A9613" t="str">
            <v>HYPERLINK TECHNOLOGIES</v>
          </cell>
          <cell r="B9613" t="str">
            <v>HG5829D</v>
          </cell>
          <cell r="O9613"/>
          <cell r="T9613"/>
        </row>
        <row r="9614">
          <cell r="A9614" t="str">
            <v>HYPERLINK TECHNOLOGIES</v>
          </cell>
          <cell r="B9614" t="str">
            <v>HG5833D</v>
          </cell>
          <cell r="O9614"/>
          <cell r="T9614"/>
        </row>
        <row r="9615">
          <cell r="A9615" t="str">
            <v>HYPERLINK TECHNOLOGIES</v>
          </cell>
          <cell r="B9615" t="str">
            <v>HG908U-PRO</v>
          </cell>
          <cell r="O9615"/>
          <cell r="T9615"/>
        </row>
        <row r="9616">
          <cell r="A9616" t="str">
            <v>HYPERLINK TECHNOLOGIES</v>
          </cell>
          <cell r="B9616" t="str">
            <v>HG918G</v>
          </cell>
          <cell r="O9616"/>
          <cell r="T9616"/>
        </row>
        <row r="9617">
          <cell r="A9617" t="str">
            <v>HYPERLINK TECHNOLOGIES</v>
          </cell>
          <cell r="B9617" t="str">
            <v>HK2414-090</v>
          </cell>
          <cell r="O9617"/>
          <cell r="T9617"/>
        </row>
        <row r="9618">
          <cell r="A9618" t="str">
            <v>HYPERLINK TECHNOLOGIES</v>
          </cell>
          <cell r="B9618" t="str">
            <v>HK2414-120</v>
          </cell>
          <cell r="O9618"/>
          <cell r="T9618"/>
        </row>
        <row r="9619">
          <cell r="A9619" t="str">
            <v>HYPERLINK TECHNOLOGIES</v>
          </cell>
          <cell r="B9619" t="str">
            <v>HK2417-090</v>
          </cell>
          <cell r="O9619"/>
          <cell r="T9619"/>
        </row>
        <row r="9620">
          <cell r="A9620" t="str">
            <v>HYPERLINK TECHNOLOGIES</v>
          </cell>
          <cell r="B9620" t="str">
            <v>HK2420-090</v>
          </cell>
          <cell r="O9620"/>
          <cell r="T9620"/>
        </row>
        <row r="9621">
          <cell r="A9621" t="str">
            <v>ICOM</v>
          </cell>
          <cell r="B9621" t="str">
            <v>AH8000</v>
          </cell>
          <cell r="O9621"/>
          <cell r="T9621"/>
        </row>
        <row r="9622">
          <cell r="A9622" t="str">
            <v>IGNITENET</v>
          </cell>
          <cell r="B9622" t="str">
            <v>ML-60-19-XX</v>
          </cell>
          <cell r="O9622"/>
          <cell r="T9622"/>
        </row>
        <row r="9623">
          <cell r="A9623" t="str">
            <v>IGNITENET</v>
          </cell>
          <cell r="B9623" t="str">
            <v>ML2.5-60-35-1-XX</v>
          </cell>
          <cell r="O9623"/>
          <cell r="T9623"/>
        </row>
        <row r="9624">
          <cell r="A9624" t="str">
            <v>IGNITENET</v>
          </cell>
          <cell r="B9624" t="str">
            <v>ML2.5-60-35-XX</v>
          </cell>
          <cell r="O9624"/>
          <cell r="T9624"/>
        </row>
        <row r="9625">
          <cell r="A9625" t="str">
            <v>INTRACOM TELECOM</v>
          </cell>
          <cell r="B9625" t="str">
            <v>6250 PTP</v>
          </cell>
          <cell r="O9625"/>
          <cell r="T9625"/>
        </row>
        <row r="9626">
          <cell r="A9626" t="str">
            <v>INTRACOM TELECOM</v>
          </cell>
          <cell r="B9626" t="str">
            <v>ANT-IS-28-2F</v>
          </cell>
          <cell r="O9626"/>
          <cell r="T9626"/>
        </row>
        <row r="9627">
          <cell r="A9627" t="str">
            <v>INTRACOM TELECOM</v>
          </cell>
          <cell r="B9627" t="str">
            <v>GNSS</v>
          </cell>
          <cell r="O9627"/>
          <cell r="T9627"/>
        </row>
        <row r="9628">
          <cell r="A9628" t="str">
            <v>INTRACOM TELECOM</v>
          </cell>
          <cell r="B9628" t="str">
            <v>HANT262890H</v>
          </cell>
          <cell r="O9628"/>
          <cell r="T9628"/>
        </row>
        <row r="9629">
          <cell r="A9629" t="str">
            <v>INTRACOM TELECOM</v>
          </cell>
          <cell r="B9629" t="str">
            <v>HANT262890V</v>
          </cell>
          <cell r="O9629"/>
          <cell r="T9629"/>
        </row>
        <row r="9630">
          <cell r="A9630" t="str">
            <v>INTRACOM TELECOM</v>
          </cell>
          <cell r="B9630" t="str">
            <v>STREETNODE-28-39</v>
          </cell>
          <cell r="O9630"/>
          <cell r="T9630"/>
        </row>
        <row r="9631">
          <cell r="A9631" t="str">
            <v>INTRACOM TELECOM</v>
          </cell>
          <cell r="B9631" t="str">
            <v>WIBASG5 SMART-BS_CCIV</v>
          </cell>
          <cell r="O9631"/>
          <cell r="T9631"/>
        </row>
        <row r="9632">
          <cell r="A9632" t="str">
            <v>INTUICOM</v>
          </cell>
          <cell r="B9632" t="str">
            <v>NITRO58 INTEGRATED</v>
          </cell>
          <cell r="O9632"/>
          <cell r="T9632"/>
        </row>
        <row r="9633">
          <cell r="A9633" t="str">
            <v>INVOLI</v>
          </cell>
          <cell r="B9633" t="str">
            <v>G-1090</v>
          </cell>
          <cell r="O9633"/>
          <cell r="T9633"/>
        </row>
        <row r="9634">
          <cell r="A9634" t="str">
            <v>ISOHORNS</v>
          </cell>
          <cell r="B9634" t="str">
            <v>WB6-A90</v>
          </cell>
          <cell r="O9634"/>
          <cell r="T9634"/>
        </row>
        <row r="9635">
          <cell r="A9635" t="str">
            <v>IT ELITE</v>
          </cell>
          <cell r="B9635" t="str">
            <v>DSH5032DPX</v>
          </cell>
          <cell r="O9635"/>
          <cell r="T9635"/>
        </row>
        <row r="9636">
          <cell r="A9636" t="str">
            <v>IT ELITE</v>
          </cell>
          <cell r="B9636" t="str">
            <v>PRO-SEC-XL5018DPX2</v>
          </cell>
          <cell r="O9636"/>
          <cell r="T9636"/>
        </row>
        <row r="9637">
          <cell r="A9637" t="str">
            <v>IT ELITE</v>
          </cell>
          <cell r="B9637" t="str">
            <v>PRO-SEC-XL5018DPX2_CCIV2</v>
          </cell>
          <cell r="O9637"/>
          <cell r="T9637"/>
        </row>
        <row r="9638">
          <cell r="A9638" t="str">
            <v>IT ELITE</v>
          </cell>
          <cell r="B9638" t="str">
            <v>SEC-L5018-3x3</v>
          </cell>
          <cell r="O9638"/>
          <cell r="T9638"/>
        </row>
        <row r="9639">
          <cell r="A9639" t="str">
            <v>IT ELITE</v>
          </cell>
          <cell r="B9639" t="str">
            <v>SEC-XL35-50XP-DP</v>
          </cell>
          <cell r="O9639"/>
          <cell r="T9639"/>
        </row>
        <row r="9640">
          <cell r="A9640" t="str">
            <v>IT ELITE</v>
          </cell>
          <cell r="B9640" t="str">
            <v>SEC35/50XP/DP</v>
          </cell>
          <cell r="O9640">
            <v>2.0611100519999996</v>
          </cell>
          <cell r="T9640">
            <v>0.477613432</v>
          </cell>
        </row>
        <row r="9641">
          <cell r="A9641" t="str">
            <v>IT ELITE</v>
          </cell>
          <cell r="B9641" t="str">
            <v>SECTOR-XL 2.4/5DUAL BAND_2xdual H_V</v>
          </cell>
          <cell r="O9641">
            <v>2.0611100519999996</v>
          </cell>
          <cell r="T9641">
            <v>0.477613432</v>
          </cell>
        </row>
        <row r="9642">
          <cell r="A9642" t="str">
            <v>IT ELITE</v>
          </cell>
          <cell r="B9642" t="str">
            <v>SECTOR50018DUAL H&amp;V</v>
          </cell>
          <cell r="O9642"/>
          <cell r="T9642"/>
        </row>
        <row r="9643">
          <cell r="A9643" t="str">
            <v>IT ELITE</v>
          </cell>
          <cell r="B9643" t="str">
            <v>SRA 0.9/2.4/5 TRI-BAND</v>
          </cell>
          <cell r="O9643">
            <v>1.8358300829999998</v>
          </cell>
          <cell r="T9643">
            <v>0.38602687499999994</v>
          </cell>
        </row>
        <row r="9644">
          <cell r="A9644" t="str">
            <v>IT ELITE</v>
          </cell>
          <cell r="B9644" t="str">
            <v>SRA26014DUAL H&amp;V</v>
          </cell>
          <cell r="O9644">
            <v>1.8358300829999998</v>
          </cell>
          <cell r="T9644">
            <v>0.38602687499999994</v>
          </cell>
        </row>
        <row r="9645">
          <cell r="A9645" t="str">
            <v>IT ELITE</v>
          </cell>
          <cell r="B9645" t="str">
            <v>SRA26014DUALHV</v>
          </cell>
          <cell r="O9645">
            <v>1.84</v>
          </cell>
          <cell r="T9645">
            <v>0.39</v>
          </cell>
        </row>
        <row r="9646">
          <cell r="A9646" t="str">
            <v>ITRON</v>
          </cell>
          <cell r="B9646" t="str">
            <v>MSE-0372-001</v>
          </cell>
          <cell r="O9646"/>
          <cell r="T9646"/>
        </row>
        <row r="9647">
          <cell r="A9647" t="str">
            <v>ITRON</v>
          </cell>
          <cell r="B9647" t="str">
            <v>MSE-0392-001</v>
          </cell>
          <cell r="O9647"/>
          <cell r="T9647"/>
        </row>
        <row r="9648">
          <cell r="A9648" t="str">
            <v>JABIL ENTERPRISE AND INFRASTRUCTURE</v>
          </cell>
          <cell r="B9648" t="str">
            <v>N66 N70</v>
          </cell>
          <cell r="O9648"/>
          <cell r="T9648"/>
        </row>
        <row r="9649">
          <cell r="A9649" t="str">
            <v>JAMPRO</v>
          </cell>
          <cell r="B9649" t="str">
            <v>J3YF</v>
          </cell>
          <cell r="O9649"/>
          <cell r="T9649"/>
        </row>
        <row r="9650">
          <cell r="A9650" t="str">
            <v>JAMPRO</v>
          </cell>
          <cell r="B9650" t="str">
            <v>JA-SS-8.31-OM</v>
          </cell>
          <cell r="O9650"/>
          <cell r="T9650"/>
        </row>
        <row r="9651">
          <cell r="A9651" t="str">
            <v>JAMPRO</v>
          </cell>
          <cell r="B9651" t="str">
            <v>JA/LS-4.23-TVCMC</v>
          </cell>
          <cell r="O9651"/>
          <cell r="T9651"/>
        </row>
        <row r="9652">
          <cell r="A9652" t="str">
            <v>JAMPRO</v>
          </cell>
          <cell r="B9652" t="str">
            <v>JA/SS-12-SCL</v>
          </cell>
          <cell r="O9652"/>
          <cell r="T9652"/>
        </row>
        <row r="9653">
          <cell r="A9653" t="str">
            <v>JAMPRO</v>
          </cell>
          <cell r="B9653" t="str">
            <v>JADP-1-1</v>
          </cell>
          <cell r="O9653"/>
          <cell r="T9653"/>
        </row>
        <row r="9654">
          <cell r="A9654" t="str">
            <v>JAMPRO</v>
          </cell>
          <cell r="B9654" t="str">
            <v>JAVA-1.2(2)</v>
          </cell>
          <cell r="O9654"/>
          <cell r="T9654"/>
        </row>
        <row r="9655">
          <cell r="A9655" t="str">
            <v>JAMPRO</v>
          </cell>
          <cell r="B9655" t="str">
            <v>JAVA1</v>
          </cell>
          <cell r="O9655"/>
          <cell r="T9655"/>
        </row>
        <row r="9656">
          <cell r="A9656" t="str">
            <v>JAMPRO</v>
          </cell>
          <cell r="B9656" t="str">
            <v>JBCP-3</v>
          </cell>
          <cell r="O9656"/>
          <cell r="T9656"/>
        </row>
        <row r="9657">
          <cell r="A9657" t="str">
            <v>JAMPRO</v>
          </cell>
          <cell r="B9657" t="str">
            <v>JCPB</v>
          </cell>
          <cell r="O9657">
            <v>0</v>
          </cell>
          <cell r="T9657"/>
        </row>
        <row r="9658">
          <cell r="A9658" t="str">
            <v>JAMPRO</v>
          </cell>
          <cell r="B9658" t="str">
            <v>JCPB-2M</v>
          </cell>
          <cell r="O9658"/>
          <cell r="T9658"/>
        </row>
        <row r="9659">
          <cell r="A9659" t="str">
            <v>JAMPRO</v>
          </cell>
          <cell r="B9659" t="str">
            <v>JFVD-2/2(4)</v>
          </cell>
          <cell r="O9659"/>
          <cell r="T9659"/>
        </row>
        <row r="9660">
          <cell r="A9660" t="str">
            <v>JAMPRO</v>
          </cell>
          <cell r="B9660" t="str">
            <v>JHCP-12</v>
          </cell>
          <cell r="O9660"/>
          <cell r="T9660"/>
        </row>
        <row r="9661">
          <cell r="A9661" t="str">
            <v>JAMPRO</v>
          </cell>
          <cell r="B9661" t="str">
            <v>JHHP-5</v>
          </cell>
          <cell r="O9661"/>
          <cell r="T9661"/>
        </row>
        <row r="9662">
          <cell r="A9662" t="str">
            <v>JAMPRO</v>
          </cell>
          <cell r="B9662" t="str">
            <v>JHPC-12</v>
          </cell>
          <cell r="O9662"/>
          <cell r="T9662"/>
        </row>
        <row r="9663">
          <cell r="A9663" t="str">
            <v>JAMPRO</v>
          </cell>
          <cell r="B9663" t="str">
            <v>JHPC-2</v>
          </cell>
          <cell r="O9663"/>
          <cell r="T9663"/>
        </row>
        <row r="9664">
          <cell r="A9664" t="str">
            <v>JAMPRO</v>
          </cell>
          <cell r="B9664" t="str">
            <v>JHPC-3</v>
          </cell>
          <cell r="O9664"/>
          <cell r="T9664"/>
        </row>
        <row r="9665">
          <cell r="A9665" t="str">
            <v>JAMPRO</v>
          </cell>
          <cell r="B9665" t="str">
            <v>JHPC-6</v>
          </cell>
          <cell r="O9665"/>
          <cell r="T9665"/>
        </row>
        <row r="9666">
          <cell r="A9666" t="str">
            <v>JAMPRO</v>
          </cell>
          <cell r="B9666" t="str">
            <v>JHPC-6 CF W/RADOME</v>
          </cell>
          <cell r="O9666"/>
          <cell r="T9666"/>
        </row>
        <row r="9667">
          <cell r="A9667" t="str">
            <v>JAMPRO</v>
          </cell>
          <cell r="B9667" t="str">
            <v>JHPC-8</v>
          </cell>
          <cell r="O9667"/>
          <cell r="T9667"/>
        </row>
        <row r="9668">
          <cell r="A9668" t="str">
            <v>JAMPRO</v>
          </cell>
          <cell r="B9668" t="str">
            <v>JLCP-1</v>
          </cell>
          <cell r="O9668"/>
          <cell r="T9668"/>
        </row>
        <row r="9669">
          <cell r="A9669" t="str">
            <v>JAMPRO</v>
          </cell>
          <cell r="B9669" t="str">
            <v>JLLP-1</v>
          </cell>
          <cell r="O9669"/>
          <cell r="T9669"/>
        </row>
        <row r="9670">
          <cell r="A9670" t="str">
            <v>JAMPRO</v>
          </cell>
          <cell r="B9670" t="str">
            <v>JLLP-2</v>
          </cell>
          <cell r="O9670"/>
          <cell r="T9670"/>
        </row>
        <row r="9671">
          <cell r="A9671" t="str">
            <v>JAMPRO</v>
          </cell>
          <cell r="B9671" t="str">
            <v>JLPC-1</v>
          </cell>
          <cell r="O9671"/>
          <cell r="T9671"/>
        </row>
        <row r="9672">
          <cell r="A9672" t="str">
            <v>JAMPRO</v>
          </cell>
          <cell r="B9672" t="str">
            <v>JLPC-2</v>
          </cell>
          <cell r="O9672"/>
          <cell r="T9672"/>
        </row>
        <row r="9673">
          <cell r="A9673" t="str">
            <v>JAMPRO</v>
          </cell>
          <cell r="B9673" t="str">
            <v>JLPC-5</v>
          </cell>
          <cell r="O9673"/>
          <cell r="T9673"/>
        </row>
        <row r="9674">
          <cell r="A9674" t="str">
            <v>JAMPRO</v>
          </cell>
          <cell r="B9674" t="str">
            <v>JLST2DE</v>
          </cell>
          <cell r="O9674"/>
          <cell r="T9674"/>
        </row>
        <row r="9675">
          <cell r="A9675" t="str">
            <v>JAMPRO</v>
          </cell>
          <cell r="B9675" t="str">
            <v>JLVP-1</v>
          </cell>
          <cell r="O9675"/>
          <cell r="T9675"/>
        </row>
        <row r="9676">
          <cell r="A9676" t="str">
            <v>JAMPRO</v>
          </cell>
          <cell r="B9676" t="str">
            <v>JMHP-2</v>
          </cell>
          <cell r="O9676"/>
          <cell r="T9676"/>
        </row>
        <row r="9677">
          <cell r="A9677" t="str">
            <v>JAMPRO</v>
          </cell>
          <cell r="B9677" t="str">
            <v>JMPC-1</v>
          </cell>
          <cell r="O9677"/>
          <cell r="T9677"/>
        </row>
        <row r="9678">
          <cell r="A9678" t="str">
            <v>JAMPRO</v>
          </cell>
          <cell r="B9678" t="str">
            <v>JMPC-1R</v>
          </cell>
          <cell r="O9678"/>
          <cell r="T9678"/>
        </row>
        <row r="9679">
          <cell r="A9679" t="str">
            <v>JAMPRO</v>
          </cell>
          <cell r="B9679" t="str">
            <v>JMPC-2</v>
          </cell>
          <cell r="O9679"/>
          <cell r="T9679"/>
        </row>
        <row r="9680">
          <cell r="A9680" t="str">
            <v>JAMPRO</v>
          </cell>
          <cell r="B9680" t="str">
            <v>JMPC-3</v>
          </cell>
          <cell r="O9680"/>
          <cell r="T9680"/>
        </row>
        <row r="9681">
          <cell r="A9681" t="str">
            <v>JAMPRO</v>
          </cell>
          <cell r="B9681" t="str">
            <v>JMPC-4</v>
          </cell>
          <cell r="O9681"/>
          <cell r="T9681"/>
        </row>
        <row r="9682">
          <cell r="A9682" t="str">
            <v>JAMPRO</v>
          </cell>
          <cell r="B9682" t="str">
            <v>JMVP-1R</v>
          </cell>
          <cell r="O9682"/>
          <cell r="T9682"/>
        </row>
        <row r="9683">
          <cell r="A9683" t="str">
            <v>JAMPRO</v>
          </cell>
          <cell r="B9683" t="str">
            <v>JMVP-2</v>
          </cell>
          <cell r="O9683"/>
          <cell r="T9683"/>
        </row>
        <row r="9684">
          <cell r="A9684" t="str">
            <v>JAMPRO</v>
          </cell>
          <cell r="B9684" t="str">
            <v>JMVP-6</v>
          </cell>
          <cell r="O9684"/>
          <cell r="T9684"/>
        </row>
        <row r="9685">
          <cell r="A9685" t="str">
            <v>JAMPRO</v>
          </cell>
          <cell r="B9685" t="str">
            <v>JSCP-1</v>
          </cell>
          <cell r="O9685"/>
          <cell r="T9685"/>
        </row>
        <row r="9686">
          <cell r="A9686" t="str">
            <v>JAMPRO</v>
          </cell>
          <cell r="B9686" t="str">
            <v>JSCP-6R</v>
          </cell>
          <cell r="O9686"/>
          <cell r="T9686"/>
        </row>
        <row r="9687">
          <cell r="A9687" t="str">
            <v>JAMPRO</v>
          </cell>
          <cell r="B9687" t="str">
            <v>JSLP-2DA</v>
          </cell>
          <cell r="O9687"/>
          <cell r="T9687"/>
        </row>
        <row r="9688">
          <cell r="A9688" t="str">
            <v>JAMPRO</v>
          </cell>
          <cell r="B9688" t="str">
            <v>JUHD-1</v>
          </cell>
          <cell r="O9688"/>
          <cell r="T9688"/>
        </row>
        <row r="9689">
          <cell r="A9689" t="str">
            <v>JANTEQ CORPORATION</v>
          </cell>
          <cell r="B9689" t="str">
            <v>500-0024211</v>
          </cell>
          <cell r="O9689"/>
          <cell r="T9689"/>
        </row>
        <row r="9690">
          <cell r="A9690" t="str">
            <v>JANTEQ CORPORATION</v>
          </cell>
          <cell r="B9690" t="str">
            <v>500-0024212</v>
          </cell>
          <cell r="O9690"/>
          <cell r="T9690"/>
        </row>
        <row r="9691">
          <cell r="A9691" t="str">
            <v>JANTEQ CORPORATION</v>
          </cell>
          <cell r="B9691" t="str">
            <v>500-0024213</v>
          </cell>
          <cell r="O9691"/>
          <cell r="T9691"/>
        </row>
        <row r="9692">
          <cell r="A9692" t="str">
            <v>JANTEQ CORPORATION</v>
          </cell>
          <cell r="B9692" t="str">
            <v>500-0024221</v>
          </cell>
          <cell r="O9692">
            <v>3.6521828997114199</v>
          </cell>
          <cell r="T9692">
            <v>2.0020642132372899</v>
          </cell>
        </row>
        <row r="9693">
          <cell r="A9693" t="str">
            <v>JANTEQ CORPORATION</v>
          </cell>
          <cell r="B9693" t="str">
            <v>500-0024222</v>
          </cell>
          <cell r="O9693">
            <v>3.7036832657443997</v>
          </cell>
          <cell r="T9693">
            <v>2.0302919737944003</v>
          </cell>
        </row>
        <row r="9694">
          <cell r="A9694" t="str">
            <v>JANTEQ CORPORATION</v>
          </cell>
          <cell r="B9694" t="str">
            <v>500-0024223</v>
          </cell>
          <cell r="O9694">
            <v>4.5576175177475298</v>
          </cell>
          <cell r="T9694">
            <v>2.5381169932846301</v>
          </cell>
        </row>
        <row r="9695">
          <cell r="A9695" t="str">
            <v>JANTEQ CORPORATION</v>
          </cell>
          <cell r="B9695" t="str">
            <v>LSC SUPERSECTOR</v>
          </cell>
          <cell r="O9695"/>
          <cell r="T9695"/>
        </row>
        <row r="9696">
          <cell r="A9696" t="str">
            <v>JAPAN RADIO CO</v>
          </cell>
          <cell r="B9696" t="str">
            <v>JRCAP24G</v>
          </cell>
          <cell r="O9696"/>
          <cell r="T9696"/>
        </row>
        <row r="9697">
          <cell r="A9697" t="str">
            <v>JAPAN RADIO CO</v>
          </cell>
          <cell r="B9697" t="str">
            <v>JRCAP26G</v>
          </cell>
          <cell r="O9697"/>
          <cell r="T9697"/>
        </row>
        <row r="9698">
          <cell r="A9698" t="str">
            <v>JAYBEAM WIRELESS</v>
          </cell>
          <cell r="B9698" t="str">
            <v>A-18A12N-C</v>
          </cell>
          <cell r="O9698"/>
          <cell r="T9698"/>
        </row>
        <row r="9699">
          <cell r="A9699" t="str">
            <v>JAYBEAM WIRELESS</v>
          </cell>
          <cell r="B9699" t="str">
            <v>A-18A24</v>
          </cell>
          <cell r="O9699"/>
          <cell r="T9699"/>
        </row>
        <row r="9700">
          <cell r="A9700" t="str">
            <v>JAYBEAM WIRELESS</v>
          </cell>
          <cell r="B9700" t="str">
            <v>A-18A24E-C</v>
          </cell>
          <cell r="O9700"/>
          <cell r="T9700"/>
        </row>
        <row r="9701">
          <cell r="A9701" t="str">
            <v>JAYBEAM WIRELESS</v>
          </cell>
          <cell r="B9701" t="str">
            <v>A-24A24N-C</v>
          </cell>
          <cell r="O9701"/>
          <cell r="T9701"/>
        </row>
        <row r="9702">
          <cell r="A9702" t="str">
            <v>JAYBEAM WIRELESS</v>
          </cell>
          <cell r="B9702" t="str">
            <v>B800A040-12-5E</v>
          </cell>
          <cell r="O9702"/>
          <cell r="T9702"/>
        </row>
        <row r="9703">
          <cell r="A9703" t="str">
            <v>JAYBEAM WIRELESS</v>
          </cell>
          <cell r="B9703" t="str">
            <v>B800A040-18-4E</v>
          </cell>
          <cell r="O9703"/>
          <cell r="T9703"/>
        </row>
        <row r="9704">
          <cell r="A9704" t="str">
            <v>JAYBEAM WIRELESS</v>
          </cell>
          <cell r="B9704" t="str">
            <v>B800A040-25-0</v>
          </cell>
          <cell r="O9704"/>
          <cell r="T9704"/>
        </row>
        <row r="9705">
          <cell r="A9705" t="str">
            <v>JAYBEAM WIRELESS</v>
          </cell>
          <cell r="B9705" t="str">
            <v>B800A050-18-4E</v>
          </cell>
          <cell r="O9705"/>
          <cell r="T9705"/>
        </row>
        <row r="9706">
          <cell r="A9706" t="str">
            <v>JAYBEAM WIRELESS</v>
          </cell>
          <cell r="B9706" t="str">
            <v>B800A065-25-0</v>
          </cell>
          <cell r="O9706"/>
          <cell r="T9706"/>
        </row>
        <row r="9707">
          <cell r="A9707" t="str">
            <v>JAYBEAM WIRELESS</v>
          </cell>
          <cell r="B9707" t="str">
            <v>B800A065-25-0E</v>
          </cell>
          <cell r="O9707"/>
          <cell r="T9707"/>
        </row>
        <row r="9708">
          <cell r="A9708" t="str">
            <v>JAYBEAM WIRELESS</v>
          </cell>
          <cell r="B9708" t="str">
            <v>B800A065-25-4</v>
          </cell>
          <cell r="O9708"/>
          <cell r="T9708"/>
        </row>
        <row r="9709">
          <cell r="A9709" t="str">
            <v>JAYBEAM WIRELESS</v>
          </cell>
          <cell r="B9709" t="str">
            <v>B800A085-12-0</v>
          </cell>
          <cell r="O9709"/>
          <cell r="T9709"/>
        </row>
        <row r="9710">
          <cell r="A9710" t="str">
            <v>JAYBEAM WIRELESS</v>
          </cell>
          <cell r="B9710" t="str">
            <v>B800A085-12-5</v>
          </cell>
          <cell r="O9710"/>
          <cell r="T9710"/>
        </row>
        <row r="9711">
          <cell r="A9711" t="str">
            <v>JAYBEAM WIRELESS</v>
          </cell>
          <cell r="B9711" t="str">
            <v>B800X065-25-0</v>
          </cell>
          <cell r="O9711"/>
          <cell r="T9711"/>
        </row>
        <row r="9712">
          <cell r="A9712" t="str">
            <v>JAYBEAM WIRELESS</v>
          </cell>
          <cell r="B9712" t="str">
            <v>B800X065-25-6</v>
          </cell>
          <cell r="O9712"/>
          <cell r="T9712"/>
        </row>
        <row r="9713">
          <cell r="A9713" t="str">
            <v>JAYBEAM WIRELESS</v>
          </cell>
          <cell r="B9713" t="str">
            <v>BMV090X12M000</v>
          </cell>
          <cell r="O9713"/>
          <cell r="T9713"/>
        </row>
        <row r="9714">
          <cell r="A9714" t="str">
            <v>JAYBEAM WIRELESS</v>
          </cell>
          <cell r="B9714" t="str">
            <v>CBX065X18F000</v>
          </cell>
          <cell r="O9714">
            <v>6.5750675154320994</v>
          </cell>
          <cell r="T9714">
            <v>3.8879425573751796</v>
          </cell>
        </row>
        <row r="9715">
          <cell r="A9715" t="str">
            <v>JAYBEAM WIRELESS</v>
          </cell>
          <cell r="B9715" t="str">
            <v>CBX065X18F010</v>
          </cell>
          <cell r="O9715">
            <v>6.5750675154320994</v>
          </cell>
          <cell r="T9715">
            <v>3.8879425573751796</v>
          </cell>
        </row>
        <row r="9716">
          <cell r="A9716" t="str">
            <v>JAYBEAM WIRELESS</v>
          </cell>
          <cell r="B9716" t="str">
            <v>CBX065X18F610</v>
          </cell>
          <cell r="O9716">
            <v>6.5750675154320994</v>
          </cell>
          <cell r="T9716">
            <v>3.8879425573751796</v>
          </cell>
        </row>
        <row r="9717">
          <cell r="A9717" t="str">
            <v>JAYBEAM WIRELESS</v>
          </cell>
          <cell r="B9717" t="str">
            <v>CBX065X25FX10</v>
          </cell>
          <cell r="O9717"/>
          <cell r="T9717"/>
        </row>
        <row r="9718">
          <cell r="A9718" t="str">
            <v>JAYBEAM WIRELESS</v>
          </cell>
          <cell r="B9718" t="str">
            <v>CBX085X12F010</v>
          </cell>
          <cell r="O9718"/>
          <cell r="T9718"/>
        </row>
        <row r="9719">
          <cell r="A9719" t="str">
            <v>JAYBEAM WIRELESS</v>
          </cell>
          <cell r="B9719" t="str">
            <v>CBX085X18FX10</v>
          </cell>
          <cell r="O9719">
            <v>6.5750675154320994</v>
          </cell>
          <cell r="T9719">
            <v>3.8879425573751796</v>
          </cell>
        </row>
        <row r="9720">
          <cell r="A9720" t="str">
            <v>JAYBEAM WIRELESS</v>
          </cell>
          <cell r="B9720" t="str">
            <v>CBX085X25F010</v>
          </cell>
          <cell r="O9720"/>
          <cell r="T9720"/>
        </row>
        <row r="9721">
          <cell r="A9721" t="str">
            <v>JAYBEAM WIRELESS</v>
          </cell>
          <cell r="B9721" t="str">
            <v>DCS43PA05F00</v>
          </cell>
          <cell r="O9721"/>
          <cell r="T9721"/>
        </row>
        <row r="9722">
          <cell r="A9722" t="str">
            <v>JAYBEAM WIRELESS</v>
          </cell>
          <cell r="B9722" t="str">
            <v>DPV090X14C200</v>
          </cell>
          <cell r="O9722">
            <v>2.6137088923587499</v>
          </cell>
          <cell r="T9722">
            <v>2.1316578928883798</v>
          </cell>
        </row>
        <row r="9723">
          <cell r="A9723" t="str">
            <v>JAYBEAM WIRELESS</v>
          </cell>
          <cell r="B9723" t="str">
            <v>DPV090X25C200</v>
          </cell>
          <cell r="O9723"/>
          <cell r="T9723"/>
        </row>
        <row r="9724">
          <cell r="A9724" t="str">
            <v>JAYBEAM WIRELESS</v>
          </cell>
          <cell r="B9724" t="str">
            <v>DSX065S13M100</v>
          </cell>
          <cell r="O9724"/>
          <cell r="T9724"/>
        </row>
        <row r="9725">
          <cell r="A9725" t="str">
            <v>JAYBEAM WIRELESS</v>
          </cell>
          <cell r="B9725" t="str">
            <v>DSX065S13ME0D</v>
          </cell>
          <cell r="O9725"/>
          <cell r="T9725"/>
        </row>
        <row r="9726">
          <cell r="A9726" t="str">
            <v>JAYBEAM WIRELESS</v>
          </cell>
          <cell r="B9726" t="str">
            <v>DSX065S13R100</v>
          </cell>
          <cell r="O9726"/>
          <cell r="T9726"/>
        </row>
        <row r="9727">
          <cell r="A9727" t="str">
            <v>JAYBEAM WIRELESS</v>
          </cell>
          <cell r="B9727" t="str">
            <v>DSX065S13X100</v>
          </cell>
          <cell r="O9727"/>
          <cell r="T9727"/>
        </row>
        <row r="9728">
          <cell r="A9728" t="str">
            <v>JAYBEAM WIRELESS</v>
          </cell>
          <cell r="B9728" t="str">
            <v>DSX065X13M000</v>
          </cell>
          <cell r="O9728">
            <v>4.9378573495370404</v>
          </cell>
          <cell r="T9728">
            <v>2.9203623442250901</v>
          </cell>
        </row>
        <row r="9729">
          <cell r="A9729" t="str">
            <v>JAYBEAM WIRELESS</v>
          </cell>
          <cell r="B9729" t="str">
            <v>DSX065X13R000</v>
          </cell>
          <cell r="O9729">
            <v>4.9378573495370404</v>
          </cell>
          <cell r="T9729">
            <v>2.9203623442250901</v>
          </cell>
        </row>
        <row r="9730">
          <cell r="A9730" t="str">
            <v>JAYBEAM WIRELESS</v>
          </cell>
          <cell r="B9730" t="str">
            <v>DSX065X13X000</v>
          </cell>
          <cell r="O9730">
            <v>4.9378573495370404</v>
          </cell>
          <cell r="T9730">
            <v>2.9203623442250901</v>
          </cell>
        </row>
        <row r="9731">
          <cell r="A9731" t="str">
            <v>JAYBEAM WIRELESS</v>
          </cell>
          <cell r="B9731" t="str">
            <v>DSX065X20M000</v>
          </cell>
          <cell r="O9731">
            <v>7.4783661265432091</v>
          </cell>
          <cell r="T9731">
            <v>4.421719291505819</v>
          </cell>
        </row>
        <row r="9732">
          <cell r="A9732" t="str">
            <v>JAYBEAM WIRELESS</v>
          </cell>
          <cell r="B9732" t="str">
            <v>DSX065X20R000</v>
          </cell>
          <cell r="O9732">
            <v>7.4783661265432091</v>
          </cell>
          <cell r="T9732">
            <v>4.421719291505819</v>
          </cell>
        </row>
        <row r="9733">
          <cell r="A9733" t="str">
            <v>JAYBEAM WIRELESS</v>
          </cell>
          <cell r="B9733" t="str">
            <v>DSX065X20R100</v>
          </cell>
          <cell r="O9733">
            <v>7.4783661265432091</v>
          </cell>
          <cell r="T9733">
            <v>4.421719291505819</v>
          </cell>
        </row>
        <row r="9734">
          <cell r="A9734" t="str">
            <v>JAYBEAM WIRELESS</v>
          </cell>
          <cell r="B9734" t="str">
            <v>PCSA-VBW6-13-0</v>
          </cell>
          <cell r="O9734"/>
          <cell r="T9734"/>
        </row>
        <row r="9735">
          <cell r="A9735" t="str">
            <v>JAYBEAM WIRELESS</v>
          </cell>
          <cell r="B9735" t="str">
            <v>PCSA-VBW6-19-0</v>
          </cell>
          <cell r="O9735"/>
          <cell r="T9735"/>
        </row>
        <row r="9736">
          <cell r="A9736" t="str">
            <v>JAYBEAM WIRELESS</v>
          </cell>
          <cell r="B9736" t="str">
            <v>PCSA-VBW6-19-3</v>
          </cell>
          <cell r="O9736"/>
          <cell r="T9736"/>
        </row>
        <row r="9737">
          <cell r="A9737" t="str">
            <v>JAYBEAM WIRELESS</v>
          </cell>
          <cell r="B9737" t="str">
            <v>PCSA030-13-0</v>
          </cell>
          <cell r="O9737"/>
          <cell r="T9737"/>
        </row>
        <row r="9738">
          <cell r="A9738" t="str">
            <v>JAYBEAM WIRELESS</v>
          </cell>
          <cell r="B9738" t="str">
            <v>PCSA030-19-0</v>
          </cell>
          <cell r="O9738"/>
          <cell r="T9738"/>
        </row>
        <row r="9739">
          <cell r="A9739" t="str">
            <v>JAYBEAM WIRELESS</v>
          </cell>
          <cell r="B9739" t="str">
            <v>PCSA030-19-02</v>
          </cell>
          <cell r="O9739"/>
          <cell r="T9739"/>
        </row>
        <row r="9740">
          <cell r="A9740" t="str">
            <v>JAYBEAM WIRELESS</v>
          </cell>
          <cell r="B9740" t="str">
            <v>PCSA030-19-3</v>
          </cell>
          <cell r="O9740"/>
          <cell r="T9740"/>
        </row>
        <row r="9741">
          <cell r="A9741" t="str">
            <v>JAYBEAM WIRELESS</v>
          </cell>
          <cell r="B9741" t="str">
            <v>PCSA030-19-4</v>
          </cell>
          <cell r="O9741"/>
          <cell r="T9741"/>
        </row>
        <row r="9742">
          <cell r="A9742" t="str">
            <v>JAYBEAM WIRELESS</v>
          </cell>
          <cell r="B9742" t="str">
            <v>PCSA033-19-2</v>
          </cell>
          <cell r="O9742"/>
          <cell r="T9742"/>
        </row>
        <row r="9743">
          <cell r="A9743" t="str">
            <v>JAYBEAM WIRELESS</v>
          </cell>
          <cell r="B9743" t="str">
            <v>PCSA038-10-0</v>
          </cell>
          <cell r="O9743"/>
          <cell r="T9743"/>
        </row>
        <row r="9744">
          <cell r="A9744" t="str">
            <v>JAYBEAM WIRELESS</v>
          </cell>
          <cell r="B9744" t="str">
            <v>PCSA038-10-5</v>
          </cell>
          <cell r="O9744"/>
          <cell r="T9744"/>
        </row>
        <row r="9745">
          <cell r="A9745" t="str">
            <v>JAYBEAM WIRELESS</v>
          </cell>
          <cell r="B9745" t="str">
            <v>PCSA038-13-0</v>
          </cell>
          <cell r="O9745"/>
          <cell r="T9745"/>
        </row>
        <row r="9746">
          <cell r="A9746" t="str">
            <v>JAYBEAM WIRELESS</v>
          </cell>
          <cell r="B9746" t="str">
            <v>PCSA038-13-2</v>
          </cell>
          <cell r="O9746"/>
          <cell r="T9746"/>
        </row>
        <row r="9747">
          <cell r="A9747" t="str">
            <v>JAYBEAM WIRELESS</v>
          </cell>
          <cell r="B9747" t="str">
            <v>PCSA038-13-5</v>
          </cell>
          <cell r="O9747"/>
          <cell r="T9747"/>
        </row>
        <row r="9748">
          <cell r="A9748" t="str">
            <v>JAYBEAM WIRELESS</v>
          </cell>
          <cell r="B9748" t="str">
            <v>PCSA038-19-0</v>
          </cell>
          <cell r="O9748"/>
          <cell r="T9748"/>
        </row>
        <row r="9749">
          <cell r="A9749" t="str">
            <v>JAYBEAM WIRELESS</v>
          </cell>
          <cell r="B9749" t="str">
            <v>PCSA038-19-2</v>
          </cell>
          <cell r="O9749"/>
          <cell r="T9749"/>
        </row>
        <row r="9750">
          <cell r="A9750" t="str">
            <v>JAYBEAM WIRELESS</v>
          </cell>
          <cell r="B9750" t="str">
            <v>PCSA038-19-4</v>
          </cell>
          <cell r="O9750"/>
          <cell r="T9750"/>
        </row>
        <row r="9751">
          <cell r="A9751" t="str">
            <v>JAYBEAM WIRELESS</v>
          </cell>
          <cell r="B9751" t="str">
            <v>PCSA038-19-5</v>
          </cell>
          <cell r="O9751"/>
          <cell r="T9751"/>
        </row>
        <row r="9752">
          <cell r="A9752" t="str">
            <v>JAYBEAM WIRELESS</v>
          </cell>
          <cell r="B9752" t="str">
            <v>PCSA045-19-0</v>
          </cell>
          <cell r="O9752"/>
          <cell r="T9752"/>
        </row>
        <row r="9753">
          <cell r="A9753" t="str">
            <v>JAYBEAM WIRELESS</v>
          </cell>
          <cell r="B9753" t="str">
            <v>PCSA045-19-2</v>
          </cell>
          <cell r="O9753"/>
          <cell r="T9753"/>
        </row>
        <row r="9754">
          <cell r="A9754" t="str">
            <v>JAYBEAM WIRELESS</v>
          </cell>
          <cell r="B9754" t="str">
            <v>PCSA045-19-4</v>
          </cell>
          <cell r="O9754"/>
          <cell r="T9754"/>
        </row>
        <row r="9755">
          <cell r="A9755" t="str">
            <v>JAYBEAM WIRELESS</v>
          </cell>
          <cell r="B9755" t="str">
            <v>PCSA060-19-0</v>
          </cell>
          <cell r="O9755">
            <v>4.33875626929012</v>
          </cell>
          <cell r="T9755">
            <v>3.75611920945942</v>
          </cell>
        </row>
        <row r="9756">
          <cell r="A9756" t="str">
            <v>JAYBEAM WIRELESS</v>
          </cell>
          <cell r="B9756" t="str">
            <v>PCSA060-19-2</v>
          </cell>
          <cell r="O9756">
            <v>4.33875626929012</v>
          </cell>
          <cell r="T9756">
            <v>3.75611920945942</v>
          </cell>
        </row>
        <row r="9757">
          <cell r="A9757" t="str">
            <v>JAYBEAM WIRELESS</v>
          </cell>
          <cell r="B9757" t="str">
            <v>PCSA060-19-3</v>
          </cell>
          <cell r="O9757">
            <v>4.33875626929012</v>
          </cell>
          <cell r="T9757">
            <v>3.75611920945942</v>
          </cell>
        </row>
        <row r="9758">
          <cell r="A9758" t="str">
            <v>JAYBEAM WIRELESS</v>
          </cell>
          <cell r="B9758" t="str">
            <v>PCSA065-13-0</v>
          </cell>
          <cell r="O9758">
            <v>2.8510985730000002</v>
          </cell>
          <cell r="T9758">
            <v>2.4716309289999998</v>
          </cell>
        </row>
        <row r="9759">
          <cell r="A9759" t="str">
            <v>JAYBEAM WIRELESS</v>
          </cell>
          <cell r="B9759" t="str">
            <v>PCSA065-13-5</v>
          </cell>
          <cell r="O9759">
            <v>2.8510985730000002</v>
          </cell>
          <cell r="T9759">
            <v>2.4716309289999998</v>
          </cell>
        </row>
        <row r="9760">
          <cell r="A9760" t="str">
            <v>JAYBEAM WIRELESS</v>
          </cell>
          <cell r="B9760" t="str">
            <v>PCSA065-16-0</v>
          </cell>
          <cell r="O9760">
            <v>3.5918214699999997</v>
          </cell>
          <cell r="T9760">
            <v>3.1120298849999997</v>
          </cell>
        </row>
        <row r="9761">
          <cell r="A9761" t="str">
            <v>JAYBEAM WIRELESS</v>
          </cell>
          <cell r="B9761" t="str">
            <v>PCSA065-16-2</v>
          </cell>
          <cell r="O9761">
            <v>3.5918214699999997</v>
          </cell>
          <cell r="T9761">
            <v>3.1120298849999997</v>
          </cell>
        </row>
        <row r="9762">
          <cell r="A9762" t="str">
            <v>JAYBEAM WIRELESS</v>
          </cell>
          <cell r="B9762" t="str">
            <v>PCSA065-16-5</v>
          </cell>
          <cell r="O9762">
            <v>3.5918214699999997</v>
          </cell>
          <cell r="T9762">
            <v>3.1120298849999997</v>
          </cell>
        </row>
        <row r="9763">
          <cell r="A9763" t="str">
            <v>JAYBEAM WIRELESS</v>
          </cell>
          <cell r="B9763" t="str">
            <v>PCSA065-19-0</v>
          </cell>
          <cell r="O9763">
            <v>4.3387562690000001</v>
          </cell>
          <cell r="T9763">
            <v>3.756119209</v>
          </cell>
        </row>
        <row r="9764">
          <cell r="A9764" t="str">
            <v>JAYBEAM WIRELESS</v>
          </cell>
          <cell r="B9764" t="str">
            <v>PCSA065-19-2</v>
          </cell>
          <cell r="O9764">
            <v>4.3387562690000001</v>
          </cell>
          <cell r="T9764">
            <v>3.756119209</v>
          </cell>
        </row>
        <row r="9765">
          <cell r="A9765" t="str">
            <v>JAYBEAM WIRELESS</v>
          </cell>
          <cell r="B9765" t="str">
            <v>PCSA065-19-2-BB</v>
          </cell>
          <cell r="O9765">
            <v>4.3387562690000001</v>
          </cell>
          <cell r="T9765">
            <v>3.756119209</v>
          </cell>
        </row>
        <row r="9766">
          <cell r="A9766" t="str">
            <v>JAYBEAM WIRELESS</v>
          </cell>
          <cell r="B9766" t="str">
            <v>PCSA065-19-3</v>
          </cell>
          <cell r="O9766">
            <v>4.3387562690000001</v>
          </cell>
          <cell r="T9766">
            <v>3.756119209</v>
          </cell>
        </row>
        <row r="9767">
          <cell r="A9767" t="str">
            <v>JAYBEAM WIRELESS</v>
          </cell>
          <cell r="B9767" t="str">
            <v>PCSA065-19-4</v>
          </cell>
          <cell r="O9767">
            <v>4.3387562690000001</v>
          </cell>
          <cell r="T9767">
            <v>3.756119209</v>
          </cell>
        </row>
        <row r="9768">
          <cell r="A9768" t="str">
            <v>JAYBEAM WIRELESS</v>
          </cell>
          <cell r="B9768" t="str">
            <v>PCSA065-19-5</v>
          </cell>
          <cell r="O9768">
            <v>4.3387562690000001</v>
          </cell>
          <cell r="T9768">
            <v>3.756119209</v>
          </cell>
        </row>
        <row r="9769">
          <cell r="A9769" t="str">
            <v>JAYBEAM WIRELESS</v>
          </cell>
          <cell r="B9769" t="str">
            <v>PCSA090-13-0</v>
          </cell>
          <cell r="O9769">
            <v>3.4816729359567899</v>
          </cell>
          <cell r="T9769">
            <v>2.3204588161258197</v>
          </cell>
        </row>
        <row r="9770">
          <cell r="A9770" t="str">
            <v>JAYBEAM WIRELESS</v>
          </cell>
          <cell r="B9770" t="str">
            <v>PCSA090-16-0</v>
          </cell>
          <cell r="O9770">
            <v>4.3333931327160498</v>
          </cell>
          <cell r="T9770">
            <v>2.8858885119670501</v>
          </cell>
        </row>
        <row r="9771">
          <cell r="A9771" t="str">
            <v>JAYBEAM WIRELESS</v>
          </cell>
          <cell r="B9771" t="str">
            <v>PCSA090-19-0</v>
          </cell>
          <cell r="O9771">
            <v>5.2113985339506197</v>
          </cell>
          <cell r="T9771">
            <v>3.4665948450975597</v>
          </cell>
        </row>
        <row r="9772">
          <cell r="A9772" t="str">
            <v>JAYBEAM WIRELESS</v>
          </cell>
          <cell r="B9772" t="str">
            <v>PCSA090-19-2</v>
          </cell>
          <cell r="O9772">
            <v>5.2113985339506197</v>
          </cell>
          <cell r="T9772">
            <v>3.4665948450975597</v>
          </cell>
        </row>
        <row r="9773">
          <cell r="A9773" t="str">
            <v>JAYBEAM WIRELESS</v>
          </cell>
          <cell r="B9773" t="str">
            <v>PCSA090-19-3</v>
          </cell>
          <cell r="O9773">
            <v>5.2113985339506197</v>
          </cell>
          <cell r="T9773">
            <v>3.4665948450975597</v>
          </cell>
        </row>
        <row r="9774">
          <cell r="A9774" t="str">
            <v>JAYBEAM WIRELESS</v>
          </cell>
          <cell r="B9774" t="str">
            <v>PCSA090-19-5</v>
          </cell>
          <cell r="O9774">
            <v>5.2113985339506197</v>
          </cell>
          <cell r="T9774">
            <v>3.4665948450975597</v>
          </cell>
        </row>
        <row r="9775">
          <cell r="A9775" t="str">
            <v>JAYBEAM WIRELESS</v>
          </cell>
          <cell r="B9775" t="str">
            <v>PCSS065-06-0</v>
          </cell>
          <cell r="O9775"/>
          <cell r="T9775"/>
        </row>
        <row r="9776">
          <cell r="A9776" t="str">
            <v>JAYBEAM WIRELESS</v>
          </cell>
          <cell r="B9776" t="str">
            <v>PCSS065-10-0</v>
          </cell>
          <cell r="O9776">
            <v>2.1073609478208697</v>
          </cell>
          <cell r="T9776">
            <v>0.42632379233985002</v>
          </cell>
        </row>
        <row r="9777">
          <cell r="A9777" t="str">
            <v>JAYBEAM WIRELESS</v>
          </cell>
          <cell r="B9777" t="str">
            <v>PCSS065-13-0</v>
          </cell>
          <cell r="O9777"/>
          <cell r="T9777"/>
        </row>
        <row r="9778">
          <cell r="A9778" t="str">
            <v>JAYBEAM WIRELESS</v>
          </cell>
          <cell r="B9778" t="str">
            <v>PCSS065-13-2</v>
          </cell>
          <cell r="O9778">
            <v>2.2263340390281003</v>
          </cell>
          <cell r="T9778">
            <v>0.45036226411069002</v>
          </cell>
        </row>
        <row r="9779">
          <cell r="A9779" t="str">
            <v>JAYBEAM WIRELESS</v>
          </cell>
          <cell r="B9779" t="str">
            <v>PCSS065-13-5</v>
          </cell>
          <cell r="O9779"/>
          <cell r="T9779"/>
        </row>
        <row r="9780">
          <cell r="A9780" t="str">
            <v>JAYBEAM WIRELESS</v>
          </cell>
          <cell r="B9780" t="str">
            <v>PCSS065-13-7</v>
          </cell>
          <cell r="O9780"/>
          <cell r="T9780"/>
        </row>
        <row r="9781">
          <cell r="A9781" t="str">
            <v>JAYBEAM WIRELESS</v>
          </cell>
          <cell r="B9781" t="str">
            <v>PCSS065-16-2</v>
          </cell>
          <cell r="O9781"/>
          <cell r="T9781"/>
        </row>
        <row r="9782">
          <cell r="A9782" t="str">
            <v>JAYBEAM WIRELESS</v>
          </cell>
          <cell r="B9782" t="str">
            <v>PCSS065-19-0</v>
          </cell>
          <cell r="O9782"/>
          <cell r="T9782"/>
        </row>
        <row r="9783">
          <cell r="A9783" t="str">
            <v>JAYBEAM WIRELESS</v>
          </cell>
          <cell r="B9783" t="str">
            <v>PCSS065-19-2</v>
          </cell>
          <cell r="O9783"/>
          <cell r="T9783"/>
        </row>
        <row r="9784">
          <cell r="A9784" t="str">
            <v>JAYBEAM WIRELESS</v>
          </cell>
          <cell r="B9784" t="str">
            <v>PCSS065-19-5</v>
          </cell>
          <cell r="O9784"/>
          <cell r="T9784"/>
        </row>
        <row r="9785">
          <cell r="A9785" t="str">
            <v>JAYBEAM WIRELESS</v>
          </cell>
          <cell r="B9785" t="str">
            <v>PCSS090-10-0</v>
          </cell>
          <cell r="O9785"/>
          <cell r="T9785"/>
        </row>
        <row r="9786">
          <cell r="A9786" t="str">
            <v>JAYBEAM WIRELESS</v>
          </cell>
          <cell r="B9786" t="str">
            <v>PCSS090-13-2</v>
          </cell>
          <cell r="O9786"/>
          <cell r="T9786"/>
        </row>
        <row r="9787">
          <cell r="A9787" t="str">
            <v>JAYBEAM WIRELESS</v>
          </cell>
          <cell r="B9787" t="str">
            <v>PCSX033-13-2</v>
          </cell>
          <cell r="O9787"/>
          <cell r="T9787"/>
        </row>
        <row r="9788">
          <cell r="A9788" t="str">
            <v>JAYBEAM WIRELESS</v>
          </cell>
          <cell r="B9788" t="str">
            <v>PCSX033-18-0</v>
          </cell>
          <cell r="O9788"/>
          <cell r="T9788"/>
        </row>
        <row r="9789">
          <cell r="A9789" t="str">
            <v>JAYBEAM WIRELESS</v>
          </cell>
          <cell r="B9789" t="str">
            <v>PCSX033-18-2</v>
          </cell>
          <cell r="O9789"/>
          <cell r="T9789"/>
        </row>
        <row r="9790">
          <cell r="A9790" t="str">
            <v>JAYBEAM WIRELESS</v>
          </cell>
          <cell r="B9790" t="str">
            <v>PCSX065-10-2</v>
          </cell>
          <cell r="O9790">
            <v>1.4074672756978601</v>
          </cell>
          <cell r="T9790">
            <v>0.83698281796815588</v>
          </cell>
        </row>
        <row r="9791">
          <cell r="A9791" t="str">
            <v>JAYBEAM WIRELESS</v>
          </cell>
          <cell r="B9791" t="str">
            <v>PCSX065-13-0</v>
          </cell>
          <cell r="O9791">
            <v>2.17904556528251</v>
          </cell>
          <cell r="T9791">
            <v>1.14056615512377</v>
          </cell>
        </row>
        <row r="9792">
          <cell r="A9792" t="str">
            <v>JAYBEAM WIRELESS</v>
          </cell>
          <cell r="B9792" t="str">
            <v>PCSX065-13-10</v>
          </cell>
          <cell r="O9792">
            <v>2.17904556528251</v>
          </cell>
          <cell r="T9792">
            <v>1.14056615512377</v>
          </cell>
        </row>
        <row r="9793">
          <cell r="A9793" t="str">
            <v>JAYBEAM WIRELESS</v>
          </cell>
          <cell r="B9793" t="str">
            <v>PCSX065-13-2</v>
          </cell>
          <cell r="O9793">
            <v>2.17904556528251</v>
          </cell>
          <cell r="T9793">
            <v>1.14056615512377</v>
          </cell>
        </row>
        <row r="9794">
          <cell r="A9794" t="str">
            <v>JAYBEAM WIRELESS</v>
          </cell>
          <cell r="B9794" t="str">
            <v>PCSX065-18-0</v>
          </cell>
          <cell r="O9794"/>
          <cell r="T9794"/>
        </row>
        <row r="9795">
          <cell r="A9795" t="str">
            <v>JAYBEAM WIRELESS</v>
          </cell>
          <cell r="B9795" t="str">
            <v>PCSX065-18-0H</v>
          </cell>
          <cell r="O9795">
            <v>3.0171734751834096</v>
          </cell>
          <cell r="T9795">
            <v>1.7957866732152099</v>
          </cell>
        </row>
        <row r="9796">
          <cell r="A9796" t="str">
            <v>JAYBEAM WIRELESS</v>
          </cell>
          <cell r="B9796" t="str">
            <v>PCSX065-18-2</v>
          </cell>
          <cell r="O9796"/>
          <cell r="T9796"/>
        </row>
        <row r="9797">
          <cell r="A9797" t="str">
            <v>JAYBEAM WIRELESS</v>
          </cell>
          <cell r="B9797" t="str">
            <v>PCSX065-18-2H</v>
          </cell>
          <cell r="O9797">
            <v>3.0171734751834096</v>
          </cell>
          <cell r="T9797">
            <v>1.7957866732152099</v>
          </cell>
        </row>
        <row r="9798">
          <cell r="A9798" t="str">
            <v>JAYBEAM WIRELESS</v>
          </cell>
          <cell r="B9798" t="str">
            <v>PCSX065-18-2HA</v>
          </cell>
          <cell r="O9798"/>
          <cell r="T9798"/>
        </row>
        <row r="9799">
          <cell r="A9799" t="str">
            <v>JAYBEAM WIRELESS</v>
          </cell>
          <cell r="B9799" t="str">
            <v>PCSX065-18-5</v>
          </cell>
          <cell r="O9799"/>
          <cell r="T9799"/>
        </row>
        <row r="9800">
          <cell r="A9800" t="str">
            <v>JAYBEAM WIRELESS</v>
          </cell>
          <cell r="B9800" t="str">
            <v>PCSX065-18-5H</v>
          </cell>
          <cell r="O9800">
            <v>3.0171734751834096</v>
          </cell>
          <cell r="T9800">
            <v>1.7957866732152099</v>
          </cell>
        </row>
        <row r="9801">
          <cell r="A9801" t="str">
            <v>JAYBEAM WIRELESS</v>
          </cell>
          <cell r="B9801" t="str">
            <v>PCSX065-19-A06</v>
          </cell>
          <cell r="O9801">
            <v>3.5584900810000004</v>
          </cell>
          <cell r="T9801">
            <v>2.0694217309999998</v>
          </cell>
        </row>
        <row r="9802">
          <cell r="A9802" t="str">
            <v>JAYBEAM WIRELESS</v>
          </cell>
          <cell r="B9802" t="str">
            <v>PCSX065-19-R06</v>
          </cell>
          <cell r="O9802">
            <v>3.5584900810000004</v>
          </cell>
          <cell r="T9802">
            <v>2.0694217309999998</v>
          </cell>
        </row>
        <row r="9803">
          <cell r="A9803" t="str">
            <v>JAYBEAM WIRELESS</v>
          </cell>
          <cell r="B9803" t="str">
            <v>PCSX065-25-0HA</v>
          </cell>
          <cell r="O9803"/>
          <cell r="T9803"/>
        </row>
        <row r="9804">
          <cell r="A9804" t="str">
            <v>JAYBEAM WIRELESS</v>
          </cell>
          <cell r="B9804" t="str">
            <v>PCSX065-25-2HA</v>
          </cell>
          <cell r="O9804"/>
          <cell r="T9804"/>
        </row>
        <row r="9805">
          <cell r="A9805" t="str">
            <v>JAYBEAM WIRELESS</v>
          </cell>
          <cell r="B9805" t="str">
            <v>PCSX085-10-0</v>
          </cell>
          <cell r="O9805"/>
          <cell r="T9805"/>
        </row>
        <row r="9806">
          <cell r="A9806" t="str">
            <v>JAYBEAM WIRELESS</v>
          </cell>
          <cell r="B9806" t="str">
            <v>PCSX085-13-0</v>
          </cell>
          <cell r="O9806"/>
          <cell r="T9806"/>
        </row>
        <row r="9807">
          <cell r="A9807" t="str">
            <v>JAYBEAM WIRELESS</v>
          </cell>
          <cell r="B9807" t="str">
            <v>PCSX085-13-2</v>
          </cell>
          <cell r="O9807"/>
          <cell r="T9807"/>
        </row>
        <row r="9808">
          <cell r="A9808" t="str">
            <v>JAYBEAM WIRELESS</v>
          </cell>
          <cell r="B9808" t="str">
            <v>PCSX085-13-5</v>
          </cell>
          <cell r="O9808"/>
          <cell r="T9808"/>
        </row>
        <row r="9809">
          <cell r="A9809" t="str">
            <v>JAYBEAM WIRELESS</v>
          </cell>
          <cell r="B9809" t="str">
            <v>PCSX085-18-0</v>
          </cell>
          <cell r="O9809"/>
          <cell r="T9809"/>
        </row>
        <row r="9810">
          <cell r="A9810" t="str">
            <v>JAYBEAM WIRELESS</v>
          </cell>
          <cell r="B9810" t="str">
            <v>PCSX085-18-2</v>
          </cell>
          <cell r="O9810"/>
          <cell r="T9810"/>
        </row>
        <row r="9811">
          <cell r="A9811" t="str">
            <v>JAYBEAM WIRELESS</v>
          </cell>
          <cell r="B9811" t="str">
            <v>PCSX085-18-5</v>
          </cell>
          <cell r="O9811"/>
          <cell r="T9811"/>
        </row>
        <row r="9812">
          <cell r="A9812" t="str">
            <v>JAYBEAM WIRELESS</v>
          </cell>
          <cell r="B9812" t="str">
            <v>PCSX085-19-A28</v>
          </cell>
          <cell r="O9812">
            <v>3.5584900810000004</v>
          </cell>
          <cell r="T9812">
            <v>2.0694217309999998</v>
          </cell>
        </row>
        <row r="9813">
          <cell r="A9813" t="str">
            <v>JAYBEAM WIRELESS</v>
          </cell>
          <cell r="B9813" t="str">
            <v>PCSX085-19-R28</v>
          </cell>
          <cell r="O9813">
            <v>3.5584900810000004</v>
          </cell>
          <cell r="T9813">
            <v>2.0694217309999998</v>
          </cell>
        </row>
        <row r="9814">
          <cell r="A9814" t="str">
            <v>JAYBEAM WIRELESS</v>
          </cell>
          <cell r="B9814" t="str">
            <v>PSCX085-13-5</v>
          </cell>
          <cell r="O9814"/>
          <cell r="T9814"/>
        </row>
        <row r="9815">
          <cell r="A9815" t="str">
            <v>JAYBEAM WIRELESS</v>
          </cell>
          <cell r="B9815" t="str">
            <v>V90-13-00</v>
          </cell>
          <cell r="O9815">
            <v>2.9604383682525901</v>
          </cell>
          <cell r="T9815">
            <v>2.4147787133990803</v>
          </cell>
        </row>
        <row r="9816">
          <cell r="A9816" t="str">
            <v>JAYBEAM WIRELESS</v>
          </cell>
          <cell r="B9816" t="str">
            <v>V90-25-00-D</v>
          </cell>
          <cell r="O9816">
            <v>5.6438444765516893</v>
          </cell>
          <cell r="T9816">
            <v>4.60418178659513</v>
          </cell>
        </row>
        <row r="9817">
          <cell r="A9817" t="str">
            <v>JAYBEAM WIRELESS</v>
          </cell>
          <cell r="B9817" t="str">
            <v>W360-10-0</v>
          </cell>
          <cell r="O9817"/>
          <cell r="T9817"/>
        </row>
        <row r="9818">
          <cell r="A9818" t="str">
            <v>JAYBEAM WIRELESS</v>
          </cell>
          <cell r="B9818" t="str">
            <v>W360-17</v>
          </cell>
          <cell r="O9818"/>
          <cell r="T9818"/>
        </row>
        <row r="9819">
          <cell r="A9819" t="str">
            <v>JAYBEAM WIRELESS</v>
          </cell>
          <cell r="B9819" t="str">
            <v>W65-13-A010</v>
          </cell>
          <cell r="O9819">
            <v>2.4787711170000004</v>
          </cell>
          <cell r="T9819">
            <v>1.4417094099999999</v>
          </cell>
        </row>
        <row r="9820">
          <cell r="A9820" t="str">
            <v>JAYBEAM WIRELESS</v>
          </cell>
          <cell r="B9820" t="str">
            <v>W65-13-R010</v>
          </cell>
          <cell r="O9820">
            <v>2.4787711170000004</v>
          </cell>
          <cell r="T9820">
            <v>1.4417094099999999</v>
          </cell>
        </row>
        <row r="9821">
          <cell r="A9821" t="str">
            <v>JAYBEAM WIRELESS</v>
          </cell>
          <cell r="B9821" t="str">
            <v>W65-19-A06</v>
          </cell>
          <cell r="O9821">
            <v>3.5584900810000004</v>
          </cell>
          <cell r="T9821">
            <v>2.0694217309999998</v>
          </cell>
        </row>
        <row r="9822">
          <cell r="A9822" t="str">
            <v>JAYBEAM WIRELESS</v>
          </cell>
          <cell r="B9822" t="str">
            <v>W65-19-R06</v>
          </cell>
          <cell r="O9822">
            <v>3.5584900810000004</v>
          </cell>
          <cell r="T9822">
            <v>2.0694217309999998</v>
          </cell>
        </row>
        <row r="9823">
          <cell r="A9823" t="str">
            <v>JAYBEAM WIRELESS</v>
          </cell>
          <cell r="B9823" t="str">
            <v>W65-19-X06</v>
          </cell>
          <cell r="O9823">
            <v>3.5584900810000004</v>
          </cell>
          <cell r="T9823">
            <v>2.0694217309999998</v>
          </cell>
        </row>
        <row r="9824">
          <cell r="A9824" t="str">
            <v>JAYBEAM WIRELESS</v>
          </cell>
          <cell r="B9824" t="str">
            <v>W85-13-A010</v>
          </cell>
          <cell r="O9824">
            <v>2.4787711170000004</v>
          </cell>
          <cell r="T9824">
            <v>1.4417094099999999</v>
          </cell>
        </row>
        <row r="9825">
          <cell r="A9825" t="str">
            <v>JAYBEAM WIRELESS</v>
          </cell>
          <cell r="B9825" t="str">
            <v>W85-13-R010</v>
          </cell>
          <cell r="O9825">
            <v>2.4787711170000004</v>
          </cell>
          <cell r="T9825">
            <v>1.4417094099999999</v>
          </cell>
        </row>
        <row r="9826">
          <cell r="A9826" t="str">
            <v>JAYBEAM WIRELESS</v>
          </cell>
          <cell r="B9826" t="str">
            <v>W85-19-A28</v>
          </cell>
          <cell r="O9826">
            <v>3.5584900810000004</v>
          </cell>
          <cell r="T9826">
            <v>2.0694217309999998</v>
          </cell>
        </row>
        <row r="9827">
          <cell r="A9827" t="str">
            <v>JAYBEAM WIRELESS</v>
          </cell>
          <cell r="B9827" t="str">
            <v>W85-19-R28</v>
          </cell>
          <cell r="O9827">
            <v>3.5584900810000004</v>
          </cell>
          <cell r="T9827">
            <v>2.0694217309999998</v>
          </cell>
        </row>
        <row r="9828">
          <cell r="A9828" t="str">
            <v>JAYBEAM WIRELESS</v>
          </cell>
          <cell r="B9828" t="str">
            <v>W85-19-X28</v>
          </cell>
          <cell r="O9828">
            <v>3.5584900810000004</v>
          </cell>
          <cell r="T9828">
            <v>2.0694217309999998</v>
          </cell>
        </row>
        <row r="9829">
          <cell r="A9829" t="str">
            <v>JAYBEAM WIRELESS</v>
          </cell>
          <cell r="B9829" t="str">
            <v>WB3X072X18000</v>
          </cell>
          <cell r="O9829"/>
          <cell r="T9829"/>
        </row>
        <row r="9830">
          <cell r="A9830" t="str">
            <v>JAYBEAM WIRELESS</v>
          </cell>
          <cell r="B9830" t="str">
            <v>WBV065X12F000</v>
          </cell>
          <cell r="O9830">
            <v>2.0269845209627202</v>
          </cell>
          <cell r="T9830">
            <v>1.2672128702646499</v>
          </cell>
        </row>
        <row r="9831">
          <cell r="A9831" t="str">
            <v>JAYBEAM WIRELESS</v>
          </cell>
          <cell r="B9831" t="str">
            <v>WBV065X15F000</v>
          </cell>
          <cell r="O9831">
            <v>2.5541802868952699</v>
          </cell>
          <cell r="T9831">
            <v>1.54724308993147</v>
          </cell>
        </row>
        <row r="9832">
          <cell r="A9832" t="str">
            <v>JAYBEAM WIRELESS</v>
          </cell>
          <cell r="B9832" t="str">
            <v>WBV065X18F000</v>
          </cell>
          <cell r="O9832">
            <v>3.3111506450000001</v>
          </cell>
          <cell r="T9832">
            <v>1.9222309359999998</v>
          </cell>
        </row>
        <row r="9833">
          <cell r="A9833" t="str">
            <v>JAYBEAM WIRELESS</v>
          </cell>
          <cell r="B9833" t="str">
            <v>WBV065X18F100</v>
          </cell>
          <cell r="O9833">
            <v>3.3111506450000001</v>
          </cell>
          <cell r="T9833">
            <v>1.9222309359999998</v>
          </cell>
        </row>
        <row r="9834">
          <cell r="A9834" t="str">
            <v>JAYBEAM WIRELESS</v>
          </cell>
          <cell r="B9834" t="str">
            <v>WBV065X18F200</v>
          </cell>
          <cell r="O9834">
            <v>3.3111506450000001</v>
          </cell>
          <cell r="T9834">
            <v>1.9222309359999998</v>
          </cell>
        </row>
        <row r="9835">
          <cell r="A9835" t="str">
            <v>JAYBEAM WIRELESS</v>
          </cell>
          <cell r="B9835" t="str">
            <v>WBV065X18F300</v>
          </cell>
          <cell r="O9835">
            <v>3.3111506450000001</v>
          </cell>
          <cell r="T9835">
            <v>1.9222309359999998</v>
          </cell>
        </row>
        <row r="9836">
          <cell r="A9836" t="str">
            <v>JAYBEAM WIRELESS</v>
          </cell>
          <cell r="B9836" t="str">
            <v>WBV065X18F400</v>
          </cell>
          <cell r="O9836">
            <v>3.3111506450000001</v>
          </cell>
          <cell r="T9836">
            <v>1.9222309359999998</v>
          </cell>
        </row>
        <row r="9837">
          <cell r="A9837" t="str">
            <v>JAYBEAM WIRELESS</v>
          </cell>
          <cell r="B9837" t="str">
            <v>WBV065X18F500</v>
          </cell>
          <cell r="O9837">
            <v>3.3111506450000001</v>
          </cell>
          <cell r="T9837">
            <v>1.9222309359999998</v>
          </cell>
        </row>
        <row r="9838">
          <cell r="A9838" t="str">
            <v>JAYBEAM WIRELESS</v>
          </cell>
          <cell r="B9838" t="str">
            <v>WBV090X18F000</v>
          </cell>
          <cell r="O9838">
            <v>3.3111506450000001</v>
          </cell>
          <cell r="T9838">
            <v>1.9222309359999998</v>
          </cell>
        </row>
        <row r="9839">
          <cell r="A9839" t="str">
            <v>JAYBEAM WIRELESS</v>
          </cell>
          <cell r="B9839" t="str">
            <v>WBV090X18F300</v>
          </cell>
          <cell r="O9839">
            <v>3.3111506450000001</v>
          </cell>
          <cell r="T9839">
            <v>1.9222309359999998</v>
          </cell>
        </row>
        <row r="9840">
          <cell r="A9840" t="str">
            <v>JAYBEAM WIRELESS</v>
          </cell>
          <cell r="B9840" t="str">
            <v>WBV090X18F500</v>
          </cell>
          <cell r="O9840">
            <v>3.3111506450000001</v>
          </cell>
          <cell r="T9840">
            <v>1.9222309359999998</v>
          </cell>
        </row>
        <row r="9841">
          <cell r="A9841" t="str">
            <v>JAYBEAM WIRELESS</v>
          </cell>
          <cell r="B9841" t="str">
            <v>WBX016X200C0X</v>
          </cell>
          <cell r="O9841"/>
          <cell r="T9841"/>
        </row>
        <row r="9842">
          <cell r="A9842" t="str">
            <v>JAYBEAM WIRELESS</v>
          </cell>
          <cell r="B9842" t="str">
            <v>WBX018X20M050</v>
          </cell>
          <cell r="O9842"/>
          <cell r="T9842"/>
        </row>
        <row r="9843">
          <cell r="A9843" t="str">
            <v>JAYBEAM WIRELESS</v>
          </cell>
          <cell r="B9843" t="str">
            <v>WBX018X20R050</v>
          </cell>
          <cell r="O9843"/>
          <cell r="T9843"/>
        </row>
        <row r="9844">
          <cell r="A9844" t="str">
            <v>JAYBEAM WIRELESS</v>
          </cell>
          <cell r="B9844" t="str">
            <v>WBX033X14M050</v>
          </cell>
          <cell r="O9844">
            <v>6.9448581413972796</v>
          </cell>
          <cell r="T9844">
            <v>1.57777555266181</v>
          </cell>
        </row>
        <row r="9845">
          <cell r="A9845" t="str">
            <v>JAYBEAM WIRELESS</v>
          </cell>
          <cell r="B9845" t="str">
            <v>WBX033X14R050</v>
          </cell>
          <cell r="O9845">
            <v>6.9448581413972796</v>
          </cell>
          <cell r="T9845">
            <v>1.57777555266181</v>
          </cell>
        </row>
        <row r="9846">
          <cell r="A9846" t="str">
            <v>JAYBEAM WIRELESS</v>
          </cell>
          <cell r="B9846" t="str">
            <v>WBX033X17M050</v>
          </cell>
          <cell r="O9846">
            <v>8.7953766365410289</v>
          </cell>
          <cell r="T9846">
            <v>1.99853764893077</v>
          </cell>
        </row>
        <row r="9847">
          <cell r="A9847" t="str">
            <v>JAYBEAM WIRELESS</v>
          </cell>
          <cell r="B9847" t="str">
            <v>WBX033X17R050</v>
          </cell>
          <cell r="O9847">
            <v>8.7953766365410289</v>
          </cell>
          <cell r="T9847">
            <v>1.99853764893077</v>
          </cell>
        </row>
        <row r="9848">
          <cell r="A9848" t="str">
            <v>JAYBEAM WIRELESS</v>
          </cell>
          <cell r="B9848" t="str">
            <v>WBX033X17X050</v>
          </cell>
          <cell r="O9848">
            <v>8.7953766365410289</v>
          </cell>
          <cell r="T9848">
            <v>1.99853764893077</v>
          </cell>
        </row>
        <row r="9849">
          <cell r="A9849" t="str">
            <v>JAYBEAM WIRELESS</v>
          </cell>
          <cell r="B9849" t="str">
            <v>WBX045X17M050</v>
          </cell>
          <cell r="O9849"/>
          <cell r="T9849"/>
        </row>
        <row r="9850">
          <cell r="A9850" t="str">
            <v>JAYBEAM WIRELESS</v>
          </cell>
          <cell r="B9850" t="str">
            <v>WBX045X17R050</v>
          </cell>
          <cell r="O9850"/>
          <cell r="T9850"/>
        </row>
        <row r="9851">
          <cell r="A9851" t="str">
            <v>JAYBEAM WIRELESS</v>
          </cell>
          <cell r="B9851" t="str">
            <v>WBX065A19R050</v>
          </cell>
          <cell r="O9851">
            <v>4.0173713372818698</v>
          </cell>
          <cell r="T9851">
            <v>3.2780968530866796</v>
          </cell>
        </row>
        <row r="9852">
          <cell r="A9852" t="str">
            <v>JAYBEAM WIRELESS</v>
          </cell>
          <cell r="B9852" t="str">
            <v>WBX065P13R050</v>
          </cell>
          <cell r="O9852">
            <v>2.9604383682525901</v>
          </cell>
          <cell r="T9852">
            <v>2.4147787133990803</v>
          </cell>
        </row>
        <row r="9853">
          <cell r="A9853" t="str">
            <v>JAYBEAM WIRELESS</v>
          </cell>
          <cell r="B9853" t="str">
            <v>WBX065P13R150</v>
          </cell>
          <cell r="O9853">
            <v>2.9604383682525901</v>
          </cell>
          <cell r="T9853">
            <v>2.4147787133990803</v>
          </cell>
        </row>
        <row r="9854">
          <cell r="A9854" t="str">
            <v>JAYBEAM WIRELESS</v>
          </cell>
          <cell r="B9854" t="str">
            <v>WBX065P13R250</v>
          </cell>
          <cell r="O9854">
            <v>2.9604383682525901</v>
          </cell>
          <cell r="T9854">
            <v>2.4147787133990803</v>
          </cell>
        </row>
        <row r="9855">
          <cell r="A9855" t="str">
            <v>JAYBEAM WIRELESS</v>
          </cell>
          <cell r="B9855" t="str">
            <v>WBX065P18R050</v>
          </cell>
          <cell r="O9855">
            <v>4.0173713372818698</v>
          </cell>
          <cell r="T9855">
            <v>3.2780968530866796</v>
          </cell>
        </row>
        <row r="9856">
          <cell r="A9856" t="str">
            <v>JAYBEAM WIRELESS</v>
          </cell>
          <cell r="B9856" t="str">
            <v>WBX065P18R250</v>
          </cell>
          <cell r="O9856">
            <v>4.0173713372818698</v>
          </cell>
          <cell r="T9856">
            <v>3.2780968530866796</v>
          </cell>
        </row>
        <row r="9857">
          <cell r="A9857" t="str">
            <v>JAYBEAM WIRELESS</v>
          </cell>
          <cell r="B9857" t="str">
            <v>WBX065T17R050</v>
          </cell>
          <cell r="O9857">
            <v>8.7404813513771291</v>
          </cell>
          <cell r="T9857">
            <v>2.0483040557137899</v>
          </cell>
        </row>
        <row r="9858">
          <cell r="A9858" t="str">
            <v>JAYBEAM WIRELESS</v>
          </cell>
          <cell r="B9858" t="str">
            <v>WBX065T20M050</v>
          </cell>
          <cell r="O9858"/>
          <cell r="T9858"/>
        </row>
        <row r="9859">
          <cell r="A9859" t="str">
            <v>JAYBEAM WIRELESS</v>
          </cell>
          <cell r="B9859" t="str">
            <v>WBX065T20R050</v>
          </cell>
          <cell r="O9859"/>
          <cell r="T9859"/>
        </row>
        <row r="9860">
          <cell r="A9860" t="str">
            <v>JAYBEAM WIRELESS</v>
          </cell>
          <cell r="B9860" t="str">
            <v>WBX065X10M050</v>
          </cell>
          <cell r="O9860">
            <v>2.21000249128589</v>
          </cell>
          <cell r="T9860">
            <v>0.96294839372810603</v>
          </cell>
        </row>
        <row r="9861">
          <cell r="A9861" t="str">
            <v>JAYBEAM WIRELESS</v>
          </cell>
          <cell r="B9861" t="str">
            <v>WBX065X13F400</v>
          </cell>
          <cell r="O9861">
            <v>2.17904556528251</v>
          </cell>
          <cell r="T9861">
            <v>1.14056615512377</v>
          </cell>
        </row>
        <row r="9862">
          <cell r="A9862" t="str">
            <v>JAYBEAM WIRELESS</v>
          </cell>
          <cell r="B9862" t="str">
            <v>WBX065X14M050</v>
          </cell>
          <cell r="O9862">
            <v>3.0833829222927602</v>
          </cell>
          <cell r="T9862">
            <v>1.3437126098524901</v>
          </cell>
        </row>
        <row r="9863">
          <cell r="A9863" t="str">
            <v>JAYBEAM WIRELESS</v>
          </cell>
          <cell r="B9863" t="str">
            <v>WBX065X14R050</v>
          </cell>
          <cell r="O9863">
            <v>3.0833829222927602</v>
          </cell>
          <cell r="T9863">
            <v>1.3437126098524901</v>
          </cell>
        </row>
        <row r="9864">
          <cell r="A9864" t="str">
            <v>JAYBEAM WIRELESS</v>
          </cell>
          <cell r="B9864" t="str">
            <v>WBX065X17M050</v>
          </cell>
          <cell r="O9864">
            <v>3.7060179625072096</v>
          </cell>
          <cell r="T9864">
            <v>1.6153132498982301</v>
          </cell>
        </row>
        <row r="9865">
          <cell r="A9865" t="str">
            <v>JAYBEAM WIRELESS</v>
          </cell>
          <cell r="B9865" t="str">
            <v>WBX065X17R050</v>
          </cell>
          <cell r="O9865">
            <v>3.7060179625072096</v>
          </cell>
          <cell r="T9865">
            <v>1.6153132498982301</v>
          </cell>
        </row>
        <row r="9866">
          <cell r="A9866" t="str">
            <v>JAYBEAM WIRELESS</v>
          </cell>
          <cell r="B9866" t="str">
            <v>WBX065X18FX00</v>
          </cell>
          <cell r="O9866">
            <v>3.0171734751834096</v>
          </cell>
          <cell r="T9866">
            <v>1.7957866732152099</v>
          </cell>
        </row>
        <row r="9867">
          <cell r="A9867" t="str">
            <v>JAYBEAM WIRELESS</v>
          </cell>
          <cell r="B9867" t="str">
            <v>WBX065X18FX02</v>
          </cell>
          <cell r="O9867">
            <v>3.0171734751834096</v>
          </cell>
          <cell r="T9867">
            <v>1.7957866732152099</v>
          </cell>
        </row>
        <row r="9868">
          <cell r="A9868" t="str">
            <v>JAYBEAM WIRELESS</v>
          </cell>
          <cell r="B9868" t="str">
            <v>WBX065X19M050</v>
          </cell>
          <cell r="O9868">
            <v>4.3150634640220096</v>
          </cell>
          <cell r="T9868">
            <v>1.8808454185168799</v>
          </cell>
        </row>
        <row r="9869">
          <cell r="A9869" t="str">
            <v>JAYBEAM WIRELESS</v>
          </cell>
          <cell r="B9869" t="str">
            <v>WBX065X202C0X</v>
          </cell>
          <cell r="O9869">
            <v>4.3150634640220096</v>
          </cell>
          <cell r="T9869">
            <v>1.8808454185168799</v>
          </cell>
        </row>
        <row r="9870">
          <cell r="A9870" t="str">
            <v>JAYBEAM WIRELESS</v>
          </cell>
          <cell r="B9870" t="str">
            <v>WBX065X20M050</v>
          </cell>
          <cell r="O9870">
            <v>4.3150634640220096</v>
          </cell>
          <cell r="T9870">
            <v>1.8808454185168799</v>
          </cell>
        </row>
        <row r="9871">
          <cell r="A9871" t="str">
            <v>JAYBEAM WIRELESS</v>
          </cell>
          <cell r="B9871" t="str">
            <v>WBX065X20MC0X</v>
          </cell>
          <cell r="O9871">
            <v>4.3150634640220096</v>
          </cell>
          <cell r="T9871">
            <v>1.8808454185168799</v>
          </cell>
        </row>
        <row r="9872">
          <cell r="A9872" t="str">
            <v>JAYBEAM WIRELESS</v>
          </cell>
          <cell r="B9872" t="str">
            <v>WBX065X20R050</v>
          </cell>
          <cell r="O9872">
            <v>4.3150634640220096</v>
          </cell>
          <cell r="T9872">
            <v>1.8808454185168799</v>
          </cell>
        </row>
        <row r="9873">
          <cell r="A9873" t="str">
            <v>JAYBEAM WIRELESS</v>
          </cell>
          <cell r="B9873" t="str">
            <v>WBX065X20RC0X</v>
          </cell>
          <cell r="O9873">
            <v>4.3150634640220096</v>
          </cell>
          <cell r="T9873">
            <v>1.8808454185168799</v>
          </cell>
        </row>
        <row r="9874">
          <cell r="A9874" t="str">
            <v>JAYBEAM WIRELESS</v>
          </cell>
          <cell r="B9874" t="str">
            <v>WBX085X13F200</v>
          </cell>
          <cell r="O9874">
            <v>2.17904556528251</v>
          </cell>
          <cell r="T9874">
            <v>1.14056615512377</v>
          </cell>
        </row>
        <row r="9875">
          <cell r="A9875" t="str">
            <v>JAYBEAM WIRELESS</v>
          </cell>
          <cell r="B9875" t="str">
            <v>WBX085X13F400</v>
          </cell>
          <cell r="O9875">
            <v>2.17904556528251</v>
          </cell>
          <cell r="T9875">
            <v>1.14056615512377</v>
          </cell>
        </row>
        <row r="9876">
          <cell r="A9876" t="str">
            <v>JAYBEAM WIRELESS</v>
          </cell>
          <cell r="B9876" t="str">
            <v>WBX085X18F000</v>
          </cell>
          <cell r="O9876">
            <v>3.0171734751834096</v>
          </cell>
          <cell r="T9876">
            <v>1.7957866732152099</v>
          </cell>
        </row>
        <row r="9877">
          <cell r="A9877" t="str">
            <v>JAYBEAM WIRELESS</v>
          </cell>
          <cell r="B9877" t="str">
            <v>WBX085X18F200</v>
          </cell>
          <cell r="O9877">
            <v>3.0171734751834096</v>
          </cell>
          <cell r="T9877">
            <v>1.7957866732152099</v>
          </cell>
        </row>
        <row r="9878">
          <cell r="A9878" t="str">
            <v>JAYBEAM WIRELESS</v>
          </cell>
          <cell r="B9878" t="str">
            <v>X65-13-AA</v>
          </cell>
          <cell r="O9878">
            <v>4.9378573495370404</v>
          </cell>
          <cell r="T9878">
            <v>2.9203623442250901</v>
          </cell>
        </row>
        <row r="9879">
          <cell r="A9879" t="str">
            <v>JAYBEAM WIRELESS</v>
          </cell>
          <cell r="B9879" t="str">
            <v>X65-13-AA-3D</v>
          </cell>
          <cell r="O9879">
            <v>4.9378573495370404</v>
          </cell>
          <cell r="T9879">
            <v>2.9203623442250901</v>
          </cell>
        </row>
        <row r="9880">
          <cell r="A9880" t="str">
            <v>JAYBEAM WIRELESS</v>
          </cell>
          <cell r="B9880" t="str">
            <v>X65-20-AA</v>
          </cell>
          <cell r="O9880">
            <v>7.4783661265432091</v>
          </cell>
          <cell r="T9880">
            <v>4.421719291505819</v>
          </cell>
        </row>
        <row r="9881">
          <cell r="A9881" t="str">
            <v>JAYBEAM WIRELESS</v>
          </cell>
          <cell r="B9881" t="str">
            <v>X65-20-AAA-3</v>
          </cell>
          <cell r="O9881">
            <v>7.4783661265432091</v>
          </cell>
          <cell r="T9881">
            <v>4.421719291505819</v>
          </cell>
        </row>
        <row r="9882">
          <cell r="A9882" t="str">
            <v>JAYBEAM WIRELESS</v>
          </cell>
          <cell r="B9882" t="str">
            <v>X65-20-RR</v>
          </cell>
          <cell r="O9882">
            <v>7.4783661265432091</v>
          </cell>
          <cell r="T9882">
            <v>4.421719291505819</v>
          </cell>
        </row>
        <row r="9883">
          <cell r="A9883" t="str">
            <v>JAYBEAM WIRELESS</v>
          </cell>
          <cell r="B9883" t="str">
            <v>X65-26-AA-D</v>
          </cell>
          <cell r="O9883">
            <v>8.915538194444439</v>
          </cell>
          <cell r="T9883">
            <v>5.27124312046982</v>
          </cell>
        </row>
        <row r="9884">
          <cell r="A9884" t="str">
            <v>JIROUS</v>
          </cell>
          <cell r="B9884" t="str">
            <v>JRC-24DD MIMO</v>
          </cell>
          <cell r="O9884"/>
          <cell r="T9884"/>
        </row>
        <row r="9885">
          <cell r="A9885" t="str">
            <v>JIROUS</v>
          </cell>
          <cell r="B9885" t="str">
            <v>JRC-29DD MIMO</v>
          </cell>
          <cell r="O9885"/>
          <cell r="T9885"/>
        </row>
        <row r="9886">
          <cell r="A9886" t="str">
            <v>JIROUS</v>
          </cell>
          <cell r="B9886" t="str">
            <v>JRMA-650-10/11</v>
          </cell>
          <cell r="O9886"/>
          <cell r="T9886"/>
        </row>
        <row r="9887">
          <cell r="A9887" t="str">
            <v>JIROUS</v>
          </cell>
          <cell r="B9887" t="str">
            <v>JRMB-1200-10/11</v>
          </cell>
          <cell r="O9887"/>
          <cell r="T9887"/>
        </row>
        <row r="9888">
          <cell r="A9888" t="str">
            <v>JIROUS</v>
          </cell>
          <cell r="B9888" t="str">
            <v>JRMB-1200-10/11_CCIV2</v>
          </cell>
          <cell r="O9888"/>
          <cell r="T9888"/>
        </row>
        <row r="9889">
          <cell r="A9889" t="str">
            <v>JIROUS</v>
          </cell>
          <cell r="B9889" t="str">
            <v>JRMB-1200-17</v>
          </cell>
          <cell r="O9889"/>
          <cell r="T9889"/>
        </row>
        <row r="9890">
          <cell r="A9890" t="str">
            <v>JIROUS</v>
          </cell>
          <cell r="B9890" t="str">
            <v>JRMB-680-24</v>
          </cell>
          <cell r="O9890"/>
          <cell r="T9890"/>
        </row>
        <row r="9891">
          <cell r="A9891" t="str">
            <v>JIROUS</v>
          </cell>
          <cell r="B9891" t="str">
            <v>JRMB-900-10/11</v>
          </cell>
          <cell r="O9891"/>
          <cell r="T9891"/>
        </row>
        <row r="9892">
          <cell r="A9892" t="str">
            <v>JIROUS</v>
          </cell>
          <cell r="B9892" t="str">
            <v>JRMC-1800-10/11</v>
          </cell>
          <cell r="O9892"/>
          <cell r="T9892"/>
        </row>
        <row r="9893">
          <cell r="A9893" t="str">
            <v>JIROUS</v>
          </cell>
          <cell r="B9893" t="str">
            <v>JRMC-680-10/11</v>
          </cell>
          <cell r="O9893"/>
          <cell r="T9893"/>
        </row>
        <row r="9894">
          <cell r="A9894" t="str">
            <v>JIROUS</v>
          </cell>
          <cell r="B9894" t="str">
            <v>JRMC-680-10/11_CCIV2</v>
          </cell>
          <cell r="O9894"/>
          <cell r="T9894"/>
        </row>
        <row r="9895">
          <cell r="A9895" t="str">
            <v>JIROUS</v>
          </cell>
          <cell r="B9895" t="str">
            <v>JRMC-680-24/26</v>
          </cell>
          <cell r="O9895"/>
          <cell r="T9895"/>
        </row>
        <row r="9896">
          <cell r="A9896" t="str">
            <v>JIROUS</v>
          </cell>
          <cell r="B9896" t="str">
            <v>JRMC-900-10/11</v>
          </cell>
          <cell r="O9896"/>
          <cell r="T9896"/>
        </row>
        <row r="9897">
          <cell r="A9897" t="str">
            <v>JIROUS</v>
          </cell>
          <cell r="B9897" t="str">
            <v>JRMD-1200-10/11</v>
          </cell>
          <cell r="O9897"/>
          <cell r="T9897"/>
        </row>
        <row r="9898">
          <cell r="A9898" t="str">
            <v>JIROUS</v>
          </cell>
          <cell r="B9898" t="str">
            <v>JRMD-680-10/11</v>
          </cell>
          <cell r="O9898"/>
          <cell r="T9898"/>
        </row>
        <row r="9899">
          <cell r="A9899" t="str">
            <v>JIROUS</v>
          </cell>
          <cell r="B9899" t="str">
            <v>JRMD-900-10/11</v>
          </cell>
          <cell r="O9899"/>
          <cell r="T9899"/>
        </row>
        <row r="9900">
          <cell r="A9900" t="str">
            <v>JIROUS</v>
          </cell>
          <cell r="B9900" t="str">
            <v>JRMD-900-10/11_222</v>
          </cell>
          <cell r="O9900"/>
          <cell r="T9900"/>
        </row>
        <row r="9901">
          <cell r="A9901" t="str">
            <v>JIROUS</v>
          </cell>
          <cell r="B9901" t="str">
            <v>JRMD-900-10/11_269</v>
          </cell>
          <cell r="O9901"/>
          <cell r="T9901"/>
        </row>
        <row r="9902">
          <cell r="A9902" t="str">
            <v>JMA WIRELESS</v>
          </cell>
          <cell r="B9902" t="str">
            <v>AXP18-80-2</v>
          </cell>
          <cell r="O9902">
            <v>3.4354490919999998</v>
          </cell>
          <cell r="T9902">
            <v>2.2800826960000005</v>
          </cell>
        </row>
        <row r="9903">
          <cell r="A9903" t="str">
            <v>JMA WIRELESS</v>
          </cell>
          <cell r="B9903" t="str">
            <v>AXP19-60</v>
          </cell>
          <cell r="O9903"/>
          <cell r="T9903"/>
        </row>
        <row r="9904">
          <cell r="A9904" t="str">
            <v>JMA WIRELESS</v>
          </cell>
          <cell r="B9904" t="str">
            <v>C7C-FRO-656-VR0</v>
          </cell>
          <cell r="O9904">
            <v>9.5712625389999992</v>
          </cell>
          <cell r="T9904">
            <v>4.7386881430000001</v>
          </cell>
        </row>
        <row r="9905">
          <cell r="A9905" t="str">
            <v>JMA WIRELESS</v>
          </cell>
          <cell r="B9905" t="str">
            <v>C7C-FRO-856-VR</v>
          </cell>
          <cell r="O9905">
            <v>13.0526331</v>
          </cell>
          <cell r="T9905">
            <v>6.4729254430000003</v>
          </cell>
        </row>
        <row r="9906">
          <cell r="A9906" t="str">
            <v>JMA WIRELESS</v>
          </cell>
          <cell r="B9906" t="str">
            <v>C7C-FRO-856-VR0</v>
          </cell>
          <cell r="O9906">
            <v>13.0526331</v>
          </cell>
          <cell r="T9906">
            <v>6.4729254430000003</v>
          </cell>
        </row>
        <row r="9907">
          <cell r="A9907" t="str">
            <v>JMA WIRELESS</v>
          </cell>
          <cell r="B9907" t="str">
            <v>C7CQCAP-FRO-656-VR0</v>
          </cell>
          <cell r="O9907">
            <v>11.703450999999991</v>
          </cell>
          <cell r="T9907">
            <v>6.2949548279999998</v>
          </cell>
        </row>
        <row r="9908">
          <cell r="A9908" t="str">
            <v>JMA WIRELESS</v>
          </cell>
          <cell r="B9908" t="str">
            <v>C7CQCAP-FRO-856-VR0</v>
          </cell>
          <cell r="O9908">
            <v>15.93084973</v>
          </cell>
          <cell r="T9908">
            <v>8.5837655980000012</v>
          </cell>
        </row>
        <row r="9909">
          <cell r="A9909" t="str">
            <v>JMA WIRELESS</v>
          </cell>
          <cell r="B9909" t="str">
            <v>CX16OMI218-1P</v>
          </cell>
          <cell r="O9909"/>
          <cell r="T9909"/>
        </row>
        <row r="9910">
          <cell r="A9910" t="str">
            <v>JMA WIRELESS</v>
          </cell>
          <cell r="B9910" t="str">
            <v>CX16OMI236-2Cx_20241014</v>
          </cell>
          <cell r="O9910"/>
          <cell r="T9910"/>
        </row>
        <row r="9911">
          <cell r="A9911" t="str">
            <v>JMA WIRELESS</v>
          </cell>
          <cell r="B9911" t="str">
            <v>CX16OMI236-BFxy</v>
          </cell>
          <cell r="O9911"/>
          <cell r="T9911"/>
        </row>
        <row r="9912">
          <cell r="A9912" t="str">
            <v>JMA WIRELESS</v>
          </cell>
          <cell r="B9912" t="str">
            <v>CX18OMI236-1CXY</v>
          </cell>
          <cell r="O9912"/>
          <cell r="T9912"/>
        </row>
        <row r="9913">
          <cell r="A9913" t="str">
            <v>JMA WIRELESS</v>
          </cell>
          <cell r="B9913" t="str">
            <v>CX18TRI265-5T</v>
          </cell>
          <cell r="O9913"/>
          <cell r="T9913"/>
        </row>
        <row r="9914">
          <cell r="A9914" t="str">
            <v>JMA WIRELESS</v>
          </cell>
          <cell r="B9914" t="str">
            <v>CX20OMI218-3Pxy</v>
          </cell>
          <cell r="O9914"/>
          <cell r="T9914"/>
        </row>
        <row r="9915">
          <cell r="A9915" t="str">
            <v>JMA WIRELESS</v>
          </cell>
          <cell r="B9915" t="str">
            <v>CX20OMI224-3Hxy</v>
          </cell>
          <cell r="O9915"/>
          <cell r="T9915"/>
        </row>
        <row r="9916">
          <cell r="A9916" t="str">
            <v>JMA WIRELESS</v>
          </cell>
          <cell r="B9916" t="str">
            <v>CX7CQAP-665-00VR0</v>
          </cell>
          <cell r="O9916"/>
          <cell r="T9916"/>
        </row>
        <row r="9917">
          <cell r="A9917" t="str">
            <v>JMA WIRELESS</v>
          </cell>
          <cell r="B9917" t="str">
            <v>CYL-X7CAP-2-C</v>
          </cell>
          <cell r="O9917"/>
          <cell r="T9917"/>
        </row>
        <row r="9918">
          <cell r="A9918" t="str">
            <v>JMA WIRELESS</v>
          </cell>
          <cell r="B9918" t="str">
            <v>CYL-X7CAP-2-P</v>
          </cell>
          <cell r="O9918"/>
          <cell r="T9918"/>
        </row>
        <row r="9919">
          <cell r="A9919" t="str">
            <v>JMA WIRELESS</v>
          </cell>
          <cell r="B9919" t="str">
            <v>DX12FRO260-20/26</v>
          </cell>
          <cell r="O9919">
            <v>2.1170066550925903</v>
          </cell>
          <cell r="T9919">
            <v>0.73892719730803202</v>
          </cell>
        </row>
        <row r="9920">
          <cell r="A9920" t="str">
            <v>JMA WIRELESS</v>
          </cell>
          <cell r="B9920" t="str">
            <v>DX24FRO265-04</v>
          </cell>
          <cell r="O9920">
            <v>1.6978902704113199</v>
          </cell>
          <cell r="T9920">
            <v>1.01476953241676</v>
          </cell>
        </row>
        <row r="9921">
          <cell r="A9921" t="str">
            <v>JMA WIRELESS</v>
          </cell>
          <cell r="B9921" t="str">
            <v>FLG-X7CAP-465</v>
          </cell>
          <cell r="O9921">
            <v>5.4902922453703704</v>
          </cell>
          <cell r="T9921">
            <v>2.3783603497617096</v>
          </cell>
        </row>
        <row r="9922">
          <cell r="A9922" t="str">
            <v>JMA WIRELESS</v>
          </cell>
          <cell r="B9922" t="str">
            <v>FLG-X7CAP-665</v>
          </cell>
          <cell r="O9922">
            <v>8.2719618055555593</v>
          </cell>
          <cell r="T9922">
            <v>3.5898854774511899</v>
          </cell>
        </row>
        <row r="9923">
          <cell r="A9923" t="str">
            <v>JMA WIRELESS</v>
          </cell>
          <cell r="B9923" t="str">
            <v>IV02OMI136-M4</v>
          </cell>
          <cell r="O9923"/>
          <cell r="T9923"/>
        </row>
        <row r="9924">
          <cell r="A9924" t="str">
            <v>JMA WIRELESS</v>
          </cell>
          <cell r="B9924" t="str">
            <v>MC06FRO660-02</v>
          </cell>
          <cell r="O9924">
            <v>6.81</v>
          </cell>
          <cell r="T9924">
            <v>4.67</v>
          </cell>
        </row>
        <row r="9925">
          <cell r="A9925" t="str">
            <v>JMA WIRELESS</v>
          </cell>
          <cell r="B9925" t="str">
            <v>MC06FRO860-02</v>
          </cell>
          <cell r="O9925">
            <v>9.0129242830000003</v>
          </cell>
          <cell r="T9925">
            <v>6.186822061</v>
          </cell>
        </row>
        <row r="9926">
          <cell r="A9926" t="str">
            <v>JMA WIRELESS</v>
          </cell>
          <cell r="B9926" t="str">
            <v>MX04FFP465-01_20241009</v>
          </cell>
          <cell r="O9926"/>
          <cell r="T9926"/>
        </row>
        <row r="9927">
          <cell r="A9927" t="str">
            <v>JMA WIRELESS</v>
          </cell>
          <cell r="B9927" t="str">
            <v>MX04FFP665-01_20241009</v>
          </cell>
          <cell r="O9927"/>
          <cell r="T9927"/>
        </row>
        <row r="9928">
          <cell r="A9928" t="str">
            <v>JMA WIRELESS</v>
          </cell>
          <cell r="B9928" t="str">
            <v>MX04FFP865-01</v>
          </cell>
          <cell r="O9928">
            <v>8.0615740740740716</v>
          </cell>
          <cell r="T9928">
            <v>4.2036403922411099</v>
          </cell>
        </row>
        <row r="9929">
          <cell r="A9929" t="str">
            <v>JMA WIRELESS</v>
          </cell>
          <cell r="B9929" t="str">
            <v>MX04FIT345-01</v>
          </cell>
          <cell r="O9929"/>
          <cell r="T9929"/>
        </row>
        <row r="9930">
          <cell r="A9930" t="str">
            <v>JMA WIRELESS</v>
          </cell>
          <cell r="B9930" t="str">
            <v>MX04FIT365-01</v>
          </cell>
          <cell r="O9930">
            <v>2.53585672718738</v>
          </cell>
          <cell r="T9930">
            <v>0.964135782310512</v>
          </cell>
        </row>
        <row r="9931">
          <cell r="A9931" t="str">
            <v>JMA WIRELESS</v>
          </cell>
          <cell r="B9931" t="str">
            <v>MX04FIT865-03E_20250515</v>
          </cell>
          <cell r="O9931"/>
          <cell r="T9931"/>
        </row>
        <row r="9932">
          <cell r="A9932" t="str">
            <v>JMA WIRELESS</v>
          </cell>
          <cell r="B9932" t="str">
            <v>MX04FRO645-02E_20250515</v>
          </cell>
          <cell r="O9932"/>
          <cell r="T9932"/>
        </row>
        <row r="9933">
          <cell r="A9933" t="str">
            <v>JMA WIRELESS</v>
          </cell>
          <cell r="B9933" t="str">
            <v>MX04FRO845-02E_20250211</v>
          </cell>
          <cell r="O9933"/>
          <cell r="T9933"/>
        </row>
        <row r="9934">
          <cell r="A9934" t="str">
            <v>JMA WIRELESS</v>
          </cell>
          <cell r="B9934" t="str">
            <v>MX06FHG665-HG</v>
          </cell>
          <cell r="O9934">
            <v>3.1627136651469598</v>
          </cell>
          <cell r="T9934">
            <v>1.9459968743046598</v>
          </cell>
        </row>
        <row r="9935">
          <cell r="A9935" t="str">
            <v>JMA WIRELESS</v>
          </cell>
          <cell r="B9935" t="str">
            <v>MX06FHG865-HG</v>
          </cell>
          <cell r="O9935">
            <v>4.0886781442901201</v>
          </cell>
          <cell r="T9935">
            <v>2.5156838541549797</v>
          </cell>
        </row>
        <row r="9936">
          <cell r="A9936" t="str">
            <v>JMA WIRELESS</v>
          </cell>
          <cell r="B9936" t="str">
            <v>MX06FIT445-02</v>
          </cell>
          <cell r="O9936">
            <v>4.2765579449999995</v>
          </cell>
          <cell r="T9936">
            <v>2.9321760879999998</v>
          </cell>
        </row>
        <row r="9937">
          <cell r="A9937" t="str">
            <v>JMA WIRELESS</v>
          </cell>
          <cell r="B9937" t="str">
            <v>MX06FIT465-02</v>
          </cell>
          <cell r="O9937">
            <v>2.1422852319999999</v>
          </cell>
          <cell r="T9937">
            <v>1.8103286329999999</v>
          </cell>
        </row>
        <row r="9938">
          <cell r="A9938" t="str">
            <v>JMA WIRELESS</v>
          </cell>
          <cell r="B9938" t="str">
            <v>MX06FIT645-02</v>
          </cell>
          <cell r="O9938">
            <v>6.8101006679999996</v>
          </cell>
          <cell r="T9938">
            <v>4.666109356999999</v>
          </cell>
        </row>
        <row r="9939">
          <cell r="A9939" t="str">
            <v>JMA WIRELESS</v>
          </cell>
          <cell r="B9939" t="str">
            <v>MX06FIT665-02</v>
          </cell>
          <cell r="O9939">
            <v>2.8785094549999997</v>
          </cell>
          <cell r="T9939">
            <v>2.4325737510000001</v>
          </cell>
        </row>
        <row r="9940">
          <cell r="A9940" t="str">
            <v>JMA WIRELESS</v>
          </cell>
          <cell r="B9940" t="str">
            <v>MX06FIT665-02E_20240513</v>
          </cell>
          <cell r="O9940">
            <v>3.3386331927274897</v>
          </cell>
          <cell r="T9940">
            <v>2.0547808949387401</v>
          </cell>
        </row>
        <row r="9941">
          <cell r="A9941" t="str">
            <v>JMA WIRELESS</v>
          </cell>
          <cell r="B9941" t="str">
            <v>MX06FIT845-02</v>
          </cell>
          <cell r="O9941">
            <v>9.43</v>
          </cell>
          <cell r="T9941">
            <v>6.4799999999999995</v>
          </cell>
        </row>
        <row r="9942">
          <cell r="A9942" t="str">
            <v>JMA WIRELESS</v>
          </cell>
          <cell r="B9942" t="str">
            <v>MX06FIT865-02</v>
          </cell>
          <cell r="O9942">
            <v>4.24</v>
          </cell>
          <cell r="T9942">
            <v>3.5799999999999996</v>
          </cell>
        </row>
        <row r="9943">
          <cell r="A9943" t="str">
            <v>JMA WIRELESS</v>
          </cell>
          <cell r="B9943" t="str">
            <v>MX06FIT865-02E</v>
          </cell>
          <cell r="O9943">
            <v>4.3351649305555595</v>
          </cell>
          <cell r="T9943">
            <v>2.6682008259298096</v>
          </cell>
        </row>
        <row r="9944">
          <cell r="A9944" t="str">
            <v>JMA WIRELESS</v>
          </cell>
          <cell r="B9944" t="str">
            <v>MX06FIT865-02_CCIV2</v>
          </cell>
          <cell r="O9944">
            <v>4.2460346490000003</v>
          </cell>
          <cell r="T9944">
            <v>3.5822831719999999</v>
          </cell>
        </row>
        <row r="9945">
          <cell r="A9945" t="str">
            <v>JMA WIRELESS</v>
          </cell>
          <cell r="B9945" t="str">
            <v>MX06FIT865-03E_20240802</v>
          </cell>
          <cell r="O9945">
            <v>4.2460346493753702</v>
          </cell>
          <cell r="T9945">
            <v>3.5822831717874299</v>
          </cell>
        </row>
        <row r="9946">
          <cell r="A9946" t="str">
            <v>JMA WIRELESS</v>
          </cell>
          <cell r="B9946" t="str">
            <v>MX06FRO440-02</v>
          </cell>
          <cell r="O9946">
            <v>5.4558782062600795</v>
          </cell>
          <cell r="T9946">
            <v>2.8140845484920396</v>
          </cell>
        </row>
        <row r="9947">
          <cell r="A9947" t="str">
            <v>JMA WIRELESS</v>
          </cell>
          <cell r="B9947" t="str">
            <v>MX06FRO460-02</v>
          </cell>
          <cell r="O9947">
            <v>4.4399906480000002</v>
          </cell>
          <cell r="T9947">
            <v>3.0433059569999998</v>
          </cell>
        </row>
        <row r="9948">
          <cell r="A9948" t="str">
            <v>JMA WIRELESS</v>
          </cell>
          <cell r="B9948" t="str">
            <v>MX06FRO460-02E_20240801</v>
          </cell>
          <cell r="O9948"/>
          <cell r="T9948"/>
        </row>
        <row r="9949">
          <cell r="A9949" t="str">
            <v>JMA WIRELESS</v>
          </cell>
          <cell r="B9949" t="str">
            <v>MX06FRO640-02</v>
          </cell>
          <cell r="O9949">
            <v>7.2825665510000004</v>
          </cell>
          <cell r="T9949">
            <v>3.7525601639999997</v>
          </cell>
        </row>
        <row r="9950">
          <cell r="A9950" t="str">
            <v>JMA WIRELESS</v>
          </cell>
          <cell r="B9950" t="str">
            <v>MX06FRO660-02</v>
          </cell>
          <cell r="O9950">
            <v>6.8060910429999995</v>
          </cell>
          <cell r="T9950">
            <v>4.6684635229999998</v>
          </cell>
        </row>
        <row r="9951">
          <cell r="A9951" t="str">
            <v>JMA WIRELESS</v>
          </cell>
          <cell r="B9951" t="str">
            <v>MX06FRO660-02E</v>
          </cell>
          <cell r="O9951">
            <v>3.3386331927274897</v>
          </cell>
          <cell r="T9951">
            <v>2.0547808949387401</v>
          </cell>
        </row>
        <row r="9952">
          <cell r="A9952" t="str">
            <v>JMA WIRELESS</v>
          </cell>
          <cell r="B9952" t="str">
            <v>MX06FRO660-02E_20240513</v>
          </cell>
          <cell r="O9952"/>
          <cell r="T9952"/>
        </row>
        <row r="9953">
          <cell r="A9953" t="str">
            <v>JMA WIRELESS</v>
          </cell>
          <cell r="B9953" t="str">
            <v>MX06FRO660-02E_20240911</v>
          </cell>
          <cell r="O9953"/>
          <cell r="T9953"/>
        </row>
        <row r="9954">
          <cell r="A9954" t="str">
            <v>JMA WIRELESS</v>
          </cell>
          <cell r="B9954" t="str">
            <v>MX06FRO660-03</v>
          </cell>
          <cell r="O9954">
            <v>6.8101006689999988</v>
          </cell>
          <cell r="T9954">
            <v>4.666109357999999</v>
          </cell>
        </row>
        <row r="9955">
          <cell r="A9955" t="str">
            <v>JMA WIRELESS</v>
          </cell>
          <cell r="B9955" t="str">
            <v>MX06FRO660-03_20240513</v>
          </cell>
          <cell r="O9955"/>
          <cell r="T9955"/>
        </row>
        <row r="9956">
          <cell r="A9956" t="str">
            <v>JMA WIRELESS</v>
          </cell>
          <cell r="B9956" t="str">
            <v>MX06FRO840-02</v>
          </cell>
          <cell r="O9956">
            <v>10.05993924</v>
          </cell>
          <cell r="T9956">
            <v>5.186398271999999</v>
          </cell>
        </row>
        <row r="9957">
          <cell r="A9957" t="str">
            <v>JMA WIRELESS</v>
          </cell>
          <cell r="B9957" t="str">
            <v>MX06FRO840-02_CCIV2</v>
          </cell>
          <cell r="O9957">
            <v>10.05993924</v>
          </cell>
          <cell r="T9957">
            <v>5.186398271999999</v>
          </cell>
        </row>
        <row r="9958">
          <cell r="A9958" t="str">
            <v>JMA WIRELESS</v>
          </cell>
          <cell r="B9958" t="str">
            <v>MX06FRO860-02</v>
          </cell>
          <cell r="O9958">
            <v>9.01</v>
          </cell>
          <cell r="T9958">
            <v>6.1899999999999995</v>
          </cell>
        </row>
        <row r="9959">
          <cell r="A9959" t="str">
            <v>JMA WIRELESS</v>
          </cell>
          <cell r="B9959" t="str">
            <v>MX06FRO860-02E</v>
          </cell>
          <cell r="O9959">
            <v>4.3351649305555595</v>
          </cell>
          <cell r="T9959">
            <v>2.6682008259298096</v>
          </cell>
        </row>
        <row r="9960">
          <cell r="A9960" t="str">
            <v>JMA WIRELESS</v>
          </cell>
          <cell r="B9960" t="str">
            <v>MX06FRO860-02_CCIV2</v>
          </cell>
          <cell r="O9960">
            <v>9.0129242830000003</v>
          </cell>
          <cell r="T9960">
            <v>6.186822061</v>
          </cell>
        </row>
        <row r="9961">
          <cell r="A9961" t="str">
            <v>JMA WIRELESS</v>
          </cell>
          <cell r="B9961" t="str">
            <v>MX06FRO860-03</v>
          </cell>
          <cell r="O9961">
            <v>9.0129242830000003</v>
          </cell>
          <cell r="T9961">
            <v>6.186822061</v>
          </cell>
        </row>
        <row r="9962">
          <cell r="A9962" t="str">
            <v>JMA WIRELESS</v>
          </cell>
          <cell r="B9962" t="str">
            <v>MX08FHG665-HG_20250515</v>
          </cell>
          <cell r="O9962"/>
          <cell r="T9962"/>
        </row>
        <row r="9963">
          <cell r="A9963" t="str">
            <v>JMA WIRELESS</v>
          </cell>
          <cell r="B9963" t="str">
            <v>MX08FHG865-BHG_20250403</v>
          </cell>
          <cell r="O9963"/>
          <cell r="T9963"/>
        </row>
        <row r="9964">
          <cell r="A9964" t="str">
            <v>JMA WIRELESS</v>
          </cell>
          <cell r="B9964" t="str">
            <v>MX08FIT265-01</v>
          </cell>
          <cell r="O9964">
            <v>2.5061388060336003</v>
          </cell>
          <cell r="T9964">
            <v>0.95290726608515197</v>
          </cell>
        </row>
        <row r="9965">
          <cell r="A9965" t="str">
            <v>JMA WIRELESS</v>
          </cell>
          <cell r="B9965" t="str">
            <v>MX08FIT645-02</v>
          </cell>
          <cell r="O9965">
            <v>6.81</v>
          </cell>
          <cell r="T9965">
            <v>4.67</v>
          </cell>
        </row>
        <row r="9966">
          <cell r="A9966" t="str">
            <v>JMA WIRELESS</v>
          </cell>
          <cell r="B9966" t="str">
            <v>MX08FIT665-02E_20240815</v>
          </cell>
          <cell r="O9966">
            <v>8.0107542438271615</v>
          </cell>
          <cell r="T9966">
            <v>3.2108691636568296</v>
          </cell>
        </row>
        <row r="9967">
          <cell r="A9967" t="str">
            <v>JMA WIRELESS</v>
          </cell>
          <cell r="B9967" t="str">
            <v>MX08FIT665-20</v>
          </cell>
          <cell r="O9967">
            <v>7.6447771990740696</v>
          </cell>
          <cell r="T9967">
            <v>2.8370075504163297</v>
          </cell>
        </row>
        <row r="9968">
          <cell r="A9968" t="str">
            <v>JMA WIRELESS</v>
          </cell>
          <cell r="B9968" t="str">
            <v>MX08FIT680-02</v>
          </cell>
          <cell r="O9968">
            <v>6.8101006689999988</v>
          </cell>
          <cell r="T9968">
            <v>4.666109357999999</v>
          </cell>
        </row>
        <row r="9969">
          <cell r="A9969" t="str">
            <v>JMA WIRELESS</v>
          </cell>
          <cell r="B9969" t="str">
            <v>MX08FIT845-02</v>
          </cell>
          <cell r="O9969">
            <v>9.43</v>
          </cell>
          <cell r="T9969">
            <v>6.4799999999999995</v>
          </cell>
        </row>
        <row r="9970">
          <cell r="A9970" t="str">
            <v>JMA WIRELESS</v>
          </cell>
          <cell r="B9970" t="str">
            <v>MX08FIT865-20</v>
          </cell>
          <cell r="O9970">
            <v>11.93873456999999</v>
          </cell>
          <cell r="T9970">
            <v>4.4219523470000004</v>
          </cell>
        </row>
        <row r="9971">
          <cell r="A9971" t="str">
            <v>JMA WIRELESS</v>
          </cell>
          <cell r="B9971" t="str">
            <v>MX08FIT865-B02E_20240815</v>
          </cell>
          <cell r="O9971">
            <v>10.8858410493827</v>
          </cell>
          <cell r="T9971">
            <v>4.36318094633162</v>
          </cell>
        </row>
        <row r="9972">
          <cell r="A9972" t="str">
            <v>JMA WIRELESS</v>
          </cell>
          <cell r="B9972" t="str">
            <v>MX08FRO445-20</v>
          </cell>
          <cell r="O9972">
            <v>5.3989438657407396</v>
          </cell>
          <cell r="T9972">
            <v>2.1640281455626802</v>
          </cell>
        </row>
        <row r="9973">
          <cell r="A9973" t="str">
            <v>JMA WIRELESS</v>
          </cell>
          <cell r="B9973" t="str">
            <v>MX08FRO460-02</v>
          </cell>
          <cell r="O9973">
            <v>4.4399906480000002</v>
          </cell>
          <cell r="T9973">
            <v>3.0433059569999998</v>
          </cell>
        </row>
        <row r="9974">
          <cell r="A9974" t="str">
            <v>JMA WIRELESS</v>
          </cell>
          <cell r="B9974" t="str">
            <v>MX08FRO465-20</v>
          </cell>
          <cell r="O9974">
            <v>5.3989438657407396</v>
          </cell>
          <cell r="T9974">
            <v>2.1640281455626802</v>
          </cell>
        </row>
        <row r="9975">
          <cell r="A9975" t="str">
            <v>JMA WIRELESS</v>
          </cell>
          <cell r="B9975" t="str">
            <v>MX08FRO565-20</v>
          </cell>
          <cell r="O9975">
            <v>6.6623842592592588</v>
          </cell>
          <cell r="T9975">
            <v>2.67047715919646</v>
          </cell>
        </row>
        <row r="9976">
          <cell r="A9976" t="str">
            <v>JMA WIRELESS</v>
          </cell>
          <cell r="B9976" t="str">
            <v>MX08FRO640-02</v>
          </cell>
          <cell r="O9976">
            <v>7.2825665509259299</v>
          </cell>
          <cell r="T9976">
            <v>3.7525601640032997</v>
          </cell>
        </row>
        <row r="9977">
          <cell r="A9977" t="str">
            <v>JMA WIRELESS</v>
          </cell>
          <cell r="B9977" t="str">
            <v>MX08FRO645-20</v>
          </cell>
          <cell r="O9977">
            <v>8.0107542438271615</v>
          </cell>
          <cell r="T9977">
            <v>3.2108691636568296</v>
          </cell>
        </row>
        <row r="9978">
          <cell r="A9978" t="str">
            <v>JMA WIRELESS</v>
          </cell>
          <cell r="B9978" t="str">
            <v>MX08FRO660-02</v>
          </cell>
          <cell r="O9978">
            <v>6.5206418779999993</v>
          </cell>
          <cell r="T9978">
            <v>4.4791018960000004</v>
          </cell>
        </row>
        <row r="9979">
          <cell r="A9979" t="str">
            <v>JMA WIRELESS</v>
          </cell>
          <cell r="B9979" t="str">
            <v>MX08FRO660-02E_20250515</v>
          </cell>
          <cell r="O9979"/>
          <cell r="T9979"/>
        </row>
        <row r="9980">
          <cell r="A9980" t="str">
            <v>JMA WIRELESS</v>
          </cell>
          <cell r="B9980" t="str">
            <v>MX08FRO665-20</v>
          </cell>
          <cell r="O9980">
            <v>8.0107542438271615</v>
          </cell>
          <cell r="T9980">
            <v>3.2108691636568296</v>
          </cell>
        </row>
        <row r="9981">
          <cell r="A9981" t="str">
            <v>JMA WIRELESS</v>
          </cell>
          <cell r="B9981" t="str">
            <v>MX08FRO665-20_CCIV2</v>
          </cell>
          <cell r="O9981">
            <v>8.0107542438271615</v>
          </cell>
          <cell r="T9981">
            <v>3.2108691636568496</v>
          </cell>
        </row>
        <row r="9982">
          <cell r="A9982" t="str">
            <v>JMA WIRELESS</v>
          </cell>
          <cell r="B9982" t="str">
            <v>MX08FRO665-21</v>
          </cell>
          <cell r="O9982">
            <v>8.0107542438271615</v>
          </cell>
          <cell r="T9982">
            <v>3.2108691636568296</v>
          </cell>
        </row>
        <row r="9983">
          <cell r="A9983" t="str">
            <v>JMA WIRELESS</v>
          </cell>
          <cell r="B9983" t="str">
            <v>MX08FRO840-02</v>
          </cell>
          <cell r="O9983">
            <v>10.0599392361111</v>
          </cell>
          <cell r="T9983">
            <v>5.1863982715326298</v>
          </cell>
        </row>
        <row r="9984">
          <cell r="A9984" t="str">
            <v>JMA WIRELESS</v>
          </cell>
          <cell r="B9984" t="str">
            <v>MX08FRO860-02</v>
          </cell>
          <cell r="O9984">
            <v>9.01</v>
          </cell>
          <cell r="T9984">
            <v>6.1899999999999995</v>
          </cell>
        </row>
        <row r="9985">
          <cell r="A9985" t="str">
            <v>JMA WIRELESS</v>
          </cell>
          <cell r="B9985" t="str">
            <v>MX08FRO860-B02E_20250324</v>
          </cell>
          <cell r="O9985"/>
          <cell r="T9985"/>
        </row>
        <row r="9986">
          <cell r="A9986" t="str">
            <v>JMA WIRELESS</v>
          </cell>
          <cell r="B9986" t="str">
            <v>MX08FRO865-20</v>
          </cell>
          <cell r="O9986">
            <v>10.798630401234599</v>
          </cell>
          <cell r="T9986">
            <v>4.3280472299605295</v>
          </cell>
        </row>
        <row r="9987">
          <cell r="A9987" t="str">
            <v>JMA WIRELESS</v>
          </cell>
          <cell r="B9987" t="str">
            <v>MX10FHG865-BHG</v>
          </cell>
          <cell r="O9987">
            <v>4.3351649305555595</v>
          </cell>
          <cell r="T9987">
            <v>2.6682008259298096</v>
          </cell>
        </row>
        <row r="9988">
          <cell r="A9988" t="str">
            <v>JMA WIRELESS</v>
          </cell>
          <cell r="B9988" t="str">
            <v>MX10FIT445-xx</v>
          </cell>
          <cell r="O9988">
            <v>3.8586401591488397</v>
          </cell>
          <cell r="T9988">
            <v>1.90376209867353</v>
          </cell>
        </row>
        <row r="9989">
          <cell r="A9989" t="str">
            <v>JMA WIRELESS</v>
          </cell>
          <cell r="B9989" t="str">
            <v>MX10FIT465-XX</v>
          </cell>
          <cell r="O9989">
            <v>4.3173196373456788</v>
          </cell>
          <cell r="T9989">
            <v>2.0806981105612903</v>
          </cell>
        </row>
        <row r="9990">
          <cell r="A9990" t="str">
            <v>JMA WIRELESS</v>
          </cell>
          <cell r="B9990" t="str">
            <v>MX10FIT645-XX</v>
          </cell>
          <cell r="O9990">
            <v>5.0281259384125701</v>
          </cell>
          <cell r="T9990">
            <v>2.4808453233920402</v>
          </cell>
        </row>
        <row r="9991">
          <cell r="A9991" t="str">
            <v>JMA WIRELESS</v>
          </cell>
          <cell r="B9991" t="str">
            <v>MX10FIT665-XX</v>
          </cell>
          <cell r="O9991">
            <v>3.0628662689999997</v>
          </cell>
          <cell r="T9991">
            <v>1.8847929569999999</v>
          </cell>
        </row>
        <row r="9992">
          <cell r="A9992" t="str">
            <v>JMA WIRELESS</v>
          </cell>
          <cell r="B9992" t="str">
            <v>MX10FIT845-BXX</v>
          </cell>
          <cell r="O9992">
            <v>8.7873271702104496</v>
          </cell>
          <cell r="T9992">
            <v>4.3357600640412093</v>
          </cell>
        </row>
        <row r="9993">
          <cell r="A9993" t="str">
            <v>JMA WIRELESS</v>
          </cell>
          <cell r="B9993" t="str">
            <v>MX10FIT845-xx</v>
          </cell>
          <cell r="O9993">
            <v>8.7873271702104496</v>
          </cell>
          <cell r="T9993">
            <v>4.3357600640412093</v>
          </cell>
        </row>
        <row r="9994">
          <cell r="A9994" t="str">
            <v>JMA WIRELESS</v>
          </cell>
          <cell r="B9994" t="str">
            <v>MX10FIT865-BXX_01022024</v>
          </cell>
          <cell r="O9994">
            <v>4.3351649305555595</v>
          </cell>
          <cell r="T9994">
            <v>2.6682008259298096</v>
          </cell>
        </row>
        <row r="9995">
          <cell r="A9995" t="str">
            <v>JMA WIRELESS</v>
          </cell>
          <cell r="B9995" t="str">
            <v>MX10FIT865-XX</v>
          </cell>
          <cell r="O9995">
            <v>4.0886781442901201</v>
          </cell>
          <cell r="T9995">
            <v>2.5156838541549797</v>
          </cell>
        </row>
        <row r="9996">
          <cell r="A9996" t="str">
            <v>JMA WIRELESS</v>
          </cell>
          <cell r="B9996" t="str">
            <v>MX10FRO440-XX</v>
          </cell>
          <cell r="O9996">
            <v>6.5311439043209898</v>
          </cell>
          <cell r="T9996">
            <v>2.4167724896664899</v>
          </cell>
        </row>
        <row r="9997">
          <cell r="A9997" t="str">
            <v>JMA WIRELESS</v>
          </cell>
          <cell r="B9997" t="str">
            <v>MX10FRO640-XX</v>
          </cell>
          <cell r="O9997">
            <v>8.9023823302469101</v>
          </cell>
          <cell r="T9997">
            <v>3.2952467727834795</v>
          </cell>
        </row>
        <row r="9998">
          <cell r="A9998" t="str">
            <v>JMA WIRELESS</v>
          </cell>
          <cell r="B9998" t="str">
            <v>MX10FRO660-XX</v>
          </cell>
          <cell r="O9998">
            <v>6.186962992999999</v>
          </cell>
          <cell r="T9998">
            <v>3.0622591690000003</v>
          </cell>
        </row>
        <row r="9999">
          <cell r="A9999" t="str">
            <v>JMA WIRELESS</v>
          </cell>
          <cell r="B9999" t="str">
            <v>MX10FRO840-Bxx</v>
          </cell>
          <cell r="O9999">
            <v>11.995336612654301</v>
          </cell>
          <cell r="T9999">
            <v>4.4478811107322098</v>
          </cell>
        </row>
        <row r="10000">
          <cell r="A10000" t="str">
            <v>JMA WIRELESS</v>
          </cell>
          <cell r="B10000" t="str">
            <v>MX10FRO840-XX</v>
          </cell>
          <cell r="O10000">
            <v>11.93873456999999</v>
          </cell>
          <cell r="T10000">
            <v>4.4219523470000004</v>
          </cell>
        </row>
        <row r="10001">
          <cell r="A10001" t="str">
            <v>JMA WIRELESS</v>
          </cell>
          <cell r="B10001" t="str">
            <v>MX10FRO860-Bxx</v>
          </cell>
          <cell r="O10001">
            <v>8.7873271702104496</v>
          </cell>
          <cell r="T10001">
            <v>4.3357600640412093</v>
          </cell>
        </row>
        <row r="10002">
          <cell r="A10002" t="str">
            <v>JMA WIRELESS</v>
          </cell>
          <cell r="B10002" t="str">
            <v>MX10FRO860-XX</v>
          </cell>
          <cell r="O10002">
            <v>8.7873271699999993</v>
          </cell>
          <cell r="T10002">
            <v>4.3357600639999996</v>
          </cell>
        </row>
        <row r="10003">
          <cell r="A10003" t="str">
            <v>JMA WIRELESS</v>
          </cell>
          <cell r="B10003" t="str">
            <v>MX12FHG445-01_20250313</v>
          </cell>
          <cell r="O10003"/>
          <cell r="T10003"/>
        </row>
        <row r="10004">
          <cell r="A10004" t="str">
            <v>JMA WIRELESS</v>
          </cell>
          <cell r="B10004" t="str">
            <v>MX12FHG865-01_20240729</v>
          </cell>
          <cell r="O10004"/>
          <cell r="T10004"/>
        </row>
        <row r="10005">
          <cell r="A10005" t="str">
            <v>JMA WIRELESS</v>
          </cell>
          <cell r="B10005" t="str">
            <v>MX12FIT465-01</v>
          </cell>
          <cell r="O10005">
            <v>6.1749807098765395</v>
          </cell>
          <cell r="T10005">
            <v>2.4750556258662497</v>
          </cell>
        </row>
        <row r="10006">
          <cell r="A10006" t="str">
            <v>JMA WIRELESS</v>
          </cell>
          <cell r="B10006" t="str">
            <v>MX12FIT665-01</v>
          </cell>
          <cell r="O10006">
            <v>8.0107542438271615</v>
          </cell>
          <cell r="T10006">
            <v>3.2108691636568296</v>
          </cell>
        </row>
        <row r="10007">
          <cell r="A10007" t="str">
            <v>JMA WIRELESS</v>
          </cell>
          <cell r="B10007" t="str">
            <v>MX12FIT865-01</v>
          </cell>
          <cell r="O10007">
            <v>10.8858410493827</v>
          </cell>
          <cell r="T10007">
            <v>4.36318094633162</v>
          </cell>
        </row>
        <row r="10008">
          <cell r="A10008" t="str">
            <v>JMA WIRELESS</v>
          </cell>
          <cell r="B10008" t="str">
            <v>MX12FRO445-01</v>
          </cell>
          <cell r="O10008">
            <v>6.3526379243827193</v>
          </cell>
          <cell r="T10008">
            <v>2.5389929928325303</v>
          </cell>
        </row>
        <row r="10009">
          <cell r="A10009" t="str">
            <v>JMA WIRELESS</v>
          </cell>
          <cell r="B10009" t="str">
            <v>MX12FRO645-01</v>
          </cell>
          <cell r="O10009">
            <v>8.0107542438271615</v>
          </cell>
          <cell r="T10009">
            <v>3.2108691636568296</v>
          </cell>
        </row>
        <row r="10010">
          <cell r="A10010" t="str">
            <v>JMA WIRELESS</v>
          </cell>
          <cell r="B10010" t="str">
            <v>MX12FRO845-01</v>
          </cell>
          <cell r="O10010">
            <v>10.8858410493827</v>
          </cell>
          <cell r="T10010">
            <v>4.36318094633162</v>
          </cell>
        </row>
        <row r="10011">
          <cell r="A10011" t="str">
            <v>JMA WIRELESS</v>
          </cell>
          <cell r="B10011" t="str">
            <v>MX12FRO860-02</v>
          </cell>
          <cell r="O10011">
            <v>10.812051500000001</v>
          </cell>
          <cell r="T10011">
            <v>4.330509739</v>
          </cell>
        </row>
        <row r="10012">
          <cell r="A10012" t="str">
            <v>JMA WIRELESS</v>
          </cell>
          <cell r="B10012" t="str">
            <v>MX12FSS865-01_20240729</v>
          </cell>
          <cell r="O10012">
            <v>10.8858410493827</v>
          </cell>
          <cell r="T10012">
            <v>4.36318094633162</v>
          </cell>
        </row>
        <row r="10013">
          <cell r="A10013" t="str">
            <v>JMA WIRELESS</v>
          </cell>
          <cell r="B10013" t="str">
            <v>MX14FIT465-01</v>
          </cell>
          <cell r="O10013">
            <v>3.13462228005594</v>
          </cell>
          <cell r="T10013">
            <v>1.87820267816125</v>
          </cell>
        </row>
        <row r="10014">
          <cell r="A10014" t="str">
            <v>JMA WIRELESS</v>
          </cell>
          <cell r="B10014" t="str">
            <v>MX14FIT665-01</v>
          </cell>
          <cell r="O10014">
            <v>3.9931774300549598</v>
          </cell>
          <cell r="T10014">
            <v>2.3918657705016897</v>
          </cell>
        </row>
        <row r="10015">
          <cell r="A10015" t="str">
            <v>JMA WIRELESS</v>
          </cell>
          <cell r="B10015" t="str">
            <v>MX14FIT865-01</v>
          </cell>
          <cell r="O10015">
            <v>5.4822299200745093</v>
          </cell>
          <cell r="T10015">
            <v>3.2831299041925597</v>
          </cell>
        </row>
        <row r="10016">
          <cell r="A10016" t="str">
            <v>JMA WIRELESS</v>
          </cell>
          <cell r="B10016" t="str">
            <v>MX14FRO445-01</v>
          </cell>
          <cell r="O10016">
            <v>6.1749807098765395</v>
          </cell>
          <cell r="T10016">
            <v>2.4750556258662497</v>
          </cell>
        </row>
        <row r="10017">
          <cell r="A10017" t="str">
            <v>JMA WIRELESS</v>
          </cell>
          <cell r="B10017" t="str">
            <v>MX14FRO660-01</v>
          </cell>
          <cell r="O10017">
            <v>3.9931774300549598</v>
          </cell>
          <cell r="T10017">
            <v>2.3918657705016897</v>
          </cell>
        </row>
        <row r="10018">
          <cell r="A10018" t="str">
            <v>JMA WIRELESS</v>
          </cell>
          <cell r="B10018" t="str">
            <v>MX14FRO845-01</v>
          </cell>
          <cell r="O10018">
            <v>10.8858410493827</v>
          </cell>
          <cell r="T10018">
            <v>4.36318094633162</v>
          </cell>
        </row>
        <row r="10019">
          <cell r="A10019" t="str">
            <v>JMA WIRELESS</v>
          </cell>
          <cell r="B10019" t="str">
            <v>MX16FIT465-XX</v>
          </cell>
          <cell r="O10019">
            <v>6.6356481481481495</v>
          </cell>
          <cell r="T10019">
            <v>2.6597751715924596</v>
          </cell>
        </row>
        <row r="10020">
          <cell r="A10020" t="str">
            <v>JMA WIRELESS</v>
          </cell>
          <cell r="B10020" t="str">
            <v>MX16FIT665-XX</v>
          </cell>
          <cell r="O10020">
            <v>8.0107542438271615</v>
          </cell>
          <cell r="T10020">
            <v>3.2108691636568296</v>
          </cell>
        </row>
        <row r="10021">
          <cell r="A10021" t="str">
            <v>JMA WIRELESS</v>
          </cell>
          <cell r="B10021" t="str">
            <v>MX16FIT865-Bxx</v>
          </cell>
          <cell r="O10021">
            <v>10.8858410493827</v>
          </cell>
          <cell r="T10021">
            <v>4.36318094633162</v>
          </cell>
        </row>
        <row r="10022">
          <cell r="A10022" t="str">
            <v>JMA WIRELESS</v>
          </cell>
          <cell r="B10022" t="str">
            <v>MX16FRO845-Bxx</v>
          </cell>
          <cell r="O10022">
            <v>10.8858410493827</v>
          </cell>
          <cell r="T10022">
            <v>4.36318094633162</v>
          </cell>
        </row>
        <row r="10023">
          <cell r="A10023" t="str">
            <v>JMA WIRELESS</v>
          </cell>
          <cell r="B10023" t="str">
            <v>MX16FSS833-01_20240829</v>
          </cell>
          <cell r="O10023">
            <v>15.5572337962963</v>
          </cell>
          <cell r="T10023">
            <v>7.4095593768911101</v>
          </cell>
        </row>
        <row r="10024">
          <cell r="A10024" t="str">
            <v>JMA WIRELESS</v>
          </cell>
          <cell r="B10024" t="str">
            <v>QAP-460-V</v>
          </cell>
          <cell r="O10024">
            <v>5.0398259639999994</v>
          </cell>
          <cell r="T10024">
            <v>2.8222910539999999</v>
          </cell>
        </row>
        <row r="10025">
          <cell r="A10025" t="str">
            <v>JMA WIRELESS</v>
          </cell>
          <cell r="B10025" t="str">
            <v>QAP-460-VR0</v>
          </cell>
          <cell r="O10025">
            <v>5.0398259639999994</v>
          </cell>
          <cell r="T10025">
            <v>2.8222910539999999</v>
          </cell>
        </row>
        <row r="10026">
          <cell r="A10026" t="str">
            <v>JMA WIRELESS</v>
          </cell>
          <cell r="B10026" t="str">
            <v>QAP-660-V</v>
          </cell>
          <cell r="O10026">
            <v>7.474735817</v>
          </cell>
          <cell r="T10026">
            <v>4.1927423639999999</v>
          </cell>
        </row>
        <row r="10027">
          <cell r="A10027" t="str">
            <v>JMA WIRELESS</v>
          </cell>
          <cell r="B10027" t="str">
            <v>QAP-660-VR0</v>
          </cell>
          <cell r="O10027">
            <v>7.474735817</v>
          </cell>
          <cell r="T10027">
            <v>4.1927423639999999</v>
          </cell>
        </row>
        <row r="10028">
          <cell r="A10028" t="str">
            <v>JMA WIRELESS</v>
          </cell>
          <cell r="B10028" t="str">
            <v>QAP-FRO-440-VR0</v>
          </cell>
          <cell r="O10028">
            <v>8.0242814430000013</v>
          </cell>
          <cell r="T10028">
            <v>2.6046524049999999</v>
          </cell>
        </row>
        <row r="10029">
          <cell r="A10029" t="str">
            <v>JMA WIRELESS</v>
          </cell>
          <cell r="B10029" t="str">
            <v>QAP-FRO-640-V</v>
          </cell>
          <cell r="O10029">
            <v>12.785325038580201</v>
          </cell>
          <cell r="T10029">
            <v>4.7996712862594499</v>
          </cell>
        </row>
        <row r="10030">
          <cell r="A10030" t="str">
            <v>JMA WIRELESS</v>
          </cell>
          <cell r="B10030" t="str">
            <v>QAP-FRO-660-V</v>
          </cell>
          <cell r="O10030">
            <v>9.5169744009999988</v>
          </cell>
          <cell r="T10030">
            <v>4.711376754999999</v>
          </cell>
        </row>
        <row r="10031">
          <cell r="A10031" t="str">
            <v>JMA WIRELESS</v>
          </cell>
          <cell r="B10031" t="str">
            <v>QAP-FRO-660-VR0</v>
          </cell>
          <cell r="O10031">
            <v>9.5169744009999988</v>
          </cell>
          <cell r="T10031">
            <v>4.711376754999999</v>
          </cell>
        </row>
        <row r="10032">
          <cell r="A10032" t="str">
            <v>JMA WIRELESS</v>
          </cell>
          <cell r="B10032" t="str">
            <v>QCAP-FRO-656-V</v>
          </cell>
          <cell r="O10032">
            <v>9.5712625389999992</v>
          </cell>
          <cell r="T10032">
            <v>4.7386881430000001</v>
          </cell>
        </row>
        <row r="10033">
          <cell r="A10033" t="str">
            <v>JMA WIRELESS</v>
          </cell>
          <cell r="B10033" t="str">
            <v>QCAP-FRO-656-VR0</v>
          </cell>
          <cell r="O10033">
            <v>9.7925250769999987</v>
          </cell>
          <cell r="T10033">
            <v>4.7589494979999989</v>
          </cell>
        </row>
        <row r="10034">
          <cell r="A10034" t="str">
            <v>JMA WIRELESS</v>
          </cell>
          <cell r="B10034" t="str">
            <v>QCAP-FRO-856</v>
          </cell>
          <cell r="O10034">
            <v>13.0526331</v>
          </cell>
          <cell r="T10034">
            <v>6.4729254430000003</v>
          </cell>
        </row>
        <row r="10035">
          <cell r="A10035" t="str">
            <v>JMA WIRELESS</v>
          </cell>
          <cell r="B10035" t="str">
            <v>V7CAP-465</v>
          </cell>
          <cell r="O10035">
            <v>5.0398259639999994</v>
          </cell>
          <cell r="T10035">
            <v>2.8222910539999999</v>
          </cell>
        </row>
        <row r="10036">
          <cell r="A10036" t="str">
            <v>JMA WIRELESS</v>
          </cell>
          <cell r="B10036" t="str">
            <v>X7C-465-VR0</v>
          </cell>
          <cell r="O10036">
            <v>5.0398259639999994</v>
          </cell>
          <cell r="T10036">
            <v>2.8222910539999999</v>
          </cell>
        </row>
        <row r="10037">
          <cell r="A10037" t="str">
            <v>JMA WIRELESS</v>
          </cell>
          <cell r="B10037" t="str">
            <v>X7C-480-V</v>
          </cell>
          <cell r="O10037">
            <v>5.0398259639999994</v>
          </cell>
          <cell r="T10037">
            <v>2.8222910539999999</v>
          </cell>
        </row>
        <row r="10038">
          <cell r="A10038" t="str">
            <v>JMA WIRELESS</v>
          </cell>
          <cell r="B10038" t="str">
            <v>X7C-680-VR0</v>
          </cell>
          <cell r="O10038">
            <v>7.3100453319999996</v>
          </cell>
          <cell r="T10038">
            <v>4.6884152600000002</v>
          </cell>
        </row>
        <row r="10039">
          <cell r="A10039" t="str">
            <v>JMA WIRELESS</v>
          </cell>
          <cell r="B10039" t="str">
            <v>X7C-865-VR0</v>
          </cell>
          <cell r="O10039">
            <v>10.04091341</v>
          </cell>
          <cell r="T10039">
            <v>5.6527385839999988</v>
          </cell>
        </row>
        <row r="10040">
          <cell r="A10040" t="str">
            <v>JMA WIRELESS</v>
          </cell>
          <cell r="B10040" t="str">
            <v>X7C-865-VR4</v>
          </cell>
          <cell r="O10040">
            <v>10.04091341</v>
          </cell>
          <cell r="T10040">
            <v>5.6527385839999988</v>
          </cell>
        </row>
        <row r="10041">
          <cell r="A10041" t="str">
            <v>JMA WIRELESS</v>
          </cell>
          <cell r="B10041" t="str">
            <v>X7C-880-VR0</v>
          </cell>
          <cell r="O10041">
            <v>10.06264468</v>
          </cell>
          <cell r="T10041">
            <v>5.8052573470000004</v>
          </cell>
        </row>
        <row r="10042">
          <cell r="A10042" t="str">
            <v>JMA WIRELESS</v>
          </cell>
          <cell r="B10042" t="str">
            <v>X7C-880-VR4</v>
          </cell>
          <cell r="O10042">
            <v>10.06264468</v>
          </cell>
          <cell r="T10042">
            <v>5.8052573470000004</v>
          </cell>
        </row>
        <row r="10043">
          <cell r="A10043" t="str">
            <v>JMA WIRELESS</v>
          </cell>
          <cell r="B10043" t="str">
            <v>X7C-FRO-430-V</v>
          </cell>
          <cell r="O10043"/>
          <cell r="T10043"/>
        </row>
        <row r="10044">
          <cell r="A10044" t="str">
            <v>JMA WIRELESS</v>
          </cell>
          <cell r="B10044" t="str">
            <v>X7C-FRO-430-VR0</v>
          </cell>
          <cell r="O10044">
            <v>11.1501671528061</v>
          </cell>
          <cell r="T10044">
            <v>3.2128110900834099</v>
          </cell>
        </row>
        <row r="10045">
          <cell r="A10045" t="str">
            <v>JMA WIRELESS</v>
          </cell>
          <cell r="B10045" t="str">
            <v>X7C-FRO-440-0</v>
          </cell>
          <cell r="O10045">
            <v>8.4730131172839513</v>
          </cell>
          <cell r="T10045">
            <v>2.4655632581768301</v>
          </cell>
        </row>
        <row r="10046">
          <cell r="A10046" t="str">
            <v>JMA WIRELESS</v>
          </cell>
          <cell r="B10046" t="str">
            <v>X7C-FRO-460</v>
          </cell>
          <cell r="O10046">
            <v>6.177792245</v>
          </cell>
          <cell r="T10046">
            <v>2.9613422949999997</v>
          </cell>
        </row>
        <row r="10047">
          <cell r="A10047" t="str">
            <v>JMA WIRELESS</v>
          </cell>
          <cell r="B10047" t="str">
            <v>X7C-FRO-460-V</v>
          </cell>
          <cell r="O10047">
            <v>6.177792245</v>
          </cell>
          <cell r="T10047">
            <v>2.9613422949999997</v>
          </cell>
        </row>
        <row r="10048">
          <cell r="A10048" t="str">
            <v>JMA WIRELESS</v>
          </cell>
          <cell r="B10048" t="str">
            <v>X7C-FRO-460-VR4</v>
          </cell>
          <cell r="O10048">
            <v>6.5556658739999989</v>
          </cell>
          <cell r="T10048">
            <v>3.6084643769999998</v>
          </cell>
        </row>
        <row r="10049">
          <cell r="A10049" t="str">
            <v>JMA WIRELESS</v>
          </cell>
          <cell r="B10049" t="str">
            <v>X7C-FRO-640-VR0</v>
          </cell>
          <cell r="O10049">
            <v>12.396749610000001</v>
          </cell>
          <cell r="T10049">
            <v>6.0621000199999999</v>
          </cell>
        </row>
        <row r="10050">
          <cell r="A10050" t="str">
            <v>JMA WIRELESS</v>
          </cell>
          <cell r="B10050" t="str">
            <v>X7C-FRO-660-VR</v>
          </cell>
          <cell r="O10050">
            <v>8.8881655089999985</v>
          </cell>
          <cell r="T10050">
            <v>4.9411464779999994</v>
          </cell>
        </row>
        <row r="10051">
          <cell r="A10051" t="str">
            <v>JMA WIRELESS</v>
          </cell>
          <cell r="B10051" t="str">
            <v>X7C-FRO-660-VR4</v>
          </cell>
          <cell r="O10051">
            <v>8.8881655089999985</v>
          </cell>
          <cell r="T10051">
            <v>4.9411464779999994</v>
          </cell>
        </row>
        <row r="10052">
          <cell r="A10052" t="str">
            <v>JMA WIRELESS</v>
          </cell>
          <cell r="B10052" t="str">
            <v>X7C-FRO-840-V</v>
          </cell>
          <cell r="O10052">
            <v>16.503055310000001</v>
          </cell>
          <cell r="T10052">
            <v>7.9327075139999996</v>
          </cell>
        </row>
        <row r="10053">
          <cell r="A10053" t="str">
            <v>JMA WIRELESS</v>
          </cell>
          <cell r="B10053" t="str">
            <v>X7C-FRO-840-VR0</v>
          </cell>
          <cell r="O10053">
            <v>16.503055310000001</v>
          </cell>
          <cell r="T10053">
            <v>7.9327075139999996</v>
          </cell>
        </row>
        <row r="10054">
          <cell r="A10054" t="str">
            <v>JMA WIRELESS</v>
          </cell>
          <cell r="B10054" t="str">
            <v>X7C-FRO-840-VR4</v>
          </cell>
          <cell r="O10054">
            <v>16.503055310000001</v>
          </cell>
          <cell r="T10054">
            <v>7.9327075139999996</v>
          </cell>
        </row>
        <row r="10055">
          <cell r="A10055" t="str">
            <v>JMA WIRELESS</v>
          </cell>
          <cell r="B10055" t="str">
            <v>X7C-FRO-860-V</v>
          </cell>
          <cell r="O10055">
            <v>12.05457522999999</v>
          </cell>
          <cell r="T10055">
            <v>6.708743052</v>
          </cell>
        </row>
        <row r="10056">
          <cell r="A10056" t="str">
            <v>JMA WIRELESS</v>
          </cell>
          <cell r="B10056" t="str">
            <v>X7C-FRO-860-VR0</v>
          </cell>
          <cell r="O10056">
            <v>12.05457522999999</v>
          </cell>
          <cell r="T10056">
            <v>6.708743052</v>
          </cell>
        </row>
        <row r="10057">
          <cell r="A10057" t="str">
            <v>JMA WIRELESS</v>
          </cell>
          <cell r="B10057" t="str">
            <v>X7C-FRO-860-VR4</v>
          </cell>
          <cell r="O10057">
            <v>12.05457522999999</v>
          </cell>
          <cell r="T10057">
            <v>6.708743052</v>
          </cell>
        </row>
        <row r="10058">
          <cell r="A10058" t="str">
            <v>JMA WIRELESS</v>
          </cell>
          <cell r="B10058" t="str">
            <v>X7C-MB-634-2</v>
          </cell>
          <cell r="O10058"/>
          <cell r="T10058"/>
        </row>
        <row r="10059">
          <cell r="A10059" t="str">
            <v>JMA WIRELESS</v>
          </cell>
          <cell r="B10059" t="str">
            <v>X7CAP-465</v>
          </cell>
          <cell r="O10059">
            <v>5.0398259639999994</v>
          </cell>
          <cell r="T10059">
            <v>2.8222910539999999</v>
          </cell>
        </row>
        <row r="10060">
          <cell r="A10060" t="str">
            <v>JMA WIRELESS</v>
          </cell>
          <cell r="B10060" t="str">
            <v>X7CAP-465-VR0</v>
          </cell>
          <cell r="O10060">
            <v>5.0398259639999994</v>
          </cell>
          <cell r="T10060">
            <v>2.8222910539999999</v>
          </cell>
        </row>
        <row r="10061">
          <cell r="A10061" t="str">
            <v>JMA WIRELESS</v>
          </cell>
          <cell r="B10061" t="str">
            <v>X7CAP-465-VR0-IPB</v>
          </cell>
          <cell r="O10061">
            <v>5.0398259639999994</v>
          </cell>
          <cell r="T10061">
            <v>2.8222910539999999</v>
          </cell>
        </row>
        <row r="10062">
          <cell r="A10062" t="str">
            <v>JMA WIRELESS</v>
          </cell>
          <cell r="B10062" t="str">
            <v>X7CAP-480-00</v>
          </cell>
          <cell r="O10062">
            <v>6.177792245</v>
          </cell>
          <cell r="T10062">
            <v>2.9613422949999997</v>
          </cell>
        </row>
        <row r="10063">
          <cell r="A10063" t="str">
            <v>JMA WIRELESS</v>
          </cell>
          <cell r="B10063" t="str">
            <v>X7CAP-480-VR0</v>
          </cell>
          <cell r="O10063">
            <v>6.5556658739999989</v>
          </cell>
          <cell r="T10063">
            <v>3.6084643769999998</v>
          </cell>
        </row>
        <row r="10064">
          <cell r="A10064" t="str">
            <v>JMA WIRELESS</v>
          </cell>
          <cell r="B10064" t="str">
            <v>X7CAP-480-VR0-IPB</v>
          </cell>
          <cell r="O10064">
            <v>6.177792245</v>
          </cell>
          <cell r="T10064">
            <v>2.9613422949999997</v>
          </cell>
        </row>
        <row r="10065">
          <cell r="A10065" t="str">
            <v>JMA WIRELESS</v>
          </cell>
          <cell r="B10065" t="str">
            <v>X7CAP-665-VR0</v>
          </cell>
          <cell r="O10065">
            <v>7.474735817</v>
          </cell>
          <cell r="T10065">
            <v>4.1927423639999999</v>
          </cell>
        </row>
        <row r="10066">
          <cell r="A10066" t="str">
            <v>JMA WIRELESS</v>
          </cell>
          <cell r="B10066" t="str">
            <v>X7CAP-680</v>
          </cell>
          <cell r="O10066">
            <v>8.8881655089999985</v>
          </cell>
          <cell r="T10066">
            <v>4.9411464779999994</v>
          </cell>
        </row>
        <row r="10067">
          <cell r="A10067" t="str">
            <v>JMA WIRELESS</v>
          </cell>
          <cell r="B10067" t="str">
            <v>X7CAP-680-V</v>
          </cell>
          <cell r="O10067">
            <v>8.8881655089999985</v>
          </cell>
          <cell r="T10067">
            <v>4.9411464779999994</v>
          </cell>
        </row>
        <row r="10068">
          <cell r="A10068" t="str">
            <v>JMA WIRELESS</v>
          </cell>
          <cell r="B10068" t="str">
            <v>X7CAP-765-V</v>
          </cell>
          <cell r="O10068"/>
          <cell r="T10068"/>
        </row>
        <row r="10069">
          <cell r="A10069" t="str">
            <v>JMA WIRELESS</v>
          </cell>
          <cell r="B10069" t="str">
            <v>X7CAP-86-865-VR0</v>
          </cell>
          <cell r="O10069">
            <v>10.11043192</v>
          </cell>
          <cell r="T10069">
            <v>5.6774190349999989</v>
          </cell>
        </row>
        <row r="10070">
          <cell r="A10070" t="str">
            <v>JMA WIRELESS</v>
          </cell>
          <cell r="B10070" t="str">
            <v>X7CAP-FRO-640-VR0</v>
          </cell>
          <cell r="O10070">
            <v>16.569704861111088</v>
          </cell>
          <cell r="T10070">
            <v>4.7950467382747801</v>
          </cell>
        </row>
        <row r="10071">
          <cell r="A10071" t="str">
            <v>JMA WIRELESS</v>
          </cell>
          <cell r="B10071" t="str">
            <v>X7CQAP-465-V</v>
          </cell>
          <cell r="O10071">
            <v>6.5134259259259295</v>
          </cell>
          <cell r="T10071">
            <v>3.1591268592560398</v>
          </cell>
        </row>
        <row r="10072">
          <cell r="A10072" t="str">
            <v>JMA WIRELESS</v>
          </cell>
          <cell r="B10072" t="str">
            <v>X7CQAP-480-V</v>
          </cell>
          <cell r="O10072">
            <v>7.5600898159999996</v>
          </cell>
          <cell r="T10072">
            <v>3.7325790100000003</v>
          </cell>
        </row>
        <row r="10073">
          <cell r="A10073" t="str">
            <v>JMA WIRELESS</v>
          </cell>
          <cell r="B10073" t="str">
            <v>X7CQAP-480-VR0</v>
          </cell>
          <cell r="O10073">
            <v>6.014411097</v>
          </cell>
          <cell r="T10073">
            <v>3.6585715519999997</v>
          </cell>
        </row>
        <row r="10074">
          <cell r="A10074" t="str">
            <v>JMA WIRELESS</v>
          </cell>
          <cell r="B10074" t="str">
            <v>X7CQAP-645-VR0</v>
          </cell>
          <cell r="O10074">
            <v>12.396749610000001</v>
          </cell>
          <cell r="T10074">
            <v>6.0621000199999999</v>
          </cell>
        </row>
        <row r="10075">
          <cell r="A10075" t="str">
            <v>JMA WIRELESS</v>
          </cell>
          <cell r="B10075" t="str">
            <v>X7CQAP-665-VR0</v>
          </cell>
          <cell r="O10075">
            <v>9.5169744009999988</v>
          </cell>
          <cell r="T10075">
            <v>4.711376754999999</v>
          </cell>
        </row>
        <row r="10076">
          <cell r="A10076" t="str">
            <v>JMA WIRELESS</v>
          </cell>
          <cell r="B10076" t="str">
            <v>X7CQAP-665-VR0-IPB</v>
          </cell>
          <cell r="O10076">
            <v>9.5169744009999988</v>
          </cell>
          <cell r="T10076">
            <v>4.711376754999999</v>
          </cell>
        </row>
        <row r="10077">
          <cell r="A10077" t="str">
            <v>JMA WIRELESS</v>
          </cell>
          <cell r="B10077" t="str">
            <v>X7CQAP-665-VR4</v>
          </cell>
          <cell r="O10077">
            <v>9.5169744009999988</v>
          </cell>
          <cell r="T10077">
            <v>4.711376754999999</v>
          </cell>
        </row>
        <row r="10078">
          <cell r="A10078" t="str">
            <v>JMA WIRELESS</v>
          </cell>
          <cell r="B10078" t="str">
            <v>X7CQAP-86-865-V</v>
          </cell>
          <cell r="O10078">
            <v>13.0526331</v>
          </cell>
          <cell r="T10078">
            <v>6.4729254430000003</v>
          </cell>
        </row>
        <row r="10079">
          <cell r="A10079" t="str">
            <v>JMA WIRELESS</v>
          </cell>
          <cell r="B10079" t="str">
            <v>X7CQAP-86-865-VR0</v>
          </cell>
          <cell r="O10079">
            <v>13.0526331</v>
          </cell>
          <cell r="T10079">
            <v>6.4729254430000003</v>
          </cell>
        </row>
        <row r="10080">
          <cell r="A10080" t="str">
            <v>JMA WIRELESS</v>
          </cell>
          <cell r="B10080" t="str">
            <v>X7CQAP-86-865-VR4</v>
          </cell>
          <cell r="O10080">
            <v>13.0526331</v>
          </cell>
          <cell r="T10080">
            <v>6.4729254430000003</v>
          </cell>
        </row>
        <row r="10081">
          <cell r="A10081" t="str">
            <v>JMA WIRELESS</v>
          </cell>
          <cell r="B10081" t="str">
            <v>X7CQAP-86-865VR0</v>
          </cell>
          <cell r="O10081">
            <v>13.0526331</v>
          </cell>
          <cell r="T10081">
            <v>6.4729254430000003</v>
          </cell>
        </row>
        <row r="10082">
          <cell r="A10082" t="str">
            <v>JMA WIRELESS</v>
          </cell>
          <cell r="B10082" t="str">
            <v>X7CQAP-86-880-VR0</v>
          </cell>
          <cell r="O10082">
            <v>10.90117188</v>
          </cell>
          <cell r="T10082">
            <v>6.6566602139999995</v>
          </cell>
        </row>
        <row r="10083">
          <cell r="A10083" t="str">
            <v>JMA WIRELESS</v>
          </cell>
          <cell r="B10083" t="str">
            <v>X7CQAP-880-V</v>
          </cell>
          <cell r="O10083">
            <v>10.978833912037</v>
          </cell>
          <cell r="T10083">
            <v>6.4876656717158898</v>
          </cell>
        </row>
        <row r="10084">
          <cell r="A10084" t="str">
            <v>JMA WIRELESS</v>
          </cell>
          <cell r="B10084" t="str">
            <v>X7CQAP-FRO-433-V</v>
          </cell>
          <cell r="O10084"/>
          <cell r="T10084"/>
        </row>
        <row r="10085">
          <cell r="A10085" t="str">
            <v>JMA WIRELESS</v>
          </cell>
          <cell r="B10085" t="str">
            <v>X7CQAP-FRO-433-VR</v>
          </cell>
          <cell r="O10085"/>
          <cell r="T10085"/>
        </row>
        <row r="10086">
          <cell r="A10086" t="str">
            <v>JMA WIRELESS</v>
          </cell>
          <cell r="B10086" t="str">
            <v>X7CQAP-FRO-445-VR0</v>
          </cell>
          <cell r="O10086">
            <v>8.7025511188271611</v>
          </cell>
          <cell r="T10086">
            <v>3.5998393264817796</v>
          </cell>
        </row>
        <row r="10087">
          <cell r="A10087" t="str">
            <v>JMA WIRELESS</v>
          </cell>
          <cell r="B10087" t="str">
            <v>X7CQAP-FRO-633-V</v>
          </cell>
          <cell r="O10087">
            <v>16.2690952928345</v>
          </cell>
          <cell r="T10087">
            <v>6.1904885602025495</v>
          </cell>
        </row>
        <row r="10088">
          <cell r="A10088" t="str">
            <v>JMA WIRELESS</v>
          </cell>
          <cell r="B10088" t="str">
            <v>X7CQAP-FRO-645-V</v>
          </cell>
          <cell r="O10088">
            <v>12.60761478</v>
          </cell>
          <cell r="T10088">
            <v>6.6066928329999994</v>
          </cell>
        </row>
        <row r="10089">
          <cell r="A10089" t="str">
            <v>JMA WIRELESS</v>
          </cell>
          <cell r="B10089" t="str">
            <v>X7CQAP-FRO-645-VR0</v>
          </cell>
          <cell r="O10089">
            <v>11.703450999999991</v>
          </cell>
          <cell r="T10089">
            <v>6.2949548279999998</v>
          </cell>
        </row>
        <row r="10090">
          <cell r="A10090" t="str">
            <v>JMA WIRELESS</v>
          </cell>
          <cell r="B10090" t="str">
            <v>X7CQAP-FRO-645-VR4</v>
          </cell>
          <cell r="O10090">
            <v>12.60761478</v>
          </cell>
          <cell r="T10090">
            <v>6.6066928329999994</v>
          </cell>
        </row>
        <row r="10091">
          <cell r="A10091" t="str">
            <v>JMA WIRELESS</v>
          </cell>
          <cell r="B10091" t="str">
            <v>X7CQAP-FRO-660-VR0</v>
          </cell>
          <cell r="O10091">
            <v>12.785325038580201</v>
          </cell>
          <cell r="T10091">
            <v>4.7996712862594499</v>
          </cell>
        </row>
        <row r="10092">
          <cell r="A10092" t="str">
            <v>JMA WIRELESS</v>
          </cell>
          <cell r="B10092" t="str">
            <v>X7CQAP-FRO-660-VR4</v>
          </cell>
          <cell r="O10092">
            <v>11.703450999999991</v>
          </cell>
          <cell r="T10092">
            <v>6.2949548279999998</v>
          </cell>
        </row>
        <row r="10093">
          <cell r="A10093" t="str">
            <v>JMA WIRELESS</v>
          </cell>
          <cell r="B10093" t="str">
            <v>X7CQAP-FRO-833-V</v>
          </cell>
          <cell r="O10093">
            <v>21.847805748456796</v>
          </cell>
          <cell r="T10093">
            <v>8.299868855450141</v>
          </cell>
        </row>
        <row r="10094">
          <cell r="A10094" t="str">
            <v>JMA WIRELESS</v>
          </cell>
          <cell r="B10094" t="str">
            <v>X7CQAP-FRO-845-V</v>
          </cell>
          <cell r="O10094">
            <v>17.359905479999988</v>
          </cell>
          <cell r="T10094">
            <v>9.1081260370000017</v>
          </cell>
        </row>
        <row r="10095">
          <cell r="A10095" t="str">
            <v>JMA WIRELESS</v>
          </cell>
          <cell r="B10095" t="str">
            <v>X7CQAP-FRO-845-VR0</v>
          </cell>
          <cell r="O10095">
            <v>17.359905479999988</v>
          </cell>
          <cell r="T10095">
            <v>9.1081260370000017</v>
          </cell>
        </row>
        <row r="10096">
          <cell r="A10096" t="str">
            <v>JMA WIRELESS</v>
          </cell>
          <cell r="B10096" t="str">
            <v>X7CQAP-FRO-845-VR4</v>
          </cell>
          <cell r="O10096">
            <v>17.359905479999988</v>
          </cell>
          <cell r="T10096">
            <v>9.1081260370000017</v>
          </cell>
        </row>
        <row r="10097">
          <cell r="A10097" t="str">
            <v>JMA WIRELESS</v>
          </cell>
          <cell r="B10097" t="str">
            <v>X7CQAP-FRO-860-V</v>
          </cell>
          <cell r="O10097">
            <v>16.019121329999997</v>
          </cell>
          <cell r="T10097">
            <v>8.632390483</v>
          </cell>
        </row>
        <row r="10098">
          <cell r="A10098" t="str">
            <v>JMA WIRELESS</v>
          </cell>
          <cell r="B10098" t="str">
            <v>X7CQAP-FRO-860-VR0</v>
          </cell>
          <cell r="O10098">
            <v>16.019121329999997</v>
          </cell>
          <cell r="T10098">
            <v>8.632390483</v>
          </cell>
        </row>
        <row r="10099">
          <cell r="A10099" t="str">
            <v>JMA WIRELESS</v>
          </cell>
          <cell r="B10099" t="str">
            <v>X7CQAP-FRO-860-VR4</v>
          </cell>
          <cell r="O10099">
            <v>16.019121329999997</v>
          </cell>
          <cell r="T10099">
            <v>8.632390483</v>
          </cell>
        </row>
        <row r="10100">
          <cell r="A10100" t="str">
            <v>JMA WIRELESS</v>
          </cell>
          <cell r="B10100" t="str">
            <v>XAP-680-VR0</v>
          </cell>
          <cell r="O10100">
            <v>3.3381838348765402</v>
          </cell>
          <cell r="T10100">
            <v>2.457349977377</v>
          </cell>
        </row>
        <row r="10101">
          <cell r="A10101" t="str">
            <v>JMA WIRELESS</v>
          </cell>
          <cell r="B10101" t="str">
            <v>XAP-FRO-440-V</v>
          </cell>
          <cell r="O10101">
            <v>5.0398259639999994</v>
          </cell>
          <cell r="T10101">
            <v>2.8222910539999999</v>
          </cell>
        </row>
        <row r="10102">
          <cell r="A10102" t="str">
            <v>JMA WIRELESS</v>
          </cell>
          <cell r="B10102" t="str">
            <v>XAP-FRO-460-V</v>
          </cell>
          <cell r="O10102">
            <v>2.2618484760000004</v>
          </cell>
          <cell r="T10102">
            <v>1.4978773569999999</v>
          </cell>
        </row>
        <row r="10103">
          <cell r="A10103" t="str">
            <v>JMA WIRELESS</v>
          </cell>
          <cell r="B10103" t="str">
            <v>XAP-FRO-633-V</v>
          </cell>
          <cell r="O10103">
            <v>7.474735817</v>
          </cell>
          <cell r="T10103">
            <v>4.1927423639999999</v>
          </cell>
        </row>
        <row r="10104">
          <cell r="A10104" t="str">
            <v>JMA WIRELESS</v>
          </cell>
          <cell r="B10104" t="str">
            <v>XAP-FRO-640-VR0</v>
          </cell>
          <cell r="O10104">
            <v>7.3725762579999996</v>
          </cell>
          <cell r="T10104">
            <v>4.2485643309999999</v>
          </cell>
        </row>
        <row r="10105">
          <cell r="A10105" t="str">
            <v>JMA WIRELESS</v>
          </cell>
          <cell r="B10105" t="str">
            <v>XAP-FRO-660-V</v>
          </cell>
          <cell r="O10105">
            <v>4.2442422866885998</v>
          </cell>
          <cell r="T10105">
            <v>2.6364200200565198</v>
          </cell>
        </row>
        <row r="10106">
          <cell r="A10106" t="str">
            <v>JMA WIRELESS</v>
          </cell>
          <cell r="B10106" t="str">
            <v>XAP-FRO-660-VR4</v>
          </cell>
          <cell r="O10106">
            <v>4.2442422866885998</v>
          </cell>
          <cell r="T10106">
            <v>2.6364200200565198</v>
          </cell>
        </row>
        <row r="10107">
          <cell r="A10107" t="str">
            <v>JMA WIRELESS</v>
          </cell>
          <cell r="B10107" t="str">
            <v>XBCAA00F660</v>
          </cell>
          <cell r="O10107">
            <v>6.2413822018311196</v>
          </cell>
          <cell r="T10107">
            <v>4.2810038574696101</v>
          </cell>
        </row>
        <row r="10108">
          <cell r="A10108" t="str">
            <v>JMA WIRELESS</v>
          </cell>
          <cell r="B10108" t="str">
            <v>XBCAA00F860</v>
          </cell>
          <cell r="O10108"/>
          <cell r="T10108"/>
        </row>
        <row r="10109">
          <cell r="A10109" t="str">
            <v>JMA WIRELESS</v>
          </cell>
          <cell r="B10109" t="str">
            <v>XEW-165</v>
          </cell>
          <cell r="O10109">
            <v>1.2542637620314299</v>
          </cell>
          <cell r="T10109">
            <v>0.52663502701633502</v>
          </cell>
        </row>
        <row r="10110">
          <cell r="A10110" t="str">
            <v>JMA WIRELESS</v>
          </cell>
          <cell r="B10110" t="str">
            <v>XGU-465</v>
          </cell>
          <cell r="O10110">
            <v>6.5501841715852995</v>
          </cell>
          <cell r="T10110">
            <v>3.6368919800849699</v>
          </cell>
        </row>
        <row r="10111">
          <cell r="A10111" t="str">
            <v>JMA WIRELESS</v>
          </cell>
          <cell r="B10111" t="str">
            <v>XGU-FRO-128</v>
          </cell>
          <cell r="O10111">
            <v>3.8434302443984398</v>
          </cell>
          <cell r="T10111">
            <v>1.0740542131412498</v>
          </cell>
        </row>
        <row r="10112">
          <cell r="A10112" t="str">
            <v>JMA WIRELESS</v>
          </cell>
          <cell r="B10112" t="str">
            <v>XGU-FRO-230</v>
          </cell>
          <cell r="O10112"/>
          <cell r="T10112"/>
        </row>
        <row r="10113">
          <cell r="A10113" t="str">
            <v>JOHN DEERE</v>
          </cell>
          <cell r="B10113" t="str">
            <v>PF81464</v>
          </cell>
          <cell r="O10113"/>
          <cell r="T10113"/>
        </row>
        <row r="10114">
          <cell r="A10114" t="str">
            <v>KAELUS</v>
          </cell>
          <cell r="B10114" t="str">
            <v>P4GDLU01</v>
          </cell>
          <cell r="O10114"/>
          <cell r="T10114"/>
        </row>
        <row r="10115">
          <cell r="A10115" t="str">
            <v>KAELUS</v>
          </cell>
          <cell r="B10115" t="str">
            <v>P6RQLU01_20250505_TMO</v>
          </cell>
          <cell r="O10115"/>
          <cell r="T10115"/>
        </row>
        <row r="10116">
          <cell r="A10116" t="str">
            <v>KAELUS</v>
          </cell>
          <cell r="B10116" t="str">
            <v>TME-DBC0037F1V2-1</v>
          </cell>
          <cell r="O10116"/>
          <cell r="T10116"/>
        </row>
        <row r="10117">
          <cell r="A10117" t="str">
            <v>KAELUS</v>
          </cell>
          <cell r="B10117" t="str">
            <v>TME-DBC0055F1V51-2</v>
          </cell>
          <cell r="O10117"/>
          <cell r="T10117"/>
        </row>
        <row r="10118">
          <cell r="A10118" t="str">
            <v>KAELUS</v>
          </cell>
          <cell r="B10118" t="str">
            <v>TME-TMA2044F1V1-1</v>
          </cell>
          <cell r="O10118"/>
          <cell r="T10118"/>
        </row>
        <row r="10119">
          <cell r="A10119" t="str">
            <v>KAELUS</v>
          </cell>
          <cell r="B10119" t="str">
            <v>TME-TMA2093F00V1-1</v>
          </cell>
          <cell r="O10119"/>
          <cell r="T10119"/>
        </row>
        <row r="10120">
          <cell r="A10120" t="str">
            <v>KATHREIN</v>
          </cell>
          <cell r="B10120" t="str">
            <v>240 216</v>
          </cell>
          <cell r="O10120"/>
          <cell r="T10120"/>
        </row>
        <row r="10121">
          <cell r="A10121" t="str">
            <v>KATHREIN</v>
          </cell>
          <cell r="B10121" t="str">
            <v>2CA5-FM/CP/RM</v>
          </cell>
          <cell r="O10121"/>
          <cell r="T10121"/>
        </row>
        <row r="10122">
          <cell r="A10122" t="str">
            <v>KATHREIN</v>
          </cell>
          <cell r="B10122" t="str">
            <v>4DR-16S</v>
          </cell>
          <cell r="O10122"/>
          <cell r="T10122"/>
        </row>
        <row r="10123">
          <cell r="A10123" t="str">
            <v>KATHREIN</v>
          </cell>
          <cell r="B10123" t="str">
            <v>4DR-4-2HW</v>
          </cell>
          <cell r="O10123"/>
          <cell r="T10123"/>
        </row>
        <row r="10124">
          <cell r="A10124" t="str">
            <v>KATHREIN</v>
          </cell>
          <cell r="B10124" t="str">
            <v>4DR-4S</v>
          </cell>
          <cell r="O10124"/>
          <cell r="T10124"/>
        </row>
        <row r="10125">
          <cell r="A10125" t="str">
            <v>KATHREIN</v>
          </cell>
          <cell r="B10125" t="str">
            <v>4DR-8-2HW</v>
          </cell>
          <cell r="O10125"/>
          <cell r="T10125"/>
        </row>
        <row r="10126">
          <cell r="A10126" t="str">
            <v>KATHREIN</v>
          </cell>
          <cell r="B10126" t="str">
            <v>4DR-8-2HW/560-656 MHZ</v>
          </cell>
          <cell r="O10126"/>
          <cell r="T10126"/>
        </row>
        <row r="10127">
          <cell r="A10127" t="str">
            <v>KATHREIN</v>
          </cell>
          <cell r="B10127" t="str">
            <v>4DR-8S</v>
          </cell>
          <cell r="O10127"/>
          <cell r="T10127"/>
        </row>
        <row r="10128">
          <cell r="A10128" t="str">
            <v>KATHREIN</v>
          </cell>
          <cell r="B10128" t="str">
            <v>4DR-8S_656-862MHZ</v>
          </cell>
          <cell r="O10128"/>
          <cell r="T10128"/>
        </row>
        <row r="10129">
          <cell r="A10129" t="str">
            <v>KATHREIN</v>
          </cell>
          <cell r="B10129" t="str">
            <v>4HDB-155</v>
          </cell>
          <cell r="O10129"/>
          <cell r="T10129"/>
        </row>
        <row r="10130">
          <cell r="A10130" t="str">
            <v>KATHREIN</v>
          </cell>
          <cell r="B10130" t="str">
            <v>720 842</v>
          </cell>
          <cell r="O10130"/>
          <cell r="T10130"/>
        </row>
        <row r="10131">
          <cell r="A10131" t="str">
            <v>KATHREIN</v>
          </cell>
          <cell r="B10131" t="str">
            <v>720 880</v>
          </cell>
          <cell r="O10131"/>
          <cell r="T10131"/>
        </row>
        <row r="10132">
          <cell r="A10132" t="str">
            <v>KATHREIN</v>
          </cell>
          <cell r="B10132" t="str">
            <v>721 387</v>
          </cell>
          <cell r="O10132"/>
          <cell r="T10132"/>
        </row>
        <row r="10133">
          <cell r="A10133" t="str">
            <v>KATHREIN</v>
          </cell>
          <cell r="B10133" t="str">
            <v>721 388</v>
          </cell>
          <cell r="O10133"/>
          <cell r="T10133"/>
        </row>
        <row r="10134">
          <cell r="A10134" t="str">
            <v>KATHREIN</v>
          </cell>
          <cell r="B10134" t="str">
            <v>730 372</v>
          </cell>
          <cell r="O10134">
            <v>4.7646355234511102</v>
          </cell>
          <cell r="T10134">
            <v>1.9848271041971899</v>
          </cell>
        </row>
        <row r="10135">
          <cell r="A10135" t="str">
            <v>KATHREIN</v>
          </cell>
          <cell r="B10135" t="str">
            <v>730 685</v>
          </cell>
          <cell r="O10135"/>
          <cell r="T10135"/>
        </row>
        <row r="10136">
          <cell r="A10136" t="str">
            <v>KATHREIN</v>
          </cell>
          <cell r="B10136" t="str">
            <v>731 291</v>
          </cell>
          <cell r="O10136"/>
          <cell r="T10136"/>
        </row>
        <row r="10137">
          <cell r="A10137" t="str">
            <v>KATHREIN</v>
          </cell>
          <cell r="B10137" t="str">
            <v>734 314</v>
          </cell>
          <cell r="O10137">
            <v>2.8895363481064895</v>
          </cell>
          <cell r="T10137">
            <v>0.66058014224032802</v>
          </cell>
        </row>
        <row r="10138">
          <cell r="A10138" t="str">
            <v>KATHREIN</v>
          </cell>
          <cell r="B10138" t="str">
            <v>736 350</v>
          </cell>
          <cell r="O10138"/>
          <cell r="T10138"/>
        </row>
        <row r="10139">
          <cell r="A10139" t="str">
            <v>KATHREIN</v>
          </cell>
          <cell r="B10139" t="str">
            <v>736 436</v>
          </cell>
          <cell r="O10139">
            <v>3.5769987336194098</v>
          </cell>
          <cell r="T10139">
            <v>1.3181621904443899</v>
          </cell>
        </row>
        <row r="10140">
          <cell r="A10140" t="str">
            <v>KATHREIN</v>
          </cell>
          <cell r="B10140" t="str">
            <v>736347</v>
          </cell>
          <cell r="O10140"/>
          <cell r="T10140"/>
        </row>
        <row r="10141">
          <cell r="A10141" t="str">
            <v>KATHREIN</v>
          </cell>
          <cell r="B10141" t="str">
            <v>737 914</v>
          </cell>
          <cell r="O10141"/>
          <cell r="T10141"/>
        </row>
        <row r="10142">
          <cell r="A10142" t="str">
            <v>KATHREIN</v>
          </cell>
          <cell r="B10142" t="str">
            <v>738 449</v>
          </cell>
          <cell r="O10142"/>
          <cell r="T10142"/>
        </row>
        <row r="10143">
          <cell r="A10143" t="str">
            <v>KATHREIN</v>
          </cell>
          <cell r="B10143" t="str">
            <v>738 799</v>
          </cell>
          <cell r="O10143"/>
          <cell r="T10143"/>
        </row>
        <row r="10144">
          <cell r="A10144" t="str">
            <v>KATHREIN</v>
          </cell>
          <cell r="B10144" t="str">
            <v>738-454</v>
          </cell>
          <cell r="O10144"/>
          <cell r="T10144"/>
        </row>
        <row r="10145">
          <cell r="A10145" t="str">
            <v>KATHREIN</v>
          </cell>
          <cell r="B10145" t="str">
            <v>739 134</v>
          </cell>
          <cell r="O10145"/>
          <cell r="T10145"/>
        </row>
        <row r="10146">
          <cell r="A10146" t="str">
            <v>KATHREIN</v>
          </cell>
          <cell r="B10146" t="str">
            <v>739 136</v>
          </cell>
          <cell r="O10146"/>
          <cell r="T10146"/>
        </row>
        <row r="10147">
          <cell r="A10147" t="str">
            <v>KATHREIN</v>
          </cell>
          <cell r="B10147" t="str">
            <v>739 495</v>
          </cell>
          <cell r="O10147"/>
          <cell r="T10147"/>
        </row>
        <row r="10148">
          <cell r="A10148" t="str">
            <v>KATHREIN</v>
          </cell>
          <cell r="B10148" t="str">
            <v>739 496</v>
          </cell>
          <cell r="O10148"/>
          <cell r="T10148"/>
        </row>
        <row r="10149">
          <cell r="A10149" t="str">
            <v>KATHREIN</v>
          </cell>
          <cell r="B10149" t="str">
            <v>739 623</v>
          </cell>
          <cell r="O10149"/>
          <cell r="T10149"/>
        </row>
        <row r="10150">
          <cell r="A10150" t="str">
            <v>KATHREIN</v>
          </cell>
          <cell r="B10150" t="str">
            <v>739 624</v>
          </cell>
          <cell r="O10150"/>
          <cell r="T10150"/>
        </row>
        <row r="10151">
          <cell r="A10151" t="str">
            <v>KATHREIN</v>
          </cell>
          <cell r="B10151" t="str">
            <v>739 649</v>
          </cell>
          <cell r="O10151"/>
          <cell r="T10151"/>
        </row>
        <row r="10152">
          <cell r="A10152" t="str">
            <v>KATHREIN</v>
          </cell>
          <cell r="B10152" t="str">
            <v>739 660</v>
          </cell>
          <cell r="O10152"/>
          <cell r="T10152"/>
        </row>
        <row r="10153">
          <cell r="A10153" t="str">
            <v>KATHREIN</v>
          </cell>
          <cell r="B10153" t="str">
            <v>739 662</v>
          </cell>
          <cell r="O10153"/>
          <cell r="T10153"/>
        </row>
        <row r="10154">
          <cell r="A10154" t="str">
            <v>KATHREIN</v>
          </cell>
          <cell r="B10154" t="str">
            <v>739 665</v>
          </cell>
          <cell r="O10154">
            <v>5.7571228779999997</v>
          </cell>
          <cell r="T10154">
            <v>2.5703084409999999</v>
          </cell>
        </row>
        <row r="10155">
          <cell r="A10155" t="str">
            <v>KATHREIN</v>
          </cell>
          <cell r="B10155" t="str">
            <v>739 684</v>
          </cell>
          <cell r="O10155"/>
          <cell r="T10155"/>
        </row>
        <row r="10156">
          <cell r="A10156" t="str">
            <v>KATHREIN</v>
          </cell>
          <cell r="B10156" t="str">
            <v>739 686</v>
          </cell>
          <cell r="O10156">
            <v>7.4242573302469097</v>
          </cell>
          <cell r="T10156">
            <v>3.3223997658079902</v>
          </cell>
        </row>
        <row r="10157">
          <cell r="A10157" t="str">
            <v>KATHREIN</v>
          </cell>
          <cell r="B10157" t="str">
            <v>739 695</v>
          </cell>
          <cell r="O10157"/>
          <cell r="T10157"/>
        </row>
        <row r="10158">
          <cell r="A10158" t="str">
            <v>KATHREIN</v>
          </cell>
          <cell r="B10158" t="str">
            <v>739-648</v>
          </cell>
          <cell r="O10158">
            <v>3.706585166</v>
          </cell>
          <cell r="T10158">
            <v>1.6541145339999999</v>
          </cell>
        </row>
        <row r="10159">
          <cell r="A10159" t="str">
            <v>KATHREIN</v>
          </cell>
          <cell r="B10159" t="str">
            <v>739-664</v>
          </cell>
          <cell r="O10159">
            <v>3.706585166</v>
          </cell>
          <cell r="T10159">
            <v>1.6541145339999999</v>
          </cell>
        </row>
        <row r="10160">
          <cell r="A10160" t="str">
            <v>KATHREIN</v>
          </cell>
          <cell r="B10160" t="str">
            <v>739-684</v>
          </cell>
          <cell r="O10160">
            <v>3.706585166</v>
          </cell>
          <cell r="T10160">
            <v>1.6541145339999999</v>
          </cell>
        </row>
        <row r="10161">
          <cell r="A10161" t="str">
            <v>KATHREIN</v>
          </cell>
          <cell r="B10161" t="str">
            <v>739-685</v>
          </cell>
          <cell r="O10161">
            <v>5.7488474149999993</v>
          </cell>
          <cell r="T10161">
            <v>2.5662489069999999</v>
          </cell>
        </row>
        <row r="10162">
          <cell r="A10162" t="str">
            <v>KATHREIN</v>
          </cell>
          <cell r="B10162" t="str">
            <v>740 217</v>
          </cell>
          <cell r="O10162"/>
          <cell r="T10162"/>
        </row>
        <row r="10163">
          <cell r="A10163" t="str">
            <v>KATHREIN</v>
          </cell>
          <cell r="B10163" t="str">
            <v>740-028</v>
          </cell>
          <cell r="O10163"/>
          <cell r="T10163"/>
        </row>
        <row r="10164">
          <cell r="A10164" t="str">
            <v>KATHREIN</v>
          </cell>
          <cell r="B10164" t="str">
            <v>740-198</v>
          </cell>
          <cell r="O10164"/>
          <cell r="T10164"/>
        </row>
        <row r="10165">
          <cell r="A10165" t="str">
            <v>KATHREIN</v>
          </cell>
          <cell r="B10165" t="str">
            <v>740-198RFL5/8</v>
          </cell>
          <cell r="O10165"/>
          <cell r="T10165"/>
        </row>
        <row r="10166">
          <cell r="A10166" t="str">
            <v>KATHREIN</v>
          </cell>
          <cell r="B10166" t="str">
            <v>740.195</v>
          </cell>
          <cell r="O10166"/>
          <cell r="T10166"/>
        </row>
        <row r="10167">
          <cell r="A10167" t="str">
            <v>KATHREIN</v>
          </cell>
          <cell r="B10167" t="str">
            <v>740189</v>
          </cell>
          <cell r="O10167"/>
          <cell r="T10167"/>
        </row>
        <row r="10168">
          <cell r="A10168" t="str">
            <v>KATHREIN</v>
          </cell>
          <cell r="B10168" t="str">
            <v>740198</v>
          </cell>
          <cell r="O10168"/>
          <cell r="T10168"/>
        </row>
        <row r="10169">
          <cell r="A10169" t="str">
            <v>KATHREIN</v>
          </cell>
          <cell r="B10169" t="str">
            <v>741 794</v>
          </cell>
          <cell r="O10169"/>
          <cell r="T10169"/>
        </row>
        <row r="10170">
          <cell r="A10170" t="str">
            <v>KATHREIN</v>
          </cell>
          <cell r="B10170" t="str">
            <v>741 988</v>
          </cell>
          <cell r="O10170">
            <v>1.3104692834293099</v>
          </cell>
          <cell r="T10170">
            <v>0.578028376104193</v>
          </cell>
        </row>
        <row r="10171">
          <cell r="A10171" t="str">
            <v>KATHREIN</v>
          </cell>
          <cell r="B10171" t="str">
            <v>741 989</v>
          </cell>
          <cell r="O10171">
            <v>2.33</v>
          </cell>
          <cell r="T10171">
            <v>1.04</v>
          </cell>
        </row>
        <row r="10172">
          <cell r="A10172" t="str">
            <v>KATHREIN</v>
          </cell>
          <cell r="B10172" t="str">
            <v>741 990</v>
          </cell>
          <cell r="O10172">
            <v>2.79</v>
          </cell>
          <cell r="T10172">
            <v>1.24</v>
          </cell>
        </row>
        <row r="10173">
          <cell r="A10173" t="str">
            <v>KATHREIN</v>
          </cell>
          <cell r="B10173" t="str">
            <v>741 990V01</v>
          </cell>
          <cell r="O10173">
            <v>2.79</v>
          </cell>
          <cell r="T10173">
            <v>1.24</v>
          </cell>
        </row>
        <row r="10174">
          <cell r="A10174" t="str">
            <v>KATHREIN</v>
          </cell>
          <cell r="B10174" t="str">
            <v>741-987</v>
          </cell>
          <cell r="O10174">
            <v>2.7241545460000003</v>
          </cell>
          <cell r="T10174">
            <v>1.2036540149999999</v>
          </cell>
        </row>
        <row r="10175">
          <cell r="A10175" t="str">
            <v>KATHREIN</v>
          </cell>
          <cell r="B10175" t="str">
            <v>742 210V01</v>
          </cell>
          <cell r="O10175">
            <v>0.32917244872436102</v>
          </cell>
          <cell r="T10175">
            <v>0.145377555294158</v>
          </cell>
        </row>
        <row r="10176">
          <cell r="A10176" t="str">
            <v>KATHREIN</v>
          </cell>
          <cell r="B10176" t="str">
            <v>742 211</v>
          </cell>
          <cell r="O10176">
            <v>1.3104692834293099</v>
          </cell>
          <cell r="T10176">
            <v>0.578028376104193</v>
          </cell>
        </row>
        <row r="10177">
          <cell r="A10177" t="str">
            <v>KATHREIN</v>
          </cell>
          <cell r="B10177" t="str">
            <v>742 212</v>
          </cell>
          <cell r="O10177"/>
          <cell r="T10177"/>
        </row>
        <row r="10178">
          <cell r="A10178" t="str">
            <v>KATHREIN</v>
          </cell>
          <cell r="B10178" t="str">
            <v>742 213</v>
          </cell>
          <cell r="O10178">
            <v>3.57</v>
          </cell>
          <cell r="T10178">
            <v>1.5999999999999999</v>
          </cell>
        </row>
        <row r="10179">
          <cell r="A10179" t="str">
            <v>KATHREIN</v>
          </cell>
          <cell r="B10179" t="str">
            <v>742 215</v>
          </cell>
          <cell r="O10179">
            <v>2.35</v>
          </cell>
          <cell r="T10179">
            <v>1.05</v>
          </cell>
        </row>
        <row r="10180">
          <cell r="A10180" t="str">
            <v>KATHREIN</v>
          </cell>
          <cell r="B10180" t="str">
            <v>742 218</v>
          </cell>
          <cell r="O10180">
            <v>3.530694591</v>
          </cell>
          <cell r="T10180">
            <v>1.219212838</v>
          </cell>
        </row>
        <row r="10181">
          <cell r="A10181" t="str">
            <v>KATHREIN</v>
          </cell>
          <cell r="B10181" t="str">
            <v>742 219</v>
          </cell>
          <cell r="O10181"/>
          <cell r="T10181"/>
        </row>
        <row r="10182">
          <cell r="A10182" t="str">
            <v>KATHREIN</v>
          </cell>
          <cell r="B10182" t="str">
            <v>742 222</v>
          </cell>
          <cell r="O10182">
            <v>1.7754846643518498</v>
          </cell>
          <cell r="T10182">
            <v>0.94606363364973001</v>
          </cell>
        </row>
        <row r="10183">
          <cell r="A10183" t="str">
            <v>KATHREIN</v>
          </cell>
          <cell r="B10183" t="str">
            <v>742 223</v>
          </cell>
          <cell r="O10183">
            <v>3.78644868827161</v>
          </cell>
          <cell r="T10183">
            <v>2.0225221593169</v>
          </cell>
        </row>
        <row r="10184">
          <cell r="A10184" t="str">
            <v>KATHREIN</v>
          </cell>
          <cell r="B10184" t="str">
            <v>742 226</v>
          </cell>
          <cell r="O10184">
            <v>1.7754846643518498</v>
          </cell>
          <cell r="T10184">
            <v>0.94606363364973001</v>
          </cell>
        </row>
        <row r="10185">
          <cell r="A10185" t="str">
            <v>KATHREIN</v>
          </cell>
          <cell r="B10185" t="str">
            <v>742 234</v>
          </cell>
          <cell r="O10185"/>
          <cell r="T10185"/>
        </row>
        <row r="10186">
          <cell r="A10186" t="str">
            <v>KATHREIN</v>
          </cell>
          <cell r="B10186" t="str">
            <v>742 235</v>
          </cell>
          <cell r="O10186">
            <v>8.8151671399999998</v>
          </cell>
          <cell r="T10186">
            <v>2.1477651789999999</v>
          </cell>
        </row>
        <row r="10187">
          <cell r="A10187" t="str">
            <v>KATHREIN</v>
          </cell>
          <cell r="B10187" t="str">
            <v>742 235V01</v>
          </cell>
          <cell r="O10187">
            <v>8.8151671399999998</v>
          </cell>
          <cell r="T10187">
            <v>2.1477651789999999</v>
          </cell>
        </row>
        <row r="10188">
          <cell r="A10188" t="str">
            <v>KATHREIN</v>
          </cell>
          <cell r="B10188" t="str">
            <v>742 236</v>
          </cell>
          <cell r="O10188">
            <v>5.8235918209999991</v>
          </cell>
          <cell r="T10188">
            <v>1.2945855499999999</v>
          </cell>
        </row>
        <row r="10189">
          <cell r="A10189" t="str">
            <v>KATHREIN</v>
          </cell>
          <cell r="B10189" t="str">
            <v>742 236V01</v>
          </cell>
          <cell r="O10189">
            <v>5.8235918209999991</v>
          </cell>
          <cell r="T10189">
            <v>1.2945855499999999</v>
          </cell>
        </row>
        <row r="10190">
          <cell r="A10190" t="str">
            <v>KATHREIN</v>
          </cell>
          <cell r="B10190" t="str">
            <v>742 237</v>
          </cell>
          <cell r="O10190">
            <v>5.2730263642007698</v>
          </cell>
          <cell r="T10190">
            <v>1.1621184360067001</v>
          </cell>
        </row>
        <row r="10191">
          <cell r="A10191" t="str">
            <v>KATHREIN</v>
          </cell>
          <cell r="B10191" t="str">
            <v>742 241</v>
          </cell>
          <cell r="O10191"/>
          <cell r="T10191"/>
        </row>
        <row r="10192">
          <cell r="A10192" t="str">
            <v>KATHREIN</v>
          </cell>
          <cell r="B10192" t="str">
            <v>742 264</v>
          </cell>
          <cell r="O10192">
            <v>4.1582397760000003</v>
          </cell>
          <cell r="T10192">
            <v>2.2216759609999999</v>
          </cell>
        </row>
        <row r="10193">
          <cell r="A10193" t="str">
            <v>KATHREIN</v>
          </cell>
          <cell r="B10193" t="str">
            <v>742 264V02</v>
          </cell>
          <cell r="O10193">
            <v>2.60284263761163</v>
          </cell>
          <cell r="T10193">
            <v>1.4413602044490699</v>
          </cell>
        </row>
        <row r="10194">
          <cell r="A10194" t="str">
            <v>KATHREIN</v>
          </cell>
          <cell r="B10194" t="str">
            <v>742 265</v>
          </cell>
          <cell r="O10194">
            <v>6.1477141199999998</v>
          </cell>
          <cell r="T10194">
            <v>3.2850933560000004</v>
          </cell>
        </row>
        <row r="10195">
          <cell r="A10195" t="str">
            <v>KATHREIN</v>
          </cell>
          <cell r="B10195" t="str">
            <v>742 265V01</v>
          </cell>
          <cell r="O10195"/>
          <cell r="T10195"/>
        </row>
        <row r="10196">
          <cell r="A10196" t="str">
            <v>KATHREIN</v>
          </cell>
          <cell r="B10196" t="str">
            <v>742 266V01</v>
          </cell>
          <cell r="O10196">
            <v>6.3521074459999989</v>
          </cell>
          <cell r="T10196">
            <v>3.6671958660000001</v>
          </cell>
        </row>
        <row r="10197">
          <cell r="A10197" t="str">
            <v>KATHREIN</v>
          </cell>
          <cell r="B10197" t="str">
            <v>742 266V02</v>
          </cell>
          <cell r="O10197">
            <v>5.6925090999999988</v>
          </cell>
          <cell r="T10197">
            <v>3.0421744549999996</v>
          </cell>
        </row>
        <row r="10198">
          <cell r="A10198" t="str">
            <v>KATHREIN</v>
          </cell>
          <cell r="B10198" t="str">
            <v>742 351</v>
          </cell>
          <cell r="O10198">
            <v>5.2622146890000003</v>
          </cell>
          <cell r="T10198">
            <v>1.203573875</v>
          </cell>
        </row>
        <row r="10199">
          <cell r="A10199" t="str">
            <v>KATHREIN</v>
          </cell>
          <cell r="B10199" t="str">
            <v>742 352</v>
          </cell>
          <cell r="O10199">
            <v>5.8235918209999991</v>
          </cell>
          <cell r="T10199">
            <v>1.2945855499999999</v>
          </cell>
        </row>
        <row r="10200">
          <cell r="A10200" t="str">
            <v>KATHREIN</v>
          </cell>
          <cell r="B10200" t="str">
            <v>742 352V01</v>
          </cell>
          <cell r="O10200">
            <v>5.8235918209999991</v>
          </cell>
          <cell r="T10200">
            <v>1.2945855499999999</v>
          </cell>
        </row>
        <row r="10201">
          <cell r="A10201" t="str">
            <v>KATHREIN</v>
          </cell>
          <cell r="B10201" t="str">
            <v>742 445</v>
          </cell>
          <cell r="O10201">
            <v>2.7241545460000003</v>
          </cell>
          <cell r="T10201">
            <v>1.2036540149999999</v>
          </cell>
        </row>
        <row r="10202">
          <cell r="A10202" t="str">
            <v>KATHREIN</v>
          </cell>
          <cell r="B10202" t="str">
            <v>742-211</v>
          </cell>
          <cell r="O10202">
            <v>1.3104692834293099</v>
          </cell>
          <cell r="T10202">
            <v>0.578028376104193</v>
          </cell>
        </row>
        <row r="10203">
          <cell r="A10203" t="str">
            <v>KATHREIN</v>
          </cell>
          <cell r="B10203" t="str">
            <v>742-215</v>
          </cell>
          <cell r="O10203">
            <v>2.35</v>
          </cell>
          <cell r="T10203">
            <v>1.05</v>
          </cell>
        </row>
        <row r="10204">
          <cell r="A10204" t="str">
            <v>KATHREIN</v>
          </cell>
          <cell r="B10204" t="str">
            <v>742-226</v>
          </cell>
          <cell r="O10204">
            <v>1.7754846643518498</v>
          </cell>
          <cell r="T10204">
            <v>0.94606363364973001</v>
          </cell>
        </row>
        <row r="10205">
          <cell r="A10205" t="str">
            <v>KATHREIN</v>
          </cell>
          <cell r="B10205" t="str">
            <v>742-233</v>
          </cell>
          <cell r="O10205"/>
          <cell r="T10205"/>
        </row>
        <row r="10206">
          <cell r="A10206" t="str">
            <v>KATHREIN</v>
          </cell>
          <cell r="B10206" t="str">
            <v>742-235</v>
          </cell>
          <cell r="O10206">
            <v>8.8151671399999998</v>
          </cell>
          <cell r="T10206">
            <v>2.1477651789999999</v>
          </cell>
        </row>
        <row r="10207">
          <cell r="A10207" t="str">
            <v>KATHREIN</v>
          </cell>
          <cell r="B10207" t="str">
            <v>742-264</v>
          </cell>
          <cell r="O10207">
            <v>4.1582397760000003</v>
          </cell>
          <cell r="T10207">
            <v>2.2216759609999999</v>
          </cell>
        </row>
        <row r="10208">
          <cell r="A10208" t="str">
            <v>KATHREIN</v>
          </cell>
          <cell r="B10208" t="str">
            <v>742-265</v>
          </cell>
          <cell r="O10208">
            <v>6.1477141199999998</v>
          </cell>
          <cell r="T10208">
            <v>3.2850933560000004</v>
          </cell>
        </row>
        <row r="10209">
          <cell r="A10209" t="str">
            <v>KATHREIN</v>
          </cell>
          <cell r="B10209" t="str">
            <v>742-266</v>
          </cell>
          <cell r="O10209">
            <v>5.6677829209999997</v>
          </cell>
          <cell r="T10209">
            <v>3.0275411719999998</v>
          </cell>
        </row>
        <row r="10210">
          <cell r="A10210" t="str">
            <v>KATHREIN</v>
          </cell>
          <cell r="B10210" t="str">
            <v>742-351</v>
          </cell>
          <cell r="O10210">
            <v>5.2622146890000003</v>
          </cell>
          <cell r="T10210">
            <v>1.203573875</v>
          </cell>
        </row>
        <row r="10211">
          <cell r="A10211" t="str">
            <v>KATHREIN</v>
          </cell>
          <cell r="B10211" t="str">
            <v>742265V02</v>
          </cell>
          <cell r="O10211">
            <v>3.9371947337963</v>
          </cell>
          <cell r="T10211">
            <v>2.1809078675287403</v>
          </cell>
        </row>
        <row r="10212">
          <cell r="A10212" t="str">
            <v>KATHREIN</v>
          </cell>
          <cell r="B10212" t="str">
            <v>746 266V02</v>
          </cell>
          <cell r="O10212"/>
          <cell r="T10212"/>
        </row>
        <row r="10213">
          <cell r="A10213" t="str">
            <v>KATHREIN</v>
          </cell>
          <cell r="B10213" t="str">
            <v>750 10073</v>
          </cell>
          <cell r="O10213"/>
          <cell r="T10213"/>
        </row>
        <row r="10214">
          <cell r="A10214" t="str">
            <v>KATHREIN</v>
          </cell>
          <cell r="B10214" t="str">
            <v>750 10074</v>
          </cell>
          <cell r="O10214"/>
          <cell r="T10214"/>
        </row>
        <row r="10215">
          <cell r="A10215" t="str">
            <v>KATHREIN</v>
          </cell>
          <cell r="B10215" t="str">
            <v>750 10075</v>
          </cell>
          <cell r="O10215"/>
          <cell r="T10215"/>
        </row>
        <row r="10216">
          <cell r="A10216" t="str">
            <v>KATHREIN</v>
          </cell>
          <cell r="B10216" t="str">
            <v>750 10300</v>
          </cell>
          <cell r="O10216">
            <v>8.0022118521056989</v>
          </cell>
          <cell r="T10216">
            <v>2.3779440643599599</v>
          </cell>
        </row>
        <row r="10217">
          <cell r="A10217" t="str">
            <v>KATHREIN</v>
          </cell>
          <cell r="B10217" t="str">
            <v>75010210</v>
          </cell>
          <cell r="O10217"/>
          <cell r="T10217"/>
        </row>
        <row r="10218">
          <cell r="A10218" t="str">
            <v>KATHREIN</v>
          </cell>
          <cell r="B10218" t="str">
            <v>75010272</v>
          </cell>
          <cell r="O10218"/>
          <cell r="T10218"/>
        </row>
        <row r="10219">
          <cell r="A10219" t="str">
            <v>KATHREIN</v>
          </cell>
          <cell r="B10219" t="str">
            <v>754 154</v>
          </cell>
          <cell r="O10219"/>
          <cell r="T10219"/>
        </row>
        <row r="10220">
          <cell r="A10220" t="str">
            <v>KATHREIN</v>
          </cell>
          <cell r="B10220" t="str">
            <v>800 10046</v>
          </cell>
          <cell r="O10220">
            <v>1.3104692834293099</v>
          </cell>
          <cell r="T10220">
            <v>0.578028376104193</v>
          </cell>
        </row>
        <row r="10221">
          <cell r="A10221" t="str">
            <v>KATHREIN</v>
          </cell>
          <cell r="B10221" t="str">
            <v>800 10121</v>
          </cell>
          <cell r="O10221">
            <v>3.738910089</v>
          </cell>
          <cell r="T10221">
            <v>2.1664268</v>
          </cell>
        </row>
        <row r="10222">
          <cell r="A10222" t="str">
            <v>KATHREIN</v>
          </cell>
          <cell r="B10222" t="str">
            <v>800 10122</v>
          </cell>
          <cell r="O10222">
            <v>6.29</v>
          </cell>
          <cell r="T10222">
            <v>3.4899999999999998</v>
          </cell>
        </row>
        <row r="10223">
          <cell r="A10223" t="str">
            <v>KATHREIN</v>
          </cell>
          <cell r="B10223" t="str">
            <v>800 10123</v>
          </cell>
          <cell r="O10223">
            <v>7.22</v>
          </cell>
          <cell r="T10223">
            <v>4.1899999999999995</v>
          </cell>
        </row>
        <row r="10224">
          <cell r="A10224" t="str">
            <v>KATHREIN</v>
          </cell>
          <cell r="B10224" t="str">
            <v>800 10126</v>
          </cell>
          <cell r="O10224"/>
          <cell r="T10224"/>
        </row>
        <row r="10225">
          <cell r="A10225" t="str">
            <v>KATHREIN</v>
          </cell>
          <cell r="B10225" t="str">
            <v>800 10147</v>
          </cell>
          <cell r="O10225"/>
          <cell r="T10225"/>
        </row>
        <row r="10226">
          <cell r="A10226" t="str">
            <v>KATHREIN</v>
          </cell>
          <cell r="B10226" t="str">
            <v>800 10205</v>
          </cell>
          <cell r="O10226"/>
          <cell r="T10226"/>
        </row>
        <row r="10227">
          <cell r="A10227" t="str">
            <v>KATHREIN</v>
          </cell>
          <cell r="B10227" t="str">
            <v>800 10243</v>
          </cell>
          <cell r="O10227"/>
          <cell r="T10227"/>
        </row>
        <row r="10228">
          <cell r="A10228" t="str">
            <v>KATHREIN</v>
          </cell>
          <cell r="B10228" t="str">
            <v>800 10247</v>
          </cell>
          <cell r="O10228"/>
          <cell r="T10228"/>
        </row>
        <row r="10229">
          <cell r="A10229" t="str">
            <v>KATHREIN</v>
          </cell>
          <cell r="B10229" t="str">
            <v>800 10251</v>
          </cell>
          <cell r="O10229">
            <v>4.37705964194258</v>
          </cell>
          <cell r="T10229">
            <v>1.0463560500803097</v>
          </cell>
        </row>
        <row r="10230">
          <cell r="A10230" t="str">
            <v>KATHREIN</v>
          </cell>
          <cell r="B10230" t="str">
            <v>800 10252</v>
          </cell>
          <cell r="O10230"/>
          <cell r="T10230"/>
        </row>
        <row r="10231">
          <cell r="A10231" t="str">
            <v>KATHREIN</v>
          </cell>
          <cell r="B10231" t="str">
            <v>800 10253</v>
          </cell>
          <cell r="O10231"/>
          <cell r="T10231"/>
        </row>
        <row r="10232">
          <cell r="A10232" t="str">
            <v>KATHREIN</v>
          </cell>
          <cell r="B10232" t="str">
            <v>800 10270</v>
          </cell>
          <cell r="O10232"/>
          <cell r="T10232"/>
        </row>
        <row r="10233">
          <cell r="A10233" t="str">
            <v>KATHREIN</v>
          </cell>
          <cell r="B10233" t="str">
            <v>800 10270_CCIV2</v>
          </cell>
          <cell r="O10233"/>
          <cell r="T10233"/>
        </row>
        <row r="10234">
          <cell r="A10234" t="str">
            <v>KATHREIN</v>
          </cell>
          <cell r="B10234" t="str">
            <v>800 10290</v>
          </cell>
          <cell r="O10234">
            <v>4.9491048520749201</v>
          </cell>
          <cell r="T10234">
            <v>2.7452488736532099</v>
          </cell>
        </row>
        <row r="10235">
          <cell r="A10235" t="str">
            <v>KATHREIN</v>
          </cell>
          <cell r="B10235" t="str">
            <v>800 10292</v>
          </cell>
          <cell r="O10235">
            <v>8.6536940590000011</v>
          </cell>
          <cell r="T10235">
            <v>4.965686711</v>
          </cell>
        </row>
        <row r="10236">
          <cell r="A10236" t="str">
            <v>KATHREIN</v>
          </cell>
          <cell r="B10236" t="str">
            <v>800 10303</v>
          </cell>
          <cell r="O10236">
            <v>5.2394445592508294</v>
          </cell>
          <cell r="T10236">
            <v>2.0081073996352199</v>
          </cell>
        </row>
        <row r="10237">
          <cell r="A10237" t="str">
            <v>KATHREIN</v>
          </cell>
          <cell r="B10237" t="str">
            <v>800 10304</v>
          </cell>
          <cell r="O10237">
            <v>6.96268257503346</v>
          </cell>
          <cell r="T10237">
            <v>2.6614191895675701</v>
          </cell>
        </row>
        <row r="10238">
          <cell r="A10238" t="str">
            <v>KATHREIN</v>
          </cell>
          <cell r="B10238" t="str">
            <v>800 10305</v>
          </cell>
          <cell r="O10238">
            <v>9.4524419603040304</v>
          </cell>
          <cell r="T10238">
            <v>3.6310580602540701</v>
          </cell>
        </row>
        <row r="10239">
          <cell r="A10239" t="str">
            <v>KATHREIN</v>
          </cell>
          <cell r="B10239" t="str">
            <v>800 10306</v>
          </cell>
          <cell r="O10239">
            <v>11.03671665483189</v>
          </cell>
          <cell r="T10239">
            <v>4.2297492837803103</v>
          </cell>
        </row>
        <row r="10240">
          <cell r="A10240" t="str">
            <v>KATHREIN</v>
          </cell>
          <cell r="B10240" t="str">
            <v>800 10308V01</v>
          </cell>
          <cell r="O10240">
            <v>5.2394445592508294</v>
          </cell>
          <cell r="T10240">
            <v>2.0081073996352199</v>
          </cell>
        </row>
        <row r="10241">
          <cell r="A10241" t="str">
            <v>KATHREIN</v>
          </cell>
          <cell r="B10241" t="str">
            <v>800 10309</v>
          </cell>
          <cell r="O10241">
            <v>8.0229632826352493</v>
          </cell>
          <cell r="T10241">
            <v>3.0711347957059396</v>
          </cell>
        </row>
        <row r="10242">
          <cell r="A10242" t="str">
            <v>KATHREIN</v>
          </cell>
          <cell r="B10242" t="str">
            <v>800 10314</v>
          </cell>
          <cell r="O10242">
            <v>2.7241545459632701</v>
          </cell>
          <cell r="T10242">
            <v>1.2036540150714901</v>
          </cell>
        </row>
        <row r="10243">
          <cell r="A10243" t="str">
            <v>KATHREIN</v>
          </cell>
          <cell r="B10243" t="str">
            <v>800 10360</v>
          </cell>
          <cell r="O10243"/>
          <cell r="T10243"/>
        </row>
        <row r="10244">
          <cell r="A10244" t="str">
            <v>KATHREIN</v>
          </cell>
          <cell r="B10244" t="str">
            <v>800 10368</v>
          </cell>
          <cell r="O10244"/>
          <cell r="T10244"/>
        </row>
        <row r="10245">
          <cell r="A10245" t="str">
            <v>KATHREIN</v>
          </cell>
          <cell r="B10245" t="str">
            <v>800 10415</v>
          </cell>
          <cell r="O10245"/>
          <cell r="T10245"/>
        </row>
        <row r="10246">
          <cell r="A10246" t="str">
            <v>KATHREIN</v>
          </cell>
          <cell r="B10246" t="str">
            <v>800 10425</v>
          </cell>
          <cell r="O10246">
            <v>2.7241545459632701</v>
          </cell>
          <cell r="T10246">
            <v>1.2036540150714901</v>
          </cell>
        </row>
        <row r="10247">
          <cell r="A10247" t="str">
            <v>KATHREIN</v>
          </cell>
          <cell r="B10247" t="str">
            <v>800 10426</v>
          </cell>
          <cell r="O10247">
            <v>2.7241545460000003</v>
          </cell>
          <cell r="T10247">
            <v>1.2036540149999999</v>
          </cell>
        </row>
        <row r="10248">
          <cell r="A10248" t="str">
            <v>KATHREIN</v>
          </cell>
          <cell r="B10248" t="str">
            <v>800 10456V02</v>
          </cell>
          <cell r="O10248"/>
          <cell r="T10248"/>
        </row>
        <row r="10249">
          <cell r="A10249" t="str">
            <v>KATHREIN</v>
          </cell>
          <cell r="B10249" t="str">
            <v>800 10470</v>
          </cell>
          <cell r="O10249">
            <v>2.7241545459632701</v>
          </cell>
          <cell r="T10249">
            <v>1.2036540150714901</v>
          </cell>
        </row>
        <row r="10250">
          <cell r="A10250" t="str">
            <v>KATHREIN</v>
          </cell>
          <cell r="B10250" t="str">
            <v>800 10504</v>
          </cell>
          <cell r="O10250">
            <v>2.691128628</v>
          </cell>
          <cell r="T10250">
            <v>1.2671555620000001</v>
          </cell>
        </row>
        <row r="10251">
          <cell r="A10251" t="str">
            <v>KATHREIN</v>
          </cell>
          <cell r="B10251" t="str">
            <v>800 10510</v>
          </cell>
          <cell r="O10251">
            <v>6.0351749939999992</v>
          </cell>
          <cell r="T10251">
            <v>1.3304636939999999</v>
          </cell>
        </row>
        <row r="10252">
          <cell r="A10252" t="str">
            <v>KATHREIN</v>
          </cell>
          <cell r="B10252" t="str">
            <v>800 10510V01</v>
          </cell>
          <cell r="O10252">
            <v>6.0351749939999992</v>
          </cell>
          <cell r="T10252">
            <v>1.3304636939999999</v>
          </cell>
        </row>
        <row r="10253">
          <cell r="A10253" t="str">
            <v>KATHREIN</v>
          </cell>
          <cell r="B10253" t="str">
            <v>800 10544</v>
          </cell>
          <cell r="O10253"/>
          <cell r="T10253"/>
        </row>
        <row r="10254">
          <cell r="A10254" t="str">
            <v>KATHREIN</v>
          </cell>
          <cell r="B10254" t="str">
            <v>800 10606</v>
          </cell>
          <cell r="O10254"/>
          <cell r="T10254"/>
        </row>
        <row r="10255">
          <cell r="A10255" t="str">
            <v>KATHREIN</v>
          </cell>
          <cell r="B10255" t="str">
            <v>800 10622</v>
          </cell>
          <cell r="O10255">
            <v>6.6180575143486395</v>
          </cell>
          <cell r="T10255">
            <v>1.45747636437932</v>
          </cell>
        </row>
        <row r="10256">
          <cell r="A10256" t="str">
            <v>KATHREIN</v>
          </cell>
          <cell r="B10256" t="str">
            <v>800 10647V01</v>
          </cell>
          <cell r="O10256"/>
          <cell r="T10256"/>
        </row>
        <row r="10257">
          <cell r="A10257" t="str">
            <v>KATHREIN</v>
          </cell>
          <cell r="B10257" t="str">
            <v>800 10675</v>
          </cell>
          <cell r="O10257"/>
          <cell r="T10257"/>
        </row>
        <row r="10258">
          <cell r="A10258" t="str">
            <v>KATHREIN</v>
          </cell>
          <cell r="B10258" t="str">
            <v>800 10691V01</v>
          </cell>
          <cell r="O10258">
            <v>5.9912229938271597</v>
          </cell>
          <cell r="T10258">
            <v>3.0472744166319496</v>
          </cell>
        </row>
        <row r="10259">
          <cell r="A10259" t="str">
            <v>KATHREIN</v>
          </cell>
          <cell r="B10259" t="str">
            <v>800 10692V01</v>
          </cell>
          <cell r="O10259">
            <v>8.0685763890000004</v>
          </cell>
          <cell r="T10259">
            <v>4.1044761789999997</v>
          </cell>
        </row>
        <row r="10260">
          <cell r="A10260" t="str">
            <v>KATHREIN</v>
          </cell>
          <cell r="B10260" t="str">
            <v>800 10701 K</v>
          </cell>
          <cell r="O10260">
            <v>6.2941067656916188</v>
          </cell>
          <cell r="T10260">
            <v>2.06232963777357</v>
          </cell>
        </row>
        <row r="10261">
          <cell r="A10261" t="str">
            <v>KATHREIN</v>
          </cell>
          <cell r="B10261" t="str">
            <v>800 10721</v>
          </cell>
          <cell r="O10261">
            <v>4.7387560659999997</v>
          </cell>
          <cell r="T10261">
            <v>2.4505096639999997</v>
          </cell>
        </row>
        <row r="10262">
          <cell r="A10262" t="str">
            <v>KATHREIN</v>
          </cell>
          <cell r="B10262" t="str">
            <v>800 10721 K</v>
          </cell>
          <cell r="O10262">
            <v>4.7387560659999997</v>
          </cell>
          <cell r="T10262">
            <v>2.4505096639999997</v>
          </cell>
        </row>
        <row r="10263">
          <cell r="A10263" t="str">
            <v>KATHREIN</v>
          </cell>
          <cell r="B10263" t="str">
            <v>800 10722</v>
          </cell>
          <cell r="O10263">
            <v>5.25</v>
          </cell>
          <cell r="T10263">
            <v>2.7199999999999998</v>
          </cell>
        </row>
        <row r="10264">
          <cell r="A10264" t="str">
            <v>KATHREIN</v>
          </cell>
          <cell r="B10264" t="str">
            <v>800 10722K</v>
          </cell>
          <cell r="O10264">
            <v>5.25</v>
          </cell>
          <cell r="T10264">
            <v>2.7199999999999998</v>
          </cell>
        </row>
        <row r="10265">
          <cell r="A10265" t="str">
            <v>KATHREIN</v>
          </cell>
          <cell r="B10265" t="str">
            <v>800 10722V01</v>
          </cell>
          <cell r="O10265">
            <v>5.25</v>
          </cell>
          <cell r="T10265">
            <v>2.7199999999999998</v>
          </cell>
        </row>
        <row r="10266">
          <cell r="A10266" t="str">
            <v>KATHREIN</v>
          </cell>
          <cell r="B10266" t="str">
            <v>800 10722V01K</v>
          </cell>
          <cell r="O10266">
            <v>5.25</v>
          </cell>
          <cell r="T10266">
            <v>2.7199999999999998</v>
          </cell>
        </row>
        <row r="10267">
          <cell r="A10267" t="str">
            <v>KATHREIN</v>
          </cell>
          <cell r="B10267" t="str">
            <v>800 10723</v>
          </cell>
          <cell r="O10267">
            <v>6.7663049769999999</v>
          </cell>
          <cell r="T10267">
            <v>3.4203020080000002</v>
          </cell>
        </row>
        <row r="10268">
          <cell r="A10268" t="str">
            <v>KATHREIN</v>
          </cell>
          <cell r="B10268" t="str">
            <v>800 10723K</v>
          </cell>
          <cell r="O10268">
            <v>6.7663049769999999</v>
          </cell>
          <cell r="T10268">
            <v>3.4203020080000002</v>
          </cell>
        </row>
        <row r="10269">
          <cell r="A10269" t="str">
            <v>KATHREIN</v>
          </cell>
          <cell r="B10269" t="str">
            <v>800 10723V01</v>
          </cell>
          <cell r="O10269">
            <v>6.7663049769999999</v>
          </cell>
          <cell r="T10269">
            <v>3.4203020080000002</v>
          </cell>
        </row>
        <row r="10270">
          <cell r="A10270" t="str">
            <v>KATHREIN</v>
          </cell>
          <cell r="B10270" t="str">
            <v>800 10729</v>
          </cell>
          <cell r="O10270"/>
          <cell r="T10270"/>
        </row>
        <row r="10271">
          <cell r="A10271" t="str">
            <v>KATHREIN</v>
          </cell>
          <cell r="B10271" t="str">
            <v>800 10734</v>
          </cell>
          <cell r="O10271">
            <v>6.2941067656916188</v>
          </cell>
          <cell r="T10271">
            <v>2.06232963777357</v>
          </cell>
        </row>
        <row r="10272">
          <cell r="A10272" t="str">
            <v>KATHREIN</v>
          </cell>
          <cell r="B10272" t="str">
            <v>800 10734 K</v>
          </cell>
          <cell r="O10272">
            <v>6.2941067656916188</v>
          </cell>
          <cell r="T10272">
            <v>2.06232963777357</v>
          </cell>
        </row>
        <row r="10273">
          <cell r="A10273" t="str">
            <v>KATHREIN</v>
          </cell>
          <cell r="B10273" t="str">
            <v>800 10734V01</v>
          </cell>
          <cell r="O10273">
            <v>6.2941067656916188</v>
          </cell>
          <cell r="T10273">
            <v>2.06232963777357</v>
          </cell>
        </row>
        <row r="10274">
          <cell r="A10274" t="str">
            <v>KATHREIN</v>
          </cell>
          <cell r="B10274" t="str">
            <v>800 10735 K</v>
          </cell>
          <cell r="O10274"/>
          <cell r="T10274"/>
        </row>
        <row r="10275">
          <cell r="A10275" t="str">
            <v>KATHREIN</v>
          </cell>
          <cell r="B10275" t="str">
            <v>800 10735V01</v>
          </cell>
          <cell r="O10275">
            <v>9.3278232990500811</v>
          </cell>
          <cell r="T10275">
            <v>3.0594466317981199</v>
          </cell>
        </row>
        <row r="10276">
          <cell r="A10276" t="str">
            <v>KATHREIN</v>
          </cell>
          <cell r="B10276" t="str">
            <v>800 10736</v>
          </cell>
          <cell r="O10276">
            <v>11.885463549999999</v>
          </cell>
          <cell r="T10276">
            <v>3.8924737080000003</v>
          </cell>
        </row>
        <row r="10277">
          <cell r="A10277" t="str">
            <v>KATHREIN</v>
          </cell>
          <cell r="B10277" t="str">
            <v>800 10736 K</v>
          </cell>
          <cell r="O10277">
            <v>11.885463549999999</v>
          </cell>
          <cell r="T10277">
            <v>3.8924737080000003</v>
          </cell>
        </row>
        <row r="10278">
          <cell r="A10278" t="str">
            <v>KATHREIN</v>
          </cell>
          <cell r="B10278" t="str">
            <v>800 10736V01</v>
          </cell>
          <cell r="O10278">
            <v>11.885463549999999</v>
          </cell>
          <cell r="T10278">
            <v>3.8924737080000003</v>
          </cell>
        </row>
        <row r="10279">
          <cell r="A10279" t="str">
            <v>KATHREIN</v>
          </cell>
          <cell r="B10279" t="str">
            <v>800 10736V01K</v>
          </cell>
          <cell r="O10279">
            <v>11.885463549999999</v>
          </cell>
          <cell r="T10279">
            <v>3.8924737080000003</v>
          </cell>
        </row>
        <row r="10280">
          <cell r="A10280" t="str">
            <v>KATHREIN</v>
          </cell>
          <cell r="B10280" t="str">
            <v>800 10764</v>
          </cell>
          <cell r="O10280">
            <v>4.526474004999999</v>
          </cell>
          <cell r="T10280">
            <v>2.2960705219999999</v>
          </cell>
        </row>
        <row r="10281">
          <cell r="A10281" t="str">
            <v>KATHREIN</v>
          </cell>
          <cell r="B10281" t="str">
            <v>800 10764 K</v>
          </cell>
          <cell r="O10281">
            <v>4.526474004999999</v>
          </cell>
          <cell r="T10281">
            <v>2.2960705219999999</v>
          </cell>
        </row>
        <row r="10282">
          <cell r="A10282" t="str">
            <v>KATHREIN</v>
          </cell>
          <cell r="B10282" t="str">
            <v>800 10764V01</v>
          </cell>
          <cell r="O10282">
            <v>4.526474004999999</v>
          </cell>
          <cell r="T10282">
            <v>2.2960705219999999</v>
          </cell>
        </row>
        <row r="10283">
          <cell r="A10283" t="str">
            <v>KATHREIN</v>
          </cell>
          <cell r="B10283" t="str">
            <v>800 10765</v>
          </cell>
          <cell r="O10283">
            <v>6.0839603229999994</v>
          </cell>
          <cell r="T10283">
            <v>3.1080902369999999</v>
          </cell>
        </row>
        <row r="10284">
          <cell r="A10284" t="str">
            <v>KATHREIN</v>
          </cell>
          <cell r="B10284" t="str">
            <v>800 10765 K</v>
          </cell>
          <cell r="O10284">
            <v>6.0839603229999994</v>
          </cell>
          <cell r="T10284">
            <v>3.1080902369999999</v>
          </cell>
        </row>
        <row r="10285">
          <cell r="A10285" t="str">
            <v>KATHREIN</v>
          </cell>
          <cell r="B10285" t="str">
            <v>800 10765V01</v>
          </cell>
          <cell r="O10285">
            <v>6.0839603229999994</v>
          </cell>
          <cell r="T10285">
            <v>3.1080902369999999</v>
          </cell>
        </row>
        <row r="10286">
          <cell r="A10286" t="str">
            <v>KATHREIN</v>
          </cell>
          <cell r="B10286" t="str">
            <v>800 10766</v>
          </cell>
          <cell r="O10286">
            <v>7.3040100199999998</v>
          </cell>
          <cell r="T10286">
            <v>3.7188872400000004</v>
          </cell>
        </row>
        <row r="10287">
          <cell r="A10287" t="str">
            <v>KATHREIN</v>
          </cell>
          <cell r="B10287" t="str">
            <v>800 10766 K</v>
          </cell>
          <cell r="O10287">
            <v>7.3040100199999998</v>
          </cell>
          <cell r="T10287">
            <v>3.7188872400000004</v>
          </cell>
        </row>
        <row r="10288">
          <cell r="A10288" t="str">
            <v>KATHREIN</v>
          </cell>
          <cell r="B10288" t="str">
            <v>800 10766V01</v>
          </cell>
          <cell r="O10288">
            <v>7.3040100199999998</v>
          </cell>
          <cell r="T10288">
            <v>3.7188872400000004</v>
          </cell>
        </row>
        <row r="10289">
          <cell r="A10289" t="str">
            <v>KATHREIN</v>
          </cell>
          <cell r="B10289" t="str">
            <v>800 10766V01 K</v>
          </cell>
          <cell r="O10289">
            <v>7.3040100199999998</v>
          </cell>
          <cell r="T10289">
            <v>3.7188872400000004</v>
          </cell>
        </row>
        <row r="10290">
          <cell r="A10290" t="str">
            <v>KATHREIN</v>
          </cell>
          <cell r="B10290" t="str">
            <v>800 10864</v>
          </cell>
          <cell r="O10290">
            <v>5.3112027389999996</v>
          </cell>
          <cell r="T10290">
            <v>2.4424389530000004</v>
          </cell>
        </row>
        <row r="10291">
          <cell r="A10291" t="str">
            <v>KATHREIN</v>
          </cell>
          <cell r="B10291" t="str">
            <v>800 10865</v>
          </cell>
          <cell r="O10291">
            <v>7.1748263889999997</v>
          </cell>
          <cell r="T10291">
            <v>3.2818911219999998</v>
          </cell>
        </row>
        <row r="10292">
          <cell r="A10292" t="str">
            <v>KATHREIN</v>
          </cell>
          <cell r="B10292" t="str">
            <v>800 10865K</v>
          </cell>
          <cell r="O10292">
            <v>7.1748263889999997</v>
          </cell>
          <cell r="T10292">
            <v>3.2818911219999998</v>
          </cell>
        </row>
        <row r="10293">
          <cell r="A10293" t="str">
            <v>KATHREIN</v>
          </cell>
          <cell r="B10293" t="str">
            <v>800 10866</v>
          </cell>
          <cell r="O10293">
            <v>8.8490692520000014</v>
          </cell>
          <cell r="T10293">
            <v>4.0155605559999996</v>
          </cell>
        </row>
        <row r="10294">
          <cell r="A10294" t="str">
            <v>KATHREIN</v>
          </cell>
          <cell r="B10294" t="str">
            <v>800 10866K</v>
          </cell>
          <cell r="O10294">
            <v>8.8490692520000014</v>
          </cell>
          <cell r="T10294">
            <v>4.0155605559999996</v>
          </cell>
        </row>
        <row r="10295">
          <cell r="A10295" t="str">
            <v>KATHREIN</v>
          </cell>
          <cell r="B10295" t="str">
            <v>800 10892V01K</v>
          </cell>
          <cell r="O10295">
            <v>9.984526486</v>
          </cell>
          <cell r="T10295">
            <v>4.5204431779999998</v>
          </cell>
        </row>
        <row r="10296">
          <cell r="A10296" t="str">
            <v>KATHREIN</v>
          </cell>
          <cell r="B10296" t="str">
            <v>800-10080</v>
          </cell>
          <cell r="O10296">
            <v>0.41626162229938302</v>
          </cell>
          <cell r="T10296">
            <v>0.45002493341023997</v>
          </cell>
        </row>
        <row r="10297">
          <cell r="A10297" t="str">
            <v>KATHREIN</v>
          </cell>
          <cell r="B10297" t="str">
            <v>800-10123</v>
          </cell>
          <cell r="O10297">
            <v>7.22</v>
          </cell>
          <cell r="T10297">
            <v>4.1899999999999995</v>
          </cell>
        </row>
        <row r="10298">
          <cell r="A10298" t="str">
            <v>KATHREIN</v>
          </cell>
          <cell r="B10298" t="str">
            <v>800-10251</v>
          </cell>
          <cell r="O10298">
            <v>4.37705964194258</v>
          </cell>
          <cell r="T10298">
            <v>1.0463560500803097</v>
          </cell>
        </row>
        <row r="10299">
          <cell r="A10299" t="str">
            <v>KATHREIN</v>
          </cell>
          <cell r="B10299" t="str">
            <v>800-10291V02</v>
          </cell>
          <cell r="O10299"/>
          <cell r="T10299"/>
        </row>
        <row r="10300">
          <cell r="A10300" t="str">
            <v>KATHREIN</v>
          </cell>
          <cell r="B10300" t="str">
            <v>800-10303</v>
          </cell>
          <cell r="O10300">
            <v>5.2394445592508294</v>
          </cell>
          <cell r="T10300">
            <v>2.0081073996352199</v>
          </cell>
        </row>
        <row r="10301">
          <cell r="A10301" t="str">
            <v>KATHREIN</v>
          </cell>
          <cell r="B10301" t="str">
            <v>800-10767 K</v>
          </cell>
          <cell r="O10301">
            <v>5.1096315589999994</v>
          </cell>
          <cell r="T10301">
            <v>2.3120443899999996</v>
          </cell>
        </row>
        <row r="10302">
          <cell r="A10302" t="str">
            <v>KATHREIN</v>
          </cell>
          <cell r="B10302" t="str">
            <v>80010122V01</v>
          </cell>
          <cell r="O10302">
            <v>6.2925877699999999</v>
          </cell>
          <cell r="T10302">
            <v>3.4914940120000004</v>
          </cell>
        </row>
        <row r="10303">
          <cell r="A10303" t="str">
            <v>KATHREIN</v>
          </cell>
          <cell r="B10303" t="str">
            <v>80010139</v>
          </cell>
          <cell r="O10303"/>
          <cell r="T10303"/>
        </row>
        <row r="10304">
          <cell r="A10304" t="str">
            <v>KATHREIN</v>
          </cell>
          <cell r="B10304" t="str">
            <v>80010251V01</v>
          </cell>
          <cell r="O10304"/>
          <cell r="T10304"/>
        </row>
        <row r="10305">
          <cell r="A10305" t="str">
            <v>KATHREIN</v>
          </cell>
          <cell r="B10305" t="str">
            <v>80010306V02</v>
          </cell>
          <cell r="O10305">
            <v>11.03671665483189</v>
          </cell>
          <cell r="T10305">
            <v>4.2297492837803103</v>
          </cell>
        </row>
        <row r="10306">
          <cell r="A10306" t="str">
            <v>KATHREIN</v>
          </cell>
          <cell r="B10306" t="str">
            <v>80010621v02</v>
          </cell>
          <cell r="O10306"/>
          <cell r="T10306"/>
        </row>
        <row r="10307">
          <cell r="A10307" t="str">
            <v>KATHREIN</v>
          </cell>
          <cell r="B10307" t="str">
            <v>80010652</v>
          </cell>
          <cell r="O10307">
            <v>7.9080567119431491</v>
          </cell>
          <cell r="T10307">
            <v>1.7417876651983499</v>
          </cell>
        </row>
        <row r="10308">
          <cell r="A10308" t="str">
            <v>KATHREIN</v>
          </cell>
          <cell r="B10308" t="str">
            <v>80010666V01</v>
          </cell>
          <cell r="O10308">
            <v>8.0685763890000004</v>
          </cell>
          <cell r="T10308">
            <v>4.1044761789999997</v>
          </cell>
        </row>
        <row r="10309">
          <cell r="A10309" t="str">
            <v>KATHREIN</v>
          </cell>
          <cell r="B10309" t="str">
            <v>80010681</v>
          </cell>
          <cell r="O10309"/>
          <cell r="T10309"/>
        </row>
        <row r="10310">
          <cell r="A10310" t="str">
            <v>KATHREIN</v>
          </cell>
          <cell r="B10310" t="str">
            <v>80010682</v>
          </cell>
          <cell r="O10310">
            <v>3.84061768489337</v>
          </cell>
          <cell r="T10310">
            <v>0.84737065562357095</v>
          </cell>
        </row>
        <row r="10311">
          <cell r="A10311" t="str">
            <v>KATHREIN</v>
          </cell>
          <cell r="B10311" t="str">
            <v>80010692V01</v>
          </cell>
          <cell r="O10311"/>
          <cell r="T10311"/>
        </row>
        <row r="10312">
          <cell r="A10312" t="str">
            <v>KATHREIN</v>
          </cell>
          <cell r="B10312" t="str">
            <v>80010715</v>
          </cell>
          <cell r="O10312">
            <v>1.6667259837963</v>
          </cell>
          <cell r="T10312">
            <v>0.84641396256894597</v>
          </cell>
        </row>
        <row r="10313">
          <cell r="A10313" t="str">
            <v>KATHREIN</v>
          </cell>
          <cell r="B10313" t="str">
            <v>80010727</v>
          </cell>
          <cell r="O10313">
            <v>6.3790743899312901</v>
          </cell>
          <cell r="T10313">
            <v>1.7586690652987398</v>
          </cell>
        </row>
        <row r="10314">
          <cell r="A10314" t="str">
            <v>KATHREIN</v>
          </cell>
          <cell r="B10314" t="str">
            <v>80010734V01</v>
          </cell>
          <cell r="O10314">
            <v>6.2941067656916188</v>
          </cell>
          <cell r="T10314">
            <v>2.06232963777357</v>
          </cell>
        </row>
        <row r="10315">
          <cell r="A10315" t="str">
            <v>KATHREIN</v>
          </cell>
          <cell r="B10315" t="str">
            <v>80010745</v>
          </cell>
          <cell r="O10315"/>
          <cell r="T10315"/>
        </row>
        <row r="10316">
          <cell r="A10316" t="str">
            <v>KATHREIN</v>
          </cell>
          <cell r="B10316" t="str">
            <v>80010764</v>
          </cell>
          <cell r="O10316"/>
          <cell r="T10316"/>
        </row>
        <row r="10317">
          <cell r="A10317" t="str">
            <v>KATHREIN</v>
          </cell>
          <cell r="B10317" t="str">
            <v>80010765V01</v>
          </cell>
          <cell r="O10317">
            <v>6.0839603229999994</v>
          </cell>
          <cell r="T10317">
            <v>3.1080902369999999</v>
          </cell>
        </row>
        <row r="10318">
          <cell r="A10318" t="str">
            <v>KATHREIN</v>
          </cell>
          <cell r="B10318" t="str">
            <v>80010766V01</v>
          </cell>
          <cell r="O10318">
            <v>7.3040100199999998</v>
          </cell>
          <cell r="T10318">
            <v>3.7188872400000004</v>
          </cell>
        </row>
        <row r="10319">
          <cell r="A10319" t="str">
            <v>KATHREIN</v>
          </cell>
          <cell r="B10319" t="str">
            <v>80010766_V1</v>
          </cell>
          <cell r="O10319">
            <v>7.3040100202518801</v>
          </cell>
          <cell r="T10319">
            <v>3.71888723955121</v>
          </cell>
        </row>
        <row r="10320">
          <cell r="A10320" t="str">
            <v>KATHREIN</v>
          </cell>
          <cell r="B10320" t="str">
            <v>80010767</v>
          </cell>
          <cell r="O10320">
            <v>5.1096315589999994</v>
          </cell>
          <cell r="T10320">
            <v>2.3120443899999996</v>
          </cell>
        </row>
        <row r="10321">
          <cell r="A10321" t="str">
            <v>KATHREIN</v>
          </cell>
          <cell r="B10321" t="str">
            <v>80010767K</v>
          </cell>
          <cell r="O10321">
            <v>5.1096315589999994</v>
          </cell>
          <cell r="T10321">
            <v>2.3120443899999996</v>
          </cell>
        </row>
        <row r="10322">
          <cell r="A10322" t="str">
            <v>KATHREIN</v>
          </cell>
          <cell r="B10322" t="str">
            <v>80010768</v>
          </cell>
          <cell r="O10322">
            <v>7.1748263888888895</v>
          </cell>
          <cell r="T10322">
            <v>3.2818911215514199</v>
          </cell>
        </row>
        <row r="10323">
          <cell r="A10323" t="str">
            <v>KATHREIN</v>
          </cell>
          <cell r="B10323" t="str">
            <v>80010768K</v>
          </cell>
          <cell r="O10323">
            <v>7.1748263888888895</v>
          </cell>
          <cell r="T10323">
            <v>3.2818911215514199</v>
          </cell>
        </row>
        <row r="10324">
          <cell r="A10324" t="str">
            <v>KATHREIN</v>
          </cell>
          <cell r="B10324" t="str">
            <v>80010769</v>
          </cell>
          <cell r="O10324">
            <v>8.8490692515432112</v>
          </cell>
          <cell r="T10324">
            <v>4.01556055649068</v>
          </cell>
        </row>
        <row r="10325">
          <cell r="A10325" t="str">
            <v>KATHREIN</v>
          </cell>
          <cell r="B10325" t="str">
            <v>80010769K</v>
          </cell>
          <cell r="O10325">
            <v>8.8490692515432112</v>
          </cell>
          <cell r="T10325">
            <v>4.01556055649068</v>
          </cell>
        </row>
        <row r="10326">
          <cell r="A10326" t="str">
            <v>KATHREIN</v>
          </cell>
          <cell r="B10326" t="str">
            <v>80010798</v>
          </cell>
          <cell r="O10326">
            <v>7.8277922449999995</v>
          </cell>
          <cell r="T10326">
            <v>3.6282731569999997</v>
          </cell>
        </row>
        <row r="10327">
          <cell r="A10327" t="str">
            <v>KATHREIN</v>
          </cell>
          <cell r="B10327" t="str">
            <v>80010798K</v>
          </cell>
          <cell r="O10327">
            <v>7.8277922449999995</v>
          </cell>
          <cell r="T10327">
            <v>3.6282731569999997</v>
          </cell>
        </row>
        <row r="10328">
          <cell r="A10328" t="str">
            <v>KATHREIN</v>
          </cell>
          <cell r="B10328" t="str">
            <v>80010799</v>
          </cell>
          <cell r="O10328">
            <v>9.984526485</v>
          </cell>
          <cell r="T10328">
            <v>4.5204431779999998</v>
          </cell>
        </row>
        <row r="10329">
          <cell r="A10329" t="str">
            <v>KATHREIN</v>
          </cell>
          <cell r="B10329" t="str">
            <v>80010799K</v>
          </cell>
          <cell r="O10329">
            <v>9.984526485</v>
          </cell>
          <cell r="T10329">
            <v>4.5204431779999998</v>
          </cell>
        </row>
        <row r="10330">
          <cell r="A10330" t="str">
            <v>KATHREIN</v>
          </cell>
          <cell r="B10330" t="str">
            <v>80010826</v>
          </cell>
          <cell r="O10330"/>
          <cell r="T10330"/>
        </row>
        <row r="10331">
          <cell r="A10331" t="str">
            <v>KATHREIN</v>
          </cell>
          <cell r="B10331" t="str">
            <v>80010846</v>
          </cell>
          <cell r="O10331"/>
          <cell r="T10331"/>
        </row>
        <row r="10332">
          <cell r="A10332" t="str">
            <v>KATHREIN</v>
          </cell>
          <cell r="B10332" t="str">
            <v>80010864</v>
          </cell>
          <cell r="O10332">
            <v>5.3112027389999996</v>
          </cell>
          <cell r="T10332">
            <v>2.4424389530000004</v>
          </cell>
        </row>
        <row r="10333">
          <cell r="A10333" t="str">
            <v>KATHREIN</v>
          </cell>
          <cell r="B10333" t="str">
            <v>80010864K</v>
          </cell>
          <cell r="O10333">
            <v>5.3112027389999996</v>
          </cell>
          <cell r="T10333">
            <v>2.4424389530000004</v>
          </cell>
        </row>
        <row r="10334">
          <cell r="A10334" t="str">
            <v>KATHREIN</v>
          </cell>
          <cell r="B10334" t="str">
            <v>80010865</v>
          </cell>
          <cell r="O10334">
            <v>7.1748263889999997</v>
          </cell>
          <cell r="T10334">
            <v>3.2818911219999998</v>
          </cell>
        </row>
        <row r="10335">
          <cell r="A10335" t="str">
            <v>KATHREIN</v>
          </cell>
          <cell r="B10335" t="str">
            <v>80010866</v>
          </cell>
          <cell r="O10335">
            <v>8.8490692520000014</v>
          </cell>
          <cell r="T10335">
            <v>4.0155605559999996</v>
          </cell>
        </row>
        <row r="10336">
          <cell r="A10336" t="str">
            <v>KATHREIN</v>
          </cell>
          <cell r="B10336" t="str">
            <v>80010891</v>
          </cell>
          <cell r="O10336">
            <v>7.8277922449999995</v>
          </cell>
          <cell r="T10336">
            <v>3.6282731569999997</v>
          </cell>
        </row>
        <row r="10337">
          <cell r="A10337" t="str">
            <v>KATHREIN</v>
          </cell>
          <cell r="B10337" t="str">
            <v>80010892</v>
          </cell>
          <cell r="O10337">
            <v>9.984526486</v>
          </cell>
          <cell r="T10337">
            <v>4.5204431779999998</v>
          </cell>
        </row>
        <row r="10338">
          <cell r="A10338" t="str">
            <v>KATHREIN</v>
          </cell>
          <cell r="B10338" t="str">
            <v>80010892V01</v>
          </cell>
          <cell r="O10338">
            <v>9.984526486</v>
          </cell>
          <cell r="T10338">
            <v>4.5204431779999998</v>
          </cell>
        </row>
        <row r="10339">
          <cell r="A10339" t="str">
            <v>KATHREIN</v>
          </cell>
          <cell r="B10339" t="str">
            <v>80010901</v>
          </cell>
          <cell r="O10339">
            <v>12.23076292</v>
          </cell>
          <cell r="T10339">
            <v>4.2142643680000003</v>
          </cell>
        </row>
        <row r="10340">
          <cell r="A10340" t="str">
            <v>KATHREIN</v>
          </cell>
          <cell r="B10340" t="str">
            <v>80010922</v>
          </cell>
          <cell r="O10340">
            <v>1.5962837577160498</v>
          </cell>
          <cell r="T10340">
            <v>0.683221562054667</v>
          </cell>
        </row>
        <row r="10341">
          <cell r="A10341" t="str">
            <v>KATHREIN</v>
          </cell>
          <cell r="B10341" t="str">
            <v>80010964</v>
          </cell>
          <cell r="O10341">
            <v>8.5808593750000011</v>
          </cell>
          <cell r="T10341">
            <v>2.9594715549999999</v>
          </cell>
        </row>
        <row r="10342">
          <cell r="A10342" t="str">
            <v>KATHREIN</v>
          </cell>
          <cell r="B10342" t="str">
            <v>80010964K</v>
          </cell>
          <cell r="O10342">
            <v>8.5808593750000011</v>
          </cell>
          <cell r="T10342">
            <v>2.9594715549999999</v>
          </cell>
        </row>
        <row r="10343">
          <cell r="A10343" t="str">
            <v>KATHREIN</v>
          </cell>
          <cell r="B10343" t="str">
            <v>80010965</v>
          </cell>
          <cell r="O10343">
            <v>12.23076292</v>
          </cell>
          <cell r="T10343">
            <v>4.2142643680000003</v>
          </cell>
        </row>
        <row r="10344">
          <cell r="A10344" t="str">
            <v>KATHREIN</v>
          </cell>
          <cell r="B10344" t="str">
            <v>80010965K</v>
          </cell>
          <cell r="O10344">
            <v>12.23076292</v>
          </cell>
          <cell r="T10344">
            <v>4.2142643680000003</v>
          </cell>
        </row>
        <row r="10345">
          <cell r="A10345" t="str">
            <v>KATHREIN</v>
          </cell>
          <cell r="B10345" t="str">
            <v>80010965_2018</v>
          </cell>
          <cell r="O10345">
            <v>13.4428321427445</v>
          </cell>
          <cell r="T10345">
            <v>4.8372794647472492</v>
          </cell>
        </row>
        <row r="10346">
          <cell r="A10346" t="str">
            <v>KATHREIN</v>
          </cell>
          <cell r="B10346" t="str">
            <v>80010966</v>
          </cell>
          <cell r="O10346">
            <v>14.588261959999999</v>
          </cell>
          <cell r="T10346">
            <v>5.0356006099999995</v>
          </cell>
        </row>
        <row r="10347">
          <cell r="A10347" t="str">
            <v>KATHREIN</v>
          </cell>
          <cell r="B10347" t="str">
            <v>80010966K</v>
          </cell>
          <cell r="O10347">
            <v>14.588261959999999</v>
          </cell>
          <cell r="T10347">
            <v>5.0356006099999995</v>
          </cell>
        </row>
        <row r="10348">
          <cell r="A10348" t="str">
            <v>KATHREIN</v>
          </cell>
          <cell r="B10348" t="str">
            <v>80010991</v>
          </cell>
          <cell r="O10348">
            <v>12.23076292</v>
          </cell>
          <cell r="T10348">
            <v>4.2142643680000003</v>
          </cell>
        </row>
        <row r="10349">
          <cell r="A10349" t="str">
            <v>KATHREIN</v>
          </cell>
          <cell r="B10349" t="str">
            <v>80010991K</v>
          </cell>
          <cell r="O10349">
            <v>13.4428321427445</v>
          </cell>
          <cell r="T10349">
            <v>4.8372794647472492</v>
          </cell>
        </row>
        <row r="10350">
          <cell r="A10350" t="str">
            <v>KATHREIN</v>
          </cell>
          <cell r="B10350" t="str">
            <v>80010992</v>
          </cell>
          <cell r="O10350">
            <v>18.502608989999988</v>
          </cell>
          <cell r="T10350">
            <v>6.6613252190000001</v>
          </cell>
        </row>
        <row r="10351">
          <cell r="A10351" t="str">
            <v>KATHREIN</v>
          </cell>
          <cell r="B10351" t="str">
            <v>80010992K</v>
          </cell>
          <cell r="O10351">
            <v>18.502608989999988</v>
          </cell>
          <cell r="T10351">
            <v>6.6613252190000001</v>
          </cell>
        </row>
        <row r="10352">
          <cell r="A10352" t="str">
            <v>KATHREIN</v>
          </cell>
          <cell r="B10352" t="str">
            <v>80010992V01</v>
          </cell>
          <cell r="O10352">
            <v>18.502608989197498</v>
          </cell>
          <cell r="T10352">
            <v>6.6613252188512595</v>
          </cell>
        </row>
        <row r="10353">
          <cell r="A10353" t="str">
            <v>KATHREIN</v>
          </cell>
          <cell r="B10353" t="str">
            <v>80011877</v>
          </cell>
          <cell r="O10353"/>
          <cell r="T10353"/>
        </row>
        <row r="10354">
          <cell r="A10354" t="str">
            <v>KATHREIN</v>
          </cell>
          <cell r="B10354" t="str">
            <v>80020622</v>
          </cell>
          <cell r="O10354"/>
          <cell r="T10354"/>
        </row>
        <row r="10355">
          <cell r="A10355" t="str">
            <v>KATHREIN</v>
          </cell>
          <cell r="B10355" t="str">
            <v>80020799</v>
          </cell>
          <cell r="O10355">
            <v>10.580603780000001</v>
          </cell>
          <cell r="T10355">
            <v>4.616845895</v>
          </cell>
        </row>
        <row r="10356">
          <cell r="A10356" t="str">
            <v>KATHREIN</v>
          </cell>
          <cell r="B10356" t="str">
            <v>80020799K</v>
          </cell>
          <cell r="O10356">
            <v>10.580603780000001</v>
          </cell>
          <cell r="T10356">
            <v>4.616845895</v>
          </cell>
        </row>
        <row r="10357">
          <cell r="A10357" t="str">
            <v>KATHREIN</v>
          </cell>
          <cell r="B10357" t="str">
            <v>80020892</v>
          </cell>
          <cell r="O10357">
            <v>10.8556964732396</v>
          </cell>
          <cell r="T10357">
            <v>4.9190602716391396</v>
          </cell>
        </row>
        <row r="10358">
          <cell r="A10358" t="str">
            <v>KATHREIN</v>
          </cell>
          <cell r="B10358" t="str">
            <v>800372965</v>
          </cell>
          <cell r="O10358">
            <v>10.529836999999999</v>
          </cell>
          <cell r="T10358">
            <v>4.6607057169999999</v>
          </cell>
        </row>
        <row r="10359">
          <cell r="A10359" t="str">
            <v>KATHREIN</v>
          </cell>
          <cell r="B10359" t="str">
            <v>800372991</v>
          </cell>
          <cell r="O10359">
            <v>10.529836998456789</v>
          </cell>
          <cell r="T10359">
            <v>4.6607057168293498</v>
          </cell>
        </row>
        <row r="10360">
          <cell r="A10360" t="str">
            <v>KATHREIN</v>
          </cell>
          <cell r="B10360" t="str">
            <v>80040000</v>
          </cell>
          <cell r="O10360"/>
          <cell r="T10360"/>
        </row>
        <row r="10361">
          <cell r="A10361" t="str">
            <v>KATHREIN</v>
          </cell>
          <cell r="B10361" t="str">
            <v>80040002</v>
          </cell>
          <cell r="O10361"/>
          <cell r="T10361"/>
        </row>
        <row r="10362">
          <cell r="A10362" t="str">
            <v>KATHREIN</v>
          </cell>
          <cell r="B10362" t="str">
            <v>80040066</v>
          </cell>
          <cell r="O10362"/>
          <cell r="T10362"/>
        </row>
        <row r="10363">
          <cell r="A10363" t="str">
            <v>KATHREIN</v>
          </cell>
          <cell r="B10363" t="str">
            <v>800482001</v>
          </cell>
          <cell r="O10363">
            <v>9.1790798611111111</v>
          </cell>
          <cell r="T10363">
            <v>3.1219849387522998</v>
          </cell>
        </row>
        <row r="10364">
          <cell r="A10364" t="str">
            <v>KATHREIN</v>
          </cell>
          <cell r="B10364" t="str">
            <v>840 10045</v>
          </cell>
          <cell r="O10364"/>
          <cell r="T10364"/>
        </row>
        <row r="10365">
          <cell r="A10365" t="str">
            <v>KATHREIN</v>
          </cell>
          <cell r="B10365" t="str">
            <v>840 10046</v>
          </cell>
          <cell r="O10365"/>
          <cell r="T10365"/>
        </row>
        <row r="10366">
          <cell r="A10366" t="str">
            <v>KATHREIN</v>
          </cell>
          <cell r="B10366" t="str">
            <v>840 10054</v>
          </cell>
          <cell r="O10366">
            <v>4.43</v>
          </cell>
          <cell r="T10366">
            <v>0.98</v>
          </cell>
        </row>
        <row r="10367">
          <cell r="A10367" t="str">
            <v>KATHREIN</v>
          </cell>
          <cell r="B10367" t="str">
            <v>840 10055</v>
          </cell>
          <cell r="O10367">
            <v>2.19793006343264</v>
          </cell>
          <cell r="T10367">
            <v>0.97018590186625797</v>
          </cell>
        </row>
        <row r="10368">
          <cell r="A10368" t="str">
            <v>KATHREIN</v>
          </cell>
          <cell r="B10368" t="str">
            <v>840 10057</v>
          </cell>
          <cell r="O10368">
            <v>2.0755419109999997</v>
          </cell>
          <cell r="T10368">
            <v>0.91856870700000004</v>
          </cell>
        </row>
        <row r="10369">
          <cell r="A10369" t="str">
            <v>KATHREIN</v>
          </cell>
          <cell r="B10369" t="str">
            <v>840 10058</v>
          </cell>
          <cell r="O10369">
            <v>2.0755419109999997</v>
          </cell>
          <cell r="T10369">
            <v>0.91856870700000004</v>
          </cell>
        </row>
        <row r="10370">
          <cell r="A10370" t="str">
            <v>KATHREIN</v>
          </cell>
          <cell r="B10370" t="str">
            <v>840 10075</v>
          </cell>
          <cell r="O10370">
            <v>2.0755419109999997</v>
          </cell>
          <cell r="T10370">
            <v>0.91856870700000004</v>
          </cell>
        </row>
        <row r="10371">
          <cell r="A10371" t="str">
            <v>KATHREIN</v>
          </cell>
          <cell r="B10371" t="str">
            <v>840 10077</v>
          </cell>
          <cell r="O10371">
            <v>2.0755419109999997</v>
          </cell>
          <cell r="T10371">
            <v>0.91856870700000004</v>
          </cell>
        </row>
        <row r="10372">
          <cell r="A10372" t="str">
            <v>KATHREIN</v>
          </cell>
          <cell r="B10372" t="str">
            <v>840 10082</v>
          </cell>
          <cell r="O10372">
            <v>1.2115492968516399</v>
          </cell>
          <cell r="T10372">
            <v>0.53422859699397995</v>
          </cell>
        </row>
        <row r="10373">
          <cell r="A10373" t="str">
            <v>KATHREIN</v>
          </cell>
          <cell r="B10373" t="str">
            <v>840 10084</v>
          </cell>
          <cell r="O10373">
            <v>4.4309234340000003</v>
          </cell>
          <cell r="T10373">
            <v>0.97622543500000003</v>
          </cell>
        </row>
        <row r="10374">
          <cell r="A10374" t="str">
            <v>KATHREIN</v>
          </cell>
          <cell r="B10374" t="str">
            <v>840 10088</v>
          </cell>
          <cell r="O10374"/>
          <cell r="T10374"/>
        </row>
        <row r="10375">
          <cell r="A10375" t="str">
            <v>KATHREIN</v>
          </cell>
          <cell r="B10375" t="str">
            <v>840 10106</v>
          </cell>
          <cell r="O10375"/>
          <cell r="T10375"/>
        </row>
        <row r="10376">
          <cell r="A10376" t="str">
            <v>KATHREIN</v>
          </cell>
          <cell r="B10376" t="str">
            <v>840 10107</v>
          </cell>
          <cell r="O10376"/>
          <cell r="T10376"/>
        </row>
        <row r="10377">
          <cell r="A10377" t="str">
            <v>KATHREIN</v>
          </cell>
          <cell r="B10377" t="str">
            <v>840 10161</v>
          </cell>
          <cell r="O10377"/>
          <cell r="T10377"/>
        </row>
        <row r="10378">
          <cell r="A10378" t="str">
            <v>KATHREIN</v>
          </cell>
          <cell r="B10378" t="str">
            <v>840 10170</v>
          </cell>
          <cell r="O10378"/>
          <cell r="T10378"/>
        </row>
        <row r="10379">
          <cell r="A10379" t="str">
            <v>KATHREIN</v>
          </cell>
          <cell r="B10379" t="str">
            <v>840 10191</v>
          </cell>
          <cell r="O10379">
            <v>2.34675677226305</v>
          </cell>
          <cell r="T10379">
            <v>0.86459224660804002</v>
          </cell>
        </row>
        <row r="10380">
          <cell r="A10380" t="str">
            <v>KATHREIN</v>
          </cell>
          <cell r="B10380" t="str">
            <v>840 10197</v>
          </cell>
          <cell r="O10380">
            <v>3.5769987336194098</v>
          </cell>
          <cell r="T10380">
            <v>1.3181621904443899</v>
          </cell>
        </row>
        <row r="10381">
          <cell r="A10381" t="str">
            <v>KATHREIN</v>
          </cell>
          <cell r="B10381" t="str">
            <v>840 10250</v>
          </cell>
          <cell r="O10381"/>
          <cell r="T10381"/>
        </row>
        <row r="10382">
          <cell r="A10382" t="str">
            <v>KATHREIN</v>
          </cell>
          <cell r="B10382" t="str">
            <v>840 10285</v>
          </cell>
          <cell r="O10382"/>
          <cell r="T10382"/>
        </row>
        <row r="10383">
          <cell r="A10383" t="str">
            <v>KATHREIN</v>
          </cell>
          <cell r="B10383" t="str">
            <v>840 10291</v>
          </cell>
          <cell r="O10383"/>
          <cell r="T10383"/>
        </row>
        <row r="10384">
          <cell r="A10384" t="str">
            <v>KATHREIN</v>
          </cell>
          <cell r="B10384" t="str">
            <v>840 10515</v>
          </cell>
          <cell r="O10384"/>
          <cell r="T10384"/>
        </row>
        <row r="10385">
          <cell r="A10385" t="str">
            <v>KATHREIN</v>
          </cell>
          <cell r="B10385" t="str">
            <v>840 10520</v>
          </cell>
          <cell r="O10385">
            <v>1.7019285300925899</v>
          </cell>
          <cell r="T10385">
            <v>0.993547905005847</v>
          </cell>
        </row>
        <row r="10386">
          <cell r="A10386" t="str">
            <v>KATHREIN</v>
          </cell>
          <cell r="B10386" t="str">
            <v>840 10525</v>
          </cell>
          <cell r="O10386">
            <v>1.7019285300925899</v>
          </cell>
          <cell r="T10386">
            <v>0.993547905005847</v>
          </cell>
        </row>
        <row r="10387">
          <cell r="A10387" t="str">
            <v>KATHREIN</v>
          </cell>
          <cell r="B10387" t="str">
            <v>840 21110</v>
          </cell>
          <cell r="O10387">
            <v>6.8495260990000002</v>
          </cell>
          <cell r="T10387">
            <v>1.9116777029999998</v>
          </cell>
        </row>
        <row r="10388">
          <cell r="A10388" t="str">
            <v>KATHREIN</v>
          </cell>
          <cell r="B10388" t="str">
            <v>840 21120</v>
          </cell>
          <cell r="O10388">
            <v>3.6468843636244901</v>
          </cell>
          <cell r="T10388">
            <v>1.81975398128119</v>
          </cell>
        </row>
        <row r="10389">
          <cell r="A10389" t="str">
            <v>KATHREIN</v>
          </cell>
          <cell r="B10389" t="str">
            <v>840 21140</v>
          </cell>
          <cell r="O10389">
            <v>11.07969102</v>
          </cell>
          <cell r="T10389">
            <v>3.2136535980000001</v>
          </cell>
        </row>
        <row r="10390">
          <cell r="A10390" t="str">
            <v>KATHREIN</v>
          </cell>
          <cell r="B10390" t="str">
            <v>840 21170</v>
          </cell>
          <cell r="O10390">
            <v>14.682626129999989</v>
          </cell>
          <cell r="T10390">
            <v>4.2610999810000001</v>
          </cell>
        </row>
        <row r="10391">
          <cell r="A10391" t="str">
            <v>KATHREIN</v>
          </cell>
          <cell r="B10391" t="str">
            <v>840 21170-02</v>
          </cell>
          <cell r="O10391">
            <v>14.682626129999989</v>
          </cell>
          <cell r="T10391">
            <v>4.2610999810000001</v>
          </cell>
        </row>
        <row r="10392">
          <cell r="A10392" t="str">
            <v>KATHREIN</v>
          </cell>
          <cell r="B10392" t="str">
            <v>840 21210</v>
          </cell>
          <cell r="O10392">
            <v>6.8495260990000002</v>
          </cell>
          <cell r="T10392">
            <v>1.9116777029999998</v>
          </cell>
        </row>
        <row r="10393">
          <cell r="A10393" t="str">
            <v>KATHREIN</v>
          </cell>
          <cell r="B10393" t="str">
            <v>840 21210 14</v>
          </cell>
          <cell r="O10393">
            <v>6.8495260990000002</v>
          </cell>
          <cell r="T10393">
            <v>1.9116777029999998</v>
          </cell>
        </row>
        <row r="10394">
          <cell r="A10394" t="str">
            <v>KATHREIN</v>
          </cell>
          <cell r="B10394" t="str">
            <v>840 21210-02</v>
          </cell>
          <cell r="O10394">
            <v>6.8495260990000002</v>
          </cell>
          <cell r="T10394">
            <v>1.9116777029999998</v>
          </cell>
        </row>
        <row r="10395">
          <cell r="A10395" t="str">
            <v>KATHREIN</v>
          </cell>
          <cell r="B10395" t="str">
            <v>840 21210-06</v>
          </cell>
          <cell r="O10395">
            <v>3.6468843636244901</v>
          </cell>
          <cell r="T10395">
            <v>1.81975398128119</v>
          </cell>
        </row>
        <row r="10396">
          <cell r="A10396" t="str">
            <v>KATHREIN</v>
          </cell>
          <cell r="B10396" t="str">
            <v>840 21210-08</v>
          </cell>
          <cell r="O10396">
            <v>3.6468843636244901</v>
          </cell>
          <cell r="T10396">
            <v>1.81975398128119</v>
          </cell>
        </row>
        <row r="10397">
          <cell r="A10397" t="str">
            <v>KATHREIN</v>
          </cell>
          <cell r="B10397" t="str">
            <v>840 21210-10</v>
          </cell>
          <cell r="O10397"/>
          <cell r="T10397"/>
        </row>
        <row r="10398">
          <cell r="A10398" t="str">
            <v>KATHREIN</v>
          </cell>
          <cell r="B10398" t="str">
            <v>840 21210-12</v>
          </cell>
          <cell r="O10398">
            <v>6.8495260990000002</v>
          </cell>
          <cell r="T10398">
            <v>1.9116777029999998</v>
          </cell>
        </row>
        <row r="10399">
          <cell r="A10399" t="str">
            <v>KATHREIN</v>
          </cell>
          <cell r="B10399" t="str">
            <v>840 21210-14</v>
          </cell>
          <cell r="O10399">
            <v>6.8495260990000002</v>
          </cell>
          <cell r="T10399">
            <v>1.9116777029999998</v>
          </cell>
        </row>
        <row r="10400">
          <cell r="A10400" t="str">
            <v>KATHREIN</v>
          </cell>
          <cell r="B10400" t="str">
            <v>840 21210-2</v>
          </cell>
          <cell r="O10400">
            <v>6.8495260990000002</v>
          </cell>
          <cell r="T10400">
            <v>1.9116777029999998</v>
          </cell>
        </row>
        <row r="10401">
          <cell r="A10401" t="str">
            <v>KATHREIN</v>
          </cell>
          <cell r="B10401" t="str">
            <v>840 21210-4</v>
          </cell>
          <cell r="O10401">
            <v>6.8495260990000002</v>
          </cell>
          <cell r="T10401">
            <v>1.9116777029999998</v>
          </cell>
        </row>
        <row r="10402">
          <cell r="A10402" t="str">
            <v>KATHREIN</v>
          </cell>
          <cell r="B10402" t="str">
            <v>840 21220</v>
          </cell>
          <cell r="O10402">
            <v>3.6468843636244901</v>
          </cell>
          <cell r="T10402">
            <v>1.81975398128119</v>
          </cell>
        </row>
        <row r="10403">
          <cell r="A10403" t="str">
            <v>KATHREIN</v>
          </cell>
          <cell r="B10403" t="str">
            <v>840 21240</v>
          </cell>
          <cell r="O10403">
            <v>11.07969102</v>
          </cell>
          <cell r="T10403">
            <v>3.2136535980000001</v>
          </cell>
        </row>
        <row r="10404">
          <cell r="A10404" t="str">
            <v>KATHREIN</v>
          </cell>
          <cell r="B10404" t="str">
            <v>840 21240-02</v>
          </cell>
          <cell r="O10404">
            <v>11.07969102</v>
          </cell>
          <cell r="T10404">
            <v>3.2136535980000001</v>
          </cell>
        </row>
        <row r="10405">
          <cell r="A10405" t="str">
            <v>KATHREIN</v>
          </cell>
          <cell r="B10405" t="str">
            <v>840 21240-04</v>
          </cell>
          <cell r="O10405">
            <v>11.07969102</v>
          </cell>
          <cell r="T10405">
            <v>3.2136535980000001</v>
          </cell>
        </row>
        <row r="10406">
          <cell r="A10406" t="str">
            <v>KATHREIN</v>
          </cell>
          <cell r="B10406" t="str">
            <v>840 21240-06</v>
          </cell>
          <cell r="O10406">
            <v>11.07969102</v>
          </cell>
          <cell r="T10406">
            <v>3.2136535980000001</v>
          </cell>
        </row>
        <row r="10407">
          <cell r="A10407" t="str">
            <v>KATHREIN</v>
          </cell>
          <cell r="B10407" t="str">
            <v>840 21240-08</v>
          </cell>
          <cell r="O10407">
            <v>11.07969102</v>
          </cell>
          <cell r="T10407">
            <v>3.2136535980000001</v>
          </cell>
        </row>
        <row r="10408">
          <cell r="A10408" t="str">
            <v>KATHREIN</v>
          </cell>
          <cell r="B10408" t="str">
            <v>840 21270</v>
          </cell>
          <cell r="O10408">
            <v>14.682626129999989</v>
          </cell>
          <cell r="T10408">
            <v>4.2610999810000001</v>
          </cell>
        </row>
        <row r="10409">
          <cell r="A10409" t="str">
            <v>KATHREIN</v>
          </cell>
          <cell r="B10409" t="str">
            <v>840 21270-02</v>
          </cell>
          <cell r="O10409">
            <v>14.682626129999989</v>
          </cell>
          <cell r="T10409">
            <v>4.2610999810000001</v>
          </cell>
        </row>
        <row r="10410">
          <cell r="A10410" t="str">
            <v>KATHREIN</v>
          </cell>
          <cell r="B10410" t="str">
            <v>840 21270-06</v>
          </cell>
          <cell r="O10410">
            <v>14.682626129999989</v>
          </cell>
          <cell r="T10410">
            <v>4.2610999810000001</v>
          </cell>
        </row>
        <row r="10411">
          <cell r="A10411" t="str">
            <v>KATHREIN</v>
          </cell>
          <cell r="B10411" t="str">
            <v>840 21280</v>
          </cell>
          <cell r="O10411"/>
          <cell r="T10411"/>
        </row>
        <row r="10412">
          <cell r="A10412" t="str">
            <v>KATHREIN</v>
          </cell>
          <cell r="B10412" t="str">
            <v>840 21310</v>
          </cell>
          <cell r="O10412">
            <v>6.8495260990000002</v>
          </cell>
          <cell r="T10412">
            <v>1.9116777029999998</v>
          </cell>
        </row>
        <row r="10413">
          <cell r="A10413" t="str">
            <v>KATHREIN</v>
          </cell>
          <cell r="B10413" t="str">
            <v>840 21440-04-02</v>
          </cell>
          <cell r="O10413">
            <v>11.07969102</v>
          </cell>
          <cell r="T10413">
            <v>3.2136535980000001</v>
          </cell>
        </row>
        <row r="10414">
          <cell r="A10414" t="str">
            <v>KATHREIN</v>
          </cell>
          <cell r="B10414" t="str">
            <v>840370799</v>
          </cell>
          <cell r="O10414">
            <v>12.914443479938289</v>
          </cell>
          <cell r="T10414">
            <v>5.7167715121389797</v>
          </cell>
        </row>
        <row r="10415">
          <cell r="A10415" t="str">
            <v>KATHREIN</v>
          </cell>
          <cell r="B10415" t="str">
            <v>840370964</v>
          </cell>
          <cell r="O10415">
            <v>6.3787348678632894</v>
          </cell>
          <cell r="T10415">
            <v>2.8216199899561696</v>
          </cell>
        </row>
        <row r="10416">
          <cell r="A10416" t="str">
            <v>KATHREIN</v>
          </cell>
          <cell r="B10416" t="str">
            <v>840370966</v>
          </cell>
          <cell r="O10416">
            <v>12.914443479938289</v>
          </cell>
          <cell r="T10416">
            <v>5.7167715121389797</v>
          </cell>
        </row>
        <row r="10417">
          <cell r="A10417" t="str">
            <v>KATHREIN</v>
          </cell>
          <cell r="B10417" t="str">
            <v>A636061</v>
          </cell>
          <cell r="O10417"/>
          <cell r="T10417"/>
        </row>
        <row r="10418">
          <cell r="A10418" t="str">
            <v>KATHREIN</v>
          </cell>
          <cell r="B10418" t="str">
            <v>AP10-880/065D</v>
          </cell>
          <cell r="O10418">
            <v>2.2999127742541301</v>
          </cell>
          <cell r="T10418">
            <v>0.95787583513086894</v>
          </cell>
        </row>
        <row r="10419">
          <cell r="A10419" t="str">
            <v>KATHREIN</v>
          </cell>
          <cell r="B10419" t="str">
            <v>AP11-850/105</v>
          </cell>
          <cell r="O10419"/>
          <cell r="T10419"/>
        </row>
        <row r="10420">
          <cell r="A10420" t="str">
            <v>KATHREIN</v>
          </cell>
          <cell r="B10420" t="str">
            <v>AP11-850/105D</v>
          </cell>
          <cell r="O10420"/>
          <cell r="T10420"/>
        </row>
        <row r="10421">
          <cell r="A10421" t="str">
            <v>KATHREIN</v>
          </cell>
          <cell r="B10421" t="str">
            <v>AP11-850/105N</v>
          </cell>
          <cell r="O10421"/>
          <cell r="T10421"/>
        </row>
        <row r="10422">
          <cell r="A10422" t="str">
            <v>KATHREIN</v>
          </cell>
          <cell r="B10422" t="str">
            <v>AP11-880/090D/XP</v>
          </cell>
          <cell r="O10422"/>
          <cell r="T10422"/>
        </row>
        <row r="10423">
          <cell r="A10423" t="str">
            <v>KATHREIN</v>
          </cell>
          <cell r="B10423" t="str">
            <v>AP11/16-880/1940/088D/ADT/XXP</v>
          </cell>
          <cell r="O10423">
            <v>3.738910089</v>
          </cell>
          <cell r="T10423">
            <v>2.1664268</v>
          </cell>
        </row>
        <row r="10424">
          <cell r="A10424" t="str">
            <v>KATHREIN</v>
          </cell>
          <cell r="B10424" t="str">
            <v>AP12-880/065D/ADT-XP 739-681</v>
          </cell>
          <cell r="O10424"/>
          <cell r="T10424"/>
        </row>
        <row r="10425">
          <cell r="A10425" t="str">
            <v>KATHREIN</v>
          </cell>
          <cell r="B10425" t="str">
            <v>AP12/14-890/1940/065D/XXP</v>
          </cell>
          <cell r="O10425">
            <v>1.7754846643518498</v>
          </cell>
          <cell r="T10425">
            <v>0.94606363364973001</v>
          </cell>
        </row>
        <row r="10426">
          <cell r="A10426" t="str">
            <v>KATHREIN</v>
          </cell>
          <cell r="B10426" t="str">
            <v>AP13-850/065/ADT</v>
          </cell>
          <cell r="O10426"/>
          <cell r="T10426"/>
        </row>
        <row r="10427">
          <cell r="A10427" t="str">
            <v>KATHREIN</v>
          </cell>
          <cell r="B10427" t="str">
            <v>AP13-880/065/DT12/XPV</v>
          </cell>
          <cell r="O10427"/>
          <cell r="T10427"/>
        </row>
        <row r="10428">
          <cell r="A10428" t="str">
            <v>KATHREIN</v>
          </cell>
          <cell r="B10428" t="str">
            <v>AP13-880/065/DT6/XPV</v>
          </cell>
          <cell r="O10428"/>
          <cell r="T10428"/>
        </row>
        <row r="10429">
          <cell r="A10429" t="str">
            <v>KATHREIN</v>
          </cell>
          <cell r="B10429" t="str">
            <v>AP13-880/085D/ADT/XP</v>
          </cell>
          <cell r="O10429"/>
          <cell r="T10429"/>
        </row>
        <row r="10430">
          <cell r="A10430" t="str">
            <v>KATHREIN</v>
          </cell>
          <cell r="B10430" t="str">
            <v>AP13-880/090D</v>
          </cell>
          <cell r="O10430">
            <v>7.4065845752455193</v>
          </cell>
          <cell r="T10430">
            <v>3.0861292320002995</v>
          </cell>
        </row>
        <row r="10431">
          <cell r="A10431" t="str">
            <v>KATHREIN</v>
          </cell>
          <cell r="B10431" t="str">
            <v>AP14-850/065D</v>
          </cell>
          <cell r="O10431"/>
          <cell r="T10431"/>
        </row>
        <row r="10432">
          <cell r="A10432" t="str">
            <v>KATHREIN</v>
          </cell>
          <cell r="B10432" t="str">
            <v>AP14-850/105N</v>
          </cell>
          <cell r="O10432">
            <v>9.910364057363731</v>
          </cell>
          <cell r="T10432">
            <v>4.081318814989789</v>
          </cell>
        </row>
        <row r="10433">
          <cell r="A10433" t="str">
            <v>KATHREIN</v>
          </cell>
          <cell r="B10433" t="str">
            <v>AP14-880/090/XP</v>
          </cell>
          <cell r="O10433"/>
          <cell r="T10433"/>
        </row>
        <row r="10434">
          <cell r="A10434" t="str">
            <v>KATHREIN</v>
          </cell>
          <cell r="B10434" t="str">
            <v>AP14-880/090D/DT6/XP</v>
          </cell>
          <cell r="O10434"/>
          <cell r="T10434"/>
        </row>
        <row r="10435">
          <cell r="A10435" t="str">
            <v>KATHREIN</v>
          </cell>
          <cell r="B10435" t="str">
            <v>AP14/17-880/1940/065D/ADT/XXP</v>
          </cell>
          <cell r="O10435">
            <v>4.258091724999999</v>
          </cell>
          <cell r="T10435">
            <v>2.2709658399999997</v>
          </cell>
        </row>
        <row r="10436">
          <cell r="A10436" t="str">
            <v>KATHREIN</v>
          </cell>
          <cell r="B10436" t="str">
            <v>AP14/17-880/1940/088D/ADT/XXP</v>
          </cell>
          <cell r="O10436">
            <v>6.2925877699999999</v>
          </cell>
          <cell r="T10436">
            <v>3.4914940120000004</v>
          </cell>
        </row>
        <row r="10437">
          <cell r="A10437" t="str">
            <v>KATHREIN</v>
          </cell>
          <cell r="B10437" t="str">
            <v>AP15-1940/065D/ADT/XP</v>
          </cell>
          <cell r="O10437">
            <v>1.3104692834293099</v>
          </cell>
          <cell r="T10437">
            <v>0.578028376104193</v>
          </cell>
        </row>
        <row r="10438">
          <cell r="A10438" t="str">
            <v>KATHREIN</v>
          </cell>
          <cell r="B10438" t="str">
            <v>AP15-1940/065D/ADT/XXP</v>
          </cell>
          <cell r="O10438"/>
          <cell r="T10438"/>
        </row>
        <row r="10439">
          <cell r="A10439" t="str">
            <v>KATHREIN</v>
          </cell>
          <cell r="B10439" t="str">
            <v>AP15-850/090</v>
          </cell>
          <cell r="O10439">
            <v>9.910364057363731</v>
          </cell>
          <cell r="T10439">
            <v>4.081318814989789</v>
          </cell>
        </row>
        <row r="10440">
          <cell r="A10440" t="str">
            <v>KATHREIN</v>
          </cell>
          <cell r="B10440" t="str">
            <v>AP15/18-800/1940/065D/ADT/XXP</v>
          </cell>
          <cell r="O10440"/>
          <cell r="T10440"/>
        </row>
        <row r="10441">
          <cell r="A10441" t="str">
            <v>KATHREIN</v>
          </cell>
          <cell r="B10441" t="str">
            <v>AP15/18-880/1940/065D/ADT/XXP</v>
          </cell>
          <cell r="O10441">
            <v>6.1477141203703694</v>
          </cell>
          <cell r="T10441">
            <v>3.2850933556961599</v>
          </cell>
        </row>
        <row r="10442">
          <cell r="A10442" t="str">
            <v>KATHREIN</v>
          </cell>
          <cell r="B10442" t="str">
            <v>AP16-1670/090D/DT4</v>
          </cell>
          <cell r="O10442">
            <v>2.34675677226305</v>
          </cell>
          <cell r="T10442">
            <v>0.86459224660804002</v>
          </cell>
        </row>
        <row r="10443">
          <cell r="A10443" t="str">
            <v>KATHREIN</v>
          </cell>
          <cell r="B10443" t="str">
            <v>AP16-1940/088D/ADT/XP</v>
          </cell>
          <cell r="O10443">
            <v>2.33</v>
          </cell>
          <cell r="T10443">
            <v>1.04</v>
          </cell>
        </row>
        <row r="10444">
          <cell r="A10444" t="str">
            <v>KATHREIN</v>
          </cell>
          <cell r="B10444" t="str">
            <v>AP16-850/065/DT6</v>
          </cell>
          <cell r="O10444">
            <v>9.910364057363731</v>
          </cell>
          <cell r="T10444">
            <v>4.081318814989789</v>
          </cell>
        </row>
        <row r="10445">
          <cell r="A10445" t="str">
            <v>KATHREIN</v>
          </cell>
          <cell r="B10445" t="str">
            <v>AP16-850/065D</v>
          </cell>
          <cell r="O10445">
            <v>9.910364057363731</v>
          </cell>
          <cell r="T10445">
            <v>4.081318814989789</v>
          </cell>
        </row>
        <row r="10446">
          <cell r="A10446" t="str">
            <v>KATHREIN</v>
          </cell>
          <cell r="B10446" t="str">
            <v>AP16-850/065D/DT12</v>
          </cell>
          <cell r="O10446">
            <v>9.910364057363731</v>
          </cell>
          <cell r="T10446">
            <v>4.081318814989789</v>
          </cell>
        </row>
        <row r="10447">
          <cell r="A10447" t="str">
            <v>KATHREIN</v>
          </cell>
          <cell r="B10447" t="str">
            <v>AP16-850/065D/DT3</v>
          </cell>
          <cell r="O10447">
            <v>9.910364057363731</v>
          </cell>
          <cell r="T10447">
            <v>4.081318814989789</v>
          </cell>
        </row>
        <row r="10448">
          <cell r="A10448" t="str">
            <v>KATHREIN</v>
          </cell>
          <cell r="B10448" t="str">
            <v>AP16-850/065D/DT6</v>
          </cell>
          <cell r="O10448">
            <v>9.910364057363731</v>
          </cell>
          <cell r="T10448">
            <v>4.081318814989789</v>
          </cell>
        </row>
        <row r="10449">
          <cell r="A10449" t="str">
            <v>KATHREIN</v>
          </cell>
          <cell r="B10449" t="str">
            <v>AP16-850/065N</v>
          </cell>
          <cell r="O10449">
            <v>9.910364057363731</v>
          </cell>
          <cell r="T10449">
            <v>4.081318814989789</v>
          </cell>
        </row>
        <row r="10450">
          <cell r="A10450" t="str">
            <v>KATHREIN</v>
          </cell>
          <cell r="B10450" t="str">
            <v>AP16-850/065N/DT12</v>
          </cell>
          <cell r="O10450">
            <v>9.910364057363731</v>
          </cell>
          <cell r="T10450">
            <v>4.081318814989789</v>
          </cell>
        </row>
        <row r="10451">
          <cell r="A10451" t="str">
            <v>KATHREIN</v>
          </cell>
          <cell r="B10451" t="str">
            <v>AP16-850/065N/DT3</v>
          </cell>
          <cell r="O10451">
            <v>9.910364057363731</v>
          </cell>
          <cell r="T10451">
            <v>4.081318814989789</v>
          </cell>
        </row>
        <row r="10452">
          <cell r="A10452" t="str">
            <v>KATHREIN</v>
          </cell>
          <cell r="B10452" t="str">
            <v>AP16-850/065N/DT6</v>
          </cell>
          <cell r="O10452">
            <v>9.910364057363731</v>
          </cell>
          <cell r="T10452">
            <v>4.081318814989789</v>
          </cell>
        </row>
        <row r="10453">
          <cell r="A10453" t="str">
            <v>KATHREIN</v>
          </cell>
          <cell r="B10453" t="str">
            <v>AP16-880/065/DT6/XP</v>
          </cell>
          <cell r="O10453"/>
          <cell r="T10453"/>
        </row>
        <row r="10454">
          <cell r="A10454" t="str">
            <v>KATHREIN</v>
          </cell>
          <cell r="B10454" t="str">
            <v>AP16-890/1940/065D/ADT/XXXP</v>
          </cell>
          <cell r="O10454"/>
          <cell r="T10454"/>
        </row>
        <row r="10455">
          <cell r="A10455" t="str">
            <v>KATHREIN</v>
          </cell>
          <cell r="B10455" t="str">
            <v>AP17-1900/090D</v>
          </cell>
          <cell r="O10455">
            <v>2.9647790772255602</v>
          </cell>
          <cell r="T10455">
            <v>1.09244434953141</v>
          </cell>
        </row>
        <row r="10456">
          <cell r="A10456" t="str">
            <v>KATHREIN</v>
          </cell>
          <cell r="B10456" t="str">
            <v>AP17-1900/090D/DT2</v>
          </cell>
          <cell r="O10456">
            <v>2.9647790772255602</v>
          </cell>
          <cell r="T10456">
            <v>1.09244434953141</v>
          </cell>
        </row>
        <row r="10457">
          <cell r="A10457" t="str">
            <v>KATHREIN</v>
          </cell>
          <cell r="B10457" t="str">
            <v>AP17-1940/088D/ADT/XXP</v>
          </cell>
          <cell r="O10457">
            <v>5.8839391392401001</v>
          </cell>
          <cell r="T10457">
            <v>1.29827827023966</v>
          </cell>
        </row>
        <row r="10458">
          <cell r="A10458" t="str">
            <v>KATHREIN</v>
          </cell>
          <cell r="B10458" t="str">
            <v>AP17-1940/088D/DT2/XP</v>
          </cell>
          <cell r="O10458">
            <v>2.7241545460000003</v>
          </cell>
          <cell r="T10458">
            <v>1.2036540149999999</v>
          </cell>
        </row>
        <row r="10459">
          <cell r="A10459" t="str">
            <v>KATHREIN</v>
          </cell>
          <cell r="B10459" t="str">
            <v>AP18-1850/065D/XP</v>
          </cell>
          <cell r="O10459"/>
          <cell r="T10459"/>
        </row>
        <row r="10460">
          <cell r="A10460" t="str">
            <v>KATHREIN</v>
          </cell>
          <cell r="B10460" t="str">
            <v>AP18-1900/063D</v>
          </cell>
          <cell r="O10460">
            <v>2.6868526090000002</v>
          </cell>
          <cell r="T10460">
            <v>0.74760765500000004</v>
          </cell>
        </row>
        <row r="10461">
          <cell r="A10461" t="str">
            <v>KATHREIN</v>
          </cell>
          <cell r="B10461" t="str">
            <v>AP18-1900/063D/DT2</v>
          </cell>
          <cell r="O10461"/>
          <cell r="T10461"/>
        </row>
        <row r="10462">
          <cell r="A10462" t="str">
            <v>KATHREIN</v>
          </cell>
          <cell r="B10462" t="str">
            <v>AP18-1900/090D</v>
          </cell>
          <cell r="O10462">
            <v>3.5769987336194098</v>
          </cell>
          <cell r="T10462">
            <v>1.3181621904443899</v>
          </cell>
        </row>
        <row r="10463">
          <cell r="A10463" t="str">
            <v>KATHREIN</v>
          </cell>
          <cell r="B10463" t="str">
            <v>AP18-1940/065D/ADT/XP</v>
          </cell>
          <cell r="O10463">
            <v>2.7241545460000003</v>
          </cell>
          <cell r="T10463">
            <v>1.2036540149999999</v>
          </cell>
        </row>
        <row r="10464">
          <cell r="A10464" t="str">
            <v>KATHREIN</v>
          </cell>
          <cell r="B10464" t="str">
            <v>AP18-1940/065D/ADT/XXP</v>
          </cell>
          <cell r="O10464"/>
          <cell r="T10464"/>
        </row>
        <row r="10465">
          <cell r="A10465" t="str">
            <v>KATHREIN</v>
          </cell>
          <cell r="B10465" t="str">
            <v>AP18-1940/088D/ADT/XP</v>
          </cell>
          <cell r="O10465"/>
          <cell r="T10465"/>
        </row>
        <row r="10466">
          <cell r="A10466" t="str">
            <v>KATHREIN</v>
          </cell>
          <cell r="B10466" t="str">
            <v>AP19-1670/090D/DT2</v>
          </cell>
          <cell r="O10466">
            <v>4.8407276469442104</v>
          </cell>
          <cell r="T10466">
            <v>1.7840034488077201</v>
          </cell>
        </row>
        <row r="10467">
          <cell r="A10467" t="str">
            <v>KATHREIN</v>
          </cell>
          <cell r="B10467" t="str">
            <v>AP19-1940/065D/ADT/XP</v>
          </cell>
          <cell r="O10467"/>
          <cell r="T10467"/>
        </row>
        <row r="10468">
          <cell r="A10468" t="str">
            <v>KATHREIN</v>
          </cell>
          <cell r="B10468" t="str">
            <v>AP19-1940/065D/ADT/XXP</v>
          </cell>
          <cell r="O10468"/>
          <cell r="T10468"/>
        </row>
        <row r="10469">
          <cell r="A10469" t="str">
            <v>KATHREIN</v>
          </cell>
          <cell r="B10469" t="str">
            <v>AP20-1900/063D</v>
          </cell>
          <cell r="O10469"/>
          <cell r="T10469"/>
        </row>
        <row r="10470">
          <cell r="A10470" t="str">
            <v>KATHREIN</v>
          </cell>
          <cell r="B10470" t="str">
            <v>AP20-1940/045D/ADT/XP</v>
          </cell>
          <cell r="O10470">
            <v>3.530694591</v>
          </cell>
          <cell r="T10470">
            <v>1.219212838</v>
          </cell>
        </row>
        <row r="10471">
          <cell r="A10471" t="str">
            <v>KATHREIN</v>
          </cell>
          <cell r="B10471" t="str">
            <v>AP21-1900/065D</v>
          </cell>
          <cell r="O10471"/>
          <cell r="T10471"/>
        </row>
        <row r="10472">
          <cell r="A10472" t="str">
            <v>KATHREIN</v>
          </cell>
          <cell r="B10472" t="str">
            <v>AP21-1940/030D/ADT/XP</v>
          </cell>
          <cell r="O10472"/>
          <cell r="T10472"/>
        </row>
        <row r="10473">
          <cell r="A10473" t="str">
            <v>KATHREIN</v>
          </cell>
          <cell r="B10473" t="str">
            <v>AP22-1850/033D</v>
          </cell>
          <cell r="O10473">
            <v>7.1370544130000004</v>
          </cell>
          <cell r="T10473">
            <v>1.6465026880000002</v>
          </cell>
        </row>
        <row r="10474">
          <cell r="A10474" t="str">
            <v>KATHREIN</v>
          </cell>
          <cell r="B10474" t="str">
            <v>AP23-1900</v>
          </cell>
          <cell r="O10474"/>
          <cell r="T10474"/>
        </row>
        <row r="10475">
          <cell r="A10475" t="str">
            <v>KATHREIN</v>
          </cell>
          <cell r="B10475" t="str">
            <v>AP23-1900/030D</v>
          </cell>
          <cell r="O10475"/>
          <cell r="T10475"/>
        </row>
        <row r="10476">
          <cell r="A10476" t="str">
            <v>KATHREIN</v>
          </cell>
          <cell r="B10476" t="str">
            <v>AP23-1900/032</v>
          </cell>
          <cell r="O10476"/>
          <cell r="T10476"/>
        </row>
        <row r="10477">
          <cell r="A10477" t="str">
            <v>KATHREIN</v>
          </cell>
          <cell r="B10477" t="str">
            <v>AP23-1900/0320</v>
          </cell>
          <cell r="O10477"/>
          <cell r="T10477"/>
        </row>
        <row r="10478">
          <cell r="A10478" t="str">
            <v>KATHREIN</v>
          </cell>
          <cell r="B10478" t="str">
            <v>AP7-850/065D</v>
          </cell>
          <cell r="O10478">
            <v>1.1030502507715998</v>
          </cell>
          <cell r="T10478">
            <v>0.45340780274817893</v>
          </cell>
        </row>
        <row r="10479">
          <cell r="A10479" t="str">
            <v>KATHREIN</v>
          </cell>
          <cell r="B10479" t="str">
            <v>AP9-850/090</v>
          </cell>
          <cell r="O10479">
            <v>2.2924353780203299</v>
          </cell>
          <cell r="T10479">
            <v>0.94363538835996796</v>
          </cell>
        </row>
        <row r="10480">
          <cell r="A10480" t="str">
            <v>KATHREIN</v>
          </cell>
          <cell r="B10480" t="str">
            <v>AP9-850/090N</v>
          </cell>
          <cell r="O10480">
            <v>2.2924353780203299</v>
          </cell>
          <cell r="T10480">
            <v>0.94363538835996796</v>
          </cell>
        </row>
        <row r="10481">
          <cell r="A10481" t="str">
            <v>KATHREIN</v>
          </cell>
          <cell r="B10481" t="str">
            <v>ATC-BCC3120-VO-21</v>
          </cell>
          <cell r="O10481"/>
          <cell r="T10481"/>
        </row>
        <row r="10482">
          <cell r="A10482" t="str">
            <v>KATHREIN</v>
          </cell>
          <cell r="B10482" t="str">
            <v>ATC-BCC412M-V3-29</v>
          </cell>
          <cell r="O10482"/>
          <cell r="T10482"/>
        </row>
        <row r="10483">
          <cell r="A10483" t="str">
            <v>KATHREIN</v>
          </cell>
          <cell r="B10483" t="str">
            <v>ATC-BCC414O-V0-18</v>
          </cell>
          <cell r="O10483"/>
          <cell r="T10483"/>
        </row>
        <row r="10484">
          <cell r="A10484" t="str">
            <v>KATHREIN</v>
          </cell>
          <cell r="B10484" t="str">
            <v>ATC-BCSC12M-U1</v>
          </cell>
          <cell r="O10484"/>
          <cell r="T10484"/>
        </row>
        <row r="10485">
          <cell r="A10485" t="str">
            <v>KATHREIN</v>
          </cell>
          <cell r="B10485" t="str">
            <v>BPV10-450/067</v>
          </cell>
          <cell r="O10485"/>
          <cell r="T10485"/>
        </row>
        <row r="10486">
          <cell r="A10486" t="str">
            <v>KATHREIN</v>
          </cell>
          <cell r="B10486" t="str">
            <v>BPV10-450/067-6</v>
          </cell>
          <cell r="O10486"/>
          <cell r="T10486"/>
        </row>
        <row r="10487">
          <cell r="A10487" t="str">
            <v>KATHREIN</v>
          </cell>
          <cell r="B10487" t="str">
            <v>BPV7-450/063</v>
          </cell>
          <cell r="O10487"/>
          <cell r="T10487"/>
        </row>
        <row r="10488">
          <cell r="A10488" t="str">
            <v>KATHREIN</v>
          </cell>
          <cell r="B10488" t="str">
            <v>CA2</v>
          </cell>
          <cell r="O10488"/>
          <cell r="T10488"/>
        </row>
        <row r="10489">
          <cell r="A10489" t="str">
            <v>KATHREIN</v>
          </cell>
          <cell r="B10489" t="str">
            <v>CA2-FM</v>
          </cell>
          <cell r="O10489"/>
          <cell r="T10489"/>
        </row>
        <row r="10490">
          <cell r="A10490" t="str">
            <v>KATHREIN</v>
          </cell>
          <cell r="B10490" t="str">
            <v>CA2-FM/CP</v>
          </cell>
          <cell r="O10490"/>
          <cell r="T10490"/>
        </row>
        <row r="10491">
          <cell r="A10491" t="str">
            <v>KATHREIN</v>
          </cell>
          <cell r="B10491" t="str">
            <v>CA2-V</v>
          </cell>
          <cell r="O10491"/>
          <cell r="T10491"/>
        </row>
        <row r="10492">
          <cell r="A10492" t="str">
            <v>KATHREIN</v>
          </cell>
          <cell r="B10492" t="str">
            <v>CA5-150/URM</v>
          </cell>
          <cell r="O10492"/>
          <cell r="T10492"/>
        </row>
        <row r="10493">
          <cell r="A10493" t="str">
            <v>KATHREIN</v>
          </cell>
          <cell r="B10493" t="str">
            <v>CA5-150EB/CP</v>
          </cell>
          <cell r="O10493"/>
          <cell r="T10493"/>
        </row>
        <row r="10494">
          <cell r="A10494" t="str">
            <v>KATHREIN</v>
          </cell>
          <cell r="B10494" t="str">
            <v>CA5-400</v>
          </cell>
          <cell r="O10494"/>
          <cell r="T10494"/>
        </row>
        <row r="10495">
          <cell r="A10495" t="str">
            <v>KATHREIN</v>
          </cell>
          <cell r="B10495" t="str">
            <v>CA5-FM/CP/RM</v>
          </cell>
          <cell r="O10495"/>
          <cell r="T10495"/>
        </row>
        <row r="10496">
          <cell r="A10496" t="str">
            <v>KATHREIN</v>
          </cell>
          <cell r="B10496" t="str">
            <v>CA7-410</v>
          </cell>
          <cell r="O10496"/>
          <cell r="T10496"/>
        </row>
        <row r="10497">
          <cell r="A10497" t="str">
            <v>KATHREIN</v>
          </cell>
          <cell r="B10497" t="str">
            <v>CA7-460</v>
          </cell>
          <cell r="O10497"/>
          <cell r="T10497"/>
        </row>
        <row r="10498">
          <cell r="A10498" t="str">
            <v>KATHREIN</v>
          </cell>
          <cell r="B10498" t="str">
            <v>CA7-500</v>
          </cell>
          <cell r="O10498"/>
          <cell r="T10498"/>
        </row>
        <row r="10499">
          <cell r="A10499" t="str">
            <v>KATHREIN</v>
          </cell>
          <cell r="B10499" t="str">
            <v>CL-1469</v>
          </cell>
          <cell r="O10499"/>
          <cell r="T10499"/>
        </row>
        <row r="10500">
          <cell r="A10500" t="str">
            <v>KATHREIN</v>
          </cell>
          <cell r="B10500" t="str">
            <v>CL-1469/75</v>
          </cell>
          <cell r="O10500"/>
          <cell r="T10500"/>
        </row>
        <row r="10501">
          <cell r="A10501" t="str">
            <v>KATHREIN</v>
          </cell>
          <cell r="B10501" t="str">
            <v>CL-1469B</v>
          </cell>
          <cell r="O10501"/>
          <cell r="T10501"/>
        </row>
        <row r="10502">
          <cell r="A10502" t="str">
            <v>KATHREIN</v>
          </cell>
          <cell r="B10502" t="str">
            <v>CL-1469B/75</v>
          </cell>
          <cell r="O10502"/>
          <cell r="T10502"/>
        </row>
        <row r="10503">
          <cell r="A10503" t="str">
            <v>KATHREIN</v>
          </cell>
          <cell r="B10503" t="str">
            <v>CL-150V</v>
          </cell>
          <cell r="O10503"/>
          <cell r="T10503"/>
        </row>
        <row r="10504">
          <cell r="A10504" t="str">
            <v>KATHREIN</v>
          </cell>
          <cell r="B10504" t="str">
            <v>CL-24/HRM</v>
          </cell>
          <cell r="O10504"/>
          <cell r="T10504"/>
        </row>
        <row r="10505">
          <cell r="A10505" t="str">
            <v>KATHREIN</v>
          </cell>
          <cell r="B10505" t="str">
            <v>CL-46/HRM</v>
          </cell>
          <cell r="O10505"/>
          <cell r="T10505"/>
        </row>
        <row r="10506">
          <cell r="A10506" t="str">
            <v>KATHREIN</v>
          </cell>
          <cell r="B10506" t="str">
            <v>CL-713/HRM</v>
          </cell>
          <cell r="O10506"/>
          <cell r="T10506"/>
        </row>
        <row r="10507">
          <cell r="A10507" t="str">
            <v>KATHREIN</v>
          </cell>
          <cell r="B10507" t="str">
            <v>CL-900B</v>
          </cell>
          <cell r="O10507"/>
          <cell r="T10507"/>
        </row>
        <row r="10508">
          <cell r="A10508" t="str">
            <v>KATHREIN</v>
          </cell>
          <cell r="B10508" t="str">
            <v>CL-FM</v>
          </cell>
          <cell r="O10508"/>
          <cell r="T10508"/>
        </row>
        <row r="10509">
          <cell r="A10509" t="str">
            <v>KATHREIN</v>
          </cell>
          <cell r="B10509" t="str">
            <v>CL-FM/HCM</v>
          </cell>
          <cell r="O10509"/>
          <cell r="T10509"/>
        </row>
        <row r="10510">
          <cell r="A10510" t="str">
            <v>KATHREIN</v>
          </cell>
          <cell r="B10510" t="str">
            <v>CL-FM/HRM</v>
          </cell>
          <cell r="O10510"/>
          <cell r="T10510"/>
        </row>
        <row r="10511">
          <cell r="A10511" t="str">
            <v>KATHREIN</v>
          </cell>
          <cell r="B10511" t="str">
            <v>CL-FM/SRM</v>
          </cell>
          <cell r="O10511"/>
          <cell r="T10511"/>
        </row>
        <row r="10512">
          <cell r="A10512" t="str">
            <v>KATHREIN</v>
          </cell>
          <cell r="B10512" t="str">
            <v>CL-FM/VRM</v>
          </cell>
          <cell r="O10512"/>
          <cell r="T10512"/>
        </row>
        <row r="10513">
          <cell r="A10513" t="str">
            <v>KATHREIN</v>
          </cell>
          <cell r="B10513" t="str">
            <v>CL-FMRM(CP)</v>
          </cell>
          <cell r="O10513"/>
          <cell r="T10513"/>
        </row>
        <row r="10514">
          <cell r="A10514" t="str">
            <v>KATHREIN</v>
          </cell>
          <cell r="B10514" t="str">
            <v>CL-FMRX</v>
          </cell>
          <cell r="O10514"/>
          <cell r="T10514"/>
        </row>
        <row r="10515">
          <cell r="A10515" t="str">
            <v>KATHREIN</v>
          </cell>
          <cell r="B10515" t="str">
            <v>CL-FMRX/HRM</v>
          </cell>
          <cell r="O10515"/>
          <cell r="T10515"/>
        </row>
        <row r="10516">
          <cell r="A10516" t="str">
            <v>KATHREIN</v>
          </cell>
          <cell r="B10516" t="str">
            <v>CL-FMRX/VRM</v>
          </cell>
          <cell r="O10516"/>
          <cell r="T10516"/>
        </row>
        <row r="10517">
          <cell r="A10517" t="str">
            <v>KATHREIN</v>
          </cell>
          <cell r="B10517" t="str">
            <v>CL-FM_CCIV2</v>
          </cell>
          <cell r="O10517"/>
          <cell r="T10517"/>
        </row>
        <row r="10518">
          <cell r="A10518" t="str">
            <v>KATHREIN</v>
          </cell>
          <cell r="B10518" t="str">
            <v>CL6-450</v>
          </cell>
          <cell r="O10518"/>
          <cell r="T10518"/>
        </row>
        <row r="10519">
          <cell r="A10519" t="str">
            <v>KATHREIN</v>
          </cell>
          <cell r="B10519" t="str">
            <v>CL6-450B</v>
          </cell>
          <cell r="O10519"/>
          <cell r="T10519"/>
        </row>
        <row r="10520">
          <cell r="A10520" t="str">
            <v>KATHREIN</v>
          </cell>
          <cell r="B10520" t="str">
            <v>CL7-150/URM</v>
          </cell>
          <cell r="O10520"/>
          <cell r="T10520"/>
        </row>
        <row r="10521">
          <cell r="A10521" t="str">
            <v>KATHREIN</v>
          </cell>
          <cell r="B10521" t="str">
            <v>CL7-300</v>
          </cell>
          <cell r="O10521"/>
          <cell r="T10521"/>
        </row>
        <row r="10522">
          <cell r="A10522" t="str">
            <v>KATHREIN</v>
          </cell>
          <cell r="B10522" t="str">
            <v>CR9-425/044N</v>
          </cell>
          <cell r="O10522"/>
          <cell r="T10522"/>
        </row>
        <row r="10523">
          <cell r="A10523" t="str">
            <v>KATHREIN</v>
          </cell>
          <cell r="B10523" t="str">
            <v>DRV-2/4HO</v>
          </cell>
          <cell r="O10523"/>
          <cell r="T10523"/>
        </row>
        <row r="10524">
          <cell r="A10524" t="str">
            <v>KATHREIN</v>
          </cell>
          <cell r="B10524" t="str">
            <v>FMC-01</v>
          </cell>
          <cell r="O10524"/>
          <cell r="T10524"/>
        </row>
        <row r="10525">
          <cell r="A10525" t="str">
            <v>KATHREIN</v>
          </cell>
          <cell r="B10525" t="str">
            <v>FMC-06-2</v>
          </cell>
          <cell r="O10525"/>
          <cell r="T10525"/>
        </row>
        <row r="10526">
          <cell r="A10526" t="str">
            <v>KATHREIN</v>
          </cell>
          <cell r="B10526" t="str">
            <v>FMO</v>
          </cell>
          <cell r="O10526"/>
          <cell r="T10526"/>
        </row>
        <row r="10527">
          <cell r="A10527" t="str">
            <v>KATHREIN</v>
          </cell>
          <cell r="B10527" t="str">
            <v>FMO-4</v>
          </cell>
          <cell r="O10527"/>
          <cell r="T10527"/>
        </row>
        <row r="10528">
          <cell r="A10528" t="str">
            <v>KATHREIN</v>
          </cell>
          <cell r="B10528" t="str">
            <v>FMV 93-103</v>
          </cell>
          <cell r="O10528"/>
          <cell r="T10528"/>
        </row>
        <row r="10529">
          <cell r="A10529" t="str">
            <v>KATHREIN</v>
          </cell>
          <cell r="B10529" t="str">
            <v>FMV-1</v>
          </cell>
          <cell r="O10529"/>
          <cell r="T10529"/>
        </row>
        <row r="10530">
          <cell r="A10530" t="str">
            <v>KATHREIN</v>
          </cell>
          <cell r="B10530" t="str">
            <v>FMV-3</v>
          </cell>
          <cell r="O10530"/>
          <cell r="T10530"/>
        </row>
        <row r="10531">
          <cell r="A10531" t="str">
            <v>KATHREIN</v>
          </cell>
          <cell r="B10531" t="str">
            <v>FMV-4-83-103</v>
          </cell>
          <cell r="O10531"/>
          <cell r="T10531"/>
        </row>
        <row r="10532">
          <cell r="A10532" t="str">
            <v>KATHREIN</v>
          </cell>
          <cell r="B10532" t="str">
            <v>FMVMP-1</v>
          </cell>
          <cell r="O10532"/>
          <cell r="T10532"/>
        </row>
        <row r="10533">
          <cell r="A10533" t="str">
            <v>KATHREIN</v>
          </cell>
          <cell r="B10533" t="str">
            <v>FMVMP-2</v>
          </cell>
          <cell r="O10533"/>
          <cell r="T10533"/>
        </row>
        <row r="10534">
          <cell r="A10534" t="str">
            <v>KATHREIN</v>
          </cell>
          <cell r="B10534" t="str">
            <v>GP-FM</v>
          </cell>
          <cell r="O10534"/>
          <cell r="T10534"/>
        </row>
        <row r="10535">
          <cell r="A10535" t="str">
            <v>KATHREIN</v>
          </cell>
          <cell r="B10535" t="str">
            <v>GPB-150N</v>
          </cell>
          <cell r="O10535"/>
          <cell r="T10535"/>
        </row>
        <row r="10536">
          <cell r="A10536" t="str">
            <v>KATHREIN</v>
          </cell>
          <cell r="B10536" t="str">
            <v>GPS-C</v>
          </cell>
          <cell r="O10536"/>
          <cell r="T10536"/>
        </row>
        <row r="10537">
          <cell r="A10537" t="str">
            <v>KATHREIN</v>
          </cell>
          <cell r="B10537" t="str">
            <v>HB X ID 19 65 000</v>
          </cell>
          <cell r="O10537"/>
          <cell r="T10537"/>
        </row>
        <row r="10538">
          <cell r="A10538" t="str">
            <v>KATHREIN</v>
          </cell>
          <cell r="B10538" t="str">
            <v>HDB-155</v>
          </cell>
          <cell r="O10538"/>
          <cell r="T10538"/>
        </row>
        <row r="10539">
          <cell r="A10539" t="str">
            <v>KATHREIN</v>
          </cell>
          <cell r="B10539" t="str">
            <v>HDB-450</v>
          </cell>
          <cell r="O10539"/>
          <cell r="T10539"/>
        </row>
        <row r="10540">
          <cell r="A10540" t="str">
            <v>KATHREIN</v>
          </cell>
          <cell r="B10540" t="str">
            <v>HDCA-10</v>
          </cell>
          <cell r="O10540"/>
          <cell r="T10540"/>
        </row>
        <row r="10541">
          <cell r="A10541" t="str">
            <v>KATHREIN</v>
          </cell>
          <cell r="B10541" t="str">
            <v>HDCA-10/HRM</v>
          </cell>
          <cell r="O10541"/>
          <cell r="T10541"/>
        </row>
        <row r="10542">
          <cell r="A10542" t="str">
            <v>KATHREIN</v>
          </cell>
          <cell r="B10542" t="str">
            <v>HDCA-5</v>
          </cell>
          <cell r="O10542"/>
          <cell r="T10542"/>
        </row>
        <row r="10543">
          <cell r="A10543" t="str">
            <v>KATHREIN</v>
          </cell>
          <cell r="B10543" t="str">
            <v>HDCA-5CP/RM</v>
          </cell>
          <cell r="O10543"/>
          <cell r="T10543"/>
        </row>
        <row r="10544">
          <cell r="A10544" t="str">
            <v>KATHREIN</v>
          </cell>
          <cell r="B10544" t="str">
            <v>K51262</v>
          </cell>
          <cell r="O10544"/>
          <cell r="T10544"/>
        </row>
        <row r="10545">
          <cell r="A10545" t="str">
            <v>KATHREIN</v>
          </cell>
          <cell r="B10545" t="str">
            <v>K512631</v>
          </cell>
          <cell r="O10545"/>
          <cell r="T10545"/>
        </row>
        <row r="10546">
          <cell r="A10546" t="str">
            <v>KATHREIN</v>
          </cell>
          <cell r="B10546" t="str">
            <v>K523157</v>
          </cell>
          <cell r="O10546"/>
          <cell r="T10546"/>
        </row>
        <row r="10547">
          <cell r="A10547" t="str">
            <v>KATHREIN</v>
          </cell>
          <cell r="B10547" t="str">
            <v>K523221</v>
          </cell>
          <cell r="O10547"/>
          <cell r="T10547"/>
        </row>
        <row r="10548">
          <cell r="A10548" t="str">
            <v>KATHREIN</v>
          </cell>
          <cell r="B10548" t="str">
            <v>K523357</v>
          </cell>
          <cell r="O10548"/>
          <cell r="T10548"/>
        </row>
        <row r="10549">
          <cell r="A10549" t="str">
            <v>KATHREIN</v>
          </cell>
          <cell r="B10549" t="str">
            <v>K5234517</v>
          </cell>
          <cell r="O10549"/>
          <cell r="T10549"/>
        </row>
        <row r="10550">
          <cell r="A10550" t="str">
            <v>KATHREIN</v>
          </cell>
          <cell r="B10550" t="str">
            <v>K531921</v>
          </cell>
          <cell r="O10550"/>
          <cell r="T10550"/>
        </row>
        <row r="10551">
          <cell r="A10551" t="str">
            <v>KATHREIN</v>
          </cell>
          <cell r="B10551" t="str">
            <v>K552921</v>
          </cell>
          <cell r="O10551"/>
          <cell r="T10551"/>
        </row>
        <row r="10552">
          <cell r="A10552" t="str">
            <v>KATHREIN</v>
          </cell>
          <cell r="B10552" t="str">
            <v>K723141</v>
          </cell>
          <cell r="O10552"/>
          <cell r="T10552"/>
        </row>
        <row r="10553">
          <cell r="A10553" t="str">
            <v>KATHREIN</v>
          </cell>
          <cell r="B10553" t="str">
            <v>K723147</v>
          </cell>
          <cell r="O10553"/>
          <cell r="T10553"/>
        </row>
        <row r="10554">
          <cell r="A10554" t="str">
            <v>KATHREIN</v>
          </cell>
          <cell r="B10554" t="str">
            <v>K732267</v>
          </cell>
          <cell r="O10554"/>
          <cell r="T10554"/>
        </row>
        <row r="10555">
          <cell r="A10555" t="str">
            <v>KATHREIN</v>
          </cell>
          <cell r="B10555" t="str">
            <v>K751161</v>
          </cell>
          <cell r="O10555"/>
          <cell r="T10555"/>
        </row>
        <row r="10556">
          <cell r="A10556" t="str">
            <v>KATHREIN</v>
          </cell>
          <cell r="B10556" t="str">
            <v>K751221</v>
          </cell>
          <cell r="O10556"/>
          <cell r="T10556"/>
        </row>
        <row r="10557">
          <cell r="A10557" t="str">
            <v>KATHREIN</v>
          </cell>
          <cell r="B10557" t="str">
            <v>K7515641</v>
          </cell>
          <cell r="O10557"/>
          <cell r="T10557"/>
        </row>
        <row r="10558">
          <cell r="A10558" t="str">
            <v>KATHREIN</v>
          </cell>
          <cell r="B10558" t="str">
            <v>KRE1012260_1</v>
          </cell>
          <cell r="O10558"/>
          <cell r="T10558"/>
        </row>
        <row r="10559">
          <cell r="A10559" t="str">
            <v>KATHREIN</v>
          </cell>
          <cell r="B10559" t="str">
            <v>KT 740-149</v>
          </cell>
          <cell r="O10559"/>
          <cell r="T10559"/>
        </row>
        <row r="10560">
          <cell r="A10560" t="str">
            <v>KATHREIN</v>
          </cell>
          <cell r="B10560" t="str">
            <v>KT740-198</v>
          </cell>
          <cell r="O10560"/>
          <cell r="T10560"/>
        </row>
        <row r="10561">
          <cell r="A10561" t="str">
            <v>KATHREIN</v>
          </cell>
          <cell r="B10561" t="str">
            <v>METRIC 742 223</v>
          </cell>
          <cell r="O10561"/>
          <cell r="T10561"/>
        </row>
        <row r="10562">
          <cell r="A10562" t="str">
            <v>KATHREIN</v>
          </cell>
          <cell r="B10562" t="str">
            <v>MF-940B</v>
          </cell>
          <cell r="O10562"/>
          <cell r="T10562"/>
        </row>
        <row r="10563">
          <cell r="A10563" t="str">
            <v>KATHREIN</v>
          </cell>
          <cell r="B10563" t="str">
            <v>MF-950B</v>
          </cell>
          <cell r="O10563"/>
          <cell r="T10563"/>
        </row>
        <row r="10564">
          <cell r="A10564" t="str">
            <v>KATHREIN</v>
          </cell>
          <cell r="B10564" t="str">
            <v>OG-4</v>
          </cell>
          <cell r="O10564"/>
          <cell r="T10564"/>
        </row>
        <row r="10565">
          <cell r="A10565" t="str">
            <v>KATHREIN</v>
          </cell>
          <cell r="B10565" t="str">
            <v>OG-6</v>
          </cell>
          <cell r="O10565"/>
          <cell r="T10565"/>
        </row>
        <row r="10566">
          <cell r="A10566" t="str">
            <v>KATHREIN</v>
          </cell>
          <cell r="B10566" t="str">
            <v>OG-860/1920/GPS-A</v>
          </cell>
          <cell r="O10566"/>
          <cell r="T10566"/>
        </row>
        <row r="10567">
          <cell r="A10567" t="str">
            <v>KATHREIN</v>
          </cell>
          <cell r="B10567" t="str">
            <v>OGB11-1900D</v>
          </cell>
          <cell r="O10567"/>
          <cell r="T10567"/>
        </row>
        <row r="10568">
          <cell r="A10568" t="str">
            <v>KATHREIN</v>
          </cell>
          <cell r="B10568" t="str">
            <v>OGB4-900D</v>
          </cell>
          <cell r="O10568"/>
          <cell r="T10568"/>
        </row>
        <row r="10569">
          <cell r="A10569" t="str">
            <v>KATHREIN</v>
          </cell>
          <cell r="B10569" t="str">
            <v>OGB4-900N</v>
          </cell>
          <cell r="O10569"/>
          <cell r="T10569"/>
        </row>
        <row r="10570">
          <cell r="A10570" t="str">
            <v>KATHREIN</v>
          </cell>
          <cell r="B10570" t="str">
            <v>OGB5-455</v>
          </cell>
          <cell r="O10570"/>
          <cell r="T10570"/>
        </row>
        <row r="10571">
          <cell r="A10571" t="str">
            <v>KATHREIN</v>
          </cell>
          <cell r="B10571" t="str">
            <v>OGB6-915N</v>
          </cell>
          <cell r="O10571"/>
          <cell r="T10571"/>
        </row>
        <row r="10572">
          <cell r="A10572" t="str">
            <v>KATHREIN</v>
          </cell>
          <cell r="B10572" t="str">
            <v>OGB8-900/DT5</v>
          </cell>
          <cell r="O10572"/>
          <cell r="T10572"/>
        </row>
        <row r="10573">
          <cell r="A10573" t="str">
            <v>KATHREIN</v>
          </cell>
          <cell r="B10573" t="str">
            <v>OGB9-915N</v>
          </cell>
          <cell r="O10573"/>
          <cell r="T10573"/>
        </row>
        <row r="10574">
          <cell r="A10574" t="str">
            <v>KATHREIN</v>
          </cell>
          <cell r="B10574" t="str">
            <v>OGC9-860</v>
          </cell>
          <cell r="O10574"/>
          <cell r="T10574"/>
        </row>
        <row r="10575">
          <cell r="A10575" t="str">
            <v>KATHREIN</v>
          </cell>
          <cell r="B10575" t="str">
            <v>OGC9-860-RFL-500</v>
          </cell>
          <cell r="O10575"/>
          <cell r="T10575"/>
        </row>
        <row r="10576">
          <cell r="A10576" t="str">
            <v>KATHREIN</v>
          </cell>
          <cell r="B10576" t="str">
            <v>OGP8-901</v>
          </cell>
          <cell r="O10576"/>
          <cell r="T10576"/>
        </row>
        <row r="10577">
          <cell r="A10577" t="str">
            <v>KATHREIN</v>
          </cell>
          <cell r="B10577" t="str">
            <v>OGT6-806D</v>
          </cell>
          <cell r="O10577"/>
          <cell r="T10577"/>
        </row>
        <row r="10578">
          <cell r="A10578" t="str">
            <v>KATHREIN</v>
          </cell>
          <cell r="B10578" t="str">
            <v>OGT6-806N</v>
          </cell>
          <cell r="O10578"/>
          <cell r="T10578"/>
        </row>
        <row r="10579">
          <cell r="A10579" t="str">
            <v>KATHREIN</v>
          </cell>
          <cell r="B10579" t="str">
            <v>OGT9-840</v>
          </cell>
          <cell r="O10579"/>
          <cell r="T10579"/>
        </row>
        <row r="10580">
          <cell r="A10580" t="str">
            <v>KATHREIN</v>
          </cell>
          <cell r="B10580" t="str">
            <v>PR-850</v>
          </cell>
          <cell r="O10580"/>
          <cell r="T10580"/>
        </row>
        <row r="10581">
          <cell r="A10581" t="str">
            <v>KATHREIN</v>
          </cell>
          <cell r="B10581" t="str">
            <v>PR-900</v>
          </cell>
          <cell r="O10581"/>
          <cell r="T10581"/>
        </row>
        <row r="10582">
          <cell r="A10582" t="str">
            <v>KATHREIN</v>
          </cell>
          <cell r="B10582" t="str">
            <v>PR-950</v>
          </cell>
          <cell r="O10582"/>
          <cell r="T10582"/>
        </row>
        <row r="10583">
          <cell r="A10583" t="str">
            <v>KATHREIN</v>
          </cell>
          <cell r="B10583" t="str">
            <v>PR-TV</v>
          </cell>
          <cell r="O10583"/>
          <cell r="T10583"/>
        </row>
        <row r="10584">
          <cell r="A10584" t="str">
            <v>KATHREIN</v>
          </cell>
          <cell r="B10584" t="str">
            <v>PRBB 850</v>
          </cell>
          <cell r="O10584"/>
          <cell r="T10584"/>
        </row>
        <row r="10585">
          <cell r="A10585" t="str">
            <v>KATHREIN</v>
          </cell>
          <cell r="B10585" t="str">
            <v>RA5-400B</v>
          </cell>
          <cell r="O10585"/>
          <cell r="T10585"/>
        </row>
        <row r="10586">
          <cell r="A10586" t="str">
            <v>KATHREIN</v>
          </cell>
          <cell r="B10586" t="str">
            <v>RY-900B</v>
          </cell>
          <cell r="O10586"/>
          <cell r="T10586"/>
        </row>
        <row r="10587">
          <cell r="A10587" t="str">
            <v>KATHREIN</v>
          </cell>
          <cell r="B10587" t="str">
            <v>SL-8</v>
          </cell>
          <cell r="O10587"/>
          <cell r="T10587"/>
        </row>
        <row r="10588">
          <cell r="A10588" t="str">
            <v>KATHREIN</v>
          </cell>
          <cell r="B10588" t="str">
            <v>SL11-915/DT2</v>
          </cell>
          <cell r="O10588"/>
          <cell r="T10588"/>
        </row>
        <row r="10589">
          <cell r="A10589" t="str">
            <v>KATHREIN</v>
          </cell>
          <cell r="B10589" t="str">
            <v>SL11-940/DT2</v>
          </cell>
          <cell r="O10589"/>
          <cell r="T10589"/>
        </row>
        <row r="10590">
          <cell r="A10590" t="str">
            <v>KATHREIN</v>
          </cell>
          <cell r="B10590" t="str">
            <v>SP-13445</v>
          </cell>
          <cell r="O10590">
            <v>1.7754846643518498</v>
          </cell>
          <cell r="T10590">
            <v>0.94606363364973001</v>
          </cell>
        </row>
        <row r="10591">
          <cell r="A10591" t="str">
            <v>KATHREIN</v>
          </cell>
          <cell r="B10591" t="str">
            <v>TVO-4_210-216MHZ</v>
          </cell>
          <cell r="O10591"/>
          <cell r="T10591"/>
        </row>
        <row r="10592">
          <cell r="A10592" t="str">
            <v>KATHREIN</v>
          </cell>
          <cell r="B10592" t="str">
            <v>TY-840</v>
          </cell>
          <cell r="O10592"/>
          <cell r="T10592"/>
        </row>
        <row r="10593">
          <cell r="A10593" t="str">
            <v>KATHREIN</v>
          </cell>
          <cell r="B10593" t="str">
            <v>TY-900</v>
          </cell>
          <cell r="O10593"/>
          <cell r="T10593"/>
        </row>
        <row r="10594">
          <cell r="A10594" t="str">
            <v>KATHREIN</v>
          </cell>
          <cell r="B10594" t="str">
            <v>TYPHR740-198</v>
          </cell>
          <cell r="O10594"/>
          <cell r="T10594"/>
        </row>
        <row r="10595">
          <cell r="A10595" t="str">
            <v>KATHREIN</v>
          </cell>
          <cell r="B10595" t="str">
            <v>UBO-450</v>
          </cell>
          <cell r="O10595"/>
          <cell r="T10595"/>
        </row>
        <row r="10596">
          <cell r="A10596" t="str">
            <v>KATHREIN</v>
          </cell>
          <cell r="B10596" t="str">
            <v>YA7-166</v>
          </cell>
          <cell r="O10596"/>
          <cell r="T10596"/>
        </row>
        <row r="10597">
          <cell r="A10597" t="str">
            <v>KATHREIN</v>
          </cell>
          <cell r="B10597" t="str">
            <v>YA7-FMH</v>
          </cell>
          <cell r="O10597"/>
          <cell r="T10597"/>
        </row>
        <row r="10598">
          <cell r="A10598" t="str">
            <v>KATHREIN</v>
          </cell>
          <cell r="B10598" t="str">
            <v>YA7-FMH/URM</v>
          </cell>
          <cell r="O10598"/>
          <cell r="T10598"/>
        </row>
        <row r="10599">
          <cell r="A10599" t="str">
            <v>KATHREIN</v>
          </cell>
          <cell r="B10599" t="str">
            <v>YA7-FML</v>
          </cell>
          <cell r="O10599"/>
          <cell r="T10599"/>
        </row>
        <row r="10600">
          <cell r="A10600" t="str">
            <v>KAVVERI</v>
          </cell>
          <cell r="B10600" t="str">
            <v>3XLM2D3-600TV-AV</v>
          </cell>
          <cell r="O10600"/>
          <cell r="T10600"/>
        </row>
        <row r="10601">
          <cell r="A10601" t="str">
            <v>KAVVERI</v>
          </cell>
          <cell r="B10601" t="str">
            <v>TA-2335-DAB-L-060</v>
          </cell>
          <cell r="O10601">
            <v>7.3974756191217903</v>
          </cell>
          <cell r="T10601">
            <v>1.1449003255241601</v>
          </cell>
        </row>
        <row r="10602">
          <cell r="A10602" t="str">
            <v>KAVVERI</v>
          </cell>
          <cell r="B10602" t="str">
            <v>TA-2355-DAB-M-T2</v>
          </cell>
          <cell r="O10602"/>
          <cell r="T10602"/>
        </row>
        <row r="10603">
          <cell r="A10603" t="str">
            <v>KAVVERI</v>
          </cell>
          <cell r="B10603" t="str">
            <v>TA-2355-DAB-M-T4</v>
          </cell>
          <cell r="O10603"/>
          <cell r="T10603"/>
        </row>
        <row r="10604">
          <cell r="A10604" t="str">
            <v>KAVVERI</v>
          </cell>
          <cell r="B10604" t="str">
            <v>TA-2355-DAB-M-T6</v>
          </cell>
          <cell r="O10604"/>
          <cell r="T10604"/>
        </row>
        <row r="10605">
          <cell r="A10605" t="str">
            <v>KAVVERI</v>
          </cell>
          <cell r="B10605" t="str">
            <v>TA-2355-DAB-M-TX</v>
          </cell>
          <cell r="O10605"/>
          <cell r="T10605"/>
        </row>
        <row r="10606">
          <cell r="A10606" t="str">
            <v>KAVVERI</v>
          </cell>
          <cell r="B10606" t="str">
            <v>TD-2305-4-DAB-M-060</v>
          </cell>
          <cell r="O10606"/>
          <cell r="T10606"/>
        </row>
        <row r="10607">
          <cell r="A10607" t="str">
            <v>KAVVERI</v>
          </cell>
          <cell r="B10607" t="str">
            <v>TD-2305-4-DAB-M-090</v>
          </cell>
          <cell r="O10607"/>
          <cell r="T10607"/>
        </row>
        <row r="10608">
          <cell r="A10608" t="str">
            <v>KBT COMMUNICATIONS INC.</v>
          </cell>
          <cell r="B10608" t="str">
            <v>TDJ-5800P9</v>
          </cell>
          <cell r="O10608"/>
          <cell r="T10608"/>
        </row>
        <row r="10609">
          <cell r="A10609" t="str">
            <v>KENBOTONG COMMUNICATION</v>
          </cell>
          <cell r="B10609" t="str">
            <v>TDJ-2600SPL9</v>
          </cell>
          <cell r="O10609"/>
          <cell r="T10609"/>
        </row>
        <row r="10610">
          <cell r="A10610" t="str">
            <v>KENBOTONG COMMUNICATION</v>
          </cell>
          <cell r="B10610" t="str">
            <v>TDJ-4900P6</v>
          </cell>
          <cell r="O10610"/>
          <cell r="T10610"/>
        </row>
        <row r="10611">
          <cell r="A10611" t="str">
            <v>KENBOTONG COMMUNICATION</v>
          </cell>
          <cell r="B10611" t="str">
            <v>TJD-4900P6</v>
          </cell>
          <cell r="O10611"/>
          <cell r="T10611"/>
        </row>
        <row r="10612">
          <cell r="A10612" t="str">
            <v>KENWOOD TELECOM</v>
          </cell>
          <cell r="B10612" t="str">
            <v>T9970KT6</v>
          </cell>
          <cell r="O10612"/>
          <cell r="T10612"/>
        </row>
        <row r="10613">
          <cell r="A10613" t="str">
            <v>KERLINK</v>
          </cell>
          <cell r="B10613" t="str">
            <v>KER-915</v>
          </cell>
          <cell r="O10613"/>
          <cell r="T10613"/>
        </row>
        <row r="10614">
          <cell r="A10614" t="str">
            <v>KIPP AND ZONEN</v>
          </cell>
          <cell r="B10614" t="str">
            <v>CGR 3</v>
          </cell>
          <cell r="O10614"/>
          <cell r="T10614"/>
        </row>
        <row r="10615">
          <cell r="A10615" t="str">
            <v>KIPP AND ZONEN</v>
          </cell>
          <cell r="B10615" t="str">
            <v>CMP 3</v>
          </cell>
          <cell r="O10615"/>
          <cell r="T10615"/>
        </row>
        <row r="10616">
          <cell r="A10616" t="str">
            <v>KMW COMMUNICATIONS</v>
          </cell>
          <cell r="B10616" t="str">
            <v>1900-800-KMW-65-TYPE-1</v>
          </cell>
          <cell r="O10616">
            <v>4.6899999999999995</v>
          </cell>
          <cell r="T10616">
            <v>2.34</v>
          </cell>
        </row>
        <row r="10617">
          <cell r="A10617" t="str">
            <v>KMW COMMUNICATIONS</v>
          </cell>
          <cell r="B10617" t="str">
            <v>AM-X-CD-14-65-00T-RET</v>
          </cell>
          <cell r="O10617">
            <v>3.0095736880000001</v>
          </cell>
          <cell r="T10617">
            <v>1.503042531</v>
          </cell>
        </row>
        <row r="10618">
          <cell r="A10618" t="str">
            <v>KMW COMMUNICATIONS</v>
          </cell>
          <cell r="B10618" t="str">
            <v>AM-X-CD-15-85-000T-RET</v>
          </cell>
          <cell r="O10618">
            <v>4.692033661</v>
          </cell>
          <cell r="T10618">
            <v>2.3446031499999997</v>
          </cell>
        </row>
        <row r="10619">
          <cell r="A10619" t="str">
            <v>KMW COMMUNICATIONS</v>
          </cell>
          <cell r="B10619" t="str">
            <v>AM-X-CD-15-85-00T-RET</v>
          </cell>
          <cell r="O10619">
            <v>4.692033661</v>
          </cell>
          <cell r="T10619">
            <v>2.3446031499999997</v>
          </cell>
        </row>
        <row r="10620">
          <cell r="A10620" t="str">
            <v>KMW COMMUNICATIONS</v>
          </cell>
          <cell r="B10620" t="str">
            <v>AM-X-CD-16-65-00T-RET</v>
          </cell>
          <cell r="O10620">
            <v>4.692033661</v>
          </cell>
          <cell r="T10620">
            <v>2.3446031499999997</v>
          </cell>
        </row>
        <row r="10621">
          <cell r="A10621" t="str">
            <v>KMW COMMUNICATIONS</v>
          </cell>
          <cell r="B10621" t="str">
            <v>AM-X-CD-16-85-00T-RET</v>
          </cell>
          <cell r="O10621"/>
          <cell r="T10621"/>
        </row>
        <row r="10622">
          <cell r="A10622" t="str">
            <v>KMW COMMUNICATIONS</v>
          </cell>
          <cell r="B10622" t="str">
            <v>AM-X-CD-17-65-00T-RET</v>
          </cell>
          <cell r="O10622">
            <v>6.1899999999999995</v>
          </cell>
          <cell r="T10622">
            <v>3.0999999999999996</v>
          </cell>
        </row>
        <row r="10623">
          <cell r="A10623" t="str">
            <v>KMW COMMUNICATIONS</v>
          </cell>
          <cell r="B10623" t="str">
            <v>AM-X-CW-14-65-00T-RET</v>
          </cell>
          <cell r="O10623">
            <v>3.0095736880000001</v>
          </cell>
          <cell r="T10623">
            <v>1.503042531</v>
          </cell>
        </row>
        <row r="10624">
          <cell r="A10624" t="str">
            <v>KMW COMMUNICATIONS</v>
          </cell>
          <cell r="B10624" t="str">
            <v>AM-X-CW-16-65-00T-RET</v>
          </cell>
          <cell r="O10624">
            <v>4.6899999999999995</v>
          </cell>
          <cell r="T10624">
            <v>2.34</v>
          </cell>
        </row>
        <row r="10625">
          <cell r="A10625" t="str">
            <v>KMW COMMUNICATIONS</v>
          </cell>
          <cell r="B10625" t="str">
            <v>AM-X-CW-16-85-00T-RET</v>
          </cell>
          <cell r="O10625"/>
          <cell r="T10625"/>
        </row>
        <row r="10626">
          <cell r="A10626" t="str">
            <v>KMW COMMUNICATIONS</v>
          </cell>
          <cell r="B10626" t="str">
            <v>AM-X-CW-18-65-00T-RET</v>
          </cell>
          <cell r="O10626">
            <v>6.1899999999999995</v>
          </cell>
          <cell r="T10626">
            <v>3.0999999999999996</v>
          </cell>
        </row>
        <row r="10627">
          <cell r="A10627" t="str">
            <v>KMW COMMUNICATIONS</v>
          </cell>
          <cell r="B10627" t="str">
            <v>AM-X-WM-14-65-00T</v>
          </cell>
          <cell r="O10627"/>
          <cell r="T10627"/>
        </row>
        <row r="10628">
          <cell r="A10628" t="str">
            <v>KMW COMMUNICATIONS</v>
          </cell>
          <cell r="B10628" t="str">
            <v>AM-X-WM-17-65-00T</v>
          </cell>
          <cell r="O10628">
            <v>1.732722801</v>
          </cell>
          <cell r="T10628">
            <v>0.68074415099999985</v>
          </cell>
        </row>
        <row r="10629">
          <cell r="A10629" t="str">
            <v>KMW COMMUNICATIONS</v>
          </cell>
          <cell r="B10629" t="str">
            <v>AM-X-WM-17-65-00T-FP</v>
          </cell>
          <cell r="O10629">
            <v>1.732722801</v>
          </cell>
          <cell r="T10629">
            <v>0.68074415099999985</v>
          </cell>
        </row>
        <row r="10630">
          <cell r="A10630" t="str">
            <v>KMW COMMUNICATIONS</v>
          </cell>
          <cell r="B10630" t="str">
            <v>AM-X-WM-17-65-00T-RB</v>
          </cell>
          <cell r="O10630">
            <v>1.9662128669999999</v>
          </cell>
          <cell r="T10630">
            <v>0.69771952100000001</v>
          </cell>
        </row>
        <row r="10631">
          <cell r="A10631" t="str">
            <v>KMW COMMUNICATIONS</v>
          </cell>
          <cell r="B10631" t="str">
            <v>AM-X-WM-17-65-10T</v>
          </cell>
          <cell r="O10631">
            <v>1.732722801</v>
          </cell>
          <cell r="T10631">
            <v>0.68074415099999985</v>
          </cell>
        </row>
        <row r="10632">
          <cell r="A10632" t="str">
            <v>KMW COMMUNICATIONS</v>
          </cell>
          <cell r="B10632" t="str">
            <v>EDBDLR-654L4H6</v>
          </cell>
          <cell r="O10632">
            <v>10.9791522</v>
          </cell>
          <cell r="T10632">
            <v>3.2920613540000003</v>
          </cell>
        </row>
        <row r="10633">
          <cell r="A10633" t="str">
            <v>KMW COMMUNICATIONS</v>
          </cell>
          <cell r="B10633" t="str">
            <v>EPBQ - 654L8H8 - L2</v>
          </cell>
          <cell r="O10633">
            <v>14.924266975308589</v>
          </cell>
          <cell r="T10633">
            <v>4.47701430371486</v>
          </cell>
        </row>
        <row r="10634">
          <cell r="A10634" t="str">
            <v>KMW COMMUNICATIONS</v>
          </cell>
          <cell r="B10634" t="str">
            <v>EPBQ 654L8H8 L2 EPI 0T</v>
          </cell>
          <cell r="O10634">
            <v>14.924266975308589</v>
          </cell>
          <cell r="T10634">
            <v>4.47701430371486</v>
          </cell>
        </row>
        <row r="10635">
          <cell r="A10635" t="str">
            <v>KMW COMMUNICATIONS</v>
          </cell>
          <cell r="B10635" t="str">
            <v>EPBQ-652L8H8</v>
          </cell>
          <cell r="O10635">
            <v>5.85</v>
          </cell>
          <cell r="T10635">
            <v>3.07</v>
          </cell>
        </row>
        <row r="10636">
          <cell r="A10636" t="str">
            <v>KMW COMMUNICATIONS</v>
          </cell>
          <cell r="B10636" t="str">
            <v>EPBQ-654L4H6-L2-EPI</v>
          </cell>
          <cell r="O10636">
            <v>11.1296489197531</v>
          </cell>
          <cell r="T10636">
            <v>3.3377007327420003</v>
          </cell>
        </row>
        <row r="10637">
          <cell r="A10637" t="str">
            <v>KMW COMMUNICATIONS</v>
          </cell>
          <cell r="B10637" t="str">
            <v>EPBQ-654L4H8-L2-EPI</v>
          </cell>
          <cell r="O10637">
            <v>14.924266975308589</v>
          </cell>
          <cell r="T10637">
            <v>4.47701430371486</v>
          </cell>
        </row>
        <row r="10638">
          <cell r="A10638" t="str">
            <v>KMW COMMUNICATIONS</v>
          </cell>
          <cell r="B10638" t="str">
            <v>EPBQ-654L8H4</v>
          </cell>
          <cell r="O10638"/>
          <cell r="T10638"/>
        </row>
        <row r="10639">
          <cell r="A10639" t="str">
            <v>KMW COMMUNICATIONS</v>
          </cell>
          <cell r="B10639" t="str">
            <v>EPBQ-654L8H6</v>
          </cell>
          <cell r="O10639">
            <v>4.3095746009999996</v>
          </cell>
          <cell r="T10639">
            <v>3.2491272759999998</v>
          </cell>
        </row>
        <row r="10640">
          <cell r="A10640" t="str">
            <v>KMW COMMUNICATIONS</v>
          </cell>
          <cell r="B10640" t="str">
            <v>EPBQ-654L8H6-B</v>
          </cell>
          <cell r="O10640">
            <v>4.4354943089999992</v>
          </cell>
          <cell r="T10640">
            <v>2.4194986080000001</v>
          </cell>
        </row>
        <row r="10641">
          <cell r="A10641" t="str">
            <v>KMW COMMUNICATIONS</v>
          </cell>
          <cell r="B10641" t="str">
            <v>EPBQ-654L8H6-L2</v>
          </cell>
          <cell r="O10641">
            <v>11.12964891999999</v>
          </cell>
          <cell r="T10641">
            <v>3.3377007329999997</v>
          </cell>
        </row>
        <row r="10642">
          <cell r="A10642" t="str">
            <v>KMW COMMUNICATIONS</v>
          </cell>
          <cell r="B10642" t="str">
            <v>EPBQ-654L8H6-L2-EPI</v>
          </cell>
          <cell r="O10642">
            <v>11.1296489197531</v>
          </cell>
          <cell r="T10642">
            <v>3.3377007327420003</v>
          </cell>
        </row>
        <row r="10643">
          <cell r="A10643" t="str">
            <v>KMW COMMUNICATIONS</v>
          </cell>
          <cell r="B10643" t="str">
            <v>EPBQ-654L8H8</v>
          </cell>
          <cell r="O10643">
            <v>5.3839838029999996</v>
          </cell>
          <cell r="T10643">
            <v>4.0693120939999998</v>
          </cell>
        </row>
        <row r="10644">
          <cell r="A10644" t="str">
            <v>KMW COMMUNICATIONS</v>
          </cell>
          <cell r="B10644" t="str">
            <v>EPBQ-654L8H8-B</v>
          </cell>
          <cell r="O10644">
            <v>5.9093171299999998</v>
          </cell>
          <cell r="T10644">
            <v>3.2116007259999999</v>
          </cell>
        </row>
        <row r="10645">
          <cell r="A10645" t="str">
            <v>KMW COMMUNICATIONS</v>
          </cell>
          <cell r="B10645" t="str">
            <v>EPBQ-654L8H8-HG</v>
          </cell>
          <cell r="O10645">
            <v>15.5836516203704</v>
          </cell>
          <cell r="T10645">
            <v>4.6766909555726102</v>
          </cell>
        </row>
        <row r="10646">
          <cell r="A10646" t="str">
            <v>KMW COMMUNICATIONS</v>
          </cell>
          <cell r="B10646" t="str">
            <v>EPBQ-654L8H8-L2</v>
          </cell>
          <cell r="O10646">
            <v>14.924266979999999</v>
          </cell>
          <cell r="T10646">
            <v>4.477014303999999</v>
          </cell>
        </row>
        <row r="10647">
          <cell r="A10647" t="str">
            <v>KMW COMMUNICATIONS</v>
          </cell>
          <cell r="B10647" t="str">
            <v>EPBQ-654L8H8-L2-EPI</v>
          </cell>
          <cell r="O10647">
            <v>14.924266975308589</v>
          </cell>
          <cell r="T10647">
            <v>4.47701430371486</v>
          </cell>
        </row>
        <row r="10648">
          <cell r="A10648" t="str">
            <v>KMW COMMUNICATIONS</v>
          </cell>
          <cell r="B10648" t="str">
            <v>EPBQ-654L8H8-L2-EPI-0T</v>
          </cell>
          <cell r="O10648">
            <v>14.924266975308589</v>
          </cell>
          <cell r="T10648">
            <v>4.47701430371486</v>
          </cell>
        </row>
        <row r="10649">
          <cell r="A10649" t="str">
            <v>KMW COMMUNICATIONS</v>
          </cell>
          <cell r="B10649" t="str">
            <v>EPBQ-654L8H8-L2_CCIV2</v>
          </cell>
          <cell r="O10649">
            <v>14.924266979999999</v>
          </cell>
          <cell r="T10649">
            <v>4.477014303999999</v>
          </cell>
        </row>
        <row r="10650">
          <cell r="A10650" t="str">
            <v>KMW COMMUNICATIONS</v>
          </cell>
          <cell r="B10650" t="str">
            <v>EPC-652L8H8</v>
          </cell>
          <cell r="O10650">
            <v>5.8511236496913588</v>
          </cell>
          <cell r="T10650">
            <v>3.07057014730688</v>
          </cell>
        </row>
        <row r="10651">
          <cell r="A10651" t="str">
            <v>KMW COMMUNICATIONS</v>
          </cell>
          <cell r="B10651" t="str">
            <v>EQC-654L4H4</v>
          </cell>
          <cell r="O10651">
            <v>3.9015584259999998</v>
          </cell>
          <cell r="T10651">
            <v>2.1297165069999999</v>
          </cell>
        </row>
        <row r="10652">
          <cell r="A10652" t="str">
            <v>KMW COMMUNICATIONS</v>
          </cell>
          <cell r="B10652" t="str">
            <v>EQC-654L4H6</v>
          </cell>
          <cell r="O10652">
            <v>4.4354943089999992</v>
          </cell>
          <cell r="T10652">
            <v>2.4194986080000001</v>
          </cell>
        </row>
        <row r="10653">
          <cell r="A10653" t="str">
            <v>KMW COMMUNICATIONS</v>
          </cell>
          <cell r="B10653" t="str">
            <v>EQC-654L4H8</v>
          </cell>
          <cell r="O10653">
            <v>5.4788869599999996</v>
          </cell>
          <cell r="T10653">
            <v>2.9203094090000001</v>
          </cell>
        </row>
        <row r="10654">
          <cell r="A10654" t="str">
            <v>KMW COMMUNICATIONS</v>
          </cell>
          <cell r="B10654" t="str">
            <v>ET-Q-LU-65-17-IC</v>
          </cell>
          <cell r="O10654"/>
          <cell r="T10654"/>
        </row>
        <row r="10655">
          <cell r="A10655" t="str">
            <v>KMW COMMUNICATIONS</v>
          </cell>
          <cell r="B10655" t="str">
            <v>ET-Q-PU-33-21-IR-SP</v>
          </cell>
          <cell r="O10655"/>
          <cell r="T10655"/>
        </row>
        <row r="10656">
          <cell r="A10656" t="str">
            <v>KMW COMMUNICATIONS</v>
          </cell>
          <cell r="B10656" t="str">
            <v>ET-Q-PU-45-19-IR-SP</v>
          </cell>
          <cell r="O10656"/>
          <cell r="T10656"/>
        </row>
        <row r="10657">
          <cell r="A10657" t="str">
            <v>KMW COMMUNICATIONS</v>
          </cell>
          <cell r="B10657" t="str">
            <v>ET-X-CH-45-16-45-18-IR-AT</v>
          </cell>
          <cell r="O10657">
            <v>8.65</v>
          </cell>
          <cell r="T10657">
            <v>3.3899999999999997</v>
          </cell>
        </row>
        <row r="10658">
          <cell r="A10658" t="str">
            <v>KMW COMMUNICATIONS</v>
          </cell>
          <cell r="B10658" t="str">
            <v>ET-X-CW-45-14-IR-UC</v>
          </cell>
          <cell r="O10658"/>
          <cell r="T10658"/>
        </row>
        <row r="10659">
          <cell r="A10659" t="str">
            <v>KMW COMMUNICATIONS</v>
          </cell>
          <cell r="B10659" t="str">
            <v>ET-X-CW-45-19-IR-AT</v>
          </cell>
          <cell r="O10659">
            <v>11.337543399999991</v>
          </cell>
          <cell r="T10659">
            <v>4.4363490319999999</v>
          </cell>
        </row>
        <row r="10660">
          <cell r="A10660" t="str">
            <v>KMW COMMUNICATIONS</v>
          </cell>
          <cell r="B10660" t="str">
            <v>ET-X-CW-65-18-IR</v>
          </cell>
          <cell r="O10660"/>
          <cell r="T10660"/>
        </row>
        <row r="10661">
          <cell r="A10661" t="str">
            <v>KMW COMMUNICATIONS</v>
          </cell>
          <cell r="B10661" t="str">
            <v>ET-X-LU-33-20-IR-SP</v>
          </cell>
          <cell r="O10661"/>
          <cell r="T10661"/>
        </row>
        <row r="10662">
          <cell r="A10662" t="str">
            <v>KMW COMMUNICATIONS</v>
          </cell>
          <cell r="B10662" t="str">
            <v>ET-X-LU-45-19-IR-SP</v>
          </cell>
          <cell r="O10662"/>
          <cell r="T10662"/>
        </row>
        <row r="10663">
          <cell r="A10663" t="str">
            <v>KMW COMMUNICATIONS</v>
          </cell>
          <cell r="B10663" t="str">
            <v>ET-X-NC-33-18-IR-SP</v>
          </cell>
          <cell r="O10663"/>
          <cell r="T10663"/>
        </row>
        <row r="10664">
          <cell r="A10664" t="str">
            <v>KMW COMMUNICATIONS</v>
          </cell>
          <cell r="B10664" t="str">
            <v>ET-X-NC-45-17-IR-SP</v>
          </cell>
          <cell r="O10664"/>
          <cell r="T10664"/>
        </row>
        <row r="10665">
          <cell r="A10665" t="str">
            <v>KMW COMMUNICATIONS</v>
          </cell>
          <cell r="B10665" t="str">
            <v>ET-X-TS-65-16-65-19-IR</v>
          </cell>
          <cell r="O10665"/>
          <cell r="T10665"/>
        </row>
        <row r="10666">
          <cell r="A10666" t="str">
            <v>KMW COMMUNICATIONS</v>
          </cell>
          <cell r="B10666" t="str">
            <v>ET-X-TS-70-15-62-18-IR-RC</v>
          </cell>
          <cell r="O10666">
            <v>4.6899999999999995</v>
          </cell>
          <cell r="T10666">
            <v>2.34</v>
          </cell>
        </row>
        <row r="10667">
          <cell r="A10667" t="str">
            <v>KMW COMMUNICATIONS</v>
          </cell>
          <cell r="B10667" t="str">
            <v>ET-X-TS-70-15-62-18-IR-RD</v>
          </cell>
          <cell r="O10667">
            <v>4.67</v>
          </cell>
          <cell r="T10667">
            <v>2.33</v>
          </cell>
        </row>
        <row r="10668">
          <cell r="A10668" t="str">
            <v>KMW COMMUNICATIONS</v>
          </cell>
          <cell r="B10668" t="str">
            <v>ET-X-TS-70-15-65-18-IR-RC</v>
          </cell>
          <cell r="O10668">
            <v>4.6899999999999995</v>
          </cell>
          <cell r="T10668">
            <v>2.34</v>
          </cell>
        </row>
        <row r="10669">
          <cell r="A10669" t="str">
            <v>KMW COMMUNICATIONS</v>
          </cell>
          <cell r="B10669" t="str">
            <v>ET-X-TS-70-16-62-18-IR-RD</v>
          </cell>
          <cell r="O10669">
            <v>4.6899999999999995</v>
          </cell>
          <cell r="T10669">
            <v>2.34</v>
          </cell>
        </row>
        <row r="10670">
          <cell r="A10670" t="str">
            <v>KMW COMMUNICATIONS</v>
          </cell>
          <cell r="B10670" t="str">
            <v>ET-X-TS-70-16-62-19-IR-RC</v>
          </cell>
          <cell r="O10670">
            <v>4.6899999999999995</v>
          </cell>
          <cell r="T10670">
            <v>2.34</v>
          </cell>
        </row>
        <row r="10671">
          <cell r="A10671" t="str">
            <v>KMW COMMUNICATIONS</v>
          </cell>
          <cell r="B10671" t="str">
            <v>ET-X-TS-72-15-65-18-IR</v>
          </cell>
          <cell r="O10671"/>
          <cell r="T10671"/>
        </row>
        <row r="10672">
          <cell r="A10672" t="str">
            <v>KMW COMMUNICATIONS</v>
          </cell>
          <cell r="B10672" t="str">
            <v>ET-X-TS-72-16-65-19-IR</v>
          </cell>
          <cell r="O10672">
            <v>4.692033661</v>
          </cell>
          <cell r="T10672">
            <v>2.3446031499999997</v>
          </cell>
        </row>
        <row r="10673">
          <cell r="A10673" t="str">
            <v>KMW COMMUNICATIONS</v>
          </cell>
          <cell r="B10673" t="str">
            <v>ET-X-TS-72-16-65-19-IR-RA</v>
          </cell>
          <cell r="O10673">
            <v>4.6899999999999995</v>
          </cell>
          <cell r="T10673">
            <v>2.34</v>
          </cell>
        </row>
        <row r="10674">
          <cell r="A10674" t="str">
            <v>KMW COMMUNICATIONS</v>
          </cell>
          <cell r="B10674" t="str">
            <v>ET-X-TS-85-14-85-17-IR</v>
          </cell>
          <cell r="O10674">
            <v>4.6899999999999995</v>
          </cell>
          <cell r="T10674">
            <v>2.34</v>
          </cell>
        </row>
        <row r="10675">
          <cell r="A10675" t="str">
            <v>KMW COMMUNICATIONS</v>
          </cell>
          <cell r="B10675" t="str">
            <v>ET-X-TS-90-14-90-17-IR-SP</v>
          </cell>
          <cell r="O10675">
            <v>4.692033661</v>
          </cell>
          <cell r="T10675">
            <v>2.3446031499999997</v>
          </cell>
        </row>
        <row r="10676">
          <cell r="A10676" t="str">
            <v>KMW COMMUNICATIONS</v>
          </cell>
          <cell r="B10676" t="str">
            <v>ET-X-TU-33-18-33-20-IR-SP</v>
          </cell>
          <cell r="O10676"/>
          <cell r="T10676"/>
        </row>
        <row r="10677">
          <cell r="A10677" t="str">
            <v>KMW COMMUNICATIONS</v>
          </cell>
          <cell r="B10677" t="str">
            <v>ET-X-TU-42-15-37-18-IR-RA</v>
          </cell>
          <cell r="O10677">
            <v>5.9331356099999999</v>
          </cell>
          <cell r="T10677">
            <v>2.3175275580000001</v>
          </cell>
        </row>
        <row r="10678">
          <cell r="A10678" t="str">
            <v>KMW COMMUNICATIONS</v>
          </cell>
          <cell r="B10678" t="str">
            <v>ET-X-TU-42-15-37-18-IR-SP</v>
          </cell>
          <cell r="O10678">
            <v>5.9331356099999999</v>
          </cell>
          <cell r="T10678">
            <v>2.3175275580000001</v>
          </cell>
        </row>
        <row r="10679">
          <cell r="A10679" t="str">
            <v>KMW COMMUNICATIONS</v>
          </cell>
          <cell r="B10679" t="str">
            <v>ET-X-TU-45-17-45-19-IR-SP</v>
          </cell>
          <cell r="O10679"/>
          <cell r="T10679"/>
        </row>
        <row r="10680">
          <cell r="A10680" t="str">
            <v>KMW COMMUNICATIONS</v>
          </cell>
          <cell r="B10680" t="str">
            <v>ET-X-TW-73-15-63-18-62-18</v>
          </cell>
          <cell r="O10680">
            <v>4.22</v>
          </cell>
          <cell r="T10680">
            <v>2.2199999999999998</v>
          </cell>
        </row>
        <row r="10681">
          <cell r="A10681" t="str">
            <v>KMW COMMUNICATIONS</v>
          </cell>
          <cell r="B10681" t="str">
            <v>ET-X-TW-73-15-63-18-62-18_CCIV2</v>
          </cell>
          <cell r="O10681">
            <v>4.22</v>
          </cell>
          <cell r="T10681">
            <v>2.2199999999999998</v>
          </cell>
        </row>
        <row r="10682">
          <cell r="A10682" t="str">
            <v>KMW COMMUNICATIONS</v>
          </cell>
          <cell r="B10682" t="str">
            <v>ET-X-UW-68-14-65-18-IR-AT</v>
          </cell>
          <cell r="O10682">
            <v>4.17</v>
          </cell>
          <cell r="T10682">
            <v>2.19</v>
          </cell>
        </row>
        <row r="10683">
          <cell r="A10683" t="str">
            <v>KMW COMMUNICATIONS</v>
          </cell>
          <cell r="B10683" t="str">
            <v>ET-X-UW-70-13-70-17-IR-AT</v>
          </cell>
          <cell r="O10683">
            <v>3.126507041</v>
          </cell>
          <cell r="T10683">
            <v>1.6430404319999998</v>
          </cell>
        </row>
        <row r="10684">
          <cell r="A10684" t="str">
            <v>KMW COMMUNICATIONS</v>
          </cell>
          <cell r="B10684" t="str">
            <v>ET-X-UW-70-15-70-18-IR-AT</v>
          </cell>
          <cell r="O10684">
            <v>7.0987027391975293</v>
          </cell>
          <cell r="T10684">
            <v>2.8282558573288004</v>
          </cell>
        </row>
        <row r="10685">
          <cell r="A10685" t="str">
            <v>KMW COMMUNICATIONS</v>
          </cell>
          <cell r="B10685" t="str">
            <v>ET-X-UW-70-16-70-18-IR-AT</v>
          </cell>
          <cell r="O10685">
            <v>5.5299999999999994</v>
          </cell>
          <cell r="T10685">
            <v>2.9</v>
          </cell>
        </row>
        <row r="10686">
          <cell r="A10686" t="str">
            <v>KMW COMMUNICATIONS</v>
          </cell>
          <cell r="B10686" t="str">
            <v>ET-X-UW-70-16-70-18-IR-AT-RA</v>
          </cell>
          <cell r="O10686">
            <v>5.5308738425925901</v>
          </cell>
          <cell r="T10686">
            <v>2.9027999196217698</v>
          </cell>
        </row>
        <row r="10687">
          <cell r="A10687" t="str">
            <v>KMW COMMUNICATIONS</v>
          </cell>
          <cell r="B10687" t="str">
            <v>ET-X-WM-16-90-8P</v>
          </cell>
          <cell r="O10687"/>
          <cell r="T10687"/>
        </row>
        <row r="10688">
          <cell r="A10688" t="str">
            <v>KMW COMMUNICATIONS</v>
          </cell>
          <cell r="B10688" t="str">
            <v>ET-X-WM-18-65-8P</v>
          </cell>
          <cell r="O10688">
            <v>4</v>
          </cell>
          <cell r="T10688">
            <v>1.45</v>
          </cell>
        </row>
        <row r="10689">
          <cell r="A10689" t="str">
            <v>KMW COMMUNICATIONS</v>
          </cell>
          <cell r="B10689" t="str">
            <v>ETCR-654L12H6</v>
          </cell>
          <cell r="O10689">
            <v>10.98</v>
          </cell>
          <cell r="T10689">
            <v>3.29</v>
          </cell>
        </row>
        <row r="10690">
          <cell r="A10690" t="str">
            <v>KMW COMMUNICATIONS</v>
          </cell>
          <cell r="B10690" t="str">
            <v>ETCR-654L12H6C</v>
          </cell>
          <cell r="O10690">
            <v>21.301837379999988</v>
          </cell>
          <cell r="T10690">
            <v>8.7543430200000003</v>
          </cell>
        </row>
        <row r="10691">
          <cell r="A10691" t="str">
            <v>KMW COMMUNICATIONS</v>
          </cell>
          <cell r="B10691" t="str">
            <v>ETCR-654L12H6_CCIV2</v>
          </cell>
          <cell r="O10691">
            <v>13.09989873</v>
          </cell>
          <cell r="T10691">
            <v>3.9281409800000002</v>
          </cell>
        </row>
        <row r="10692">
          <cell r="A10692" t="str">
            <v>KMW COMMUNICATIONS</v>
          </cell>
          <cell r="B10692" t="str">
            <v>FX-OM2L10H2</v>
          </cell>
          <cell r="O10692"/>
          <cell r="T10692"/>
        </row>
        <row r="10693">
          <cell r="A10693" t="str">
            <v>KMW COMMUNICATIONS</v>
          </cell>
          <cell r="B10693" t="str">
            <v>H2-Q-WM-65-17-IC</v>
          </cell>
          <cell r="O10693"/>
          <cell r="T10693"/>
        </row>
        <row r="10694">
          <cell r="A10694" t="str">
            <v>KMW COMMUNICATIONS</v>
          </cell>
          <cell r="B10694" t="str">
            <v>H2-X-LU-65-17-IR</v>
          </cell>
          <cell r="O10694"/>
          <cell r="T10694"/>
        </row>
        <row r="10695">
          <cell r="A10695" t="str">
            <v>KMW COMMUNICATIONS</v>
          </cell>
          <cell r="B10695" t="str">
            <v>H2-X-LU-90-16-IR</v>
          </cell>
          <cell r="O10695"/>
          <cell r="T10695"/>
        </row>
        <row r="10696">
          <cell r="A10696" t="str">
            <v>KMW COMMUNICATIONS</v>
          </cell>
          <cell r="B10696" t="str">
            <v>H3-X-AW-17-65-00T</v>
          </cell>
          <cell r="O10696"/>
          <cell r="T10696"/>
        </row>
        <row r="10697">
          <cell r="A10697" t="str">
            <v>KMW COMMUNICATIONS</v>
          </cell>
          <cell r="B10697" t="str">
            <v>H3-X-PA-19-V2-00T008T-0</v>
          </cell>
          <cell r="O10697"/>
          <cell r="T10697"/>
        </row>
        <row r="10698">
          <cell r="A10698" t="str">
            <v>KMW COMMUNICATIONS</v>
          </cell>
          <cell r="B10698" t="str">
            <v>H3-X-PA-19-V3-00T</v>
          </cell>
          <cell r="O10698"/>
          <cell r="T10698"/>
        </row>
        <row r="10699">
          <cell r="A10699" t="str">
            <v>KMW COMMUNICATIONS</v>
          </cell>
          <cell r="B10699" t="str">
            <v>HB-X-AW-16-90-00T</v>
          </cell>
          <cell r="O10699"/>
          <cell r="T10699"/>
        </row>
        <row r="10700">
          <cell r="A10700" t="str">
            <v>KMW COMMUNICATIONS</v>
          </cell>
          <cell r="B10700" t="str">
            <v>HB-X-AW-16-90-00T-RET</v>
          </cell>
          <cell r="O10700"/>
          <cell r="T10700"/>
        </row>
        <row r="10701">
          <cell r="A10701" t="str">
            <v>KMW COMMUNICATIONS</v>
          </cell>
          <cell r="B10701" t="str">
            <v>HB-X-AW-16-90-0TM-RET</v>
          </cell>
          <cell r="O10701"/>
          <cell r="T10701"/>
        </row>
        <row r="10702">
          <cell r="A10702" t="str">
            <v>KMW COMMUNICATIONS</v>
          </cell>
          <cell r="B10702" t="str">
            <v>HB-X-AW-17-65-00T</v>
          </cell>
          <cell r="O10702"/>
          <cell r="T10702"/>
        </row>
        <row r="10703">
          <cell r="A10703" t="str">
            <v>KMW COMMUNICATIONS</v>
          </cell>
          <cell r="B10703" t="str">
            <v>HB-X-AW-17-65-00T-RET</v>
          </cell>
          <cell r="O10703"/>
          <cell r="T10703"/>
        </row>
        <row r="10704">
          <cell r="A10704" t="str">
            <v>KMW COMMUNICATIONS</v>
          </cell>
          <cell r="B10704" t="str">
            <v>HB-X-AW-17-65-0T-RET</v>
          </cell>
          <cell r="O10704"/>
          <cell r="T10704"/>
        </row>
        <row r="10705">
          <cell r="A10705" t="str">
            <v>KMW COMMUNICATIONS</v>
          </cell>
          <cell r="B10705" t="str">
            <v>HB-X-AW-17-65-0TM-RET</v>
          </cell>
          <cell r="O10705"/>
          <cell r="T10705"/>
        </row>
        <row r="10706">
          <cell r="A10706" t="str">
            <v>KMW COMMUNICATIONS</v>
          </cell>
          <cell r="B10706" t="str">
            <v>HB-X-AW-18-45-00T</v>
          </cell>
          <cell r="O10706"/>
          <cell r="T10706"/>
        </row>
        <row r="10707">
          <cell r="A10707" t="str">
            <v>KMW COMMUNICATIONS</v>
          </cell>
          <cell r="B10707" t="str">
            <v>HB-X-AW-18-45-00T-RET</v>
          </cell>
          <cell r="O10707"/>
          <cell r="T10707"/>
        </row>
        <row r="10708">
          <cell r="A10708" t="str">
            <v>KMW COMMUNICATIONS</v>
          </cell>
          <cell r="B10708" t="str">
            <v>HB-X-AW-18-45-0T-RET</v>
          </cell>
          <cell r="O10708"/>
          <cell r="T10708"/>
        </row>
        <row r="10709">
          <cell r="A10709" t="str">
            <v>KMW COMMUNICATIONS</v>
          </cell>
          <cell r="B10709" t="str">
            <v>HB-X-AW-18-45-0TM-RET</v>
          </cell>
          <cell r="O10709"/>
          <cell r="T10709"/>
        </row>
        <row r="10710">
          <cell r="A10710" t="str">
            <v>KMW COMMUNICATIONS</v>
          </cell>
          <cell r="B10710" t="str">
            <v>HB-X-AW-19-33-00T</v>
          </cell>
          <cell r="O10710"/>
          <cell r="T10710"/>
        </row>
        <row r="10711">
          <cell r="A10711" t="str">
            <v>KMW COMMUNICATIONS</v>
          </cell>
          <cell r="B10711" t="str">
            <v>HB-X-AW-19-33-00T-RET</v>
          </cell>
          <cell r="O10711"/>
          <cell r="T10711"/>
        </row>
        <row r="10712">
          <cell r="A10712" t="str">
            <v>KMW COMMUNICATIONS</v>
          </cell>
          <cell r="B10712" t="str">
            <v>HB-X-AW-19-33-0TM-RET</v>
          </cell>
          <cell r="O10712"/>
          <cell r="T10712"/>
        </row>
        <row r="10713">
          <cell r="A10713" t="str">
            <v>KMW COMMUNICATIONS</v>
          </cell>
          <cell r="B10713" t="str">
            <v>HB-X-AW-19-65-00T</v>
          </cell>
          <cell r="O10713"/>
          <cell r="T10713"/>
        </row>
        <row r="10714">
          <cell r="A10714" t="str">
            <v>KMW COMMUNICATIONS</v>
          </cell>
          <cell r="B10714" t="str">
            <v>HB-X-AW-19-65-00T-RET</v>
          </cell>
          <cell r="O10714"/>
          <cell r="T10714"/>
        </row>
        <row r="10715">
          <cell r="A10715" t="str">
            <v>KMW COMMUNICATIONS</v>
          </cell>
          <cell r="B10715" t="str">
            <v>HB-X-AW-19-65-0T-RET</v>
          </cell>
          <cell r="O10715"/>
          <cell r="T10715"/>
        </row>
        <row r="10716">
          <cell r="A10716" t="str">
            <v>KMW COMMUNICATIONS</v>
          </cell>
          <cell r="B10716" t="str">
            <v>HB-X-AW-19-65-0TM-RET</v>
          </cell>
          <cell r="O10716"/>
          <cell r="T10716"/>
        </row>
        <row r="10717">
          <cell r="A10717" t="str">
            <v>KMW COMMUNICATIONS</v>
          </cell>
          <cell r="B10717" t="str">
            <v>HB-X-AW-23-33-00T</v>
          </cell>
          <cell r="O10717"/>
          <cell r="T10717"/>
        </row>
        <row r="10718">
          <cell r="A10718" t="str">
            <v>KMW COMMUNICATIONS</v>
          </cell>
          <cell r="B10718" t="str">
            <v>HB-X-AW-23-33-0T-RET</v>
          </cell>
          <cell r="O10718"/>
          <cell r="T10718"/>
        </row>
        <row r="10719">
          <cell r="A10719" t="str">
            <v>KMW COMMUNICATIONS</v>
          </cell>
          <cell r="B10719" t="str">
            <v>HB-X-AW-23-33-0TM-RET</v>
          </cell>
          <cell r="O10719"/>
          <cell r="T10719"/>
        </row>
        <row r="10720">
          <cell r="A10720" t="str">
            <v>KMW COMMUNICATIONS</v>
          </cell>
          <cell r="B10720" t="str">
            <v>HB-X-ID-17-65-00T</v>
          </cell>
          <cell r="O10720"/>
          <cell r="T10720"/>
        </row>
        <row r="10721">
          <cell r="A10721" t="str">
            <v>KMW COMMUNICATIONS</v>
          </cell>
          <cell r="B10721" t="str">
            <v>HB-X-ID-18-45-00T</v>
          </cell>
          <cell r="O10721"/>
          <cell r="T10721"/>
        </row>
        <row r="10722">
          <cell r="A10722" t="str">
            <v>KMW COMMUNICATIONS</v>
          </cell>
          <cell r="B10722" t="str">
            <v>HB-X-ID-19-33-00T</v>
          </cell>
          <cell r="O10722"/>
          <cell r="T10722"/>
        </row>
        <row r="10723">
          <cell r="A10723" t="str">
            <v>KMW COMMUNICATIONS</v>
          </cell>
          <cell r="B10723" t="str">
            <v>HB-X-ID-19-65-00T</v>
          </cell>
          <cell r="O10723"/>
          <cell r="T10723"/>
        </row>
        <row r="10724">
          <cell r="A10724" t="str">
            <v>KMW COMMUNICATIONS</v>
          </cell>
          <cell r="B10724" t="str">
            <v>HB-X-PA-16-65-00T</v>
          </cell>
          <cell r="O10724"/>
          <cell r="T10724"/>
        </row>
        <row r="10725">
          <cell r="A10725" t="str">
            <v>KMW COMMUNICATIONS</v>
          </cell>
          <cell r="B10725" t="str">
            <v>HB-X-PA-16-90-00T</v>
          </cell>
          <cell r="O10725"/>
          <cell r="T10725"/>
        </row>
        <row r="10726">
          <cell r="A10726" t="str">
            <v>KMW COMMUNICATIONS</v>
          </cell>
          <cell r="B10726" t="str">
            <v>HB-X-PA-17-65-00T</v>
          </cell>
          <cell r="O10726"/>
          <cell r="T10726"/>
        </row>
        <row r="10727">
          <cell r="A10727" t="str">
            <v>KMW COMMUNICATIONS</v>
          </cell>
          <cell r="B10727" t="str">
            <v>HB-X-PA-18-45-00T</v>
          </cell>
          <cell r="O10727"/>
          <cell r="T10727"/>
        </row>
        <row r="10728">
          <cell r="A10728" t="str">
            <v>KMW COMMUNICATIONS</v>
          </cell>
          <cell r="B10728" t="str">
            <v>HB-X-WM-14-65-00T</v>
          </cell>
          <cell r="O10728"/>
          <cell r="T10728"/>
        </row>
        <row r="10729">
          <cell r="A10729" t="str">
            <v>KMW COMMUNICATIONS</v>
          </cell>
          <cell r="B10729" t="str">
            <v>HB-X-WM-17-65-00T</v>
          </cell>
          <cell r="O10729"/>
          <cell r="T10729"/>
        </row>
        <row r="10730">
          <cell r="A10730" t="str">
            <v>KMW COMMUNICATIONS</v>
          </cell>
          <cell r="B10730" t="str">
            <v>HB-X-WM-17-65-00T/WRET</v>
          </cell>
          <cell r="O10730"/>
          <cell r="T10730"/>
        </row>
        <row r="10731">
          <cell r="A10731" t="str">
            <v>KMW COMMUNICATIONS</v>
          </cell>
          <cell r="B10731" t="str">
            <v>HBXPA176500T</v>
          </cell>
          <cell r="O10731"/>
          <cell r="T10731"/>
        </row>
        <row r="10732">
          <cell r="A10732" t="str">
            <v>KMW COMMUNICATIONS</v>
          </cell>
          <cell r="B10732" t="str">
            <v>KAN817HD001</v>
          </cell>
          <cell r="O10732"/>
          <cell r="T10732"/>
        </row>
        <row r="10733">
          <cell r="A10733" t="str">
            <v>KMW COMMUNICATIONS</v>
          </cell>
          <cell r="B10733" t="str">
            <v>KE654L4H4-OD</v>
          </cell>
          <cell r="O10733">
            <v>5.9265576774691402</v>
          </cell>
          <cell r="T10733">
            <v>2.3162670986047598</v>
          </cell>
        </row>
        <row r="10734">
          <cell r="A10734" t="str">
            <v>KMW COMMUNICATIONS</v>
          </cell>
          <cell r="B10734" t="str">
            <v>KE654L4H6-D</v>
          </cell>
          <cell r="O10734">
            <v>9.0330922067901209</v>
          </cell>
          <cell r="T10734">
            <v>3.5324871212683999</v>
          </cell>
        </row>
        <row r="10735">
          <cell r="A10735" t="str">
            <v>KMW COMMUNICATIONS</v>
          </cell>
          <cell r="B10735" t="str">
            <v>KMWK-DTMA-AMXWM-17-065-010T</v>
          </cell>
          <cell r="O10735">
            <v>1.9662128669999999</v>
          </cell>
          <cell r="T10735">
            <v>0.69771952100000001</v>
          </cell>
        </row>
        <row r="10736">
          <cell r="A10736" t="str">
            <v>KMW COMMUNICATIONS</v>
          </cell>
          <cell r="B10736" t="str">
            <v>KMWK-DTMA-AMXWM-17-065-010T-EF</v>
          </cell>
          <cell r="O10736">
            <v>1.339583666</v>
          </cell>
          <cell r="T10736">
            <v>1.02442422</v>
          </cell>
        </row>
        <row r="10737">
          <cell r="A10737" t="str">
            <v>KMW COMMUNICATIONS</v>
          </cell>
          <cell r="B10737" t="str">
            <v>KMWK-DTMA-AMXWM-17-65-00T</v>
          </cell>
          <cell r="O10737">
            <v>1.9662128669999999</v>
          </cell>
          <cell r="T10737">
            <v>0.69771952100000001</v>
          </cell>
        </row>
        <row r="10738">
          <cell r="A10738" t="str">
            <v>KMW COMMUNICATIONS</v>
          </cell>
          <cell r="B10738" t="str">
            <v>KMWK-DTMA-HBXID-17-065-010T</v>
          </cell>
          <cell r="O10738"/>
          <cell r="T10738"/>
        </row>
        <row r="10739">
          <cell r="A10739" t="str">
            <v>KMW COMMUNICATIONS</v>
          </cell>
          <cell r="B10739" t="str">
            <v>KMWK-DTMA-HBXID-17-065-010T-EF</v>
          </cell>
          <cell r="O10739"/>
          <cell r="T10739"/>
        </row>
        <row r="10740">
          <cell r="A10740" t="str">
            <v>KMW COMMUNICATIONS</v>
          </cell>
          <cell r="B10740" t="str">
            <v>KMWK-DTMA-HBXWM-17-065-010T</v>
          </cell>
          <cell r="O10740"/>
          <cell r="T10740"/>
        </row>
        <row r="10741">
          <cell r="A10741" t="str">
            <v>KMW COMMUNICATIONS</v>
          </cell>
          <cell r="B10741" t="str">
            <v>KMWK-DTMA-HBXWM-17-065-010T-EF</v>
          </cell>
          <cell r="O10741"/>
          <cell r="T10741"/>
        </row>
        <row r="10742">
          <cell r="A10742" t="str">
            <v>KMW COMMUNICATIONS</v>
          </cell>
          <cell r="B10742" t="str">
            <v>KMWK-DTMA-HBXWM-17-65-010T</v>
          </cell>
          <cell r="O10742"/>
          <cell r="T10742"/>
        </row>
        <row r="10743">
          <cell r="A10743" t="str">
            <v>KMW COMMUNICATIONS</v>
          </cell>
          <cell r="B10743" t="str">
            <v>KMWK-DTMA-HBXWM-17-65-010T-EF</v>
          </cell>
          <cell r="O10743"/>
          <cell r="T10743"/>
        </row>
        <row r="10744">
          <cell r="A10744" t="str">
            <v>KOB-TV</v>
          </cell>
          <cell r="B10744" t="str">
            <v>CAMERA</v>
          </cell>
          <cell r="O10744"/>
          <cell r="T10744"/>
        </row>
        <row r="10745">
          <cell r="A10745" t="str">
            <v>KOB-TV</v>
          </cell>
          <cell r="B10745" t="str">
            <v>CAMERA CONTROL UNIT</v>
          </cell>
          <cell r="O10745"/>
          <cell r="T10745"/>
        </row>
        <row r="10746">
          <cell r="A10746" t="str">
            <v>KOB-TV</v>
          </cell>
          <cell r="B10746" t="str">
            <v>PAN TILT HEAD</v>
          </cell>
          <cell r="O10746"/>
          <cell r="T10746"/>
        </row>
        <row r="10747">
          <cell r="A10747" t="str">
            <v>KP PERFORMANCE ANTENNAS</v>
          </cell>
          <cell r="B10747" t="str">
            <v>KP 3S5SX16-65</v>
          </cell>
          <cell r="O10747"/>
          <cell r="T10747"/>
        </row>
        <row r="10748">
          <cell r="A10748" t="str">
            <v>KP PERFORMANCE ANTENNAS</v>
          </cell>
          <cell r="B10748" t="str">
            <v>KP-11PDFX-2</v>
          </cell>
          <cell r="O10748"/>
          <cell r="T10748"/>
        </row>
        <row r="10749">
          <cell r="A10749" t="str">
            <v>KP PERFORMANCE ANTENNAS</v>
          </cell>
          <cell r="B10749" t="str">
            <v>KP-11PDFX-3</v>
          </cell>
          <cell r="O10749"/>
          <cell r="T10749"/>
        </row>
        <row r="10750">
          <cell r="A10750" t="str">
            <v>KP PERFORMANCE ANTENNAS</v>
          </cell>
          <cell r="B10750" t="str">
            <v>KP-11PDMM-2</v>
          </cell>
          <cell r="O10750"/>
          <cell r="T10750"/>
        </row>
        <row r="10751">
          <cell r="A10751" t="str">
            <v>KP PERFORMANCE ANTENNAS</v>
          </cell>
          <cell r="B10751" t="str">
            <v>KP-11PDMM-3</v>
          </cell>
          <cell r="O10751"/>
          <cell r="T10751"/>
        </row>
        <row r="10752">
          <cell r="A10752" t="str">
            <v>KP PERFORMANCE ANTENNAS</v>
          </cell>
          <cell r="B10752" t="str">
            <v>KP-2S3S5HVX8-65</v>
          </cell>
          <cell r="O10752"/>
          <cell r="T10752"/>
        </row>
        <row r="10753">
          <cell r="A10753" t="str">
            <v>KP PERFORMANCE ANTENNAS</v>
          </cell>
          <cell r="B10753" t="str">
            <v>KP-3DP65S-45</v>
          </cell>
          <cell r="O10753">
            <v>1.6711550503505699</v>
          </cell>
          <cell r="T10753">
            <v>0.84960009877663301</v>
          </cell>
        </row>
        <row r="10754">
          <cell r="A10754" t="str">
            <v>KP PERFORMANCE ANTENNAS</v>
          </cell>
          <cell r="B10754" t="str">
            <v>KP-3S3S-65SA</v>
          </cell>
          <cell r="O10754">
            <v>2.7512439834134699</v>
          </cell>
          <cell r="T10754">
            <v>1.26494232786539</v>
          </cell>
        </row>
        <row r="10755">
          <cell r="A10755" t="str">
            <v>KP PERFORMANCE ANTENNAS</v>
          </cell>
          <cell r="B10755" t="str">
            <v>KP-3S65-5S90-X8</v>
          </cell>
          <cell r="O10755">
            <v>3.7992066936728399</v>
          </cell>
          <cell r="T10755">
            <v>0.98708922873521687</v>
          </cell>
        </row>
        <row r="10756">
          <cell r="A10756" t="str">
            <v>KP PERFORMANCE ANTENNAS</v>
          </cell>
          <cell r="B10756" t="str">
            <v>KP-3SX4-90</v>
          </cell>
          <cell r="O10756"/>
          <cell r="T10756"/>
        </row>
        <row r="10757">
          <cell r="A10757" t="str">
            <v>KP PERFORMANCE ANTENNAS</v>
          </cell>
          <cell r="B10757" t="str">
            <v>KP-3SX8-65</v>
          </cell>
          <cell r="O10757">
            <v>4.8057297514976796</v>
          </cell>
          <cell r="T10757">
            <v>1.3785819195953097</v>
          </cell>
        </row>
        <row r="10758">
          <cell r="A10758" t="str">
            <v>KP PERFORMANCE ANTENNAS</v>
          </cell>
          <cell r="B10758" t="str">
            <v>KP-5HA-30-N</v>
          </cell>
          <cell r="O10758"/>
          <cell r="T10758"/>
        </row>
        <row r="10759">
          <cell r="A10759" t="str">
            <v>KP PERFORMANCE ANTENNAS</v>
          </cell>
          <cell r="B10759" t="str">
            <v>KP-5HVX8-65</v>
          </cell>
          <cell r="O10759"/>
          <cell r="T10759"/>
        </row>
        <row r="10760">
          <cell r="A10760" t="str">
            <v>KP PERFORMANCE ANTENNAS</v>
          </cell>
          <cell r="B10760" t="str">
            <v>KP-5PDN-2</v>
          </cell>
          <cell r="O10760"/>
          <cell r="T10760"/>
        </row>
        <row r="10761">
          <cell r="A10761" t="str">
            <v>KP PERFORMANCE ANTENNAS</v>
          </cell>
          <cell r="B10761" t="str">
            <v>KP-5PDRPG2-1</v>
          </cell>
          <cell r="O10761"/>
          <cell r="T10761"/>
        </row>
        <row r="10762">
          <cell r="A10762" t="str">
            <v>KP PERFORMANCE ANTENNAS</v>
          </cell>
          <cell r="B10762" t="str">
            <v>KP-6PDN-2-RSP</v>
          </cell>
          <cell r="O10762"/>
          <cell r="T10762"/>
        </row>
        <row r="10763">
          <cell r="A10763" t="str">
            <v>KP PERFORMANCE ANTENNAS</v>
          </cell>
          <cell r="B10763" t="str">
            <v>KP-TWVP65S-12_20240327</v>
          </cell>
          <cell r="O10763"/>
          <cell r="T10763"/>
        </row>
        <row r="10764">
          <cell r="A10764" t="str">
            <v>KP PERFORMANCE ANTENNAS</v>
          </cell>
          <cell r="B10764" t="str">
            <v>KPA-900-120-11.5</v>
          </cell>
          <cell r="O10764">
            <v>1.580153393</v>
          </cell>
          <cell r="T10764">
            <v>0.80286813099999987</v>
          </cell>
        </row>
        <row r="10765">
          <cell r="A10765" t="str">
            <v>KP PERFORMANCE ANTENNAS</v>
          </cell>
          <cell r="B10765" t="str">
            <v>KPP-2SX4-65</v>
          </cell>
          <cell r="O10765">
            <v>2.7558989197530899</v>
          </cell>
          <cell r="T10765">
            <v>0.71665818140603799</v>
          </cell>
        </row>
        <row r="10766">
          <cell r="A10766" t="str">
            <v>KP PERFORMANCE ANTENNAS</v>
          </cell>
          <cell r="B10766" t="str">
            <v>KPP-3DP65S-45</v>
          </cell>
          <cell r="O10766">
            <v>1.7483993912865599</v>
          </cell>
          <cell r="T10766">
            <v>0.88862291646452596</v>
          </cell>
        </row>
        <row r="10767">
          <cell r="A10767" t="str">
            <v>KP PERFORMANCE ANTENNAS</v>
          </cell>
          <cell r="B10767" t="str">
            <v>KPP-3S65-5S90-X8</v>
          </cell>
          <cell r="O10767">
            <v>4.1647063078703699</v>
          </cell>
          <cell r="T10767">
            <v>1.0824729347795599</v>
          </cell>
        </row>
        <row r="10768">
          <cell r="A10768" t="str">
            <v>KP PERFORMANCE ANTENNAS</v>
          </cell>
          <cell r="B10768" t="str">
            <v>KPP-3S65-5S90-X8-0DT</v>
          </cell>
          <cell r="O10768"/>
          <cell r="T10768"/>
        </row>
        <row r="10769">
          <cell r="A10769" t="str">
            <v>KP PERFORMANCE ANTENNAS</v>
          </cell>
          <cell r="B10769" t="str">
            <v>KPP-3SX4-65</v>
          </cell>
          <cell r="O10769">
            <v>2.4380840084876501</v>
          </cell>
          <cell r="T10769">
            <v>0.634153070155689</v>
          </cell>
        </row>
        <row r="10770">
          <cell r="A10770" t="str">
            <v>KP PERFORMANCE ANTENNAS</v>
          </cell>
          <cell r="B10770" t="str">
            <v>KPP-3SX8-65_20240327</v>
          </cell>
          <cell r="O10770">
            <v>3.5100747492283899</v>
          </cell>
          <cell r="T10770">
            <v>0.91259596255255493</v>
          </cell>
        </row>
        <row r="10771">
          <cell r="A10771" t="str">
            <v>KP PERFORMANCE ANTENNAS</v>
          </cell>
          <cell r="B10771" t="str">
            <v>KPP-5PD90S-45</v>
          </cell>
          <cell r="O10771">
            <v>0.96725308641975294</v>
          </cell>
          <cell r="T10771">
            <v>0.486075831520628</v>
          </cell>
        </row>
        <row r="10772">
          <cell r="A10772" t="str">
            <v>KP PERFORMANCE ANTENNAS</v>
          </cell>
          <cell r="B10772" t="str">
            <v>KPP-5SX4-65</v>
          </cell>
          <cell r="O10772"/>
          <cell r="T10772"/>
        </row>
        <row r="10773">
          <cell r="A10773" t="str">
            <v>KP PERFORMANCE ANTENNAS</v>
          </cell>
          <cell r="B10773" t="str">
            <v>KPP-5SX4-90</v>
          </cell>
          <cell r="O10773">
            <v>1.82451678240741</v>
          </cell>
          <cell r="T10773">
            <v>0.475016333980814</v>
          </cell>
        </row>
        <row r="10774">
          <cell r="A10774" t="str">
            <v>KP PERFORMANCE ANTENNAS</v>
          </cell>
          <cell r="B10774" t="str">
            <v>KPPA-2GHZ-DPOMA-WC</v>
          </cell>
          <cell r="O10774"/>
          <cell r="T10774"/>
        </row>
        <row r="10775">
          <cell r="A10775" t="str">
            <v>KP PERFORMANCE ANTENNAS</v>
          </cell>
          <cell r="B10775" t="str">
            <v>KPPA-2GHZ-DPOMA-WC-3</v>
          </cell>
          <cell r="O10775"/>
          <cell r="T10775"/>
        </row>
        <row r="10776">
          <cell r="A10776" t="str">
            <v>KP PERFORMANCE ANTENNAS</v>
          </cell>
          <cell r="B10776" t="str">
            <v>KPPA-2GHZDP120S</v>
          </cell>
          <cell r="O10776">
            <v>1.7195646039999999</v>
          </cell>
          <cell r="T10776">
            <v>0.858841576</v>
          </cell>
        </row>
        <row r="10777">
          <cell r="A10777" t="str">
            <v>KP PERFORMANCE ANTENNAS</v>
          </cell>
          <cell r="B10777" t="str">
            <v>KPPA-2GHZDP90S-45</v>
          </cell>
          <cell r="O10777">
            <v>2.1485795754339199</v>
          </cell>
          <cell r="T10777">
            <v>1.0920130626840199</v>
          </cell>
        </row>
        <row r="10778">
          <cell r="A10778" t="str">
            <v>KP PERFORMANCE ANTENNAS</v>
          </cell>
          <cell r="B10778" t="str">
            <v>KPPA-2GHZDP90S-WC</v>
          </cell>
          <cell r="O10778">
            <v>1.75110936411577</v>
          </cell>
          <cell r="T10778">
            <v>1.0878574835607298</v>
          </cell>
        </row>
        <row r="10779">
          <cell r="A10779" t="str">
            <v>KP PERFORMANCE ANTENNAS</v>
          </cell>
          <cell r="B10779" t="str">
            <v>KPPA-2HV5HV-90SS</v>
          </cell>
          <cell r="O10779">
            <v>2.4613985340000002</v>
          </cell>
          <cell r="T10779">
            <v>1.0480640589999999</v>
          </cell>
        </row>
        <row r="10780">
          <cell r="A10780" t="str">
            <v>KP PERFORMANCE ANTENNAS</v>
          </cell>
          <cell r="B10780" t="str">
            <v>KPPA-2S5HV-90SS</v>
          </cell>
          <cell r="O10780">
            <v>3.1490509148627703</v>
          </cell>
          <cell r="T10780">
            <v>1.27426791231749</v>
          </cell>
        </row>
        <row r="10781">
          <cell r="A10781" t="str">
            <v>KP PERFORMANCE ANTENNAS</v>
          </cell>
          <cell r="B10781" t="str">
            <v>KPPA-3GHZ-DPOMA</v>
          </cell>
          <cell r="O10781"/>
          <cell r="T10781"/>
        </row>
        <row r="10782">
          <cell r="A10782" t="str">
            <v>KP PERFORMANCE ANTENNAS</v>
          </cell>
          <cell r="B10782" t="str">
            <v>KPPA-3GHZDP120S-45</v>
          </cell>
          <cell r="O10782">
            <v>1.660022458</v>
          </cell>
          <cell r="T10782">
            <v>0.83135924699999997</v>
          </cell>
        </row>
        <row r="10783">
          <cell r="A10783" t="str">
            <v>KP PERFORMANCE ANTENNAS</v>
          </cell>
          <cell r="B10783" t="str">
            <v>KPPA-3GHZDP90S-45</v>
          </cell>
          <cell r="O10783">
            <v>1.520836877</v>
          </cell>
          <cell r="T10783">
            <v>0.760739901</v>
          </cell>
        </row>
        <row r="10784">
          <cell r="A10784" t="str">
            <v>KP PERFORMANCE ANTENNAS</v>
          </cell>
          <cell r="B10784" t="str">
            <v>KPPA-3GHZDP90S-WOC1</v>
          </cell>
          <cell r="O10784">
            <v>2.0422281430115898</v>
          </cell>
          <cell r="T10784">
            <v>1.03794858533184</v>
          </cell>
        </row>
        <row r="10785">
          <cell r="A10785" t="str">
            <v>KP PERFORMANCE ANTENNAS</v>
          </cell>
          <cell r="B10785" t="str">
            <v>KPPA-3GHZDPS120</v>
          </cell>
          <cell r="O10785">
            <v>1.908587212</v>
          </cell>
          <cell r="T10785">
            <v>0.97019685300000003</v>
          </cell>
        </row>
        <row r="10786">
          <cell r="A10786" t="str">
            <v>KP PERFORMANCE ANTENNAS</v>
          </cell>
          <cell r="B10786" t="str">
            <v>KPPA-3S3S-90SS</v>
          </cell>
          <cell r="O10786">
            <v>2.2933179937504802</v>
          </cell>
          <cell r="T10786">
            <v>0.98878402853348302</v>
          </cell>
        </row>
        <row r="10787">
          <cell r="A10787" t="str">
            <v>KP PERFORMANCE ANTENNAS</v>
          </cell>
          <cell r="B10787" t="str">
            <v>KPPA-3S5HV-90SS</v>
          </cell>
          <cell r="O10787">
            <v>1.8994203317901199</v>
          </cell>
          <cell r="T10787">
            <v>1.34032784624376</v>
          </cell>
        </row>
        <row r="10788">
          <cell r="A10788" t="str">
            <v>KP PERFORMANCE ANTENNAS</v>
          </cell>
          <cell r="B10788" t="str">
            <v>KPPA-3S5HV-90SS_v2</v>
          </cell>
          <cell r="O10788">
            <v>1.8994203317901199</v>
          </cell>
          <cell r="T10788">
            <v>1.34032784624376</v>
          </cell>
        </row>
        <row r="10789">
          <cell r="A10789" t="str">
            <v>KP PERFORMANCE ANTENNAS</v>
          </cell>
          <cell r="B10789" t="str">
            <v>KPPA-5GHZ-DPOMA</v>
          </cell>
          <cell r="O10789"/>
          <cell r="T10789"/>
        </row>
        <row r="10790">
          <cell r="A10790" t="str">
            <v>KP PERFORMANCE ANTENNAS</v>
          </cell>
          <cell r="B10790" t="str">
            <v>KPPA-5GHZ-DPOMA-MT</v>
          </cell>
          <cell r="O10790"/>
          <cell r="T10790"/>
        </row>
        <row r="10791">
          <cell r="A10791" t="str">
            <v>KP PERFORMANCE ANTENNAS</v>
          </cell>
          <cell r="B10791" t="str">
            <v>KPPA-5GHZ-DPOMA-WC</v>
          </cell>
          <cell r="O10791"/>
          <cell r="T10791"/>
        </row>
        <row r="10792">
          <cell r="A10792" t="str">
            <v>KP PERFORMANCE ANTENNAS</v>
          </cell>
          <cell r="B10792" t="str">
            <v>KPPA-5GHZ-DPOMA_2018-01</v>
          </cell>
          <cell r="O10792"/>
          <cell r="T10792"/>
        </row>
        <row r="10793">
          <cell r="A10793" t="str">
            <v>KP PERFORMANCE ANTENNAS</v>
          </cell>
          <cell r="B10793" t="str">
            <v>KPPA-5GHZDP120S</v>
          </cell>
          <cell r="O10793">
            <v>1.8858234720000002</v>
          </cell>
          <cell r="T10793">
            <v>0.94148193499999988</v>
          </cell>
        </row>
        <row r="10794">
          <cell r="A10794" t="str">
            <v>KP PERFORMANCE ANTENNAS</v>
          </cell>
          <cell r="B10794" t="str">
            <v>KPPA-5GHZDP120S-WC</v>
          </cell>
          <cell r="O10794">
            <v>1.35646425989096</v>
          </cell>
          <cell r="T10794">
            <v>0.88413334094101204</v>
          </cell>
        </row>
        <row r="10795">
          <cell r="A10795" t="str">
            <v>KP PERFORMANCE ANTENNAS</v>
          </cell>
          <cell r="B10795" t="str">
            <v>KPPA-5GHZDP40S-WC</v>
          </cell>
          <cell r="O10795">
            <v>1.35646425989096</v>
          </cell>
          <cell r="T10795">
            <v>0.88413334094101204</v>
          </cell>
        </row>
        <row r="10796">
          <cell r="A10796" t="str">
            <v>KP PERFORMANCE ANTENNAS</v>
          </cell>
          <cell r="B10796" t="str">
            <v>KPPA-5GHZDP60S-17</v>
          </cell>
          <cell r="O10796">
            <v>0.93269258065673288</v>
          </cell>
          <cell r="T10796">
            <v>0.47457885518311488</v>
          </cell>
        </row>
        <row r="10797">
          <cell r="A10797" t="str">
            <v>KP PERFORMANCE ANTENNAS</v>
          </cell>
          <cell r="B10797" t="str">
            <v>KPPA-5GHZDP90S</v>
          </cell>
          <cell r="O10797">
            <v>1.534854275</v>
          </cell>
          <cell r="T10797">
            <v>0.78031529499999985</v>
          </cell>
        </row>
        <row r="10798">
          <cell r="A10798" t="str">
            <v>KP PERFORMANCE ANTENNAS</v>
          </cell>
          <cell r="B10798" t="str">
            <v>KPPA-5GHZHV4P65-17</v>
          </cell>
          <cell r="O10798">
            <v>1.50707851080247</v>
          </cell>
          <cell r="T10798">
            <v>0.48836486612965302</v>
          </cell>
        </row>
        <row r="10799">
          <cell r="A10799" t="str">
            <v>KP PERFORMANCE ANTENNAS</v>
          </cell>
          <cell r="B10799" t="str">
            <v>KPPA-5HV5HV-65SA</v>
          </cell>
          <cell r="O10799">
            <v>1.7129448730000001</v>
          </cell>
          <cell r="T10799">
            <v>0.84129330599999996</v>
          </cell>
        </row>
        <row r="10800">
          <cell r="A10800" t="str">
            <v>KP PERFORMANCE ANTENNAS</v>
          </cell>
          <cell r="B10800" t="str">
            <v>KPPA-900DP-90S-PMP</v>
          </cell>
          <cell r="O10800">
            <v>3.4149051639999999</v>
          </cell>
          <cell r="T10800">
            <v>1.5700394440000001</v>
          </cell>
        </row>
        <row r="10801">
          <cell r="A10801" t="str">
            <v>KP PERFORMANCE ANTENNAS</v>
          </cell>
          <cell r="B10801" t="str">
            <v>RK24EWIFIDBI-4LD</v>
          </cell>
          <cell r="O10801"/>
          <cell r="T10801"/>
        </row>
        <row r="10802">
          <cell r="A10802" t="str">
            <v>KRECO</v>
          </cell>
          <cell r="B10802" t="str">
            <v>CO-150A</v>
          </cell>
          <cell r="O10802"/>
          <cell r="T10802"/>
        </row>
        <row r="10803">
          <cell r="A10803" t="str">
            <v>KRECO</v>
          </cell>
          <cell r="B10803" t="str">
            <v>CO-30A</v>
          </cell>
          <cell r="O10803"/>
          <cell r="T10803"/>
        </row>
        <row r="10804">
          <cell r="A10804" t="str">
            <v>KRECO</v>
          </cell>
          <cell r="B10804" t="str">
            <v>CO-36A</v>
          </cell>
          <cell r="O10804"/>
          <cell r="T10804"/>
        </row>
        <row r="10805">
          <cell r="A10805" t="str">
            <v>KRECO</v>
          </cell>
          <cell r="B10805" t="str">
            <v>CO-40A</v>
          </cell>
          <cell r="O10805"/>
          <cell r="T10805"/>
        </row>
        <row r="10806">
          <cell r="A10806" t="str">
            <v>KRECO</v>
          </cell>
          <cell r="B10806" t="str">
            <v>CO-41A</v>
          </cell>
          <cell r="O10806"/>
          <cell r="T10806"/>
        </row>
        <row r="10807">
          <cell r="A10807" t="str">
            <v>KRECO</v>
          </cell>
          <cell r="B10807" t="str">
            <v>D-150B</v>
          </cell>
          <cell r="O10807"/>
          <cell r="T10807"/>
        </row>
        <row r="10808">
          <cell r="A10808" t="str">
            <v>KS TECHNOLOGIES</v>
          </cell>
          <cell r="B10808" t="str">
            <v>KST 7022</v>
          </cell>
          <cell r="O10808"/>
          <cell r="T10808"/>
        </row>
        <row r="10809">
          <cell r="A10809" t="str">
            <v>L-COM</v>
          </cell>
          <cell r="B10809" t="str">
            <v>HG459U</v>
          </cell>
          <cell r="O10809"/>
          <cell r="T10809"/>
        </row>
        <row r="10810">
          <cell r="A10810" t="str">
            <v>L-COM</v>
          </cell>
          <cell r="B10810" t="str">
            <v>HG4958DP-30D</v>
          </cell>
          <cell r="O10810"/>
          <cell r="T10810"/>
        </row>
        <row r="10811">
          <cell r="A10811" t="str">
            <v>L-COM</v>
          </cell>
          <cell r="B10811" t="str">
            <v>HG908U-PRO</v>
          </cell>
          <cell r="O10811"/>
          <cell r="T10811"/>
        </row>
        <row r="10812">
          <cell r="A10812" t="str">
            <v>L-COM</v>
          </cell>
          <cell r="B10812" t="str">
            <v>HGV-903U</v>
          </cell>
          <cell r="O10812"/>
          <cell r="T10812"/>
        </row>
        <row r="10813">
          <cell r="A10813" t="str">
            <v>L-COM</v>
          </cell>
          <cell r="B10813" t="str">
            <v>HGV-906U</v>
          </cell>
          <cell r="O10813"/>
          <cell r="T10813"/>
        </row>
        <row r="10814">
          <cell r="A10814" t="str">
            <v>L-COM</v>
          </cell>
          <cell r="B10814" t="str">
            <v>WTTX-OMNI08600930-6-NJ</v>
          </cell>
          <cell r="O10814"/>
          <cell r="T10814"/>
        </row>
        <row r="10815">
          <cell r="A10815" t="str">
            <v>L-COM</v>
          </cell>
          <cell r="B10815" t="str">
            <v>WTTX-OMNI08600930-8-NJ</v>
          </cell>
          <cell r="O10815"/>
          <cell r="T10815"/>
        </row>
        <row r="10816">
          <cell r="A10816" t="str">
            <v>LABEL ITALY TELECOMMUNICATIONS</v>
          </cell>
          <cell r="B10816" t="str">
            <v>AOL AKG8</v>
          </cell>
          <cell r="O10816"/>
          <cell r="T10816"/>
        </row>
        <row r="10817">
          <cell r="A10817" t="str">
            <v>LAIRD TECHNOLOGIES</v>
          </cell>
          <cell r="B10817" t="str">
            <v>DA58-32</v>
          </cell>
          <cell r="O10817"/>
          <cell r="T10817"/>
        </row>
        <row r="10818">
          <cell r="A10818" t="str">
            <v>LAIRD TECHNOLOGIES</v>
          </cell>
          <cell r="B10818" t="str">
            <v>FG1393</v>
          </cell>
          <cell r="O10818"/>
          <cell r="T10818"/>
        </row>
        <row r="10819">
          <cell r="A10819" t="str">
            <v>LAIRD TECHNOLOGIES</v>
          </cell>
          <cell r="B10819" t="str">
            <v>FG1520</v>
          </cell>
          <cell r="O10819"/>
          <cell r="T10819"/>
        </row>
        <row r="10820">
          <cell r="A10820" t="str">
            <v>LAIRD TECHNOLOGIES</v>
          </cell>
          <cell r="B10820" t="str">
            <v>FG1683</v>
          </cell>
          <cell r="O10820"/>
          <cell r="T10820"/>
        </row>
        <row r="10821">
          <cell r="A10821" t="str">
            <v>LAIRD TECHNOLOGIES</v>
          </cell>
          <cell r="B10821" t="str">
            <v>FG4103</v>
          </cell>
          <cell r="O10821"/>
          <cell r="T10821"/>
        </row>
        <row r="10822">
          <cell r="A10822" t="str">
            <v>LAIRD TECHNOLOGIES</v>
          </cell>
          <cell r="B10822" t="str">
            <v>FG4500</v>
          </cell>
          <cell r="O10822"/>
          <cell r="T10822"/>
        </row>
        <row r="10823">
          <cell r="A10823" t="str">
            <v>LAIRD TECHNOLOGIES</v>
          </cell>
          <cell r="B10823" t="str">
            <v>FG4507</v>
          </cell>
          <cell r="O10823"/>
          <cell r="T10823"/>
        </row>
        <row r="10824">
          <cell r="A10824" t="str">
            <v>LAIRD TECHNOLOGIES</v>
          </cell>
          <cell r="B10824" t="str">
            <v>FG8063</v>
          </cell>
          <cell r="O10824"/>
          <cell r="T10824"/>
        </row>
        <row r="10825">
          <cell r="A10825" t="str">
            <v>LAIRD TECHNOLOGIES</v>
          </cell>
          <cell r="B10825" t="str">
            <v>FG9023</v>
          </cell>
          <cell r="O10825"/>
          <cell r="T10825"/>
        </row>
        <row r="10826">
          <cell r="A10826" t="str">
            <v>LAIRD TECHNOLOGIES</v>
          </cell>
          <cell r="B10826" t="str">
            <v>FG9026</v>
          </cell>
          <cell r="O10826"/>
          <cell r="T10826"/>
        </row>
        <row r="10827">
          <cell r="A10827" t="str">
            <v>LAIRD TECHNOLOGIES</v>
          </cell>
          <cell r="B10827" t="str">
            <v>FG9026_CCIV2</v>
          </cell>
          <cell r="O10827"/>
          <cell r="T10827"/>
        </row>
        <row r="10828">
          <cell r="A10828" t="str">
            <v>LAIRD TECHNOLOGIES</v>
          </cell>
          <cell r="B10828" t="str">
            <v>FRX450</v>
          </cell>
          <cell r="O10828"/>
          <cell r="T10828"/>
        </row>
        <row r="10829">
          <cell r="A10829" t="str">
            <v>LAIRD TECHNOLOGIES</v>
          </cell>
          <cell r="B10829" t="str">
            <v>GD22-MT</v>
          </cell>
          <cell r="O10829"/>
          <cell r="T10829"/>
        </row>
        <row r="10830">
          <cell r="A10830" t="str">
            <v>LAIRD TECHNOLOGIES</v>
          </cell>
          <cell r="B10830" t="str">
            <v>GD5W-28</v>
          </cell>
          <cell r="O10830"/>
          <cell r="T10830"/>
        </row>
        <row r="10831">
          <cell r="A10831" t="str">
            <v>LAIRD TECHNOLOGIES</v>
          </cell>
          <cell r="B10831" t="str">
            <v>HDDA5W-29</v>
          </cell>
          <cell r="O10831"/>
          <cell r="T10831"/>
        </row>
        <row r="10832">
          <cell r="A10832" t="str">
            <v>LAIRD TECHNOLOGIES</v>
          </cell>
          <cell r="B10832" t="str">
            <v>HDDA5W-29-DP</v>
          </cell>
          <cell r="O10832"/>
          <cell r="T10832"/>
        </row>
        <row r="10833">
          <cell r="A10833" t="str">
            <v>LAIRD TECHNOLOGIES</v>
          </cell>
          <cell r="B10833" t="str">
            <v>HDDA5W-32</v>
          </cell>
          <cell r="O10833"/>
          <cell r="T10833"/>
        </row>
        <row r="10834">
          <cell r="A10834" t="str">
            <v>LAIRD TECHNOLOGIES</v>
          </cell>
          <cell r="B10834" t="str">
            <v>HDDA5W-32-DP</v>
          </cell>
          <cell r="O10834"/>
          <cell r="T10834"/>
        </row>
        <row r="10835">
          <cell r="A10835" t="str">
            <v>LAIRD TECHNOLOGIES</v>
          </cell>
          <cell r="B10835" t="str">
            <v>J33013V01-120N</v>
          </cell>
          <cell r="O10835"/>
          <cell r="T10835"/>
        </row>
        <row r="10836">
          <cell r="A10836" t="str">
            <v>LAIRD TECHNOLOGIES</v>
          </cell>
          <cell r="B10836" t="str">
            <v>J33016S00-90N</v>
          </cell>
          <cell r="O10836"/>
          <cell r="T10836"/>
        </row>
        <row r="10837">
          <cell r="A10837" t="str">
            <v>LAIRD TECHNOLOGIES</v>
          </cell>
          <cell r="B10837" t="str">
            <v>J34216V00-120N</v>
          </cell>
          <cell r="O10837"/>
          <cell r="T10837"/>
        </row>
        <row r="10838">
          <cell r="A10838" t="str">
            <v>LAIRD TECHNOLOGIES</v>
          </cell>
          <cell r="B10838" t="str">
            <v>J34218V01-90N</v>
          </cell>
          <cell r="O10838"/>
          <cell r="T10838"/>
        </row>
        <row r="10839">
          <cell r="A10839" t="str">
            <v>LAIRD TECHNOLOGIES</v>
          </cell>
          <cell r="B10839" t="str">
            <v>LP800-2500-9-NF</v>
          </cell>
          <cell r="O10839"/>
          <cell r="T10839"/>
        </row>
        <row r="10840">
          <cell r="A10840" t="str">
            <v>LAIRD TECHNOLOGIES</v>
          </cell>
          <cell r="B10840" t="str">
            <v>OC69271</v>
          </cell>
          <cell r="O10840"/>
          <cell r="T10840"/>
        </row>
        <row r="10841">
          <cell r="A10841" t="str">
            <v>LAIRD TECHNOLOGIES</v>
          </cell>
          <cell r="B10841" t="str">
            <v>OD9-11</v>
          </cell>
          <cell r="O10841"/>
          <cell r="T10841"/>
        </row>
        <row r="10842">
          <cell r="A10842" t="str">
            <v>LAIRD TECHNOLOGIES</v>
          </cell>
          <cell r="B10842" t="str">
            <v>OD9-5</v>
          </cell>
          <cell r="O10842"/>
          <cell r="T10842"/>
        </row>
        <row r="10843">
          <cell r="A10843" t="str">
            <v>LAIRD TECHNOLOGIES</v>
          </cell>
          <cell r="B10843" t="str">
            <v>OD9-8</v>
          </cell>
          <cell r="O10843"/>
          <cell r="T10843"/>
        </row>
        <row r="10844">
          <cell r="A10844" t="str">
            <v>LAIRD TECHNOLOGIES</v>
          </cell>
          <cell r="B10844" t="str">
            <v>ODH24-13</v>
          </cell>
          <cell r="O10844"/>
          <cell r="T10844"/>
        </row>
        <row r="10845">
          <cell r="A10845" t="str">
            <v>LAIRD TECHNOLOGIES</v>
          </cell>
          <cell r="B10845" t="str">
            <v>ODH9</v>
          </cell>
          <cell r="O10845"/>
          <cell r="T10845"/>
        </row>
        <row r="10846">
          <cell r="A10846" t="str">
            <v>LAIRD TECHNOLOGIES</v>
          </cell>
          <cell r="B10846" t="str">
            <v>PC18513N</v>
          </cell>
          <cell r="O10846"/>
          <cell r="T10846"/>
        </row>
        <row r="10847">
          <cell r="A10847" t="str">
            <v>LAIRD TECHNOLOGIES</v>
          </cell>
          <cell r="B10847" t="str">
            <v>PC457N</v>
          </cell>
          <cell r="O10847"/>
          <cell r="T10847"/>
        </row>
        <row r="10848">
          <cell r="A10848" t="str">
            <v>LAIRD TECHNOLOGIES</v>
          </cell>
          <cell r="B10848" t="str">
            <v>PC906N</v>
          </cell>
          <cell r="O10848"/>
          <cell r="T10848"/>
        </row>
        <row r="10849">
          <cell r="A10849" t="str">
            <v>LAIRD TECHNOLOGIES</v>
          </cell>
          <cell r="B10849" t="str">
            <v>PE457-6</v>
          </cell>
          <cell r="O10849"/>
          <cell r="T10849"/>
        </row>
        <row r="10850">
          <cell r="A10850" t="str">
            <v>LAIRD TECHNOLOGIES</v>
          </cell>
          <cell r="B10850" t="str">
            <v>PLC-1296</v>
          </cell>
          <cell r="O10850"/>
          <cell r="T10850"/>
        </row>
        <row r="10851">
          <cell r="A10851" t="str">
            <v>LAIRD TECHNOLOGIES</v>
          </cell>
          <cell r="B10851" t="str">
            <v>S49016120PNF</v>
          </cell>
          <cell r="O10851"/>
          <cell r="T10851"/>
        </row>
        <row r="10852">
          <cell r="A10852" t="str">
            <v>LAIRD TECHNOLOGIES</v>
          </cell>
          <cell r="B10852" t="str">
            <v>S4901790PNF</v>
          </cell>
          <cell r="O10852"/>
          <cell r="T10852"/>
        </row>
        <row r="10853">
          <cell r="A10853" t="str">
            <v>LAIRD TECHNOLOGIES</v>
          </cell>
          <cell r="B10853" t="str">
            <v>S8963B</v>
          </cell>
          <cell r="O10853"/>
          <cell r="T10853"/>
        </row>
        <row r="10854">
          <cell r="A10854" t="str">
            <v>LAIRD TECHNOLOGIES</v>
          </cell>
          <cell r="B10854" t="str">
            <v>SA24-120-16-WB</v>
          </cell>
          <cell r="O10854">
            <v>1.722096157</v>
          </cell>
          <cell r="T10854">
            <v>0.66324868299999995</v>
          </cell>
        </row>
        <row r="10855">
          <cell r="A10855" t="str">
            <v>LAIRD TECHNOLOGIES</v>
          </cell>
          <cell r="B10855" t="str">
            <v>SA24-120-9</v>
          </cell>
          <cell r="O10855">
            <v>0.43386052708570894</v>
          </cell>
          <cell r="T10855">
            <v>0.16776474046638298</v>
          </cell>
        </row>
        <row r="10856">
          <cell r="A10856" t="str">
            <v>LAIRD TECHNOLOGIES</v>
          </cell>
          <cell r="B10856" t="str">
            <v>SA24-180-14</v>
          </cell>
          <cell r="O10856"/>
          <cell r="T10856"/>
        </row>
        <row r="10857">
          <cell r="A10857" t="str">
            <v>LAIRD TECHNOLOGIES</v>
          </cell>
          <cell r="B10857" t="str">
            <v>SA24-45-20-WB</v>
          </cell>
          <cell r="O10857"/>
          <cell r="T10857"/>
        </row>
        <row r="10858">
          <cell r="A10858" t="str">
            <v>LAIRD TECHNOLOGIES</v>
          </cell>
          <cell r="B10858" t="str">
            <v>SA24-60-17-WB</v>
          </cell>
          <cell r="O10858">
            <v>1.722096157</v>
          </cell>
          <cell r="T10858">
            <v>0.66324868299999995</v>
          </cell>
        </row>
        <row r="10859">
          <cell r="A10859" t="str">
            <v>LAIRD TECHNOLOGIES</v>
          </cell>
          <cell r="B10859" t="str">
            <v>SA24-90-17-WB</v>
          </cell>
          <cell r="O10859"/>
          <cell r="T10859"/>
        </row>
        <row r="10860">
          <cell r="A10860" t="str">
            <v>LAIRD TECHNOLOGIES</v>
          </cell>
          <cell r="B10860" t="str">
            <v>SA24-90-9</v>
          </cell>
          <cell r="O10860">
            <v>0.43386052708570894</v>
          </cell>
          <cell r="T10860">
            <v>0.16776474046638298</v>
          </cell>
        </row>
        <row r="10861">
          <cell r="A10861" t="str">
            <v>LAIRD TECHNOLOGIES</v>
          </cell>
          <cell r="B10861" t="str">
            <v>SA58-120-16-WB</v>
          </cell>
          <cell r="O10861"/>
          <cell r="T10861"/>
        </row>
        <row r="10862">
          <cell r="A10862" t="str">
            <v>LAIRD TECHNOLOGIES</v>
          </cell>
          <cell r="B10862" t="str">
            <v>SA58-90-17-WB</v>
          </cell>
          <cell r="O10862"/>
          <cell r="T10862"/>
        </row>
        <row r="10863">
          <cell r="A10863" t="str">
            <v>LAIRD TECHNOLOGIES</v>
          </cell>
          <cell r="B10863" t="str">
            <v>SAH58-120-16-WB</v>
          </cell>
          <cell r="O10863"/>
          <cell r="T10863"/>
        </row>
        <row r="10864">
          <cell r="A10864" t="str">
            <v>LAIRD TECHNOLOGIES</v>
          </cell>
          <cell r="B10864" t="str">
            <v>Y4505</v>
          </cell>
          <cell r="O10864"/>
          <cell r="T10864"/>
        </row>
        <row r="10865">
          <cell r="A10865" t="str">
            <v>LAIRD TECHNOLOGIES</v>
          </cell>
          <cell r="B10865" t="str">
            <v>Y8963</v>
          </cell>
          <cell r="O10865"/>
          <cell r="T10865"/>
        </row>
        <row r="10866">
          <cell r="A10866" t="str">
            <v>LAIRD TECHNOLOGIES</v>
          </cell>
          <cell r="B10866" t="str">
            <v>Y8966</v>
          </cell>
          <cell r="O10866"/>
          <cell r="T10866"/>
        </row>
        <row r="10867">
          <cell r="A10867" t="str">
            <v>LAIRD TECHNOLOGIES</v>
          </cell>
          <cell r="B10867" t="str">
            <v>YB1503</v>
          </cell>
          <cell r="O10867"/>
          <cell r="T10867"/>
        </row>
        <row r="10868">
          <cell r="A10868" t="str">
            <v>LAMAR SYSTEMS</v>
          </cell>
          <cell r="B10868" t="str">
            <v>SKYBOSS HD IP</v>
          </cell>
          <cell r="O10868"/>
          <cell r="T10868"/>
        </row>
        <row r="10869">
          <cell r="A10869" t="str">
            <v>LAMAR SYSTEMS</v>
          </cell>
          <cell r="B10869" t="str">
            <v>SKYBOSS HD+IP</v>
          </cell>
          <cell r="O10869"/>
          <cell r="T10869"/>
        </row>
        <row r="10870">
          <cell r="A10870" t="str">
            <v>LANDIS GYR</v>
          </cell>
          <cell r="B10870" t="str">
            <v>C6400</v>
          </cell>
          <cell r="O10870"/>
          <cell r="T10870"/>
        </row>
        <row r="10871">
          <cell r="A10871" t="str">
            <v>LARSEN</v>
          </cell>
          <cell r="B10871" t="str">
            <v>0466A</v>
          </cell>
          <cell r="O10871"/>
          <cell r="T10871"/>
        </row>
        <row r="10872">
          <cell r="A10872" t="str">
            <v>LARSEN</v>
          </cell>
          <cell r="B10872" t="str">
            <v>108426-200</v>
          </cell>
          <cell r="O10872"/>
          <cell r="T10872"/>
        </row>
        <row r="10873">
          <cell r="A10873" t="str">
            <v>LARSEN</v>
          </cell>
          <cell r="B10873" t="str">
            <v>108562-200</v>
          </cell>
          <cell r="O10873"/>
          <cell r="T10873"/>
        </row>
        <row r="10874">
          <cell r="A10874" t="str">
            <v>LARSEN</v>
          </cell>
          <cell r="B10874" t="str">
            <v>908426-200</v>
          </cell>
          <cell r="O10874"/>
          <cell r="T10874"/>
        </row>
        <row r="10875">
          <cell r="A10875" t="str">
            <v>LARSEN</v>
          </cell>
          <cell r="B10875" t="str">
            <v>FB3740WA</v>
          </cell>
          <cell r="O10875"/>
          <cell r="T10875"/>
        </row>
        <row r="10876">
          <cell r="A10876" t="str">
            <v>LARSEN</v>
          </cell>
          <cell r="B10876" t="str">
            <v>FB3800</v>
          </cell>
          <cell r="O10876"/>
          <cell r="T10876"/>
        </row>
        <row r="10877">
          <cell r="A10877" t="str">
            <v>LARSEN</v>
          </cell>
          <cell r="B10877" t="str">
            <v>R03900NM</v>
          </cell>
          <cell r="O10877"/>
          <cell r="T10877"/>
        </row>
        <row r="10878">
          <cell r="A10878" t="str">
            <v>LARSEN</v>
          </cell>
          <cell r="B10878" t="str">
            <v>YA3-450</v>
          </cell>
          <cell r="O10878"/>
          <cell r="T10878"/>
        </row>
        <row r="10879">
          <cell r="A10879" t="str">
            <v>LARSEN</v>
          </cell>
          <cell r="B10879" t="str">
            <v>YA3450WN</v>
          </cell>
          <cell r="O10879"/>
          <cell r="T10879"/>
        </row>
        <row r="10880">
          <cell r="A10880" t="str">
            <v>LARSEN</v>
          </cell>
          <cell r="B10880" t="str">
            <v>YA450</v>
          </cell>
          <cell r="O10880"/>
          <cell r="T10880"/>
        </row>
        <row r="10881">
          <cell r="A10881" t="str">
            <v>LARSEN</v>
          </cell>
          <cell r="B10881" t="str">
            <v>YA5 800</v>
          </cell>
          <cell r="O10881"/>
          <cell r="T10881"/>
        </row>
        <row r="10882">
          <cell r="A10882" t="str">
            <v>LARSEN</v>
          </cell>
          <cell r="B10882" t="str">
            <v>YA5825W</v>
          </cell>
          <cell r="O10882"/>
          <cell r="T10882"/>
        </row>
        <row r="10883">
          <cell r="A10883" t="str">
            <v>LARSEN</v>
          </cell>
          <cell r="B10883" t="str">
            <v>YA5900</v>
          </cell>
          <cell r="O10883"/>
          <cell r="T10883"/>
        </row>
        <row r="10884">
          <cell r="A10884" t="str">
            <v>LARSEN</v>
          </cell>
          <cell r="B10884" t="str">
            <v>YA6825W</v>
          </cell>
          <cell r="O10884"/>
          <cell r="T10884"/>
        </row>
        <row r="10885">
          <cell r="A10885" t="str">
            <v>LAST MILE GEAR</v>
          </cell>
          <cell r="B10885" t="str">
            <v>5200-120</v>
          </cell>
          <cell r="O10885"/>
          <cell r="T10885"/>
        </row>
        <row r="10886">
          <cell r="A10886" t="str">
            <v>LAST MILE GEAR</v>
          </cell>
          <cell r="B10886" t="str">
            <v>5700-90</v>
          </cell>
          <cell r="O10886"/>
          <cell r="T10886"/>
        </row>
        <row r="10887">
          <cell r="A10887" t="str">
            <v>LAST MILE GEAR</v>
          </cell>
          <cell r="B10887" t="str">
            <v>9000-360.7H</v>
          </cell>
          <cell r="O10887"/>
          <cell r="T10887"/>
        </row>
        <row r="10888">
          <cell r="A10888" t="str">
            <v>LAST MILE GEAR</v>
          </cell>
          <cell r="B10888" t="str">
            <v>9000-360.9H</v>
          </cell>
          <cell r="O10888"/>
          <cell r="T10888"/>
        </row>
        <row r="10889">
          <cell r="A10889" t="str">
            <v>LAST MILE GEAR</v>
          </cell>
          <cell r="B10889" t="str">
            <v>APC100-2400VS</v>
          </cell>
          <cell r="O10889"/>
          <cell r="T10889"/>
        </row>
        <row r="10890">
          <cell r="A10890" t="str">
            <v>LAUFER WIND</v>
          </cell>
          <cell r="B10890" t="str">
            <v>MD-12</v>
          </cell>
          <cell r="O10890"/>
          <cell r="T10890"/>
        </row>
        <row r="10891">
          <cell r="A10891" t="str">
            <v>LBA GROUP</v>
          </cell>
          <cell r="B10891" t="str">
            <v>SL-10</v>
          </cell>
          <cell r="O10891"/>
          <cell r="T10891"/>
        </row>
        <row r="10892">
          <cell r="A10892" t="str">
            <v>LCOM</v>
          </cell>
          <cell r="B10892" t="str">
            <v>HG2409U-PRO</v>
          </cell>
          <cell r="O10892"/>
          <cell r="T10892"/>
        </row>
        <row r="10893">
          <cell r="A10893" t="str">
            <v>LCOM</v>
          </cell>
          <cell r="B10893" t="str">
            <v>HG2414SP-120</v>
          </cell>
          <cell r="O10893">
            <v>0.91883188925530501</v>
          </cell>
          <cell r="T10893">
            <v>0.34933420559797196</v>
          </cell>
        </row>
        <row r="10894">
          <cell r="A10894" t="str">
            <v>LCOM</v>
          </cell>
          <cell r="B10894" t="str">
            <v>HG4958-17DP-090</v>
          </cell>
          <cell r="O10894">
            <v>0.86794123300000003</v>
          </cell>
          <cell r="T10894">
            <v>0.47244177399999987</v>
          </cell>
        </row>
        <row r="10895">
          <cell r="A10895" t="str">
            <v>LCOM</v>
          </cell>
          <cell r="B10895" t="str">
            <v>HG4958DP-30D</v>
          </cell>
          <cell r="O10895"/>
          <cell r="T10895"/>
        </row>
        <row r="10896">
          <cell r="A10896" t="str">
            <v>LCOM</v>
          </cell>
          <cell r="B10896" t="str">
            <v>HG5822EG</v>
          </cell>
          <cell r="O10896"/>
          <cell r="T10896"/>
        </row>
        <row r="10897">
          <cell r="A10897" t="str">
            <v>LCOM</v>
          </cell>
          <cell r="B10897" t="str">
            <v>HG5827EG</v>
          </cell>
          <cell r="O10897"/>
          <cell r="T10897"/>
        </row>
        <row r="10898">
          <cell r="A10898" t="str">
            <v>LCOM</v>
          </cell>
          <cell r="B10898" t="str">
            <v>HG8915EG</v>
          </cell>
          <cell r="O10898"/>
          <cell r="T10898"/>
        </row>
        <row r="10899">
          <cell r="A10899" t="str">
            <v>LCOM</v>
          </cell>
          <cell r="B10899" t="str">
            <v>HG908P</v>
          </cell>
          <cell r="O10899">
            <v>0.91358357516924005</v>
          </cell>
          <cell r="T10899">
            <v>0.10895034377074701</v>
          </cell>
        </row>
        <row r="10900">
          <cell r="A10900" t="str">
            <v>LCOM</v>
          </cell>
          <cell r="B10900" t="str">
            <v>HG908U-PRO</v>
          </cell>
          <cell r="O10900"/>
          <cell r="T10900"/>
        </row>
        <row r="10901">
          <cell r="A10901" t="str">
            <v>LCOM</v>
          </cell>
          <cell r="B10901" t="str">
            <v>HG911HSP-120</v>
          </cell>
          <cell r="O10901"/>
          <cell r="T10901"/>
        </row>
        <row r="10902">
          <cell r="A10902" t="str">
            <v>LCOM</v>
          </cell>
          <cell r="B10902" t="str">
            <v>HG918G</v>
          </cell>
          <cell r="O10902"/>
          <cell r="T10902"/>
        </row>
        <row r="10903">
          <cell r="A10903" t="str">
            <v>LCOM</v>
          </cell>
          <cell r="B10903" t="str">
            <v>HGV-906U</v>
          </cell>
          <cell r="O10903"/>
          <cell r="T10903"/>
        </row>
        <row r="10904">
          <cell r="A10904" t="str">
            <v>LEAX ARKIVATOR TELECOM</v>
          </cell>
          <cell r="B10904" t="str">
            <v>HAE8003</v>
          </cell>
          <cell r="O10904"/>
          <cell r="T10904"/>
        </row>
        <row r="10905">
          <cell r="A10905" t="str">
            <v>LEAX ARKIVATOR TELECOM</v>
          </cell>
          <cell r="B10905" t="str">
            <v>HAE8006_36</v>
          </cell>
          <cell r="O10905"/>
          <cell r="T10905"/>
        </row>
        <row r="10906">
          <cell r="A10906" t="str">
            <v>LEIDOS INC</v>
          </cell>
          <cell r="B10906" t="str">
            <v>0133-ASY-20374</v>
          </cell>
          <cell r="O10906">
            <v>27.610551697530898</v>
          </cell>
          <cell r="T10906">
            <v>12.4771155584158</v>
          </cell>
        </row>
        <row r="10907">
          <cell r="A10907" t="str">
            <v>LEIDOS INC</v>
          </cell>
          <cell r="B10907" t="str">
            <v>ANTENNA</v>
          </cell>
          <cell r="O10907"/>
          <cell r="T10907"/>
        </row>
        <row r="10908">
          <cell r="A10908" t="str">
            <v>LEIDOS INC</v>
          </cell>
          <cell r="B10908" t="str">
            <v>CP UHF</v>
          </cell>
          <cell r="O10908"/>
          <cell r="T10908"/>
        </row>
        <row r="10909">
          <cell r="A10909" t="str">
            <v>LEIDOS INC</v>
          </cell>
          <cell r="B10909" t="str">
            <v>TME-ENCLOSURE</v>
          </cell>
          <cell r="O10909"/>
          <cell r="T10909"/>
        </row>
        <row r="10910">
          <cell r="A10910" t="str">
            <v>LENS TECHNOLOGY ENABLED</v>
          </cell>
          <cell r="B10910" t="str">
            <v>MS-12F90</v>
          </cell>
          <cell r="O10910"/>
          <cell r="T10910"/>
        </row>
        <row r="10911">
          <cell r="A10911" t="str">
            <v>LENS TECHNOLOGY ENABLED</v>
          </cell>
          <cell r="B10911" t="str">
            <v>MS-MBA-3-H4</v>
          </cell>
          <cell r="O10911"/>
          <cell r="T10911"/>
        </row>
        <row r="10912">
          <cell r="A10912" t="str">
            <v>LENS TECHNOLOGY ENABLED</v>
          </cell>
          <cell r="B10912" t="str">
            <v>MS-MBA-3-L4A2</v>
          </cell>
          <cell r="O10912"/>
          <cell r="T10912"/>
        </row>
        <row r="10913">
          <cell r="A10913" t="str">
            <v>LENS TECHNOLOGY ENABLED</v>
          </cell>
          <cell r="B10913" t="str">
            <v>MS-MBA-4.4.2-C2-H2-L2</v>
          </cell>
          <cell r="O10913"/>
          <cell r="T10913"/>
        </row>
        <row r="10914">
          <cell r="A10914" t="str">
            <v>LI-COR</v>
          </cell>
          <cell r="B10914" t="str">
            <v>LI-7500A</v>
          </cell>
          <cell r="O10914"/>
          <cell r="T10914"/>
        </row>
        <row r="10915">
          <cell r="A10915" t="str">
            <v>LICOR SCIENTIFIC</v>
          </cell>
          <cell r="B10915" t="str">
            <v>LI-7700</v>
          </cell>
          <cell r="O10915"/>
          <cell r="T10915"/>
        </row>
        <row r="10916">
          <cell r="A10916" t="str">
            <v>LIGOWAVE</v>
          </cell>
          <cell r="B10916" t="str">
            <v>LIGOPTP 5-N/5-23</v>
          </cell>
          <cell r="O10916"/>
          <cell r="T10916"/>
        </row>
        <row r="10917">
          <cell r="A10917" t="str">
            <v>LIGOWAVE</v>
          </cell>
          <cell r="B10917" t="str">
            <v>PTP 24-2</v>
          </cell>
          <cell r="O10917"/>
          <cell r="T10917"/>
        </row>
        <row r="10918">
          <cell r="A10918" t="str">
            <v>LIGOWAVE</v>
          </cell>
          <cell r="B10918" t="str">
            <v>PTP 3-18</v>
          </cell>
          <cell r="O10918">
            <v>2.549467194</v>
          </cell>
          <cell r="T10918">
            <v>0.33761458700000002</v>
          </cell>
        </row>
        <row r="10919">
          <cell r="A10919" t="str">
            <v>LIGOWAVE</v>
          </cell>
          <cell r="B10919" t="str">
            <v>PTP 5-23</v>
          </cell>
          <cell r="O10919">
            <v>2.549467194</v>
          </cell>
          <cell r="T10919">
            <v>0.33761458700000002</v>
          </cell>
        </row>
        <row r="10920">
          <cell r="A10920" t="str">
            <v>LIGOWAVE</v>
          </cell>
          <cell r="B10920" t="str">
            <v>PTP 900-13</v>
          </cell>
          <cell r="O10920">
            <v>2.5494671944484804</v>
          </cell>
          <cell r="T10920">
            <v>0.33761458744721401</v>
          </cell>
        </row>
        <row r="10921">
          <cell r="A10921" t="str">
            <v>LINDSAY</v>
          </cell>
          <cell r="B10921" t="str">
            <v>1SZZ23</v>
          </cell>
          <cell r="O10921"/>
          <cell r="T10921"/>
        </row>
        <row r="10922">
          <cell r="A10922" t="str">
            <v>LINDSAY</v>
          </cell>
          <cell r="B10922" t="str">
            <v>6PBU-1469</v>
          </cell>
          <cell r="O10922"/>
          <cell r="T10922"/>
        </row>
        <row r="10923">
          <cell r="A10923" t="str">
            <v>LINDSAY</v>
          </cell>
          <cell r="B10923" t="str">
            <v>8LP234C</v>
          </cell>
          <cell r="O10923"/>
          <cell r="T10923"/>
        </row>
        <row r="10924">
          <cell r="A10924" t="str">
            <v>LINDSAY</v>
          </cell>
          <cell r="B10924" t="str">
            <v>S16LPY11C</v>
          </cell>
          <cell r="O10924"/>
          <cell r="T10924"/>
        </row>
        <row r="10925">
          <cell r="A10925" t="str">
            <v>LINDSAY</v>
          </cell>
          <cell r="B10925" t="str">
            <v>S16LPY12C</v>
          </cell>
          <cell r="O10925"/>
          <cell r="T10925"/>
        </row>
        <row r="10926">
          <cell r="A10926" t="str">
            <v>LINQ ANTENNA TECHNOLOGY INC</v>
          </cell>
          <cell r="B10926" t="str">
            <v>LPA5168HVL</v>
          </cell>
          <cell r="O10926"/>
          <cell r="T10926"/>
        </row>
        <row r="10927">
          <cell r="A10927" t="str">
            <v>LINQ ANTENNA TECHNOLOGY INC</v>
          </cell>
          <cell r="B10927" t="str">
            <v>LPA5971HV</v>
          </cell>
          <cell r="O10927"/>
          <cell r="T10927"/>
        </row>
        <row r="10928">
          <cell r="A10928" t="str">
            <v>LONE STAR ELECTRONICS</v>
          </cell>
          <cell r="B10928" t="str">
            <v>LS-230C</v>
          </cell>
          <cell r="O10928"/>
          <cell r="T10928"/>
        </row>
        <row r="10929">
          <cell r="A10929" t="str">
            <v>LONE STAR ELECTRONICS</v>
          </cell>
          <cell r="B10929" t="str">
            <v>LS-242B</v>
          </cell>
          <cell r="O10929"/>
          <cell r="T10929"/>
        </row>
        <row r="10930">
          <cell r="A10930" t="str">
            <v>LPN WIRELESS</v>
          </cell>
          <cell r="B10930" t="str">
            <v>STL-A-4T1-INT-48</v>
          </cell>
          <cell r="O10930"/>
          <cell r="T10930"/>
        </row>
        <row r="10931">
          <cell r="A10931" t="str">
            <v>LUCENT</v>
          </cell>
          <cell r="B10931" t="str">
            <v>104591-001</v>
          </cell>
          <cell r="O10931"/>
          <cell r="T10931"/>
        </row>
        <row r="10932">
          <cell r="A10932" t="str">
            <v>LUCENT</v>
          </cell>
          <cell r="B10932" t="str">
            <v>KS24019-L112</v>
          </cell>
          <cell r="O10932"/>
          <cell r="T10932"/>
        </row>
        <row r="10933">
          <cell r="A10933" t="str">
            <v>LUCENT</v>
          </cell>
          <cell r="B10933" t="str">
            <v>KS24019-L112A</v>
          </cell>
          <cell r="O10933"/>
          <cell r="T10933"/>
        </row>
        <row r="10934">
          <cell r="A10934" t="str">
            <v>LUCENT</v>
          </cell>
          <cell r="B10934" t="str">
            <v>KS24019-L112D</v>
          </cell>
          <cell r="O10934"/>
          <cell r="T10934"/>
        </row>
        <row r="10935">
          <cell r="A10935" t="str">
            <v>LUCENT</v>
          </cell>
          <cell r="B10935" t="str">
            <v>KS24019L110</v>
          </cell>
          <cell r="O10935"/>
          <cell r="T10935"/>
        </row>
        <row r="10936">
          <cell r="A10936" t="str">
            <v>LUCENT</v>
          </cell>
          <cell r="B10936" t="str">
            <v>OD12-2400</v>
          </cell>
          <cell r="O10936"/>
          <cell r="T10936"/>
        </row>
        <row r="10937">
          <cell r="A10937" t="str">
            <v>LUCENT</v>
          </cell>
          <cell r="B10937" t="str">
            <v>SSI805281L12</v>
          </cell>
          <cell r="O10937"/>
          <cell r="T10937"/>
        </row>
        <row r="10938">
          <cell r="A10938" t="str">
            <v>LUCENT</v>
          </cell>
          <cell r="B10938" t="str">
            <v>SSI805281L62</v>
          </cell>
          <cell r="O10938"/>
          <cell r="T10938"/>
        </row>
        <row r="10939">
          <cell r="A10939" t="str">
            <v>LUCENT</v>
          </cell>
          <cell r="B10939" t="str">
            <v>SSI806553L50</v>
          </cell>
          <cell r="O10939"/>
          <cell r="T10939"/>
        </row>
        <row r="10940">
          <cell r="A10940" t="str">
            <v>LUCENT</v>
          </cell>
          <cell r="B10940" t="str">
            <v>SSI816063L14</v>
          </cell>
          <cell r="O10940"/>
          <cell r="T10940"/>
        </row>
        <row r="10941">
          <cell r="A10941" t="str">
            <v>LUCENT</v>
          </cell>
          <cell r="B10941" t="str">
            <v>SSI816694L18</v>
          </cell>
          <cell r="O10941"/>
          <cell r="T10941"/>
        </row>
        <row r="10942">
          <cell r="A10942" t="str">
            <v>M2 ANTENNA SYSTEMS</v>
          </cell>
          <cell r="B10942" t="str">
            <v>440-70-5W</v>
          </cell>
          <cell r="O10942"/>
          <cell r="T10942"/>
        </row>
        <row r="10943">
          <cell r="A10943" t="str">
            <v>M2 ANTENNA SYSTEMS</v>
          </cell>
          <cell r="B10943" t="str">
            <v>711-ISPA</v>
          </cell>
          <cell r="O10943"/>
          <cell r="T10943"/>
        </row>
        <row r="10944">
          <cell r="A10944" t="str">
            <v>M2 ANTENNA SYSTEMS</v>
          </cell>
          <cell r="B10944" t="str">
            <v>914A-ISP</v>
          </cell>
          <cell r="O10944"/>
          <cell r="T10944"/>
        </row>
        <row r="10945">
          <cell r="A10945" t="str">
            <v>M2 ANTENNA SYSTEMS</v>
          </cell>
          <cell r="B10945" t="str">
            <v>917A-ISP</v>
          </cell>
          <cell r="O10945"/>
          <cell r="T10945"/>
        </row>
        <row r="10946">
          <cell r="A10946" t="str">
            <v>MARK</v>
          </cell>
          <cell r="B10946" t="str">
            <v>105A96</v>
          </cell>
          <cell r="O10946"/>
          <cell r="T10946"/>
        </row>
        <row r="10947">
          <cell r="A10947" t="str">
            <v>MARK</v>
          </cell>
          <cell r="B10947" t="str">
            <v>21372GF</v>
          </cell>
          <cell r="O10947"/>
          <cell r="T10947"/>
        </row>
        <row r="10948">
          <cell r="A10948" t="str">
            <v>MARK</v>
          </cell>
          <cell r="B10948" t="str">
            <v>21B726F</v>
          </cell>
          <cell r="O10948"/>
          <cell r="T10948"/>
        </row>
        <row r="10949">
          <cell r="A10949" t="str">
            <v>MARK</v>
          </cell>
          <cell r="B10949" t="str">
            <v>8T218TF</v>
          </cell>
          <cell r="O10949"/>
          <cell r="T10949"/>
        </row>
        <row r="10950">
          <cell r="A10950" t="str">
            <v>MARK</v>
          </cell>
          <cell r="B10950" t="str">
            <v>A12A24E-U</v>
          </cell>
          <cell r="O10950"/>
          <cell r="T10950"/>
        </row>
        <row r="10951">
          <cell r="A10951" t="str">
            <v>MARK</v>
          </cell>
          <cell r="B10951" t="str">
            <v>CV-10800</v>
          </cell>
          <cell r="O10951"/>
          <cell r="T10951"/>
        </row>
        <row r="10952">
          <cell r="A10952" t="str">
            <v>MARK</v>
          </cell>
          <cell r="B10952" t="str">
            <v>CV-10800S</v>
          </cell>
          <cell r="O10952"/>
          <cell r="T10952"/>
        </row>
        <row r="10953">
          <cell r="A10953" t="str">
            <v>MARK</v>
          </cell>
          <cell r="B10953" t="str">
            <v>FG844</v>
          </cell>
          <cell r="O10953"/>
          <cell r="T10953"/>
        </row>
        <row r="10954">
          <cell r="A10954" t="str">
            <v>MARK</v>
          </cell>
          <cell r="B10954" t="str">
            <v>HP-105A48L</v>
          </cell>
          <cell r="O10954"/>
          <cell r="T10954"/>
        </row>
        <row r="10955">
          <cell r="A10955" t="str">
            <v>MARK</v>
          </cell>
          <cell r="B10955" t="str">
            <v>HP-18A96F-S</v>
          </cell>
          <cell r="O10955"/>
          <cell r="T10955"/>
        </row>
        <row r="10956">
          <cell r="A10956" t="str">
            <v>MARK</v>
          </cell>
          <cell r="B10956" t="str">
            <v>HP-21A120N-S</v>
          </cell>
          <cell r="O10956"/>
          <cell r="T10956"/>
        </row>
        <row r="10957">
          <cell r="A10957" t="str">
            <v>MARK</v>
          </cell>
          <cell r="B10957" t="str">
            <v>HP-21A20L</v>
          </cell>
          <cell r="O10957"/>
          <cell r="T10957"/>
        </row>
        <row r="10958">
          <cell r="A10958" t="str">
            <v>MARK</v>
          </cell>
          <cell r="B10958" t="str">
            <v>HP-21A72F-S</v>
          </cell>
          <cell r="O10958"/>
          <cell r="T10958"/>
        </row>
        <row r="10959">
          <cell r="A10959" t="str">
            <v>MARK</v>
          </cell>
          <cell r="B10959" t="str">
            <v>HP-21A96E-S</v>
          </cell>
          <cell r="O10959"/>
          <cell r="T10959"/>
        </row>
        <row r="10960">
          <cell r="A10960" t="str">
            <v>MARK</v>
          </cell>
          <cell r="B10960" t="str">
            <v>HP-21A96F</v>
          </cell>
          <cell r="O10960"/>
          <cell r="T10960"/>
        </row>
        <row r="10961">
          <cell r="A10961" t="str">
            <v>MARK</v>
          </cell>
          <cell r="B10961" t="str">
            <v>HP-60-A96L</v>
          </cell>
          <cell r="O10961"/>
          <cell r="T10961"/>
        </row>
        <row r="10962">
          <cell r="A10962" t="str">
            <v>MARK</v>
          </cell>
          <cell r="B10962" t="str">
            <v>HP-60A72L</v>
          </cell>
          <cell r="O10962"/>
          <cell r="T10962"/>
        </row>
        <row r="10963">
          <cell r="A10963" t="str">
            <v>MARK</v>
          </cell>
          <cell r="B10963" t="str">
            <v>HP-60A96L</v>
          </cell>
          <cell r="O10963"/>
          <cell r="T10963"/>
        </row>
        <row r="10964">
          <cell r="A10964" t="str">
            <v>MARK</v>
          </cell>
          <cell r="B10964" t="str">
            <v>HP100A72F</v>
          </cell>
          <cell r="O10964"/>
          <cell r="T10964"/>
        </row>
        <row r="10965">
          <cell r="A10965" t="str">
            <v>MARK</v>
          </cell>
          <cell r="B10965" t="str">
            <v>HP100A96L</v>
          </cell>
          <cell r="O10965"/>
          <cell r="T10965"/>
        </row>
        <row r="10966">
          <cell r="A10966" t="str">
            <v>MARK</v>
          </cell>
          <cell r="B10966" t="str">
            <v>HP21496F</v>
          </cell>
          <cell r="O10966"/>
          <cell r="T10966"/>
        </row>
        <row r="10967">
          <cell r="A10967" t="str">
            <v>MARK</v>
          </cell>
          <cell r="B10967" t="str">
            <v>HP60A120A</v>
          </cell>
          <cell r="O10967"/>
          <cell r="T10967"/>
        </row>
        <row r="10968">
          <cell r="A10968" t="str">
            <v>MARK</v>
          </cell>
          <cell r="B10968" t="str">
            <v>MHP-12</v>
          </cell>
          <cell r="O10968"/>
          <cell r="T10968"/>
        </row>
        <row r="10969">
          <cell r="A10969" t="str">
            <v>MARK</v>
          </cell>
          <cell r="B10969" t="str">
            <v>MHP-21A120F</v>
          </cell>
          <cell r="O10969"/>
          <cell r="T10969"/>
        </row>
        <row r="10970">
          <cell r="A10970" t="str">
            <v>MARK</v>
          </cell>
          <cell r="B10970" t="str">
            <v>MHP-21A72F</v>
          </cell>
          <cell r="O10970"/>
          <cell r="T10970"/>
        </row>
        <row r="10971">
          <cell r="A10971" t="str">
            <v>MARK</v>
          </cell>
          <cell r="B10971" t="str">
            <v>MHP-21A96</v>
          </cell>
          <cell r="O10971"/>
          <cell r="T10971"/>
        </row>
        <row r="10972">
          <cell r="A10972" t="str">
            <v>MARK</v>
          </cell>
          <cell r="B10972" t="str">
            <v>MHP-21B120L</v>
          </cell>
          <cell r="O10972"/>
          <cell r="T10972"/>
        </row>
        <row r="10973">
          <cell r="A10973" t="str">
            <v>MARK</v>
          </cell>
          <cell r="B10973" t="str">
            <v>MHP-21B72</v>
          </cell>
          <cell r="O10973"/>
          <cell r="T10973"/>
        </row>
        <row r="10974">
          <cell r="A10974" t="str">
            <v>MARK</v>
          </cell>
          <cell r="B10974" t="str">
            <v>MHP-21B96L</v>
          </cell>
          <cell r="O10974"/>
          <cell r="T10974"/>
        </row>
        <row r="10975">
          <cell r="A10975" t="str">
            <v>MARK</v>
          </cell>
          <cell r="B10975" t="str">
            <v>MHP-22A72</v>
          </cell>
          <cell r="O10975"/>
          <cell r="T10975"/>
        </row>
        <row r="10976">
          <cell r="A10976" t="str">
            <v>MARK</v>
          </cell>
          <cell r="B10976" t="str">
            <v>MHP-6072W</v>
          </cell>
          <cell r="O10976"/>
          <cell r="T10976"/>
        </row>
        <row r="10977">
          <cell r="A10977" t="str">
            <v>MARK</v>
          </cell>
          <cell r="B10977" t="str">
            <v>MHP-60A</v>
          </cell>
          <cell r="O10977"/>
          <cell r="T10977"/>
        </row>
        <row r="10978">
          <cell r="A10978" t="str">
            <v>MARK</v>
          </cell>
          <cell r="B10978" t="str">
            <v>MHP-60A120-DL</v>
          </cell>
          <cell r="O10978"/>
          <cell r="T10978"/>
        </row>
        <row r="10979">
          <cell r="A10979" t="str">
            <v>MARK</v>
          </cell>
          <cell r="B10979" t="str">
            <v>MHP-60A120D-L</v>
          </cell>
          <cell r="O10979"/>
          <cell r="T10979"/>
        </row>
        <row r="10980">
          <cell r="A10980" t="str">
            <v>MARK</v>
          </cell>
          <cell r="B10980" t="str">
            <v>MHP-60A120D-S</v>
          </cell>
          <cell r="O10980"/>
          <cell r="T10980"/>
        </row>
        <row r="10981">
          <cell r="A10981" t="str">
            <v>MARK</v>
          </cell>
          <cell r="B10981" t="str">
            <v>MHP-60A144DL</v>
          </cell>
          <cell r="O10981"/>
          <cell r="T10981"/>
        </row>
        <row r="10982">
          <cell r="A10982" t="str">
            <v>MARK</v>
          </cell>
          <cell r="B10982" t="str">
            <v>MHP-60A72L</v>
          </cell>
          <cell r="O10982"/>
          <cell r="T10982"/>
        </row>
        <row r="10983">
          <cell r="A10983" t="str">
            <v>MARK</v>
          </cell>
          <cell r="B10983" t="str">
            <v>MHP-60A72LF</v>
          </cell>
          <cell r="O10983"/>
          <cell r="T10983"/>
        </row>
        <row r="10984">
          <cell r="A10984" t="str">
            <v>MARK</v>
          </cell>
          <cell r="B10984" t="str">
            <v>MHP-60A72R</v>
          </cell>
          <cell r="O10984"/>
          <cell r="T10984"/>
        </row>
        <row r="10985">
          <cell r="A10985" t="str">
            <v>MARK</v>
          </cell>
          <cell r="B10985" t="str">
            <v>MHP-60A96-2</v>
          </cell>
          <cell r="O10985"/>
          <cell r="T10985"/>
        </row>
        <row r="10986">
          <cell r="A10986" t="str">
            <v>MARK</v>
          </cell>
          <cell r="B10986" t="str">
            <v>MHP-60A96-S</v>
          </cell>
          <cell r="O10986"/>
          <cell r="T10986"/>
        </row>
        <row r="10987">
          <cell r="A10987" t="str">
            <v>MARK</v>
          </cell>
          <cell r="B10987" t="str">
            <v>MHP-60A961</v>
          </cell>
          <cell r="O10987"/>
          <cell r="T10987"/>
        </row>
        <row r="10988">
          <cell r="A10988" t="str">
            <v>MARK</v>
          </cell>
          <cell r="B10988" t="str">
            <v>MHP-60A96D-L</v>
          </cell>
          <cell r="O10988"/>
          <cell r="T10988"/>
        </row>
        <row r="10989">
          <cell r="A10989" t="str">
            <v>MARK</v>
          </cell>
          <cell r="B10989" t="str">
            <v>MHP-60A96L</v>
          </cell>
          <cell r="O10989"/>
          <cell r="T10989"/>
        </row>
        <row r="10990">
          <cell r="A10990" t="str">
            <v>MARK</v>
          </cell>
          <cell r="B10990" t="str">
            <v>MHP18A120F</v>
          </cell>
          <cell r="O10990"/>
          <cell r="T10990"/>
        </row>
        <row r="10991">
          <cell r="A10991" t="str">
            <v>MARK</v>
          </cell>
          <cell r="B10991" t="str">
            <v>MHP21A144D</v>
          </cell>
          <cell r="O10991"/>
          <cell r="T10991"/>
        </row>
        <row r="10992">
          <cell r="A10992" t="str">
            <v>MARK</v>
          </cell>
          <cell r="B10992" t="str">
            <v>MHP21A72</v>
          </cell>
          <cell r="O10992"/>
          <cell r="T10992"/>
        </row>
        <row r="10993">
          <cell r="A10993" t="str">
            <v>MARK</v>
          </cell>
          <cell r="B10993" t="str">
            <v>MHP21A96</v>
          </cell>
          <cell r="O10993"/>
          <cell r="T10993"/>
        </row>
        <row r="10994">
          <cell r="A10994" t="str">
            <v>MARK</v>
          </cell>
          <cell r="B10994" t="str">
            <v>MHP21B96</v>
          </cell>
          <cell r="O10994"/>
          <cell r="T10994"/>
        </row>
        <row r="10995">
          <cell r="A10995" t="str">
            <v>MARK</v>
          </cell>
          <cell r="B10995" t="str">
            <v>MHP22726F</v>
          </cell>
          <cell r="O10995"/>
          <cell r="T10995"/>
        </row>
        <row r="10996">
          <cell r="A10996" t="str">
            <v>MARK</v>
          </cell>
          <cell r="B10996" t="str">
            <v>OD9-2400PTA</v>
          </cell>
          <cell r="O10996"/>
          <cell r="T10996"/>
        </row>
        <row r="10997">
          <cell r="A10997" t="str">
            <v>MARK</v>
          </cell>
          <cell r="B10997" t="str">
            <v>P-105AD120V</v>
          </cell>
          <cell r="O10997"/>
          <cell r="T10997"/>
        </row>
        <row r="10998">
          <cell r="A10998" t="str">
            <v>MARK</v>
          </cell>
          <cell r="B10998" t="str">
            <v>P-17A72GF</v>
          </cell>
          <cell r="O10998"/>
          <cell r="T10998"/>
        </row>
        <row r="10999">
          <cell r="A10999" t="str">
            <v>MARK</v>
          </cell>
          <cell r="B10999" t="str">
            <v>P-17A72GN</v>
          </cell>
          <cell r="O10999"/>
          <cell r="T10999"/>
        </row>
        <row r="11000">
          <cell r="A11000" t="str">
            <v>MARK</v>
          </cell>
          <cell r="B11000" t="str">
            <v>P-17A96GF-S</v>
          </cell>
          <cell r="O11000"/>
          <cell r="T11000"/>
        </row>
        <row r="11001">
          <cell r="A11001" t="str">
            <v>MARK</v>
          </cell>
          <cell r="B11001" t="str">
            <v>P-18A120F-S</v>
          </cell>
          <cell r="O11001"/>
          <cell r="T11001"/>
        </row>
        <row r="11002">
          <cell r="A11002" t="str">
            <v>MARK</v>
          </cell>
          <cell r="B11002" t="str">
            <v>P-18A120GF-S</v>
          </cell>
          <cell r="O11002"/>
          <cell r="T11002"/>
        </row>
        <row r="11003">
          <cell r="A11003" t="str">
            <v>MARK</v>
          </cell>
          <cell r="B11003" t="str">
            <v>P-18A24N-U</v>
          </cell>
          <cell r="O11003"/>
          <cell r="T11003"/>
        </row>
        <row r="11004">
          <cell r="A11004" t="str">
            <v>MARK</v>
          </cell>
          <cell r="B11004" t="str">
            <v>P-18A96F-S</v>
          </cell>
          <cell r="O11004"/>
          <cell r="T11004"/>
        </row>
        <row r="11005">
          <cell r="A11005" t="str">
            <v>MARK</v>
          </cell>
          <cell r="B11005" t="str">
            <v>P-18A96GF-S</v>
          </cell>
          <cell r="O11005"/>
          <cell r="T11005"/>
        </row>
        <row r="11006">
          <cell r="A11006" t="str">
            <v>MARK</v>
          </cell>
          <cell r="B11006" t="str">
            <v>P-20A96N-S</v>
          </cell>
          <cell r="O11006"/>
          <cell r="T11006"/>
        </row>
        <row r="11007">
          <cell r="A11007" t="str">
            <v>MARK</v>
          </cell>
          <cell r="B11007" t="str">
            <v>P-20B144N-2</v>
          </cell>
          <cell r="O11007"/>
          <cell r="T11007"/>
        </row>
        <row r="11008">
          <cell r="A11008" t="str">
            <v>MARK</v>
          </cell>
          <cell r="B11008" t="str">
            <v>P-21A 486N</v>
          </cell>
          <cell r="O11008"/>
          <cell r="T11008"/>
        </row>
        <row r="11009">
          <cell r="A11009" t="str">
            <v>MARK</v>
          </cell>
          <cell r="B11009" t="str">
            <v>P-21A120GS</v>
          </cell>
          <cell r="O11009"/>
          <cell r="T11009"/>
        </row>
        <row r="11010">
          <cell r="A11010" t="str">
            <v>MARK</v>
          </cell>
          <cell r="B11010" t="str">
            <v>P-21A120N</v>
          </cell>
          <cell r="O11010"/>
          <cell r="T11010"/>
        </row>
        <row r="11011">
          <cell r="A11011" t="str">
            <v>MARK</v>
          </cell>
          <cell r="B11011" t="str">
            <v>P-21A144GF</v>
          </cell>
          <cell r="O11011"/>
          <cell r="T11011"/>
        </row>
        <row r="11012">
          <cell r="A11012" t="str">
            <v>MARK</v>
          </cell>
          <cell r="B11012" t="str">
            <v>P-21A180GF</v>
          </cell>
          <cell r="O11012"/>
          <cell r="T11012"/>
        </row>
        <row r="11013">
          <cell r="A11013" t="str">
            <v>MARK</v>
          </cell>
          <cell r="B11013" t="str">
            <v>P-21A48</v>
          </cell>
          <cell r="O11013"/>
          <cell r="T11013"/>
        </row>
        <row r="11014">
          <cell r="A11014" t="str">
            <v>MARK</v>
          </cell>
          <cell r="B11014" t="str">
            <v>P-21A48G</v>
          </cell>
          <cell r="O11014"/>
          <cell r="T11014"/>
        </row>
        <row r="11015">
          <cell r="A11015" t="str">
            <v>MARK</v>
          </cell>
          <cell r="B11015" t="str">
            <v>P-21A48GF-2</v>
          </cell>
          <cell r="O11015"/>
          <cell r="T11015"/>
        </row>
        <row r="11016">
          <cell r="A11016" t="str">
            <v>MARK</v>
          </cell>
          <cell r="B11016" t="str">
            <v>P-21A48GN</v>
          </cell>
          <cell r="O11016"/>
          <cell r="T11016"/>
        </row>
        <row r="11017">
          <cell r="A11017" t="str">
            <v>MARK</v>
          </cell>
          <cell r="B11017" t="str">
            <v>P-21A48N</v>
          </cell>
          <cell r="O11017"/>
          <cell r="T11017"/>
        </row>
        <row r="11018">
          <cell r="A11018" t="str">
            <v>MARK</v>
          </cell>
          <cell r="B11018" t="str">
            <v>P-21A7-26F</v>
          </cell>
          <cell r="O11018"/>
          <cell r="T11018"/>
        </row>
        <row r="11019">
          <cell r="A11019" t="str">
            <v>MARK</v>
          </cell>
          <cell r="B11019" t="str">
            <v>P-21A72</v>
          </cell>
          <cell r="O11019"/>
          <cell r="T11019"/>
        </row>
        <row r="11020">
          <cell r="A11020" t="str">
            <v>MARK</v>
          </cell>
          <cell r="B11020" t="str">
            <v>P-21A726</v>
          </cell>
          <cell r="O11020"/>
          <cell r="T11020"/>
        </row>
        <row r="11021">
          <cell r="A11021" t="str">
            <v>MARK</v>
          </cell>
          <cell r="B11021" t="str">
            <v>P-21A72G-S</v>
          </cell>
          <cell r="O11021"/>
          <cell r="T11021"/>
        </row>
        <row r="11022">
          <cell r="A11022" t="str">
            <v>MARK</v>
          </cell>
          <cell r="B11022" t="str">
            <v>P-21A72GF</v>
          </cell>
          <cell r="O11022"/>
          <cell r="T11022"/>
        </row>
        <row r="11023">
          <cell r="A11023" t="str">
            <v>MARK</v>
          </cell>
          <cell r="B11023" t="str">
            <v>P-21A72L</v>
          </cell>
          <cell r="O11023"/>
          <cell r="T11023"/>
        </row>
        <row r="11024">
          <cell r="A11024" t="str">
            <v>MARK</v>
          </cell>
          <cell r="B11024" t="str">
            <v>P-21A72N</v>
          </cell>
          <cell r="O11024"/>
          <cell r="T11024"/>
        </row>
        <row r="11025">
          <cell r="A11025" t="str">
            <v>MARK</v>
          </cell>
          <cell r="B11025" t="str">
            <v>P-21A960</v>
          </cell>
          <cell r="O11025"/>
          <cell r="T11025"/>
        </row>
        <row r="11026">
          <cell r="A11026" t="str">
            <v>MARK</v>
          </cell>
          <cell r="B11026" t="str">
            <v>P-21A964G</v>
          </cell>
          <cell r="O11026"/>
          <cell r="T11026"/>
        </row>
        <row r="11027">
          <cell r="A11027" t="str">
            <v>MARK</v>
          </cell>
          <cell r="B11027" t="str">
            <v>P-21A96F</v>
          </cell>
          <cell r="O11027"/>
          <cell r="T11027"/>
        </row>
        <row r="11028">
          <cell r="A11028" t="str">
            <v>MARK</v>
          </cell>
          <cell r="B11028" t="str">
            <v>P-21A96G</v>
          </cell>
          <cell r="O11028"/>
          <cell r="T11028"/>
        </row>
        <row r="11029">
          <cell r="A11029" t="str">
            <v>MARK</v>
          </cell>
          <cell r="B11029" t="str">
            <v>P-21A96G-S</v>
          </cell>
          <cell r="O11029"/>
          <cell r="T11029"/>
        </row>
        <row r="11030">
          <cell r="A11030" t="str">
            <v>MARK</v>
          </cell>
          <cell r="B11030" t="str">
            <v>P-21A96GE-S</v>
          </cell>
          <cell r="O11030"/>
          <cell r="T11030"/>
        </row>
        <row r="11031">
          <cell r="A11031" t="str">
            <v>MARK</v>
          </cell>
          <cell r="B11031" t="str">
            <v>P-21A96GF</v>
          </cell>
          <cell r="O11031"/>
          <cell r="T11031"/>
        </row>
        <row r="11032">
          <cell r="A11032" t="str">
            <v>MARK</v>
          </cell>
          <cell r="B11032" t="str">
            <v>P-21A96GF-S</v>
          </cell>
          <cell r="O11032"/>
          <cell r="T11032"/>
        </row>
        <row r="11033">
          <cell r="A11033" t="str">
            <v>MARK</v>
          </cell>
          <cell r="B11033" t="str">
            <v>P-21A96GL-S</v>
          </cell>
          <cell r="O11033"/>
          <cell r="T11033"/>
        </row>
        <row r="11034">
          <cell r="A11034" t="str">
            <v>MARK</v>
          </cell>
          <cell r="B11034" t="str">
            <v>P-21A96GN-S</v>
          </cell>
          <cell r="O11034"/>
          <cell r="T11034"/>
        </row>
        <row r="11035">
          <cell r="A11035" t="str">
            <v>MARK</v>
          </cell>
          <cell r="B11035" t="str">
            <v>P-21A96GP-S</v>
          </cell>
          <cell r="O11035"/>
          <cell r="T11035"/>
        </row>
        <row r="11036">
          <cell r="A11036" t="str">
            <v>MARK</v>
          </cell>
          <cell r="B11036" t="str">
            <v>P-21A96N</v>
          </cell>
          <cell r="O11036"/>
          <cell r="T11036"/>
        </row>
        <row r="11037">
          <cell r="A11037" t="str">
            <v>MARK</v>
          </cell>
          <cell r="B11037" t="str">
            <v>P-21B 72G</v>
          </cell>
          <cell r="O11037"/>
          <cell r="T11037"/>
        </row>
        <row r="11038">
          <cell r="A11038" t="str">
            <v>MARK</v>
          </cell>
          <cell r="B11038" t="str">
            <v>P-22A72G</v>
          </cell>
          <cell r="O11038"/>
          <cell r="T11038"/>
        </row>
        <row r="11039">
          <cell r="A11039" t="str">
            <v>MARK</v>
          </cell>
          <cell r="B11039" t="str">
            <v>P-22A96GE-S</v>
          </cell>
          <cell r="O11039"/>
          <cell r="T11039"/>
        </row>
        <row r="11040">
          <cell r="A11040" t="str">
            <v>MARK</v>
          </cell>
          <cell r="B11040" t="str">
            <v>P-22A96GF-S</v>
          </cell>
          <cell r="O11040"/>
          <cell r="T11040"/>
        </row>
        <row r="11041">
          <cell r="A11041" t="str">
            <v>MARK</v>
          </cell>
          <cell r="B11041" t="str">
            <v>P-22A96GN-S</v>
          </cell>
          <cell r="O11041"/>
          <cell r="T11041"/>
        </row>
        <row r="11042">
          <cell r="A11042" t="str">
            <v>MARK</v>
          </cell>
          <cell r="B11042" t="str">
            <v>P-22A96GP-S</v>
          </cell>
          <cell r="O11042"/>
          <cell r="T11042"/>
        </row>
        <row r="11043">
          <cell r="A11043" t="str">
            <v>MARK</v>
          </cell>
          <cell r="B11043" t="str">
            <v>P-24A144GP-S</v>
          </cell>
          <cell r="O11043"/>
          <cell r="T11043"/>
        </row>
        <row r="11044">
          <cell r="A11044" t="str">
            <v>MARK</v>
          </cell>
          <cell r="B11044" t="str">
            <v>P-24A36G</v>
          </cell>
          <cell r="O11044"/>
          <cell r="T11044"/>
        </row>
        <row r="11045">
          <cell r="A11045" t="str">
            <v>MARK</v>
          </cell>
          <cell r="B11045" t="str">
            <v>P-24A36GN</v>
          </cell>
          <cell r="O11045"/>
          <cell r="T11045"/>
        </row>
        <row r="11046">
          <cell r="A11046" t="str">
            <v>MARK</v>
          </cell>
          <cell r="B11046" t="str">
            <v>P-24A36GN-U</v>
          </cell>
          <cell r="O11046"/>
          <cell r="T11046"/>
        </row>
        <row r="11047">
          <cell r="A11047" t="str">
            <v>MARK</v>
          </cell>
          <cell r="B11047" t="str">
            <v>P-24A48GF</v>
          </cell>
          <cell r="O11047"/>
          <cell r="T11047"/>
        </row>
        <row r="11048">
          <cell r="A11048" t="str">
            <v>MARK</v>
          </cell>
          <cell r="B11048" t="str">
            <v>P-24A48GN-2</v>
          </cell>
          <cell r="O11048"/>
          <cell r="T11048"/>
        </row>
        <row r="11049">
          <cell r="A11049" t="str">
            <v>MARK</v>
          </cell>
          <cell r="B11049" t="str">
            <v>P-24A48GN-U</v>
          </cell>
          <cell r="O11049"/>
          <cell r="T11049"/>
        </row>
        <row r="11050">
          <cell r="A11050" t="str">
            <v>MARK</v>
          </cell>
          <cell r="B11050" t="str">
            <v>P-24A48N</v>
          </cell>
          <cell r="O11050"/>
          <cell r="T11050"/>
        </row>
        <row r="11051">
          <cell r="A11051" t="str">
            <v>MARK</v>
          </cell>
          <cell r="B11051" t="str">
            <v>P-24A726F-2</v>
          </cell>
          <cell r="O11051"/>
          <cell r="T11051"/>
        </row>
        <row r="11052">
          <cell r="A11052" t="str">
            <v>MARK</v>
          </cell>
          <cell r="B11052" t="str">
            <v>P-24A72G</v>
          </cell>
          <cell r="O11052"/>
          <cell r="T11052"/>
        </row>
        <row r="11053">
          <cell r="A11053" t="str">
            <v>MARK</v>
          </cell>
          <cell r="B11053" t="str">
            <v>P-24A72GN-1</v>
          </cell>
          <cell r="O11053"/>
          <cell r="T11053"/>
        </row>
        <row r="11054">
          <cell r="A11054" t="str">
            <v>MARK</v>
          </cell>
          <cell r="B11054" t="str">
            <v>P-24A72GN-U</v>
          </cell>
          <cell r="O11054"/>
          <cell r="T11054"/>
        </row>
        <row r="11055">
          <cell r="A11055" t="str">
            <v>MARK</v>
          </cell>
          <cell r="B11055" t="str">
            <v>P-24A8N-1</v>
          </cell>
          <cell r="O11055"/>
          <cell r="T11055"/>
        </row>
        <row r="11056">
          <cell r="A11056" t="str">
            <v>MARK</v>
          </cell>
          <cell r="B11056" t="str">
            <v>P-24A96GF</v>
          </cell>
          <cell r="O11056"/>
          <cell r="T11056"/>
        </row>
        <row r="11057">
          <cell r="A11057" t="str">
            <v>MARK</v>
          </cell>
          <cell r="B11057" t="str">
            <v>P-24A96GN</v>
          </cell>
          <cell r="O11057"/>
          <cell r="T11057"/>
        </row>
        <row r="11058">
          <cell r="A11058" t="str">
            <v>MARK</v>
          </cell>
          <cell r="B11058" t="str">
            <v>P-26A486N</v>
          </cell>
          <cell r="O11058"/>
          <cell r="T11058"/>
        </row>
        <row r="11059">
          <cell r="A11059" t="str">
            <v>MARK</v>
          </cell>
          <cell r="B11059" t="str">
            <v>P-57A72N</v>
          </cell>
          <cell r="O11059"/>
          <cell r="T11059"/>
        </row>
        <row r="11060">
          <cell r="A11060" t="str">
            <v>MARK</v>
          </cell>
          <cell r="B11060" t="str">
            <v>P-57A96-2</v>
          </cell>
          <cell r="O11060"/>
          <cell r="T11060"/>
        </row>
        <row r="11061">
          <cell r="A11061" t="str">
            <v>MARK</v>
          </cell>
          <cell r="B11061" t="str">
            <v>P-57A96-S</v>
          </cell>
          <cell r="O11061"/>
          <cell r="T11061"/>
        </row>
        <row r="11062">
          <cell r="A11062" t="str">
            <v>MARK</v>
          </cell>
          <cell r="B11062" t="str">
            <v>P-57B48N</v>
          </cell>
          <cell r="O11062"/>
          <cell r="T11062"/>
        </row>
        <row r="11063">
          <cell r="A11063" t="str">
            <v>MARK</v>
          </cell>
          <cell r="B11063" t="str">
            <v>P-57B48N-1</v>
          </cell>
          <cell r="O11063"/>
          <cell r="T11063"/>
        </row>
        <row r="11064">
          <cell r="A11064" t="str">
            <v>MARK</v>
          </cell>
          <cell r="B11064" t="str">
            <v>P-57B48N-2</v>
          </cell>
          <cell r="O11064"/>
          <cell r="T11064"/>
        </row>
        <row r="11065">
          <cell r="A11065" t="str">
            <v>MARK</v>
          </cell>
          <cell r="B11065" t="str">
            <v>P-57B48N-U</v>
          </cell>
          <cell r="O11065"/>
          <cell r="T11065"/>
        </row>
        <row r="11066">
          <cell r="A11066" t="str">
            <v>MARK</v>
          </cell>
          <cell r="B11066" t="str">
            <v>P-57C72N-U</v>
          </cell>
          <cell r="O11066"/>
          <cell r="T11066"/>
        </row>
        <row r="11067">
          <cell r="A11067" t="str">
            <v>MARK</v>
          </cell>
          <cell r="B11067" t="str">
            <v>P-65A96L-S</v>
          </cell>
          <cell r="O11067"/>
          <cell r="T11067"/>
        </row>
        <row r="11068">
          <cell r="A11068" t="str">
            <v>MARK</v>
          </cell>
          <cell r="B11068" t="str">
            <v>P-9A120N-S</v>
          </cell>
          <cell r="O11068"/>
          <cell r="T11068"/>
        </row>
        <row r="11069">
          <cell r="A11069" t="str">
            <v>MARK</v>
          </cell>
          <cell r="B11069" t="str">
            <v>P-9A48GN-U</v>
          </cell>
          <cell r="O11069"/>
          <cell r="T11069"/>
        </row>
        <row r="11070">
          <cell r="A11070" t="str">
            <v>MARK</v>
          </cell>
          <cell r="B11070" t="str">
            <v>P-9A72GN-S</v>
          </cell>
          <cell r="O11070"/>
          <cell r="T11070"/>
        </row>
        <row r="11071">
          <cell r="A11071" t="str">
            <v>MARK</v>
          </cell>
          <cell r="B11071" t="str">
            <v>P-9A72GN-U</v>
          </cell>
          <cell r="O11071"/>
          <cell r="T11071"/>
        </row>
        <row r="11072">
          <cell r="A11072" t="str">
            <v>MARK</v>
          </cell>
          <cell r="B11072" t="str">
            <v>P-9LA96KGN</v>
          </cell>
          <cell r="O11072"/>
          <cell r="T11072"/>
        </row>
        <row r="11073">
          <cell r="A11073" t="str">
            <v>MARK</v>
          </cell>
          <cell r="B11073" t="str">
            <v>P105A24-2</v>
          </cell>
          <cell r="O11073"/>
          <cell r="T11073"/>
        </row>
        <row r="11074">
          <cell r="A11074" t="str">
            <v>MARK</v>
          </cell>
          <cell r="B11074" t="str">
            <v>P21A-726F</v>
          </cell>
          <cell r="O11074"/>
          <cell r="T11074"/>
        </row>
        <row r="11075">
          <cell r="A11075" t="str">
            <v>MARK</v>
          </cell>
          <cell r="B11075" t="str">
            <v>P21A120F</v>
          </cell>
          <cell r="O11075"/>
          <cell r="T11075"/>
        </row>
        <row r="11076">
          <cell r="A11076" t="str">
            <v>MARK</v>
          </cell>
          <cell r="B11076" t="str">
            <v>P21A144L</v>
          </cell>
          <cell r="O11076"/>
          <cell r="T11076"/>
        </row>
        <row r="11077">
          <cell r="A11077" t="str">
            <v>MARK</v>
          </cell>
          <cell r="B11077" t="str">
            <v>P21A48DL</v>
          </cell>
          <cell r="O11077"/>
          <cell r="T11077"/>
        </row>
        <row r="11078">
          <cell r="A11078" t="str">
            <v>MARK</v>
          </cell>
          <cell r="B11078" t="str">
            <v>P21A72-GF</v>
          </cell>
          <cell r="O11078"/>
          <cell r="T11078"/>
        </row>
        <row r="11079">
          <cell r="A11079" t="str">
            <v>MARK</v>
          </cell>
          <cell r="B11079" t="str">
            <v>P21A726F</v>
          </cell>
          <cell r="O11079"/>
          <cell r="T11079"/>
        </row>
        <row r="11080">
          <cell r="A11080" t="str">
            <v>MARK</v>
          </cell>
          <cell r="B11080" t="str">
            <v>P21A72G</v>
          </cell>
          <cell r="O11080"/>
          <cell r="T11080"/>
        </row>
        <row r="11081">
          <cell r="A11081" t="str">
            <v>MARK</v>
          </cell>
          <cell r="B11081" t="str">
            <v>P21A96F</v>
          </cell>
          <cell r="O11081"/>
          <cell r="T11081"/>
        </row>
        <row r="11082">
          <cell r="A11082" t="str">
            <v>MARK</v>
          </cell>
          <cell r="B11082" t="str">
            <v>P21A96GN</v>
          </cell>
          <cell r="O11082"/>
          <cell r="T11082"/>
        </row>
        <row r="11083">
          <cell r="A11083" t="str">
            <v>MARK</v>
          </cell>
          <cell r="B11083" t="str">
            <v>P21B120L</v>
          </cell>
          <cell r="O11083"/>
          <cell r="T11083"/>
        </row>
        <row r="11084">
          <cell r="A11084" t="str">
            <v>MARK</v>
          </cell>
          <cell r="B11084" t="str">
            <v>P24848GN</v>
          </cell>
          <cell r="O11084"/>
          <cell r="T11084"/>
        </row>
        <row r="11085">
          <cell r="A11085" t="str">
            <v>MARK</v>
          </cell>
          <cell r="B11085" t="str">
            <v>P24A48GN-2</v>
          </cell>
          <cell r="O11085"/>
          <cell r="T11085"/>
        </row>
        <row r="11086">
          <cell r="A11086" t="str">
            <v>MARK</v>
          </cell>
          <cell r="B11086" t="str">
            <v>P57A48N-2</v>
          </cell>
          <cell r="O11086"/>
          <cell r="T11086"/>
        </row>
        <row r="11087">
          <cell r="A11087" t="str">
            <v>MARK</v>
          </cell>
          <cell r="B11087" t="str">
            <v>P60A96L</v>
          </cell>
          <cell r="O11087"/>
          <cell r="T11087"/>
        </row>
        <row r="11088">
          <cell r="A11088" t="str">
            <v>MARK</v>
          </cell>
          <cell r="B11088" t="str">
            <v>PA-21A72GF</v>
          </cell>
          <cell r="O11088"/>
          <cell r="T11088"/>
        </row>
        <row r="11089">
          <cell r="A11089" t="str">
            <v>MARK</v>
          </cell>
          <cell r="B11089" t="str">
            <v>PA-21B-72PF</v>
          </cell>
          <cell r="O11089"/>
          <cell r="T11089"/>
        </row>
        <row r="11090">
          <cell r="A11090" t="str">
            <v>MARK</v>
          </cell>
          <cell r="B11090" t="str">
            <v>PA-21B48N</v>
          </cell>
          <cell r="O11090"/>
          <cell r="T11090"/>
        </row>
        <row r="11091">
          <cell r="A11091" t="str">
            <v>MARK</v>
          </cell>
          <cell r="B11091" t="str">
            <v>PA-21B72</v>
          </cell>
          <cell r="O11091"/>
          <cell r="T11091"/>
        </row>
        <row r="11092">
          <cell r="A11092" t="str">
            <v>MARK</v>
          </cell>
          <cell r="B11092" t="str">
            <v>PA-21B726G</v>
          </cell>
          <cell r="O11092"/>
          <cell r="T11092"/>
        </row>
        <row r="11093">
          <cell r="A11093" t="str">
            <v>MARK</v>
          </cell>
          <cell r="B11093" t="str">
            <v>PA-21B72G</v>
          </cell>
          <cell r="O11093"/>
          <cell r="T11093"/>
        </row>
        <row r="11094">
          <cell r="A11094" t="str">
            <v>MARK</v>
          </cell>
          <cell r="B11094" t="str">
            <v>PA-2272GR</v>
          </cell>
          <cell r="O11094"/>
          <cell r="T11094"/>
        </row>
        <row r="11095">
          <cell r="A11095" t="str">
            <v>MARK</v>
          </cell>
          <cell r="B11095" t="str">
            <v>PA-2272GRFN</v>
          </cell>
          <cell r="O11095"/>
          <cell r="T11095"/>
        </row>
        <row r="11096">
          <cell r="A11096" t="str">
            <v>MARK</v>
          </cell>
          <cell r="B11096" t="str">
            <v>PA-22A72G</v>
          </cell>
          <cell r="O11096"/>
          <cell r="T11096"/>
        </row>
        <row r="11097">
          <cell r="A11097" t="str">
            <v>MARK</v>
          </cell>
          <cell r="B11097" t="str">
            <v>PA21572G</v>
          </cell>
          <cell r="O11097"/>
          <cell r="T11097"/>
        </row>
        <row r="11098">
          <cell r="A11098" t="str">
            <v>MARK</v>
          </cell>
          <cell r="B11098" t="str">
            <v>PA2182</v>
          </cell>
          <cell r="O11098"/>
          <cell r="T11098"/>
        </row>
        <row r="11099">
          <cell r="A11099" t="str">
            <v>MARK</v>
          </cell>
          <cell r="B11099" t="str">
            <v>PA21B-72G</v>
          </cell>
          <cell r="O11099"/>
          <cell r="T11099"/>
        </row>
        <row r="11100">
          <cell r="A11100" t="str">
            <v>MARK</v>
          </cell>
          <cell r="B11100" t="str">
            <v>PA21B726F</v>
          </cell>
          <cell r="O11100"/>
          <cell r="T11100"/>
        </row>
        <row r="11101">
          <cell r="A11101" t="str">
            <v>MARK</v>
          </cell>
          <cell r="B11101" t="str">
            <v>PA21B72GF</v>
          </cell>
          <cell r="O11101"/>
          <cell r="T11101"/>
        </row>
        <row r="11102">
          <cell r="A11102" t="str">
            <v>MARK</v>
          </cell>
          <cell r="B11102" t="str">
            <v>PA21B72GF-6DISH</v>
          </cell>
          <cell r="O11102"/>
          <cell r="T11102"/>
        </row>
        <row r="11103">
          <cell r="A11103" t="str">
            <v>MARK</v>
          </cell>
          <cell r="B11103" t="str">
            <v>PA22726PF1</v>
          </cell>
          <cell r="O11103"/>
          <cell r="T11103"/>
        </row>
        <row r="11104">
          <cell r="A11104" t="str">
            <v>MARK</v>
          </cell>
          <cell r="B11104" t="str">
            <v>PA2272GR</v>
          </cell>
          <cell r="O11104"/>
          <cell r="T11104"/>
        </row>
        <row r="11105">
          <cell r="A11105" t="str">
            <v>MARK</v>
          </cell>
          <cell r="B11105" t="str">
            <v>SSH-9A72GN</v>
          </cell>
          <cell r="O11105"/>
          <cell r="T11105"/>
        </row>
        <row r="11106">
          <cell r="A11106" t="str">
            <v>MARK</v>
          </cell>
          <cell r="B11106" t="str">
            <v>SSI800285G296</v>
          </cell>
          <cell r="O11106"/>
          <cell r="T11106"/>
        </row>
        <row r="11107">
          <cell r="A11107" t="str">
            <v>MARK</v>
          </cell>
          <cell r="B11107" t="str">
            <v>SSI805492M125</v>
          </cell>
          <cell r="O11107"/>
          <cell r="T11107"/>
        </row>
        <row r="11108">
          <cell r="A11108" t="str">
            <v>MARK</v>
          </cell>
          <cell r="B11108" t="str">
            <v>SSI805492M84</v>
          </cell>
          <cell r="O11108"/>
          <cell r="T11108"/>
        </row>
        <row r="11109">
          <cell r="A11109" t="str">
            <v>MARK</v>
          </cell>
          <cell r="B11109" t="str">
            <v>SSI805492S92</v>
          </cell>
          <cell r="O11109"/>
          <cell r="T11109"/>
        </row>
        <row r="11110">
          <cell r="A11110" t="str">
            <v>MARK</v>
          </cell>
          <cell r="B11110" t="str">
            <v>SSI812032-6DISH</v>
          </cell>
          <cell r="O11110"/>
          <cell r="T11110"/>
        </row>
        <row r="11111">
          <cell r="A11111" t="str">
            <v>MARK</v>
          </cell>
          <cell r="B11111" t="str">
            <v>SSI814897G160</v>
          </cell>
          <cell r="O11111"/>
          <cell r="T11111"/>
        </row>
        <row r="11112">
          <cell r="A11112" t="str">
            <v>MARK</v>
          </cell>
          <cell r="B11112" t="str">
            <v>SSI814971G109</v>
          </cell>
          <cell r="O11112"/>
          <cell r="T11112"/>
        </row>
        <row r="11113">
          <cell r="A11113" t="str">
            <v>MARK</v>
          </cell>
          <cell r="B11113" t="str">
            <v>SSI815193M186</v>
          </cell>
          <cell r="O11113"/>
          <cell r="T11113"/>
        </row>
        <row r="11114">
          <cell r="A11114" t="str">
            <v>MARK</v>
          </cell>
          <cell r="B11114" t="str">
            <v>SSI816290G255</v>
          </cell>
          <cell r="O11114"/>
          <cell r="T11114"/>
        </row>
        <row r="11115">
          <cell r="A11115" t="str">
            <v>MARK</v>
          </cell>
          <cell r="B11115" t="str">
            <v>TA21B726F</v>
          </cell>
          <cell r="O11115"/>
          <cell r="T11115"/>
        </row>
        <row r="11116">
          <cell r="A11116" t="str">
            <v>MARK</v>
          </cell>
          <cell r="B11116" t="str">
            <v>VHP100A96DL</v>
          </cell>
          <cell r="O11116"/>
          <cell r="T11116"/>
        </row>
        <row r="11117">
          <cell r="A11117" t="str">
            <v>MARK</v>
          </cell>
          <cell r="B11117" t="str">
            <v>VHP2496</v>
          </cell>
          <cell r="O11117"/>
          <cell r="T11117"/>
        </row>
        <row r="11118">
          <cell r="A11118" t="str">
            <v>MARS ANTENNAS</v>
          </cell>
          <cell r="B11118" t="str">
            <v>MA-CQ26-1X</v>
          </cell>
          <cell r="O11118"/>
          <cell r="T11118"/>
        </row>
        <row r="11119">
          <cell r="A11119" t="str">
            <v>MARS ANTENNAS</v>
          </cell>
          <cell r="B11119" t="str">
            <v>MA-IS91-T2C</v>
          </cell>
          <cell r="O11119"/>
          <cell r="T11119"/>
        </row>
        <row r="11120">
          <cell r="A11120" t="str">
            <v>MARS ANTENNAS</v>
          </cell>
          <cell r="B11120" t="str">
            <v>MA-WA36-DP21</v>
          </cell>
          <cell r="O11120"/>
          <cell r="T11120"/>
        </row>
        <row r="11121">
          <cell r="A11121" t="str">
            <v>MARS ANTENNAS</v>
          </cell>
          <cell r="B11121" t="str">
            <v>MA-WA49-1X</v>
          </cell>
          <cell r="O11121"/>
          <cell r="T11121"/>
        </row>
        <row r="11122">
          <cell r="A11122" t="str">
            <v>MARS ANTENNAS</v>
          </cell>
          <cell r="B11122" t="str">
            <v>MA-WA55-30</v>
          </cell>
          <cell r="O11122"/>
          <cell r="T11122"/>
        </row>
        <row r="11123">
          <cell r="A11123" t="str">
            <v>MARS ANTENNAS</v>
          </cell>
          <cell r="B11123" t="str">
            <v>MA-WA56-DP19</v>
          </cell>
          <cell r="O11123"/>
          <cell r="T11123"/>
        </row>
        <row r="11124">
          <cell r="A11124" t="str">
            <v>MARS ANTENNAS</v>
          </cell>
          <cell r="B11124" t="str">
            <v>MA-WA56-DP23</v>
          </cell>
          <cell r="O11124"/>
          <cell r="T11124"/>
        </row>
        <row r="11125">
          <cell r="A11125" t="str">
            <v>MARS ANTENNAS</v>
          </cell>
          <cell r="B11125" t="str">
            <v>MA-WA56-DP25N</v>
          </cell>
          <cell r="O11125"/>
          <cell r="T11125"/>
        </row>
        <row r="11126">
          <cell r="A11126" t="str">
            <v>MARS ANTENNAS</v>
          </cell>
          <cell r="B11126" t="str">
            <v>MA-WA56-DP25NB</v>
          </cell>
          <cell r="O11126"/>
          <cell r="T11126"/>
        </row>
        <row r="11127">
          <cell r="A11127" t="str">
            <v>MARS ANTENNAS</v>
          </cell>
          <cell r="B11127" t="str">
            <v>MA-WA56-DP28</v>
          </cell>
          <cell r="O11127"/>
          <cell r="T11127"/>
        </row>
        <row r="11128">
          <cell r="A11128" t="str">
            <v>MARS ANTENNAS</v>
          </cell>
          <cell r="B11128" t="str">
            <v>MA-WA57-3HG1</v>
          </cell>
          <cell r="O11128"/>
          <cell r="T11128"/>
        </row>
        <row r="11129">
          <cell r="A11129" t="str">
            <v>MARS ANTENNAS</v>
          </cell>
          <cell r="B11129" t="str">
            <v>MA-WA58-1X</v>
          </cell>
          <cell r="O11129"/>
          <cell r="T11129"/>
        </row>
        <row r="11130">
          <cell r="A11130" t="str">
            <v>MARS ANTENNAS</v>
          </cell>
          <cell r="B11130" t="str">
            <v>MA-WA62-DP24</v>
          </cell>
          <cell r="O11130"/>
          <cell r="T11130"/>
        </row>
        <row r="11131">
          <cell r="A11131" t="str">
            <v>MARS ANTENNAS</v>
          </cell>
          <cell r="B11131" t="str">
            <v>MA-WB55-20</v>
          </cell>
          <cell r="O11131"/>
          <cell r="T11131"/>
        </row>
        <row r="11132">
          <cell r="A11132" t="str">
            <v>MARS ANTENNAS</v>
          </cell>
          <cell r="B11132" t="str">
            <v>MA-WC55-17B</v>
          </cell>
          <cell r="O11132"/>
          <cell r="T11132"/>
        </row>
        <row r="11133">
          <cell r="A11133" t="str">
            <v>MARS ANTENNAS</v>
          </cell>
          <cell r="B11133" t="str">
            <v>MA-WC56-DP17</v>
          </cell>
          <cell r="O11133"/>
          <cell r="T11133"/>
        </row>
        <row r="11134">
          <cell r="A11134" t="str">
            <v>MARS ANTENNAS</v>
          </cell>
          <cell r="B11134" t="str">
            <v>MA-WD25-MIMO3</v>
          </cell>
          <cell r="O11134"/>
          <cell r="T11134"/>
        </row>
        <row r="11135">
          <cell r="A11135" t="str">
            <v>MARS ANTENNAS</v>
          </cell>
          <cell r="B11135" t="str">
            <v>MA-WD36-MIMO3</v>
          </cell>
          <cell r="O11135"/>
          <cell r="T11135"/>
        </row>
        <row r="11136">
          <cell r="A11136" t="str">
            <v>MARS ANTENNAS</v>
          </cell>
          <cell r="B11136" t="str">
            <v>MA-WD55-17H</v>
          </cell>
          <cell r="O11136"/>
          <cell r="T11136"/>
        </row>
        <row r="11137">
          <cell r="A11137" t="str">
            <v>MARS ANTENNAS</v>
          </cell>
          <cell r="B11137" t="str">
            <v>MA-WD91-6H</v>
          </cell>
          <cell r="O11137"/>
          <cell r="T11137"/>
        </row>
        <row r="11138">
          <cell r="A11138" t="str">
            <v>MARS ANTENNAS</v>
          </cell>
          <cell r="B11138" t="str">
            <v>MA-WE36-7X</v>
          </cell>
          <cell r="O11138"/>
          <cell r="T11138"/>
        </row>
        <row r="11139">
          <cell r="A11139" t="str">
            <v>MARS ANTENNAS</v>
          </cell>
          <cell r="B11139" t="str">
            <v>MA-WE56-DP15</v>
          </cell>
          <cell r="O11139"/>
          <cell r="T11139"/>
        </row>
        <row r="11140">
          <cell r="A11140" t="str">
            <v>MARS ANTENNAS</v>
          </cell>
          <cell r="B11140" t="str">
            <v>MA-WO25-9</v>
          </cell>
          <cell r="O11140"/>
          <cell r="T11140"/>
        </row>
        <row r="11141">
          <cell r="A11141" t="str">
            <v>MARS ANTENNAS</v>
          </cell>
          <cell r="B11141" t="str">
            <v>MA-WO56-DP10</v>
          </cell>
          <cell r="O11141"/>
          <cell r="T11141"/>
        </row>
        <row r="11142">
          <cell r="A11142" t="str">
            <v>MARTI ELECTRONICS</v>
          </cell>
          <cell r="B11142" t="str">
            <v>G6-450</v>
          </cell>
          <cell r="O11142"/>
          <cell r="T11142"/>
        </row>
        <row r="11143">
          <cell r="A11143" t="str">
            <v>MARTI ELECTRONICS</v>
          </cell>
          <cell r="B11143" t="str">
            <v>SC-48</v>
          </cell>
          <cell r="O11143"/>
          <cell r="T11143"/>
        </row>
        <row r="11144">
          <cell r="A11144" t="str">
            <v>MARTI ELECTRONICS</v>
          </cell>
          <cell r="B11144" t="str">
            <v>YC-150</v>
          </cell>
          <cell r="O11144"/>
          <cell r="T11144"/>
        </row>
        <row r="11145">
          <cell r="A11145" t="str">
            <v>MASTING</v>
          </cell>
          <cell r="B11145" t="str">
            <v>MS-12.6DB180</v>
          </cell>
          <cell r="O11145"/>
          <cell r="T11145"/>
        </row>
        <row r="11146">
          <cell r="A11146" t="str">
            <v>MASTING</v>
          </cell>
          <cell r="B11146" t="str">
            <v>MS-12C90</v>
          </cell>
          <cell r="O11146">
            <v>0</v>
          </cell>
          <cell r="T11146"/>
        </row>
        <row r="11147">
          <cell r="A11147" t="str">
            <v>MASTING</v>
          </cell>
          <cell r="B11147" t="str">
            <v>MS-MBA-3-H4</v>
          </cell>
          <cell r="O11147">
            <v>0</v>
          </cell>
          <cell r="T11147"/>
        </row>
        <row r="11148">
          <cell r="A11148" t="str">
            <v>MASTING</v>
          </cell>
          <cell r="B11148" t="str">
            <v>MS-MBA-3-H8A2</v>
          </cell>
          <cell r="O11148"/>
          <cell r="T11148"/>
        </row>
        <row r="11149">
          <cell r="A11149" t="str">
            <v>MASTING</v>
          </cell>
          <cell r="B11149" t="str">
            <v>MS-MBA-3-L4A2_20230227</v>
          </cell>
          <cell r="O11149">
            <v>26.1513117283951</v>
          </cell>
          <cell r="T11149">
            <v>27.3230895955307</v>
          </cell>
        </row>
        <row r="11150">
          <cell r="A11150" t="str">
            <v>MASTING</v>
          </cell>
          <cell r="B11150" t="str">
            <v>MS-MBA-3.2-H4-L4</v>
          </cell>
          <cell r="O11150"/>
          <cell r="T11150"/>
        </row>
        <row r="11151">
          <cell r="A11151" t="str">
            <v>MASTING</v>
          </cell>
          <cell r="B11151" t="str">
            <v>MS-MBA-3.2-H8-L4</v>
          </cell>
          <cell r="O11151">
            <v>0</v>
          </cell>
          <cell r="T11151"/>
        </row>
        <row r="11152">
          <cell r="A11152" t="str">
            <v>MASTING</v>
          </cell>
          <cell r="B11152" t="str">
            <v>MS-MBA-4.2-H2-L2</v>
          </cell>
          <cell r="O11152"/>
          <cell r="T11152"/>
        </row>
        <row r="11153">
          <cell r="A11153" t="str">
            <v>MASTING</v>
          </cell>
          <cell r="B11153" t="str">
            <v>MS-MBA-4.4.2-C2-H2-L2</v>
          </cell>
          <cell r="O11153"/>
          <cell r="T11153"/>
        </row>
        <row r="11154">
          <cell r="A11154" t="str">
            <v>MASTING</v>
          </cell>
          <cell r="B11154" t="str">
            <v>MS-MBA-6.3-H4-L4</v>
          </cell>
          <cell r="O11154">
            <v>26.1513117283951</v>
          </cell>
          <cell r="T11154">
            <v>27.3230895955307</v>
          </cell>
        </row>
        <row r="11155">
          <cell r="A11155" t="str">
            <v>MATSING</v>
          </cell>
          <cell r="B11155" t="str">
            <v>MS-10.10.10DBA180-A</v>
          </cell>
          <cell r="O11155"/>
          <cell r="T11155"/>
        </row>
        <row r="11156">
          <cell r="A11156" t="str">
            <v>MATSING</v>
          </cell>
          <cell r="B11156" t="str">
            <v>MS-12.6DB180-RET</v>
          </cell>
          <cell r="O11156"/>
          <cell r="T11156"/>
        </row>
        <row r="11157">
          <cell r="A11157" t="str">
            <v>MATSING</v>
          </cell>
          <cell r="B11157" t="str">
            <v>MS-12.6DB180_CCIV1</v>
          </cell>
          <cell r="O11157"/>
          <cell r="T11157"/>
        </row>
        <row r="11158">
          <cell r="A11158" t="str">
            <v>MATSING</v>
          </cell>
          <cell r="B11158" t="str">
            <v>MS-12C90_CCIV1</v>
          </cell>
          <cell r="O11158">
            <v>0</v>
          </cell>
          <cell r="T11158"/>
        </row>
        <row r="11159">
          <cell r="A11159" t="str">
            <v>MATSING</v>
          </cell>
          <cell r="B11159" t="str">
            <v>MS-12F90</v>
          </cell>
          <cell r="O11159"/>
          <cell r="T11159"/>
        </row>
        <row r="11160">
          <cell r="A11160" t="str">
            <v>MATSING</v>
          </cell>
          <cell r="B11160" t="str">
            <v>MS-20.10DBA180</v>
          </cell>
          <cell r="O11160"/>
          <cell r="T11160"/>
        </row>
        <row r="11161">
          <cell r="A11161" t="str">
            <v>MATSING</v>
          </cell>
          <cell r="B11161" t="str">
            <v>MS-4.2DB60-A</v>
          </cell>
          <cell r="O11161"/>
          <cell r="T11161"/>
        </row>
        <row r="11162">
          <cell r="A11162" t="str">
            <v>MATSING</v>
          </cell>
          <cell r="B11162" t="str">
            <v>MS-48C90</v>
          </cell>
          <cell r="O11162"/>
          <cell r="T11162"/>
        </row>
        <row r="11163">
          <cell r="A11163" t="str">
            <v>MATSING</v>
          </cell>
          <cell r="B11163" t="str">
            <v>MS-6.3DB90-A</v>
          </cell>
          <cell r="O11163"/>
          <cell r="T11163"/>
        </row>
        <row r="11164">
          <cell r="A11164" t="str">
            <v>MATSING</v>
          </cell>
          <cell r="B11164" t="str">
            <v>MS-8.4DB120</v>
          </cell>
          <cell r="O11164"/>
          <cell r="T11164"/>
        </row>
        <row r="11165">
          <cell r="A11165" t="str">
            <v>MATSING</v>
          </cell>
          <cell r="B11165" t="str">
            <v>MS-8.4DB120-A</v>
          </cell>
          <cell r="O11165"/>
          <cell r="T11165"/>
        </row>
        <row r="11166">
          <cell r="A11166" t="str">
            <v>MATSING</v>
          </cell>
          <cell r="B11166" t="str">
            <v>MS-MBA-2</v>
          </cell>
          <cell r="O11166">
            <v>2.7544878472222196</v>
          </cell>
          <cell r="T11166">
            <v>2.98338720922718</v>
          </cell>
        </row>
        <row r="11167">
          <cell r="A11167" t="str">
            <v>MATSING</v>
          </cell>
          <cell r="B11167" t="str">
            <v>MS-MBA-3-C4A3</v>
          </cell>
          <cell r="O11167">
            <v>3.7482171103395103</v>
          </cell>
          <cell r="T11167">
            <v>4.70220715171377</v>
          </cell>
        </row>
        <row r="11168">
          <cell r="A11168" t="str">
            <v>MATSING</v>
          </cell>
          <cell r="B11168" t="str">
            <v>MS-MBA-3-H4_CCIV1</v>
          </cell>
          <cell r="O11168">
            <v>0</v>
          </cell>
          <cell r="T11168"/>
        </row>
        <row r="11169">
          <cell r="A11169" t="str">
            <v>MATSING</v>
          </cell>
          <cell r="B11169" t="str">
            <v>MS-MBA-3-H8A2_CCIV1</v>
          </cell>
          <cell r="O11169"/>
          <cell r="T11169"/>
        </row>
        <row r="11170">
          <cell r="A11170" t="str">
            <v>MATSING</v>
          </cell>
          <cell r="B11170" t="str">
            <v>MS-MBA-3-L4A2</v>
          </cell>
          <cell r="O11170">
            <v>25.821778549382689</v>
          </cell>
          <cell r="T11170">
            <v>25.815727515509288</v>
          </cell>
        </row>
        <row r="11171">
          <cell r="A11171" t="str">
            <v>MATSING</v>
          </cell>
          <cell r="B11171" t="str">
            <v>MS-MBA-3-L4A2_20230227</v>
          </cell>
          <cell r="O11171">
            <v>26.1513117283951</v>
          </cell>
          <cell r="T11171">
            <v>27.3230895955307</v>
          </cell>
        </row>
        <row r="11172">
          <cell r="A11172" t="str">
            <v>MATSING</v>
          </cell>
          <cell r="B11172" t="str">
            <v>MS-MBA-3.2-H4-L4</v>
          </cell>
          <cell r="O11172">
            <v>13.460305748456801</v>
          </cell>
          <cell r="T11172">
            <v>12.916209435429391</v>
          </cell>
        </row>
        <row r="11173">
          <cell r="A11173" t="str">
            <v>MATSING</v>
          </cell>
          <cell r="B11173" t="str">
            <v>MS-MBA-3.2-H4-L4_CCIV2</v>
          </cell>
          <cell r="O11173">
            <v>12.79763213734569</v>
          </cell>
          <cell r="T11173">
            <v>13.854034002642988</v>
          </cell>
        </row>
        <row r="11174">
          <cell r="A11174" t="str">
            <v>MATSING</v>
          </cell>
          <cell r="B11174" t="str">
            <v>MS-MBA-3.2-H8-L4</v>
          </cell>
          <cell r="O11174">
            <v>18.240692023130098</v>
          </cell>
          <cell r="T11174">
            <v>21.107164222963398</v>
          </cell>
        </row>
        <row r="11175">
          <cell r="A11175" t="str">
            <v>MATSING</v>
          </cell>
          <cell r="B11175" t="str">
            <v>MS-MBA-4-C4A3</v>
          </cell>
          <cell r="O11175"/>
          <cell r="T11175"/>
        </row>
        <row r="11176">
          <cell r="A11176" t="str">
            <v>MATSING</v>
          </cell>
          <cell r="B11176" t="str">
            <v>MS-MBA-4-H4</v>
          </cell>
          <cell r="O11176"/>
          <cell r="T11176"/>
        </row>
        <row r="11177">
          <cell r="A11177" t="str">
            <v>MATSING</v>
          </cell>
          <cell r="B11177" t="str">
            <v>MS-MBA-4.2-H2-L2_20190508</v>
          </cell>
          <cell r="O11177"/>
          <cell r="T11177"/>
        </row>
        <row r="11178">
          <cell r="A11178" t="str">
            <v>MATSING</v>
          </cell>
          <cell r="B11178" t="str">
            <v>MS-MBA-4.4.2-C2-H2-L2_CCIV1</v>
          </cell>
          <cell r="O11178"/>
          <cell r="T11178"/>
        </row>
        <row r="11179">
          <cell r="A11179" t="str">
            <v>MATSING</v>
          </cell>
          <cell r="B11179" t="str">
            <v>MS-MBA-4.4.2-C4-H4-L4</v>
          </cell>
          <cell r="O11179"/>
          <cell r="T11179"/>
        </row>
        <row r="11180">
          <cell r="A11180" t="str">
            <v>MATSING</v>
          </cell>
          <cell r="B11180" t="str">
            <v>MS-MBA-4.4.2-F2-H2-L2</v>
          </cell>
          <cell r="O11180">
            <v>9.5000192901234612</v>
          </cell>
          <cell r="T11180">
            <v>11.0901358690371</v>
          </cell>
        </row>
        <row r="11181">
          <cell r="A11181" t="str">
            <v>MATSING</v>
          </cell>
          <cell r="B11181" t="str">
            <v>MS-MBA-6.3-H4-L4_CCIV1</v>
          </cell>
          <cell r="O11181">
            <v>26.1513117283951</v>
          </cell>
          <cell r="T11181">
            <v>27.3230895955307</v>
          </cell>
        </row>
        <row r="11182">
          <cell r="A11182" t="str">
            <v>MATSING</v>
          </cell>
          <cell r="B11182" t="str">
            <v>MS-MBA-6.6.3-C4-H4-L2</v>
          </cell>
          <cell r="O11182"/>
          <cell r="T11182"/>
        </row>
        <row r="11183">
          <cell r="A11183" t="str">
            <v>MATSING</v>
          </cell>
          <cell r="B11183" t="str">
            <v>MS-MBA-6.6.3-F4-H4-L2</v>
          </cell>
          <cell r="O11183"/>
          <cell r="T11183"/>
        </row>
        <row r="11184">
          <cell r="A11184" t="str">
            <v>MATSING</v>
          </cell>
          <cell r="B11184" t="str">
            <v>MS-MBA-8</v>
          </cell>
          <cell r="O11184">
            <v>13.46030575</v>
          </cell>
          <cell r="T11184">
            <v>12.91620943999999</v>
          </cell>
        </row>
        <row r="11185">
          <cell r="A11185" t="str">
            <v>MATSING</v>
          </cell>
          <cell r="B11185" t="str">
            <v>MS-MBC-4.2-H4-12-L4-20</v>
          </cell>
          <cell r="O11185"/>
          <cell r="T11185"/>
        </row>
        <row r="11186">
          <cell r="A11186" t="str">
            <v>MAVENIR</v>
          </cell>
          <cell r="B11186" t="str">
            <v>MASSIVE MIMO 64T64R</v>
          </cell>
          <cell r="O11186"/>
          <cell r="T11186"/>
        </row>
        <row r="11187">
          <cell r="A11187" t="str">
            <v>MAXIMUM</v>
          </cell>
          <cell r="B11187" t="str">
            <v>WIND DIRECTION SENSOR &amp; VANE</v>
          </cell>
          <cell r="O11187"/>
          <cell r="T11187"/>
        </row>
        <row r="11188">
          <cell r="A11188" t="str">
            <v>MAXIMUM</v>
          </cell>
          <cell r="B11188" t="str">
            <v>WIND SPEED GENERATOR</v>
          </cell>
          <cell r="O11188"/>
          <cell r="T11188"/>
        </row>
        <row r="11189">
          <cell r="A11189" t="str">
            <v>MAXRAD</v>
          </cell>
          <cell r="B11189" t="str">
            <v>585</v>
          </cell>
          <cell r="O11189"/>
          <cell r="T11189"/>
        </row>
        <row r="11190">
          <cell r="A11190" t="str">
            <v>MAXRAD</v>
          </cell>
          <cell r="B11190" t="str">
            <v>BMOY4065</v>
          </cell>
          <cell r="O11190"/>
          <cell r="T11190"/>
        </row>
        <row r="11191">
          <cell r="A11191" t="str">
            <v>MAXRAD</v>
          </cell>
          <cell r="B11191" t="str">
            <v>BMOY8903</v>
          </cell>
          <cell r="O11191"/>
          <cell r="T11191"/>
        </row>
        <row r="11192">
          <cell r="A11192" t="str">
            <v>MAXRAD</v>
          </cell>
          <cell r="B11192" t="str">
            <v>BMOY8905</v>
          </cell>
          <cell r="O11192"/>
          <cell r="T11192"/>
        </row>
        <row r="11193">
          <cell r="A11193" t="str">
            <v>MAXRAD</v>
          </cell>
          <cell r="B11193" t="str">
            <v>BMYA-4503</v>
          </cell>
          <cell r="O11193"/>
          <cell r="T11193"/>
        </row>
        <row r="11194">
          <cell r="A11194" t="str">
            <v>MAXRAD</v>
          </cell>
          <cell r="B11194" t="str">
            <v>BMYA93012</v>
          </cell>
          <cell r="O11194"/>
          <cell r="T11194"/>
        </row>
        <row r="11195">
          <cell r="A11195" t="str">
            <v>MAXRAD</v>
          </cell>
          <cell r="B11195" t="str">
            <v>GPS-TMG-20N</v>
          </cell>
          <cell r="O11195"/>
          <cell r="T11195"/>
        </row>
        <row r="11196">
          <cell r="A11196" t="str">
            <v>MAXRAD</v>
          </cell>
          <cell r="B11196" t="str">
            <v>GPS-TMG-26N</v>
          </cell>
          <cell r="O11196"/>
          <cell r="T11196"/>
        </row>
        <row r="11197">
          <cell r="A11197" t="str">
            <v>MAXRAD</v>
          </cell>
          <cell r="B11197" t="str">
            <v>GPS-TMG-26NMS</v>
          </cell>
          <cell r="O11197"/>
          <cell r="T11197"/>
        </row>
        <row r="11198">
          <cell r="A11198" t="str">
            <v>MAXRAD</v>
          </cell>
          <cell r="B11198" t="str">
            <v>ISOMAX24014</v>
          </cell>
          <cell r="O11198">
            <v>0.49761645541928401</v>
          </cell>
          <cell r="T11198">
            <v>0.29711037068642893</v>
          </cell>
        </row>
        <row r="11199">
          <cell r="A11199" t="str">
            <v>MAXRAD</v>
          </cell>
          <cell r="B11199" t="str">
            <v>ISOMAX24014PTNM</v>
          </cell>
          <cell r="O11199">
            <v>0.49761645541928401</v>
          </cell>
          <cell r="T11199">
            <v>0.29711037068642893</v>
          </cell>
        </row>
        <row r="11200">
          <cell r="A11200" t="str">
            <v>MAXRAD</v>
          </cell>
          <cell r="B11200" t="str">
            <v>MAX9075</v>
          </cell>
          <cell r="O11200"/>
          <cell r="T11200"/>
        </row>
        <row r="11201">
          <cell r="A11201" t="str">
            <v>MAXRAD</v>
          </cell>
          <cell r="B11201" t="str">
            <v>MBD1444(S)</v>
          </cell>
          <cell r="O11201"/>
          <cell r="T11201"/>
        </row>
        <row r="11202">
          <cell r="A11202" t="str">
            <v>MAXRAD</v>
          </cell>
          <cell r="B11202" t="str">
            <v>MBD1444_S</v>
          </cell>
          <cell r="O11202"/>
          <cell r="T11202"/>
        </row>
        <row r="11203">
          <cell r="A11203" t="str">
            <v>MAXRAD</v>
          </cell>
          <cell r="B11203" t="str">
            <v>MBX150</v>
          </cell>
          <cell r="O11203"/>
          <cell r="T11203"/>
        </row>
        <row r="11204">
          <cell r="A11204" t="str">
            <v>MAXRAD</v>
          </cell>
          <cell r="B11204" t="str">
            <v>MFB-1503</v>
          </cell>
          <cell r="O11204"/>
          <cell r="T11204"/>
        </row>
        <row r="11205">
          <cell r="A11205" t="str">
            <v>MAXRAD</v>
          </cell>
          <cell r="B11205" t="str">
            <v>MFB-1563</v>
          </cell>
          <cell r="O11205"/>
          <cell r="T11205"/>
        </row>
        <row r="11206">
          <cell r="A11206" t="str">
            <v>MAXRAD</v>
          </cell>
          <cell r="B11206" t="str">
            <v>MFB-4503</v>
          </cell>
          <cell r="O11206"/>
          <cell r="T11206"/>
        </row>
        <row r="11207">
          <cell r="A11207" t="str">
            <v>MAXRAD</v>
          </cell>
          <cell r="B11207" t="str">
            <v>MFB-4605</v>
          </cell>
          <cell r="O11207"/>
          <cell r="T11207"/>
        </row>
        <row r="11208">
          <cell r="A11208" t="str">
            <v>MAXRAD</v>
          </cell>
          <cell r="B11208" t="str">
            <v>MFB-465</v>
          </cell>
          <cell r="O11208"/>
          <cell r="T11208"/>
        </row>
        <row r="11209">
          <cell r="A11209" t="str">
            <v>MAXRAD</v>
          </cell>
          <cell r="B11209" t="str">
            <v>MFB-4703</v>
          </cell>
          <cell r="O11209"/>
          <cell r="T11209"/>
        </row>
        <row r="11210">
          <cell r="A11210" t="str">
            <v>MAXRAD</v>
          </cell>
          <cell r="B11210" t="str">
            <v>MFB-8130</v>
          </cell>
          <cell r="O11210"/>
          <cell r="T11210"/>
        </row>
        <row r="11211">
          <cell r="A11211" t="str">
            <v>MAXRAD</v>
          </cell>
          <cell r="B11211" t="str">
            <v>MFB-8135</v>
          </cell>
          <cell r="O11211"/>
          <cell r="T11211"/>
        </row>
        <row r="11212">
          <cell r="A11212" t="str">
            <v>MAXRAD</v>
          </cell>
          <cell r="B11212" t="str">
            <v>MFB-8137</v>
          </cell>
          <cell r="O11212"/>
          <cell r="T11212"/>
        </row>
        <row r="11213">
          <cell r="A11213" t="str">
            <v>MAXRAD</v>
          </cell>
          <cell r="B11213" t="str">
            <v>MFB-8967</v>
          </cell>
          <cell r="O11213"/>
          <cell r="T11213"/>
        </row>
        <row r="11214">
          <cell r="A11214" t="str">
            <v>MAXRAD</v>
          </cell>
          <cell r="B11214" t="str">
            <v>MFB-9157</v>
          </cell>
          <cell r="O11214"/>
          <cell r="T11214"/>
        </row>
        <row r="11215">
          <cell r="A11215" t="str">
            <v>MAXRAD</v>
          </cell>
          <cell r="B11215" t="str">
            <v>MFB1440</v>
          </cell>
          <cell r="O11215"/>
          <cell r="T11215"/>
        </row>
        <row r="11216">
          <cell r="A11216" t="str">
            <v>MAXRAD</v>
          </cell>
          <cell r="B11216" t="str">
            <v>MFB1500</v>
          </cell>
          <cell r="O11216"/>
          <cell r="T11216"/>
        </row>
        <row r="11217">
          <cell r="A11217" t="str">
            <v>MAXRAD</v>
          </cell>
          <cell r="B11217" t="str">
            <v>MFB24010</v>
          </cell>
          <cell r="O11217"/>
          <cell r="T11217"/>
        </row>
        <row r="11218">
          <cell r="A11218" t="str">
            <v>MAXRAD</v>
          </cell>
          <cell r="B11218" t="str">
            <v>MFB24012</v>
          </cell>
          <cell r="O11218"/>
          <cell r="T11218"/>
        </row>
        <row r="11219">
          <cell r="A11219" t="str">
            <v>MAXRAD</v>
          </cell>
          <cell r="B11219" t="str">
            <v>MFB4500</v>
          </cell>
          <cell r="O11219"/>
          <cell r="T11219"/>
        </row>
        <row r="11220">
          <cell r="A11220" t="str">
            <v>MAXRAD</v>
          </cell>
          <cell r="B11220" t="str">
            <v>MFB4505</v>
          </cell>
          <cell r="O11220"/>
          <cell r="T11220"/>
        </row>
        <row r="11221">
          <cell r="A11221" t="str">
            <v>MAXRAD</v>
          </cell>
          <cell r="B11221" t="str">
            <v>MFB5003</v>
          </cell>
          <cell r="O11221"/>
          <cell r="T11221"/>
        </row>
        <row r="11222">
          <cell r="A11222" t="str">
            <v>MAXRAD</v>
          </cell>
          <cell r="B11222" t="str">
            <v>MFB58009</v>
          </cell>
          <cell r="O11222"/>
          <cell r="T11222"/>
        </row>
        <row r="11223">
          <cell r="A11223" t="str">
            <v>MAXRAD</v>
          </cell>
          <cell r="B11223" t="str">
            <v>MFB58010</v>
          </cell>
          <cell r="O11223"/>
          <cell r="T11223"/>
        </row>
        <row r="11224">
          <cell r="A11224" t="str">
            <v>MAXRAD</v>
          </cell>
          <cell r="B11224" t="str">
            <v>MFB8133</v>
          </cell>
          <cell r="O11224"/>
          <cell r="T11224"/>
        </row>
        <row r="11225">
          <cell r="A11225" t="str">
            <v>MAXRAD</v>
          </cell>
          <cell r="B11225" t="str">
            <v>MFB85-85</v>
          </cell>
          <cell r="O11225"/>
          <cell r="T11225"/>
        </row>
        <row r="11226">
          <cell r="A11226" t="str">
            <v>MAXRAD</v>
          </cell>
          <cell r="B11226" t="str">
            <v>MFB8585</v>
          </cell>
          <cell r="O11226"/>
          <cell r="T11226"/>
        </row>
        <row r="11227">
          <cell r="A11227" t="str">
            <v>MAXRAD</v>
          </cell>
          <cell r="B11227" t="str">
            <v>MFB9155</v>
          </cell>
          <cell r="O11227"/>
          <cell r="T11227"/>
        </row>
        <row r="11228">
          <cell r="A11228" t="str">
            <v>MAXRAD</v>
          </cell>
          <cell r="B11228" t="str">
            <v>MFB9300</v>
          </cell>
          <cell r="O11228"/>
          <cell r="T11228"/>
        </row>
        <row r="11229">
          <cell r="A11229" t="str">
            <v>MAXRAD</v>
          </cell>
          <cell r="B11229" t="str">
            <v>MP24013XFPT</v>
          </cell>
          <cell r="O11229"/>
          <cell r="T11229"/>
        </row>
        <row r="11230">
          <cell r="A11230" t="str">
            <v>MAXRAD</v>
          </cell>
          <cell r="B11230" t="str">
            <v>MP8068PT</v>
          </cell>
          <cell r="O11230"/>
          <cell r="T11230"/>
        </row>
        <row r="11231">
          <cell r="A11231" t="str">
            <v>MAXRAD</v>
          </cell>
          <cell r="B11231" t="str">
            <v>MPR24020V</v>
          </cell>
          <cell r="O11231"/>
          <cell r="T11231"/>
        </row>
        <row r="11232">
          <cell r="A11232" t="str">
            <v>MAXRAD</v>
          </cell>
          <cell r="B11232" t="str">
            <v>MPR58029</v>
          </cell>
          <cell r="O11232"/>
          <cell r="T11232"/>
        </row>
        <row r="11233">
          <cell r="A11233" t="str">
            <v>MAXRAD</v>
          </cell>
          <cell r="B11233" t="str">
            <v>MPRC2449</v>
          </cell>
          <cell r="O11233"/>
          <cell r="T11233"/>
        </row>
        <row r="11234">
          <cell r="A11234" t="str">
            <v>MAXRAD</v>
          </cell>
          <cell r="B11234" t="str">
            <v>MPRW49027</v>
          </cell>
          <cell r="O11234"/>
          <cell r="T11234"/>
        </row>
        <row r="11235">
          <cell r="A11235" t="str">
            <v>MAXRAD</v>
          </cell>
          <cell r="B11235" t="str">
            <v>MPRW49031</v>
          </cell>
          <cell r="O11235"/>
          <cell r="T11235"/>
        </row>
        <row r="11236">
          <cell r="A11236" t="str">
            <v>MAXRAD</v>
          </cell>
          <cell r="B11236" t="str">
            <v>MSO24014NF</v>
          </cell>
          <cell r="O11236"/>
          <cell r="T11236"/>
        </row>
        <row r="11237">
          <cell r="A11237" t="str">
            <v>MAXRAD</v>
          </cell>
          <cell r="B11237" t="str">
            <v>MSO24014PTNF</v>
          </cell>
          <cell r="O11237"/>
          <cell r="T11237"/>
        </row>
        <row r="11238">
          <cell r="A11238" t="str">
            <v>MAXRAD</v>
          </cell>
          <cell r="B11238" t="str">
            <v>MSP 24012-120</v>
          </cell>
          <cell r="O11238"/>
          <cell r="T11238"/>
        </row>
        <row r="11239">
          <cell r="A11239" t="str">
            <v>MAXRAD</v>
          </cell>
          <cell r="B11239" t="str">
            <v>MSP24013-120</v>
          </cell>
          <cell r="O11239">
            <v>1.24949124</v>
          </cell>
          <cell r="T11239">
            <v>0.55274823699999998</v>
          </cell>
        </row>
        <row r="11240">
          <cell r="A11240" t="str">
            <v>MAXRAD</v>
          </cell>
          <cell r="B11240" t="str">
            <v>MSP24013MB</v>
          </cell>
          <cell r="O11240">
            <v>1.24949124</v>
          </cell>
          <cell r="T11240">
            <v>0.55274823699999998</v>
          </cell>
        </row>
        <row r="11241">
          <cell r="A11241" t="str">
            <v>MAXRAD</v>
          </cell>
          <cell r="B11241" t="str">
            <v>MSP24016-60</v>
          </cell>
          <cell r="O11241">
            <v>1.24949124</v>
          </cell>
          <cell r="T11241">
            <v>0.55274823699999998</v>
          </cell>
        </row>
        <row r="11242">
          <cell r="A11242" t="str">
            <v>MAXRAD</v>
          </cell>
          <cell r="B11242" t="str">
            <v>MUF8043</v>
          </cell>
          <cell r="O11242"/>
          <cell r="T11242"/>
        </row>
        <row r="11243">
          <cell r="A11243" t="str">
            <v>MAXRAD</v>
          </cell>
          <cell r="B11243" t="str">
            <v>MYA-43012N</v>
          </cell>
          <cell r="O11243"/>
          <cell r="T11243"/>
        </row>
        <row r="11244">
          <cell r="A11244" t="str">
            <v>MAXRAD</v>
          </cell>
          <cell r="B11244" t="str">
            <v>MYA-45012N</v>
          </cell>
          <cell r="O11244"/>
          <cell r="T11244"/>
        </row>
        <row r="11245">
          <cell r="A11245" t="str">
            <v>MAXRAD</v>
          </cell>
          <cell r="B11245" t="str">
            <v>MYA-723K</v>
          </cell>
          <cell r="O11245"/>
          <cell r="T11245"/>
        </row>
        <row r="11246">
          <cell r="A11246" t="str">
            <v>MAXRAD</v>
          </cell>
          <cell r="B11246" t="str">
            <v>MYA-8063</v>
          </cell>
          <cell r="O11246"/>
          <cell r="T11246"/>
        </row>
        <row r="11247">
          <cell r="A11247" t="str">
            <v>MAXRAD</v>
          </cell>
          <cell r="B11247" t="str">
            <v>MYA-9303</v>
          </cell>
          <cell r="O11247"/>
          <cell r="T11247"/>
        </row>
        <row r="11248">
          <cell r="A11248" t="str">
            <v>MAXRAD</v>
          </cell>
          <cell r="B11248" t="str">
            <v>MYA-9309</v>
          </cell>
          <cell r="O11248"/>
          <cell r="T11248"/>
        </row>
        <row r="11249">
          <cell r="A11249" t="str">
            <v>MAXRAD</v>
          </cell>
          <cell r="B11249" t="str">
            <v>MYA1503K</v>
          </cell>
          <cell r="O11249"/>
          <cell r="T11249"/>
        </row>
        <row r="11250">
          <cell r="A11250" t="str">
            <v>MAXRAD</v>
          </cell>
          <cell r="B11250" t="str">
            <v>MYA1506K</v>
          </cell>
          <cell r="O11250"/>
          <cell r="T11250"/>
        </row>
        <row r="11251">
          <cell r="A11251" t="str">
            <v>MAXRAD</v>
          </cell>
          <cell r="B11251" t="str">
            <v>MYA4505</v>
          </cell>
          <cell r="O11251"/>
          <cell r="T11251"/>
        </row>
        <row r="11252">
          <cell r="A11252" t="str">
            <v>MAXRAD</v>
          </cell>
          <cell r="B11252" t="str">
            <v>MYA4506</v>
          </cell>
          <cell r="O11252"/>
          <cell r="T11252"/>
        </row>
        <row r="11253">
          <cell r="A11253" t="str">
            <v>MAXRAD</v>
          </cell>
          <cell r="B11253" t="str">
            <v>MYA725K</v>
          </cell>
          <cell r="O11253"/>
          <cell r="T11253"/>
        </row>
        <row r="11254">
          <cell r="A11254" t="str">
            <v>MAXRAD</v>
          </cell>
          <cell r="B11254" t="str">
            <v>MYA8253</v>
          </cell>
          <cell r="O11254"/>
          <cell r="T11254"/>
        </row>
        <row r="11255">
          <cell r="A11255" t="str">
            <v>MAXRAD</v>
          </cell>
          <cell r="B11255" t="str">
            <v>MYA93012</v>
          </cell>
          <cell r="O11255"/>
          <cell r="T11255"/>
        </row>
        <row r="11256">
          <cell r="A11256" t="str">
            <v>MAXRAD</v>
          </cell>
          <cell r="B11256" t="str">
            <v>MYG-8506FE</v>
          </cell>
          <cell r="O11256"/>
          <cell r="T11256"/>
        </row>
        <row r="11257">
          <cell r="A11257" t="str">
            <v>MAXRAD</v>
          </cell>
          <cell r="B11257" t="str">
            <v>MYP24015PT</v>
          </cell>
          <cell r="O11257"/>
          <cell r="T11257"/>
        </row>
        <row r="11258">
          <cell r="A11258" t="str">
            <v>MAXRAD</v>
          </cell>
          <cell r="B11258" t="str">
            <v>WISP24017MBH</v>
          </cell>
          <cell r="O11258">
            <v>2.2699034019999997</v>
          </cell>
          <cell r="T11258">
            <v>0.73259679</v>
          </cell>
        </row>
        <row r="11259">
          <cell r="A11259" t="str">
            <v>MAXRAD</v>
          </cell>
          <cell r="B11259" t="str">
            <v>WISP24018PTNF</v>
          </cell>
          <cell r="O11259">
            <v>2.3466005870000002</v>
          </cell>
          <cell r="T11259">
            <v>0.27604054500000003</v>
          </cell>
        </row>
        <row r="11260">
          <cell r="A11260" t="str">
            <v>MAXRAD</v>
          </cell>
          <cell r="B11260" t="str">
            <v>WISP4959018MBV</v>
          </cell>
          <cell r="O11260"/>
          <cell r="T11260"/>
        </row>
        <row r="11261">
          <cell r="A11261" t="str">
            <v>MCCOWN TECHNOLOGY CORPORATION</v>
          </cell>
          <cell r="B11261" t="str">
            <v>800-M-TOW-ICE-MESH</v>
          </cell>
          <cell r="O11261"/>
          <cell r="T11261"/>
        </row>
        <row r="11262">
          <cell r="A11262" t="str">
            <v>MEGA INDUSTRIES</v>
          </cell>
          <cell r="B11262" t="str">
            <v>955314</v>
          </cell>
          <cell r="O11262"/>
          <cell r="T11262"/>
        </row>
        <row r="11263">
          <cell r="A11263" t="str">
            <v>MEINBERG</v>
          </cell>
          <cell r="B11263" t="str">
            <v>GPSANT</v>
          </cell>
          <cell r="O11263"/>
          <cell r="T11263"/>
        </row>
        <row r="11264">
          <cell r="A11264" t="str">
            <v>MET ONE INSTRUMENTS, INC.</v>
          </cell>
          <cell r="B11264" t="str">
            <v>024A</v>
          </cell>
          <cell r="O11264"/>
          <cell r="T11264"/>
        </row>
        <row r="11265">
          <cell r="A11265" t="str">
            <v>METAWAVE</v>
          </cell>
          <cell r="B11265" t="str">
            <v>155-0007-01</v>
          </cell>
          <cell r="O11265"/>
          <cell r="T11265"/>
        </row>
        <row r="11266">
          <cell r="A11266" t="str">
            <v>METAWAVE</v>
          </cell>
          <cell r="B11266" t="str">
            <v>155-0007-02</v>
          </cell>
          <cell r="O11266"/>
          <cell r="T11266"/>
        </row>
        <row r="11267">
          <cell r="A11267" t="str">
            <v>METAWAVE</v>
          </cell>
          <cell r="B11267" t="str">
            <v>155-000801</v>
          </cell>
          <cell r="O11267"/>
          <cell r="T11267"/>
        </row>
        <row r="11268">
          <cell r="A11268" t="str">
            <v>METAWAVE</v>
          </cell>
          <cell r="B11268" t="str">
            <v>155-0009-01</v>
          </cell>
          <cell r="O11268"/>
          <cell r="T11268"/>
        </row>
        <row r="11269">
          <cell r="A11269" t="str">
            <v>METAWAVE</v>
          </cell>
          <cell r="B11269" t="str">
            <v>155-0012-02</v>
          </cell>
          <cell r="O11269"/>
          <cell r="T11269"/>
        </row>
        <row r="11270">
          <cell r="A11270" t="str">
            <v>METAWAVE</v>
          </cell>
          <cell r="B11270" t="str">
            <v>155-0052-01</v>
          </cell>
          <cell r="O11270"/>
          <cell r="T11270"/>
        </row>
        <row r="11271">
          <cell r="A11271" t="str">
            <v>METAWAVE</v>
          </cell>
          <cell r="B11271" t="str">
            <v>APT-80 155-0017-01</v>
          </cell>
          <cell r="O11271"/>
          <cell r="T11271"/>
        </row>
        <row r="11272">
          <cell r="A11272" t="str">
            <v>METAWAVE</v>
          </cell>
          <cell r="B11272" t="str">
            <v>SPOTLIGHT 155-0007-02</v>
          </cell>
          <cell r="O11272"/>
          <cell r="T11272"/>
        </row>
        <row r="11273">
          <cell r="A11273" t="str">
            <v>METAWAVE</v>
          </cell>
          <cell r="B11273" t="str">
            <v>SPOTLIGHT2210</v>
          </cell>
          <cell r="O11273"/>
          <cell r="T11273"/>
        </row>
        <row r="11274">
          <cell r="A11274" t="str">
            <v>METRICOM</v>
          </cell>
          <cell r="B11274" t="str">
            <v>WANGATE 900MHZ RADIO</v>
          </cell>
          <cell r="O11274"/>
          <cell r="T11274"/>
        </row>
        <row r="11275">
          <cell r="A11275" t="str">
            <v>MICRO COMMUNICATION</v>
          </cell>
          <cell r="B11275" t="str">
            <v>952000-10-2</v>
          </cell>
          <cell r="O11275"/>
          <cell r="T11275"/>
        </row>
        <row r="11276">
          <cell r="A11276" t="str">
            <v>MICRO COMMUNICATION</v>
          </cell>
          <cell r="B11276" t="str">
            <v>952000-6</v>
          </cell>
          <cell r="O11276"/>
          <cell r="T11276"/>
        </row>
        <row r="11277">
          <cell r="A11277" t="str">
            <v>MICRO COMMUNICATION</v>
          </cell>
          <cell r="B11277" t="str">
            <v>955314</v>
          </cell>
          <cell r="O11277"/>
          <cell r="T11277"/>
        </row>
        <row r="11278">
          <cell r="A11278" t="str">
            <v>MICRO COMMUNICATION</v>
          </cell>
          <cell r="B11278" t="str">
            <v>955514</v>
          </cell>
          <cell r="O11278"/>
          <cell r="T11278"/>
        </row>
        <row r="11279">
          <cell r="A11279" t="str">
            <v>MICRO COMMUNICATION</v>
          </cell>
          <cell r="B11279" t="str">
            <v>AT12-202</v>
          </cell>
          <cell r="O11279"/>
          <cell r="T11279"/>
        </row>
        <row r="11280">
          <cell r="A11280" t="str">
            <v>MICRO-ANT</v>
          </cell>
          <cell r="B11280" t="str">
            <v>PAS33SLR</v>
          </cell>
          <cell r="O11280"/>
          <cell r="T11280"/>
        </row>
        <row r="11281">
          <cell r="A11281" t="str">
            <v>MICROWAVE NETWORKS</v>
          </cell>
          <cell r="B11281" t="str">
            <v>MNIH3-11_20240730</v>
          </cell>
          <cell r="O11281"/>
          <cell r="T11281"/>
        </row>
        <row r="11282">
          <cell r="A11282" t="str">
            <v>MICROWAVE NETWORKS</v>
          </cell>
          <cell r="B11282" t="str">
            <v>MNIH4-11_20241022</v>
          </cell>
          <cell r="O11282"/>
          <cell r="T11282"/>
        </row>
        <row r="11283">
          <cell r="A11283" t="str">
            <v>MICROWAVE NETWORKS</v>
          </cell>
          <cell r="B11283" t="str">
            <v>MNIH4-6_20240605</v>
          </cell>
          <cell r="O11283"/>
          <cell r="T11283"/>
        </row>
        <row r="11284">
          <cell r="A11284" t="str">
            <v>MICROWAVE NETWORKS</v>
          </cell>
          <cell r="B11284" t="str">
            <v>MNIH6-11_20241107</v>
          </cell>
          <cell r="O11284"/>
          <cell r="T11284"/>
        </row>
        <row r="11285">
          <cell r="A11285" t="str">
            <v>MICROWAVE NETWORKS</v>
          </cell>
          <cell r="B11285" t="str">
            <v>MNIH6-6_20240730</v>
          </cell>
          <cell r="O11285"/>
          <cell r="T11285"/>
        </row>
        <row r="11286">
          <cell r="A11286" t="str">
            <v>MICROWAVE RADIO</v>
          </cell>
          <cell r="B11286" t="str">
            <v>PROSCAN III</v>
          </cell>
          <cell r="O11286"/>
          <cell r="T11286"/>
        </row>
        <row r="11287">
          <cell r="A11287" t="str">
            <v>MICROWAVE RADIO</v>
          </cell>
          <cell r="B11287" t="str">
            <v>SEC-22D-90-13</v>
          </cell>
          <cell r="O11287"/>
          <cell r="T11287"/>
        </row>
        <row r="11288">
          <cell r="A11288" t="str">
            <v>MICROWAVE RADIO</v>
          </cell>
          <cell r="B11288" t="str">
            <v>ULTRASCAN DR II-13GHZ</v>
          </cell>
          <cell r="O11288"/>
          <cell r="T11288"/>
        </row>
        <row r="11289">
          <cell r="A11289" t="str">
            <v>MICROWAVE RADIO</v>
          </cell>
          <cell r="B11289" t="str">
            <v>ULTRASCAN DR II-2GHZ</v>
          </cell>
          <cell r="O11289"/>
          <cell r="T11289"/>
        </row>
        <row r="11290">
          <cell r="A11290" t="str">
            <v>MICROWAVE RADIO</v>
          </cell>
          <cell r="B11290" t="str">
            <v>ULTRASCAN DR II-6.5/7GHZ</v>
          </cell>
          <cell r="O11290"/>
          <cell r="T11290"/>
        </row>
        <row r="11291">
          <cell r="A11291" t="str">
            <v>MICROWAVE RADIO COMMUNICATIONS</v>
          </cell>
          <cell r="B11291" t="str">
            <v>HP2-23R</v>
          </cell>
          <cell r="O11291"/>
          <cell r="T11291"/>
        </row>
        <row r="11292">
          <cell r="A11292" t="str">
            <v>MICROWAVE RADIO COMMUNICATIONS</v>
          </cell>
          <cell r="B11292" t="str">
            <v>MRC ELLIPSE DR-II</v>
          </cell>
          <cell r="O11292"/>
          <cell r="T11292"/>
        </row>
        <row r="11293">
          <cell r="A11293" t="str">
            <v>MICROWAVE RADIO COMMUNICATIONS</v>
          </cell>
          <cell r="B11293" t="str">
            <v>PROSTAR 2A20/7A30</v>
          </cell>
          <cell r="O11293"/>
          <cell r="T11293"/>
        </row>
        <row r="11294">
          <cell r="A11294" t="str">
            <v>MICROWAVE RADIO COMMUNICATIONS</v>
          </cell>
          <cell r="B11294" t="str">
            <v>SEC-2_-90-13</v>
          </cell>
          <cell r="O11294"/>
          <cell r="T11294"/>
        </row>
        <row r="11295">
          <cell r="A11295" t="str">
            <v>MICROWAVE RADIO COMMUNICATIONS</v>
          </cell>
          <cell r="B11295" t="str">
            <v>SEC-7_-90-13</v>
          </cell>
          <cell r="O11295"/>
          <cell r="T11295"/>
        </row>
        <row r="11296">
          <cell r="A11296" t="str">
            <v>MICROWAVE RADIO COMMUNICATIONS</v>
          </cell>
          <cell r="B11296" t="str">
            <v>SEC13-2V</v>
          </cell>
          <cell r="O11296"/>
          <cell r="T11296"/>
        </row>
        <row r="11297">
          <cell r="A11297" t="str">
            <v>MICROWAVE RADIO COMMUNICATIONS</v>
          </cell>
          <cell r="B11297" t="str">
            <v>SEC16-2V</v>
          </cell>
          <cell r="O11297"/>
          <cell r="T11297"/>
        </row>
        <row r="11298">
          <cell r="A11298" t="str">
            <v>MICROWAVE RADIO COMMUNICATIONS</v>
          </cell>
          <cell r="B11298" t="str">
            <v>SP2-23</v>
          </cell>
          <cell r="O11298"/>
          <cell r="T11298"/>
        </row>
        <row r="11299">
          <cell r="A11299" t="str">
            <v>MICROWAVE VISION GROUP</v>
          </cell>
          <cell r="B11299" t="str">
            <v>QH100</v>
          </cell>
          <cell r="O11299"/>
          <cell r="T11299"/>
        </row>
        <row r="11300">
          <cell r="A11300" t="str">
            <v>MICROWAVE VISION GROUP</v>
          </cell>
          <cell r="B11300" t="str">
            <v>QH1400</v>
          </cell>
          <cell r="O11300"/>
          <cell r="T11300"/>
        </row>
        <row r="11301">
          <cell r="A11301" t="str">
            <v>MICROWAVE VISION GROUP</v>
          </cell>
          <cell r="B11301" t="str">
            <v>QH18000</v>
          </cell>
          <cell r="O11301"/>
          <cell r="T11301"/>
        </row>
        <row r="11302">
          <cell r="A11302" t="str">
            <v>MICROWAVE VISION GROUP</v>
          </cell>
          <cell r="B11302" t="str">
            <v>QH2000</v>
          </cell>
          <cell r="O11302"/>
          <cell r="T11302"/>
        </row>
        <row r="11303">
          <cell r="A11303" t="str">
            <v>MICROWAVE VISION GROUP</v>
          </cell>
          <cell r="B11303" t="str">
            <v>QH400</v>
          </cell>
          <cell r="O11303"/>
          <cell r="T11303"/>
        </row>
        <row r="11304">
          <cell r="A11304" t="str">
            <v>MICROWAVE VISION GROUP</v>
          </cell>
          <cell r="B11304" t="str">
            <v>QH4000</v>
          </cell>
          <cell r="O11304"/>
          <cell r="T11304"/>
        </row>
        <row r="11305">
          <cell r="A11305" t="str">
            <v>MICROWAVE VISION GROUP</v>
          </cell>
          <cell r="B11305" t="str">
            <v>QH800</v>
          </cell>
          <cell r="O11305"/>
          <cell r="T11305"/>
        </row>
        <row r="11306">
          <cell r="A11306" t="str">
            <v>MIKROTIK</v>
          </cell>
          <cell r="B11306" t="str">
            <v>LHG 60G</v>
          </cell>
          <cell r="O11306"/>
          <cell r="T11306"/>
        </row>
        <row r="11307">
          <cell r="A11307" t="str">
            <v>MIKROTIK</v>
          </cell>
          <cell r="B11307" t="str">
            <v>LHG LTE6 kit</v>
          </cell>
          <cell r="O11307"/>
          <cell r="T11307"/>
        </row>
        <row r="11308">
          <cell r="A11308" t="str">
            <v>MIKROTIK</v>
          </cell>
          <cell r="B11308" t="str">
            <v>MTAD-5G-30D3</v>
          </cell>
          <cell r="O11308"/>
          <cell r="T11308"/>
        </row>
        <row r="11309">
          <cell r="A11309" t="str">
            <v>MIKROTIK</v>
          </cell>
          <cell r="B11309" t="str">
            <v>MTAD-5G-30D3-PA</v>
          </cell>
          <cell r="O11309"/>
          <cell r="T11309"/>
        </row>
        <row r="11310">
          <cell r="A11310" t="str">
            <v>MIKROTIK</v>
          </cell>
          <cell r="B11310" t="str">
            <v>MTAS-5G-19D120</v>
          </cell>
          <cell r="O11310"/>
          <cell r="T11310"/>
        </row>
        <row r="11311">
          <cell r="A11311" t="str">
            <v>MIKROTIK</v>
          </cell>
          <cell r="B11311" t="str">
            <v>RB911G-5HPnD-QRT-US</v>
          </cell>
          <cell r="O11311"/>
          <cell r="T11311"/>
        </row>
        <row r="11312">
          <cell r="A11312" t="str">
            <v>MIKROTIK</v>
          </cell>
          <cell r="B11312" t="str">
            <v>RBLHGG-60AD</v>
          </cell>
          <cell r="O11312"/>
          <cell r="T11312"/>
        </row>
        <row r="11313">
          <cell r="A11313" t="str">
            <v>MIKROTIK</v>
          </cell>
          <cell r="B11313" t="str">
            <v>RBSXTG-5HPACD</v>
          </cell>
          <cell r="O11313"/>
          <cell r="T11313"/>
        </row>
        <row r="11314">
          <cell r="A11314" t="str">
            <v>MIKROTIK</v>
          </cell>
          <cell r="B11314" t="str">
            <v>RBWAPG-60AD-SA</v>
          </cell>
          <cell r="O11314"/>
          <cell r="T11314"/>
        </row>
        <row r="11315">
          <cell r="A11315" t="str">
            <v>MIKROTIK</v>
          </cell>
          <cell r="B11315" t="str">
            <v>SEXTANT G</v>
          </cell>
          <cell r="O11315"/>
          <cell r="T11315"/>
        </row>
        <row r="11316">
          <cell r="A11316" t="str">
            <v>MIMO MAX WIRELESS</v>
          </cell>
          <cell r="B11316" t="str">
            <v>16DBI</v>
          </cell>
          <cell r="O11316"/>
          <cell r="T11316"/>
        </row>
        <row r="11317">
          <cell r="A11317" t="str">
            <v>MIMO MAX WIRELESS</v>
          </cell>
          <cell r="B11317" t="str">
            <v>900 MHZ PANEL</v>
          </cell>
          <cell r="O11317"/>
          <cell r="T11317"/>
        </row>
        <row r="11318">
          <cell r="A11318" t="str">
            <v>MIMO MAX WIRELESS</v>
          </cell>
          <cell r="B11318" t="str">
            <v>900MHz</v>
          </cell>
          <cell r="O11318"/>
          <cell r="T11318"/>
        </row>
        <row r="11319">
          <cell r="A11319" t="str">
            <v>MIMOSA</v>
          </cell>
          <cell r="B11319" t="str">
            <v>B24</v>
          </cell>
          <cell r="O11319"/>
          <cell r="T11319"/>
        </row>
        <row r="11320">
          <cell r="A11320" t="str">
            <v>MIMOSA</v>
          </cell>
          <cell r="B11320" t="str">
            <v>B5</v>
          </cell>
          <cell r="O11320"/>
          <cell r="T11320"/>
        </row>
        <row r="11321">
          <cell r="A11321" t="str">
            <v>MIMOSA</v>
          </cell>
          <cell r="B11321" t="str">
            <v>MIMOSA A6</v>
          </cell>
          <cell r="O11321"/>
          <cell r="T11321"/>
        </row>
        <row r="11322">
          <cell r="A11322" t="str">
            <v>MIMOSA</v>
          </cell>
          <cell r="B11322" t="str">
            <v>N5-360</v>
          </cell>
          <cell r="O11322"/>
          <cell r="T11322"/>
        </row>
        <row r="11323">
          <cell r="A11323" t="str">
            <v>MIMOSA</v>
          </cell>
          <cell r="B11323" t="str">
            <v>N5-45X4</v>
          </cell>
          <cell r="O11323"/>
          <cell r="T11323"/>
        </row>
        <row r="11324">
          <cell r="A11324" t="str">
            <v>MIMOSA</v>
          </cell>
          <cell r="B11324" t="str">
            <v>N5-X12</v>
          </cell>
          <cell r="O11324"/>
          <cell r="T11324"/>
        </row>
        <row r="11325">
          <cell r="A11325" t="str">
            <v>MIMOSA</v>
          </cell>
          <cell r="B11325" t="str">
            <v>N5-X16</v>
          </cell>
          <cell r="O11325">
            <v>0</v>
          </cell>
          <cell r="T11325">
            <v>0</v>
          </cell>
        </row>
        <row r="11326">
          <cell r="A11326" t="str">
            <v>MIMOSA</v>
          </cell>
          <cell r="B11326" t="str">
            <v>N5-X20</v>
          </cell>
          <cell r="O11326"/>
          <cell r="T11326"/>
        </row>
        <row r="11327">
          <cell r="A11327" t="str">
            <v>MIMOSA</v>
          </cell>
          <cell r="B11327" t="str">
            <v>N5-X25</v>
          </cell>
          <cell r="O11327"/>
          <cell r="T11327"/>
        </row>
        <row r="11328">
          <cell r="A11328" t="str">
            <v>MIMOSA</v>
          </cell>
          <cell r="B11328" t="str">
            <v>TME-B5C</v>
          </cell>
          <cell r="O11328"/>
          <cell r="T11328"/>
        </row>
        <row r="11329">
          <cell r="A11329" t="str">
            <v>MOBI ANTENNA TECHNOLOGIES</v>
          </cell>
          <cell r="B11329" t="str">
            <v>MB3500-65-17DDT2</v>
          </cell>
          <cell r="O11329"/>
          <cell r="T11329"/>
        </row>
        <row r="11330">
          <cell r="A11330" t="str">
            <v>MOBI ANTENNA TECHNOLOGIES</v>
          </cell>
          <cell r="B11330" t="str">
            <v>MB3500-65-18DDE</v>
          </cell>
          <cell r="O11330"/>
          <cell r="T11330"/>
        </row>
        <row r="11331">
          <cell r="A11331" t="str">
            <v>MOBI ANTENNA TECHNOLOGIES</v>
          </cell>
          <cell r="B11331" t="str">
            <v>MB3F-30-24D</v>
          </cell>
          <cell r="O11331"/>
          <cell r="T11331"/>
        </row>
        <row r="11332">
          <cell r="A11332" t="str">
            <v>MOBI ANTENNA TECHNOLOGIES</v>
          </cell>
          <cell r="B11332" t="str">
            <v>MB3F-65-21DE10</v>
          </cell>
          <cell r="O11332"/>
          <cell r="T11332"/>
        </row>
        <row r="11333">
          <cell r="A11333" t="str">
            <v>MOBI ANTENNA TECHNOLOGIES</v>
          </cell>
          <cell r="B11333" t="str">
            <v>T-04-47-17-006</v>
          </cell>
          <cell r="O11333"/>
          <cell r="T11333"/>
        </row>
        <row r="11334">
          <cell r="A11334" t="str">
            <v>MOBILE MARK COMM.</v>
          </cell>
          <cell r="B11334" t="str">
            <v>BS100U</v>
          </cell>
          <cell r="O11334"/>
          <cell r="T11334"/>
        </row>
        <row r="11335">
          <cell r="A11335" t="str">
            <v>MOBILE MARK COMM.</v>
          </cell>
          <cell r="B11335" t="str">
            <v>OD12-2400</v>
          </cell>
          <cell r="O11335"/>
          <cell r="T11335"/>
        </row>
        <row r="11336">
          <cell r="A11336" t="str">
            <v>MOBILE MARK COMM.</v>
          </cell>
          <cell r="B11336" t="str">
            <v>OD6-1800</v>
          </cell>
          <cell r="O11336"/>
          <cell r="T11336"/>
        </row>
        <row r="11337">
          <cell r="A11337" t="str">
            <v>MOBILE MARK COMM.</v>
          </cell>
          <cell r="B11337" t="str">
            <v>OD6-1900</v>
          </cell>
          <cell r="O11337"/>
          <cell r="T11337"/>
        </row>
        <row r="11338">
          <cell r="A11338" t="str">
            <v>MOBILE MARK COMM.</v>
          </cell>
          <cell r="B11338" t="str">
            <v>OD9-1900</v>
          </cell>
          <cell r="O11338"/>
          <cell r="T11338"/>
        </row>
        <row r="11339">
          <cell r="A11339" t="str">
            <v>MOBILE MARK COMM.</v>
          </cell>
          <cell r="B11339" t="str">
            <v>PA18-2400</v>
          </cell>
          <cell r="O11339"/>
          <cell r="T11339"/>
        </row>
        <row r="11340">
          <cell r="A11340" t="str">
            <v>MOBILE MARK COMM.</v>
          </cell>
          <cell r="B11340" t="str">
            <v>PA25-5250</v>
          </cell>
          <cell r="O11340"/>
          <cell r="T11340"/>
        </row>
        <row r="11341">
          <cell r="A11341" t="str">
            <v>MOTOROLA</v>
          </cell>
          <cell r="B11341" t="str">
            <v>GCNRM12101</v>
          </cell>
          <cell r="O11341"/>
          <cell r="T11341"/>
        </row>
        <row r="11342">
          <cell r="A11342" t="str">
            <v>MOTOROLA</v>
          </cell>
          <cell r="B11342" t="str">
            <v>092559-A</v>
          </cell>
          <cell r="O11342"/>
          <cell r="T11342"/>
        </row>
        <row r="11343">
          <cell r="A11343" t="str">
            <v>MOTOROLA</v>
          </cell>
          <cell r="B11343" t="str">
            <v>100-6073A</v>
          </cell>
          <cell r="O11343"/>
          <cell r="T11343"/>
        </row>
        <row r="11344">
          <cell r="A11344" t="str">
            <v>MOTOROLA</v>
          </cell>
          <cell r="B11344" t="str">
            <v>1132D</v>
          </cell>
          <cell r="O11344"/>
          <cell r="T11344"/>
        </row>
        <row r="11345">
          <cell r="A11345" t="str">
            <v>MOTOROLA</v>
          </cell>
          <cell r="B11345" t="str">
            <v>1770 OS-GEMINI</v>
          </cell>
          <cell r="O11345"/>
          <cell r="T11345"/>
        </row>
        <row r="11346">
          <cell r="A11346" t="str">
            <v>MOTOROLA</v>
          </cell>
          <cell r="B11346" t="str">
            <v>2400AP</v>
          </cell>
          <cell r="O11346">
            <v>0.31778048873428394</v>
          </cell>
          <cell r="T11346">
            <v>0.143057850056862</v>
          </cell>
        </row>
        <row r="11347">
          <cell r="A11347" t="str">
            <v>MOTOROLA</v>
          </cell>
          <cell r="B11347" t="str">
            <v>2400BH</v>
          </cell>
          <cell r="O11347">
            <v>0.31778048873428394</v>
          </cell>
          <cell r="T11347">
            <v>0.143057850056862</v>
          </cell>
        </row>
        <row r="11348">
          <cell r="A11348" t="str">
            <v>MOTOROLA</v>
          </cell>
          <cell r="B11348" t="str">
            <v>2400BHRF20</v>
          </cell>
          <cell r="O11348"/>
          <cell r="T11348"/>
        </row>
        <row r="11349">
          <cell r="A11349" t="str">
            <v>MOTOROLA</v>
          </cell>
          <cell r="B11349" t="str">
            <v>2400BHRFDD</v>
          </cell>
          <cell r="O11349"/>
          <cell r="T11349"/>
        </row>
        <row r="11350">
          <cell r="A11350" t="str">
            <v>MOTOROLA</v>
          </cell>
          <cell r="B11350" t="str">
            <v>2400SM</v>
          </cell>
          <cell r="O11350">
            <v>0.31778048873428394</v>
          </cell>
          <cell r="T11350">
            <v>0.143057850056862</v>
          </cell>
        </row>
        <row r="11351">
          <cell r="A11351" t="str">
            <v>MOTOROLA</v>
          </cell>
          <cell r="B11351" t="str">
            <v>2450AP_CCIV2</v>
          </cell>
          <cell r="O11351">
            <v>0.31778048873428394</v>
          </cell>
          <cell r="T11351">
            <v>0.143057850056862</v>
          </cell>
        </row>
        <row r="11352">
          <cell r="A11352" t="str">
            <v>MOTOROLA</v>
          </cell>
          <cell r="B11352" t="str">
            <v>27RD</v>
          </cell>
          <cell r="O11352"/>
          <cell r="T11352"/>
        </row>
        <row r="11353">
          <cell r="A11353" t="str">
            <v>MOTOROLA</v>
          </cell>
          <cell r="B11353" t="str">
            <v>294-1A</v>
          </cell>
          <cell r="O11353"/>
          <cell r="T11353"/>
        </row>
        <row r="11354">
          <cell r="A11354" t="str">
            <v>MOTOROLA</v>
          </cell>
          <cell r="B11354" t="str">
            <v>346371A</v>
          </cell>
          <cell r="O11354"/>
          <cell r="T11354"/>
        </row>
        <row r="11355">
          <cell r="A11355" t="str">
            <v>MOTOROLA</v>
          </cell>
          <cell r="B11355" t="str">
            <v>458-1</v>
          </cell>
          <cell r="O11355"/>
          <cell r="T11355"/>
        </row>
        <row r="11356">
          <cell r="A11356" t="str">
            <v>MOTOROLA</v>
          </cell>
          <cell r="B11356" t="str">
            <v>490064_CCIV2</v>
          </cell>
          <cell r="O11356"/>
          <cell r="T11356"/>
        </row>
        <row r="11357">
          <cell r="A11357" t="str">
            <v>MOTOROLA</v>
          </cell>
          <cell r="B11357" t="str">
            <v>5000RA-02AA</v>
          </cell>
          <cell r="O11357"/>
          <cell r="T11357"/>
        </row>
        <row r="11358">
          <cell r="A11358" t="str">
            <v>MOTOROLA</v>
          </cell>
          <cell r="B11358" t="str">
            <v>5200AP</v>
          </cell>
          <cell r="O11358">
            <v>0.31778048873428394</v>
          </cell>
          <cell r="T11358">
            <v>0.143057850056862</v>
          </cell>
        </row>
        <row r="11359">
          <cell r="A11359" t="str">
            <v>MOTOROLA</v>
          </cell>
          <cell r="B11359" t="str">
            <v>5200BH</v>
          </cell>
          <cell r="O11359">
            <v>0.31778048873428394</v>
          </cell>
          <cell r="T11359">
            <v>0.143057850056862</v>
          </cell>
        </row>
        <row r="11360">
          <cell r="A11360" t="str">
            <v>MOTOROLA</v>
          </cell>
          <cell r="B11360" t="str">
            <v>5200SM</v>
          </cell>
          <cell r="O11360">
            <v>0.31778048873428394</v>
          </cell>
          <cell r="T11360">
            <v>0.143057850056862</v>
          </cell>
        </row>
        <row r="11361">
          <cell r="A11361" t="str">
            <v>MOTOROLA</v>
          </cell>
          <cell r="B11361" t="str">
            <v>5201BH</v>
          </cell>
          <cell r="O11361">
            <v>0.31778048873428394</v>
          </cell>
          <cell r="T11361">
            <v>0.143057850056862</v>
          </cell>
        </row>
        <row r="11362">
          <cell r="A11362" t="str">
            <v>MOTOROLA</v>
          </cell>
          <cell r="B11362" t="str">
            <v>5210BH</v>
          </cell>
          <cell r="O11362"/>
          <cell r="T11362"/>
        </row>
        <row r="11363">
          <cell r="A11363" t="str">
            <v>MOTOROLA</v>
          </cell>
          <cell r="B11363" t="str">
            <v>5210BHRF</v>
          </cell>
          <cell r="O11363"/>
          <cell r="T11363"/>
        </row>
        <row r="11364">
          <cell r="A11364" t="str">
            <v>MOTOROLA</v>
          </cell>
          <cell r="B11364" t="str">
            <v>5210BHRF20DD</v>
          </cell>
          <cell r="O11364"/>
          <cell r="T11364"/>
        </row>
        <row r="11365">
          <cell r="A11365" t="str">
            <v>MOTOROLA</v>
          </cell>
          <cell r="B11365" t="str">
            <v>5211BHRF (AES)</v>
          </cell>
          <cell r="O11365"/>
          <cell r="T11365"/>
        </row>
        <row r="11366">
          <cell r="A11366" t="str">
            <v>MOTOROLA</v>
          </cell>
          <cell r="B11366" t="str">
            <v>5250AP_CCIV2</v>
          </cell>
          <cell r="O11366">
            <v>0.31778048873428394</v>
          </cell>
          <cell r="T11366">
            <v>0.143057850056862</v>
          </cell>
        </row>
        <row r="11367">
          <cell r="A11367" t="str">
            <v>MOTOROLA</v>
          </cell>
          <cell r="B11367" t="str">
            <v>5400AP</v>
          </cell>
          <cell r="O11367">
            <v>0.31778048873428394</v>
          </cell>
          <cell r="T11367">
            <v>0.143057850056862</v>
          </cell>
        </row>
        <row r="11368">
          <cell r="A11368" t="str">
            <v>MOTOROLA</v>
          </cell>
          <cell r="B11368" t="str">
            <v>5400BH20DD</v>
          </cell>
          <cell r="O11368">
            <v>0.31778048873428394</v>
          </cell>
          <cell r="T11368">
            <v>0.143057850056862</v>
          </cell>
        </row>
        <row r="11369">
          <cell r="A11369" t="str">
            <v>MOTOROLA</v>
          </cell>
          <cell r="B11369" t="str">
            <v>5400BHRF20DD</v>
          </cell>
          <cell r="O11369">
            <v>0.31778048873428394</v>
          </cell>
          <cell r="T11369">
            <v>0.143057850056862</v>
          </cell>
        </row>
        <row r="11370">
          <cell r="A11370" t="str">
            <v>MOTOROLA</v>
          </cell>
          <cell r="B11370" t="str">
            <v>5401AP</v>
          </cell>
          <cell r="O11370">
            <v>0.31778048873428394</v>
          </cell>
          <cell r="T11370">
            <v>0.143057850056862</v>
          </cell>
        </row>
        <row r="11371">
          <cell r="A11371" t="str">
            <v>MOTOROLA</v>
          </cell>
          <cell r="B11371" t="str">
            <v>5440AP</v>
          </cell>
          <cell r="O11371"/>
          <cell r="T11371"/>
        </row>
        <row r="11372">
          <cell r="A11372" t="str">
            <v>MOTOROLA</v>
          </cell>
          <cell r="B11372" t="str">
            <v>5450AP</v>
          </cell>
          <cell r="O11372">
            <v>0.31778048873428394</v>
          </cell>
          <cell r="T11372">
            <v>0.143057850056862</v>
          </cell>
        </row>
        <row r="11373">
          <cell r="A11373" t="str">
            <v>MOTOROLA</v>
          </cell>
          <cell r="B11373" t="str">
            <v>5700AP</v>
          </cell>
          <cell r="O11373">
            <v>0.31778048873428394</v>
          </cell>
          <cell r="T11373">
            <v>0.143057850056862</v>
          </cell>
        </row>
        <row r="11374">
          <cell r="A11374" t="str">
            <v>MOTOROLA</v>
          </cell>
          <cell r="B11374" t="str">
            <v>5700BH</v>
          </cell>
          <cell r="O11374">
            <v>0.31778048873428394</v>
          </cell>
          <cell r="T11374">
            <v>0.143057850056862</v>
          </cell>
        </row>
        <row r="11375">
          <cell r="A11375" t="str">
            <v>MOTOROLA</v>
          </cell>
          <cell r="B11375" t="str">
            <v>5700BH20</v>
          </cell>
          <cell r="O11375">
            <v>0.31778048873428394</v>
          </cell>
          <cell r="T11375">
            <v>0.143057850056862</v>
          </cell>
        </row>
        <row r="11376">
          <cell r="A11376" t="str">
            <v>MOTOROLA</v>
          </cell>
          <cell r="B11376" t="str">
            <v>5700BH20DD</v>
          </cell>
          <cell r="O11376"/>
          <cell r="T11376"/>
        </row>
        <row r="11377">
          <cell r="A11377" t="str">
            <v>MOTOROLA</v>
          </cell>
          <cell r="B11377" t="str">
            <v>5700BHRF20</v>
          </cell>
          <cell r="O11377"/>
          <cell r="T11377"/>
        </row>
        <row r="11378">
          <cell r="A11378" t="str">
            <v>MOTOROLA</v>
          </cell>
          <cell r="B11378" t="str">
            <v>5700BHRF20BC</v>
          </cell>
          <cell r="O11378"/>
          <cell r="T11378"/>
        </row>
        <row r="11379">
          <cell r="A11379" t="str">
            <v>MOTOROLA</v>
          </cell>
          <cell r="B11379" t="str">
            <v>5700BHRF20DD</v>
          </cell>
          <cell r="O11379"/>
          <cell r="T11379"/>
        </row>
        <row r="11380">
          <cell r="A11380" t="str">
            <v>MOTOROLA</v>
          </cell>
          <cell r="B11380" t="str">
            <v>5700SM</v>
          </cell>
          <cell r="O11380">
            <v>0.31778048873428394</v>
          </cell>
          <cell r="T11380">
            <v>0.143057850056862</v>
          </cell>
        </row>
        <row r="11381">
          <cell r="A11381" t="str">
            <v>MOTOROLA</v>
          </cell>
          <cell r="B11381" t="str">
            <v>5701AP</v>
          </cell>
          <cell r="O11381">
            <v>0.31778048873428394</v>
          </cell>
          <cell r="T11381">
            <v>0.143057850056862</v>
          </cell>
        </row>
        <row r="11382">
          <cell r="A11382" t="str">
            <v>MOTOROLA</v>
          </cell>
          <cell r="B11382" t="str">
            <v>5701BHRFBC</v>
          </cell>
          <cell r="O11382"/>
          <cell r="T11382"/>
        </row>
        <row r="11383">
          <cell r="A11383" t="str">
            <v>MOTOROLA</v>
          </cell>
          <cell r="B11383" t="str">
            <v>5701BHRFDD</v>
          </cell>
          <cell r="O11383"/>
          <cell r="T11383"/>
        </row>
        <row r="11384">
          <cell r="A11384" t="str">
            <v>MOTOROLA</v>
          </cell>
          <cell r="B11384" t="str">
            <v>5730BH</v>
          </cell>
          <cell r="O11384">
            <v>1.6862283915481899</v>
          </cell>
          <cell r="T11384">
            <v>0.34470241886665293</v>
          </cell>
        </row>
        <row r="11385">
          <cell r="A11385" t="str">
            <v>MOTOROLA</v>
          </cell>
          <cell r="B11385" t="str">
            <v>5750AP</v>
          </cell>
          <cell r="O11385">
            <v>0.31778048873428394</v>
          </cell>
          <cell r="T11385">
            <v>0.143057850056862</v>
          </cell>
        </row>
        <row r="11386">
          <cell r="A11386" t="str">
            <v>MOTOROLA</v>
          </cell>
          <cell r="B11386" t="str">
            <v>5750APDD_CCIV2</v>
          </cell>
          <cell r="O11386">
            <v>0.31778048873428394</v>
          </cell>
          <cell r="T11386">
            <v>0.143057850056862</v>
          </cell>
        </row>
        <row r="11387">
          <cell r="A11387" t="str">
            <v>MOTOROLA</v>
          </cell>
          <cell r="B11387" t="str">
            <v>5750APHZ</v>
          </cell>
          <cell r="O11387">
            <v>0.31778048873428394</v>
          </cell>
          <cell r="T11387">
            <v>0.143057850056862</v>
          </cell>
        </row>
        <row r="11388">
          <cell r="A11388" t="str">
            <v>MOTOROLA</v>
          </cell>
          <cell r="B11388" t="str">
            <v>5750SM</v>
          </cell>
          <cell r="O11388">
            <v>0.31778048873428394</v>
          </cell>
          <cell r="T11388">
            <v>0.143057850056862</v>
          </cell>
        </row>
        <row r="11389">
          <cell r="A11389" t="str">
            <v>MOTOROLA</v>
          </cell>
          <cell r="B11389" t="str">
            <v>5751SM</v>
          </cell>
          <cell r="O11389">
            <v>0.31778048873428394</v>
          </cell>
          <cell r="T11389">
            <v>0.143057850056862</v>
          </cell>
        </row>
        <row r="11390">
          <cell r="A11390" t="str">
            <v>MOTOROLA</v>
          </cell>
          <cell r="B11390" t="str">
            <v>5780APC</v>
          </cell>
          <cell r="O11390"/>
          <cell r="T11390"/>
        </row>
        <row r="11391">
          <cell r="A11391" t="str">
            <v>MOTOROLA</v>
          </cell>
          <cell r="B11391" t="str">
            <v>5780APUS_CCIV2</v>
          </cell>
          <cell r="O11391"/>
          <cell r="T11391"/>
        </row>
        <row r="11392">
          <cell r="A11392" t="str">
            <v>MOTOROLA</v>
          </cell>
          <cell r="B11392" t="str">
            <v>5780BH50US</v>
          </cell>
          <cell r="O11392"/>
          <cell r="T11392"/>
        </row>
        <row r="11393">
          <cell r="A11393" t="str">
            <v>MOTOROLA</v>
          </cell>
          <cell r="B11393" t="str">
            <v>5830BH15</v>
          </cell>
          <cell r="O11393"/>
          <cell r="T11393"/>
        </row>
        <row r="11394">
          <cell r="A11394" t="str">
            <v>MOTOROLA</v>
          </cell>
          <cell r="B11394" t="str">
            <v>6311A</v>
          </cell>
          <cell r="O11394"/>
          <cell r="T11394"/>
        </row>
        <row r="11395">
          <cell r="A11395" t="str">
            <v>MOTOROLA</v>
          </cell>
          <cell r="B11395" t="str">
            <v>70D6074B</v>
          </cell>
          <cell r="O11395"/>
          <cell r="T11395"/>
        </row>
        <row r="11396">
          <cell r="A11396" t="str">
            <v>MOTOROLA</v>
          </cell>
          <cell r="B11396" t="str">
            <v>85010089003</v>
          </cell>
          <cell r="O11396"/>
          <cell r="T11396"/>
        </row>
        <row r="11397">
          <cell r="A11397" t="str">
            <v>MOTOROLA</v>
          </cell>
          <cell r="B11397" t="str">
            <v>85010089021</v>
          </cell>
          <cell r="O11397"/>
          <cell r="T11397"/>
        </row>
        <row r="11398">
          <cell r="A11398" t="str">
            <v>MOTOROLA</v>
          </cell>
          <cell r="B11398" t="str">
            <v>85010090001</v>
          </cell>
          <cell r="O11398">
            <v>0.96997280622048887</v>
          </cell>
          <cell r="T11398">
            <v>0.51142126200570304</v>
          </cell>
        </row>
        <row r="11399">
          <cell r="A11399" t="str">
            <v>MOTOROLA</v>
          </cell>
          <cell r="B11399" t="str">
            <v>85010091007</v>
          </cell>
          <cell r="O11399"/>
          <cell r="T11399"/>
        </row>
        <row r="11400">
          <cell r="A11400" t="str">
            <v>MOTOROLA</v>
          </cell>
          <cell r="B11400" t="str">
            <v>9000AP</v>
          </cell>
          <cell r="O11400"/>
          <cell r="T11400"/>
        </row>
        <row r="11401">
          <cell r="A11401" t="str">
            <v>MOTOROLA</v>
          </cell>
          <cell r="B11401" t="str">
            <v>9000APC_CCIV2</v>
          </cell>
          <cell r="O11401">
            <v>0.31778048873428394</v>
          </cell>
          <cell r="T11401">
            <v>0.143057850056862</v>
          </cell>
        </row>
        <row r="11402">
          <cell r="A11402" t="str">
            <v>MOTOROLA</v>
          </cell>
          <cell r="B11402" t="str">
            <v>9000APF</v>
          </cell>
          <cell r="O11402"/>
          <cell r="T11402"/>
        </row>
        <row r="11403">
          <cell r="A11403" t="str">
            <v>MOTOROLA</v>
          </cell>
          <cell r="B11403" t="str">
            <v>9000SM</v>
          </cell>
          <cell r="O11403"/>
          <cell r="T11403"/>
        </row>
        <row r="11404">
          <cell r="A11404" t="str">
            <v>MOTOROLA</v>
          </cell>
          <cell r="B11404" t="str">
            <v>9000SMC</v>
          </cell>
          <cell r="O11404">
            <v>0.31778048873428394</v>
          </cell>
          <cell r="T11404">
            <v>0.143057850056862</v>
          </cell>
        </row>
        <row r="11405">
          <cell r="A11405" t="str">
            <v>MOTOROLA</v>
          </cell>
          <cell r="B11405" t="str">
            <v>9000SMCBC</v>
          </cell>
          <cell r="O11405">
            <v>0.31778048873428394</v>
          </cell>
          <cell r="T11405">
            <v>0.143057850056862</v>
          </cell>
        </row>
        <row r="11406">
          <cell r="A11406" t="str">
            <v>MOTOROLA</v>
          </cell>
          <cell r="B11406" t="str">
            <v>9000SMFBC</v>
          </cell>
          <cell r="O11406"/>
          <cell r="T11406"/>
        </row>
        <row r="11407">
          <cell r="A11407" t="str">
            <v>MOTOROLA</v>
          </cell>
          <cell r="B11407" t="str">
            <v>9001APF</v>
          </cell>
          <cell r="O11407"/>
          <cell r="T11407"/>
        </row>
        <row r="11408">
          <cell r="A11408" t="str">
            <v>MOTOROLA</v>
          </cell>
          <cell r="B11408" t="str">
            <v>9001APFBC</v>
          </cell>
          <cell r="O11408"/>
          <cell r="T11408"/>
        </row>
        <row r="11409">
          <cell r="A11409" t="str">
            <v>MOTOROLA</v>
          </cell>
          <cell r="B11409" t="str">
            <v>900AP</v>
          </cell>
          <cell r="O11409">
            <v>0.31778048873428394</v>
          </cell>
          <cell r="T11409">
            <v>0.143057850056862</v>
          </cell>
        </row>
        <row r="11410">
          <cell r="A11410" t="str">
            <v>MOTOROLA</v>
          </cell>
          <cell r="B11410" t="str">
            <v>BP5430BH-2AA</v>
          </cell>
          <cell r="O11410"/>
          <cell r="T11410"/>
        </row>
        <row r="11411">
          <cell r="A11411" t="str">
            <v>MOTOROLA</v>
          </cell>
          <cell r="B11411" t="str">
            <v>BP5430BH-2CC</v>
          </cell>
          <cell r="O11411"/>
          <cell r="T11411"/>
        </row>
        <row r="11412">
          <cell r="A11412" t="str">
            <v>MOTOROLA</v>
          </cell>
          <cell r="B11412" t="str">
            <v>BP5530BH-2DD</v>
          </cell>
          <cell r="O11412"/>
          <cell r="T11412"/>
        </row>
        <row r="11413">
          <cell r="A11413" t="str">
            <v>MOTOROLA</v>
          </cell>
          <cell r="B11413" t="str">
            <v>BP5730BH-2BB</v>
          </cell>
          <cell r="O11413"/>
          <cell r="T11413"/>
        </row>
        <row r="11414">
          <cell r="A11414" t="str">
            <v>MOTOROLA</v>
          </cell>
          <cell r="B11414" t="str">
            <v>BP5730BH-2CC</v>
          </cell>
          <cell r="O11414"/>
          <cell r="T11414"/>
        </row>
        <row r="11415">
          <cell r="A11415" t="str">
            <v>MOTOROLA</v>
          </cell>
          <cell r="B11415" t="str">
            <v>BP5730BH20-2BB</v>
          </cell>
          <cell r="O11415"/>
          <cell r="T11415"/>
        </row>
        <row r="11416">
          <cell r="A11416" t="str">
            <v>MOTOROLA</v>
          </cell>
          <cell r="B11416" t="str">
            <v>BP5730BHC20-2</v>
          </cell>
          <cell r="O11416"/>
          <cell r="T11416"/>
        </row>
        <row r="11417">
          <cell r="A11417" t="str">
            <v>MOTOROLA</v>
          </cell>
          <cell r="B11417" t="str">
            <v>BP5730BHC20-2_CCIV2</v>
          </cell>
          <cell r="O11417"/>
          <cell r="T11417"/>
        </row>
        <row r="11418">
          <cell r="A11418" t="str">
            <v>MOTOROLA</v>
          </cell>
          <cell r="B11418" t="str">
            <v>BP5830BH-2</v>
          </cell>
          <cell r="O11418"/>
          <cell r="T11418"/>
        </row>
        <row r="11419">
          <cell r="A11419" t="str">
            <v>MOTOROLA</v>
          </cell>
          <cell r="B11419" t="str">
            <v>BP5830BH-2AA</v>
          </cell>
          <cell r="O11419">
            <v>1.6862283915481899</v>
          </cell>
          <cell r="T11419">
            <v>0.34470241886665293</v>
          </cell>
        </row>
        <row r="11420">
          <cell r="A11420" t="str">
            <v>MOTOROLA</v>
          </cell>
          <cell r="B11420" t="str">
            <v>BP5830BH-2CC</v>
          </cell>
          <cell r="O11420"/>
          <cell r="T11420"/>
        </row>
        <row r="11421">
          <cell r="A11421" t="str">
            <v>MOTOROLA</v>
          </cell>
          <cell r="B11421" t="str">
            <v>BP5830BH15-2CC</v>
          </cell>
          <cell r="O11421"/>
          <cell r="T11421"/>
        </row>
        <row r="11422">
          <cell r="A11422" t="str">
            <v>MOTOROLA</v>
          </cell>
          <cell r="B11422" t="str">
            <v>CAP 36320_CCIV2</v>
          </cell>
          <cell r="O11422"/>
          <cell r="T11422"/>
        </row>
        <row r="11423">
          <cell r="A11423" t="str">
            <v>MOTOROLA</v>
          </cell>
          <cell r="B11423" t="str">
            <v>CAP 58430</v>
          </cell>
          <cell r="O11423"/>
          <cell r="T11423"/>
        </row>
        <row r="11424">
          <cell r="A11424" t="str">
            <v>MOTOROLA</v>
          </cell>
          <cell r="B11424" t="str">
            <v>CCNRM12101</v>
          </cell>
          <cell r="O11424"/>
          <cell r="T11424"/>
        </row>
        <row r="11425">
          <cell r="A11425" t="str">
            <v>MOTOROLA</v>
          </cell>
          <cell r="B11425" t="str">
            <v>CCPRP2102</v>
          </cell>
          <cell r="O11425"/>
          <cell r="T11425"/>
        </row>
        <row r="11426">
          <cell r="A11426" t="str">
            <v>MOTOROLA</v>
          </cell>
          <cell r="B11426" t="str">
            <v>GCNRM 12101</v>
          </cell>
          <cell r="O11426"/>
          <cell r="T11426"/>
        </row>
        <row r="11427">
          <cell r="A11427" t="str">
            <v>MOTOROLA</v>
          </cell>
          <cell r="B11427" t="str">
            <v>GCNRM11101</v>
          </cell>
          <cell r="O11427"/>
          <cell r="T11427"/>
        </row>
        <row r="11428">
          <cell r="A11428" t="str">
            <v>MOTOROLA</v>
          </cell>
          <cell r="B11428" t="str">
            <v>GCNRM12101</v>
          </cell>
          <cell r="O11428"/>
          <cell r="T11428"/>
        </row>
        <row r="11429">
          <cell r="A11429" t="str">
            <v>MOTOROLA</v>
          </cell>
          <cell r="B11429" t="str">
            <v>GCPR12104</v>
          </cell>
          <cell r="O11429"/>
          <cell r="T11429"/>
        </row>
        <row r="11430">
          <cell r="A11430" t="str">
            <v>MOTOROLA</v>
          </cell>
          <cell r="B11430" t="str">
            <v>GCPRC12102</v>
          </cell>
          <cell r="O11430"/>
          <cell r="T11430"/>
        </row>
        <row r="11431">
          <cell r="A11431" t="str">
            <v>MOTOROLA</v>
          </cell>
          <cell r="B11431" t="str">
            <v>GCPRD12102</v>
          </cell>
          <cell r="O11431"/>
          <cell r="T11431"/>
        </row>
        <row r="11432">
          <cell r="A11432" t="str">
            <v>MOTOROLA</v>
          </cell>
          <cell r="B11432" t="str">
            <v>GCPRF12104</v>
          </cell>
          <cell r="O11432"/>
          <cell r="T11432"/>
        </row>
        <row r="11433">
          <cell r="A11433" t="str">
            <v>MOTOROLA</v>
          </cell>
          <cell r="B11433" t="str">
            <v>GCPRP12102</v>
          </cell>
          <cell r="O11433"/>
          <cell r="T11433"/>
        </row>
        <row r="11434">
          <cell r="A11434" t="str">
            <v>MOTOROLA</v>
          </cell>
          <cell r="B11434" t="str">
            <v>GENRM11101</v>
          </cell>
          <cell r="O11434"/>
          <cell r="T11434"/>
        </row>
        <row r="11435">
          <cell r="A11435" t="str">
            <v>MOTOROLA</v>
          </cell>
          <cell r="B11435" t="str">
            <v>GPCRC12012</v>
          </cell>
          <cell r="O11435"/>
          <cell r="T11435"/>
        </row>
        <row r="11436">
          <cell r="A11436" t="str">
            <v>MOTOROLA</v>
          </cell>
          <cell r="B11436" t="str">
            <v>GPPRC12012</v>
          </cell>
          <cell r="O11436"/>
          <cell r="T11436"/>
        </row>
        <row r="11437">
          <cell r="A11437" t="str">
            <v>MOTOROLA</v>
          </cell>
          <cell r="B11437" t="str">
            <v>GPS PMP</v>
          </cell>
          <cell r="O11437"/>
          <cell r="T11437"/>
        </row>
        <row r="11438">
          <cell r="A11438" t="str">
            <v>MOTOROLA</v>
          </cell>
          <cell r="B11438" t="str">
            <v>K02EBD1200A</v>
          </cell>
          <cell r="O11438"/>
          <cell r="T11438"/>
        </row>
        <row r="11439">
          <cell r="A11439" t="str">
            <v>MOTOROLA</v>
          </cell>
          <cell r="B11439" t="str">
            <v>MPIRA-1WAFA-10</v>
          </cell>
          <cell r="O11439"/>
          <cell r="T11439"/>
        </row>
        <row r="11440">
          <cell r="A11440" t="str">
            <v>MOTOROLA</v>
          </cell>
          <cell r="B11440" t="str">
            <v>OCPHP12102</v>
          </cell>
          <cell r="O11440"/>
          <cell r="T11440"/>
        </row>
        <row r="11441">
          <cell r="A11441" t="str">
            <v>MOTOROLA</v>
          </cell>
          <cell r="B11441" t="str">
            <v>OD-6073A</v>
          </cell>
          <cell r="O11441"/>
          <cell r="T11441"/>
        </row>
        <row r="11442">
          <cell r="A11442" t="str">
            <v>MOTOROLA</v>
          </cell>
          <cell r="B11442" t="str">
            <v>PMP 430</v>
          </cell>
          <cell r="O11442"/>
          <cell r="T11442"/>
        </row>
        <row r="11443">
          <cell r="A11443" t="str">
            <v>MOTOROLA</v>
          </cell>
          <cell r="B11443" t="str">
            <v>PMP320</v>
          </cell>
          <cell r="O11443">
            <v>1.1985363618827201</v>
          </cell>
          <cell r="T11443">
            <v>0.67525640915204188</v>
          </cell>
        </row>
        <row r="11444">
          <cell r="A11444" t="str">
            <v>MOTOROLA</v>
          </cell>
          <cell r="B11444" t="str">
            <v>PMP49400</v>
          </cell>
          <cell r="O11444"/>
          <cell r="T11444"/>
        </row>
        <row r="11445">
          <cell r="A11445" t="str">
            <v>MOTOROLA</v>
          </cell>
          <cell r="B11445" t="str">
            <v>PTMP CAP 320_CCIV2</v>
          </cell>
          <cell r="O11445"/>
          <cell r="T11445"/>
        </row>
        <row r="11446">
          <cell r="A11446" t="str">
            <v>MOTOROLA</v>
          </cell>
          <cell r="B11446" t="str">
            <v>PTP 230</v>
          </cell>
          <cell r="O11446"/>
          <cell r="T11446"/>
        </row>
        <row r="11447">
          <cell r="A11447" t="str">
            <v>MOTOROLA</v>
          </cell>
          <cell r="B11447" t="str">
            <v>PTP 25600</v>
          </cell>
          <cell r="O11447"/>
          <cell r="T11447"/>
        </row>
        <row r="11448">
          <cell r="A11448" t="str">
            <v>MOTOROLA</v>
          </cell>
          <cell r="B11448" t="str">
            <v>PTP 49400</v>
          </cell>
          <cell r="O11448"/>
          <cell r="T11448"/>
        </row>
        <row r="11449">
          <cell r="A11449" t="str">
            <v>MOTOROLA</v>
          </cell>
          <cell r="B11449" t="str">
            <v>PTP 49600_CCIV2</v>
          </cell>
          <cell r="O11449"/>
          <cell r="T11449"/>
        </row>
        <row r="11450">
          <cell r="A11450" t="str">
            <v>MOTOROLA</v>
          </cell>
          <cell r="B11450" t="str">
            <v>PTP 54200_CCIV2</v>
          </cell>
          <cell r="O11450"/>
          <cell r="T11450"/>
        </row>
        <row r="11451">
          <cell r="A11451" t="str">
            <v>MOTOROLA</v>
          </cell>
          <cell r="B11451" t="str">
            <v>PTP 54500_CCIV2</v>
          </cell>
          <cell r="O11451"/>
          <cell r="T11451"/>
        </row>
        <row r="11452">
          <cell r="A11452" t="str">
            <v>MOTOROLA</v>
          </cell>
          <cell r="B11452" t="str">
            <v>PTP 54600</v>
          </cell>
          <cell r="O11452"/>
          <cell r="T11452"/>
        </row>
        <row r="11453">
          <cell r="A11453" t="str">
            <v>MOTOROLA</v>
          </cell>
          <cell r="B11453" t="str">
            <v>PTP 58300</v>
          </cell>
          <cell r="O11453">
            <v>1.6502477577000301</v>
          </cell>
          <cell r="T11453">
            <v>0.32000480214028193</v>
          </cell>
        </row>
        <row r="11454">
          <cell r="A11454" t="str">
            <v>MOTOROLA</v>
          </cell>
          <cell r="B11454" t="str">
            <v>PTP 58400_CCIV2</v>
          </cell>
          <cell r="O11454"/>
          <cell r="T11454"/>
        </row>
        <row r="11455">
          <cell r="A11455" t="str">
            <v>MOTOROLA</v>
          </cell>
          <cell r="B11455" t="str">
            <v>PTP 58500_CCIV2</v>
          </cell>
          <cell r="O11455"/>
          <cell r="T11455"/>
        </row>
        <row r="11456">
          <cell r="A11456" t="str">
            <v>MOTOROLA</v>
          </cell>
          <cell r="B11456" t="str">
            <v>PTP 600_CCIV2</v>
          </cell>
          <cell r="O11456"/>
          <cell r="T11456"/>
        </row>
        <row r="11457">
          <cell r="A11457" t="str">
            <v>MOTOROLA</v>
          </cell>
          <cell r="B11457" t="str">
            <v>PTP400</v>
          </cell>
          <cell r="O11457"/>
          <cell r="T11457"/>
        </row>
        <row r="11458">
          <cell r="A11458" t="str">
            <v>MOTOROLA</v>
          </cell>
          <cell r="B11458" t="str">
            <v>PTP58230</v>
          </cell>
          <cell r="O11458">
            <v>0.31778048873428394</v>
          </cell>
          <cell r="T11458">
            <v>0.143057850056862</v>
          </cell>
        </row>
        <row r="11459">
          <cell r="A11459" t="str">
            <v>MOTOROLA</v>
          </cell>
          <cell r="B11459" t="str">
            <v>PTP58600</v>
          </cell>
          <cell r="O11459">
            <v>1.6862283915481899</v>
          </cell>
          <cell r="T11459">
            <v>0.34470241886665293</v>
          </cell>
        </row>
        <row r="11460">
          <cell r="A11460" t="str">
            <v>MOTOROLA</v>
          </cell>
          <cell r="B11460" t="str">
            <v>PTP58600_CCIV2</v>
          </cell>
          <cell r="O11460"/>
          <cell r="T11460"/>
        </row>
        <row r="11461">
          <cell r="A11461" t="str">
            <v>MOTOROLA</v>
          </cell>
          <cell r="B11461" t="str">
            <v>PTP600_CCIV2</v>
          </cell>
          <cell r="O11461"/>
          <cell r="T11461"/>
        </row>
        <row r="11462">
          <cell r="A11462" t="str">
            <v>MOTOROLA</v>
          </cell>
          <cell r="B11462" t="str">
            <v>RLN 4394B</v>
          </cell>
          <cell r="O11462"/>
          <cell r="T11462"/>
        </row>
        <row r="11463">
          <cell r="A11463" t="str">
            <v>MOTOROLA</v>
          </cell>
          <cell r="B11463" t="str">
            <v>RLN-4349-A</v>
          </cell>
          <cell r="O11463"/>
          <cell r="T11463"/>
        </row>
        <row r="11464">
          <cell r="A11464" t="str">
            <v>MOTOROLA</v>
          </cell>
          <cell r="B11464" t="str">
            <v>RLN-4394-A</v>
          </cell>
          <cell r="O11464"/>
          <cell r="T11464"/>
        </row>
        <row r="11465">
          <cell r="A11465" t="str">
            <v>MOTOROLA</v>
          </cell>
          <cell r="B11465" t="str">
            <v>SD-45-C</v>
          </cell>
          <cell r="O11465"/>
          <cell r="T11465"/>
        </row>
        <row r="11466">
          <cell r="A11466" t="str">
            <v>MOTOROLA</v>
          </cell>
          <cell r="B11466" t="str">
            <v>SLX 5000</v>
          </cell>
          <cell r="O11466"/>
          <cell r="T11466"/>
        </row>
        <row r="11467">
          <cell r="A11467" t="str">
            <v>MOTOROLA</v>
          </cell>
          <cell r="B11467" t="str">
            <v>SSI805185L19</v>
          </cell>
          <cell r="O11467"/>
          <cell r="T11467"/>
        </row>
        <row r="11468">
          <cell r="A11468" t="str">
            <v>MOTOROLA</v>
          </cell>
          <cell r="B11468" t="str">
            <v>SSI805185O446_7</v>
          </cell>
          <cell r="O11468"/>
          <cell r="T11468"/>
        </row>
        <row r="11469">
          <cell r="A11469" t="str">
            <v>MOTOROLA</v>
          </cell>
          <cell r="B11469" t="str">
            <v>SSI805270L14_77</v>
          </cell>
          <cell r="O11469"/>
          <cell r="T11469"/>
        </row>
        <row r="11470">
          <cell r="A11470" t="str">
            <v>MOTOROLA</v>
          </cell>
          <cell r="B11470" t="str">
            <v>SSI805270L14_78</v>
          </cell>
          <cell r="O11470"/>
          <cell r="T11470"/>
        </row>
        <row r="11471">
          <cell r="A11471" t="str">
            <v>MOTOROLA</v>
          </cell>
          <cell r="B11471" t="str">
            <v>SSI805270L16</v>
          </cell>
          <cell r="O11471"/>
          <cell r="T11471"/>
        </row>
        <row r="11472">
          <cell r="A11472" t="str">
            <v>MOTOROLA</v>
          </cell>
          <cell r="B11472" t="str">
            <v>SSI805630-6OMNI</v>
          </cell>
          <cell r="O11472"/>
          <cell r="T11472"/>
        </row>
        <row r="11473">
          <cell r="A11473" t="str">
            <v>MOTOROLA</v>
          </cell>
          <cell r="B11473" t="str">
            <v>SSI805731L_45</v>
          </cell>
          <cell r="O11473"/>
          <cell r="T11473"/>
        </row>
        <row r="11474">
          <cell r="A11474" t="str">
            <v>MOTOROLA</v>
          </cell>
          <cell r="B11474" t="str">
            <v>SSI806610O104</v>
          </cell>
          <cell r="O11474"/>
          <cell r="T11474"/>
        </row>
        <row r="11475">
          <cell r="A11475" t="str">
            <v>MOTOROLA</v>
          </cell>
          <cell r="B11475" t="str">
            <v>SSI806656O118_23</v>
          </cell>
          <cell r="O11475"/>
          <cell r="T11475"/>
        </row>
        <row r="11476">
          <cell r="A11476" t="str">
            <v>MOTOROLA</v>
          </cell>
          <cell r="B11476" t="str">
            <v>SSI806656O118_24</v>
          </cell>
          <cell r="O11476"/>
          <cell r="T11476"/>
        </row>
        <row r="11477">
          <cell r="A11477" t="str">
            <v>MOTOROLA</v>
          </cell>
          <cell r="B11477" t="str">
            <v>SSI806656O118_25</v>
          </cell>
          <cell r="O11477"/>
          <cell r="T11477"/>
        </row>
        <row r="11478">
          <cell r="A11478" t="str">
            <v>MOTOROLA</v>
          </cell>
          <cell r="B11478" t="str">
            <v>SSI806656O140</v>
          </cell>
          <cell r="O11478"/>
          <cell r="T11478"/>
        </row>
        <row r="11479">
          <cell r="A11479" t="str">
            <v>MOTOROLA</v>
          </cell>
          <cell r="B11479" t="str">
            <v>SSI806656O92</v>
          </cell>
          <cell r="O11479"/>
          <cell r="T11479"/>
        </row>
        <row r="11480">
          <cell r="A11480" t="str">
            <v>MOTOROLA</v>
          </cell>
          <cell r="B11480" t="str">
            <v>SSI812891L11</v>
          </cell>
          <cell r="O11480"/>
          <cell r="T11480"/>
        </row>
        <row r="11481">
          <cell r="A11481" t="str">
            <v>MOTOROLA</v>
          </cell>
          <cell r="B11481" t="str">
            <v>SSI813367L11</v>
          </cell>
          <cell r="O11481"/>
          <cell r="T11481"/>
        </row>
        <row r="11482">
          <cell r="A11482" t="str">
            <v>MOTOROLA</v>
          </cell>
          <cell r="B11482" t="str">
            <v>SSI813377L11</v>
          </cell>
          <cell r="O11482"/>
          <cell r="T11482"/>
        </row>
        <row r="11483">
          <cell r="A11483" t="str">
            <v>MOTOROLA</v>
          </cell>
          <cell r="B11483" t="str">
            <v>SSI814041L16</v>
          </cell>
          <cell r="O11483"/>
          <cell r="T11483"/>
        </row>
        <row r="11484">
          <cell r="A11484" t="str">
            <v>MOTOROLA</v>
          </cell>
          <cell r="B11484" t="str">
            <v>SSI816168O155_15</v>
          </cell>
          <cell r="O11484"/>
          <cell r="T11484"/>
        </row>
        <row r="11485">
          <cell r="A11485" t="str">
            <v>MOTOROLA</v>
          </cell>
          <cell r="B11485" t="str">
            <v>SSI816363L11</v>
          </cell>
          <cell r="O11485"/>
          <cell r="T11485"/>
        </row>
        <row r="11486">
          <cell r="A11486" t="str">
            <v>MOTOROLA</v>
          </cell>
          <cell r="B11486" t="str">
            <v>SSI816384L12</v>
          </cell>
          <cell r="O11486"/>
          <cell r="T11486"/>
        </row>
        <row r="11487">
          <cell r="A11487" t="str">
            <v>MOTOROLA</v>
          </cell>
          <cell r="B11487" t="str">
            <v>SSI816689-GPS</v>
          </cell>
          <cell r="O11487"/>
          <cell r="T11487"/>
        </row>
        <row r="11488">
          <cell r="A11488" t="str">
            <v>MOTOROLA</v>
          </cell>
          <cell r="B11488" t="str">
            <v>SSI816717-L13 6</v>
          </cell>
          <cell r="O11488"/>
          <cell r="T11488"/>
        </row>
        <row r="11489">
          <cell r="A11489" t="str">
            <v>MOTOROLA</v>
          </cell>
          <cell r="B11489" t="str">
            <v>SSI816744L11</v>
          </cell>
          <cell r="O11489"/>
          <cell r="T11489"/>
        </row>
        <row r="11490">
          <cell r="A11490" t="str">
            <v>MOTOROLA</v>
          </cell>
          <cell r="B11490" t="str">
            <v>SSI817162D152</v>
          </cell>
          <cell r="O11490"/>
          <cell r="T11490"/>
        </row>
        <row r="11491">
          <cell r="A11491" t="str">
            <v>MOTOROLA</v>
          </cell>
          <cell r="B11491" t="str">
            <v>SSI817162O152_4</v>
          </cell>
          <cell r="O11491"/>
          <cell r="T11491"/>
        </row>
        <row r="11492">
          <cell r="A11492" t="str">
            <v>MOTOROLA</v>
          </cell>
          <cell r="B11492" t="str">
            <v>TD6086A</v>
          </cell>
          <cell r="O11492"/>
          <cell r="T11492"/>
        </row>
        <row r="11493">
          <cell r="A11493" t="str">
            <v>MOTOROLA</v>
          </cell>
          <cell r="B11493" t="str">
            <v>TDD68608-6</v>
          </cell>
          <cell r="O11493"/>
          <cell r="T11493"/>
        </row>
        <row r="11494">
          <cell r="A11494" t="str">
            <v>MOTOROLA</v>
          </cell>
          <cell r="B11494" t="str">
            <v>TDE-6271</v>
          </cell>
          <cell r="O11494"/>
          <cell r="T11494"/>
        </row>
        <row r="11495">
          <cell r="A11495" t="str">
            <v>MOTOROLA</v>
          </cell>
          <cell r="B11495" t="str">
            <v>TDE60-86A</v>
          </cell>
          <cell r="O11495"/>
          <cell r="T11495"/>
        </row>
        <row r="11496">
          <cell r="A11496" t="str">
            <v>MOTOROLA</v>
          </cell>
          <cell r="B11496" t="str">
            <v>TDE6041A</v>
          </cell>
          <cell r="O11496"/>
          <cell r="T11496"/>
        </row>
        <row r="11497">
          <cell r="A11497" t="str">
            <v>MOTOROLA</v>
          </cell>
          <cell r="B11497" t="str">
            <v>TDE6049A</v>
          </cell>
          <cell r="O11497"/>
          <cell r="T11497"/>
        </row>
        <row r="11498">
          <cell r="A11498" t="str">
            <v>MOTOROLA</v>
          </cell>
          <cell r="B11498" t="str">
            <v>TDE6087R</v>
          </cell>
          <cell r="O11498"/>
          <cell r="T11498"/>
        </row>
        <row r="11499">
          <cell r="A11499" t="str">
            <v>MOTOROLA</v>
          </cell>
          <cell r="B11499" t="str">
            <v>TDE6270A</v>
          </cell>
          <cell r="O11499"/>
          <cell r="T11499"/>
        </row>
        <row r="11500">
          <cell r="A11500" t="str">
            <v>MOTOROLA</v>
          </cell>
          <cell r="B11500" t="str">
            <v>TDE6371A</v>
          </cell>
          <cell r="O11500"/>
          <cell r="T11500"/>
        </row>
        <row r="11501">
          <cell r="A11501" t="str">
            <v>MOTOROLA</v>
          </cell>
          <cell r="B11501" t="str">
            <v>TDE6402-A</v>
          </cell>
          <cell r="O11501"/>
          <cell r="T11501"/>
        </row>
        <row r="11502">
          <cell r="A11502" t="str">
            <v>MOTOROLA</v>
          </cell>
          <cell r="B11502" t="str">
            <v>TDF6301A</v>
          </cell>
          <cell r="O11502"/>
          <cell r="T11502"/>
        </row>
        <row r="11503">
          <cell r="A11503" t="str">
            <v>MOTOROLA</v>
          </cell>
          <cell r="B11503" t="str">
            <v>TDF6321A</v>
          </cell>
          <cell r="O11503"/>
          <cell r="T11503"/>
        </row>
        <row r="11504">
          <cell r="A11504" t="str">
            <v>MOTOROLA</v>
          </cell>
          <cell r="B11504" t="str">
            <v>TIMING 2000</v>
          </cell>
          <cell r="O11504"/>
          <cell r="T11504"/>
        </row>
        <row r="11505">
          <cell r="A11505" t="str">
            <v>MOTOROLA</v>
          </cell>
          <cell r="B11505" t="str">
            <v>TPE6082A</v>
          </cell>
          <cell r="O11505"/>
          <cell r="T11505"/>
        </row>
        <row r="11506">
          <cell r="A11506" t="str">
            <v>MOTOROLA</v>
          </cell>
          <cell r="B11506" t="str">
            <v>WAP 400_CCIV2</v>
          </cell>
          <cell r="O11506"/>
          <cell r="T11506"/>
        </row>
        <row r="11507">
          <cell r="A11507" t="str">
            <v>MOTOROLA</v>
          </cell>
          <cell r="B11507" t="str">
            <v>WAP 450_CCIV2</v>
          </cell>
          <cell r="O11507"/>
          <cell r="T11507"/>
        </row>
        <row r="11508">
          <cell r="A11508" t="str">
            <v>MOTOROLA</v>
          </cell>
          <cell r="B11508" t="str">
            <v>WB2623</v>
          </cell>
          <cell r="O11508">
            <v>1.6862283915481899</v>
          </cell>
          <cell r="T11508">
            <v>0.34470241886665293</v>
          </cell>
        </row>
        <row r="11509">
          <cell r="A11509" t="str">
            <v>MOTOROLA</v>
          </cell>
          <cell r="B11509" t="str">
            <v>WB2624</v>
          </cell>
          <cell r="O11509"/>
          <cell r="T11509"/>
        </row>
        <row r="11510">
          <cell r="A11510" t="str">
            <v>MOTOROLA</v>
          </cell>
          <cell r="B11510" t="str">
            <v>WIMAX-2.5-90</v>
          </cell>
          <cell r="O11510"/>
          <cell r="T11510"/>
        </row>
        <row r="11511">
          <cell r="A11511" t="str">
            <v>MP ANTENNA</v>
          </cell>
          <cell r="B11511" t="str">
            <v>08-ANT-0910</v>
          </cell>
          <cell r="O11511"/>
          <cell r="T11511"/>
        </row>
        <row r="11512">
          <cell r="A11512" t="str">
            <v>MRC</v>
          </cell>
          <cell r="B11512" t="str">
            <v>ULTRASCAN DR-II</v>
          </cell>
          <cell r="O11512"/>
          <cell r="T11512"/>
        </row>
        <row r="11513">
          <cell r="A11513" t="str">
            <v>MTI WIRELESS EDGE</v>
          </cell>
          <cell r="B11513" t="str">
            <v>G0608RRH-46-31B</v>
          </cell>
          <cell r="O11513"/>
          <cell r="T11513"/>
        </row>
        <row r="11514">
          <cell r="A11514" t="str">
            <v>MTI WIRELESS EDGE</v>
          </cell>
          <cell r="B11514" t="str">
            <v>MT-20004</v>
          </cell>
          <cell r="O11514"/>
          <cell r="T11514"/>
        </row>
        <row r="11515">
          <cell r="A11515" t="str">
            <v>MTI WIRELESS EDGE</v>
          </cell>
          <cell r="B11515" t="str">
            <v>MT-243003/NH</v>
          </cell>
          <cell r="O11515"/>
          <cell r="T11515"/>
        </row>
        <row r="11516">
          <cell r="A11516" t="str">
            <v>MTI WIRELESS EDGE</v>
          </cell>
          <cell r="B11516" t="str">
            <v>MT-243015/NH</v>
          </cell>
          <cell r="O11516">
            <v>8.9016580323916887</v>
          </cell>
          <cell r="T11516">
            <v>1.61348281636326</v>
          </cell>
        </row>
        <row r="11517">
          <cell r="A11517" t="str">
            <v>MTI WIRELESS EDGE</v>
          </cell>
          <cell r="B11517" t="str">
            <v>MT-263004/NH</v>
          </cell>
          <cell r="O11517">
            <v>7.3794873479999987</v>
          </cell>
          <cell r="T11517">
            <v>1.0810363679999999</v>
          </cell>
        </row>
        <row r="11518">
          <cell r="A11518" t="str">
            <v>MTI WIRELESS EDGE</v>
          </cell>
          <cell r="B11518" t="str">
            <v>MT-264003/NH</v>
          </cell>
          <cell r="O11518"/>
          <cell r="T11518"/>
        </row>
        <row r="11519">
          <cell r="A11519" t="str">
            <v>MTI WIRELESS EDGE</v>
          </cell>
          <cell r="B11519" t="str">
            <v>MT-284001/N</v>
          </cell>
          <cell r="O11519">
            <v>1.7614204493955299</v>
          </cell>
          <cell r="T11519">
            <v>0.14117132139490801</v>
          </cell>
        </row>
        <row r="11520">
          <cell r="A11520" t="str">
            <v>MTI WIRELESS EDGE</v>
          </cell>
          <cell r="B11520" t="str">
            <v>MT-30105</v>
          </cell>
          <cell r="O11520">
            <v>0.70722381774426402</v>
          </cell>
          <cell r="T11520">
            <v>0.14002110737800591</v>
          </cell>
        </row>
        <row r="11521">
          <cell r="A11521" t="str">
            <v>MTI WIRELESS EDGE</v>
          </cell>
          <cell r="B11521" t="str">
            <v>MT-344027/NV</v>
          </cell>
          <cell r="O11521"/>
          <cell r="T11521"/>
        </row>
        <row r="11522">
          <cell r="A11522" t="str">
            <v>MTI WIRELESS EDGE</v>
          </cell>
          <cell r="B11522" t="str">
            <v>MT-344036/NV</v>
          </cell>
          <cell r="O11522"/>
          <cell r="T11522"/>
        </row>
        <row r="11523">
          <cell r="A11523" t="str">
            <v>MTI WIRELESS EDGE</v>
          </cell>
          <cell r="B11523" t="str">
            <v>MT-346004/N</v>
          </cell>
          <cell r="O11523"/>
          <cell r="T11523"/>
        </row>
        <row r="11524">
          <cell r="A11524" t="str">
            <v>MTI WIRELESS EDGE</v>
          </cell>
          <cell r="B11524" t="str">
            <v>MT-363010/VN</v>
          </cell>
          <cell r="O11524"/>
          <cell r="T11524"/>
        </row>
        <row r="11525">
          <cell r="A11525" t="str">
            <v>MTI WIRELESS EDGE</v>
          </cell>
          <cell r="B11525" t="str">
            <v>MT-364002/A</v>
          </cell>
          <cell r="O11525">
            <v>1.7614204493955299</v>
          </cell>
          <cell r="T11525">
            <v>0.14117132139490801</v>
          </cell>
        </row>
        <row r="11526">
          <cell r="A11526" t="str">
            <v>MTI WIRELESS EDGE</v>
          </cell>
          <cell r="B11526" t="str">
            <v>MT-365012/NVH</v>
          </cell>
          <cell r="O11526">
            <v>2.4401474864983301</v>
          </cell>
          <cell r="T11526">
            <v>0.2436558275458249</v>
          </cell>
        </row>
        <row r="11527">
          <cell r="A11527" t="str">
            <v>MTI WIRELESS EDGE</v>
          </cell>
          <cell r="B11527" t="str">
            <v>MT-383014/NVH</v>
          </cell>
          <cell r="O11527">
            <v>2.4401474864983301</v>
          </cell>
          <cell r="T11527">
            <v>0.2436558275458249</v>
          </cell>
        </row>
        <row r="11528">
          <cell r="A11528" t="str">
            <v>MTI WIRELESS EDGE</v>
          </cell>
          <cell r="B11528" t="str">
            <v>MT-384002/NV</v>
          </cell>
          <cell r="O11528"/>
          <cell r="T11528"/>
        </row>
        <row r="11529">
          <cell r="A11529" t="str">
            <v>MTI WIRELESS EDGE</v>
          </cell>
          <cell r="B11529" t="str">
            <v>MT-384024/NVH</v>
          </cell>
          <cell r="O11529">
            <v>2.7948908777267296</v>
          </cell>
          <cell r="T11529">
            <v>0.24076939878244991</v>
          </cell>
        </row>
        <row r="11530">
          <cell r="A11530" t="str">
            <v>MTI WIRELESS EDGE</v>
          </cell>
          <cell r="B11530" t="str">
            <v>MT-385002/ND</v>
          </cell>
          <cell r="O11530"/>
          <cell r="T11530"/>
        </row>
        <row r="11531">
          <cell r="A11531" t="str">
            <v>MTI WIRELESS EDGE</v>
          </cell>
          <cell r="B11531" t="str">
            <v>MT-404005/H</v>
          </cell>
          <cell r="O11531">
            <v>1.3624625288390098</v>
          </cell>
          <cell r="T11531">
            <v>0.20386933040892991</v>
          </cell>
        </row>
        <row r="11532">
          <cell r="A11532" t="str">
            <v>MTI WIRELESS EDGE</v>
          </cell>
          <cell r="B11532" t="str">
            <v>MT-404007</v>
          </cell>
          <cell r="O11532">
            <v>1.3624625288390098</v>
          </cell>
          <cell r="T11532">
            <v>0.20386933040892991</v>
          </cell>
        </row>
        <row r="11533">
          <cell r="A11533" t="str">
            <v>MTI WIRELESS EDGE</v>
          </cell>
          <cell r="B11533" t="str">
            <v>MT-404014/NH</v>
          </cell>
          <cell r="O11533">
            <v>2.7948908777267296</v>
          </cell>
          <cell r="T11533">
            <v>0.24076939878244991</v>
          </cell>
        </row>
        <row r="11534">
          <cell r="A11534" t="str">
            <v>MTI WIRELESS EDGE</v>
          </cell>
          <cell r="B11534" t="str">
            <v>MT-404014/NV</v>
          </cell>
          <cell r="O11534">
            <v>2.7948908777267296</v>
          </cell>
          <cell r="T11534">
            <v>0.24076939878244991</v>
          </cell>
        </row>
        <row r="11535">
          <cell r="A11535" t="str">
            <v>MTI WIRELESS EDGE</v>
          </cell>
          <cell r="B11535" t="str">
            <v>MT-404066/ND</v>
          </cell>
          <cell r="O11535"/>
          <cell r="T11535"/>
        </row>
        <row r="11536">
          <cell r="A11536" t="str">
            <v>MTI WIRELESS EDGE</v>
          </cell>
          <cell r="B11536" t="str">
            <v>MT-404067/ND</v>
          </cell>
          <cell r="O11536"/>
          <cell r="T11536"/>
        </row>
        <row r="11537">
          <cell r="A11537" t="str">
            <v>MTI WIRELESS EDGE</v>
          </cell>
          <cell r="B11537" t="str">
            <v>MT-404081/ND</v>
          </cell>
          <cell r="O11537"/>
          <cell r="T11537"/>
        </row>
        <row r="11538">
          <cell r="A11538" t="str">
            <v>MTI WIRELESS EDGE</v>
          </cell>
          <cell r="B11538" t="str">
            <v>MT-404083/ND</v>
          </cell>
          <cell r="O11538"/>
          <cell r="T11538"/>
        </row>
        <row r="11539">
          <cell r="A11539" t="str">
            <v>MTI WIRELESS EDGE</v>
          </cell>
          <cell r="B11539" t="str">
            <v>MT-444003/NV</v>
          </cell>
          <cell r="O11539"/>
          <cell r="T11539"/>
        </row>
        <row r="11540">
          <cell r="A11540" t="str">
            <v>MTI WIRELESS EDGE</v>
          </cell>
          <cell r="B11540" t="str">
            <v>MT-446003/N</v>
          </cell>
          <cell r="O11540"/>
          <cell r="T11540"/>
        </row>
        <row r="11541">
          <cell r="A11541" t="str">
            <v>MTI WIRELESS EDGE</v>
          </cell>
          <cell r="B11541" t="str">
            <v>MT-463012/NVH</v>
          </cell>
          <cell r="O11541">
            <v>1.3641162374090599</v>
          </cell>
          <cell r="T11541">
            <v>0.19859652752780999</v>
          </cell>
        </row>
        <row r="11542">
          <cell r="A11542" t="str">
            <v>MTI WIRELESS EDGE</v>
          </cell>
          <cell r="B11542" t="str">
            <v>MT-463013/NVH</v>
          </cell>
          <cell r="O11542">
            <v>1.3641162374090599</v>
          </cell>
          <cell r="T11542">
            <v>0.19859652752780999</v>
          </cell>
        </row>
        <row r="11543">
          <cell r="A11543" t="str">
            <v>MTI WIRELESS EDGE</v>
          </cell>
          <cell r="B11543" t="str">
            <v>MT-463042/ND</v>
          </cell>
          <cell r="O11543">
            <v>2.4401474864983301</v>
          </cell>
          <cell r="T11543">
            <v>0.2436558275458249</v>
          </cell>
        </row>
        <row r="11544">
          <cell r="A11544" t="str">
            <v>MTI WIRELESS EDGE</v>
          </cell>
          <cell r="B11544" t="str">
            <v>MT-464018/ND</v>
          </cell>
          <cell r="O11544"/>
          <cell r="T11544"/>
        </row>
        <row r="11545">
          <cell r="A11545" t="str">
            <v>MTI WIRELESS EDGE</v>
          </cell>
          <cell r="B11545" t="str">
            <v>MT-464032_NVH</v>
          </cell>
          <cell r="O11545"/>
          <cell r="T11545"/>
        </row>
        <row r="11546">
          <cell r="A11546" t="str">
            <v>MTI WIRELESS EDGE</v>
          </cell>
          <cell r="B11546" t="str">
            <v>MT-464042/ND</v>
          </cell>
          <cell r="O11546">
            <v>2.4401474864983301</v>
          </cell>
          <cell r="T11546">
            <v>0.2436558275458249</v>
          </cell>
        </row>
        <row r="11547">
          <cell r="A11547" t="str">
            <v>MTI WIRELESS EDGE</v>
          </cell>
          <cell r="B11547" t="str">
            <v>MT-483003/N</v>
          </cell>
          <cell r="O11547"/>
          <cell r="T11547"/>
        </row>
        <row r="11548">
          <cell r="A11548" t="str">
            <v>MTI WIRELESS EDGE</v>
          </cell>
          <cell r="B11548" t="str">
            <v>MT-484026/NVH</v>
          </cell>
          <cell r="O11548">
            <v>2.14263876025935</v>
          </cell>
          <cell r="T11548">
            <v>9.6919928248294304E-2</v>
          </cell>
        </row>
        <row r="11549">
          <cell r="A11549" t="str">
            <v>MTI WIRELESS EDGE</v>
          </cell>
          <cell r="B11549" t="str">
            <v>MT-484032/NV</v>
          </cell>
          <cell r="O11549"/>
          <cell r="T11549"/>
        </row>
        <row r="11550">
          <cell r="A11550" t="str">
            <v>MTI WIRELESS EDGE</v>
          </cell>
          <cell r="B11550" t="str">
            <v>MT-484033/NH</v>
          </cell>
          <cell r="O11550"/>
          <cell r="T11550"/>
        </row>
        <row r="11551">
          <cell r="A11551" t="str">
            <v>MTI WIRELESS EDGE</v>
          </cell>
          <cell r="B11551" t="str">
            <v>MT-484034/NV</v>
          </cell>
          <cell r="O11551"/>
          <cell r="T11551"/>
        </row>
        <row r="11552">
          <cell r="A11552" t="str">
            <v>MTI WIRELESS EDGE</v>
          </cell>
          <cell r="B11552" t="str">
            <v>MT-485002</v>
          </cell>
          <cell r="O11552"/>
          <cell r="T11552"/>
        </row>
        <row r="11553">
          <cell r="A11553" t="str">
            <v>MTI WIRELESS EDGE</v>
          </cell>
          <cell r="B11553" t="str">
            <v>MT-485025</v>
          </cell>
          <cell r="O11553"/>
          <cell r="T11553"/>
        </row>
        <row r="11554">
          <cell r="A11554" t="str">
            <v>MTI WIRELESS EDGE</v>
          </cell>
          <cell r="B11554" t="str">
            <v>MT-485025/NVH</v>
          </cell>
          <cell r="O11554"/>
          <cell r="T11554"/>
        </row>
        <row r="11555">
          <cell r="A11555" t="str">
            <v>MTI WIRELESS EDGE</v>
          </cell>
          <cell r="B11555" t="str">
            <v>MT-485028/B</v>
          </cell>
          <cell r="O11555"/>
          <cell r="T11555"/>
        </row>
        <row r="11556">
          <cell r="A11556" t="str">
            <v>MTI WIRELESS EDGE</v>
          </cell>
          <cell r="B11556" t="str">
            <v>MT-485028/C/A</v>
          </cell>
          <cell r="O11556"/>
          <cell r="T11556"/>
        </row>
        <row r="11557">
          <cell r="A11557" t="str">
            <v>MTI WIRELESS EDGE</v>
          </cell>
          <cell r="B11557" t="str">
            <v>MT-485028/N</v>
          </cell>
          <cell r="O11557"/>
          <cell r="T11557"/>
        </row>
        <row r="11558">
          <cell r="A11558" t="str">
            <v>MTI WIRELESS EDGE</v>
          </cell>
          <cell r="B11558" t="str">
            <v>MT-485034/N</v>
          </cell>
          <cell r="O11558"/>
          <cell r="T11558"/>
        </row>
        <row r="11559">
          <cell r="A11559" t="str">
            <v>MTI WIRELESS EDGE</v>
          </cell>
          <cell r="B11559" t="str">
            <v>MT-485053/NVH</v>
          </cell>
          <cell r="O11559"/>
          <cell r="T11559"/>
        </row>
        <row r="11560">
          <cell r="A11560" t="str">
            <v>MTI WIRELESS EDGE</v>
          </cell>
          <cell r="B11560" t="str">
            <v>MT-486001</v>
          </cell>
          <cell r="O11560"/>
          <cell r="T11560"/>
        </row>
        <row r="11561">
          <cell r="A11561" t="str">
            <v>MTI WIRELESS EDGE</v>
          </cell>
          <cell r="B11561" t="str">
            <v>MT-486004/N</v>
          </cell>
          <cell r="O11561"/>
          <cell r="T11561"/>
        </row>
        <row r="11562">
          <cell r="A11562" t="str">
            <v>MTI WIRELESS EDGE</v>
          </cell>
          <cell r="B11562" t="str">
            <v>MT-487000/N</v>
          </cell>
          <cell r="O11562"/>
          <cell r="T11562"/>
        </row>
        <row r="11563">
          <cell r="A11563" t="str">
            <v>MTI WIRELESS EDGE</v>
          </cell>
          <cell r="B11563" t="str">
            <v>MT-518M49VH/CG/A</v>
          </cell>
          <cell r="O11563"/>
          <cell r="T11563"/>
        </row>
        <row r="11564">
          <cell r="A11564" t="str">
            <v>MTI WIRELESS EDGE</v>
          </cell>
          <cell r="B11564" t="str">
            <v>MT-518M49VH/NK</v>
          </cell>
          <cell r="O11564"/>
          <cell r="T11564"/>
        </row>
        <row r="11565">
          <cell r="A11565" t="str">
            <v>MTI WIRELESS EDGE</v>
          </cell>
          <cell r="B11565" t="str">
            <v>MT-536M49VH</v>
          </cell>
          <cell r="O11565"/>
          <cell r="T11565"/>
        </row>
        <row r="11566">
          <cell r="A11566" t="str">
            <v>MTI WIRELESS EDGE</v>
          </cell>
          <cell r="B11566" t="str">
            <v>MT-799001/W</v>
          </cell>
          <cell r="O11566"/>
          <cell r="T11566"/>
        </row>
        <row r="11567">
          <cell r="A11567" t="str">
            <v>MTI WIRELESS EDGE</v>
          </cell>
          <cell r="B11567" t="str">
            <v>MT006S13VH/RB</v>
          </cell>
          <cell r="O11567"/>
          <cell r="T11567"/>
        </row>
        <row r="11568">
          <cell r="A11568" t="str">
            <v>MTI WIRELESS EDGE</v>
          </cell>
          <cell r="B11568" t="str">
            <v>MT1180M50VH</v>
          </cell>
          <cell r="O11568"/>
          <cell r="T11568"/>
        </row>
        <row r="11569">
          <cell r="A11569" t="str">
            <v>MTI WIRELESS EDGE</v>
          </cell>
          <cell r="B11569" t="str">
            <v>MT1180M50VH/AV/A</v>
          </cell>
          <cell r="O11569"/>
          <cell r="T11569"/>
        </row>
        <row r="11570">
          <cell r="A11570" t="str">
            <v>MTI WIRELESS EDGE</v>
          </cell>
          <cell r="B11570" t="str">
            <v>MT518M49VH</v>
          </cell>
          <cell r="O11570"/>
          <cell r="T11570"/>
        </row>
        <row r="11571">
          <cell r="A11571" t="str">
            <v>MTI WIRELESS EDGE</v>
          </cell>
          <cell r="B11571" t="str">
            <v>MT518M49VH/AV/A</v>
          </cell>
          <cell r="O11571"/>
          <cell r="T11571"/>
        </row>
        <row r="11572">
          <cell r="A11572" t="str">
            <v>MTI WIRELESS EDGE</v>
          </cell>
          <cell r="B11572" t="str">
            <v>MT536M49/VH-NK</v>
          </cell>
          <cell r="O11572"/>
          <cell r="T11572"/>
        </row>
        <row r="11573">
          <cell r="A11573" t="str">
            <v>MTI WIRELESS EDGE</v>
          </cell>
          <cell r="B11573" t="str">
            <v>MT536M49VH/CG</v>
          </cell>
          <cell r="O11573"/>
          <cell r="T11573"/>
        </row>
        <row r="11574">
          <cell r="A11574" t="str">
            <v>MUELLER SYSTEMS</v>
          </cell>
          <cell r="B11574" t="str">
            <v>MI.NET</v>
          </cell>
          <cell r="O11574"/>
          <cell r="T11574"/>
        </row>
        <row r="11575">
          <cell r="A11575" t="str">
            <v>MUSCO</v>
          </cell>
          <cell r="B11575" t="str">
            <v>TLC-BT-575</v>
          </cell>
          <cell r="O11575"/>
          <cell r="T11575"/>
        </row>
        <row r="11576">
          <cell r="A11576" t="str">
            <v>MUSCO</v>
          </cell>
          <cell r="B11576" t="str">
            <v>TLC-LED-1200</v>
          </cell>
          <cell r="O11576"/>
          <cell r="T11576"/>
        </row>
        <row r="11577">
          <cell r="A11577" t="str">
            <v>MUSCO</v>
          </cell>
          <cell r="B11577" t="str">
            <v>TLC-LED-1500</v>
          </cell>
          <cell r="O11577"/>
          <cell r="T11577"/>
        </row>
        <row r="11578">
          <cell r="A11578" t="str">
            <v>MUSCO</v>
          </cell>
          <cell r="B11578" t="str">
            <v>TLC-LED-900</v>
          </cell>
          <cell r="O11578"/>
          <cell r="T11578"/>
        </row>
        <row r="11579">
          <cell r="A11579" t="str">
            <v>MWAVE INDUSTRIES</v>
          </cell>
          <cell r="B11579" t="str">
            <v>HRP1-800</v>
          </cell>
          <cell r="O11579"/>
          <cell r="T11579"/>
        </row>
        <row r="11580">
          <cell r="A11580" t="str">
            <v>MWAVE INDUSTRIES</v>
          </cell>
          <cell r="B11580" t="str">
            <v>HRP2-800</v>
          </cell>
          <cell r="O11580"/>
          <cell r="T11580"/>
        </row>
        <row r="11581">
          <cell r="A11581" t="str">
            <v>MWAVE INDUSTRIES</v>
          </cell>
          <cell r="B11581" t="str">
            <v>HRP3-800</v>
          </cell>
          <cell r="O11581"/>
          <cell r="T11581"/>
        </row>
        <row r="11582">
          <cell r="A11582" t="str">
            <v>MWAVE INDUSTRIES</v>
          </cell>
          <cell r="B11582" t="str">
            <v>P-9A72GN-S</v>
          </cell>
          <cell r="O11582"/>
          <cell r="T11582"/>
        </row>
        <row r="11583">
          <cell r="A11583" t="str">
            <v>MWAVE INDUSTRIES</v>
          </cell>
          <cell r="B11583" t="str">
            <v>RP2-54-N</v>
          </cell>
          <cell r="O11583"/>
          <cell r="T11583"/>
        </row>
        <row r="11584">
          <cell r="A11584" t="str">
            <v>MWAVE INDUSTRIES</v>
          </cell>
          <cell r="B11584" t="str">
            <v>RPD2-54-N</v>
          </cell>
          <cell r="O11584"/>
          <cell r="T11584"/>
        </row>
        <row r="11585">
          <cell r="A11585" t="str">
            <v>MWAVE INDUSTRIES</v>
          </cell>
          <cell r="B11585" t="str">
            <v>RPD2-59-N</v>
          </cell>
          <cell r="O11585"/>
          <cell r="T11585"/>
        </row>
        <row r="11586">
          <cell r="A11586" t="str">
            <v>MWAVE INDUSTRIES</v>
          </cell>
          <cell r="B11586" t="str">
            <v>RPD3-54-N</v>
          </cell>
          <cell r="O11586"/>
          <cell r="T11586"/>
        </row>
        <row r="11587">
          <cell r="A11587" t="str">
            <v>N SYSTEMS</v>
          </cell>
          <cell r="B11587" t="str">
            <v>23QH15Q</v>
          </cell>
          <cell r="O11587"/>
          <cell r="T11587"/>
        </row>
        <row r="11588">
          <cell r="A11588" t="str">
            <v>N SYSTEMS</v>
          </cell>
          <cell r="B11588" t="str">
            <v>CRS2</v>
          </cell>
          <cell r="O11588"/>
          <cell r="T11588"/>
        </row>
        <row r="11589">
          <cell r="A11589" t="str">
            <v>N SYSTEMS</v>
          </cell>
          <cell r="B11589" t="str">
            <v>CRS4</v>
          </cell>
          <cell r="O11589"/>
          <cell r="T11589"/>
        </row>
        <row r="11590">
          <cell r="A11590" t="str">
            <v>NAIS</v>
          </cell>
          <cell r="B11590" t="str">
            <v>32ST01</v>
          </cell>
          <cell r="O11590"/>
          <cell r="T11590"/>
        </row>
        <row r="11591">
          <cell r="A11591" t="str">
            <v>NAVINI NETWORKS</v>
          </cell>
          <cell r="B11591" t="str">
            <v>95-00043-05</v>
          </cell>
          <cell r="O11591"/>
          <cell r="T11591"/>
        </row>
        <row r="11592">
          <cell r="A11592" t="str">
            <v>NAVINI NETWORKS</v>
          </cell>
          <cell r="B11592" t="str">
            <v>95-00043-10</v>
          </cell>
          <cell r="O11592"/>
          <cell r="T11592"/>
        </row>
        <row r="11593">
          <cell r="A11593" t="str">
            <v>NAVINI NETWORKS</v>
          </cell>
          <cell r="B11593" t="str">
            <v>95-10043-00</v>
          </cell>
          <cell r="O11593"/>
          <cell r="T11593"/>
        </row>
        <row r="11594">
          <cell r="A11594" t="str">
            <v>NAVINI NETWORKS</v>
          </cell>
          <cell r="B11594" t="str">
            <v>95-23110-00</v>
          </cell>
          <cell r="O11594">
            <v>9.6341400092129916</v>
          </cell>
          <cell r="T11594">
            <v>4.7919337023541804</v>
          </cell>
        </row>
        <row r="11595">
          <cell r="A11595" t="str">
            <v>NAVINI NETWORKS</v>
          </cell>
          <cell r="B11595" t="str">
            <v>95-24008-02</v>
          </cell>
          <cell r="O11595"/>
          <cell r="T11595"/>
        </row>
        <row r="11596">
          <cell r="A11596" t="str">
            <v>NAVINI NETWORKS</v>
          </cell>
          <cell r="B11596" t="str">
            <v>95-25000-00</v>
          </cell>
          <cell r="O11596"/>
          <cell r="T11596"/>
        </row>
        <row r="11597">
          <cell r="A11597" t="str">
            <v>NAVINI NETWORKS</v>
          </cell>
          <cell r="B11597" t="str">
            <v>95-25268-00</v>
          </cell>
          <cell r="O11597">
            <v>9.6341400092129916</v>
          </cell>
          <cell r="T11597">
            <v>4.7919337023541804</v>
          </cell>
        </row>
        <row r="11598">
          <cell r="A11598" t="str">
            <v>NAVINI NETWORKS</v>
          </cell>
          <cell r="B11598" t="str">
            <v>RFS8-SECTOR</v>
          </cell>
          <cell r="O11598">
            <v>9.6341400092129916</v>
          </cell>
          <cell r="T11598">
            <v>4.7919337023541804</v>
          </cell>
        </row>
        <row r="11599">
          <cell r="A11599" t="str">
            <v>NCG COMPANY</v>
          </cell>
          <cell r="B11599" t="str">
            <v>GP-6</v>
          </cell>
          <cell r="O11599"/>
          <cell r="T11599"/>
        </row>
        <row r="11600">
          <cell r="A11600" t="str">
            <v>NCG COMPANY</v>
          </cell>
          <cell r="B11600" t="str">
            <v>GP-9</v>
          </cell>
          <cell r="O11600"/>
          <cell r="T11600"/>
        </row>
        <row r="11601">
          <cell r="A11601" t="str">
            <v>NEARSON</v>
          </cell>
          <cell r="B11601" t="str">
            <v>122</v>
          </cell>
          <cell r="O11601"/>
          <cell r="T11601"/>
        </row>
        <row r="11602">
          <cell r="A11602" t="str">
            <v>NETKROM TECHNOLOGIES</v>
          </cell>
          <cell r="B11602" t="str">
            <v>W24-120</v>
          </cell>
          <cell r="O11602"/>
          <cell r="T11602"/>
        </row>
        <row r="11603">
          <cell r="A11603" t="str">
            <v>NETKROM TECHNOLOGIES</v>
          </cell>
          <cell r="B11603" t="str">
            <v>W24-90</v>
          </cell>
          <cell r="O11603"/>
          <cell r="T11603"/>
        </row>
        <row r="11604">
          <cell r="A11604" t="str">
            <v>NETKROM TECHNOLOGIES</v>
          </cell>
          <cell r="B11604" t="str">
            <v>W90-15G</v>
          </cell>
          <cell r="O11604"/>
          <cell r="T11604"/>
        </row>
        <row r="11605">
          <cell r="A11605" t="str">
            <v>NETOPIA</v>
          </cell>
          <cell r="B11605" t="str">
            <v>HP27G/NM</v>
          </cell>
          <cell r="O11605"/>
          <cell r="T11605"/>
        </row>
        <row r="11606">
          <cell r="A11606" t="str">
            <v>NETPOINT</v>
          </cell>
          <cell r="B11606" t="str">
            <v>NPPRO5-S-DP-3FT</v>
          </cell>
          <cell r="O11606"/>
          <cell r="T11606"/>
        </row>
        <row r="11607">
          <cell r="A11607" t="str">
            <v>NEW CINGULAR MLA</v>
          </cell>
          <cell r="B11607" t="str">
            <v>NEW CINGULAR MLA ANTENNA</v>
          </cell>
          <cell r="O11607"/>
          <cell r="T11607"/>
        </row>
        <row r="11608">
          <cell r="A11608" t="str">
            <v>NEW CINGULAR MLA</v>
          </cell>
          <cell r="B11608" t="str">
            <v>NEW CINGULAR MLA ANTENNA II</v>
          </cell>
          <cell r="O11608"/>
          <cell r="T11608"/>
        </row>
        <row r="11609">
          <cell r="A11609" t="str">
            <v>NEWAVE TOWER COMPONENTS</v>
          </cell>
          <cell r="B11609" t="str">
            <v>MIS4-R</v>
          </cell>
          <cell r="O11609"/>
          <cell r="T11609"/>
        </row>
        <row r="11610">
          <cell r="A11610" t="str">
            <v>NEWAVE TOWER COMPONENTS</v>
          </cell>
          <cell r="B11610" t="str">
            <v>MIS6-R</v>
          </cell>
          <cell r="O11610"/>
          <cell r="T11610"/>
        </row>
        <row r="11611">
          <cell r="A11611" t="str">
            <v>NEWAVE TOWER COMPONENTS</v>
          </cell>
          <cell r="B11611" t="str">
            <v>MIS8-R</v>
          </cell>
          <cell r="O11611"/>
          <cell r="T11611"/>
        </row>
        <row r="11612">
          <cell r="A11612" t="str">
            <v>NEWPOWA</v>
          </cell>
          <cell r="B11612" t="str">
            <v>NPA200S-12H</v>
          </cell>
          <cell r="O11612"/>
          <cell r="T11612"/>
        </row>
        <row r="11613">
          <cell r="A11613" t="str">
            <v>NEXTEL</v>
          </cell>
          <cell r="B11613" t="str">
            <v>P-24A48-GN-U</v>
          </cell>
          <cell r="O11613"/>
          <cell r="T11613"/>
        </row>
        <row r="11614">
          <cell r="A11614" t="str">
            <v>NICOM</v>
          </cell>
          <cell r="B11614" t="str">
            <v>BKG/77</v>
          </cell>
          <cell r="O11614"/>
          <cell r="T11614"/>
        </row>
        <row r="11615">
          <cell r="A11615" t="str">
            <v>NICOM</v>
          </cell>
          <cell r="B11615" t="str">
            <v>BKG/77-3 HW</v>
          </cell>
          <cell r="O11615"/>
          <cell r="T11615"/>
        </row>
        <row r="11616">
          <cell r="A11616" t="str">
            <v>NICOM</v>
          </cell>
          <cell r="B11616" t="str">
            <v>BKG/77/2</v>
          </cell>
          <cell r="O11616"/>
          <cell r="T11616"/>
        </row>
        <row r="11617">
          <cell r="A11617" t="str">
            <v>NICOM</v>
          </cell>
          <cell r="B11617" t="str">
            <v>BKG/88</v>
          </cell>
          <cell r="O11617"/>
          <cell r="T11617"/>
        </row>
        <row r="11618">
          <cell r="A11618" t="str">
            <v>NICOM</v>
          </cell>
          <cell r="B11618" t="str">
            <v>BKG1/P</v>
          </cell>
          <cell r="O11618"/>
          <cell r="T11618"/>
        </row>
        <row r="11619">
          <cell r="A11619" t="str">
            <v>NICOM</v>
          </cell>
          <cell r="B11619" t="str">
            <v>BKG1P_CCIV1</v>
          </cell>
          <cell r="O11619"/>
          <cell r="T11619"/>
        </row>
        <row r="11620">
          <cell r="A11620" t="str">
            <v>NICOM</v>
          </cell>
          <cell r="B11620" t="str">
            <v>BKG77</v>
          </cell>
          <cell r="O11620"/>
          <cell r="T11620"/>
        </row>
        <row r="11621">
          <cell r="A11621" t="str">
            <v>NICOM</v>
          </cell>
          <cell r="B11621" t="str">
            <v>BKG77_CCIV2</v>
          </cell>
          <cell r="O11621"/>
          <cell r="T11621"/>
        </row>
        <row r="11622">
          <cell r="A11622" t="str">
            <v>NICOM</v>
          </cell>
          <cell r="B11622" t="str">
            <v>BKP120</v>
          </cell>
          <cell r="O11622"/>
          <cell r="T11622"/>
        </row>
        <row r="11623">
          <cell r="A11623" t="str">
            <v>NICOM</v>
          </cell>
          <cell r="B11623" t="str">
            <v>BKP950</v>
          </cell>
          <cell r="O11623"/>
          <cell r="T11623"/>
        </row>
        <row r="11624">
          <cell r="A11624" t="str">
            <v>NICOM</v>
          </cell>
          <cell r="B11624" t="str">
            <v>BKP950_CCIV2</v>
          </cell>
          <cell r="O11624"/>
          <cell r="T11624"/>
        </row>
        <row r="11625">
          <cell r="A11625" t="str">
            <v>NICOM</v>
          </cell>
          <cell r="B11625" t="str">
            <v>BKU 4-5</v>
          </cell>
          <cell r="O11625"/>
          <cell r="T11625"/>
        </row>
        <row r="11626">
          <cell r="A11626" t="str">
            <v>NICOM</v>
          </cell>
          <cell r="B11626" t="str">
            <v>BKY3P</v>
          </cell>
          <cell r="O11626"/>
          <cell r="T11626"/>
        </row>
        <row r="11627">
          <cell r="A11627" t="str">
            <v>NICOM</v>
          </cell>
          <cell r="B11627" t="str">
            <v>BLD1/P</v>
          </cell>
          <cell r="O11627"/>
          <cell r="T11627"/>
        </row>
        <row r="11628">
          <cell r="A11628" t="str">
            <v>NICOM</v>
          </cell>
          <cell r="B11628" t="str">
            <v>BLK-8</v>
          </cell>
          <cell r="O11628"/>
          <cell r="T11628"/>
        </row>
        <row r="11629">
          <cell r="A11629" t="str">
            <v>NICOM</v>
          </cell>
          <cell r="B11629" t="str">
            <v>BLK/5</v>
          </cell>
          <cell r="O11629"/>
          <cell r="T11629"/>
        </row>
        <row r="11630">
          <cell r="A11630" t="str">
            <v>NICOM</v>
          </cell>
          <cell r="B11630" t="str">
            <v>LOG FM P5</v>
          </cell>
          <cell r="O11630"/>
          <cell r="T11630"/>
        </row>
        <row r="11631">
          <cell r="A11631" t="str">
            <v>NOKIA</v>
          </cell>
          <cell r="B11631" t="str">
            <v>34117 Airscale MAA B41 AEHC 64T64R 320W Nokia_TMO</v>
          </cell>
          <cell r="O11631">
            <v>7.258315089312819</v>
          </cell>
          <cell r="T11631">
            <v>1.9751719764019</v>
          </cell>
        </row>
        <row r="11632">
          <cell r="A11632" t="str">
            <v>NOKIA</v>
          </cell>
          <cell r="B11632" t="str">
            <v>475124A</v>
          </cell>
          <cell r="O11632">
            <v>7.258315089312819</v>
          </cell>
          <cell r="T11632">
            <v>1.9751719764019</v>
          </cell>
        </row>
        <row r="11633">
          <cell r="A11633" t="str">
            <v>NOKIA</v>
          </cell>
          <cell r="B11633" t="str">
            <v>AAFIA</v>
          </cell>
          <cell r="O11633"/>
          <cell r="T11633"/>
        </row>
        <row r="11634">
          <cell r="A11634" t="str">
            <v>NOKIA</v>
          </cell>
          <cell r="B11634" t="str">
            <v>AAFIA_CCIV2</v>
          </cell>
          <cell r="O11634">
            <v>15.257513503086399</v>
          </cell>
          <cell r="T11634">
            <v>7.80439221962963</v>
          </cell>
        </row>
        <row r="11635">
          <cell r="A11635" t="str">
            <v>NOKIA</v>
          </cell>
          <cell r="B11635" t="str">
            <v>AAFIA_CCIV3</v>
          </cell>
          <cell r="O11635">
            <v>14.7051522323495</v>
          </cell>
          <cell r="T11635">
            <v>5.486996321130829</v>
          </cell>
        </row>
        <row r="11636">
          <cell r="A11636" t="str">
            <v>NOKIA</v>
          </cell>
          <cell r="B11636" t="str">
            <v>AAFIA_T-MOBILE</v>
          </cell>
          <cell r="O11636">
            <v>14.158362268518498</v>
          </cell>
          <cell r="T11636">
            <v>6.0347328722912099</v>
          </cell>
        </row>
        <row r="11637">
          <cell r="A11637" t="str">
            <v>NOKIA</v>
          </cell>
          <cell r="B11637" t="str">
            <v>AAFIB</v>
          </cell>
          <cell r="O11637"/>
          <cell r="T11637"/>
        </row>
        <row r="11638">
          <cell r="A11638" t="str">
            <v>NOKIA</v>
          </cell>
          <cell r="B11638" t="str">
            <v>AAHC</v>
          </cell>
          <cell r="O11638">
            <v>4.2291772918366899</v>
          </cell>
          <cell r="T11638">
            <v>1.9036261248297197</v>
          </cell>
        </row>
        <row r="11639">
          <cell r="A11639" t="str">
            <v>NOKIA</v>
          </cell>
          <cell r="B11639" t="str">
            <v>AAHF</v>
          </cell>
          <cell r="O11639">
            <v>4.2291772918366899</v>
          </cell>
          <cell r="T11639">
            <v>1.9036261248297197</v>
          </cell>
        </row>
        <row r="11640">
          <cell r="A11640" t="str">
            <v>NOKIA</v>
          </cell>
          <cell r="B11640" t="str">
            <v>AAHJ</v>
          </cell>
          <cell r="O11640"/>
          <cell r="T11640"/>
        </row>
        <row r="11641">
          <cell r="A11641" t="str">
            <v>NOKIA</v>
          </cell>
          <cell r="B11641" t="str">
            <v>AAHO_475920A</v>
          </cell>
          <cell r="O11641"/>
          <cell r="T11641"/>
        </row>
        <row r="11642">
          <cell r="A11642" t="str">
            <v>NOKIA</v>
          </cell>
          <cell r="B11642" t="str">
            <v>AAQA</v>
          </cell>
          <cell r="O11642">
            <v>1.08625888059528</v>
          </cell>
          <cell r="T11642">
            <v>0.38432886809751787</v>
          </cell>
        </row>
        <row r="11643">
          <cell r="A11643" t="str">
            <v>NOKIA</v>
          </cell>
          <cell r="B11643" t="str">
            <v>AARC</v>
          </cell>
          <cell r="O11643"/>
          <cell r="T11643"/>
        </row>
        <row r="11644">
          <cell r="A11644" t="str">
            <v>NOKIA</v>
          </cell>
          <cell r="B11644" t="str">
            <v>AEFIA</v>
          </cell>
          <cell r="O11644"/>
          <cell r="T11644"/>
        </row>
        <row r="11645">
          <cell r="A11645" t="str">
            <v>NOKIA</v>
          </cell>
          <cell r="B11645" t="str">
            <v>AEHA</v>
          </cell>
          <cell r="O11645"/>
          <cell r="T11645"/>
        </row>
        <row r="11646">
          <cell r="A11646" t="str">
            <v>NOKIA</v>
          </cell>
          <cell r="B11646" t="str">
            <v>AEHC</v>
          </cell>
          <cell r="O11646">
            <v>7.258315089312819</v>
          </cell>
          <cell r="T11646">
            <v>1.9751719764019</v>
          </cell>
        </row>
        <row r="11647">
          <cell r="A11647" t="str">
            <v>NOKIA</v>
          </cell>
          <cell r="B11647" t="str">
            <v>AEHC AirScale MAA 64T64R 192AE n41 240W</v>
          </cell>
          <cell r="O11647">
            <v>7.258315089312819</v>
          </cell>
          <cell r="T11647">
            <v>1.9751719764019</v>
          </cell>
        </row>
        <row r="11648">
          <cell r="A11648" t="str">
            <v>NOKIA</v>
          </cell>
          <cell r="B11648" t="str">
            <v>AEHC_475124A_TMO</v>
          </cell>
          <cell r="O11648">
            <v>7.258315089312819</v>
          </cell>
          <cell r="T11648">
            <v>1.9751719764019</v>
          </cell>
        </row>
        <row r="11649">
          <cell r="A11649" t="str">
            <v>NOKIA</v>
          </cell>
          <cell r="B11649" t="str">
            <v>AEQD</v>
          </cell>
          <cell r="O11649"/>
          <cell r="T11649"/>
        </row>
        <row r="11650">
          <cell r="A11650" t="str">
            <v>NOKIA</v>
          </cell>
          <cell r="B11650" t="str">
            <v>AEQE</v>
          </cell>
          <cell r="O11650"/>
          <cell r="T11650"/>
        </row>
        <row r="11651">
          <cell r="A11651" t="str">
            <v>NOKIA</v>
          </cell>
          <cell r="B11651" t="str">
            <v>AEQE_TMO</v>
          </cell>
          <cell r="O11651"/>
          <cell r="T11651"/>
        </row>
        <row r="11652">
          <cell r="A11652" t="str">
            <v>NOKIA</v>
          </cell>
          <cell r="B11652" t="str">
            <v>AEQK</v>
          </cell>
          <cell r="O11652">
            <v>3.97753417400091</v>
          </cell>
          <cell r="T11652">
            <v>1.9584239935420498</v>
          </cell>
        </row>
        <row r="11653">
          <cell r="A11653" t="str">
            <v>NOKIA</v>
          </cell>
          <cell r="B11653" t="str">
            <v>AEQK_TMO</v>
          </cell>
          <cell r="O11653">
            <v>3.97753417400091</v>
          </cell>
          <cell r="T11653">
            <v>1.9584239935420498</v>
          </cell>
        </row>
        <row r="11654">
          <cell r="A11654" t="str">
            <v>NOKIA</v>
          </cell>
          <cell r="B11654" t="str">
            <v>AEQM</v>
          </cell>
          <cell r="O11654">
            <v>3.97753417400091</v>
          </cell>
          <cell r="T11654">
            <v>1.9584239935420498</v>
          </cell>
        </row>
        <row r="11655">
          <cell r="A11655" t="str">
            <v>NOKIA</v>
          </cell>
          <cell r="B11655" t="str">
            <v>AEQU</v>
          </cell>
          <cell r="O11655">
            <v>3.97753417400091</v>
          </cell>
          <cell r="T11655">
            <v>1.9584239935420498</v>
          </cell>
        </row>
        <row r="11656">
          <cell r="A11656" t="str">
            <v>NOKIA</v>
          </cell>
          <cell r="B11656" t="str">
            <v>AEUA</v>
          </cell>
          <cell r="O11656">
            <v>2.2728156172632001</v>
          </cell>
          <cell r="T11656">
            <v>1.19189358942838</v>
          </cell>
        </row>
        <row r="11657">
          <cell r="A11657" t="str">
            <v>NOKIA</v>
          </cell>
          <cell r="B11657" t="str">
            <v>AEUB</v>
          </cell>
          <cell r="O11657"/>
          <cell r="T11657"/>
        </row>
        <row r="11658">
          <cell r="A11658" t="str">
            <v>NOKIA</v>
          </cell>
          <cell r="B11658" t="str">
            <v>AEUB_CCIV2</v>
          </cell>
          <cell r="O11658"/>
          <cell r="T11658"/>
        </row>
        <row r="11659">
          <cell r="A11659" t="str">
            <v>NOKIA</v>
          </cell>
          <cell r="B11659" t="str">
            <v>AEUF</v>
          </cell>
          <cell r="O11659">
            <v>2.2728156172632001</v>
          </cell>
          <cell r="T11659">
            <v>1.19189358942838</v>
          </cell>
        </row>
        <row r="11660">
          <cell r="A11660" t="str">
            <v>NOKIA</v>
          </cell>
          <cell r="B11660" t="str">
            <v>AEWB_CCIV2</v>
          </cell>
          <cell r="O11660"/>
          <cell r="T11660"/>
        </row>
        <row r="11661">
          <cell r="A11661" t="str">
            <v>NOKIA</v>
          </cell>
          <cell r="B11661" t="str">
            <v>AEWF</v>
          </cell>
          <cell r="O11661"/>
          <cell r="T11661"/>
        </row>
        <row r="11662">
          <cell r="A11662" t="str">
            <v>NOKIA</v>
          </cell>
          <cell r="B11662" t="str">
            <v>AQQK AIRSCALE MAA 64T64R 192AE N77 3202</v>
          </cell>
          <cell r="O11662"/>
          <cell r="T11662"/>
        </row>
        <row r="11663">
          <cell r="A11663" t="str">
            <v>NOKIA</v>
          </cell>
          <cell r="B11663" t="str">
            <v>AQQK AirScale MAA 64T64R 192AE n77 320W</v>
          </cell>
          <cell r="O11663"/>
          <cell r="T11663"/>
        </row>
        <row r="11664">
          <cell r="A11664" t="str">
            <v>NOKIA</v>
          </cell>
          <cell r="B11664" t="str">
            <v>AQQQA</v>
          </cell>
          <cell r="O11664"/>
          <cell r="T11664"/>
        </row>
        <row r="11665">
          <cell r="A11665" t="str">
            <v>NOKIA</v>
          </cell>
          <cell r="B11665" t="str">
            <v>AQQQA_CCIV2</v>
          </cell>
          <cell r="O11665"/>
          <cell r="T11665"/>
        </row>
        <row r="11666">
          <cell r="A11666" t="str">
            <v>NOKIA</v>
          </cell>
          <cell r="B11666" t="str">
            <v>AQQQA_CCIV3</v>
          </cell>
          <cell r="O11666"/>
          <cell r="T11666"/>
        </row>
        <row r="11667">
          <cell r="A11667" t="str">
            <v>NOKIA</v>
          </cell>
          <cell r="B11667" t="str">
            <v>AVHA 476268A_2024_TMO</v>
          </cell>
          <cell r="O11667"/>
          <cell r="T11667"/>
        </row>
        <row r="11668">
          <cell r="A11668" t="str">
            <v>NOKIA</v>
          </cell>
          <cell r="B11668" t="str">
            <v>AVHA B41_TMO</v>
          </cell>
          <cell r="O11668">
            <v>0</v>
          </cell>
          <cell r="T11668">
            <v>0</v>
          </cell>
        </row>
        <row r="11669">
          <cell r="A11669" t="str">
            <v>NOKIA</v>
          </cell>
          <cell r="B11669" t="str">
            <v>AVQQA Airscale MAA 64T64R n77 340W_TMO</v>
          </cell>
          <cell r="O11669"/>
          <cell r="T11669"/>
        </row>
        <row r="11670">
          <cell r="A11670" t="str">
            <v>NOKIA</v>
          </cell>
          <cell r="B11670" t="str">
            <v>AWEUC/D_TMO</v>
          </cell>
          <cell r="O11670"/>
          <cell r="T11670"/>
        </row>
        <row r="11671">
          <cell r="A11671" t="str">
            <v>NOKIA</v>
          </cell>
          <cell r="B11671" t="str">
            <v>AirScale Dualband MAA 64T64R n77 480W AQQQA</v>
          </cell>
          <cell r="O11671"/>
          <cell r="T11671"/>
        </row>
        <row r="11672">
          <cell r="A11672" t="str">
            <v>NOKIA</v>
          </cell>
          <cell r="B11672" t="str">
            <v>BR910CE-M</v>
          </cell>
          <cell r="O11672"/>
          <cell r="T11672"/>
        </row>
        <row r="11673">
          <cell r="A11673" t="str">
            <v>NOKIA</v>
          </cell>
          <cell r="B11673" t="str">
            <v>CS7276000</v>
          </cell>
          <cell r="O11673"/>
          <cell r="T11673"/>
        </row>
        <row r="11674">
          <cell r="A11674" t="str">
            <v>NOKIA</v>
          </cell>
          <cell r="B11674" t="str">
            <v>CS7276111</v>
          </cell>
          <cell r="O11674">
            <v>2.7241545459632701</v>
          </cell>
          <cell r="T11674">
            <v>1.2036540150714901</v>
          </cell>
        </row>
        <row r="11675">
          <cell r="A11675" t="str">
            <v>NOKIA</v>
          </cell>
          <cell r="B11675" t="str">
            <v>FASA</v>
          </cell>
          <cell r="O11675"/>
          <cell r="T11675"/>
        </row>
        <row r="11676">
          <cell r="A11676" t="str">
            <v>NOKIA</v>
          </cell>
          <cell r="B11676" t="str">
            <v>FASB</v>
          </cell>
          <cell r="O11676">
            <v>9.447342785493829</v>
          </cell>
          <cell r="T11676">
            <v>7.7645418346728592</v>
          </cell>
        </row>
        <row r="11677">
          <cell r="A11677" t="str">
            <v>NOKIA</v>
          </cell>
          <cell r="B11677" t="str">
            <v>FASB W/O RRHS</v>
          </cell>
          <cell r="O11677">
            <v>9.447342785493829</v>
          </cell>
          <cell r="T11677">
            <v>7.7645418346728592</v>
          </cell>
        </row>
        <row r="11678">
          <cell r="A11678" t="str">
            <v>NOKIA</v>
          </cell>
          <cell r="B11678" t="str">
            <v>FASB_2 X FRIJ INCL</v>
          </cell>
          <cell r="O11678">
            <v>9.447342785493829</v>
          </cell>
          <cell r="T11678">
            <v>7.7645418346728592</v>
          </cell>
        </row>
        <row r="11679">
          <cell r="A11679" t="str">
            <v>NOKIA</v>
          </cell>
          <cell r="B11679" t="str">
            <v>FASB_FHFB+4TX RRH-FHFB INCL</v>
          </cell>
          <cell r="O11679">
            <v>9.447342785493829</v>
          </cell>
          <cell r="T11679">
            <v>7.7645418346728592</v>
          </cell>
        </row>
        <row r="11680">
          <cell r="A11680" t="str">
            <v>NOKIA</v>
          </cell>
          <cell r="B11680" t="str">
            <v>FLEXI ZONE MICRO GPS</v>
          </cell>
          <cell r="O11680"/>
          <cell r="T11680"/>
        </row>
        <row r="11681">
          <cell r="A11681" t="str">
            <v>NOKIA</v>
          </cell>
          <cell r="B11681" t="str">
            <v>FW2FIB</v>
          </cell>
          <cell r="O11681"/>
          <cell r="T11681"/>
        </row>
        <row r="11682">
          <cell r="A11682" t="str">
            <v>NOKIA</v>
          </cell>
          <cell r="B11682" t="str">
            <v>FW2QC</v>
          </cell>
          <cell r="O11682"/>
          <cell r="T11682"/>
        </row>
        <row r="11683">
          <cell r="A11683" t="str">
            <v>NOKIA</v>
          </cell>
          <cell r="B11683" t="str">
            <v>FWHR-RRU</v>
          </cell>
          <cell r="O11683"/>
          <cell r="T11683"/>
        </row>
        <row r="11684">
          <cell r="A11684" t="str">
            <v>NOKIA</v>
          </cell>
          <cell r="B11684" t="str">
            <v>TME-4TX RRH-FHFB</v>
          </cell>
          <cell r="O11684"/>
          <cell r="T11684"/>
        </row>
        <row r="11685">
          <cell r="A11685" t="str">
            <v>NOKIA</v>
          </cell>
          <cell r="B11685" t="str">
            <v>TME-AHFIB</v>
          </cell>
          <cell r="O11685"/>
          <cell r="T11685"/>
        </row>
        <row r="11686">
          <cell r="A11686" t="str">
            <v>NOKIA</v>
          </cell>
          <cell r="B11686" t="str">
            <v>TME-AHFIG</v>
          </cell>
          <cell r="O11686"/>
          <cell r="T11686"/>
        </row>
        <row r="11687">
          <cell r="A11687" t="str">
            <v>NOKIA</v>
          </cell>
          <cell r="B11687" t="str">
            <v>TME-AHLBA</v>
          </cell>
          <cell r="O11687"/>
          <cell r="T11687"/>
        </row>
        <row r="11688">
          <cell r="A11688" t="str">
            <v>NOKIA</v>
          </cell>
          <cell r="B11688" t="str">
            <v>TME-AHLOA</v>
          </cell>
          <cell r="O11688"/>
          <cell r="T11688"/>
        </row>
        <row r="11689">
          <cell r="A11689" t="str">
            <v>NOKIA</v>
          </cell>
          <cell r="B11689" t="str">
            <v>TME-CS72993.07</v>
          </cell>
          <cell r="O11689"/>
          <cell r="T11689"/>
        </row>
        <row r="11690">
          <cell r="A11690" t="str">
            <v>NOKIA</v>
          </cell>
          <cell r="B11690" t="str">
            <v>TME-FHFB</v>
          </cell>
          <cell r="O11690"/>
          <cell r="T11690"/>
        </row>
        <row r="11691">
          <cell r="A11691" t="str">
            <v>NOKIA</v>
          </cell>
          <cell r="B11691" t="str">
            <v>TME-FRIA</v>
          </cell>
          <cell r="O11691"/>
          <cell r="T11691"/>
        </row>
        <row r="11692">
          <cell r="A11692" t="str">
            <v>NOKIA</v>
          </cell>
          <cell r="B11692" t="str">
            <v>TME-FRIE</v>
          </cell>
          <cell r="O11692"/>
          <cell r="T11692"/>
        </row>
        <row r="11693">
          <cell r="A11693" t="str">
            <v>NOKIA</v>
          </cell>
          <cell r="B11693" t="str">
            <v>TME-FRIG</v>
          </cell>
          <cell r="O11693"/>
          <cell r="T11693"/>
        </row>
        <row r="11694">
          <cell r="A11694" t="str">
            <v>NOKIA</v>
          </cell>
          <cell r="B11694" t="str">
            <v>TME-FRIJ</v>
          </cell>
          <cell r="O11694"/>
          <cell r="T11694"/>
        </row>
        <row r="11695">
          <cell r="A11695" t="str">
            <v>NOKIA</v>
          </cell>
          <cell r="B11695" t="str">
            <v>TME-FRLB</v>
          </cell>
          <cell r="O11695"/>
          <cell r="T11695"/>
        </row>
        <row r="11696">
          <cell r="A11696" t="str">
            <v>NOKIA</v>
          </cell>
          <cell r="B11696" t="str">
            <v>TME-FSMF</v>
          </cell>
          <cell r="O11696"/>
          <cell r="T11696"/>
        </row>
        <row r="11697">
          <cell r="A11697" t="str">
            <v>NOKIA</v>
          </cell>
          <cell r="B11697" t="str">
            <v>TME-FXFB</v>
          </cell>
          <cell r="O11697"/>
          <cell r="T11697"/>
        </row>
        <row r="11698">
          <cell r="A11698" t="str">
            <v>NOKIA</v>
          </cell>
          <cell r="B11698" t="str">
            <v>TME-FXFC</v>
          </cell>
          <cell r="O11698"/>
          <cell r="T11698"/>
        </row>
        <row r="11699">
          <cell r="A11699" t="str">
            <v>NOKIA</v>
          </cell>
          <cell r="B11699" t="str">
            <v>TME-FZHJ-RRH</v>
          </cell>
          <cell r="O11699"/>
          <cell r="T11699"/>
        </row>
        <row r="11700">
          <cell r="A11700" t="str">
            <v>NOKIA</v>
          </cell>
          <cell r="B11700" t="str">
            <v>TME-NSN COVP</v>
          </cell>
          <cell r="O11700"/>
          <cell r="T11700"/>
        </row>
        <row r="11701">
          <cell r="A11701" t="str">
            <v>NOKIA</v>
          </cell>
          <cell r="B11701" t="str">
            <v>TME-RG20-FXFB</v>
          </cell>
          <cell r="O11701"/>
          <cell r="T11701"/>
        </row>
        <row r="11702">
          <cell r="A11702" t="str">
            <v>NOKIA</v>
          </cell>
          <cell r="B11702" t="str">
            <v>UBT-2</v>
          </cell>
          <cell r="O11702"/>
          <cell r="T11702"/>
        </row>
        <row r="11703">
          <cell r="A11703" t="str">
            <v>NOKIA</v>
          </cell>
          <cell r="B11703" t="str">
            <v>UBT-M 80</v>
          </cell>
          <cell r="O11703"/>
          <cell r="T11703"/>
        </row>
        <row r="11704">
          <cell r="A11704" t="str">
            <v>NOKIA</v>
          </cell>
          <cell r="B11704" t="str">
            <v>VILLAGELINK_ODU</v>
          </cell>
          <cell r="O11704"/>
          <cell r="T11704"/>
        </row>
        <row r="11705">
          <cell r="A11705" t="str">
            <v>NORTEL</v>
          </cell>
          <cell r="B11705" t="str">
            <v>1900 MHZ AABS</v>
          </cell>
          <cell r="O11705"/>
          <cell r="T11705"/>
        </row>
        <row r="11706">
          <cell r="A11706" t="str">
            <v>NORTEL</v>
          </cell>
          <cell r="B11706" t="str">
            <v>BTS-1060</v>
          </cell>
          <cell r="O11706"/>
          <cell r="T11706"/>
        </row>
        <row r="11707">
          <cell r="A11707" t="str">
            <v>NORTEL</v>
          </cell>
          <cell r="B11707" t="str">
            <v>CELLPLUS</v>
          </cell>
          <cell r="O11707"/>
          <cell r="T11707"/>
        </row>
        <row r="11708">
          <cell r="A11708" t="str">
            <v>NORTEL</v>
          </cell>
          <cell r="B11708" t="str">
            <v>D-2</v>
          </cell>
          <cell r="O11708"/>
          <cell r="T11708"/>
        </row>
        <row r="11709">
          <cell r="A11709" t="str">
            <v>NORTEL</v>
          </cell>
          <cell r="B11709" t="str">
            <v>NTED05AP</v>
          </cell>
          <cell r="O11709"/>
          <cell r="T11709"/>
        </row>
        <row r="11710">
          <cell r="A11710" t="str">
            <v>NORTEL</v>
          </cell>
          <cell r="B11710" t="str">
            <v>NTED05AR</v>
          </cell>
          <cell r="O11710"/>
          <cell r="T11710"/>
        </row>
        <row r="11711">
          <cell r="A11711" t="str">
            <v>NORTEL</v>
          </cell>
          <cell r="B11711" t="str">
            <v>NTED85A</v>
          </cell>
          <cell r="O11711"/>
          <cell r="T11711"/>
        </row>
        <row r="11712">
          <cell r="A11712" t="str">
            <v>NORTEL</v>
          </cell>
          <cell r="B11712" t="str">
            <v>NTED85AA</v>
          </cell>
          <cell r="O11712"/>
          <cell r="T11712"/>
        </row>
        <row r="11713">
          <cell r="A11713" t="str">
            <v>NORTEL</v>
          </cell>
          <cell r="B11713" t="str">
            <v>NTED85AARE107</v>
          </cell>
          <cell r="O11713"/>
          <cell r="T11713"/>
        </row>
        <row r="11714">
          <cell r="A11714" t="str">
            <v>NORTEL</v>
          </cell>
          <cell r="B11714" t="str">
            <v>NTEPO5AR</v>
          </cell>
          <cell r="O11714"/>
          <cell r="T11714"/>
        </row>
        <row r="11715">
          <cell r="A11715" t="str">
            <v>NORTEL</v>
          </cell>
          <cell r="B11715" t="str">
            <v>PCSD090-20-0</v>
          </cell>
          <cell r="O11715"/>
          <cell r="T11715"/>
        </row>
        <row r="11716">
          <cell r="A11716" t="str">
            <v>NORTEL</v>
          </cell>
          <cell r="B11716" t="str">
            <v>SSI806760-PANEL</v>
          </cell>
          <cell r="O11716"/>
          <cell r="T11716"/>
        </row>
        <row r="11717">
          <cell r="A11717" t="str">
            <v>NORTH STAR LIGHTING</v>
          </cell>
          <cell r="B11717" t="str">
            <v>SIRIUS-CM 200</v>
          </cell>
          <cell r="O11717"/>
          <cell r="T11717"/>
        </row>
        <row r="11718">
          <cell r="A11718" t="str">
            <v>NORTH STAR LIGHTING</v>
          </cell>
          <cell r="B11718" t="str">
            <v>SMA-V300</v>
          </cell>
          <cell r="O11718"/>
          <cell r="T11718"/>
        </row>
        <row r="11719">
          <cell r="A11719" t="str">
            <v>NORTH STAR LIGHTING</v>
          </cell>
          <cell r="B11719" t="str">
            <v>STAR BEAM-12</v>
          </cell>
          <cell r="O11719"/>
          <cell r="T11719"/>
        </row>
        <row r="11720">
          <cell r="A11720" t="str">
            <v>NORTH STAR LIGHTING</v>
          </cell>
          <cell r="B11720" t="str">
            <v>STAR BEAM-19</v>
          </cell>
          <cell r="O11720"/>
          <cell r="T11720"/>
        </row>
        <row r="11721">
          <cell r="A11721" t="str">
            <v>NORTH STAR LIGHTING</v>
          </cell>
          <cell r="B11721" t="str">
            <v>STAR BEAM-8</v>
          </cell>
          <cell r="O11721"/>
          <cell r="T11721"/>
        </row>
        <row r="11722">
          <cell r="A11722" t="str">
            <v>NORTH STAR LIGHTING</v>
          </cell>
          <cell r="B11722" t="str">
            <v>STARBEAM - 2</v>
          </cell>
          <cell r="O11722"/>
          <cell r="T11722"/>
        </row>
        <row r="11723">
          <cell r="A11723" t="str">
            <v>NORTH STAR LIGHTING</v>
          </cell>
          <cell r="B11723" t="str">
            <v>STARBEAM-10</v>
          </cell>
          <cell r="O11723"/>
          <cell r="T11723"/>
        </row>
        <row r="11724">
          <cell r="A11724" t="str">
            <v>NORTH STAR LIGHTING</v>
          </cell>
          <cell r="B11724" t="str">
            <v>STARBEAM-16</v>
          </cell>
          <cell r="O11724"/>
          <cell r="T11724"/>
        </row>
        <row r="11725">
          <cell r="A11725" t="str">
            <v>NORTH STAR LIGHTING</v>
          </cell>
          <cell r="B11725" t="str">
            <v>STARBEAM-17</v>
          </cell>
          <cell r="O11725"/>
          <cell r="T11725"/>
        </row>
        <row r="11726">
          <cell r="A11726" t="str">
            <v>NORTH STAR LIGHTING</v>
          </cell>
          <cell r="B11726" t="str">
            <v>STARBEAM-18</v>
          </cell>
          <cell r="O11726"/>
          <cell r="T11726"/>
        </row>
        <row r="11727">
          <cell r="A11727" t="str">
            <v>NORTH STAR LIGHTING</v>
          </cell>
          <cell r="B11727" t="str">
            <v>STARBEAM-3</v>
          </cell>
          <cell r="O11727"/>
          <cell r="T11727"/>
        </row>
        <row r="11728">
          <cell r="A11728" t="str">
            <v>NORTH STAR LIGHTING</v>
          </cell>
          <cell r="B11728" t="str">
            <v>STARBEAM-30</v>
          </cell>
          <cell r="O11728"/>
          <cell r="T11728"/>
        </row>
        <row r="11729">
          <cell r="A11729" t="str">
            <v>NORTH STAR LIGHTING</v>
          </cell>
          <cell r="B11729" t="str">
            <v>STARBEAM-3X3</v>
          </cell>
          <cell r="O11729"/>
          <cell r="T11729"/>
        </row>
        <row r="11730">
          <cell r="A11730" t="str">
            <v>NORTH STAR LIGHTING</v>
          </cell>
          <cell r="B11730" t="str">
            <v>STARBEAM-4</v>
          </cell>
          <cell r="O11730"/>
          <cell r="T11730"/>
        </row>
        <row r="11731">
          <cell r="A11731" t="str">
            <v>NORTH STAR LIGHTING</v>
          </cell>
          <cell r="B11731" t="str">
            <v>STARBEAM-5</v>
          </cell>
          <cell r="O11731"/>
          <cell r="T11731"/>
        </row>
        <row r="11732">
          <cell r="A11732" t="str">
            <v>NORTH STAR LIGHTING</v>
          </cell>
          <cell r="B11732" t="str">
            <v>STARBEAM-6</v>
          </cell>
          <cell r="O11732"/>
          <cell r="T11732"/>
        </row>
        <row r="11733">
          <cell r="A11733" t="str">
            <v>NORTH STAR LIGHTING</v>
          </cell>
          <cell r="B11733" t="str">
            <v>STARFLOOD-24</v>
          </cell>
          <cell r="O11733"/>
          <cell r="T11733"/>
        </row>
        <row r="11734">
          <cell r="A11734" t="str">
            <v>NORWALK ELECTRONICS</v>
          </cell>
          <cell r="B11734" t="str">
            <v>DOMINATOR NWE-34</v>
          </cell>
          <cell r="O11734"/>
          <cell r="T11734"/>
        </row>
        <row r="11735">
          <cell r="A11735" t="str">
            <v>NOVALYNX</v>
          </cell>
          <cell r="B11735" t="str">
            <v>200-2510</v>
          </cell>
          <cell r="O11735"/>
          <cell r="T11735"/>
        </row>
        <row r="11736">
          <cell r="A11736" t="str">
            <v>NOVATEL</v>
          </cell>
          <cell r="B11736" t="str">
            <v>L1/L2 GPS</v>
          </cell>
          <cell r="O11736"/>
          <cell r="T11736"/>
        </row>
        <row r="11737">
          <cell r="A11737" t="str">
            <v>NRG SYSTEMS</v>
          </cell>
          <cell r="B11737" t="str">
            <v>NRG #110S</v>
          </cell>
          <cell r="O11737"/>
          <cell r="T11737"/>
        </row>
        <row r="11738">
          <cell r="A11738" t="str">
            <v>NRG SYSTEMS</v>
          </cell>
          <cell r="B11738" t="str">
            <v>NRG #200P</v>
          </cell>
          <cell r="O11738"/>
          <cell r="T11738"/>
        </row>
        <row r="11739">
          <cell r="A11739" t="str">
            <v>NRG SYSTEMS</v>
          </cell>
          <cell r="B11739" t="str">
            <v>NRG #3163</v>
          </cell>
          <cell r="O11739"/>
          <cell r="T11739"/>
        </row>
        <row r="11740">
          <cell r="A11740" t="str">
            <v>NRG SYSTEMS</v>
          </cell>
          <cell r="B11740" t="str">
            <v>NRG #40</v>
          </cell>
          <cell r="O11740"/>
          <cell r="T11740"/>
        </row>
        <row r="11741">
          <cell r="A11741" t="str">
            <v>NRG SYSTEMS</v>
          </cell>
          <cell r="B11741" t="str">
            <v>NRG #BP20</v>
          </cell>
          <cell r="O11741"/>
          <cell r="T11741"/>
        </row>
        <row r="11742">
          <cell r="A11742" t="str">
            <v>NSI</v>
          </cell>
          <cell r="B11742" t="str">
            <v>Superquad CRS4</v>
          </cell>
          <cell r="O11742"/>
          <cell r="T11742"/>
        </row>
        <row r="11743">
          <cell r="A11743" t="str">
            <v>NSN</v>
          </cell>
          <cell r="B11743" t="str">
            <v>TME-RRU-NNS</v>
          </cell>
          <cell r="O11743"/>
          <cell r="T11743"/>
        </row>
        <row r="11744">
          <cell r="A11744" t="str">
            <v>NUBEAM</v>
          </cell>
          <cell r="B11744" t="str">
            <v>RAD-18/80</v>
          </cell>
          <cell r="O11744"/>
          <cell r="T11744"/>
        </row>
        <row r="11745">
          <cell r="A11745" t="str">
            <v>NUCOMM</v>
          </cell>
          <cell r="B11745" t="str">
            <v>CO205-11</v>
          </cell>
          <cell r="O11745"/>
          <cell r="T11745"/>
        </row>
        <row r="11746">
          <cell r="A11746" t="str">
            <v>NUCOMM</v>
          </cell>
          <cell r="B11746" t="str">
            <v>ELLIPSE DR 2</v>
          </cell>
          <cell r="O11746"/>
          <cell r="T11746"/>
        </row>
        <row r="11747">
          <cell r="A11747" t="str">
            <v>OCULUS</v>
          </cell>
          <cell r="B11747" t="str">
            <v>RC-50IJ30X</v>
          </cell>
          <cell r="O11747"/>
          <cell r="T11747"/>
        </row>
        <row r="11748">
          <cell r="A11748" t="str">
            <v>OGIER ELECTRONICS LTD</v>
          </cell>
          <cell r="B11748" t="str">
            <v>OGIER 90</v>
          </cell>
          <cell r="O11748"/>
          <cell r="T11748"/>
        </row>
        <row r="11749">
          <cell r="A11749" t="str">
            <v>OMB ELECTRONIC SYSTEMS</v>
          </cell>
          <cell r="B11749" t="str">
            <v>GP-6</v>
          </cell>
          <cell r="O11749"/>
          <cell r="T11749"/>
        </row>
        <row r="11750">
          <cell r="A11750" t="str">
            <v>OMB ELECTRONIC SYSTEMS</v>
          </cell>
          <cell r="B11750" t="str">
            <v>MP 1</v>
          </cell>
          <cell r="O11750"/>
          <cell r="T11750"/>
        </row>
        <row r="11751">
          <cell r="A11751" t="str">
            <v>OMB ELECTRONIC SYSTEMS</v>
          </cell>
          <cell r="B11751" t="str">
            <v>MP-6R</v>
          </cell>
          <cell r="O11751"/>
          <cell r="T11751"/>
        </row>
        <row r="11752">
          <cell r="A11752" t="str">
            <v>OMB ELECTRONIC SYSTEMS</v>
          </cell>
          <cell r="B11752" t="str">
            <v>SGP-4</v>
          </cell>
          <cell r="O11752"/>
          <cell r="T11752"/>
        </row>
        <row r="11753">
          <cell r="A11753" t="str">
            <v>OPTIM MICROWAVE INC</v>
          </cell>
          <cell r="B11753" t="str">
            <v>D39 VP-001</v>
          </cell>
          <cell r="O11753"/>
          <cell r="T11753"/>
        </row>
        <row r="11754">
          <cell r="A11754" t="str">
            <v>OROLIA</v>
          </cell>
          <cell r="B11754" t="str">
            <v>MODEL 8230_20190716</v>
          </cell>
          <cell r="O11754"/>
          <cell r="T11754"/>
        </row>
        <row r="11755">
          <cell r="A11755" t="str">
            <v>ORTHOGON</v>
          </cell>
          <cell r="B11755" t="str">
            <v>GEMINI</v>
          </cell>
          <cell r="O11755"/>
          <cell r="T11755"/>
        </row>
        <row r="11756">
          <cell r="A11756" t="str">
            <v>ORTHOGON</v>
          </cell>
          <cell r="B11756" t="str">
            <v>GEMINI LITE INT</v>
          </cell>
          <cell r="O11756">
            <v>1.6862283915481899</v>
          </cell>
          <cell r="T11756">
            <v>0.34470241886665293</v>
          </cell>
        </row>
        <row r="11757">
          <cell r="A11757" t="str">
            <v>ORTHOGON</v>
          </cell>
          <cell r="B11757" t="str">
            <v>ORTH-2517</v>
          </cell>
          <cell r="O11757"/>
          <cell r="T11757"/>
        </row>
        <row r="11758">
          <cell r="A11758" t="str">
            <v>ORTHOGON</v>
          </cell>
          <cell r="B11758" t="str">
            <v>OS GEMINI</v>
          </cell>
          <cell r="O11758"/>
          <cell r="T11758"/>
        </row>
        <row r="11759">
          <cell r="A11759" t="str">
            <v>ORTHOGON</v>
          </cell>
          <cell r="B11759" t="str">
            <v>OS SPECTRA I</v>
          </cell>
          <cell r="O11759">
            <v>1.6862283915481899</v>
          </cell>
          <cell r="T11759">
            <v>0.34470241886665293</v>
          </cell>
        </row>
        <row r="11760">
          <cell r="A11760" t="str">
            <v>P-COM</v>
          </cell>
          <cell r="B11760" t="str">
            <v>KINTL18-16T</v>
          </cell>
          <cell r="O11760"/>
          <cell r="T11760"/>
        </row>
        <row r="11761">
          <cell r="A11761" t="str">
            <v>P-COM</v>
          </cell>
          <cell r="B11761" t="str">
            <v>KINTL38S-45</v>
          </cell>
          <cell r="O11761"/>
          <cell r="T11761"/>
        </row>
        <row r="11762">
          <cell r="A11762" t="str">
            <v>PACIFIC WIRELESS</v>
          </cell>
          <cell r="B11762" t="str">
            <v>DA58-29</v>
          </cell>
          <cell r="O11762"/>
          <cell r="T11762"/>
        </row>
        <row r="11763">
          <cell r="A11763" t="str">
            <v>PACIFIC WIRELESS</v>
          </cell>
          <cell r="B11763" t="str">
            <v>DA58-32</v>
          </cell>
          <cell r="O11763"/>
          <cell r="T11763"/>
        </row>
        <row r="11764">
          <cell r="A11764" t="str">
            <v>PACIFIC WIRELESS</v>
          </cell>
          <cell r="B11764" t="str">
            <v>GD24-24</v>
          </cell>
          <cell r="O11764"/>
          <cell r="T11764"/>
        </row>
        <row r="11765">
          <cell r="A11765" t="str">
            <v>PACIFIC WIRELESS</v>
          </cell>
          <cell r="B11765" t="str">
            <v>GD58-26</v>
          </cell>
          <cell r="O11765"/>
          <cell r="T11765"/>
        </row>
        <row r="11766">
          <cell r="A11766" t="str">
            <v>PACIFIC WIRELESS</v>
          </cell>
          <cell r="B11766" t="str">
            <v>GD58-29/28</v>
          </cell>
          <cell r="O11766"/>
          <cell r="T11766"/>
        </row>
        <row r="11767">
          <cell r="A11767" t="str">
            <v>PACIFIC WIRELESS</v>
          </cell>
          <cell r="B11767" t="str">
            <v>OD24-12</v>
          </cell>
          <cell r="O11767"/>
          <cell r="T11767"/>
        </row>
        <row r="11768">
          <cell r="A11768" t="str">
            <v>PACIFIC WIRELESS</v>
          </cell>
          <cell r="B11768" t="str">
            <v>OD24-9</v>
          </cell>
          <cell r="O11768"/>
          <cell r="T11768"/>
        </row>
        <row r="11769">
          <cell r="A11769" t="str">
            <v>PACIFIC WIRELESS</v>
          </cell>
          <cell r="B11769" t="str">
            <v>OD49-11D1</v>
          </cell>
          <cell r="O11769"/>
          <cell r="T11769"/>
        </row>
        <row r="11770">
          <cell r="A11770" t="str">
            <v>PACIFIC WIRELESS</v>
          </cell>
          <cell r="B11770" t="str">
            <v>OD9-11D1</v>
          </cell>
          <cell r="O11770"/>
          <cell r="T11770"/>
        </row>
        <row r="11771">
          <cell r="A11771" t="str">
            <v>PACIFIC WIRELESS</v>
          </cell>
          <cell r="B11771" t="str">
            <v>OD9-5</v>
          </cell>
          <cell r="O11771"/>
          <cell r="T11771"/>
        </row>
        <row r="11772">
          <cell r="A11772" t="str">
            <v>PACIFIC WIRELESS</v>
          </cell>
          <cell r="B11772" t="str">
            <v>ODH24-13</v>
          </cell>
          <cell r="O11772"/>
          <cell r="T11772"/>
        </row>
        <row r="11773">
          <cell r="A11773" t="str">
            <v>PACIFIC WIRELESS</v>
          </cell>
          <cell r="B11773" t="str">
            <v>ODH24-9</v>
          </cell>
          <cell r="O11773"/>
          <cell r="T11773"/>
        </row>
        <row r="11774">
          <cell r="A11774" t="str">
            <v>PACIFIC WIRELESS</v>
          </cell>
          <cell r="B11774" t="str">
            <v>ODH9-9</v>
          </cell>
          <cell r="O11774"/>
          <cell r="T11774"/>
        </row>
        <row r="11775">
          <cell r="A11775" t="str">
            <v>PACIFIC WIRELESS</v>
          </cell>
          <cell r="B11775" t="str">
            <v>PA58-19</v>
          </cell>
          <cell r="O11775"/>
          <cell r="T11775"/>
        </row>
        <row r="11776">
          <cell r="A11776" t="str">
            <v>PACIFIC WIRELESS</v>
          </cell>
          <cell r="B11776" t="str">
            <v>PA58-24</v>
          </cell>
          <cell r="O11776"/>
          <cell r="T11776"/>
        </row>
        <row r="11777">
          <cell r="A11777" t="str">
            <v>PACIFIC WIRELESS</v>
          </cell>
          <cell r="B11777" t="str">
            <v>PMANT19</v>
          </cell>
          <cell r="O11777"/>
          <cell r="T11777"/>
        </row>
        <row r="11778">
          <cell r="A11778" t="str">
            <v>PACIFIC WIRELESS</v>
          </cell>
          <cell r="B11778" t="str">
            <v>PMANT25</v>
          </cell>
          <cell r="O11778"/>
          <cell r="T11778"/>
        </row>
        <row r="11779">
          <cell r="A11779" t="str">
            <v>PACIFIC WIRELESS</v>
          </cell>
          <cell r="B11779" t="str">
            <v>RT24-18</v>
          </cell>
          <cell r="O11779"/>
          <cell r="T11779"/>
        </row>
        <row r="11780">
          <cell r="A11780" t="str">
            <v>PACIFIC WIRELESS</v>
          </cell>
          <cell r="B11780" t="str">
            <v>SA24-120-16-WB</v>
          </cell>
          <cell r="O11780">
            <v>1.722096157</v>
          </cell>
          <cell r="T11780">
            <v>0.66324868299999995</v>
          </cell>
        </row>
        <row r="11781">
          <cell r="A11781" t="str">
            <v>PACIFIC WIRELESS</v>
          </cell>
          <cell r="B11781" t="str">
            <v>SA24-180-14</v>
          </cell>
          <cell r="O11781"/>
          <cell r="T11781"/>
        </row>
        <row r="11782">
          <cell r="A11782" t="str">
            <v>PACIFIC WIRELESS</v>
          </cell>
          <cell r="B11782" t="str">
            <v>SA24-90-17-WB</v>
          </cell>
          <cell r="O11782"/>
          <cell r="T11782"/>
        </row>
        <row r="11783">
          <cell r="A11783" t="str">
            <v>PACIFIC WIRELESS</v>
          </cell>
          <cell r="B11783" t="str">
            <v>SA49-90-16</v>
          </cell>
          <cell r="O11783"/>
          <cell r="T11783"/>
        </row>
        <row r="11784">
          <cell r="A11784" t="str">
            <v>PACIFIC WIRELESS</v>
          </cell>
          <cell r="B11784" t="str">
            <v>SA4958-90-17</v>
          </cell>
          <cell r="O11784"/>
          <cell r="T11784"/>
        </row>
        <row r="11785">
          <cell r="A11785" t="str">
            <v>PACIFIC WIRELESS</v>
          </cell>
          <cell r="B11785" t="str">
            <v>SA9-120-13</v>
          </cell>
          <cell r="O11785"/>
          <cell r="T11785"/>
        </row>
        <row r="11786">
          <cell r="A11786" t="str">
            <v>PACIFIC WIRELESS</v>
          </cell>
          <cell r="B11786" t="str">
            <v>SAH24-12</v>
          </cell>
          <cell r="O11786"/>
          <cell r="T11786"/>
        </row>
        <row r="11787">
          <cell r="A11787" t="str">
            <v>PACIFIC WIRELESS</v>
          </cell>
          <cell r="B11787" t="str">
            <v>SAH24-16</v>
          </cell>
          <cell r="O11787"/>
          <cell r="T11787"/>
        </row>
        <row r="11788">
          <cell r="A11788" t="str">
            <v>PACIFIC WIRELESS</v>
          </cell>
          <cell r="B11788" t="str">
            <v>SAH58 WB</v>
          </cell>
          <cell r="O11788"/>
          <cell r="T11788"/>
        </row>
        <row r="11789">
          <cell r="A11789" t="str">
            <v>PACIFIC WIRELESS</v>
          </cell>
          <cell r="B11789" t="str">
            <v>SAH9-120-12</v>
          </cell>
          <cell r="O11789"/>
          <cell r="T11789"/>
        </row>
        <row r="11790">
          <cell r="A11790" t="str">
            <v>PACKETFLUX TECHNOLOGIES</v>
          </cell>
          <cell r="B11790" t="str">
            <v>SYNCPIPE</v>
          </cell>
          <cell r="O11790"/>
          <cell r="T11790"/>
        </row>
        <row r="11791">
          <cell r="A11791" t="str">
            <v>PANASONIC</v>
          </cell>
          <cell r="B11791" t="str">
            <v>BB-HCM331</v>
          </cell>
          <cell r="O11791"/>
          <cell r="T11791"/>
        </row>
        <row r="11792">
          <cell r="A11792" t="str">
            <v>PANASONIC</v>
          </cell>
          <cell r="B11792" t="str">
            <v>CCAH32ST14</v>
          </cell>
          <cell r="O11792"/>
          <cell r="T11792"/>
        </row>
        <row r="11793">
          <cell r="A11793" t="str">
            <v>PANASONIC</v>
          </cell>
          <cell r="B11793" t="str">
            <v>POH1500</v>
          </cell>
          <cell r="O11793"/>
          <cell r="T11793"/>
        </row>
        <row r="11794">
          <cell r="A11794" t="str">
            <v>PANASONIC</v>
          </cell>
          <cell r="B11794" t="str">
            <v>VIC100</v>
          </cell>
          <cell r="O11794"/>
          <cell r="T11794"/>
        </row>
        <row r="11795">
          <cell r="A11795" t="str">
            <v>PANASONIC</v>
          </cell>
          <cell r="B11795" t="str">
            <v>WV-CW864</v>
          </cell>
          <cell r="O11795"/>
          <cell r="T11795"/>
        </row>
        <row r="11796">
          <cell r="A11796" t="str">
            <v>PANASONIC</v>
          </cell>
          <cell r="B11796" t="str">
            <v>WV-X6531N</v>
          </cell>
          <cell r="O11796"/>
          <cell r="T11796"/>
        </row>
        <row r="11797">
          <cell r="A11797" t="str">
            <v>PANORAMA ANTENNAS</v>
          </cell>
          <cell r="B11797" t="str">
            <v>LGAM-BC3G-26-3SP</v>
          </cell>
          <cell r="O11797"/>
          <cell r="T11797"/>
        </row>
        <row r="11798">
          <cell r="A11798" t="str">
            <v>PATRIOT ANTENNA SYSTEMS</v>
          </cell>
          <cell r="B11798" t="str">
            <v>1.2 METER</v>
          </cell>
          <cell r="O11798"/>
          <cell r="T11798"/>
        </row>
        <row r="11799">
          <cell r="A11799" t="str">
            <v>PATRIOT ANTENNA SYSTEMS</v>
          </cell>
          <cell r="B11799" t="str">
            <v>1.8 METER</v>
          </cell>
          <cell r="O11799"/>
          <cell r="T11799"/>
        </row>
        <row r="11800">
          <cell r="A11800" t="str">
            <v>PATRIOT ANTENNA SYSTEMS</v>
          </cell>
          <cell r="B11800" t="str">
            <v>3.1 METER</v>
          </cell>
          <cell r="O11800"/>
          <cell r="T11800"/>
        </row>
        <row r="11801">
          <cell r="A11801" t="str">
            <v>PATRIOT ANTENNA SYSTEMS</v>
          </cell>
          <cell r="B11801" t="str">
            <v>3.8 METER</v>
          </cell>
          <cell r="O11801"/>
          <cell r="T11801"/>
        </row>
        <row r="11802">
          <cell r="A11802" t="str">
            <v>PATRIOT ANTENNA SYSTEMS</v>
          </cell>
          <cell r="B11802" t="str">
            <v>TX-EUT100KU</v>
          </cell>
          <cell r="O11802"/>
          <cell r="T11802"/>
        </row>
        <row r="11803">
          <cell r="A11803" t="str">
            <v>PATRIOT ANTENNA SYSTEMS</v>
          </cell>
          <cell r="B11803" t="str">
            <v>TX-EUT180KU</v>
          </cell>
          <cell r="O11803"/>
          <cell r="T11803"/>
        </row>
        <row r="11804">
          <cell r="A11804" t="str">
            <v>PCK MACHINES</v>
          </cell>
          <cell r="B11804" t="str">
            <v>AM-BP1</v>
          </cell>
          <cell r="O11804"/>
          <cell r="T11804"/>
        </row>
        <row r="11805">
          <cell r="A11805" t="str">
            <v>PCTEL</v>
          </cell>
          <cell r="B11805" t="str">
            <v>3971D-HR-DH-W</v>
          </cell>
          <cell r="O11805"/>
          <cell r="T11805"/>
        </row>
        <row r="11806">
          <cell r="A11806" t="str">
            <v>PCTEL</v>
          </cell>
          <cell r="B11806" t="str">
            <v>3978D-DH-W</v>
          </cell>
          <cell r="O11806"/>
          <cell r="T11806"/>
        </row>
        <row r="11807">
          <cell r="A11807" t="str">
            <v>PCTEL</v>
          </cell>
          <cell r="B11807" t="str">
            <v>8178D-HR-DH-W</v>
          </cell>
          <cell r="O11807"/>
          <cell r="T11807"/>
        </row>
        <row r="11808">
          <cell r="A11808" t="str">
            <v>PCTEL</v>
          </cell>
          <cell r="B11808" t="str">
            <v>AN1424-01</v>
          </cell>
          <cell r="O11808">
            <v>1.057948978</v>
          </cell>
          <cell r="T11808">
            <v>0.55216151000000002</v>
          </cell>
        </row>
        <row r="11809">
          <cell r="A11809" t="str">
            <v>PCTEL</v>
          </cell>
          <cell r="B11809" t="str">
            <v>BMOY4403</v>
          </cell>
          <cell r="O11809"/>
          <cell r="T11809"/>
        </row>
        <row r="11810">
          <cell r="A11810" t="str">
            <v>PCTEL</v>
          </cell>
          <cell r="B11810" t="str">
            <v>BMOY4405</v>
          </cell>
          <cell r="O11810"/>
          <cell r="T11810"/>
        </row>
        <row r="11811">
          <cell r="A11811" t="str">
            <v>PCTEL</v>
          </cell>
          <cell r="B11811" t="str">
            <v>BMYD403G</v>
          </cell>
          <cell r="O11811"/>
          <cell r="T11811"/>
        </row>
        <row r="11812">
          <cell r="A11812" t="str">
            <v>PCTEL</v>
          </cell>
          <cell r="B11812" t="str">
            <v>BMYD450K</v>
          </cell>
          <cell r="O11812"/>
          <cell r="T11812"/>
        </row>
        <row r="11813">
          <cell r="A11813" t="str">
            <v>PCTEL</v>
          </cell>
          <cell r="B11813" t="str">
            <v>BMYD745K</v>
          </cell>
          <cell r="O11813"/>
          <cell r="T11813"/>
        </row>
        <row r="11814">
          <cell r="A11814" t="str">
            <v>PCTEL</v>
          </cell>
          <cell r="B11814" t="str">
            <v>BMYD890K</v>
          </cell>
          <cell r="O11814"/>
          <cell r="T11814"/>
        </row>
        <row r="11815">
          <cell r="A11815" t="str">
            <v>PCTEL</v>
          </cell>
          <cell r="B11815" t="str">
            <v>BMYD890O</v>
          </cell>
          <cell r="O11815"/>
          <cell r="T11815"/>
        </row>
        <row r="11816">
          <cell r="A11816" t="str">
            <v>PCTEL</v>
          </cell>
          <cell r="B11816" t="str">
            <v>BOA-LCMGPS-PTNF-4LTE</v>
          </cell>
          <cell r="O11816"/>
          <cell r="T11816"/>
        </row>
        <row r="11817">
          <cell r="A11817" t="str">
            <v>PCTEL</v>
          </cell>
          <cell r="B11817" t="str">
            <v>BOA4357</v>
          </cell>
          <cell r="O11817"/>
          <cell r="T11817"/>
        </row>
        <row r="11818">
          <cell r="A11818" t="str">
            <v>PCTEL</v>
          </cell>
          <cell r="B11818" t="str">
            <v>BOA9028</v>
          </cell>
          <cell r="O11818"/>
          <cell r="T11818"/>
        </row>
        <row r="11819">
          <cell r="A11819" t="str">
            <v>PCTEL</v>
          </cell>
          <cell r="B11819" t="str">
            <v>FP3637-18VP</v>
          </cell>
          <cell r="O11819">
            <v>2.3941408822573296</v>
          </cell>
          <cell r="T11819">
            <v>0.24401772546154898</v>
          </cell>
        </row>
        <row r="11820">
          <cell r="A11820" t="str">
            <v>PCTEL</v>
          </cell>
          <cell r="B11820" t="str">
            <v>GPS-TMG-26N</v>
          </cell>
          <cell r="O11820"/>
          <cell r="T11820"/>
        </row>
        <row r="11821">
          <cell r="A11821" t="str">
            <v>PCTEL</v>
          </cell>
          <cell r="B11821" t="str">
            <v>GPS-TMG-40N</v>
          </cell>
          <cell r="O11821"/>
          <cell r="T11821"/>
        </row>
        <row r="11822">
          <cell r="A11822" t="str">
            <v>PCTEL</v>
          </cell>
          <cell r="B11822" t="str">
            <v>GPS-TMG-HR-26N</v>
          </cell>
          <cell r="O11822"/>
          <cell r="T11822"/>
        </row>
        <row r="11823">
          <cell r="A11823" t="str">
            <v>PCTEL</v>
          </cell>
          <cell r="B11823" t="str">
            <v>GPS-TMG-HR-26NCM</v>
          </cell>
          <cell r="O11823"/>
          <cell r="T11823"/>
        </row>
        <row r="11824">
          <cell r="A11824" t="str">
            <v>PCTEL</v>
          </cell>
          <cell r="B11824" t="str">
            <v>GPSGL-TMG-SPI-40NCB</v>
          </cell>
          <cell r="O11824"/>
          <cell r="T11824"/>
        </row>
        <row r="11825">
          <cell r="A11825" t="str">
            <v>PCTEL</v>
          </cell>
          <cell r="B11825" t="str">
            <v>MFB1500</v>
          </cell>
          <cell r="O11825"/>
          <cell r="T11825"/>
        </row>
        <row r="11826">
          <cell r="A11826" t="str">
            <v>PCTEL</v>
          </cell>
          <cell r="B11826" t="str">
            <v>MFB35009</v>
          </cell>
          <cell r="O11826"/>
          <cell r="T11826"/>
        </row>
        <row r="11827">
          <cell r="A11827" t="str">
            <v>PCTEL</v>
          </cell>
          <cell r="B11827" t="str">
            <v>MFB4505</v>
          </cell>
          <cell r="O11827"/>
          <cell r="T11827"/>
        </row>
        <row r="11828">
          <cell r="A11828" t="str">
            <v>PCTEL</v>
          </cell>
          <cell r="B11828" t="str">
            <v>MFB51510</v>
          </cell>
          <cell r="O11828"/>
          <cell r="T11828"/>
        </row>
        <row r="11829">
          <cell r="A11829" t="str">
            <v>PCTEL</v>
          </cell>
          <cell r="B11829" t="str">
            <v>MFB9155</v>
          </cell>
          <cell r="O11829"/>
          <cell r="T11829"/>
        </row>
        <row r="11830">
          <cell r="A11830" t="str">
            <v>PCTEL</v>
          </cell>
          <cell r="B11830" t="str">
            <v>MFB9157</v>
          </cell>
          <cell r="O11830"/>
          <cell r="T11830"/>
        </row>
        <row r="11831">
          <cell r="A11831" t="str">
            <v>PCTEL</v>
          </cell>
          <cell r="B11831" t="str">
            <v>MP24581820PT</v>
          </cell>
          <cell r="O11831"/>
          <cell r="T11831"/>
        </row>
        <row r="11832">
          <cell r="A11832" t="str">
            <v>PCTEL</v>
          </cell>
          <cell r="B11832" t="str">
            <v>MPRC2449</v>
          </cell>
          <cell r="O11832"/>
          <cell r="T11832"/>
        </row>
        <row r="11833">
          <cell r="A11833" t="str">
            <v>PCTEL</v>
          </cell>
          <cell r="B11833" t="str">
            <v>MPRC3649</v>
          </cell>
          <cell r="O11833"/>
          <cell r="T11833"/>
        </row>
        <row r="11834">
          <cell r="A11834" t="str">
            <v>PCTEL</v>
          </cell>
          <cell r="B11834" t="str">
            <v>MPRD2449</v>
          </cell>
          <cell r="O11834"/>
          <cell r="T11834"/>
        </row>
        <row r="11835">
          <cell r="A11835" t="str">
            <v>PCTEL</v>
          </cell>
          <cell r="B11835" t="str">
            <v>MPRD3649</v>
          </cell>
          <cell r="O11835"/>
          <cell r="T11835"/>
        </row>
        <row r="11836">
          <cell r="A11836" t="str">
            <v>PCTEL</v>
          </cell>
          <cell r="B11836" t="str">
            <v>MYA1505K</v>
          </cell>
          <cell r="O11836"/>
          <cell r="T11836"/>
        </row>
        <row r="11837">
          <cell r="A11837" t="str">
            <v>PCTEL</v>
          </cell>
          <cell r="B11837" t="str">
            <v>MYA9306</v>
          </cell>
          <cell r="O11837"/>
          <cell r="T11837"/>
        </row>
        <row r="11838">
          <cell r="A11838" t="str">
            <v>PCTEL</v>
          </cell>
          <cell r="B11838" t="str">
            <v>SP2327-15XP90</v>
          </cell>
          <cell r="O11838">
            <v>1.057948978</v>
          </cell>
          <cell r="T11838">
            <v>0.55216151000000002</v>
          </cell>
        </row>
        <row r="11839">
          <cell r="A11839" t="str">
            <v>PCTEL</v>
          </cell>
          <cell r="B11839" t="str">
            <v>SP3338-16XP90</v>
          </cell>
          <cell r="O11839">
            <v>1.057948978</v>
          </cell>
          <cell r="T11839">
            <v>0.55216151000000002</v>
          </cell>
        </row>
        <row r="11840">
          <cell r="A11840" t="str">
            <v>PCTEL</v>
          </cell>
          <cell r="B11840" t="str">
            <v>SP3637-14HV120-MDS</v>
          </cell>
          <cell r="O11840">
            <v>1.2555384410000001</v>
          </cell>
          <cell r="T11840">
            <v>0.655304043</v>
          </cell>
        </row>
        <row r="11841">
          <cell r="A11841" t="str">
            <v>PCTEL</v>
          </cell>
          <cell r="B11841" t="str">
            <v>WISP24013120PTNF</v>
          </cell>
          <cell r="O11841">
            <v>0.51141258899999986</v>
          </cell>
          <cell r="T11841">
            <v>0.328293744</v>
          </cell>
        </row>
        <row r="11842">
          <cell r="A11842" t="str">
            <v>PCTEL</v>
          </cell>
          <cell r="B11842" t="str">
            <v>WISP24019PTNF</v>
          </cell>
          <cell r="O11842"/>
          <cell r="T11842"/>
        </row>
        <row r="11843">
          <cell r="A11843" t="str">
            <v>PCTEL</v>
          </cell>
          <cell r="B11843" t="str">
            <v>WISP24024PTNF</v>
          </cell>
          <cell r="O11843"/>
          <cell r="T11843"/>
        </row>
        <row r="11844">
          <cell r="A11844" t="str">
            <v>PCTEL</v>
          </cell>
          <cell r="B11844" t="str">
            <v>Z3247</v>
          </cell>
          <cell r="O11844">
            <v>0.94437741700000011</v>
          </cell>
          <cell r="T11844">
            <v>0.65450103199999998</v>
          </cell>
        </row>
        <row r="11845">
          <cell r="A11845" t="str">
            <v>PEAK ANTENNAS</v>
          </cell>
          <cell r="B11845" t="str">
            <v>SCR225-12</v>
          </cell>
          <cell r="O11845"/>
          <cell r="T11845"/>
        </row>
        <row r="11846">
          <cell r="A11846" t="str">
            <v>PEAK ANTENNAS</v>
          </cell>
          <cell r="B11846" t="str">
            <v>SCR470-12</v>
          </cell>
          <cell r="O11846"/>
          <cell r="T11846"/>
        </row>
        <row r="11847">
          <cell r="A11847" t="str">
            <v>PELCO</v>
          </cell>
          <cell r="B11847" t="str">
            <v>EH4718</v>
          </cell>
          <cell r="O11847"/>
          <cell r="T11847"/>
        </row>
        <row r="11848">
          <cell r="A11848" t="str">
            <v>PELCO</v>
          </cell>
          <cell r="B11848" t="str">
            <v>ES30C</v>
          </cell>
          <cell r="O11848"/>
          <cell r="T11848"/>
        </row>
        <row r="11849">
          <cell r="A11849" t="str">
            <v>PERSISTENT SYSTEMS</v>
          </cell>
          <cell r="B11849" t="str">
            <v>WR-INT-ANT-SYS-01</v>
          </cell>
          <cell r="O11849"/>
          <cell r="T11849"/>
        </row>
        <row r="11850">
          <cell r="A11850" t="str">
            <v>PERSISTENT SYSTEMS</v>
          </cell>
          <cell r="B11850" t="str">
            <v>WR-INT-ANT-SYS-05</v>
          </cell>
          <cell r="O11850">
            <v>1.4643378665123501</v>
          </cell>
          <cell r="T11850">
            <v>0.63589997117430586</v>
          </cell>
        </row>
        <row r="11851">
          <cell r="A11851" t="str">
            <v>PERSISTENT SYSTEMS</v>
          </cell>
          <cell r="B11851" t="str">
            <v>WR-INT-ANT-SYS-07</v>
          </cell>
          <cell r="O11851"/>
          <cell r="T11851"/>
        </row>
        <row r="11852">
          <cell r="A11852" t="str">
            <v>PHASAR</v>
          </cell>
          <cell r="B11852" t="str">
            <v>1009-0101-401</v>
          </cell>
          <cell r="O11852"/>
          <cell r="T11852"/>
        </row>
        <row r="11853">
          <cell r="A11853" t="str">
            <v>PHASAR</v>
          </cell>
          <cell r="B11853" t="str">
            <v>806-080-11-0</v>
          </cell>
          <cell r="O11853"/>
          <cell r="T11853"/>
        </row>
        <row r="11854">
          <cell r="A11854" t="str">
            <v>PHASAR</v>
          </cell>
          <cell r="B11854" t="str">
            <v>806-090-12-0</v>
          </cell>
          <cell r="O11854"/>
          <cell r="T11854"/>
        </row>
        <row r="11855">
          <cell r="A11855" t="str">
            <v>PHASAR</v>
          </cell>
          <cell r="B11855" t="str">
            <v>806-090-15-0</v>
          </cell>
          <cell r="O11855"/>
          <cell r="T11855"/>
        </row>
        <row r="11856">
          <cell r="A11856" t="str">
            <v>PHASAR</v>
          </cell>
          <cell r="B11856" t="str">
            <v>806-105-12-0</v>
          </cell>
          <cell r="O11856"/>
          <cell r="T11856"/>
        </row>
        <row r="11857">
          <cell r="A11857" t="str">
            <v>PHASAR</v>
          </cell>
          <cell r="B11857" t="str">
            <v>AMR360-1428-12-T0</v>
          </cell>
          <cell r="O11857"/>
          <cell r="T11857"/>
        </row>
        <row r="11858">
          <cell r="A11858" t="str">
            <v>PHASAR</v>
          </cell>
          <cell r="B11858" t="str">
            <v>AMR55-1428-18-T0</v>
          </cell>
          <cell r="O11858"/>
          <cell r="T11858"/>
        </row>
        <row r="11859">
          <cell r="A11859" t="str">
            <v>PHASAR</v>
          </cell>
          <cell r="B11859" t="str">
            <v>AMR6-1450</v>
          </cell>
          <cell r="O11859"/>
          <cell r="T11859"/>
        </row>
        <row r="11860">
          <cell r="A11860" t="str">
            <v>PHASAR</v>
          </cell>
          <cell r="B11860" t="str">
            <v>AMR65-916-15-T0</v>
          </cell>
          <cell r="O11860"/>
          <cell r="T11860"/>
        </row>
        <row r="11861">
          <cell r="A11861" t="str">
            <v>PHASAR</v>
          </cell>
          <cell r="B11861" t="str">
            <v>AMRP12-1428S90</v>
          </cell>
          <cell r="O11861"/>
          <cell r="T11861"/>
        </row>
        <row r="11862">
          <cell r="A11862" t="str">
            <v>PHASAR</v>
          </cell>
          <cell r="B11862" t="str">
            <v>AMRS12-1428H140T</v>
          </cell>
          <cell r="O11862"/>
          <cell r="T11862"/>
        </row>
        <row r="11863">
          <cell r="A11863" t="str">
            <v>PHASAR</v>
          </cell>
          <cell r="B11863" t="str">
            <v>CEC806-050-14-T</v>
          </cell>
          <cell r="O11863"/>
          <cell r="T11863"/>
        </row>
        <row r="11864">
          <cell r="A11864" t="str">
            <v>PHASAR</v>
          </cell>
          <cell r="B11864" t="str">
            <v>CEL806-090-15-T0</v>
          </cell>
          <cell r="O11864"/>
          <cell r="T11864"/>
        </row>
        <row r="11865">
          <cell r="A11865" t="str">
            <v>PHASAR</v>
          </cell>
          <cell r="B11865" t="str">
            <v>GPS360-1575-3-T0-N</v>
          </cell>
          <cell r="O11865"/>
          <cell r="T11865"/>
        </row>
        <row r="11866">
          <cell r="A11866" t="str">
            <v>PHASAR</v>
          </cell>
          <cell r="B11866" t="str">
            <v>WCSD90-2300-17</v>
          </cell>
          <cell r="O11866"/>
          <cell r="T11866"/>
        </row>
        <row r="11867">
          <cell r="A11867" t="str">
            <v>PHAZAR</v>
          </cell>
          <cell r="B11867" t="str">
            <v>AMR120-916-12-T0</v>
          </cell>
          <cell r="O11867"/>
          <cell r="T11867"/>
        </row>
        <row r="11868">
          <cell r="A11868" t="str">
            <v>PHAZAR</v>
          </cell>
          <cell r="B11868" t="str">
            <v>AMR130-1428-13-T0</v>
          </cell>
          <cell r="O11868"/>
          <cell r="T11868"/>
        </row>
        <row r="11869">
          <cell r="A11869" t="str">
            <v>PHAZAR</v>
          </cell>
          <cell r="B11869" t="str">
            <v>AWS360-1710-10-T0-N</v>
          </cell>
          <cell r="O11869"/>
          <cell r="T11869"/>
        </row>
        <row r="11870">
          <cell r="A11870" t="str">
            <v>PHAZAR</v>
          </cell>
          <cell r="B11870" t="str">
            <v>CEL806-065-16-T0</v>
          </cell>
          <cell r="O11870"/>
          <cell r="T11870"/>
        </row>
        <row r="11871">
          <cell r="A11871" t="str">
            <v>PHAZAR</v>
          </cell>
          <cell r="B11871" t="str">
            <v>CEL806-105-11-T0</v>
          </cell>
          <cell r="O11871"/>
          <cell r="T11871"/>
        </row>
        <row r="11872">
          <cell r="A11872" t="str">
            <v>PHAZAR</v>
          </cell>
          <cell r="B11872" t="str">
            <v>PCS360D-1850-8-T0-N</v>
          </cell>
          <cell r="O11872"/>
          <cell r="T11872"/>
        </row>
        <row r="11873">
          <cell r="A11873" t="str">
            <v>PHAZAR</v>
          </cell>
          <cell r="B11873" t="str">
            <v>PCSD33-1850-18-T0</v>
          </cell>
          <cell r="O11873"/>
          <cell r="T11873"/>
        </row>
        <row r="11874">
          <cell r="A11874" t="str">
            <v>PHELPS DODGE</v>
          </cell>
          <cell r="B11874" t="str">
            <v>SSI805622O514_11</v>
          </cell>
          <cell r="O11874"/>
          <cell r="T11874"/>
        </row>
        <row r="11875">
          <cell r="A11875" t="str">
            <v>PIROD</v>
          </cell>
          <cell r="B11875" t="str">
            <v>CELLULAR ANTENNAS</v>
          </cell>
          <cell r="O11875"/>
          <cell r="T11875"/>
        </row>
        <row r="11876">
          <cell r="A11876" t="str">
            <v>POWER ANTENNA MANUFACTURING</v>
          </cell>
          <cell r="B11876" t="str">
            <v>PA11-SDP_5</v>
          </cell>
          <cell r="O11876"/>
          <cell r="T11876"/>
        </row>
        <row r="11877">
          <cell r="A11877" t="str">
            <v>POWERBEAM</v>
          </cell>
          <cell r="B11877" t="str">
            <v>PBE-M5-620</v>
          </cell>
          <cell r="O11877"/>
          <cell r="T11877"/>
        </row>
        <row r="11878">
          <cell r="A11878" t="str">
            <v>POWERWAVE TECHNOLOGIES</v>
          </cell>
          <cell r="B11878" t="str">
            <v>5721.00</v>
          </cell>
          <cell r="O11878">
            <v>1.5010416666666699</v>
          </cell>
          <cell r="T11878">
            <v>0.75033001175644787</v>
          </cell>
        </row>
        <row r="11879">
          <cell r="A11879" t="str">
            <v>POWERWAVE TECHNOLOGIES</v>
          </cell>
          <cell r="B11879" t="str">
            <v>7144.24.33.00E</v>
          </cell>
          <cell r="O11879"/>
          <cell r="T11879"/>
        </row>
        <row r="11880">
          <cell r="A11880" t="str">
            <v>POWERWAVE TECHNOLOGIES</v>
          </cell>
          <cell r="B11880" t="str">
            <v>7145.24.33.00</v>
          </cell>
          <cell r="O11880"/>
          <cell r="T11880"/>
        </row>
        <row r="11881">
          <cell r="A11881" t="str">
            <v>POWERWAVE TECHNOLOGIES</v>
          </cell>
          <cell r="B11881" t="str">
            <v>7182.42</v>
          </cell>
          <cell r="O11881">
            <v>1.3905494289036</v>
          </cell>
          <cell r="T11881">
            <v>0.88799098798056786</v>
          </cell>
        </row>
        <row r="11882">
          <cell r="A11882" t="str">
            <v>POWERWAVE TECHNOLOGIES</v>
          </cell>
          <cell r="B11882" t="str">
            <v>7184.42</v>
          </cell>
          <cell r="O11882">
            <v>1.3905494289036</v>
          </cell>
          <cell r="T11882">
            <v>0.88799098798056786</v>
          </cell>
        </row>
        <row r="11883">
          <cell r="A11883" t="str">
            <v>POWERWAVE TECHNOLOGIES</v>
          </cell>
          <cell r="B11883" t="str">
            <v>7198.40</v>
          </cell>
          <cell r="O11883"/>
          <cell r="T11883"/>
        </row>
        <row r="11884">
          <cell r="A11884" t="str">
            <v>POWERWAVE TECHNOLOGIES</v>
          </cell>
          <cell r="B11884" t="str">
            <v>7199.42</v>
          </cell>
          <cell r="O11884">
            <v>2.77766831623524</v>
          </cell>
          <cell r="T11884">
            <v>1.77453941857822</v>
          </cell>
        </row>
        <row r="11885">
          <cell r="A11885" t="str">
            <v>POWERWAVE TECHNOLOGIES</v>
          </cell>
          <cell r="B11885" t="str">
            <v>7200.40</v>
          </cell>
          <cell r="O11885">
            <v>1.8773577353395099</v>
          </cell>
          <cell r="T11885">
            <v>1.1236424025527001</v>
          </cell>
        </row>
        <row r="11886">
          <cell r="A11886" t="str">
            <v>POWERWAVE TECHNOLOGIES</v>
          </cell>
          <cell r="B11886" t="str">
            <v>7200.42</v>
          </cell>
          <cell r="O11886">
            <v>1.8773577353395099</v>
          </cell>
          <cell r="T11886">
            <v>1.1236424025527001</v>
          </cell>
        </row>
        <row r="11887">
          <cell r="A11887" t="str">
            <v>POWERWAVE TECHNOLOGIES</v>
          </cell>
          <cell r="B11887" t="str">
            <v>7220.08</v>
          </cell>
          <cell r="O11887">
            <v>3.1020650824246703</v>
          </cell>
          <cell r="T11887">
            <v>1.51848287620586</v>
          </cell>
        </row>
        <row r="11888">
          <cell r="A11888" t="str">
            <v>POWERWAVE TECHNOLOGIES</v>
          </cell>
          <cell r="B11888" t="str">
            <v>7220.15</v>
          </cell>
          <cell r="O11888"/>
          <cell r="T11888"/>
        </row>
        <row r="11889">
          <cell r="A11889" t="str">
            <v>POWERWAVE TECHNOLOGIES</v>
          </cell>
          <cell r="B11889" t="str">
            <v>7220.40</v>
          </cell>
          <cell r="O11889">
            <v>1.8773577353395099</v>
          </cell>
          <cell r="T11889">
            <v>1.1236424025527001</v>
          </cell>
        </row>
        <row r="11890">
          <cell r="A11890" t="str">
            <v>POWERWAVE TECHNOLOGIES</v>
          </cell>
          <cell r="B11890" t="str">
            <v>7220.42</v>
          </cell>
          <cell r="O11890">
            <v>1.8773577353395099</v>
          </cell>
          <cell r="T11890">
            <v>1.1236424025527001</v>
          </cell>
        </row>
        <row r="11891">
          <cell r="A11891" t="str">
            <v>POWERWAVE TECHNOLOGIES</v>
          </cell>
          <cell r="B11891" t="str">
            <v>7221.40</v>
          </cell>
          <cell r="O11891"/>
          <cell r="T11891"/>
        </row>
        <row r="11892">
          <cell r="A11892" t="str">
            <v>POWERWAVE TECHNOLOGIES</v>
          </cell>
          <cell r="B11892" t="str">
            <v>7221.42</v>
          </cell>
          <cell r="O11892"/>
          <cell r="T11892"/>
        </row>
        <row r="11893">
          <cell r="A11893" t="str">
            <v>POWERWAVE TECHNOLOGIES</v>
          </cell>
          <cell r="B11893" t="str">
            <v>7250.02</v>
          </cell>
          <cell r="O11893">
            <v>3.1132372027070998</v>
          </cell>
          <cell r="T11893">
            <v>1.5134194992463099</v>
          </cell>
        </row>
        <row r="11894">
          <cell r="A11894" t="str">
            <v>POWERWAVE TECHNOLOGIES</v>
          </cell>
          <cell r="B11894" t="str">
            <v>7251.02</v>
          </cell>
          <cell r="O11894">
            <v>2.03501563277473</v>
          </cell>
          <cell r="T11894">
            <v>1.3000283331572899</v>
          </cell>
        </row>
        <row r="11895">
          <cell r="A11895" t="str">
            <v>POWERWAVE TECHNOLOGIES</v>
          </cell>
          <cell r="B11895" t="str">
            <v>7262.01</v>
          </cell>
          <cell r="O11895">
            <v>1.4119411934230499</v>
          </cell>
          <cell r="T11895">
            <v>0.90185967590368787</v>
          </cell>
        </row>
        <row r="11896">
          <cell r="A11896" t="str">
            <v>POWERWAVE TECHNOLOGIES</v>
          </cell>
          <cell r="B11896" t="str">
            <v>7263.01</v>
          </cell>
          <cell r="O11896"/>
          <cell r="T11896"/>
        </row>
        <row r="11897">
          <cell r="A11897" t="str">
            <v>POWERWAVE TECHNOLOGIES</v>
          </cell>
          <cell r="B11897" t="str">
            <v>7263.04</v>
          </cell>
          <cell r="O11897"/>
          <cell r="T11897"/>
        </row>
        <row r="11898">
          <cell r="A11898" t="str">
            <v>POWERWAVE TECHNOLOGIES</v>
          </cell>
          <cell r="B11898" t="str">
            <v>7273.01</v>
          </cell>
          <cell r="O11898"/>
          <cell r="T11898"/>
        </row>
        <row r="11899">
          <cell r="A11899" t="str">
            <v>POWERWAVE TECHNOLOGIES</v>
          </cell>
          <cell r="B11899" t="str">
            <v>7282.03</v>
          </cell>
          <cell r="O11899"/>
          <cell r="T11899"/>
        </row>
        <row r="11900">
          <cell r="A11900" t="str">
            <v>POWERWAVE TECHNOLOGIES</v>
          </cell>
          <cell r="B11900" t="str">
            <v>7301.02</v>
          </cell>
          <cell r="O11900">
            <v>0.81721338402418986</v>
          </cell>
          <cell r="T11900">
            <v>0.52169125224841695</v>
          </cell>
        </row>
        <row r="11901">
          <cell r="A11901" t="str">
            <v>POWERWAVE TECHNOLOGIES</v>
          </cell>
          <cell r="B11901" t="str">
            <v>7332.00B</v>
          </cell>
          <cell r="O11901"/>
          <cell r="T11901"/>
        </row>
        <row r="11902">
          <cell r="A11902" t="str">
            <v>POWERWAVE TECHNOLOGIES</v>
          </cell>
          <cell r="B11902" t="str">
            <v>7334.02B</v>
          </cell>
          <cell r="O11902">
            <v>3.2677150848765399</v>
          </cell>
          <cell r="T11902">
            <v>1.4933316645085799</v>
          </cell>
        </row>
        <row r="11903">
          <cell r="A11903" t="str">
            <v>POWERWAVE TECHNOLOGIES</v>
          </cell>
          <cell r="B11903" t="str">
            <v>7338.00</v>
          </cell>
          <cell r="O11903"/>
          <cell r="T11903"/>
        </row>
        <row r="11904">
          <cell r="A11904" t="str">
            <v>POWERWAVE TECHNOLOGIES</v>
          </cell>
          <cell r="B11904" t="str">
            <v>7390.00B</v>
          </cell>
          <cell r="O11904"/>
          <cell r="T11904"/>
        </row>
        <row r="11905">
          <cell r="A11905" t="str">
            <v>POWERWAVE TECHNOLOGIES</v>
          </cell>
          <cell r="B11905" t="str">
            <v>7391.00</v>
          </cell>
          <cell r="O11905">
            <v>3.6494632523148103</v>
          </cell>
          <cell r="T11905">
            <v>1.6575127403839598</v>
          </cell>
        </row>
        <row r="11906">
          <cell r="A11906" t="str">
            <v>POWERWAVE TECHNOLOGIES</v>
          </cell>
          <cell r="B11906" t="str">
            <v>7462.0ST.1400.00</v>
          </cell>
          <cell r="O11906"/>
          <cell r="T11906"/>
        </row>
        <row r="11907">
          <cell r="A11907" t="str">
            <v>POWERWAVE TECHNOLOGIES</v>
          </cell>
          <cell r="B11907" t="str">
            <v>7471.00</v>
          </cell>
          <cell r="O11907"/>
          <cell r="T11907"/>
        </row>
        <row r="11908">
          <cell r="A11908" t="str">
            <v>POWERWAVE TECHNOLOGIES</v>
          </cell>
          <cell r="B11908" t="str">
            <v>7477.06</v>
          </cell>
          <cell r="O11908"/>
          <cell r="T11908"/>
        </row>
        <row r="11909">
          <cell r="A11909" t="str">
            <v>POWERWAVE TECHNOLOGIES</v>
          </cell>
          <cell r="B11909" t="str">
            <v>7481.00</v>
          </cell>
          <cell r="O11909">
            <v>3.5177719907407399</v>
          </cell>
          <cell r="T11909">
            <v>1.5970515542295201</v>
          </cell>
        </row>
        <row r="11910">
          <cell r="A11910" t="str">
            <v>POWERWAVE TECHNOLOGIES</v>
          </cell>
          <cell r="B11910" t="str">
            <v>7482.00</v>
          </cell>
          <cell r="O11910">
            <v>6.3579427083333293</v>
          </cell>
          <cell r="T11910">
            <v>2.31042939084637</v>
          </cell>
        </row>
        <row r="11911">
          <cell r="A11911" t="str">
            <v>POWERWAVE TECHNOLOGIES</v>
          </cell>
          <cell r="B11911" t="str">
            <v>7483.00</v>
          </cell>
          <cell r="O11911"/>
          <cell r="T11911"/>
        </row>
        <row r="11912">
          <cell r="A11912" t="str">
            <v>POWERWAVE TECHNOLOGIES</v>
          </cell>
          <cell r="B11912" t="str">
            <v>7486.00</v>
          </cell>
          <cell r="O11912">
            <v>3.6494632523148103</v>
          </cell>
          <cell r="T11912">
            <v>1.6575127403839598</v>
          </cell>
        </row>
        <row r="11913">
          <cell r="A11913" t="str">
            <v>POWERWAVE TECHNOLOGIES</v>
          </cell>
          <cell r="B11913" t="str">
            <v>7600.00</v>
          </cell>
          <cell r="O11913"/>
          <cell r="T11913"/>
        </row>
        <row r="11914">
          <cell r="A11914" t="str">
            <v>POWERWAVE TECHNOLOGIES</v>
          </cell>
          <cell r="B11914" t="str">
            <v>7601.00</v>
          </cell>
          <cell r="O11914"/>
          <cell r="T11914"/>
        </row>
        <row r="11915">
          <cell r="A11915" t="str">
            <v>POWERWAVE TECHNOLOGIES</v>
          </cell>
          <cell r="B11915" t="str">
            <v>7701.02</v>
          </cell>
          <cell r="O11915">
            <v>1.95269627700617</v>
          </cell>
          <cell r="T11915">
            <v>1.0327259907164499</v>
          </cell>
        </row>
        <row r="11916">
          <cell r="A11916" t="str">
            <v>POWERWAVE TECHNOLOGIES</v>
          </cell>
          <cell r="B11916" t="str">
            <v>7720.00</v>
          </cell>
          <cell r="O11916"/>
          <cell r="T11916"/>
        </row>
        <row r="11917">
          <cell r="A11917" t="str">
            <v>POWERWAVE TECHNOLOGIES</v>
          </cell>
          <cell r="B11917" t="str">
            <v>7721.00</v>
          </cell>
          <cell r="O11917">
            <v>1.5010416666666699</v>
          </cell>
          <cell r="T11917">
            <v>0.75033001175644787</v>
          </cell>
        </row>
        <row r="11918">
          <cell r="A11918" t="str">
            <v>POWERWAVE TECHNOLOGIES</v>
          </cell>
          <cell r="B11918" t="str">
            <v>7721.02</v>
          </cell>
          <cell r="O11918">
            <v>1.95269627700617</v>
          </cell>
          <cell r="T11918">
            <v>1.0327259907164499</v>
          </cell>
        </row>
        <row r="11919">
          <cell r="A11919" t="str">
            <v>POWERWAVE TECHNOLOGIES</v>
          </cell>
          <cell r="B11919" t="str">
            <v>7721.02.3</v>
          </cell>
          <cell r="O11919"/>
          <cell r="T11919"/>
        </row>
        <row r="11920">
          <cell r="A11920" t="str">
            <v>POWERWAVE TECHNOLOGIES</v>
          </cell>
          <cell r="B11920" t="str">
            <v>7722.00</v>
          </cell>
          <cell r="O11920">
            <v>3.1611684992284004</v>
          </cell>
          <cell r="T11920">
            <v>1.6756262247456999</v>
          </cell>
        </row>
        <row r="11921">
          <cell r="A11921" t="str">
            <v>POWERWAVE TECHNOLOGIES</v>
          </cell>
          <cell r="B11921" t="str">
            <v>7735.00A</v>
          </cell>
          <cell r="O11921">
            <v>0.76787278163580297</v>
          </cell>
          <cell r="T11921">
            <v>0.38379407658013387</v>
          </cell>
        </row>
        <row r="11922">
          <cell r="A11922" t="str">
            <v>POWERWAVE TECHNOLOGIES</v>
          </cell>
          <cell r="B11922" t="str">
            <v>7740.00</v>
          </cell>
          <cell r="O11922">
            <v>2.07996865354938</v>
          </cell>
          <cell r="T11922">
            <v>1.10207953630032</v>
          </cell>
        </row>
        <row r="11923">
          <cell r="A11923" t="str">
            <v>POWERWAVE TECHNOLOGIES</v>
          </cell>
          <cell r="B11923" t="str">
            <v>7745.00</v>
          </cell>
          <cell r="O11923">
            <v>3.1611684992284004</v>
          </cell>
          <cell r="T11923">
            <v>1.6756262247456999</v>
          </cell>
        </row>
        <row r="11924">
          <cell r="A11924" t="str">
            <v>POWERWAVE TECHNOLOGIES</v>
          </cell>
          <cell r="B11924" t="str">
            <v>7745.00A</v>
          </cell>
          <cell r="O11924">
            <v>2.3422000385802502</v>
          </cell>
          <cell r="T11924">
            <v>1.1707772540115</v>
          </cell>
        </row>
        <row r="11925">
          <cell r="A11925" t="str">
            <v>POWERWAVE TECHNOLOGIES</v>
          </cell>
          <cell r="B11925" t="str">
            <v>7750.00</v>
          </cell>
          <cell r="O11925">
            <v>3.6147434413580197</v>
          </cell>
          <cell r="T11925">
            <v>1.31348873723819</v>
          </cell>
        </row>
        <row r="11926">
          <cell r="A11926" t="str">
            <v>POWERWAVE TECHNOLOGIES</v>
          </cell>
          <cell r="B11926" t="str">
            <v>7750.0C0.0012.00</v>
          </cell>
          <cell r="O11926"/>
          <cell r="T11926"/>
        </row>
        <row r="11927">
          <cell r="A11927" t="str">
            <v>POWERWAVE TECHNOLOGIES</v>
          </cell>
          <cell r="B11927" t="str">
            <v>7752.00</v>
          </cell>
          <cell r="O11927">
            <v>5.6262538580246897</v>
          </cell>
          <cell r="T11927">
            <v>2.5563827174639497</v>
          </cell>
        </row>
        <row r="11928">
          <cell r="A11928" t="str">
            <v>POWERWAVE TECHNOLOGIES</v>
          </cell>
          <cell r="B11928" t="str">
            <v>7755.00</v>
          </cell>
          <cell r="O11928">
            <v>8.0973813657407412</v>
          </cell>
          <cell r="T11928">
            <v>3.6772485169400295</v>
          </cell>
        </row>
        <row r="11929">
          <cell r="A11929" t="str">
            <v>POWERWAVE TECHNOLOGIES</v>
          </cell>
          <cell r="B11929" t="str">
            <v>7760.00</v>
          </cell>
          <cell r="O11929">
            <v>5.6200087910777192</v>
          </cell>
          <cell r="T11929">
            <v>1.2970512532059599</v>
          </cell>
        </row>
        <row r="11930">
          <cell r="A11930" t="str">
            <v>POWERWAVE TECHNOLOGIES</v>
          </cell>
          <cell r="B11930" t="str">
            <v>7762.00</v>
          </cell>
          <cell r="O11930">
            <v>5.6200087910777192</v>
          </cell>
          <cell r="T11930">
            <v>1.2970512532059599</v>
          </cell>
        </row>
        <row r="11931">
          <cell r="A11931" t="str">
            <v>POWERWAVE TECHNOLOGIES</v>
          </cell>
          <cell r="B11931" t="str">
            <v>7765.00</v>
          </cell>
          <cell r="O11931"/>
          <cell r="T11931"/>
        </row>
        <row r="11932">
          <cell r="A11932" t="str">
            <v>POWERWAVE TECHNOLOGIES</v>
          </cell>
          <cell r="B11932" t="str">
            <v>7766.00</v>
          </cell>
          <cell r="O11932"/>
          <cell r="T11932"/>
        </row>
        <row r="11933">
          <cell r="A11933" t="str">
            <v>POWERWAVE TECHNOLOGIES</v>
          </cell>
          <cell r="B11933" t="str">
            <v>7770.00</v>
          </cell>
          <cell r="O11933">
            <v>3.4230179398148097</v>
          </cell>
          <cell r="T11933">
            <v>1.5603915932892598</v>
          </cell>
        </row>
        <row r="11934">
          <cell r="A11934" t="str">
            <v>POWERWAVE TECHNOLOGIES</v>
          </cell>
          <cell r="B11934" t="str">
            <v>7772.00</v>
          </cell>
          <cell r="O11934">
            <v>4.6758487654321002</v>
          </cell>
          <cell r="T11934">
            <v>2.1300739575215197</v>
          </cell>
        </row>
        <row r="11935">
          <cell r="A11935" t="str">
            <v>POWERWAVE TECHNOLOGIES</v>
          </cell>
          <cell r="B11935" t="str">
            <v>7775.00</v>
          </cell>
          <cell r="O11935">
            <v>8.0973813657407412</v>
          </cell>
          <cell r="T11935">
            <v>3.6772485169400295</v>
          </cell>
        </row>
        <row r="11936">
          <cell r="A11936" t="str">
            <v>POWERWAVE TECHNOLOGIES</v>
          </cell>
          <cell r="B11936" t="str">
            <v>7780.00</v>
          </cell>
          <cell r="O11936">
            <v>3.6147434413580197</v>
          </cell>
          <cell r="T11936">
            <v>1.31348873723819</v>
          </cell>
        </row>
        <row r="11937">
          <cell r="A11937" t="str">
            <v>POWERWAVE TECHNOLOGIES</v>
          </cell>
          <cell r="B11937" t="str">
            <v>7782.00</v>
          </cell>
          <cell r="O11937">
            <v>6.0126012731481504</v>
          </cell>
          <cell r="T11937">
            <v>2.7317146963678995</v>
          </cell>
        </row>
        <row r="11938">
          <cell r="A11938" t="str">
            <v>POWERWAVE TECHNOLOGIES</v>
          </cell>
          <cell r="B11938" t="str">
            <v>7785.00</v>
          </cell>
          <cell r="O11938">
            <v>8.0973813657407412</v>
          </cell>
          <cell r="T11938">
            <v>3.6772485169400295</v>
          </cell>
        </row>
        <row r="11939">
          <cell r="A11939" t="str">
            <v>POWERWAVE TECHNOLOGIES</v>
          </cell>
          <cell r="B11939" t="str">
            <v>7834.00</v>
          </cell>
          <cell r="O11939"/>
          <cell r="T11939"/>
        </row>
        <row r="11940">
          <cell r="A11940" t="str">
            <v>POWERWAVE TECHNOLOGIES</v>
          </cell>
          <cell r="B11940" t="str">
            <v>7838.00</v>
          </cell>
          <cell r="O11940"/>
          <cell r="T11940"/>
        </row>
        <row r="11941">
          <cell r="A11941" t="str">
            <v>POWERWAVE TECHNOLOGIES</v>
          </cell>
          <cell r="B11941" t="str">
            <v>7840.00</v>
          </cell>
          <cell r="O11941"/>
          <cell r="T11941"/>
        </row>
        <row r="11942">
          <cell r="A11942" t="str">
            <v>POWERWAVE TECHNOLOGIES</v>
          </cell>
          <cell r="B11942" t="str">
            <v>7850.00</v>
          </cell>
          <cell r="O11942">
            <v>3.6494632523148103</v>
          </cell>
          <cell r="T11942">
            <v>1.6575127403839598</v>
          </cell>
        </row>
        <row r="11943">
          <cell r="A11943" t="str">
            <v>POWERWAVE TECHNOLOGIES</v>
          </cell>
          <cell r="B11943" t="str">
            <v>7850.00B</v>
          </cell>
          <cell r="O11943">
            <v>3.6494632523148103</v>
          </cell>
          <cell r="T11943">
            <v>1.6575127403839598</v>
          </cell>
        </row>
        <row r="11944">
          <cell r="A11944" t="str">
            <v>POWERWAVE TECHNOLOGIES</v>
          </cell>
          <cell r="B11944" t="str">
            <v>7920.00</v>
          </cell>
          <cell r="O11944">
            <v>6.4943773182911499</v>
          </cell>
          <cell r="T11944">
            <v>1.44372129725908</v>
          </cell>
        </row>
        <row r="11945">
          <cell r="A11945" t="str">
            <v>POWERWAVE TECHNOLOGIES</v>
          </cell>
          <cell r="B11945" t="str">
            <v>7999.00</v>
          </cell>
          <cell r="O11945"/>
          <cell r="T11945"/>
        </row>
        <row r="11946">
          <cell r="A11946" t="str">
            <v>POWERWAVE TECHNOLOGIES</v>
          </cell>
          <cell r="B11946" t="str">
            <v>8721.0ST.B100.00</v>
          </cell>
          <cell r="O11946">
            <v>1.501041667</v>
          </cell>
          <cell r="T11946">
            <v>0.75033001200000005</v>
          </cell>
        </row>
        <row r="11947">
          <cell r="A11947" t="str">
            <v>POWERWAVE TECHNOLOGIES</v>
          </cell>
          <cell r="B11947" t="str">
            <v>8752.0ST.0000.00</v>
          </cell>
          <cell r="O11947"/>
          <cell r="T11947"/>
        </row>
        <row r="11948">
          <cell r="A11948" t="str">
            <v>POWERWAVE TECHNOLOGIES</v>
          </cell>
          <cell r="B11948" t="str">
            <v>8763.0ST.B400.00</v>
          </cell>
          <cell r="O11948"/>
          <cell r="T11948"/>
        </row>
        <row r="11949">
          <cell r="A11949" t="str">
            <v>POWERWAVE TECHNOLOGIES</v>
          </cell>
          <cell r="B11949" t="str">
            <v>8780.0ST.0000.00</v>
          </cell>
          <cell r="O11949"/>
          <cell r="T11949"/>
        </row>
        <row r="11950">
          <cell r="A11950" t="str">
            <v>POWERWAVE TECHNOLOGIES</v>
          </cell>
          <cell r="B11950" t="str">
            <v>8782.0ST.B100.00</v>
          </cell>
          <cell r="O11950"/>
          <cell r="T11950"/>
        </row>
        <row r="11951">
          <cell r="A11951" t="str">
            <v>POWERWAVE TECHNOLOGIES</v>
          </cell>
          <cell r="B11951" t="str">
            <v>P40-16-XLPP-RR</v>
          </cell>
          <cell r="O11951">
            <v>6.9322386189999996</v>
          </cell>
          <cell r="T11951">
            <v>2.596840313</v>
          </cell>
        </row>
        <row r="11952">
          <cell r="A11952" t="str">
            <v>POWERWAVE TECHNOLOGIES</v>
          </cell>
          <cell r="B11952" t="str">
            <v>P40-16-XLPP-RR-A</v>
          </cell>
          <cell r="O11952">
            <v>7.2159915119999996</v>
          </cell>
          <cell r="T11952">
            <v>2.345983623</v>
          </cell>
        </row>
        <row r="11953">
          <cell r="A11953" t="str">
            <v>POWERWAVE TECHNOLOGIES</v>
          </cell>
          <cell r="B11953" t="str">
            <v>P40-16-XLPP-RRR</v>
          </cell>
          <cell r="O11953">
            <v>6.7890094521604896</v>
          </cell>
          <cell r="T11953">
            <v>2.2102915633386298</v>
          </cell>
        </row>
        <row r="11954">
          <cell r="A11954" t="str">
            <v>POWERWAVE TECHNOLOGIES</v>
          </cell>
          <cell r="B11954" t="str">
            <v>P40-16XLPP-RR</v>
          </cell>
          <cell r="O11954">
            <v>6.9322386189999996</v>
          </cell>
          <cell r="T11954">
            <v>2.596840313</v>
          </cell>
        </row>
        <row r="11955">
          <cell r="A11955" t="str">
            <v>POWERWAVE TECHNOLOGIES</v>
          </cell>
          <cell r="B11955" t="str">
            <v>P45-16-XLH-RR</v>
          </cell>
          <cell r="O11955">
            <v>6.9322386188271601</v>
          </cell>
          <cell r="T11955">
            <v>2.5968403130844999</v>
          </cell>
        </row>
        <row r="11956">
          <cell r="A11956" t="str">
            <v>POWERWAVE TECHNOLOGIES</v>
          </cell>
          <cell r="B11956" t="str">
            <v>P45-17-XL-R</v>
          </cell>
          <cell r="O11956"/>
          <cell r="T11956"/>
        </row>
        <row r="11957">
          <cell r="A11957" t="str">
            <v>POWERWAVE TECHNOLOGIES</v>
          </cell>
          <cell r="B11957" t="str">
            <v>P45-17-XLH-RR</v>
          </cell>
          <cell r="O11957"/>
          <cell r="T11957"/>
        </row>
        <row r="11958">
          <cell r="A11958" t="str">
            <v>POWERWAVE TECHNOLOGIES</v>
          </cell>
          <cell r="B11958" t="str">
            <v>P65-15-XL-R</v>
          </cell>
          <cell r="O11958"/>
          <cell r="T11958"/>
        </row>
        <row r="11959">
          <cell r="A11959" t="str">
            <v>POWERWAVE TECHNOLOGIES</v>
          </cell>
          <cell r="B11959" t="str">
            <v>P65-15-XLH-MM</v>
          </cell>
          <cell r="O11959"/>
          <cell r="T11959"/>
        </row>
        <row r="11960">
          <cell r="A11960" t="str">
            <v>POWERWAVE TECHNOLOGIES</v>
          </cell>
          <cell r="B11960" t="str">
            <v>P65-15-XLH-RR</v>
          </cell>
          <cell r="O11960">
            <v>3.9570929779999999</v>
          </cell>
          <cell r="T11960">
            <v>1.9835520659999999</v>
          </cell>
        </row>
        <row r="11961">
          <cell r="A11961" t="str">
            <v>POWERWAVE TECHNOLOGIES</v>
          </cell>
          <cell r="B11961" t="str">
            <v>P65-15-XLHH-R</v>
          </cell>
          <cell r="O11961"/>
          <cell r="T11961"/>
        </row>
        <row r="11962">
          <cell r="A11962" t="str">
            <v>POWERWAVE TECHNOLOGIES</v>
          </cell>
          <cell r="B11962" t="str">
            <v>P65-16-XL-M</v>
          </cell>
          <cell r="O11962">
            <v>5.7178144289999997</v>
          </cell>
          <cell r="T11962">
            <v>2.8674295830000003</v>
          </cell>
        </row>
        <row r="11963">
          <cell r="A11963" t="str">
            <v>POWERWAVE TECHNOLOGIES</v>
          </cell>
          <cell r="B11963" t="str">
            <v>P65-16-XL-R</v>
          </cell>
          <cell r="O11963">
            <v>5.7178144289999997</v>
          </cell>
          <cell r="T11963">
            <v>2.8674295830000003</v>
          </cell>
        </row>
        <row r="11964">
          <cell r="A11964" t="str">
            <v>POWERWAVE TECHNOLOGIES</v>
          </cell>
          <cell r="B11964" t="str">
            <v>P65-16-XLH-RR</v>
          </cell>
          <cell r="O11964">
            <v>5.7178144289999997</v>
          </cell>
          <cell r="T11964">
            <v>2.8674295830000003</v>
          </cell>
        </row>
        <row r="11965">
          <cell r="A11965" t="str">
            <v>POWERWAVE TECHNOLOGIES</v>
          </cell>
          <cell r="B11965" t="str">
            <v>P65-16-XLHH-RR</v>
          </cell>
          <cell r="O11965">
            <v>5.7178144289999997</v>
          </cell>
          <cell r="T11965">
            <v>2.8674295830000003</v>
          </cell>
        </row>
        <row r="11966">
          <cell r="A11966" t="str">
            <v>POWERWAVE TECHNOLOGIES</v>
          </cell>
          <cell r="B11966" t="str">
            <v>P65-16-XLLHH-RRRR</v>
          </cell>
          <cell r="O11966"/>
          <cell r="T11966"/>
        </row>
        <row r="11967">
          <cell r="A11967" t="str">
            <v>POWERWAVE TECHNOLOGIES</v>
          </cell>
          <cell r="B11967" t="str">
            <v>P65-16-XLPP-RR</v>
          </cell>
          <cell r="O11967">
            <v>5.7178144289999997</v>
          </cell>
          <cell r="T11967">
            <v>2.8674295830000003</v>
          </cell>
        </row>
        <row r="11968">
          <cell r="A11968" t="str">
            <v>POWERWAVE TECHNOLOGIES</v>
          </cell>
          <cell r="B11968" t="str">
            <v>P65-16-XLPP-RRR</v>
          </cell>
          <cell r="O11968">
            <v>5.7178144289999997</v>
          </cell>
          <cell r="T11968">
            <v>2.8674295830000003</v>
          </cell>
        </row>
        <row r="11969">
          <cell r="A11969" t="str">
            <v>POWERWAVE TECHNOLOGIES</v>
          </cell>
          <cell r="B11969" t="str">
            <v>P65-17-XL-4</v>
          </cell>
          <cell r="O11969"/>
          <cell r="T11969"/>
        </row>
        <row r="11970">
          <cell r="A11970" t="str">
            <v>POWERWAVE TECHNOLOGIES</v>
          </cell>
          <cell r="B11970" t="str">
            <v>P65-17-XL-R</v>
          </cell>
          <cell r="O11970">
            <v>7.5718894675925901</v>
          </cell>
          <cell r="T11970">
            <v>3.7945267227047998</v>
          </cell>
        </row>
        <row r="11971">
          <cell r="A11971" t="str">
            <v>POWERWAVE TECHNOLOGIES</v>
          </cell>
          <cell r="B11971" t="str">
            <v>P65-17-XLH-MM</v>
          </cell>
          <cell r="O11971">
            <v>7.5756558639999989</v>
          </cell>
          <cell r="T11971">
            <v>3.8041604750000002</v>
          </cell>
        </row>
        <row r="11972">
          <cell r="A11972" t="str">
            <v>POWERWAVE TECHNOLOGIES</v>
          </cell>
          <cell r="B11972" t="str">
            <v>P65-17-XLH-RR</v>
          </cell>
          <cell r="O11972">
            <v>7.5756558639999989</v>
          </cell>
          <cell r="T11972">
            <v>3.8041604750000002</v>
          </cell>
        </row>
        <row r="11973">
          <cell r="A11973" t="str">
            <v>POWERWAVE TECHNOLOGIES</v>
          </cell>
          <cell r="B11973" t="str">
            <v>P65-18-CH-N</v>
          </cell>
          <cell r="O11973"/>
          <cell r="T11973"/>
        </row>
        <row r="11974">
          <cell r="A11974" t="str">
            <v>POWERWAVE TECHNOLOGIES</v>
          </cell>
          <cell r="B11974" t="str">
            <v>P65-18-XHW2-RR</v>
          </cell>
          <cell r="O11974"/>
          <cell r="T11974"/>
        </row>
        <row r="11975">
          <cell r="A11975" t="str">
            <v>POWERWAVE TECHNOLOGIES</v>
          </cell>
          <cell r="B11975" t="str">
            <v>P65-18-XW2-R</v>
          </cell>
          <cell r="O11975"/>
          <cell r="T11975"/>
        </row>
        <row r="11976">
          <cell r="A11976" t="str">
            <v>POWERWAVE TECHNOLOGIES</v>
          </cell>
          <cell r="B11976" t="str">
            <v>P65-18-XXW2-M</v>
          </cell>
          <cell r="O11976">
            <v>4.9804216180179894</v>
          </cell>
          <cell r="T11976">
            <v>1.1486457128034</v>
          </cell>
        </row>
        <row r="11977">
          <cell r="A11977" t="str">
            <v>POWERWAVE TECHNOLOGIES</v>
          </cell>
          <cell r="B11977" t="str">
            <v>P65-18-XXW2-R</v>
          </cell>
          <cell r="O11977">
            <v>4.9850115739999996</v>
          </cell>
          <cell r="T11977">
            <v>1.1530248009999999</v>
          </cell>
        </row>
        <row r="11978">
          <cell r="A11978" t="str">
            <v>POWERWAVE TECHNOLOGIES</v>
          </cell>
          <cell r="B11978" t="str">
            <v>P65-18-XXW2-RR</v>
          </cell>
          <cell r="O11978">
            <v>4.9850115739999996</v>
          </cell>
          <cell r="T11978">
            <v>1.1530248009999999</v>
          </cell>
        </row>
        <row r="11979">
          <cell r="A11979" t="str">
            <v>POWERWAVE TECHNOLOGIES</v>
          </cell>
          <cell r="B11979" t="str">
            <v>P65.15.XL.0</v>
          </cell>
          <cell r="O11979"/>
          <cell r="T11979"/>
        </row>
        <row r="11980">
          <cell r="A11980" t="str">
            <v>POWERWAVE TECHNOLOGIES</v>
          </cell>
          <cell r="B11980" t="str">
            <v>P65.15.XL.2</v>
          </cell>
          <cell r="O11980"/>
          <cell r="T11980"/>
        </row>
        <row r="11981">
          <cell r="A11981" t="str">
            <v>POWERWAVE TECHNOLOGIES</v>
          </cell>
          <cell r="B11981" t="str">
            <v>P65.16.XL.2</v>
          </cell>
          <cell r="O11981"/>
          <cell r="T11981"/>
        </row>
        <row r="11982">
          <cell r="A11982" t="str">
            <v>POWERWAVE TECHNOLOGIES</v>
          </cell>
          <cell r="B11982" t="str">
            <v>P65.17.XL.0</v>
          </cell>
          <cell r="O11982">
            <v>7.5718894675925901</v>
          </cell>
          <cell r="T11982">
            <v>3.7945267227047998</v>
          </cell>
        </row>
        <row r="11983">
          <cell r="A11983" t="str">
            <v>POWERWAVE TECHNOLOGIES</v>
          </cell>
          <cell r="B11983" t="str">
            <v>P65.17.XL.2</v>
          </cell>
          <cell r="O11983">
            <v>7.5718894675925901</v>
          </cell>
          <cell r="T11983">
            <v>3.7945267227047998</v>
          </cell>
        </row>
        <row r="11984">
          <cell r="A11984" t="str">
            <v>POWERWAVE TECHNOLOGIES</v>
          </cell>
          <cell r="B11984" t="str">
            <v>P65E-17-XL-R</v>
          </cell>
          <cell r="O11984"/>
          <cell r="T11984"/>
        </row>
        <row r="11985">
          <cell r="A11985" t="str">
            <v>POWERWAVE TECHNOLOGIES</v>
          </cell>
          <cell r="B11985" t="str">
            <v>P65E-17-XLH-RR</v>
          </cell>
          <cell r="O11985">
            <v>7.5756558639999989</v>
          </cell>
          <cell r="T11985">
            <v>3.8041604750000002</v>
          </cell>
        </row>
        <row r="11986">
          <cell r="A11986" t="str">
            <v>POWERWAVE TECHNOLOGIES</v>
          </cell>
          <cell r="B11986" t="str">
            <v>P90-14-XL-R</v>
          </cell>
          <cell r="O11986"/>
          <cell r="T11986"/>
        </row>
        <row r="11987">
          <cell r="A11987" t="str">
            <v>POWERWAVE TECHNOLOGIES</v>
          </cell>
          <cell r="B11987" t="str">
            <v>P90-14-XLH-RR</v>
          </cell>
          <cell r="O11987">
            <v>3.1265176504629597</v>
          </cell>
          <cell r="T11987">
            <v>1.9855023561110599</v>
          </cell>
        </row>
        <row r="11988">
          <cell r="A11988" t="str">
            <v>POWERWAVE TECHNOLOGIES</v>
          </cell>
          <cell r="B11988" t="str">
            <v>P90-15-XLH-RR</v>
          </cell>
          <cell r="O11988">
            <v>4.8807937889999993</v>
          </cell>
          <cell r="T11988">
            <v>3.1114086380000003</v>
          </cell>
        </row>
        <row r="11989">
          <cell r="A11989" t="str">
            <v>POWERWAVE TECHNOLOGIES</v>
          </cell>
          <cell r="B11989" t="str">
            <v>P90-15-XLPP-RR</v>
          </cell>
          <cell r="O11989">
            <v>5.7178144289999997</v>
          </cell>
          <cell r="T11989">
            <v>2.8674295830000003</v>
          </cell>
        </row>
        <row r="11990">
          <cell r="A11990" t="str">
            <v>POWERWAVE TECHNOLOGIES</v>
          </cell>
          <cell r="B11990" t="str">
            <v>P90-15-XLPP-RRR</v>
          </cell>
          <cell r="O11990">
            <v>5.7178144289999997</v>
          </cell>
          <cell r="T11990">
            <v>2.8674295830000003</v>
          </cell>
        </row>
        <row r="11991">
          <cell r="A11991" t="str">
            <v>POWERWAVE TECHNOLOGIES</v>
          </cell>
          <cell r="B11991" t="str">
            <v>P90-16-XLH-RR</v>
          </cell>
          <cell r="O11991">
            <v>7.5756558639999989</v>
          </cell>
          <cell r="T11991">
            <v>3.8041604750000002</v>
          </cell>
        </row>
        <row r="11992">
          <cell r="A11992" t="str">
            <v>POWERWAVE TECHNOLOGIES</v>
          </cell>
          <cell r="B11992" t="str">
            <v>P90-17-XW2-R</v>
          </cell>
          <cell r="O11992"/>
          <cell r="T11992"/>
        </row>
        <row r="11993">
          <cell r="A11993" t="str">
            <v>POWERWAVE TECHNOLOGIES</v>
          </cell>
          <cell r="B11993" t="str">
            <v>P90-17-XXW2-R</v>
          </cell>
          <cell r="O11993">
            <v>4.6240051118827195</v>
          </cell>
          <cell r="T11993">
            <v>1.3389852900420098</v>
          </cell>
        </row>
        <row r="11994">
          <cell r="A11994" t="str">
            <v>POWERWAVE TECHNOLOGIES</v>
          </cell>
          <cell r="B11994" t="str">
            <v>P90-17-XXW2-RR</v>
          </cell>
          <cell r="O11994">
            <v>4.6240051118827195</v>
          </cell>
          <cell r="T11994">
            <v>1.3389852900420098</v>
          </cell>
        </row>
        <row r="11995">
          <cell r="A11995" t="str">
            <v>POWERWAVE TECHNOLOGIES</v>
          </cell>
          <cell r="B11995" t="str">
            <v>RA11-7765-00</v>
          </cell>
          <cell r="O11995"/>
          <cell r="T11995"/>
        </row>
        <row r="11996">
          <cell r="A11996" t="str">
            <v>POWERWAVE TECHNOLOGIES</v>
          </cell>
          <cell r="B11996" t="str">
            <v>RA11.7721.00</v>
          </cell>
          <cell r="O11996">
            <v>2.1659849167524903</v>
          </cell>
          <cell r="T11996">
            <v>1.29156878369315</v>
          </cell>
        </row>
        <row r="11997">
          <cell r="A11997" t="str">
            <v>POWERWAVE TECHNOLOGIES</v>
          </cell>
          <cell r="B11997" t="str">
            <v>RA11.7721.00-RET</v>
          </cell>
          <cell r="O11997"/>
          <cell r="T11997"/>
        </row>
        <row r="11998">
          <cell r="A11998" t="str">
            <v>POWERWAVE TECHNOLOGIES</v>
          </cell>
          <cell r="B11998" t="str">
            <v>RA11.7722.00</v>
          </cell>
          <cell r="O11998"/>
          <cell r="T11998"/>
        </row>
        <row r="11999">
          <cell r="A11999" t="str">
            <v>POWERWAVE TECHNOLOGIES</v>
          </cell>
          <cell r="B11999" t="str">
            <v>RA11.7740.00</v>
          </cell>
          <cell r="O11999">
            <v>2.07996865354938</v>
          </cell>
          <cell r="T11999">
            <v>1.10207953630032</v>
          </cell>
        </row>
        <row r="12000">
          <cell r="A12000" t="str">
            <v>POWERWAVE TECHNOLOGIES</v>
          </cell>
          <cell r="B12000" t="str">
            <v>RA11.7740.00A</v>
          </cell>
          <cell r="O12000">
            <v>2.1812475887345704</v>
          </cell>
          <cell r="T12000">
            <v>1.15594895996983</v>
          </cell>
        </row>
        <row r="12001">
          <cell r="A12001" t="str">
            <v>POWERWAVE TECHNOLOGIES</v>
          </cell>
          <cell r="B12001" t="str">
            <v>RA11.7745.00A</v>
          </cell>
          <cell r="O12001">
            <v>3.3644690393518499</v>
          </cell>
          <cell r="T12001">
            <v>1.7831301409574698</v>
          </cell>
        </row>
        <row r="12002">
          <cell r="A12002" t="str">
            <v>POWERWAVE TECHNOLOGIES</v>
          </cell>
          <cell r="B12002" t="str">
            <v>RA11.7755.00</v>
          </cell>
          <cell r="O12002">
            <v>8.2024637510403906</v>
          </cell>
          <cell r="T12002">
            <v>3.7273695493479697</v>
          </cell>
        </row>
        <row r="12003">
          <cell r="A12003" t="str">
            <v>POWERWAVE TECHNOLOGIES</v>
          </cell>
          <cell r="B12003" t="str">
            <v>RA11.7760.00</v>
          </cell>
          <cell r="O12003">
            <v>5.6013744212962999</v>
          </cell>
          <cell r="T12003">
            <v>1.60081154714546</v>
          </cell>
        </row>
        <row r="12004">
          <cell r="A12004" t="str">
            <v>POWERWAVE TECHNOLOGIES</v>
          </cell>
          <cell r="B12004" t="str">
            <v>RA11.7765.00</v>
          </cell>
          <cell r="O12004"/>
          <cell r="T12004"/>
        </row>
        <row r="12005">
          <cell r="A12005" t="str">
            <v>POWERWAVE TECHNOLOGIES</v>
          </cell>
          <cell r="B12005" t="str">
            <v>RA21.7750.00</v>
          </cell>
          <cell r="O12005">
            <v>4.09044463734568</v>
          </cell>
          <cell r="T12005">
            <v>1.8694919599558599</v>
          </cell>
        </row>
        <row r="12006">
          <cell r="A12006" t="str">
            <v>POWERWAVE TECHNOLOGIES</v>
          </cell>
          <cell r="B12006" t="str">
            <v>RA21.7750.00_CCIV2</v>
          </cell>
          <cell r="O12006"/>
          <cell r="T12006"/>
        </row>
        <row r="12007">
          <cell r="A12007" t="str">
            <v>POWERWAVE TECHNOLOGIES</v>
          </cell>
          <cell r="B12007" t="str">
            <v>RA21.7752.00</v>
          </cell>
          <cell r="O12007">
            <v>6.2402826003086398</v>
          </cell>
          <cell r="T12007">
            <v>2.8360840861493801</v>
          </cell>
        </row>
        <row r="12008">
          <cell r="A12008" t="str">
            <v>POWERWAVE TECHNOLOGIES</v>
          </cell>
          <cell r="B12008" t="str">
            <v>RA21.7752.00_CCIV2</v>
          </cell>
          <cell r="O12008"/>
          <cell r="T12008"/>
        </row>
        <row r="12009">
          <cell r="A12009" t="str">
            <v>POWERWAVE TECHNOLOGIES</v>
          </cell>
          <cell r="B12009" t="str">
            <v>RA21.7755.00</v>
          </cell>
          <cell r="O12009">
            <v>7.3737027389999996</v>
          </cell>
          <cell r="T12009">
            <v>3.3695838340000002</v>
          </cell>
        </row>
        <row r="12010">
          <cell r="A12010" t="str">
            <v>POWERWAVE TECHNOLOGIES</v>
          </cell>
          <cell r="B12010" t="str">
            <v>RA21.7770.00</v>
          </cell>
          <cell r="O12010">
            <v>4.1886733219999996</v>
          </cell>
          <cell r="T12010">
            <v>1.522867473</v>
          </cell>
        </row>
        <row r="12011">
          <cell r="A12011" t="str">
            <v>POWERWAVE TECHNOLOGIES</v>
          </cell>
          <cell r="B12011" t="str">
            <v>RA21.7772.00</v>
          </cell>
          <cell r="O12011">
            <v>5.6262538580246897</v>
          </cell>
          <cell r="T12011">
            <v>2.5563827174639497</v>
          </cell>
        </row>
        <row r="12012">
          <cell r="A12012" t="str">
            <v>POWERWAVE TECHNOLOGIES</v>
          </cell>
          <cell r="B12012" t="str">
            <v>RA21.7775.00</v>
          </cell>
          <cell r="O12012">
            <v>7.9172309027777796</v>
          </cell>
          <cell r="T12012">
            <v>3.5972874801070596</v>
          </cell>
        </row>
        <row r="12013">
          <cell r="A12013" t="str">
            <v>POWERWAVE TECHNOLOGIES</v>
          </cell>
          <cell r="B12013" t="str">
            <v>RA31.7785.00</v>
          </cell>
          <cell r="O12013"/>
          <cell r="T12013"/>
        </row>
        <row r="12014">
          <cell r="A12014" t="str">
            <v>POWERWAVE TECHNOLOGIES</v>
          </cell>
          <cell r="B12014" t="str">
            <v>TME-LGP 17201</v>
          </cell>
          <cell r="O12014"/>
          <cell r="T12014"/>
        </row>
        <row r="12015">
          <cell r="A12015" t="str">
            <v>POWERWAVE TECHNOLOGIES</v>
          </cell>
          <cell r="B12015" t="str">
            <v>TME-LGP17205</v>
          </cell>
          <cell r="O12015"/>
          <cell r="T12015"/>
        </row>
        <row r="12016">
          <cell r="A12016" t="str">
            <v>POWERWAVE TECHNOLOGIES</v>
          </cell>
          <cell r="B12016" t="str">
            <v>TME-LGP17503</v>
          </cell>
          <cell r="O12016"/>
          <cell r="T12016"/>
        </row>
        <row r="12017">
          <cell r="A12017" t="str">
            <v>POWERWAVE TECHNOLOGIES</v>
          </cell>
          <cell r="B12017" t="str">
            <v>TME-LGP18601</v>
          </cell>
          <cell r="O12017"/>
          <cell r="T12017"/>
        </row>
        <row r="12018">
          <cell r="A12018" t="str">
            <v>POWERWAVE TECHNOLOGIES</v>
          </cell>
          <cell r="B12018" t="str">
            <v>TME-LGP21401</v>
          </cell>
          <cell r="O12018"/>
          <cell r="T12018"/>
        </row>
        <row r="12019">
          <cell r="A12019" t="str">
            <v>POWERWAVE TECHNOLOGIES</v>
          </cell>
          <cell r="B12019" t="str">
            <v>TME-TT19-08B-P111-001</v>
          </cell>
          <cell r="O12019"/>
          <cell r="T12019"/>
        </row>
        <row r="12020">
          <cell r="A12020" t="str">
            <v>PRODELIN</v>
          </cell>
          <cell r="B12020" t="str">
            <v>1111</v>
          </cell>
          <cell r="O12020"/>
          <cell r="T12020"/>
        </row>
        <row r="12021">
          <cell r="A12021" t="str">
            <v>PRODELIN</v>
          </cell>
          <cell r="B12021" t="str">
            <v>1123</v>
          </cell>
          <cell r="O12021"/>
          <cell r="T12021"/>
        </row>
        <row r="12022">
          <cell r="A12022" t="str">
            <v>PRODELIN</v>
          </cell>
          <cell r="B12022" t="str">
            <v>1125</v>
          </cell>
          <cell r="O12022"/>
          <cell r="T12022"/>
        </row>
        <row r="12023">
          <cell r="A12023" t="str">
            <v>PRODELIN</v>
          </cell>
          <cell r="B12023" t="str">
            <v>1130</v>
          </cell>
          <cell r="O12023"/>
          <cell r="T12023"/>
        </row>
        <row r="12024">
          <cell r="A12024" t="str">
            <v>PRODELIN</v>
          </cell>
          <cell r="B12024" t="str">
            <v>1183</v>
          </cell>
          <cell r="O12024"/>
          <cell r="T12024"/>
        </row>
        <row r="12025">
          <cell r="A12025" t="str">
            <v>PRODELIN</v>
          </cell>
          <cell r="B12025" t="str">
            <v>1194</v>
          </cell>
          <cell r="O12025"/>
          <cell r="T12025"/>
        </row>
        <row r="12026">
          <cell r="A12026" t="str">
            <v>PRODELIN</v>
          </cell>
          <cell r="B12026" t="str">
            <v>1250</v>
          </cell>
          <cell r="O12026"/>
          <cell r="T12026"/>
        </row>
        <row r="12027">
          <cell r="A12027" t="str">
            <v>PRODELIN</v>
          </cell>
          <cell r="B12027" t="str">
            <v>1253</v>
          </cell>
          <cell r="O12027"/>
          <cell r="T12027"/>
        </row>
        <row r="12028">
          <cell r="A12028" t="str">
            <v>PRODELIN</v>
          </cell>
          <cell r="B12028" t="str">
            <v>1304</v>
          </cell>
          <cell r="O12028"/>
          <cell r="T12028"/>
        </row>
        <row r="12029">
          <cell r="A12029" t="str">
            <v>PRODELIN</v>
          </cell>
          <cell r="B12029" t="str">
            <v>1374</v>
          </cell>
          <cell r="O12029"/>
          <cell r="T12029"/>
        </row>
        <row r="12030">
          <cell r="A12030" t="str">
            <v>PRODELIN</v>
          </cell>
          <cell r="B12030" t="str">
            <v>1983</v>
          </cell>
          <cell r="O12030"/>
          <cell r="T12030"/>
        </row>
        <row r="12031">
          <cell r="A12031" t="str">
            <v>PRODELIN</v>
          </cell>
          <cell r="B12031" t="str">
            <v>1984</v>
          </cell>
          <cell r="O12031"/>
          <cell r="T12031"/>
        </row>
        <row r="12032">
          <cell r="A12032" t="str">
            <v>PROGRESSIVE CONCEPTS</v>
          </cell>
          <cell r="B12032" t="str">
            <v>PCP-1</v>
          </cell>
          <cell r="O12032">
            <v>0</v>
          </cell>
          <cell r="T12032">
            <v>0</v>
          </cell>
        </row>
        <row r="12033">
          <cell r="A12033" t="str">
            <v>PROPAGATION SYSTEMS INC</v>
          </cell>
          <cell r="B12033" t="str">
            <v>PR2542-001</v>
          </cell>
          <cell r="O12033">
            <v>0</v>
          </cell>
          <cell r="T12033"/>
        </row>
        <row r="12034">
          <cell r="A12034" t="str">
            <v>PROPAGATION SYSTEMS INC</v>
          </cell>
          <cell r="B12034" t="str">
            <v>PSIFH-10C</v>
          </cell>
          <cell r="O12034"/>
          <cell r="T12034"/>
        </row>
        <row r="12035">
          <cell r="A12035" t="str">
            <v>PROPAGATION SYSTEMS INC</v>
          </cell>
          <cell r="B12035" t="str">
            <v>PSIFH-8C</v>
          </cell>
          <cell r="O12035"/>
          <cell r="T12035"/>
        </row>
        <row r="12036">
          <cell r="A12036" t="str">
            <v>PROPAGATION SYSTEMS INC</v>
          </cell>
          <cell r="B12036" t="str">
            <v>PSIFHR-6C-50WS-R</v>
          </cell>
          <cell r="O12036"/>
          <cell r="T12036"/>
        </row>
        <row r="12037">
          <cell r="A12037" t="str">
            <v>PROPAGATION SYSTEMS INC</v>
          </cell>
          <cell r="B12037" t="str">
            <v>PSIFM-1</v>
          </cell>
          <cell r="O12037"/>
          <cell r="T12037"/>
        </row>
        <row r="12038">
          <cell r="A12038" t="str">
            <v>PROPAGATION SYSTEMS INC</v>
          </cell>
          <cell r="B12038" t="str">
            <v>PSIFM-2</v>
          </cell>
          <cell r="O12038"/>
          <cell r="T12038"/>
        </row>
        <row r="12039">
          <cell r="A12039" t="str">
            <v>PROPAGATION SYSTEMS INC</v>
          </cell>
          <cell r="B12039" t="str">
            <v>PSIFM-3E-DA</v>
          </cell>
          <cell r="O12039"/>
          <cell r="T12039"/>
        </row>
        <row r="12040">
          <cell r="A12040" t="str">
            <v>PROPAGATION SYSTEMS INC</v>
          </cell>
          <cell r="B12040" t="str">
            <v>PSIFM-4</v>
          </cell>
          <cell r="O12040"/>
          <cell r="T12040"/>
        </row>
        <row r="12041">
          <cell r="A12041" t="str">
            <v>PROPAGATION SYSTEMS INC</v>
          </cell>
          <cell r="B12041" t="str">
            <v>PSIFM-6C</v>
          </cell>
          <cell r="O12041"/>
          <cell r="T12041"/>
        </row>
        <row r="12042">
          <cell r="A12042" t="str">
            <v>PROPAGATION SYSTEMS INC</v>
          </cell>
          <cell r="B12042" t="str">
            <v>PSIFM-8C</v>
          </cell>
          <cell r="O12042"/>
          <cell r="T12042"/>
        </row>
        <row r="12043">
          <cell r="A12043" t="str">
            <v>PROPAGATION SYSTEMS INC</v>
          </cell>
          <cell r="B12043" t="str">
            <v>PSIFML</v>
          </cell>
          <cell r="O12043"/>
          <cell r="T12043"/>
        </row>
        <row r="12044">
          <cell r="A12044" t="str">
            <v>PROPAGATION SYSTEMS INC</v>
          </cell>
          <cell r="B12044" t="str">
            <v>PSIFML-1</v>
          </cell>
          <cell r="O12044"/>
          <cell r="T12044"/>
        </row>
        <row r="12045">
          <cell r="A12045" t="str">
            <v>PROPAGATION SYSTEMS INC</v>
          </cell>
          <cell r="B12045" t="str">
            <v>PSIFML-1A</v>
          </cell>
          <cell r="O12045"/>
          <cell r="T12045"/>
        </row>
        <row r="12046">
          <cell r="A12046" t="str">
            <v>PROPAGATION SYSTEMS INC</v>
          </cell>
          <cell r="B12046" t="str">
            <v>PSIFML-1A-DA</v>
          </cell>
          <cell r="O12046"/>
          <cell r="T12046"/>
        </row>
        <row r="12047">
          <cell r="A12047" t="str">
            <v>PROPAGATION SYSTEMS INC</v>
          </cell>
          <cell r="B12047" t="str">
            <v>PSIFML-1DA</v>
          </cell>
          <cell r="O12047"/>
          <cell r="T12047"/>
        </row>
        <row r="12048">
          <cell r="A12048" t="str">
            <v>PROPAGATION SYSTEMS INC</v>
          </cell>
          <cell r="B12048" t="str">
            <v>PSIFML-2A-50WS</v>
          </cell>
          <cell r="O12048"/>
          <cell r="T12048"/>
        </row>
        <row r="12049">
          <cell r="A12049" t="str">
            <v>PROPAGATION SYSTEMS INC</v>
          </cell>
          <cell r="B12049" t="str">
            <v>PSIFML-2A-75WS-DA</v>
          </cell>
          <cell r="O12049"/>
          <cell r="T12049"/>
        </row>
        <row r="12050">
          <cell r="A12050" t="str">
            <v>PROPAGATION SYSTEMS INC</v>
          </cell>
          <cell r="B12050" t="str">
            <v>PSIFML-2A-75WS-DA_CCIV2</v>
          </cell>
          <cell r="O12050"/>
          <cell r="T12050"/>
        </row>
        <row r="12051">
          <cell r="A12051" t="str">
            <v>PROPAGATION SYSTEMS INC</v>
          </cell>
          <cell r="B12051" t="str">
            <v>PSIFML-2A-HWS-DA</v>
          </cell>
          <cell r="O12051"/>
          <cell r="T12051"/>
        </row>
        <row r="12052">
          <cell r="A12052" t="str">
            <v>PROPAGATION SYSTEMS INC</v>
          </cell>
          <cell r="B12052" t="str">
            <v>PSIFML-2C-HWS</v>
          </cell>
          <cell r="O12052"/>
          <cell r="T12052"/>
        </row>
        <row r="12053">
          <cell r="A12053" t="str">
            <v>PROPAGATION SYSTEMS INC</v>
          </cell>
          <cell r="B12053" t="str">
            <v>PSIFML-3</v>
          </cell>
          <cell r="O12053"/>
          <cell r="T12053"/>
        </row>
        <row r="12054">
          <cell r="A12054" t="str">
            <v>PROPAGATION SYSTEMS INC</v>
          </cell>
          <cell r="B12054" t="str">
            <v>PSIFML-4</v>
          </cell>
          <cell r="O12054"/>
          <cell r="T12054"/>
        </row>
        <row r="12055">
          <cell r="A12055" t="str">
            <v>PROPAGATION SYSTEMS INC</v>
          </cell>
          <cell r="B12055" t="str">
            <v>PSIFML-4A-50WS-H-BKD-DA</v>
          </cell>
          <cell r="O12055"/>
          <cell r="T12055"/>
        </row>
        <row r="12056">
          <cell r="A12056" t="str">
            <v>PROPAGATION SYSTEMS INC</v>
          </cell>
          <cell r="B12056" t="str">
            <v>PSIFML-4A-60WS-DA</v>
          </cell>
          <cell r="O12056"/>
          <cell r="T12056"/>
        </row>
        <row r="12057">
          <cell r="A12057" t="str">
            <v>PROPAGATION SYSTEMS INC</v>
          </cell>
          <cell r="B12057" t="str">
            <v>PSIFML-4A-7WS-DA</v>
          </cell>
          <cell r="O12057"/>
          <cell r="T12057"/>
        </row>
        <row r="12058">
          <cell r="A12058" t="str">
            <v>PROPAGATION SYSTEMS INC</v>
          </cell>
          <cell r="B12058" t="str">
            <v>PSIFML-6A-75WS-DA</v>
          </cell>
          <cell r="O12058"/>
          <cell r="T12058"/>
        </row>
        <row r="12059">
          <cell r="A12059" t="str">
            <v>PROPAGATION SYSTEMS INC</v>
          </cell>
          <cell r="B12059" t="str">
            <v>PSIFML-HR-1</v>
          </cell>
          <cell r="O12059">
            <v>0</v>
          </cell>
          <cell r="T12059">
            <v>0</v>
          </cell>
        </row>
        <row r="12060">
          <cell r="A12060" t="str">
            <v>PROPAGATION SYSTEMS INC</v>
          </cell>
          <cell r="B12060" t="str">
            <v>PSIFMP-1-DA</v>
          </cell>
          <cell r="O12060"/>
          <cell r="T12060"/>
        </row>
        <row r="12061">
          <cell r="A12061" t="str">
            <v>PROPAGATION SYSTEMS INC</v>
          </cell>
          <cell r="B12061" t="str">
            <v>PSIFMR-1</v>
          </cell>
          <cell r="O12061"/>
          <cell r="T12061"/>
        </row>
        <row r="12062">
          <cell r="A12062" t="str">
            <v>PROPAGATION SYSTEMS INC</v>
          </cell>
          <cell r="B12062" t="str">
            <v>PSIFMR-1-DA</v>
          </cell>
          <cell r="O12062"/>
          <cell r="T12062"/>
        </row>
        <row r="12063">
          <cell r="A12063" t="str">
            <v>PROPAGATION SYSTEMS INC</v>
          </cell>
          <cell r="B12063" t="str">
            <v>PSIFMR-10C</v>
          </cell>
          <cell r="O12063"/>
          <cell r="T12063"/>
        </row>
        <row r="12064">
          <cell r="A12064" t="str">
            <v>PROPAGATION SYSTEMS INC</v>
          </cell>
          <cell r="B12064" t="str">
            <v>PSIFMR-4C-50WS-DA</v>
          </cell>
          <cell r="O12064"/>
          <cell r="T12064"/>
        </row>
        <row r="12065">
          <cell r="A12065" t="str">
            <v>PROPAGATION SYSTEMS INC</v>
          </cell>
          <cell r="B12065" t="str">
            <v>PSIFMT-1A-6DB</v>
          </cell>
          <cell r="O12065"/>
          <cell r="T12065"/>
        </row>
        <row r="12066">
          <cell r="A12066" t="str">
            <v>PROPAGATION SYSTEMS INC</v>
          </cell>
          <cell r="B12066" t="str">
            <v>PSILP16APR-40</v>
          </cell>
          <cell r="O12066"/>
          <cell r="T12066"/>
        </row>
        <row r="12067">
          <cell r="A12067" t="str">
            <v>PROPAGATION SYSTEMS INC</v>
          </cell>
          <cell r="B12067" t="str">
            <v>PSILP16OI-26</v>
          </cell>
          <cell r="O12067"/>
          <cell r="T12067"/>
        </row>
        <row r="12068">
          <cell r="A12068" t="str">
            <v>PROPAGATION SYSTEMS INC</v>
          </cell>
          <cell r="B12068" t="str">
            <v>PSILP16PN-16</v>
          </cell>
          <cell r="O12068"/>
          <cell r="T12068"/>
        </row>
        <row r="12069">
          <cell r="A12069" t="str">
            <v>PROPAGATION SYSTEMS INC</v>
          </cell>
          <cell r="B12069" t="str">
            <v>PSILP4AER-34-CP</v>
          </cell>
          <cell r="O12069"/>
          <cell r="T12069"/>
        </row>
        <row r="12070">
          <cell r="A12070" t="str">
            <v>PROPAGATION SYSTEMS INC</v>
          </cell>
          <cell r="B12070" t="str">
            <v>PSILP8AW-35</v>
          </cell>
          <cell r="O12070"/>
          <cell r="T12070"/>
        </row>
        <row r="12071">
          <cell r="A12071" t="str">
            <v>PROPAGATION SYSTEMS INC</v>
          </cell>
          <cell r="B12071" t="str">
            <v>PSILP8CUS-14</v>
          </cell>
          <cell r="O12071"/>
          <cell r="T12071"/>
        </row>
        <row r="12072">
          <cell r="A12072" t="str">
            <v>PROPAGATION SYSTEMS INC</v>
          </cell>
          <cell r="B12072" t="str">
            <v>PSILP8CUS-22</v>
          </cell>
          <cell r="O12072"/>
          <cell r="T12072"/>
        </row>
        <row r="12073">
          <cell r="A12073" t="str">
            <v>PROPAGATION SYSTEMS INC</v>
          </cell>
          <cell r="B12073" t="str">
            <v>PSILP8DMR-31-CP</v>
          </cell>
          <cell r="O12073"/>
          <cell r="T12073"/>
        </row>
        <row r="12074">
          <cell r="A12074" t="str">
            <v>PROPAGATION SYSTEMS INC</v>
          </cell>
          <cell r="B12074" t="str">
            <v>PSINWS-4V-DA</v>
          </cell>
          <cell r="O12074"/>
          <cell r="T12074"/>
        </row>
        <row r="12075">
          <cell r="A12075" t="str">
            <v>PROPAGATION SYSTEMS INC</v>
          </cell>
          <cell r="B12075" t="str">
            <v>PSIUSMD28AP-38/39</v>
          </cell>
          <cell r="O12075"/>
          <cell r="T12075"/>
        </row>
        <row r="12076">
          <cell r="A12076" t="str">
            <v>PROSE TECHNOLOGIES</v>
          </cell>
          <cell r="B12076" t="str">
            <v>2D2WE-21-AN</v>
          </cell>
          <cell r="O12076"/>
          <cell r="T12076"/>
        </row>
        <row r="12077">
          <cell r="A12077" t="str">
            <v>PROSE TECHNOLOGIES</v>
          </cell>
          <cell r="B12077" t="str">
            <v>2TB-21U</v>
          </cell>
          <cell r="O12077"/>
          <cell r="T12077"/>
        </row>
        <row r="12078">
          <cell r="A12078" t="str">
            <v>PROSE TECHNOLOGIES</v>
          </cell>
          <cell r="B12078" t="str">
            <v>4T90TB-01U</v>
          </cell>
          <cell r="O12078"/>
          <cell r="T12078"/>
        </row>
        <row r="12079">
          <cell r="A12079" t="str">
            <v>PROSE TECHNOLOGIES</v>
          </cell>
          <cell r="B12079" t="str">
            <v>GPSGLONASS-36-N-GA_TMO</v>
          </cell>
          <cell r="O12079"/>
          <cell r="T12079"/>
        </row>
        <row r="12080">
          <cell r="A12080" t="str">
            <v>PROSE TECHNOLOGIES</v>
          </cell>
          <cell r="B12080" t="str">
            <v>S-WAVE VD275-03-C1_CCIV2</v>
          </cell>
          <cell r="O12080"/>
          <cell r="T12080"/>
        </row>
        <row r="12081">
          <cell r="A12081" t="str">
            <v>PROSE TECHNOLOGIES</v>
          </cell>
          <cell r="B12081" t="str">
            <v>S-WAVE VD275-09-C1_CCIV2</v>
          </cell>
          <cell r="O12081"/>
          <cell r="T12081"/>
        </row>
        <row r="12082">
          <cell r="A12082" t="str">
            <v>PROSE TECHNOLOGIES</v>
          </cell>
          <cell r="B12082" t="str">
            <v>S-WAVE VDW28-06-C2_CCIV2</v>
          </cell>
          <cell r="O12082"/>
          <cell r="T12082"/>
        </row>
        <row r="12083">
          <cell r="A12083" t="str">
            <v>PROSOFT TECHNOLOGY</v>
          </cell>
          <cell r="B12083" t="str">
            <v>A2406NJ-OCD</v>
          </cell>
          <cell r="O12083"/>
          <cell r="T12083"/>
        </row>
        <row r="12084">
          <cell r="A12084" t="str">
            <v>PROXICAST</v>
          </cell>
          <cell r="B12084" t="str">
            <v>ANT-127-05M_20220829</v>
          </cell>
          <cell r="O12084">
            <v>0</v>
          </cell>
          <cell r="T12084">
            <v>0</v>
          </cell>
        </row>
        <row r="12085">
          <cell r="A12085" t="str">
            <v>PROXICAST</v>
          </cell>
          <cell r="B12085" t="str">
            <v>ANT-127-05P_20220829</v>
          </cell>
          <cell r="O12085"/>
          <cell r="T12085"/>
        </row>
        <row r="12086">
          <cell r="A12086" t="str">
            <v>PROXIM</v>
          </cell>
          <cell r="B12086" t="str">
            <v>301-40100-652</v>
          </cell>
          <cell r="O12086"/>
          <cell r="T12086"/>
        </row>
        <row r="12087">
          <cell r="A12087" t="str">
            <v>PROXIM</v>
          </cell>
          <cell r="B12087" t="str">
            <v>40400-25R</v>
          </cell>
          <cell r="O12087"/>
          <cell r="T12087"/>
        </row>
        <row r="12088">
          <cell r="A12088" t="str">
            <v>PROXIM</v>
          </cell>
          <cell r="B12088" t="str">
            <v>4954-SUR-US</v>
          </cell>
          <cell r="O12088"/>
          <cell r="T12088"/>
        </row>
        <row r="12089">
          <cell r="A12089" t="str">
            <v>PROXIM</v>
          </cell>
          <cell r="B12089" t="str">
            <v>5054-PA-23</v>
          </cell>
          <cell r="O12089"/>
          <cell r="T12089"/>
        </row>
        <row r="12090">
          <cell r="A12090" t="str">
            <v>PROXIM</v>
          </cell>
          <cell r="B12090" t="str">
            <v>5054-R</v>
          </cell>
          <cell r="O12090"/>
          <cell r="T12090"/>
        </row>
        <row r="12091">
          <cell r="A12091" t="str">
            <v>PROXIM</v>
          </cell>
          <cell r="B12091" t="str">
            <v>5054-R-LR</v>
          </cell>
          <cell r="O12091"/>
          <cell r="T12091"/>
        </row>
        <row r="12092">
          <cell r="A12092" t="str">
            <v>PROXIM</v>
          </cell>
          <cell r="B12092" t="str">
            <v>5054-SA60-17</v>
          </cell>
          <cell r="O12092"/>
          <cell r="T12092"/>
        </row>
        <row r="12093">
          <cell r="A12093" t="str">
            <v>PROXIM</v>
          </cell>
          <cell r="B12093" t="str">
            <v>MP-8150-SUR</v>
          </cell>
          <cell r="O12093"/>
          <cell r="T12093"/>
        </row>
        <row r="12094">
          <cell r="A12094" t="str">
            <v>PROXIM</v>
          </cell>
          <cell r="B12094" t="str">
            <v>MP.11</v>
          </cell>
          <cell r="O12094"/>
          <cell r="T12094"/>
        </row>
        <row r="12095">
          <cell r="A12095" t="str">
            <v>PROXIM</v>
          </cell>
          <cell r="B12095" t="str">
            <v>QB-10150-EPL</v>
          </cell>
          <cell r="O12095"/>
          <cell r="T12095"/>
        </row>
        <row r="12096">
          <cell r="A12096" t="str">
            <v>PROXIM</v>
          </cell>
          <cell r="B12096" t="str">
            <v>QUICK-BRIDGE 20</v>
          </cell>
          <cell r="O12096"/>
          <cell r="T12096"/>
        </row>
        <row r="12097">
          <cell r="A12097" t="str">
            <v>PROXIM WIRELESS</v>
          </cell>
          <cell r="B12097" t="str">
            <v>QB-8250-LNK</v>
          </cell>
          <cell r="O12097">
            <v>0</v>
          </cell>
          <cell r="T12097">
            <v>0</v>
          </cell>
        </row>
        <row r="12098">
          <cell r="A12098" t="str">
            <v>PROXIM WIRELESS</v>
          </cell>
          <cell r="B12098" t="str">
            <v>SX5-1042A-US_20240425</v>
          </cell>
          <cell r="O12098">
            <v>0</v>
          </cell>
          <cell r="T12098">
            <v>0</v>
          </cell>
        </row>
        <row r="12099">
          <cell r="A12099" t="str">
            <v>PUREWAVE</v>
          </cell>
          <cell r="B12099" t="str">
            <v>098-00459-035</v>
          </cell>
          <cell r="O12099"/>
          <cell r="T12099"/>
        </row>
        <row r="12100">
          <cell r="A12100" t="str">
            <v>PUREWAVE</v>
          </cell>
          <cell r="B12100" t="str">
            <v>6600 - 6X6 ANTENNA</v>
          </cell>
          <cell r="O12100"/>
          <cell r="T12100"/>
        </row>
        <row r="12101">
          <cell r="A12101" t="str">
            <v>PUREWAVE</v>
          </cell>
          <cell r="B12101" t="str">
            <v>PUREWAVE 3.3-3.8GHZ</v>
          </cell>
          <cell r="O12101"/>
          <cell r="T12101"/>
        </row>
        <row r="12102">
          <cell r="A12102" t="str">
            <v>QUINTEL SOLUTIONS</v>
          </cell>
          <cell r="B12102" t="str">
            <v>HG8656-5_2024</v>
          </cell>
          <cell r="O12102"/>
          <cell r="T12102"/>
        </row>
        <row r="12103">
          <cell r="A12103" t="str">
            <v>QUINTEL SOLUTIONS</v>
          </cell>
          <cell r="B12103" t="str">
            <v>ND668-5C_2024</v>
          </cell>
          <cell r="O12103"/>
          <cell r="T12103"/>
        </row>
        <row r="12104">
          <cell r="A12104" t="str">
            <v>QUINTEL TECHNOLOGY</v>
          </cell>
          <cell r="B12104" t="str">
            <v>ND664-5</v>
          </cell>
          <cell r="O12104"/>
          <cell r="T12104"/>
        </row>
        <row r="12105">
          <cell r="A12105" t="str">
            <v>QUINTEL TECHNOLOGY</v>
          </cell>
          <cell r="B12105" t="str">
            <v>ND868-5C</v>
          </cell>
          <cell r="O12105"/>
          <cell r="T12105"/>
        </row>
        <row r="12106">
          <cell r="A12106" t="str">
            <v>QUINTEL TECHNOLOGY</v>
          </cell>
          <cell r="B12106" t="str">
            <v>Q0388-5C</v>
          </cell>
          <cell r="O12106">
            <v>3.2468407600308598</v>
          </cell>
          <cell r="T12106">
            <v>1.2878562247397498</v>
          </cell>
        </row>
        <row r="12107">
          <cell r="A12107" t="str">
            <v>QUINTEL TECHNOLOGY</v>
          </cell>
          <cell r="B12107" t="str">
            <v>Q0464-9</v>
          </cell>
          <cell r="O12107">
            <v>2.9653423996913597</v>
          </cell>
          <cell r="T12107">
            <v>0.99977717517031695</v>
          </cell>
        </row>
        <row r="12108">
          <cell r="A12108" t="str">
            <v>QUINTEL TECHNOLOGY</v>
          </cell>
          <cell r="B12108" t="str">
            <v>Q8658-3</v>
          </cell>
          <cell r="O12108"/>
          <cell r="T12108"/>
        </row>
        <row r="12109">
          <cell r="A12109" t="str">
            <v>QUINTEL TECHNOLOGY</v>
          </cell>
          <cell r="B12109" t="str">
            <v>QA0004</v>
          </cell>
          <cell r="O12109"/>
          <cell r="T12109"/>
        </row>
        <row r="12110">
          <cell r="A12110" t="str">
            <v>QUINTEL TECHNOLOGY</v>
          </cell>
          <cell r="B12110" t="str">
            <v>QA0005</v>
          </cell>
          <cell r="O12110"/>
          <cell r="T12110"/>
        </row>
        <row r="12111">
          <cell r="A12111" t="str">
            <v>QUINTEL TECHNOLOGY</v>
          </cell>
          <cell r="B12111" t="str">
            <v>QA0007</v>
          </cell>
          <cell r="O12111"/>
          <cell r="T12111"/>
        </row>
        <row r="12112">
          <cell r="A12112" t="str">
            <v>QUINTEL TECHNOLOGY</v>
          </cell>
          <cell r="B12112" t="str">
            <v>QA0012</v>
          </cell>
          <cell r="O12112"/>
          <cell r="T12112"/>
        </row>
        <row r="12113">
          <cell r="A12113" t="str">
            <v>QUINTEL TECHNOLOGY</v>
          </cell>
          <cell r="B12113" t="str">
            <v>QD4612-2</v>
          </cell>
          <cell r="O12113">
            <v>9.6403939115761297</v>
          </cell>
          <cell r="T12113">
            <v>4.1954088195980797</v>
          </cell>
        </row>
        <row r="12114">
          <cell r="A12114" t="str">
            <v>QUINTEL TECHNOLOGY</v>
          </cell>
          <cell r="B12114" t="str">
            <v>QD4612-3D</v>
          </cell>
          <cell r="O12114">
            <v>9.6403939115761297</v>
          </cell>
          <cell r="T12114">
            <v>4.1954088195980797</v>
          </cell>
        </row>
        <row r="12115">
          <cell r="A12115" t="str">
            <v>QUINTEL TECHNOLOGY</v>
          </cell>
          <cell r="B12115" t="str">
            <v>QD4612-5</v>
          </cell>
          <cell r="O12115">
            <v>9.6403939115761297</v>
          </cell>
          <cell r="T12115">
            <v>4.1954088195980797</v>
          </cell>
        </row>
        <row r="12116">
          <cell r="A12116" t="str">
            <v>QUINTEL TECHNOLOGY</v>
          </cell>
          <cell r="B12116" t="str">
            <v>QD4616-3</v>
          </cell>
          <cell r="O12116">
            <v>9.6403939115761297</v>
          </cell>
          <cell r="T12116">
            <v>4.1954088195980797</v>
          </cell>
        </row>
        <row r="12117">
          <cell r="A12117" t="str">
            <v>QUINTEL TECHNOLOGY</v>
          </cell>
          <cell r="B12117" t="str">
            <v>QD4616-4</v>
          </cell>
          <cell r="O12117"/>
          <cell r="T12117"/>
        </row>
        <row r="12118">
          <cell r="A12118" t="str">
            <v>QUINTEL TECHNOLOGY</v>
          </cell>
          <cell r="B12118" t="str">
            <v>QD4616-7</v>
          </cell>
          <cell r="O12118">
            <v>9.6403939115761297</v>
          </cell>
          <cell r="T12118">
            <v>4.1954088195980797</v>
          </cell>
        </row>
        <row r="12119">
          <cell r="A12119" t="str">
            <v>QUINTEL TECHNOLOGY</v>
          </cell>
          <cell r="B12119" t="str">
            <v>QD46512-2</v>
          </cell>
          <cell r="O12119">
            <v>9.6403939115761297</v>
          </cell>
          <cell r="T12119">
            <v>4.1954088195980797</v>
          </cell>
        </row>
        <row r="12120">
          <cell r="A12120" t="str">
            <v>QUINTEL TECHNOLOGY</v>
          </cell>
          <cell r="B12120" t="str">
            <v>QD46512-3D</v>
          </cell>
          <cell r="O12120">
            <v>9.6403939115761297</v>
          </cell>
          <cell r="T12120">
            <v>4.1954088195980797</v>
          </cell>
        </row>
        <row r="12121">
          <cell r="A12121" t="str">
            <v>QUINTEL TECHNOLOGY</v>
          </cell>
          <cell r="B12121" t="str">
            <v>QD6612-2</v>
          </cell>
          <cell r="O12121">
            <v>13.5901457403147</v>
          </cell>
          <cell r="T12121">
            <v>5.9222450786986087</v>
          </cell>
        </row>
        <row r="12122">
          <cell r="A12122" t="str">
            <v>QUINTEL TECHNOLOGY</v>
          </cell>
          <cell r="B12122" t="str">
            <v>QD6612-3D</v>
          </cell>
          <cell r="O12122">
            <v>13.5901457403147</v>
          </cell>
          <cell r="T12122">
            <v>5.9222450786986087</v>
          </cell>
        </row>
        <row r="12123">
          <cell r="A12123" t="str">
            <v>QUINTEL TECHNOLOGY</v>
          </cell>
          <cell r="B12123" t="str">
            <v>QD6612-5D</v>
          </cell>
          <cell r="O12123"/>
          <cell r="T12123"/>
        </row>
        <row r="12124">
          <cell r="A12124" t="str">
            <v>QUINTEL TECHNOLOGY</v>
          </cell>
          <cell r="B12124" t="str">
            <v>QD6612-7</v>
          </cell>
          <cell r="O12124">
            <v>5.9717225403073995</v>
          </cell>
          <cell r="T12124">
            <v>3.1727596254850199</v>
          </cell>
        </row>
        <row r="12125">
          <cell r="A12125" t="str">
            <v>QUINTEL TECHNOLOGY</v>
          </cell>
          <cell r="B12125" t="str">
            <v>QD6616-3</v>
          </cell>
          <cell r="O12125">
            <v>13.5901457403147</v>
          </cell>
          <cell r="T12125">
            <v>5.9222450786986087</v>
          </cell>
        </row>
        <row r="12126">
          <cell r="A12126" t="str">
            <v>QUINTEL TECHNOLOGY</v>
          </cell>
          <cell r="B12126" t="str">
            <v>QD6616-4</v>
          </cell>
          <cell r="O12126">
            <v>13.5901457403147</v>
          </cell>
          <cell r="T12126">
            <v>5.9222450786986087</v>
          </cell>
        </row>
        <row r="12127">
          <cell r="A12127" t="str">
            <v>QUINTEL TECHNOLOGY</v>
          </cell>
          <cell r="B12127" t="str">
            <v>QD6616-7</v>
          </cell>
          <cell r="O12127">
            <v>0</v>
          </cell>
          <cell r="T12127">
            <v>0</v>
          </cell>
        </row>
        <row r="12128">
          <cell r="A12128" t="str">
            <v>QUINTEL TECHNOLOGY</v>
          </cell>
          <cell r="B12128" t="str">
            <v>QD66512-2</v>
          </cell>
          <cell r="O12128">
            <v>13.5901457403147</v>
          </cell>
          <cell r="T12128">
            <v>5.9222450786986087</v>
          </cell>
        </row>
        <row r="12129">
          <cell r="A12129" t="str">
            <v>QUINTEL TECHNOLOGY</v>
          </cell>
          <cell r="B12129" t="str">
            <v>QD66512-3D</v>
          </cell>
          <cell r="O12129">
            <v>13.5901457403147</v>
          </cell>
          <cell r="T12129">
            <v>5.9222450786986087</v>
          </cell>
        </row>
        <row r="12130">
          <cell r="A12130" t="str">
            <v>QUINTEL TECHNOLOGY</v>
          </cell>
          <cell r="B12130" t="str">
            <v>QD6658-2</v>
          </cell>
          <cell r="O12130">
            <v>5.9717225403073995</v>
          </cell>
          <cell r="T12130">
            <v>3.1727596254850199</v>
          </cell>
        </row>
        <row r="12131">
          <cell r="A12131" t="str">
            <v>QUINTEL TECHNOLOGY</v>
          </cell>
          <cell r="B12131" t="str">
            <v>QD6658-3D</v>
          </cell>
          <cell r="O12131">
            <v>5.9717225403073995</v>
          </cell>
          <cell r="T12131">
            <v>3.1727596254850199</v>
          </cell>
        </row>
        <row r="12132">
          <cell r="A12132" t="str">
            <v>QUINTEL TECHNOLOGY</v>
          </cell>
          <cell r="B12132" t="str">
            <v>QD668-2</v>
          </cell>
          <cell r="O12132">
            <v>5.9717225403073995</v>
          </cell>
          <cell r="T12132">
            <v>3.1727596254850199</v>
          </cell>
        </row>
        <row r="12133">
          <cell r="A12133" t="str">
            <v>QUINTEL TECHNOLOGY</v>
          </cell>
          <cell r="B12133" t="str">
            <v>QD668-3D</v>
          </cell>
          <cell r="O12133">
            <v>5.9717225403073995</v>
          </cell>
          <cell r="T12133">
            <v>3.1727596254850199</v>
          </cell>
        </row>
        <row r="12134">
          <cell r="A12134" t="str">
            <v>QUINTEL TECHNOLOGY</v>
          </cell>
          <cell r="B12134" t="str">
            <v>QD8612-2</v>
          </cell>
          <cell r="O12134">
            <v>18.3511088438188</v>
          </cell>
          <cell r="T12134">
            <v>7.98848470129189</v>
          </cell>
        </row>
        <row r="12135">
          <cell r="A12135" t="str">
            <v>QUINTEL TECHNOLOGY</v>
          </cell>
          <cell r="B12135" t="str">
            <v>QD8612-3D</v>
          </cell>
          <cell r="O12135">
            <v>18.3511088438188</v>
          </cell>
          <cell r="T12135">
            <v>7.98848470129189</v>
          </cell>
        </row>
        <row r="12136">
          <cell r="A12136" t="str">
            <v>QUINTEL TECHNOLOGY</v>
          </cell>
          <cell r="B12136" t="str">
            <v>QD8612-7</v>
          </cell>
          <cell r="O12136">
            <v>15.529527174552801</v>
          </cell>
          <cell r="T12136">
            <v>8.2170629020954706</v>
          </cell>
        </row>
        <row r="12137">
          <cell r="A12137" t="str">
            <v>QUINTEL TECHNOLOGY</v>
          </cell>
          <cell r="B12137" t="str">
            <v>QD8616-3</v>
          </cell>
          <cell r="O12137">
            <v>18.3511088438188</v>
          </cell>
          <cell r="T12137">
            <v>7.98848470129189</v>
          </cell>
        </row>
        <row r="12138">
          <cell r="A12138" t="str">
            <v>QUINTEL TECHNOLOGY</v>
          </cell>
          <cell r="B12138" t="str">
            <v>QD8616-7</v>
          </cell>
          <cell r="O12138">
            <v>18.3511088438188</v>
          </cell>
          <cell r="T12138">
            <v>7.98848470129189</v>
          </cell>
        </row>
        <row r="12139">
          <cell r="A12139" t="str">
            <v>QUINTEL TECHNOLOGY</v>
          </cell>
          <cell r="B12139" t="str">
            <v>QD86512-2</v>
          </cell>
          <cell r="O12139">
            <v>18.3511088438188</v>
          </cell>
          <cell r="T12139">
            <v>7.98848470129189</v>
          </cell>
        </row>
        <row r="12140">
          <cell r="A12140" t="str">
            <v>QUINTEL TECHNOLOGY</v>
          </cell>
          <cell r="B12140" t="str">
            <v>QD86512-3D</v>
          </cell>
          <cell r="O12140">
            <v>18.3511088438188</v>
          </cell>
          <cell r="T12140">
            <v>7.98848470129189</v>
          </cell>
        </row>
        <row r="12141">
          <cell r="A12141" t="str">
            <v>QUINTEL TECHNOLOGY</v>
          </cell>
          <cell r="B12141" t="str">
            <v>QD8658-2</v>
          </cell>
          <cell r="O12141">
            <v>15.529527174552801</v>
          </cell>
          <cell r="T12141">
            <v>8.2170629020954706</v>
          </cell>
        </row>
        <row r="12142">
          <cell r="A12142" t="str">
            <v>QUINTEL TECHNOLOGY</v>
          </cell>
          <cell r="B12142" t="str">
            <v>QD8658-3D</v>
          </cell>
          <cell r="O12142">
            <v>15.529527174552801</v>
          </cell>
          <cell r="T12142">
            <v>8.2170629020954706</v>
          </cell>
        </row>
        <row r="12143">
          <cell r="A12143" t="str">
            <v>QUINTEL TECHNOLOGY</v>
          </cell>
          <cell r="B12143" t="str">
            <v>QD868-2</v>
          </cell>
          <cell r="O12143">
            <v>15.529527174552801</v>
          </cell>
          <cell r="T12143">
            <v>8.2170629020954706</v>
          </cell>
        </row>
        <row r="12144">
          <cell r="A12144" t="str">
            <v>QUINTEL TECHNOLOGY</v>
          </cell>
          <cell r="B12144" t="str">
            <v>QD868-3D</v>
          </cell>
          <cell r="O12144">
            <v>15.529527174552801</v>
          </cell>
          <cell r="T12144">
            <v>8.2170629020954706</v>
          </cell>
        </row>
        <row r="12145">
          <cell r="A12145" t="str">
            <v>QUINTEL TECHNOLOGY</v>
          </cell>
          <cell r="B12145" t="str">
            <v>QS4456-5</v>
          </cell>
          <cell r="O12145">
            <v>4.7781196950000009</v>
          </cell>
          <cell r="T12145">
            <v>2.7220572840000004</v>
          </cell>
        </row>
        <row r="12146">
          <cell r="A12146" t="str">
            <v>QUINTEL TECHNOLOGY</v>
          </cell>
          <cell r="B12146" t="str">
            <v>QS4458-5</v>
          </cell>
          <cell r="O12146">
            <v>4.7781196950000009</v>
          </cell>
          <cell r="T12146">
            <v>2.7220572840000004</v>
          </cell>
        </row>
        <row r="12147">
          <cell r="A12147" t="str">
            <v>QUINTEL TECHNOLOGY</v>
          </cell>
          <cell r="B12147" t="str">
            <v>QS4614-5C</v>
          </cell>
          <cell r="O12147">
            <v>3.5518044080190299</v>
          </cell>
          <cell r="T12147">
            <v>2.3829790449336099</v>
          </cell>
        </row>
        <row r="12148">
          <cell r="A12148" t="str">
            <v>QUINTEL TECHNOLOGY</v>
          </cell>
          <cell r="B12148" t="str">
            <v>QS4614-C</v>
          </cell>
          <cell r="O12148">
            <v>3.5518044080190299</v>
          </cell>
          <cell r="T12148">
            <v>2.3829790449336099</v>
          </cell>
        </row>
        <row r="12149">
          <cell r="A12149" t="str">
            <v>QUINTEL TECHNOLOGY</v>
          </cell>
          <cell r="B12149" t="str">
            <v>QS46512-2</v>
          </cell>
          <cell r="O12149">
            <v>2.907068293</v>
          </cell>
          <cell r="T12149">
            <v>2.7247304000000003</v>
          </cell>
        </row>
        <row r="12150">
          <cell r="A12150" t="str">
            <v>QUINTEL TECHNOLOGY</v>
          </cell>
          <cell r="B12150" t="str">
            <v>QS46512-6</v>
          </cell>
          <cell r="O12150">
            <v>2.9070682934517498</v>
          </cell>
          <cell r="T12150">
            <v>2.7247303998132502</v>
          </cell>
        </row>
        <row r="12151">
          <cell r="A12151" t="str">
            <v>QUINTEL TECHNOLOGY</v>
          </cell>
          <cell r="B12151" t="str">
            <v>QS4656-3</v>
          </cell>
          <cell r="O12151">
            <v>2.9053486150000003</v>
          </cell>
          <cell r="T12151">
            <v>2.3344714569999998</v>
          </cell>
        </row>
        <row r="12152">
          <cell r="A12152" t="str">
            <v>QUINTEL TECHNOLOGY</v>
          </cell>
          <cell r="B12152" t="str">
            <v>QS4656-5</v>
          </cell>
          <cell r="O12152">
            <v>2.9053486150000003</v>
          </cell>
          <cell r="T12152">
            <v>2.3344714569999998</v>
          </cell>
        </row>
        <row r="12153">
          <cell r="A12153" t="str">
            <v>QUINTEL TECHNOLOGY</v>
          </cell>
          <cell r="B12153" t="str">
            <v>QS4658-3</v>
          </cell>
          <cell r="O12153">
            <v>3.929994142</v>
          </cell>
          <cell r="T12153">
            <v>3.1493910400000003</v>
          </cell>
        </row>
        <row r="12154">
          <cell r="A12154" t="str">
            <v>QUINTEL TECHNOLOGY</v>
          </cell>
          <cell r="B12154" t="str">
            <v>QS4658-3E</v>
          </cell>
          <cell r="O12154">
            <v>3.929994142</v>
          </cell>
          <cell r="T12154">
            <v>3.1493910400000003</v>
          </cell>
        </row>
        <row r="12155">
          <cell r="A12155" t="str">
            <v>QUINTEL TECHNOLOGY</v>
          </cell>
          <cell r="B12155" t="str">
            <v>QS4658-5</v>
          </cell>
          <cell r="O12155">
            <v>2.9020140958095797</v>
          </cell>
          <cell r="T12155">
            <v>2.33184379149212</v>
          </cell>
        </row>
        <row r="12156">
          <cell r="A12156" t="str">
            <v>QUINTEL TECHNOLOGY</v>
          </cell>
          <cell r="B12156" t="str">
            <v>QS4658-7</v>
          </cell>
          <cell r="O12156">
            <v>3.929994142</v>
          </cell>
          <cell r="T12156">
            <v>3.1493910400000003</v>
          </cell>
        </row>
        <row r="12157">
          <cell r="A12157" t="str">
            <v>QUINTEL TECHNOLOGY</v>
          </cell>
          <cell r="B12157" t="str">
            <v>QS6456-5</v>
          </cell>
          <cell r="O12157">
            <v>6.7425925929999995</v>
          </cell>
          <cell r="T12157">
            <v>3.8435046149999996</v>
          </cell>
        </row>
        <row r="12158">
          <cell r="A12158" t="str">
            <v>QUINTEL TECHNOLOGY</v>
          </cell>
          <cell r="B12158" t="str">
            <v>QS6458-5</v>
          </cell>
          <cell r="O12158">
            <v>6.8423755789999996</v>
          </cell>
          <cell r="T12158">
            <v>3.8970371149999998</v>
          </cell>
        </row>
        <row r="12159">
          <cell r="A12159" t="str">
            <v>QUINTEL TECHNOLOGY</v>
          </cell>
          <cell r="B12159" t="str">
            <v>QS646-5DL</v>
          </cell>
          <cell r="O12159"/>
          <cell r="T12159"/>
        </row>
        <row r="12160">
          <cell r="A12160" t="str">
            <v>QUINTEL TECHNOLOGY</v>
          </cell>
          <cell r="B12160" t="str">
            <v>QS6610-5C</v>
          </cell>
          <cell r="O12160">
            <v>4.5277020640432095</v>
          </cell>
          <cell r="T12160">
            <v>2.5859994033634797</v>
          </cell>
        </row>
        <row r="12161">
          <cell r="A12161" t="str">
            <v>QUINTEL TECHNOLOGY</v>
          </cell>
          <cell r="B12161" t="str">
            <v>QS6610-C0</v>
          </cell>
          <cell r="O12161">
            <v>4.0131124471230493</v>
          </cell>
          <cell r="T12161">
            <v>3.3693349350485797</v>
          </cell>
        </row>
        <row r="12162">
          <cell r="A12162" t="str">
            <v>QUINTEL TECHNOLOGY</v>
          </cell>
          <cell r="B12162" t="str">
            <v>QS6610-CL</v>
          </cell>
          <cell r="O12162">
            <v>4.0131124471230493</v>
          </cell>
          <cell r="T12162">
            <v>3.3693349350485797</v>
          </cell>
        </row>
        <row r="12163">
          <cell r="A12163" t="str">
            <v>QUINTEL TECHNOLOGY</v>
          </cell>
          <cell r="B12163" t="str">
            <v>QS6610-CW12</v>
          </cell>
          <cell r="O12163">
            <v>4.0131124471230493</v>
          </cell>
          <cell r="T12163">
            <v>3.3693349350485797</v>
          </cell>
        </row>
        <row r="12164">
          <cell r="A12164" t="str">
            <v>QUINTEL TECHNOLOGY</v>
          </cell>
          <cell r="B12164" t="str">
            <v>QS6614-5C</v>
          </cell>
          <cell r="O12164">
            <v>5.0442466210652688</v>
          </cell>
          <cell r="T12164">
            <v>3.3861694567916696</v>
          </cell>
        </row>
        <row r="12165">
          <cell r="A12165" t="str">
            <v>QUINTEL TECHNOLOGY</v>
          </cell>
          <cell r="B12165" t="str">
            <v>QS66510-1</v>
          </cell>
          <cell r="O12165">
            <v>4.0131124469999992</v>
          </cell>
          <cell r="T12165">
            <v>3.3693349349999999</v>
          </cell>
        </row>
        <row r="12166">
          <cell r="A12166" t="str">
            <v>QUINTEL TECHNOLOGY</v>
          </cell>
          <cell r="B12166" t="str">
            <v>QS66510-6</v>
          </cell>
          <cell r="O12166">
            <v>4.0131124469999992</v>
          </cell>
          <cell r="T12166">
            <v>3.3693349349999999</v>
          </cell>
        </row>
        <row r="12167">
          <cell r="A12167" t="str">
            <v>QUINTEL TECHNOLOGY</v>
          </cell>
          <cell r="B12167" t="str">
            <v>QS66512-2</v>
          </cell>
          <cell r="O12167">
            <v>4.0131124469999992</v>
          </cell>
          <cell r="T12167">
            <v>3.3693349349999999</v>
          </cell>
        </row>
        <row r="12168">
          <cell r="A12168" t="str">
            <v>QUINTEL TECHNOLOGY</v>
          </cell>
          <cell r="B12168" t="str">
            <v>QS66512-3</v>
          </cell>
          <cell r="O12168">
            <v>4.0131124469999992</v>
          </cell>
          <cell r="T12168">
            <v>3.3693349349999999</v>
          </cell>
        </row>
        <row r="12169">
          <cell r="A12169" t="str">
            <v>QUINTEL TECHNOLOGY</v>
          </cell>
          <cell r="B12169" t="str">
            <v>QS66512-5</v>
          </cell>
          <cell r="O12169">
            <v>4.0131124469999992</v>
          </cell>
          <cell r="T12169">
            <v>3.3693349349999999</v>
          </cell>
        </row>
        <row r="12170">
          <cell r="A12170" t="str">
            <v>QUINTEL TECHNOLOGY</v>
          </cell>
          <cell r="B12170" t="str">
            <v>QS66512-6</v>
          </cell>
          <cell r="O12170">
            <v>4.0131124469999992</v>
          </cell>
          <cell r="T12170">
            <v>3.3693349349999999</v>
          </cell>
        </row>
        <row r="12171">
          <cell r="A12171" t="str">
            <v>QUINTEL TECHNOLOGY</v>
          </cell>
          <cell r="B12171" t="str">
            <v>QS6656-3</v>
          </cell>
          <cell r="O12171">
            <v>4.0131124469999992</v>
          </cell>
          <cell r="T12171">
            <v>3.3693349349999999</v>
          </cell>
        </row>
        <row r="12172">
          <cell r="A12172" t="str">
            <v>QUINTEL TECHNOLOGY</v>
          </cell>
          <cell r="B12172" t="str">
            <v>QS6656-5</v>
          </cell>
          <cell r="O12172">
            <v>4.0131124469999992</v>
          </cell>
          <cell r="T12172">
            <v>3.3693349349999999</v>
          </cell>
        </row>
        <row r="12173">
          <cell r="A12173" t="str">
            <v>QUINTEL TECHNOLOGY</v>
          </cell>
          <cell r="B12173" t="str">
            <v>QS6656-5A</v>
          </cell>
          <cell r="O12173">
            <v>4.0131124469999992</v>
          </cell>
          <cell r="T12173">
            <v>3.3693349349999999</v>
          </cell>
        </row>
        <row r="12174">
          <cell r="A12174" t="str">
            <v>QUINTEL TECHNOLOGY</v>
          </cell>
          <cell r="B12174" t="str">
            <v>QS6656-5D</v>
          </cell>
          <cell r="O12174">
            <v>4.0131124469999992</v>
          </cell>
          <cell r="T12174">
            <v>3.3693349349999999</v>
          </cell>
        </row>
        <row r="12175">
          <cell r="A12175" t="str">
            <v>QUINTEL TECHNOLOGY</v>
          </cell>
          <cell r="B12175" t="str">
            <v>QS6656-5DL</v>
          </cell>
          <cell r="O12175">
            <v>4.0131124471230493</v>
          </cell>
          <cell r="T12175">
            <v>3.3693349350485797</v>
          </cell>
        </row>
        <row r="12176">
          <cell r="A12176" t="str">
            <v>QUINTEL TECHNOLOGY</v>
          </cell>
          <cell r="B12176" t="str">
            <v>QS6656-5L</v>
          </cell>
          <cell r="O12176">
            <v>4.0131124471230493</v>
          </cell>
          <cell r="T12176">
            <v>3.3693349350485797</v>
          </cell>
        </row>
        <row r="12177">
          <cell r="A12177" t="str">
            <v>QUINTEL TECHNOLOGY</v>
          </cell>
          <cell r="B12177" t="str">
            <v>QS6656-5Z</v>
          </cell>
          <cell r="O12177">
            <v>4.0131124471230493</v>
          </cell>
          <cell r="T12177">
            <v>3.3693349350485797</v>
          </cell>
        </row>
        <row r="12178">
          <cell r="A12178" t="str">
            <v>QUINTEL TECHNOLOGY</v>
          </cell>
          <cell r="B12178" t="str">
            <v>QS6658-1</v>
          </cell>
          <cell r="O12178">
            <v>4.1608122080000003</v>
          </cell>
          <cell r="T12178">
            <v>3.1669730970000001</v>
          </cell>
        </row>
        <row r="12179">
          <cell r="A12179" t="str">
            <v>QUINTEL TECHNOLOGY</v>
          </cell>
          <cell r="B12179" t="str">
            <v>QS6658-2</v>
          </cell>
          <cell r="O12179">
            <v>4.1608122080000003</v>
          </cell>
          <cell r="T12179">
            <v>3.1669730970000001</v>
          </cell>
        </row>
        <row r="12180">
          <cell r="A12180" t="str">
            <v>QUINTEL TECHNOLOGY</v>
          </cell>
          <cell r="B12180" t="str">
            <v>QS6658-3</v>
          </cell>
          <cell r="O12180">
            <v>4.0131124469999992</v>
          </cell>
          <cell r="T12180">
            <v>3.3693349349999999</v>
          </cell>
        </row>
        <row r="12181">
          <cell r="A12181" t="str">
            <v>QUINTEL TECHNOLOGY</v>
          </cell>
          <cell r="B12181" t="str">
            <v>QS6658-3E</v>
          </cell>
          <cell r="O12181">
            <v>4.0131124469999992</v>
          </cell>
          <cell r="T12181">
            <v>3.3693349349999999</v>
          </cell>
        </row>
        <row r="12182">
          <cell r="A12182" t="str">
            <v>QUINTEL TECHNOLOGY</v>
          </cell>
          <cell r="B12182" t="str">
            <v>QS6658-3_CCIV2</v>
          </cell>
          <cell r="O12182">
            <v>4.0131124469999992</v>
          </cell>
          <cell r="T12182">
            <v>3.3693349349999999</v>
          </cell>
        </row>
        <row r="12183">
          <cell r="A12183" t="str">
            <v>QUINTEL TECHNOLOGY</v>
          </cell>
          <cell r="B12183" t="str">
            <v>QS6658-5</v>
          </cell>
          <cell r="O12183">
            <v>4.0131124469999992</v>
          </cell>
          <cell r="T12183">
            <v>3.3693349349999999</v>
          </cell>
        </row>
        <row r="12184">
          <cell r="A12184" t="str">
            <v>QUINTEL TECHNOLOGY</v>
          </cell>
          <cell r="B12184" t="str">
            <v>QS6658-5A</v>
          </cell>
          <cell r="O12184">
            <v>4.0131124469999992</v>
          </cell>
          <cell r="T12184">
            <v>3.3693349349999999</v>
          </cell>
        </row>
        <row r="12185">
          <cell r="A12185" t="str">
            <v>QUINTEL TECHNOLOGY</v>
          </cell>
          <cell r="B12185" t="str">
            <v>QS6658-7</v>
          </cell>
          <cell r="O12185">
            <v>4.0131124469999992</v>
          </cell>
          <cell r="T12185">
            <v>3.3693349349999999</v>
          </cell>
        </row>
        <row r="12186">
          <cell r="A12186" t="str">
            <v>QUINTEL TECHNOLOGY</v>
          </cell>
          <cell r="B12186" t="str">
            <v>QS8456-5</v>
          </cell>
          <cell r="O12186">
            <v>8.7090229550000018</v>
          </cell>
          <cell r="T12186">
            <v>4.9619616339999997</v>
          </cell>
        </row>
        <row r="12187">
          <cell r="A12187" t="str">
            <v>QUINTEL TECHNOLOGY</v>
          </cell>
          <cell r="B12187" t="str">
            <v>QS8458-5</v>
          </cell>
          <cell r="O12187">
            <v>8.7090229550000018</v>
          </cell>
          <cell r="T12187">
            <v>4.9619616339999997</v>
          </cell>
        </row>
        <row r="12188">
          <cell r="A12188" t="str">
            <v>QUINTEL TECHNOLOGY</v>
          </cell>
          <cell r="B12188" t="str">
            <v>QS846-5DL</v>
          </cell>
          <cell r="O12188"/>
          <cell r="T12188"/>
        </row>
        <row r="12189">
          <cell r="A12189" t="str">
            <v>QUINTEL TECHNOLOGY</v>
          </cell>
          <cell r="B12189" t="str">
            <v>QS8610-C2</v>
          </cell>
          <cell r="O12189">
            <v>5.425316304445829</v>
          </cell>
          <cell r="T12189">
            <v>4.5554637563816796</v>
          </cell>
        </row>
        <row r="12190">
          <cell r="A12190" t="str">
            <v>QUINTEL TECHNOLOGY</v>
          </cell>
          <cell r="B12190" t="str">
            <v>QS8610-C4</v>
          </cell>
          <cell r="O12190">
            <v>5.425316304445829</v>
          </cell>
          <cell r="T12190">
            <v>4.5554637563816796</v>
          </cell>
        </row>
        <row r="12191">
          <cell r="A12191" t="str">
            <v>QUINTEL TECHNOLOGY</v>
          </cell>
          <cell r="B12191" t="str">
            <v>QS8610-CW12</v>
          </cell>
          <cell r="O12191">
            <v>5.425316304445829</v>
          </cell>
          <cell r="T12191">
            <v>4.5554637563816796</v>
          </cell>
        </row>
        <row r="12192">
          <cell r="A12192" t="str">
            <v>QUINTEL TECHNOLOGY</v>
          </cell>
          <cell r="B12192" t="str">
            <v>QS8610-Ct</v>
          </cell>
          <cell r="O12192">
            <v>5.425316304445829</v>
          </cell>
          <cell r="T12192">
            <v>4.5554637563816796</v>
          </cell>
        </row>
        <row r="12193">
          <cell r="A12193" t="str">
            <v>QUINTEL TECHNOLOGY</v>
          </cell>
          <cell r="B12193" t="str">
            <v>QS8614-5C</v>
          </cell>
          <cell r="O12193">
            <v>6.9312340809565898</v>
          </cell>
          <cell r="T12193">
            <v>4.6610260560504093</v>
          </cell>
        </row>
        <row r="12194">
          <cell r="A12194" t="str">
            <v>QUINTEL TECHNOLOGY</v>
          </cell>
          <cell r="B12194" t="str">
            <v>QS86510-1</v>
          </cell>
          <cell r="O12194">
            <v>5.3374455869999995</v>
          </cell>
          <cell r="T12194">
            <v>4.2757877200000003</v>
          </cell>
        </row>
        <row r="12195">
          <cell r="A12195" t="str">
            <v>QUINTEL TECHNOLOGY</v>
          </cell>
          <cell r="B12195" t="str">
            <v>QS86510-5</v>
          </cell>
          <cell r="O12195">
            <v>5.3374455869999995</v>
          </cell>
          <cell r="T12195">
            <v>4.2757877200000003</v>
          </cell>
        </row>
        <row r="12196">
          <cell r="A12196" t="str">
            <v>QUINTEL TECHNOLOGY</v>
          </cell>
          <cell r="B12196" t="str">
            <v>QS86512-2</v>
          </cell>
          <cell r="O12196">
            <v>5.425316303999999</v>
          </cell>
          <cell r="T12196">
            <v>4.555463756</v>
          </cell>
        </row>
        <row r="12197">
          <cell r="A12197" t="str">
            <v>QUINTEL TECHNOLOGY</v>
          </cell>
          <cell r="B12197" t="str">
            <v>QS86512-5</v>
          </cell>
          <cell r="O12197">
            <v>5.3374455869999995</v>
          </cell>
          <cell r="T12197">
            <v>4.2757877200000003</v>
          </cell>
        </row>
        <row r="12198">
          <cell r="A12198" t="str">
            <v>QUINTEL TECHNOLOGY</v>
          </cell>
          <cell r="B12198" t="str">
            <v>QS86512-6</v>
          </cell>
          <cell r="O12198">
            <v>5.3374455869999995</v>
          </cell>
          <cell r="T12198">
            <v>4.2757877200000003</v>
          </cell>
        </row>
        <row r="12199">
          <cell r="A12199" t="str">
            <v>QUINTEL TECHNOLOGY</v>
          </cell>
          <cell r="B12199" t="str">
            <v>QS8656-3</v>
          </cell>
          <cell r="O12199">
            <v>5.6353872529999993</v>
          </cell>
          <cell r="T12199">
            <v>4.2115150209999994</v>
          </cell>
        </row>
        <row r="12200">
          <cell r="A12200" t="str">
            <v>QUINTEL TECHNOLOGY</v>
          </cell>
          <cell r="B12200" t="str">
            <v>QS8656-5</v>
          </cell>
          <cell r="O12200">
            <v>5.425316303999999</v>
          </cell>
          <cell r="T12200">
            <v>4.555463756</v>
          </cell>
        </row>
        <row r="12201">
          <cell r="A12201" t="str">
            <v>QUINTEL TECHNOLOGY</v>
          </cell>
          <cell r="B12201" t="str">
            <v>QS8656-5A</v>
          </cell>
          <cell r="O12201">
            <v>5.425316304445829</v>
          </cell>
          <cell r="T12201">
            <v>4.5554637563816796</v>
          </cell>
        </row>
        <row r="12202">
          <cell r="A12202" t="str">
            <v>QUINTEL TECHNOLOGY</v>
          </cell>
          <cell r="B12202" t="str">
            <v>QS8656-5D</v>
          </cell>
          <cell r="O12202">
            <v>5.3374455869999995</v>
          </cell>
          <cell r="T12202">
            <v>4.2757877200000003</v>
          </cell>
        </row>
        <row r="12203">
          <cell r="A12203" t="str">
            <v>QUINTEL TECHNOLOGY</v>
          </cell>
          <cell r="B12203" t="str">
            <v>QS8656-5DL</v>
          </cell>
          <cell r="O12203">
            <v>5.425316304445829</v>
          </cell>
          <cell r="T12203">
            <v>4.5554637563816796</v>
          </cell>
        </row>
        <row r="12204">
          <cell r="A12204" t="str">
            <v>QUINTEL TECHNOLOGY</v>
          </cell>
          <cell r="B12204" t="str">
            <v>QS8656-5L</v>
          </cell>
          <cell r="O12204">
            <v>5.425316304445829</v>
          </cell>
          <cell r="T12204">
            <v>4.5554637563816796</v>
          </cell>
        </row>
        <row r="12205">
          <cell r="A12205" t="str">
            <v>QUINTEL TECHNOLOGY</v>
          </cell>
          <cell r="B12205" t="str">
            <v>QS8656-5Z</v>
          </cell>
          <cell r="O12205">
            <v>5.425316304445829</v>
          </cell>
          <cell r="T12205">
            <v>4.5554637563816796</v>
          </cell>
        </row>
        <row r="12206">
          <cell r="A12206" t="str">
            <v>QUINTEL TECHNOLOGY</v>
          </cell>
          <cell r="B12206" t="str">
            <v>QS8658-1</v>
          </cell>
          <cell r="O12206">
            <v>5.5807388117283887</v>
          </cell>
          <cell r="T12206">
            <v>4.1008577343665591</v>
          </cell>
        </row>
        <row r="12207">
          <cell r="A12207" t="str">
            <v>QUINTEL TECHNOLOGY</v>
          </cell>
          <cell r="B12207" t="str">
            <v>QS8658-2</v>
          </cell>
          <cell r="O12207">
            <v>5.5807388117283887</v>
          </cell>
          <cell r="T12207">
            <v>4.1008577343665591</v>
          </cell>
        </row>
        <row r="12208">
          <cell r="A12208" t="str">
            <v>QUINTEL TECHNOLOGY</v>
          </cell>
          <cell r="B12208" t="str">
            <v>QS8658-3</v>
          </cell>
          <cell r="O12208">
            <v>5.425316303999999</v>
          </cell>
          <cell r="T12208">
            <v>4.555463756</v>
          </cell>
        </row>
        <row r="12209">
          <cell r="A12209" t="str">
            <v>QUINTEL TECHNOLOGY</v>
          </cell>
          <cell r="B12209" t="str">
            <v>QS8658-3E</v>
          </cell>
          <cell r="O12209">
            <v>5.425316303999999</v>
          </cell>
          <cell r="T12209">
            <v>4.555463756</v>
          </cell>
        </row>
        <row r="12210">
          <cell r="A12210" t="str">
            <v>QUINTEL TECHNOLOGY</v>
          </cell>
          <cell r="B12210" t="str">
            <v>QS8658-4</v>
          </cell>
          <cell r="O12210"/>
          <cell r="T12210"/>
        </row>
        <row r="12211">
          <cell r="A12211" t="str">
            <v>QUINTEL TECHNOLOGY</v>
          </cell>
          <cell r="B12211" t="str">
            <v>QS8658-5</v>
          </cell>
          <cell r="O12211">
            <v>5.425316303999999</v>
          </cell>
          <cell r="T12211">
            <v>4.555463756</v>
          </cell>
        </row>
        <row r="12212">
          <cell r="A12212" t="str">
            <v>QUINTEL TECHNOLOGY</v>
          </cell>
          <cell r="B12212" t="str">
            <v>QS8658-7</v>
          </cell>
          <cell r="O12212">
            <v>5.3374455869999995</v>
          </cell>
          <cell r="T12212">
            <v>4.2757877200000003</v>
          </cell>
        </row>
        <row r="12213">
          <cell r="A12213" t="str">
            <v>QUINTEL TECHNOLOGY</v>
          </cell>
          <cell r="B12213" t="str">
            <v>QVT4103</v>
          </cell>
          <cell r="O12213"/>
          <cell r="T12213"/>
        </row>
        <row r="12214">
          <cell r="A12214" t="str">
            <v>QUINTEL TECHNOLOGY</v>
          </cell>
          <cell r="B12214" t="str">
            <v>QW6612-5C</v>
          </cell>
          <cell r="O12214">
            <v>4.5277020640432095</v>
          </cell>
          <cell r="T12214">
            <v>2.5859994033634797</v>
          </cell>
        </row>
        <row r="12215">
          <cell r="A12215" t="str">
            <v>QUINTEL TECHNOLOGY</v>
          </cell>
          <cell r="B12215" t="str">
            <v>QW6658-1</v>
          </cell>
          <cell r="O12215">
            <v>4.1608122080000003</v>
          </cell>
          <cell r="T12215">
            <v>3.1669730970000001</v>
          </cell>
        </row>
        <row r="12216">
          <cell r="A12216" t="str">
            <v>QUINTEL TECHNOLOGY</v>
          </cell>
          <cell r="B12216" t="str">
            <v>QW6658-3</v>
          </cell>
          <cell r="O12216">
            <v>4.0131124471230493</v>
          </cell>
          <cell r="T12216">
            <v>3.3693349350485797</v>
          </cell>
        </row>
        <row r="12217">
          <cell r="A12217" t="str">
            <v>R-TRON INC</v>
          </cell>
          <cell r="B12217" t="str">
            <v>PA-1900-19-20HFB</v>
          </cell>
          <cell r="O12217"/>
          <cell r="T12217"/>
        </row>
        <row r="12218">
          <cell r="A12218" t="str">
            <v>R-TRON INC</v>
          </cell>
          <cell r="B12218" t="str">
            <v>PA3-1900-18-20HFB</v>
          </cell>
          <cell r="O12218"/>
          <cell r="T12218"/>
        </row>
        <row r="12219">
          <cell r="A12219" t="str">
            <v>R-TRON INC</v>
          </cell>
          <cell r="B12219" t="str">
            <v>SBSP-1900-19-45HFB</v>
          </cell>
          <cell r="O12219"/>
          <cell r="T12219"/>
        </row>
        <row r="12220">
          <cell r="A12220" t="str">
            <v>RAB LIGHTING</v>
          </cell>
          <cell r="B12220" t="str">
            <v>FXLED300</v>
          </cell>
          <cell r="O12220"/>
          <cell r="T12220"/>
        </row>
        <row r="12221">
          <cell r="A12221" t="str">
            <v>RACAL</v>
          </cell>
          <cell r="B12221" t="str">
            <v>8135</v>
          </cell>
          <cell r="O12221"/>
          <cell r="T12221"/>
        </row>
        <row r="12222">
          <cell r="A12222" t="str">
            <v>RACAL</v>
          </cell>
          <cell r="B12222" t="str">
            <v>8260RXP/60/18</v>
          </cell>
          <cell r="O12222"/>
          <cell r="T12222"/>
        </row>
        <row r="12223">
          <cell r="A12223" t="str">
            <v>RACAL</v>
          </cell>
          <cell r="B12223" t="str">
            <v>8265T56-R0</v>
          </cell>
          <cell r="O12223"/>
          <cell r="T12223"/>
        </row>
        <row r="12224">
          <cell r="A12224" t="str">
            <v>RACOM</v>
          </cell>
          <cell r="B12224" t="str">
            <v>RAY3_CCIV3</v>
          </cell>
          <cell r="O12224"/>
          <cell r="T12224"/>
        </row>
        <row r="12225">
          <cell r="A12225" t="str">
            <v>RAD DATA COMMUNICATIONS</v>
          </cell>
          <cell r="B12225" t="str">
            <v>AIRMAX-200/ODU-HE/F58F/EXT</v>
          </cell>
          <cell r="O12225"/>
          <cell r="T12225"/>
        </row>
        <row r="12226">
          <cell r="A12226" t="str">
            <v>RAD DATA COMMUNICATIONS</v>
          </cell>
          <cell r="B12226" t="str">
            <v>AIRMUX-200</v>
          </cell>
          <cell r="O12226"/>
          <cell r="T12226"/>
        </row>
        <row r="12227">
          <cell r="A12227" t="str">
            <v>RAD DATA COMMUNICATIONS</v>
          </cell>
          <cell r="B12227" t="str">
            <v>AIRMUX-200/ODU_CCIV2</v>
          </cell>
          <cell r="O12227"/>
          <cell r="T12227"/>
        </row>
        <row r="12228">
          <cell r="A12228" t="str">
            <v>RAD DATA COMMUNICATIONS</v>
          </cell>
          <cell r="B12228" t="str">
            <v>AIRMUX-400</v>
          </cell>
          <cell r="O12228"/>
          <cell r="T12228"/>
        </row>
        <row r="12229">
          <cell r="A12229" t="str">
            <v>RADIALL/LARSEN</v>
          </cell>
          <cell r="B12229" t="str">
            <v>BSA150B</v>
          </cell>
          <cell r="O12229"/>
          <cell r="T12229"/>
        </row>
        <row r="12230">
          <cell r="A12230" t="str">
            <v>RADIALL/LARSEN</v>
          </cell>
          <cell r="B12230" t="str">
            <v>BSA150C</v>
          </cell>
          <cell r="O12230"/>
          <cell r="T12230"/>
        </row>
        <row r="12231">
          <cell r="A12231" t="str">
            <v>RADIALL/LARSEN</v>
          </cell>
          <cell r="B12231" t="str">
            <v>BSA220C</v>
          </cell>
          <cell r="O12231"/>
          <cell r="T12231"/>
        </row>
        <row r="12232">
          <cell r="A12232" t="str">
            <v>RADIALL/LARSEN</v>
          </cell>
          <cell r="B12232" t="str">
            <v>BSA450C</v>
          </cell>
          <cell r="O12232"/>
          <cell r="T12232"/>
        </row>
        <row r="12233">
          <cell r="A12233" t="str">
            <v>RADIALL/LARSEN</v>
          </cell>
          <cell r="B12233" t="str">
            <v>GPS0015</v>
          </cell>
          <cell r="O12233"/>
          <cell r="T12233"/>
        </row>
        <row r="12234">
          <cell r="A12234" t="str">
            <v>RADIALL/LARSEN</v>
          </cell>
          <cell r="B12234" t="str">
            <v>YA5900W</v>
          </cell>
          <cell r="O12234"/>
          <cell r="T12234"/>
        </row>
        <row r="12235">
          <cell r="A12235" t="str">
            <v>RADIATION SYSTEMS INC</v>
          </cell>
          <cell r="B12235" t="str">
            <v>21B 96L</v>
          </cell>
          <cell r="O12235"/>
          <cell r="T12235"/>
        </row>
        <row r="12236">
          <cell r="A12236" t="str">
            <v>RADIATION SYSTEMS INC</v>
          </cell>
          <cell r="B12236" t="str">
            <v>360-050-95001</v>
          </cell>
          <cell r="O12236"/>
          <cell r="T12236"/>
        </row>
        <row r="12237">
          <cell r="A12237" t="str">
            <v>RADIATION SYSTEMS INC</v>
          </cell>
          <cell r="B12237" t="str">
            <v>520-217-9-001</v>
          </cell>
          <cell r="O12237"/>
          <cell r="T12237"/>
        </row>
        <row r="12238">
          <cell r="A12238" t="str">
            <v>RADIATION SYSTEMS INC</v>
          </cell>
          <cell r="B12238" t="str">
            <v>520-624-9-004</v>
          </cell>
          <cell r="O12238"/>
          <cell r="T12238"/>
        </row>
        <row r="12239">
          <cell r="A12239" t="str">
            <v>RADIATION SYSTEMS INC</v>
          </cell>
          <cell r="B12239" t="str">
            <v>D21A960</v>
          </cell>
          <cell r="O12239"/>
          <cell r="T12239"/>
        </row>
        <row r="12240">
          <cell r="A12240" t="str">
            <v>RADIATION SYSTEMS INC</v>
          </cell>
          <cell r="B12240" t="str">
            <v>HP-100A12ODL</v>
          </cell>
          <cell r="O12240"/>
          <cell r="T12240"/>
        </row>
        <row r="12241">
          <cell r="A12241" t="str">
            <v>RADIATION SYSTEMS INC</v>
          </cell>
          <cell r="B12241" t="str">
            <v>HP-100A48L-U</v>
          </cell>
          <cell r="O12241"/>
          <cell r="T12241"/>
        </row>
        <row r="12242">
          <cell r="A12242" t="str">
            <v>RADIATION SYSTEMS INC</v>
          </cell>
          <cell r="B12242" t="str">
            <v>HP-100A72D-S</v>
          </cell>
          <cell r="O12242"/>
          <cell r="T12242"/>
        </row>
        <row r="12243">
          <cell r="A12243" t="str">
            <v>RADIATION SYSTEMS INC</v>
          </cell>
          <cell r="B12243" t="str">
            <v>HP-105A48L-2</v>
          </cell>
          <cell r="O12243"/>
          <cell r="T12243"/>
        </row>
        <row r="12244">
          <cell r="A12244" t="str">
            <v>RADIATION SYSTEMS INC</v>
          </cell>
          <cell r="B12244" t="str">
            <v>HP-18A120F-S</v>
          </cell>
          <cell r="O12244"/>
          <cell r="T12244"/>
        </row>
        <row r="12245">
          <cell r="A12245" t="str">
            <v>RADIATION SYSTEMS INC</v>
          </cell>
          <cell r="B12245" t="str">
            <v>HP-21A72F-S</v>
          </cell>
          <cell r="O12245"/>
          <cell r="T12245"/>
        </row>
        <row r="12246">
          <cell r="A12246" t="str">
            <v>RADIATION SYSTEMS INC</v>
          </cell>
          <cell r="B12246" t="str">
            <v>HP-21A96F-S</v>
          </cell>
          <cell r="O12246"/>
          <cell r="T12246"/>
        </row>
        <row r="12247">
          <cell r="A12247" t="str">
            <v>RADIATION SYSTEMS INC</v>
          </cell>
          <cell r="B12247" t="str">
            <v>HP-21A96L-S</v>
          </cell>
          <cell r="O12247"/>
          <cell r="T12247"/>
        </row>
        <row r="12248">
          <cell r="A12248" t="str">
            <v>RADIATION SYSTEMS INC</v>
          </cell>
          <cell r="B12248" t="str">
            <v>HP-22A96-S</v>
          </cell>
          <cell r="O12248"/>
          <cell r="T12248"/>
        </row>
        <row r="12249">
          <cell r="A12249" t="str">
            <v>RADIATION SYSTEMS INC</v>
          </cell>
          <cell r="B12249" t="str">
            <v>HP-6-A906L-2</v>
          </cell>
          <cell r="O12249"/>
          <cell r="T12249"/>
        </row>
        <row r="12250">
          <cell r="A12250" t="str">
            <v>RADIATION SYSTEMS INC</v>
          </cell>
          <cell r="B12250" t="str">
            <v>HP-60A-144L</v>
          </cell>
          <cell r="O12250"/>
          <cell r="T12250"/>
        </row>
        <row r="12251">
          <cell r="A12251" t="str">
            <v>RADIATION SYSTEMS INC</v>
          </cell>
          <cell r="B12251" t="str">
            <v>HP-60A120-S</v>
          </cell>
          <cell r="O12251"/>
          <cell r="T12251"/>
        </row>
        <row r="12252">
          <cell r="A12252" t="str">
            <v>RADIATION SYSTEMS INC</v>
          </cell>
          <cell r="B12252" t="str">
            <v>HP-60A120D-L</v>
          </cell>
          <cell r="O12252"/>
          <cell r="T12252"/>
        </row>
        <row r="12253">
          <cell r="A12253" t="str">
            <v>RADIATION SYSTEMS INC</v>
          </cell>
          <cell r="B12253" t="str">
            <v>HP-60A120D-S</v>
          </cell>
          <cell r="O12253"/>
          <cell r="T12253"/>
        </row>
        <row r="12254">
          <cell r="A12254" t="str">
            <v>RADIATION SYSTEMS INC</v>
          </cell>
          <cell r="B12254" t="str">
            <v>HP-60A120D1</v>
          </cell>
          <cell r="O12254"/>
          <cell r="T12254"/>
        </row>
        <row r="12255">
          <cell r="A12255" t="str">
            <v>RADIATION SYSTEMS INC</v>
          </cell>
          <cell r="B12255" t="str">
            <v>HP-60A120L-S</v>
          </cell>
          <cell r="O12255"/>
          <cell r="T12255"/>
        </row>
        <row r="12256">
          <cell r="A12256" t="str">
            <v>RADIATION SYSTEMS INC</v>
          </cell>
          <cell r="B12256" t="str">
            <v>HP-60A72A-2</v>
          </cell>
          <cell r="O12256"/>
          <cell r="T12256"/>
        </row>
        <row r="12257">
          <cell r="A12257" t="str">
            <v>RADIATION SYSTEMS INC</v>
          </cell>
          <cell r="B12257" t="str">
            <v>HP-60A72D-S</v>
          </cell>
          <cell r="O12257"/>
          <cell r="T12257"/>
        </row>
        <row r="12258">
          <cell r="A12258" t="str">
            <v>RADIATION SYSTEMS INC</v>
          </cell>
          <cell r="B12258" t="str">
            <v>HP-60A72L-2</v>
          </cell>
          <cell r="O12258"/>
          <cell r="T12258"/>
        </row>
        <row r="12259">
          <cell r="A12259" t="str">
            <v>RADIATION SYSTEMS INC</v>
          </cell>
          <cell r="B12259" t="str">
            <v>HP-60A96L</v>
          </cell>
          <cell r="O12259"/>
          <cell r="T12259"/>
        </row>
        <row r="12260">
          <cell r="A12260" t="str">
            <v>RADIATION SYSTEMS INC</v>
          </cell>
          <cell r="B12260" t="str">
            <v>HP-65A72L-S</v>
          </cell>
          <cell r="O12260"/>
          <cell r="T12260"/>
        </row>
        <row r="12261">
          <cell r="A12261" t="str">
            <v>RADIATION SYSTEMS INC</v>
          </cell>
          <cell r="B12261" t="str">
            <v>HP100-A72-L</v>
          </cell>
          <cell r="O12261"/>
          <cell r="T12261"/>
        </row>
        <row r="12262">
          <cell r="A12262" t="str">
            <v>RADIATION SYSTEMS INC</v>
          </cell>
          <cell r="B12262" t="str">
            <v>HP100A72L-2</v>
          </cell>
          <cell r="O12262"/>
          <cell r="T12262"/>
        </row>
        <row r="12263">
          <cell r="A12263" t="str">
            <v>RADIATION SYSTEMS INC</v>
          </cell>
          <cell r="B12263" t="str">
            <v>HP105A48L-2</v>
          </cell>
          <cell r="O12263"/>
          <cell r="T12263"/>
        </row>
        <row r="12264">
          <cell r="A12264" t="str">
            <v>RADIATION SYSTEMS INC</v>
          </cell>
          <cell r="B12264" t="str">
            <v>HP170A30-1</v>
          </cell>
          <cell r="O12264"/>
          <cell r="T12264"/>
        </row>
        <row r="12265">
          <cell r="A12265" t="str">
            <v>RADIATION SYSTEMS INC</v>
          </cell>
          <cell r="B12265" t="str">
            <v>HP18A48N-U</v>
          </cell>
          <cell r="O12265"/>
          <cell r="T12265"/>
        </row>
        <row r="12266">
          <cell r="A12266" t="str">
            <v>RADIATION SYSTEMS INC</v>
          </cell>
          <cell r="B12266" t="str">
            <v>HP21A72L</v>
          </cell>
          <cell r="O12266"/>
          <cell r="T12266"/>
        </row>
        <row r="12267">
          <cell r="A12267" t="str">
            <v>RADIATION SYSTEMS INC</v>
          </cell>
          <cell r="B12267" t="str">
            <v>HP21A96F</v>
          </cell>
          <cell r="O12267"/>
          <cell r="T12267"/>
        </row>
        <row r="12268">
          <cell r="A12268" t="str">
            <v>RADIATION SYSTEMS INC</v>
          </cell>
          <cell r="B12268" t="str">
            <v>HP21B72L</v>
          </cell>
          <cell r="O12268"/>
          <cell r="T12268"/>
        </row>
        <row r="12269">
          <cell r="A12269" t="str">
            <v>RADIATION SYSTEMS INC</v>
          </cell>
          <cell r="B12269" t="str">
            <v>HP60472L-2</v>
          </cell>
          <cell r="O12269"/>
          <cell r="T12269"/>
        </row>
        <row r="12270">
          <cell r="A12270" t="str">
            <v>RADIATION SYSTEMS INC</v>
          </cell>
          <cell r="B12270" t="str">
            <v>HP60496D-2</v>
          </cell>
          <cell r="O12270"/>
          <cell r="T12270"/>
        </row>
        <row r="12271">
          <cell r="A12271" t="str">
            <v>RADIATION SYSTEMS INC</v>
          </cell>
          <cell r="B12271" t="str">
            <v>HP60A1201L-2</v>
          </cell>
          <cell r="O12271"/>
          <cell r="T12271"/>
        </row>
        <row r="12272">
          <cell r="A12272" t="str">
            <v>RADIATION SYSTEMS INC</v>
          </cell>
          <cell r="B12272" t="str">
            <v>HP60A120DL</v>
          </cell>
          <cell r="O12272"/>
          <cell r="T12272"/>
        </row>
        <row r="12273">
          <cell r="A12273" t="str">
            <v>RADIATION SYSTEMS INC</v>
          </cell>
          <cell r="B12273" t="str">
            <v>HP60A96L</v>
          </cell>
          <cell r="O12273"/>
          <cell r="T12273"/>
        </row>
        <row r="12274">
          <cell r="A12274" t="str">
            <v>RADIATION SYSTEMS INC</v>
          </cell>
          <cell r="B12274" t="str">
            <v>MHP-100A48D-U</v>
          </cell>
          <cell r="O12274"/>
          <cell r="T12274"/>
        </row>
        <row r="12275">
          <cell r="A12275" t="str">
            <v>RADIATION SYSTEMS INC</v>
          </cell>
          <cell r="B12275" t="str">
            <v>MHP-100A72D-S</v>
          </cell>
          <cell r="O12275"/>
          <cell r="T12275"/>
        </row>
        <row r="12276">
          <cell r="A12276" t="str">
            <v>RADIATION SYSTEMS INC</v>
          </cell>
          <cell r="B12276" t="str">
            <v>MHP-100A96-S</v>
          </cell>
          <cell r="O12276"/>
          <cell r="T12276"/>
        </row>
        <row r="12277">
          <cell r="A12277" t="str">
            <v>RADIATION SYSTEMS INC</v>
          </cell>
          <cell r="B12277" t="str">
            <v>MHP-100AD96V-2</v>
          </cell>
          <cell r="O12277"/>
          <cell r="T12277"/>
        </row>
        <row r="12278">
          <cell r="A12278" t="str">
            <v>RADIATION SYSTEMS INC</v>
          </cell>
          <cell r="B12278" t="str">
            <v>MHP-105A72D-S</v>
          </cell>
          <cell r="O12278"/>
          <cell r="T12278"/>
        </row>
        <row r="12279">
          <cell r="A12279" t="str">
            <v>RADIATION SYSTEMS INC</v>
          </cell>
          <cell r="B12279" t="str">
            <v>MHP-105A96D-L</v>
          </cell>
          <cell r="O12279"/>
          <cell r="T12279"/>
        </row>
        <row r="12280">
          <cell r="A12280" t="str">
            <v>RADIATION SYSTEMS INC</v>
          </cell>
          <cell r="B12280" t="str">
            <v>MHP-21B120L</v>
          </cell>
          <cell r="O12280"/>
          <cell r="T12280"/>
        </row>
        <row r="12281">
          <cell r="A12281" t="str">
            <v>RADIATION SYSTEMS INC</v>
          </cell>
          <cell r="B12281" t="str">
            <v>MHP-608A9602</v>
          </cell>
          <cell r="O12281"/>
          <cell r="T12281"/>
        </row>
        <row r="12282">
          <cell r="A12282" t="str">
            <v>RADIATION SYSTEMS INC</v>
          </cell>
          <cell r="B12282" t="str">
            <v>MHP-60A120D-L</v>
          </cell>
          <cell r="O12282"/>
          <cell r="T12282"/>
        </row>
        <row r="12283">
          <cell r="A12283" t="str">
            <v>RADIATION SYSTEMS INC</v>
          </cell>
          <cell r="B12283" t="str">
            <v>MHP-60A120DL-2</v>
          </cell>
          <cell r="O12283"/>
          <cell r="T12283"/>
        </row>
        <row r="12284">
          <cell r="A12284" t="str">
            <v>RADIATION SYSTEMS INC</v>
          </cell>
          <cell r="B12284" t="str">
            <v>MHP-60A144DL</v>
          </cell>
          <cell r="O12284"/>
          <cell r="T12284"/>
        </row>
        <row r="12285">
          <cell r="A12285" t="str">
            <v>RADIATION SYSTEMS INC</v>
          </cell>
          <cell r="B12285" t="str">
            <v>MHP-60A144DL-2</v>
          </cell>
          <cell r="O12285"/>
          <cell r="T12285"/>
        </row>
        <row r="12286">
          <cell r="A12286" t="str">
            <v>RADIATION SYSTEMS INC</v>
          </cell>
          <cell r="B12286" t="str">
            <v>MHP-60A48-U</v>
          </cell>
          <cell r="O12286"/>
          <cell r="T12286"/>
        </row>
        <row r="12287">
          <cell r="A12287" t="str">
            <v>RADIATION SYSTEMS INC</v>
          </cell>
          <cell r="B12287" t="str">
            <v>MHP-60A720-2</v>
          </cell>
          <cell r="O12287"/>
          <cell r="T12287"/>
        </row>
        <row r="12288">
          <cell r="A12288" t="str">
            <v>RADIATION SYSTEMS INC</v>
          </cell>
          <cell r="B12288" t="str">
            <v>MHP-60A72D</v>
          </cell>
          <cell r="O12288"/>
          <cell r="T12288"/>
        </row>
        <row r="12289">
          <cell r="A12289" t="str">
            <v>RADIATION SYSTEMS INC</v>
          </cell>
          <cell r="B12289" t="str">
            <v>MHP-60A72D-2</v>
          </cell>
          <cell r="O12289"/>
          <cell r="T12289"/>
        </row>
        <row r="12290">
          <cell r="A12290" t="str">
            <v>RADIATION SYSTEMS INC</v>
          </cell>
          <cell r="B12290" t="str">
            <v>MHP-60A72D-S</v>
          </cell>
          <cell r="O12290"/>
          <cell r="T12290"/>
        </row>
        <row r="12291">
          <cell r="A12291" t="str">
            <v>RADIATION SYSTEMS INC</v>
          </cell>
          <cell r="B12291" t="str">
            <v>MHP-60A72DL</v>
          </cell>
          <cell r="O12291"/>
          <cell r="T12291"/>
        </row>
        <row r="12292">
          <cell r="A12292" t="str">
            <v>RADIATION SYSTEMS INC</v>
          </cell>
          <cell r="B12292" t="str">
            <v>MHP-60A72DL-2</v>
          </cell>
          <cell r="O12292"/>
          <cell r="T12292"/>
        </row>
        <row r="12293">
          <cell r="A12293" t="str">
            <v>RADIATION SYSTEMS INC</v>
          </cell>
          <cell r="B12293" t="str">
            <v>MHP-60A72DL-Z</v>
          </cell>
          <cell r="O12293"/>
          <cell r="T12293"/>
        </row>
        <row r="12294">
          <cell r="A12294" t="str">
            <v>RADIATION SYSTEMS INC</v>
          </cell>
          <cell r="B12294" t="str">
            <v>MHP-60A960-2</v>
          </cell>
          <cell r="O12294"/>
          <cell r="T12294"/>
        </row>
        <row r="12295">
          <cell r="A12295" t="str">
            <v>RADIATION SYSTEMS INC</v>
          </cell>
          <cell r="B12295" t="str">
            <v>MHP-60A96D-S</v>
          </cell>
          <cell r="O12295"/>
          <cell r="T12295"/>
        </row>
        <row r="12296">
          <cell r="A12296" t="str">
            <v>RADIATION SYSTEMS INC</v>
          </cell>
          <cell r="B12296" t="str">
            <v>MHP-60A96DL</v>
          </cell>
          <cell r="O12296"/>
          <cell r="T12296"/>
        </row>
        <row r="12297">
          <cell r="A12297" t="str">
            <v>RADIATION SYSTEMS INC</v>
          </cell>
          <cell r="B12297" t="str">
            <v>MHP10072WL</v>
          </cell>
          <cell r="O12297"/>
          <cell r="T12297"/>
        </row>
        <row r="12298">
          <cell r="A12298" t="str">
            <v>RADIATION SYSTEMS INC</v>
          </cell>
          <cell r="B12298" t="str">
            <v>MHP10096WL</v>
          </cell>
          <cell r="O12298"/>
          <cell r="T12298"/>
        </row>
        <row r="12299">
          <cell r="A12299" t="str">
            <v>RADIATION SYSTEMS INC</v>
          </cell>
          <cell r="B12299" t="str">
            <v>MHP100A48DL</v>
          </cell>
          <cell r="O12299"/>
          <cell r="T12299"/>
        </row>
        <row r="12300">
          <cell r="A12300" t="str">
            <v>RADIATION SYSTEMS INC</v>
          </cell>
          <cell r="B12300" t="str">
            <v>MHP21872W2</v>
          </cell>
          <cell r="O12300"/>
          <cell r="T12300"/>
        </row>
        <row r="12301">
          <cell r="A12301" t="str">
            <v>RADIATION SYSTEMS INC</v>
          </cell>
          <cell r="B12301" t="str">
            <v>MHP21A721</v>
          </cell>
          <cell r="O12301"/>
          <cell r="T12301"/>
        </row>
        <row r="12302">
          <cell r="A12302" t="str">
            <v>RADIATION SYSTEMS INC</v>
          </cell>
          <cell r="B12302" t="str">
            <v>MHP2296SR</v>
          </cell>
          <cell r="O12302"/>
          <cell r="T12302"/>
        </row>
        <row r="12303">
          <cell r="A12303" t="str">
            <v>RADIATION SYSTEMS INC</v>
          </cell>
          <cell r="B12303" t="str">
            <v>MHP6-60A96DL-2</v>
          </cell>
          <cell r="O12303"/>
          <cell r="T12303"/>
        </row>
        <row r="12304">
          <cell r="A12304" t="str">
            <v>RADIATION SYSTEMS INC</v>
          </cell>
          <cell r="B12304" t="str">
            <v>MHP60A144D</v>
          </cell>
          <cell r="O12304"/>
          <cell r="T12304"/>
        </row>
        <row r="12305">
          <cell r="A12305" t="str">
            <v>RADIATION SYSTEMS INC</v>
          </cell>
          <cell r="B12305" t="str">
            <v>MHP6DA1700-2</v>
          </cell>
          <cell r="O12305"/>
          <cell r="T12305"/>
        </row>
        <row r="12306">
          <cell r="A12306" t="str">
            <v>RADIATION SYSTEMS INC</v>
          </cell>
          <cell r="B12306" t="str">
            <v>MP21F96</v>
          </cell>
          <cell r="O12306"/>
          <cell r="T12306"/>
        </row>
        <row r="12307">
          <cell r="A12307" t="str">
            <v>RADIATION SYSTEMS INC</v>
          </cell>
          <cell r="B12307" t="str">
            <v>MPH-60A96D-2</v>
          </cell>
          <cell r="O12307"/>
          <cell r="T12307"/>
        </row>
        <row r="12308">
          <cell r="A12308" t="str">
            <v>RADIATION SYSTEMS INC</v>
          </cell>
          <cell r="B12308" t="str">
            <v>P-105A24-2</v>
          </cell>
          <cell r="O12308"/>
          <cell r="T12308"/>
        </row>
        <row r="12309">
          <cell r="A12309" t="str">
            <v>RADIATION SYSTEMS INC</v>
          </cell>
          <cell r="B12309" t="str">
            <v>P-105A48-2</v>
          </cell>
          <cell r="O12309"/>
          <cell r="T12309"/>
        </row>
        <row r="12310">
          <cell r="A12310" t="str">
            <v>RADIATION SYSTEMS INC</v>
          </cell>
          <cell r="B12310" t="str">
            <v>P-105A48D</v>
          </cell>
          <cell r="O12310"/>
          <cell r="T12310"/>
        </row>
        <row r="12311">
          <cell r="A12311" t="str">
            <v>RADIATION SYSTEMS INC</v>
          </cell>
          <cell r="B12311" t="str">
            <v>P-105A48D-U</v>
          </cell>
          <cell r="O12311"/>
          <cell r="T12311"/>
        </row>
        <row r="12312">
          <cell r="A12312" t="str">
            <v>RADIATION SYSTEMS INC</v>
          </cell>
          <cell r="B12312" t="str">
            <v>P-105A72</v>
          </cell>
          <cell r="O12312"/>
          <cell r="T12312"/>
        </row>
        <row r="12313">
          <cell r="A12313" t="str">
            <v>RADIATION SYSTEMS INC</v>
          </cell>
          <cell r="B12313" t="str">
            <v>P-105A72-S</v>
          </cell>
          <cell r="O12313"/>
          <cell r="T12313"/>
        </row>
        <row r="12314">
          <cell r="A12314" t="str">
            <v>RADIATION SYSTEMS INC</v>
          </cell>
          <cell r="B12314" t="str">
            <v>P-105A96</v>
          </cell>
          <cell r="O12314"/>
          <cell r="T12314"/>
        </row>
        <row r="12315">
          <cell r="A12315" t="str">
            <v>RADIATION SYSTEMS INC</v>
          </cell>
          <cell r="B12315" t="str">
            <v>P-105A96-2</v>
          </cell>
          <cell r="O12315"/>
          <cell r="T12315"/>
        </row>
        <row r="12316">
          <cell r="A12316" t="str">
            <v>RADIATION SYSTEMS INC</v>
          </cell>
          <cell r="B12316" t="str">
            <v>P-15A36G-U</v>
          </cell>
          <cell r="O12316"/>
          <cell r="T12316"/>
        </row>
        <row r="12317">
          <cell r="A12317" t="str">
            <v>RADIATION SYSTEMS INC</v>
          </cell>
          <cell r="B12317" t="str">
            <v>P-17A72GN-S</v>
          </cell>
          <cell r="O12317"/>
          <cell r="T12317"/>
        </row>
        <row r="12318">
          <cell r="A12318" t="str">
            <v>RADIATION SYSTEMS INC</v>
          </cell>
          <cell r="B12318" t="str">
            <v>P-18A36G</v>
          </cell>
          <cell r="O12318"/>
          <cell r="T12318"/>
        </row>
        <row r="12319">
          <cell r="A12319" t="str">
            <v>RADIATION SYSTEMS INC</v>
          </cell>
          <cell r="B12319" t="str">
            <v>P-18A96-S</v>
          </cell>
          <cell r="O12319"/>
          <cell r="T12319"/>
        </row>
        <row r="12320">
          <cell r="A12320" t="str">
            <v>RADIATION SYSTEMS INC</v>
          </cell>
          <cell r="B12320" t="str">
            <v>P-20A48GN-U</v>
          </cell>
          <cell r="O12320"/>
          <cell r="T12320"/>
        </row>
        <row r="12321">
          <cell r="A12321" t="str">
            <v>RADIATION SYSTEMS INC</v>
          </cell>
          <cell r="B12321" t="str">
            <v>P-20A72GP-S</v>
          </cell>
          <cell r="O12321"/>
          <cell r="T12321"/>
        </row>
        <row r="12322">
          <cell r="A12322" t="str">
            <v>RADIATION SYSTEMS INC</v>
          </cell>
          <cell r="B12322" t="str">
            <v>P-214</v>
          </cell>
          <cell r="O12322"/>
          <cell r="T12322"/>
        </row>
        <row r="12323">
          <cell r="A12323" t="str">
            <v>RADIATION SYSTEMS INC</v>
          </cell>
          <cell r="B12323" t="str">
            <v>P-21A-72-GF</v>
          </cell>
          <cell r="O12323"/>
          <cell r="T12323"/>
        </row>
        <row r="12324">
          <cell r="A12324" t="str">
            <v>RADIATION SYSTEMS INC</v>
          </cell>
          <cell r="B12324" t="str">
            <v>P-21A120G-S</v>
          </cell>
          <cell r="O12324"/>
          <cell r="T12324"/>
        </row>
        <row r="12325">
          <cell r="A12325" t="str">
            <v>RADIATION SYSTEMS INC</v>
          </cell>
          <cell r="B12325" t="str">
            <v>P-21A120GF</v>
          </cell>
          <cell r="O12325"/>
          <cell r="T12325"/>
        </row>
        <row r="12326">
          <cell r="A12326" t="str">
            <v>RADIATION SYSTEMS INC</v>
          </cell>
          <cell r="B12326" t="str">
            <v>P-21A48GF</v>
          </cell>
          <cell r="O12326"/>
          <cell r="T12326"/>
        </row>
        <row r="12327">
          <cell r="A12327" t="str">
            <v>RADIATION SYSTEMS INC</v>
          </cell>
          <cell r="B12327" t="str">
            <v>P-21A72-S</v>
          </cell>
          <cell r="O12327"/>
          <cell r="T12327"/>
        </row>
        <row r="12328">
          <cell r="A12328" t="str">
            <v>RADIATION SYSTEMS INC</v>
          </cell>
          <cell r="B12328" t="str">
            <v>P-21A72F</v>
          </cell>
          <cell r="O12328"/>
          <cell r="T12328"/>
        </row>
        <row r="12329">
          <cell r="A12329" t="str">
            <v>RADIATION SYSTEMS INC</v>
          </cell>
          <cell r="B12329" t="str">
            <v>P-21A72F-S</v>
          </cell>
          <cell r="O12329"/>
          <cell r="T12329"/>
        </row>
        <row r="12330">
          <cell r="A12330" t="str">
            <v>RADIATION SYSTEMS INC</v>
          </cell>
          <cell r="B12330" t="str">
            <v>P-21A72G-S</v>
          </cell>
          <cell r="O12330"/>
          <cell r="T12330"/>
        </row>
        <row r="12331">
          <cell r="A12331" t="str">
            <v>RADIATION SYSTEMS INC</v>
          </cell>
          <cell r="B12331" t="str">
            <v>P-21A72GF-S</v>
          </cell>
          <cell r="O12331"/>
          <cell r="T12331"/>
        </row>
        <row r="12332">
          <cell r="A12332" t="str">
            <v>RADIATION SYSTEMS INC</v>
          </cell>
          <cell r="B12332" t="str">
            <v>P-21A72GN-S</v>
          </cell>
          <cell r="O12332"/>
          <cell r="T12332"/>
        </row>
        <row r="12333">
          <cell r="A12333" t="str">
            <v>RADIATION SYSTEMS INC</v>
          </cell>
          <cell r="B12333" t="str">
            <v>P-21A72L-S</v>
          </cell>
          <cell r="O12333"/>
          <cell r="T12333"/>
        </row>
        <row r="12334">
          <cell r="A12334" t="str">
            <v>RADIATION SYSTEMS INC</v>
          </cell>
          <cell r="B12334" t="str">
            <v>P-21A72N-S</v>
          </cell>
          <cell r="O12334"/>
          <cell r="T12334"/>
        </row>
        <row r="12335">
          <cell r="A12335" t="str">
            <v>RADIATION SYSTEMS INC</v>
          </cell>
          <cell r="B12335" t="str">
            <v>P-21A966F</v>
          </cell>
          <cell r="O12335"/>
          <cell r="T12335"/>
        </row>
        <row r="12336">
          <cell r="A12336" t="str">
            <v>RADIATION SYSTEMS INC</v>
          </cell>
          <cell r="B12336" t="str">
            <v>P-21A96GS</v>
          </cell>
          <cell r="O12336"/>
          <cell r="T12336"/>
        </row>
        <row r="12337">
          <cell r="A12337" t="str">
            <v>RADIATION SYSTEMS INC</v>
          </cell>
          <cell r="B12337" t="str">
            <v>P-21B144L-2</v>
          </cell>
          <cell r="O12337"/>
          <cell r="T12337"/>
        </row>
        <row r="12338">
          <cell r="A12338" t="str">
            <v>RADIATION SYSTEMS INC</v>
          </cell>
          <cell r="B12338" t="str">
            <v>P-21B72G-4</v>
          </cell>
          <cell r="O12338"/>
          <cell r="T12338"/>
        </row>
        <row r="12339">
          <cell r="A12339" t="str">
            <v>RADIATION SYSTEMS INC</v>
          </cell>
          <cell r="B12339" t="str">
            <v>P-22A48GE-U</v>
          </cell>
          <cell r="O12339"/>
          <cell r="T12339"/>
        </row>
        <row r="12340">
          <cell r="A12340" t="str">
            <v>RADIATION SYSTEMS INC</v>
          </cell>
          <cell r="B12340" t="str">
            <v>P-22A72G-S</v>
          </cell>
          <cell r="O12340"/>
          <cell r="T12340"/>
        </row>
        <row r="12341">
          <cell r="A12341" t="str">
            <v>RADIATION SYSTEMS INC</v>
          </cell>
          <cell r="B12341" t="str">
            <v>P-22A72GP-S</v>
          </cell>
          <cell r="O12341"/>
          <cell r="T12341"/>
        </row>
        <row r="12342">
          <cell r="A12342" t="str">
            <v>RADIATION SYSTEMS INC</v>
          </cell>
          <cell r="B12342" t="str">
            <v>P-24A120GN-S</v>
          </cell>
          <cell r="O12342"/>
          <cell r="T12342"/>
        </row>
        <row r="12343">
          <cell r="A12343" t="str">
            <v>RADIATION SYSTEMS INC</v>
          </cell>
          <cell r="B12343" t="str">
            <v>P-24A24N-2</v>
          </cell>
          <cell r="O12343"/>
          <cell r="T12343"/>
        </row>
        <row r="12344">
          <cell r="A12344" t="str">
            <v>RADIATION SYSTEMS INC</v>
          </cell>
          <cell r="B12344" t="str">
            <v>P-24A24N-U</v>
          </cell>
          <cell r="O12344"/>
          <cell r="T12344"/>
        </row>
        <row r="12345">
          <cell r="A12345" t="str">
            <v>RADIATION SYSTEMS INC</v>
          </cell>
          <cell r="B12345" t="str">
            <v>P-24A36G-U</v>
          </cell>
          <cell r="O12345"/>
          <cell r="T12345"/>
        </row>
        <row r="12346">
          <cell r="A12346" t="str">
            <v>RADIATION SYSTEMS INC</v>
          </cell>
          <cell r="B12346" t="str">
            <v>P-24A36GE-U</v>
          </cell>
          <cell r="O12346"/>
          <cell r="T12346"/>
        </row>
        <row r="12347">
          <cell r="A12347" t="str">
            <v>RADIATION SYSTEMS INC</v>
          </cell>
          <cell r="B12347" t="str">
            <v>P-24A36GN-U</v>
          </cell>
          <cell r="O12347"/>
          <cell r="T12347"/>
        </row>
        <row r="12348">
          <cell r="A12348" t="str">
            <v>RADIATION SYSTEMS INC</v>
          </cell>
          <cell r="B12348" t="str">
            <v>P-24A48G-4</v>
          </cell>
          <cell r="O12348"/>
          <cell r="T12348"/>
        </row>
        <row r="12349">
          <cell r="A12349" t="str">
            <v>RADIATION SYSTEMS INC</v>
          </cell>
          <cell r="B12349" t="str">
            <v>P-24A48GN-U</v>
          </cell>
          <cell r="O12349"/>
          <cell r="T12349"/>
        </row>
        <row r="12350">
          <cell r="A12350" t="str">
            <v>RADIATION SYSTEMS INC</v>
          </cell>
          <cell r="B12350" t="str">
            <v>P-24A48N-1</v>
          </cell>
          <cell r="O12350"/>
          <cell r="T12350"/>
        </row>
        <row r="12351">
          <cell r="A12351" t="str">
            <v>RADIATION SYSTEMS INC</v>
          </cell>
          <cell r="B12351" t="str">
            <v>P-24A48N-U</v>
          </cell>
          <cell r="O12351"/>
          <cell r="T12351"/>
        </row>
        <row r="12352">
          <cell r="A12352" t="str">
            <v>RADIATION SYSTEMS INC</v>
          </cell>
          <cell r="B12352" t="str">
            <v>P-24A4G-1</v>
          </cell>
          <cell r="O12352"/>
          <cell r="T12352"/>
        </row>
        <row r="12353">
          <cell r="A12353" t="str">
            <v>RADIATION SYSTEMS INC</v>
          </cell>
          <cell r="B12353" t="str">
            <v>P-24A72E-1</v>
          </cell>
          <cell r="O12353"/>
          <cell r="T12353"/>
        </row>
        <row r="12354">
          <cell r="A12354" t="str">
            <v>RADIATION SYSTEMS INC</v>
          </cell>
          <cell r="B12354" t="str">
            <v>P-24A72GE-5</v>
          </cell>
          <cell r="O12354"/>
          <cell r="T12354"/>
        </row>
        <row r="12355">
          <cell r="A12355" t="str">
            <v>RADIATION SYSTEMS INC</v>
          </cell>
          <cell r="B12355" t="str">
            <v>P-24A72GE-S</v>
          </cell>
          <cell r="O12355"/>
          <cell r="T12355"/>
        </row>
        <row r="12356">
          <cell r="A12356" t="str">
            <v>RADIATION SYSTEMS INC</v>
          </cell>
          <cell r="B12356" t="str">
            <v>P-24A72GF-S</v>
          </cell>
          <cell r="O12356"/>
          <cell r="T12356"/>
        </row>
        <row r="12357">
          <cell r="A12357" t="str">
            <v>RADIATION SYSTEMS INC</v>
          </cell>
          <cell r="B12357" t="str">
            <v>P-24A72GN-S</v>
          </cell>
          <cell r="O12357"/>
          <cell r="T12357"/>
        </row>
        <row r="12358">
          <cell r="A12358" t="str">
            <v>RADIATION SYSTEMS INC</v>
          </cell>
          <cell r="B12358" t="str">
            <v>P-24A72GP-S</v>
          </cell>
          <cell r="O12358"/>
          <cell r="T12358"/>
        </row>
        <row r="12359">
          <cell r="A12359" t="str">
            <v>RADIATION SYSTEMS INC</v>
          </cell>
          <cell r="B12359" t="str">
            <v>P-24A72N-S</v>
          </cell>
          <cell r="O12359"/>
          <cell r="T12359"/>
        </row>
        <row r="12360">
          <cell r="A12360" t="str">
            <v>RADIATION SYSTEMS INC</v>
          </cell>
          <cell r="B12360" t="str">
            <v>P-24A7GF-S</v>
          </cell>
          <cell r="O12360"/>
          <cell r="T12360"/>
        </row>
        <row r="12361">
          <cell r="A12361" t="str">
            <v>RADIATION SYSTEMS INC</v>
          </cell>
          <cell r="B12361" t="str">
            <v>P-24A96GN-1</v>
          </cell>
          <cell r="O12361"/>
          <cell r="T12361"/>
        </row>
        <row r="12362">
          <cell r="A12362" t="str">
            <v>RADIATION SYSTEMS INC</v>
          </cell>
          <cell r="B12362" t="str">
            <v>P-24A96GN-Z</v>
          </cell>
          <cell r="O12362"/>
          <cell r="T12362"/>
        </row>
        <row r="12363">
          <cell r="A12363" t="str">
            <v>RADIATION SYSTEMS INC</v>
          </cell>
          <cell r="B12363" t="str">
            <v>P-24LA96GE-S</v>
          </cell>
          <cell r="O12363"/>
          <cell r="T12363"/>
        </row>
        <row r="12364">
          <cell r="A12364" t="str">
            <v>RADIATION SYSTEMS INC</v>
          </cell>
          <cell r="B12364" t="str">
            <v>P-24LA96GN-S</v>
          </cell>
          <cell r="O12364"/>
          <cell r="T12364"/>
        </row>
        <row r="12365">
          <cell r="A12365" t="str">
            <v>RADIATION SYSTEMS INC</v>
          </cell>
          <cell r="B12365" t="str">
            <v>P-25A36GN-U</v>
          </cell>
          <cell r="O12365"/>
          <cell r="T12365"/>
        </row>
        <row r="12366">
          <cell r="A12366" t="str">
            <v>RADIATION SYSTEMS INC</v>
          </cell>
          <cell r="B12366" t="str">
            <v>P-25A48GF</v>
          </cell>
          <cell r="O12366"/>
          <cell r="T12366"/>
        </row>
        <row r="12367">
          <cell r="A12367" t="str">
            <v>RADIATION SYSTEMS INC</v>
          </cell>
          <cell r="B12367" t="str">
            <v>P-25A48GN-U</v>
          </cell>
          <cell r="O12367"/>
          <cell r="T12367"/>
        </row>
        <row r="12368">
          <cell r="A12368" t="str">
            <v>RADIATION SYSTEMS INC</v>
          </cell>
          <cell r="B12368" t="str">
            <v>P-25A72GN-U</v>
          </cell>
          <cell r="O12368"/>
          <cell r="T12368"/>
        </row>
        <row r="12369">
          <cell r="A12369" t="str">
            <v>RADIATION SYSTEMS INC</v>
          </cell>
          <cell r="B12369" t="str">
            <v>P-57A72-S</v>
          </cell>
          <cell r="O12369"/>
          <cell r="T12369"/>
        </row>
        <row r="12370">
          <cell r="A12370" t="str">
            <v>RADIATION SYSTEMS INC</v>
          </cell>
          <cell r="B12370" t="str">
            <v>P-57A72N-S</v>
          </cell>
          <cell r="O12370"/>
          <cell r="T12370"/>
        </row>
        <row r="12371">
          <cell r="A12371" t="str">
            <v>RADIATION SYSTEMS INC</v>
          </cell>
          <cell r="B12371" t="str">
            <v>P-57A96-S</v>
          </cell>
          <cell r="O12371"/>
          <cell r="T12371"/>
        </row>
        <row r="12372">
          <cell r="A12372" t="str">
            <v>RADIATION SYSTEMS INC</v>
          </cell>
          <cell r="B12372" t="str">
            <v>P-57B24-1</v>
          </cell>
          <cell r="O12372"/>
          <cell r="T12372"/>
        </row>
        <row r="12373">
          <cell r="A12373" t="str">
            <v>RADIATION SYSTEMS INC</v>
          </cell>
          <cell r="B12373" t="str">
            <v>P-57B48-U</v>
          </cell>
          <cell r="O12373"/>
          <cell r="T12373"/>
        </row>
        <row r="12374">
          <cell r="A12374" t="str">
            <v>RADIATION SYSTEMS INC</v>
          </cell>
          <cell r="B12374" t="str">
            <v>P-57B48N-U</v>
          </cell>
          <cell r="O12374"/>
          <cell r="T12374"/>
        </row>
        <row r="12375">
          <cell r="A12375" t="str">
            <v>RADIATION SYSTEMS INC</v>
          </cell>
          <cell r="B12375" t="str">
            <v>P-57C24N-1</v>
          </cell>
          <cell r="O12375"/>
          <cell r="T12375"/>
        </row>
        <row r="12376">
          <cell r="A12376" t="str">
            <v>RADIATION SYSTEMS INC</v>
          </cell>
          <cell r="B12376" t="str">
            <v>P-57C48N-U</v>
          </cell>
          <cell r="O12376"/>
          <cell r="T12376"/>
        </row>
        <row r="12377">
          <cell r="A12377" t="str">
            <v>RADIATION SYSTEMS INC</v>
          </cell>
          <cell r="B12377" t="str">
            <v>P-57C72N-S</v>
          </cell>
          <cell r="O12377"/>
          <cell r="T12377"/>
        </row>
        <row r="12378">
          <cell r="A12378" t="str">
            <v>RADIATION SYSTEMS INC</v>
          </cell>
          <cell r="B12378" t="str">
            <v>P-59A96-S</v>
          </cell>
          <cell r="O12378"/>
          <cell r="T12378"/>
        </row>
        <row r="12379">
          <cell r="A12379" t="str">
            <v>RADIATION SYSTEMS INC</v>
          </cell>
          <cell r="B12379" t="str">
            <v>P-60A48-U</v>
          </cell>
          <cell r="O12379"/>
          <cell r="T12379"/>
        </row>
        <row r="12380">
          <cell r="A12380" t="str">
            <v>RADIATION SYSTEMS INC</v>
          </cell>
          <cell r="B12380" t="str">
            <v>P-60A72-2</v>
          </cell>
          <cell r="O12380"/>
          <cell r="T12380"/>
        </row>
        <row r="12381">
          <cell r="A12381" t="str">
            <v>RADIATION SYSTEMS INC</v>
          </cell>
          <cell r="B12381" t="str">
            <v>P-60A72-S</v>
          </cell>
          <cell r="O12381"/>
          <cell r="T12381"/>
        </row>
        <row r="12382">
          <cell r="A12382" t="str">
            <v>RADIATION SYSTEMS INC</v>
          </cell>
          <cell r="B12382" t="str">
            <v>P-60A72D-S</v>
          </cell>
          <cell r="O12382"/>
          <cell r="T12382"/>
        </row>
        <row r="12383">
          <cell r="A12383" t="str">
            <v>RADIATION SYSTEMS INC</v>
          </cell>
          <cell r="B12383" t="str">
            <v>P-60A72L-S</v>
          </cell>
          <cell r="O12383"/>
          <cell r="T12383"/>
        </row>
        <row r="12384">
          <cell r="A12384" t="str">
            <v>RADIATION SYSTEMS INC</v>
          </cell>
          <cell r="B12384" t="str">
            <v>P-60A96D</v>
          </cell>
          <cell r="O12384"/>
          <cell r="T12384"/>
        </row>
        <row r="12385">
          <cell r="A12385" t="str">
            <v>RADIATION SYSTEMS INC</v>
          </cell>
          <cell r="B12385" t="str">
            <v>P-60A96D-S</v>
          </cell>
          <cell r="O12385"/>
          <cell r="T12385"/>
        </row>
        <row r="12386">
          <cell r="A12386" t="str">
            <v>RADIATION SYSTEMS INC</v>
          </cell>
          <cell r="B12386" t="str">
            <v>P-65A72-S</v>
          </cell>
          <cell r="O12386"/>
          <cell r="T12386"/>
        </row>
        <row r="12387">
          <cell r="A12387" t="str">
            <v>RADIATION SYSTEMS INC</v>
          </cell>
          <cell r="B12387" t="str">
            <v>P-65A72L</v>
          </cell>
          <cell r="O12387"/>
          <cell r="T12387"/>
        </row>
        <row r="12388">
          <cell r="A12388" t="str">
            <v>RADIATION SYSTEMS INC</v>
          </cell>
          <cell r="B12388" t="str">
            <v>P-65A72L-S</v>
          </cell>
          <cell r="O12388"/>
          <cell r="T12388"/>
        </row>
        <row r="12389">
          <cell r="A12389" t="str">
            <v>RADIATION SYSTEMS INC</v>
          </cell>
          <cell r="B12389" t="str">
            <v>P-65A96-S</v>
          </cell>
          <cell r="O12389"/>
          <cell r="T12389"/>
        </row>
        <row r="12390">
          <cell r="A12390" t="str">
            <v>RADIATION SYSTEMS INC</v>
          </cell>
          <cell r="B12390" t="str">
            <v>P-78B144D-S</v>
          </cell>
          <cell r="O12390"/>
          <cell r="T12390"/>
        </row>
        <row r="12391">
          <cell r="A12391" t="str">
            <v>RADIATION SYSTEMS INC</v>
          </cell>
          <cell r="B12391" t="str">
            <v>P-7HA48G</v>
          </cell>
          <cell r="O12391"/>
          <cell r="T12391"/>
        </row>
        <row r="12392">
          <cell r="A12392" t="str">
            <v>RADIATION SYSTEMS INC</v>
          </cell>
          <cell r="B12392" t="str">
            <v>P-7WA72G</v>
          </cell>
          <cell r="O12392"/>
          <cell r="T12392"/>
        </row>
        <row r="12393">
          <cell r="A12393" t="str">
            <v>RADIATION SYSTEMS INC</v>
          </cell>
          <cell r="B12393" t="str">
            <v>P-9LA72GN-U</v>
          </cell>
          <cell r="O12393"/>
          <cell r="T12393"/>
        </row>
        <row r="12394">
          <cell r="A12394" t="str">
            <v>RADIATION SYSTEMS INC</v>
          </cell>
          <cell r="B12394" t="str">
            <v>P-I05A24-2</v>
          </cell>
          <cell r="O12394"/>
          <cell r="T12394"/>
        </row>
        <row r="12395">
          <cell r="A12395" t="str">
            <v>RADIATION SYSTEMS INC</v>
          </cell>
          <cell r="B12395" t="str">
            <v>P21A729</v>
          </cell>
          <cell r="O12395"/>
          <cell r="T12395"/>
        </row>
        <row r="12396">
          <cell r="A12396" t="str">
            <v>RADIATION SYSTEMS INC</v>
          </cell>
          <cell r="B12396" t="str">
            <v>P21A72GF</v>
          </cell>
          <cell r="O12396"/>
          <cell r="T12396"/>
        </row>
        <row r="12397">
          <cell r="A12397" t="str">
            <v>RADIATION SYSTEMS INC</v>
          </cell>
          <cell r="B12397" t="str">
            <v>P21A96GF</v>
          </cell>
          <cell r="O12397"/>
          <cell r="T12397"/>
        </row>
        <row r="12398">
          <cell r="A12398" t="str">
            <v>RADIATION SYSTEMS INC</v>
          </cell>
          <cell r="B12398" t="str">
            <v>P24A36GN</v>
          </cell>
          <cell r="O12398"/>
          <cell r="T12398"/>
        </row>
        <row r="12399">
          <cell r="A12399" t="str">
            <v>RADIATION SYSTEMS INC</v>
          </cell>
          <cell r="B12399" t="str">
            <v>P24A48G</v>
          </cell>
          <cell r="O12399"/>
          <cell r="T12399"/>
        </row>
        <row r="12400">
          <cell r="A12400" t="str">
            <v>RADIATION SYSTEMS INC</v>
          </cell>
          <cell r="B12400" t="str">
            <v>P25A486</v>
          </cell>
          <cell r="O12400"/>
          <cell r="T12400"/>
        </row>
        <row r="12401">
          <cell r="A12401" t="str">
            <v>RADIATION SYSTEMS INC</v>
          </cell>
          <cell r="B12401" t="str">
            <v>P60A72</v>
          </cell>
          <cell r="O12401"/>
          <cell r="T12401"/>
        </row>
        <row r="12402">
          <cell r="A12402" t="str">
            <v>RADIATION SYSTEMS INC</v>
          </cell>
          <cell r="B12402" t="str">
            <v>P60A96D</v>
          </cell>
          <cell r="O12402"/>
          <cell r="T12402"/>
        </row>
        <row r="12403">
          <cell r="A12403" t="str">
            <v>RADIATION SYSTEMS INC</v>
          </cell>
          <cell r="B12403" t="str">
            <v>PA-21872GE</v>
          </cell>
          <cell r="O12403"/>
          <cell r="T12403"/>
        </row>
        <row r="12404">
          <cell r="A12404" t="str">
            <v>RADIATION SYSTEMS INC</v>
          </cell>
          <cell r="B12404" t="str">
            <v>PA-21A72-S</v>
          </cell>
          <cell r="O12404"/>
          <cell r="T12404"/>
        </row>
        <row r="12405">
          <cell r="A12405" t="str">
            <v>RADIATION SYSTEMS INC</v>
          </cell>
          <cell r="B12405" t="str">
            <v>PA-21A72F-S</v>
          </cell>
          <cell r="O12405"/>
          <cell r="T12405"/>
        </row>
        <row r="12406">
          <cell r="A12406" t="str">
            <v>RADIATION SYSTEMS INC</v>
          </cell>
          <cell r="B12406" t="str">
            <v>PA-21B-72GF</v>
          </cell>
          <cell r="O12406"/>
          <cell r="T12406"/>
        </row>
        <row r="12407">
          <cell r="A12407" t="str">
            <v>RADIATION SYSTEMS INC</v>
          </cell>
          <cell r="B12407" t="str">
            <v>PA-21B72GU</v>
          </cell>
          <cell r="O12407"/>
          <cell r="T12407"/>
        </row>
        <row r="12408">
          <cell r="A12408" t="str">
            <v>RADIATION SYSTEMS INC</v>
          </cell>
          <cell r="B12408" t="str">
            <v>PA-21P72GF</v>
          </cell>
          <cell r="O12408"/>
          <cell r="T12408"/>
        </row>
        <row r="12409">
          <cell r="A12409" t="str">
            <v>RADIATION SYSTEMS INC</v>
          </cell>
          <cell r="B12409" t="str">
            <v>PA21A72GF</v>
          </cell>
          <cell r="O12409"/>
          <cell r="T12409"/>
        </row>
        <row r="12410">
          <cell r="A12410" t="str">
            <v>RADIATION SYSTEMS INC</v>
          </cell>
          <cell r="B12410" t="str">
            <v>PA21B729</v>
          </cell>
          <cell r="O12410"/>
          <cell r="T12410"/>
        </row>
        <row r="12411">
          <cell r="A12411" t="str">
            <v>RADIATION SYSTEMS INC</v>
          </cell>
          <cell r="B12411" t="str">
            <v>PA72GN</v>
          </cell>
          <cell r="O12411"/>
          <cell r="T12411"/>
        </row>
        <row r="12412">
          <cell r="A12412" t="str">
            <v>RADIATION SYSTEMS INC</v>
          </cell>
          <cell r="B12412" t="str">
            <v>PCSA045-19-2</v>
          </cell>
          <cell r="O12412"/>
          <cell r="T12412"/>
        </row>
        <row r="12413">
          <cell r="A12413" t="str">
            <v>RADIATION SYSTEMS INC</v>
          </cell>
          <cell r="B12413" t="str">
            <v>PCSA060-19-0</v>
          </cell>
          <cell r="O12413"/>
          <cell r="T12413"/>
        </row>
        <row r="12414">
          <cell r="A12414" t="str">
            <v>RADIATION SYSTEMS INC</v>
          </cell>
          <cell r="B12414" t="str">
            <v>PCSA065-160</v>
          </cell>
          <cell r="O12414"/>
          <cell r="T12414"/>
        </row>
        <row r="12415">
          <cell r="A12415" t="str">
            <v>RADIATION SYSTEMS INC</v>
          </cell>
          <cell r="B12415" t="str">
            <v>PESA066192</v>
          </cell>
          <cell r="O12415"/>
          <cell r="T12415"/>
        </row>
        <row r="12416">
          <cell r="A12416" t="str">
            <v>RADIATION SYSTEMS INC</v>
          </cell>
          <cell r="B12416" t="str">
            <v>PS7B48N-A</v>
          </cell>
          <cell r="O12416"/>
          <cell r="T12416"/>
        </row>
        <row r="12417">
          <cell r="A12417" t="str">
            <v>RADIATION SYSTEMS INC</v>
          </cell>
          <cell r="B12417" t="str">
            <v>SET811121 4DISH</v>
          </cell>
          <cell r="O12417"/>
          <cell r="T12417"/>
        </row>
        <row r="12418">
          <cell r="A12418" t="str">
            <v>RADIATION SYSTEMS INC</v>
          </cell>
          <cell r="B12418" t="str">
            <v>SH-5A72GN</v>
          </cell>
          <cell r="O12418"/>
          <cell r="T12418"/>
        </row>
        <row r="12419">
          <cell r="A12419" t="str">
            <v>RADIATION SYSTEMS INC</v>
          </cell>
          <cell r="B12419" t="str">
            <v>SSI814368G190</v>
          </cell>
          <cell r="O12419"/>
          <cell r="T12419"/>
        </row>
        <row r="12420">
          <cell r="A12420" t="str">
            <v>RADIATION SYSTEMS INC</v>
          </cell>
          <cell r="B12420" t="str">
            <v>SSI814616G132</v>
          </cell>
          <cell r="O12420"/>
          <cell r="T12420"/>
        </row>
        <row r="12421">
          <cell r="A12421" t="str">
            <v>RADIATION SYSTEMS INC</v>
          </cell>
          <cell r="B12421" t="str">
            <v>SSI815156M185</v>
          </cell>
          <cell r="O12421"/>
          <cell r="T12421"/>
        </row>
        <row r="12422">
          <cell r="A12422" t="str">
            <v>RADIATION SYSTEMS INC</v>
          </cell>
          <cell r="B12422" t="str">
            <v>SSI815316G245</v>
          </cell>
          <cell r="O12422"/>
          <cell r="T12422"/>
        </row>
        <row r="12423">
          <cell r="A12423" t="str">
            <v>RADIATION SYSTEMS INC</v>
          </cell>
          <cell r="B12423" t="str">
            <v>SSI815316G250</v>
          </cell>
          <cell r="O12423"/>
          <cell r="T12423"/>
        </row>
        <row r="12424">
          <cell r="A12424" t="str">
            <v>RADIATION SYSTEMS INC</v>
          </cell>
          <cell r="B12424" t="str">
            <v>SSI815448M127</v>
          </cell>
          <cell r="O12424"/>
          <cell r="T12424"/>
        </row>
        <row r="12425">
          <cell r="A12425" t="str">
            <v>RADIATION SYSTEMS INC</v>
          </cell>
          <cell r="B12425" t="str">
            <v>SSI815620G185</v>
          </cell>
          <cell r="O12425"/>
          <cell r="T12425"/>
        </row>
        <row r="12426">
          <cell r="A12426" t="str">
            <v>RADIATION SYSTEMS INC</v>
          </cell>
          <cell r="B12426" t="str">
            <v>SSI815620G270</v>
          </cell>
          <cell r="O12426"/>
          <cell r="T12426"/>
        </row>
        <row r="12427">
          <cell r="A12427" t="str">
            <v>RADIATION SYSTEMS INC</v>
          </cell>
          <cell r="B12427" t="str">
            <v>SSI815620G293</v>
          </cell>
          <cell r="O12427"/>
          <cell r="T12427"/>
        </row>
        <row r="12428">
          <cell r="A12428" t="str">
            <v>RADIATION SYSTEMS INC</v>
          </cell>
          <cell r="B12428" t="str">
            <v>SSI816033G250</v>
          </cell>
          <cell r="O12428"/>
          <cell r="T12428"/>
        </row>
        <row r="12429">
          <cell r="A12429" t="str">
            <v>RADIATION SYSTEMS INC</v>
          </cell>
          <cell r="B12429" t="str">
            <v>SSI816290M228</v>
          </cell>
          <cell r="O12429"/>
          <cell r="T12429"/>
        </row>
        <row r="12430">
          <cell r="A12430" t="str">
            <v>RADIATION SYSTEMS INC</v>
          </cell>
          <cell r="B12430" t="str">
            <v>SSI816407P118_2</v>
          </cell>
          <cell r="O12430"/>
          <cell r="T12430"/>
        </row>
        <row r="12431">
          <cell r="A12431" t="str">
            <v>RADIATION SYSTEMS INC</v>
          </cell>
          <cell r="B12431" t="str">
            <v>T-21A96GF</v>
          </cell>
          <cell r="O12431"/>
          <cell r="T12431"/>
        </row>
        <row r="12432">
          <cell r="A12432" t="str">
            <v>RADIATION SYSTEMS INC</v>
          </cell>
          <cell r="B12432" t="str">
            <v>TCS19090192</v>
          </cell>
          <cell r="O12432"/>
          <cell r="T12432"/>
        </row>
        <row r="12433">
          <cell r="A12433" t="str">
            <v>RADIATION SYSTEMS INC</v>
          </cell>
          <cell r="B12433" t="str">
            <v>VHP21B96L</v>
          </cell>
          <cell r="O12433"/>
          <cell r="T12433"/>
        </row>
        <row r="12434">
          <cell r="A12434" t="str">
            <v>RADIATION SYSTEMS INC</v>
          </cell>
          <cell r="B12434" t="str">
            <v>VHP60A120</v>
          </cell>
          <cell r="O12434"/>
          <cell r="T12434"/>
        </row>
        <row r="12435">
          <cell r="A12435" t="str">
            <v>RADIATION SYSTEMS INC</v>
          </cell>
          <cell r="B12435" t="str">
            <v>VHP60A96D</v>
          </cell>
          <cell r="O12435"/>
          <cell r="T12435"/>
        </row>
        <row r="12436">
          <cell r="A12436" t="str">
            <v>RADIOLABS</v>
          </cell>
          <cell r="B12436" t="str">
            <v>GS2000-16</v>
          </cell>
          <cell r="O12436"/>
          <cell r="T12436"/>
        </row>
        <row r="12437">
          <cell r="A12437" t="str">
            <v>RADIOSHACK</v>
          </cell>
          <cell r="B12437" t="str">
            <v>15-2163</v>
          </cell>
          <cell r="O12437"/>
          <cell r="T12437"/>
        </row>
        <row r="12438">
          <cell r="A12438" t="str">
            <v>RADIOWAVE</v>
          </cell>
          <cell r="B12438" t="str">
            <v>HPD3-11</v>
          </cell>
          <cell r="O12438"/>
          <cell r="T12438"/>
        </row>
        <row r="12439">
          <cell r="A12439" t="str">
            <v>RADIOWAVE</v>
          </cell>
          <cell r="B12439" t="str">
            <v>SSI865985O567_36</v>
          </cell>
          <cell r="O12439"/>
          <cell r="T12439"/>
        </row>
        <row r="12440">
          <cell r="A12440" t="str">
            <v>RADIOWAVES</v>
          </cell>
          <cell r="B12440" t="str">
            <v>64-24NF</v>
          </cell>
          <cell r="O12440"/>
          <cell r="T12440"/>
        </row>
        <row r="12441">
          <cell r="A12441" t="str">
            <v>RADIOWAVES</v>
          </cell>
          <cell r="B12441" t="str">
            <v>DP6-59</v>
          </cell>
          <cell r="O12441"/>
          <cell r="T12441"/>
        </row>
        <row r="12442">
          <cell r="A12442" t="str">
            <v>RADIOWAVES</v>
          </cell>
          <cell r="B12442" t="str">
            <v>DP6-64</v>
          </cell>
          <cell r="O12442"/>
          <cell r="T12442"/>
        </row>
        <row r="12443">
          <cell r="A12443" t="str">
            <v>RADIOWAVES</v>
          </cell>
          <cell r="B12443" t="str">
            <v>ELLIPSE 2000 SS</v>
          </cell>
          <cell r="O12443"/>
          <cell r="T12443"/>
        </row>
        <row r="12444">
          <cell r="A12444" t="str">
            <v>RADIOWAVES</v>
          </cell>
          <cell r="B12444" t="str">
            <v>FP.5-5-18</v>
          </cell>
          <cell r="O12444"/>
          <cell r="T12444"/>
        </row>
        <row r="12445">
          <cell r="A12445" t="str">
            <v>RADIOWAVES</v>
          </cell>
          <cell r="B12445" t="str">
            <v>FP1-4.7-23</v>
          </cell>
          <cell r="O12445"/>
          <cell r="T12445"/>
        </row>
        <row r="12446">
          <cell r="A12446" t="str">
            <v>RADIOWAVES</v>
          </cell>
          <cell r="B12446" t="str">
            <v>FP1-5-24</v>
          </cell>
          <cell r="O12446"/>
          <cell r="T12446"/>
        </row>
        <row r="12447">
          <cell r="A12447" t="str">
            <v>RADIOWAVES</v>
          </cell>
          <cell r="B12447" t="str">
            <v>FP2-5-28</v>
          </cell>
          <cell r="O12447"/>
          <cell r="T12447"/>
        </row>
        <row r="12448">
          <cell r="A12448" t="str">
            <v>RADIOWAVES</v>
          </cell>
          <cell r="B12448" t="str">
            <v>G3-2.4</v>
          </cell>
          <cell r="O12448"/>
          <cell r="T12448"/>
        </row>
        <row r="12449">
          <cell r="A12449" t="str">
            <v>RADIOWAVES</v>
          </cell>
          <cell r="B12449" t="str">
            <v>G4-2.4</v>
          </cell>
          <cell r="O12449"/>
          <cell r="T12449"/>
        </row>
        <row r="12450">
          <cell r="A12450" t="str">
            <v>RADIOWAVES</v>
          </cell>
          <cell r="B12450" t="str">
            <v>G6-2.4</v>
          </cell>
          <cell r="O12450"/>
          <cell r="T12450"/>
        </row>
        <row r="12451">
          <cell r="A12451" t="str">
            <v>RADIOWAVES</v>
          </cell>
          <cell r="B12451" t="str">
            <v>GA-24</v>
          </cell>
          <cell r="O12451"/>
          <cell r="T12451"/>
        </row>
        <row r="12452">
          <cell r="A12452" t="str">
            <v>RADIOWAVES</v>
          </cell>
          <cell r="B12452" t="str">
            <v>HP2-11</v>
          </cell>
          <cell r="O12452"/>
          <cell r="T12452"/>
        </row>
        <row r="12453">
          <cell r="A12453" t="str">
            <v>RADIOWAVES</v>
          </cell>
          <cell r="B12453" t="str">
            <v>HP2-11_CCIV2</v>
          </cell>
          <cell r="O12453"/>
          <cell r="T12453"/>
        </row>
        <row r="12454">
          <cell r="A12454" t="str">
            <v>RADIOWAVES</v>
          </cell>
          <cell r="B12454" t="str">
            <v>HP2-11_CCIV3</v>
          </cell>
          <cell r="O12454"/>
          <cell r="T12454"/>
        </row>
        <row r="12455">
          <cell r="A12455" t="str">
            <v>RADIOWAVES</v>
          </cell>
          <cell r="B12455" t="str">
            <v>HP2-18</v>
          </cell>
          <cell r="O12455"/>
          <cell r="T12455"/>
        </row>
        <row r="12456">
          <cell r="A12456" t="str">
            <v>RADIOWAVES</v>
          </cell>
          <cell r="B12456" t="str">
            <v>HP2-23</v>
          </cell>
          <cell r="O12456"/>
          <cell r="T12456"/>
        </row>
        <row r="12457">
          <cell r="A12457" t="str">
            <v>RADIOWAVES</v>
          </cell>
          <cell r="B12457" t="str">
            <v>HP2-26</v>
          </cell>
          <cell r="O12457"/>
          <cell r="T12457"/>
        </row>
        <row r="12458">
          <cell r="A12458" t="str">
            <v>RADIOWAVES</v>
          </cell>
          <cell r="B12458" t="str">
            <v>HP2-28</v>
          </cell>
          <cell r="O12458"/>
          <cell r="T12458"/>
        </row>
        <row r="12459">
          <cell r="A12459" t="str">
            <v>RADIOWAVES</v>
          </cell>
          <cell r="B12459" t="str">
            <v>HP2-38</v>
          </cell>
          <cell r="O12459"/>
          <cell r="T12459"/>
        </row>
        <row r="12460">
          <cell r="A12460" t="str">
            <v>RADIOWAVES</v>
          </cell>
          <cell r="B12460" t="str">
            <v>HP2-4.7NS</v>
          </cell>
          <cell r="O12460"/>
          <cell r="T12460"/>
        </row>
        <row r="12461">
          <cell r="A12461" t="str">
            <v>RADIOWAVES</v>
          </cell>
          <cell r="B12461" t="str">
            <v>HP2-5.2</v>
          </cell>
          <cell r="O12461"/>
          <cell r="T12461"/>
        </row>
        <row r="12462">
          <cell r="A12462" t="str">
            <v>RADIOWAVES</v>
          </cell>
          <cell r="B12462" t="str">
            <v>HP2-6</v>
          </cell>
          <cell r="O12462"/>
          <cell r="T12462"/>
        </row>
        <row r="12463">
          <cell r="A12463" t="str">
            <v>RADIOWAVES</v>
          </cell>
          <cell r="B12463" t="str">
            <v>HP2-7.7</v>
          </cell>
          <cell r="O12463"/>
          <cell r="T12463"/>
        </row>
        <row r="12464">
          <cell r="A12464" t="str">
            <v>RADIOWAVES</v>
          </cell>
          <cell r="B12464" t="str">
            <v>HP2-8</v>
          </cell>
          <cell r="O12464"/>
          <cell r="T12464"/>
        </row>
        <row r="12465">
          <cell r="A12465" t="str">
            <v>RADIOWAVES</v>
          </cell>
          <cell r="B12465" t="str">
            <v>HP3-10</v>
          </cell>
          <cell r="O12465"/>
          <cell r="T12465"/>
        </row>
        <row r="12466">
          <cell r="A12466" t="str">
            <v>RADIOWAVES</v>
          </cell>
          <cell r="B12466" t="str">
            <v>HP3-1011</v>
          </cell>
          <cell r="O12466"/>
          <cell r="T12466"/>
        </row>
        <row r="12467">
          <cell r="A12467" t="str">
            <v>RADIOWAVES</v>
          </cell>
          <cell r="B12467" t="str">
            <v>HP3-11</v>
          </cell>
          <cell r="O12467"/>
          <cell r="T12467"/>
        </row>
        <row r="12468">
          <cell r="A12468" t="str">
            <v>RADIOWAVES</v>
          </cell>
          <cell r="B12468" t="str">
            <v>HP3-11_CCIV2</v>
          </cell>
          <cell r="O12468"/>
          <cell r="T12468"/>
        </row>
        <row r="12469">
          <cell r="A12469" t="str">
            <v>RADIOWAVES</v>
          </cell>
          <cell r="B12469" t="str">
            <v>HP3-18</v>
          </cell>
          <cell r="O12469"/>
          <cell r="T12469"/>
        </row>
        <row r="12470">
          <cell r="A12470" t="str">
            <v>RADIOWAVES</v>
          </cell>
          <cell r="B12470" t="str">
            <v>HP3-18_CCIV2</v>
          </cell>
          <cell r="O12470"/>
          <cell r="T12470"/>
        </row>
        <row r="12471">
          <cell r="A12471" t="str">
            <v>RADIOWAVES</v>
          </cell>
          <cell r="B12471" t="str">
            <v>HP3-23</v>
          </cell>
          <cell r="O12471"/>
          <cell r="T12471"/>
        </row>
        <row r="12472">
          <cell r="A12472" t="str">
            <v>RADIOWAVES</v>
          </cell>
          <cell r="B12472" t="str">
            <v>HP3-4.7</v>
          </cell>
          <cell r="O12472"/>
          <cell r="T12472"/>
        </row>
        <row r="12473">
          <cell r="A12473" t="str">
            <v>RADIOWAVES</v>
          </cell>
          <cell r="B12473" t="str">
            <v>HP3-5.2</v>
          </cell>
          <cell r="O12473"/>
          <cell r="T12473"/>
        </row>
        <row r="12474">
          <cell r="A12474" t="str">
            <v>RADIOWAVES</v>
          </cell>
          <cell r="B12474" t="str">
            <v>HP3-6</v>
          </cell>
          <cell r="O12474"/>
          <cell r="T12474"/>
        </row>
        <row r="12475">
          <cell r="A12475" t="str">
            <v>RADIOWAVES</v>
          </cell>
          <cell r="B12475" t="str">
            <v>HP3-6.4</v>
          </cell>
          <cell r="O12475"/>
          <cell r="T12475"/>
        </row>
        <row r="12476">
          <cell r="A12476" t="str">
            <v>RADIOWAVES</v>
          </cell>
          <cell r="B12476" t="str">
            <v>HP4-1011</v>
          </cell>
          <cell r="O12476"/>
          <cell r="T12476"/>
        </row>
        <row r="12477">
          <cell r="A12477" t="str">
            <v>RADIOWAVES</v>
          </cell>
          <cell r="B12477" t="str">
            <v>HP4-1011_CCIV2</v>
          </cell>
          <cell r="O12477"/>
          <cell r="T12477"/>
        </row>
        <row r="12478">
          <cell r="A12478" t="str">
            <v>RADIOWAVES</v>
          </cell>
          <cell r="B12478" t="str">
            <v>HP4-11</v>
          </cell>
          <cell r="O12478"/>
          <cell r="T12478"/>
        </row>
        <row r="12479">
          <cell r="A12479" t="str">
            <v>RADIOWAVES</v>
          </cell>
          <cell r="B12479" t="str">
            <v>HP4-18</v>
          </cell>
          <cell r="O12479"/>
          <cell r="T12479"/>
        </row>
        <row r="12480">
          <cell r="A12480" t="str">
            <v>RADIOWAVES</v>
          </cell>
          <cell r="B12480" t="str">
            <v>HP4-18_CCIV2</v>
          </cell>
          <cell r="O12480"/>
          <cell r="T12480"/>
        </row>
        <row r="12481">
          <cell r="A12481" t="str">
            <v>RADIOWAVES</v>
          </cell>
          <cell r="B12481" t="str">
            <v>HP4-23</v>
          </cell>
          <cell r="O12481"/>
          <cell r="T12481"/>
        </row>
        <row r="12482">
          <cell r="A12482" t="str">
            <v>RADIOWAVES</v>
          </cell>
          <cell r="B12482" t="str">
            <v>HP4-5.2NS</v>
          </cell>
          <cell r="O12482"/>
          <cell r="T12482"/>
        </row>
        <row r="12483">
          <cell r="A12483" t="str">
            <v>RADIOWAVES</v>
          </cell>
          <cell r="B12483" t="str">
            <v>HP4-5.9</v>
          </cell>
          <cell r="O12483"/>
          <cell r="T12483"/>
        </row>
        <row r="12484">
          <cell r="A12484" t="str">
            <v>RADIOWAVES</v>
          </cell>
          <cell r="B12484" t="str">
            <v>HP4-6</v>
          </cell>
          <cell r="O12484"/>
          <cell r="T12484"/>
        </row>
        <row r="12485">
          <cell r="A12485" t="str">
            <v>RADIOWAVES</v>
          </cell>
          <cell r="B12485" t="str">
            <v>HP4-6.4</v>
          </cell>
          <cell r="O12485"/>
          <cell r="T12485"/>
        </row>
        <row r="12486">
          <cell r="A12486" t="str">
            <v>RADIOWAVES</v>
          </cell>
          <cell r="B12486" t="str">
            <v>HP4-6_CCIV2</v>
          </cell>
          <cell r="O12486"/>
          <cell r="T12486"/>
        </row>
        <row r="12487">
          <cell r="A12487" t="str">
            <v>RADIOWAVES</v>
          </cell>
          <cell r="B12487" t="str">
            <v>HP4-7.7</v>
          </cell>
          <cell r="O12487"/>
          <cell r="T12487"/>
        </row>
        <row r="12488">
          <cell r="A12488" t="str">
            <v>RADIOWAVES</v>
          </cell>
          <cell r="B12488" t="str">
            <v>HP6-11</v>
          </cell>
          <cell r="O12488"/>
          <cell r="T12488"/>
        </row>
        <row r="12489">
          <cell r="A12489" t="str">
            <v>RADIOWAVES</v>
          </cell>
          <cell r="B12489" t="str">
            <v>HP6-18</v>
          </cell>
          <cell r="O12489"/>
          <cell r="T12489"/>
        </row>
        <row r="12490">
          <cell r="A12490" t="str">
            <v>RADIOWAVES</v>
          </cell>
          <cell r="B12490" t="str">
            <v>HP6-5.2</v>
          </cell>
          <cell r="O12490"/>
          <cell r="T12490"/>
        </row>
        <row r="12491">
          <cell r="A12491" t="str">
            <v>RADIOWAVES</v>
          </cell>
          <cell r="B12491" t="str">
            <v>HP6-5.9</v>
          </cell>
          <cell r="O12491"/>
          <cell r="T12491"/>
        </row>
        <row r="12492">
          <cell r="A12492" t="str">
            <v>RADIOWAVES</v>
          </cell>
          <cell r="B12492" t="str">
            <v>HP6-6</v>
          </cell>
          <cell r="O12492"/>
          <cell r="T12492"/>
        </row>
        <row r="12493">
          <cell r="A12493" t="str">
            <v>RADIOWAVES</v>
          </cell>
          <cell r="B12493" t="str">
            <v>HP6-64</v>
          </cell>
          <cell r="O12493"/>
          <cell r="T12493"/>
        </row>
        <row r="12494">
          <cell r="A12494" t="str">
            <v>RADIOWAVES</v>
          </cell>
          <cell r="B12494" t="str">
            <v>HP6-7.7</v>
          </cell>
          <cell r="O12494"/>
          <cell r="T12494"/>
        </row>
        <row r="12495">
          <cell r="A12495" t="str">
            <v>RADIOWAVES</v>
          </cell>
          <cell r="B12495" t="str">
            <v>HP8-5.9</v>
          </cell>
          <cell r="O12495"/>
          <cell r="T12495"/>
        </row>
        <row r="12496">
          <cell r="A12496" t="str">
            <v>RADIOWAVES</v>
          </cell>
          <cell r="B12496" t="str">
            <v>HP8-59</v>
          </cell>
          <cell r="O12496"/>
          <cell r="T12496"/>
        </row>
        <row r="12497">
          <cell r="A12497" t="str">
            <v>RADIOWAVES</v>
          </cell>
          <cell r="B12497" t="str">
            <v>HP8-6.4</v>
          </cell>
          <cell r="O12497"/>
          <cell r="T12497"/>
        </row>
        <row r="12498">
          <cell r="A12498" t="str">
            <v>RADIOWAVES</v>
          </cell>
          <cell r="B12498" t="str">
            <v>HPC3-11</v>
          </cell>
          <cell r="O12498"/>
          <cell r="T12498"/>
        </row>
        <row r="12499">
          <cell r="A12499" t="str">
            <v>RADIOWAVES</v>
          </cell>
          <cell r="B12499" t="str">
            <v>HPCPE-23</v>
          </cell>
          <cell r="O12499"/>
          <cell r="T12499"/>
        </row>
        <row r="12500">
          <cell r="A12500" t="str">
            <v>RADIOWAVES</v>
          </cell>
          <cell r="B12500" t="str">
            <v>HPCPE-23RS</v>
          </cell>
          <cell r="O12500"/>
          <cell r="T12500"/>
        </row>
        <row r="12501">
          <cell r="A12501" t="str">
            <v>RADIOWAVES</v>
          </cell>
          <cell r="B12501" t="str">
            <v>HPCPE-26</v>
          </cell>
          <cell r="O12501"/>
          <cell r="T12501"/>
        </row>
        <row r="12502">
          <cell r="A12502" t="str">
            <v>RADIOWAVES</v>
          </cell>
          <cell r="B12502" t="str">
            <v>HPCPE-73</v>
          </cell>
          <cell r="O12502"/>
          <cell r="T12502"/>
        </row>
        <row r="12503">
          <cell r="A12503" t="str">
            <v>RADIOWAVES</v>
          </cell>
          <cell r="B12503" t="str">
            <v>HPCPE-80</v>
          </cell>
          <cell r="O12503"/>
          <cell r="T12503"/>
        </row>
        <row r="12504">
          <cell r="A12504" t="str">
            <v>RADIOWAVES</v>
          </cell>
          <cell r="B12504" t="str">
            <v>HPCPE-80_CCIV2</v>
          </cell>
          <cell r="O12504"/>
          <cell r="T12504"/>
        </row>
        <row r="12505">
          <cell r="A12505" t="str">
            <v>RADIOWAVES</v>
          </cell>
          <cell r="B12505" t="str">
            <v>HPD2-11</v>
          </cell>
          <cell r="O12505"/>
          <cell r="T12505"/>
        </row>
        <row r="12506">
          <cell r="A12506" t="str">
            <v>RADIOWAVES</v>
          </cell>
          <cell r="B12506" t="str">
            <v>HPD2-18</v>
          </cell>
          <cell r="O12506"/>
          <cell r="T12506"/>
        </row>
        <row r="12507">
          <cell r="A12507" t="str">
            <v>RADIOWAVES</v>
          </cell>
          <cell r="B12507" t="str">
            <v>HPD2-2.4</v>
          </cell>
          <cell r="O12507"/>
          <cell r="T12507"/>
        </row>
        <row r="12508">
          <cell r="A12508" t="str">
            <v>RADIOWAVES</v>
          </cell>
          <cell r="B12508" t="str">
            <v>HPD2-23</v>
          </cell>
          <cell r="O12508"/>
          <cell r="T12508"/>
        </row>
        <row r="12509">
          <cell r="A12509" t="str">
            <v>RADIOWAVES</v>
          </cell>
          <cell r="B12509" t="str">
            <v>HPD2-4.7</v>
          </cell>
          <cell r="O12509"/>
          <cell r="T12509"/>
        </row>
        <row r="12510">
          <cell r="A12510" t="str">
            <v>RADIOWAVES</v>
          </cell>
          <cell r="B12510" t="str">
            <v>HPD2-4.7NS</v>
          </cell>
          <cell r="O12510"/>
          <cell r="T12510"/>
        </row>
        <row r="12511">
          <cell r="A12511" t="str">
            <v>RADIOWAVES</v>
          </cell>
          <cell r="B12511" t="str">
            <v>HPD2-5.2</v>
          </cell>
          <cell r="O12511"/>
          <cell r="T12511"/>
        </row>
        <row r="12512">
          <cell r="A12512" t="str">
            <v>RADIOWAVES</v>
          </cell>
          <cell r="B12512" t="str">
            <v>HPD2-6</v>
          </cell>
          <cell r="O12512"/>
          <cell r="T12512"/>
        </row>
        <row r="12513">
          <cell r="A12513" t="str">
            <v>RADIOWAVES</v>
          </cell>
          <cell r="B12513" t="str">
            <v>HPD3-11</v>
          </cell>
          <cell r="O12513"/>
          <cell r="T12513"/>
        </row>
        <row r="12514">
          <cell r="A12514" t="str">
            <v>RADIOWAVES</v>
          </cell>
          <cell r="B12514" t="str">
            <v>HPD3-18</v>
          </cell>
          <cell r="O12514"/>
          <cell r="T12514"/>
        </row>
        <row r="12515">
          <cell r="A12515" t="str">
            <v>RADIOWAVES</v>
          </cell>
          <cell r="B12515" t="str">
            <v>HPD3-23</v>
          </cell>
          <cell r="O12515"/>
          <cell r="T12515"/>
        </row>
        <row r="12516">
          <cell r="A12516" t="str">
            <v>RADIOWAVES</v>
          </cell>
          <cell r="B12516" t="str">
            <v>HPD3-4.7</v>
          </cell>
          <cell r="O12516"/>
          <cell r="T12516"/>
        </row>
        <row r="12517">
          <cell r="A12517" t="str">
            <v>RADIOWAVES</v>
          </cell>
          <cell r="B12517" t="str">
            <v>HPD3-5.2</v>
          </cell>
          <cell r="O12517"/>
          <cell r="T12517"/>
        </row>
        <row r="12518">
          <cell r="A12518" t="str">
            <v>RADIOWAVES</v>
          </cell>
          <cell r="B12518" t="str">
            <v>HPD3-5.2NS</v>
          </cell>
          <cell r="O12518"/>
          <cell r="T12518"/>
        </row>
        <row r="12519">
          <cell r="A12519" t="str">
            <v>RADIOWAVES</v>
          </cell>
          <cell r="B12519" t="str">
            <v>HPD3-5.2_CCIV2</v>
          </cell>
          <cell r="O12519"/>
          <cell r="T12519"/>
        </row>
        <row r="12520">
          <cell r="A12520" t="str">
            <v>RADIOWAVES</v>
          </cell>
          <cell r="B12520" t="str">
            <v>HPD3-5W</v>
          </cell>
          <cell r="O12520"/>
          <cell r="T12520"/>
        </row>
        <row r="12521">
          <cell r="A12521" t="str">
            <v>RADIOWAVES</v>
          </cell>
          <cell r="B12521" t="str">
            <v>HPD4-11</v>
          </cell>
          <cell r="O12521"/>
          <cell r="T12521"/>
        </row>
        <row r="12522">
          <cell r="A12522" t="str">
            <v>RADIOWAVES</v>
          </cell>
          <cell r="B12522" t="str">
            <v>HPD4-11RS</v>
          </cell>
          <cell r="O12522"/>
          <cell r="T12522"/>
        </row>
        <row r="12523">
          <cell r="A12523" t="str">
            <v>RADIOWAVES</v>
          </cell>
          <cell r="B12523" t="str">
            <v>HPD4-13</v>
          </cell>
          <cell r="O12523"/>
          <cell r="T12523"/>
        </row>
        <row r="12524">
          <cell r="A12524" t="str">
            <v>RADIOWAVES</v>
          </cell>
          <cell r="B12524" t="str">
            <v>HPD4-18</v>
          </cell>
          <cell r="O12524"/>
          <cell r="T12524"/>
        </row>
        <row r="12525">
          <cell r="A12525" t="str">
            <v>RADIOWAVES</v>
          </cell>
          <cell r="B12525" t="str">
            <v>HPD4-23</v>
          </cell>
          <cell r="O12525"/>
          <cell r="T12525"/>
        </row>
        <row r="12526">
          <cell r="A12526" t="str">
            <v>RADIOWAVES</v>
          </cell>
          <cell r="B12526" t="str">
            <v>HPD4-4.7</v>
          </cell>
          <cell r="O12526"/>
          <cell r="T12526"/>
        </row>
        <row r="12527">
          <cell r="A12527" t="str">
            <v>RADIOWAVES</v>
          </cell>
          <cell r="B12527" t="str">
            <v>HPD4-5.2NS</v>
          </cell>
          <cell r="O12527"/>
          <cell r="T12527"/>
        </row>
        <row r="12528">
          <cell r="A12528" t="str">
            <v>RADIOWAVES</v>
          </cell>
          <cell r="B12528" t="str">
            <v>HPD4-6</v>
          </cell>
          <cell r="O12528"/>
          <cell r="T12528"/>
        </row>
        <row r="12529">
          <cell r="A12529" t="str">
            <v>RADIOWAVES</v>
          </cell>
          <cell r="B12529" t="str">
            <v>HPD6-11</v>
          </cell>
          <cell r="O12529"/>
          <cell r="T12529"/>
        </row>
        <row r="12530">
          <cell r="A12530" t="str">
            <v>RADIOWAVES</v>
          </cell>
          <cell r="B12530" t="str">
            <v>HPD6-13</v>
          </cell>
          <cell r="O12530"/>
          <cell r="T12530"/>
        </row>
        <row r="12531">
          <cell r="A12531" t="str">
            <v>RADIOWAVES</v>
          </cell>
          <cell r="B12531" t="str">
            <v>HPD6-18</v>
          </cell>
          <cell r="O12531"/>
          <cell r="T12531"/>
        </row>
        <row r="12532">
          <cell r="A12532" t="str">
            <v>RADIOWAVES</v>
          </cell>
          <cell r="B12532" t="str">
            <v>HPD6-4.7</v>
          </cell>
          <cell r="O12532"/>
          <cell r="T12532"/>
        </row>
        <row r="12533">
          <cell r="A12533" t="str">
            <v>RADIOWAVES</v>
          </cell>
          <cell r="B12533" t="str">
            <v>HPD6-5.2</v>
          </cell>
          <cell r="O12533"/>
          <cell r="T12533"/>
        </row>
        <row r="12534">
          <cell r="A12534" t="str">
            <v>RADIOWAVES</v>
          </cell>
          <cell r="B12534" t="str">
            <v>HPD6-5.9</v>
          </cell>
          <cell r="O12534"/>
          <cell r="T12534"/>
        </row>
        <row r="12535">
          <cell r="A12535" t="str">
            <v>RADIOWAVES</v>
          </cell>
          <cell r="B12535" t="str">
            <v>HPD6-5.9_2017</v>
          </cell>
          <cell r="O12535"/>
          <cell r="T12535"/>
        </row>
        <row r="12536">
          <cell r="A12536" t="str">
            <v>RADIOWAVES</v>
          </cell>
          <cell r="B12536" t="str">
            <v>HPD6-6</v>
          </cell>
          <cell r="O12536"/>
          <cell r="T12536"/>
        </row>
        <row r="12537">
          <cell r="A12537" t="str">
            <v>RADIOWAVES</v>
          </cell>
          <cell r="B12537" t="str">
            <v>HPD6-6.4</v>
          </cell>
          <cell r="O12537"/>
          <cell r="T12537"/>
        </row>
        <row r="12538">
          <cell r="A12538" t="str">
            <v>RADIOWAVES</v>
          </cell>
          <cell r="B12538" t="str">
            <v>HPD8-11</v>
          </cell>
          <cell r="O12538"/>
          <cell r="T12538"/>
        </row>
        <row r="12539">
          <cell r="A12539" t="str">
            <v>RADIOWAVES</v>
          </cell>
          <cell r="B12539" t="str">
            <v>HPD8-5.9</v>
          </cell>
          <cell r="O12539"/>
          <cell r="T12539"/>
        </row>
        <row r="12540">
          <cell r="A12540" t="str">
            <v>RADIOWAVES</v>
          </cell>
          <cell r="B12540" t="str">
            <v>HPLP.9-26 NECR</v>
          </cell>
          <cell r="O12540"/>
          <cell r="T12540"/>
        </row>
        <row r="12541">
          <cell r="A12541" t="str">
            <v>RADIOWAVES</v>
          </cell>
          <cell r="B12541" t="str">
            <v>HPLP1-18</v>
          </cell>
          <cell r="O12541"/>
          <cell r="T12541"/>
        </row>
        <row r="12542">
          <cell r="A12542" t="str">
            <v>RADIOWAVES</v>
          </cell>
          <cell r="B12542" t="str">
            <v>HPLP1-18_2024</v>
          </cell>
          <cell r="O12542"/>
          <cell r="T12542"/>
        </row>
        <row r="12543">
          <cell r="A12543" t="str">
            <v>RADIOWAVES</v>
          </cell>
          <cell r="B12543" t="str">
            <v>HPLP1-23</v>
          </cell>
          <cell r="O12543"/>
          <cell r="T12543"/>
        </row>
        <row r="12544">
          <cell r="A12544" t="str">
            <v>RADIOWAVES</v>
          </cell>
          <cell r="B12544" t="str">
            <v>HPLP1-26</v>
          </cell>
          <cell r="O12544"/>
          <cell r="T12544"/>
        </row>
        <row r="12545">
          <cell r="A12545" t="str">
            <v>RADIOWAVES</v>
          </cell>
          <cell r="B12545" t="str">
            <v>HPLP1-28</v>
          </cell>
          <cell r="O12545"/>
          <cell r="T12545"/>
        </row>
        <row r="12546">
          <cell r="A12546" t="str">
            <v>RADIOWAVES</v>
          </cell>
          <cell r="B12546" t="str">
            <v>HPLP1-38</v>
          </cell>
          <cell r="O12546"/>
          <cell r="T12546"/>
        </row>
        <row r="12547">
          <cell r="A12547" t="str">
            <v>RADIOWAVES</v>
          </cell>
          <cell r="B12547" t="str">
            <v>HPLP1.5-18</v>
          </cell>
          <cell r="O12547"/>
          <cell r="T12547"/>
        </row>
        <row r="12548">
          <cell r="A12548" t="str">
            <v>RADIOWAVES</v>
          </cell>
          <cell r="B12548" t="str">
            <v>HPLP1.5-23</v>
          </cell>
          <cell r="O12548"/>
          <cell r="T12548"/>
        </row>
        <row r="12549">
          <cell r="A12549" t="str">
            <v>RADIOWAVES</v>
          </cell>
          <cell r="B12549" t="str">
            <v>HPLP2-73TB</v>
          </cell>
          <cell r="O12549"/>
          <cell r="T12549"/>
        </row>
        <row r="12550">
          <cell r="A12550" t="str">
            <v>RADIOWAVES</v>
          </cell>
          <cell r="B12550" t="str">
            <v>HPLP2-80</v>
          </cell>
          <cell r="O12550"/>
          <cell r="T12550"/>
        </row>
        <row r="12551">
          <cell r="A12551" t="str">
            <v>RADIOWAVES</v>
          </cell>
          <cell r="B12551" t="str">
            <v>HPLPD1-18</v>
          </cell>
          <cell r="O12551"/>
          <cell r="T12551"/>
        </row>
        <row r="12552">
          <cell r="A12552" t="str">
            <v>RADIOWAVES</v>
          </cell>
          <cell r="B12552" t="str">
            <v>HPLPD1-23</v>
          </cell>
          <cell r="O12552"/>
          <cell r="T12552"/>
        </row>
        <row r="12553">
          <cell r="A12553" t="str">
            <v>RADIOWAVES</v>
          </cell>
          <cell r="B12553" t="str">
            <v>HPLPD1-26</v>
          </cell>
          <cell r="O12553"/>
          <cell r="T12553"/>
        </row>
        <row r="12554">
          <cell r="A12554" t="str">
            <v>RADIOWAVES</v>
          </cell>
          <cell r="B12554" t="str">
            <v>HPLPD1.5-18</v>
          </cell>
          <cell r="O12554"/>
          <cell r="T12554"/>
        </row>
        <row r="12555">
          <cell r="A12555" t="str">
            <v>RADIOWAVES</v>
          </cell>
          <cell r="B12555" t="str">
            <v>HPLPD1.5-23</v>
          </cell>
          <cell r="O12555"/>
          <cell r="T12555"/>
        </row>
        <row r="12556">
          <cell r="A12556" t="str">
            <v>RADIOWAVES</v>
          </cell>
          <cell r="B12556" t="str">
            <v>HPLPD2-11</v>
          </cell>
          <cell r="O12556"/>
          <cell r="T12556"/>
        </row>
        <row r="12557">
          <cell r="A12557" t="str">
            <v>RADIOWAVES</v>
          </cell>
          <cell r="B12557" t="str">
            <v>MMS2-11</v>
          </cell>
          <cell r="O12557"/>
          <cell r="T12557"/>
        </row>
        <row r="12558">
          <cell r="A12558" t="str">
            <v>RADIOWAVES</v>
          </cell>
          <cell r="B12558" t="str">
            <v>OMND-4.8/4.8-9</v>
          </cell>
          <cell r="O12558"/>
          <cell r="T12558"/>
        </row>
        <row r="12559">
          <cell r="A12559" t="str">
            <v>RADIOWAVES</v>
          </cell>
          <cell r="B12559" t="str">
            <v>PRO-24V-60-17</v>
          </cell>
          <cell r="O12559"/>
          <cell r="T12559"/>
        </row>
        <row r="12560">
          <cell r="A12560" t="str">
            <v>RADIOWAVES</v>
          </cell>
          <cell r="B12560" t="str">
            <v>PROSCAN-2</v>
          </cell>
          <cell r="O12560"/>
          <cell r="T12560"/>
        </row>
        <row r="12561">
          <cell r="A12561" t="str">
            <v>RADIOWAVES</v>
          </cell>
          <cell r="B12561" t="str">
            <v>PROSCAN-2_RANDOM</v>
          </cell>
          <cell r="O12561"/>
          <cell r="T12561"/>
        </row>
        <row r="12562">
          <cell r="A12562" t="str">
            <v>RADIOWAVES</v>
          </cell>
          <cell r="B12562" t="str">
            <v>PROSCAN-3_RANDOM</v>
          </cell>
          <cell r="O12562"/>
          <cell r="T12562"/>
        </row>
        <row r="12563">
          <cell r="A12563" t="str">
            <v>RADIOWAVES</v>
          </cell>
          <cell r="B12563" t="str">
            <v>PROSCAN-7</v>
          </cell>
          <cell r="O12563"/>
          <cell r="T12563"/>
        </row>
        <row r="12564">
          <cell r="A12564" t="str">
            <v>RADIOWAVES</v>
          </cell>
          <cell r="B12564" t="str">
            <v>PROSCAN-7_RANDOM</v>
          </cell>
          <cell r="O12564"/>
          <cell r="T12564"/>
        </row>
        <row r="12565">
          <cell r="A12565" t="str">
            <v>RADIOWAVES</v>
          </cell>
          <cell r="B12565" t="str">
            <v>SEC-25-V-60-17</v>
          </cell>
          <cell r="O12565">
            <v>3.3582974459999999</v>
          </cell>
          <cell r="T12565">
            <v>1.172677473</v>
          </cell>
        </row>
        <row r="12566">
          <cell r="A12566" t="str">
            <v>RADIOWAVES</v>
          </cell>
          <cell r="B12566" t="str">
            <v>SEC-25H-60-17</v>
          </cell>
          <cell r="O12566">
            <v>3.3582974459999999</v>
          </cell>
          <cell r="T12566">
            <v>1.172677473</v>
          </cell>
        </row>
        <row r="12567">
          <cell r="A12567" t="str">
            <v>RADIOWAVES</v>
          </cell>
          <cell r="B12567" t="str">
            <v>SEC-25H-90-16</v>
          </cell>
          <cell r="O12567"/>
          <cell r="T12567"/>
        </row>
        <row r="12568">
          <cell r="A12568" t="str">
            <v>RADIOWAVES</v>
          </cell>
          <cell r="B12568" t="str">
            <v>SEC-25V-120-14</v>
          </cell>
          <cell r="O12568">
            <v>3.3582974459999999</v>
          </cell>
          <cell r="T12568">
            <v>1.172677473</v>
          </cell>
        </row>
        <row r="12569">
          <cell r="A12569" t="str">
            <v>RADIOWAVES</v>
          </cell>
          <cell r="B12569" t="str">
            <v>SEC-25V-60-14</v>
          </cell>
          <cell r="O12569">
            <v>2.0091073779999999</v>
          </cell>
          <cell r="T12569">
            <v>0.69846614299999998</v>
          </cell>
        </row>
        <row r="12570">
          <cell r="A12570" t="str">
            <v>RADIOWAVES</v>
          </cell>
          <cell r="B12570" t="str">
            <v>SEC-25V-60-17</v>
          </cell>
          <cell r="O12570">
            <v>3.3582974459999999</v>
          </cell>
          <cell r="T12570">
            <v>1.172677473</v>
          </cell>
        </row>
        <row r="12571">
          <cell r="A12571" t="str">
            <v>RADIOWAVES</v>
          </cell>
          <cell r="B12571" t="str">
            <v>SEC-25V-90-16</v>
          </cell>
          <cell r="O12571">
            <v>3.3582974459999999</v>
          </cell>
          <cell r="T12571">
            <v>1.172677473</v>
          </cell>
        </row>
        <row r="12572">
          <cell r="A12572" t="str">
            <v>RADIOWAVES</v>
          </cell>
          <cell r="B12572" t="str">
            <v>SEC-2V-5H-90</v>
          </cell>
          <cell r="O12572"/>
          <cell r="T12572"/>
        </row>
        <row r="12573">
          <cell r="A12573" t="str">
            <v>RADIOWAVES</v>
          </cell>
          <cell r="B12573" t="str">
            <v>SEC-35D-90-16</v>
          </cell>
          <cell r="O12573">
            <v>3.3582974459999999</v>
          </cell>
          <cell r="T12573">
            <v>1.172677473</v>
          </cell>
        </row>
        <row r="12574">
          <cell r="A12574" t="str">
            <v>RADIOWAVES</v>
          </cell>
          <cell r="B12574" t="str">
            <v>SEC-35V-90-16</v>
          </cell>
          <cell r="O12574">
            <v>2.0091073779999999</v>
          </cell>
          <cell r="T12574">
            <v>0.69846614299999998</v>
          </cell>
        </row>
        <row r="12575">
          <cell r="A12575" t="str">
            <v>RADIOWAVES</v>
          </cell>
          <cell r="B12575" t="str">
            <v>SEC-47D-90-16</v>
          </cell>
          <cell r="O12575"/>
          <cell r="T12575"/>
        </row>
        <row r="12576">
          <cell r="A12576" t="str">
            <v>RADIOWAVES</v>
          </cell>
          <cell r="B12576" t="str">
            <v>SEC-47H-90-16</v>
          </cell>
          <cell r="O12576">
            <v>1.961390156</v>
          </cell>
          <cell r="T12576">
            <v>0.74453976099999986</v>
          </cell>
        </row>
        <row r="12577">
          <cell r="A12577" t="str">
            <v>RADIOWAVES</v>
          </cell>
          <cell r="B12577" t="str">
            <v>SEC-55D-60-17</v>
          </cell>
          <cell r="O12577">
            <v>3.3989237353199</v>
          </cell>
          <cell r="T12577">
            <v>1.2691731292796098</v>
          </cell>
        </row>
        <row r="12578">
          <cell r="A12578" t="str">
            <v>RADIOWAVES</v>
          </cell>
          <cell r="B12578" t="str">
            <v>SEC-55D-90-16</v>
          </cell>
          <cell r="O12578">
            <v>3.3582974459999999</v>
          </cell>
          <cell r="T12578">
            <v>1.172677473</v>
          </cell>
        </row>
        <row r="12579">
          <cell r="A12579" t="str">
            <v>RADIOWAVES</v>
          </cell>
          <cell r="B12579" t="str">
            <v>SEC-55H-90-16</v>
          </cell>
          <cell r="O12579">
            <v>2.0091073779999999</v>
          </cell>
          <cell r="T12579">
            <v>0.69846614299999998</v>
          </cell>
        </row>
        <row r="12580">
          <cell r="A12580" t="str">
            <v>RADIOWAVES</v>
          </cell>
          <cell r="B12580" t="str">
            <v>SEC-55V-90-16</v>
          </cell>
          <cell r="O12580">
            <v>2.0091073779999999</v>
          </cell>
          <cell r="T12580">
            <v>0.69846614299999998</v>
          </cell>
        </row>
        <row r="12581">
          <cell r="A12581" t="str">
            <v>RADIOWAVES</v>
          </cell>
          <cell r="B12581" t="str">
            <v>SEC-5V-120-14</v>
          </cell>
          <cell r="O12581"/>
          <cell r="T12581"/>
        </row>
        <row r="12582">
          <cell r="A12582" t="str">
            <v>RADIOWAVES</v>
          </cell>
          <cell r="B12582" t="str">
            <v>SHP6-5.9</v>
          </cell>
          <cell r="O12582"/>
          <cell r="T12582"/>
        </row>
        <row r="12583">
          <cell r="A12583" t="str">
            <v>RADIOWAVES</v>
          </cell>
          <cell r="B12583" t="str">
            <v>SHPD6-5.9RS</v>
          </cell>
          <cell r="O12583"/>
          <cell r="T12583"/>
        </row>
        <row r="12584">
          <cell r="A12584" t="str">
            <v>RADIOWAVES</v>
          </cell>
          <cell r="B12584" t="str">
            <v>SHPD6-6.4</v>
          </cell>
          <cell r="O12584"/>
          <cell r="T12584"/>
        </row>
        <row r="12585">
          <cell r="A12585" t="str">
            <v>RADIOWAVES</v>
          </cell>
          <cell r="B12585" t="str">
            <v>SHPD8-5.9</v>
          </cell>
          <cell r="O12585"/>
          <cell r="T12585"/>
        </row>
        <row r="12586">
          <cell r="A12586" t="str">
            <v>RADIOWAVES</v>
          </cell>
          <cell r="B12586" t="str">
            <v>SHPD8-6</v>
          </cell>
          <cell r="O12586"/>
          <cell r="T12586"/>
        </row>
        <row r="12587">
          <cell r="A12587" t="str">
            <v>RADIOWAVES</v>
          </cell>
          <cell r="B12587" t="str">
            <v>SP1-2.4</v>
          </cell>
          <cell r="O12587"/>
          <cell r="T12587"/>
        </row>
        <row r="12588">
          <cell r="A12588" t="str">
            <v>RADIOWAVES</v>
          </cell>
          <cell r="B12588" t="str">
            <v>SP1-2/5</v>
          </cell>
          <cell r="O12588"/>
          <cell r="T12588"/>
        </row>
        <row r="12589">
          <cell r="A12589" t="str">
            <v>RADIOWAVES</v>
          </cell>
          <cell r="B12589" t="str">
            <v>SP1-4.7</v>
          </cell>
          <cell r="O12589"/>
          <cell r="T12589"/>
        </row>
        <row r="12590">
          <cell r="A12590" t="str">
            <v>RADIOWAVES</v>
          </cell>
          <cell r="B12590" t="str">
            <v>SP1-5.2</v>
          </cell>
          <cell r="O12590"/>
          <cell r="T12590"/>
        </row>
        <row r="12591">
          <cell r="A12591" t="str">
            <v>RADIOWAVES</v>
          </cell>
          <cell r="B12591" t="str">
            <v>SP1-5.8</v>
          </cell>
          <cell r="O12591"/>
          <cell r="T12591"/>
        </row>
        <row r="12592">
          <cell r="A12592" t="str">
            <v>RADIOWAVES</v>
          </cell>
          <cell r="B12592" t="str">
            <v>SP1.5-5.2</v>
          </cell>
          <cell r="O12592"/>
          <cell r="T12592"/>
        </row>
        <row r="12593">
          <cell r="A12593" t="str">
            <v>RADIOWAVES</v>
          </cell>
          <cell r="B12593" t="str">
            <v>SP2-11</v>
          </cell>
          <cell r="O12593"/>
          <cell r="T12593"/>
        </row>
        <row r="12594">
          <cell r="A12594" t="str">
            <v>RADIOWAVES</v>
          </cell>
          <cell r="B12594" t="str">
            <v>SP2-18</v>
          </cell>
          <cell r="O12594"/>
          <cell r="T12594"/>
        </row>
        <row r="12595">
          <cell r="A12595" t="str">
            <v>RADIOWAVES</v>
          </cell>
          <cell r="B12595" t="str">
            <v>SP2-2.4</v>
          </cell>
          <cell r="O12595"/>
          <cell r="T12595"/>
        </row>
        <row r="12596">
          <cell r="A12596" t="str">
            <v>RADIOWAVES</v>
          </cell>
          <cell r="B12596" t="str">
            <v>SP2-4.7</v>
          </cell>
          <cell r="O12596"/>
          <cell r="T12596"/>
        </row>
        <row r="12597">
          <cell r="A12597" t="str">
            <v>RADIOWAVES</v>
          </cell>
          <cell r="B12597" t="str">
            <v>SP2-4.7NS</v>
          </cell>
          <cell r="O12597"/>
          <cell r="T12597"/>
        </row>
        <row r="12598">
          <cell r="A12598" t="str">
            <v>RADIOWAVES</v>
          </cell>
          <cell r="B12598" t="str">
            <v>SP2-5.2</v>
          </cell>
          <cell r="O12598"/>
          <cell r="T12598"/>
        </row>
        <row r="12599">
          <cell r="A12599" t="str">
            <v>RADIOWAVES</v>
          </cell>
          <cell r="B12599" t="str">
            <v>SP2-5.2NS</v>
          </cell>
          <cell r="O12599"/>
          <cell r="T12599"/>
        </row>
        <row r="12600">
          <cell r="A12600" t="str">
            <v>RADIOWAVES</v>
          </cell>
          <cell r="B12600" t="str">
            <v>SP2-5.8</v>
          </cell>
          <cell r="O12600"/>
          <cell r="T12600"/>
        </row>
        <row r="12601">
          <cell r="A12601" t="str">
            <v>RADIOWAVES</v>
          </cell>
          <cell r="B12601" t="str">
            <v>SP3-2.4</v>
          </cell>
          <cell r="O12601"/>
          <cell r="T12601"/>
        </row>
        <row r="12602">
          <cell r="A12602" t="str">
            <v>RADIOWAVES</v>
          </cell>
          <cell r="B12602" t="str">
            <v>SP3-4.7</v>
          </cell>
          <cell r="O12602"/>
          <cell r="T12602"/>
        </row>
        <row r="12603">
          <cell r="A12603" t="str">
            <v>RADIOWAVES</v>
          </cell>
          <cell r="B12603" t="str">
            <v>SP3-5.2</v>
          </cell>
          <cell r="O12603"/>
          <cell r="T12603"/>
        </row>
        <row r="12604">
          <cell r="A12604" t="str">
            <v>RADIOWAVES</v>
          </cell>
          <cell r="B12604" t="str">
            <v>SP3-5.8</v>
          </cell>
          <cell r="O12604"/>
          <cell r="T12604"/>
        </row>
        <row r="12605">
          <cell r="A12605" t="str">
            <v>RADIOWAVES</v>
          </cell>
          <cell r="B12605" t="str">
            <v>SP3-6</v>
          </cell>
          <cell r="O12605"/>
          <cell r="T12605"/>
        </row>
        <row r="12606">
          <cell r="A12606" t="str">
            <v>RADIOWAVES</v>
          </cell>
          <cell r="B12606" t="str">
            <v>SP4-11</v>
          </cell>
          <cell r="O12606"/>
          <cell r="T12606"/>
        </row>
        <row r="12607">
          <cell r="A12607" t="str">
            <v>RADIOWAVES</v>
          </cell>
          <cell r="B12607" t="str">
            <v>SP4-2.4</v>
          </cell>
          <cell r="O12607"/>
          <cell r="T12607"/>
        </row>
        <row r="12608">
          <cell r="A12608" t="str">
            <v>RADIOWAVES</v>
          </cell>
          <cell r="B12608" t="str">
            <v>SP4-2.4_2024</v>
          </cell>
          <cell r="O12608"/>
          <cell r="T12608"/>
        </row>
        <row r="12609">
          <cell r="A12609" t="str">
            <v>RADIOWAVES</v>
          </cell>
          <cell r="B12609" t="str">
            <v>SP4-2_5</v>
          </cell>
          <cell r="O12609"/>
          <cell r="T12609"/>
        </row>
        <row r="12610">
          <cell r="A12610" t="str">
            <v>RADIOWAVES</v>
          </cell>
          <cell r="B12610" t="str">
            <v>SP4-4.7</v>
          </cell>
          <cell r="O12610"/>
          <cell r="T12610"/>
        </row>
        <row r="12611">
          <cell r="A12611" t="str">
            <v>RADIOWAVES</v>
          </cell>
          <cell r="B12611" t="str">
            <v>SP4-5.2</v>
          </cell>
          <cell r="O12611"/>
          <cell r="T12611"/>
        </row>
        <row r="12612">
          <cell r="A12612" t="str">
            <v>RADIOWAVES</v>
          </cell>
          <cell r="B12612" t="str">
            <v>SP4-5.8</v>
          </cell>
          <cell r="O12612"/>
          <cell r="T12612"/>
        </row>
        <row r="12613">
          <cell r="A12613" t="str">
            <v>RADIOWAVES</v>
          </cell>
          <cell r="B12613" t="str">
            <v>SP4-5.8M5</v>
          </cell>
          <cell r="O12613"/>
          <cell r="T12613"/>
        </row>
        <row r="12614">
          <cell r="A12614" t="str">
            <v>RADIOWAVES</v>
          </cell>
          <cell r="B12614" t="str">
            <v>SP4-5.9</v>
          </cell>
          <cell r="O12614"/>
          <cell r="T12614"/>
        </row>
        <row r="12615">
          <cell r="A12615" t="str">
            <v>RADIOWAVES</v>
          </cell>
          <cell r="B12615" t="str">
            <v>SP58NE</v>
          </cell>
          <cell r="O12615"/>
          <cell r="T12615"/>
        </row>
        <row r="12616">
          <cell r="A12616" t="str">
            <v>RADIOWAVES</v>
          </cell>
          <cell r="B12616" t="str">
            <v>SP6-11</v>
          </cell>
          <cell r="O12616"/>
          <cell r="T12616"/>
        </row>
        <row r="12617">
          <cell r="A12617" t="str">
            <v>RADIOWAVES</v>
          </cell>
          <cell r="B12617" t="str">
            <v>SP6-2.4</v>
          </cell>
          <cell r="O12617"/>
          <cell r="T12617"/>
        </row>
        <row r="12618">
          <cell r="A12618" t="str">
            <v>RADIOWAVES</v>
          </cell>
          <cell r="B12618" t="str">
            <v>SP6-4.7NS</v>
          </cell>
          <cell r="O12618"/>
          <cell r="T12618"/>
        </row>
        <row r="12619">
          <cell r="A12619" t="str">
            <v>RADIOWAVES</v>
          </cell>
          <cell r="B12619" t="str">
            <v>SP6-5.2</v>
          </cell>
          <cell r="O12619"/>
          <cell r="T12619"/>
        </row>
        <row r="12620">
          <cell r="A12620" t="str">
            <v>RADIOWAVES</v>
          </cell>
          <cell r="B12620" t="str">
            <v>SP6-5.8</v>
          </cell>
          <cell r="O12620"/>
          <cell r="T12620"/>
        </row>
        <row r="12621">
          <cell r="A12621" t="str">
            <v>RADIOWAVES</v>
          </cell>
          <cell r="B12621" t="str">
            <v>SP6-57</v>
          </cell>
          <cell r="O12621"/>
          <cell r="T12621"/>
        </row>
        <row r="12622">
          <cell r="A12622" t="str">
            <v>RADIOWAVES</v>
          </cell>
          <cell r="B12622" t="str">
            <v>SP8-5.2</v>
          </cell>
          <cell r="O12622"/>
          <cell r="T12622"/>
        </row>
        <row r="12623">
          <cell r="A12623" t="str">
            <v>RADIOWAVES</v>
          </cell>
          <cell r="B12623" t="str">
            <v>SP8-59</v>
          </cell>
          <cell r="O12623"/>
          <cell r="T12623"/>
        </row>
        <row r="12624">
          <cell r="A12624" t="str">
            <v>RADIOWAVES</v>
          </cell>
          <cell r="B12624" t="str">
            <v>SPD2-11</v>
          </cell>
          <cell r="O12624"/>
          <cell r="T12624"/>
        </row>
        <row r="12625">
          <cell r="A12625" t="str">
            <v>RADIOWAVES</v>
          </cell>
          <cell r="B12625" t="str">
            <v>SPD2-2.4</v>
          </cell>
          <cell r="O12625"/>
          <cell r="T12625"/>
        </row>
        <row r="12626">
          <cell r="A12626" t="str">
            <v>RADIOWAVES</v>
          </cell>
          <cell r="B12626" t="str">
            <v>SPD2-2.4DL-RD</v>
          </cell>
          <cell r="O12626"/>
          <cell r="T12626"/>
        </row>
        <row r="12627">
          <cell r="A12627" t="str">
            <v>RADIOWAVES</v>
          </cell>
          <cell r="B12627" t="str">
            <v>SPD2-2.4DL-RD-MSK-2</v>
          </cell>
          <cell r="O12627"/>
          <cell r="T12627"/>
        </row>
        <row r="12628">
          <cell r="A12628" t="str">
            <v>RADIOWAVES</v>
          </cell>
          <cell r="B12628" t="str">
            <v>SPD2-4.7NS</v>
          </cell>
          <cell r="O12628"/>
          <cell r="T12628"/>
        </row>
        <row r="12629">
          <cell r="A12629" t="str">
            <v>RADIOWAVES</v>
          </cell>
          <cell r="B12629" t="str">
            <v>SPD2-5.2</v>
          </cell>
          <cell r="O12629"/>
          <cell r="T12629"/>
        </row>
        <row r="12630">
          <cell r="A12630" t="str">
            <v>RADIOWAVES</v>
          </cell>
          <cell r="B12630" t="str">
            <v>SPD2-5.2NS</v>
          </cell>
          <cell r="O12630"/>
          <cell r="T12630"/>
        </row>
        <row r="12631">
          <cell r="A12631" t="str">
            <v>RADIOWAVES</v>
          </cell>
          <cell r="B12631" t="str">
            <v>SPD2-5.8</v>
          </cell>
          <cell r="O12631"/>
          <cell r="T12631"/>
        </row>
        <row r="12632">
          <cell r="A12632" t="str">
            <v>RADIOWAVES</v>
          </cell>
          <cell r="B12632" t="str">
            <v>SPD2-5BNC</v>
          </cell>
          <cell r="O12632"/>
          <cell r="T12632"/>
        </row>
        <row r="12633">
          <cell r="A12633" t="str">
            <v>RADIOWAVES</v>
          </cell>
          <cell r="B12633" t="str">
            <v>SPD2-5BNL</v>
          </cell>
          <cell r="O12633"/>
          <cell r="T12633"/>
        </row>
        <row r="12634">
          <cell r="A12634" t="str">
            <v>RADIOWAVES</v>
          </cell>
          <cell r="B12634" t="str">
            <v>SPD2-5W</v>
          </cell>
          <cell r="O12634"/>
          <cell r="T12634"/>
        </row>
        <row r="12635">
          <cell r="A12635" t="str">
            <v>RADIOWAVES</v>
          </cell>
          <cell r="B12635" t="str">
            <v>SPD3-11</v>
          </cell>
          <cell r="O12635"/>
          <cell r="T12635"/>
        </row>
        <row r="12636">
          <cell r="A12636" t="str">
            <v>RADIOWAVES</v>
          </cell>
          <cell r="B12636" t="str">
            <v>SPD3-18</v>
          </cell>
          <cell r="O12636"/>
          <cell r="T12636"/>
        </row>
        <row r="12637">
          <cell r="A12637" t="str">
            <v>RADIOWAVES</v>
          </cell>
          <cell r="B12637" t="str">
            <v>SPD3-4.7NS</v>
          </cell>
          <cell r="O12637"/>
          <cell r="T12637"/>
        </row>
        <row r="12638">
          <cell r="A12638" t="str">
            <v>RADIOWAVES</v>
          </cell>
          <cell r="B12638" t="str">
            <v>SPD3-5.2</v>
          </cell>
          <cell r="O12638"/>
          <cell r="T12638"/>
        </row>
        <row r="12639">
          <cell r="A12639" t="str">
            <v>RADIOWAVES</v>
          </cell>
          <cell r="B12639" t="str">
            <v>SPD3-5.8</v>
          </cell>
          <cell r="O12639"/>
          <cell r="T12639"/>
        </row>
        <row r="12640">
          <cell r="A12640" t="str">
            <v>RADIOWAVES</v>
          </cell>
          <cell r="B12640" t="str">
            <v>SPD4-1011</v>
          </cell>
          <cell r="O12640"/>
          <cell r="T12640"/>
        </row>
        <row r="12641">
          <cell r="A12641" t="str">
            <v>RADIOWAVES</v>
          </cell>
          <cell r="B12641" t="str">
            <v>SPD4-11</v>
          </cell>
          <cell r="O12641"/>
          <cell r="T12641"/>
        </row>
        <row r="12642">
          <cell r="A12642" t="str">
            <v>RADIOWAVES</v>
          </cell>
          <cell r="B12642" t="str">
            <v>SPD4-18</v>
          </cell>
          <cell r="O12642"/>
          <cell r="T12642"/>
        </row>
        <row r="12643">
          <cell r="A12643" t="str">
            <v>RADIOWAVES</v>
          </cell>
          <cell r="B12643" t="str">
            <v>SPD4-2.4</v>
          </cell>
          <cell r="O12643"/>
          <cell r="T12643"/>
        </row>
        <row r="12644">
          <cell r="A12644" t="str">
            <v>RADIOWAVES</v>
          </cell>
          <cell r="B12644" t="str">
            <v>SPD4-4.7</v>
          </cell>
          <cell r="O12644"/>
          <cell r="T12644"/>
        </row>
        <row r="12645">
          <cell r="A12645" t="str">
            <v>RADIOWAVES</v>
          </cell>
          <cell r="B12645" t="str">
            <v>SPD4-5.2</v>
          </cell>
          <cell r="O12645"/>
          <cell r="T12645"/>
        </row>
        <row r="12646">
          <cell r="A12646" t="str">
            <v>RADIOWAVES</v>
          </cell>
          <cell r="B12646" t="str">
            <v>SPD6-1011</v>
          </cell>
          <cell r="O12646"/>
          <cell r="T12646"/>
        </row>
        <row r="12647">
          <cell r="A12647" t="str">
            <v>RADIOWAVES</v>
          </cell>
          <cell r="B12647" t="str">
            <v>SPD6-5.2</v>
          </cell>
          <cell r="O12647"/>
          <cell r="T12647"/>
        </row>
        <row r="12648">
          <cell r="A12648" t="str">
            <v>RADIOWAVES</v>
          </cell>
          <cell r="B12648" t="str">
            <v>SPD6-57</v>
          </cell>
          <cell r="O12648"/>
          <cell r="T12648"/>
        </row>
        <row r="12649">
          <cell r="A12649" t="str">
            <v>RADIOWAVES</v>
          </cell>
          <cell r="B12649" t="str">
            <v>SSI865985O567_33</v>
          </cell>
          <cell r="O12649"/>
          <cell r="T12649"/>
        </row>
        <row r="12650">
          <cell r="A12650" t="str">
            <v>RADIOWAVES</v>
          </cell>
          <cell r="B12650" t="str">
            <v>SSI865985O567_35</v>
          </cell>
          <cell r="O12650"/>
          <cell r="T12650"/>
        </row>
        <row r="12651">
          <cell r="A12651" t="str">
            <v>RADIOWAVES</v>
          </cell>
          <cell r="B12651" t="str">
            <v>SSI865985O576_37</v>
          </cell>
          <cell r="O12651"/>
          <cell r="T12651"/>
        </row>
        <row r="12652">
          <cell r="A12652" t="str">
            <v>RADIOWAVES</v>
          </cell>
          <cell r="B12652" t="str">
            <v>UHPD6-5.9</v>
          </cell>
          <cell r="O12652"/>
          <cell r="T12652"/>
        </row>
        <row r="12653">
          <cell r="A12653" t="str">
            <v>RADIOWAVES</v>
          </cell>
          <cell r="B12653" t="str">
            <v>UHPD6-6.4</v>
          </cell>
          <cell r="O12653"/>
          <cell r="T12653"/>
        </row>
        <row r="12654">
          <cell r="A12654" t="str">
            <v>RADIOWAVES</v>
          </cell>
          <cell r="B12654" t="str">
            <v>ULTRASCAN</v>
          </cell>
          <cell r="O12654"/>
          <cell r="T12654"/>
        </row>
        <row r="12655">
          <cell r="A12655" t="str">
            <v>RADIOWAVES</v>
          </cell>
          <cell r="B12655" t="str">
            <v>hp4-11_CCIV2</v>
          </cell>
          <cell r="O12655"/>
          <cell r="T12655"/>
        </row>
        <row r="12656">
          <cell r="A12656" t="str">
            <v>RADWIN</v>
          </cell>
          <cell r="B12656" t="str">
            <v>AIRMUX-400/ODU/F58F</v>
          </cell>
          <cell r="O12656"/>
          <cell r="T12656"/>
        </row>
        <row r="12657">
          <cell r="A12657" t="str">
            <v>RADWIN</v>
          </cell>
          <cell r="B12657" t="str">
            <v>JET PRO</v>
          </cell>
          <cell r="O12657"/>
          <cell r="T12657"/>
        </row>
        <row r="12658">
          <cell r="A12658" t="str">
            <v>RADWIN</v>
          </cell>
          <cell r="B12658" t="str">
            <v>JET PRO DUO 5GHZ</v>
          </cell>
          <cell r="O12658"/>
          <cell r="T12658"/>
        </row>
        <row r="12659">
          <cell r="A12659" t="str">
            <v>RADWIN</v>
          </cell>
          <cell r="B12659" t="str">
            <v>NEO DUO</v>
          </cell>
          <cell r="O12659"/>
          <cell r="T12659"/>
        </row>
        <row r="12660">
          <cell r="A12660" t="str">
            <v>RADWIN</v>
          </cell>
          <cell r="B12660" t="str">
            <v>RADWIN 2000C</v>
          </cell>
          <cell r="O12660"/>
          <cell r="T12660"/>
        </row>
        <row r="12661">
          <cell r="A12661" t="str">
            <v>RADWIN</v>
          </cell>
          <cell r="B12661" t="str">
            <v>RADWIN 2000D</v>
          </cell>
          <cell r="O12661"/>
          <cell r="T12661"/>
        </row>
        <row r="12662">
          <cell r="A12662" t="str">
            <v>RADWIN</v>
          </cell>
          <cell r="B12662" t="str">
            <v>RADWIN 2000_CCIV2</v>
          </cell>
          <cell r="O12662"/>
          <cell r="T12662"/>
        </row>
        <row r="12663">
          <cell r="A12663" t="str">
            <v>RADWIN</v>
          </cell>
          <cell r="B12663" t="str">
            <v>RADWIN 5000 JET</v>
          </cell>
          <cell r="O12663"/>
          <cell r="T12663"/>
        </row>
        <row r="12664">
          <cell r="A12664" t="str">
            <v>RADWIN</v>
          </cell>
          <cell r="B12664" t="str">
            <v>RW-2049-0100</v>
          </cell>
          <cell r="O12664"/>
          <cell r="T12664"/>
        </row>
        <row r="12665">
          <cell r="A12665" t="str">
            <v>RADWIN</v>
          </cell>
          <cell r="B12665" t="str">
            <v>RW-2049-D100_CCIV2</v>
          </cell>
          <cell r="O12665"/>
          <cell r="T12665"/>
        </row>
        <row r="12666">
          <cell r="A12666" t="str">
            <v>RADWIN</v>
          </cell>
          <cell r="B12666" t="str">
            <v>RW-2050-0100</v>
          </cell>
          <cell r="O12666"/>
          <cell r="T12666"/>
        </row>
        <row r="12667">
          <cell r="A12667" t="str">
            <v>RADWIN</v>
          </cell>
          <cell r="B12667" t="str">
            <v>RW-2050-0150</v>
          </cell>
          <cell r="O12667"/>
          <cell r="T12667"/>
        </row>
        <row r="12668">
          <cell r="A12668" t="str">
            <v>RADWIN</v>
          </cell>
          <cell r="B12668" t="str">
            <v>RW-2050-9100</v>
          </cell>
          <cell r="O12668"/>
          <cell r="T12668"/>
        </row>
        <row r="12669">
          <cell r="A12669" t="str">
            <v>RADWIN</v>
          </cell>
          <cell r="B12669" t="str">
            <v>RW-5200-0150</v>
          </cell>
          <cell r="O12669"/>
          <cell r="T12669"/>
        </row>
        <row r="12670">
          <cell r="A12670" t="str">
            <v>RADWIN</v>
          </cell>
          <cell r="B12670" t="str">
            <v>RW-5B00-0630-00</v>
          </cell>
          <cell r="O12670"/>
          <cell r="T12670"/>
        </row>
        <row r="12671">
          <cell r="A12671" t="str">
            <v>RADWIN</v>
          </cell>
          <cell r="B12671" t="str">
            <v>RW-5B00-0650-00_CCIV2</v>
          </cell>
          <cell r="O12671"/>
          <cell r="T12671"/>
        </row>
        <row r="12672">
          <cell r="A12672" t="str">
            <v>RADWIN</v>
          </cell>
          <cell r="B12672" t="str">
            <v>RW-5BG5-0650_CCIV2</v>
          </cell>
          <cell r="O12672"/>
          <cell r="T12672"/>
        </row>
        <row r="12673">
          <cell r="A12673" t="str">
            <v>RADWIN</v>
          </cell>
          <cell r="B12673" t="str">
            <v>RW-5H01-0P58</v>
          </cell>
          <cell r="O12673"/>
          <cell r="T12673"/>
        </row>
        <row r="12674">
          <cell r="A12674" t="str">
            <v>RADWIN</v>
          </cell>
          <cell r="B12674" t="str">
            <v>RW-5PG5-0655</v>
          </cell>
          <cell r="O12674"/>
          <cell r="T12674"/>
        </row>
        <row r="12675">
          <cell r="A12675" t="str">
            <v>RADWIN</v>
          </cell>
          <cell r="B12675" t="str">
            <v>RW-9061-5001</v>
          </cell>
          <cell r="O12675"/>
          <cell r="T12675"/>
        </row>
        <row r="12676">
          <cell r="A12676" t="str">
            <v>RADWIN</v>
          </cell>
          <cell r="B12676" t="str">
            <v>RW-9061-5002</v>
          </cell>
          <cell r="O12676"/>
          <cell r="T12676"/>
        </row>
        <row r="12677">
          <cell r="A12677" t="str">
            <v>RADWIN</v>
          </cell>
          <cell r="B12677" t="str">
            <v>RW-9721-5158</v>
          </cell>
          <cell r="O12677"/>
          <cell r="T12677"/>
        </row>
        <row r="12678">
          <cell r="A12678" t="str">
            <v>RADWIN</v>
          </cell>
          <cell r="B12678" t="str">
            <v>RW-9924-0070</v>
          </cell>
          <cell r="O12678"/>
          <cell r="T12678"/>
        </row>
        <row r="12679">
          <cell r="A12679" t="str">
            <v>RADWIN</v>
          </cell>
          <cell r="B12679" t="str">
            <v>TME-RW-2049-D100</v>
          </cell>
          <cell r="O12679"/>
          <cell r="T12679"/>
        </row>
        <row r="12680">
          <cell r="A12680" t="str">
            <v>RADWIN</v>
          </cell>
          <cell r="B12680" t="str">
            <v>TME-RW-5200-0250</v>
          </cell>
          <cell r="O12680"/>
          <cell r="T12680"/>
        </row>
        <row r="12681">
          <cell r="A12681" t="str">
            <v>RADWIN</v>
          </cell>
          <cell r="B12681" t="str">
            <v>TME-RW-5AG5-0850</v>
          </cell>
          <cell r="O12681"/>
          <cell r="T12681"/>
        </row>
        <row r="12682">
          <cell r="A12682" t="str">
            <v>RADWIN</v>
          </cell>
          <cell r="B12682" t="str">
            <v>WINLINK 1000</v>
          </cell>
          <cell r="O12682"/>
          <cell r="T12682"/>
        </row>
        <row r="12683">
          <cell r="A12683" t="str">
            <v>RAKWIRELESS</v>
          </cell>
          <cell r="B12683" t="str">
            <v>RAKARG15</v>
          </cell>
          <cell r="O12683"/>
          <cell r="T12683"/>
        </row>
        <row r="12684">
          <cell r="A12684" t="str">
            <v>RAM</v>
          </cell>
          <cell r="B12684" t="str">
            <v>RCD 87010N</v>
          </cell>
          <cell r="O12684"/>
          <cell r="T12684"/>
        </row>
        <row r="12685">
          <cell r="A12685" t="str">
            <v>RANCOM WIRELESS</v>
          </cell>
          <cell r="B12685" t="str">
            <v>79096EXV701XI19</v>
          </cell>
          <cell r="O12685"/>
          <cell r="T12685"/>
        </row>
        <row r="12686">
          <cell r="A12686" t="str">
            <v>RAYCAP</v>
          </cell>
          <cell r="B12686" t="str">
            <v>TME-ASU9338TYP01</v>
          </cell>
          <cell r="O12686"/>
          <cell r="T12686"/>
        </row>
        <row r="12687">
          <cell r="A12687" t="str">
            <v>RAYCAP</v>
          </cell>
          <cell r="B12687" t="str">
            <v>TME-DB-T16Z-8AB-0Z</v>
          </cell>
          <cell r="O12687"/>
          <cell r="T12687"/>
        </row>
        <row r="12688">
          <cell r="A12688" t="str">
            <v>RAYCAP</v>
          </cell>
          <cell r="B12688" t="str">
            <v>TME-DC2-48-60-0-9</v>
          </cell>
          <cell r="O12688"/>
          <cell r="T12688"/>
        </row>
        <row r="12689">
          <cell r="A12689" t="str">
            <v>RAYCAP</v>
          </cell>
          <cell r="B12689" t="str">
            <v>TME-DC2-48-60-0-9E</v>
          </cell>
          <cell r="O12689"/>
          <cell r="T12689"/>
        </row>
        <row r="12690">
          <cell r="A12690" t="str">
            <v>RAYCAP</v>
          </cell>
          <cell r="B12690" t="str">
            <v>TME-DC3-48-60-3-18G-01</v>
          </cell>
          <cell r="O12690"/>
          <cell r="T12690"/>
        </row>
        <row r="12691">
          <cell r="A12691" t="str">
            <v>RAYCAP</v>
          </cell>
          <cell r="B12691" t="str">
            <v>TME-DC4-48-60-8-20F</v>
          </cell>
          <cell r="O12691"/>
          <cell r="T12691"/>
        </row>
        <row r="12692">
          <cell r="A12692" t="str">
            <v>RAYCAP</v>
          </cell>
          <cell r="B12692" t="str">
            <v>TME-DC4-48-60-8-20F-00</v>
          </cell>
          <cell r="O12692"/>
          <cell r="T12692"/>
        </row>
        <row r="12693">
          <cell r="A12693" t="str">
            <v>RAYCAP</v>
          </cell>
          <cell r="B12693" t="str">
            <v>TME-DC6-48-60-0-1B-01</v>
          </cell>
          <cell r="O12693"/>
          <cell r="T12693"/>
        </row>
        <row r="12694">
          <cell r="A12694" t="str">
            <v>RAYCAP</v>
          </cell>
          <cell r="B12694" t="str">
            <v>TME-DC6-48-60-0-8C</v>
          </cell>
          <cell r="O12694"/>
          <cell r="T12694"/>
        </row>
        <row r="12695">
          <cell r="A12695" t="str">
            <v>RAYCAP</v>
          </cell>
          <cell r="B12695" t="str">
            <v>TME-DC6-48-60-0-8F</v>
          </cell>
          <cell r="O12695"/>
          <cell r="T12695"/>
        </row>
        <row r="12696">
          <cell r="A12696" t="str">
            <v>RAYCAP</v>
          </cell>
          <cell r="B12696" t="str">
            <v>TME-DC6-48-60-18-8C</v>
          </cell>
          <cell r="O12696"/>
          <cell r="T12696"/>
        </row>
        <row r="12697">
          <cell r="A12697" t="str">
            <v>RAYCAP</v>
          </cell>
          <cell r="B12697" t="str">
            <v>TME-DC6-48-60-18-8F</v>
          </cell>
          <cell r="O12697"/>
          <cell r="T12697"/>
        </row>
        <row r="12698">
          <cell r="A12698" t="str">
            <v>RAYCAP</v>
          </cell>
          <cell r="B12698" t="str">
            <v>TME-DC6-48-60-18-8F_CCIV2</v>
          </cell>
          <cell r="O12698"/>
          <cell r="T12698"/>
        </row>
        <row r="12699">
          <cell r="A12699" t="str">
            <v>RAYCAP</v>
          </cell>
          <cell r="B12699" t="str">
            <v>TME-DC9-48-60-24-8C-EV</v>
          </cell>
          <cell r="O12699"/>
          <cell r="T12699"/>
        </row>
        <row r="12700">
          <cell r="A12700" t="str">
            <v>RAYCAP</v>
          </cell>
          <cell r="B12700" t="str">
            <v>TME-DC9-48-60-24-8C-EV_CCIV2</v>
          </cell>
          <cell r="O12700"/>
          <cell r="T12700"/>
        </row>
        <row r="12701">
          <cell r="A12701" t="str">
            <v>RAYCAP</v>
          </cell>
          <cell r="B12701" t="str">
            <v>TME-FC12-PC6-10E</v>
          </cell>
          <cell r="O12701"/>
          <cell r="T12701"/>
        </row>
        <row r="12702">
          <cell r="A12702" t="str">
            <v>RAYCAP</v>
          </cell>
          <cell r="B12702" t="str">
            <v>TME-FC18-PC6-8F</v>
          </cell>
          <cell r="O12702"/>
          <cell r="T12702"/>
        </row>
        <row r="12703">
          <cell r="A12703" t="str">
            <v>RAYCAP</v>
          </cell>
          <cell r="B12703" t="str">
            <v>TME-RC2DC-3315-PF-48</v>
          </cell>
          <cell r="O12703"/>
          <cell r="T12703"/>
        </row>
        <row r="12704">
          <cell r="A12704" t="str">
            <v>RAYCAP</v>
          </cell>
          <cell r="B12704" t="str">
            <v>TME-RC3DC-3315-PF-48</v>
          </cell>
          <cell r="O12704"/>
          <cell r="T12704"/>
        </row>
        <row r="12705">
          <cell r="A12705" t="str">
            <v>RAYCAP</v>
          </cell>
          <cell r="B12705" t="str">
            <v>TME-RCMDC-3315-PF-48</v>
          </cell>
          <cell r="O12705"/>
          <cell r="T12705"/>
        </row>
        <row r="12706">
          <cell r="A12706" t="str">
            <v>RAYCAP</v>
          </cell>
          <cell r="B12706" t="str">
            <v>TME-RCMDC-3315V-PF-48</v>
          </cell>
          <cell r="O12706"/>
          <cell r="T12706"/>
        </row>
        <row r="12707">
          <cell r="A12707" t="str">
            <v>RAYCAP</v>
          </cell>
          <cell r="B12707" t="str">
            <v>TME-RCMDC-4750-PF-48</v>
          </cell>
          <cell r="O12707"/>
          <cell r="T12707"/>
        </row>
        <row r="12708">
          <cell r="A12708" t="str">
            <v>RAYCAP</v>
          </cell>
          <cell r="B12708" t="str">
            <v>TME-RHSDC-3315-PF-48</v>
          </cell>
          <cell r="O12708"/>
          <cell r="T12708"/>
        </row>
        <row r="12709">
          <cell r="A12709" t="str">
            <v>RAYCAP</v>
          </cell>
          <cell r="B12709" t="str">
            <v>TME-RNSDC-1906-PF-48</v>
          </cell>
          <cell r="O12709"/>
          <cell r="T12709"/>
        </row>
        <row r="12710">
          <cell r="A12710" t="str">
            <v>RAYCAP</v>
          </cell>
          <cell r="B12710" t="str">
            <v>TME-RNSNDC-7771-PF-48</v>
          </cell>
          <cell r="O12710"/>
          <cell r="T12710"/>
        </row>
        <row r="12711">
          <cell r="A12711" t="str">
            <v>RAYCAP</v>
          </cell>
          <cell r="B12711" t="str">
            <v>TME-RRFDC-1064-PF-48</v>
          </cell>
          <cell r="O12711"/>
          <cell r="T12711"/>
        </row>
        <row r="12712">
          <cell r="A12712" t="str">
            <v>RAYCAP</v>
          </cell>
          <cell r="B12712" t="str">
            <v>TME-RRFDC-3315-PF-48</v>
          </cell>
          <cell r="O12712"/>
          <cell r="T12712"/>
        </row>
        <row r="12713">
          <cell r="A12713" t="str">
            <v>RAYCAP</v>
          </cell>
          <cell r="B12713" t="str">
            <v>TME-RRODC-3315-PF-48</v>
          </cell>
          <cell r="O12713"/>
          <cell r="T12713"/>
        </row>
        <row r="12714">
          <cell r="A12714" t="str">
            <v>RAYCAP</v>
          </cell>
          <cell r="B12714" t="str">
            <v>TME-RSTAC-7124-P-120</v>
          </cell>
          <cell r="O12714"/>
          <cell r="T12714"/>
        </row>
        <row r="12715">
          <cell r="A12715" t="str">
            <v>RAYCAP</v>
          </cell>
          <cell r="B12715" t="str">
            <v>TME-RUSDC-6267-PF-48</v>
          </cell>
          <cell r="O12715"/>
          <cell r="T12715"/>
        </row>
        <row r="12716">
          <cell r="A12716" t="str">
            <v>RAYCAP</v>
          </cell>
          <cell r="B12716" t="str">
            <v>TME-RVZDC-3315-PF-48</v>
          </cell>
          <cell r="O12716"/>
          <cell r="T12716"/>
        </row>
        <row r="12717">
          <cell r="A12717" t="str">
            <v>RAYCAP</v>
          </cell>
          <cell r="B12717" t="str">
            <v>TME-RVZDC-6627-PF-48</v>
          </cell>
          <cell r="O12717"/>
          <cell r="T12717"/>
        </row>
        <row r="12718">
          <cell r="A12718" t="str">
            <v>RAYCAP</v>
          </cell>
          <cell r="B12718" t="str">
            <v>TME-RXXDC-1064-PF-48</v>
          </cell>
          <cell r="O12718"/>
          <cell r="T12718"/>
        </row>
        <row r="12719">
          <cell r="A12719" t="str">
            <v>RAYCAP</v>
          </cell>
          <cell r="B12719" t="str">
            <v>TME-RXXDC-3103-PF-48</v>
          </cell>
          <cell r="O12719"/>
          <cell r="T12719"/>
        </row>
        <row r="12720">
          <cell r="A12720" t="str">
            <v>RAYCAP</v>
          </cell>
          <cell r="B12720" t="str">
            <v>TME-RXXDC-3315-PF-48</v>
          </cell>
          <cell r="O12720"/>
          <cell r="T12720"/>
        </row>
        <row r="12721">
          <cell r="A12721" t="str">
            <v>RAYCAP</v>
          </cell>
          <cell r="B12721" t="str">
            <v>TME-RXXDC-4750-PF-48</v>
          </cell>
          <cell r="O12721"/>
          <cell r="T12721"/>
        </row>
        <row r="12722">
          <cell r="A12722" t="str">
            <v>RAYTHEON</v>
          </cell>
          <cell r="B12722" t="str">
            <v>CONNECTOR PLATE_1x5</v>
          </cell>
          <cell r="O12722"/>
          <cell r="T12722"/>
        </row>
        <row r="12723">
          <cell r="A12723" t="str">
            <v>RAYTHEON</v>
          </cell>
          <cell r="B12723" t="str">
            <v>G432082-1</v>
          </cell>
          <cell r="O12723"/>
          <cell r="T12723"/>
        </row>
        <row r="12724">
          <cell r="A12724" t="str">
            <v>REDLINE</v>
          </cell>
          <cell r="B12724" t="str">
            <v>48-00070-00</v>
          </cell>
          <cell r="O12724"/>
          <cell r="T12724"/>
        </row>
        <row r="12725">
          <cell r="A12725" t="str">
            <v>REDLINE</v>
          </cell>
          <cell r="B12725" t="str">
            <v>A12015EAS</v>
          </cell>
          <cell r="O12725"/>
          <cell r="T12725"/>
        </row>
        <row r="12726">
          <cell r="A12726" t="str">
            <v>REDLINE</v>
          </cell>
          <cell r="B12726" t="str">
            <v>A1490MTS</v>
          </cell>
          <cell r="O12726"/>
          <cell r="T12726"/>
        </row>
        <row r="12727">
          <cell r="A12727" t="str">
            <v>REDLINE</v>
          </cell>
          <cell r="B12727" t="str">
            <v>A2308MFD</v>
          </cell>
          <cell r="O12727"/>
          <cell r="T12727"/>
        </row>
        <row r="12728">
          <cell r="A12728" t="str">
            <v>REDLINE</v>
          </cell>
          <cell r="B12728" t="str">
            <v>A2804MTF</v>
          </cell>
          <cell r="O12728"/>
          <cell r="T12728"/>
        </row>
        <row r="12729">
          <cell r="A12729" t="str">
            <v>REDLINE</v>
          </cell>
          <cell r="B12729" t="str">
            <v>A2804MTFW</v>
          </cell>
          <cell r="O12729"/>
          <cell r="T12729"/>
        </row>
        <row r="12730">
          <cell r="A12730" t="str">
            <v>REDLINE</v>
          </cell>
          <cell r="B12730" t="str">
            <v>A2906PWP</v>
          </cell>
          <cell r="O12730"/>
          <cell r="T12730"/>
        </row>
        <row r="12731">
          <cell r="A12731" t="str">
            <v>REDLINE</v>
          </cell>
          <cell r="B12731" t="str">
            <v>A3104RWP</v>
          </cell>
          <cell r="O12731"/>
          <cell r="T12731"/>
        </row>
        <row r="12732">
          <cell r="A12732" t="str">
            <v>REDLINE</v>
          </cell>
          <cell r="B12732" t="str">
            <v>A3204PWP</v>
          </cell>
          <cell r="O12732"/>
          <cell r="T12732"/>
        </row>
        <row r="12733">
          <cell r="A12733" t="str">
            <v>REDLINE</v>
          </cell>
          <cell r="B12733" t="str">
            <v>A6017EAS</v>
          </cell>
          <cell r="O12733"/>
          <cell r="T12733"/>
        </row>
        <row r="12734">
          <cell r="A12734" t="str">
            <v>REDLINE</v>
          </cell>
          <cell r="B12734" t="str">
            <v>A9016EAS</v>
          </cell>
          <cell r="O12734"/>
          <cell r="T12734"/>
        </row>
        <row r="12735">
          <cell r="A12735" t="str">
            <v>REDLINE</v>
          </cell>
          <cell r="B12735" t="str">
            <v>AFS-DBG-0590-01</v>
          </cell>
          <cell r="O12735"/>
          <cell r="T12735"/>
        </row>
        <row r="12736">
          <cell r="A12736" t="str">
            <v>REDLINE</v>
          </cell>
          <cell r="B12736" t="str">
            <v>AN-50</v>
          </cell>
          <cell r="O12736"/>
          <cell r="T12736"/>
        </row>
        <row r="12737">
          <cell r="A12737" t="str">
            <v>REDLINE</v>
          </cell>
          <cell r="B12737" t="str">
            <v>PA14120EAS</v>
          </cell>
          <cell r="O12737"/>
          <cell r="T12737"/>
        </row>
        <row r="12738">
          <cell r="A12738" t="str">
            <v>REDLINE</v>
          </cell>
          <cell r="B12738" t="str">
            <v>TME-AN-80i</v>
          </cell>
          <cell r="O12738"/>
          <cell r="T12738"/>
        </row>
        <row r="12739">
          <cell r="A12739" t="str">
            <v>REDLINE COMMUNICATIONS</v>
          </cell>
          <cell r="B12739" t="str">
            <v>A2FT2906LTPD</v>
          </cell>
          <cell r="O12739"/>
          <cell r="T12739"/>
        </row>
        <row r="12740">
          <cell r="A12740" t="str">
            <v>REDLINE COMMUNICATIONS</v>
          </cell>
          <cell r="B12740" t="str">
            <v>AFS-DBG-03120-01</v>
          </cell>
          <cell r="O12740"/>
          <cell r="T12740"/>
        </row>
        <row r="12741">
          <cell r="A12741" t="str">
            <v>REDLINE COMMUNICATIONS</v>
          </cell>
          <cell r="B12741" t="str">
            <v>AFS-DBG-0360-01</v>
          </cell>
          <cell r="O12741"/>
          <cell r="T12741"/>
        </row>
        <row r="12742">
          <cell r="A12742" t="str">
            <v>REDLINE COMMUNICATIONS</v>
          </cell>
          <cell r="B12742" t="str">
            <v>AFS-DBG-0390-01</v>
          </cell>
          <cell r="O12742"/>
          <cell r="T12742"/>
        </row>
        <row r="12743">
          <cell r="A12743" t="str">
            <v>REDLINE COMMUNICATIONS</v>
          </cell>
          <cell r="B12743" t="str">
            <v>AFS-DBG-60090-01</v>
          </cell>
          <cell r="O12743"/>
          <cell r="T12743"/>
        </row>
        <row r="12744">
          <cell r="A12744" t="str">
            <v>REDLINE COMMUNICATIONS</v>
          </cell>
          <cell r="B12744" t="str">
            <v>TME-RDL-3000 ELLIPSE</v>
          </cell>
          <cell r="O12744"/>
          <cell r="T12744"/>
        </row>
        <row r="12745">
          <cell r="A12745" t="str">
            <v>REMEC</v>
          </cell>
          <cell r="B12745" t="str">
            <v>AMHV2510-90N</v>
          </cell>
          <cell r="O12745"/>
          <cell r="T12745"/>
        </row>
        <row r="12746">
          <cell r="A12746" t="str">
            <v>REPEATER TECHNOLOGIES</v>
          </cell>
          <cell r="B12746" t="str">
            <v>AO1900C-NR</v>
          </cell>
          <cell r="O12746"/>
          <cell r="T12746"/>
        </row>
        <row r="12747">
          <cell r="A12747" t="str">
            <v>REPEATER TECHNOLOGIES</v>
          </cell>
          <cell r="B12747" t="str">
            <v>DA1900-39</v>
          </cell>
          <cell r="O12747"/>
          <cell r="T12747"/>
        </row>
        <row r="12748">
          <cell r="A12748" t="str">
            <v>RF COMMUNICATIONS LLC</v>
          </cell>
          <cell r="B12748" t="str">
            <v>RFCM-1135UH06WDxx</v>
          </cell>
          <cell r="O12748"/>
          <cell r="T12748"/>
        </row>
        <row r="12749">
          <cell r="A12749" t="str">
            <v>RF ELEMENTS</v>
          </cell>
          <cell r="B12749" t="str">
            <v>AH2030-TP</v>
          </cell>
          <cell r="O12749"/>
          <cell r="T12749"/>
        </row>
        <row r="12750">
          <cell r="A12750" t="str">
            <v>RF ELEMENTS</v>
          </cell>
          <cell r="B12750" t="str">
            <v>AH30-CC</v>
          </cell>
          <cell r="O12750"/>
          <cell r="T12750"/>
        </row>
        <row r="12751">
          <cell r="A12751" t="str">
            <v>RF ELEMENTS</v>
          </cell>
          <cell r="B12751" t="str">
            <v>AH60-TP</v>
          </cell>
          <cell r="O12751"/>
          <cell r="T12751"/>
        </row>
        <row r="12752">
          <cell r="A12752" t="str">
            <v>RF ELEMENTS</v>
          </cell>
          <cell r="B12752" t="str">
            <v>AH90-TP</v>
          </cell>
          <cell r="O12752"/>
          <cell r="T12752"/>
        </row>
        <row r="12753">
          <cell r="A12753" t="str">
            <v>RF ELEMENTS</v>
          </cell>
          <cell r="B12753" t="str">
            <v>AS-5-20</v>
          </cell>
          <cell r="O12753"/>
          <cell r="T12753"/>
        </row>
        <row r="12754">
          <cell r="A12754" t="str">
            <v>RF ELEMENTS</v>
          </cell>
          <cell r="B12754" t="str">
            <v>HG-TP-S40</v>
          </cell>
          <cell r="O12754"/>
          <cell r="T12754"/>
        </row>
        <row r="12755">
          <cell r="A12755" t="str">
            <v>RF ELEMENTS</v>
          </cell>
          <cell r="B12755" t="str">
            <v>HG3-CC-A20</v>
          </cell>
          <cell r="O12755"/>
          <cell r="T12755"/>
        </row>
        <row r="12756">
          <cell r="A12756" t="str">
            <v>RF ELEMENTS</v>
          </cell>
          <cell r="B12756" t="str">
            <v>HG3-CC-A30</v>
          </cell>
          <cell r="O12756"/>
          <cell r="T12756"/>
        </row>
        <row r="12757">
          <cell r="A12757" t="str">
            <v>RF ELEMENTS</v>
          </cell>
          <cell r="B12757" t="str">
            <v>HG3-CC-A60</v>
          </cell>
          <cell r="O12757"/>
          <cell r="T12757"/>
        </row>
        <row r="12758">
          <cell r="A12758" t="str">
            <v>RF ELEMENTS</v>
          </cell>
          <cell r="B12758" t="str">
            <v>HG3-CC-A60-V2</v>
          </cell>
          <cell r="O12758"/>
          <cell r="T12758"/>
        </row>
        <row r="12759">
          <cell r="A12759" t="str">
            <v>RF ELEMENTS</v>
          </cell>
          <cell r="B12759" t="str">
            <v>HG3-CC-A90</v>
          </cell>
          <cell r="O12759"/>
          <cell r="T12759"/>
        </row>
        <row r="12760">
          <cell r="A12760" t="str">
            <v>RF ELEMENTS</v>
          </cell>
          <cell r="B12760" t="str">
            <v>HG3-CC-A90-V2</v>
          </cell>
          <cell r="O12760"/>
          <cell r="T12760"/>
        </row>
        <row r="12761">
          <cell r="A12761" t="str">
            <v>RF ELEMENTS</v>
          </cell>
          <cell r="B12761" t="str">
            <v>HG3-CC-S50</v>
          </cell>
          <cell r="O12761"/>
          <cell r="T12761"/>
        </row>
        <row r="12762">
          <cell r="A12762" t="str">
            <v>RF ELEMENTS</v>
          </cell>
          <cell r="B12762" t="str">
            <v>HG3-TP-A20-30</v>
          </cell>
          <cell r="O12762"/>
          <cell r="T12762"/>
        </row>
        <row r="12763">
          <cell r="A12763" t="str">
            <v>RF ELEMENTS</v>
          </cell>
          <cell r="B12763" t="str">
            <v>HG3-TP-A30</v>
          </cell>
          <cell r="O12763"/>
          <cell r="T12763"/>
        </row>
        <row r="12764">
          <cell r="A12764" t="str">
            <v>RF ELEMENTS</v>
          </cell>
          <cell r="B12764" t="str">
            <v>HG3-TP-A60</v>
          </cell>
          <cell r="O12764"/>
          <cell r="T12764"/>
        </row>
        <row r="12765">
          <cell r="A12765" t="str">
            <v>RF ELEMENTS</v>
          </cell>
          <cell r="B12765" t="str">
            <v>HG3-TP-A60-V2</v>
          </cell>
          <cell r="O12765"/>
          <cell r="T12765"/>
        </row>
        <row r="12766">
          <cell r="A12766" t="str">
            <v>RF ELEMENTS</v>
          </cell>
          <cell r="B12766" t="str">
            <v>HG3-TP-A90</v>
          </cell>
          <cell r="O12766"/>
          <cell r="T12766"/>
        </row>
        <row r="12767">
          <cell r="A12767" t="str">
            <v>RF ELEMENTS</v>
          </cell>
          <cell r="B12767" t="str">
            <v>HG3-TP-S30</v>
          </cell>
          <cell r="O12767"/>
          <cell r="T12767"/>
        </row>
        <row r="12768">
          <cell r="A12768" t="str">
            <v>RF ELEMENTS</v>
          </cell>
          <cell r="B12768" t="str">
            <v>HG3-TP-S40</v>
          </cell>
          <cell r="O12768"/>
          <cell r="T12768"/>
        </row>
        <row r="12769">
          <cell r="A12769" t="str">
            <v>RF ELEMENTS</v>
          </cell>
          <cell r="B12769" t="str">
            <v>HG3-TP-S50</v>
          </cell>
          <cell r="O12769"/>
          <cell r="T12769"/>
        </row>
        <row r="12770">
          <cell r="A12770" t="str">
            <v>RF ELEMENTS</v>
          </cell>
          <cell r="B12770" t="str">
            <v>HG3-TP-S60</v>
          </cell>
          <cell r="O12770"/>
          <cell r="T12770"/>
        </row>
        <row r="12771">
          <cell r="A12771" t="str">
            <v>RF ELEMENTS</v>
          </cell>
          <cell r="B12771" t="str">
            <v>HG3-TP-S70</v>
          </cell>
          <cell r="O12771"/>
          <cell r="T12771"/>
        </row>
        <row r="12772">
          <cell r="A12772" t="str">
            <v>RF ELEMENTS</v>
          </cell>
          <cell r="B12772" t="str">
            <v>HG3-TP-S90</v>
          </cell>
          <cell r="O12772"/>
          <cell r="T12772"/>
        </row>
        <row r="12773">
          <cell r="A12773" t="str">
            <v>RF ELEMENTS</v>
          </cell>
          <cell r="B12773" t="str">
            <v>RFMA-1135UH06WSxx</v>
          </cell>
          <cell r="O12773"/>
          <cell r="T12773"/>
        </row>
        <row r="12774">
          <cell r="A12774" t="str">
            <v>RF ELEMENTS</v>
          </cell>
          <cell r="B12774" t="str">
            <v>SH-CC 5-30</v>
          </cell>
          <cell r="O12774"/>
          <cell r="T12774"/>
        </row>
        <row r="12775">
          <cell r="A12775" t="str">
            <v>RF ELEMENTS</v>
          </cell>
          <cell r="B12775" t="str">
            <v>SH-CC 5-90</v>
          </cell>
          <cell r="O12775"/>
          <cell r="T12775"/>
        </row>
        <row r="12776">
          <cell r="A12776" t="str">
            <v>RF ELEMENTS</v>
          </cell>
          <cell r="B12776" t="str">
            <v>SH-TP 5-30</v>
          </cell>
          <cell r="O12776"/>
          <cell r="T12776"/>
        </row>
        <row r="12777">
          <cell r="A12777" t="str">
            <v>RF ELEMENTS</v>
          </cell>
          <cell r="B12777" t="str">
            <v>SH-TP 5-90</v>
          </cell>
          <cell r="O12777"/>
          <cell r="T12777"/>
        </row>
        <row r="12778">
          <cell r="A12778" t="str">
            <v>RF ELEMENTS</v>
          </cell>
          <cell r="B12778" t="str">
            <v>UD-TP-24</v>
          </cell>
          <cell r="O12778"/>
          <cell r="T12778"/>
        </row>
        <row r="12779">
          <cell r="A12779" t="str">
            <v>RF ELEMENTS</v>
          </cell>
          <cell r="B12779" t="str">
            <v>UH-CC-5-24</v>
          </cell>
          <cell r="O12779"/>
          <cell r="T12779"/>
        </row>
        <row r="12780">
          <cell r="A12780" t="str">
            <v>RF ELEMENTS</v>
          </cell>
          <cell r="B12780" t="str">
            <v>UH-TP-5-24</v>
          </cell>
          <cell r="O12780"/>
          <cell r="T12780"/>
        </row>
        <row r="12781">
          <cell r="A12781" t="str">
            <v>RF ELEMENTS</v>
          </cell>
          <cell r="B12781" t="str">
            <v>ULD-TP-400</v>
          </cell>
          <cell r="O12781"/>
          <cell r="T12781"/>
        </row>
        <row r="12782">
          <cell r="A12782" t="str">
            <v>RF ELEMENTS</v>
          </cell>
          <cell r="B12782" t="str">
            <v>ULD-TP-550</v>
          </cell>
          <cell r="O12782"/>
          <cell r="T12782"/>
        </row>
        <row r="12783">
          <cell r="A12783" t="str">
            <v>RF ENGINEERING AND ENERGY RESOURCE</v>
          </cell>
          <cell r="B12783" t="str">
            <v>RFMA-1135UH06WSXX</v>
          </cell>
          <cell r="O12783"/>
          <cell r="T12783"/>
        </row>
        <row r="12784">
          <cell r="A12784" t="str">
            <v>RF ENGINEERING AND ENERGY RESOURCE</v>
          </cell>
          <cell r="B12784" t="str">
            <v>RFMA-1138UH09WDXX</v>
          </cell>
          <cell r="O12784"/>
          <cell r="T12784"/>
        </row>
        <row r="12785">
          <cell r="A12785" t="str">
            <v>RF ENGINEERING AND ENERGY RESOURCE</v>
          </cell>
          <cell r="B12785" t="str">
            <v>RFMA-1835UH03SXX</v>
          </cell>
          <cell r="O12785"/>
          <cell r="T12785"/>
        </row>
        <row r="12786">
          <cell r="A12786" t="str">
            <v>RF ENGINEERING AND ENERGY RESOURCE</v>
          </cell>
          <cell r="B12786" t="str">
            <v>RFMA-1839UH06SXX</v>
          </cell>
          <cell r="O12786"/>
          <cell r="T12786"/>
        </row>
        <row r="12787">
          <cell r="A12787" t="str">
            <v>RF ENGINEERING AND ENERGY RESOURCE</v>
          </cell>
          <cell r="B12787" t="str">
            <v>RFMA-1839UH06Sxx_CCIV2</v>
          </cell>
          <cell r="O12787"/>
          <cell r="T12787"/>
        </row>
        <row r="12788">
          <cell r="A12788" t="str">
            <v>RF ENGINEERING AND ENERGY RESOURCE</v>
          </cell>
          <cell r="B12788" t="str">
            <v>RFMA-1842UH09DXX</v>
          </cell>
          <cell r="O12788"/>
          <cell r="T12788"/>
        </row>
        <row r="12789">
          <cell r="A12789" t="str">
            <v>RF ENGINEERING AND ENERGY RESOURCE</v>
          </cell>
          <cell r="B12789" t="str">
            <v>RFMA-1845UH1.2SXX</v>
          </cell>
          <cell r="O12789"/>
          <cell r="T12789"/>
        </row>
        <row r="12790">
          <cell r="A12790" t="str">
            <v>RF ENGINEERING AND ENERGY RESOURCE</v>
          </cell>
          <cell r="B12790" t="str">
            <v>RFTA-4958-27D</v>
          </cell>
          <cell r="O12790"/>
          <cell r="T12790"/>
        </row>
        <row r="12791">
          <cell r="A12791" t="str">
            <v>RF ENGINEERING AND ENERGY RESOURCE</v>
          </cell>
          <cell r="B12791" t="str">
            <v>RMA-1135UH06WSxx</v>
          </cell>
          <cell r="O12791"/>
          <cell r="T12791"/>
        </row>
        <row r="12792">
          <cell r="A12792" t="str">
            <v>RF TECHNOLOGIES</v>
          </cell>
          <cell r="B12792" t="str">
            <v>CS-2030-5771-14</v>
          </cell>
          <cell r="O12792"/>
          <cell r="T12792"/>
        </row>
        <row r="12793">
          <cell r="A12793" t="str">
            <v>RF TECHNOLOGIES</v>
          </cell>
          <cell r="B12793" t="str">
            <v>RFSD-60C</v>
          </cell>
          <cell r="O12793"/>
          <cell r="T12793"/>
        </row>
        <row r="12794">
          <cell r="A12794" t="str">
            <v>RF TECHNOLOGIES</v>
          </cell>
          <cell r="B12794" t="str">
            <v>SFN-2070-03-18</v>
          </cell>
          <cell r="O12794"/>
          <cell r="T12794"/>
        </row>
        <row r="12795">
          <cell r="A12795" t="str">
            <v>RFI AMERICAS</v>
          </cell>
          <cell r="B12795" t="str">
            <v>0A80-67-DIN</v>
          </cell>
          <cell r="O12795"/>
          <cell r="T12795"/>
        </row>
        <row r="12796">
          <cell r="A12796" t="str">
            <v>RFI AMERICAS</v>
          </cell>
          <cell r="B12796" t="str">
            <v>CC450-06</v>
          </cell>
          <cell r="O12796"/>
          <cell r="T12796"/>
        </row>
        <row r="12797">
          <cell r="A12797" t="str">
            <v>RFI AMERICAS</v>
          </cell>
          <cell r="B12797" t="str">
            <v>COL54-155</v>
          </cell>
          <cell r="O12797"/>
          <cell r="T12797"/>
        </row>
        <row r="12798">
          <cell r="A12798" t="str">
            <v>RFI AMERICAS</v>
          </cell>
          <cell r="B12798" t="str">
            <v>EA40-67-DIN</v>
          </cell>
          <cell r="O12798"/>
          <cell r="T12798"/>
        </row>
        <row r="12799">
          <cell r="A12799" t="str">
            <v>RFI AMERICAS</v>
          </cell>
          <cell r="B12799" t="str">
            <v>EA80-67-DIN</v>
          </cell>
          <cell r="O12799"/>
          <cell r="T12799"/>
        </row>
        <row r="12800">
          <cell r="A12800" t="str">
            <v>RFI AMERICAS</v>
          </cell>
          <cell r="B12800" t="str">
            <v>OA-80-67</v>
          </cell>
          <cell r="O12800"/>
          <cell r="T12800"/>
        </row>
        <row r="12801">
          <cell r="A12801" t="str">
            <v>RFI AMERICAS</v>
          </cell>
          <cell r="B12801" t="str">
            <v>OA20-41-DIN</v>
          </cell>
          <cell r="O12801"/>
          <cell r="T12801"/>
        </row>
        <row r="12802">
          <cell r="A12802" t="str">
            <v>RFI AMERICAS</v>
          </cell>
          <cell r="B12802" t="str">
            <v>OA40-41-DIN</v>
          </cell>
          <cell r="O12802"/>
          <cell r="T12802"/>
        </row>
        <row r="12803">
          <cell r="A12803" t="str">
            <v>RFI ANTENNAS</v>
          </cell>
          <cell r="B12803" t="str">
            <v>BA160-67-DIN</v>
          </cell>
          <cell r="O12803"/>
          <cell r="T12803"/>
        </row>
        <row r="12804">
          <cell r="A12804" t="str">
            <v>RFI ANTENNAS</v>
          </cell>
          <cell r="B12804" t="str">
            <v>BA40-41-DIN</v>
          </cell>
          <cell r="O12804"/>
          <cell r="T12804"/>
        </row>
        <row r="12805">
          <cell r="A12805" t="str">
            <v>RFI ANTENNAS</v>
          </cell>
          <cell r="B12805" t="str">
            <v>BA40-67-DIN</v>
          </cell>
          <cell r="O12805"/>
          <cell r="T12805"/>
        </row>
        <row r="12806">
          <cell r="A12806" t="str">
            <v>RFI ANTENNAS</v>
          </cell>
          <cell r="B12806" t="str">
            <v>BA4040-41-DIN</v>
          </cell>
          <cell r="O12806"/>
          <cell r="T12806"/>
        </row>
        <row r="12807">
          <cell r="A12807" t="str">
            <v>RFI ANTENNAS</v>
          </cell>
          <cell r="B12807" t="str">
            <v>BA4040-67-DIN</v>
          </cell>
          <cell r="O12807"/>
          <cell r="T12807"/>
        </row>
        <row r="12808">
          <cell r="A12808" t="str">
            <v>RFI ANTENNAS</v>
          </cell>
          <cell r="B12808" t="str">
            <v>BA80-41-DIN</v>
          </cell>
          <cell r="O12808"/>
          <cell r="T12808"/>
        </row>
        <row r="12809">
          <cell r="A12809" t="str">
            <v>RFI ANTENNAS</v>
          </cell>
          <cell r="B12809" t="str">
            <v>BA80-57-DIN</v>
          </cell>
          <cell r="O12809"/>
          <cell r="T12809"/>
        </row>
        <row r="12810">
          <cell r="A12810" t="str">
            <v>RFI ANTENNAS</v>
          </cell>
          <cell r="B12810" t="str">
            <v>BA80-67</v>
          </cell>
          <cell r="O12810"/>
          <cell r="T12810"/>
        </row>
        <row r="12811">
          <cell r="A12811" t="str">
            <v>RFI ANTENNAS</v>
          </cell>
          <cell r="B12811" t="str">
            <v>BA8080-67-DIN</v>
          </cell>
          <cell r="O12811"/>
          <cell r="T12811"/>
        </row>
        <row r="12812">
          <cell r="A12812" t="str">
            <v>RFI ANTENNAS</v>
          </cell>
          <cell r="B12812" t="str">
            <v>BMV-148174</v>
          </cell>
          <cell r="O12812"/>
          <cell r="T12812"/>
        </row>
        <row r="12813">
          <cell r="A12813" t="str">
            <v>RFI ANTENNAS</v>
          </cell>
          <cell r="B12813" t="str">
            <v>BPA3843-65-8</v>
          </cell>
          <cell r="O12813">
            <v>4.7866444830246895</v>
          </cell>
          <cell r="T12813">
            <v>1.7107682465745198</v>
          </cell>
        </row>
        <row r="12814">
          <cell r="A12814" t="str">
            <v>RFI ANTENNAS</v>
          </cell>
          <cell r="B12814" t="str">
            <v>BPA7496-120-12</v>
          </cell>
          <cell r="O12814">
            <v>4.9368600501543192</v>
          </cell>
          <cell r="T12814">
            <v>2.7073688245952399</v>
          </cell>
        </row>
        <row r="12815">
          <cell r="A12815" t="str">
            <v>RFI ANTENNAS</v>
          </cell>
          <cell r="B12815" t="str">
            <v>BPA7496-180-11</v>
          </cell>
          <cell r="O12815">
            <v>4.9368600501543192</v>
          </cell>
          <cell r="T12815">
            <v>2.7073688245952399</v>
          </cell>
        </row>
        <row r="12816">
          <cell r="A12816" t="str">
            <v>RFI ANTENNAS</v>
          </cell>
          <cell r="B12816" t="str">
            <v>BPA7496-60-13</v>
          </cell>
          <cell r="O12816"/>
          <cell r="T12816"/>
        </row>
        <row r="12817">
          <cell r="A12817" t="str">
            <v>RFI ANTENNAS</v>
          </cell>
          <cell r="B12817" t="str">
            <v>CC45006</v>
          </cell>
          <cell r="O12817"/>
          <cell r="T12817"/>
        </row>
        <row r="12818">
          <cell r="A12818" t="str">
            <v>RFI ANTENNAS</v>
          </cell>
          <cell r="B12818" t="str">
            <v>CC45009</v>
          </cell>
          <cell r="O12818"/>
          <cell r="T12818"/>
        </row>
        <row r="12819">
          <cell r="A12819" t="str">
            <v>RFI ANTENNAS</v>
          </cell>
          <cell r="B12819" t="str">
            <v>CC807-03</v>
          </cell>
          <cell r="O12819"/>
          <cell r="T12819"/>
        </row>
        <row r="12820">
          <cell r="A12820" t="str">
            <v>RFI ANTENNAS</v>
          </cell>
          <cell r="B12820" t="str">
            <v>CC807-06</v>
          </cell>
          <cell r="O12820"/>
          <cell r="T12820"/>
        </row>
        <row r="12821">
          <cell r="A12821" t="str">
            <v>RFI ANTENNAS</v>
          </cell>
          <cell r="B12821" t="str">
            <v>CC807-08</v>
          </cell>
          <cell r="O12821"/>
          <cell r="T12821"/>
        </row>
        <row r="12822">
          <cell r="A12822" t="str">
            <v>RFI ANTENNAS</v>
          </cell>
          <cell r="B12822" t="str">
            <v>CC807-11</v>
          </cell>
          <cell r="O12822"/>
          <cell r="T12822"/>
        </row>
        <row r="12823">
          <cell r="A12823" t="str">
            <v>RFI ANTENNAS</v>
          </cell>
          <cell r="B12823" t="str">
            <v>COL410-70</v>
          </cell>
          <cell r="O12823"/>
          <cell r="T12823"/>
        </row>
        <row r="12824">
          <cell r="A12824" t="str">
            <v>RFI ANTENNAS</v>
          </cell>
          <cell r="B12824" t="str">
            <v>COL43-420</v>
          </cell>
          <cell r="O12824"/>
          <cell r="T12824"/>
        </row>
        <row r="12825">
          <cell r="A12825" t="str">
            <v>RFI ANTENNAS</v>
          </cell>
          <cell r="B12825" t="str">
            <v>COL43-470</v>
          </cell>
          <cell r="O12825"/>
          <cell r="T12825"/>
        </row>
        <row r="12826">
          <cell r="A12826" t="str">
            <v>RFI ANTENNAS</v>
          </cell>
          <cell r="B12826" t="str">
            <v>COL45-420</v>
          </cell>
          <cell r="O12826"/>
          <cell r="T12826"/>
        </row>
        <row r="12827">
          <cell r="A12827" t="str">
            <v>RFI ANTENNAS</v>
          </cell>
          <cell r="B12827" t="str">
            <v>COL45-70</v>
          </cell>
          <cell r="O12827"/>
          <cell r="T12827"/>
        </row>
        <row r="12828">
          <cell r="A12828" t="str">
            <v>RFI ANTENNAS</v>
          </cell>
          <cell r="B12828" t="str">
            <v>COL51160</v>
          </cell>
          <cell r="O12828"/>
          <cell r="T12828"/>
        </row>
        <row r="12829">
          <cell r="A12829" t="str">
            <v>RFI ANTENNAS</v>
          </cell>
          <cell r="B12829" t="str">
            <v>COL53-160</v>
          </cell>
          <cell r="O12829"/>
          <cell r="T12829"/>
        </row>
        <row r="12830">
          <cell r="A12830" t="str">
            <v>RFI ANTENNAS</v>
          </cell>
          <cell r="B12830" t="str">
            <v>COL54-160</v>
          </cell>
          <cell r="O12830"/>
          <cell r="T12830"/>
        </row>
        <row r="12831">
          <cell r="A12831" t="str">
            <v>RFI ANTENNAS</v>
          </cell>
          <cell r="B12831" t="str">
            <v>COL54-166</v>
          </cell>
          <cell r="O12831"/>
          <cell r="T12831"/>
        </row>
        <row r="12832">
          <cell r="A12832" t="str">
            <v>RFI ANTENNAS</v>
          </cell>
          <cell r="B12832" t="str">
            <v>COL54-174</v>
          </cell>
          <cell r="O12832"/>
          <cell r="T12832"/>
        </row>
        <row r="12833">
          <cell r="A12833" t="str">
            <v>RFI ANTENNAS</v>
          </cell>
          <cell r="B12833" t="str">
            <v>COL85-870</v>
          </cell>
          <cell r="O12833"/>
          <cell r="T12833"/>
        </row>
        <row r="12834">
          <cell r="A12834" t="str">
            <v>RFI ANTENNAS</v>
          </cell>
          <cell r="B12834" t="str">
            <v>CSA10-67-DIN</v>
          </cell>
          <cell r="O12834"/>
          <cell r="T12834"/>
        </row>
        <row r="12835">
          <cell r="A12835" t="str">
            <v>RFI ANTENNAS</v>
          </cell>
          <cell r="B12835" t="str">
            <v>CSA40-67-DIN</v>
          </cell>
          <cell r="O12835"/>
          <cell r="T12835"/>
        </row>
        <row r="12836">
          <cell r="A12836" t="str">
            <v>RFI ANTENNAS</v>
          </cell>
          <cell r="B12836" t="str">
            <v>EA40-41</v>
          </cell>
          <cell r="O12836"/>
          <cell r="T12836"/>
        </row>
        <row r="12837">
          <cell r="A12837" t="str">
            <v>RFI ANTENNAS</v>
          </cell>
          <cell r="B12837" t="str">
            <v>EA40-41_CCIV2</v>
          </cell>
          <cell r="O12837"/>
          <cell r="T12837"/>
        </row>
        <row r="12838">
          <cell r="A12838" t="str">
            <v>RFI ANTENNAS</v>
          </cell>
          <cell r="B12838" t="str">
            <v>FSA10-41-DIN</v>
          </cell>
          <cell r="O12838"/>
          <cell r="T12838"/>
        </row>
        <row r="12839">
          <cell r="A12839" t="str">
            <v>RFI ANTENNAS</v>
          </cell>
          <cell r="B12839" t="str">
            <v>FSA10-67-DIN</v>
          </cell>
          <cell r="O12839"/>
          <cell r="T12839"/>
        </row>
        <row r="12840">
          <cell r="A12840" t="str">
            <v>RFI ANTENNAS</v>
          </cell>
          <cell r="B12840" t="str">
            <v>FSA20-41-DIN</v>
          </cell>
          <cell r="O12840"/>
          <cell r="T12840"/>
        </row>
        <row r="12841">
          <cell r="A12841" t="str">
            <v>RFI ANTENNAS</v>
          </cell>
          <cell r="B12841" t="str">
            <v>FSA40-67-DIN</v>
          </cell>
          <cell r="O12841"/>
          <cell r="T12841"/>
        </row>
        <row r="12842">
          <cell r="A12842" t="str">
            <v>RFI ANTENNAS</v>
          </cell>
          <cell r="B12842" t="str">
            <v>OA20-41-DIN</v>
          </cell>
          <cell r="O12842"/>
          <cell r="T12842"/>
        </row>
        <row r="12843">
          <cell r="A12843" t="str">
            <v>RFI ANTENNAS</v>
          </cell>
          <cell r="B12843" t="str">
            <v>OA20-67-DIN</v>
          </cell>
          <cell r="O12843"/>
          <cell r="T12843"/>
        </row>
        <row r="12844">
          <cell r="A12844" t="str">
            <v>RFI ANTENNAS</v>
          </cell>
          <cell r="B12844" t="str">
            <v>OA40-41</v>
          </cell>
          <cell r="O12844"/>
          <cell r="T12844"/>
        </row>
        <row r="12845">
          <cell r="A12845" t="str">
            <v>RFI ANTENNAS</v>
          </cell>
          <cell r="B12845" t="str">
            <v>OA40-67</v>
          </cell>
          <cell r="O12845"/>
          <cell r="T12845"/>
        </row>
        <row r="12846">
          <cell r="A12846" t="str">
            <v>RFI ANTENNAS</v>
          </cell>
          <cell r="B12846" t="str">
            <v>OA80-67-DIN</v>
          </cell>
          <cell r="O12846"/>
          <cell r="T12846"/>
        </row>
        <row r="12847">
          <cell r="A12847" t="str">
            <v>RFI ANTENNAS</v>
          </cell>
          <cell r="B12847" t="str">
            <v>SMD20-41</v>
          </cell>
          <cell r="O12847"/>
          <cell r="T12847"/>
        </row>
        <row r="12848">
          <cell r="A12848" t="str">
            <v>RFI ANTENNAS</v>
          </cell>
          <cell r="B12848" t="str">
            <v>YB815</v>
          </cell>
          <cell r="O12848"/>
          <cell r="T12848"/>
        </row>
        <row r="12849">
          <cell r="A12849" t="str">
            <v>RFI TECHNOLOGY SOLUTIONS</v>
          </cell>
          <cell r="B12849" t="str">
            <v>BA4040-67-P</v>
          </cell>
          <cell r="O12849">
            <v>0</v>
          </cell>
          <cell r="T12849">
            <v>0</v>
          </cell>
        </row>
        <row r="12850">
          <cell r="A12850" t="str">
            <v>RFI TECHNOLOGY SOLUTIONS</v>
          </cell>
          <cell r="B12850" t="str">
            <v>BPA7496-120-15</v>
          </cell>
          <cell r="O12850">
            <v>9.4186969521604897</v>
          </cell>
          <cell r="T12850">
            <v>5.1634986465827595</v>
          </cell>
        </row>
        <row r="12851">
          <cell r="A12851" t="str">
            <v>RFI TECHNOLOGY SOLUTIONS</v>
          </cell>
          <cell r="B12851" t="str">
            <v>BPA7496-180-14</v>
          </cell>
          <cell r="O12851">
            <v>9.4186969521604897</v>
          </cell>
          <cell r="T12851">
            <v>5.1634986465827595</v>
          </cell>
        </row>
        <row r="12852">
          <cell r="A12852" t="str">
            <v>RFI TECHNOLOGY SOLUTIONS</v>
          </cell>
          <cell r="B12852" t="str">
            <v>BPA7496-180-14-P</v>
          </cell>
          <cell r="O12852"/>
          <cell r="T12852"/>
        </row>
        <row r="12853">
          <cell r="A12853" t="str">
            <v>RFI TECHNOLOGY SOLUTIONS</v>
          </cell>
          <cell r="B12853" t="str">
            <v>BPA7496-60-15</v>
          </cell>
          <cell r="O12853">
            <v>4.9368600501543192</v>
          </cell>
          <cell r="T12853">
            <v>2.7073688245952399</v>
          </cell>
        </row>
        <row r="12854">
          <cell r="A12854" t="str">
            <v>RFI TECHNOLOGY SOLUTIONS</v>
          </cell>
          <cell r="B12854" t="str">
            <v>BPA8496-180-14</v>
          </cell>
          <cell r="O12854"/>
          <cell r="T12854"/>
        </row>
        <row r="12855">
          <cell r="A12855" t="str">
            <v>RFI TECHNOLOGY SOLUTIONS</v>
          </cell>
          <cell r="B12855" t="str">
            <v>CC807-03-P</v>
          </cell>
          <cell r="O12855"/>
          <cell r="T12855"/>
        </row>
        <row r="12856">
          <cell r="A12856" t="str">
            <v>RFI TECHNOLOGY SOLUTIONS</v>
          </cell>
          <cell r="B12856" t="str">
            <v>CC807-06-P</v>
          </cell>
          <cell r="O12856"/>
          <cell r="T12856"/>
        </row>
        <row r="12857">
          <cell r="A12857" t="str">
            <v>RFI TECHNOLOGY SOLUTIONS</v>
          </cell>
          <cell r="B12857" t="str">
            <v>CC807-08-P</v>
          </cell>
          <cell r="O12857"/>
          <cell r="T12857"/>
        </row>
        <row r="12858">
          <cell r="A12858" t="str">
            <v>RFI TECHNOLOGY SOLUTIONS</v>
          </cell>
          <cell r="B12858" t="str">
            <v>CC807-09</v>
          </cell>
          <cell r="O12858"/>
          <cell r="T12858"/>
        </row>
        <row r="12859">
          <cell r="A12859" t="str">
            <v>RFI TECHNOLOGY SOLUTIONS</v>
          </cell>
          <cell r="B12859" t="str">
            <v>CC807-09-P</v>
          </cell>
          <cell r="O12859"/>
          <cell r="T12859"/>
        </row>
        <row r="12860">
          <cell r="A12860" t="str">
            <v>RFI TECHNOLOGY SOLUTIONS</v>
          </cell>
          <cell r="B12860" t="str">
            <v>CC807-09_CCIV2</v>
          </cell>
          <cell r="O12860"/>
          <cell r="T12860"/>
        </row>
        <row r="12861">
          <cell r="A12861" t="str">
            <v>RFI TECHNOLOGY SOLUTIONS</v>
          </cell>
          <cell r="B12861" t="str">
            <v>CC807-11-P</v>
          </cell>
          <cell r="O12861"/>
          <cell r="T12861"/>
        </row>
        <row r="12862">
          <cell r="A12862" t="str">
            <v>RFI TECHNOLOGY SOLUTIONS</v>
          </cell>
          <cell r="B12862" t="str">
            <v>CC807-12</v>
          </cell>
          <cell r="O12862"/>
          <cell r="T12862"/>
        </row>
        <row r="12863">
          <cell r="A12863" t="str">
            <v>RFI TECHNOLOGY SOLUTIONS</v>
          </cell>
          <cell r="B12863" t="str">
            <v>CC807-12-P</v>
          </cell>
          <cell r="O12863"/>
          <cell r="T12863"/>
        </row>
        <row r="12864">
          <cell r="A12864" t="str">
            <v>RFI TECHNOLOGY SOLUTIONS</v>
          </cell>
          <cell r="B12864" t="str">
            <v>CC807-12_CCIV2</v>
          </cell>
          <cell r="O12864"/>
          <cell r="T12864"/>
        </row>
        <row r="12865">
          <cell r="A12865" t="str">
            <v>RFS TECHNOLOGIES</v>
          </cell>
          <cell r="B12865" t="str">
            <v>SBX6-W60AC_20131129</v>
          </cell>
          <cell r="O12865"/>
          <cell r="T12865"/>
        </row>
        <row r="12866">
          <cell r="A12866" t="str">
            <v>RFS/CELWAVE</v>
          </cell>
          <cell r="B12866" t="str">
            <v>0307A</v>
          </cell>
          <cell r="O12866"/>
          <cell r="T12866"/>
        </row>
        <row r="12867">
          <cell r="A12867" t="str">
            <v>RFS/CELWAVE</v>
          </cell>
          <cell r="B12867" t="str">
            <v>10017-1</v>
          </cell>
          <cell r="O12867"/>
          <cell r="T12867"/>
        </row>
        <row r="12868">
          <cell r="A12868" t="str">
            <v>RFS/CELWAVE</v>
          </cell>
          <cell r="B12868" t="str">
            <v>10017-3</v>
          </cell>
          <cell r="O12868"/>
          <cell r="T12868"/>
        </row>
        <row r="12869">
          <cell r="A12869" t="str">
            <v>RFS/CELWAVE</v>
          </cell>
          <cell r="B12869" t="str">
            <v>10017-5</v>
          </cell>
          <cell r="O12869"/>
          <cell r="T12869"/>
        </row>
        <row r="12870">
          <cell r="A12870" t="str">
            <v>RFS/CELWAVE</v>
          </cell>
          <cell r="B12870" t="str">
            <v>10017-5I</v>
          </cell>
          <cell r="O12870"/>
          <cell r="T12870"/>
        </row>
        <row r="12871">
          <cell r="A12871" t="str">
            <v>RFS/CELWAVE</v>
          </cell>
          <cell r="B12871" t="str">
            <v>10017-6</v>
          </cell>
          <cell r="O12871"/>
          <cell r="T12871"/>
        </row>
        <row r="12872">
          <cell r="A12872" t="str">
            <v>RFS/CELWAVE</v>
          </cell>
          <cell r="B12872" t="str">
            <v>10017-7</v>
          </cell>
          <cell r="O12872"/>
          <cell r="T12872"/>
        </row>
        <row r="12873">
          <cell r="A12873" t="str">
            <v>RFS/CELWAVE</v>
          </cell>
          <cell r="B12873" t="str">
            <v>10017-8</v>
          </cell>
          <cell r="O12873"/>
          <cell r="T12873"/>
        </row>
        <row r="12874">
          <cell r="A12874" t="str">
            <v>RFS/CELWAVE</v>
          </cell>
          <cell r="B12874" t="str">
            <v>10017-SI</v>
          </cell>
          <cell r="O12874"/>
          <cell r="T12874"/>
        </row>
        <row r="12875">
          <cell r="A12875" t="str">
            <v>RFS/CELWAVE</v>
          </cell>
          <cell r="B12875" t="str">
            <v>10022</v>
          </cell>
          <cell r="O12875"/>
          <cell r="T12875"/>
        </row>
        <row r="12876">
          <cell r="A12876" t="str">
            <v>RFS/CELWAVE</v>
          </cell>
          <cell r="B12876" t="str">
            <v>10022-2</v>
          </cell>
          <cell r="O12876"/>
          <cell r="T12876"/>
        </row>
        <row r="12877">
          <cell r="A12877" t="str">
            <v>RFS/CELWAVE</v>
          </cell>
          <cell r="B12877" t="str">
            <v>10022-L</v>
          </cell>
          <cell r="O12877"/>
          <cell r="T12877"/>
        </row>
        <row r="12878">
          <cell r="A12878" t="str">
            <v>RFS/CELWAVE</v>
          </cell>
          <cell r="B12878" t="str">
            <v>10023</v>
          </cell>
          <cell r="O12878"/>
          <cell r="T12878"/>
        </row>
        <row r="12879">
          <cell r="A12879" t="str">
            <v>RFS/CELWAVE</v>
          </cell>
          <cell r="B12879" t="str">
            <v>10041</v>
          </cell>
          <cell r="O12879"/>
          <cell r="T12879"/>
        </row>
        <row r="12880">
          <cell r="A12880" t="str">
            <v>RFS/CELWAVE</v>
          </cell>
          <cell r="B12880" t="str">
            <v>100D-8</v>
          </cell>
          <cell r="O12880"/>
          <cell r="T12880"/>
        </row>
        <row r="12881">
          <cell r="A12881" t="str">
            <v>RFS/CELWAVE</v>
          </cell>
          <cell r="B12881" t="str">
            <v>10108-1</v>
          </cell>
          <cell r="O12881"/>
          <cell r="T12881"/>
        </row>
        <row r="12882">
          <cell r="A12882" t="str">
            <v>RFS/CELWAVE</v>
          </cell>
          <cell r="B12882" t="str">
            <v>10108-2</v>
          </cell>
          <cell r="O12882"/>
          <cell r="T12882"/>
        </row>
        <row r="12883">
          <cell r="A12883" t="str">
            <v>RFS/CELWAVE</v>
          </cell>
          <cell r="B12883" t="str">
            <v>10177RS-42T0</v>
          </cell>
          <cell r="O12883">
            <v>8.1715082085640187</v>
          </cell>
          <cell r="T12883">
            <v>3.2128725593940501</v>
          </cell>
        </row>
        <row r="12884">
          <cell r="A12884" t="str">
            <v>RFS/CELWAVE</v>
          </cell>
          <cell r="B12884" t="str">
            <v>10188</v>
          </cell>
          <cell r="O12884"/>
          <cell r="T12884"/>
        </row>
        <row r="12885">
          <cell r="A12885" t="str">
            <v>RFS/CELWAVE</v>
          </cell>
          <cell r="B12885" t="str">
            <v>10188E</v>
          </cell>
          <cell r="O12885"/>
          <cell r="T12885"/>
        </row>
        <row r="12886">
          <cell r="A12886" t="str">
            <v>RFS/CELWAVE</v>
          </cell>
          <cell r="B12886" t="str">
            <v>10189</v>
          </cell>
          <cell r="O12886"/>
          <cell r="T12886"/>
        </row>
        <row r="12887">
          <cell r="A12887" t="str">
            <v>RFS/CELWAVE</v>
          </cell>
          <cell r="B12887" t="str">
            <v>10191</v>
          </cell>
          <cell r="O12887"/>
          <cell r="T12887"/>
        </row>
        <row r="12888">
          <cell r="A12888" t="str">
            <v>RFS/CELWAVE</v>
          </cell>
          <cell r="B12888" t="str">
            <v>10197</v>
          </cell>
          <cell r="O12888"/>
          <cell r="T12888"/>
        </row>
        <row r="12889">
          <cell r="A12889" t="str">
            <v>RFS/CELWAVE</v>
          </cell>
          <cell r="B12889" t="str">
            <v>10201</v>
          </cell>
          <cell r="O12889"/>
          <cell r="T12889"/>
        </row>
        <row r="12890">
          <cell r="A12890" t="str">
            <v>RFS/CELWAVE</v>
          </cell>
          <cell r="B12890" t="str">
            <v>1022-2</v>
          </cell>
          <cell r="O12890"/>
          <cell r="T12890"/>
        </row>
        <row r="12891">
          <cell r="A12891" t="str">
            <v>RFS/CELWAVE</v>
          </cell>
          <cell r="B12891" t="str">
            <v>10236</v>
          </cell>
          <cell r="O12891"/>
          <cell r="T12891"/>
        </row>
        <row r="12892">
          <cell r="A12892" t="str">
            <v>RFS/CELWAVE</v>
          </cell>
          <cell r="B12892" t="str">
            <v>1041-1</v>
          </cell>
          <cell r="O12892"/>
          <cell r="T12892"/>
        </row>
        <row r="12893">
          <cell r="A12893" t="str">
            <v>RFS/CELWAVE</v>
          </cell>
          <cell r="B12893" t="str">
            <v>1108-1</v>
          </cell>
          <cell r="O12893"/>
          <cell r="T12893"/>
        </row>
        <row r="12894">
          <cell r="A12894" t="str">
            <v>RFS/CELWAVE</v>
          </cell>
          <cell r="B12894" t="str">
            <v>1109</v>
          </cell>
          <cell r="O12894"/>
          <cell r="T12894"/>
        </row>
        <row r="12895">
          <cell r="A12895" t="str">
            <v>RFS/CELWAVE</v>
          </cell>
          <cell r="B12895" t="str">
            <v>1109-1</v>
          </cell>
          <cell r="O12895"/>
          <cell r="T12895"/>
        </row>
        <row r="12896">
          <cell r="A12896" t="str">
            <v>RFS/CELWAVE</v>
          </cell>
          <cell r="B12896" t="str">
            <v>1110-1</v>
          </cell>
          <cell r="O12896"/>
          <cell r="T12896"/>
        </row>
        <row r="12897">
          <cell r="A12897" t="str">
            <v>RFS/CELWAVE</v>
          </cell>
          <cell r="B12897" t="str">
            <v>1110-11</v>
          </cell>
          <cell r="O12897"/>
          <cell r="T12897"/>
        </row>
        <row r="12898">
          <cell r="A12898" t="str">
            <v>RFS/CELWAVE</v>
          </cell>
          <cell r="B12898" t="str">
            <v>11109-6</v>
          </cell>
          <cell r="O12898"/>
          <cell r="T12898"/>
        </row>
        <row r="12899">
          <cell r="A12899" t="str">
            <v>RFS/CELWAVE</v>
          </cell>
          <cell r="B12899" t="str">
            <v>111105</v>
          </cell>
          <cell r="O12899"/>
          <cell r="T12899"/>
        </row>
        <row r="12900">
          <cell r="A12900" t="str">
            <v>RFS/CELWAVE</v>
          </cell>
          <cell r="B12900" t="str">
            <v>1121-5</v>
          </cell>
          <cell r="O12900"/>
          <cell r="T12900"/>
        </row>
        <row r="12901">
          <cell r="A12901" t="str">
            <v>RFS/CELWAVE</v>
          </cell>
          <cell r="B12901" t="str">
            <v>1124-1</v>
          </cell>
          <cell r="O12901">
            <v>3.9352214395499701</v>
          </cell>
          <cell r="T12901">
            <v>1.6150571319673699</v>
          </cell>
        </row>
        <row r="12902">
          <cell r="A12902" t="str">
            <v>RFS/CELWAVE</v>
          </cell>
          <cell r="B12902" t="str">
            <v>1136A</v>
          </cell>
          <cell r="O12902"/>
          <cell r="T12902"/>
        </row>
        <row r="12903">
          <cell r="A12903" t="str">
            <v>RFS/CELWAVE</v>
          </cell>
          <cell r="B12903" t="str">
            <v>1142-2B</v>
          </cell>
          <cell r="O12903"/>
          <cell r="T12903"/>
        </row>
        <row r="12904">
          <cell r="A12904" t="str">
            <v>RFS/CELWAVE</v>
          </cell>
          <cell r="B12904" t="str">
            <v>1142-2C</v>
          </cell>
          <cell r="O12904"/>
          <cell r="T12904"/>
        </row>
        <row r="12905">
          <cell r="A12905" t="str">
            <v>RFS/CELWAVE</v>
          </cell>
          <cell r="B12905" t="str">
            <v>1142-3</v>
          </cell>
          <cell r="O12905"/>
          <cell r="T12905"/>
        </row>
        <row r="12906">
          <cell r="A12906" t="str">
            <v>RFS/CELWAVE</v>
          </cell>
          <cell r="B12906" t="str">
            <v>1150-1</v>
          </cell>
          <cell r="O12906"/>
          <cell r="T12906"/>
        </row>
        <row r="12907">
          <cell r="A12907" t="str">
            <v>RFS/CELWAVE</v>
          </cell>
          <cell r="B12907" t="str">
            <v>1150-10</v>
          </cell>
          <cell r="O12907"/>
          <cell r="T12907"/>
        </row>
        <row r="12908">
          <cell r="A12908" t="str">
            <v>RFS/CELWAVE</v>
          </cell>
          <cell r="B12908" t="str">
            <v>1150-6</v>
          </cell>
          <cell r="O12908"/>
          <cell r="T12908"/>
        </row>
        <row r="12909">
          <cell r="A12909" t="str">
            <v>RFS/CELWAVE</v>
          </cell>
          <cell r="B12909" t="str">
            <v>1150-7</v>
          </cell>
          <cell r="O12909"/>
          <cell r="T12909"/>
        </row>
        <row r="12910">
          <cell r="A12910" t="str">
            <v>RFS/CELWAVE</v>
          </cell>
          <cell r="B12910" t="str">
            <v>1151-1N</v>
          </cell>
          <cell r="O12910"/>
          <cell r="T12910"/>
        </row>
        <row r="12911">
          <cell r="A12911" t="str">
            <v>RFS/CELWAVE</v>
          </cell>
          <cell r="B12911" t="str">
            <v>1151-3</v>
          </cell>
          <cell r="O12911"/>
          <cell r="T12911"/>
        </row>
        <row r="12912">
          <cell r="A12912" t="str">
            <v>RFS/CELWAVE</v>
          </cell>
          <cell r="B12912" t="str">
            <v>1151-4</v>
          </cell>
          <cell r="O12912"/>
          <cell r="T12912"/>
        </row>
        <row r="12913">
          <cell r="A12913" t="str">
            <v>RFS/CELWAVE</v>
          </cell>
          <cell r="B12913" t="str">
            <v>1151-4N</v>
          </cell>
          <cell r="O12913"/>
          <cell r="T12913"/>
        </row>
        <row r="12914">
          <cell r="A12914" t="str">
            <v>RFS/CELWAVE</v>
          </cell>
          <cell r="B12914" t="str">
            <v>1151-8</v>
          </cell>
          <cell r="O12914"/>
          <cell r="T12914"/>
        </row>
        <row r="12915">
          <cell r="A12915" t="str">
            <v>RFS/CELWAVE</v>
          </cell>
          <cell r="B12915" t="str">
            <v>128-4</v>
          </cell>
          <cell r="O12915"/>
          <cell r="T12915"/>
        </row>
        <row r="12916">
          <cell r="A12916" t="str">
            <v>RFS/CELWAVE</v>
          </cell>
          <cell r="B12916" t="str">
            <v>1610-1</v>
          </cell>
          <cell r="O12916"/>
          <cell r="T12916"/>
        </row>
        <row r="12917">
          <cell r="A12917" t="str">
            <v>RFS/CELWAVE</v>
          </cell>
          <cell r="B12917" t="str">
            <v>1610-4</v>
          </cell>
          <cell r="O12917"/>
          <cell r="T12917"/>
        </row>
        <row r="12918">
          <cell r="A12918" t="str">
            <v>RFS/CELWAVE</v>
          </cell>
          <cell r="B12918" t="str">
            <v>199012-42T0</v>
          </cell>
          <cell r="O12918"/>
          <cell r="T12918"/>
        </row>
        <row r="12919">
          <cell r="A12919" t="str">
            <v>RFS/CELWAVE</v>
          </cell>
          <cell r="B12919" t="str">
            <v>200N</v>
          </cell>
          <cell r="O12919"/>
          <cell r="T12919"/>
        </row>
        <row r="12920">
          <cell r="A12920" t="str">
            <v>RFS/CELWAVE</v>
          </cell>
          <cell r="B12920" t="str">
            <v>201-1N</v>
          </cell>
          <cell r="O12920"/>
          <cell r="T12920"/>
        </row>
        <row r="12921">
          <cell r="A12921" t="str">
            <v>RFS/CELWAVE</v>
          </cell>
          <cell r="B12921" t="str">
            <v>201-4</v>
          </cell>
          <cell r="O12921"/>
          <cell r="T12921"/>
        </row>
        <row r="12922">
          <cell r="A12922" t="str">
            <v>RFS/CELWAVE</v>
          </cell>
          <cell r="B12922" t="str">
            <v>201-7</v>
          </cell>
          <cell r="O12922"/>
          <cell r="T12922"/>
        </row>
        <row r="12923">
          <cell r="A12923" t="str">
            <v>RFS/CELWAVE</v>
          </cell>
          <cell r="B12923" t="str">
            <v>201-7N</v>
          </cell>
          <cell r="O12923"/>
          <cell r="T12923"/>
        </row>
        <row r="12924">
          <cell r="A12924" t="str">
            <v>RFS/CELWAVE</v>
          </cell>
          <cell r="B12924" t="str">
            <v>201-8</v>
          </cell>
          <cell r="O12924"/>
          <cell r="T12924"/>
        </row>
        <row r="12925">
          <cell r="A12925" t="str">
            <v>RFS/CELWAVE</v>
          </cell>
          <cell r="B12925" t="str">
            <v>201-8N</v>
          </cell>
          <cell r="O12925"/>
          <cell r="T12925"/>
        </row>
        <row r="12926">
          <cell r="A12926" t="str">
            <v>RFS/CELWAVE</v>
          </cell>
          <cell r="B12926" t="str">
            <v>220</v>
          </cell>
          <cell r="O12926"/>
          <cell r="T12926"/>
        </row>
        <row r="12927">
          <cell r="A12927" t="str">
            <v>RFS/CELWAVE</v>
          </cell>
          <cell r="B12927" t="str">
            <v>220-1N</v>
          </cell>
          <cell r="O12927"/>
          <cell r="T12927"/>
        </row>
        <row r="12928">
          <cell r="A12928" t="str">
            <v>RFS/CELWAVE</v>
          </cell>
          <cell r="B12928" t="str">
            <v>220-2</v>
          </cell>
          <cell r="O12928"/>
          <cell r="T12928"/>
        </row>
        <row r="12929">
          <cell r="A12929" t="str">
            <v>RFS/CELWAVE</v>
          </cell>
          <cell r="B12929" t="str">
            <v>220-3A</v>
          </cell>
          <cell r="O12929"/>
          <cell r="T12929"/>
        </row>
        <row r="12930">
          <cell r="A12930" t="str">
            <v>RFS/CELWAVE</v>
          </cell>
          <cell r="B12930" t="str">
            <v>220-3B</v>
          </cell>
          <cell r="O12930"/>
          <cell r="T12930"/>
        </row>
        <row r="12931">
          <cell r="A12931" t="str">
            <v>RFS/CELWAVE</v>
          </cell>
          <cell r="B12931" t="str">
            <v>220-3BN</v>
          </cell>
          <cell r="O12931"/>
          <cell r="T12931"/>
        </row>
        <row r="12932">
          <cell r="A12932" t="str">
            <v>RFS/CELWAVE</v>
          </cell>
          <cell r="B12932" t="str">
            <v>220-5</v>
          </cell>
          <cell r="O12932"/>
          <cell r="T12932"/>
        </row>
        <row r="12933">
          <cell r="A12933" t="str">
            <v>RFS/CELWAVE</v>
          </cell>
          <cell r="B12933" t="str">
            <v>220-5N</v>
          </cell>
          <cell r="O12933"/>
          <cell r="T12933"/>
        </row>
        <row r="12934">
          <cell r="A12934" t="str">
            <v>RFS/CELWAVE</v>
          </cell>
          <cell r="B12934" t="str">
            <v>220-6N</v>
          </cell>
          <cell r="O12934"/>
          <cell r="T12934"/>
        </row>
        <row r="12935">
          <cell r="A12935" t="str">
            <v>RFS/CELWAVE</v>
          </cell>
          <cell r="B12935" t="str">
            <v>220-7N</v>
          </cell>
          <cell r="O12935"/>
          <cell r="T12935"/>
        </row>
        <row r="12936">
          <cell r="A12936" t="str">
            <v>RFS/CELWAVE</v>
          </cell>
          <cell r="B12936" t="str">
            <v>220-8</v>
          </cell>
          <cell r="O12936"/>
          <cell r="T12936"/>
        </row>
        <row r="12937">
          <cell r="A12937" t="str">
            <v>RFS/CELWAVE</v>
          </cell>
          <cell r="B12937" t="str">
            <v>220-8N</v>
          </cell>
          <cell r="O12937"/>
          <cell r="T12937"/>
        </row>
        <row r="12938">
          <cell r="A12938" t="str">
            <v>RFS/CELWAVE</v>
          </cell>
          <cell r="B12938" t="str">
            <v>2200T6</v>
          </cell>
          <cell r="O12938"/>
          <cell r="T12938"/>
        </row>
        <row r="12939">
          <cell r="A12939" t="str">
            <v>RFS/CELWAVE</v>
          </cell>
          <cell r="B12939" t="str">
            <v>220509</v>
          </cell>
          <cell r="O12939"/>
          <cell r="T12939"/>
        </row>
        <row r="12940">
          <cell r="A12940" t="str">
            <v>RFS/CELWAVE</v>
          </cell>
          <cell r="B12940" t="str">
            <v>340-1</v>
          </cell>
          <cell r="O12940"/>
          <cell r="T12940"/>
        </row>
        <row r="12941">
          <cell r="A12941" t="str">
            <v>RFS/CELWAVE</v>
          </cell>
          <cell r="B12941" t="str">
            <v>340-2</v>
          </cell>
          <cell r="O12941"/>
          <cell r="T12941"/>
        </row>
        <row r="12942">
          <cell r="A12942" t="str">
            <v>RFS/CELWAVE</v>
          </cell>
          <cell r="B12942" t="str">
            <v>391195</v>
          </cell>
          <cell r="O12942"/>
          <cell r="T12942"/>
        </row>
        <row r="12943">
          <cell r="A12943" t="str">
            <v>RFS/CELWAVE</v>
          </cell>
          <cell r="B12943" t="str">
            <v>440-1</v>
          </cell>
          <cell r="O12943"/>
          <cell r="T12943"/>
        </row>
        <row r="12944">
          <cell r="A12944" t="str">
            <v>RFS/CELWAVE</v>
          </cell>
          <cell r="B12944" t="str">
            <v>440-3</v>
          </cell>
          <cell r="O12944"/>
          <cell r="T12944"/>
        </row>
        <row r="12945">
          <cell r="A12945" t="str">
            <v>RFS/CELWAVE</v>
          </cell>
          <cell r="B12945" t="str">
            <v>455-1</v>
          </cell>
          <cell r="O12945"/>
          <cell r="T12945"/>
        </row>
        <row r="12946">
          <cell r="A12946" t="str">
            <v>RFS/CELWAVE</v>
          </cell>
          <cell r="B12946" t="str">
            <v>455-11</v>
          </cell>
          <cell r="O12946"/>
          <cell r="T12946"/>
        </row>
        <row r="12947">
          <cell r="A12947" t="str">
            <v>RFS/CELWAVE</v>
          </cell>
          <cell r="B12947" t="str">
            <v>455-5</v>
          </cell>
          <cell r="O12947"/>
          <cell r="T12947"/>
        </row>
        <row r="12948">
          <cell r="A12948" t="str">
            <v>RFS/CELWAVE</v>
          </cell>
          <cell r="B12948" t="str">
            <v>455-6</v>
          </cell>
          <cell r="O12948"/>
          <cell r="T12948"/>
        </row>
        <row r="12949">
          <cell r="A12949" t="str">
            <v>RFS/CELWAVE</v>
          </cell>
          <cell r="B12949" t="str">
            <v>455-7</v>
          </cell>
          <cell r="O12949"/>
          <cell r="T12949"/>
        </row>
        <row r="12950">
          <cell r="A12950" t="str">
            <v>RFS/CELWAVE</v>
          </cell>
          <cell r="B12950" t="str">
            <v>455-7N</v>
          </cell>
          <cell r="O12950"/>
          <cell r="T12950"/>
        </row>
        <row r="12951">
          <cell r="A12951" t="str">
            <v>RFS/CELWAVE</v>
          </cell>
          <cell r="B12951" t="str">
            <v>455-8</v>
          </cell>
          <cell r="O12951"/>
          <cell r="T12951"/>
        </row>
        <row r="12952">
          <cell r="A12952" t="str">
            <v>RFS/CELWAVE</v>
          </cell>
          <cell r="B12952" t="str">
            <v>455-8N</v>
          </cell>
          <cell r="O12952"/>
          <cell r="T12952"/>
        </row>
        <row r="12953">
          <cell r="A12953" t="str">
            <v>RFS/CELWAVE</v>
          </cell>
          <cell r="B12953" t="str">
            <v>455-9</v>
          </cell>
          <cell r="O12953"/>
          <cell r="T12953"/>
        </row>
        <row r="12954">
          <cell r="A12954" t="str">
            <v>RFS/CELWAVE</v>
          </cell>
          <cell r="B12954" t="str">
            <v>458-1N</v>
          </cell>
          <cell r="O12954"/>
          <cell r="T12954"/>
        </row>
        <row r="12955">
          <cell r="A12955" t="str">
            <v>RFS/CELWAVE</v>
          </cell>
          <cell r="B12955" t="str">
            <v>458-2D</v>
          </cell>
          <cell r="O12955"/>
          <cell r="T12955"/>
        </row>
        <row r="12956">
          <cell r="A12956" t="str">
            <v>RFS/CELWAVE</v>
          </cell>
          <cell r="B12956" t="str">
            <v>458-3D</v>
          </cell>
          <cell r="O12956"/>
          <cell r="T12956"/>
        </row>
        <row r="12957">
          <cell r="A12957" t="str">
            <v>RFS/CELWAVE</v>
          </cell>
          <cell r="B12957" t="str">
            <v>458-3N</v>
          </cell>
          <cell r="O12957"/>
          <cell r="T12957"/>
        </row>
        <row r="12958">
          <cell r="A12958" t="str">
            <v>RFS/CELWAVE</v>
          </cell>
          <cell r="B12958" t="str">
            <v>620-3</v>
          </cell>
          <cell r="O12958"/>
          <cell r="T12958"/>
        </row>
        <row r="12959">
          <cell r="A12959" t="str">
            <v>RFS/CELWAVE</v>
          </cell>
          <cell r="B12959" t="str">
            <v>620-DT3</v>
          </cell>
          <cell r="O12959"/>
          <cell r="T12959"/>
        </row>
        <row r="12960">
          <cell r="A12960" t="str">
            <v>RFS/CELWAVE</v>
          </cell>
          <cell r="B12960" t="str">
            <v>659</v>
          </cell>
          <cell r="O12960"/>
          <cell r="T12960"/>
        </row>
        <row r="12961">
          <cell r="A12961" t="str">
            <v>RFS/CELWAVE</v>
          </cell>
          <cell r="B12961" t="str">
            <v>688S-1</v>
          </cell>
          <cell r="O12961"/>
          <cell r="T12961"/>
        </row>
        <row r="12962">
          <cell r="A12962" t="str">
            <v>RFS/CELWAVE</v>
          </cell>
          <cell r="B12962" t="str">
            <v>688S-3</v>
          </cell>
          <cell r="O12962"/>
          <cell r="T12962"/>
        </row>
        <row r="12963">
          <cell r="A12963" t="str">
            <v>RFS/CELWAVE</v>
          </cell>
          <cell r="B12963" t="str">
            <v>7147</v>
          </cell>
          <cell r="O12963"/>
          <cell r="T12963"/>
        </row>
        <row r="12964">
          <cell r="A12964" t="str">
            <v>RFS/CELWAVE</v>
          </cell>
          <cell r="B12964" t="str">
            <v>859012-42T0</v>
          </cell>
          <cell r="O12964"/>
          <cell r="T12964"/>
        </row>
        <row r="12965">
          <cell r="A12965" t="str">
            <v>RFS/CELWAVE</v>
          </cell>
          <cell r="B12965" t="str">
            <v>8UD</v>
          </cell>
          <cell r="O12965"/>
          <cell r="T12965"/>
        </row>
        <row r="12966">
          <cell r="A12966" t="str">
            <v>RFS/CELWAVE</v>
          </cell>
          <cell r="B12966" t="str">
            <v>904HP</v>
          </cell>
          <cell r="O12966"/>
          <cell r="T12966"/>
        </row>
        <row r="12967">
          <cell r="A12967" t="str">
            <v>RFS/CELWAVE</v>
          </cell>
          <cell r="B12967" t="str">
            <v>A08410</v>
          </cell>
          <cell r="O12967"/>
          <cell r="T12967"/>
        </row>
        <row r="12968">
          <cell r="A12968" t="str">
            <v>RFS/CELWAVE</v>
          </cell>
          <cell r="B12968" t="str">
            <v>A08410-5T0</v>
          </cell>
          <cell r="O12968"/>
          <cell r="T12968"/>
        </row>
        <row r="12969">
          <cell r="A12969" t="str">
            <v>RFS/CELWAVE</v>
          </cell>
          <cell r="B12969" t="str">
            <v>A08610</v>
          </cell>
          <cell r="O12969"/>
          <cell r="T12969"/>
        </row>
        <row r="12970">
          <cell r="A12970" t="str">
            <v>RFS/CELWAVE</v>
          </cell>
          <cell r="B12970" t="str">
            <v>AD 1809</v>
          </cell>
          <cell r="O12970"/>
          <cell r="T12970"/>
        </row>
        <row r="12971">
          <cell r="A12971" t="str">
            <v>RFS/CELWAVE</v>
          </cell>
          <cell r="B12971" t="str">
            <v>AD196516-210</v>
          </cell>
          <cell r="O12971"/>
          <cell r="T12971"/>
        </row>
        <row r="12972">
          <cell r="A12972" t="str">
            <v>RFS/CELWAVE</v>
          </cell>
          <cell r="B12972" t="str">
            <v>AD196516-2T0</v>
          </cell>
          <cell r="O12972"/>
          <cell r="T12972"/>
        </row>
        <row r="12973">
          <cell r="A12973" t="str">
            <v>RFS/CELWAVE</v>
          </cell>
          <cell r="B12973" t="str">
            <v>AF196516-2TO</v>
          </cell>
          <cell r="O12973"/>
          <cell r="T12973"/>
        </row>
        <row r="12974">
          <cell r="A12974" t="str">
            <v>RFS/CELWAVE</v>
          </cell>
          <cell r="B12974" t="str">
            <v>AL-1909-3</v>
          </cell>
          <cell r="O12974"/>
          <cell r="T12974"/>
        </row>
        <row r="12975">
          <cell r="A12975" t="str">
            <v>RFS/CELWAVE</v>
          </cell>
          <cell r="B12975" t="str">
            <v>ALE 859012-42T0</v>
          </cell>
          <cell r="O12975">
            <v>3.15759838</v>
          </cell>
          <cell r="T12975">
            <v>4.0103084369999999</v>
          </cell>
        </row>
        <row r="12976">
          <cell r="A12976" t="str">
            <v>RFS/CELWAVE</v>
          </cell>
          <cell r="B12976" t="str">
            <v>ALE196015-42T2</v>
          </cell>
          <cell r="O12976"/>
          <cell r="T12976"/>
        </row>
        <row r="12977">
          <cell r="A12977" t="str">
            <v>RFS/CELWAVE</v>
          </cell>
          <cell r="B12977" t="str">
            <v>ALE199013</v>
          </cell>
          <cell r="O12977"/>
          <cell r="T12977"/>
        </row>
        <row r="12978">
          <cell r="A12978" t="str">
            <v>RFS/CELWAVE</v>
          </cell>
          <cell r="B12978" t="str">
            <v>ALE199013-42T2</v>
          </cell>
          <cell r="O12978"/>
          <cell r="T12978"/>
        </row>
        <row r="12979">
          <cell r="A12979" t="str">
            <v>RFS/CELWAVE</v>
          </cell>
          <cell r="B12979" t="str">
            <v>ALE28195-44TO</v>
          </cell>
          <cell r="O12979"/>
          <cell r="T12979"/>
        </row>
        <row r="12980">
          <cell r="A12980" t="str">
            <v>RFS/CELWAVE</v>
          </cell>
          <cell r="B12980" t="str">
            <v>ALE859012</v>
          </cell>
          <cell r="O12980">
            <v>3.15759838</v>
          </cell>
          <cell r="T12980">
            <v>4.0103084369999999</v>
          </cell>
        </row>
        <row r="12981">
          <cell r="A12981" t="str">
            <v>RFS/CELWAVE</v>
          </cell>
          <cell r="B12981" t="str">
            <v>ALE859012-12T0</v>
          </cell>
          <cell r="O12981">
            <v>3.15759838</v>
          </cell>
          <cell r="T12981">
            <v>4.0103084369999999</v>
          </cell>
        </row>
        <row r="12982">
          <cell r="A12982" t="str">
            <v>RFS/CELWAVE</v>
          </cell>
          <cell r="B12982" t="str">
            <v>ALE859012-42T0</v>
          </cell>
          <cell r="O12982">
            <v>3.15759838</v>
          </cell>
          <cell r="T12982">
            <v>4.0103084369999999</v>
          </cell>
        </row>
        <row r="12983">
          <cell r="A12983" t="str">
            <v>RFS/CELWAVE</v>
          </cell>
          <cell r="B12983" t="str">
            <v>ALE859012-44T0</v>
          </cell>
          <cell r="O12983">
            <v>3.15759838</v>
          </cell>
          <cell r="T12983">
            <v>4.0103084369999999</v>
          </cell>
        </row>
        <row r="12984">
          <cell r="A12984" t="str">
            <v>RFS/CELWAVE</v>
          </cell>
          <cell r="B12984" t="str">
            <v>ALE8590124TO</v>
          </cell>
          <cell r="O12984"/>
          <cell r="T12984"/>
        </row>
        <row r="12985">
          <cell r="A12985" t="str">
            <v>RFS/CELWAVE</v>
          </cell>
          <cell r="B12985" t="str">
            <v>ALE866513-12T0</v>
          </cell>
          <cell r="O12985">
            <v>3.6913706461745703</v>
          </cell>
          <cell r="T12985">
            <v>3.8263182659608597</v>
          </cell>
        </row>
        <row r="12986">
          <cell r="A12986" t="str">
            <v>RFS/CELWAVE</v>
          </cell>
          <cell r="B12986" t="str">
            <v>ALE866513-42T0</v>
          </cell>
          <cell r="O12986">
            <v>3.6913706461745703</v>
          </cell>
          <cell r="T12986">
            <v>3.8263182659608597</v>
          </cell>
        </row>
        <row r="12987">
          <cell r="A12987" t="str">
            <v>RFS/CELWAVE</v>
          </cell>
          <cell r="B12987" t="str">
            <v>ALG10-A-B1</v>
          </cell>
          <cell r="O12987"/>
          <cell r="T12987"/>
        </row>
        <row r="12988">
          <cell r="A12988" t="str">
            <v>RFS/CELWAVE</v>
          </cell>
          <cell r="B12988" t="str">
            <v>ALG10-B-B1</v>
          </cell>
          <cell r="O12988"/>
          <cell r="T12988"/>
        </row>
        <row r="12989">
          <cell r="A12989" t="str">
            <v>RFS/CELWAVE</v>
          </cell>
          <cell r="B12989" t="str">
            <v>ALG10-O-B1</v>
          </cell>
          <cell r="O12989"/>
          <cell r="T12989"/>
        </row>
        <row r="12990">
          <cell r="A12990" t="str">
            <v>RFS/CELWAVE</v>
          </cell>
          <cell r="B12990" t="str">
            <v>ALG6</v>
          </cell>
          <cell r="O12990"/>
          <cell r="T12990"/>
        </row>
        <row r="12991">
          <cell r="A12991" t="str">
            <v>RFS/CELWAVE</v>
          </cell>
          <cell r="B12991" t="str">
            <v>ALP10201</v>
          </cell>
          <cell r="O12991"/>
          <cell r="T12991"/>
        </row>
        <row r="12992">
          <cell r="A12992" t="str">
            <v>RFS/CELWAVE</v>
          </cell>
          <cell r="B12992" t="str">
            <v>ALR10-B</v>
          </cell>
          <cell r="O12992"/>
          <cell r="T12992"/>
        </row>
        <row r="12993">
          <cell r="A12993" t="str">
            <v>RFS/CELWAVE</v>
          </cell>
          <cell r="B12993" t="str">
            <v>ALR10-O</v>
          </cell>
          <cell r="O12993"/>
          <cell r="T12993"/>
        </row>
        <row r="12994">
          <cell r="A12994" t="str">
            <v>RFS/CELWAVE</v>
          </cell>
          <cell r="B12994" t="str">
            <v>ALR6-O</v>
          </cell>
          <cell r="O12994"/>
          <cell r="T12994"/>
        </row>
        <row r="12995">
          <cell r="A12995" t="str">
            <v>RFS/CELWAVE</v>
          </cell>
          <cell r="B12995" t="str">
            <v>ALR8-0</v>
          </cell>
          <cell r="O12995"/>
          <cell r="T12995"/>
        </row>
        <row r="12996">
          <cell r="A12996" t="str">
            <v>RFS/CELWAVE</v>
          </cell>
          <cell r="B12996" t="str">
            <v>AO1803</v>
          </cell>
          <cell r="O12996"/>
          <cell r="T12996"/>
        </row>
        <row r="12997">
          <cell r="A12997" t="str">
            <v>RFS/CELWAVE</v>
          </cell>
          <cell r="B12997" t="str">
            <v>AO1809</v>
          </cell>
          <cell r="O12997"/>
          <cell r="T12997"/>
        </row>
        <row r="12998">
          <cell r="A12998" t="str">
            <v>RFS/CELWAVE</v>
          </cell>
          <cell r="B12998" t="str">
            <v>AO1903</v>
          </cell>
          <cell r="O12998"/>
          <cell r="T12998"/>
        </row>
        <row r="12999">
          <cell r="A12999" t="str">
            <v>RFS/CELWAVE</v>
          </cell>
          <cell r="B12999" t="str">
            <v>AO1909</v>
          </cell>
          <cell r="O12999"/>
          <cell r="T12999"/>
        </row>
        <row r="13000">
          <cell r="A13000" t="str">
            <v>RFS/CELWAVE</v>
          </cell>
          <cell r="B13000" t="str">
            <v>AO1909-3</v>
          </cell>
          <cell r="O13000"/>
          <cell r="T13000"/>
        </row>
        <row r="13001">
          <cell r="A13001" t="str">
            <v>RFS/CELWAVE</v>
          </cell>
          <cell r="B13001" t="str">
            <v>AO8410</v>
          </cell>
          <cell r="O13001"/>
          <cell r="T13001"/>
        </row>
        <row r="13002">
          <cell r="A13002" t="str">
            <v>RFS/CELWAVE</v>
          </cell>
          <cell r="B13002" t="str">
            <v>AO8410M-24T0</v>
          </cell>
          <cell r="O13002"/>
          <cell r="T13002"/>
        </row>
        <row r="13003">
          <cell r="A13003" t="str">
            <v>RFS/CELWAVE</v>
          </cell>
          <cell r="B13003" t="str">
            <v>AO8410M-54T0</v>
          </cell>
          <cell r="O13003"/>
          <cell r="T13003"/>
        </row>
        <row r="13004">
          <cell r="A13004" t="str">
            <v>RFS/CELWAVE</v>
          </cell>
          <cell r="B13004" t="str">
            <v>AO8610-5T0</v>
          </cell>
          <cell r="O13004"/>
          <cell r="T13004"/>
        </row>
        <row r="13005">
          <cell r="A13005" t="str">
            <v>RFS/CELWAVE</v>
          </cell>
          <cell r="B13005" t="str">
            <v>AO9009-3</v>
          </cell>
          <cell r="O13005"/>
          <cell r="T13005"/>
        </row>
        <row r="13006">
          <cell r="A13006" t="str">
            <v>RFS/CELWAVE</v>
          </cell>
          <cell r="B13006" t="str">
            <v>AOB1903</v>
          </cell>
          <cell r="O13006"/>
          <cell r="T13006"/>
        </row>
        <row r="13007">
          <cell r="A13007" t="str">
            <v>RFS/CELWAVE</v>
          </cell>
          <cell r="B13007" t="str">
            <v>AOB1906</v>
          </cell>
          <cell r="O13007"/>
          <cell r="T13007"/>
        </row>
        <row r="13008">
          <cell r="A13008" t="str">
            <v>RFS/CELWAVE</v>
          </cell>
          <cell r="B13008" t="str">
            <v>AOPXV18-276516-C-A20</v>
          </cell>
          <cell r="O13008">
            <v>2.2496421679999998</v>
          </cell>
          <cell r="T13008">
            <v>1.4076732279999999</v>
          </cell>
        </row>
        <row r="13009">
          <cell r="A13009" t="str">
            <v>RFS/CELWAVE</v>
          </cell>
          <cell r="B13009" t="str">
            <v>AP0804615</v>
          </cell>
          <cell r="O13009"/>
          <cell r="T13009"/>
        </row>
        <row r="13010">
          <cell r="A13010" t="str">
            <v>RFS/CELWAVE</v>
          </cell>
          <cell r="B13010" t="str">
            <v>AP149011-2TO</v>
          </cell>
          <cell r="O13010"/>
          <cell r="T13010"/>
        </row>
        <row r="13011">
          <cell r="A13011" t="str">
            <v>RFS/CELWAVE</v>
          </cell>
          <cell r="B13011" t="str">
            <v>AP153013</v>
          </cell>
          <cell r="O13011"/>
          <cell r="T13011"/>
        </row>
        <row r="13012">
          <cell r="A13012" t="str">
            <v>RFS/CELWAVE</v>
          </cell>
          <cell r="B13012" t="str">
            <v>AP153016</v>
          </cell>
          <cell r="O13012"/>
          <cell r="T13012"/>
        </row>
        <row r="13013">
          <cell r="A13013" t="str">
            <v>RFS/CELWAVE</v>
          </cell>
          <cell r="B13013" t="str">
            <v>AP156007</v>
          </cell>
          <cell r="O13013"/>
          <cell r="T13013"/>
        </row>
        <row r="13014">
          <cell r="A13014" t="str">
            <v>RFS/CELWAVE</v>
          </cell>
          <cell r="B13014" t="str">
            <v>AP169018-2TO</v>
          </cell>
          <cell r="O13014"/>
          <cell r="T13014"/>
        </row>
        <row r="13015">
          <cell r="A13015" t="str">
            <v>RFS/CELWAVE</v>
          </cell>
          <cell r="B13015" t="str">
            <v>AP181210</v>
          </cell>
          <cell r="O13015"/>
          <cell r="T13015"/>
        </row>
        <row r="13016">
          <cell r="A13016" t="str">
            <v>RFS/CELWAVE</v>
          </cell>
          <cell r="B13016" t="str">
            <v>AP181213</v>
          </cell>
          <cell r="O13016"/>
          <cell r="T13016"/>
        </row>
        <row r="13017">
          <cell r="A13017" t="str">
            <v>RFS/CELWAVE</v>
          </cell>
          <cell r="B13017" t="str">
            <v>AP181213-4T0</v>
          </cell>
          <cell r="O13017">
            <v>1.8873095100308599</v>
          </cell>
          <cell r="T13017">
            <v>0.48918723081279603</v>
          </cell>
        </row>
        <row r="13018">
          <cell r="A13018" t="str">
            <v>RFS/CELWAVE</v>
          </cell>
          <cell r="B13018" t="str">
            <v>AP183312</v>
          </cell>
          <cell r="O13018"/>
          <cell r="T13018"/>
        </row>
        <row r="13019">
          <cell r="A13019" t="str">
            <v>RFS/CELWAVE</v>
          </cell>
          <cell r="B13019" t="str">
            <v>AP183315</v>
          </cell>
          <cell r="O13019"/>
          <cell r="T13019"/>
        </row>
        <row r="13020">
          <cell r="A13020" t="str">
            <v>RFS/CELWAVE</v>
          </cell>
          <cell r="B13020" t="str">
            <v>AP183320-2TD</v>
          </cell>
          <cell r="O13020"/>
          <cell r="T13020"/>
        </row>
        <row r="13021">
          <cell r="A13021" t="str">
            <v>RFS/CELWAVE</v>
          </cell>
          <cell r="B13021" t="str">
            <v>AP186508</v>
          </cell>
          <cell r="O13021"/>
          <cell r="T13021"/>
        </row>
        <row r="13022">
          <cell r="A13022" t="str">
            <v>RFS/CELWAVE</v>
          </cell>
          <cell r="B13022" t="str">
            <v>AP186512</v>
          </cell>
          <cell r="O13022"/>
          <cell r="T13022"/>
        </row>
        <row r="13023">
          <cell r="A13023" t="str">
            <v>RFS/CELWAVE</v>
          </cell>
          <cell r="B13023" t="str">
            <v>AP186515</v>
          </cell>
          <cell r="O13023"/>
          <cell r="T13023"/>
        </row>
        <row r="13024">
          <cell r="A13024" t="str">
            <v>RFS/CELWAVE</v>
          </cell>
          <cell r="B13024" t="str">
            <v>AP186516</v>
          </cell>
          <cell r="O13024">
            <v>1.8873095100308599</v>
          </cell>
          <cell r="T13024">
            <v>0.48918723081279603</v>
          </cell>
        </row>
        <row r="13025">
          <cell r="A13025" t="str">
            <v>RFS/CELWAVE</v>
          </cell>
          <cell r="B13025" t="str">
            <v>AP186516-2T0</v>
          </cell>
          <cell r="O13025">
            <v>1.8873095100308599</v>
          </cell>
          <cell r="T13025">
            <v>0.48918723081279603</v>
          </cell>
        </row>
        <row r="13026">
          <cell r="A13026" t="str">
            <v>RFS/CELWAVE</v>
          </cell>
          <cell r="B13026" t="str">
            <v>AP189006</v>
          </cell>
          <cell r="O13026"/>
          <cell r="T13026"/>
        </row>
        <row r="13027">
          <cell r="A13027" t="str">
            <v>RFS/CELWAVE</v>
          </cell>
          <cell r="B13027" t="str">
            <v>AP189011</v>
          </cell>
          <cell r="O13027"/>
          <cell r="T13027"/>
        </row>
        <row r="13028">
          <cell r="A13028" t="str">
            <v>RFS/CELWAVE</v>
          </cell>
          <cell r="B13028" t="str">
            <v>AP189014</v>
          </cell>
          <cell r="O13028"/>
          <cell r="T13028"/>
        </row>
        <row r="13029">
          <cell r="A13029" t="str">
            <v>RFS/CELWAVE</v>
          </cell>
          <cell r="B13029" t="str">
            <v>AP189014-7T2</v>
          </cell>
          <cell r="O13029">
            <v>1.8873095100308599</v>
          </cell>
          <cell r="T13029">
            <v>0.48918723081279603</v>
          </cell>
        </row>
        <row r="13030">
          <cell r="A13030" t="str">
            <v>RFS/CELWAVE</v>
          </cell>
          <cell r="B13030" t="str">
            <v>AP189016</v>
          </cell>
          <cell r="O13030"/>
          <cell r="T13030"/>
        </row>
        <row r="13031">
          <cell r="A13031" t="str">
            <v>RFS/CELWAVE</v>
          </cell>
          <cell r="B13031" t="str">
            <v>AP189016-2T0</v>
          </cell>
          <cell r="O13031">
            <v>2.6869208140432099</v>
          </cell>
          <cell r="T13031">
            <v>0.69691081814616684</v>
          </cell>
        </row>
        <row r="13032">
          <cell r="A13032" t="str">
            <v>RFS/CELWAVE</v>
          </cell>
          <cell r="B13032" t="str">
            <v>AP189016-4T0</v>
          </cell>
          <cell r="O13032">
            <v>2.6869208140432099</v>
          </cell>
          <cell r="T13032">
            <v>0.69691081814616684</v>
          </cell>
        </row>
        <row r="13033">
          <cell r="A13033" t="str">
            <v>RFS/CELWAVE</v>
          </cell>
          <cell r="B13033" t="str">
            <v>AP189016-CT2</v>
          </cell>
          <cell r="O13033">
            <v>3.6475217013888899</v>
          </cell>
          <cell r="T13033">
            <v>1.7264079921476301</v>
          </cell>
        </row>
        <row r="13034">
          <cell r="A13034" t="str">
            <v>RFS/CELWAVE</v>
          </cell>
          <cell r="B13034" t="str">
            <v>AP190014-2TO</v>
          </cell>
          <cell r="O13034"/>
          <cell r="T13034"/>
        </row>
        <row r="13035">
          <cell r="A13035" t="str">
            <v>RFS/CELWAVE</v>
          </cell>
          <cell r="B13035" t="str">
            <v>AP190016-2T0</v>
          </cell>
          <cell r="O13035"/>
          <cell r="T13035"/>
        </row>
        <row r="13036">
          <cell r="A13036" t="str">
            <v>RFS/CELWAVE</v>
          </cell>
          <cell r="B13036" t="str">
            <v>AP190016-2T2</v>
          </cell>
          <cell r="O13036"/>
          <cell r="T13036"/>
        </row>
        <row r="13037">
          <cell r="A13037" t="str">
            <v>RFS/CELWAVE</v>
          </cell>
          <cell r="B13037" t="str">
            <v>AP193320</v>
          </cell>
          <cell r="O13037"/>
          <cell r="T13037"/>
        </row>
        <row r="13038">
          <cell r="A13038" t="str">
            <v>RFS/CELWAVE</v>
          </cell>
          <cell r="B13038" t="str">
            <v>AP193320-2T0</v>
          </cell>
          <cell r="O13038">
            <v>6.7239360205195897</v>
          </cell>
          <cell r="T13038">
            <v>1.2474943762161799</v>
          </cell>
        </row>
        <row r="13039">
          <cell r="A13039" t="str">
            <v>RFS/CELWAVE</v>
          </cell>
          <cell r="B13039" t="str">
            <v>AP1933320-2T0</v>
          </cell>
          <cell r="O13039"/>
          <cell r="T13039"/>
        </row>
        <row r="13040">
          <cell r="A13040" t="str">
            <v>RFS/CELWAVE</v>
          </cell>
          <cell r="B13040" t="str">
            <v>AP1965/6-2TO</v>
          </cell>
          <cell r="O13040"/>
          <cell r="T13040"/>
        </row>
        <row r="13041">
          <cell r="A13041" t="str">
            <v>RFS/CELWAVE</v>
          </cell>
          <cell r="B13041" t="str">
            <v>AP196516</v>
          </cell>
          <cell r="O13041"/>
          <cell r="T13041"/>
        </row>
        <row r="13042">
          <cell r="A13042" t="str">
            <v>RFS/CELWAVE</v>
          </cell>
          <cell r="B13042" t="str">
            <v>AP196516-2T0</v>
          </cell>
          <cell r="O13042">
            <v>1.8873095100308599</v>
          </cell>
          <cell r="T13042">
            <v>0.48918723081279603</v>
          </cell>
        </row>
        <row r="13043">
          <cell r="A13043" t="str">
            <v>RFS/CELWAVE</v>
          </cell>
          <cell r="B13043" t="str">
            <v>AP196516-2T2</v>
          </cell>
          <cell r="O13043"/>
          <cell r="T13043"/>
        </row>
        <row r="13044">
          <cell r="A13044" t="str">
            <v>RFS/CELWAVE</v>
          </cell>
          <cell r="B13044" t="str">
            <v>AP196516-2TD</v>
          </cell>
          <cell r="O13044"/>
          <cell r="T13044"/>
        </row>
        <row r="13045">
          <cell r="A13045" t="str">
            <v>RFS/CELWAVE</v>
          </cell>
          <cell r="B13045" t="str">
            <v>AP196516-4T2</v>
          </cell>
          <cell r="O13045">
            <v>1.8873095100308599</v>
          </cell>
          <cell r="T13045">
            <v>0.48918723081279603</v>
          </cell>
        </row>
        <row r="13046">
          <cell r="A13046" t="str">
            <v>RFS/CELWAVE</v>
          </cell>
          <cell r="B13046" t="str">
            <v>AP196516-CT2</v>
          </cell>
          <cell r="O13046">
            <v>2.50615499614198</v>
          </cell>
          <cell r="T13046">
            <v>1.1870395398592999</v>
          </cell>
        </row>
        <row r="13047">
          <cell r="A13047" t="str">
            <v>RFS/CELWAVE</v>
          </cell>
          <cell r="B13047" t="str">
            <v>AP196516-T20</v>
          </cell>
          <cell r="O13047">
            <v>2.50615499614198</v>
          </cell>
          <cell r="T13047">
            <v>1.1870395398592999</v>
          </cell>
        </row>
        <row r="13048">
          <cell r="A13048" t="str">
            <v>RFS/CELWAVE</v>
          </cell>
          <cell r="B13048" t="str">
            <v>AP1965162T0</v>
          </cell>
          <cell r="O13048"/>
          <cell r="T13048"/>
        </row>
        <row r="13049">
          <cell r="A13049" t="str">
            <v>RFS/CELWAVE</v>
          </cell>
          <cell r="B13049" t="str">
            <v>AP196519-2TO</v>
          </cell>
          <cell r="O13049"/>
          <cell r="T13049"/>
        </row>
        <row r="13050">
          <cell r="A13050" t="str">
            <v>RFS/CELWAVE</v>
          </cell>
          <cell r="B13050" t="str">
            <v>AP1965516-2TO</v>
          </cell>
          <cell r="O13050"/>
          <cell r="T13050"/>
        </row>
        <row r="13051">
          <cell r="A13051" t="str">
            <v>RFS/CELWAVE</v>
          </cell>
          <cell r="B13051" t="str">
            <v>AP1965516-4TO</v>
          </cell>
          <cell r="O13051"/>
          <cell r="T13051"/>
        </row>
        <row r="13052">
          <cell r="A13052" t="str">
            <v>RFS/CELWAVE</v>
          </cell>
          <cell r="B13052" t="str">
            <v>AP198516-2TD</v>
          </cell>
          <cell r="O13052"/>
          <cell r="T13052"/>
        </row>
        <row r="13053">
          <cell r="A13053" t="str">
            <v>RFS/CELWAVE</v>
          </cell>
          <cell r="B13053" t="str">
            <v>AP1990014-2T0</v>
          </cell>
          <cell r="O13053"/>
          <cell r="T13053"/>
        </row>
        <row r="13054">
          <cell r="A13054" t="str">
            <v>RFS/CELWAVE</v>
          </cell>
          <cell r="B13054" t="str">
            <v>AP199014</v>
          </cell>
          <cell r="O13054"/>
          <cell r="T13054"/>
        </row>
        <row r="13055">
          <cell r="A13055" t="str">
            <v>RFS/CELWAVE</v>
          </cell>
          <cell r="B13055" t="str">
            <v>AP199014-2T0</v>
          </cell>
          <cell r="O13055">
            <v>1.8873095100308599</v>
          </cell>
          <cell r="T13055">
            <v>0.48918723081279603</v>
          </cell>
        </row>
        <row r="13056">
          <cell r="A13056" t="str">
            <v>RFS/CELWAVE</v>
          </cell>
          <cell r="B13056" t="str">
            <v>AP199014-2T2</v>
          </cell>
          <cell r="O13056"/>
          <cell r="T13056"/>
        </row>
        <row r="13057">
          <cell r="A13057" t="str">
            <v>RFS/CELWAVE</v>
          </cell>
          <cell r="B13057" t="str">
            <v>AP199014-4T0</v>
          </cell>
          <cell r="O13057">
            <v>1.8873095100308599</v>
          </cell>
          <cell r="T13057">
            <v>0.48918723081279603</v>
          </cell>
        </row>
        <row r="13058">
          <cell r="A13058" t="str">
            <v>RFS/CELWAVE</v>
          </cell>
          <cell r="B13058" t="str">
            <v>AP199016</v>
          </cell>
          <cell r="O13058"/>
          <cell r="T13058"/>
        </row>
        <row r="13059">
          <cell r="A13059" t="str">
            <v>RFS/CELWAVE</v>
          </cell>
          <cell r="B13059" t="str">
            <v>AP199016-2T0</v>
          </cell>
          <cell r="O13059">
            <v>3.8771551890432097</v>
          </cell>
          <cell r="T13059">
            <v>1.0055085991138599</v>
          </cell>
        </row>
        <row r="13060">
          <cell r="A13060" t="str">
            <v>RFS/CELWAVE</v>
          </cell>
          <cell r="B13060" t="str">
            <v>AP199016-2T2</v>
          </cell>
          <cell r="O13060"/>
          <cell r="T13060"/>
        </row>
        <row r="13061">
          <cell r="A13061" t="str">
            <v>RFS/CELWAVE</v>
          </cell>
          <cell r="B13061" t="str">
            <v>AP199016-2TO</v>
          </cell>
          <cell r="O13061">
            <v>2.6869208140432099</v>
          </cell>
          <cell r="T13061">
            <v>0.69691081814616684</v>
          </cell>
        </row>
        <row r="13062">
          <cell r="A13062" t="str">
            <v>RFS/CELWAVE</v>
          </cell>
          <cell r="B13062" t="str">
            <v>AP199016-4T0</v>
          </cell>
          <cell r="O13062">
            <v>2.6869208140432099</v>
          </cell>
          <cell r="T13062">
            <v>0.69691081814616684</v>
          </cell>
        </row>
        <row r="13063">
          <cell r="A13063" t="str">
            <v>RFS/CELWAVE</v>
          </cell>
          <cell r="B13063" t="str">
            <v>AP199016-CT0</v>
          </cell>
          <cell r="O13063">
            <v>3.8771551890432097</v>
          </cell>
          <cell r="T13063">
            <v>1.0055085991138599</v>
          </cell>
        </row>
        <row r="13064">
          <cell r="A13064" t="str">
            <v>RFS/CELWAVE</v>
          </cell>
          <cell r="B13064" t="str">
            <v>AP199016-CT2</v>
          </cell>
          <cell r="O13064">
            <v>3.8771551890432097</v>
          </cell>
          <cell r="T13064">
            <v>1.0055085991138599</v>
          </cell>
        </row>
        <row r="13065">
          <cell r="A13065" t="str">
            <v>RFS/CELWAVE</v>
          </cell>
          <cell r="B13065" t="str">
            <v>AP199016-ET2</v>
          </cell>
          <cell r="O13065">
            <v>3.8771551890432097</v>
          </cell>
          <cell r="T13065">
            <v>1.0055085991138599</v>
          </cell>
        </row>
        <row r="13066">
          <cell r="A13066" t="str">
            <v>RFS/CELWAVE</v>
          </cell>
          <cell r="B13066" t="str">
            <v>AP199018-2TO</v>
          </cell>
          <cell r="O13066"/>
          <cell r="T13066"/>
        </row>
        <row r="13067">
          <cell r="A13067" t="str">
            <v>RFS/CELWAVE</v>
          </cell>
          <cell r="B13067" t="str">
            <v>AP199314-2TO</v>
          </cell>
          <cell r="O13067"/>
          <cell r="T13067"/>
        </row>
        <row r="13068">
          <cell r="A13068" t="str">
            <v>RFS/CELWAVE</v>
          </cell>
          <cell r="B13068" t="str">
            <v>AP226516-22T0</v>
          </cell>
          <cell r="O13068"/>
          <cell r="T13068"/>
        </row>
        <row r="13069">
          <cell r="A13069" t="str">
            <v>RFS/CELWAVE</v>
          </cell>
          <cell r="B13069" t="str">
            <v>AP75-866512-CT4</v>
          </cell>
          <cell r="O13069"/>
          <cell r="T13069"/>
        </row>
        <row r="13070">
          <cell r="A13070" t="str">
            <v>RFS/CELWAVE</v>
          </cell>
          <cell r="B13070" t="str">
            <v>AP859012-42T0</v>
          </cell>
          <cell r="O13070">
            <v>2.6361414139999999</v>
          </cell>
          <cell r="T13070">
            <v>3.2894170619999996</v>
          </cell>
        </row>
        <row r="13071">
          <cell r="A13071" t="str">
            <v>RFS/CELWAVE</v>
          </cell>
          <cell r="B13071" t="str">
            <v>AP859012-42T6</v>
          </cell>
          <cell r="O13071">
            <v>2.6361414139999999</v>
          </cell>
          <cell r="T13071">
            <v>3.2894170619999996</v>
          </cell>
        </row>
        <row r="13072">
          <cell r="A13072" t="str">
            <v>RFS/CELWAVE</v>
          </cell>
          <cell r="B13072" t="str">
            <v>AP859014-12T0</v>
          </cell>
          <cell r="O13072">
            <v>5.2398962520000003</v>
          </cell>
          <cell r="T13072">
            <v>6.6282814499999994</v>
          </cell>
        </row>
        <row r="13073">
          <cell r="A13073" t="str">
            <v>RFS/CELWAVE</v>
          </cell>
          <cell r="B13073" t="str">
            <v>AP861011</v>
          </cell>
          <cell r="O13073"/>
          <cell r="T13073"/>
        </row>
        <row r="13074">
          <cell r="A13074" t="str">
            <v>RFS/CELWAVE</v>
          </cell>
          <cell r="B13074" t="str">
            <v>AP861014</v>
          </cell>
          <cell r="O13074"/>
          <cell r="T13074"/>
        </row>
        <row r="13075">
          <cell r="A13075" t="str">
            <v>RFS/CELWAVE</v>
          </cell>
          <cell r="B13075" t="str">
            <v>AP861214</v>
          </cell>
          <cell r="O13075"/>
          <cell r="T13075"/>
        </row>
        <row r="13076">
          <cell r="A13076" t="str">
            <v>RFS/CELWAVE</v>
          </cell>
          <cell r="B13076" t="str">
            <v>AP863715</v>
          </cell>
          <cell r="O13076"/>
          <cell r="T13076"/>
        </row>
        <row r="13077">
          <cell r="A13077" t="str">
            <v>RFS/CELWAVE</v>
          </cell>
          <cell r="B13077" t="str">
            <v>AP866017</v>
          </cell>
          <cell r="O13077"/>
          <cell r="T13077"/>
        </row>
        <row r="13078">
          <cell r="A13078" t="str">
            <v>RFS/CELWAVE</v>
          </cell>
          <cell r="B13078" t="str">
            <v>AP866513</v>
          </cell>
          <cell r="O13078"/>
          <cell r="T13078"/>
        </row>
        <row r="13079">
          <cell r="A13079" t="str">
            <v>RFS/CELWAVE</v>
          </cell>
          <cell r="B13079" t="str">
            <v>AP866516</v>
          </cell>
          <cell r="O13079"/>
          <cell r="T13079"/>
        </row>
        <row r="13080">
          <cell r="A13080" t="str">
            <v>RFS/CELWAVE</v>
          </cell>
          <cell r="B13080" t="str">
            <v>AP869011</v>
          </cell>
          <cell r="O13080"/>
          <cell r="T13080"/>
        </row>
        <row r="13081">
          <cell r="A13081" t="str">
            <v>RFS/CELWAVE</v>
          </cell>
          <cell r="B13081" t="str">
            <v>AP869014</v>
          </cell>
          <cell r="O13081"/>
          <cell r="T13081"/>
        </row>
        <row r="13082">
          <cell r="A13082" t="str">
            <v>RFS/CELWAVE</v>
          </cell>
          <cell r="B13082" t="str">
            <v>AP869014-CT0</v>
          </cell>
          <cell r="O13082"/>
          <cell r="T13082"/>
        </row>
        <row r="13083">
          <cell r="A13083" t="str">
            <v>RFS/CELWAVE</v>
          </cell>
          <cell r="B13083" t="str">
            <v>AP869014-T0</v>
          </cell>
          <cell r="O13083"/>
          <cell r="T13083"/>
        </row>
        <row r="13084">
          <cell r="A13084" t="str">
            <v>RFS/CELWAVE</v>
          </cell>
          <cell r="B13084" t="str">
            <v>AP881011</v>
          </cell>
          <cell r="O13084"/>
          <cell r="T13084"/>
        </row>
        <row r="13085">
          <cell r="A13085" t="str">
            <v>RFS/CELWAVE</v>
          </cell>
          <cell r="B13085" t="str">
            <v>AP881011-12TO</v>
          </cell>
          <cell r="O13085">
            <v>3.38282480903219</v>
          </cell>
          <cell r="T13085">
            <v>2.1664398848737103</v>
          </cell>
        </row>
        <row r="13086">
          <cell r="A13086" t="str">
            <v>RFS/CELWAVE</v>
          </cell>
          <cell r="B13086" t="str">
            <v>AP881205</v>
          </cell>
          <cell r="O13086"/>
          <cell r="T13086"/>
        </row>
        <row r="13087">
          <cell r="A13087" t="str">
            <v>RFS/CELWAVE</v>
          </cell>
          <cell r="B13087" t="str">
            <v>AP881208</v>
          </cell>
          <cell r="O13087"/>
          <cell r="T13087"/>
        </row>
        <row r="13088">
          <cell r="A13088" t="str">
            <v>RFS/CELWAVE</v>
          </cell>
          <cell r="B13088" t="str">
            <v>AP881211</v>
          </cell>
          <cell r="O13088">
            <v>3.38282480903219</v>
          </cell>
          <cell r="T13088">
            <v>2.1664398848737103</v>
          </cell>
        </row>
        <row r="13089">
          <cell r="A13089" t="str">
            <v>RFS/CELWAVE</v>
          </cell>
          <cell r="B13089" t="str">
            <v>AP886007</v>
          </cell>
          <cell r="O13089">
            <v>0.98378093963280688</v>
          </cell>
          <cell r="T13089">
            <v>0.36138706078599797</v>
          </cell>
        </row>
        <row r="13090">
          <cell r="A13090" t="str">
            <v>RFS/CELWAVE</v>
          </cell>
          <cell r="B13090" t="str">
            <v>AP8S81011</v>
          </cell>
          <cell r="O13090"/>
          <cell r="T13090"/>
        </row>
        <row r="13091">
          <cell r="A13091" t="str">
            <v>RFS/CELWAVE</v>
          </cell>
          <cell r="B13091" t="str">
            <v>AP901008</v>
          </cell>
          <cell r="O13091"/>
          <cell r="T13091"/>
        </row>
        <row r="13092">
          <cell r="A13092" t="str">
            <v>RFS/CELWAVE</v>
          </cell>
          <cell r="B13092" t="str">
            <v>AP901011</v>
          </cell>
          <cell r="O13092">
            <v>3.6846551890432098</v>
          </cell>
          <cell r="T13092">
            <v>1.8134706180620499</v>
          </cell>
        </row>
        <row r="13093">
          <cell r="A13093" t="str">
            <v>RFS/CELWAVE</v>
          </cell>
          <cell r="B13093" t="str">
            <v>AP901011-7</v>
          </cell>
          <cell r="O13093"/>
          <cell r="T13093"/>
        </row>
        <row r="13094">
          <cell r="A13094" t="str">
            <v>RFS/CELWAVE</v>
          </cell>
          <cell r="B13094" t="str">
            <v>AP901013</v>
          </cell>
          <cell r="O13094"/>
          <cell r="T13094"/>
        </row>
        <row r="13095">
          <cell r="A13095" t="str">
            <v>RFS/CELWAVE</v>
          </cell>
          <cell r="B13095" t="str">
            <v>AP901013-12T0</v>
          </cell>
          <cell r="O13095"/>
          <cell r="T13095"/>
        </row>
        <row r="13096">
          <cell r="A13096" t="str">
            <v>RFS/CELWAVE</v>
          </cell>
          <cell r="B13096" t="str">
            <v>AP901208</v>
          </cell>
          <cell r="O13096"/>
          <cell r="T13096"/>
        </row>
        <row r="13097">
          <cell r="A13097" t="str">
            <v>RFS/CELWAVE</v>
          </cell>
          <cell r="B13097" t="str">
            <v>AP901210</v>
          </cell>
          <cell r="O13097"/>
          <cell r="T13097"/>
        </row>
        <row r="13098">
          <cell r="A13098" t="str">
            <v>RFS/CELWAVE</v>
          </cell>
          <cell r="B13098" t="str">
            <v>AP901213</v>
          </cell>
          <cell r="O13098">
            <v>7.7007184378952589</v>
          </cell>
          <cell r="T13098">
            <v>3.7924714186862802</v>
          </cell>
        </row>
        <row r="13099">
          <cell r="A13099" t="str">
            <v>RFS/CELWAVE</v>
          </cell>
          <cell r="B13099" t="str">
            <v>AP906510</v>
          </cell>
          <cell r="O13099"/>
          <cell r="T13099"/>
        </row>
        <row r="13100">
          <cell r="A13100" t="str">
            <v>RFS/CELWAVE</v>
          </cell>
          <cell r="B13100" t="str">
            <v>AP906513</v>
          </cell>
          <cell r="O13100"/>
          <cell r="T13100"/>
        </row>
        <row r="13101">
          <cell r="A13101" t="str">
            <v>RFS/CELWAVE</v>
          </cell>
          <cell r="B13101" t="str">
            <v>AP906516</v>
          </cell>
          <cell r="O13101"/>
          <cell r="T13101"/>
        </row>
        <row r="13102">
          <cell r="A13102" t="str">
            <v>RFS/CELWAVE</v>
          </cell>
          <cell r="B13102" t="str">
            <v>AP906516-11TO</v>
          </cell>
          <cell r="O13102"/>
          <cell r="T13102"/>
        </row>
        <row r="13103">
          <cell r="A13103" t="str">
            <v>RFS/CELWAVE</v>
          </cell>
          <cell r="B13103" t="str">
            <v>AP906516-T6</v>
          </cell>
          <cell r="O13103">
            <v>7.7007184378952589</v>
          </cell>
          <cell r="T13103">
            <v>3.7924714186862802</v>
          </cell>
        </row>
        <row r="13104">
          <cell r="A13104" t="str">
            <v>RFS/CELWAVE</v>
          </cell>
          <cell r="B13104" t="str">
            <v>AP909009</v>
          </cell>
          <cell r="O13104"/>
          <cell r="T13104"/>
        </row>
        <row r="13105">
          <cell r="A13105" t="str">
            <v>RFS/CELWAVE</v>
          </cell>
          <cell r="B13105" t="str">
            <v>AP909011</v>
          </cell>
          <cell r="O13105">
            <v>3.6846551890432098</v>
          </cell>
          <cell r="T13105">
            <v>1.8134706180620499</v>
          </cell>
        </row>
        <row r="13106">
          <cell r="A13106" t="str">
            <v>RFS/CELWAVE</v>
          </cell>
          <cell r="B13106" t="str">
            <v>AP909014</v>
          </cell>
          <cell r="O13106"/>
          <cell r="T13106"/>
        </row>
        <row r="13107">
          <cell r="A13107" t="str">
            <v>RFS/CELWAVE</v>
          </cell>
          <cell r="B13107" t="str">
            <v>AP909014-CT0</v>
          </cell>
          <cell r="O13107"/>
          <cell r="T13107"/>
        </row>
        <row r="13108">
          <cell r="A13108" t="str">
            <v>RFS/CELWAVE</v>
          </cell>
          <cell r="B13108" t="str">
            <v>AP916017</v>
          </cell>
          <cell r="O13108"/>
          <cell r="T13108"/>
        </row>
        <row r="13109">
          <cell r="A13109" t="str">
            <v>RFS/CELWAVE</v>
          </cell>
          <cell r="B13109" t="str">
            <v>AP923712</v>
          </cell>
          <cell r="O13109"/>
          <cell r="T13109"/>
        </row>
        <row r="13110">
          <cell r="A13110" t="str">
            <v>RFS/CELWAVE</v>
          </cell>
          <cell r="B13110" t="str">
            <v>AP923715</v>
          </cell>
          <cell r="O13110"/>
          <cell r="T13110"/>
        </row>
        <row r="13111">
          <cell r="A13111" t="str">
            <v>RFS/CELWAVE</v>
          </cell>
          <cell r="B13111" t="str">
            <v>AP923715-14T0</v>
          </cell>
          <cell r="O13111"/>
          <cell r="T13111"/>
        </row>
        <row r="13112">
          <cell r="A13112" t="str">
            <v>RFS/CELWAVE</v>
          </cell>
          <cell r="B13112" t="str">
            <v>APC197003</v>
          </cell>
          <cell r="O13112"/>
          <cell r="T13112"/>
        </row>
        <row r="13113">
          <cell r="A13113" t="str">
            <v>RFS/CELWAVE</v>
          </cell>
          <cell r="B13113" t="str">
            <v>APC867503</v>
          </cell>
          <cell r="O13113"/>
          <cell r="T13113"/>
        </row>
        <row r="13114">
          <cell r="A13114" t="str">
            <v>RFS/CELWAVE</v>
          </cell>
          <cell r="B13114" t="str">
            <v>APC917503</v>
          </cell>
          <cell r="O13114"/>
          <cell r="T13114"/>
        </row>
        <row r="13115">
          <cell r="A13115" t="str">
            <v>RFS/CELWAVE</v>
          </cell>
          <cell r="B13115" t="str">
            <v>APD88/196013/16</v>
          </cell>
          <cell r="O13115"/>
          <cell r="T13115"/>
        </row>
        <row r="13116">
          <cell r="A13116" t="str">
            <v>RFS/CELWAVE</v>
          </cell>
          <cell r="B13116" t="str">
            <v>APL 199014-42T5</v>
          </cell>
          <cell r="O13116">
            <v>1.7050567619999999</v>
          </cell>
          <cell r="T13116">
            <v>1.6238322139999999</v>
          </cell>
        </row>
        <row r="13117">
          <cell r="A13117" t="str">
            <v>RFS/CELWAVE</v>
          </cell>
          <cell r="B13117" t="str">
            <v>APL196513</v>
          </cell>
          <cell r="O13117">
            <v>1.065156499</v>
          </cell>
          <cell r="T13117">
            <v>0.78443611599999996</v>
          </cell>
        </row>
        <row r="13118">
          <cell r="A13118" t="str">
            <v>RFS/CELWAVE</v>
          </cell>
          <cell r="B13118" t="str">
            <v>APL196513-42T0</v>
          </cell>
          <cell r="O13118">
            <v>1.065156499</v>
          </cell>
          <cell r="T13118">
            <v>0.78443611599999996</v>
          </cell>
        </row>
        <row r="13119">
          <cell r="A13119" t="str">
            <v>RFS/CELWAVE</v>
          </cell>
          <cell r="B13119" t="str">
            <v>APL196513-44T0</v>
          </cell>
          <cell r="O13119">
            <v>1.065156499</v>
          </cell>
          <cell r="T13119">
            <v>0.78443611599999996</v>
          </cell>
        </row>
        <row r="13120">
          <cell r="A13120" t="str">
            <v>RFS/CELWAVE</v>
          </cell>
          <cell r="B13120" t="str">
            <v>APL196516</v>
          </cell>
          <cell r="O13120">
            <v>3.0161379180000001</v>
          </cell>
          <cell r="T13120">
            <v>2.2449858599999999</v>
          </cell>
        </row>
        <row r="13121">
          <cell r="A13121" t="str">
            <v>RFS/CELWAVE</v>
          </cell>
          <cell r="B13121" t="str">
            <v>APL196516-2TD</v>
          </cell>
          <cell r="O13121"/>
          <cell r="T13121"/>
        </row>
        <row r="13122">
          <cell r="A13122" t="str">
            <v>RFS/CELWAVE</v>
          </cell>
          <cell r="B13122" t="str">
            <v>APL196516-42T0</v>
          </cell>
          <cell r="O13122">
            <v>3.0161379180000001</v>
          </cell>
          <cell r="T13122">
            <v>2.2449858599999999</v>
          </cell>
        </row>
        <row r="13123">
          <cell r="A13123" t="str">
            <v>RFS/CELWAVE</v>
          </cell>
          <cell r="B13123" t="str">
            <v>APL196516-42T2</v>
          </cell>
          <cell r="O13123">
            <v>3.0161379180000001</v>
          </cell>
          <cell r="T13123">
            <v>2.2449858599999999</v>
          </cell>
        </row>
        <row r="13124">
          <cell r="A13124" t="str">
            <v>RFS/CELWAVE</v>
          </cell>
          <cell r="B13124" t="str">
            <v>APL199012</v>
          </cell>
          <cell r="O13124">
            <v>0.81340521300000002</v>
          </cell>
          <cell r="T13124">
            <v>0.76515302799999985</v>
          </cell>
        </row>
        <row r="13125">
          <cell r="A13125" t="str">
            <v>RFS/CELWAVE</v>
          </cell>
          <cell r="B13125" t="str">
            <v>APL199012-42T0</v>
          </cell>
          <cell r="O13125">
            <v>0.81340521300000002</v>
          </cell>
          <cell r="T13125">
            <v>0.76515302799999985</v>
          </cell>
        </row>
        <row r="13126">
          <cell r="A13126" t="str">
            <v>RFS/CELWAVE</v>
          </cell>
          <cell r="B13126" t="str">
            <v>APL199014</v>
          </cell>
          <cell r="O13126">
            <v>1.7050567619999999</v>
          </cell>
          <cell r="T13126">
            <v>1.6238322139999999</v>
          </cell>
        </row>
        <row r="13127">
          <cell r="A13127" t="str">
            <v>RFS/CELWAVE</v>
          </cell>
          <cell r="B13127" t="str">
            <v>APL199014-42T0</v>
          </cell>
          <cell r="O13127">
            <v>1.7050567619999999</v>
          </cell>
          <cell r="T13127">
            <v>1.6238322139999999</v>
          </cell>
        </row>
        <row r="13128">
          <cell r="A13128" t="str">
            <v>RFS/CELWAVE</v>
          </cell>
          <cell r="B13128" t="str">
            <v>APL199014-42T2</v>
          </cell>
          <cell r="O13128">
            <v>1.7050567619999999</v>
          </cell>
          <cell r="T13128">
            <v>1.6238322139999999</v>
          </cell>
        </row>
        <row r="13129">
          <cell r="A13129" t="str">
            <v>RFS/CELWAVE</v>
          </cell>
          <cell r="B13129" t="str">
            <v>APL199014-42T5</v>
          </cell>
          <cell r="O13129">
            <v>1.7050567619999999</v>
          </cell>
          <cell r="T13129">
            <v>1.6238322139999999</v>
          </cell>
        </row>
        <row r="13130">
          <cell r="A13130" t="str">
            <v>RFS/CELWAVE</v>
          </cell>
          <cell r="B13130" t="str">
            <v>APL199014-42TO</v>
          </cell>
          <cell r="O13130">
            <v>1.7050567619999999</v>
          </cell>
          <cell r="T13130">
            <v>1.6238322139999999</v>
          </cell>
        </row>
        <row r="13131">
          <cell r="A13131" t="str">
            <v>RFS/CELWAVE</v>
          </cell>
          <cell r="B13131" t="str">
            <v>APL199014-44T0</v>
          </cell>
          <cell r="O13131">
            <v>1.7050567619999999</v>
          </cell>
          <cell r="T13131">
            <v>1.6238322139999999</v>
          </cell>
        </row>
        <row r="13132">
          <cell r="A13132" t="str">
            <v>RFS/CELWAVE</v>
          </cell>
          <cell r="B13132" t="str">
            <v>APL199014-44T2</v>
          </cell>
          <cell r="O13132">
            <v>1.7050567619999999</v>
          </cell>
          <cell r="T13132">
            <v>1.6238322139999999</v>
          </cell>
        </row>
        <row r="13133">
          <cell r="A13133" t="str">
            <v>RFS/CELWAVE</v>
          </cell>
          <cell r="B13133" t="str">
            <v>APL199016</v>
          </cell>
          <cell r="O13133">
            <v>3.4832786909999998</v>
          </cell>
          <cell r="T13133">
            <v>2.5954387479999999</v>
          </cell>
        </row>
        <row r="13134">
          <cell r="A13134" t="str">
            <v>RFS/CELWAVE</v>
          </cell>
          <cell r="B13134" t="str">
            <v>APL199016-4272</v>
          </cell>
          <cell r="O13134"/>
          <cell r="T13134"/>
        </row>
        <row r="13135">
          <cell r="A13135" t="str">
            <v>RFS/CELWAVE</v>
          </cell>
          <cell r="B13135" t="str">
            <v>APL199016-42T0</v>
          </cell>
          <cell r="O13135">
            <v>3.4832786909999998</v>
          </cell>
          <cell r="T13135">
            <v>2.5954387479999999</v>
          </cell>
        </row>
        <row r="13136">
          <cell r="A13136" t="str">
            <v>RFS/CELWAVE</v>
          </cell>
          <cell r="B13136" t="str">
            <v>APL199016-42T2</v>
          </cell>
          <cell r="O13136">
            <v>3.4832786909999998</v>
          </cell>
          <cell r="T13136">
            <v>2.5954387479999999</v>
          </cell>
        </row>
        <row r="13137">
          <cell r="A13137" t="str">
            <v>RFS/CELWAVE</v>
          </cell>
          <cell r="B13137" t="str">
            <v>APL86012-12TO</v>
          </cell>
          <cell r="O13137"/>
          <cell r="T13137"/>
        </row>
        <row r="13138">
          <cell r="A13138" t="str">
            <v>RFS/CELWAVE</v>
          </cell>
          <cell r="B13138" t="str">
            <v>APL866513</v>
          </cell>
          <cell r="O13138">
            <v>3.9631423670000001</v>
          </cell>
          <cell r="T13138">
            <v>3.2950914509999998</v>
          </cell>
        </row>
        <row r="13139">
          <cell r="A13139" t="str">
            <v>RFS/CELWAVE</v>
          </cell>
          <cell r="B13139" t="str">
            <v>APL866513-42T0</v>
          </cell>
          <cell r="O13139">
            <v>3.9631423670000001</v>
          </cell>
          <cell r="T13139">
            <v>3.2950914509999998</v>
          </cell>
        </row>
        <row r="13140">
          <cell r="A13140" t="str">
            <v>RFS/CELWAVE</v>
          </cell>
          <cell r="B13140" t="str">
            <v>APL866513-42T6</v>
          </cell>
          <cell r="O13140">
            <v>3.9631423670000001</v>
          </cell>
          <cell r="T13140">
            <v>3.2950914509999998</v>
          </cell>
        </row>
        <row r="13141">
          <cell r="A13141" t="str">
            <v>RFS/CELWAVE</v>
          </cell>
          <cell r="B13141" t="str">
            <v>APL866516</v>
          </cell>
          <cell r="O13141">
            <v>8.0699150760000009</v>
          </cell>
          <cell r="T13141">
            <v>6.8468229889999996</v>
          </cell>
        </row>
        <row r="13142">
          <cell r="A13142" t="str">
            <v>RFS/CELWAVE</v>
          </cell>
          <cell r="B13142" t="str">
            <v>APL866516-12T0</v>
          </cell>
          <cell r="O13142">
            <v>8.0699150760000009</v>
          </cell>
          <cell r="T13142">
            <v>6.8468229889999996</v>
          </cell>
        </row>
        <row r="13143">
          <cell r="A13143" t="str">
            <v>RFS/CELWAVE</v>
          </cell>
          <cell r="B13143" t="str">
            <v>APL866516-42T4</v>
          </cell>
          <cell r="O13143">
            <v>8.0699150760000009</v>
          </cell>
          <cell r="T13143">
            <v>6.8468229889999996</v>
          </cell>
        </row>
        <row r="13144">
          <cell r="A13144" t="str">
            <v>RFS/CELWAVE</v>
          </cell>
          <cell r="B13144" t="str">
            <v>APL866516-42TO</v>
          </cell>
          <cell r="O13144">
            <v>8.0699150760000009</v>
          </cell>
          <cell r="T13144">
            <v>6.8468229889999996</v>
          </cell>
        </row>
        <row r="13145">
          <cell r="A13145" t="str">
            <v>RFS/CELWAVE</v>
          </cell>
          <cell r="B13145" t="str">
            <v>APL868010</v>
          </cell>
          <cell r="O13145"/>
          <cell r="T13145"/>
        </row>
        <row r="13146">
          <cell r="A13146" t="str">
            <v>RFS/CELWAVE</v>
          </cell>
          <cell r="B13146" t="str">
            <v>APL868013</v>
          </cell>
          <cell r="O13146">
            <v>2.6361414139999999</v>
          </cell>
          <cell r="T13146">
            <v>3.2894170619999996</v>
          </cell>
        </row>
        <row r="13147">
          <cell r="A13147" t="str">
            <v>RFS/CELWAVE</v>
          </cell>
          <cell r="B13147" t="str">
            <v>APL868013-12T0</v>
          </cell>
          <cell r="O13147">
            <v>2.6361414139999999</v>
          </cell>
          <cell r="T13147">
            <v>3.2894170619999996</v>
          </cell>
        </row>
        <row r="13148">
          <cell r="A13148" t="str">
            <v>RFS/CELWAVE</v>
          </cell>
          <cell r="B13148" t="str">
            <v>APL868013-12TO</v>
          </cell>
          <cell r="O13148"/>
          <cell r="T13148"/>
        </row>
        <row r="13149">
          <cell r="A13149" t="str">
            <v>RFS/CELWAVE</v>
          </cell>
          <cell r="B13149" t="str">
            <v>APL868013-42T0</v>
          </cell>
          <cell r="O13149">
            <v>2.6361414139999999</v>
          </cell>
          <cell r="T13149">
            <v>3.2894170619999996</v>
          </cell>
        </row>
        <row r="13150">
          <cell r="A13150" t="str">
            <v>RFS/CELWAVE</v>
          </cell>
          <cell r="B13150" t="str">
            <v>APL868013-42T4</v>
          </cell>
          <cell r="O13150">
            <v>2.6361414139999999</v>
          </cell>
          <cell r="T13150">
            <v>3.2894170619999996</v>
          </cell>
        </row>
        <row r="13151">
          <cell r="A13151" t="str">
            <v>RFS/CELWAVE</v>
          </cell>
          <cell r="B13151" t="str">
            <v>APL8690-12TO</v>
          </cell>
          <cell r="O13151"/>
          <cell r="T13151"/>
        </row>
        <row r="13152">
          <cell r="A13152" t="str">
            <v>RFS/CELWAVE</v>
          </cell>
          <cell r="B13152" t="str">
            <v>APL869009</v>
          </cell>
          <cell r="O13152"/>
          <cell r="T13152"/>
        </row>
        <row r="13153">
          <cell r="A13153" t="str">
            <v>RFS/CELWAVE</v>
          </cell>
          <cell r="B13153" t="str">
            <v>APL869009-42T0</v>
          </cell>
          <cell r="O13153">
            <v>1.3156088834825799</v>
          </cell>
          <cell r="T13153">
            <v>1.59405667907746</v>
          </cell>
        </row>
        <row r="13154">
          <cell r="A13154" t="str">
            <v>RFS/CELWAVE</v>
          </cell>
          <cell r="B13154" t="str">
            <v>APL869009-44T0</v>
          </cell>
          <cell r="O13154">
            <v>1.3156088834825799</v>
          </cell>
          <cell r="T13154">
            <v>1.59405667907746</v>
          </cell>
        </row>
        <row r="13155">
          <cell r="A13155" t="str">
            <v>RFS/CELWAVE</v>
          </cell>
          <cell r="B13155" t="str">
            <v>APL869012</v>
          </cell>
          <cell r="O13155">
            <v>2.6361414139999999</v>
          </cell>
          <cell r="T13155">
            <v>3.2894170619999996</v>
          </cell>
        </row>
        <row r="13156">
          <cell r="A13156" t="str">
            <v>RFS/CELWAVE</v>
          </cell>
          <cell r="B13156" t="str">
            <v>APL869012-12T0</v>
          </cell>
          <cell r="O13156">
            <v>2.6361414139999999</v>
          </cell>
          <cell r="T13156">
            <v>3.2894170619999996</v>
          </cell>
        </row>
        <row r="13157">
          <cell r="A13157" t="str">
            <v>RFS/CELWAVE</v>
          </cell>
          <cell r="B13157" t="str">
            <v>APL869012-12T6</v>
          </cell>
          <cell r="O13157">
            <v>2.6361414139999999</v>
          </cell>
          <cell r="T13157">
            <v>3.2894170619999996</v>
          </cell>
        </row>
        <row r="13158">
          <cell r="A13158" t="str">
            <v>RFS/CELWAVE</v>
          </cell>
          <cell r="B13158" t="str">
            <v>APL869012-14T0</v>
          </cell>
          <cell r="O13158">
            <v>2.6361414139999999</v>
          </cell>
          <cell r="T13158">
            <v>3.2894170619999996</v>
          </cell>
        </row>
        <row r="13159">
          <cell r="A13159" t="str">
            <v>RFS/CELWAVE</v>
          </cell>
          <cell r="B13159" t="str">
            <v>APL869012-14T6</v>
          </cell>
          <cell r="O13159">
            <v>2.6361414139999999</v>
          </cell>
          <cell r="T13159">
            <v>3.2894170619999996</v>
          </cell>
        </row>
        <row r="13160">
          <cell r="A13160" t="str">
            <v>RFS/CELWAVE</v>
          </cell>
          <cell r="B13160" t="str">
            <v>APL869012-42T0</v>
          </cell>
          <cell r="O13160">
            <v>2.6361414139999999</v>
          </cell>
          <cell r="T13160">
            <v>3.2894170619999996</v>
          </cell>
        </row>
        <row r="13161">
          <cell r="A13161" t="str">
            <v>RFS/CELWAVE</v>
          </cell>
          <cell r="B13161" t="str">
            <v>APL869012-42T6</v>
          </cell>
          <cell r="O13161">
            <v>2.6361414139999999</v>
          </cell>
          <cell r="T13161">
            <v>3.2894170619999996</v>
          </cell>
        </row>
        <row r="13162">
          <cell r="A13162" t="str">
            <v>RFS/CELWAVE</v>
          </cell>
          <cell r="B13162" t="str">
            <v>APL869014</v>
          </cell>
          <cell r="O13162">
            <v>5.2398962520000003</v>
          </cell>
          <cell r="T13162">
            <v>6.6282814499999994</v>
          </cell>
        </row>
        <row r="13163">
          <cell r="A13163" t="str">
            <v>RFS/CELWAVE</v>
          </cell>
          <cell r="B13163" t="str">
            <v>APL869014-12T6</v>
          </cell>
          <cell r="O13163">
            <v>5.2398962520000003</v>
          </cell>
          <cell r="T13163">
            <v>6.6282814499999994</v>
          </cell>
        </row>
        <row r="13164">
          <cell r="A13164" t="str">
            <v>RFS/CELWAVE</v>
          </cell>
          <cell r="B13164" t="str">
            <v>APL869014-42T0</v>
          </cell>
          <cell r="O13164">
            <v>5.459800628</v>
          </cell>
          <cell r="T13164">
            <v>6.9178566559999997</v>
          </cell>
        </row>
        <row r="13165">
          <cell r="A13165" t="str">
            <v>RFS/CELWAVE</v>
          </cell>
          <cell r="B13165" t="str">
            <v>APL869014-42T6</v>
          </cell>
          <cell r="O13165"/>
          <cell r="T13165"/>
        </row>
        <row r="13166">
          <cell r="A13166" t="str">
            <v>RFS/CELWAVE</v>
          </cell>
          <cell r="B13166" t="str">
            <v>APL99014-TO</v>
          </cell>
          <cell r="O13166"/>
          <cell r="T13166"/>
        </row>
        <row r="13167">
          <cell r="A13167" t="str">
            <v>RFS/CELWAVE</v>
          </cell>
          <cell r="B13167" t="str">
            <v>APN189015</v>
          </cell>
          <cell r="O13167"/>
          <cell r="T13167"/>
        </row>
        <row r="13168">
          <cell r="A13168" t="str">
            <v>RFS/CELWAVE</v>
          </cell>
          <cell r="B13168" t="str">
            <v>APN196518</v>
          </cell>
          <cell r="O13168"/>
          <cell r="T13168"/>
        </row>
        <row r="13169">
          <cell r="A13169" t="str">
            <v>RFS/CELWAVE</v>
          </cell>
          <cell r="B13169" t="str">
            <v>APN196518-42T2</v>
          </cell>
          <cell r="O13169"/>
          <cell r="T13169"/>
        </row>
        <row r="13170">
          <cell r="A13170" t="str">
            <v>RFS/CELWAVE</v>
          </cell>
          <cell r="B13170" t="str">
            <v>APN199012</v>
          </cell>
          <cell r="O13170"/>
          <cell r="T13170"/>
        </row>
        <row r="13171">
          <cell r="A13171" t="str">
            <v>RFS/CELWAVE</v>
          </cell>
          <cell r="B13171" t="str">
            <v>APN199015</v>
          </cell>
          <cell r="O13171">
            <v>2.8424031342370801</v>
          </cell>
          <cell r="T13171">
            <v>1.2168870881500899</v>
          </cell>
        </row>
        <row r="13172">
          <cell r="A13172" t="str">
            <v>RFS/CELWAVE</v>
          </cell>
          <cell r="B13172" t="str">
            <v>APP863011</v>
          </cell>
          <cell r="O13172"/>
          <cell r="T13172"/>
        </row>
        <row r="13173">
          <cell r="A13173" t="str">
            <v>RFS/CELWAVE</v>
          </cell>
          <cell r="B13173" t="str">
            <v>APR192-30-17-4N</v>
          </cell>
          <cell r="O13173"/>
          <cell r="T13173"/>
        </row>
        <row r="13174">
          <cell r="A13174" t="str">
            <v>RFS/CELWAVE</v>
          </cell>
          <cell r="B13174" t="str">
            <v>APR192-30-19-4N</v>
          </cell>
          <cell r="O13174"/>
          <cell r="T13174"/>
        </row>
        <row r="13175">
          <cell r="A13175" t="str">
            <v>RFS/CELWAVE</v>
          </cell>
          <cell r="B13175" t="str">
            <v>APR859-30-12-4N</v>
          </cell>
          <cell r="O13175"/>
          <cell r="T13175"/>
        </row>
        <row r="13176">
          <cell r="A13176" t="str">
            <v>RFS/CELWAVE</v>
          </cell>
          <cell r="B13176" t="str">
            <v>APR859-30-18-4N</v>
          </cell>
          <cell r="O13176"/>
          <cell r="T13176"/>
        </row>
        <row r="13177">
          <cell r="A13177" t="str">
            <v>RFS/CELWAVE</v>
          </cell>
          <cell r="B13177" t="str">
            <v>APU864615</v>
          </cell>
          <cell r="O13177"/>
          <cell r="T13177"/>
        </row>
        <row r="13178">
          <cell r="A13178" t="str">
            <v>RFS/CELWAVE</v>
          </cell>
          <cell r="B13178" t="str">
            <v>APV194615</v>
          </cell>
          <cell r="O13178"/>
          <cell r="T13178"/>
        </row>
        <row r="13179">
          <cell r="A13179" t="str">
            <v>RFS/CELWAVE</v>
          </cell>
          <cell r="B13179" t="str">
            <v>APV194615-42T0</v>
          </cell>
          <cell r="O13179"/>
          <cell r="T13179"/>
        </row>
        <row r="13180">
          <cell r="A13180" t="str">
            <v>RFS/CELWAVE</v>
          </cell>
          <cell r="B13180" t="str">
            <v>APV194615-42TO</v>
          </cell>
          <cell r="O13180"/>
          <cell r="T13180"/>
        </row>
        <row r="13181">
          <cell r="A13181" t="str">
            <v>RFS/CELWAVE</v>
          </cell>
          <cell r="B13181" t="str">
            <v>APV864612</v>
          </cell>
          <cell r="O13181">
            <v>5.0571350340008498</v>
          </cell>
          <cell r="T13181">
            <v>1.00952275293571</v>
          </cell>
        </row>
        <row r="13182">
          <cell r="A13182" t="str">
            <v>RFS/CELWAVE</v>
          </cell>
          <cell r="B13182" t="str">
            <v>APV864615</v>
          </cell>
          <cell r="O13182">
            <v>10.033368389239001</v>
          </cell>
          <cell r="T13182">
            <v>1.73632765838758</v>
          </cell>
        </row>
        <row r="13183">
          <cell r="A13183" t="str">
            <v>RFS/CELWAVE</v>
          </cell>
          <cell r="B13183" t="str">
            <v>APV914615</v>
          </cell>
          <cell r="O13183"/>
          <cell r="T13183"/>
        </row>
        <row r="13184">
          <cell r="A13184" t="str">
            <v>RFS/CELWAVE</v>
          </cell>
          <cell r="B13184" t="str">
            <v>APX15GV-15DWV-C</v>
          </cell>
          <cell r="O13184">
            <v>4.92906259830922</v>
          </cell>
          <cell r="T13184">
            <v>1.9272103532204998</v>
          </cell>
        </row>
        <row r="13185">
          <cell r="A13185" t="str">
            <v>RFS/CELWAVE</v>
          </cell>
          <cell r="B13185" t="str">
            <v>APX15PV-15PV-2</v>
          </cell>
          <cell r="O13185">
            <v>5.7642312889999996</v>
          </cell>
          <cell r="T13185">
            <v>1.3925238579999999</v>
          </cell>
        </row>
        <row r="13186">
          <cell r="A13186" t="str">
            <v>RFS/CELWAVE</v>
          </cell>
          <cell r="B13186" t="str">
            <v>APX15PV-15PVL</v>
          </cell>
          <cell r="O13186">
            <v>5.7642312889999996</v>
          </cell>
          <cell r="T13186">
            <v>1.3925238579999999</v>
          </cell>
        </row>
        <row r="13187">
          <cell r="A13187" t="str">
            <v>RFS/CELWAVE</v>
          </cell>
          <cell r="B13187" t="str">
            <v>APX16DWV-16DWV-S-E-A20</v>
          </cell>
          <cell r="O13187">
            <v>6.26</v>
          </cell>
          <cell r="T13187">
            <v>1.5</v>
          </cell>
        </row>
        <row r="13188">
          <cell r="A13188" t="str">
            <v>RFS/CELWAVE</v>
          </cell>
          <cell r="B13188" t="str">
            <v>APX16DWV-16DWV-S-E-ACU</v>
          </cell>
          <cell r="O13188">
            <v>5.9186005019999994</v>
          </cell>
          <cell r="T13188">
            <v>1.4170532009999999</v>
          </cell>
        </row>
        <row r="13189">
          <cell r="A13189" t="str">
            <v>RFS/CELWAVE</v>
          </cell>
          <cell r="B13189" t="str">
            <v>APX16DWV-16DWVL-C</v>
          </cell>
          <cell r="O13189">
            <v>5.9186005019999994</v>
          </cell>
          <cell r="T13189">
            <v>1.4170532009999999</v>
          </cell>
        </row>
        <row r="13190">
          <cell r="A13190" t="str">
            <v>RFS/CELWAVE</v>
          </cell>
          <cell r="B13190" t="str">
            <v>APX16DWV-16DWVS-C</v>
          </cell>
          <cell r="O13190">
            <v>6.260865162</v>
          </cell>
          <cell r="T13190">
            <v>1.4988564280000001</v>
          </cell>
        </row>
        <row r="13191">
          <cell r="A13191" t="str">
            <v>RFS/CELWAVE</v>
          </cell>
          <cell r="B13191" t="str">
            <v>APX16DWV-16DWVS-C-A20</v>
          </cell>
          <cell r="O13191">
            <v>6.260865162</v>
          </cell>
          <cell r="T13191">
            <v>1.4988564280000001</v>
          </cell>
        </row>
        <row r="13192">
          <cell r="A13192" t="str">
            <v>RFS/CELWAVE</v>
          </cell>
          <cell r="B13192" t="str">
            <v>APX16DWV-16DWVS-E-A20</v>
          </cell>
          <cell r="O13192">
            <v>6.260865162</v>
          </cell>
          <cell r="T13192">
            <v>1.4988564280000001</v>
          </cell>
        </row>
        <row r="13193">
          <cell r="A13193" t="str">
            <v>RFS/CELWAVE</v>
          </cell>
          <cell r="B13193" t="str">
            <v>APX16DWV-16WVS-C-A20</v>
          </cell>
          <cell r="O13193">
            <v>6.260865162</v>
          </cell>
          <cell r="T13193">
            <v>1.4988564280000001</v>
          </cell>
        </row>
        <row r="13194">
          <cell r="A13194" t="str">
            <v>RFS/CELWAVE</v>
          </cell>
          <cell r="B13194" t="str">
            <v>APX16PV-16PVL</v>
          </cell>
          <cell r="O13194">
            <v>5.7642312889999996</v>
          </cell>
          <cell r="T13194">
            <v>1.3925238579999999</v>
          </cell>
        </row>
        <row r="13195">
          <cell r="A13195" t="str">
            <v>RFS/CELWAVE</v>
          </cell>
          <cell r="B13195" t="str">
            <v>APX16PV-16PVL-A</v>
          </cell>
          <cell r="O13195">
            <v>5.7642312889999996</v>
          </cell>
          <cell r="T13195">
            <v>1.3925238579999999</v>
          </cell>
        </row>
        <row r="13196">
          <cell r="A13196" t="str">
            <v>RFS/CELWAVE</v>
          </cell>
          <cell r="B13196" t="str">
            <v>APX16PV-16PVL-E</v>
          </cell>
          <cell r="O13196">
            <v>5.7642312889999996</v>
          </cell>
          <cell r="T13196">
            <v>1.3925238579999999</v>
          </cell>
        </row>
        <row r="13197">
          <cell r="A13197" t="str">
            <v>RFS/CELWAVE</v>
          </cell>
          <cell r="B13197" t="str">
            <v>APX17DWV-17DWV-C</v>
          </cell>
          <cell r="O13197">
            <v>7.9147907020000003</v>
          </cell>
          <cell r="T13197">
            <v>1.9237458549999997</v>
          </cell>
        </row>
        <row r="13198">
          <cell r="A13198" t="str">
            <v>RFS/CELWAVE</v>
          </cell>
          <cell r="B13198" t="str">
            <v>APX17DWV-17DWV-S</v>
          </cell>
          <cell r="O13198">
            <v>7.9147907020000003</v>
          </cell>
          <cell r="T13198">
            <v>1.9237458549999997</v>
          </cell>
        </row>
        <row r="13199">
          <cell r="A13199" t="str">
            <v>RFS/CELWAVE</v>
          </cell>
          <cell r="B13199" t="str">
            <v>APX17DWV-17DWV-S-E-A20</v>
          </cell>
          <cell r="O13199">
            <v>8.3913194439999987</v>
          </cell>
          <cell r="T13199">
            <v>2.0027978369999997</v>
          </cell>
        </row>
        <row r="13200">
          <cell r="A13200" t="str">
            <v>RFS/CELWAVE</v>
          </cell>
          <cell r="B13200" t="str">
            <v>APX17DWV-17DWV-S-E-ACU</v>
          </cell>
          <cell r="O13200">
            <v>7.9099999999999993</v>
          </cell>
          <cell r="T13200">
            <v>1.92</v>
          </cell>
        </row>
        <row r="13201">
          <cell r="A13201" t="str">
            <v>RFS/CELWAVE</v>
          </cell>
          <cell r="B13201" t="str">
            <v>APX17DWV-17DWVS-E-A20</v>
          </cell>
          <cell r="O13201">
            <v>8.3913194439999987</v>
          </cell>
          <cell r="T13201">
            <v>2.0027978369999997</v>
          </cell>
        </row>
        <row r="13202">
          <cell r="A13202" t="str">
            <v>RFS/CELWAVE</v>
          </cell>
          <cell r="B13202" t="str">
            <v>APX17DWV-17DWVS-E-A20_T-MOBILE</v>
          </cell>
          <cell r="O13202">
            <v>8.3913194439999987</v>
          </cell>
          <cell r="T13202">
            <v>2.0027978369999997</v>
          </cell>
        </row>
        <row r="13203">
          <cell r="A13203" t="str">
            <v>RFS/CELWAVE</v>
          </cell>
          <cell r="B13203" t="str">
            <v>APX18-206516L</v>
          </cell>
          <cell r="O13203">
            <v>2.5613565780000003</v>
          </cell>
          <cell r="T13203">
            <v>1.2111462749999999</v>
          </cell>
        </row>
        <row r="13204">
          <cell r="A13204" t="str">
            <v>RFS/CELWAVE</v>
          </cell>
          <cell r="B13204" t="str">
            <v>APX18-206516L-CT0</v>
          </cell>
          <cell r="O13204">
            <v>2.5613565780000003</v>
          </cell>
          <cell r="T13204">
            <v>1.2111462749999999</v>
          </cell>
        </row>
        <row r="13205">
          <cell r="A13205" t="str">
            <v>RFS/CELWAVE</v>
          </cell>
          <cell r="B13205" t="str">
            <v>APX18-206516L-CT2</v>
          </cell>
          <cell r="O13205">
            <v>2.5613565780000003</v>
          </cell>
          <cell r="T13205">
            <v>1.2111462749999999</v>
          </cell>
        </row>
        <row r="13206">
          <cell r="A13206" t="str">
            <v>RFS/CELWAVE</v>
          </cell>
          <cell r="B13206" t="str">
            <v>APX18-206517-CT2</v>
          </cell>
          <cell r="O13206">
            <v>3.562671682</v>
          </cell>
          <cell r="T13206">
            <v>1.687771031</v>
          </cell>
        </row>
        <row r="13207">
          <cell r="A13207" t="str">
            <v>RFS/CELWAVE</v>
          </cell>
          <cell r="B13207" t="str">
            <v>APX18-209014-CT2</v>
          </cell>
          <cell r="O13207">
            <v>2.3584485920000002</v>
          </cell>
          <cell r="T13207">
            <v>1.1175688779999999</v>
          </cell>
        </row>
        <row r="13208">
          <cell r="A13208" t="str">
            <v>RFS/CELWAVE</v>
          </cell>
          <cell r="B13208" t="str">
            <v>APX18-209015-CT2</v>
          </cell>
          <cell r="O13208">
            <v>3.562671682</v>
          </cell>
          <cell r="T13208">
            <v>1.687771031</v>
          </cell>
        </row>
        <row r="13209">
          <cell r="A13209" t="str">
            <v>RFS/CELWAVE</v>
          </cell>
          <cell r="B13209" t="str">
            <v>APX189015-7T2</v>
          </cell>
          <cell r="O13209"/>
          <cell r="T13209"/>
        </row>
        <row r="13210">
          <cell r="A13210" t="str">
            <v>RFS/CELWAVE</v>
          </cell>
          <cell r="B13210" t="str">
            <v>APX196516-2T2</v>
          </cell>
          <cell r="O13210"/>
          <cell r="T13210"/>
        </row>
        <row r="13211">
          <cell r="A13211" t="str">
            <v>RFS/CELWAVE</v>
          </cell>
          <cell r="B13211" t="str">
            <v>APX196516L-7T2</v>
          </cell>
          <cell r="O13211"/>
          <cell r="T13211"/>
        </row>
        <row r="13212">
          <cell r="A13212" t="str">
            <v>RFS/CELWAVE</v>
          </cell>
          <cell r="B13212" t="str">
            <v>APX196516S</v>
          </cell>
          <cell r="O13212"/>
          <cell r="T13212"/>
        </row>
        <row r="13213">
          <cell r="A13213" t="str">
            <v>RFS/CELWAVE</v>
          </cell>
          <cell r="B13213" t="str">
            <v>APX199015-CT2</v>
          </cell>
          <cell r="O13213">
            <v>3.6511607830000004</v>
          </cell>
          <cell r="T13213">
            <v>1.7244751899999999</v>
          </cell>
        </row>
        <row r="13214">
          <cell r="A13214" t="str">
            <v>RFS/CELWAVE</v>
          </cell>
          <cell r="B13214" t="str">
            <v>APX199015S</v>
          </cell>
          <cell r="O13214"/>
          <cell r="T13214"/>
        </row>
        <row r="13215">
          <cell r="A13215" t="str">
            <v>RFS/CELWAVE</v>
          </cell>
          <cell r="B13215" t="str">
            <v>APX75-864014-CT2</v>
          </cell>
          <cell r="O13215">
            <v>9.5815007716049401</v>
          </cell>
          <cell r="T13215">
            <v>2.5271200278945503</v>
          </cell>
        </row>
        <row r="13216">
          <cell r="A13216" t="str">
            <v>RFS/CELWAVE</v>
          </cell>
          <cell r="B13216" t="str">
            <v>APX75-864014-CT4</v>
          </cell>
          <cell r="O13216">
            <v>9.5815007716049401</v>
          </cell>
          <cell r="T13216">
            <v>2.5271200278945503</v>
          </cell>
        </row>
        <row r="13217">
          <cell r="A13217" t="str">
            <v>RFS/CELWAVE</v>
          </cell>
          <cell r="B13217" t="str">
            <v>APX75-864014-CT6</v>
          </cell>
          <cell r="O13217">
            <v>9.5815007716049401</v>
          </cell>
          <cell r="T13217">
            <v>2.5271200278945503</v>
          </cell>
        </row>
        <row r="13218">
          <cell r="A13218" t="str">
            <v>RFS/CELWAVE</v>
          </cell>
          <cell r="B13218" t="str">
            <v>APX75-864016-CT0</v>
          </cell>
          <cell r="O13218">
            <v>14.31966134</v>
          </cell>
          <cell r="T13218">
            <v>3.78592387</v>
          </cell>
        </row>
        <row r="13219">
          <cell r="A13219" t="str">
            <v>RFS/CELWAVE</v>
          </cell>
          <cell r="B13219" t="str">
            <v>APX75-866512-CT10</v>
          </cell>
          <cell r="O13219">
            <v>6.112065971999999</v>
          </cell>
          <cell r="T13219">
            <v>2.374815838</v>
          </cell>
        </row>
        <row r="13220">
          <cell r="A13220" t="str">
            <v>RFS/CELWAVE</v>
          </cell>
          <cell r="B13220" t="str">
            <v>APX75-866512-CT14</v>
          </cell>
          <cell r="O13220">
            <v>6.112065971999999</v>
          </cell>
          <cell r="T13220">
            <v>2.374815838</v>
          </cell>
        </row>
        <row r="13221">
          <cell r="A13221" t="str">
            <v>RFS/CELWAVE</v>
          </cell>
          <cell r="B13221" t="str">
            <v>APX75-866512-CT2</v>
          </cell>
          <cell r="O13221">
            <v>6.112065971999999</v>
          </cell>
          <cell r="T13221">
            <v>2.374815838</v>
          </cell>
        </row>
        <row r="13222">
          <cell r="A13222" t="str">
            <v>RFS/CELWAVE</v>
          </cell>
          <cell r="B13222" t="str">
            <v>APX75-866512-CT4</v>
          </cell>
          <cell r="O13222">
            <v>6.112065971999999</v>
          </cell>
          <cell r="T13222">
            <v>2.374815838</v>
          </cell>
        </row>
        <row r="13223">
          <cell r="A13223" t="str">
            <v>RFS/CELWAVE</v>
          </cell>
          <cell r="B13223" t="str">
            <v>APX75-866514-CT0</v>
          </cell>
          <cell r="O13223">
            <v>9.8221788189999995</v>
          </cell>
          <cell r="T13223">
            <v>3.8164503519999999</v>
          </cell>
        </row>
        <row r="13224">
          <cell r="A13224" t="str">
            <v>RFS/CELWAVE</v>
          </cell>
          <cell r="B13224" t="str">
            <v>APX75-866514-CT2</v>
          </cell>
          <cell r="O13224">
            <v>9.8221788189999995</v>
          </cell>
          <cell r="T13224">
            <v>3.8164503519999999</v>
          </cell>
        </row>
        <row r="13225">
          <cell r="A13225" t="str">
            <v>RFS/CELWAVE</v>
          </cell>
          <cell r="B13225" t="str">
            <v>APX75-866514-CT4</v>
          </cell>
          <cell r="O13225">
            <v>9.8221788189999995</v>
          </cell>
          <cell r="T13225">
            <v>3.8164503519999999</v>
          </cell>
        </row>
        <row r="13226">
          <cell r="A13226" t="str">
            <v>RFS/CELWAVE</v>
          </cell>
          <cell r="B13226" t="str">
            <v>APX75-866514-CT6</v>
          </cell>
          <cell r="O13226">
            <v>9.8221788189999995</v>
          </cell>
          <cell r="T13226">
            <v>3.8164503519999999</v>
          </cell>
        </row>
        <row r="13227">
          <cell r="A13227" t="str">
            <v>RFS/CELWAVE</v>
          </cell>
          <cell r="B13227" t="str">
            <v>APX75-866514-CT8</v>
          </cell>
          <cell r="O13227">
            <v>9.8221788189999995</v>
          </cell>
          <cell r="T13227">
            <v>3.8164503519999999</v>
          </cell>
        </row>
        <row r="13228">
          <cell r="A13228" t="str">
            <v>RFS/CELWAVE</v>
          </cell>
          <cell r="B13228" t="str">
            <v>APX75-866515-CT0</v>
          </cell>
          <cell r="O13228">
            <v>10.10053018</v>
          </cell>
          <cell r="T13228">
            <v>3.7528509160000003</v>
          </cell>
        </row>
        <row r="13229">
          <cell r="A13229" t="str">
            <v>RFS/CELWAVE</v>
          </cell>
          <cell r="B13229" t="str">
            <v>APX75-866515-CT2</v>
          </cell>
          <cell r="O13229">
            <v>10.10053018</v>
          </cell>
          <cell r="T13229">
            <v>3.7528509160000003</v>
          </cell>
        </row>
        <row r="13230">
          <cell r="A13230" t="str">
            <v>RFS/CELWAVE</v>
          </cell>
          <cell r="B13230" t="str">
            <v>APX75-866515-CT4</v>
          </cell>
          <cell r="O13230">
            <v>10.10053018</v>
          </cell>
          <cell r="T13230">
            <v>3.7528509160000003</v>
          </cell>
        </row>
        <row r="13231">
          <cell r="A13231" t="str">
            <v>RFS/CELWAVE</v>
          </cell>
          <cell r="B13231" t="str">
            <v>APX75-866515-CT6</v>
          </cell>
          <cell r="O13231">
            <v>10.10053018</v>
          </cell>
          <cell r="T13231">
            <v>3.7528509160000003</v>
          </cell>
        </row>
        <row r="13232">
          <cell r="A13232" t="str">
            <v>RFS/CELWAVE</v>
          </cell>
          <cell r="B13232" t="str">
            <v>APX75-868011-CT2</v>
          </cell>
          <cell r="O13232">
            <v>4.9579824139999991</v>
          </cell>
          <cell r="T13232">
            <v>2.605557686</v>
          </cell>
        </row>
        <row r="13233">
          <cell r="A13233" t="str">
            <v>RFS/CELWAVE</v>
          </cell>
          <cell r="B13233" t="str">
            <v>APX75-868013-CT0</v>
          </cell>
          <cell r="O13233">
            <v>8.1557339889999998</v>
          </cell>
          <cell r="T13233">
            <v>4.2863408659999997</v>
          </cell>
        </row>
        <row r="13234">
          <cell r="A13234" t="str">
            <v>RFS/CELWAVE</v>
          </cell>
          <cell r="B13234" t="str">
            <v>APX75-868013-CT4</v>
          </cell>
          <cell r="O13234">
            <v>8.1557339889999998</v>
          </cell>
          <cell r="T13234">
            <v>4.2863408659999997</v>
          </cell>
        </row>
        <row r="13235">
          <cell r="A13235" t="str">
            <v>RFS/CELWAVE</v>
          </cell>
          <cell r="B13235" t="str">
            <v>APX75-868013-CTX</v>
          </cell>
          <cell r="O13235">
            <v>8.1557339889999998</v>
          </cell>
          <cell r="T13235">
            <v>4.2863408659999997</v>
          </cell>
        </row>
        <row r="13236">
          <cell r="A13236" t="str">
            <v>RFS/CELWAVE</v>
          </cell>
          <cell r="B13236" t="str">
            <v>APX75-868014-CT2</v>
          </cell>
          <cell r="O13236">
            <v>9.6913827069999989</v>
          </cell>
          <cell r="T13236">
            <v>5.0938072129999998</v>
          </cell>
        </row>
        <row r="13237">
          <cell r="A13237" t="str">
            <v>RFS/CELWAVE</v>
          </cell>
          <cell r="B13237" t="str">
            <v>APX75-868014-CT6</v>
          </cell>
          <cell r="O13237">
            <v>9.6913827069999989</v>
          </cell>
          <cell r="T13237">
            <v>5.0938072129999998</v>
          </cell>
        </row>
        <row r="13238">
          <cell r="A13238" t="str">
            <v>RFS/CELWAVE</v>
          </cell>
          <cell r="B13238" t="str">
            <v>APX75-868014-CTX</v>
          </cell>
          <cell r="O13238">
            <v>9.6913827069999989</v>
          </cell>
          <cell r="T13238">
            <v>5.0938072129999998</v>
          </cell>
        </row>
        <row r="13239">
          <cell r="A13239" t="str">
            <v>RFS/CELWAVE</v>
          </cell>
          <cell r="B13239" t="str">
            <v>APX86-906513L-CT0</v>
          </cell>
          <cell r="O13239">
            <v>5.1925559413580196</v>
          </cell>
          <cell r="T13239">
            <v>2.1677736783730301</v>
          </cell>
        </row>
        <row r="13240">
          <cell r="A13240" t="str">
            <v>RFS/CELWAVE</v>
          </cell>
          <cell r="B13240" t="str">
            <v>APX86-906515L-CT0</v>
          </cell>
          <cell r="O13240"/>
          <cell r="T13240"/>
        </row>
        <row r="13241">
          <cell r="A13241" t="str">
            <v>RFS/CELWAVE</v>
          </cell>
          <cell r="B13241" t="str">
            <v>APX86-906516L-CT0</v>
          </cell>
          <cell r="O13241">
            <v>10.6775848</v>
          </cell>
          <cell r="T13241">
            <v>4.4600823910000003</v>
          </cell>
        </row>
        <row r="13242">
          <cell r="A13242" t="str">
            <v>RFS/CELWAVE</v>
          </cell>
          <cell r="B13242" t="str">
            <v>APX86-906516L-CT4</v>
          </cell>
          <cell r="O13242">
            <v>10.6775848</v>
          </cell>
          <cell r="T13242">
            <v>4.4600823910000003</v>
          </cell>
        </row>
        <row r="13243">
          <cell r="A13243" t="str">
            <v>RFS/CELWAVE</v>
          </cell>
          <cell r="B13243" t="str">
            <v>APX86-909014L-CT0</v>
          </cell>
          <cell r="O13243">
            <v>7.9574921539999988</v>
          </cell>
          <cell r="T13243">
            <v>3.7177710480000004</v>
          </cell>
        </row>
        <row r="13244">
          <cell r="A13244" t="str">
            <v>RFS/CELWAVE</v>
          </cell>
          <cell r="B13244" t="str">
            <v>APX86-909014L-CT6</v>
          </cell>
          <cell r="O13244">
            <v>7.9574921539999988</v>
          </cell>
          <cell r="T13244">
            <v>3.7177710480000004</v>
          </cell>
        </row>
        <row r="13245">
          <cell r="A13245" t="str">
            <v>RFS/CELWAVE</v>
          </cell>
          <cell r="B13245" t="str">
            <v>APX86-909015-CT0</v>
          </cell>
          <cell r="O13245"/>
          <cell r="T13245"/>
        </row>
        <row r="13246">
          <cell r="A13246" t="str">
            <v>RFS/CELWAVE</v>
          </cell>
          <cell r="B13246" t="str">
            <v>APX866515-1T0</v>
          </cell>
          <cell r="O13246"/>
          <cell r="T13246"/>
        </row>
        <row r="13247">
          <cell r="A13247" t="str">
            <v>RFS/CELWAVE</v>
          </cell>
          <cell r="B13247" t="str">
            <v>APX866515L-CT0</v>
          </cell>
          <cell r="O13247"/>
          <cell r="T13247"/>
        </row>
        <row r="13248">
          <cell r="A13248" t="str">
            <v>RFS/CELWAVE</v>
          </cell>
          <cell r="B13248" t="str">
            <v>APX866516-1T6</v>
          </cell>
          <cell r="O13248"/>
          <cell r="T13248"/>
        </row>
        <row r="13249">
          <cell r="A13249" t="str">
            <v>RFS/CELWAVE</v>
          </cell>
          <cell r="B13249" t="str">
            <v>APX906512</v>
          </cell>
          <cell r="O13249"/>
          <cell r="T13249"/>
        </row>
        <row r="13250">
          <cell r="A13250" t="str">
            <v>RFS/CELWAVE</v>
          </cell>
          <cell r="B13250" t="str">
            <v>APX906513</v>
          </cell>
          <cell r="O13250"/>
          <cell r="T13250"/>
        </row>
        <row r="13251">
          <cell r="A13251" t="str">
            <v>RFS/CELWAVE</v>
          </cell>
          <cell r="B13251" t="str">
            <v>APX906513-1T0</v>
          </cell>
          <cell r="O13251"/>
          <cell r="T13251"/>
        </row>
        <row r="13252">
          <cell r="A13252" t="str">
            <v>RFS/CELWAVE</v>
          </cell>
          <cell r="B13252" t="str">
            <v>APX906515</v>
          </cell>
          <cell r="O13252"/>
          <cell r="T13252"/>
        </row>
        <row r="13253">
          <cell r="A13253" t="str">
            <v>RFS/CELWAVE</v>
          </cell>
          <cell r="B13253" t="str">
            <v>APX906516</v>
          </cell>
          <cell r="O13253"/>
          <cell r="T13253"/>
        </row>
        <row r="13254">
          <cell r="A13254" t="str">
            <v>RFS/CELWAVE</v>
          </cell>
          <cell r="B13254" t="str">
            <v>APX906516-7T6</v>
          </cell>
          <cell r="O13254"/>
          <cell r="T13254"/>
        </row>
        <row r="13255">
          <cell r="A13255" t="str">
            <v>RFS/CELWAVE</v>
          </cell>
          <cell r="B13255" t="str">
            <v>APX909011</v>
          </cell>
          <cell r="O13255"/>
          <cell r="T13255"/>
        </row>
        <row r="13256">
          <cell r="A13256" t="str">
            <v>RFS/CELWAVE</v>
          </cell>
          <cell r="B13256" t="str">
            <v>APX909014</v>
          </cell>
          <cell r="O13256"/>
          <cell r="T13256"/>
        </row>
        <row r="13257">
          <cell r="A13257" t="str">
            <v>RFS/CELWAVE</v>
          </cell>
          <cell r="B13257" t="str">
            <v>APXV18-203217-T</v>
          </cell>
          <cell r="O13257"/>
          <cell r="T13257"/>
        </row>
        <row r="13258">
          <cell r="A13258" t="str">
            <v>RFS/CELWAVE</v>
          </cell>
          <cell r="B13258" t="str">
            <v>APXV18-203218-T-RET</v>
          </cell>
          <cell r="O13258"/>
          <cell r="T13258"/>
        </row>
        <row r="13259">
          <cell r="A13259" t="str">
            <v>RFS/CELWAVE</v>
          </cell>
          <cell r="B13259" t="str">
            <v>APXV18-203219-C-A20</v>
          </cell>
          <cell r="O13259">
            <v>4.3553655478395097</v>
          </cell>
          <cell r="T13259">
            <v>1.77930208786926</v>
          </cell>
        </row>
        <row r="13260">
          <cell r="A13260" t="str">
            <v>RFS/CELWAVE</v>
          </cell>
          <cell r="B13260" t="str">
            <v>APXV18-206513-C</v>
          </cell>
          <cell r="O13260">
            <v>1.2910730129999999</v>
          </cell>
          <cell r="T13260">
            <v>0.613220188</v>
          </cell>
        </row>
        <row r="13261">
          <cell r="A13261" t="str">
            <v>RFS/CELWAVE</v>
          </cell>
          <cell r="B13261" t="str">
            <v>APXV18-206513-C-A20</v>
          </cell>
          <cell r="O13261">
            <v>1.2393672839999998</v>
          </cell>
          <cell r="T13261">
            <v>0.77698926899999987</v>
          </cell>
        </row>
        <row r="13262">
          <cell r="A13262" t="str">
            <v>RFS/CELWAVE</v>
          </cell>
          <cell r="B13262" t="str">
            <v>APXV18-206513T-C</v>
          </cell>
          <cell r="O13262">
            <v>1.2910730131172798</v>
          </cell>
          <cell r="T13262">
            <v>0.613220187915401</v>
          </cell>
        </row>
        <row r="13263">
          <cell r="A13263" t="str">
            <v>RFS/CELWAVE</v>
          </cell>
          <cell r="B13263" t="str">
            <v>APXV18-206515L-03</v>
          </cell>
          <cell r="O13263">
            <v>2.569743441</v>
          </cell>
          <cell r="T13263">
            <v>1.213501773</v>
          </cell>
        </row>
        <row r="13264">
          <cell r="A13264" t="str">
            <v>RFS/CELWAVE</v>
          </cell>
          <cell r="B13264" t="str">
            <v>APXV18-206515L-04</v>
          </cell>
          <cell r="O13264">
            <v>2.569743441</v>
          </cell>
          <cell r="T13264">
            <v>1.213501773</v>
          </cell>
        </row>
        <row r="13265">
          <cell r="A13265" t="str">
            <v>RFS/CELWAVE</v>
          </cell>
          <cell r="B13265" t="str">
            <v>APXV18-206515L-05</v>
          </cell>
          <cell r="O13265">
            <v>2.569743441</v>
          </cell>
          <cell r="T13265">
            <v>1.213501773</v>
          </cell>
        </row>
        <row r="13266">
          <cell r="A13266" t="str">
            <v>RFS/CELWAVE</v>
          </cell>
          <cell r="B13266" t="str">
            <v>APXV18-206515L-2</v>
          </cell>
          <cell r="O13266">
            <v>2.569743441</v>
          </cell>
          <cell r="T13266">
            <v>1.213501773</v>
          </cell>
        </row>
        <row r="13267">
          <cell r="A13267" t="str">
            <v>RFS/CELWAVE</v>
          </cell>
          <cell r="B13267" t="str">
            <v>APXV18-206516-C-ACU</v>
          </cell>
          <cell r="O13267"/>
          <cell r="T13267"/>
        </row>
        <row r="13268">
          <cell r="A13268" t="str">
            <v>RFS/CELWAVE</v>
          </cell>
          <cell r="B13268" t="str">
            <v>APXV18-206516H-C</v>
          </cell>
          <cell r="O13268">
            <v>2.2496421679999998</v>
          </cell>
          <cell r="T13268">
            <v>1.4076732279999999</v>
          </cell>
        </row>
        <row r="13269">
          <cell r="A13269" t="str">
            <v>RFS/CELWAVE</v>
          </cell>
          <cell r="B13269" t="str">
            <v>APXV18-206516H-C-A20</v>
          </cell>
          <cell r="O13269">
            <v>2.2496421679999998</v>
          </cell>
          <cell r="T13269">
            <v>1.4076732279999999</v>
          </cell>
        </row>
        <row r="13270">
          <cell r="A13270" t="str">
            <v>RFS/CELWAVE</v>
          </cell>
          <cell r="B13270" t="str">
            <v>APXV18-206516L-A</v>
          </cell>
          <cell r="O13270">
            <v>2.5613565780000003</v>
          </cell>
          <cell r="T13270">
            <v>1.2111462749999999</v>
          </cell>
        </row>
        <row r="13271">
          <cell r="A13271" t="str">
            <v>RFS/CELWAVE</v>
          </cell>
          <cell r="B13271" t="str">
            <v>APXV18-206516L-C</v>
          </cell>
          <cell r="O13271">
            <v>2.5613565780000003</v>
          </cell>
          <cell r="T13271">
            <v>1.2111462749999999</v>
          </cell>
        </row>
        <row r="13272">
          <cell r="A13272" t="str">
            <v>RFS/CELWAVE</v>
          </cell>
          <cell r="B13272" t="str">
            <v>APXV18-206516S-C</v>
          </cell>
          <cell r="O13272">
            <v>2.5613565780000003</v>
          </cell>
          <cell r="T13272">
            <v>1.2111462749999999</v>
          </cell>
        </row>
        <row r="13273">
          <cell r="A13273" t="str">
            <v>RFS/CELWAVE</v>
          </cell>
          <cell r="B13273" t="str">
            <v>APXV18-206516S-C-A20</v>
          </cell>
          <cell r="O13273">
            <v>2.5613565780000003</v>
          </cell>
          <cell r="T13273">
            <v>1.2111462749999999</v>
          </cell>
        </row>
        <row r="13274">
          <cell r="A13274" t="str">
            <v>RFS/CELWAVE</v>
          </cell>
          <cell r="B13274" t="str">
            <v>APXV18-206516S-C-ACU</v>
          </cell>
          <cell r="O13274">
            <v>2.5613565780000003</v>
          </cell>
          <cell r="T13274">
            <v>1.2111462749999999</v>
          </cell>
        </row>
        <row r="13275">
          <cell r="A13275" t="str">
            <v>RFS/CELWAVE</v>
          </cell>
          <cell r="B13275" t="str">
            <v>APXV18-206517-A</v>
          </cell>
          <cell r="O13275">
            <v>3.8319789049999997</v>
          </cell>
          <cell r="T13275">
            <v>1.8063889</v>
          </cell>
        </row>
        <row r="13276">
          <cell r="A13276" t="str">
            <v>RFS/CELWAVE</v>
          </cell>
          <cell r="B13276" t="str">
            <v>APXV18-206517-C</v>
          </cell>
          <cell r="O13276">
            <v>3.8319789049999997</v>
          </cell>
          <cell r="T13276">
            <v>1.8063889</v>
          </cell>
        </row>
        <row r="13277">
          <cell r="A13277" t="str">
            <v>RFS/CELWAVE</v>
          </cell>
          <cell r="B13277" t="str">
            <v>APXV18-206517LS</v>
          </cell>
          <cell r="O13277">
            <v>3.8319789049999997</v>
          </cell>
          <cell r="T13277">
            <v>1.8063889</v>
          </cell>
        </row>
        <row r="13278">
          <cell r="A13278" t="str">
            <v>RFS/CELWAVE</v>
          </cell>
          <cell r="B13278" t="str">
            <v>APXV18-206517S-ACU</v>
          </cell>
          <cell r="O13278">
            <v>3.8319789049999997</v>
          </cell>
          <cell r="T13278">
            <v>1.8063889</v>
          </cell>
        </row>
        <row r="13279">
          <cell r="A13279" t="str">
            <v>RFS/CELWAVE</v>
          </cell>
          <cell r="B13279" t="str">
            <v>APXV18-206517S-C</v>
          </cell>
          <cell r="O13279">
            <v>3.8299999999999996</v>
          </cell>
          <cell r="T13279">
            <v>1.8099999999999998</v>
          </cell>
        </row>
        <row r="13280">
          <cell r="A13280" t="str">
            <v>RFS/CELWAVE</v>
          </cell>
          <cell r="B13280" t="str">
            <v>APXV18-206517S-C-A20</v>
          </cell>
          <cell r="O13280">
            <v>3.8299999999999996</v>
          </cell>
          <cell r="T13280">
            <v>1.8099999999999998</v>
          </cell>
        </row>
        <row r="13281">
          <cell r="A13281" t="str">
            <v>RFS/CELWAVE</v>
          </cell>
          <cell r="B13281" t="str">
            <v>APXV18-206517S-C-ACU</v>
          </cell>
          <cell r="O13281">
            <v>3.8299999999999996</v>
          </cell>
          <cell r="T13281">
            <v>1.8099999999999998</v>
          </cell>
        </row>
        <row r="13282">
          <cell r="A13282" t="str">
            <v>RFS/CELWAVE</v>
          </cell>
          <cell r="B13282" t="str">
            <v>APXV18-209014-C</v>
          </cell>
          <cell r="O13282">
            <v>2.569743441</v>
          </cell>
          <cell r="T13282">
            <v>1.213501773</v>
          </cell>
        </row>
        <row r="13283">
          <cell r="A13283" t="str">
            <v>RFS/CELWAVE</v>
          </cell>
          <cell r="B13283" t="str">
            <v>APXV18-209014-C-A20</v>
          </cell>
          <cell r="O13283">
            <v>2.5613565780000003</v>
          </cell>
          <cell r="T13283">
            <v>1.2111462749999999</v>
          </cell>
        </row>
        <row r="13284">
          <cell r="A13284" t="str">
            <v>RFS/CELWAVE</v>
          </cell>
          <cell r="B13284" t="str">
            <v>APXV18-209014-E</v>
          </cell>
          <cell r="O13284">
            <v>2.5613565780000003</v>
          </cell>
          <cell r="T13284">
            <v>1.2111462749999999</v>
          </cell>
        </row>
        <row r="13285">
          <cell r="A13285" t="str">
            <v>RFS/CELWAVE</v>
          </cell>
          <cell r="B13285" t="str">
            <v>APXV18-209015-C</v>
          </cell>
          <cell r="O13285">
            <v>3.8319789049999997</v>
          </cell>
          <cell r="T13285">
            <v>1.8063889</v>
          </cell>
        </row>
        <row r="13286">
          <cell r="A13286" t="str">
            <v>RFS/CELWAVE</v>
          </cell>
          <cell r="B13286" t="str">
            <v>APXV18-209015-C-A20</v>
          </cell>
          <cell r="O13286">
            <v>3.8319789049999997</v>
          </cell>
          <cell r="T13286">
            <v>1.8063889</v>
          </cell>
        </row>
        <row r="13287">
          <cell r="A13287" t="str">
            <v>RFS/CELWAVE</v>
          </cell>
          <cell r="B13287" t="str">
            <v>APXV18-209015-F</v>
          </cell>
          <cell r="O13287">
            <v>2.5613565780000003</v>
          </cell>
          <cell r="T13287">
            <v>1.2111462749999999</v>
          </cell>
        </row>
        <row r="13288">
          <cell r="A13288" t="str">
            <v>RFS/CELWAVE</v>
          </cell>
          <cell r="B13288" t="str">
            <v>APXV18-276516-C-A20</v>
          </cell>
          <cell r="O13288">
            <v>2.2496421679999998</v>
          </cell>
          <cell r="T13288">
            <v>1.4076732279999999</v>
          </cell>
        </row>
        <row r="13289">
          <cell r="A13289" t="str">
            <v>RFS/CELWAVE</v>
          </cell>
          <cell r="B13289" t="str">
            <v>APXV196516L-A</v>
          </cell>
          <cell r="O13289">
            <v>2.569743441</v>
          </cell>
          <cell r="T13289">
            <v>1.213501773</v>
          </cell>
        </row>
        <row r="13290">
          <cell r="A13290" t="str">
            <v>RFS/CELWAVE</v>
          </cell>
          <cell r="B13290" t="str">
            <v>APXV23-276512-C</v>
          </cell>
          <cell r="O13290"/>
          <cell r="T13290"/>
        </row>
        <row r="13291">
          <cell r="A13291" t="str">
            <v>RFS/CELWAVE</v>
          </cell>
          <cell r="B13291" t="str">
            <v>APXV3RR13-C</v>
          </cell>
          <cell r="O13291">
            <v>9.8151872000000004</v>
          </cell>
          <cell r="T13291">
            <v>1.9682657889999999</v>
          </cell>
        </row>
        <row r="13292">
          <cell r="A13292" t="str">
            <v>RFS/CELWAVE</v>
          </cell>
          <cell r="B13292" t="str">
            <v>APXV3RR13-C-A20</v>
          </cell>
          <cell r="O13292">
            <v>9.8151872000000004</v>
          </cell>
          <cell r="T13292">
            <v>1.9682657889999999</v>
          </cell>
        </row>
        <row r="13293">
          <cell r="A13293" t="str">
            <v>RFS/CELWAVE</v>
          </cell>
          <cell r="B13293" t="str">
            <v>APXV4E13-C</v>
          </cell>
          <cell r="O13293"/>
          <cell r="T13293"/>
        </row>
        <row r="13294">
          <cell r="A13294" t="str">
            <v>RFS/CELWAVE</v>
          </cell>
          <cell r="B13294" t="str">
            <v>APXV4N13-C-A20</v>
          </cell>
          <cell r="O13294"/>
          <cell r="T13294"/>
        </row>
        <row r="13295">
          <cell r="A13295" t="str">
            <v>RFS/CELWAVE</v>
          </cell>
          <cell r="B13295" t="str">
            <v>APXV4RR13-C</v>
          </cell>
          <cell r="O13295"/>
          <cell r="T13295"/>
        </row>
        <row r="13296">
          <cell r="A13296" t="str">
            <v>RFS/CELWAVE</v>
          </cell>
          <cell r="B13296" t="str">
            <v>APXV86-906513-C</v>
          </cell>
          <cell r="O13296">
            <v>5.0640581600000001</v>
          </cell>
          <cell r="T13296">
            <v>1.9960008499999999</v>
          </cell>
        </row>
        <row r="13297">
          <cell r="A13297" t="str">
            <v>RFS/CELWAVE</v>
          </cell>
          <cell r="B13297" t="str">
            <v>APXV86-906513L-C</v>
          </cell>
          <cell r="O13297">
            <v>5.0640581600000001</v>
          </cell>
          <cell r="T13297">
            <v>1.9960008499999999</v>
          </cell>
        </row>
        <row r="13298">
          <cell r="A13298" t="str">
            <v>RFS/CELWAVE</v>
          </cell>
          <cell r="B13298" t="str">
            <v>APXV86-906513L-C-A20</v>
          </cell>
          <cell r="O13298">
            <v>3.6215158020000002</v>
          </cell>
          <cell r="T13298">
            <v>1.4151998929999998</v>
          </cell>
        </row>
        <row r="13299">
          <cell r="A13299" t="str">
            <v>RFS/CELWAVE</v>
          </cell>
          <cell r="B13299" t="str">
            <v>APXV86-906513T-C</v>
          </cell>
          <cell r="O13299">
            <v>5.0640581600000001</v>
          </cell>
          <cell r="T13299">
            <v>1.9960008499999999</v>
          </cell>
        </row>
        <row r="13300">
          <cell r="A13300" t="str">
            <v>RFS/CELWAVE</v>
          </cell>
          <cell r="B13300" t="str">
            <v>APXV86-906515-C</v>
          </cell>
          <cell r="O13300">
            <v>8.4570987650000014</v>
          </cell>
          <cell r="T13300">
            <v>3.5323083380000004</v>
          </cell>
        </row>
        <row r="13301">
          <cell r="A13301" t="str">
            <v>RFS/CELWAVE</v>
          </cell>
          <cell r="B13301" t="str">
            <v>APXV86-906516-C</v>
          </cell>
          <cell r="O13301">
            <v>10.5755380554218</v>
          </cell>
          <cell r="T13301">
            <v>4.4137580702171393</v>
          </cell>
        </row>
        <row r="13302">
          <cell r="A13302" t="str">
            <v>RFS/CELWAVE</v>
          </cell>
          <cell r="B13302" t="str">
            <v>APXV86-909014</v>
          </cell>
          <cell r="O13302">
            <v>8.4570987650000014</v>
          </cell>
          <cell r="T13302">
            <v>3.5323083380000004</v>
          </cell>
        </row>
        <row r="13303">
          <cell r="A13303" t="str">
            <v>RFS/CELWAVE</v>
          </cell>
          <cell r="B13303" t="str">
            <v>APXV86-909014-C</v>
          </cell>
          <cell r="O13303">
            <v>8.4570987650000014</v>
          </cell>
          <cell r="T13303">
            <v>3.5323083380000004</v>
          </cell>
        </row>
        <row r="13304">
          <cell r="A13304" t="str">
            <v>RFS/CELWAVE</v>
          </cell>
          <cell r="B13304" t="str">
            <v>APXV86-909014C</v>
          </cell>
          <cell r="O13304"/>
          <cell r="T13304"/>
        </row>
        <row r="13305">
          <cell r="A13305" t="str">
            <v>RFS/CELWAVE</v>
          </cell>
          <cell r="B13305" t="str">
            <v>APXV86-909014L-C</v>
          </cell>
          <cell r="O13305">
            <v>8.4570987650000014</v>
          </cell>
          <cell r="T13305">
            <v>3.5323083380000004</v>
          </cell>
        </row>
        <row r="13306">
          <cell r="A13306" t="str">
            <v>RFS/CELWAVE</v>
          </cell>
          <cell r="B13306" t="str">
            <v>APXV866514</v>
          </cell>
          <cell r="O13306"/>
          <cell r="T13306"/>
        </row>
        <row r="13307">
          <cell r="A13307" t="str">
            <v>RFS/CELWAVE</v>
          </cell>
          <cell r="B13307" t="str">
            <v>APXV869013</v>
          </cell>
          <cell r="O13307"/>
          <cell r="T13307"/>
        </row>
        <row r="13308">
          <cell r="A13308" t="str">
            <v>RFS/CELWAVE</v>
          </cell>
          <cell r="B13308" t="str">
            <v>APXV9ERR18-C</v>
          </cell>
          <cell r="O13308">
            <v>4.6588257139999998</v>
          </cell>
          <cell r="T13308">
            <v>3.1098870380000001</v>
          </cell>
        </row>
        <row r="13309">
          <cell r="A13309" t="str">
            <v>RFS/CELWAVE</v>
          </cell>
          <cell r="B13309" t="str">
            <v>APXV9ERR18-C-A20</v>
          </cell>
          <cell r="O13309">
            <v>4.6588257139999998</v>
          </cell>
          <cell r="T13309">
            <v>3.1098870380000001</v>
          </cell>
        </row>
        <row r="13310">
          <cell r="A13310" t="str">
            <v>RFS/CELWAVE</v>
          </cell>
          <cell r="B13310" t="str">
            <v>APXV9M12S-C-A20</v>
          </cell>
          <cell r="O13310"/>
          <cell r="T13310"/>
        </row>
        <row r="13311">
          <cell r="A13311" t="str">
            <v>RFS/CELWAVE</v>
          </cell>
          <cell r="B13311" t="str">
            <v>APXV9MM13S-C-A20</v>
          </cell>
          <cell r="O13311"/>
          <cell r="T13311"/>
        </row>
        <row r="13312">
          <cell r="A13312" t="str">
            <v>RFS/CELWAVE</v>
          </cell>
          <cell r="B13312" t="str">
            <v>APXV9N18-C-A20</v>
          </cell>
          <cell r="O13312"/>
          <cell r="T13312"/>
        </row>
        <row r="13313">
          <cell r="A13313" t="str">
            <v>RFS/CELWAVE</v>
          </cell>
          <cell r="B13313" t="str">
            <v>APXV9RR13-C</v>
          </cell>
          <cell r="O13313">
            <v>7.5055522495067102</v>
          </cell>
          <cell r="T13313">
            <v>1.7713107573293598</v>
          </cell>
        </row>
        <row r="13314">
          <cell r="A13314" t="str">
            <v>RFS/CELWAVE</v>
          </cell>
          <cell r="B13314" t="str">
            <v>APXV9RR18-C</v>
          </cell>
          <cell r="O13314">
            <v>6.6586709099999997</v>
          </cell>
          <cell r="T13314">
            <v>3.8984098250000003</v>
          </cell>
        </row>
        <row r="13315">
          <cell r="A13315" t="str">
            <v>RFS/CELWAVE</v>
          </cell>
          <cell r="B13315" t="str">
            <v>APXV9TM13_CL-C-I20_TMO</v>
          </cell>
          <cell r="O13315">
            <v>4.0757291666666697</v>
          </cell>
          <cell r="T13315">
            <v>2.0373491501700602</v>
          </cell>
        </row>
        <row r="13316">
          <cell r="A13316" t="str">
            <v>RFS/CELWAVE</v>
          </cell>
          <cell r="B13316" t="str">
            <v>APXV9TM14-ALU-I20</v>
          </cell>
          <cell r="O13316">
            <v>4.1152657210000001</v>
          </cell>
          <cell r="T13316">
            <v>2.0577511200000003</v>
          </cell>
        </row>
        <row r="13317">
          <cell r="A13317" t="str">
            <v>RFS/CELWAVE</v>
          </cell>
          <cell r="B13317" t="str">
            <v>APXV9TM14-C-120</v>
          </cell>
          <cell r="O13317">
            <v>4.1152657210000001</v>
          </cell>
          <cell r="T13317">
            <v>2.0577511200000003</v>
          </cell>
        </row>
        <row r="13318">
          <cell r="A13318" t="str">
            <v>RFS/CELWAVE</v>
          </cell>
          <cell r="B13318" t="str">
            <v>APXV9TM14-C-I20</v>
          </cell>
          <cell r="O13318">
            <v>4.1152657210000001</v>
          </cell>
          <cell r="T13318">
            <v>2.0577511200000003</v>
          </cell>
        </row>
        <row r="13319">
          <cell r="A13319" t="str">
            <v>RFS/CELWAVE</v>
          </cell>
          <cell r="B13319" t="str">
            <v>APXVA18_43-C-A20</v>
          </cell>
          <cell r="O13319">
            <v>6.86704282407407</v>
          </cell>
          <cell r="T13319">
            <v>3.8760939032757502</v>
          </cell>
        </row>
        <row r="13320">
          <cell r="A13320" t="str">
            <v>RFS/CELWAVE</v>
          </cell>
          <cell r="B13320" t="str">
            <v>APXVA24_43-C-A20</v>
          </cell>
          <cell r="O13320">
            <v>9.514130015000001</v>
          </cell>
          <cell r="T13320">
            <v>5.369322176999999</v>
          </cell>
        </row>
        <row r="13321">
          <cell r="A13321" t="str">
            <v>RFS/CELWAVE</v>
          </cell>
          <cell r="B13321" t="str">
            <v>APXVAA18_43-U-A20</v>
          </cell>
          <cell r="O13321">
            <v>11.8640876577259</v>
          </cell>
          <cell r="T13321">
            <v>4.3021123489046298</v>
          </cell>
        </row>
        <row r="13322">
          <cell r="A13322" t="str">
            <v>RFS/CELWAVE</v>
          </cell>
          <cell r="B13322" t="str">
            <v>APXVAA24_43-U-A20</v>
          </cell>
          <cell r="O13322">
            <v>14.66603009</v>
          </cell>
          <cell r="T13322">
            <v>5.3215319819999989</v>
          </cell>
        </row>
        <row r="13323">
          <cell r="A13323" t="str">
            <v>RFS/CELWAVE</v>
          </cell>
          <cell r="B13323" t="str">
            <v>APXVAA4L18 43-U-NA20</v>
          </cell>
          <cell r="O13323"/>
          <cell r="T13323"/>
        </row>
        <row r="13324">
          <cell r="A13324" t="str">
            <v>RFS/CELWAVE</v>
          </cell>
          <cell r="B13324" t="str">
            <v>APXVAA4L18_43-U-NA20_TMO</v>
          </cell>
          <cell r="O13324">
            <v>10.8073832947531</v>
          </cell>
          <cell r="T13324">
            <v>3.9193876159635304</v>
          </cell>
        </row>
        <row r="13325">
          <cell r="A13325" t="str">
            <v>RFS/CELWAVE</v>
          </cell>
          <cell r="B13325" t="str">
            <v>APXVAA4L24_43-U-NA20</v>
          </cell>
          <cell r="O13325">
            <v>14.666030092592589</v>
          </cell>
          <cell r="T13325">
            <v>5.3215319821291995</v>
          </cell>
        </row>
        <row r="13326">
          <cell r="A13326" t="str">
            <v>RFS/CELWAVE</v>
          </cell>
          <cell r="B13326" t="str">
            <v>APXVAA4L24_43-U-NA20_TMO</v>
          </cell>
          <cell r="O13326">
            <v>14.666030092592589</v>
          </cell>
          <cell r="T13326">
            <v>5.3215319821291995</v>
          </cell>
        </row>
        <row r="13327">
          <cell r="A13327" t="str">
            <v>RFS/CELWAVE</v>
          </cell>
          <cell r="B13327" t="str">
            <v>APXVAALL12N_43-U-NA20</v>
          </cell>
          <cell r="O13327">
            <v>6.0968689428557594</v>
          </cell>
          <cell r="T13327">
            <v>2.63316881431557</v>
          </cell>
        </row>
        <row r="13328">
          <cell r="A13328" t="str">
            <v>RFS/CELWAVE</v>
          </cell>
          <cell r="B13328" t="str">
            <v>APXVAALL12_43-U-NA20</v>
          </cell>
          <cell r="O13328">
            <v>6.9755787037036994</v>
          </cell>
          <cell r="T13328">
            <v>2.46988613449949</v>
          </cell>
        </row>
        <row r="13329">
          <cell r="A13329" t="str">
            <v>RFS/CELWAVE</v>
          </cell>
          <cell r="B13329" t="str">
            <v>APXVAALL18_43-U-NA20_TMO</v>
          </cell>
          <cell r="O13329">
            <v>10.8073832947531</v>
          </cell>
          <cell r="T13329">
            <v>3.9193876159635304</v>
          </cell>
        </row>
        <row r="13330">
          <cell r="A13330" t="str">
            <v>RFS/CELWAVE</v>
          </cell>
          <cell r="B13330" t="str">
            <v>APXVAALL24_43-U-NA20</v>
          </cell>
          <cell r="O13330">
            <v>14.666030092592589</v>
          </cell>
          <cell r="T13330">
            <v>5.3215319821291995</v>
          </cell>
        </row>
        <row r="13331">
          <cell r="A13331" t="str">
            <v>RFS/CELWAVE</v>
          </cell>
          <cell r="B13331" t="str">
            <v>APXVAALL24_43-U-NA20_TMO</v>
          </cell>
          <cell r="O13331">
            <v>14.666030092592589</v>
          </cell>
          <cell r="T13331">
            <v>5.3215319821291995</v>
          </cell>
        </row>
        <row r="13332">
          <cell r="A13332" t="str">
            <v>RFS/CELWAVE</v>
          </cell>
          <cell r="B13332" t="str">
            <v>APXVAARR18_43-U-NA20</v>
          </cell>
          <cell r="O13332">
            <v>10.993899499999989</v>
          </cell>
          <cell r="T13332">
            <v>3.885030875</v>
          </cell>
        </row>
        <row r="13333">
          <cell r="A13333" t="str">
            <v>RFS/CELWAVE</v>
          </cell>
          <cell r="B13333" t="str">
            <v>APXVAARR24_43-U-NA20</v>
          </cell>
          <cell r="O13333">
            <v>14.66603009</v>
          </cell>
          <cell r="T13333">
            <v>5.3215319819999989</v>
          </cell>
        </row>
        <row r="13334">
          <cell r="A13334" t="str">
            <v>RFS/CELWAVE</v>
          </cell>
          <cell r="B13334" t="str">
            <v>APXVAARR24_43-U-NA20_CCIV2</v>
          </cell>
          <cell r="O13334">
            <v>14.666030092592589</v>
          </cell>
          <cell r="T13334">
            <v>5.3215319821291995</v>
          </cell>
        </row>
        <row r="13335">
          <cell r="A13335" t="str">
            <v>RFS/CELWAVE</v>
          </cell>
          <cell r="B13335" t="str">
            <v>APXVAARR24_43-U-NA20_T-MOBILE</v>
          </cell>
          <cell r="O13335">
            <v>14.66603009</v>
          </cell>
          <cell r="T13335">
            <v>5.3215319819999989</v>
          </cell>
        </row>
        <row r="13336">
          <cell r="A13336" t="str">
            <v>RFS/CELWAVE</v>
          </cell>
          <cell r="B13336" t="str">
            <v>APXVAR18_43-C-NA20</v>
          </cell>
          <cell r="O13336">
            <v>7.2830439809999987</v>
          </cell>
          <cell r="T13336">
            <v>4.008473873999999</v>
          </cell>
        </row>
        <row r="13337">
          <cell r="A13337" t="str">
            <v>RFS/CELWAVE</v>
          </cell>
          <cell r="B13337" t="str">
            <v>APXVAR18_43-C-NA20_T-MOBILE</v>
          </cell>
          <cell r="O13337">
            <v>7.2830439809999987</v>
          </cell>
          <cell r="T13337">
            <v>4.008473873999999</v>
          </cell>
        </row>
        <row r="13338">
          <cell r="A13338" t="str">
            <v>RFS/CELWAVE</v>
          </cell>
          <cell r="B13338" t="str">
            <v>APXVARR15_43-C-NA20</v>
          </cell>
          <cell r="O13338">
            <v>7.9033618505746288</v>
          </cell>
          <cell r="T13338">
            <v>3.4192161458069701</v>
          </cell>
        </row>
        <row r="13339">
          <cell r="A13339" t="str">
            <v>RFS/CELWAVE</v>
          </cell>
          <cell r="B13339" t="str">
            <v>APXVARR18_43-C-NA20</v>
          </cell>
          <cell r="O13339">
            <v>8.68753858</v>
          </cell>
          <cell r="T13339">
            <v>3.7575386989999999</v>
          </cell>
        </row>
        <row r="13340">
          <cell r="A13340" t="str">
            <v>RFS/CELWAVE</v>
          </cell>
          <cell r="B13340" t="str">
            <v>APXVARR18_43-C-NA20_TMO</v>
          </cell>
          <cell r="O13340">
            <v>8.8120418595678984</v>
          </cell>
          <cell r="T13340">
            <v>3.8123475684077901</v>
          </cell>
        </row>
        <row r="13341">
          <cell r="A13341" t="str">
            <v>RFS/CELWAVE</v>
          </cell>
          <cell r="B13341" t="str">
            <v>APXVARR24_43-C-NA20</v>
          </cell>
          <cell r="O13341">
            <v>11.66856192</v>
          </cell>
          <cell r="T13341">
            <v>5.0458503009999998</v>
          </cell>
        </row>
        <row r="13342">
          <cell r="A13342" t="str">
            <v>RFS/CELWAVE</v>
          </cell>
          <cell r="B13342" t="str">
            <v>APXVBBLL15X_43-C-I20</v>
          </cell>
          <cell r="O13342">
            <v>8.0640142750000017</v>
          </cell>
          <cell r="T13342">
            <v>3.4747200400000002</v>
          </cell>
        </row>
        <row r="13343">
          <cell r="A13343" t="str">
            <v>RFS/CELWAVE</v>
          </cell>
          <cell r="B13343" t="str">
            <v>APXVBBLL20X_43-C-I20</v>
          </cell>
          <cell r="O13343">
            <v>9.9768132720000011</v>
          </cell>
          <cell r="T13343">
            <v>4.3019632190000001</v>
          </cell>
        </row>
        <row r="13344">
          <cell r="A13344" t="str">
            <v>RFS/CELWAVE</v>
          </cell>
          <cell r="B13344" t="str">
            <v>APXVCPP18-C-A20</v>
          </cell>
          <cell r="O13344">
            <v>6.6586709099999997</v>
          </cell>
          <cell r="T13344">
            <v>3.8984098250000003</v>
          </cell>
        </row>
        <row r="13345">
          <cell r="A13345" t="str">
            <v>RFS/CELWAVE</v>
          </cell>
          <cell r="B13345" t="str">
            <v>APXVERR18-C</v>
          </cell>
          <cell r="O13345">
            <v>4.6588257139999998</v>
          </cell>
          <cell r="T13345">
            <v>3.1098870380000001</v>
          </cell>
        </row>
        <row r="13346">
          <cell r="A13346" t="str">
            <v>RFS/CELWAVE</v>
          </cell>
          <cell r="B13346" t="str">
            <v>APXVF13-C-A20</v>
          </cell>
          <cell r="O13346">
            <v>4.7936467980000002</v>
          </cell>
          <cell r="T13346">
            <v>2.2622397010000004</v>
          </cell>
        </row>
        <row r="13347">
          <cell r="A13347" t="str">
            <v>RFS/CELWAVE</v>
          </cell>
          <cell r="B13347" t="str">
            <v>APXVF18-C</v>
          </cell>
          <cell r="O13347">
            <v>5.315393518518519</v>
          </cell>
          <cell r="T13347">
            <v>2.5045064823732099</v>
          </cell>
        </row>
        <row r="13348">
          <cell r="A13348" t="str">
            <v>RFS/CELWAVE</v>
          </cell>
          <cell r="B13348" t="str">
            <v>APXVF18-C-A20</v>
          </cell>
          <cell r="O13348">
            <v>6.555386766999999</v>
          </cell>
          <cell r="T13348">
            <v>3.094627193</v>
          </cell>
        </row>
        <row r="13349">
          <cell r="A13349" t="str">
            <v>RFS/CELWAVE</v>
          </cell>
          <cell r="B13349" t="str">
            <v>APXVF24-C-A20</v>
          </cell>
          <cell r="O13349">
            <v>8.2107172859999995</v>
          </cell>
          <cell r="T13349">
            <v>3.8744417440000003</v>
          </cell>
        </row>
        <row r="13350">
          <cell r="A13350" t="str">
            <v>RFS/CELWAVE</v>
          </cell>
          <cell r="B13350" t="str">
            <v>APXVF24S-C-A20</v>
          </cell>
          <cell r="O13350">
            <v>7.9364872689999997</v>
          </cell>
          <cell r="T13350">
            <v>3.6471295769999998</v>
          </cell>
        </row>
        <row r="13351">
          <cell r="A13351" t="str">
            <v>RFS/CELWAVE</v>
          </cell>
          <cell r="B13351" t="str">
            <v>APXVFRR12X-C</v>
          </cell>
          <cell r="O13351">
            <v>2.9790022179999998</v>
          </cell>
          <cell r="T13351">
            <v>1.991602101</v>
          </cell>
        </row>
        <row r="13352">
          <cell r="A13352" t="str">
            <v>RFS/CELWAVE</v>
          </cell>
          <cell r="B13352" t="str">
            <v>APXVFRR12X-C-120</v>
          </cell>
          <cell r="O13352">
            <v>2.9790022179999998</v>
          </cell>
          <cell r="T13352">
            <v>1.991602101</v>
          </cell>
        </row>
        <row r="13353">
          <cell r="A13353" t="str">
            <v>RFS/CELWAVE</v>
          </cell>
          <cell r="B13353" t="str">
            <v>APXVFRR13X-C</v>
          </cell>
          <cell r="O13353">
            <v>2.9790022179999998</v>
          </cell>
          <cell r="T13353">
            <v>1.991602101</v>
          </cell>
        </row>
        <row r="13354">
          <cell r="A13354" t="str">
            <v>RFS/CELWAVE</v>
          </cell>
          <cell r="B13354" t="str">
            <v>APXVFRR13X-C-120</v>
          </cell>
          <cell r="O13354">
            <v>2.9790022179999998</v>
          </cell>
          <cell r="T13354">
            <v>1.991602101</v>
          </cell>
        </row>
        <row r="13355">
          <cell r="A13355" t="str">
            <v>RFS/CELWAVE</v>
          </cell>
          <cell r="B13355" t="str">
            <v>APXVFW12-C-A20</v>
          </cell>
          <cell r="O13355">
            <v>2.9790022179999998</v>
          </cell>
          <cell r="T13355">
            <v>1.991602101</v>
          </cell>
        </row>
        <row r="13356">
          <cell r="A13356" t="str">
            <v>RFS/CELWAVE</v>
          </cell>
          <cell r="B13356" t="str">
            <v>APXVFW18-C-A20</v>
          </cell>
          <cell r="O13356">
            <v>4.6631013699999997</v>
          </cell>
          <cell r="T13356">
            <v>3.1101851430000003</v>
          </cell>
        </row>
        <row r="13357">
          <cell r="A13357" t="str">
            <v>RFS/CELWAVE</v>
          </cell>
          <cell r="B13357" t="str">
            <v>APXVFW24-C-A20</v>
          </cell>
          <cell r="O13357">
            <v>6.1648345149999999</v>
          </cell>
          <cell r="T13357">
            <v>4.0986406409999994</v>
          </cell>
        </row>
        <row r="13358">
          <cell r="A13358" t="str">
            <v>RFS/CELWAVE</v>
          </cell>
          <cell r="B13358" t="str">
            <v>APXVFWW12X-C-I20</v>
          </cell>
          <cell r="O13358">
            <v>2.9790022179999998</v>
          </cell>
          <cell r="T13358">
            <v>1.991602101</v>
          </cell>
        </row>
        <row r="13359">
          <cell r="A13359" t="str">
            <v>RFS/CELWAVE</v>
          </cell>
          <cell r="B13359" t="str">
            <v>APXVFWW12X-C-NA20</v>
          </cell>
          <cell r="O13359">
            <v>2.9790022179999998</v>
          </cell>
          <cell r="T13359">
            <v>1.991602101</v>
          </cell>
        </row>
        <row r="13360">
          <cell r="A13360" t="str">
            <v>RFS/CELWAVE</v>
          </cell>
          <cell r="B13360" t="str">
            <v>APXVFWW18X-C-NA20</v>
          </cell>
          <cell r="O13360">
            <v>4.6631013699999997</v>
          </cell>
          <cell r="T13360">
            <v>3.1101851430000003</v>
          </cell>
        </row>
        <row r="13361">
          <cell r="A13361" t="str">
            <v>RFS/CELWAVE</v>
          </cell>
          <cell r="B13361" t="str">
            <v>APXVFWW18X2-C-I20B</v>
          </cell>
          <cell r="O13361">
            <v>4.9430159079999996</v>
          </cell>
          <cell r="T13361">
            <v>2.7853967290000003</v>
          </cell>
        </row>
        <row r="13362">
          <cell r="A13362" t="str">
            <v>RFS/CELWAVE</v>
          </cell>
          <cell r="B13362" t="str">
            <v>APXVFWW24X-C-I20</v>
          </cell>
          <cell r="O13362">
            <v>6.1648345149999999</v>
          </cell>
          <cell r="T13362">
            <v>4.0986406409999994</v>
          </cell>
        </row>
        <row r="13363">
          <cell r="A13363" t="str">
            <v>RFS/CELWAVE</v>
          </cell>
          <cell r="B13363" t="str">
            <v>APXVFWW24X-C-NA20</v>
          </cell>
          <cell r="O13363">
            <v>6.1648345149999999</v>
          </cell>
          <cell r="T13363">
            <v>4.0986406409999994</v>
          </cell>
        </row>
        <row r="13364">
          <cell r="A13364" t="str">
            <v>RFS/CELWAVE</v>
          </cell>
          <cell r="B13364" t="str">
            <v>APXVFWW24X2-C-I20B</v>
          </cell>
          <cell r="O13364">
            <v>6.5856856596226496</v>
          </cell>
          <cell r="T13364">
            <v>3.7107888502402901</v>
          </cell>
        </row>
        <row r="13365">
          <cell r="A13365" t="str">
            <v>RFS/CELWAVE</v>
          </cell>
          <cell r="B13365" t="str">
            <v>APXVHCWW18XD-C-I20B</v>
          </cell>
          <cell r="O13365">
            <v>4.9430159079999996</v>
          </cell>
          <cell r="T13365">
            <v>2.7853967290000003</v>
          </cell>
        </row>
        <row r="13366">
          <cell r="A13366" t="str">
            <v>RFS/CELWAVE</v>
          </cell>
          <cell r="B13366" t="str">
            <v>APXVHCWW24XD-C-I20B</v>
          </cell>
          <cell r="O13366">
            <v>6.4523267569999989</v>
          </cell>
          <cell r="T13366">
            <v>3.6353735230000002</v>
          </cell>
        </row>
        <row r="13367">
          <cell r="A13367" t="str">
            <v>RFS/CELWAVE</v>
          </cell>
          <cell r="B13367" t="str">
            <v>APXVL14B_43-C-I20</v>
          </cell>
          <cell r="O13367">
            <v>2.5265147569444397</v>
          </cell>
          <cell r="T13367">
            <v>1.81596387445022</v>
          </cell>
        </row>
        <row r="13368">
          <cell r="A13368" t="str">
            <v>RFS/CELWAVE</v>
          </cell>
          <cell r="B13368" t="str">
            <v>APXVLL06-C-A20</v>
          </cell>
          <cell r="O13368"/>
          <cell r="T13368"/>
        </row>
        <row r="13369">
          <cell r="A13369" t="str">
            <v>RFS/CELWAVE</v>
          </cell>
          <cell r="B13369" t="str">
            <v>APXVLL13-C</v>
          </cell>
          <cell r="O13369">
            <v>5.1379591049999993</v>
          </cell>
          <cell r="T13369">
            <v>1.6383063199999999</v>
          </cell>
        </row>
        <row r="13370">
          <cell r="A13370" t="str">
            <v>RFS/CELWAVE</v>
          </cell>
          <cell r="B13370" t="str">
            <v>APXVLL13N-C-A20</v>
          </cell>
          <cell r="O13370"/>
          <cell r="T13370"/>
        </row>
        <row r="13371">
          <cell r="A13371" t="str">
            <v>RFS/CELWAVE</v>
          </cell>
          <cell r="B13371" t="str">
            <v>APXVLL18-C</v>
          </cell>
          <cell r="O13371">
            <v>6.6586709099999997</v>
          </cell>
          <cell r="T13371">
            <v>3.8984098250000003</v>
          </cell>
        </row>
        <row r="13372">
          <cell r="A13372" t="str">
            <v>RFS/CELWAVE</v>
          </cell>
          <cell r="B13372" t="str">
            <v>APXVLL19P_43-C-A20_TMO</v>
          </cell>
          <cell r="O13372">
            <v>5.1540697337963</v>
          </cell>
          <cell r="T13372">
            <v>2.10992170209237</v>
          </cell>
        </row>
        <row r="13373">
          <cell r="A13373" t="str">
            <v>RFS/CELWAVE</v>
          </cell>
          <cell r="B13373" t="str">
            <v>APXVMM13-C</v>
          </cell>
          <cell r="O13373">
            <v>5.1379591049999993</v>
          </cell>
          <cell r="T13373">
            <v>1.6383063199999999</v>
          </cell>
        </row>
        <row r="13374">
          <cell r="A13374" t="str">
            <v>RFS/CELWAVE</v>
          </cell>
          <cell r="B13374" t="str">
            <v>APXVMM13A-C</v>
          </cell>
          <cell r="O13374">
            <v>3.6229605516975303</v>
          </cell>
          <cell r="T13374">
            <v>1.4825149212254198</v>
          </cell>
        </row>
        <row r="13375">
          <cell r="A13375" t="str">
            <v>RFS/CELWAVE</v>
          </cell>
          <cell r="B13375" t="str">
            <v>APXVN13-C</v>
          </cell>
          <cell r="O13375"/>
          <cell r="T13375"/>
        </row>
        <row r="13376">
          <cell r="A13376" t="str">
            <v>RFS/CELWAVE</v>
          </cell>
          <cell r="B13376" t="str">
            <v>APXVN18-C-A20</v>
          </cell>
          <cell r="O13376"/>
          <cell r="T13376"/>
        </row>
        <row r="13377">
          <cell r="A13377" t="str">
            <v>RFS/CELWAVE</v>
          </cell>
          <cell r="B13377" t="str">
            <v>APXVRLL13-C-A20</v>
          </cell>
          <cell r="O13377"/>
          <cell r="T13377"/>
        </row>
        <row r="13378">
          <cell r="A13378" t="str">
            <v>RFS/CELWAVE</v>
          </cell>
          <cell r="B13378" t="str">
            <v>APXVRR13-C</v>
          </cell>
          <cell r="O13378">
            <v>5.1379591049999993</v>
          </cell>
          <cell r="T13378">
            <v>1.6383063199999999</v>
          </cell>
        </row>
        <row r="13379">
          <cell r="A13379" t="str">
            <v>RFS/CELWAVE</v>
          </cell>
          <cell r="B13379" t="str">
            <v>APXVRR13-C-A20</v>
          </cell>
          <cell r="O13379">
            <v>5.1379591049999993</v>
          </cell>
          <cell r="T13379">
            <v>1.6383063199999999</v>
          </cell>
        </row>
        <row r="13380">
          <cell r="A13380" t="str">
            <v>RFS/CELWAVE</v>
          </cell>
          <cell r="B13380" t="str">
            <v>APXVRR13-C-NA20</v>
          </cell>
          <cell r="O13380">
            <v>5.1379591049999993</v>
          </cell>
          <cell r="T13380">
            <v>1.6383063199999999</v>
          </cell>
        </row>
        <row r="13381">
          <cell r="A13381" t="str">
            <v>RFS/CELWAVE</v>
          </cell>
          <cell r="B13381" t="str">
            <v>APXVRR18-C</v>
          </cell>
          <cell r="O13381">
            <v>6.6586709099999997</v>
          </cell>
          <cell r="T13381">
            <v>3.8984098250000003</v>
          </cell>
        </row>
        <row r="13382">
          <cell r="A13382" t="str">
            <v>RFS/CELWAVE</v>
          </cell>
          <cell r="B13382" t="str">
            <v>APXVRR20-C</v>
          </cell>
          <cell r="O13382">
            <v>8.9228587962962997</v>
          </cell>
          <cell r="T13382">
            <v>2.7917023665104703</v>
          </cell>
        </row>
        <row r="13383">
          <cell r="A13383" t="str">
            <v>RFS/CELWAVE</v>
          </cell>
          <cell r="B13383" t="str">
            <v>APXVRR20-C-A20</v>
          </cell>
          <cell r="O13383">
            <v>8.9228587962962997</v>
          </cell>
          <cell r="T13383">
            <v>2.7917023665104703</v>
          </cell>
        </row>
        <row r="13384">
          <cell r="A13384" t="str">
            <v>RFS/CELWAVE</v>
          </cell>
          <cell r="B13384" t="str">
            <v>APXVSPP18-C</v>
          </cell>
          <cell r="O13384">
            <v>4.66</v>
          </cell>
          <cell r="T13384">
            <v>3.11</v>
          </cell>
        </row>
        <row r="13385">
          <cell r="A13385" t="str">
            <v>RFS/CELWAVE</v>
          </cell>
          <cell r="B13385" t="str">
            <v>APXVSPP18-C-A20</v>
          </cell>
          <cell r="O13385">
            <v>4.6588257139999998</v>
          </cell>
          <cell r="T13385">
            <v>3.1098870380000001</v>
          </cell>
        </row>
        <row r="13386">
          <cell r="A13386" t="str">
            <v>RFS/CELWAVE</v>
          </cell>
          <cell r="B13386" t="str">
            <v>APXVSPP19-C-NA20</v>
          </cell>
          <cell r="O13386">
            <v>5.1636612779999993</v>
          </cell>
          <cell r="T13386">
            <v>2.9058250719999998</v>
          </cell>
        </row>
        <row r="13387">
          <cell r="A13387" t="str">
            <v>RFS/CELWAVE</v>
          </cell>
          <cell r="B13387" t="str">
            <v>APXVTM14-ALU-I20</v>
          </cell>
          <cell r="O13387">
            <v>4.1152657210000001</v>
          </cell>
          <cell r="T13387">
            <v>2.0577511200000003</v>
          </cell>
        </row>
        <row r="13388">
          <cell r="A13388" t="str">
            <v>RFS/CELWAVE</v>
          </cell>
          <cell r="B13388" t="str">
            <v>APXVTM14-C-120</v>
          </cell>
          <cell r="O13388">
            <v>4.1152657210000001</v>
          </cell>
          <cell r="T13388">
            <v>2.0577511200000003</v>
          </cell>
        </row>
        <row r="13389">
          <cell r="A13389" t="str">
            <v>RFS/CELWAVE</v>
          </cell>
          <cell r="B13389" t="str">
            <v>APXVTSM18-C-I20</v>
          </cell>
          <cell r="O13389">
            <v>4.9430159079999996</v>
          </cell>
          <cell r="T13389">
            <v>2.7853967290000003</v>
          </cell>
        </row>
        <row r="13390">
          <cell r="A13390" t="str">
            <v>RFS/CELWAVE</v>
          </cell>
          <cell r="B13390" t="str">
            <v>APXVTSM18-C-I20_CCIV2</v>
          </cell>
          <cell r="O13390">
            <v>4.9430159079999996</v>
          </cell>
          <cell r="T13390">
            <v>2.7853967290000003</v>
          </cell>
        </row>
        <row r="13391">
          <cell r="A13391" t="str">
            <v>RFS/CELWAVE</v>
          </cell>
          <cell r="B13391" t="str">
            <v>APXVW13S-C</v>
          </cell>
          <cell r="O13391"/>
          <cell r="T13391"/>
        </row>
        <row r="13392">
          <cell r="A13392" t="str">
            <v>RFS/CELWAVE</v>
          </cell>
          <cell r="B13392" t="str">
            <v>AV6B13C0-15PO-2</v>
          </cell>
          <cell r="O13392"/>
          <cell r="T13392"/>
        </row>
        <row r="13393">
          <cell r="A13393" t="str">
            <v>RFS/CELWAVE</v>
          </cell>
          <cell r="B13393" t="str">
            <v>AX614CV-15PVB-A</v>
          </cell>
          <cell r="O13393"/>
          <cell r="T13393"/>
        </row>
        <row r="13394">
          <cell r="A13394" t="str">
            <v>RFS/CELWAVE</v>
          </cell>
          <cell r="B13394" t="str">
            <v>AX913CV-15PVB</v>
          </cell>
          <cell r="O13394"/>
          <cell r="T13394"/>
        </row>
        <row r="13395">
          <cell r="A13395" t="str">
            <v>RFS/CELWAVE</v>
          </cell>
          <cell r="B13395" t="str">
            <v>AXE196515-52T2</v>
          </cell>
          <cell r="O13395"/>
          <cell r="T13395"/>
        </row>
        <row r="13396">
          <cell r="A13396" t="str">
            <v>RFS/CELWAVE</v>
          </cell>
          <cell r="B13396" t="str">
            <v>BA 1312</v>
          </cell>
          <cell r="O13396"/>
          <cell r="T13396"/>
        </row>
        <row r="13397">
          <cell r="A13397" t="str">
            <v>RFS/CELWAVE</v>
          </cell>
          <cell r="B13397" t="str">
            <v>BA1010-1</v>
          </cell>
          <cell r="O13397"/>
          <cell r="T13397"/>
        </row>
        <row r="13398">
          <cell r="A13398" t="str">
            <v>RFS/CELWAVE</v>
          </cell>
          <cell r="B13398" t="str">
            <v>BA1010-2</v>
          </cell>
          <cell r="O13398"/>
          <cell r="T13398"/>
        </row>
        <row r="13399">
          <cell r="A13399" t="str">
            <v>RFS/CELWAVE</v>
          </cell>
          <cell r="B13399" t="str">
            <v>BA1010-4</v>
          </cell>
          <cell r="O13399"/>
          <cell r="T13399"/>
        </row>
        <row r="13400">
          <cell r="A13400" t="str">
            <v>RFS/CELWAVE</v>
          </cell>
          <cell r="B13400" t="str">
            <v>BA1012-0</v>
          </cell>
          <cell r="O13400"/>
          <cell r="T13400"/>
        </row>
        <row r="13401">
          <cell r="A13401" t="str">
            <v>RFS/CELWAVE</v>
          </cell>
          <cell r="B13401" t="str">
            <v>BA1012-1</v>
          </cell>
          <cell r="O13401"/>
          <cell r="T13401"/>
        </row>
        <row r="13402">
          <cell r="A13402" t="str">
            <v>RFS/CELWAVE</v>
          </cell>
          <cell r="B13402" t="str">
            <v>BA1012-2</v>
          </cell>
          <cell r="O13402"/>
          <cell r="T13402"/>
        </row>
        <row r="13403">
          <cell r="A13403" t="str">
            <v>RFS/CELWAVE</v>
          </cell>
          <cell r="B13403" t="str">
            <v>BA1312-0</v>
          </cell>
          <cell r="O13403"/>
          <cell r="T13403"/>
        </row>
        <row r="13404">
          <cell r="A13404" t="str">
            <v>RFS/CELWAVE</v>
          </cell>
          <cell r="B13404" t="str">
            <v>BA1312-1</v>
          </cell>
          <cell r="O13404"/>
          <cell r="T13404"/>
        </row>
        <row r="13405">
          <cell r="A13405" t="str">
            <v>RFS/CELWAVE</v>
          </cell>
          <cell r="B13405" t="str">
            <v>BA1312-2</v>
          </cell>
          <cell r="O13405"/>
          <cell r="T13405"/>
        </row>
        <row r="13406">
          <cell r="A13406" t="str">
            <v>RFS/CELWAVE</v>
          </cell>
          <cell r="B13406" t="str">
            <v>BA1312-3</v>
          </cell>
          <cell r="O13406"/>
          <cell r="T13406"/>
        </row>
        <row r="13407">
          <cell r="A13407" t="str">
            <v>RFS/CELWAVE</v>
          </cell>
          <cell r="B13407" t="str">
            <v>BA6012-0</v>
          </cell>
          <cell r="O13407"/>
          <cell r="T13407"/>
        </row>
        <row r="13408">
          <cell r="A13408" t="str">
            <v>RFS/CELWAVE</v>
          </cell>
          <cell r="B13408" t="str">
            <v>BA6012-1</v>
          </cell>
          <cell r="O13408"/>
          <cell r="T13408"/>
        </row>
        <row r="13409">
          <cell r="A13409" t="str">
            <v>RFS/CELWAVE</v>
          </cell>
          <cell r="B13409" t="str">
            <v>BA6012-2</v>
          </cell>
          <cell r="O13409"/>
          <cell r="T13409"/>
        </row>
        <row r="13410">
          <cell r="A13410" t="str">
            <v>RFS/CELWAVE</v>
          </cell>
          <cell r="B13410" t="str">
            <v>BA6110-1</v>
          </cell>
          <cell r="O13410"/>
          <cell r="T13410"/>
        </row>
        <row r="13411">
          <cell r="A13411" t="str">
            <v>RFS/CELWAVE</v>
          </cell>
          <cell r="B13411" t="str">
            <v>BA6110-2</v>
          </cell>
          <cell r="O13411"/>
          <cell r="T13411"/>
        </row>
        <row r="13412">
          <cell r="A13412" t="str">
            <v>RFS/CELWAVE</v>
          </cell>
          <cell r="B13412" t="str">
            <v>BA6312-0</v>
          </cell>
          <cell r="O13412"/>
          <cell r="T13412"/>
        </row>
        <row r="13413">
          <cell r="A13413" t="str">
            <v>RFS/CELWAVE</v>
          </cell>
          <cell r="B13413" t="str">
            <v>BA6312-1</v>
          </cell>
          <cell r="O13413"/>
          <cell r="T13413"/>
        </row>
        <row r="13414">
          <cell r="A13414" t="str">
            <v>RFS/CELWAVE</v>
          </cell>
          <cell r="B13414" t="str">
            <v>BA6312-2</v>
          </cell>
          <cell r="O13414"/>
          <cell r="T13414"/>
        </row>
        <row r="13415">
          <cell r="A13415" t="str">
            <v>RFS/CELWAVE</v>
          </cell>
          <cell r="B13415" t="str">
            <v>BCR 105-A-B1</v>
          </cell>
          <cell r="O13415"/>
          <cell r="T13415"/>
        </row>
        <row r="13416">
          <cell r="A13416" t="str">
            <v>RFS/CELWAVE</v>
          </cell>
          <cell r="B13416" t="str">
            <v>BCR10</v>
          </cell>
          <cell r="O13416"/>
          <cell r="T13416"/>
        </row>
        <row r="13417">
          <cell r="A13417" t="str">
            <v>RFS/CELWAVE</v>
          </cell>
          <cell r="B13417" t="str">
            <v>BCR10-0-B1</v>
          </cell>
          <cell r="O13417"/>
          <cell r="T13417"/>
        </row>
        <row r="13418">
          <cell r="A13418" t="str">
            <v>RFS/CELWAVE</v>
          </cell>
          <cell r="B13418" t="str">
            <v>BCR10-A</v>
          </cell>
          <cell r="O13418"/>
          <cell r="T13418"/>
        </row>
        <row r="13419">
          <cell r="A13419" t="str">
            <v>RFS/CELWAVE</v>
          </cell>
          <cell r="B13419" t="str">
            <v>BCR10-B</v>
          </cell>
          <cell r="O13419"/>
          <cell r="T13419"/>
        </row>
        <row r="13420">
          <cell r="A13420" t="str">
            <v>RFS/CELWAVE</v>
          </cell>
          <cell r="B13420" t="str">
            <v>BCR10-B-B1</v>
          </cell>
          <cell r="O13420"/>
          <cell r="T13420"/>
        </row>
        <row r="13421">
          <cell r="A13421" t="str">
            <v>RFS/CELWAVE</v>
          </cell>
          <cell r="B13421" t="str">
            <v>BCR10-D</v>
          </cell>
          <cell r="O13421"/>
          <cell r="T13421"/>
        </row>
        <row r="13422">
          <cell r="A13422" t="str">
            <v>RFS/CELWAVE</v>
          </cell>
          <cell r="B13422" t="str">
            <v>BCR10-H</v>
          </cell>
          <cell r="O13422"/>
          <cell r="T13422"/>
        </row>
        <row r="13423">
          <cell r="A13423" t="str">
            <v>RFS/CELWAVE</v>
          </cell>
          <cell r="B13423" t="str">
            <v>BCR10-H-B1</v>
          </cell>
          <cell r="O13423"/>
          <cell r="T13423"/>
        </row>
        <row r="13424">
          <cell r="A13424" t="str">
            <v>RFS/CELWAVE</v>
          </cell>
          <cell r="B13424" t="str">
            <v>BCR10-O</v>
          </cell>
          <cell r="O13424"/>
          <cell r="T13424"/>
        </row>
        <row r="13425">
          <cell r="A13425" t="str">
            <v>RFS/CELWAVE</v>
          </cell>
          <cell r="B13425" t="str">
            <v>BCR10-O-B1</v>
          </cell>
          <cell r="O13425"/>
          <cell r="T13425"/>
        </row>
        <row r="13426">
          <cell r="A13426" t="str">
            <v>RFS/CELWAVE</v>
          </cell>
          <cell r="B13426" t="str">
            <v>BCR10/8</v>
          </cell>
          <cell r="O13426"/>
          <cell r="T13426"/>
        </row>
        <row r="13427">
          <cell r="A13427" t="str">
            <v>RFS/CELWAVE</v>
          </cell>
          <cell r="B13427" t="str">
            <v>BCR101-H-B1</v>
          </cell>
          <cell r="O13427"/>
          <cell r="T13427"/>
        </row>
        <row r="13428">
          <cell r="A13428" t="str">
            <v>RFS/CELWAVE</v>
          </cell>
          <cell r="B13428" t="str">
            <v>BCR10I-A-B1</v>
          </cell>
          <cell r="O13428"/>
          <cell r="T13428"/>
        </row>
        <row r="13429">
          <cell r="A13429" t="str">
            <v>RFS/CELWAVE</v>
          </cell>
          <cell r="B13429" t="str">
            <v>BCR12</v>
          </cell>
          <cell r="O13429"/>
          <cell r="T13429"/>
        </row>
        <row r="13430">
          <cell r="A13430" t="str">
            <v>RFS/CELWAVE</v>
          </cell>
          <cell r="B13430" t="str">
            <v>BCR12-01-B1</v>
          </cell>
          <cell r="O13430"/>
          <cell r="T13430"/>
        </row>
        <row r="13431">
          <cell r="A13431" t="str">
            <v>RFS/CELWAVE</v>
          </cell>
          <cell r="B13431" t="str">
            <v>BCR12-A</v>
          </cell>
          <cell r="O13431"/>
          <cell r="T13431"/>
        </row>
        <row r="13432">
          <cell r="A13432" t="str">
            <v>RFS/CELWAVE</v>
          </cell>
          <cell r="B13432" t="str">
            <v>BCR12-A-B1</v>
          </cell>
          <cell r="O13432"/>
          <cell r="T13432"/>
        </row>
        <row r="13433">
          <cell r="A13433" t="str">
            <v>RFS/CELWAVE</v>
          </cell>
          <cell r="B13433" t="str">
            <v>BCR12-B</v>
          </cell>
          <cell r="O13433"/>
          <cell r="T13433"/>
        </row>
        <row r="13434">
          <cell r="A13434" t="str">
            <v>RFS/CELWAVE</v>
          </cell>
          <cell r="B13434" t="str">
            <v>BCR12-B-B1</v>
          </cell>
          <cell r="O13434"/>
          <cell r="T13434"/>
        </row>
        <row r="13435">
          <cell r="A13435" t="str">
            <v>RFS/CELWAVE</v>
          </cell>
          <cell r="B13435" t="str">
            <v>BCR12-D</v>
          </cell>
          <cell r="O13435"/>
          <cell r="T13435"/>
        </row>
        <row r="13436">
          <cell r="A13436" t="str">
            <v>RFS/CELWAVE</v>
          </cell>
          <cell r="B13436" t="str">
            <v>BCR12-H</v>
          </cell>
          <cell r="O13436"/>
          <cell r="T13436"/>
        </row>
        <row r="13437">
          <cell r="A13437" t="str">
            <v>RFS/CELWAVE</v>
          </cell>
          <cell r="B13437" t="str">
            <v>BCR12-H-B1</v>
          </cell>
          <cell r="O13437"/>
          <cell r="T13437"/>
        </row>
        <row r="13438">
          <cell r="A13438" t="str">
            <v>RFS/CELWAVE</v>
          </cell>
          <cell r="B13438" t="str">
            <v>BCR12-O</v>
          </cell>
          <cell r="O13438"/>
          <cell r="T13438"/>
        </row>
        <row r="13439">
          <cell r="A13439" t="str">
            <v>RFS/CELWAVE</v>
          </cell>
          <cell r="B13439" t="str">
            <v>BCR12-O-B1</v>
          </cell>
          <cell r="O13439"/>
          <cell r="T13439"/>
        </row>
        <row r="13440">
          <cell r="A13440" t="str">
            <v>RFS/CELWAVE</v>
          </cell>
          <cell r="B13440" t="str">
            <v>BCR1201131</v>
          </cell>
          <cell r="O13440"/>
          <cell r="T13440"/>
        </row>
        <row r="13441">
          <cell r="A13441" t="str">
            <v>RFS/CELWAVE</v>
          </cell>
          <cell r="B13441" t="str">
            <v>BCR12H</v>
          </cell>
          <cell r="O13441"/>
          <cell r="T13441"/>
        </row>
        <row r="13442">
          <cell r="A13442" t="str">
            <v>RFS/CELWAVE</v>
          </cell>
          <cell r="B13442" t="str">
            <v>BCR12I-O-B1</v>
          </cell>
          <cell r="O13442"/>
          <cell r="T13442"/>
        </row>
        <row r="13443">
          <cell r="A13443" t="str">
            <v>RFS/CELWAVE</v>
          </cell>
          <cell r="B13443" t="str">
            <v>BCR2C</v>
          </cell>
          <cell r="O13443"/>
          <cell r="T13443"/>
        </row>
        <row r="13444">
          <cell r="A13444" t="str">
            <v>RFS/CELWAVE</v>
          </cell>
          <cell r="B13444" t="str">
            <v>BCR6-A</v>
          </cell>
          <cell r="O13444"/>
          <cell r="T13444"/>
        </row>
        <row r="13445">
          <cell r="A13445" t="str">
            <v>RFS/CELWAVE</v>
          </cell>
          <cell r="B13445" t="str">
            <v>BCR6-B</v>
          </cell>
          <cell r="O13445"/>
          <cell r="T13445"/>
        </row>
        <row r="13446">
          <cell r="A13446" t="str">
            <v>RFS/CELWAVE</v>
          </cell>
          <cell r="B13446" t="str">
            <v>BCR6-D</v>
          </cell>
          <cell r="O13446"/>
          <cell r="T13446"/>
        </row>
        <row r="13447">
          <cell r="A13447" t="str">
            <v>RFS/CELWAVE</v>
          </cell>
          <cell r="B13447" t="str">
            <v>BCR6-H</v>
          </cell>
          <cell r="O13447"/>
          <cell r="T13447"/>
        </row>
        <row r="13448">
          <cell r="A13448" t="str">
            <v>RFS/CELWAVE</v>
          </cell>
          <cell r="B13448" t="str">
            <v>BCR6-H-B1</v>
          </cell>
          <cell r="O13448"/>
          <cell r="T13448"/>
        </row>
        <row r="13449">
          <cell r="A13449" t="str">
            <v>RFS/CELWAVE</v>
          </cell>
          <cell r="B13449" t="str">
            <v>BCR6-O</v>
          </cell>
          <cell r="O13449"/>
          <cell r="T13449"/>
        </row>
        <row r="13450">
          <cell r="A13450" t="str">
            <v>RFS/CELWAVE</v>
          </cell>
          <cell r="B13450" t="str">
            <v>BCR8-A</v>
          </cell>
          <cell r="O13450"/>
          <cell r="T13450"/>
        </row>
        <row r="13451">
          <cell r="A13451" t="str">
            <v>RFS/CELWAVE</v>
          </cell>
          <cell r="B13451" t="str">
            <v>BCR8-B</v>
          </cell>
          <cell r="O13451"/>
          <cell r="T13451"/>
        </row>
        <row r="13452">
          <cell r="A13452" t="str">
            <v>RFS/CELWAVE</v>
          </cell>
          <cell r="B13452" t="str">
            <v>BCR8-D</v>
          </cell>
          <cell r="O13452"/>
          <cell r="T13452"/>
        </row>
        <row r="13453">
          <cell r="A13453" t="str">
            <v>RFS/CELWAVE</v>
          </cell>
          <cell r="B13453" t="str">
            <v>BCR8-H</v>
          </cell>
          <cell r="O13453"/>
          <cell r="T13453"/>
        </row>
        <row r="13454">
          <cell r="A13454" t="str">
            <v>RFS/CELWAVE</v>
          </cell>
          <cell r="B13454" t="str">
            <v>BCR8-H-B1</v>
          </cell>
          <cell r="O13454"/>
          <cell r="T13454"/>
        </row>
        <row r="13455">
          <cell r="A13455" t="str">
            <v>RFS/CELWAVE</v>
          </cell>
          <cell r="B13455" t="str">
            <v>BCR8-O</v>
          </cell>
          <cell r="O13455"/>
          <cell r="T13455"/>
        </row>
        <row r="13456">
          <cell r="A13456" t="str">
            <v>RFS/CELWAVE</v>
          </cell>
          <cell r="B13456" t="str">
            <v>BCRM-20</v>
          </cell>
          <cell r="O13456"/>
          <cell r="T13456"/>
        </row>
        <row r="13457">
          <cell r="A13457" t="str">
            <v>RFS/CELWAVE</v>
          </cell>
          <cell r="B13457" t="str">
            <v>BLR12-A-B1</v>
          </cell>
          <cell r="O13457"/>
          <cell r="T13457"/>
        </row>
        <row r="13458">
          <cell r="A13458" t="str">
            <v>RFS/CELWAVE</v>
          </cell>
          <cell r="B13458" t="str">
            <v>BLR12-H-B1</v>
          </cell>
          <cell r="O13458"/>
          <cell r="T13458"/>
        </row>
        <row r="13459">
          <cell r="A13459" t="str">
            <v>RFS/CELWAVE</v>
          </cell>
          <cell r="B13459" t="str">
            <v>BLR8-A-B1</v>
          </cell>
          <cell r="O13459"/>
          <cell r="T13459"/>
        </row>
        <row r="13460">
          <cell r="A13460" t="str">
            <v>RFS/CELWAVE</v>
          </cell>
          <cell r="B13460" t="str">
            <v>BM5012-0-B1</v>
          </cell>
          <cell r="O13460"/>
          <cell r="T13460"/>
        </row>
        <row r="13461">
          <cell r="A13461" t="str">
            <v>RFS/CELWAVE</v>
          </cell>
          <cell r="B13461" t="str">
            <v>BMR10</v>
          </cell>
          <cell r="O13461"/>
          <cell r="T13461"/>
        </row>
        <row r="13462">
          <cell r="A13462" t="str">
            <v>RFS/CELWAVE</v>
          </cell>
          <cell r="B13462" t="str">
            <v>BMR10-A</v>
          </cell>
          <cell r="O13462"/>
          <cell r="T13462"/>
        </row>
        <row r="13463">
          <cell r="A13463" t="str">
            <v>RFS/CELWAVE</v>
          </cell>
          <cell r="B13463" t="str">
            <v>BMR10-A-B1</v>
          </cell>
          <cell r="O13463"/>
          <cell r="T13463"/>
        </row>
        <row r="13464">
          <cell r="A13464" t="str">
            <v>RFS/CELWAVE</v>
          </cell>
          <cell r="B13464" t="str">
            <v>BMR10-B</v>
          </cell>
          <cell r="O13464"/>
          <cell r="T13464"/>
        </row>
        <row r="13465">
          <cell r="A13465" t="str">
            <v>RFS/CELWAVE</v>
          </cell>
          <cell r="B13465" t="str">
            <v>BMR10-B-B1</v>
          </cell>
          <cell r="O13465"/>
          <cell r="T13465"/>
        </row>
        <row r="13466">
          <cell r="A13466" t="str">
            <v>RFS/CELWAVE</v>
          </cell>
          <cell r="B13466" t="str">
            <v>BMR10-D</v>
          </cell>
          <cell r="O13466"/>
          <cell r="T13466"/>
        </row>
        <row r="13467">
          <cell r="A13467" t="str">
            <v>RFS/CELWAVE</v>
          </cell>
          <cell r="B13467" t="str">
            <v>BMR10-H</v>
          </cell>
          <cell r="O13467"/>
          <cell r="T13467"/>
        </row>
        <row r="13468">
          <cell r="A13468" t="str">
            <v>RFS/CELWAVE</v>
          </cell>
          <cell r="B13468" t="str">
            <v>BMR10-O</v>
          </cell>
          <cell r="O13468"/>
          <cell r="T13468"/>
        </row>
        <row r="13469">
          <cell r="A13469" t="str">
            <v>RFS/CELWAVE</v>
          </cell>
          <cell r="B13469" t="str">
            <v>BMR10-O-B1</v>
          </cell>
          <cell r="O13469"/>
          <cell r="T13469"/>
        </row>
        <row r="13470">
          <cell r="A13470" t="str">
            <v>RFS/CELWAVE</v>
          </cell>
          <cell r="B13470" t="str">
            <v>BMR10S-B-B1</v>
          </cell>
          <cell r="O13470"/>
          <cell r="T13470"/>
        </row>
        <row r="13471">
          <cell r="A13471" t="str">
            <v>RFS/CELWAVE</v>
          </cell>
          <cell r="B13471" t="str">
            <v>BMR10S-O-B1</v>
          </cell>
          <cell r="O13471"/>
          <cell r="T13471"/>
        </row>
        <row r="13472">
          <cell r="A13472" t="str">
            <v>RFS/CELWAVE</v>
          </cell>
          <cell r="B13472" t="str">
            <v>BMR12</v>
          </cell>
          <cell r="O13472"/>
          <cell r="T13472"/>
        </row>
        <row r="13473">
          <cell r="A13473" t="str">
            <v>RFS/CELWAVE</v>
          </cell>
          <cell r="B13473" t="str">
            <v>BMR12-0-B1</v>
          </cell>
          <cell r="O13473"/>
          <cell r="T13473"/>
        </row>
        <row r="13474">
          <cell r="A13474" t="str">
            <v>RFS/CELWAVE</v>
          </cell>
          <cell r="B13474" t="str">
            <v>BMR12-A</v>
          </cell>
          <cell r="O13474"/>
          <cell r="T13474"/>
        </row>
        <row r="13475">
          <cell r="A13475" t="str">
            <v>RFS/CELWAVE</v>
          </cell>
          <cell r="B13475" t="str">
            <v>BMR12-A-B1</v>
          </cell>
          <cell r="O13475"/>
          <cell r="T13475"/>
        </row>
        <row r="13476">
          <cell r="A13476" t="str">
            <v>RFS/CELWAVE</v>
          </cell>
          <cell r="B13476" t="str">
            <v>BMR12-B</v>
          </cell>
          <cell r="O13476"/>
          <cell r="T13476"/>
        </row>
        <row r="13477">
          <cell r="A13477" t="str">
            <v>RFS/CELWAVE</v>
          </cell>
          <cell r="B13477" t="str">
            <v>BMR12-D</v>
          </cell>
          <cell r="O13477"/>
          <cell r="T13477"/>
        </row>
        <row r="13478">
          <cell r="A13478" t="str">
            <v>RFS/CELWAVE</v>
          </cell>
          <cell r="B13478" t="str">
            <v>BMR12-D-B1</v>
          </cell>
          <cell r="O13478"/>
          <cell r="T13478"/>
        </row>
        <row r="13479">
          <cell r="A13479" t="str">
            <v>RFS/CELWAVE</v>
          </cell>
          <cell r="B13479" t="str">
            <v>BMR12-H</v>
          </cell>
          <cell r="O13479"/>
          <cell r="T13479"/>
        </row>
        <row r="13480">
          <cell r="A13480" t="str">
            <v>RFS/CELWAVE</v>
          </cell>
          <cell r="B13480" t="str">
            <v>BMR12-H-B1</v>
          </cell>
          <cell r="O13480"/>
          <cell r="T13480"/>
        </row>
        <row r="13481">
          <cell r="A13481" t="str">
            <v>RFS/CELWAVE</v>
          </cell>
          <cell r="B13481" t="str">
            <v>BMR12-O</v>
          </cell>
          <cell r="O13481"/>
          <cell r="T13481"/>
        </row>
        <row r="13482">
          <cell r="A13482" t="str">
            <v>RFS/CELWAVE</v>
          </cell>
          <cell r="B13482" t="str">
            <v>BMR6-A</v>
          </cell>
          <cell r="O13482"/>
          <cell r="T13482"/>
        </row>
        <row r="13483">
          <cell r="A13483" t="str">
            <v>RFS/CELWAVE</v>
          </cell>
          <cell r="B13483" t="str">
            <v>BMR6-B</v>
          </cell>
          <cell r="O13483"/>
          <cell r="T13483"/>
        </row>
        <row r="13484">
          <cell r="A13484" t="str">
            <v>RFS/CELWAVE</v>
          </cell>
          <cell r="B13484" t="str">
            <v>BMR6-B-B1</v>
          </cell>
          <cell r="O13484"/>
          <cell r="T13484"/>
        </row>
        <row r="13485">
          <cell r="A13485" t="str">
            <v>RFS/CELWAVE</v>
          </cell>
          <cell r="B13485" t="str">
            <v>BMR6-D</v>
          </cell>
          <cell r="O13485"/>
          <cell r="T13485"/>
        </row>
        <row r="13486">
          <cell r="A13486" t="str">
            <v>RFS/CELWAVE</v>
          </cell>
          <cell r="B13486" t="str">
            <v>BMR6-D-B1</v>
          </cell>
          <cell r="O13486"/>
          <cell r="T13486"/>
        </row>
        <row r="13487">
          <cell r="A13487" t="str">
            <v>RFS/CELWAVE</v>
          </cell>
          <cell r="B13487" t="str">
            <v>BMR6-H</v>
          </cell>
          <cell r="O13487"/>
          <cell r="T13487"/>
        </row>
        <row r="13488">
          <cell r="A13488" t="str">
            <v>RFS/CELWAVE</v>
          </cell>
          <cell r="B13488" t="str">
            <v>BMR6-H-B1</v>
          </cell>
          <cell r="O13488"/>
          <cell r="T13488"/>
        </row>
        <row r="13489">
          <cell r="A13489" t="str">
            <v>RFS/CELWAVE</v>
          </cell>
          <cell r="B13489" t="str">
            <v>BMR6-O</v>
          </cell>
          <cell r="O13489"/>
          <cell r="T13489"/>
        </row>
        <row r="13490">
          <cell r="A13490" t="str">
            <v>RFS/CELWAVE</v>
          </cell>
          <cell r="B13490" t="str">
            <v>BMR8-A</v>
          </cell>
          <cell r="O13490"/>
          <cell r="T13490"/>
        </row>
        <row r="13491">
          <cell r="A13491" t="str">
            <v>RFS/CELWAVE</v>
          </cell>
          <cell r="B13491" t="str">
            <v>BMR8-B</v>
          </cell>
          <cell r="O13491"/>
          <cell r="T13491"/>
        </row>
        <row r="13492">
          <cell r="A13492" t="str">
            <v>RFS/CELWAVE</v>
          </cell>
          <cell r="B13492" t="str">
            <v>BMR8-D</v>
          </cell>
          <cell r="O13492"/>
          <cell r="T13492"/>
        </row>
        <row r="13493">
          <cell r="A13493" t="str">
            <v>RFS/CELWAVE</v>
          </cell>
          <cell r="B13493" t="str">
            <v>BMR8-H</v>
          </cell>
          <cell r="O13493"/>
          <cell r="T13493"/>
        </row>
        <row r="13494">
          <cell r="A13494" t="str">
            <v>RFS/CELWAVE</v>
          </cell>
          <cell r="B13494" t="str">
            <v>BMR8-O</v>
          </cell>
          <cell r="O13494"/>
          <cell r="T13494"/>
        </row>
        <row r="13495">
          <cell r="A13495" t="str">
            <v>RFS/CELWAVE</v>
          </cell>
          <cell r="B13495" t="str">
            <v>BMSL10-A</v>
          </cell>
          <cell r="O13495"/>
          <cell r="T13495"/>
        </row>
        <row r="13496">
          <cell r="A13496" t="str">
            <v>RFS/CELWAVE</v>
          </cell>
          <cell r="B13496" t="str">
            <v>BMSL10-B</v>
          </cell>
          <cell r="O13496"/>
          <cell r="T13496"/>
        </row>
        <row r="13497">
          <cell r="A13497" t="str">
            <v>RFS/CELWAVE</v>
          </cell>
          <cell r="B13497" t="str">
            <v>BMSL10-D</v>
          </cell>
          <cell r="O13497"/>
          <cell r="T13497"/>
        </row>
        <row r="13498">
          <cell r="A13498" t="str">
            <v>RFS/CELWAVE</v>
          </cell>
          <cell r="B13498" t="str">
            <v>BMSL10-H</v>
          </cell>
          <cell r="O13498"/>
          <cell r="T13498"/>
        </row>
        <row r="13499">
          <cell r="A13499" t="str">
            <v>RFS/CELWAVE</v>
          </cell>
          <cell r="B13499" t="str">
            <v>BMSL10-O</v>
          </cell>
          <cell r="O13499"/>
          <cell r="T13499"/>
        </row>
        <row r="13500">
          <cell r="A13500" t="str">
            <v>RFS/CELWAVE</v>
          </cell>
          <cell r="B13500" t="str">
            <v>BMSL12-A</v>
          </cell>
          <cell r="O13500"/>
          <cell r="T13500"/>
        </row>
        <row r="13501">
          <cell r="A13501" t="str">
            <v>RFS/CELWAVE</v>
          </cell>
          <cell r="B13501" t="str">
            <v>BMSL12-B</v>
          </cell>
          <cell r="O13501"/>
          <cell r="T13501"/>
        </row>
        <row r="13502">
          <cell r="A13502" t="str">
            <v>RFS/CELWAVE</v>
          </cell>
          <cell r="B13502" t="str">
            <v>BMSL12-D</v>
          </cell>
          <cell r="O13502"/>
          <cell r="T13502"/>
        </row>
        <row r="13503">
          <cell r="A13503" t="str">
            <v>RFS/CELWAVE</v>
          </cell>
          <cell r="B13503" t="str">
            <v>BMSL12-H</v>
          </cell>
          <cell r="O13503"/>
          <cell r="T13503"/>
        </row>
        <row r="13504">
          <cell r="A13504" t="str">
            <v>RFS/CELWAVE</v>
          </cell>
          <cell r="B13504" t="str">
            <v>BMSL12-O</v>
          </cell>
          <cell r="O13504"/>
          <cell r="T13504"/>
        </row>
        <row r="13505">
          <cell r="A13505" t="str">
            <v>RFS/CELWAVE</v>
          </cell>
          <cell r="B13505" t="str">
            <v>BMSU10-A</v>
          </cell>
          <cell r="O13505"/>
          <cell r="T13505"/>
        </row>
        <row r="13506">
          <cell r="A13506" t="str">
            <v>RFS/CELWAVE</v>
          </cell>
          <cell r="B13506" t="str">
            <v>BMSU10-B</v>
          </cell>
          <cell r="O13506"/>
          <cell r="T13506"/>
        </row>
        <row r="13507">
          <cell r="A13507" t="str">
            <v>RFS/CELWAVE</v>
          </cell>
          <cell r="B13507" t="str">
            <v>BMSU10-D</v>
          </cell>
          <cell r="O13507"/>
          <cell r="T13507"/>
        </row>
        <row r="13508">
          <cell r="A13508" t="str">
            <v>RFS/CELWAVE</v>
          </cell>
          <cell r="B13508" t="str">
            <v>BMSU10-H</v>
          </cell>
          <cell r="O13508"/>
          <cell r="T13508"/>
        </row>
        <row r="13509">
          <cell r="A13509" t="str">
            <v>RFS/CELWAVE</v>
          </cell>
          <cell r="B13509" t="str">
            <v>BMSU10-O</v>
          </cell>
          <cell r="O13509"/>
          <cell r="T13509"/>
        </row>
        <row r="13510">
          <cell r="A13510" t="str">
            <v>RFS/CELWAVE</v>
          </cell>
          <cell r="B13510" t="str">
            <v>BMSU12-A-B1</v>
          </cell>
          <cell r="O13510"/>
          <cell r="T13510"/>
        </row>
        <row r="13511">
          <cell r="A13511" t="str">
            <v>RFS/CELWAVE</v>
          </cell>
          <cell r="B13511" t="str">
            <v>BMSU12-B</v>
          </cell>
          <cell r="O13511"/>
          <cell r="T13511"/>
        </row>
        <row r="13512">
          <cell r="A13512" t="str">
            <v>RFS/CELWAVE</v>
          </cell>
          <cell r="B13512" t="str">
            <v>BMSU12-D</v>
          </cell>
          <cell r="O13512"/>
          <cell r="T13512"/>
        </row>
        <row r="13513">
          <cell r="A13513" t="str">
            <v>RFS/CELWAVE</v>
          </cell>
          <cell r="B13513" t="str">
            <v>BMSU12-H</v>
          </cell>
          <cell r="O13513"/>
          <cell r="T13513"/>
        </row>
        <row r="13514">
          <cell r="A13514" t="str">
            <v>RFS/CELWAVE</v>
          </cell>
          <cell r="B13514" t="str">
            <v>BMSU12-O</v>
          </cell>
          <cell r="O13514"/>
          <cell r="T13514"/>
        </row>
        <row r="13515">
          <cell r="A13515" t="str">
            <v>RFS/CELWAVE</v>
          </cell>
          <cell r="B13515" t="str">
            <v>BMSU12-O-B1</v>
          </cell>
          <cell r="O13515"/>
          <cell r="T13515"/>
        </row>
        <row r="13516">
          <cell r="A13516" t="str">
            <v>RFS/CELWAVE</v>
          </cell>
          <cell r="B13516" t="str">
            <v>BOR12-0-01</v>
          </cell>
          <cell r="O13516"/>
          <cell r="T13516"/>
        </row>
        <row r="13517">
          <cell r="A13517" t="str">
            <v>RFS/CELWAVE</v>
          </cell>
          <cell r="B13517" t="str">
            <v>BPR-12</v>
          </cell>
          <cell r="O13517"/>
          <cell r="T13517"/>
        </row>
        <row r="13518">
          <cell r="A13518" t="str">
            <v>RFS/CELWAVE</v>
          </cell>
          <cell r="B13518" t="str">
            <v>BPR10-A</v>
          </cell>
          <cell r="O13518"/>
          <cell r="T13518"/>
        </row>
        <row r="13519">
          <cell r="A13519" t="str">
            <v>RFS/CELWAVE</v>
          </cell>
          <cell r="B13519" t="str">
            <v>BPR10-A-B1</v>
          </cell>
          <cell r="O13519"/>
          <cell r="T13519"/>
        </row>
        <row r="13520">
          <cell r="A13520" t="str">
            <v>RFS/CELWAVE</v>
          </cell>
          <cell r="B13520" t="str">
            <v>BPR10-B</v>
          </cell>
          <cell r="O13520"/>
          <cell r="T13520"/>
        </row>
        <row r="13521">
          <cell r="A13521" t="str">
            <v>RFS/CELWAVE</v>
          </cell>
          <cell r="B13521" t="str">
            <v>BPR10-D</v>
          </cell>
          <cell r="O13521"/>
          <cell r="T13521"/>
        </row>
        <row r="13522">
          <cell r="A13522" t="str">
            <v>RFS/CELWAVE</v>
          </cell>
          <cell r="B13522" t="str">
            <v>BPR10-H</v>
          </cell>
          <cell r="O13522"/>
          <cell r="T13522"/>
        </row>
        <row r="13523">
          <cell r="A13523" t="str">
            <v>RFS/CELWAVE</v>
          </cell>
          <cell r="B13523" t="str">
            <v>BPR10-O</v>
          </cell>
          <cell r="O13523"/>
          <cell r="T13523"/>
        </row>
        <row r="13524">
          <cell r="A13524" t="str">
            <v>RFS/CELWAVE</v>
          </cell>
          <cell r="B13524" t="str">
            <v>BPR12-A</v>
          </cell>
          <cell r="O13524"/>
          <cell r="T13524"/>
        </row>
        <row r="13525">
          <cell r="A13525" t="str">
            <v>RFS/CELWAVE</v>
          </cell>
          <cell r="B13525" t="str">
            <v>BPR12-A-B1</v>
          </cell>
          <cell r="O13525"/>
          <cell r="T13525"/>
        </row>
        <row r="13526">
          <cell r="A13526" t="str">
            <v>RFS/CELWAVE</v>
          </cell>
          <cell r="B13526" t="str">
            <v>BPR12-B</v>
          </cell>
          <cell r="O13526"/>
          <cell r="T13526"/>
        </row>
        <row r="13527">
          <cell r="A13527" t="str">
            <v>RFS/CELWAVE</v>
          </cell>
          <cell r="B13527" t="str">
            <v>BPR12-D</v>
          </cell>
          <cell r="O13527"/>
          <cell r="T13527"/>
        </row>
        <row r="13528">
          <cell r="A13528" t="str">
            <v>RFS/CELWAVE</v>
          </cell>
          <cell r="B13528" t="str">
            <v>BPR12-H</v>
          </cell>
          <cell r="O13528"/>
          <cell r="T13528"/>
        </row>
        <row r="13529">
          <cell r="A13529" t="str">
            <v>RFS/CELWAVE</v>
          </cell>
          <cell r="B13529" t="str">
            <v>BPR6-A</v>
          </cell>
          <cell r="O13529"/>
          <cell r="T13529"/>
        </row>
        <row r="13530">
          <cell r="A13530" t="str">
            <v>RFS/CELWAVE</v>
          </cell>
          <cell r="B13530" t="str">
            <v>BPR6-B</v>
          </cell>
          <cell r="O13530"/>
          <cell r="T13530"/>
        </row>
        <row r="13531">
          <cell r="A13531" t="str">
            <v>RFS/CELWAVE</v>
          </cell>
          <cell r="B13531" t="str">
            <v>BPR6-D</v>
          </cell>
          <cell r="O13531"/>
          <cell r="T13531"/>
        </row>
        <row r="13532">
          <cell r="A13532" t="str">
            <v>RFS/CELWAVE</v>
          </cell>
          <cell r="B13532" t="str">
            <v>BPR6-H</v>
          </cell>
          <cell r="O13532"/>
          <cell r="T13532"/>
        </row>
        <row r="13533">
          <cell r="A13533" t="str">
            <v>RFS/CELWAVE</v>
          </cell>
          <cell r="B13533" t="str">
            <v>BPR6-O</v>
          </cell>
          <cell r="O13533"/>
          <cell r="T13533"/>
        </row>
        <row r="13534">
          <cell r="A13534" t="str">
            <v>RFS/CELWAVE</v>
          </cell>
          <cell r="B13534" t="str">
            <v>BPR8-A</v>
          </cell>
          <cell r="O13534"/>
          <cell r="T13534"/>
        </row>
        <row r="13535">
          <cell r="A13535" t="str">
            <v>RFS/CELWAVE</v>
          </cell>
          <cell r="B13535" t="str">
            <v>BPR8-A-B1</v>
          </cell>
          <cell r="O13535"/>
          <cell r="T13535"/>
        </row>
        <row r="13536">
          <cell r="A13536" t="str">
            <v>RFS/CELWAVE</v>
          </cell>
          <cell r="B13536" t="str">
            <v>BPR8-B</v>
          </cell>
          <cell r="O13536"/>
          <cell r="T13536"/>
        </row>
        <row r="13537">
          <cell r="A13537" t="str">
            <v>RFS/CELWAVE</v>
          </cell>
          <cell r="B13537" t="str">
            <v>BPR8-D</v>
          </cell>
          <cell r="O13537"/>
          <cell r="T13537"/>
        </row>
        <row r="13538">
          <cell r="A13538" t="str">
            <v>RFS/CELWAVE</v>
          </cell>
          <cell r="B13538" t="str">
            <v>BPR8-H</v>
          </cell>
          <cell r="O13538"/>
          <cell r="T13538"/>
        </row>
        <row r="13539">
          <cell r="A13539" t="str">
            <v>RFS/CELWAVE</v>
          </cell>
          <cell r="B13539" t="str">
            <v>BPR8-O</v>
          </cell>
          <cell r="O13539"/>
          <cell r="T13539"/>
        </row>
        <row r="13540">
          <cell r="A13540" t="str">
            <v>RFS/CELWAVE</v>
          </cell>
          <cell r="B13540" t="str">
            <v>BPS10-A-B1</v>
          </cell>
          <cell r="O13540"/>
          <cell r="T13540"/>
        </row>
        <row r="13541">
          <cell r="A13541" t="str">
            <v>RFS/CELWAVE</v>
          </cell>
          <cell r="B13541" t="str">
            <v>BPS10-H-B1</v>
          </cell>
          <cell r="O13541"/>
          <cell r="T13541"/>
        </row>
        <row r="13542">
          <cell r="A13542" t="str">
            <v>RFS/CELWAVE</v>
          </cell>
          <cell r="B13542" t="str">
            <v>BPS10-O-B1</v>
          </cell>
          <cell r="O13542"/>
          <cell r="T13542"/>
        </row>
        <row r="13543">
          <cell r="A13543" t="str">
            <v>RFS/CELWAVE</v>
          </cell>
          <cell r="B13543" t="str">
            <v>CAT 83.5</v>
          </cell>
          <cell r="O13543"/>
          <cell r="T13543"/>
        </row>
        <row r="13544">
          <cell r="A13544" t="str">
            <v>RFS/CELWAVE</v>
          </cell>
          <cell r="B13544" t="str">
            <v>CEL-1</v>
          </cell>
          <cell r="O13544"/>
          <cell r="T13544"/>
        </row>
        <row r="13545">
          <cell r="A13545" t="str">
            <v>RFS/CELWAVE</v>
          </cell>
          <cell r="B13545" t="str">
            <v>CEL-1A</v>
          </cell>
          <cell r="O13545"/>
          <cell r="T13545"/>
        </row>
        <row r="13546">
          <cell r="A13546" t="str">
            <v>RFS/CELWAVE</v>
          </cell>
          <cell r="B13546" t="str">
            <v>CEL-3S</v>
          </cell>
          <cell r="O13546"/>
          <cell r="T13546"/>
        </row>
        <row r="13547">
          <cell r="A13547" t="str">
            <v>RFS/CELWAVE</v>
          </cell>
          <cell r="B13547" t="str">
            <v>CP2500-2</v>
          </cell>
          <cell r="O13547"/>
          <cell r="T13547"/>
        </row>
        <row r="13548">
          <cell r="A13548" t="str">
            <v>RFS/CELWAVE</v>
          </cell>
          <cell r="B13548" t="str">
            <v>CP2500-3</v>
          </cell>
          <cell r="O13548"/>
          <cell r="T13548"/>
        </row>
        <row r="13549">
          <cell r="A13549" t="str">
            <v>RFS/CELWAVE</v>
          </cell>
          <cell r="B13549" t="str">
            <v>CP2500-4</v>
          </cell>
          <cell r="O13549"/>
          <cell r="T13549"/>
        </row>
        <row r="13550">
          <cell r="A13550" t="str">
            <v>RFS/CELWAVE</v>
          </cell>
          <cell r="B13550" t="str">
            <v>CP2500-6</v>
          </cell>
          <cell r="O13550"/>
          <cell r="T13550"/>
        </row>
        <row r="13551">
          <cell r="A13551" t="str">
            <v>RFS/CELWAVE</v>
          </cell>
          <cell r="B13551" t="str">
            <v>CP2500-8</v>
          </cell>
          <cell r="O13551"/>
          <cell r="T13551"/>
        </row>
        <row r="13552">
          <cell r="A13552" t="str">
            <v>RFS/CELWAVE</v>
          </cell>
          <cell r="B13552" t="str">
            <v>CP500-2</v>
          </cell>
          <cell r="O13552"/>
          <cell r="T13552"/>
        </row>
        <row r="13553">
          <cell r="A13553" t="str">
            <v>RFS/CELWAVE</v>
          </cell>
          <cell r="B13553" t="str">
            <v>CP500-3</v>
          </cell>
          <cell r="O13553"/>
          <cell r="T13553"/>
        </row>
        <row r="13554">
          <cell r="A13554" t="str">
            <v>RFS/CELWAVE</v>
          </cell>
          <cell r="B13554" t="str">
            <v>CP500-4</v>
          </cell>
          <cell r="O13554"/>
          <cell r="T13554"/>
        </row>
        <row r="13555">
          <cell r="A13555" t="str">
            <v>RFS/CELWAVE</v>
          </cell>
          <cell r="B13555" t="str">
            <v>CP500-6</v>
          </cell>
          <cell r="O13555"/>
          <cell r="T13555"/>
        </row>
        <row r="13556">
          <cell r="A13556" t="str">
            <v>RFS/CELWAVE</v>
          </cell>
          <cell r="B13556" t="str">
            <v>CP500-8</v>
          </cell>
          <cell r="O13556"/>
          <cell r="T13556"/>
        </row>
        <row r="13557">
          <cell r="A13557" t="str">
            <v>RFS/CELWAVE</v>
          </cell>
          <cell r="B13557" t="str">
            <v>CPF2500-2</v>
          </cell>
          <cell r="O13557"/>
          <cell r="T13557"/>
        </row>
        <row r="13558">
          <cell r="A13558" t="str">
            <v>RFS/CELWAVE</v>
          </cell>
          <cell r="B13558" t="str">
            <v>CPF2500-3</v>
          </cell>
          <cell r="O13558"/>
          <cell r="T13558"/>
        </row>
        <row r="13559">
          <cell r="A13559" t="str">
            <v>RFS/CELWAVE</v>
          </cell>
          <cell r="B13559" t="str">
            <v>CPF2500-4</v>
          </cell>
          <cell r="O13559"/>
          <cell r="T13559"/>
        </row>
        <row r="13560">
          <cell r="A13560" t="str">
            <v>RFS/CELWAVE</v>
          </cell>
          <cell r="B13560" t="str">
            <v>CPF2500-6</v>
          </cell>
          <cell r="O13560"/>
          <cell r="T13560"/>
        </row>
        <row r="13561">
          <cell r="A13561" t="str">
            <v>RFS/CELWAVE</v>
          </cell>
          <cell r="B13561" t="str">
            <v>CPF2500-8</v>
          </cell>
          <cell r="O13561"/>
          <cell r="T13561"/>
        </row>
        <row r="13562">
          <cell r="A13562" t="str">
            <v>RFS/CELWAVE</v>
          </cell>
          <cell r="B13562" t="str">
            <v>CPF500</v>
          </cell>
          <cell r="O13562"/>
          <cell r="T13562"/>
        </row>
        <row r="13563">
          <cell r="A13563" t="str">
            <v>RFS/CELWAVE</v>
          </cell>
          <cell r="B13563" t="str">
            <v>CPF500-1</v>
          </cell>
          <cell r="O13563"/>
          <cell r="T13563"/>
        </row>
        <row r="13564">
          <cell r="A13564" t="str">
            <v>RFS/CELWAVE</v>
          </cell>
          <cell r="B13564" t="str">
            <v>CPF500-2</v>
          </cell>
          <cell r="O13564"/>
          <cell r="T13564"/>
        </row>
        <row r="13565">
          <cell r="A13565" t="str">
            <v>RFS/CELWAVE</v>
          </cell>
          <cell r="B13565" t="str">
            <v>CPF500-3</v>
          </cell>
          <cell r="O13565"/>
          <cell r="T13565"/>
        </row>
        <row r="13566">
          <cell r="A13566" t="str">
            <v>RFS/CELWAVE</v>
          </cell>
          <cell r="B13566" t="str">
            <v>CPF500-4</v>
          </cell>
          <cell r="O13566"/>
          <cell r="T13566"/>
        </row>
        <row r="13567">
          <cell r="A13567" t="str">
            <v>RFS/CELWAVE</v>
          </cell>
          <cell r="B13567" t="str">
            <v>CPF500-6</v>
          </cell>
          <cell r="O13567"/>
          <cell r="T13567"/>
        </row>
        <row r="13568">
          <cell r="A13568" t="str">
            <v>RFS/CELWAVE</v>
          </cell>
          <cell r="B13568" t="str">
            <v>CPF500-8</v>
          </cell>
          <cell r="O13568"/>
          <cell r="T13568"/>
        </row>
        <row r="13569">
          <cell r="A13569" t="str">
            <v>RFS/CELWAVE</v>
          </cell>
          <cell r="B13569" t="str">
            <v>CRBM-20</v>
          </cell>
          <cell r="O13569"/>
          <cell r="T13569"/>
        </row>
        <row r="13570">
          <cell r="A13570" t="str">
            <v>RFS/CELWAVE</v>
          </cell>
          <cell r="B13570" t="str">
            <v>CSS SH-13</v>
          </cell>
          <cell r="O13570"/>
          <cell r="T13570"/>
        </row>
        <row r="13571">
          <cell r="A13571" t="str">
            <v>RFS/CELWAVE</v>
          </cell>
          <cell r="B13571" t="str">
            <v>DA10</v>
          </cell>
          <cell r="O13571"/>
          <cell r="T13571"/>
        </row>
        <row r="13572">
          <cell r="A13572" t="str">
            <v>RFS/CELWAVE</v>
          </cell>
          <cell r="B13572" t="str">
            <v>DA10-107</v>
          </cell>
          <cell r="O13572"/>
          <cell r="T13572"/>
        </row>
        <row r="13573">
          <cell r="A13573" t="str">
            <v>RFS/CELWAVE</v>
          </cell>
          <cell r="B13573" t="str">
            <v>DA10-15</v>
          </cell>
          <cell r="O13573"/>
          <cell r="T13573"/>
        </row>
        <row r="13574">
          <cell r="A13574" t="str">
            <v>RFS/CELWAVE</v>
          </cell>
          <cell r="B13574" t="str">
            <v>DA10-17</v>
          </cell>
          <cell r="O13574"/>
          <cell r="T13574"/>
        </row>
        <row r="13575">
          <cell r="A13575" t="str">
            <v>RFS/CELWAVE</v>
          </cell>
          <cell r="B13575" t="str">
            <v>DA10-17W</v>
          </cell>
          <cell r="O13575"/>
          <cell r="T13575"/>
        </row>
        <row r="13576">
          <cell r="A13576" t="str">
            <v>RFS/CELWAVE</v>
          </cell>
          <cell r="B13576" t="str">
            <v>DA10-18</v>
          </cell>
          <cell r="O13576"/>
          <cell r="T13576"/>
        </row>
        <row r="13577">
          <cell r="A13577" t="str">
            <v>RFS/CELWAVE</v>
          </cell>
          <cell r="B13577" t="str">
            <v>DA10-19</v>
          </cell>
          <cell r="O13577"/>
          <cell r="T13577"/>
        </row>
        <row r="13578">
          <cell r="A13578" t="str">
            <v>RFS/CELWAVE</v>
          </cell>
          <cell r="B13578" t="str">
            <v>DA10-19W</v>
          </cell>
          <cell r="O13578"/>
          <cell r="T13578"/>
        </row>
        <row r="13579">
          <cell r="A13579" t="str">
            <v>RFS/CELWAVE</v>
          </cell>
          <cell r="B13579" t="str">
            <v>DA10-21</v>
          </cell>
          <cell r="O13579"/>
          <cell r="T13579"/>
        </row>
        <row r="13580">
          <cell r="A13580" t="str">
            <v>RFS/CELWAVE</v>
          </cell>
          <cell r="B13580" t="str">
            <v>DA10-23</v>
          </cell>
          <cell r="O13580"/>
          <cell r="T13580"/>
        </row>
        <row r="13581">
          <cell r="A13581" t="str">
            <v>RFS/CELWAVE</v>
          </cell>
          <cell r="B13581" t="str">
            <v>DA10-25</v>
          </cell>
          <cell r="O13581"/>
          <cell r="T13581"/>
        </row>
        <row r="13582">
          <cell r="A13582" t="str">
            <v>RFS/CELWAVE</v>
          </cell>
          <cell r="B13582" t="str">
            <v>DA10-34</v>
          </cell>
          <cell r="O13582"/>
          <cell r="T13582"/>
        </row>
        <row r="13583">
          <cell r="A13583" t="str">
            <v>RFS/CELWAVE</v>
          </cell>
          <cell r="B13583" t="str">
            <v>DA10-36</v>
          </cell>
          <cell r="O13583"/>
          <cell r="T13583"/>
        </row>
        <row r="13584">
          <cell r="A13584" t="str">
            <v>RFS/CELWAVE</v>
          </cell>
          <cell r="B13584" t="str">
            <v>DA10-44</v>
          </cell>
          <cell r="O13584"/>
          <cell r="T13584"/>
        </row>
        <row r="13585">
          <cell r="A13585" t="str">
            <v>RFS/CELWAVE</v>
          </cell>
          <cell r="B13585" t="str">
            <v>DA10-57</v>
          </cell>
          <cell r="O13585"/>
          <cell r="T13585"/>
        </row>
        <row r="13586">
          <cell r="A13586" t="str">
            <v>RFS/CELWAVE</v>
          </cell>
          <cell r="B13586" t="str">
            <v>DA10-57N</v>
          </cell>
          <cell r="O13586"/>
          <cell r="T13586"/>
        </row>
        <row r="13587">
          <cell r="A13587" t="str">
            <v>RFS/CELWAVE</v>
          </cell>
          <cell r="B13587" t="str">
            <v>DA10-57W</v>
          </cell>
          <cell r="O13587"/>
          <cell r="T13587"/>
        </row>
        <row r="13588">
          <cell r="A13588" t="str">
            <v>RFS/CELWAVE</v>
          </cell>
          <cell r="B13588" t="str">
            <v>DA10-59</v>
          </cell>
          <cell r="O13588"/>
          <cell r="T13588"/>
        </row>
        <row r="13589">
          <cell r="A13589" t="str">
            <v>RFS/CELWAVE</v>
          </cell>
          <cell r="B13589" t="str">
            <v>DA10-59AC</v>
          </cell>
          <cell r="O13589"/>
          <cell r="T13589"/>
        </row>
        <row r="13590">
          <cell r="A13590" t="str">
            <v>RFS/CELWAVE</v>
          </cell>
          <cell r="B13590" t="str">
            <v>DA10-59W</v>
          </cell>
          <cell r="O13590"/>
          <cell r="T13590"/>
        </row>
        <row r="13591">
          <cell r="A13591" t="str">
            <v>RFS/CELWAVE</v>
          </cell>
          <cell r="B13591" t="str">
            <v>DA10-65AC</v>
          </cell>
          <cell r="O13591"/>
          <cell r="T13591"/>
        </row>
        <row r="13592">
          <cell r="A13592" t="str">
            <v>RFS/CELWAVE</v>
          </cell>
          <cell r="B13592" t="str">
            <v>DA12-15</v>
          </cell>
          <cell r="O13592"/>
          <cell r="T13592"/>
        </row>
        <row r="13593">
          <cell r="A13593" t="str">
            <v>RFS/CELWAVE</v>
          </cell>
          <cell r="B13593" t="str">
            <v>DA12-17</v>
          </cell>
          <cell r="O13593"/>
          <cell r="T13593"/>
        </row>
        <row r="13594">
          <cell r="A13594" t="str">
            <v>RFS/CELWAVE</v>
          </cell>
          <cell r="B13594" t="str">
            <v>DA12-17W</v>
          </cell>
          <cell r="O13594"/>
          <cell r="T13594"/>
        </row>
        <row r="13595">
          <cell r="A13595" t="str">
            <v>RFS/CELWAVE</v>
          </cell>
          <cell r="B13595" t="str">
            <v>DA12-18</v>
          </cell>
          <cell r="O13595"/>
          <cell r="T13595"/>
        </row>
        <row r="13596">
          <cell r="A13596" t="str">
            <v>RFS/CELWAVE</v>
          </cell>
          <cell r="B13596" t="str">
            <v>DA12-19</v>
          </cell>
          <cell r="O13596"/>
          <cell r="T13596"/>
        </row>
        <row r="13597">
          <cell r="A13597" t="str">
            <v>RFS/CELWAVE</v>
          </cell>
          <cell r="B13597" t="str">
            <v>DA12-19W</v>
          </cell>
          <cell r="O13597"/>
          <cell r="T13597"/>
        </row>
        <row r="13598">
          <cell r="A13598" t="str">
            <v>RFS/CELWAVE</v>
          </cell>
          <cell r="B13598" t="str">
            <v>DA12-21</v>
          </cell>
          <cell r="O13598"/>
          <cell r="T13598"/>
        </row>
        <row r="13599">
          <cell r="A13599" t="str">
            <v>RFS/CELWAVE</v>
          </cell>
          <cell r="B13599" t="str">
            <v>DA12-23</v>
          </cell>
          <cell r="O13599"/>
          <cell r="T13599"/>
        </row>
        <row r="13600">
          <cell r="A13600" t="str">
            <v>RFS/CELWAVE</v>
          </cell>
          <cell r="B13600" t="str">
            <v>DA12-25</v>
          </cell>
          <cell r="O13600"/>
          <cell r="T13600"/>
        </row>
        <row r="13601">
          <cell r="A13601" t="str">
            <v>RFS/CELWAVE</v>
          </cell>
          <cell r="B13601" t="str">
            <v>DA12-34</v>
          </cell>
          <cell r="O13601"/>
          <cell r="T13601"/>
        </row>
        <row r="13602">
          <cell r="A13602" t="str">
            <v>RFS/CELWAVE</v>
          </cell>
          <cell r="B13602" t="str">
            <v>DA12-36</v>
          </cell>
          <cell r="O13602"/>
          <cell r="T13602"/>
        </row>
        <row r="13603">
          <cell r="A13603" t="str">
            <v>RFS/CELWAVE</v>
          </cell>
          <cell r="B13603" t="str">
            <v>DA12-44</v>
          </cell>
          <cell r="O13603"/>
          <cell r="T13603"/>
        </row>
        <row r="13604">
          <cell r="A13604" t="str">
            <v>RFS/CELWAVE</v>
          </cell>
          <cell r="B13604" t="str">
            <v>DA12-57</v>
          </cell>
          <cell r="O13604"/>
          <cell r="T13604"/>
        </row>
        <row r="13605">
          <cell r="A13605" t="str">
            <v>RFS/CELWAVE</v>
          </cell>
          <cell r="B13605" t="str">
            <v>DA12-57N</v>
          </cell>
          <cell r="O13605"/>
          <cell r="T13605"/>
        </row>
        <row r="13606">
          <cell r="A13606" t="str">
            <v>RFS/CELWAVE</v>
          </cell>
          <cell r="B13606" t="str">
            <v>DA12-57W</v>
          </cell>
          <cell r="O13606"/>
          <cell r="T13606"/>
        </row>
        <row r="13607">
          <cell r="A13607" t="str">
            <v>RFS/CELWAVE</v>
          </cell>
          <cell r="B13607" t="str">
            <v>DA12-59</v>
          </cell>
          <cell r="O13607"/>
          <cell r="T13607"/>
        </row>
        <row r="13608">
          <cell r="A13608" t="str">
            <v>RFS/CELWAVE</v>
          </cell>
          <cell r="B13608" t="str">
            <v>DA12-59AD</v>
          </cell>
          <cell r="O13608"/>
          <cell r="T13608"/>
        </row>
        <row r="13609">
          <cell r="A13609" t="str">
            <v>RFS/CELWAVE</v>
          </cell>
          <cell r="B13609" t="str">
            <v>DA12-59W</v>
          </cell>
          <cell r="O13609"/>
          <cell r="T13609"/>
        </row>
        <row r="13610">
          <cell r="A13610" t="str">
            <v>RFS/CELWAVE</v>
          </cell>
          <cell r="B13610" t="str">
            <v>DA12-65AC</v>
          </cell>
          <cell r="O13610"/>
          <cell r="T13610"/>
        </row>
        <row r="13611">
          <cell r="A13611" t="str">
            <v>RFS/CELWAVE</v>
          </cell>
          <cell r="B13611" t="str">
            <v>DA15-15</v>
          </cell>
          <cell r="O13611"/>
          <cell r="T13611"/>
        </row>
        <row r="13612">
          <cell r="A13612" t="str">
            <v>RFS/CELWAVE</v>
          </cell>
          <cell r="B13612" t="str">
            <v>DA15-17</v>
          </cell>
          <cell r="O13612"/>
          <cell r="T13612"/>
        </row>
        <row r="13613">
          <cell r="A13613" t="str">
            <v>RFS/CELWAVE</v>
          </cell>
          <cell r="B13613" t="str">
            <v>DA15-17(4)</v>
          </cell>
          <cell r="O13613"/>
          <cell r="T13613"/>
        </row>
        <row r="13614">
          <cell r="A13614" t="str">
            <v>RFS/CELWAVE</v>
          </cell>
          <cell r="B13614" t="str">
            <v>DA15-19</v>
          </cell>
          <cell r="O13614"/>
          <cell r="T13614"/>
        </row>
        <row r="13615">
          <cell r="A13615" t="str">
            <v>RFS/CELWAVE</v>
          </cell>
          <cell r="B13615" t="str">
            <v>DA15-19(2)</v>
          </cell>
          <cell r="O13615"/>
          <cell r="T13615"/>
        </row>
        <row r="13616">
          <cell r="A13616" t="str">
            <v>RFS/CELWAVE</v>
          </cell>
          <cell r="B13616" t="str">
            <v>DA15-25</v>
          </cell>
          <cell r="O13616"/>
          <cell r="T13616"/>
        </row>
        <row r="13617">
          <cell r="A13617" t="str">
            <v>RFS/CELWAVE</v>
          </cell>
          <cell r="B13617" t="str">
            <v>DA15-34</v>
          </cell>
          <cell r="O13617"/>
          <cell r="T13617"/>
        </row>
        <row r="13618">
          <cell r="A13618" t="str">
            <v>RFS/CELWAVE</v>
          </cell>
          <cell r="B13618" t="str">
            <v>DA15-36</v>
          </cell>
          <cell r="O13618"/>
          <cell r="T13618"/>
        </row>
        <row r="13619">
          <cell r="A13619" t="str">
            <v>RFS/CELWAVE</v>
          </cell>
          <cell r="B13619" t="str">
            <v>DA15-44</v>
          </cell>
          <cell r="O13619"/>
          <cell r="T13619"/>
        </row>
        <row r="13620">
          <cell r="A13620" t="str">
            <v>RFS/CELWAVE</v>
          </cell>
          <cell r="B13620" t="str">
            <v>DA15-59</v>
          </cell>
          <cell r="O13620"/>
          <cell r="T13620"/>
        </row>
        <row r="13621">
          <cell r="A13621" t="str">
            <v>RFS/CELWAVE</v>
          </cell>
          <cell r="B13621" t="str">
            <v>DA2-105AC</v>
          </cell>
          <cell r="O13621"/>
          <cell r="T13621"/>
        </row>
        <row r="13622">
          <cell r="A13622" t="str">
            <v>RFS/CELWAVE</v>
          </cell>
          <cell r="B13622" t="str">
            <v>DA3-W71BD</v>
          </cell>
          <cell r="O13622"/>
          <cell r="T13622"/>
        </row>
        <row r="13623">
          <cell r="A13623" t="str">
            <v>RFS/CELWAVE</v>
          </cell>
          <cell r="B13623" t="str">
            <v>DA4-103A</v>
          </cell>
          <cell r="O13623"/>
          <cell r="T13623"/>
        </row>
        <row r="13624">
          <cell r="A13624" t="str">
            <v>RFS/CELWAVE</v>
          </cell>
          <cell r="B13624" t="str">
            <v>DA4-105AC</v>
          </cell>
          <cell r="O13624"/>
          <cell r="T13624"/>
        </row>
        <row r="13625">
          <cell r="A13625" t="str">
            <v>RFS/CELWAVE</v>
          </cell>
          <cell r="B13625" t="str">
            <v>DA4-105BC</v>
          </cell>
          <cell r="O13625"/>
          <cell r="T13625"/>
        </row>
        <row r="13626">
          <cell r="A13626" t="str">
            <v>RFS/CELWAVE</v>
          </cell>
          <cell r="B13626" t="str">
            <v>DA4-107A</v>
          </cell>
          <cell r="O13626"/>
          <cell r="T13626"/>
        </row>
        <row r="13627">
          <cell r="A13627" t="str">
            <v>RFS/CELWAVE</v>
          </cell>
          <cell r="B13627" t="str">
            <v>DA4-107AC</v>
          </cell>
          <cell r="O13627"/>
          <cell r="T13627"/>
        </row>
        <row r="13628">
          <cell r="A13628" t="str">
            <v>RFS/CELWAVE</v>
          </cell>
          <cell r="B13628" t="str">
            <v>DA4-15</v>
          </cell>
          <cell r="O13628"/>
          <cell r="T13628"/>
        </row>
        <row r="13629">
          <cell r="A13629" t="str">
            <v>RFS/CELWAVE</v>
          </cell>
          <cell r="B13629" t="str">
            <v>DA4-17</v>
          </cell>
          <cell r="O13629"/>
          <cell r="T13629"/>
        </row>
        <row r="13630">
          <cell r="A13630" t="str">
            <v>RFS/CELWAVE</v>
          </cell>
          <cell r="B13630" t="str">
            <v>DA4-18</v>
          </cell>
          <cell r="O13630"/>
          <cell r="T13630"/>
        </row>
        <row r="13631">
          <cell r="A13631" t="str">
            <v>RFS/CELWAVE</v>
          </cell>
          <cell r="B13631" t="str">
            <v>DA4-190A</v>
          </cell>
          <cell r="O13631"/>
          <cell r="T13631"/>
        </row>
        <row r="13632">
          <cell r="A13632" t="str">
            <v>RFS/CELWAVE</v>
          </cell>
          <cell r="B13632" t="str">
            <v>DA4-19W</v>
          </cell>
          <cell r="O13632"/>
          <cell r="T13632"/>
        </row>
        <row r="13633">
          <cell r="A13633" t="str">
            <v>RFS/CELWAVE</v>
          </cell>
          <cell r="B13633" t="str">
            <v>DA4-23</v>
          </cell>
          <cell r="O13633"/>
          <cell r="T13633"/>
        </row>
        <row r="13634">
          <cell r="A13634" t="str">
            <v>RFS/CELWAVE</v>
          </cell>
          <cell r="B13634" t="str">
            <v>DA4-25</v>
          </cell>
          <cell r="O13634"/>
          <cell r="T13634"/>
        </row>
        <row r="13635">
          <cell r="A13635" t="str">
            <v>RFS/CELWAVE</v>
          </cell>
          <cell r="B13635" t="str">
            <v>DA4-44</v>
          </cell>
          <cell r="O13635"/>
          <cell r="T13635"/>
        </row>
        <row r="13636">
          <cell r="A13636" t="str">
            <v>RFS/CELWAVE</v>
          </cell>
          <cell r="B13636" t="str">
            <v>DA4-57A</v>
          </cell>
          <cell r="O13636"/>
          <cell r="T13636"/>
        </row>
        <row r="13637">
          <cell r="A13637" t="str">
            <v>RFS/CELWAVE</v>
          </cell>
          <cell r="B13637" t="str">
            <v>DA4-57N</v>
          </cell>
          <cell r="O13637"/>
          <cell r="T13637"/>
        </row>
        <row r="13638">
          <cell r="A13638" t="str">
            <v>RFS/CELWAVE</v>
          </cell>
          <cell r="B13638" t="str">
            <v>DA4-57W</v>
          </cell>
          <cell r="O13638"/>
          <cell r="T13638"/>
        </row>
        <row r="13639">
          <cell r="A13639" t="str">
            <v>RFS/CELWAVE</v>
          </cell>
          <cell r="B13639" t="str">
            <v>DA4-59</v>
          </cell>
          <cell r="O13639"/>
          <cell r="T13639"/>
        </row>
        <row r="13640">
          <cell r="A13640" t="str">
            <v>RFS/CELWAVE</v>
          </cell>
          <cell r="B13640" t="str">
            <v>DA4-59W</v>
          </cell>
          <cell r="O13640"/>
          <cell r="T13640"/>
        </row>
        <row r="13641">
          <cell r="A13641" t="str">
            <v>RFS/CELWAVE</v>
          </cell>
          <cell r="B13641" t="str">
            <v>DA4-W57BC</v>
          </cell>
          <cell r="O13641"/>
          <cell r="T13641"/>
        </row>
        <row r="13642">
          <cell r="A13642" t="str">
            <v>RFS/CELWAVE</v>
          </cell>
          <cell r="B13642" t="str">
            <v>DA6-105A</v>
          </cell>
          <cell r="O13642"/>
          <cell r="T13642"/>
        </row>
        <row r="13643">
          <cell r="A13643" t="str">
            <v>RFS/CELWAVE</v>
          </cell>
          <cell r="B13643" t="str">
            <v>DA6-105BC</v>
          </cell>
          <cell r="O13643"/>
          <cell r="T13643"/>
        </row>
        <row r="13644">
          <cell r="A13644" t="str">
            <v>RFS/CELWAVE</v>
          </cell>
          <cell r="B13644" t="str">
            <v>DA6-107</v>
          </cell>
          <cell r="O13644"/>
          <cell r="T13644"/>
        </row>
        <row r="13645">
          <cell r="A13645" t="str">
            <v>RFS/CELWAVE</v>
          </cell>
          <cell r="B13645" t="str">
            <v>DA6-107A</v>
          </cell>
          <cell r="O13645"/>
          <cell r="T13645"/>
        </row>
        <row r="13646">
          <cell r="A13646" t="str">
            <v>RFS/CELWAVE</v>
          </cell>
          <cell r="B13646" t="str">
            <v>DA6-107AC</v>
          </cell>
          <cell r="O13646"/>
          <cell r="T13646"/>
        </row>
        <row r="13647">
          <cell r="A13647" t="str">
            <v>RFS/CELWAVE</v>
          </cell>
          <cell r="B13647" t="str">
            <v>DA6-15</v>
          </cell>
          <cell r="O13647"/>
          <cell r="T13647"/>
        </row>
        <row r="13648">
          <cell r="A13648" t="str">
            <v>RFS/CELWAVE</v>
          </cell>
          <cell r="B13648" t="str">
            <v>DA6-17</v>
          </cell>
          <cell r="O13648"/>
          <cell r="T13648"/>
        </row>
        <row r="13649">
          <cell r="A13649" t="str">
            <v>RFS/CELWAVE</v>
          </cell>
          <cell r="B13649" t="str">
            <v>DA6-17W</v>
          </cell>
          <cell r="O13649"/>
          <cell r="T13649"/>
        </row>
        <row r="13650">
          <cell r="A13650" t="str">
            <v>RFS/CELWAVE</v>
          </cell>
          <cell r="B13650" t="str">
            <v>DA6-18</v>
          </cell>
          <cell r="O13650"/>
          <cell r="T13650"/>
        </row>
        <row r="13651">
          <cell r="A13651" t="str">
            <v>RFS/CELWAVE</v>
          </cell>
          <cell r="B13651" t="str">
            <v>DA6-19</v>
          </cell>
          <cell r="O13651"/>
          <cell r="T13651"/>
        </row>
        <row r="13652">
          <cell r="A13652" t="str">
            <v>RFS/CELWAVE</v>
          </cell>
          <cell r="B13652" t="str">
            <v>DA6-190A</v>
          </cell>
          <cell r="O13652"/>
          <cell r="T13652"/>
        </row>
        <row r="13653">
          <cell r="A13653" t="str">
            <v>RFS/CELWAVE</v>
          </cell>
          <cell r="B13653" t="str">
            <v>DA6-19W</v>
          </cell>
          <cell r="O13653"/>
          <cell r="T13653"/>
        </row>
        <row r="13654">
          <cell r="A13654" t="str">
            <v>RFS/CELWAVE</v>
          </cell>
          <cell r="B13654" t="str">
            <v>DA6-21</v>
          </cell>
          <cell r="O13654"/>
          <cell r="T13654"/>
        </row>
        <row r="13655">
          <cell r="A13655" t="str">
            <v>RFS/CELWAVE</v>
          </cell>
          <cell r="B13655" t="str">
            <v>DA6-23</v>
          </cell>
          <cell r="O13655"/>
          <cell r="T13655"/>
        </row>
        <row r="13656">
          <cell r="A13656" t="str">
            <v>RFS/CELWAVE</v>
          </cell>
          <cell r="B13656" t="str">
            <v>DA6-23AE</v>
          </cell>
          <cell r="O13656"/>
          <cell r="T13656"/>
        </row>
        <row r="13657">
          <cell r="A13657" t="str">
            <v>RFS/CELWAVE</v>
          </cell>
          <cell r="B13657" t="str">
            <v>DA6-25</v>
          </cell>
          <cell r="O13657"/>
          <cell r="T13657"/>
        </row>
        <row r="13658">
          <cell r="A13658" t="str">
            <v>RFS/CELWAVE</v>
          </cell>
          <cell r="B13658" t="str">
            <v>DA6-34</v>
          </cell>
          <cell r="O13658"/>
          <cell r="T13658"/>
        </row>
        <row r="13659">
          <cell r="A13659" t="str">
            <v>RFS/CELWAVE</v>
          </cell>
          <cell r="B13659" t="str">
            <v>DA6-36</v>
          </cell>
          <cell r="O13659"/>
          <cell r="T13659"/>
        </row>
        <row r="13660">
          <cell r="A13660" t="str">
            <v>RFS/CELWAVE</v>
          </cell>
          <cell r="B13660" t="str">
            <v>DA6-44</v>
          </cell>
          <cell r="O13660"/>
          <cell r="T13660"/>
        </row>
        <row r="13661">
          <cell r="A13661" t="str">
            <v>RFS/CELWAVE</v>
          </cell>
          <cell r="B13661" t="str">
            <v>DA6-57</v>
          </cell>
          <cell r="O13661"/>
          <cell r="T13661"/>
        </row>
        <row r="13662">
          <cell r="A13662" t="str">
            <v>RFS/CELWAVE</v>
          </cell>
          <cell r="B13662" t="str">
            <v>DA6-57A</v>
          </cell>
          <cell r="O13662"/>
          <cell r="T13662"/>
        </row>
        <row r="13663">
          <cell r="A13663" t="str">
            <v>RFS/CELWAVE</v>
          </cell>
          <cell r="B13663" t="str">
            <v>DA6-57N</v>
          </cell>
          <cell r="O13663"/>
          <cell r="T13663"/>
        </row>
        <row r="13664">
          <cell r="A13664" t="str">
            <v>RFS/CELWAVE</v>
          </cell>
          <cell r="B13664" t="str">
            <v>DA6-57W</v>
          </cell>
          <cell r="O13664"/>
          <cell r="T13664"/>
        </row>
        <row r="13665">
          <cell r="A13665" t="str">
            <v>RFS/CELWAVE</v>
          </cell>
          <cell r="B13665" t="str">
            <v>DA6-59</v>
          </cell>
          <cell r="O13665"/>
          <cell r="T13665"/>
        </row>
        <row r="13666">
          <cell r="A13666" t="str">
            <v>RFS/CELWAVE</v>
          </cell>
          <cell r="B13666" t="str">
            <v>DA6-59BC</v>
          </cell>
          <cell r="O13666"/>
          <cell r="T13666"/>
        </row>
        <row r="13667">
          <cell r="A13667" t="str">
            <v>RFS/CELWAVE</v>
          </cell>
          <cell r="B13667" t="str">
            <v>DA6-59BD</v>
          </cell>
          <cell r="O13667"/>
          <cell r="T13667"/>
        </row>
        <row r="13668">
          <cell r="A13668" t="str">
            <v>RFS/CELWAVE</v>
          </cell>
          <cell r="B13668" t="str">
            <v>DA6-59W</v>
          </cell>
          <cell r="O13668"/>
          <cell r="T13668"/>
        </row>
        <row r="13669">
          <cell r="A13669" t="str">
            <v>RFS/CELWAVE</v>
          </cell>
          <cell r="B13669" t="str">
            <v>DA6-65AC</v>
          </cell>
          <cell r="O13669"/>
          <cell r="T13669"/>
        </row>
        <row r="13670">
          <cell r="A13670" t="str">
            <v>RFS/CELWAVE</v>
          </cell>
          <cell r="B13670" t="str">
            <v>DA6-65BC</v>
          </cell>
          <cell r="O13670"/>
          <cell r="T13670"/>
        </row>
        <row r="13671">
          <cell r="A13671" t="str">
            <v>RFS/CELWAVE</v>
          </cell>
          <cell r="B13671" t="str">
            <v>DA6-W57BC</v>
          </cell>
          <cell r="O13671"/>
          <cell r="T13671"/>
        </row>
        <row r="13672">
          <cell r="A13672" t="str">
            <v>RFS/CELWAVE</v>
          </cell>
          <cell r="B13672" t="str">
            <v>DA667</v>
          </cell>
          <cell r="O13672"/>
          <cell r="T13672"/>
        </row>
        <row r="13673">
          <cell r="A13673" t="str">
            <v>RFS/CELWAVE</v>
          </cell>
          <cell r="B13673" t="str">
            <v>DA8-105A</v>
          </cell>
          <cell r="O13673"/>
          <cell r="T13673"/>
        </row>
        <row r="13674">
          <cell r="A13674" t="str">
            <v>RFS/CELWAVE</v>
          </cell>
          <cell r="B13674" t="str">
            <v>DA8-105AC</v>
          </cell>
          <cell r="O13674"/>
          <cell r="T13674"/>
        </row>
        <row r="13675">
          <cell r="A13675" t="str">
            <v>RFS/CELWAVE</v>
          </cell>
          <cell r="B13675" t="str">
            <v>DA8-107</v>
          </cell>
          <cell r="O13675"/>
          <cell r="T13675"/>
        </row>
        <row r="13676">
          <cell r="A13676" t="str">
            <v>RFS/CELWAVE</v>
          </cell>
          <cell r="B13676" t="str">
            <v>DA8-107A</v>
          </cell>
          <cell r="O13676"/>
          <cell r="T13676"/>
        </row>
        <row r="13677">
          <cell r="A13677" t="str">
            <v>RFS/CELWAVE</v>
          </cell>
          <cell r="B13677" t="str">
            <v>DA8-107AC</v>
          </cell>
          <cell r="O13677"/>
          <cell r="T13677"/>
        </row>
        <row r="13678">
          <cell r="A13678" t="str">
            <v>RFS/CELWAVE</v>
          </cell>
          <cell r="B13678" t="str">
            <v>DA8-15</v>
          </cell>
          <cell r="O13678"/>
          <cell r="T13678"/>
        </row>
        <row r="13679">
          <cell r="A13679" t="str">
            <v>RFS/CELWAVE</v>
          </cell>
          <cell r="B13679" t="str">
            <v>DA8-17</v>
          </cell>
          <cell r="O13679"/>
          <cell r="T13679"/>
        </row>
        <row r="13680">
          <cell r="A13680" t="str">
            <v>RFS/CELWAVE</v>
          </cell>
          <cell r="B13680" t="str">
            <v>DA8-17W</v>
          </cell>
          <cell r="O13680"/>
          <cell r="T13680"/>
        </row>
        <row r="13681">
          <cell r="A13681" t="str">
            <v>RFS/CELWAVE</v>
          </cell>
          <cell r="B13681" t="str">
            <v>DA8-18</v>
          </cell>
          <cell r="O13681"/>
          <cell r="T13681"/>
        </row>
        <row r="13682">
          <cell r="A13682" t="str">
            <v>RFS/CELWAVE</v>
          </cell>
          <cell r="B13682" t="str">
            <v>DA8-19</v>
          </cell>
          <cell r="O13682"/>
          <cell r="T13682"/>
        </row>
        <row r="13683">
          <cell r="A13683" t="str">
            <v>RFS/CELWAVE</v>
          </cell>
          <cell r="B13683" t="str">
            <v>DA8-19W</v>
          </cell>
          <cell r="O13683"/>
          <cell r="T13683"/>
        </row>
        <row r="13684">
          <cell r="A13684" t="str">
            <v>RFS/CELWAVE</v>
          </cell>
          <cell r="B13684" t="str">
            <v>DA8-21</v>
          </cell>
          <cell r="O13684"/>
          <cell r="T13684"/>
        </row>
        <row r="13685">
          <cell r="A13685" t="str">
            <v>RFS/CELWAVE</v>
          </cell>
          <cell r="B13685" t="str">
            <v>DA8-23</v>
          </cell>
          <cell r="O13685"/>
          <cell r="T13685"/>
        </row>
        <row r="13686">
          <cell r="A13686" t="str">
            <v>RFS/CELWAVE</v>
          </cell>
          <cell r="B13686" t="str">
            <v>DA8-25</v>
          </cell>
          <cell r="O13686"/>
          <cell r="T13686"/>
        </row>
        <row r="13687">
          <cell r="A13687" t="str">
            <v>RFS/CELWAVE</v>
          </cell>
          <cell r="B13687" t="str">
            <v>DA8-34</v>
          </cell>
          <cell r="O13687"/>
          <cell r="T13687"/>
        </row>
        <row r="13688">
          <cell r="A13688" t="str">
            <v>RFS/CELWAVE</v>
          </cell>
          <cell r="B13688" t="str">
            <v>DA8-36</v>
          </cell>
          <cell r="O13688"/>
          <cell r="T13688"/>
        </row>
        <row r="13689">
          <cell r="A13689" t="str">
            <v>RFS/CELWAVE</v>
          </cell>
          <cell r="B13689" t="str">
            <v>DA8-44</v>
          </cell>
          <cell r="O13689"/>
          <cell r="T13689"/>
        </row>
        <row r="13690">
          <cell r="A13690" t="str">
            <v>RFS/CELWAVE</v>
          </cell>
          <cell r="B13690" t="str">
            <v>DA8-57</v>
          </cell>
          <cell r="O13690"/>
          <cell r="T13690"/>
        </row>
        <row r="13691">
          <cell r="A13691" t="str">
            <v>RFS/CELWAVE</v>
          </cell>
          <cell r="B13691" t="str">
            <v>DA8-57A</v>
          </cell>
          <cell r="O13691"/>
          <cell r="T13691"/>
        </row>
        <row r="13692">
          <cell r="A13692" t="str">
            <v>RFS/CELWAVE</v>
          </cell>
          <cell r="B13692" t="str">
            <v>DA8-57N</v>
          </cell>
          <cell r="O13692"/>
          <cell r="T13692"/>
        </row>
        <row r="13693">
          <cell r="A13693" t="str">
            <v>RFS/CELWAVE</v>
          </cell>
          <cell r="B13693" t="str">
            <v>DA8-57W</v>
          </cell>
          <cell r="O13693"/>
          <cell r="T13693"/>
        </row>
        <row r="13694">
          <cell r="A13694" t="str">
            <v>RFS/CELWAVE</v>
          </cell>
          <cell r="B13694" t="str">
            <v>DA8-59</v>
          </cell>
          <cell r="O13694"/>
          <cell r="T13694"/>
        </row>
        <row r="13695">
          <cell r="A13695" t="str">
            <v>RFS/CELWAVE</v>
          </cell>
          <cell r="B13695" t="str">
            <v>DA8-59A</v>
          </cell>
          <cell r="O13695"/>
          <cell r="T13695"/>
        </row>
        <row r="13696">
          <cell r="A13696" t="str">
            <v>RFS/CELWAVE</v>
          </cell>
          <cell r="B13696" t="str">
            <v>DA8-59AC</v>
          </cell>
          <cell r="O13696"/>
          <cell r="T13696"/>
        </row>
        <row r="13697">
          <cell r="A13697" t="str">
            <v>RFS/CELWAVE</v>
          </cell>
          <cell r="B13697" t="str">
            <v>DA8-59W</v>
          </cell>
          <cell r="O13697"/>
          <cell r="T13697"/>
        </row>
        <row r="13698">
          <cell r="A13698" t="str">
            <v>RFS/CELWAVE</v>
          </cell>
          <cell r="B13698" t="str">
            <v>DA8-65</v>
          </cell>
          <cell r="O13698"/>
          <cell r="T13698"/>
        </row>
        <row r="13699">
          <cell r="A13699" t="str">
            <v>RFS/CELWAVE</v>
          </cell>
          <cell r="B13699" t="str">
            <v>DA8-65AC</v>
          </cell>
          <cell r="O13699"/>
          <cell r="T13699"/>
        </row>
        <row r="13700">
          <cell r="A13700" t="str">
            <v>RFS/CELWAVE</v>
          </cell>
          <cell r="B13700" t="str">
            <v>DA8-71AD</v>
          </cell>
          <cell r="O13700"/>
          <cell r="T13700"/>
        </row>
        <row r="13701">
          <cell r="A13701" t="str">
            <v>RFS/CELWAVE</v>
          </cell>
          <cell r="B13701" t="str">
            <v>DAF10-15</v>
          </cell>
          <cell r="O13701"/>
          <cell r="T13701"/>
        </row>
        <row r="13702">
          <cell r="A13702" t="str">
            <v>RFS/CELWAVE</v>
          </cell>
          <cell r="B13702" t="str">
            <v>DAF10-17</v>
          </cell>
          <cell r="O13702"/>
          <cell r="T13702"/>
        </row>
        <row r="13703">
          <cell r="A13703" t="str">
            <v>RFS/CELWAVE</v>
          </cell>
          <cell r="B13703" t="str">
            <v>DAF10-17W</v>
          </cell>
          <cell r="O13703"/>
          <cell r="T13703"/>
        </row>
        <row r="13704">
          <cell r="A13704" t="str">
            <v>RFS/CELWAVE</v>
          </cell>
          <cell r="B13704" t="str">
            <v>DAF10-18</v>
          </cell>
          <cell r="O13704"/>
          <cell r="T13704"/>
        </row>
        <row r="13705">
          <cell r="A13705" t="str">
            <v>RFS/CELWAVE</v>
          </cell>
          <cell r="B13705" t="str">
            <v>DAF10-19W</v>
          </cell>
          <cell r="O13705"/>
          <cell r="T13705"/>
        </row>
        <row r="13706">
          <cell r="A13706" t="str">
            <v>RFS/CELWAVE</v>
          </cell>
          <cell r="B13706" t="str">
            <v>DAF10-21</v>
          </cell>
          <cell r="O13706"/>
          <cell r="T13706"/>
        </row>
        <row r="13707">
          <cell r="A13707" t="str">
            <v>RFS/CELWAVE</v>
          </cell>
          <cell r="B13707" t="str">
            <v>DAF10-23</v>
          </cell>
          <cell r="O13707"/>
          <cell r="T13707"/>
        </row>
        <row r="13708">
          <cell r="A13708" t="str">
            <v>RFS/CELWAVE</v>
          </cell>
          <cell r="B13708" t="str">
            <v>DAF10-34</v>
          </cell>
          <cell r="O13708"/>
          <cell r="T13708"/>
        </row>
        <row r="13709">
          <cell r="A13709" t="str">
            <v>RFS/CELWAVE</v>
          </cell>
          <cell r="B13709" t="str">
            <v>DAF12-15</v>
          </cell>
          <cell r="O13709"/>
          <cell r="T13709"/>
        </row>
        <row r="13710">
          <cell r="A13710" t="str">
            <v>RFS/CELWAVE</v>
          </cell>
          <cell r="B13710" t="str">
            <v>DAF12-17</v>
          </cell>
          <cell r="O13710"/>
          <cell r="T13710"/>
        </row>
        <row r="13711">
          <cell r="A13711" t="str">
            <v>RFS/CELWAVE</v>
          </cell>
          <cell r="B13711" t="str">
            <v>DAF12-17W</v>
          </cell>
          <cell r="O13711"/>
          <cell r="T13711"/>
        </row>
        <row r="13712">
          <cell r="A13712" t="str">
            <v>RFS/CELWAVE</v>
          </cell>
          <cell r="B13712" t="str">
            <v>DAF12-18</v>
          </cell>
          <cell r="O13712"/>
          <cell r="T13712"/>
        </row>
        <row r="13713">
          <cell r="A13713" t="str">
            <v>RFS/CELWAVE</v>
          </cell>
          <cell r="B13713" t="str">
            <v>DAF12-19W</v>
          </cell>
          <cell r="O13713"/>
          <cell r="T13713"/>
        </row>
        <row r="13714">
          <cell r="A13714" t="str">
            <v>RFS/CELWAVE</v>
          </cell>
          <cell r="B13714" t="str">
            <v>DAF12-21</v>
          </cell>
          <cell r="O13714"/>
          <cell r="T13714"/>
        </row>
        <row r="13715">
          <cell r="A13715" t="str">
            <v>RFS/CELWAVE</v>
          </cell>
          <cell r="B13715" t="str">
            <v>DAF12-23</v>
          </cell>
          <cell r="O13715"/>
          <cell r="T13715"/>
        </row>
        <row r="13716">
          <cell r="A13716" t="str">
            <v>RFS/CELWAVE</v>
          </cell>
          <cell r="B13716" t="str">
            <v>DAF12-34</v>
          </cell>
          <cell r="O13716"/>
          <cell r="T13716"/>
        </row>
        <row r="13717">
          <cell r="A13717" t="str">
            <v>RFS/CELWAVE</v>
          </cell>
          <cell r="B13717" t="str">
            <v>DAF2-34</v>
          </cell>
          <cell r="O13717"/>
          <cell r="T13717"/>
        </row>
        <row r="13718">
          <cell r="A13718" t="str">
            <v>RFS/CELWAVE</v>
          </cell>
          <cell r="B13718" t="str">
            <v>DAF4-15</v>
          </cell>
          <cell r="O13718"/>
          <cell r="T13718"/>
        </row>
        <row r="13719">
          <cell r="A13719" t="str">
            <v>RFS/CELWAVE</v>
          </cell>
          <cell r="B13719" t="str">
            <v>DAF4-17</v>
          </cell>
          <cell r="O13719"/>
          <cell r="T13719"/>
        </row>
        <row r="13720">
          <cell r="A13720" t="str">
            <v>RFS/CELWAVE</v>
          </cell>
          <cell r="B13720" t="str">
            <v>DAF4-17W</v>
          </cell>
          <cell r="O13720"/>
          <cell r="T13720"/>
        </row>
        <row r="13721">
          <cell r="A13721" t="str">
            <v>RFS/CELWAVE</v>
          </cell>
          <cell r="B13721" t="str">
            <v>DAF4-18</v>
          </cell>
          <cell r="O13721"/>
          <cell r="T13721"/>
        </row>
        <row r="13722">
          <cell r="A13722" t="str">
            <v>RFS/CELWAVE</v>
          </cell>
          <cell r="B13722" t="str">
            <v>DAF4-19W</v>
          </cell>
          <cell r="O13722"/>
          <cell r="T13722"/>
        </row>
        <row r="13723">
          <cell r="A13723" t="str">
            <v>RFS/CELWAVE</v>
          </cell>
          <cell r="B13723" t="str">
            <v>DAF4-21</v>
          </cell>
          <cell r="O13723"/>
          <cell r="T13723"/>
        </row>
        <row r="13724">
          <cell r="A13724" t="str">
            <v>RFS/CELWAVE</v>
          </cell>
          <cell r="B13724" t="str">
            <v>DAF4-23</v>
          </cell>
          <cell r="O13724"/>
          <cell r="T13724"/>
        </row>
        <row r="13725">
          <cell r="A13725" t="str">
            <v>RFS/CELWAVE</v>
          </cell>
          <cell r="B13725" t="str">
            <v>DAF4-34</v>
          </cell>
          <cell r="O13725"/>
          <cell r="T13725"/>
        </row>
        <row r="13726">
          <cell r="A13726" t="str">
            <v>RFS/CELWAVE</v>
          </cell>
          <cell r="B13726" t="str">
            <v>DAF6-15</v>
          </cell>
          <cell r="O13726"/>
          <cell r="T13726"/>
        </row>
        <row r="13727">
          <cell r="A13727" t="str">
            <v>RFS/CELWAVE</v>
          </cell>
          <cell r="B13727" t="str">
            <v>DAF6-17</v>
          </cell>
          <cell r="O13727"/>
          <cell r="T13727"/>
        </row>
        <row r="13728">
          <cell r="A13728" t="str">
            <v>RFS/CELWAVE</v>
          </cell>
          <cell r="B13728" t="str">
            <v>DAF6-17W</v>
          </cell>
          <cell r="O13728"/>
          <cell r="T13728"/>
        </row>
        <row r="13729">
          <cell r="A13729" t="str">
            <v>RFS/CELWAVE</v>
          </cell>
          <cell r="B13729" t="str">
            <v>DAF6-18</v>
          </cell>
          <cell r="O13729"/>
          <cell r="T13729"/>
        </row>
        <row r="13730">
          <cell r="A13730" t="str">
            <v>RFS/CELWAVE</v>
          </cell>
          <cell r="B13730" t="str">
            <v>DAF6-19W</v>
          </cell>
          <cell r="O13730"/>
          <cell r="T13730"/>
        </row>
        <row r="13731">
          <cell r="A13731" t="str">
            <v>RFS/CELWAVE</v>
          </cell>
          <cell r="B13731" t="str">
            <v>DAF6-21</v>
          </cell>
          <cell r="O13731"/>
          <cell r="T13731"/>
        </row>
        <row r="13732">
          <cell r="A13732" t="str">
            <v>RFS/CELWAVE</v>
          </cell>
          <cell r="B13732" t="str">
            <v>DAF6-23</v>
          </cell>
          <cell r="O13732"/>
          <cell r="T13732"/>
        </row>
        <row r="13733">
          <cell r="A13733" t="str">
            <v>RFS/CELWAVE</v>
          </cell>
          <cell r="B13733" t="str">
            <v>DAF6-34</v>
          </cell>
          <cell r="O13733"/>
          <cell r="T13733"/>
        </row>
        <row r="13734">
          <cell r="A13734" t="str">
            <v>RFS/CELWAVE</v>
          </cell>
          <cell r="B13734" t="str">
            <v>DAF8-15</v>
          </cell>
          <cell r="O13734"/>
          <cell r="T13734"/>
        </row>
        <row r="13735">
          <cell r="A13735" t="str">
            <v>RFS/CELWAVE</v>
          </cell>
          <cell r="B13735" t="str">
            <v>DAF8-17</v>
          </cell>
          <cell r="O13735"/>
          <cell r="T13735"/>
        </row>
        <row r="13736">
          <cell r="A13736" t="str">
            <v>RFS/CELWAVE</v>
          </cell>
          <cell r="B13736" t="str">
            <v>DAF8-17W</v>
          </cell>
          <cell r="O13736"/>
          <cell r="T13736"/>
        </row>
        <row r="13737">
          <cell r="A13737" t="str">
            <v>RFS/CELWAVE</v>
          </cell>
          <cell r="B13737" t="str">
            <v>DAF8-18</v>
          </cell>
          <cell r="O13737"/>
          <cell r="T13737"/>
        </row>
        <row r="13738">
          <cell r="A13738" t="str">
            <v>RFS/CELWAVE</v>
          </cell>
          <cell r="B13738" t="str">
            <v>DAF8-19W</v>
          </cell>
          <cell r="O13738"/>
          <cell r="T13738"/>
        </row>
        <row r="13739">
          <cell r="A13739" t="str">
            <v>RFS/CELWAVE</v>
          </cell>
          <cell r="B13739" t="str">
            <v>DAF8-21</v>
          </cell>
          <cell r="O13739"/>
          <cell r="T13739"/>
        </row>
        <row r="13740">
          <cell r="A13740" t="str">
            <v>RFS/CELWAVE</v>
          </cell>
          <cell r="B13740" t="str">
            <v>DAF8-23</v>
          </cell>
          <cell r="O13740"/>
          <cell r="T13740"/>
        </row>
        <row r="13741">
          <cell r="A13741" t="str">
            <v>RFS/CELWAVE</v>
          </cell>
          <cell r="B13741" t="str">
            <v>DAF8-34</v>
          </cell>
          <cell r="O13741"/>
          <cell r="T13741"/>
        </row>
        <row r="13742">
          <cell r="A13742" t="str">
            <v>RFS/CELWAVE</v>
          </cell>
          <cell r="B13742" t="str">
            <v>DAX10-107A</v>
          </cell>
          <cell r="O13742"/>
          <cell r="T13742"/>
        </row>
        <row r="13743">
          <cell r="A13743" t="str">
            <v>RFS/CELWAVE</v>
          </cell>
          <cell r="B13743" t="str">
            <v>DAX10-107AD</v>
          </cell>
          <cell r="O13743"/>
          <cell r="T13743"/>
        </row>
        <row r="13744">
          <cell r="A13744" t="str">
            <v>RFS/CELWAVE</v>
          </cell>
          <cell r="B13744" t="str">
            <v>DAX10-17</v>
          </cell>
          <cell r="O13744"/>
          <cell r="T13744"/>
        </row>
        <row r="13745">
          <cell r="A13745" t="str">
            <v>RFS/CELWAVE</v>
          </cell>
          <cell r="B13745" t="str">
            <v>DAX10-19</v>
          </cell>
          <cell r="O13745"/>
          <cell r="T13745"/>
        </row>
        <row r="13746">
          <cell r="A13746" t="str">
            <v>RFS/CELWAVE</v>
          </cell>
          <cell r="B13746" t="str">
            <v>DAX10-19(2)</v>
          </cell>
          <cell r="O13746"/>
          <cell r="T13746"/>
        </row>
        <row r="13747">
          <cell r="A13747" t="str">
            <v>RFS/CELWAVE</v>
          </cell>
          <cell r="B13747" t="str">
            <v>DAX10-21</v>
          </cell>
          <cell r="O13747"/>
          <cell r="T13747"/>
        </row>
        <row r="13748">
          <cell r="A13748" t="str">
            <v>RFS/CELWAVE</v>
          </cell>
          <cell r="B13748" t="str">
            <v>DAX10-23</v>
          </cell>
          <cell r="O13748"/>
          <cell r="T13748"/>
        </row>
        <row r="13749">
          <cell r="A13749" t="str">
            <v>RFS/CELWAVE</v>
          </cell>
          <cell r="B13749" t="str">
            <v>DAX10-25</v>
          </cell>
          <cell r="O13749"/>
          <cell r="T13749"/>
        </row>
        <row r="13750">
          <cell r="A13750" t="str">
            <v>RFS/CELWAVE</v>
          </cell>
          <cell r="B13750" t="str">
            <v>DAX10-34</v>
          </cell>
          <cell r="O13750"/>
          <cell r="T13750"/>
        </row>
        <row r="13751">
          <cell r="A13751" t="str">
            <v>RFS/CELWAVE</v>
          </cell>
          <cell r="B13751" t="str">
            <v>DAX10-36</v>
          </cell>
          <cell r="O13751"/>
          <cell r="T13751"/>
        </row>
        <row r="13752">
          <cell r="A13752" t="str">
            <v>RFS/CELWAVE</v>
          </cell>
          <cell r="B13752" t="str">
            <v>DAX10-44</v>
          </cell>
          <cell r="O13752"/>
          <cell r="T13752"/>
        </row>
        <row r="13753">
          <cell r="A13753" t="str">
            <v>RFS/CELWAVE</v>
          </cell>
          <cell r="B13753" t="str">
            <v>DAX10-57</v>
          </cell>
          <cell r="O13753"/>
          <cell r="T13753"/>
        </row>
        <row r="13754">
          <cell r="A13754" t="str">
            <v>RFS/CELWAVE</v>
          </cell>
          <cell r="B13754" t="str">
            <v>DAX10-59</v>
          </cell>
          <cell r="O13754"/>
          <cell r="T13754"/>
        </row>
        <row r="13755">
          <cell r="A13755" t="str">
            <v>RFS/CELWAVE</v>
          </cell>
          <cell r="B13755" t="str">
            <v>DAX10-59AC</v>
          </cell>
          <cell r="O13755"/>
          <cell r="T13755"/>
        </row>
        <row r="13756">
          <cell r="A13756" t="str">
            <v>RFS/CELWAVE</v>
          </cell>
          <cell r="B13756" t="str">
            <v>DAX12-14</v>
          </cell>
          <cell r="O13756"/>
          <cell r="T13756"/>
        </row>
        <row r="13757">
          <cell r="A13757" t="str">
            <v>RFS/CELWAVE</v>
          </cell>
          <cell r="B13757" t="str">
            <v>DAX12-19</v>
          </cell>
          <cell r="O13757"/>
          <cell r="T13757"/>
        </row>
        <row r="13758">
          <cell r="A13758" t="str">
            <v>RFS/CELWAVE</v>
          </cell>
          <cell r="B13758" t="str">
            <v>DAX12-19(2)</v>
          </cell>
          <cell r="O13758"/>
          <cell r="T13758"/>
        </row>
        <row r="13759">
          <cell r="A13759" t="str">
            <v>RFS/CELWAVE</v>
          </cell>
          <cell r="B13759" t="str">
            <v>DAX12-21</v>
          </cell>
          <cell r="O13759"/>
          <cell r="T13759"/>
        </row>
        <row r="13760">
          <cell r="A13760" t="str">
            <v>RFS/CELWAVE</v>
          </cell>
          <cell r="B13760" t="str">
            <v>DAX12-23</v>
          </cell>
          <cell r="O13760"/>
          <cell r="T13760"/>
        </row>
        <row r="13761">
          <cell r="A13761" t="str">
            <v>RFS/CELWAVE</v>
          </cell>
          <cell r="B13761" t="str">
            <v>DAX12-25</v>
          </cell>
          <cell r="O13761"/>
          <cell r="T13761"/>
        </row>
        <row r="13762">
          <cell r="A13762" t="str">
            <v>RFS/CELWAVE</v>
          </cell>
          <cell r="B13762" t="str">
            <v>DAX12-34</v>
          </cell>
          <cell r="O13762"/>
          <cell r="T13762"/>
        </row>
        <row r="13763">
          <cell r="A13763" t="str">
            <v>RFS/CELWAVE</v>
          </cell>
          <cell r="B13763" t="str">
            <v>DAX12-36</v>
          </cell>
          <cell r="O13763"/>
          <cell r="T13763"/>
        </row>
        <row r="13764">
          <cell r="A13764" t="str">
            <v>RFS/CELWAVE</v>
          </cell>
          <cell r="B13764" t="str">
            <v>DAX12-44</v>
          </cell>
          <cell r="O13764"/>
          <cell r="T13764"/>
        </row>
        <row r="13765">
          <cell r="A13765" t="str">
            <v>RFS/CELWAVE</v>
          </cell>
          <cell r="B13765" t="str">
            <v>DAX12-57</v>
          </cell>
          <cell r="O13765"/>
          <cell r="T13765"/>
        </row>
        <row r="13766">
          <cell r="A13766" t="str">
            <v>RFS/CELWAVE</v>
          </cell>
          <cell r="B13766" t="str">
            <v>DAX12-59</v>
          </cell>
          <cell r="O13766"/>
          <cell r="T13766"/>
        </row>
        <row r="13767">
          <cell r="A13767" t="str">
            <v>RFS/CELWAVE</v>
          </cell>
          <cell r="B13767" t="str">
            <v>DAX15-34</v>
          </cell>
          <cell r="O13767"/>
          <cell r="T13767"/>
        </row>
        <row r="13768">
          <cell r="A13768" t="str">
            <v>RFS/CELWAVE</v>
          </cell>
          <cell r="B13768" t="str">
            <v>DAX15-36</v>
          </cell>
          <cell r="O13768"/>
          <cell r="T13768"/>
        </row>
        <row r="13769">
          <cell r="A13769" t="str">
            <v>RFS/CELWAVE</v>
          </cell>
          <cell r="B13769" t="str">
            <v>DAX15-59</v>
          </cell>
          <cell r="O13769"/>
          <cell r="T13769"/>
        </row>
        <row r="13770">
          <cell r="A13770" t="str">
            <v>RFS/CELWAVE</v>
          </cell>
          <cell r="B13770" t="str">
            <v>DAX4-44AD</v>
          </cell>
          <cell r="O13770"/>
          <cell r="T13770"/>
        </row>
        <row r="13771">
          <cell r="A13771" t="str">
            <v>RFS/CELWAVE</v>
          </cell>
          <cell r="B13771" t="str">
            <v>DAX4-59A</v>
          </cell>
          <cell r="O13771"/>
          <cell r="T13771"/>
        </row>
        <row r="13772">
          <cell r="A13772" t="str">
            <v>RFS/CELWAVE</v>
          </cell>
          <cell r="B13772" t="str">
            <v>DAX6-44</v>
          </cell>
          <cell r="O13772"/>
          <cell r="T13772"/>
        </row>
        <row r="13773">
          <cell r="A13773" t="str">
            <v>RFS/CELWAVE</v>
          </cell>
          <cell r="B13773" t="str">
            <v>DAX6-57</v>
          </cell>
          <cell r="O13773"/>
          <cell r="T13773"/>
        </row>
        <row r="13774">
          <cell r="A13774" t="str">
            <v>RFS/CELWAVE</v>
          </cell>
          <cell r="B13774" t="str">
            <v>DAX6-59</v>
          </cell>
          <cell r="O13774"/>
          <cell r="T13774"/>
        </row>
        <row r="13775">
          <cell r="A13775" t="str">
            <v>RFS/CELWAVE</v>
          </cell>
          <cell r="B13775" t="str">
            <v>DAX6-59B</v>
          </cell>
          <cell r="O13775"/>
          <cell r="T13775"/>
        </row>
        <row r="13776">
          <cell r="A13776" t="str">
            <v>RFS/CELWAVE</v>
          </cell>
          <cell r="B13776" t="str">
            <v>DAX6-65BC</v>
          </cell>
          <cell r="O13776"/>
          <cell r="T13776"/>
        </row>
        <row r="13777">
          <cell r="A13777" t="str">
            <v>RFS/CELWAVE</v>
          </cell>
          <cell r="B13777" t="str">
            <v>DAX8-107AD</v>
          </cell>
          <cell r="O13777"/>
          <cell r="T13777"/>
        </row>
        <row r="13778">
          <cell r="A13778" t="str">
            <v>RFS/CELWAVE</v>
          </cell>
          <cell r="B13778" t="str">
            <v>DAX8-17</v>
          </cell>
          <cell r="O13778"/>
          <cell r="T13778"/>
        </row>
        <row r="13779">
          <cell r="A13779" t="str">
            <v>RFS/CELWAVE</v>
          </cell>
          <cell r="B13779" t="str">
            <v>DAX8-19</v>
          </cell>
          <cell r="O13779"/>
          <cell r="T13779"/>
        </row>
        <row r="13780">
          <cell r="A13780" t="str">
            <v>RFS/CELWAVE</v>
          </cell>
          <cell r="B13780" t="str">
            <v>DAX8-19(2)</v>
          </cell>
          <cell r="O13780"/>
          <cell r="T13780"/>
        </row>
        <row r="13781">
          <cell r="A13781" t="str">
            <v>RFS/CELWAVE</v>
          </cell>
          <cell r="B13781" t="str">
            <v>DAX8-21</v>
          </cell>
          <cell r="O13781"/>
          <cell r="T13781"/>
        </row>
        <row r="13782">
          <cell r="A13782" t="str">
            <v>RFS/CELWAVE</v>
          </cell>
          <cell r="B13782" t="str">
            <v>DAX8-23</v>
          </cell>
          <cell r="O13782"/>
          <cell r="T13782"/>
        </row>
        <row r="13783">
          <cell r="A13783" t="str">
            <v>RFS/CELWAVE</v>
          </cell>
          <cell r="B13783" t="str">
            <v>DAX8-25</v>
          </cell>
          <cell r="O13783"/>
          <cell r="T13783"/>
        </row>
        <row r="13784">
          <cell r="A13784" t="str">
            <v>RFS/CELWAVE</v>
          </cell>
          <cell r="B13784" t="str">
            <v>DAX8-34</v>
          </cell>
          <cell r="O13784"/>
          <cell r="T13784"/>
        </row>
        <row r="13785">
          <cell r="A13785" t="str">
            <v>RFS/CELWAVE</v>
          </cell>
          <cell r="B13785" t="str">
            <v>DAX8-36</v>
          </cell>
          <cell r="O13785"/>
          <cell r="T13785"/>
        </row>
        <row r="13786">
          <cell r="A13786" t="str">
            <v>RFS/CELWAVE</v>
          </cell>
          <cell r="B13786" t="str">
            <v>DAX8-44</v>
          </cell>
          <cell r="O13786"/>
          <cell r="T13786"/>
        </row>
        <row r="13787">
          <cell r="A13787" t="str">
            <v>RFS/CELWAVE</v>
          </cell>
          <cell r="B13787" t="str">
            <v>DAX8-57</v>
          </cell>
          <cell r="O13787"/>
          <cell r="T13787"/>
        </row>
        <row r="13788">
          <cell r="A13788" t="str">
            <v>RFS/CELWAVE</v>
          </cell>
          <cell r="B13788" t="str">
            <v>DAX8-59</v>
          </cell>
          <cell r="O13788"/>
          <cell r="T13788"/>
        </row>
        <row r="13789">
          <cell r="A13789" t="str">
            <v>RFS/CELWAVE</v>
          </cell>
          <cell r="B13789" t="str">
            <v>DAX8-65AD</v>
          </cell>
          <cell r="O13789"/>
          <cell r="T13789"/>
        </row>
        <row r="13790">
          <cell r="A13790" t="str">
            <v>RFS/CELWAVE</v>
          </cell>
          <cell r="B13790" t="str">
            <v>DBUX10-W60W103ACC</v>
          </cell>
          <cell r="O13790"/>
          <cell r="T13790"/>
        </row>
        <row r="13791">
          <cell r="A13791" t="str">
            <v>RFS/CELWAVE</v>
          </cell>
          <cell r="B13791" t="str">
            <v>DBUX6-W60W103ACC</v>
          </cell>
          <cell r="O13791"/>
          <cell r="T13791"/>
        </row>
        <row r="13792">
          <cell r="A13792" t="str">
            <v>RFS/CELWAVE</v>
          </cell>
          <cell r="B13792" t="str">
            <v>DBUX6-W60W103ADC</v>
          </cell>
          <cell r="O13792"/>
          <cell r="T13792"/>
        </row>
        <row r="13793">
          <cell r="A13793" t="str">
            <v>RFS/CELWAVE</v>
          </cell>
          <cell r="B13793" t="str">
            <v>DBUX8-W60W103ACC</v>
          </cell>
          <cell r="O13793"/>
          <cell r="T13793"/>
        </row>
        <row r="13794">
          <cell r="A13794" t="str">
            <v>RFS/CELWAVE</v>
          </cell>
          <cell r="B13794" t="str">
            <v>DKK666229</v>
          </cell>
          <cell r="O13794"/>
          <cell r="T13794"/>
        </row>
        <row r="13795">
          <cell r="A13795" t="str">
            <v>RFS/CELWAVE</v>
          </cell>
          <cell r="B13795" t="str">
            <v>DO22-2</v>
          </cell>
          <cell r="O13795"/>
          <cell r="T13795"/>
        </row>
        <row r="13796">
          <cell r="A13796" t="str">
            <v>RFS/CELWAVE</v>
          </cell>
          <cell r="B13796" t="str">
            <v>DXX667349</v>
          </cell>
          <cell r="O13796"/>
          <cell r="T13796"/>
        </row>
        <row r="13797">
          <cell r="A13797" t="str">
            <v>RFS/CELWAVE</v>
          </cell>
          <cell r="B13797" t="str">
            <v>DXX67389</v>
          </cell>
          <cell r="O13797"/>
          <cell r="T13797"/>
        </row>
        <row r="13798">
          <cell r="A13798" t="str">
            <v>RFS/CELWAVE</v>
          </cell>
          <cell r="B13798" t="str">
            <v>GKA6-24N</v>
          </cell>
          <cell r="O13798"/>
          <cell r="T13798"/>
        </row>
        <row r="13799">
          <cell r="A13799" t="str">
            <v>RFS/CELWAVE</v>
          </cell>
          <cell r="B13799" t="str">
            <v>GKA8-082N</v>
          </cell>
          <cell r="O13799"/>
          <cell r="T13799"/>
        </row>
        <row r="13800">
          <cell r="A13800" t="str">
            <v>RFS/CELWAVE</v>
          </cell>
          <cell r="B13800" t="str">
            <v>GKA8-20N</v>
          </cell>
          <cell r="O13800"/>
          <cell r="T13800"/>
        </row>
        <row r="13801">
          <cell r="A13801" t="str">
            <v>RFS/CELWAVE</v>
          </cell>
          <cell r="B13801" t="str">
            <v>GKL10-24N</v>
          </cell>
          <cell r="O13801"/>
          <cell r="T13801"/>
        </row>
        <row r="13802">
          <cell r="A13802" t="str">
            <v>RFS/CELWAVE</v>
          </cell>
          <cell r="B13802" t="str">
            <v>GKL8-24N</v>
          </cell>
          <cell r="O13802"/>
          <cell r="T13802"/>
        </row>
        <row r="13803">
          <cell r="A13803" t="str">
            <v>RFS/CELWAVE</v>
          </cell>
          <cell r="B13803" t="str">
            <v>GPW 46-0809</v>
          </cell>
          <cell r="O13803"/>
          <cell r="T13803"/>
        </row>
        <row r="13804">
          <cell r="A13804" t="str">
            <v>RFS/CELWAVE</v>
          </cell>
          <cell r="B13804" t="str">
            <v>HP105A4CL-2</v>
          </cell>
          <cell r="O13804"/>
          <cell r="T13804"/>
        </row>
        <row r="13805">
          <cell r="A13805" t="str">
            <v>RFS/CELWAVE</v>
          </cell>
          <cell r="B13805" t="str">
            <v>IPA10-15</v>
          </cell>
          <cell r="O13805"/>
          <cell r="T13805"/>
        </row>
        <row r="13806">
          <cell r="A13806" t="str">
            <v>RFS/CELWAVE</v>
          </cell>
          <cell r="B13806" t="str">
            <v>IPA10-17</v>
          </cell>
          <cell r="O13806"/>
          <cell r="T13806"/>
        </row>
        <row r="13807">
          <cell r="A13807" t="str">
            <v>RFS/CELWAVE</v>
          </cell>
          <cell r="B13807" t="str">
            <v>IPA10-17(4)</v>
          </cell>
          <cell r="O13807"/>
          <cell r="T13807"/>
        </row>
        <row r="13808">
          <cell r="A13808" t="str">
            <v>RFS/CELWAVE</v>
          </cell>
          <cell r="B13808" t="str">
            <v>IPA10-19</v>
          </cell>
          <cell r="O13808"/>
          <cell r="T13808"/>
        </row>
        <row r="13809">
          <cell r="A13809" t="str">
            <v>RFS/CELWAVE</v>
          </cell>
          <cell r="B13809" t="str">
            <v>IPA10-19(2)</v>
          </cell>
          <cell r="O13809"/>
          <cell r="T13809"/>
        </row>
        <row r="13810">
          <cell r="A13810" t="str">
            <v>RFS/CELWAVE</v>
          </cell>
          <cell r="B13810" t="str">
            <v>IPA10-21</v>
          </cell>
          <cell r="O13810"/>
          <cell r="T13810"/>
        </row>
        <row r="13811">
          <cell r="A13811" t="str">
            <v>RFS/CELWAVE</v>
          </cell>
          <cell r="B13811" t="str">
            <v>IPA10-23</v>
          </cell>
          <cell r="O13811"/>
          <cell r="T13811"/>
        </row>
        <row r="13812">
          <cell r="A13812" t="str">
            <v>RFS/CELWAVE</v>
          </cell>
          <cell r="B13812" t="str">
            <v>IPA10-25</v>
          </cell>
          <cell r="O13812"/>
          <cell r="T13812"/>
        </row>
        <row r="13813">
          <cell r="A13813" t="str">
            <v>RFS/CELWAVE</v>
          </cell>
          <cell r="B13813" t="str">
            <v>IPA10-36</v>
          </cell>
          <cell r="O13813"/>
          <cell r="T13813"/>
        </row>
        <row r="13814">
          <cell r="A13814" t="str">
            <v>RFS/CELWAVE</v>
          </cell>
          <cell r="B13814" t="str">
            <v>IPA10-44</v>
          </cell>
          <cell r="O13814"/>
          <cell r="T13814"/>
        </row>
        <row r="13815">
          <cell r="A13815" t="str">
            <v>RFS/CELWAVE</v>
          </cell>
          <cell r="B13815" t="str">
            <v>IPA10-57</v>
          </cell>
          <cell r="O13815"/>
          <cell r="T13815"/>
        </row>
        <row r="13816">
          <cell r="A13816" t="str">
            <v>RFS/CELWAVE</v>
          </cell>
          <cell r="B13816" t="str">
            <v>IPA10-59</v>
          </cell>
          <cell r="O13816"/>
          <cell r="T13816"/>
        </row>
        <row r="13817">
          <cell r="A13817" t="str">
            <v>RFS/CELWAVE</v>
          </cell>
          <cell r="B13817" t="str">
            <v>IPA10-65</v>
          </cell>
          <cell r="O13817"/>
          <cell r="T13817"/>
        </row>
        <row r="13818">
          <cell r="A13818" t="str">
            <v>RFS/CELWAVE</v>
          </cell>
          <cell r="B13818" t="str">
            <v>IPA12-15</v>
          </cell>
          <cell r="O13818"/>
          <cell r="T13818"/>
        </row>
        <row r="13819">
          <cell r="A13819" t="str">
            <v>RFS/CELWAVE</v>
          </cell>
          <cell r="B13819" t="str">
            <v>IPA12-17</v>
          </cell>
          <cell r="O13819"/>
          <cell r="T13819"/>
        </row>
        <row r="13820">
          <cell r="A13820" t="str">
            <v>RFS/CELWAVE</v>
          </cell>
          <cell r="B13820" t="str">
            <v>IPA12-17(4)</v>
          </cell>
          <cell r="O13820"/>
          <cell r="T13820"/>
        </row>
        <row r="13821">
          <cell r="A13821" t="str">
            <v>RFS/CELWAVE</v>
          </cell>
          <cell r="B13821" t="str">
            <v>IPA12-19</v>
          </cell>
          <cell r="O13821"/>
          <cell r="T13821"/>
        </row>
        <row r="13822">
          <cell r="A13822" t="str">
            <v>RFS/CELWAVE</v>
          </cell>
          <cell r="B13822" t="str">
            <v>IPA12-19(2)</v>
          </cell>
          <cell r="O13822"/>
          <cell r="T13822"/>
        </row>
        <row r="13823">
          <cell r="A13823" t="str">
            <v>RFS/CELWAVE</v>
          </cell>
          <cell r="B13823" t="str">
            <v>IPA12-21</v>
          </cell>
          <cell r="O13823"/>
          <cell r="T13823"/>
        </row>
        <row r="13824">
          <cell r="A13824" t="str">
            <v>RFS/CELWAVE</v>
          </cell>
          <cell r="B13824" t="str">
            <v>IPA12-23</v>
          </cell>
          <cell r="O13824"/>
          <cell r="T13824"/>
        </row>
        <row r="13825">
          <cell r="A13825" t="str">
            <v>RFS/CELWAVE</v>
          </cell>
          <cell r="B13825" t="str">
            <v>IPA12-25</v>
          </cell>
          <cell r="O13825"/>
          <cell r="T13825"/>
        </row>
        <row r="13826">
          <cell r="A13826" t="str">
            <v>RFS/CELWAVE</v>
          </cell>
          <cell r="B13826" t="str">
            <v>IPA12-36</v>
          </cell>
          <cell r="O13826"/>
          <cell r="T13826"/>
        </row>
        <row r="13827">
          <cell r="A13827" t="str">
            <v>RFS/CELWAVE</v>
          </cell>
          <cell r="B13827" t="str">
            <v>IPA12-44</v>
          </cell>
          <cell r="O13827"/>
          <cell r="T13827"/>
        </row>
        <row r="13828">
          <cell r="A13828" t="str">
            <v>RFS/CELWAVE</v>
          </cell>
          <cell r="B13828" t="str">
            <v>IPA12-57</v>
          </cell>
          <cell r="O13828"/>
          <cell r="T13828"/>
        </row>
        <row r="13829">
          <cell r="A13829" t="str">
            <v>RFS/CELWAVE</v>
          </cell>
          <cell r="B13829" t="str">
            <v>IPA12-59</v>
          </cell>
          <cell r="O13829"/>
          <cell r="T13829"/>
        </row>
        <row r="13830">
          <cell r="A13830" t="str">
            <v>RFS/CELWAVE</v>
          </cell>
          <cell r="B13830" t="str">
            <v>IPA12-65</v>
          </cell>
          <cell r="O13830"/>
          <cell r="T13830"/>
        </row>
        <row r="13831">
          <cell r="A13831" t="str">
            <v>RFS/CELWAVE</v>
          </cell>
          <cell r="B13831" t="str">
            <v>IPA6-57</v>
          </cell>
          <cell r="O13831"/>
          <cell r="T13831"/>
        </row>
        <row r="13832">
          <cell r="A13832" t="str">
            <v>RFS/CELWAVE</v>
          </cell>
          <cell r="B13832" t="str">
            <v>IPA6-59</v>
          </cell>
          <cell r="O13832"/>
          <cell r="T13832"/>
        </row>
        <row r="13833">
          <cell r="A13833" t="str">
            <v>RFS/CELWAVE</v>
          </cell>
          <cell r="B13833" t="str">
            <v>IPA6-65</v>
          </cell>
          <cell r="O13833"/>
          <cell r="T13833"/>
        </row>
        <row r="13834">
          <cell r="A13834" t="str">
            <v>RFS/CELWAVE</v>
          </cell>
          <cell r="B13834" t="str">
            <v>IPA8-15</v>
          </cell>
          <cell r="O13834"/>
          <cell r="T13834"/>
        </row>
        <row r="13835">
          <cell r="A13835" t="str">
            <v>RFS/CELWAVE</v>
          </cell>
          <cell r="B13835" t="str">
            <v>IPA8-17</v>
          </cell>
          <cell r="O13835"/>
          <cell r="T13835"/>
        </row>
        <row r="13836">
          <cell r="A13836" t="str">
            <v>RFS/CELWAVE</v>
          </cell>
          <cell r="B13836" t="str">
            <v>IPA8-17(4)</v>
          </cell>
          <cell r="O13836"/>
          <cell r="T13836"/>
        </row>
        <row r="13837">
          <cell r="A13837" t="str">
            <v>RFS/CELWAVE</v>
          </cell>
          <cell r="B13837" t="str">
            <v>IPA8-19</v>
          </cell>
          <cell r="O13837"/>
          <cell r="T13837"/>
        </row>
        <row r="13838">
          <cell r="A13838" t="str">
            <v>RFS/CELWAVE</v>
          </cell>
          <cell r="B13838" t="str">
            <v>IPA8-19(2)</v>
          </cell>
          <cell r="O13838"/>
          <cell r="T13838"/>
        </row>
        <row r="13839">
          <cell r="A13839" t="str">
            <v>RFS/CELWAVE</v>
          </cell>
          <cell r="B13839" t="str">
            <v>IPA8-21</v>
          </cell>
          <cell r="O13839"/>
          <cell r="T13839"/>
        </row>
        <row r="13840">
          <cell r="A13840" t="str">
            <v>RFS/CELWAVE</v>
          </cell>
          <cell r="B13840" t="str">
            <v>IPA8-23</v>
          </cell>
          <cell r="O13840"/>
          <cell r="T13840"/>
        </row>
        <row r="13841">
          <cell r="A13841" t="str">
            <v>RFS/CELWAVE</v>
          </cell>
          <cell r="B13841" t="str">
            <v>IPA8-25</v>
          </cell>
          <cell r="O13841"/>
          <cell r="T13841"/>
        </row>
        <row r="13842">
          <cell r="A13842" t="str">
            <v>RFS/CELWAVE</v>
          </cell>
          <cell r="B13842" t="str">
            <v>IPA8-36</v>
          </cell>
          <cell r="O13842"/>
          <cell r="T13842"/>
        </row>
        <row r="13843">
          <cell r="A13843" t="str">
            <v>RFS/CELWAVE</v>
          </cell>
          <cell r="B13843" t="str">
            <v>IPA8-44</v>
          </cell>
          <cell r="O13843"/>
          <cell r="T13843"/>
        </row>
        <row r="13844">
          <cell r="A13844" t="str">
            <v>RFS/CELWAVE</v>
          </cell>
          <cell r="B13844" t="str">
            <v>IPA8-57</v>
          </cell>
          <cell r="O13844"/>
          <cell r="T13844"/>
        </row>
        <row r="13845">
          <cell r="A13845" t="str">
            <v>RFS/CELWAVE</v>
          </cell>
          <cell r="B13845" t="str">
            <v>IPA8-59</v>
          </cell>
          <cell r="O13845"/>
          <cell r="T13845"/>
        </row>
        <row r="13846">
          <cell r="A13846" t="str">
            <v>RFS/CELWAVE</v>
          </cell>
          <cell r="B13846" t="str">
            <v>IPA8-65</v>
          </cell>
          <cell r="O13846"/>
          <cell r="T13846"/>
        </row>
        <row r="13847">
          <cell r="A13847" t="str">
            <v>RFS/CELWAVE</v>
          </cell>
          <cell r="B13847" t="str">
            <v>IPAL10-17</v>
          </cell>
          <cell r="O13847"/>
          <cell r="T13847"/>
        </row>
        <row r="13848">
          <cell r="A13848" t="str">
            <v>RFS/CELWAVE</v>
          </cell>
          <cell r="B13848" t="str">
            <v>IPAL10-17(4)</v>
          </cell>
          <cell r="O13848"/>
          <cell r="T13848"/>
        </row>
        <row r="13849">
          <cell r="A13849" t="str">
            <v>RFS/CELWAVE</v>
          </cell>
          <cell r="B13849" t="str">
            <v>IPAL10-19</v>
          </cell>
          <cell r="O13849"/>
          <cell r="T13849"/>
        </row>
        <row r="13850">
          <cell r="A13850" t="str">
            <v>RFS/CELWAVE</v>
          </cell>
          <cell r="B13850" t="str">
            <v>IPAL10-19(2)</v>
          </cell>
          <cell r="O13850"/>
          <cell r="T13850"/>
        </row>
        <row r="13851">
          <cell r="A13851" t="str">
            <v>RFS/CELWAVE</v>
          </cell>
          <cell r="B13851" t="str">
            <v>IPAL10-21</v>
          </cell>
          <cell r="O13851"/>
          <cell r="T13851"/>
        </row>
        <row r="13852">
          <cell r="A13852" t="str">
            <v>RFS/CELWAVE</v>
          </cell>
          <cell r="B13852" t="str">
            <v>IPAL10-23</v>
          </cell>
          <cell r="O13852"/>
          <cell r="T13852"/>
        </row>
        <row r="13853">
          <cell r="A13853" t="str">
            <v>RFS/CELWAVE</v>
          </cell>
          <cell r="B13853" t="str">
            <v>IPAL10-25</v>
          </cell>
          <cell r="O13853"/>
          <cell r="T13853"/>
        </row>
        <row r="13854">
          <cell r="A13854" t="str">
            <v>RFS/CELWAVE</v>
          </cell>
          <cell r="B13854" t="str">
            <v>IPAL10-36</v>
          </cell>
          <cell r="O13854"/>
          <cell r="T13854"/>
        </row>
        <row r="13855">
          <cell r="A13855" t="str">
            <v>RFS/CELWAVE</v>
          </cell>
          <cell r="B13855" t="str">
            <v>IPAL10-44</v>
          </cell>
          <cell r="O13855"/>
          <cell r="T13855"/>
        </row>
        <row r="13856">
          <cell r="A13856" t="str">
            <v>RFS/CELWAVE</v>
          </cell>
          <cell r="B13856" t="str">
            <v>IPAL10-57</v>
          </cell>
          <cell r="O13856"/>
          <cell r="T13856"/>
        </row>
        <row r="13857">
          <cell r="A13857" t="str">
            <v>RFS/CELWAVE</v>
          </cell>
          <cell r="B13857" t="str">
            <v>IPAL10-59</v>
          </cell>
          <cell r="O13857"/>
          <cell r="T13857"/>
        </row>
        <row r="13858">
          <cell r="A13858" t="str">
            <v>RFS/CELWAVE</v>
          </cell>
          <cell r="B13858" t="str">
            <v>IPAL12-17</v>
          </cell>
          <cell r="O13858"/>
          <cell r="T13858"/>
        </row>
        <row r="13859">
          <cell r="A13859" t="str">
            <v>RFS/CELWAVE</v>
          </cell>
          <cell r="B13859" t="str">
            <v>IPAL12-17(4)</v>
          </cell>
          <cell r="O13859"/>
          <cell r="T13859"/>
        </row>
        <row r="13860">
          <cell r="A13860" t="str">
            <v>RFS/CELWAVE</v>
          </cell>
          <cell r="B13860" t="str">
            <v>IPAL12-19</v>
          </cell>
          <cell r="O13860"/>
          <cell r="T13860"/>
        </row>
        <row r="13861">
          <cell r="A13861" t="str">
            <v>RFS/CELWAVE</v>
          </cell>
          <cell r="B13861" t="str">
            <v>IPAL12-19(2)</v>
          </cell>
          <cell r="O13861"/>
          <cell r="T13861"/>
        </row>
        <row r="13862">
          <cell r="A13862" t="str">
            <v>RFS/CELWAVE</v>
          </cell>
          <cell r="B13862" t="str">
            <v>IPAL12-21</v>
          </cell>
          <cell r="O13862"/>
          <cell r="T13862"/>
        </row>
        <row r="13863">
          <cell r="A13863" t="str">
            <v>RFS/CELWAVE</v>
          </cell>
          <cell r="B13863" t="str">
            <v>IPAL12-23</v>
          </cell>
          <cell r="O13863"/>
          <cell r="T13863"/>
        </row>
        <row r="13864">
          <cell r="A13864" t="str">
            <v>RFS/CELWAVE</v>
          </cell>
          <cell r="B13864" t="str">
            <v>IPAL12-25</v>
          </cell>
          <cell r="O13864"/>
          <cell r="T13864"/>
        </row>
        <row r="13865">
          <cell r="A13865" t="str">
            <v>RFS/CELWAVE</v>
          </cell>
          <cell r="B13865" t="str">
            <v>IPAL12-36</v>
          </cell>
          <cell r="O13865"/>
          <cell r="T13865"/>
        </row>
        <row r="13866">
          <cell r="A13866" t="str">
            <v>RFS/CELWAVE</v>
          </cell>
          <cell r="B13866" t="str">
            <v>IPAL12-44</v>
          </cell>
          <cell r="O13866"/>
          <cell r="T13866"/>
        </row>
        <row r="13867">
          <cell r="A13867" t="str">
            <v>RFS/CELWAVE</v>
          </cell>
          <cell r="B13867" t="str">
            <v>IPAL12-59</v>
          </cell>
          <cell r="O13867"/>
          <cell r="T13867"/>
        </row>
        <row r="13868">
          <cell r="A13868" t="str">
            <v>RFS/CELWAVE</v>
          </cell>
          <cell r="B13868" t="str">
            <v>IPAL6-57</v>
          </cell>
          <cell r="O13868"/>
          <cell r="T13868"/>
        </row>
        <row r="13869">
          <cell r="A13869" t="str">
            <v>RFS/CELWAVE</v>
          </cell>
          <cell r="B13869" t="str">
            <v>IPAL6-59</v>
          </cell>
          <cell r="O13869"/>
          <cell r="T13869"/>
        </row>
        <row r="13870">
          <cell r="A13870" t="str">
            <v>RFS/CELWAVE</v>
          </cell>
          <cell r="B13870" t="str">
            <v>IPAL8-17</v>
          </cell>
          <cell r="O13870"/>
          <cell r="T13870"/>
        </row>
        <row r="13871">
          <cell r="A13871" t="str">
            <v>RFS/CELWAVE</v>
          </cell>
          <cell r="B13871" t="str">
            <v>IPAL8-17(4)</v>
          </cell>
          <cell r="O13871"/>
          <cell r="T13871"/>
        </row>
        <row r="13872">
          <cell r="A13872" t="str">
            <v>RFS/CELWAVE</v>
          </cell>
          <cell r="B13872" t="str">
            <v>IPAL8-19</v>
          </cell>
          <cell r="O13872"/>
          <cell r="T13872"/>
        </row>
        <row r="13873">
          <cell r="A13873" t="str">
            <v>RFS/CELWAVE</v>
          </cell>
          <cell r="B13873" t="str">
            <v>IPAL8-19(2)</v>
          </cell>
          <cell r="O13873"/>
          <cell r="T13873"/>
        </row>
        <row r="13874">
          <cell r="A13874" t="str">
            <v>RFS/CELWAVE</v>
          </cell>
          <cell r="B13874" t="str">
            <v>IPAL8-21</v>
          </cell>
          <cell r="O13874"/>
          <cell r="T13874"/>
        </row>
        <row r="13875">
          <cell r="A13875" t="str">
            <v>RFS/CELWAVE</v>
          </cell>
          <cell r="B13875" t="str">
            <v>IPAL8-23</v>
          </cell>
          <cell r="O13875"/>
          <cell r="T13875"/>
        </row>
        <row r="13876">
          <cell r="A13876" t="str">
            <v>RFS/CELWAVE</v>
          </cell>
          <cell r="B13876" t="str">
            <v>IPAL8-25</v>
          </cell>
          <cell r="O13876"/>
          <cell r="T13876"/>
        </row>
        <row r="13877">
          <cell r="A13877" t="str">
            <v>RFS/CELWAVE</v>
          </cell>
          <cell r="B13877" t="str">
            <v>IPAL8-36</v>
          </cell>
          <cell r="O13877"/>
          <cell r="T13877"/>
        </row>
        <row r="13878">
          <cell r="A13878" t="str">
            <v>RFS/CELWAVE</v>
          </cell>
          <cell r="B13878" t="str">
            <v>IPAL8-44</v>
          </cell>
          <cell r="O13878"/>
          <cell r="T13878"/>
        </row>
        <row r="13879">
          <cell r="A13879" t="str">
            <v>RFS/CELWAVE</v>
          </cell>
          <cell r="B13879" t="str">
            <v>IPAL8-57</v>
          </cell>
          <cell r="O13879"/>
          <cell r="T13879"/>
        </row>
        <row r="13880">
          <cell r="A13880" t="str">
            <v>RFS/CELWAVE</v>
          </cell>
          <cell r="B13880" t="str">
            <v>IPAL8-59</v>
          </cell>
          <cell r="O13880"/>
          <cell r="T13880"/>
        </row>
        <row r="13881">
          <cell r="A13881" t="str">
            <v>RFS/CELWAVE</v>
          </cell>
          <cell r="B13881" t="str">
            <v>IPAX-25</v>
          </cell>
          <cell r="O13881"/>
          <cell r="T13881"/>
        </row>
        <row r="13882">
          <cell r="A13882" t="str">
            <v>RFS/CELWAVE</v>
          </cell>
          <cell r="B13882" t="str">
            <v>IPAX-59</v>
          </cell>
          <cell r="O13882"/>
          <cell r="T13882"/>
        </row>
        <row r="13883">
          <cell r="A13883" t="str">
            <v>RFS/CELWAVE</v>
          </cell>
          <cell r="B13883" t="str">
            <v>IPAX10-17</v>
          </cell>
          <cell r="O13883"/>
          <cell r="T13883"/>
        </row>
        <row r="13884">
          <cell r="A13884" t="str">
            <v>RFS/CELWAVE</v>
          </cell>
          <cell r="B13884" t="str">
            <v>IPAX10-19</v>
          </cell>
          <cell r="O13884"/>
          <cell r="T13884"/>
        </row>
        <row r="13885">
          <cell r="A13885" t="str">
            <v>RFS/CELWAVE</v>
          </cell>
          <cell r="B13885" t="str">
            <v>IPAX10-19(2)</v>
          </cell>
          <cell r="O13885"/>
          <cell r="T13885"/>
        </row>
        <row r="13886">
          <cell r="A13886" t="str">
            <v>RFS/CELWAVE</v>
          </cell>
          <cell r="B13886" t="str">
            <v>IPAX10-21A</v>
          </cell>
          <cell r="O13886"/>
          <cell r="T13886"/>
        </row>
        <row r="13887">
          <cell r="A13887" t="str">
            <v>RFS/CELWAVE</v>
          </cell>
          <cell r="B13887" t="str">
            <v>IPAX10-23</v>
          </cell>
          <cell r="O13887"/>
          <cell r="T13887"/>
        </row>
        <row r="13888">
          <cell r="A13888" t="str">
            <v>RFS/CELWAVE</v>
          </cell>
          <cell r="B13888" t="str">
            <v>IPAX10-25</v>
          </cell>
          <cell r="O13888"/>
          <cell r="T13888"/>
        </row>
        <row r="13889">
          <cell r="A13889" t="str">
            <v>RFS/CELWAVE</v>
          </cell>
          <cell r="B13889" t="str">
            <v>IPAX10-36</v>
          </cell>
          <cell r="O13889"/>
          <cell r="T13889"/>
        </row>
        <row r="13890">
          <cell r="A13890" t="str">
            <v>RFS/CELWAVE</v>
          </cell>
          <cell r="B13890" t="str">
            <v>IPAX10-44</v>
          </cell>
          <cell r="O13890"/>
          <cell r="T13890"/>
        </row>
        <row r="13891">
          <cell r="A13891" t="str">
            <v>RFS/CELWAVE</v>
          </cell>
          <cell r="B13891" t="str">
            <v>IPAX10-57</v>
          </cell>
          <cell r="O13891"/>
          <cell r="T13891"/>
        </row>
        <row r="13892">
          <cell r="A13892" t="str">
            <v>RFS/CELWAVE</v>
          </cell>
          <cell r="B13892" t="str">
            <v>IPAX10-59</v>
          </cell>
          <cell r="O13892"/>
          <cell r="T13892"/>
        </row>
        <row r="13893">
          <cell r="A13893" t="str">
            <v>RFS/CELWAVE</v>
          </cell>
          <cell r="B13893" t="str">
            <v>IPAX10-65</v>
          </cell>
          <cell r="O13893"/>
          <cell r="T13893"/>
        </row>
        <row r="13894">
          <cell r="A13894" t="str">
            <v>RFS/CELWAVE</v>
          </cell>
          <cell r="B13894" t="str">
            <v>IPAX12-17</v>
          </cell>
          <cell r="O13894"/>
          <cell r="T13894"/>
        </row>
        <row r="13895">
          <cell r="A13895" t="str">
            <v>RFS/CELWAVE</v>
          </cell>
          <cell r="B13895" t="str">
            <v>IPAX12-19</v>
          </cell>
          <cell r="O13895"/>
          <cell r="T13895"/>
        </row>
        <row r="13896">
          <cell r="A13896" t="str">
            <v>RFS/CELWAVE</v>
          </cell>
          <cell r="B13896" t="str">
            <v>IPAX12-19(2)</v>
          </cell>
          <cell r="O13896"/>
          <cell r="T13896"/>
        </row>
        <row r="13897">
          <cell r="A13897" t="str">
            <v>RFS/CELWAVE</v>
          </cell>
          <cell r="B13897" t="str">
            <v>IPAX12-21A</v>
          </cell>
          <cell r="O13897"/>
          <cell r="T13897"/>
        </row>
        <row r="13898">
          <cell r="A13898" t="str">
            <v>RFS/CELWAVE</v>
          </cell>
          <cell r="B13898" t="str">
            <v>IPAX12-23</v>
          </cell>
          <cell r="O13898"/>
          <cell r="T13898"/>
        </row>
        <row r="13899">
          <cell r="A13899" t="str">
            <v>RFS/CELWAVE</v>
          </cell>
          <cell r="B13899" t="str">
            <v>IPAX12-25</v>
          </cell>
          <cell r="O13899"/>
          <cell r="T13899"/>
        </row>
        <row r="13900">
          <cell r="A13900" t="str">
            <v>RFS/CELWAVE</v>
          </cell>
          <cell r="B13900" t="str">
            <v>IPAX12-36</v>
          </cell>
          <cell r="O13900"/>
          <cell r="T13900"/>
        </row>
        <row r="13901">
          <cell r="A13901" t="str">
            <v>RFS/CELWAVE</v>
          </cell>
          <cell r="B13901" t="str">
            <v>IPAX12-44</v>
          </cell>
          <cell r="O13901"/>
          <cell r="T13901"/>
        </row>
        <row r="13902">
          <cell r="A13902" t="str">
            <v>RFS/CELWAVE</v>
          </cell>
          <cell r="B13902" t="str">
            <v>IPAX12-57</v>
          </cell>
          <cell r="O13902"/>
          <cell r="T13902"/>
        </row>
        <row r="13903">
          <cell r="A13903" t="str">
            <v>RFS/CELWAVE</v>
          </cell>
          <cell r="B13903" t="str">
            <v>IPAX12-59</v>
          </cell>
          <cell r="O13903"/>
          <cell r="T13903"/>
        </row>
        <row r="13904">
          <cell r="A13904" t="str">
            <v>RFS/CELWAVE</v>
          </cell>
          <cell r="B13904" t="str">
            <v>IPAX12-65</v>
          </cell>
          <cell r="O13904"/>
          <cell r="T13904"/>
        </row>
        <row r="13905">
          <cell r="A13905" t="str">
            <v>RFS/CELWAVE</v>
          </cell>
          <cell r="B13905" t="str">
            <v>IPAX6-57</v>
          </cell>
          <cell r="O13905"/>
          <cell r="T13905"/>
        </row>
        <row r="13906">
          <cell r="A13906" t="str">
            <v>RFS/CELWAVE</v>
          </cell>
          <cell r="B13906" t="str">
            <v>IPAX6-65</v>
          </cell>
          <cell r="O13906"/>
          <cell r="T13906"/>
        </row>
        <row r="13907">
          <cell r="A13907" t="str">
            <v>RFS/CELWAVE</v>
          </cell>
          <cell r="B13907" t="str">
            <v>IPAX8-17</v>
          </cell>
          <cell r="O13907"/>
          <cell r="T13907"/>
        </row>
        <row r="13908">
          <cell r="A13908" t="str">
            <v>RFS/CELWAVE</v>
          </cell>
          <cell r="B13908" t="str">
            <v>IPAX8-19</v>
          </cell>
          <cell r="O13908"/>
          <cell r="T13908"/>
        </row>
        <row r="13909">
          <cell r="A13909" t="str">
            <v>RFS/CELWAVE</v>
          </cell>
          <cell r="B13909" t="str">
            <v>IPAX8-19(2)</v>
          </cell>
          <cell r="O13909"/>
          <cell r="T13909"/>
        </row>
        <row r="13910">
          <cell r="A13910" t="str">
            <v>RFS/CELWAVE</v>
          </cell>
          <cell r="B13910" t="str">
            <v>IPAX8-21A</v>
          </cell>
          <cell r="O13910"/>
          <cell r="T13910"/>
        </row>
        <row r="13911">
          <cell r="A13911" t="str">
            <v>RFS/CELWAVE</v>
          </cell>
          <cell r="B13911" t="str">
            <v>IPAX8-23</v>
          </cell>
          <cell r="O13911"/>
          <cell r="T13911"/>
        </row>
        <row r="13912">
          <cell r="A13912" t="str">
            <v>RFS/CELWAVE</v>
          </cell>
          <cell r="B13912" t="str">
            <v>IPAX8-36</v>
          </cell>
          <cell r="O13912"/>
          <cell r="T13912"/>
        </row>
        <row r="13913">
          <cell r="A13913" t="str">
            <v>RFS/CELWAVE</v>
          </cell>
          <cell r="B13913" t="str">
            <v>IPAX8-44</v>
          </cell>
          <cell r="O13913"/>
          <cell r="T13913"/>
        </row>
        <row r="13914">
          <cell r="A13914" t="str">
            <v>RFS/CELWAVE</v>
          </cell>
          <cell r="B13914" t="str">
            <v>IPAX8-57</v>
          </cell>
          <cell r="O13914"/>
          <cell r="T13914"/>
        </row>
        <row r="13915">
          <cell r="A13915" t="str">
            <v>RFS/CELWAVE</v>
          </cell>
          <cell r="B13915" t="str">
            <v>IPAX8-59</v>
          </cell>
          <cell r="O13915"/>
          <cell r="T13915"/>
        </row>
        <row r="13916">
          <cell r="A13916" t="str">
            <v>RFS/CELWAVE</v>
          </cell>
          <cell r="B13916" t="str">
            <v>IPAX8-65</v>
          </cell>
          <cell r="O13916"/>
          <cell r="T13916"/>
        </row>
        <row r="13917">
          <cell r="A13917" t="str">
            <v>RFS/CELWAVE</v>
          </cell>
          <cell r="B13917" t="str">
            <v>L0022</v>
          </cell>
          <cell r="O13917"/>
          <cell r="T13917"/>
        </row>
        <row r="13918">
          <cell r="A13918" t="str">
            <v>RFS/CELWAVE</v>
          </cell>
          <cell r="B13918" t="str">
            <v>M180172009</v>
          </cell>
          <cell r="O13918"/>
          <cell r="T13918"/>
        </row>
        <row r="13919">
          <cell r="A13919" t="str">
            <v>RFS/CELWAVE</v>
          </cell>
          <cell r="B13919" t="str">
            <v>M275791020</v>
          </cell>
          <cell r="O13919"/>
          <cell r="T13919"/>
        </row>
        <row r="13920">
          <cell r="A13920" t="str">
            <v>RFS/CELWAVE</v>
          </cell>
          <cell r="B13920" t="str">
            <v>MA0245-16AN</v>
          </cell>
          <cell r="O13920"/>
          <cell r="T13920"/>
        </row>
        <row r="13921">
          <cell r="A13921" t="str">
            <v>RFS/CELWAVE</v>
          </cell>
          <cell r="B13921" t="str">
            <v>MA0245-19AN</v>
          </cell>
          <cell r="O13921"/>
          <cell r="T13921"/>
        </row>
        <row r="13922">
          <cell r="A13922" t="str">
            <v>RFS/CELWAVE</v>
          </cell>
          <cell r="B13922" t="str">
            <v>MA0528-23AN</v>
          </cell>
          <cell r="O13922"/>
          <cell r="T13922"/>
        </row>
        <row r="13923">
          <cell r="A13923" t="str">
            <v>RFS/CELWAVE</v>
          </cell>
          <cell r="B13923" t="str">
            <v>MA0528-28AN</v>
          </cell>
          <cell r="O13923"/>
          <cell r="T13923"/>
        </row>
        <row r="13924">
          <cell r="A13924" t="str">
            <v>RFS/CELWAVE</v>
          </cell>
          <cell r="B13924" t="str">
            <v>MAX0528-19AN</v>
          </cell>
          <cell r="O13924"/>
          <cell r="T13924"/>
        </row>
        <row r="13925">
          <cell r="A13925" t="str">
            <v>RFS/CELWAVE</v>
          </cell>
          <cell r="B13925" t="str">
            <v>MGA18-2327</v>
          </cell>
          <cell r="O13925"/>
          <cell r="T13925"/>
        </row>
        <row r="13926">
          <cell r="A13926" t="str">
            <v>RFS/CELWAVE</v>
          </cell>
          <cell r="B13926" t="str">
            <v>MGA2-16N</v>
          </cell>
          <cell r="O13926"/>
          <cell r="T13926"/>
        </row>
        <row r="13927">
          <cell r="A13927" t="str">
            <v>RFS/CELWAVE</v>
          </cell>
          <cell r="B13927" t="str">
            <v>MGA3-18N</v>
          </cell>
          <cell r="O13927"/>
          <cell r="T13927"/>
        </row>
        <row r="13928">
          <cell r="A13928" t="str">
            <v>RFS/CELWAVE</v>
          </cell>
          <cell r="B13928" t="str">
            <v>MGA4-18AN</v>
          </cell>
          <cell r="O13928"/>
          <cell r="T13928"/>
        </row>
        <row r="13929">
          <cell r="A13929" t="str">
            <v>RFS/CELWAVE</v>
          </cell>
          <cell r="B13929" t="str">
            <v>MGAR06-1315</v>
          </cell>
          <cell r="O13929"/>
          <cell r="T13929"/>
        </row>
        <row r="13930">
          <cell r="A13930" t="str">
            <v>RFS/CELWAVE</v>
          </cell>
          <cell r="B13930" t="str">
            <v>MGAR09</v>
          </cell>
          <cell r="O13930"/>
          <cell r="T13930"/>
        </row>
        <row r="13931">
          <cell r="A13931" t="str">
            <v>RFS/CELWAVE</v>
          </cell>
          <cell r="B13931" t="str">
            <v>MGAR12-2325</v>
          </cell>
          <cell r="O13931"/>
          <cell r="T13931"/>
        </row>
        <row r="13932">
          <cell r="A13932" t="str">
            <v>RFS/CELWAVE</v>
          </cell>
          <cell r="B13932" t="str">
            <v>MGAR18-1315</v>
          </cell>
          <cell r="O13932"/>
          <cell r="T13932"/>
        </row>
        <row r="13933">
          <cell r="A13933" t="str">
            <v>RFS/CELWAVE</v>
          </cell>
          <cell r="B13933" t="str">
            <v>MGAR2-23N</v>
          </cell>
          <cell r="O13933"/>
          <cell r="T13933"/>
        </row>
        <row r="13934">
          <cell r="A13934" t="str">
            <v>RFS/CELWAVE</v>
          </cell>
          <cell r="B13934" t="str">
            <v>MGAR3-23N</v>
          </cell>
          <cell r="O13934"/>
          <cell r="T13934"/>
        </row>
        <row r="13935">
          <cell r="A13935" t="str">
            <v>RFS/CELWAVE</v>
          </cell>
          <cell r="B13935" t="str">
            <v>MGAR4-23N</v>
          </cell>
          <cell r="O13935"/>
          <cell r="T13935"/>
        </row>
        <row r="13936">
          <cell r="A13936" t="str">
            <v>RFS/CELWAVE</v>
          </cell>
          <cell r="B13936" t="str">
            <v>MGAR6-14N</v>
          </cell>
          <cell r="O13936"/>
          <cell r="T13936"/>
        </row>
        <row r="13937">
          <cell r="A13937" t="str">
            <v>RFS/CELWAVE</v>
          </cell>
          <cell r="B13937" t="str">
            <v>MGAR6-23N</v>
          </cell>
          <cell r="O13937"/>
          <cell r="T13937"/>
        </row>
        <row r="13938">
          <cell r="A13938" t="str">
            <v>RFS/CELWAVE</v>
          </cell>
          <cell r="B13938" t="str">
            <v>MMC454841</v>
          </cell>
          <cell r="O13938"/>
          <cell r="T13938"/>
        </row>
        <row r="13939">
          <cell r="A13939" t="str">
            <v>RFS/CELWAVE</v>
          </cell>
          <cell r="B13939" t="str">
            <v>OP199016-2TO</v>
          </cell>
          <cell r="O13939"/>
          <cell r="T13939"/>
        </row>
        <row r="13940">
          <cell r="A13940" t="str">
            <v>RFS/CELWAVE</v>
          </cell>
          <cell r="B13940" t="str">
            <v>OPG9-930K</v>
          </cell>
          <cell r="O13940"/>
          <cell r="T13940"/>
        </row>
        <row r="13941">
          <cell r="A13941" t="str">
            <v>RFS/CELWAVE</v>
          </cell>
          <cell r="B13941" t="str">
            <v>P40-16-XLPP-RR-A</v>
          </cell>
          <cell r="O13941">
            <v>6.7890094521604896</v>
          </cell>
          <cell r="T13941">
            <v>2.2102915633386298</v>
          </cell>
        </row>
        <row r="13942">
          <cell r="A13942" t="str">
            <v>RFS/CELWAVE</v>
          </cell>
          <cell r="B13942" t="str">
            <v>P57B48NU</v>
          </cell>
          <cell r="O13942"/>
          <cell r="T13942"/>
        </row>
        <row r="13943">
          <cell r="A13943" t="str">
            <v>RFS/CELWAVE</v>
          </cell>
          <cell r="B13943" t="str">
            <v>PA10-15</v>
          </cell>
          <cell r="O13943"/>
          <cell r="T13943"/>
        </row>
        <row r="13944">
          <cell r="A13944" t="str">
            <v>RFS/CELWAVE</v>
          </cell>
          <cell r="B13944" t="str">
            <v>PA10-17</v>
          </cell>
          <cell r="O13944"/>
          <cell r="T13944"/>
        </row>
        <row r="13945">
          <cell r="A13945" t="str">
            <v>RFS/CELWAVE</v>
          </cell>
          <cell r="B13945" t="str">
            <v>PA10-17W</v>
          </cell>
          <cell r="O13945"/>
          <cell r="T13945"/>
        </row>
        <row r="13946">
          <cell r="A13946" t="str">
            <v>RFS/CELWAVE</v>
          </cell>
          <cell r="B13946" t="str">
            <v>PA10-19</v>
          </cell>
          <cell r="O13946"/>
          <cell r="T13946"/>
        </row>
        <row r="13947">
          <cell r="A13947" t="str">
            <v>RFS/CELWAVE</v>
          </cell>
          <cell r="B13947" t="str">
            <v>PA10-19W</v>
          </cell>
          <cell r="O13947"/>
          <cell r="T13947"/>
        </row>
        <row r="13948">
          <cell r="A13948" t="str">
            <v>RFS/CELWAVE</v>
          </cell>
          <cell r="B13948" t="str">
            <v>PA10-21</v>
          </cell>
          <cell r="O13948"/>
          <cell r="T13948"/>
        </row>
        <row r="13949">
          <cell r="A13949" t="str">
            <v>RFS/CELWAVE</v>
          </cell>
          <cell r="B13949" t="str">
            <v>PA10-23</v>
          </cell>
          <cell r="O13949"/>
          <cell r="T13949"/>
        </row>
        <row r="13950">
          <cell r="A13950" t="str">
            <v>RFS/CELWAVE</v>
          </cell>
          <cell r="B13950" t="str">
            <v>PA10-25</v>
          </cell>
          <cell r="O13950"/>
          <cell r="T13950"/>
        </row>
        <row r="13951">
          <cell r="A13951" t="str">
            <v>RFS/CELWAVE</v>
          </cell>
          <cell r="B13951" t="str">
            <v>PA10-34</v>
          </cell>
          <cell r="O13951"/>
          <cell r="T13951"/>
        </row>
        <row r="13952">
          <cell r="A13952" t="str">
            <v>RFS/CELWAVE</v>
          </cell>
          <cell r="B13952" t="str">
            <v>PA10-36</v>
          </cell>
          <cell r="O13952"/>
          <cell r="T13952"/>
        </row>
        <row r="13953">
          <cell r="A13953" t="str">
            <v>RFS/CELWAVE</v>
          </cell>
          <cell r="B13953" t="str">
            <v>PA10-44</v>
          </cell>
          <cell r="O13953"/>
          <cell r="T13953"/>
        </row>
        <row r="13954">
          <cell r="A13954" t="str">
            <v>RFS/CELWAVE</v>
          </cell>
          <cell r="B13954" t="str">
            <v>PA10-57</v>
          </cell>
          <cell r="O13954"/>
          <cell r="T13954"/>
        </row>
        <row r="13955">
          <cell r="A13955" t="str">
            <v>RFS/CELWAVE</v>
          </cell>
          <cell r="B13955" t="str">
            <v>PA10-57N</v>
          </cell>
          <cell r="O13955"/>
          <cell r="T13955"/>
        </row>
        <row r="13956">
          <cell r="A13956" t="str">
            <v>RFS/CELWAVE</v>
          </cell>
          <cell r="B13956" t="str">
            <v>PA10-57W</v>
          </cell>
          <cell r="O13956"/>
          <cell r="T13956"/>
        </row>
        <row r="13957">
          <cell r="A13957" t="str">
            <v>RFS/CELWAVE</v>
          </cell>
          <cell r="B13957" t="str">
            <v>PA10-59</v>
          </cell>
          <cell r="O13957"/>
          <cell r="T13957"/>
        </row>
        <row r="13958">
          <cell r="A13958" t="str">
            <v>RFS/CELWAVE</v>
          </cell>
          <cell r="B13958" t="str">
            <v>PA10-59W</v>
          </cell>
          <cell r="O13958"/>
          <cell r="T13958"/>
        </row>
        <row r="13959">
          <cell r="A13959" t="str">
            <v>RFS/CELWAVE</v>
          </cell>
          <cell r="B13959" t="str">
            <v>PA10-65</v>
          </cell>
          <cell r="O13959"/>
          <cell r="T13959"/>
        </row>
        <row r="13960">
          <cell r="A13960" t="str">
            <v>RFS/CELWAVE</v>
          </cell>
          <cell r="B13960" t="str">
            <v>PA10-890</v>
          </cell>
          <cell r="O13960"/>
          <cell r="T13960"/>
        </row>
        <row r="13961">
          <cell r="A13961" t="str">
            <v>RFS/CELWAVE</v>
          </cell>
          <cell r="B13961" t="str">
            <v>PA12-107AD</v>
          </cell>
          <cell r="O13961"/>
          <cell r="T13961"/>
        </row>
        <row r="13962">
          <cell r="A13962" t="str">
            <v>RFS/CELWAVE</v>
          </cell>
          <cell r="B13962" t="str">
            <v>PA12-15</v>
          </cell>
          <cell r="O13962"/>
          <cell r="T13962"/>
        </row>
        <row r="13963">
          <cell r="A13963" t="str">
            <v>RFS/CELWAVE</v>
          </cell>
          <cell r="B13963" t="str">
            <v>PA12-17</v>
          </cell>
          <cell r="O13963"/>
          <cell r="T13963"/>
        </row>
        <row r="13964">
          <cell r="A13964" t="str">
            <v>RFS/CELWAVE</v>
          </cell>
          <cell r="B13964" t="str">
            <v>PA12-17W</v>
          </cell>
          <cell r="O13964"/>
          <cell r="T13964"/>
        </row>
        <row r="13965">
          <cell r="A13965" t="str">
            <v>RFS/CELWAVE</v>
          </cell>
          <cell r="B13965" t="str">
            <v>PA12-18</v>
          </cell>
          <cell r="O13965"/>
          <cell r="T13965"/>
        </row>
        <row r="13966">
          <cell r="A13966" t="str">
            <v>RFS/CELWAVE</v>
          </cell>
          <cell r="B13966" t="str">
            <v>PA12-19</v>
          </cell>
          <cell r="O13966"/>
          <cell r="T13966"/>
        </row>
        <row r="13967">
          <cell r="A13967" t="str">
            <v>RFS/CELWAVE</v>
          </cell>
          <cell r="B13967" t="str">
            <v>PA12-19W</v>
          </cell>
          <cell r="O13967"/>
          <cell r="T13967"/>
        </row>
        <row r="13968">
          <cell r="A13968" t="str">
            <v>RFS/CELWAVE</v>
          </cell>
          <cell r="B13968" t="str">
            <v>PA12-21</v>
          </cell>
          <cell r="O13968"/>
          <cell r="T13968"/>
        </row>
        <row r="13969">
          <cell r="A13969" t="str">
            <v>RFS/CELWAVE</v>
          </cell>
          <cell r="B13969" t="str">
            <v>PA12-23</v>
          </cell>
          <cell r="O13969"/>
          <cell r="T13969"/>
        </row>
        <row r="13970">
          <cell r="A13970" t="str">
            <v>RFS/CELWAVE</v>
          </cell>
          <cell r="B13970" t="str">
            <v>PA12-25</v>
          </cell>
          <cell r="O13970"/>
          <cell r="T13970"/>
        </row>
        <row r="13971">
          <cell r="A13971" t="str">
            <v>RFS/CELWAVE</v>
          </cell>
          <cell r="B13971" t="str">
            <v>PA12-34</v>
          </cell>
          <cell r="O13971"/>
          <cell r="T13971"/>
        </row>
        <row r="13972">
          <cell r="A13972" t="str">
            <v>RFS/CELWAVE</v>
          </cell>
          <cell r="B13972" t="str">
            <v>PA12-36</v>
          </cell>
          <cell r="O13972"/>
          <cell r="T13972"/>
        </row>
        <row r="13973">
          <cell r="A13973" t="str">
            <v>RFS/CELWAVE</v>
          </cell>
          <cell r="B13973" t="str">
            <v>PA12-44</v>
          </cell>
          <cell r="O13973"/>
          <cell r="T13973"/>
        </row>
        <row r="13974">
          <cell r="A13974" t="str">
            <v>RFS/CELWAVE</v>
          </cell>
          <cell r="B13974" t="str">
            <v>PA12-57</v>
          </cell>
          <cell r="O13974"/>
          <cell r="T13974"/>
        </row>
        <row r="13975">
          <cell r="A13975" t="str">
            <v>RFS/CELWAVE</v>
          </cell>
          <cell r="B13975" t="str">
            <v>PA12-57N</v>
          </cell>
          <cell r="O13975"/>
          <cell r="T13975"/>
        </row>
        <row r="13976">
          <cell r="A13976" t="str">
            <v>RFS/CELWAVE</v>
          </cell>
          <cell r="B13976" t="str">
            <v>PA12-57W</v>
          </cell>
          <cell r="O13976"/>
          <cell r="T13976"/>
        </row>
        <row r="13977">
          <cell r="A13977" t="str">
            <v>RFS/CELWAVE</v>
          </cell>
          <cell r="B13977" t="str">
            <v>PA12-59</v>
          </cell>
          <cell r="O13977"/>
          <cell r="T13977"/>
        </row>
        <row r="13978">
          <cell r="A13978" t="str">
            <v>RFS/CELWAVE</v>
          </cell>
          <cell r="B13978" t="str">
            <v>PA12-59W</v>
          </cell>
          <cell r="O13978"/>
          <cell r="T13978"/>
        </row>
        <row r="13979">
          <cell r="A13979" t="str">
            <v>RFS/CELWAVE</v>
          </cell>
          <cell r="B13979" t="str">
            <v>PA12-65</v>
          </cell>
          <cell r="O13979"/>
          <cell r="T13979"/>
        </row>
        <row r="13980">
          <cell r="A13980" t="str">
            <v>RFS/CELWAVE</v>
          </cell>
          <cell r="B13980" t="str">
            <v>PA12-890</v>
          </cell>
          <cell r="O13980"/>
          <cell r="T13980"/>
        </row>
        <row r="13981">
          <cell r="A13981" t="str">
            <v>RFS/CELWAVE</v>
          </cell>
          <cell r="B13981" t="str">
            <v>PA15-15</v>
          </cell>
          <cell r="O13981"/>
          <cell r="T13981"/>
        </row>
        <row r="13982">
          <cell r="A13982" t="str">
            <v>RFS/CELWAVE</v>
          </cell>
          <cell r="B13982" t="str">
            <v>PA2-23</v>
          </cell>
          <cell r="O13982"/>
          <cell r="T13982"/>
        </row>
        <row r="13983">
          <cell r="A13983" t="str">
            <v>RFS/CELWAVE</v>
          </cell>
          <cell r="B13983" t="str">
            <v>PA2-25</v>
          </cell>
          <cell r="O13983"/>
          <cell r="T13983"/>
        </row>
        <row r="13984">
          <cell r="A13984" t="str">
            <v>RFS/CELWAVE</v>
          </cell>
          <cell r="B13984" t="str">
            <v>PA4-105</v>
          </cell>
          <cell r="O13984"/>
          <cell r="T13984"/>
        </row>
        <row r="13985">
          <cell r="A13985" t="str">
            <v>RFS/CELWAVE</v>
          </cell>
          <cell r="B13985" t="str">
            <v>PA4-15</v>
          </cell>
          <cell r="O13985"/>
          <cell r="T13985"/>
        </row>
        <row r="13986">
          <cell r="A13986" t="str">
            <v>RFS/CELWAVE</v>
          </cell>
          <cell r="B13986" t="str">
            <v>PA4-17</v>
          </cell>
          <cell r="O13986"/>
          <cell r="T13986"/>
        </row>
        <row r="13987">
          <cell r="A13987" t="str">
            <v>RFS/CELWAVE</v>
          </cell>
          <cell r="B13987" t="str">
            <v>PA4-17W</v>
          </cell>
          <cell r="O13987"/>
          <cell r="T13987"/>
        </row>
        <row r="13988">
          <cell r="A13988" t="str">
            <v>RFS/CELWAVE</v>
          </cell>
          <cell r="B13988" t="str">
            <v>PA4-18</v>
          </cell>
          <cell r="O13988"/>
          <cell r="T13988"/>
        </row>
        <row r="13989">
          <cell r="A13989" t="str">
            <v>RFS/CELWAVE</v>
          </cell>
          <cell r="B13989" t="str">
            <v>PA4-19</v>
          </cell>
          <cell r="O13989"/>
          <cell r="T13989"/>
        </row>
        <row r="13990">
          <cell r="A13990" t="str">
            <v>RFS/CELWAVE</v>
          </cell>
          <cell r="B13990" t="str">
            <v>PA4-190A</v>
          </cell>
          <cell r="O13990"/>
          <cell r="T13990"/>
        </row>
        <row r="13991">
          <cell r="A13991" t="str">
            <v>RFS/CELWAVE</v>
          </cell>
          <cell r="B13991" t="str">
            <v>PA4-19W</v>
          </cell>
          <cell r="O13991"/>
          <cell r="T13991"/>
        </row>
        <row r="13992">
          <cell r="A13992" t="str">
            <v>RFS/CELWAVE</v>
          </cell>
          <cell r="B13992" t="str">
            <v>PA4-21</v>
          </cell>
          <cell r="O13992"/>
          <cell r="T13992"/>
        </row>
        <row r="13993">
          <cell r="A13993" t="str">
            <v>RFS/CELWAVE</v>
          </cell>
          <cell r="B13993" t="str">
            <v>PA4-23</v>
          </cell>
          <cell r="O13993"/>
          <cell r="T13993"/>
        </row>
        <row r="13994">
          <cell r="A13994" t="str">
            <v>RFS/CELWAVE</v>
          </cell>
          <cell r="B13994" t="str">
            <v>PA4-25</v>
          </cell>
          <cell r="O13994"/>
          <cell r="T13994"/>
        </row>
        <row r="13995">
          <cell r="A13995" t="str">
            <v>RFS/CELWAVE</v>
          </cell>
          <cell r="B13995" t="str">
            <v>PA4-44</v>
          </cell>
          <cell r="O13995"/>
          <cell r="T13995"/>
        </row>
        <row r="13996">
          <cell r="A13996" t="str">
            <v>RFS/CELWAVE</v>
          </cell>
          <cell r="B13996" t="str">
            <v>PA4-57</v>
          </cell>
          <cell r="O13996"/>
          <cell r="T13996"/>
        </row>
        <row r="13997">
          <cell r="A13997" t="str">
            <v>RFS/CELWAVE</v>
          </cell>
          <cell r="B13997" t="str">
            <v>PA4-57A</v>
          </cell>
          <cell r="O13997"/>
          <cell r="T13997"/>
        </row>
        <row r="13998">
          <cell r="A13998" t="str">
            <v>RFS/CELWAVE</v>
          </cell>
          <cell r="B13998" t="str">
            <v>PA4-57AC</v>
          </cell>
          <cell r="O13998"/>
          <cell r="T13998"/>
        </row>
        <row r="13999">
          <cell r="A13999" t="str">
            <v>RFS/CELWAVE</v>
          </cell>
          <cell r="B13999" t="str">
            <v>PA4-57N</v>
          </cell>
          <cell r="O13999"/>
          <cell r="T13999"/>
        </row>
        <row r="14000">
          <cell r="A14000" t="str">
            <v>RFS/CELWAVE</v>
          </cell>
          <cell r="B14000" t="str">
            <v>PA4-57W</v>
          </cell>
          <cell r="O14000"/>
          <cell r="T14000"/>
        </row>
        <row r="14001">
          <cell r="A14001" t="str">
            <v>RFS/CELWAVE</v>
          </cell>
          <cell r="B14001" t="str">
            <v>PA4-59</v>
          </cell>
          <cell r="O14001"/>
          <cell r="T14001"/>
        </row>
        <row r="14002">
          <cell r="A14002" t="str">
            <v>RFS/CELWAVE</v>
          </cell>
          <cell r="B14002" t="str">
            <v>PA4-59W</v>
          </cell>
          <cell r="O14002"/>
          <cell r="T14002"/>
        </row>
        <row r="14003">
          <cell r="A14003" t="str">
            <v>RFS/CELWAVE</v>
          </cell>
          <cell r="B14003" t="str">
            <v>PA4-65</v>
          </cell>
          <cell r="O14003"/>
          <cell r="T14003"/>
        </row>
        <row r="14004">
          <cell r="A14004" t="str">
            <v>RFS/CELWAVE</v>
          </cell>
          <cell r="B14004" t="str">
            <v>PA4-890</v>
          </cell>
          <cell r="O14004"/>
          <cell r="T14004"/>
        </row>
        <row r="14005">
          <cell r="A14005" t="str">
            <v>RFS/CELWAVE</v>
          </cell>
          <cell r="B14005" t="str">
            <v>PA4-W57AC</v>
          </cell>
          <cell r="O14005"/>
          <cell r="T14005"/>
        </row>
        <row r="14006">
          <cell r="A14006" t="str">
            <v>RFS/CELWAVE</v>
          </cell>
          <cell r="B14006" t="str">
            <v>PA4-W57BC</v>
          </cell>
          <cell r="O14006"/>
          <cell r="T14006"/>
        </row>
        <row r="14007">
          <cell r="A14007" t="str">
            <v>RFS/CELWAVE</v>
          </cell>
          <cell r="B14007" t="str">
            <v>PA4-W57BC W/RADOME</v>
          </cell>
          <cell r="O14007"/>
          <cell r="T14007"/>
        </row>
        <row r="14008">
          <cell r="A14008" t="str">
            <v>RFS/CELWAVE</v>
          </cell>
          <cell r="B14008" t="str">
            <v>PA6-103AD</v>
          </cell>
          <cell r="O14008"/>
          <cell r="T14008"/>
        </row>
        <row r="14009">
          <cell r="A14009" t="str">
            <v>RFS/CELWAVE</v>
          </cell>
          <cell r="B14009" t="str">
            <v>PA6-105</v>
          </cell>
          <cell r="O14009"/>
          <cell r="T14009"/>
        </row>
        <row r="14010">
          <cell r="A14010" t="str">
            <v>RFS/CELWAVE</v>
          </cell>
          <cell r="B14010" t="str">
            <v>PA6-15</v>
          </cell>
          <cell r="O14010"/>
          <cell r="T14010"/>
        </row>
        <row r="14011">
          <cell r="A14011" t="str">
            <v>RFS/CELWAVE</v>
          </cell>
          <cell r="B14011" t="str">
            <v>PA6-17</v>
          </cell>
          <cell r="O14011"/>
          <cell r="T14011"/>
        </row>
        <row r="14012">
          <cell r="A14012" t="str">
            <v>RFS/CELWAVE</v>
          </cell>
          <cell r="B14012" t="str">
            <v>PA6-17W</v>
          </cell>
          <cell r="O14012"/>
          <cell r="T14012"/>
        </row>
        <row r="14013">
          <cell r="A14013" t="str">
            <v>RFS/CELWAVE</v>
          </cell>
          <cell r="B14013" t="str">
            <v>PA6-18</v>
          </cell>
          <cell r="O14013"/>
          <cell r="T14013"/>
        </row>
        <row r="14014">
          <cell r="A14014" t="str">
            <v>RFS/CELWAVE</v>
          </cell>
          <cell r="B14014" t="str">
            <v>PA6-19</v>
          </cell>
          <cell r="O14014"/>
          <cell r="T14014"/>
        </row>
        <row r="14015">
          <cell r="A14015" t="str">
            <v>RFS/CELWAVE</v>
          </cell>
          <cell r="B14015" t="str">
            <v>PA6-19A</v>
          </cell>
          <cell r="O14015"/>
          <cell r="T14015"/>
        </row>
        <row r="14016">
          <cell r="A14016" t="str">
            <v>RFS/CELWAVE</v>
          </cell>
          <cell r="B14016" t="str">
            <v>PA6-19W</v>
          </cell>
          <cell r="O14016"/>
          <cell r="T14016"/>
        </row>
        <row r="14017">
          <cell r="A14017" t="str">
            <v>RFS/CELWAVE</v>
          </cell>
          <cell r="B14017" t="str">
            <v>PA6-21</v>
          </cell>
          <cell r="O14017"/>
          <cell r="T14017"/>
        </row>
        <row r="14018">
          <cell r="A14018" t="str">
            <v>RFS/CELWAVE</v>
          </cell>
          <cell r="B14018" t="str">
            <v>PA6-23</v>
          </cell>
          <cell r="O14018"/>
          <cell r="T14018"/>
        </row>
        <row r="14019">
          <cell r="A14019" t="str">
            <v>RFS/CELWAVE</v>
          </cell>
          <cell r="B14019" t="str">
            <v>PA6-25</v>
          </cell>
          <cell r="O14019"/>
          <cell r="T14019"/>
        </row>
        <row r="14020">
          <cell r="A14020" t="str">
            <v>RFS/CELWAVE</v>
          </cell>
          <cell r="B14020" t="str">
            <v>PA6-34</v>
          </cell>
          <cell r="O14020"/>
          <cell r="T14020"/>
        </row>
        <row r="14021">
          <cell r="A14021" t="str">
            <v>RFS/CELWAVE</v>
          </cell>
          <cell r="B14021" t="str">
            <v>PA6-36</v>
          </cell>
          <cell r="O14021"/>
          <cell r="T14021"/>
        </row>
        <row r="14022">
          <cell r="A14022" t="str">
            <v>RFS/CELWAVE</v>
          </cell>
          <cell r="B14022" t="str">
            <v>PA6-44</v>
          </cell>
          <cell r="O14022"/>
          <cell r="T14022"/>
        </row>
        <row r="14023">
          <cell r="A14023" t="str">
            <v>RFS/CELWAVE</v>
          </cell>
          <cell r="B14023" t="str">
            <v>PA6-57</v>
          </cell>
          <cell r="O14023"/>
          <cell r="T14023"/>
        </row>
        <row r="14024">
          <cell r="A14024" t="str">
            <v>RFS/CELWAVE</v>
          </cell>
          <cell r="B14024" t="str">
            <v>PA6-57A</v>
          </cell>
          <cell r="O14024"/>
          <cell r="T14024"/>
        </row>
        <row r="14025">
          <cell r="A14025" t="str">
            <v>RFS/CELWAVE</v>
          </cell>
          <cell r="B14025" t="str">
            <v>PA6-57AC</v>
          </cell>
          <cell r="O14025"/>
          <cell r="T14025"/>
        </row>
        <row r="14026">
          <cell r="A14026" t="str">
            <v>RFS/CELWAVE</v>
          </cell>
          <cell r="B14026" t="str">
            <v>PA6-57N</v>
          </cell>
          <cell r="O14026"/>
          <cell r="T14026"/>
        </row>
        <row r="14027">
          <cell r="A14027" t="str">
            <v>RFS/CELWAVE</v>
          </cell>
          <cell r="B14027" t="str">
            <v>PA6-57W</v>
          </cell>
          <cell r="O14027"/>
          <cell r="T14027"/>
        </row>
        <row r="14028">
          <cell r="A14028" t="str">
            <v>RFS/CELWAVE</v>
          </cell>
          <cell r="B14028" t="str">
            <v>PA6-59</v>
          </cell>
          <cell r="O14028"/>
          <cell r="T14028"/>
        </row>
        <row r="14029">
          <cell r="A14029" t="str">
            <v>RFS/CELWAVE</v>
          </cell>
          <cell r="B14029" t="str">
            <v>PA6-59W</v>
          </cell>
          <cell r="O14029"/>
          <cell r="T14029"/>
        </row>
        <row r="14030">
          <cell r="A14030" t="str">
            <v>RFS/CELWAVE</v>
          </cell>
          <cell r="B14030" t="str">
            <v>PA6-65</v>
          </cell>
          <cell r="O14030"/>
          <cell r="T14030"/>
        </row>
        <row r="14031">
          <cell r="A14031" t="str">
            <v>RFS/CELWAVE</v>
          </cell>
          <cell r="B14031" t="str">
            <v>PA6-65AC</v>
          </cell>
          <cell r="O14031"/>
          <cell r="T14031"/>
        </row>
        <row r="14032">
          <cell r="A14032" t="str">
            <v>RFS/CELWAVE</v>
          </cell>
          <cell r="B14032" t="str">
            <v>PA6-890</v>
          </cell>
          <cell r="O14032"/>
          <cell r="T14032"/>
        </row>
        <row r="14033">
          <cell r="A14033" t="str">
            <v>RFS/CELWAVE</v>
          </cell>
          <cell r="B14033" t="str">
            <v>PA6-W57BC</v>
          </cell>
          <cell r="O14033"/>
          <cell r="T14033"/>
        </row>
        <row r="14034">
          <cell r="A14034" t="str">
            <v>RFS/CELWAVE</v>
          </cell>
          <cell r="B14034" t="str">
            <v>PA6-W57BC W/RADOME</v>
          </cell>
          <cell r="O14034"/>
          <cell r="T14034"/>
        </row>
        <row r="14035">
          <cell r="A14035" t="str">
            <v>RFS/CELWAVE</v>
          </cell>
          <cell r="B14035" t="str">
            <v>PA8-15</v>
          </cell>
          <cell r="O14035"/>
          <cell r="T14035"/>
        </row>
        <row r="14036">
          <cell r="A14036" t="str">
            <v>RFS/CELWAVE</v>
          </cell>
          <cell r="B14036" t="str">
            <v>PA8-17</v>
          </cell>
          <cell r="O14036"/>
          <cell r="T14036"/>
        </row>
        <row r="14037">
          <cell r="A14037" t="str">
            <v>RFS/CELWAVE</v>
          </cell>
          <cell r="B14037" t="str">
            <v>PA8-17W</v>
          </cell>
          <cell r="O14037"/>
          <cell r="T14037"/>
        </row>
        <row r="14038">
          <cell r="A14038" t="str">
            <v>RFS/CELWAVE</v>
          </cell>
          <cell r="B14038" t="str">
            <v>PA8-18</v>
          </cell>
          <cell r="O14038"/>
          <cell r="T14038"/>
        </row>
        <row r="14039">
          <cell r="A14039" t="str">
            <v>RFS/CELWAVE</v>
          </cell>
          <cell r="B14039" t="str">
            <v>PA8-19</v>
          </cell>
          <cell r="O14039"/>
          <cell r="T14039"/>
        </row>
        <row r="14040">
          <cell r="A14040" t="str">
            <v>RFS/CELWAVE</v>
          </cell>
          <cell r="B14040" t="str">
            <v>PA8-19W</v>
          </cell>
          <cell r="O14040"/>
          <cell r="T14040"/>
        </row>
        <row r="14041">
          <cell r="A14041" t="str">
            <v>RFS/CELWAVE</v>
          </cell>
          <cell r="B14041" t="str">
            <v>PA8-21</v>
          </cell>
          <cell r="O14041"/>
          <cell r="T14041"/>
        </row>
        <row r="14042">
          <cell r="A14042" t="str">
            <v>RFS/CELWAVE</v>
          </cell>
          <cell r="B14042" t="str">
            <v>PA8-23</v>
          </cell>
          <cell r="O14042"/>
          <cell r="T14042"/>
        </row>
        <row r="14043">
          <cell r="A14043" t="str">
            <v>RFS/CELWAVE</v>
          </cell>
          <cell r="B14043" t="str">
            <v>PA8-25</v>
          </cell>
          <cell r="O14043"/>
          <cell r="T14043"/>
        </row>
        <row r="14044">
          <cell r="A14044" t="str">
            <v>RFS/CELWAVE</v>
          </cell>
          <cell r="B14044" t="str">
            <v>PA8-34</v>
          </cell>
          <cell r="O14044"/>
          <cell r="T14044"/>
        </row>
        <row r="14045">
          <cell r="A14045" t="str">
            <v>RFS/CELWAVE</v>
          </cell>
          <cell r="B14045" t="str">
            <v>PA8-36</v>
          </cell>
          <cell r="O14045"/>
          <cell r="T14045"/>
        </row>
        <row r="14046">
          <cell r="A14046" t="str">
            <v>RFS/CELWAVE</v>
          </cell>
          <cell r="B14046" t="str">
            <v>PA8-44</v>
          </cell>
          <cell r="O14046"/>
          <cell r="T14046"/>
        </row>
        <row r="14047">
          <cell r="A14047" t="str">
            <v>RFS/CELWAVE</v>
          </cell>
          <cell r="B14047" t="str">
            <v>PA8-57</v>
          </cell>
          <cell r="O14047"/>
          <cell r="T14047"/>
        </row>
        <row r="14048">
          <cell r="A14048" t="str">
            <v>RFS/CELWAVE</v>
          </cell>
          <cell r="B14048" t="str">
            <v>PA8-57AC</v>
          </cell>
          <cell r="O14048"/>
          <cell r="T14048"/>
        </row>
        <row r="14049">
          <cell r="A14049" t="str">
            <v>RFS/CELWAVE</v>
          </cell>
          <cell r="B14049" t="str">
            <v>PA8-57N</v>
          </cell>
          <cell r="O14049"/>
          <cell r="T14049"/>
        </row>
        <row r="14050">
          <cell r="A14050" t="str">
            <v>RFS/CELWAVE</v>
          </cell>
          <cell r="B14050" t="str">
            <v>PA8-57W</v>
          </cell>
          <cell r="O14050"/>
          <cell r="T14050"/>
        </row>
        <row r="14051">
          <cell r="A14051" t="str">
            <v>RFS/CELWAVE</v>
          </cell>
          <cell r="B14051" t="str">
            <v>PA8-59</v>
          </cell>
          <cell r="O14051"/>
          <cell r="T14051"/>
        </row>
        <row r="14052">
          <cell r="A14052" t="str">
            <v>RFS/CELWAVE</v>
          </cell>
          <cell r="B14052" t="str">
            <v>PA8-59A</v>
          </cell>
          <cell r="O14052"/>
          <cell r="T14052"/>
        </row>
        <row r="14053">
          <cell r="A14053" t="str">
            <v>RFS/CELWAVE</v>
          </cell>
          <cell r="B14053" t="str">
            <v>PA8-59AC</v>
          </cell>
          <cell r="O14053"/>
          <cell r="T14053"/>
        </row>
        <row r="14054">
          <cell r="A14054" t="str">
            <v>RFS/CELWAVE</v>
          </cell>
          <cell r="B14054" t="str">
            <v>PA8-59AD</v>
          </cell>
          <cell r="O14054"/>
          <cell r="T14054"/>
        </row>
        <row r="14055">
          <cell r="A14055" t="str">
            <v>RFS/CELWAVE</v>
          </cell>
          <cell r="B14055" t="str">
            <v>PA8-59W</v>
          </cell>
          <cell r="O14055"/>
          <cell r="T14055"/>
        </row>
        <row r="14056">
          <cell r="A14056" t="str">
            <v>RFS/CELWAVE</v>
          </cell>
          <cell r="B14056" t="str">
            <v>PA8-65</v>
          </cell>
          <cell r="O14056"/>
          <cell r="T14056"/>
        </row>
        <row r="14057">
          <cell r="A14057" t="str">
            <v>RFS/CELWAVE</v>
          </cell>
          <cell r="B14057" t="str">
            <v>PA8-890</v>
          </cell>
          <cell r="O14057"/>
          <cell r="T14057"/>
        </row>
        <row r="14058">
          <cell r="A14058" t="str">
            <v>RFS/CELWAVE</v>
          </cell>
          <cell r="B14058" t="str">
            <v>PA8-W57AC</v>
          </cell>
          <cell r="O14058"/>
          <cell r="T14058"/>
        </row>
        <row r="14059">
          <cell r="A14059" t="str">
            <v>RFS/CELWAVE</v>
          </cell>
          <cell r="B14059" t="str">
            <v>PAD10-59AC</v>
          </cell>
          <cell r="O14059"/>
          <cell r="T14059"/>
        </row>
        <row r="14060">
          <cell r="A14060" t="str">
            <v>RFS/CELWAVE</v>
          </cell>
          <cell r="B14060" t="str">
            <v>PAD10-59AC W/RADOME</v>
          </cell>
          <cell r="O14060"/>
          <cell r="T14060"/>
        </row>
        <row r="14061">
          <cell r="A14061" t="str">
            <v>RFS/CELWAVE</v>
          </cell>
          <cell r="B14061" t="str">
            <v>PAD10-65AC</v>
          </cell>
          <cell r="O14061"/>
          <cell r="T14061"/>
        </row>
        <row r="14062">
          <cell r="A14062" t="str">
            <v>RFS/CELWAVE</v>
          </cell>
          <cell r="B14062" t="str">
            <v>PAD10-65AC W/RADOME</v>
          </cell>
          <cell r="O14062"/>
          <cell r="T14062"/>
        </row>
        <row r="14063">
          <cell r="A14063" t="str">
            <v>RFS/CELWAVE</v>
          </cell>
          <cell r="B14063" t="str">
            <v>PAD6-107BC</v>
          </cell>
          <cell r="O14063"/>
          <cell r="T14063"/>
        </row>
        <row r="14064">
          <cell r="A14064" t="str">
            <v>RFS/CELWAVE</v>
          </cell>
          <cell r="B14064" t="str">
            <v>PAD6-107BC W/RADOME</v>
          </cell>
          <cell r="O14064"/>
          <cell r="T14064"/>
        </row>
        <row r="14065">
          <cell r="A14065" t="str">
            <v>RFS/CELWAVE</v>
          </cell>
          <cell r="B14065" t="str">
            <v>PAD6-57W</v>
          </cell>
          <cell r="O14065"/>
          <cell r="T14065"/>
        </row>
        <row r="14066">
          <cell r="A14066" t="str">
            <v>RFS/CELWAVE</v>
          </cell>
          <cell r="B14066" t="str">
            <v>PAD6-59</v>
          </cell>
          <cell r="O14066"/>
          <cell r="T14066"/>
        </row>
        <row r="14067">
          <cell r="A14067" t="str">
            <v>RFS/CELWAVE</v>
          </cell>
          <cell r="B14067" t="str">
            <v>PAD6-59-6940</v>
          </cell>
          <cell r="O14067"/>
          <cell r="T14067"/>
        </row>
        <row r="14068">
          <cell r="A14068" t="str">
            <v>RFS/CELWAVE</v>
          </cell>
          <cell r="B14068" t="str">
            <v>PAD6-59AC</v>
          </cell>
          <cell r="O14068"/>
          <cell r="T14068"/>
        </row>
        <row r="14069">
          <cell r="A14069" t="str">
            <v>RFS/CELWAVE</v>
          </cell>
          <cell r="B14069" t="str">
            <v>PAD6-59BC</v>
          </cell>
          <cell r="O14069"/>
          <cell r="T14069"/>
        </row>
        <row r="14070">
          <cell r="A14070" t="str">
            <v>RFS/CELWAVE</v>
          </cell>
          <cell r="B14070" t="str">
            <v>PAD6-59BC1S1R</v>
          </cell>
          <cell r="O14070"/>
          <cell r="T14070"/>
        </row>
        <row r="14071">
          <cell r="A14071" t="str">
            <v>RFS/CELWAVE</v>
          </cell>
          <cell r="B14071" t="str">
            <v>PAD6-59W</v>
          </cell>
          <cell r="O14071"/>
          <cell r="T14071"/>
        </row>
        <row r="14072">
          <cell r="A14072" t="str">
            <v>RFS/CELWAVE</v>
          </cell>
          <cell r="B14072" t="str">
            <v>PAD6-65</v>
          </cell>
          <cell r="O14072"/>
          <cell r="T14072"/>
        </row>
        <row r="14073">
          <cell r="A14073" t="str">
            <v>RFS/CELWAVE</v>
          </cell>
          <cell r="B14073" t="str">
            <v>PAD6-65A</v>
          </cell>
          <cell r="O14073"/>
          <cell r="T14073"/>
        </row>
        <row r="14074">
          <cell r="A14074" t="str">
            <v>RFS/CELWAVE</v>
          </cell>
          <cell r="B14074" t="str">
            <v>PAD6-65AC</v>
          </cell>
          <cell r="O14074"/>
          <cell r="T14074"/>
        </row>
        <row r="14075">
          <cell r="A14075" t="str">
            <v>RFS/CELWAVE</v>
          </cell>
          <cell r="B14075" t="str">
            <v>PAD6-65B</v>
          </cell>
          <cell r="O14075"/>
          <cell r="T14075"/>
        </row>
        <row r="14076">
          <cell r="A14076" t="str">
            <v>RFS/CELWAVE</v>
          </cell>
          <cell r="B14076" t="str">
            <v>PAD6-65BC</v>
          </cell>
          <cell r="O14076"/>
          <cell r="T14076"/>
        </row>
        <row r="14077">
          <cell r="A14077" t="str">
            <v>RFS/CELWAVE</v>
          </cell>
          <cell r="B14077" t="str">
            <v>PAD6-65BC W/RADOME</v>
          </cell>
          <cell r="O14077"/>
          <cell r="T14077"/>
        </row>
        <row r="14078">
          <cell r="A14078" t="str">
            <v>RFS/CELWAVE</v>
          </cell>
          <cell r="B14078" t="str">
            <v>PAD6-W57AC</v>
          </cell>
          <cell r="O14078"/>
          <cell r="T14078"/>
        </row>
        <row r="14079">
          <cell r="A14079" t="str">
            <v>RFS/CELWAVE</v>
          </cell>
          <cell r="B14079" t="str">
            <v>PAD6-W57BC</v>
          </cell>
          <cell r="O14079"/>
          <cell r="T14079"/>
        </row>
        <row r="14080">
          <cell r="A14080" t="str">
            <v>RFS/CELWAVE</v>
          </cell>
          <cell r="B14080" t="str">
            <v>PAD6-W57BC_CCIV2</v>
          </cell>
          <cell r="O14080"/>
          <cell r="T14080"/>
        </row>
        <row r="14081">
          <cell r="A14081" t="str">
            <v>RFS/CELWAVE</v>
          </cell>
          <cell r="B14081" t="str">
            <v>PAD6-W57BC_CCIV3</v>
          </cell>
          <cell r="O14081"/>
          <cell r="T14081"/>
        </row>
        <row r="14082">
          <cell r="A14082" t="str">
            <v>RFS/CELWAVE</v>
          </cell>
          <cell r="B14082" t="str">
            <v>PAD6-W59BC</v>
          </cell>
          <cell r="O14082"/>
          <cell r="T14082"/>
        </row>
        <row r="14083">
          <cell r="A14083" t="str">
            <v>RFS/CELWAVE</v>
          </cell>
          <cell r="B14083" t="str">
            <v>PAD8-107AC</v>
          </cell>
          <cell r="O14083"/>
          <cell r="T14083"/>
        </row>
        <row r="14084">
          <cell r="A14084" t="str">
            <v>RFS/CELWAVE</v>
          </cell>
          <cell r="B14084" t="str">
            <v>PAD8-57W</v>
          </cell>
          <cell r="O14084"/>
          <cell r="T14084"/>
        </row>
        <row r="14085">
          <cell r="A14085" t="str">
            <v>RFS/CELWAVE</v>
          </cell>
          <cell r="B14085" t="str">
            <v>PAD8-57WAC</v>
          </cell>
          <cell r="O14085"/>
          <cell r="T14085"/>
        </row>
        <row r="14086">
          <cell r="A14086" t="str">
            <v>RFS/CELWAVE</v>
          </cell>
          <cell r="B14086" t="str">
            <v>PAD8-59</v>
          </cell>
          <cell r="O14086"/>
          <cell r="T14086"/>
        </row>
        <row r="14087">
          <cell r="A14087" t="str">
            <v>RFS/CELWAVE</v>
          </cell>
          <cell r="B14087" t="str">
            <v>PAD8-59AC</v>
          </cell>
          <cell r="O14087"/>
          <cell r="T14087"/>
        </row>
        <row r="14088">
          <cell r="A14088" t="str">
            <v>RFS/CELWAVE</v>
          </cell>
          <cell r="B14088" t="str">
            <v>PAD8-59AC W/RADOME</v>
          </cell>
          <cell r="O14088"/>
          <cell r="T14088"/>
        </row>
        <row r="14089">
          <cell r="A14089" t="str">
            <v>RFS/CELWAVE</v>
          </cell>
          <cell r="B14089" t="str">
            <v>PAD8-59W</v>
          </cell>
          <cell r="O14089"/>
          <cell r="T14089"/>
        </row>
        <row r="14090">
          <cell r="A14090" t="str">
            <v>RFS/CELWAVE</v>
          </cell>
          <cell r="B14090" t="str">
            <v>PAD8-65</v>
          </cell>
          <cell r="O14090"/>
          <cell r="T14090"/>
        </row>
        <row r="14091">
          <cell r="A14091" t="str">
            <v>RFS/CELWAVE</v>
          </cell>
          <cell r="B14091" t="str">
            <v>PAD8-65AC</v>
          </cell>
          <cell r="O14091"/>
          <cell r="T14091"/>
        </row>
        <row r="14092">
          <cell r="A14092" t="str">
            <v>RFS/CELWAVE</v>
          </cell>
          <cell r="B14092" t="str">
            <v>PAD8-65AC W/RADOME</v>
          </cell>
          <cell r="O14092"/>
          <cell r="T14092"/>
        </row>
        <row r="14093">
          <cell r="A14093" t="str">
            <v>RFS/CELWAVE</v>
          </cell>
          <cell r="B14093" t="str">
            <v>PAD8-W57AC</v>
          </cell>
          <cell r="O14093"/>
          <cell r="T14093"/>
        </row>
        <row r="14094">
          <cell r="A14094" t="str">
            <v>RFS/CELWAVE</v>
          </cell>
          <cell r="B14094" t="str">
            <v>PAD8-W57AC W/RADOME</v>
          </cell>
          <cell r="O14094"/>
          <cell r="T14094"/>
        </row>
        <row r="14095">
          <cell r="A14095" t="str">
            <v>RFS/CELWAVE</v>
          </cell>
          <cell r="B14095" t="str">
            <v>PADX10-U57AC</v>
          </cell>
          <cell r="O14095"/>
          <cell r="T14095"/>
        </row>
        <row r="14096">
          <cell r="A14096" t="str">
            <v>RFS/CELWAVE</v>
          </cell>
          <cell r="B14096" t="str">
            <v>PADX10-U57AC W/RADOME</v>
          </cell>
          <cell r="O14096"/>
          <cell r="T14096"/>
        </row>
        <row r="14097">
          <cell r="A14097" t="str">
            <v>RFS/CELWAVE</v>
          </cell>
          <cell r="B14097" t="str">
            <v>PADX10-W59AC</v>
          </cell>
          <cell r="O14097"/>
          <cell r="T14097"/>
        </row>
        <row r="14098">
          <cell r="A14098" t="str">
            <v>RFS/CELWAVE</v>
          </cell>
          <cell r="B14098" t="str">
            <v>PADX10-W59AC W/RADOME</v>
          </cell>
          <cell r="O14098"/>
          <cell r="T14098"/>
        </row>
        <row r="14099">
          <cell r="A14099" t="str">
            <v>RFS/CELWAVE</v>
          </cell>
          <cell r="B14099" t="str">
            <v>PADX6-107A</v>
          </cell>
          <cell r="O14099"/>
          <cell r="T14099"/>
        </row>
        <row r="14100">
          <cell r="A14100" t="str">
            <v>RFS/CELWAVE</v>
          </cell>
          <cell r="B14100" t="str">
            <v>PADX6-59</v>
          </cell>
          <cell r="O14100"/>
          <cell r="T14100"/>
        </row>
        <row r="14101">
          <cell r="A14101" t="str">
            <v>RFS/CELWAVE</v>
          </cell>
          <cell r="B14101" t="str">
            <v>PADX6-59AC</v>
          </cell>
          <cell r="O14101"/>
          <cell r="T14101"/>
        </row>
        <row r="14102">
          <cell r="A14102" t="str">
            <v>RFS/CELWAVE</v>
          </cell>
          <cell r="B14102" t="str">
            <v>PADX6-59W</v>
          </cell>
          <cell r="O14102"/>
          <cell r="T14102"/>
        </row>
        <row r="14103">
          <cell r="A14103" t="str">
            <v>RFS/CELWAVE</v>
          </cell>
          <cell r="B14103" t="str">
            <v>PADX6-65</v>
          </cell>
          <cell r="O14103"/>
          <cell r="T14103"/>
        </row>
        <row r="14104">
          <cell r="A14104" t="str">
            <v>RFS/CELWAVE</v>
          </cell>
          <cell r="B14104" t="str">
            <v>PADX6-U57AC</v>
          </cell>
          <cell r="O14104"/>
          <cell r="T14104"/>
        </row>
        <row r="14105">
          <cell r="A14105" t="str">
            <v>RFS/CELWAVE</v>
          </cell>
          <cell r="B14105" t="str">
            <v>PADX6-U57AC W/RADOME</v>
          </cell>
          <cell r="O14105"/>
          <cell r="T14105"/>
        </row>
        <row r="14106">
          <cell r="A14106" t="str">
            <v>RFS/CELWAVE</v>
          </cell>
          <cell r="B14106" t="str">
            <v>PADX6-W57AC</v>
          </cell>
          <cell r="O14106"/>
          <cell r="T14106"/>
        </row>
        <row r="14107">
          <cell r="A14107" t="str">
            <v>RFS/CELWAVE</v>
          </cell>
          <cell r="B14107" t="str">
            <v>PADX6-W57AC W/RADOME</v>
          </cell>
          <cell r="O14107"/>
          <cell r="T14107"/>
        </row>
        <row r="14108">
          <cell r="A14108" t="str">
            <v>RFS/CELWAVE</v>
          </cell>
          <cell r="B14108" t="str">
            <v>PADX6-W57B</v>
          </cell>
          <cell r="O14108"/>
          <cell r="T14108"/>
        </row>
        <row r="14109">
          <cell r="A14109" t="str">
            <v>RFS/CELWAVE</v>
          </cell>
          <cell r="B14109" t="str">
            <v>PADX6-W59B</v>
          </cell>
          <cell r="O14109"/>
          <cell r="T14109"/>
        </row>
        <row r="14110">
          <cell r="A14110" t="str">
            <v>RFS/CELWAVE</v>
          </cell>
          <cell r="B14110" t="str">
            <v>PADX6-W59BC</v>
          </cell>
          <cell r="O14110"/>
          <cell r="T14110"/>
        </row>
        <row r="14111">
          <cell r="A14111" t="str">
            <v>RFS/CELWAVE</v>
          </cell>
          <cell r="B14111" t="str">
            <v>PADX8-107A</v>
          </cell>
          <cell r="O14111"/>
          <cell r="T14111"/>
        </row>
        <row r="14112">
          <cell r="A14112" t="str">
            <v>RFS/CELWAVE</v>
          </cell>
          <cell r="B14112" t="str">
            <v>PADX8-59</v>
          </cell>
          <cell r="O14112"/>
          <cell r="T14112"/>
        </row>
        <row r="14113">
          <cell r="A14113" t="str">
            <v>RFS/CELWAVE</v>
          </cell>
          <cell r="B14113" t="str">
            <v>PADX8-59AC</v>
          </cell>
          <cell r="O14113"/>
          <cell r="T14113"/>
        </row>
        <row r="14114">
          <cell r="A14114" t="str">
            <v>RFS/CELWAVE</v>
          </cell>
          <cell r="B14114" t="str">
            <v>PADX8-59W</v>
          </cell>
          <cell r="O14114"/>
          <cell r="T14114"/>
        </row>
        <row r="14115">
          <cell r="A14115" t="str">
            <v>RFS/CELWAVE</v>
          </cell>
          <cell r="B14115" t="str">
            <v>PADX8-65</v>
          </cell>
          <cell r="O14115"/>
          <cell r="T14115"/>
        </row>
        <row r="14116">
          <cell r="A14116" t="str">
            <v>RFS/CELWAVE</v>
          </cell>
          <cell r="B14116" t="str">
            <v>PADX8-U57AC</v>
          </cell>
          <cell r="O14116"/>
          <cell r="T14116"/>
        </row>
        <row r="14117">
          <cell r="A14117" t="str">
            <v>RFS/CELWAVE</v>
          </cell>
          <cell r="B14117" t="str">
            <v>PADX8-U57AC W/RADOME</v>
          </cell>
          <cell r="O14117"/>
          <cell r="T14117"/>
        </row>
        <row r="14118">
          <cell r="A14118" t="str">
            <v>RFS/CELWAVE</v>
          </cell>
          <cell r="B14118" t="str">
            <v>PADX8-W57AC</v>
          </cell>
          <cell r="O14118"/>
          <cell r="T14118"/>
        </row>
        <row r="14119">
          <cell r="A14119" t="str">
            <v>RFS/CELWAVE</v>
          </cell>
          <cell r="B14119" t="str">
            <v>PADX8-W57AC W/RADOME</v>
          </cell>
          <cell r="O14119"/>
          <cell r="T14119"/>
        </row>
        <row r="14120">
          <cell r="A14120" t="str">
            <v>RFS/CELWAVE</v>
          </cell>
          <cell r="B14120" t="str">
            <v>PADX8-W59AC</v>
          </cell>
          <cell r="O14120"/>
          <cell r="T14120"/>
        </row>
        <row r="14121">
          <cell r="A14121" t="str">
            <v>RFS/CELWAVE</v>
          </cell>
          <cell r="B14121" t="str">
            <v>PAF10-15</v>
          </cell>
          <cell r="O14121"/>
          <cell r="T14121"/>
        </row>
        <row r="14122">
          <cell r="A14122" t="str">
            <v>RFS/CELWAVE</v>
          </cell>
          <cell r="B14122" t="str">
            <v>PAF10-17</v>
          </cell>
          <cell r="O14122"/>
          <cell r="T14122"/>
        </row>
        <row r="14123">
          <cell r="A14123" t="str">
            <v>RFS/CELWAVE</v>
          </cell>
          <cell r="B14123" t="str">
            <v>PAF10-17W</v>
          </cell>
          <cell r="O14123"/>
          <cell r="T14123"/>
        </row>
        <row r="14124">
          <cell r="A14124" t="str">
            <v>RFS/CELWAVE</v>
          </cell>
          <cell r="B14124" t="str">
            <v>PAF10-18</v>
          </cell>
          <cell r="O14124"/>
          <cell r="T14124"/>
        </row>
        <row r="14125">
          <cell r="A14125" t="str">
            <v>RFS/CELWAVE</v>
          </cell>
          <cell r="B14125" t="str">
            <v>PAF10-19</v>
          </cell>
          <cell r="O14125"/>
          <cell r="T14125"/>
        </row>
        <row r="14126">
          <cell r="A14126" t="str">
            <v>RFS/CELWAVE</v>
          </cell>
          <cell r="B14126" t="str">
            <v>PAF10-19W</v>
          </cell>
          <cell r="O14126"/>
          <cell r="T14126"/>
        </row>
        <row r="14127">
          <cell r="A14127" t="str">
            <v>RFS/CELWAVE</v>
          </cell>
          <cell r="B14127" t="str">
            <v>PAF10-21</v>
          </cell>
          <cell r="O14127"/>
          <cell r="T14127"/>
        </row>
        <row r="14128">
          <cell r="A14128" t="str">
            <v>RFS/CELWAVE</v>
          </cell>
          <cell r="B14128" t="str">
            <v>PAF10-23</v>
          </cell>
          <cell r="O14128"/>
          <cell r="T14128"/>
        </row>
        <row r="14129">
          <cell r="A14129" t="str">
            <v>RFS/CELWAVE</v>
          </cell>
          <cell r="B14129" t="str">
            <v>PAF10-34</v>
          </cell>
          <cell r="O14129"/>
          <cell r="T14129"/>
        </row>
        <row r="14130">
          <cell r="A14130" t="str">
            <v>RFS/CELWAVE</v>
          </cell>
          <cell r="B14130" t="str">
            <v>PAF10-890</v>
          </cell>
          <cell r="O14130"/>
          <cell r="T14130"/>
        </row>
        <row r="14131">
          <cell r="A14131" t="str">
            <v>RFS/CELWAVE</v>
          </cell>
          <cell r="B14131" t="str">
            <v>PAF12-15</v>
          </cell>
          <cell r="O14131"/>
          <cell r="T14131"/>
        </row>
        <row r="14132">
          <cell r="A14132" t="str">
            <v>RFS/CELWAVE</v>
          </cell>
          <cell r="B14132" t="str">
            <v>PAF12-17W</v>
          </cell>
          <cell r="O14132"/>
          <cell r="T14132"/>
        </row>
        <row r="14133">
          <cell r="A14133" t="str">
            <v>RFS/CELWAVE</v>
          </cell>
          <cell r="B14133" t="str">
            <v>PAF12-18</v>
          </cell>
          <cell r="O14133"/>
          <cell r="T14133"/>
        </row>
        <row r="14134">
          <cell r="A14134" t="str">
            <v>RFS/CELWAVE</v>
          </cell>
          <cell r="B14134" t="str">
            <v>PAF12-19</v>
          </cell>
          <cell r="O14134"/>
          <cell r="T14134"/>
        </row>
        <row r="14135">
          <cell r="A14135" t="str">
            <v>RFS/CELWAVE</v>
          </cell>
          <cell r="B14135" t="str">
            <v>PAF12-19W</v>
          </cell>
          <cell r="O14135"/>
          <cell r="T14135"/>
        </row>
        <row r="14136">
          <cell r="A14136" t="str">
            <v>RFS/CELWAVE</v>
          </cell>
          <cell r="B14136" t="str">
            <v>PAF12-21</v>
          </cell>
          <cell r="O14136"/>
          <cell r="T14136"/>
        </row>
        <row r="14137">
          <cell r="A14137" t="str">
            <v>RFS/CELWAVE</v>
          </cell>
          <cell r="B14137" t="str">
            <v>PAF12-23</v>
          </cell>
          <cell r="O14137"/>
          <cell r="T14137"/>
        </row>
        <row r="14138">
          <cell r="A14138" t="str">
            <v>RFS/CELWAVE</v>
          </cell>
          <cell r="B14138" t="str">
            <v>PAF12-34</v>
          </cell>
          <cell r="O14138"/>
          <cell r="T14138"/>
        </row>
        <row r="14139">
          <cell r="A14139" t="str">
            <v>RFS/CELWAVE</v>
          </cell>
          <cell r="B14139" t="str">
            <v>PAF12-890</v>
          </cell>
          <cell r="O14139"/>
          <cell r="T14139"/>
        </row>
        <row r="14140">
          <cell r="A14140" t="str">
            <v>RFS/CELWAVE</v>
          </cell>
          <cell r="B14140" t="str">
            <v>PAF4-15</v>
          </cell>
          <cell r="O14140"/>
          <cell r="T14140"/>
        </row>
        <row r="14141">
          <cell r="A14141" t="str">
            <v>RFS/CELWAVE</v>
          </cell>
          <cell r="B14141" t="str">
            <v>PAF4-17</v>
          </cell>
          <cell r="O14141"/>
          <cell r="T14141"/>
        </row>
        <row r="14142">
          <cell r="A14142" t="str">
            <v>RFS/CELWAVE</v>
          </cell>
          <cell r="B14142" t="str">
            <v>PAF4-17W</v>
          </cell>
          <cell r="O14142"/>
          <cell r="T14142"/>
        </row>
        <row r="14143">
          <cell r="A14143" t="str">
            <v>RFS/CELWAVE</v>
          </cell>
          <cell r="B14143" t="str">
            <v>PAF4-18</v>
          </cell>
          <cell r="O14143"/>
          <cell r="T14143"/>
        </row>
        <row r="14144">
          <cell r="A14144" t="str">
            <v>RFS/CELWAVE</v>
          </cell>
          <cell r="B14144" t="str">
            <v>PAF4-19</v>
          </cell>
          <cell r="O14144"/>
          <cell r="T14144"/>
        </row>
        <row r="14145">
          <cell r="A14145" t="str">
            <v>RFS/CELWAVE</v>
          </cell>
          <cell r="B14145" t="str">
            <v>PAF4-19W</v>
          </cell>
          <cell r="O14145"/>
          <cell r="T14145"/>
        </row>
        <row r="14146">
          <cell r="A14146" t="str">
            <v>RFS/CELWAVE</v>
          </cell>
          <cell r="B14146" t="str">
            <v>PAF4-21</v>
          </cell>
          <cell r="O14146"/>
          <cell r="T14146"/>
        </row>
        <row r="14147">
          <cell r="A14147" t="str">
            <v>RFS/CELWAVE</v>
          </cell>
          <cell r="B14147" t="str">
            <v>PAF4-23</v>
          </cell>
          <cell r="O14147"/>
          <cell r="T14147"/>
        </row>
        <row r="14148">
          <cell r="A14148" t="str">
            <v>RFS/CELWAVE</v>
          </cell>
          <cell r="B14148" t="str">
            <v>PAF4-34</v>
          </cell>
          <cell r="O14148"/>
          <cell r="T14148"/>
        </row>
        <row r="14149">
          <cell r="A14149" t="str">
            <v>RFS/CELWAVE</v>
          </cell>
          <cell r="B14149" t="str">
            <v>PAF4-890</v>
          </cell>
          <cell r="O14149"/>
          <cell r="T14149"/>
        </row>
        <row r="14150">
          <cell r="A14150" t="str">
            <v>RFS/CELWAVE</v>
          </cell>
          <cell r="B14150" t="str">
            <v>PAF6-15</v>
          </cell>
          <cell r="O14150"/>
          <cell r="T14150"/>
        </row>
        <row r="14151">
          <cell r="A14151" t="str">
            <v>RFS/CELWAVE</v>
          </cell>
          <cell r="B14151" t="str">
            <v>PAF6-17</v>
          </cell>
          <cell r="O14151"/>
          <cell r="T14151"/>
        </row>
        <row r="14152">
          <cell r="A14152" t="str">
            <v>RFS/CELWAVE</v>
          </cell>
          <cell r="B14152" t="str">
            <v>PAF6-17W</v>
          </cell>
          <cell r="O14152"/>
          <cell r="T14152"/>
        </row>
        <row r="14153">
          <cell r="A14153" t="str">
            <v>RFS/CELWAVE</v>
          </cell>
          <cell r="B14153" t="str">
            <v>PAF6-18</v>
          </cell>
          <cell r="O14153"/>
          <cell r="T14153"/>
        </row>
        <row r="14154">
          <cell r="A14154" t="str">
            <v>RFS/CELWAVE</v>
          </cell>
          <cell r="B14154" t="str">
            <v>PAF6-19</v>
          </cell>
          <cell r="O14154"/>
          <cell r="T14154"/>
        </row>
        <row r="14155">
          <cell r="A14155" t="str">
            <v>RFS/CELWAVE</v>
          </cell>
          <cell r="B14155" t="str">
            <v>PAF6-19W</v>
          </cell>
          <cell r="O14155"/>
          <cell r="T14155"/>
        </row>
        <row r="14156">
          <cell r="A14156" t="str">
            <v>RFS/CELWAVE</v>
          </cell>
          <cell r="B14156" t="str">
            <v>PAF6-21</v>
          </cell>
          <cell r="O14156"/>
          <cell r="T14156"/>
        </row>
        <row r="14157">
          <cell r="A14157" t="str">
            <v>RFS/CELWAVE</v>
          </cell>
          <cell r="B14157" t="str">
            <v>PAF6-23</v>
          </cell>
          <cell r="O14157"/>
          <cell r="T14157"/>
        </row>
        <row r="14158">
          <cell r="A14158" t="str">
            <v>RFS/CELWAVE</v>
          </cell>
          <cell r="B14158" t="str">
            <v>PAF6-34</v>
          </cell>
          <cell r="O14158"/>
          <cell r="T14158"/>
        </row>
        <row r="14159">
          <cell r="A14159" t="str">
            <v>RFS/CELWAVE</v>
          </cell>
          <cell r="B14159" t="str">
            <v>PAF6-890</v>
          </cell>
          <cell r="O14159"/>
          <cell r="T14159"/>
        </row>
        <row r="14160">
          <cell r="A14160" t="str">
            <v>RFS/CELWAVE</v>
          </cell>
          <cell r="B14160" t="str">
            <v>PAF8-15</v>
          </cell>
          <cell r="O14160"/>
          <cell r="T14160"/>
        </row>
        <row r="14161">
          <cell r="A14161" t="str">
            <v>RFS/CELWAVE</v>
          </cell>
          <cell r="B14161" t="str">
            <v>PAF8-17</v>
          </cell>
          <cell r="O14161"/>
          <cell r="T14161"/>
        </row>
        <row r="14162">
          <cell r="A14162" t="str">
            <v>RFS/CELWAVE</v>
          </cell>
          <cell r="B14162" t="str">
            <v>PAF8-17W</v>
          </cell>
          <cell r="O14162"/>
          <cell r="T14162"/>
        </row>
        <row r="14163">
          <cell r="A14163" t="str">
            <v>RFS/CELWAVE</v>
          </cell>
          <cell r="B14163" t="str">
            <v>PAF8-18</v>
          </cell>
          <cell r="O14163"/>
          <cell r="T14163"/>
        </row>
        <row r="14164">
          <cell r="A14164" t="str">
            <v>RFS/CELWAVE</v>
          </cell>
          <cell r="B14164" t="str">
            <v>PAF8-19</v>
          </cell>
          <cell r="O14164"/>
          <cell r="T14164"/>
        </row>
        <row r="14165">
          <cell r="A14165" t="str">
            <v>RFS/CELWAVE</v>
          </cell>
          <cell r="B14165" t="str">
            <v>PAF8-19W</v>
          </cell>
          <cell r="O14165"/>
          <cell r="T14165"/>
        </row>
        <row r="14166">
          <cell r="A14166" t="str">
            <v>RFS/CELWAVE</v>
          </cell>
          <cell r="B14166" t="str">
            <v>PAF8-21</v>
          </cell>
          <cell r="O14166"/>
          <cell r="T14166"/>
        </row>
        <row r="14167">
          <cell r="A14167" t="str">
            <v>RFS/CELWAVE</v>
          </cell>
          <cell r="B14167" t="str">
            <v>PAF8-23</v>
          </cell>
          <cell r="O14167"/>
          <cell r="T14167"/>
        </row>
        <row r="14168">
          <cell r="A14168" t="str">
            <v>RFS/CELWAVE</v>
          </cell>
          <cell r="B14168" t="str">
            <v>PAF8-34</v>
          </cell>
          <cell r="O14168"/>
          <cell r="T14168"/>
        </row>
        <row r="14169">
          <cell r="A14169" t="str">
            <v>RFS/CELWAVE</v>
          </cell>
          <cell r="B14169" t="str">
            <v>PAF8-890</v>
          </cell>
          <cell r="O14169"/>
          <cell r="T14169"/>
        </row>
        <row r="14170">
          <cell r="A14170" t="str">
            <v>RFS/CELWAVE</v>
          </cell>
          <cell r="B14170" t="str">
            <v>PAL10-107AC</v>
          </cell>
          <cell r="O14170"/>
          <cell r="T14170"/>
        </row>
        <row r="14171">
          <cell r="A14171" t="str">
            <v>RFS/CELWAVE</v>
          </cell>
          <cell r="B14171" t="str">
            <v>PAL10-17</v>
          </cell>
          <cell r="O14171"/>
          <cell r="T14171"/>
        </row>
        <row r="14172">
          <cell r="A14172" t="str">
            <v>RFS/CELWAVE</v>
          </cell>
          <cell r="B14172" t="str">
            <v>PAL10-17W</v>
          </cell>
          <cell r="O14172"/>
          <cell r="T14172"/>
        </row>
        <row r="14173">
          <cell r="A14173" t="str">
            <v>RFS/CELWAVE</v>
          </cell>
          <cell r="B14173" t="str">
            <v>PAL10-18</v>
          </cell>
          <cell r="O14173"/>
          <cell r="T14173"/>
        </row>
        <row r="14174">
          <cell r="A14174" t="str">
            <v>RFS/CELWAVE</v>
          </cell>
          <cell r="B14174" t="str">
            <v>PAL10-19</v>
          </cell>
          <cell r="O14174"/>
          <cell r="T14174"/>
        </row>
        <row r="14175">
          <cell r="A14175" t="str">
            <v>RFS/CELWAVE</v>
          </cell>
          <cell r="B14175" t="str">
            <v>PAL10-19W</v>
          </cell>
          <cell r="O14175"/>
          <cell r="T14175"/>
        </row>
        <row r="14176">
          <cell r="A14176" t="str">
            <v>RFS/CELWAVE</v>
          </cell>
          <cell r="B14176" t="str">
            <v>PAL10-21</v>
          </cell>
          <cell r="O14176"/>
          <cell r="T14176"/>
        </row>
        <row r="14177">
          <cell r="A14177" t="str">
            <v>RFS/CELWAVE</v>
          </cell>
          <cell r="B14177" t="str">
            <v>PAL10-23</v>
          </cell>
          <cell r="O14177"/>
          <cell r="T14177"/>
        </row>
        <row r="14178">
          <cell r="A14178" t="str">
            <v>RFS/CELWAVE</v>
          </cell>
          <cell r="B14178" t="str">
            <v>PAL10-25</v>
          </cell>
          <cell r="O14178"/>
          <cell r="T14178"/>
        </row>
        <row r="14179">
          <cell r="A14179" t="str">
            <v>RFS/CELWAVE</v>
          </cell>
          <cell r="B14179" t="str">
            <v>PAL10-34</v>
          </cell>
          <cell r="O14179"/>
          <cell r="T14179"/>
        </row>
        <row r="14180">
          <cell r="A14180" t="str">
            <v>RFS/CELWAVE</v>
          </cell>
          <cell r="B14180" t="str">
            <v>PAL10-36</v>
          </cell>
          <cell r="O14180"/>
          <cell r="T14180"/>
        </row>
        <row r="14181">
          <cell r="A14181" t="str">
            <v>RFS/CELWAVE</v>
          </cell>
          <cell r="B14181" t="str">
            <v>PAL10-57</v>
          </cell>
          <cell r="O14181"/>
          <cell r="T14181"/>
        </row>
        <row r="14182">
          <cell r="A14182" t="str">
            <v>RFS/CELWAVE</v>
          </cell>
          <cell r="B14182" t="str">
            <v>PAL10-59</v>
          </cell>
          <cell r="O14182"/>
          <cell r="T14182"/>
        </row>
        <row r="14183">
          <cell r="A14183" t="str">
            <v>RFS/CELWAVE</v>
          </cell>
          <cell r="B14183" t="str">
            <v>PAL10-59AD</v>
          </cell>
          <cell r="O14183"/>
          <cell r="T14183"/>
        </row>
        <row r="14184">
          <cell r="A14184" t="str">
            <v>RFS/CELWAVE</v>
          </cell>
          <cell r="B14184" t="str">
            <v>PAL10-65</v>
          </cell>
          <cell r="O14184"/>
          <cell r="T14184"/>
        </row>
        <row r="14185">
          <cell r="A14185" t="str">
            <v>RFS/CELWAVE</v>
          </cell>
          <cell r="B14185" t="str">
            <v>PAL10-65AD</v>
          </cell>
          <cell r="O14185"/>
          <cell r="T14185"/>
        </row>
        <row r="14186">
          <cell r="A14186" t="str">
            <v>RFS/CELWAVE</v>
          </cell>
          <cell r="B14186" t="str">
            <v>PAL12-17</v>
          </cell>
          <cell r="O14186"/>
          <cell r="T14186"/>
        </row>
        <row r="14187">
          <cell r="A14187" t="str">
            <v>RFS/CELWAVE</v>
          </cell>
          <cell r="B14187" t="str">
            <v>PAL12-17W</v>
          </cell>
          <cell r="O14187"/>
          <cell r="T14187"/>
        </row>
        <row r="14188">
          <cell r="A14188" t="str">
            <v>RFS/CELWAVE</v>
          </cell>
          <cell r="B14188" t="str">
            <v>PAL12-18</v>
          </cell>
          <cell r="O14188"/>
          <cell r="T14188"/>
        </row>
        <row r="14189">
          <cell r="A14189" t="str">
            <v>RFS/CELWAVE</v>
          </cell>
          <cell r="B14189" t="str">
            <v>PAL12-19</v>
          </cell>
          <cell r="O14189"/>
          <cell r="T14189"/>
        </row>
        <row r="14190">
          <cell r="A14190" t="str">
            <v>RFS/CELWAVE</v>
          </cell>
          <cell r="B14190" t="str">
            <v>PAL12-19W</v>
          </cell>
          <cell r="O14190"/>
          <cell r="T14190"/>
        </row>
        <row r="14191">
          <cell r="A14191" t="str">
            <v>RFS/CELWAVE</v>
          </cell>
          <cell r="B14191" t="str">
            <v>PAL12-21</v>
          </cell>
          <cell r="O14191"/>
          <cell r="T14191"/>
        </row>
        <row r="14192">
          <cell r="A14192" t="str">
            <v>RFS/CELWAVE</v>
          </cell>
          <cell r="B14192" t="str">
            <v>PAL12-23</v>
          </cell>
          <cell r="O14192"/>
          <cell r="T14192"/>
        </row>
        <row r="14193">
          <cell r="A14193" t="str">
            <v>RFS/CELWAVE</v>
          </cell>
          <cell r="B14193" t="str">
            <v>PAL12-25</v>
          </cell>
          <cell r="O14193"/>
          <cell r="T14193"/>
        </row>
        <row r="14194">
          <cell r="A14194" t="str">
            <v>RFS/CELWAVE</v>
          </cell>
          <cell r="B14194" t="str">
            <v>PAL12-34</v>
          </cell>
          <cell r="O14194"/>
          <cell r="T14194"/>
        </row>
        <row r="14195">
          <cell r="A14195" t="str">
            <v>RFS/CELWAVE</v>
          </cell>
          <cell r="B14195" t="str">
            <v>PAL12-36</v>
          </cell>
          <cell r="O14195"/>
          <cell r="T14195"/>
        </row>
        <row r="14196">
          <cell r="A14196" t="str">
            <v>RFS/CELWAVE</v>
          </cell>
          <cell r="B14196" t="str">
            <v>PAL12-57</v>
          </cell>
          <cell r="O14196"/>
          <cell r="T14196"/>
        </row>
        <row r="14197">
          <cell r="A14197" t="str">
            <v>RFS/CELWAVE</v>
          </cell>
          <cell r="B14197" t="str">
            <v>PAL12-59</v>
          </cell>
          <cell r="O14197"/>
          <cell r="T14197"/>
        </row>
        <row r="14198">
          <cell r="A14198" t="str">
            <v>RFS/CELWAVE</v>
          </cell>
          <cell r="B14198" t="str">
            <v>PAL12-65</v>
          </cell>
          <cell r="O14198"/>
          <cell r="T14198"/>
        </row>
        <row r="14199">
          <cell r="A14199" t="str">
            <v>RFS/CELWAVE</v>
          </cell>
          <cell r="B14199" t="str">
            <v>PAL15-17</v>
          </cell>
          <cell r="O14199"/>
          <cell r="T14199"/>
        </row>
        <row r="14200">
          <cell r="A14200" t="str">
            <v>RFS/CELWAVE</v>
          </cell>
          <cell r="B14200" t="str">
            <v>PAL15-17(4)</v>
          </cell>
          <cell r="O14200"/>
          <cell r="T14200"/>
        </row>
        <row r="14201">
          <cell r="A14201" t="str">
            <v>RFS/CELWAVE</v>
          </cell>
          <cell r="B14201" t="str">
            <v>PAL15-19</v>
          </cell>
          <cell r="O14201"/>
          <cell r="T14201"/>
        </row>
        <row r="14202">
          <cell r="A14202" t="str">
            <v>RFS/CELWAVE</v>
          </cell>
          <cell r="B14202" t="str">
            <v>PAL15-19(2)</v>
          </cell>
          <cell r="O14202"/>
          <cell r="T14202"/>
        </row>
        <row r="14203">
          <cell r="A14203" t="str">
            <v>RFS/CELWAVE</v>
          </cell>
          <cell r="B14203" t="str">
            <v>PAL15-21</v>
          </cell>
          <cell r="O14203"/>
          <cell r="T14203"/>
        </row>
        <row r="14204">
          <cell r="A14204" t="str">
            <v>RFS/CELWAVE</v>
          </cell>
          <cell r="B14204" t="str">
            <v>PAL15-23</v>
          </cell>
          <cell r="O14204"/>
          <cell r="T14204"/>
        </row>
        <row r="14205">
          <cell r="A14205" t="str">
            <v>RFS/CELWAVE</v>
          </cell>
          <cell r="B14205" t="str">
            <v>PAL15-25</v>
          </cell>
          <cell r="O14205"/>
          <cell r="T14205"/>
        </row>
        <row r="14206">
          <cell r="A14206" t="str">
            <v>RFS/CELWAVE</v>
          </cell>
          <cell r="B14206" t="str">
            <v>PAL15-34</v>
          </cell>
          <cell r="O14206"/>
          <cell r="T14206"/>
        </row>
        <row r="14207">
          <cell r="A14207" t="str">
            <v>RFS/CELWAVE</v>
          </cell>
          <cell r="B14207" t="str">
            <v>PAL15-36</v>
          </cell>
          <cell r="O14207"/>
          <cell r="T14207"/>
        </row>
        <row r="14208">
          <cell r="A14208" t="str">
            <v>RFS/CELWAVE</v>
          </cell>
          <cell r="B14208" t="str">
            <v>PAL15-59</v>
          </cell>
          <cell r="O14208"/>
          <cell r="T14208"/>
        </row>
        <row r="14209">
          <cell r="A14209" t="str">
            <v>RFS/CELWAVE</v>
          </cell>
          <cell r="B14209" t="str">
            <v>PAL15-65</v>
          </cell>
          <cell r="O14209"/>
          <cell r="T14209"/>
        </row>
        <row r="14210">
          <cell r="A14210" t="str">
            <v>RFS/CELWAVE</v>
          </cell>
          <cell r="B14210" t="str">
            <v>PAL4-122AZ</v>
          </cell>
          <cell r="O14210"/>
          <cell r="T14210"/>
        </row>
        <row r="14211">
          <cell r="A14211" t="str">
            <v>RFS/CELWAVE</v>
          </cell>
          <cell r="B14211" t="str">
            <v>PAL4-65AC</v>
          </cell>
          <cell r="O14211"/>
          <cell r="T14211"/>
        </row>
        <row r="14212">
          <cell r="A14212" t="str">
            <v>RFS/CELWAVE</v>
          </cell>
          <cell r="B14212" t="str">
            <v>PAL6-17</v>
          </cell>
          <cell r="O14212"/>
          <cell r="T14212"/>
        </row>
        <row r="14213">
          <cell r="A14213" t="str">
            <v>RFS/CELWAVE</v>
          </cell>
          <cell r="B14213" t="str">
            <v>PAL6-17W</v>
          </cell>
          <cell r="O14213"/>
          <cell r="T14213"/>
        </row>
        <row r="14214">
          <cell r="A14214" t="str">
            <v>RFS/CELWAVE</v>
          </cell>
          <cell r="B14214" t="str">
            <v>PAL6-18</v>
          </cell>
          <cell r="O14214"/>
          <cell r="T14214"/>
        </row>
        <row r="14215">
          <cell r="A14215" t="str">
            <v>RFS/CELWAVE</v>
          </cell>
          <cell r="B14215" t="str">
            <v>PAL6-19</v>
          </cell>
          <cell r="O14215"/>
          <cell r="T14215"/>
        </row>
        <row r="14216">
          <cell r="A14216" t="str">
            <v>RFS/CELWAVE</v>
          </cell>
          <cell r="B14216" t="str">
            <v>PAL6-19W</v>
          </cell>
          <cell r="O14216"/>
          <cell r="T14216"/>
        </row>
        <row r="14217">
          <cell r="A14217" t="str">
            <v>RFS/CELWAVE</v>
          </cell>
          <cell r="B14217" t="str">
            <v>PAL6-21</v>
          </cell>
          <cell r="O14217"/>
          <cell r="T14217"/>
        </row>
        <row r="14218">
          <cell r="A14218" t="str">
            <v>RFS/CELWAVE</v>
          </cell>
          <cell r="B14218" t="str">
            <v>PAL6-23</v>
          </cell>
          <cell r="O14218"/>
          <cell r="T14218"/>
        </row>
        <row r="14219">
          <cell r="A14219" t="str">
            <v>RFS/CELWAVE</v>
          </cell>
          <cell r="B14219" t="str">
            <v>PAL6-25</v>
          </cell>
          <cell r="O14219"/>
          <cell r="T14219"/>
        </row>
        <row r="14220">
          <cell r="A14220" t="str">
            <v>RFS/CELWAVE</v>
          </cell>
          <cell r="B14220" t="str">
            <v>PAL6-34</v>
          </cell>
          <cell r="O14220"/>
          <cell r="T14220"/>
        </row>
        <row r="14221">
          <cell r="A14221" t="str">
            <v>RFS/CELWAVE</v>
          </cell>
          <cell r="B14221" t="str">
            <v>PAL6-36</v>
          </cell>
          <cell r="O14221"/>
          <cell r="T14221"/>
        </row>
        <row r="14222">
          <cell r="A14222" t="str">
            <v>RFS/CELWAVE</v>
          </cell>
          <cell r="B14222" t="str">
            <v>PAL6-57</v>
          </cell>
          <cell r="O14222"/>
          <cell r="T14222"/>
        </row>
        <row r="14223">
          <cell r="A14223" t="str">
            <v>RFS/CELWAVE</v>
          </cell>
          <cell r="B14223" t="str">
            <v>PAL6-59</v>
          </cell>
          <cell r="O14223"/>
          <cell r="T14223"/>
        </row>
        <row r="14224">
          <cell r="A14224" t="str">
            <v>RFS/CELWAVE</v>
          </cell>
          <cell r="B14224" t="str">
            <v>PAL6-59AC</v>
          </cell>
          <cell r="O14224"/>
          <cell r="T14224"/>
        </row>
        <row r="14225">
          <cell r="A14225" t="str">
            <v>RFS/CELWAVE</v>
          </cell>
          <cell r="B14225" t="str">
            <v>PAL6-59AD</v>
          </cell>
          <cell r="O14225"/>
          <cell r="T14225"/>
        </row>
        <row r="14226">
          <cell r="A14226" t="str">
            <v>RFS/CELWAVE</v>
          </cell>
          <cell r="B14226" t="str">
            <v>PAL6-65</v>
          </cell>
          <cell r="O14226"/>
          <cell r="T14226"/>
        </row>
        <row r="14227">
          <cell r="A14227" t="str">
            <v>RFS/CELWAVE</v>
          </cell>
          <cell r="B14227" t="str">
            <v>PAL6-65AC</v>
          </cell>
          <cell r="O14227"/>
          <cell r="T14227"/>
        </row>
        <row r="14228">
          <cell r="A14228" t="str">
            <v>RFS/CELWAVE</v>
          </cell>
          <cell r="B14228" t="str">
            <v>PAL6-65AD</v>
          </cell>
          <cell r="O14228"/>
          <cell r="T14228"/>
        </row>
        <row r="14229">
          <cell r="A14229" t="str">
            <v>RFS/CELWAVE</v>
          </cell>
          <cell r="B14229" t="str">
            <v>PAL8-107</v>
          </cell>
          <cell r="O14229"/>
          <cell r="T14229"/>
        </row>
        <row r="14230">
          <cell r="A14230" t="str">
            <v>RFS/CELWAVE</v>
          </cell>
          <cell r="B14230" t="str">
            <v>PAL8-17</v>
          </cell>
          <cell r="O14230"/>
          <cell r="T14230"/>
        </row>
        <row r="14231">
          <cell r="A14231" t="str">
            <v>RFS/CELWAVE</v>
          </cell>
          <cell r="B14231" t="str">
            <v>PAL8-17W</v>
          </cell>
          <cell r="O14231"/>
          <cell r="T14231"/>
        </row>
        <row r="14232">
          <cell r="A14232" t="str">
            <v>RFS/CELWAVE</v>
          </cell>
          <cell r="B14232" t="str">
            <v>PAL8-18</v>
          </cell>
          <cell r="O14232"/>
          <cell r="T14232"/>
        </row>
        <row r="14233">
          <cell r="A14233" t="str">
            <v>RFS/CELWAVE</v>
          </cell>
          <cell r="B14233" t="str">
            <v>PAL8-19</v>
          </cell>
          <cell r="O14233"/>
          <cell r="T14233"/>
        </row>
        <row r="14234">
          <cell r="A14234" t="str">
            <v>RFS/CELWAVE</v>
          </cell>
          <cell r="B14234" t="str">
            <v>PAL8-19W</v>
          </cell>
          <cell r="O14234"/>
          <cell r="T14234"/>
        </row>
        <row r="14235">
          <cell r="A14235" t="str">
            <v>RFS/CELWAVE</v>
          </cell>
          <cell r="B14235" t="str">
            <v>PAL8-21</v>
          </cell>
          <cell r="O14235"/>
          <cell r="T14235"/>
        </row>
        <row r="14236">
          <cell r="A14236" t="str">
            <v>RFS/CELWAVE</v>
          </cell>
          <cell r="B14236" t="str">
            <v>PAL8-25</v>
          </cell>
          <cell r="O14236"/>
          <cell r="T14236"/>
        </row>
        <row r="14237">
          <cell r="A14237" t="str">
            <v>RFS/CELWAVE</v>
          </cell>
          <cell r="B14237" t="str">
            <v>PAL8-34</v>
          </cell>
          <cell r="O14237"/>
          <cell r="T14237"/>
        </row>
        <row r="14238">
          <cell r="A14238" t="str">
            <v>RFS/CELWAVE</v>
          </cell>
          <cell r="B14238" t="str">
            <v>PAL8-36</v>
          </cell>
          <cell r="O14238"/>
          <cell r="T14238"/>
        </row>
        <row r="14239">
          <cell r="A14239" t="str">
            <v>RFS/CELWAVE</v>
          </cell>
          <cell r="B14239" t="str">
            <v>PAL8-56AD</v>
          </cell>
          <cell r="O14239"/>
          <cell r="T14239"/>
        </row>
        <row r="14240">
          <cell r="A14240" t="str">
            <v>RFS/CELWAVE</v>
          </cell>
          <cell r="B14240" t="str">
            <v>PAL8-57</v>
          </cell>
          <cell r="O14240"/>
          <cell r="T14240"/>
        </row>
        <row r="14241">
          <cell r="A14241" t="str">
            <v>RFS/CELWAVE</v>
          </cell>
          <cell r="B14241" t="str">
            <v>PAL8-59</v>
          </cell>
          <cell r="O14241"/>
          <cell r="T14241"/>
        </row>
        <row r="14242">
          <cell r="A14242" t="str">
            <v>RFS/CELWAVE</v>
          </cell>
          <cell r="B14242" t="str">
            <v>PAL8-59AC</v>
          </cell>
          <cell r="O14242"/>
          <cell r="T14242"/>
        </row>
        <row r="14243">
          <cell r="A14243" t="str">
            <v>RFS/CELWAVE</v>
          </cell>
          <cell r="B14243" t="str">
            <v>PAL8-65</v>
          </cell>
          <cell r="O14243"/>
          <cell r="T14243"/>
        </row>
        <row r="14244">
          <cell r="A14244" t="str">
            <v>RFS/CELWAVE</v>
          </cell>
          <cell r="B14244" t="str">
            <v>PAL8-65AC</v>
          </cell>
          <cell r="O14244"/>
          <cell r="T14244"/>
        </row>
        <row r="14245">
          <cell r="A14245" t="str">
            <v>RFS/CELWAVE</v>
          </cell>
          <cell r="B14245" t="str">
            <v>PAL8-65AC W/RADOME</v>
          </cell>
          <cell r="O14245"/>
          <cell r="T14245"/>
        </row>
        <row r="14246">
          <cell r="A14246" t="str">
            <v>RFS/CELWAVE</v>
          </cell>
          <cell r="B14246" t="str">
            <v>PAL8-65AD</v>
          </cell>
          <cell r="O14246"/>
          <cell r="T14246"/>
        </row>
        <row r="14247">
          <cell r="A14247" t="str">
            <v>RFS/CELWAVE</v>
          </cell>
          <cell r="B14247" t="str">
            <v>PAX10-17</v>
          </cell>
          <cell r="O14247"/>
          <cell r="T14247"/>
        </row>
        <row r="14248">
          <cell r="A14248" t="str">
            <v>RFS/CELWAVE</v>
          </cell>
          <cell r="B14248" t="str">
            <v>PAX10-19</v>
          </cell>
          <cell r="O14248"/>
          <cell r="T14248"/>
        </row>
        <row r="14249">
          <cell r="A14249" t="str">
            <v>RFS/CELWAVE</v>
          </cell>
          <cell r="B14249" t="str">
            <v>PAX10-19(2)</v>
          </cell>
          <cell r="O14249"/>
          <cell r="T14249"/>
        </row>
        <row r="14250">
          <cell r="A14250" t="str">
            <v>RFS/CELWAVE</v>
          </cell>
          <cell r="B14250" t="str">
            <v>PAX10-21</v>
          </cell>
          <cell r="O14250"/>
          <cell r="T14250"/>
        </row>
        <row r="14251">
          <cell r="A14251" t="str">
            <v>RFS/CELWAVE</v>
          </cell>
          <cell r="B14251" t="str">
            <v>PAX10-25</v>
          </cell>
          <cell r="O14251"/>
          <cell r="T14251"/>
        </row>
        <row r="14252">
          <cell r="A14252" t="str">
            <v>RFS/CELWAVE</v>
          </cell>
          <cell r="B14252" t="str">
            <v>PAX10-34</v>
          </cell>
          <cell r="O14252"/>
          <cell r="T14252"/>
        </row>
        <row r="14253">
          <cell r="A14253" t="str">
            <v>RFS/CELWAVE</v>
          </cell>
          <cell r="B14253" t="str">
            <v>PAX10-36</v>
          </cell>
          <cell r="O14253"/>
          <cell r="T14253"/>
        </row>
        <row r="14254">
          <cell r="A14254" t="str">
            <v>RFS/CELWAVE</v>
          </cell>
          <cell r="B14254" t="str">
            <v>PAX10-44</v>
          </cell>
          <cell r="O14254"/>
          <cell r="T14254"/>
        </row>
        <row r="14255">
          <cell r="A14255" t="str">
            <v>RFS/CELWAVE</v>
          </cell>
          <cell r="B14255" t="str">
            <v>PAX10-57</v>
          </cell>
          <cell r="O14255"/>
          <cell r="T14255"/>
        </row>
        <row r="14256">
          <cell r="A14256" t="str">
            <v>RFS/CELWAVE</v>
          </cell>
          <cell r="B14256" t="str">
            <v>PAX10-59</v>
          </cell>
          <cell r="O14256"/>
          <cell r="T14256"/>
        </row>
        <row r="14257">
          <cell r="A14257" t="str">
            <v>RFS/CELWAVE</v>
          </cell>
          <cell r="B14257" t="str">
            <v>PAX10-59AC</v>
          </cell>
          <cell r="O14257"/>
          <cell r="T14257"/>
        </row>
        <row r="14258">
          <cell r="A14258" t="str">
            <v>RFS/CELWAVE</v>
          </cell>
          <cell r="B14258" t="str">
            <v>PAX10-65</v>
          </cell>
          <cell r="O14258"/>
          <cell r="T14258"/>
        </row>
        <row r="14259">
          <cell r="A14259" t="str">
            <v>RFS/CELWAVE</v>
          </cell>
          <cell r="B14259" t="str">
            <v>PAX12-17</v>
          </cell>
          <cell r="O14259"/>
          <cell r="T14259"/>
        </row>
        <row r="14260">
          <cell r="A14260" t="str">
            <v>RFS/CELWAVE</v>
          </cell>
          <cell r="B14260" t="str">
            <v>PAX12-19</v>
          </cell>
          <cell r="O14260"/>
          <cell r="T14260"/>
        </row>
        <row r="14261">
          <cell r="A14261" t="str">
            <v>RFS/CELWAVE</v>
          </cell>
          <cell r="B14261" t="str">
            <v>PAX12-19(2)</v>
          </cell>
          <cell r="O14261"/>
          <cell r="T14261"/>
        </row>
        <row r="14262">
          <cell r="A14262" t="str">
            <v>RFS/CELWAVE</v>
          </cell>
          <cell r="B14262" t="str">
            <v>PAX12-21</v>
          </cell>
          <cell r="O14262"/>
          <cell r="T14262"/>
        </row>
        <row r="14263">
          <cell r="A14263" t="str">
            <v>RFS/CELWAVE</v>
          </cell>
          <cell r="B14263" t="str">
            <v>PAX12-23</v>
          </cell>
          <cell r="O14263"/>
          <cell r="T14263"/>
        </row>
        <row r="14264">
          <cell r="A14264" t="str">
            <v>RFS/CELWAVE</v>
          </cell>
          <cell r="B14264" t="str">
            <v>PAX12-25</v>
          </cell>
          <cell r="O14264"/>
          <cell r="T14264"/>
        </row>
        <row r="14265">
          <cell r="A14265" t="str">
            <v>RFS/CELWAVE</v>
          </cell>
          <cell r="B14265" t="str">
            <v>PAX12-34</v>
          </cell>
          <cell r="O14265"/>
          <cell r="T14265"/>
        </row>
        <row r="14266">
          <cell r="A14266" t="str">
            <v>RFS/CELWAVE</v>
          </cell>
          <cell r="B14266" t="str">
            <v>PAX12-36</v>
          </cell>
          <cell r="O14266"/>
          <cell r="T14266"/>
        </row>
        <row r="14267">
          <cell r="A14267" t="str">
            <v>RFS/CELWAVE</v>
          </cell>
          <cell r="B14267" t="str">
            <v>PAX12-44</v>
          </cell>
          <cell r="O14267"/>
          <cell r="T14267"/>
        </row>
        <row r="14268">
          <cell r="A14268" t="str">
            <v>RFS/CELWAVE</v>
          </cell>
          <cell r="B14268" t="str">
            <v>PAX12-57</v>
          </cell>
          <cell r="O14268"/>
          <cell r="T14268"/>
        </row>
        <row r="14269">
          <cell r="A14269" t="str">
            <v>RFS/CELWAVE</v>
          </cell>
          <cell r="B14269" t="str">
            <v>PAX12-59</v>
          </cell>
          <cell r="O14269"/>
          <cell r="T14269"/>
        </row>
        <row r="14270">
          <cell r="A14270" t="str">
            <v>RFS/CELWAVE</v>
          </cell>
          <cell r="B14270" t="str">
            <v>PAX12-65</v>
          </cell>
          <cell r="O14270"/>
          <cell r="T14270"/>
        </row>
        <row r="14271">
          <cell r="A14271" t="str">
            <v>RFS/CELWAVE</v>
          </cell>
          <cell r="B14271" t="str">
            <v>PAX15-34</v>
          </cell>
          <cell r="O14271"/>
          <cell r="T14271"/>
        </row>
        <row r="14272">
          <cell r="A14272" t="str">
            <v>RFS/CELWAVE</v>
          </cell>
          <cell r="B14272" t="str">
            <v>PAX15-36</v>
          </cell>
          <cell r="O14272"/>
          <cell r="T14272"/>
        </row>
        <row r="14273">
          <cell r="A14273" t="str">
            <v>RFS/CELWAVE</v>
          </cell>
          <cell r="B14273" t="str">
            <v>PAX15-44</v>
          </cell>
          <cell r="O14273"/>
          <cell r="T14273"/>
        </row>
        <row r="14274">
          <cell r="A14274" t="str">
            <v>RFS/CELWAVE</v>
          </cell>
          <cell r="B14274" t="str">
            <v>PAX15-59</v>
          </cell>
          <cell r="O14274"/>
          <cell r="T14274"/>
        </row>
        <row r="14275">
          <cell r="A14275" t="str">
            <v>RFS/CELWAVE</v>
          </cell>
          <cell r="B14275" t="str">
            <v>PAX15-65</v>
          </cell>
          <cell r="O14275"/>
          <cell r="T14275"/>
        </row>
        <row r="14276">
          <cell r="A14276" t="str">
            <v>RFS/CELWAVE</v>
          </cell>
          <cell r="B14276" t="str">
            <v>PAX4-65</v>
          </cell>
          <cell r="O14276"/>
          <cell r="T14276"/>
        </row>
        <row r="14277">
          <cell r="A14277" t="str">
            <v>RFS/CELWAVE</v>
          </cell>
          <cell r="B14277" t="str">
            <v>PAX6-36</v>
          </cell>
          <cell r="O14277"/>
          <cell r="T14277"/>
        </row>
        <row r="14278">
          <cell r="A14278" t="str">
            <v>RFS/CELWAVE</v>
          </cell>
          <cell r="B14278" t="str">
            <v>PAX6-44</v>
          </cell>
          <cell r="O14278"/>
          <cell r="T14278"/>
        </row>
        <row r="14279">
          <cell r="A14279" t="str">
            <v>RFS/CELWAVE</v>
          </cell>
          <cell r="B14279" t="str">
            <v>PAX6-57</v>
          </cell>
          <cell r="O14279"/>
          <cell r="T14279"/>
        </row>
        <row r="14280">
          <cell r="A14280" t="str">
            <v>RFS/CELWAVE</v>
          </cell>
          <cell r="B14280" t="str">
            <v>PAX6-59</v>
          </cell>
          <cell r="O14280"/>
          <cell r="T14280"/>
        </row>
        <row r="14281">
          <cell r="A14281" t="str">
            <v>RFS/CELWAVE</v>
          </cell>
          <cell r="B14281" t="str">
            <v>PAX6-59AC</v>
          </cell>
          <cell r="O14281"/>
          <cell r="T14281"/>
        </row>
        <row r="14282">
          <cell r="A14282" t="str">
            <v>RFS/CELWAVE</v>
          </cell>
          <cell r="B14282" t="str">
            <v>PAX6-65</v>
          </cell>
          <cell r="O14282"/>
          <cell r="T14282"/>
        </row>
        <row r="14283">
          <cell r="A14283" t="str">
            <v>RFS/CELWAVE</v>
          </cell>
          <cell r="B14283" t="str">
            <v>PAX8-17</v>
          </cell>
          <cell r="O14283"/>
          <cell r="T14283"/>
        </row>
        <row r="14284">
          <cell r="A14284" t="str">
            <v>RFS/CELWAVE</v>
          </cell>
          <cell r="B14284" t="str">
            <v>PAX8-19</v>
          </cell>
          <cell r="O14284"/>
          <cell r="T14284"/>
        </row>
        <row r="14285">
          <cell r="A14285" t="str">
            <v>RFS/CELWAVE</v>
          </cell>
          <cell r="B14285" t="str">
            <v>PAX8-19(2)</v>
          </cell>
          <cell r="O14285"/>
          <cell r="T14285"/>
        </row>
        <row r="14286">
          <cell r="A14286" t="str">
            <v>RFS/CELWAVE</v>
          </cell>
          <cell r="B14286" t="str">
            <v>PAX8-21</v>
          </cell>
          <cell r="O14286"/>
          <cell r="T14286"/>
        </row>
        <row r="14287">
          <cell r="A14287" t="str">
            <v>RFS/CELWAVE</v>
          </cell>
          <cell r="B14287" t="str">
            <v>PAX8-23</v>
          </cell>
          <cell r="O14287"/>
          <cell r="T14287"/>
        </row>
        <row r="14288">
          <cell r="A14288" t="str">
            <v>RFS/CELWAVE</v>
          </cell>
          <cell r="B14288" t="str">
            <v>PAX8-25</v>
          </cell>
          <cell r="O14288"/>
          <cell r="T14288"/>
        </row>
        <row r="14289">
          <cell r="A14289" t="str">
            <v>RFS/CELWAVE</v>
          </cell>
          <cell r="B14289" t="str">
            <v>PAX8-34</v>
          </cell>
          <cell r="O14289"/>
          <cell r="T14289"/>
        </row>
        <row r="14290">
          <cell r="A14290" t="str">
            <v>RFS/CELWAVE</v>
          </cell>
          <cell r="B14290" t="str">
            <v>PAX8-36</v>
          </cell>
          <cell r="O14290"/>
          <cell r="T14290"/>
        </row>
        <row r="14291">
          <cell r="A14291" t="str">
            <v>RFS/CELWAVE</v>
          </cell>
          <cell r="B14291" t="str">
            <v>PAX8-44</v>
          </cell>
          <cell r="O14291"/>
          <cell r="T14291"/>
        </row>
        <row r="14292">
          <cell r="A14292" t="str">
            <v>RFS/CELWAVE</v>
          </cell>
          <cell r="B14292" t="str">
            <v>PAX8-57</v>
          </cell>
          <cell r="O14292"/>
          <cell r="T14292"/>
        </row>
        <row r="14293">
          <cell r="A14293" t="str">
            <v>RFS/CELWAVE</v>
          </cell>
          <cell r="B14293" t="str">
            <v>PAX8-59</v>
          </cell>
          <cell r="O14293"/>
          <cell r="T14293"/>
        </row>
        <row r="14294">
          <cell r="A14294" t="str">
            <v>RFS/CELWAVE</v>
          </cell>
          <cell r="B14294" t="str">
            <v>PAX8-59AC</v>
          </cell>
          <cell r="O14294"/>
          <cell r="T14294"/>
        </row>
        <row r="14295">
          <cell r="A14295" t="str">
            <v>RFS/CELWAVE</v>
          </cell>
          <cell r="B14295" t="str">
            <v>PAX8-65</v>
          </cell>
          <cell r="O14295"/>
          <cell r="T14295"/>
        </row>
        <row r="14296">
          <cell r="A14296" t="str">
            <v>RFS/CELWAVE</v>
          </cell>
          <cell r="B14296" t="str">
            <v>PCN6-2</v>
          </cell>
          <cell r="O14296"/>
          <cell r="T14296"/>
        </row>
        <row r="14297">
          <cell r="A14297" t="str">
            <v>RFS/CELWAVE</v>
          </cell>
          <cell r="B14297" t="str">
            <v>PCN9-2</v>
          </cell>
          <cell r="O14297"/>
          <cell r="T14297"/>
        </row>
        <row r="14298">
          <cell r="A14298" t="str">
            <v>RFS/CELWAVE</v>
          </cell>
          <cell r="B14298" t="str">
            <v>PCN900-6</v>
          </cell>
          <cell r="O14298"/>
          <cell r="T14298"/>
        </row>
        <row r="14299">
          <cell r="A14299" t="str">
            <v>RFS/CELWAVE</v>
          </cell>
          <cell r="B14299" t="str">
            <v>PCN900-9</v>
          </cell>
          <cell r="O14299"/>
          <cell r="T14299"/>
        </row>
        <row r="14300">
          <cell r="A14300" t="str">
            <v>RFS/CELWAVE</v>
          </cell>
          <cell r="B14300" t="str">
            <v>PD-10176L</v>
          </cell>
          <cell r="O14300"/>
          <cell r="T14300"/>
        </row>
        <row r="14301">
          <cell r="A14301" t="str">
            <v>RFS/CELWAVE</v>
          </cell>
          <cell r="B14301" t="str">
            <v>PD-10183-1</v>
          </cell>
          <cell r="O14301"/>
          <cell r="T14301"/>
        </row>
        <row r="14302">
          <cell r="A14302" t="str">
            <v>RFS/CELWAVE</v>
          </cell>
          <cell r="B14302" t="str">
            <v>PD-1150-7</v>
          </cell>
          <cell r="O14302"/>
          <cell r="T14302"/>
        </row>
        <row r="14303">
          <cell r="A14303" t="str">
            <v>RFS/CELWAVE</v>
          </cell>
          <cell r="B14303" t="str">
            <v>PD10017</v>
          </cell>
          <cell r="O14303"/>
          <cell r="T14303"/>
        </row>
        <row r="14304">
          <cell r="A14304" t="str">
            <v>RFS/CELWAVE</v>
          </cell>
          <cell r="B14304" t="str">
            <v>PD10017'8</v>
          </cell>
          <cell r="O14304"/>
          <cell r="T14304"/>
        </row>
        <row r="14305">
          <cell r="A14305" t="str">
            <v>RFS/CELWAVE</v>
          </cell>
          <cell r="B14305" t="str">
            <v>PD10017-1</v>
          </cell>
          <cell r="O14305"/>
          <cell r="T14305"/>
        </row>
        <row r="14306">
          <cell r="A14306" t="str">
            <v>RFS/CELWAVE</v>
          </cell>
          <cell r="B14306" t="str">
            <v>PD10017-10</v>
          </cell>
          <cell r="O14306"/>
          <cell r="T14306"/>
        </row>
        <row r="14307">
          <cell r="A14307" t="str">
            <v>RFS/CELWAVE</v>
          </cell>
          <cell r="B14307" t="str">
            <v>PD10017-2</v>
          </cell>
          <cell r="O14307"/>
          <cell r="T14307"/>
        </row>
        <row r="14308">
          <cell r="A14308" t="str">
            <v>RFS/CELWAVE</v>
          </cell>
          <cell r="B14308" t="str">
            <v>PD10017-3</v>
          </cell>
          <cell r="O14308"/>
          <cell r="T14308"/>
        </row>
        <row r="14309">
          <cell r="A14309" t="str">
            <v>RFS/CELWAVE</v>
          </cell>
          <cell r="B14309" t="str">
            <v>PD10017-4</v>
          </cell>
          <cell r="O14309"/>
          <cell r="T14309"/>
        </row>
        <row r="14310">
          <cell r="A14310" t="str">
            <v>RFS/CELWAVE</v>
          </cell>
          <cell r="B14310" t="str">
            <v>PD10017-5</v>
          </cell>
          <cell r="O14310"/>
          <cell r="T14310"/>
        </row>
        <row r="14311">
          <cell r="A14311" t="str">
            <v>RFS/CELWAVE</v>
          </cell>
          <cell r="B14311" t="str">
            <v>PD10017-6</v>
          </cell>
          <cell r="O14311"/>
          <cell r="T14311"/>
        </row>
        <row r="14312">
          <cell r="A14312" t="str">
            <v>RFS/CELWAVE</v>
          </cell>
          <cell r="B14312" t="str">
            <v>PD10017-8</v>
          </cell>
          <cell r="O14312"/>
          <cell r="T14312"/>
        </row>
        <row r="14313">
          <cell r="A14313" t="str">
            <v>RFS/CELWAVE</v>
          </cell>
          <cell r="B14313" t="str">
            <v>PD10017-9</v>
          </cell>
          <cell r="O14313"/>
          <cell r="T14313"/>
        </row>
        <row r="14314">
          <cell r="A14314" t="str">
            <v>RFS/CELWAVE</v>
          </cell>
          <cell r="B14314" t="str">
            <v>PD10022</v>
          </cell>
          <cell r="O14314"/>
          <cell r="T14314"/>
        </row>
        <row r="14315">
          <cell r="A14315" t="str">
            <v>RFS/CELWAVE</v>
          </cell>
          <cell r="B14315" t="str">
            <v>PD10022-1</v>
          </cell>
          <cell r="O14315"/>
          <cell r="T14315"/>
        </row>
        <row r="14316">
          <cell r="A14316" t="str">
            <v>RFS/CELWAVE</v>
          </cell>
          <cell r="B14316" t="str">
            <v>PD10022-1I</v>
          </cell>
          <cell r="O14316"/>
          <cell r="T14316"/>
        </row>
        <row r="14317">
          <cell r="A14317" t="str">
            <v>RFS/CELWAVE</v>
          </cell>
          <cell r="B14317" t="str">
            <v>PD10022-2</v>
          </cell>
          <cell r="O14317"/>
          <cell r="T14317"/>
        </row>
        <row r="14318">
          <cell r="A14318" t="str">
            <v>RFS/CELWAVE</v>
          </cell>
          <cell r="B14318" t="str">
            <v>PD10022-2E</v>
          </cell>
          <cell r="O14318"/>
          <cell r="T14318"/>
        </row>
        <row r="14319">
          <cell r="A14319" t="str">
            <v>RFS/CELWAVE</v>
          </cell>
          <cell r="B14319" t="str">
            <v>PD10022-2I</v>
          </cell>
          <cell r="O14319"/>
          <cell r="T14319"/>
        </row>
        <row r="14320">
          <cell r="A14320" t="str">
            <v>RFS/CELWAVE</v>
          </cell>
          <cell r="B14320" t="str">
            <v>PD10022-3</v>
          </cell>
          <cell r="O14320"/>
          <cell r="T14320"/>
        </row>
        <row r="14321">
          <cell r="A14321" t="str">
            <v>RFS/CELWAVE</v>
          </cell>
          <cell r="B14321" t="str">
            <v>PD10022-3I</v>
          </cell>
          <cell r="O14321"/>
          <cell r="T14321"/>
        </row>
        <row r="14322">
          <cell r="A14322" t="str">
            <v>RFS/CELWAVE</v>
          </cell>
          <cell r="B14322" t="str">
            <v>PD10037</v>
          </cell>
          <cell r="O14322"/>
          <cell r="T14322"/>
        </row>
        <row r="14323">
          <cell r="A14323" t="str">
            <v>RFS/CELWAVE</v>
          </cell>
          <cell r="B14323" t="str">
            <v>PD10041-1</v>
          </cell>
          <cell r="O14323"/>
          <cell r="T14323"/>
        </row>
        <row r="14324">
          <cell r="A14324" t="str">
            <v>RFS/CELWAVE</v>
          </cell>
          <cell r="B14324" t="str">
            <v>PD10054</v>
          </cell>
          <cell r="O14324">
            <v>3.2798519454671</v>
          </cell>
          <cell r="T14324">
            <v>1.5378599612330899</v>
          </cell>
        </row>
        <row r="14325">
          <cell r="A14325" t="str">
            <v>RFS/CELWAVE</v>
          </cell>
          <cell r="B14325" t="str">
            <v>PD10054-1</v>
          </cell>
          <cell r="O14325"/>
          <cell r="T14325"/>
        </row>
        <row r="14326">
          <cell r="A14326" t="str">
            <v>RFS/CELWAVE</v>
          </cell>
          <cell r="B14326" t="str">
            <v>PD10054-2</v>
          </cell>
          <cell r="O14326"/>
          <cell r="T14326"/>
        </row>
        <row r="14327">
          <cell r="A14327" t="str">
            <v>RFS/CELWAVE</v>
          </cell>
          <cell r="B14327" t="str">
            <v>PD10054-3</v>
          </cell>
          <cell r="O14327"/>
          <cell r="T14327"/>
        </row>
        <row r="14328">
          <cell r="A14328" t="str">
            <v>RFS/CELWAVE</v>
          </cell>
          <cell r="B14328" t="str">
            <v>PD10054-4</v>
          </cell>
          <cell r="O14328"/>
          <cell r="T14328"/>
        </row>
        <row r="14329">
          <cell r="A14329" t="str">
            <v>RFS/CELWAVE</v>
          </cell>
          <cell r="B14329" t="str">
            <v>PD10054-5</v>
          </cell>
          <cell r="O14329"/>
          <cell r="T14329"/>
        </row>
        <row r="14330">
          <cell r="A14330" t="str">
            <v>RFS/CELWAVE</v>
          </cell>
          <cell r="B14330" t="str">
            <v>PD10055</v>
          </cell>
          <cell r="O14330">
            <v>6.7803626543209887</v>
          </cell>
          <cell r="T14330">
            <v>3.18601949686501</v>
          </cell>
        </row>
        <row r="14331">
          <cell r="A14331" t="str">
            <v>RFS/CELWAVE</v>
          </cell>
          <cell r="B14331" t="str">
            <v>PD10055-1</v>
          </cell>
          <cell r="O14331"/>
          <cell r="T14331"/>
        </row>
        <row r="14332">
          <cell r="A14332" t="str">
            <v>RFS/CELWAVE</v>
          </cell>
          <cell r="B14332" t="str">
            <v>PD10055-2</v>
          </cell>
          <cell r="O14332"/>
          <cell r="T14332"/>
        </row>
        <row r="14333">
          <cell r="A14333" t="str">
            <v>RFS/CELWAVE</v>
          </cell>
          <cell r="B14333" t="str">
            <v>PD10055-3</v>
          </cell>
          <cell r="O14333"/>
          <cell r="T14333"/>
        </row>
        <row r="14334">
          <cell r="A14334" t="str">
            <v>RFS/CELWAVE</v>
          </cell>
          <cell r="B14334" t="str">
            <v>PD10055-4</v>
          </cell>
          <cell r="O14334"/>
          <cell r="T14334"/>
        </row>
        <row r="14335">
          <cell r="A14335" t="str">
            <v>RFS/CELWAVE</v>
          </cell>
          <cell r="B14335" t="str">
            <v>PD10055-5</v>
          </cell>
          <cell r="O14335">
            <v>6.7803626543209887</v>
          </cell>
          <cell r="T14335">
            <v>3.18601949686501</v>
          </cell>
        </row>
        <row r="14336">
          <cell r="A14336" t="str">
            <v>RFS/CELWAVE</v>
          </cell>
          <cell r="B14336" t="str">
            <v>PD10085</v>
          </cell>
          <cell r="O14336">
            <v>1.6741658032063098</v>
          </cell>
          <cell r="T14336">
            <v>0.63078553381649105</v>
          </cell>
        </row>
        <row r="14337">
          <cell r="A14337" t="str">
            <v>RFS/CELWAVE</v>
          </cell>
          <cell r="B14337" t="str">
            <v>PD10085L</v>
          </cell>
          <cell r="O14337">
            <v>1.6741658032063098</v>
          </cell>
          <cell r="T14337">
            <v>0.63078553381649105</v>
          </cell>
        </row>
        <row r="14338">
          <cell r="A14338" t="str">
            <v>RFS/CELWAVE</v>
          </cell>
          <cell r="B14338" t="str">
            <v>PD10099</v>
          </cell>
          <cell r="O14338">
            <v>3.6802724949543202</v>
          </cell>
          <cell r="T14338">
            <v>1.9405788821509899</v>
          </cell>
        </row>
        <row r="14339">
          <cell r="A14339" t="str">
            <v>RFS/CELWAVE</v>
          </cell>
          <cell r="B14339" t="str">
            <v>PD10108</v>
          </cell>
          <cell r="O14339"/>
          <cell r="T14339"/>
        </row>
        <row r="14340">
          <cell r="A14340" t="str">
            <v>RFS/CELWAVE</v>
          </cell>
          <cell r="B14340" t="str">
            <v>PD10108-1</v>
          </cell>
          <cell r="O14340"/>
          <cell r="T14340"/>
        </row>
        <row r="14341">
          <cell r="A14341" t="str">
            <v>RFS/CELWAVE</v>
          </cell>
          <cell r="B14341" t="str">
            <v>PD10108D-1</v>
          </cell>
          <cell r="O14341"/>
          <cell r="T14341"/>
        </row>
        <row r="14342">
          <cell r="A14342" t="str">
            <v>RFS/CELWAVE</v>
          </cell>
          <cell r="B14342" t="str">
            <v>PD10108D-2</v>
          </cell>
          <cell r="O14342"/>
          <cell r="T14342"/>
        </row>
        <row r="14343">
          <cell r="A14343" t="str">
            <v>RFS/CELWAVE</v>
          </cell>
          <cell r="B14343" t="str">
            <v>PD10164-2B</v>
          </cell>
          <cell r="O14343"/>
          <cell r="T14343"/>
        </row>
        <row r="14344">
          <cell r="A14344" t="str">
            <v>RFS/CELWAVE</v>
          </cell>
          <cell r="B14344" t="str">
            <v>PD10170</v>
          </cell>
          <cell r="O14344"/>
          <cell r="T14344"/>
        </row>
        <row r="14345">
          <cell r="A14345" t="str">
            <v>RFS/CELWAVE</v>
          </cell>
          <cell r="B14345" t="str">
            <v>PD10176</v>
          </cell>
          <cell r="O14345"/>
          <cell r="T14345"/>
        </row>
        <row r="14346">
          <cell r="A14346" t="str">
            <v>RFS/CELWAVE</v>
          </cell>
          <cell r="B14346" t="str">
            <v>PD10176-3</v>
          </cell>
          <cell r="O14346"/>
          <cell r="T14346"/>
        </row>
        <row r="14347">
          <cell r="A14347" t="str">
            <v>RFS/CELWAVE</v>
          </cell>
          <cell r="B14347" t="str">
            <v>PD10177RS</v>
          </cell>
          <cell r="O14347"/>
          <cell r="T14347"/>
        </row>
        <row r="14348">
          <cell r="A14348" t="str">
            <v>RFS/CELWAVE</v>
          </cell>
          <cell r="B14348" t="str">
            <v>PD10178</v>
          </cell>
          <cell r="O14348"/>
          <cell r="T14348"/>
        </row>
        <row r="14349">
          <cell r="A14349" t="str">
            <v>RFS/CELWAVE</v>
          </cell>
          <cell r="B14349" t="str">
            <v>PD10183-1</v>
          </cell>
          <cell r="O14349"/>
          <cell r="T14349"/>
        </row>
        <row r="14350">
          <cell r="A14350" t="str">
            <v>RFS/CELWAVE</v>
          </cell>
          <cell r="B14350" t="str">
            <v>PD10183-2</v>
          </cell>
          <cell r="O14350"/>
          <cell r="T14350"/>
        </row>
        <row r="14351">
          <cell r="A14351" t="str">
            <v>RFS/CELWAVE</v>
          </cell>
          <cell r="B14351" t="str">
            <v>PD10183-3</v>
          </cell>
          <cell r="O14351"/>
          <cell r="T14351"/>
        </row>
        <row r="14352">
          <cell r="A14352" t="str">
            <v>RFS/CELWAVE</v>
          </cell>
          <cell r="B14352" t="str">
            <v>PD10188</v>
          </cell>
          <cell r="O14352">
            <v>3.3996261562562302</v>
          </cell>
          <cell r="T14352">
            <v>2.1796863725483799</v>
          </cell>
        </row>
        <row r="14353">
          <cell r="A14353" t="str">
            <v>RFS/CELWAVE</v>
          </cell>
          <cell r="B14353" t="str">
            <v>PD10189</v>
          </cell>
          <cell r="O14353">
            <v>7.2017649150494503</v>
          </cell>
          <cell r="T14353">
            <v>4.63886376235408</v>
          </cell>
        </row>
        <row r="14354">
          <cell r="A14354" t="str">
            <v>RFS/CELWAVE</v>
          </cell>
          <cell r="B14354" t="str">
            <v>PD10191</v>
          </cell>
          <cell r="O14354"/>
          <cell r="T14354"/>
        </row>
        <row r="14355">
          <cell r="A14355" t="str">
            <v>RFS/CELWAVE</v>
          </cell>
          <cell r="B14355" t="str">
            <v>PD10197</v>
          </cell>
          <cell r="O14355">
            <v>2.6699016666270099</v>
          </cell>
          <cell r="T14355">
            <v>1.7845182369787098</v>
          </cell>
        </row>
        <row r="14356">
          <cell r="A14356" t="str">
            <v>RFS/CELWAVE</v>
          </cell>
          <cell r="B14356" t="str">
            <v>PD10198</v>
          </cell>
          <cell r="O14356"/>
          <cell r="T14356"/>
        </row>
        <row r="14357">
          <cell r="A14357" t="str">
            <v>RFS/CELWAVE</v>
          </cell>
          <cell r="B14357" t="str">
            <v>PD10198-1/1 TOP</v>
          </cell>
          <cell r="O14357"/>
          <cell r="T14357"/>
        </row>
        <row r="14358">
          <cell r="A14358" t="str">
            <v>RFS/CELWAVE</v>
          </cell>
          <cell r="B14358" t="str">
            <v>PD10198-1/3</v>
          </cell>
          <cell r="O14358"/>
          <cell r="T14358"/>
        </row>
        <row r="14359">
          <cell r="A14359" t="str">
            <v>RFS/CELWAVE</v>
          </cell>
          <cell r="B14359" t="str">
            <v>PD10198-2/2 TOP</v>
          </cell>
          <cell r="O14359"/>
          <cell r="T14359"/>
        </row>
        <row r="14360">
          <cell r="A14360" t="str">
            <v>RFS/CELWAVE</v>
          </cell>
          <cell r="B14360" t="str">
            <v>PD10198-3/3 TOP</v>
          </cell>
          <cell r="O14360"/>
          <cell r="T14360"/>
        </row>
        <row r="14361">
          <cell r="A14361" t="str">
            <v>RFS/CELWAVE</v>
          </cell>
          <cell r="B14361" t="str">
            <v>PD10200RS</v>
          </cell>
          <cell r="O14361"/>
          <cell r="T14361"/>
        </row>
        <row r="14362">
          <cell r="A14362" t="str">
            <v>RFS/CELWAVE</v>
          </cell>
          <cell r="B14362" t="str">
            <v>PD10201</v>
          </cell>
          <cell r="O14362">
            <v>14.801513759321891</v>
          </cell>
          <cell r="T14362">
            <v>2.7594734391386098</v>
          </cell>
        </row>
        <row r="14363">
          <cell r="A14363" t="str">
            <v>RFS/CELWAVE</v>
          </cell>
          <cell r="B14363" t="str">
            <v>PD10204R-1</v>
          </cell>
          <cell r="O14363"/>
          <cell r="T14363"/>
        </row>
        <row r="14364">
          <cell r="A14364" t="str">
            <v>RFS/CELWAVE</v>
          </cell>
          <cell r="B14364" t="str">
            <v>PD10212-1</v>
          </cell>
          <cell r="O14364"/>
          <cell r="T14364"/>
        </row>
        <row r="14365">
          <cell r="A14365" t="str">
            <v>RFS/CELWAVE</v>
          </cell>
          <cell r="B14365" t="str">
            <v>PD10212-2</v>
          </cell>
          <cell r="O14365"/>
          <cell r="T14365"/>
        </row>
        <row r="14366">
          <cell r="A14366" t="str">
            <v>RFS/CELWAVE</v>
          </cell>
          <cell r="B14366" t="str">
            <v>PD10222</v>
          </cell>
          <cell r="O14366">
            <v>10.033368389239001</v>
          </cell>
          <cell r="T14366">
            <v>1.73632765838758</v>
          </cell>
        </row>
        <row r="14367">
          <cell r="A14367" t="str">
            <v>RFS/CELWAVE</v>
          </cell>
          <cell r="B14367" t="str">
            <v>PD10236</v>
          </cell>
          <cell r="O14367">
            <v>3.3996261562562302</v>
          </cell>
          <cell r="T14367">
            <v>2.1796863725483799</v>
          </cell>
        </row>
        <row r="14368">
          <cell r="A14368" t="str">
            <v>RFS/CELWAVE</v>
          </cell>
          <cell r="B14368" t="str">
            <v>PD1107-1</v>
          </cell>
          <cell r="O14368"/>
          <cell r="T14368"/>
        </row>
        <row r="14369">
          <cell r="A14369" t="str">
            <v>RFS/CELWAVE</v>
          </cell>
          <cell r="B14369" t="str">
            <v>PD1108</v>
          </cell>
          <cell r="O14369"/>
          <cell r="T14369"/>
        </row>
        <row r="14370">
          <cell r="A14370" t="str">
            <v>RFS/CELWAVE</v>
          </cell>
          <cell r="B14370" t="str">
            <v>PD1108-1</v>
          </cell>
          <cell r="O14370"/>
          <cell r="T14370"/>
        </row>
        <row r="14371">
          <cell r="A14371" t="str">
            <v>RFS/CELWAVE</v>
          </cell>
          <cell r="B14371" t="str">
            <v>PD1108-2</v>
          </cell>
          <cell r="O14371"/>
          <cell r="T14371"/>
        </row>
        <row r="14372">
          <cell r="A14372" t="str">
            <v>RFS/CELWAVE</v>
          </cell>
          <cell r="B14372" t="str">
            <v>PD1108-3</v>
          </cell>
          <cell r="O14372"/>
          <cell r="T14372"/>
        </row>
        <row r="14373">
          <cell r="A14373" t="str">
            <v>RFS/CELWAVE</v>
          </cell>
          <cell r="B14373" t="str">
            <v>PD1108-4</v>
          </cell>
          <cell r="O14373"/>
          <cell r="T14373"/>
        </row>
        <row r="14374">
          <cell r="A14374" t="str">
            <v>RFS/CELWAVE</v>
          </cell>
          <cell r="B14374" t="str">
            <v>PD1108-5</v>
          </cell>
          <cell r="O14374"/>
          <cell r="T14374"/>
        </row>
        <row r="14375">
          <cell r="A14375" t="str">
            <v>RFS/CELWAVE</v>
          </cell>
          <cell r="B14375" t="str">
            <v>PD1108-6</v>
          </cell>
          <cell r="O14375"/>
          <cell r="T14375"/>
        </row>
        <row r="14376">
          <cell r="A14376" t="str">
            <v>RFS/CELWAVE</v>
          </cell>
          <cell r="B14376" t="str">
            <v>PD1109</v>
          </cell>
          <cell r="O14376"/>
          <cell r="T14376"/>
        </row>
        <row r="14377">
          <cell r="A14377" t="str">
            <v>RFS/CELWAVE</v>
          </cell>
          <cell r="B14377" t="str">
            <v>PD1109-1</v>
          </cell>
          <cell r="O14377"/>
          <cell r="T14377"/>
        </row>
        <row r="14378">
          <cell r="A14378" t="str">
            <v>RFS/CELWAVE</v>
          </cell>
          <cell r="B14378" t="str">
            <v>PD1109-2</v>
          </cell>
          <cell r="O14378"/>
          <cell r="T14378"/>
        </row>
        <row r="14379">
          <cell r="A14379" t="str">
            <v>RFS/CELWAVE</v>
          </cell>
          <cell r="B14379" t="str">
            <v>PD1109-3</v>
          </cell>
          <cell r="O14379"/>
          <cell r="T14379"/>
        </row>
        <row r="14380">
          <cell r="A14380" t="str">
            <v>RFS/CELWAVE</v>
          </cell>
          <cell r="B14380" t="str">
            <v>PD1109-4</v>
          </cell>
          <cell r="O14380"/>
          <cell r="T14380"/>
        </row>
        <row r="14381">
          <cell r="A14381" t="str">
            <v>RFS/CELWAVE</v>
          </cell>
          <cell r="B14381" t="str">
            <v>PD1109-5</v>
          </cell>
          <cell r="O14381"/>
          <cell r="T14381"/>
        </row>
        <row r="14382">
          <cell r="A14382" t="str">
            <v>RFS/CELWAVE</v>
          </cell>
          <cell r="B14382" t="str">
            <v>PD1109-6</v>
          </cell>
          <cell r="O14382"/>
          <cell r="T14382"/>
        </row>
        <row r="14383">
          <cell r="A14383" t="str">
            <v>RFS/CELWAVE</v>
          </cell>
          <cell r="B14383" t="str">
            <v>PD1109E</v>
          </cell>
          <cell r="O14383"/>
          <cell r="T14383"/>
        </row>
        <row r="14384">
          <cell r="A14384" t="str">
            <v>RFS/CELWAVE</v>
          </cell>
          <cell r="B14384" t="str">
            <v>PD1110</v>
          </cell>
          <cell r="O14384"/>
          <cell r="T14384"/>
        </row>
        <row r="14385">
          <cell r="A14385" t="str">
            <v>RFS/CELWAVE</v>
          </cell>
          <cell r="B14385" t="str">
            <v>PD1110-1</v>
          </cell>
          <cell r="O14385"/>
          <cell r="T14385"/>
        </row>
        <row r="14386">
          <cell r="A14386" t="str">
            <v>RFS/CELWAVE</v>
          </cell>
          <cell r="B14386" t="str">
            <v>PD1110-10</v>
          </cell>
          <cell r="O14386"/>
          <cell r="T14386"/>
        </row>
        <row r="14387">
          <cell r="A14387" t="str">
            <v>RFS/CELWAVE</v>
          </cell>
          <cell r="B14387" t="str">
            <v>PD1110-11</v>
          </cell>
          <cell r="O14387"/>
          <cell r="T14387"/>
        </row>
        <row r="14388">
          <cell r="A14388" t="str">
            <v>RFS/CELWAVE</v>
          </cell>
          <cell r="B14388" t="str">
            <v>PD1110-12</v>
          </cell>
          <cell r="O14388"/>
          <cell r="T14388"/>
        </row>
        <row r="14389">
          <cell r="A14389" t="str">
            <v>RFS/CELWAVE</v>
          </cell>
          <cell r="B14389" t="str">
            <v>PD1110-2</v>
          </cell>
          <cell r="O14389"/>
          <cell r="T14389"/>
        </row>
        <row r="14390">
          <cell r="A14390" t="str">
            <v>RFS/CELWAVE</v>
          </cell>
          <cell r="B14390" t="str">
            <v>PD1110-3</v>
          </cell>
          <cell r="O14390"/>
          <cell r="T14390"/>
        </row>
        <row r="14391">
          <cell r="A14391" t="str">
            <v>RFS/CELWAVE</v>
          </cell>
          <cell r="B14391" t="str">
            <v>PD1110-4</v>
          </cell>
          <cell r="O14391"/>
          <cell r="T14391"/>
        </row>
        <row r="14392">
          <cell r="A14392" t="str">
            <v>RFS/CELWAVE</v>
          </cell>
          <cell r="B14392" t="str">
            <v>PD1110-5</v>
          </cell>
          <cell r="O14392"/>
          <cell r="T14392"/>
        </row>
        <row r="14393">
          <cell r="A14393" t="str">
            <v>RFS/CELWAVE</v>
          </cell>
          <cell r="B14393" t="str">
            <v>PD1110-6</v>
          </cell>
          <cell r="O14393"/>
          <cell r="T14393"/>
        </row>
        <row r="14394">
          <cell r="A14394" t="str">
            <v>RFS/CELWAVE</v>
          </cell>
          <cell r="B14394" t="str">
            <v>PD1110-7</v>
          </cell>
          <cell r="O14394"/>
          <cell r="T14394"/>
        </row>
        <row r="14395">
          <cell r="A14395" t="str">
            <v>RFS/CELWAVE</v>
          </cell>
          <cell r="B14395" t="str">
            <v>PD1110-8</v>
          </cell>
          <cell r="O14395"/>
          <cell r="T14395"/>
        </row>
        <row r="14396">
          <cell r="A14396" t="str">
            <v>RFS/CELWAVE</v>
          </cell>
          <cell r="B14396" t="str">
            <v>PD1110-9</v>
          </cell>
          <cell r="O14396"/>
          <cell r="T14396"/>
        </row>
        <row r="14397">
          <cell r="A14397" t="str">
            <v>RFS/CELWAVE</v>
          </cell>
          <cell r="B14397" t="str">
            <v>PD1121-6</v>
          </cell>
          <cell r="O14397"/>
          <cell r="T14397"/>
        </row>
        <row r="14398">
          <cell r="A14398" t="str">
            <v>RFS/CELWAVE</v>
          </cell>
          <cell r="B14398" t="str">
            <v>PD1132</v>
          </cell>
          <cell r="O14398"/>
          <cell r="T14398"/>
        </row>
        <row r="14399">
          <cell r="A14399" t="str">
            <v>RFS/CELWAVE</v>
          </cell>
          <cell r="B14399" t="str">
            <v>PD1132-D</v>
          </cell>
          <cell r="O14399"/>
          <cell r="T14399"/>
        </row>
        <row r="14400">
          <cell r="A14400" t="str">
            <v>RFS/CELWAVE</v>
          </cell>
          <cell r="B14400" t="str">
            <v>PD1132R</v>
          </cell>
          <cell r="O14400"/>
          <cell r="T14400"/>
        </row>
        <row r="14401">
          <cell r="A14401" t="str">
            <v>RFS/CELWAVE</v>
          </cell>
          <cell r="B14401" t="str">
            <v>PD1132R-3</v>
          </cell>
          <cell r="O14401"/>
          <cell r="T14401"/>
        </row>
        <row r="14402">
          <cell r="A14402" t="str">
            <v>RFS/CELWAVE</v>
          </cell>
          <cell r="B14402" t="str">
            <v>PD1132RD</v>
          </cell>
          <cell r="O14402"/>
          <cell r="T14402"/>
        </row>
        <row r="14403">
          <cell r="A14403" t="str">
            <v>RFS/CELWAVE</v>
          </cell>
          <cell r="B14403" t="str">
            <v>PD1142-1</v>
          </cell>
          <cell r="O14403"/>
          <cell r="T14403"/>
        </row>
        <row r="14404">
          <cell r="A14404" t="str">
            <v>RFS/CELWAVE</v>
          </cell>
          <cell r="B14404" t="str">
            <v>PD1142-2A</v>
          </cell>
          <cell r="O14404"/>
          <cell r="T14404"/>
        </row>
        <row r="14405">
          <cell r="A14405" t="str">
            <v>RFS/CELWAVE</v>
          </cell>
          <cell r="B14405" t="str">
            <v>PD1142-2B</v>
          </cell>
          <cell r="O14405"/>
          <cell r="T14405"/>
        </row>
        <row r="14406">
          <cell r="A14406" t="str">
            <v>RFS/CELWAVE</v>
          </cell>
          <cell r="B14406" t="str">
            <v>PD1142-2C</v>
          </cell>
          <cell r="O14406"/>
          <cell r="T14406"/>
        </row>
        <row r="14407">
          <cell r="A14407" t="str">
            <v>RFS/CELWAVE</v>
          </cell>
          <cell r="B14407" t="str">
            <v>PD1142-2C_CCIV2</v>
          </cell>
          <cell r="O14407"/>
          <cell r="T14407"/>
        </row>
        <row r="14408">
          <cell r="A14408" t="str">
            <v>RFS/CELWAVE</v>
          </cell>
          <cell r="B14408" t="str">
            <v>PD1142-3</v>
          </cell>
          <cell r="O14408"/>
          <cell r="T14408"/>
        </row>
        <row r="14409">
          <cell r="A14409" t="str">
            <v>RFS/CELWAVE</v>
          </cell>
          <cell r="B14409" t="str">
            <v>PD1150-1</v>
          </cell>
          <cell r="O14409"/>
          <cell r="T14409"/>
        </row>
        <row r="14410">
          <cell r="A14410" t="str">
            <v>RFS/CELWAVE</v>
          </cell>
          <cell r="B14410" t="str">
            <v>PD1150-10</v>
          </cell>
          <cell r="O14410"/>
          <cell r="T14410"/>
        </row>
        <row r="14411">
          <cell r="A14411" t="str">
            <v>RFS/CELWAVE</v>
          </cell>
          <cell r="B14411" t="str">
            <v>PD1150-11</v>
          </cell>
          <cell r="O14411"/>
          <cell r="T14411"/>
        </row>
        <row r="14412">
          <cell r="A14412" t="str">
            <v>RFS/CELWAVE</v>
          </cell>
          <cell r="B14412" t="str">
            <v>PD1150-2</v>
          </cell>
          <cell r="O14412"/>
          <cell r="T14412"/>
        </row>
        <row r="14413">
          <cell r="A14413" t="str">
            <v>RFS/CELWAVE</v>
          </cell>
          <cell r="B14413" t="str">
            <v>PD1150-3</v>
          </cell>
          <cell r="O14413"/>
          <cell r="T14413"/>
        </row>
        <row r="14414">
          <cell r="A14414" t="str">
            <v>RFS/CELWAVE</v>
          </cell>
          <cell r="B14414" t="str">
            <v>PD1150-4</v>
          </cell>
          <cell r="O14414"/>
          <cell r="T14414"/>
        </row>
        <row r="14415">
          <cell r="A14415" t="str">
            <v>RFS/CELWAVE</v>
          </cell>
          <cell r="B14415" t="str">
            <v>PD1150-5</v>
          </cell>
          <cell r="O14415"/>
          <cell r="T14415"/>
        </row>
        <row r="14416">
          <cell r="A14416" t="str">
            <v>RFS/CELWAVE</v>
          </cell>
          <cell r="B14416" t="str">
            <v>PD1150-6</v>
          </cell>
          <cell r="O14416"/>
          <cell r="T14416"/>
        </row>
        <row r="14417">
          <cell r="A14417" t="str">
            <v>RFS/CELWAVE</v>
          </cell>
          <cell r="B14417" t="str">
            <v>PD1150-7</v>
          </cell>
          <cell r="O14417"/>
          <cell r="T14417"/>
        </row>
        <row r="14418">
          <cell r="A14418" t="str">
            <v>RFS/CELWAVE</v>
          </cell>
          <cell r="B14418" t="str">
            <v>PD1150-8</v>
          </cell>
          <cell r="O14418"/>
          <cell r="T14418"/>
        </row>
        <row r="14419">
          <cell r="A14419" t="str">
            <v>RFS/CELWAVE</v>
          </cell>
          <cell r="B14419" t="str">
            <v>PD1150-9</v>
          </cell>
          <cell r="O14419"/>
          <cell r="T14419"/>
        </row>
        <row r="14420">
          <cell r="A14420" t="str">
            <v>RFS/CELWAVE</v>
          </cell>
          <cell r="B14420" t="str">
            <v>PD1151-1</v>
          </cell>
          <cell r="O14420"/>
          <cell r="T14420"/>
        </row>
        <row r="14421">
          <cell r="A14421" t="str">
            <v>RFS/CELWAVE</v>
          </cell>
          <cell r="B14421" t="str">
            <v>PD1151-10</v>
          </cell>
          <cell r="O14421"/>
          <cell r="T14421"/>
        </row>
        <row r="14422">
          <cell r="A14422" t="str">
            <v>RFS/CELWAVE</v>
          </cell>
          <cell r="B14422" t="str">
            <v>PD1151-2</v>
          </cell>
          <cell r="O14422"/>
          <cell r="T14422"/>
        </row>
        <row r="14423">
          <cell r="A14423" t="str">
            <v>RFS/CELWAVE</v>
          </cell>
          <cell r="B14423" t="str">
            <v>PD1151-3</v>
          </cell>
          <cell r="O14423"/>
          <cell r="T14423"/>
        </row>
        <row r="14424">
          <cell r="A14424" t="str">
            <v>RFS/CELWAVE</v>
          </cell>
          <cell r="B14424" t="str">
            <v>PD1151-4</v>
          </cell>
          <cell r="O14424"/>
          <cell r="T14424"/>
        </row>
        <row r="14425">
          <cell r="A14425" t="str">
            <v>RFS/CELWAVE</v>
          </cell>
          <cell r="B14425" t="str">
            <v>PD1151-5</v>
          </cell>
          <cell r="O14425"/>
          <cell r="T14425"/>
        </row>
        <row r="14426">
          <cell r="A14426" t="str">
            <v>RFS/CELWAVE</v>
          </cell>
          <cell r="B14426" t="str">
            <v>PD1151-6</v>
          </cell>
          <cell r="O14426"/>
          <cell r="T14426"/>
        </row>
        <row r="14427">
          <cell r="A14427" t="str">
            <v>RFS/CELWAVE</v>
          </cell>
          <cell r="B14427" t="str">
            <v>PD1151-8</v>
          </cell>
          <cell r="O14427"/>
          <cell r="T14427"/>
        </row>
        <row r="14428">
          <cell r="A14428" t="str">
            <v>RFS/CELWAVE</v>
          </cell>
          <cell r="B14428" t="str">
            <v>PD1151-9</v>
          </cell>
          <cell r="O14428"/>
          <cell r="T14428"/>
        </row>
        <row r="14429">
          <cell r="A14429" t="str">
            <v>RFS/CELWAVE</v>
          </cell>
          <cell r="B14429" t="str">
            <v>PD1158D</v>
          </cell>
          <cell r="O14429"/>
          <cell r="T14429"/>
        </row>
        <row r="14430">
          <cell r="A14430" t="str">
            <v>RFS/CELWAVE</v>
          </cell>
          <cell r="B14430" t="str">
            <v>PD1158S-1</v>
          </cell>
          <cell r="O14430"/>
          <cell r="T14430"/>
        </row>
        <row r="14431">
          <cell r="A14431" t="str">
            <v>RFS/CELWAVE</v>
          </cell>
          <cell r="B14431" t="str">
            <v>PD1158S-2</v>
          </cell>
          <cell r="O14431"/>
          <cell r="T14431"/>
        </row>
        <row r="14432">
          <cell r="A14432" t="str">
            <v>RFS/CELWAVE</v>
          </cell>
          <cell r="B14432" t="str">
            <v>PD1158S-3</v>
          </cell>
          <cell r="O14432"/>
          <cell r="T14432"/>
        </row>
        <row r="14433">
          <cell r="A14433" t="str">
            <v>RFS/CELWAVE</v>
          </cell>
          <cell r="B14433" t="str">
            <v>PD1158S-4</v>
          </cell>
          <cell r="O14433"/>
          <cell r="T14433"/>
        </row>
        <row r="14434">
          <cell r="A14434" t="str">
            <v>RFS/CELWAVE</v>
          </cell>
          <cell r="B14434" t="str">
            <v>PD1158S-5</v>
          </cell>
          <cell r="O14434"/>
          <cell r="T14434"/>
        </row>
        <row r="14435">
          <cell r="A14435" t="str">
            <v>RFS/CELWAVE</v>
          </cell>
          <cell r="B14435" t="str">
            <v>PD1158S-6</v>
          </cell>
          <cell r="O14435"/>
          <cell r="T14435"/>
        </row>
        <row r="14436">
          <cell r="A14436" t="str">
            <v>RFS/CELWAVE</v>
          </cell>
          <cell r="B14436" t="str">
            <v>PD1167</v>
          </cell>
          <cell r="O14436"/>
          <cell r="T14436"/>
        </row>
        <row r="14437">
          <cell r="A14437" t="str">
            <v>RFS/CELWAVE</v>
          </cell>
          <cell r="B14437" t="str">
            <v>PD1251</v>
          </cell>
          <cell r="O14437"/>
          <cell r="T14437"/>
        </row>
        <row r="14438">
          <cell r="A14438" t="str">
            <v>RFS/CELWAVE</v>
          </cell>
          <cell r="B14438" t="str">
            <v>PD128</v>
          </cell>
          <cell r="O14438"/>
          <cell r="T14438"/>
        </row>
        <row r="14439">
          <cell r="A14439" t="str">
            <v>RFS/CELWAVE</v>
          </cell>
          <cell r="B14439" t="str">
            <v>PD128-1</v>
          </cell>
          <cell r="O14439"/>
          <cell r="T14439"/>
        </row>
        <row r="14440">
          <cell r="A14440" t="str">
            <v>RFS/CELWAVE</v>
          </cell>
          <cell r="B14440" t="str">
            <v>PD128-1FT</v>
          </cell>
          <cell r="O14440"/>
          <cell r="T14440"/>
        </row>
        <row r="14441">
          <cell r="A14441" t="str">
            <v>RFS/CELWAVE</v>
          </cell>
          <cell r="B14441" t="str">
            <v>PD128-2</v>
          </cell>
          <cell r="O14441"/>
          <cell r="T14441"/>
        </row>
        <row r="14442">
          <cell r="A14442" t="str">
            <v>RFS/CELWAVE</v>
          </cell>
          <cell r="B14442" t="str">
            <v>PD128-4</v>
          </cell>
          <cell r="O14442"/>
          <cell r="T14442"/>
        </row>
        <row r="14443">
          <cell r="A14443" t="str">
            <v>RFS/CELWAVE</v>
          </cell>
          <cell r="B14443" t="str">
            <v>PD128-4FT</v>
          </cell>
          <cell r="O14443"/>
          <cell r="T14443"/>
        </row>
        <row r="14444">
          <cell r="A14444" t="str">
            <v>RFS/CELWAVE</v>
          </cell>
          <cell r="B14444" t="str">
            <v>PD128-5</v>
          </cell>
          <cell r="O14444"/>
          <cell r="T14444"/>
        </row>
        <row r="14445">
          <cell r="A14445" t="str">
            <v>RFS/CELWAVE</v>
          </cell>
          <cell r="B14445" t="str">
            <v>PD128-5FT</v>
          </cell>
          <cell r="O14445"/>
          <cell r="T14445"/>
        </row>
        <row r="14446">
          <cell r="A14446" t="str">
            <v>RFS/CELWAVE</v>
          </cell>
          <cell r="B14446" t="str">
            <v>PD128-6</v>
          </cell>
          <cell r="O14446"/>
          <cell r="T14446"/>
        </row>
        <row r="14447">
          <cell r="A14447" t="str">
            <v>RFS/CELWAVE</v>
          </cell>
          <cell r="B14447" t="str">
            <v>PD1281</v>
          </cell>
          <cell r="O14447"/>
          <cell r="T14447"/>
        </row>
        <row r="14448">
          <cell r="A14448" t="str">
            <v>RFS/CELWAVE</v>
          </cell>
          <cell r="B14448" t="str">
            <v>PD156D</v>
          </cell>
          <cell r="O14448"/>
          <cell r="T14448"/>
        </row>
        <row r="14449">
          <cell r="A14449" t="str">
            <v>RFS/CELWAVE</v>
          </cell>
          <cell r="B14449" t="str">
            <v>PD156D-4A</v>
          </cell>
          <cell r="O14449"/>
          <cell r="T14449"/>
        </row>
        <row r="14450">
          <cell r="A14450" t="str">
            <v>RFS/CELWAVE</v>
          </cell>
          <cell r="B14450" t="str">
            <v>PD156S-3</v>
          </cell>
          <cell r="O14450"/>
          <cell r="T14450"/>
        </row>
        <row r="14451">
          <cell r="A14451" t="str">
            <v>RFS/CELWAVE</v>
          </cell>
          <cell r="B14451" t="str">
            <v>PD156S-4</v>
          </cell>
          <cell r="O14451"/>
          <cell r="T14451"/>
        </row>
        <row r="14452">
          <cell r="A14452" t="str">
            <v>RFS/CELWAVE</v>
          </cell>
          <cell r="B14452" t="str">
            <v>PD156S-4B</v>
          </cell>
          <cell r="O14452"/>
          <cell r="T14452"/>
        </row>
        <row r="14453">
          <cell r="A14453" t="str">
            <v>RFS/CELWAVE</v>
          </cell>
          <cell r="B14453" t="str">
            <v>PD156S-4C</v>
          </cell>
          <cell r="O14453"/>
          <cell r="T14453"/>
        </row>
        <row r="14454">
          <cell r="A14454" t="str">
            <v>RFS/CELWAVE</v>
          </cell>
          <cell r="B14454" t="str">
            <v>PD156S-4D</v>
          </cell>
          <cell r="O14454"/>
          <cell r="T14454"/>
        </row>
        <row r="14455">
          <cell r="A14455" t="str">
            <v>RFS/CELWAVE</v>
          </cell>
          <cell r="B14455" t="str">
            <v>PD156S-4E</v>
          </cell>
          <cell r="O14455"/>
          <cell r="T14455"/>
        </row>
        <row r="14456">
          <cell r="A14456" t="str">
            <v>RFS/CELWAVE</v>
          </cell>
          <cell r="B14456" t="str">
            <v>PD156S-4F</v>
          </cell>
          <cell r="O14456"/>
          <cell r="T14456"/>
        </row>
        <row r="14457">
          <cell r="A14457" t="str">
            <v>RFS/CELWAVE</v>
          </cell>
          <cell r="B14457" t="str">
            <v>PD156S-4G</v>
          </cell>
          <cell r="O14457"/>
          <cell r="T14457"/>
        </row>
        <row r="14458">
          <cell r="A14458" t="str">
            <v>RFS/CELWAVE</v>
          </cell>
          <cell r="B14458" t="str">
            <v>PD156S-4H</v>
          </cell>
          <cell r="O14458"/>
          <cell r="T14458"/>
        </row>
        <row r="14459">
          <cell r="A14459" t="str">
            <v>RFS/CELWAVE</v>
          </cell>
          <cell r="B14459" t="str">
            <v>PD156S-4I</v>
          </cell>
          <cell r="O14459"/>
          <cell r="T14459"/>
        </row>
        <row r="14460">
          <cell r="A14460" t="str">
            <v>RFS/CELWAVE</v>
          </cell>
          <cell r="B14460" t="str">
            <v>PD156S-4J</v>
          </cell>
          <cell r="O14460"/>
          <cell r="T14460"/>
        </row>
        <row r="14461">
          <cell r="A14461" t="str">
            <v>RFS/CELWAVE</v>
          </cell>
          <cell r="B14461" t="str">
            <v>PD156S-4K</v>
          </cell>
          <cell r="O14461"/>
          <cell r="T14461"/>
        </row>
        <row r="14462">
          <cell r="A14462" t="str">
            <v>RFS/CELWAVE</v>
          </cell>
          <cell r="B14462" t="str">
            <v>PD156S-4L</v>
          </cell>
          <cell r="O14462"/>
          <cell r="T14462"/>
        </row>
        <row r="14463">
          <cell r="A14463" t="str">
            <v>RFS/CELWAVE</v>
          </cell>
          <cell r="B14463" t="str">
            <v>PD156S-4M</v>
          </cell>
          <cell r="O14463"/>
          <cell r="T14463"/>
        </row>
        <row r="14464">
          <cell r="A14464" t="str">
            <v>RFS/CELWAVE</v>
          </cell>
          <cell r="B14464" t="str">
            <v>PD156S-4N</v>
          </cell>
          <cell r="O14464"/>
          <cell r="T14464"/>
        </row>
        <row r="14465">
          <cell r="A14465" t="str">
            <v>RFS/CELWAVE</v>
          </cell>
          <cell r="B14465" t="str">
            <v>PD156S-5</v>
          </cell>
          <cell r="O14465"/>
          <cell r="T14465"/>
        </row>
        <row r="14466">
          <cell r="A14466" t="str">
            <v>RFS/CELWAVE</v>
          </cell>
          <cell r="B14466" t="str">
            <v>PD1610</v>
          </cell>
          <cell r="O14466"/>
          <cell r="T14466"/>
        </row>
        <row r="14467">
          <cell r="A14467" t="str">
            <v>RFS/CELWAVE</v>
          </cell>
          <cell r="B14467" t="str">
            <v>PD1610-1</v>
          </cell>
          <cell r="O14467"/>
          <cell r="T14467"/>
        </row>
        <row r="14468">
          <cell r="A14468" t="str">
            <v>RFS/CELWAVE</v>
          </cell>
          <cell r="B14468" t="str">
            <v>PD1610-2</v>
          </cell>
          <cell r="O14468"/>
          <cell r="T14468"/>
        </row>
        <row r="14469">
          <cell r="A14469" t="str">
            <v>RFS/CELWAVE</v>
          </cell>
          <cell r="B14469" t="str">
            <v>PD1610-3</v>
          </cell>
          <cell r="O14469"/>
          <cell r="T14469"/>
        </row>
        <row r="14470">
          <cell r="A14470" t="str">
            <v>RFS/CELWAVE</v>
          </cell>
          <cell r="B14470" t="str">
            <v>PD1610-4</v>
          </cell>
          <cell r="O14470"/>
          <cell r="T14470"/>
        </row>
        <row r="14471">
          <cell r="A14471" t="str">
            <v>RFS/CELWAVE</v>
          </cell>
          <cell r="B14471" t="str">
            <v>PD1610-5</v>
          </cell>
          <cell r="O14471"/>
          <cell r="T14471"/>
        </row>
        <row r="14472">
          <cell r="A14472" t="str">
            <v>RFS/CELWAVE</v>
          </cell>
          <cell r="B14472" t="str">
            <v>PD200</v>
          </cell>
          <cell r="O14472"/>
          <cell r="T14472"/>
        </row>
        <row r="14473">
          <cell r="A14473" t="str">
            <v>RFS/CELWAVE</v>
          </cell>
          <cell r="B14473" t="str">
            <v>PD201</v>
          </cell>
          <cell r="O14473"/>
          <cell r="T14473"/>
        </row>
        <row r="14474">
          <cell r="A14474" t="str">
            <v>RFS/CELWAVE</v>
          </cell>
          <cell r="B14474" t="str">
            <v>PD201-1</v>
          </cell>
          <cell r="O14474"/>
          <cell r="T14474"/>
        </row>
        <row r="14475">
          <cell r="A14475" t="str">
            <v>RFS/CELWAVE</v>
          </cell>
          <cell r="B14475" t="str">
            <v>PD201-10</v>
          </cell>
          <cell r="O14475"/>
          <cell r="T14475"/>
        </row>
        <row r="14476">
          <cell r="A14476" t="str">
            <v>RFS/CELWAVE</v>
          </cell>
          <cell r="B14476" t="str">
            <v>PD201-3</v>
          </cell>
          <cell r="O14476"/>
          <cell r="T14476"/>
        </row>
        <row r="14477">
          <cell r="A14477" t="str">
            <v>RFS/CELWAVE</v>
          </cell>
          <cell r="B14477" t="str">
            <v>PD201-4</v>
          </cell>
          <cell r="O14477"/>
          <cell r="T14477"/>
        </row>
        <row r="14478">
          <cell r="A14478" t="str">
            <v>RFS/CELWAVE</v>
          </cell>
          <cell r="B14478" t="str">
            <v>PD201-7</v>
          </cell>
          <cell r="O14478"/>
          <cell r="T14478"/>
        </row>
        <row r="14479">
          <cell r="A14479" t="str">
            <v>RFS/CELWAVE</v>
          </cell>
          <cell r="B14479" t="str">
            <v>PD201-8</v>
          </cell>
          <cell r="O14479"/>
          <cell r="T14479"/>
        </row>
        <row r="14480">
          <cell r="A14480" t="str">
            <v>RFS/CELWAVE</v>
          </cell>
          <cell r="B14480" t="str">
            <v>PD201-9</v>
          </cell>
          <cell r="O14480"/>
          <cell r="T14480"/>
        </row>
        <row r="14481">
          <cell r="A14481" t="str">
            <v>RFS/CELWAVE</v>
          </cell>
          <cell r="B14481" t="str">
            <v>PD207-1</v>
          </cell>
          <cell r="O14481"/>
          <cell r="T14481"/>
        </row>
        <row r="14482">
          <cell r="A14482" t="str">
            <v>RFS/CELWAVE</v>
          </cell>
          <cell r="B14482" t="str">
            <v>PD207-2</v>
          </cell>
          <cell r="O14482"/>
          <cell r="T14482"/>
        </row>
        <row r="14483">
          <cell r="A14483" t="str">
            <v>RFS/CELWAVE</v>
          </cell>
          <cell r="B14483" t="str">
            <v>PD220</v>
          </cell>
          <cell r="O14483"/>
          <cell r="T14483"/>
        </row>
        <row r="14484">
          <cell r="A14484" t="str">
            <v>RFS/CELWAVE</v>
          </cell>
          <cell r="B14484" t="str">
            <v>PD220-1</v>
          </cell>
          <cell r="O14484"/>
          <cell r="T14484"/>
        </row>
        <row r="14485">
          <cell r="A14485" t="str">
            <v>RFS/CELWAVE</v>
          </cell>
          <cell r="B14485" t="str">
            <v>PD220-2</v>
          </cell>
          <cell r="O14485"/>
          <cell r="T14485"/>
        </row>
        <row r="14486">
          <cell r="A14486" t="str">
            <v>RFS/CELWAVE</v>
          </cell>
          <cell r="B14486" t="str">
            <v>PD220-3A</v>
          </cell>
          <cell r="O14486"/>
          <cell r="T14486"/>
        </row>
        <row r="14487">
          <cell r="A14487" t="str">
            <v>RFS/CELWAVE</v>
          </cell>
          <cell r="B14487" t="str">
            <v>PD220-3B</v>
          </cell>
          <cell r="O14487"/>
          <cell r="T14487"/>
        </row>
        <row r="14488">
          <cell r="A14488" t="str">
            <v>RFS/CELWAVE</v>
          </cell>
          <cell r="B14488" t="str">
            <v>PD220-4</v>
          </cell>
          <cell r="O14488"/>
          <cell r="T14488"/>
        </row>
        <row r="14489">
          <cell r="A14489" t="str">
            <v>RFS/CELWAVE</v>
          </cell>
          <cell r="B14489" t="str">
            <v>PD220-5</v>
          </cell>
          <cell r="O14489"/>
          <cell r="T14489"/>
        </row>
        <row r="14490">
          <cell r="A14490" t="str">
            <v>RFS/CELWAVE</v>
          </cell>
          <cell r="B14490" t="str">
            <v>PD220-6</v>
          </cell>
          <cell r="O14490"/>
          <cell r="T14490"/>
        </row>
        <row r="14491">
          <cell r="A14491" t="str">
            <v>RFS/CELWAVE</v>
          </cell>
          <cell r="B14491" t="str">
            <v>PD220-7</v>
          </cell>
          <cell r="O14491"/>
          <cell r="T14491"/>
        </row>
        <row r="14492">
          <cell r="A14492" t="str">
            <v>RFS/CELWAVE</v>
          </cell>
          <cell r="B14492" t="str">
            <v>PD220-8</v>
          </cell>
          <cell r="O14492"/>
          <cell r="T14492"/>
        </row>
        <row r="14493">
          <cell r="A14493" t="str">
            <v>RFS/CELWAVE</v>
          </cell>
          <cell r="B14493" t="str">
            <v>PD220-8A</v>
          </cell>
          <cell r="O14493"/>
          <cell r="T14493"/>
        </row>
        <row r="14494">
          <cell r="A14494" t="str">
            <v>RFS/CELWAVE</v>
          </cell>
          <cell r="B14494" t="str">
            <v>PD220-8B</v>
          </cell>
          <cell r="O14494"/>
          <cell r="T14494"/>
        </row>
        <row r="14495">
          <cell r="A14495" t="str">
            <v>RFS/CELWAVE</v>
          </cell>
          <cell r="B14495" t="str">
            <v>PD220-9</v>
          </cell>
          <cell r="O14495"/>
          <cell r="T14495"/>
        </row>
        <row r="14496">
          <cell r="A14496" t="str">
            <v>RFS/CELWAVE</v>
          </cell>
          <cell r="B14496" t="str">
            <v>PD220-DT</v>
          </cell>
          <cell r="O14496"/>
          <cell r="T14496"/>
        </row>
        <row r="14497">
          <cell r="A14497" t="str">
            <v>RFS/CELWAVE</v>
          </cell>
          <cell r="B14497" t="str">
            <v>PD315</v>
          </cell>
          <cell r="O14497"/>
          <cell r="T14497"/>
        </row>
        <row r="14498">
          <cell r="A14498" t="str">
            <v>RFS/CELWAVE</v>
          </cell>
          <cell r="B14498" t="str">
            <v>PD315-3</v>
          </cell>
          <cell r="O14498"/>
          <cell r="T14498"/>
        </row>
        <row r="14499">
          <cell r="A14499" t="str">
            <v>RFS/CELWAVE</v>
          </cell>
          <cell r="B14499" t="str">
            <v>PD320-2</v>
          </cell>
          <cell r="O14499"/>
          <cell r="T14499"/>
        </row>
        <row r="14500">
          <cell r="A14500" t="str">
            <v>RFS/CELWAVE</v>
          </cell>
          <cell r="B14500" t="str">
            <v>PD320-3</v>
          </cell>
          <cell r="O14500"/>
          <cell r="T14500"/>
        </row>
        <row r="14501">
          <cell r="A14501" t="str">
            <v>RFS/CELWAVE</v>
          </cell>
          <cell r="B14501" t="str">
            <v>PD322-2</v>
          </cell>
          <cell r="O14501"/>
          <cell r="T14501"/>
        </row>
        <row r="14502">
          <cell r="A14502" t="str">
            <v>RFS/CELWAVE</v>
          </cell>
          <cell r="B14502" t="str">
            <v>PD340</v>
          </cell>
          <cell r="O14502"/>
          <cell r="T14502"/>
        </row>
        <row r="14503">
          <cell r="A14503" t="str">
            <v>RFS/CELWAVE</v>
          </cell>
          <cell r="B14503" t="str">
            <v>PD340-1</v>
          </cell>
          <cell r="O14503"/>
          <cell r="T14503"/>
        </row>
        <row r="14504">
          <cell r="A14504" t="str">
            <v>RFS/CELWAVE</v>
          </cell>
          <cell r="B14504" t="str">
            <v>PD340-162</v>
          </cell>
          <cell r="O14504"/>
          <cell r="T14504"/>
        </row>
        <row r="14505">
          <cell r="A14505" t="str">
            <v>RFS/CELWAVE</v>
          </cell>
          <cell r="B14505" t="str">
            <v>PD340-2</v>
          </cell>
          <cell r="O14505"/>
          <cell r="T14505"/>
        </row>
        <row r="14506">
          <cell r="A14506" t="str">
            <v>RFS/CELWAVE</v>
          </cell>
          <cell r="B14506" t="str">
            <v>PD340-3</v>
          </cell>
          <cell r="O14506"/>
          <cell r="T14506"/>
        </row>
        <row r="14507">
          <cell r="A14507" t="str">
            <v>RFS/CELWAVE</v>
          </cell>
          <cell r="B14507" t="str">
            <v>PD340-5</v>
          </cell>
          <cell r="O14507"/>
          <cell r="T14507"/>
        </row>
        <row r="14508">
          <cell r="A14508" t="str">
            <v>RFS/CELWAVE</v>
          </cell>
          <cell r="B14508" t="str">
            <v>PD340-7</v>
          </cell>
          <cell r="O14508"/>
          <cell r="T14508"/>
        </row>
        <row r="14509">
          <cell r="A14509" t="str">
            <v>RFS/CELWAVE</v>
          </cell>
          <cell r="B14509" t="str">
            <v>PD340-8</v>
          </cell>
          <cell r="O14509"/>
          <cell r="T14509"/>
        </row>
        <row r="14510">
          <cell r="A14510" t="str">
            <v>RFS/CELWAVE</v>
          </cell>
          <cell r="B14510" t="str">
            <v>PD340-LSP-1</v>
          </cell>
          <cell r="O14510"/>
          <cell r="T14510"/>
        </row>
        <row r="14511">
          <cell r="A14511" t="str">
            <v>RFS/CELWAVE</v>
          </cell>
          <cell r="B14511" t="str">
            <v>PD340-LSP-2</v>
          </cell>
          <cell r="O14511"/>
          <cell r="T14511"/>
        </row>
        <row r="14512">
          <cell r="A14512" t="str">
            <v>RFS/CELWAVE</v>
          </cell>
          <cell r="B14512" t="str">
            <v>PD340-LSP-3</v>
          </cell>
          <cell r="O14512"/>
          <cell r="T14512"/>
        </row>
        <row r="14513">
          <cell r="A14513" t="str">
            <v>RFS/CELWAVE</v>
          </cell>
          <cell r="B14513" t="str">
            <v>PD340-LSP-4</v>
          </cell>
          <cell r="O14513"/>
          <cell r="T14513"/>
        </row>
        <row r="14514">
          <cell r="A14514" t="str">
            <v>RFS/CELWAVE</v>
          </cell>
          <cell r="B14514" t="str">
            <v>PD340-LSP-5</v>
          </cell>
          <cell r="O14514"/>
          <cell r="T14514"/>
        </row>
        <row r="14515">
          <cell r="A14515" t="str">
            <v>RFS/CELWAVE</v>
          </cell>
          <cell r="B14515" t="str">
            <v>PD340-TP-1</v>
          </cell>
          <cell r="O14515"/>
          <cell r="T14515"/>
        </row>
        <row r="14516">
          <cell r="A14516" t="str">
            <v>RFS/CELWAVE</v>
          </cell>
          <cell r="B14516" t="str">
            <v>PD340-TP-2</v>
          </cell>
          <cell r="O14516"/>
          <cell r="T14516"/>
        </row>
        <row r="14517">
          <cell r="A14517" t="str">
            <v>RFS/CELWAVE</v>
          </cell>
          <cell r="B14517" t="str">
            <v>PD340-TP-3</v>
          </cell>
          <cell r="O14517"/>
          <cell r="T14517"/>
        </row>
        <row r="14518">
          <cell r="A14518" t="str">
            <v>RFS/CELWAVE</v>
          </cell>
          <cell r="B14518" t="str">
            <v>PD340-TP-4</v>
          </cell>
          <cell r="O14518"/>
          <cell r="T14518"/>
        </row>
        <row r="14519">
          <cell r="A14519" t="str">
            <v>RFS/CELWAVE</v>
          </cell>
          <cell r="B14519" t="str">
            <v>PD340-TP-8</v>
          </cell>
          <cell r="O14519"/>
          <cell r="T14519"/>
        </row>
        <row r="14520">
          <cell r="A14520" t="str">
            <v>RFS/CELWAVE</v>
          </cell>
          <cell r="B14520" t="str">
            <v>PD340-TP-8N</v>
          </cell>
          <cell r="O14520"/>
          <cell r="T14520"/>
        </row>
        <row r="14521">
          <cell r="A14521" t="str">
            <v>RFS/CELWAVE</v>
          </cell>
          <cell r="B14521" t="str">
            <v>PD345-1</v>
          </cell>
          <cell r="O14521"/>
          <cell r="T14521"/>
        </row>
        <row r="14522">
          <cell r="A14522" t="str">
            <v>RFS/CELWAVE</v>
          </cell>
          <cell r="B14522" t="str">
            <v>PD390D</v>
          </cell>
          <cell r="O14522"/>
          <cell r="T14522"/>
        </row>
        <row r="14523">
          <cell r="A14523" t="str">
            <v>RFS/CELWAVE</v>
          </cell>
          <cell r="B14523" t="str">
            <v>PD400</v>
          </cell>
          <cell r="O14523"/>
          <cell r="T14523"/>
        </row>
        <row r="14524">
          <cell r="A14524" t="str">
            <v>RFS/CELWAVE</v>
          </cell>
          <cell r="B14524" t="str">
            <v>PD400-1</v>
          </cell>
          <cell r="O14524"/>
          <cell r="T14524"/>
        </row>
        <row r="14525">
          <cell r="A14525" t="str">
            <v>RFS/CELWAVE</v>
          </cell>
          <cell r="B14525" t="str">
            <v>PD400-2</v>
          </cell>
          <cell r="O14525"/>
          <cell r="T14525"/>
        </row>
        <row r="14526">
          <cell r="A14526" t="str">
            <v>RFS/CELWAVE</v>
          </cell>
          <cell r="B14526" t="str">
            <v>PD400-3</v>
          </cell>
          <cell r="O14526"/>
          <cell r="T14526"/>
        </row>
        <row r="14527">
          <cell r="A14527" t="str">
            <v>RFS/CELWAVE</v>
          </cell>
          <cell r="B14527" t="str">
            <v>PD400-4</v>
          </cell>
          <cell r="O14527"/>
          <cell r="T14527"/>
        </row>
        <row r="14528">
          <cell r="A14528" t="str">
            <v>RFS/CELWAVE</v>
          </cell>
          <cell r="B14528" t="str">
            <v>PD400-4I</v>
          </cell>
          <cell r="O14528"/>
          <cell r="T14528"/>
        </row>
        <row r="14529">
          <cell r="A14529" t="str">
            <v>RFS/CELWAVE</v>
          </cell>
          <cell r="B14529" t="str">
            <v>PD400-5</v>
          </cell>
          <cell r="O14529"/>
          <cell r="T14529"/>
        </row>
        <row r="14530">
          <cell r="A14530" t="str">
            <v>RFS/CELWAVE</v>
          </cell>
          <cell r="B14530" t="str">
            <v>PD400-6</v>
          </cell>
          <cell r="O14530"/>
          <cell r="T14530"/>
        </row>
        <row r="14531">
          <cell r="A14531" t="str">
            <v>RFS/CELWAVE</v>
          </cell>
          <cell r="B14531" t="str">
            <v>PD400-7</v>
          </cell>
          <cell r="O14531"/>
          <cell r="T14531"/>
        </row>
        <row r="14532">
          <cell r="A14532" t="str">
            <v>RFS/CELWAVE</v>
          </cell>
          <cell r="B14532" t="str">
            <v>PD400-8</v>
          </cell>
          <cell r="O14532"/>
          <cell r="T14532"/>
        </row>
        <row r="14533">
          <cell r="A14533" t="str">
            <v>RFS/CELWAVE</v>
          </cell>
          <cell r="B14533" t="str">
            <v>PD400-8I</v>
          </cell>
          <cell r="O14533"/>
          <cell r="T14533"/>
        </row>
        <row r="14534">
          <cell r="A14534" t="str">
            <v>RFS/CELWAVE</v>
          </cell>
          <cell r="B14534" t="str">
            <v>PD440-1</v>
          </cell>
          <cell r="O14534"/>
          <cell r="T14534"/>
        </row>
        <row r="14535">
          <cell r="A14535" t="str">
            <v>RFS/CELWAVE</v>
          </cell>
          <cell r="B14535" t="str">
            <v>PD440-2</v>
          </cell>
          <cell r="O14535"/>
          <cell r="T14535"/>
        </row>
        <row r="14536">
          <cell r="A14536" t="str">
            <v>RFS/CELWAVE</v>
          </cell>
          <cell r="B14536" t="str">
            <v>PD440-3</v>
          </cell>
          <cell r="O14536"/>
          <cell r="T14536"/>
        </row>
        <row r="14537">
          <cell r="A14537" t="str">
            <v>RFS/CELWAVE</v>
          </cell>
          <cell r="B14537" t="str">
            <v>PD440-4</v>
          </cell>
          <cell r="O14537"/>
          <cell r="T14537"/>
        </row>
        <row r="14538">
          <cell r="A14538" t="str">
            <v>RFS/CELWAVE</v>
          </cell>
          <cell r="B14538" t="str">
            <v>PD440-8</v>
          </cell>
          <cell r="O14538"/>
          <cell r="T14538"/>
        </row>
        <row r="14539">
          <cell r="A14539" t="str">
            <v>RFS/CELWAVE</v>
          </cell>
          <cell r="B14539" t="str">
            <v>PD440-LSP-1</v>
          </cell>
          <cell r="O14539"/>
          <cell r="T14539"/>
        </row>
        <row r="14540">
          <cell r="A14540" t="str">
            <v>RFS/CELWAVE</v>
          </cell>
          <cell r="B14540" t="str">
            <v>PD440-LSP-2</v>
          </cell>
          <cell r="O14540"/>
          <cell r="T14540"/>
        </row>
        <row r="14541">
          <cell r="A14541" t="str">
            <v>RFS/CELWAVE</v>
          </cell>
          <cell r="B14541" t="str">
            <v>PD440-LSP-3</v>
          </cell>
          <cell r="O14541"/>
          <cell r="T14541"/>
        </row>
        <row r="14542">
          <cell r="A14542" t="str">
            <v>RFS/CELWAVE</v>
          </cell>
          <cell r="B14542" t="str">
            <v>PD440-LSP-4</v>
          </cell>
          <cell r="O14542"/>
          <cell r="T14542"/>
        </row>
        <row r="14543">
          <cell r="A14543" t="str">
            <v>RFS/CELWAVE</v>
          </cell>
          <cell r="B14543" t="str">
            <v>PD453-1</v>
          </cell>
          <cell r="O14543"/>
          <cell r="T14543"/>
        </row>
        <row r="14544">
          <cell r="A14544" t="str">
            <v>RFS/CELWAVE</v>
          </cell>
          <cell r="B14544" t="str">
            <v>PD453-2</v>
          </cell>
          <cell r="O14544"/>
          <cell r="T14544"/>
        </row>
        <row r="14545">
          <cell r="A14545" t="str">
            <v>RFS/CELWAVE</v>
          </cell>
          <cell r="B14545" t="str">
            <v>PD455</v>
          </cell>
          <cell r="O14545"/>
          <cell r="T14545"/>
        </row>
        <row r="14546">
          <cell r="A14546" t="str">
            <v>RFS/CELWAVE</v>
          </cell>
          <cell r="B14546" t="str">
            <v>PD455-1</v>
          </cell>
          <cell r="O14546"/>
          <cell r="T14546"/>
        </row>
        <row r="14547">
          <cell r="A14547" t="str">
            <v>RFS/CELWAVE</v>
          </cell>
          <cell r="B14547" t="str">
            <v>PD455-10</v>
          </cell>
          <cell r="O14547"/>
          <cell r="T14547"/>
        </row>
        <row r="14548">
          <cell r="A14548" t="str">
            <v>RFS/CELWAVE</v>
          </cell>
          <cell r="B14548" t="str">
            <v>PD455-11</v>
          </cell>
          <cell r="O14548"/>
          <cell r="T14548"/>
        </row>
        <row r="14549">
          <cell r="A14549" t="str">
            <v>RFS/CELWAVE</v>
          </cell>
          <cell r="B14549" t="str">
            <v>PD455-2</v>
          </cell>
          <cell r="O14549"/>
          <cell r="T14549"/>
        </row>
        <row r="14550">
          <cell r="A14550" t="str">
            <v>RFS/CELWAVE</v>
          </cell>
          <cell r="B14550" t="str">
            <v>PD455-3</v>
          </cell>
          <cell r="O14550"/>
          <cell r="T14550"/>
        </row>
        <row r="14551">
          <cell r="A14551" t="str">
            <v>RFS/CELWAVE</v>
          </cell>
          <cell r="B14551" t="str">
            <v>PD455-4</v>
          </cell>
          <cell r="O14551"/>
          <cell r="T14551"/>
        </row>
        <row r="14552">
          <cell r="A14552" t="str">
            <v>RFS/CELWAVE</v>
          </cell>
          <cell r="B14552" t="str">
            <v>PD455-5</v>
          </cell>
          <cell r="O14552"/>
          <cell r="T14552"/>
        </row>
        <row r="14553">
          <cell r="A14553" t="str">
            <v>RFS/CELWAVE</v>
          </cell>
          <cell r="B14553" t="str">
            <v>PD455-6</v>
          </cell>
          <cell r="O14553"/>
          <cell r="T14553"/>
        </row>
        <row r="14554">
          <cell r="A14554" t="str">
            <v>RFS/CELWAVE</v>
          </cell>
          <cell r="B14554" t="str">
            <v>PD455-7</v>
          </cell>
          <cell r="O14554"/>
          <cell r="T14554"/>
        </row>
        <row r="14555">
          <cell r="A14555" t="str">
            <v>RFS/CELWAVE</v>
          </cell>
          <cell r="B14555" t="str">
            <v>PD455-8</v>
          </cell>
          <cell r="O14555"/>
          <cell r="T14555"/>
        </row>
        <row r="14556">
          <cell r="A14556" t="str">
            <v>RFS/CELWAVE</v>
          </cell>
          <cell r="B14556" t="str">
            <v>PD455-9</v>
          </cell>
          <cell r="O14556"/>
          <cell r="T14556"/>
        </row>
        <row r="14557">
          <cell r="A14557" t="str">
            <v>RFS/CELWAVE</v>
          </cell>
          <cell r="B14557" t="str">
            <v>PD455-DT</v>
          </cell>
          <cell r="O14557"/>
          <cell r="T14557"/>
        </row>
        <row r="14558">
          <cell r="A14558" t="str">
            <v>RFS/CELWAVE</v>
          </cell>
          <cell r="B14558" t="str">
            <v>PD458</v>
          </cell>
          <cell r="O14558"/>
          <cell r="T14558"/>
        </row>
        <row r="14559">
          <cell r="A14559" t="str">
            <v>RFS/CELWAVE</v>
          </cell>
          <cell r="B14559" t="str">
            <v>PD458-1</v>
          </cell>
          <cell r="O14559"/>
          <cell r="T14559"/>
        </row>
        <row r="14560">
          <cell r="A14560" t="str">
            <v>RFS/CELWAVE</v>
          </cell>
          <cell r="B14560" t="str">
            <v>PD458-1A</v>
          </cell>
          <cell r="O14560"/>
          <cell r="T14560"/>
        </row>
        <row r="14561">
          <cell r="A14561" t="str">
            <v>RFS/CELWAVE</v>
          </cell>
          <cell r="B14561" t="str">
            <v>PD458-2</v>
          </cell>
          <cell r="O14561"/>
          <cell r="T14561"/>
        </row>
        <row r="14562">
          <cell r="A14562" t="str">
            <v>RFS/CELWAVE</v>
          </cell>
          <cell r="B14562" t="str">
            <v>PD458-3</v>
          </cell>
          <cell r="O14562"/>
          <cell r="T14562"/>
        </row>
        <row r="14563">
          <cell r="A14563" t="str">
            <v>RFS/CELWAVE</v>
          </cell>
          <cell r="B14563" t="str">
            <v>PD458-4</v>
          </cell>
          <cell r="O14563"/>
          <cell r="T14563"/>
        </row>
        <row r="14564">
          <cell r="A14564" t="str">
            <v>RFS/CELWAVE</v>
          </cell>
          <cell r="B14564" t="str">
            <v>PD458-5</v>
          </cell>
          <cell r="O14564"/>
          <cell r="T14564"/>
        </row>
        <row r="14565">
          <cell r="A14565" t="str">
            <v>RFS/CELWAVE</v>
          </cell>
          <cell r="B14565" t="str">
            <v>PD458-6</v>
          </cell>
          <cell r="O14565"/>
          <cell r="T14565"/>
        </row>
        <row r="14566">
          <cell r="A14566" t="str">
            <v>RFS/CELWAVE</v>
          </cell>
          <cell r="B14566" t="str">
            <v>PD458K</v>
          </cell>
          <cell r="O14566"/>
          <cell r="T14566"/>
        </row>
        <row r="14567">
          <cell r="A14567" t="str">
            <v>RFS/CELWAVE</v>
          </cell>
          <cell r="B14567" t="str">
            <v>PD620</v>
          </cell>
          <cell r="O14567"/>
          <cell r="T14567"/>
        </row>
        <row r="14568">
          <cell r="A14568" t="str">
            <v>RFS/CELWAVE</v>
          </cell>
          <cell r="B14568" t="str">
            <v>PD620-1</v>
          </cell>
          <cell r="O14568"/>
          <cell r="T14568"/>
        </row>
        <row r="14569">
          <cell r="A14569" t="str">
            <v>RFS/CELWAVE</v>
          </cell>
          <cell r="B14569" t="str">
            <v>PD620-2</v>
          </cell>
          <cell r="O14569"/>
          <cell r="T14569"/>
        </row>
        <row r="14570">
          <cell r="A14570" t="str">
            <v>RFS/CELWAVE</v>
          </cell>
          <cell r="B14570" t="str">
            <v>PD620-3</v>
          </cell>
          <cell r="O14570"/>
          <cell r="T14570"/>
        </row>
        <row r="14571">
          <cell r="A14571" t="str">
            <v>RFS/CELWAVE</v>
          </cell>
          <cell r="B14571" t="str">
            <v>PD620-4</v>
          </cell>
          <cell r="O14571"/>
          <cell r="T14571"/>
        </row>
        <row r="14572">
          <cell r="A14572" t="str">
            <v>RFS/CELWAVE</v>
          </cell>
          <cell r="B14572" t="str">
            <v>PD620-5</v>
          </cell>
          <cell r="O14572"/>
          <cell r="T14572"/>
        </row>
        <row r="14573">
          <cell r="A14573" t="str">
            <v>RFS/CELWAVE</v>
          </cell>
          <cell r="B14573" t="str">
            <v>PD620-6</v>
          </cell>
          <cell r="O14573"/>
          <cell r="T14573"/>
        </row>
        <row r="14574">
          <cell r="A14574" t="str">
            <v>RFS/CELWAVE</v>
          </cell>
          <cell r="B14574" t="str">
            <v>PD620-7</v>
          </cell>
          <cell r="O14574"/>
          <cell r="T14574"/>
        </row>
        <row r="14575">
          <cell r="A14575" t="str">
            <v>RFS/CELWAVE</v>
          </cell>
          <cell r="B14575" t="str">
            <v>PD620-DT3</v>
          </cell>
          <cell r="O14575"/>
          <cell r="T14575"/>
        </row>
        <row r="14576">
          <cell r="A14576" t="str">
            <v>RFS/CELWAVE</v>
          </cell>
          <cell r="B14576" t="str">
            <v>PD620-DT6</v>
          </cell>
          <cell r="O14576"/>
          <cell r="T14576"/>
        </row>
        <row r="14577">
          <cell r="A14577" t="str">
            <v>RFS/CELWAVE</v>
          </cell>
          <cell r="B14577" t="str">
            <v>PD666</v>
          </cell>
          <cell r="O14577"/>
          <cell r="T14577"/>
        </row>
        <row r="14578">
          <cell r="A14578" t="str">
            <v>RFS/CELWAVE</v>
          </cell>
          <cell r="B14578" t="str">
            <v>PD688S-1</v>
          </cell>
          <cell r="O14578"/>
          <cell r="T14578"/>
        </row>
        <row r="14579">
          <cell r="A14579" t="str">
            <v>RFS/CELWAVE</v>
          </cell>
          <cell r="B14579" t="str">
            <v>PD688S-1_CCIV2</v>
          </cell>
          <cell r="O14579"/>
          <cell r="T14579"/>
        </row>
        <row r="14580">
          <cell r="A14580" t="str">
            <v>RFS/CELWAVE</v>
          </cell>
          <cell r="B14580" t="str">
            <v>PD688S-2</v>
          </cell>
          <cell r="O14580"/>
          <cell r="T14580"/>
        </row>
        <row r="14581">
          <cell r="A14581" t="str">
            <v>RFS/CELWAVE</v>
          </cell>
          <cell r="B14581" t="str">
            <v>PD688S-3</v>
          </cell>
          <cell r="O14581"/>
          <cell r="T14581"/>
        </row>
        <row r="14582">
          <cell r="A14582" t="str">
            <v>RFS/CELWAVE</v>
          </cell>
          <cell r="B14582" t="str">
            <v>PD688S-4</v>
          </cell>
          <cell r="O14582"/>
          <cell r="T14582"/>
        </row>
        <row r="14583">
          <cell r="A14583" t="str">
            <v>RFS/CELWAVE</v>
          </cell>
          <cell r="B14583" t="str">
            <v>PD688S-5</v>
          </cell>
          <cell r="O14583"/>
          <cell r="T14583"/>
        </row>
        <row r="14584">
          <cell r="A14584" t="str">
            <v>RFS/CELWAVE</v>
          </cell>
          <cell r="B14584" t="str">
            <v>PD688S-8</v>
          </cell>
          <cell r="O14584"/>
          <cell r="T14584"/>
        </row>
        <row r="14585">
          <cell r="A14585" t="str">
            <v>RFS/CELWAVE</v>
          </cell>
          <cell r="B14585" t="str">
            <v>PD755-3</v>
          </cell>
          <cell r="O14585"/>
          <cell r="T14585"/>
        </row>
        <row r="14586">
          <cell r="A14586" t="str">
            <v>RFS/CELWAVE</v>
          </cell>
          <cell r="B14586" t="str">
            <v>PD755-9</v>
          </cell>
          <cell r="O14586"/>
          <cell r="T14586"/>
        </row>
        <row r="14587">
          <cell r="A14587" t="str">
            <v>RFS/CELWAVE</v>
          </cell>
          <cell r="B14587" t="str">
            <v>PD83-1</v>
          </cell>
          <cell r="O14587"/>
          <cell r="T14587"/>
        </row>
        <row r="14588">
          <cell r="A14588" t="str">
            <v>RFS/CELWAVE</v>
          </cell>
          <cell r="B14588" t="str">
            <v>PD83A-2</v>
          </cell>
          <cell r="O14588"/>
          <cell r="T14588"/>
        </row>
        <row r="14589">
          <cell r="A14589" t="str">
            <v>RFS/CELWAVE</v>
          </cell>
          <cell r="B14589" t="str">
            <v>PEPSIL-36D</v>
          </cell>
          <cell r="O14589"/>
          <cell r="T14589"/>
        </row>
        <row r="14590">
          <cell r="A14590" t="str">
            <v>RFS/CELWAVE</v>
          </cell>
          <cell r="B14590" t="str">
            <v>PL8-107F</v>
          </cell>
          <cell r="O14590"/>
          <cell r="T14590"/>
        </row>
        <row r="14591">
          <cell r="A14591" t="str">
            <v>RFS/CELWAVE</v>
          </cell>
          <cell r="B14591" t="str">
            <v>PPV864615</v>
          </cell>
          <cell r="O14591"/>
          <cell r="T14591"/>
        </row>
        <row r="14592">
          <cell r="A14592" t="str">
            <v>RFS/CELWAVE</v>
          </cell>
          <cell r="B14592" t="str">
            <v>PSF10-57N</v>
          </cell>
          <cell r="O14592"/>
          <cell r="T14592"/>
        </row>
        <row r="14593">
          <cell r="A14593" t="str">
            <v>RFS/CELWAVE</v>
          </cell>
          <cell r="B14593" t="str">
            <v>PSF12-57N</v>
          </cell>
          <cell r="O14593"/>
          <cell r="T14593"/>
        </row>
        <row r="14594">
          <cell r="A14594" t="str">
            <v>RFS/CELWAVE</v>
          </cell>
          <cell r="B14594" t="str">
            <v>PSF2-57N</v>
          </cell>
          <cell r="O14594"/>
          <cell r="T14594"/>
        </row>
        <row r="14595">
          <cell r="A14595" t="str">
            <v>RFS/CELWAVE</v>
          </cell>
          <cell r="B14595" t="str">
            <v>PSF4-57N</v>
          </cell>
          <cell r="O14595"/>
          <cell r="T14595"/>
        </row>
        <row r="14596">
          <cell r="A14596" t="str">
            <v>RFS/CELWAVE</v>
          </cell>
          <cell r="B14596" t="str">
            <v>PSF6-57N</v>
          </cell>
          <cell r="O14596"/>
          <cell r="T14596"/>
        </row>
        <row r="14597">
          <cell r="A14597" t="str">
            <v>RFS/CELWAVE</v>
          </cell>
          <cell r="B14597" t="str">
            <v>PSF657252</v>
          </cell>
          <cell r="O14597"/>
          <cell r="T14597"/>
        </row>
        <row r="14598">
          <cell r="A14598" t="str">
            <v>RFS/CELWAVE</v>
          </cell>
          <cell r="B14598" t="str">
            <v>PSF8-57A</v>
          </cell>
          <cell r="O14598"/>
          <cell r="T14598"/>
        </row>
        <row r="14599">
          <cell r="A14599" t="str">
            <v>RFS/CELWAVE</v>
          </cell>
          <cell r="B14599" t="str">
            <v>PSF8-57AN</v>
          </cell>
          <cell r="O14599"/>
          <cell r="T14599"/>
        </row>
        <row r="14600">
          <cell r="A14600" t="str">
            <v>RFS/CELWAVE</v>
          </cell>
          <cell r="B14600" t="str">
            <v>PSF8-57N</v>
          </cell>
          <cell r="O14600"/>
          <cell r="T14600"/>
        </row>
        <row r="14601">
          <cell r="A14601" t="str">
            <v>RFS/CELWAVE</v>
          </cell>
          <cell r="B14601" t="str">
            <v>RD-24C170-500626-SL</v>
          </cell>
          <cell r="O14601"/>
          <cell r="T14601"/>
        </row>
        <row r="14602">
          <cell r="A14602" t="str">
            <v>RFS/CELWAVE</v>
          </cell>
          <cell r="B14602" t="str">
            <v>RD08B-488608L6SXY</v>
          </cell>
          <cell r="O14602"/>
          <cell r="T14602"/>
        </row>
        <row r="14603">
          <cell r="A14603" t="str">
            <v>RFS/CELWAVE</v>
          </cell>
          <cell r="B14603" t="str">
            <v>RD24OM-1618M6T60</v>
          </cell>
          <cell r="O14603"/>
          <cell r="T14603"/>
        </row>
        <row r="14604">
          <cell r="A14604" t="str">
            <v>RFS/CELWAVE</v>
          </cell>
          <cell r="B14604" t="str">
            <v>RD32VOM</v>
          </cell>
          <cell r="O14604"/>
          <cell r="T14604"/>
        </row>
        <row r="14605">
          <cell r="A14605" t="str">
            <v>RFS/CELWAVE</v>
          </cell>
          <cell r="B14605" t="str">
            <v>RD8-578704</v>
          </cell>
          <cell r="O14605"/>
          <cell r="T14605"/>
        </row>
        <row r="14606">
          <cell r="A14606" t="str">
            <v>RFS/CELWAVE</v>
          </cell>
          <cell r="B14606" t="str">
            <v>RLE859012-42T0</v>
          </cell>
          <cell r="O14606"/>
          <cell r="T14606"/>
        </row>
        <row r="14607">
          <cell r="A14607" t="str">
            <v>RFS/CELWAVE</v>
          </cell>
          <cell r="B14607" t="str">
            <v>SAA18-O4A-J480-ET5R-21</v>
          </cell>
          <cell r="O14607"/>
          <cell r="T14607"/>
        </row>
        <row r="14608">
          <cell r="A14608" t="str">
            <v>RFS/CELWAVE</v>
          </cell>
          <cell r="B14608" t="str">
            <v>SB1-127BB</v>
          </cell>
          <cell r="O14608"/>
          <cell r="T14608"/>
        </row>
        <row r="14609">
          <cell r="A14609" t="str">
            <v>RFS/CELWAVE</v>
          </cell>
          <cell r="B14609" t="str">
            <v>SB1-190BB</v>
          </cell>
          <cell r="O14609"/>
          <cell r="T14609"/>
        </row>
        <row r="14610">
          <cell r="A14610" t="str">
            <v>RFS/CELWAVE</v>
          </cell>
          <cell r="B14610" t="str">
            <v>SB1-190CB</v>
          </cell>
          <cell r="O14610"/>
          <cell r="T14610"/>
        </row>
        <row r="14611">
          <cell r="A14611" t="str">
            <v>RFS/CELWAVE</v>
          </cell>
          <cell r="B14611" t="str">
            <v>SB1-190CMPT</v>
          </cell>
          <cell r="O14611"/>
          <cell r="T14611"/>
        </row>
        <row r="14612">
          <cell r="A14612" t="str">
            <v>RFS/CELWAVE</v>
          </cell>
          <cell r="B14612" t="str">
            <v>SB1-220AMPT</v>
          </cell>
          <cell r="O14612"/>
          <cell r="T14612"/>
        </row>
        <row r="14613">
          <cell r="A14613" t="str">
            <v>RFS/CELWAVE</v>
          </cell>
          <cell r="B14613" t="str">
            <v>SB1-220BB</v>
          </cell>
          <cell r="O14613"/>
          <cell r="T14613"/>
        </row>
        <row r="14614">
          <cell r="A14614" t="str">
            <v>RFS/CELWAVE</v>
          </cell>
          <cell r="B14614" t="str">
            <v>SB1-220CB</v>
          </cell>
          <cell r="O14614"/>
          <cell r="T14614"/>
        </row>
        <row r="14615">
          <cell r="A14615" t="str">
            <v>RFS/CELWAVE</v>
          </cell>
          <cell r="B14615" t="str">
            <v>SB1-220CIPN</v>
          </cell>
          <cell r="O14615"/>
          <cell r="T14615"/>
        </row>
        <row r="14616">
          <cell r="A14616" t="str">
            <v>RFS/CELWAVE</v>
          </cell>
          <cell r="B14616" t="str">
            <v>SB1-220CMPT</v>
          </cell>
          <cell r="O14616"/>
          <cell r="T14616"/>
        </row>
        <row r="14617">
          <cell r="A14617" t="str">
            <v>RFS/CELWAVE</v>
          </cell>
          <cell r="B14617" t="str">
            <v>SB1-250A</v>
          </cell>
          <cell r="O14617"/>
          <cell r="T14617"/>
        </row>
        <row r="14618">
          <cell r="A14618" t="str">
            <v>RFS/CELWAVE</v>
          </cell>
          <cell r="B14618" t="str">
            <v>SB1-W800C</v>
          </cell>
          <cell r="O14618"/>
          <cell r="T14618"/>
        </row>
        <row r="14619">
          <cell r="A14619" t="str">
            <v>RFS/CELWAVE</v>
          </cell>
          <cell r="B14619" t="str">
            <v>SB1-W800XGT1R-FCC_0514</v>
          </cell>
          <cell r="O14619"/>
          <cell r="T14619"/>
        </row>
        <row r="14620">
          <cell r="A14620" t="str">
            <v>RFS/CELWAVE</v>
          </cell>
          <cell r="B14620" t="str">
            <v>SB2-105AC</v>
          </cell>
          <cell r="O14620"/>
          <cell r="T14620"/>
        </row>
        <row r="14621">
          <cell r="A14621" t="str">
            <v>RFS/CELWAVE</v>
          </cell>
          <cell r="B14621" t="str">
            <v>SB2-105BC</v>
          </cell>
          <cell r="O14621"/>
          <cell r="T14621"/>
        </row>
        <row r="14622">
          <cell r="A14622" t="str">
            <v>RFS/CELWAVE</v>
          </cell>
          <cell r="B14622" t="str">
            <v>SB2-107</v>
          </cell>
          <cell r="O14622"/>
          <cell r="T14622"/>
        </row>
        <row r="14623">
          <cell r="A14623" t="str">
            <v>RFS/CELWAVE</v>
          </cell>
          <cell r="B14623" t="str">
            <v>SB2-107AMPT</v>
          </cell>
          <cell r="O14623"/>
          <cell r="T14623"/>
        </row>
        <row r="14624">
          <cell r="A14624" t="str">
            <v>RFS/CELWAVE</v>
          </cell>
          <cell r="B14624" t="str">
            <v>SB2-107BC</v>
          </cell>
          <cell r="O14624"/>
          <cell r="T14624"/>
        </row>
        <row r="14625">
          <cell r="A14625" t="str">
            <v>RFS/CELWAVE</v>
          </cell>
          <cell r="B14625" t="str">
            <v>SB2-107C</v>
          </cell>
          <cell r="O14625"/>
          <cell r="T14625"/>
        </row>
        <row r="14626">
          <cell r="A14626" t="str">
            <v>RFS/CELWAVE</v>
          </cell>
          <cell r="B14626" t="str">
            <v>SB2-107CB</v>
          </cell>
          <cell r="O14626"/>
          <cell r="T14626"/>
        </row>
        <row r="14627">
          <cell r="A14627" t="str">
            <v>RFS/CELWAVE</v>
          </cell>
          <cell r="B14627" t="str">
            <v>SB2-107CC</v>
          </cell>
          <cell r="O14627"/>
          <cell r="T14627"/>
        </row>
        <row r="14628">
          <cell r="A14628" t="str">
            <v>RFS/CELWAVE</v>
          </cell>
          <cell r="B14628" t="str">
            <v>SB2-107CD</v>
          </cell>
          <cell r="O14628"/>
          <cell r="T14628"/>
        </row>
        <row r="14629">
          <cell r="A14629" t="str">
            <v>RFS/CELWAVE</v>
          </cell>
          <cell r="B14629" t="str">
            <v>SB2-127BB</v>
          </cell>
          <cell r="O14629"/>
          <cell r="T14629"/>
        </row>
        <row r="14630">
          <cell r="A14630" t="str">
            <v>RFS/CELWAVE</v>
          </cell>
          <cell r="B14630" t="str">
            <v>SB2-127CB</v>
          </cell>
          <cell r="O14630"/>
          <cell r="T14630"/>
        </row>
        <row r="14631">
          <cell r="A14631" t="str">
            <v>RFS/CELWAVE</v>
          </cell>
          <cell r="B14631" t="str">
            <v>SB2-142BB</v>
          </cell>
          <cell r="O14631"/>
          <cell r="T14631"/>
        </row>
        <row r="14632">
          <cell r="A14632" t="str">
            <v>RFS/CELWAVE</v>
          </cell>
          <cell r="B14632" t="str">
            <v>SB2-190</v>
          </cell>
          <cell r="O14632"/>
          <cell r="T14632"/>
        </row>
        <row r="14633">
          <cell r="A14633" t="str">
            <v>RFS/CELWAVE</v>
          </cell>
          <cell r="B14633" t="str">
            <v>SB2-190A</v>
          </cell>
          <cell r="O14633"/>
          <cell r="T14633"/>
        </row>
        <row r="14634">
          <cell r="A14634" t="str">
            <v>RFS/CELWAVE</v>
          </cell>
          <cell r="B14634" t="str">
            <v>SB2-190AB</v>
          </cell>
          <cell r="O14634"/>
          <cell r="T14634"/>
        </row>
        <row r="14635">
          <cell r="A14635" t="str">
            <v>RFS/CELWAVE</v>
          </cell>
          <cell r="B14635" t="str">
            <v>SB2-190BB</v>
          </cell>
          <cell r="O14635"/>
          <cell r="T14635"/>
        </row>
        <row r="14636">
          <cell r="A14636" t="str">
            <v>RFS/CELWAVE</v>
          </cell>
          <cell r="B14636" t="str">
            <v>SB2-190C</v>
          </cell>
          <cell r="O14636"/>
          <cell r="T14636"/>
        </row>
        <row r="14637">
          <cell r="A14637" t="str">
            <v>RFS/CELWAVE</v>
          </cell>
          <cell r="B14637" t="str">
            <v>SB2-190CB</v>
          </cell>
          <cell r="O14637"/>
          <cell r="T14637"/>
        </row>
        <row r="14638">
          <cell r="A14638" t="str">
            <v>RFS/CELWAVE</v>
          </cell>
          <cell r="B14638" t="str">
            <v>SB2-190STX</v>
          </cell>
          <cell r="O14638"/>
          <cell r="T14638"/>
        </row>
        <row r="14639">
          <cell r="A14639" t="str">
            <v>RFS/CELWAVE</v>
          </cell>
          <cell r="B14639" t="str">
            <v>SB2-220BB</v>
          </cell>
          <cell r="O14639"/>
          <cell r="T14639"/>
        </row>
        <row r="14640">
          <cell r="A14640" t="str">
            <v>RFS/CELWAVE</v>
          </cell>
          <cell r="B14640" t="str">
            <v>SB2-220CB</v>
          </cell>
          <cell r="O14640"/>
          <cell r="T14640"/>
        </row>
        <row r="14641">
          <cell r="A14641" t="str">
            <v>RFS/CELWAVE</v>
          </cell>
          <cell r="B14641" t="str">
            <v>SB2-250BB</v>
          </cell>
          <cell r="O14641"/>
          <cell r="T14641"/>
        </row>
        <row r="14642">
          <cell r="A14642" t="str">
            <v>RFS/CELWAVE</v>
          </cell>
          <cell r="B14642" t="str">
            <v>SB2-380BB</v>
          </cell>
          <cell r="O14642"/>
          <cell r="T14642"/>
        </row>
        <row r="14643">
          <cell r="A14643" t="str">
            <v>RFS/CELWAVE</v>
          </cell>
          <cell r="B14643" t="str">
            <v>SB2-57AMPT</v>
          </cell>
          <cell r="O14643"/>
          <cell r="T14643"/>
        </row>
        <row r="14644">
          <cell r="A14644" t="str">
            <v>RFS/CELWAVE</v>
          </cell>
          <cell r="B14644" t="str">
            <v>SB3-105AC</v>
          </cell>
          <cell r="O14644"/>
          <cell r="T14644"/>
        </row>
        <row r="14645">
          <cell r="A14645" t="str">
            <v>RFS/CELWAVE</v>
          </cell>
          <cell r="B14645" t="str">
            <v>SB3-107BB</v>
          </cell>
          <cell r="O14645"/>
          <cell r="T14645"/>
        </row>
        <row r="14646">
          <cell r="A14646" t="str">
            <v>RFS/CELWAVE</v>
          </cell>
          <cell r="B14646" t="str">
            <v>SB3-190AB</v>
          </cell>
          <cell r="O14646"/>
          <cell r="T14646"/>
        </row>
        <row r="14647">
          <cell r="A14647" t="str">
            <v>RFS/CELWAVE</v>
          </cell>
          <cell r="B14647" t="str">
            <v>SB3-190AMPT</v>
          </cell>
          <cell r="O14647"/>
          <cell r="T14647"/>
        </row>
        <row r="14648">
          <cell r="A14648" t="str">
            <v>RFS/CELWAVE</v>
          </cell>
          <cell r="B14648" t="str">
            <v>SB3-190CB2</v>
          </cell>
          <cell r="O14648"/>
          <cell r="T14648"/>
        </row>
        <row r="14649">
          <cell r="A14649" t="str">
            <v>RFS/CELWAVE</v>
          </cell>
          <cell r="B14649" t="str">
            <v>SB3-220AB</v>
          </cell>
          <cell r="O14649"/>
          <cell r="T14649"/>
        </row>
        <row r="14650">
          <cell r="A14650" t="str">
            <v>RFS/CELWAVE</v>
          </cell>
          <cell r="B14650" t="str">
            <v>SB3-W100AC</v>
          </cell>
          <cell r="O14650"/>
          <cell r="T14650"/>
        </row>
        <row r="14651">
          <cell r="A14651" t="str">
            <v>RFS/CELWAVE</v>
          </cell>
          <cell r="B14651" t="str">
            <v>SB3-W100AMPT</v>
          </cell>
          <cell r="O14651"/>
          <cell r="T14651"/>
        </row>
        <row r="14652">
          <cell r="A14652" t="str">
            <v>RFS/CELWAVE</v>
          </cell>
          <cell r="B14652" t="str">
            <v>SB4-107A</v>
          </cell>
          <cell r="O14652"/>
          <cell r="T14652"/>
        </row>
        <row r="14653">
          <cell r="A14653" t="str">
            <v>RFS/CELWAVE</v>
          </cell>
          <cell r="B14653" t="str">
            <v>SB4-107BB</v>
          </cell>
          <cell r="O14653"/>
          <cell r="T14653"/>
        </row>
        <row r="14654">
          <cell r="A14654" t="str">
            <v>RFS/CELWAVE</v>
          </cell>
          <cell r="B14654" t="str">
            <v>SB4-107CC</v>
          </cell>
          <cell r="O14654"/>
          <cell r="T14654"/>
        </row>
        <row r="14655">
          <cell r="A14655" t="str">
            <v>RFS/CELWAVE</v>
          </cell>
          <cell r="B14655" t="str">
            <v>SB4-190AB</v>
          </cell>
          <cell r="O14655"/>
          <cell r="T14655"/>
        </row>
        <row r="14656">
          <cell r="A14656" t="str">
            <v>RFS/CELWAVE</v>
          </cell>
          <cell r="B14656" t="str">
            <v>SB4-190AMPT</v>
          </cell>
          <cell r="O14656"/>
          <cell r="T14656"/>
        </row>
        <row r="14657">
          <cell r="A14657" t="str">
            <v>RFS/CELWAVE</v>
          </cell>
          <cell r="B14657" t="str">
            <v>SB4-190BB</v>
          </cell>
          <cell r="O14657"/>
          <cell r="T14657"/>
        </row>
        <row r="14658">
          <cell r="A14658" t="str">
            <v>RFS/CELWAVE</v>
          </cell>
          <cell r="B14658" t="str">
            <v>SB4-190CB</v>
          </cell>
          <cell r="O14658"/>
          <cell r="T14658"/>
        </row>
        <row r="14659">
          <cell r="A14659" t="str">
            <v>RFS/CELWAVE</v>
          </cell>
          <cell r="B14659" t="str">
            <v>SB4-190EB</v>
          </cell>
          <cell r="O14659"/>
          <cell r="T14659"/>
        </row>
        <row r="14660">
          <cell r="A14660" t="str">
            <v>RFS/CELWAVE</v>
          </cell>
          <cell r="B14660" t="str">
            <v>SB4-220AMPT</v>
          </cell>
          <cell r="O14660"/>
          <cell r="T14660"/>
        </row>
        <row r="14661">
          <cell r="A14661" t="str">
            <v>RFS/CELWAVE</v>
          </cell>
          <cell r="B14661" t="str">
            <v>SB4-W100</v>
          </cell>
          <cell r="O14661"/>
          <cell r="T14661"/>
        </row>
        <row r="14662">
          <cell r="A14662" t="str">
            <v>RFS/CELWAVE</v>
          </cell>
          <cell r="B14662" t="str">
            <v>SB4-W100AC</v>
          </cell>
          <cell r="O14662"/>
          <cell r="T14662"/>
        </row>
        <row r="14663">
          <cell r="A14663" t="str">
            <v>RFS/CELWAVE</v>
          </cell>
          <cell r="B14663" t="str">
            <v>SB4-W100AMPT</v>
          </cell>
          <cell r="O14663"/>
          <cell r="T14663"/>
        </row>
        <row r="14664">
          <cell r="A14664" t="str">
            <v>RFS/CELWAVE</v>
          </cell>
          <cell r="B14664" t="str">
            <v>SB4-W100CB</v>
          </cell>
          <cell r="O14664"/>
          <cell r="T14664"/>
        </row>
        <row r="14665">
          <cell r="A14665" t="str">
            <v>RFS/CELWAVE</v>
          </cell>
          <cell r="B14665" t="str">
            <v>SB4-W100CC</v>
          </cell>
          <cell r="O14665"/>
          <cell r="T14665"/>
        </row>
        <row r="14666">
          <cell r="A14666" t="str">
            <v>RFS/CELWAVE</v>
          </cell>
          <cell r="B14666" t="str">
            <v>SB4-W100CD</v>
          </cell>
          <cell r="O14666"/>
          <cell r="T14666"/>
        </row>
        <row r="14667">
          <cell r="A14667" t="str">
            <v>RFS/CELWAVE</v>
          </cell>
          <cell r="B14667" t="str">
            <v>SB4-W100CDRW</v>
          </cell>
          <cell r="O14667"/>
          <cell r="T14667"/>
        </row>
        <row r="14668">
          <cell r="A14668" t="str">
            <v>RFS/CELWAVE</v>
          </cell>
          <cell r="B14668" t="str">
            <v>SB4-W100DC2</v>
          </cell>
          <cell r="O14668"/>
          <cell r="T14668"/>
        </row>
        <row r="14669">
          <cell r="A14669" t="str">
            <v>RFS/CELWAVE</v>
          </cell>
          <cell r="B14669" t="str">
            <v>SB4-W100EGT1RC</v>
          </cell>
          <cell r="O14669"/>
          <cell r="T14669"/>
        </row>
        <row r="14670">
          <cell r="A14670" t="str">
            <v>RFS/CELWAVE</v>
          </cell>
          <cell r="B14670" t="str">
            <v>SB4-W100XC2</v>
          </cell>
          <cell r="O14670"/>
          <cell r="T14670"/>
        </row>
        <row r="14671">
          <cell r="A14671" t="str">
            <v>RFS/CELWAVE</v>
          </cell>
          <cell r="B14671" t="str">
            <v>SB4-W60AD</v>
          </cell>
          <cell r="O14671"/>
          <cell r="T14671"/>
        </row>
        <row r="14672">
          <cell r="A14672" t="str">
            <v>RFS/CELWAVE</v>
          </cell>
          <cell r="B14672" t="str">
            <v>SB4-W60AMPT</v>
          </cell>
          <cell r="O14672"/>
          <cell r="T14672"/>
        </row>
        <row r="14673">
          <cell r="A14673" t="str">
            <v>RFS/CELWAVE</v>
          </cell>
          <cell r="B14673" t="str">
            <v>SB4-W60CC2</v>
          </cell>
          <cell r="O14673"/>
          <cell r="T14673"/>
        </row>
        <row r="14674">
          <cell r="A14674" t="str">
            <v>RFS/CELWAVE</v>
          </cell>
          <cell r="B14674" t="str">
            <v>SB4-W60CD</v>
          </cell>
          <cell r="O14674"/>
          <cell r="T14674"/>
        </row>
        <row r="14675">
          <cell r="A14675" t="str">
            <v>RFS/CELWAVE</v>
          </cell>
          <cell r="B14675" t="str">
            <v>SB4-W60DC</v>
          </cell>
          <cell r="O14675"/>
          <cell r="T14675"/>
        </row>
        <row r="14676">
          <cell r="A14676" t="str">
            <v>RFS/CELWAVE</v>
          </cell>
          <cell r="B14676" t="str">
            <v>SB4-W71BD</v>
          </cell>
          <cell r="O14676"/>
          <cell r="T14676"/>
        </row>
        <row r="14677">
          <cell r="A14677" t="str">
            <v>RFS/CELWAVE</v>
          </cell>
          <cell r="B14677" t="str">
            <v>SB4-W71CC</v>
          </cell>
          <cell r="O14677"/>
          <cell r="T14677"/>
        </row>
        <row r="14678">
          <cell r="A14678" t="str">
            <v>RFS/CELWAVE</v>
          </cell>
          <cell r="B14678" t="str">
            <v>SB4-W71EC</v>
          </cell>
          <cell r="O14678"/>
          <cell r="T14678"/>
        </row>
        <row r="14679">
          <cell r="A14679" t="str">
            <v>RFS/CELWAVE</v>
          </cell>
          <cell r="B14679" t="str">
            <v>SB6-190AB</v>
          </cell>
          <cell r="O14679"/>
          <cell r="T14679"/>
        </row>
        <row r="14680">
          <cell r="A14680" t="str">
            <v>RFS/CELWAVE</v>
          </cell>
          <cell r="B14680" t="str">
            <v>SB6-190CB</v>
          </cell>
          <cell r="O14680"/>
          <cell r="T14680"/>
        </row>
        <row r="14681">
          <cell r="A14681" t="str">
            <v>RFS/CELWAVE</v>
          </cell>
          <cell r="B14681" t="str">
            <v>SB6-W100AC</v>
          </cell>
          <cell r="O14681"/>
          <cell r="T14681"/>
        </row>
        <row r="14682">
          <cell r="A14682" t="str">
            <v>RFS/CELWAVE</v>
          </cell>
          <cell r="B14682" t="str">
            <v>SB6-W100AMPT</v>
          </cell>
          <cell r="O14682"/>
          <cell r="T14682"/>
        </row>
        <row r="14683">
          <cell r="A14683" t="str">
            <v>RFS/CELWAVE</v>
          </cell>
          <cell r="B14683" t="str">
            <v>SB6-W100CB</v>
          </cell>
          <cell r="O14683"/>
          <cell r="T14683"/>
        </row>
        <row r="14684">
          <cell r="A14684" t="str">
            <v>RFS/CELWAVE</v>
          </cell>
          <cell r="B14684" t="str">
            <v>SB6-W100CC</v>
          </cell>
          <cell r="O14684"/>
          <cell r="T14684"/>
        </row>
        <row r="14685">
          <cell r="A14685" t="str">
            <v>RFS/CELWAVE</v>
          </cell>
          <cell r="B14685" t="str">
            <v>SB6-W100CD</v>
          </cell>
          <cell r="O14685"/>
          <cell r="T14685"/>
        </row>
        <row r="14686">
          <cell r="A14686" t="str">
            <v>RFS/CELWAVE</v>
          </cell>
          <cell r="B14686" t="str">
            <v>SB6-W100CSTX</v>
          </cell>
          <cell r="O14686"/>
          <cell r="T14686"/>
        </row>
        <row r="14687">
          <cell r="A14687" t="str">
            <v>RFS/CELWAVE</v>
          </cell>
          <cell r="B14687" t="str">
            <v>SB6-W60AC</v>
          </cell>
          <cell r="O14687"/>
          <cell r="T14687"/>
        </row>
        <row r="14688">
          <cell r="A14688" t="str">
            <v>RFS/CELWAVE</v>
          </cell>
          <cell r="B14688" t="str">
            <v>SB6-W60AMPT</v>
          </cell>
          <cell r="O14688"/>
          <cell r="T14688"/>
        </row>
        <row r="14689">
          <cell r="A14689" t="str">
            <v>RFS/CELWAVE</v>
          </cell>
          <cell r="B14689" t="str">
            <v>SB6-W60BC</v>
          </cell>
          <cell r="O14689"/>
          <cell r="T14689"/>
        </row>
        <row r="14690">
          <cell r="A14690" t="str">
            <v>RFS/CELWAVE</v>
          </cell>
          <cell r="B14690" t="str">
            <v>SB6-W60BMPT</v>
          </cell>
          <cell r="O14690"/>
          <cell r="T14690"/>
        </row>
        <row r="14691">
          <cell r="A14691" t="str">
            <v>RFS/CELWAVE</v>
          </cell>
          <cell r="B14691" t="str">
            <v>SB6-W60CC</v>
          </cell>
          <cell r="O14691"/>
          <cell r="T14691"/>
        </row>
        <row r="14692">
          <cell r="A14692" t="str">
            <v>RFS/CELWAVE</v>
          </cell>
          <cell r="B14692" t="str">
            <v>SB6-W60CD2</v>
          </cell>
          <cell r="O14692"/>
          <cell r="T14692"/>
        </row>
        <row r="14693">
          <cell r="A14693" t="str">
            <v>RFS/CELWAVE</v>
          </cell>
          <cell r="B14693" t="str">
            <v>SB6-W60CMPT</v>
          </cell>
          <cell r="O14693"/>
          <cell r="T14693"/>
        </row>
        <row r="14694">
          <cell r="A14694" t="str">
            <v>RFS/CELWAVE</v>
          </cell>
          <cell r="B14694" t="str">
            <v>SB6-W60X2</v>
          </cell>
          <cell r="O14694"/>
          <cell r="T14694"/>
        </row>
        <row r="14695">
          <cell r="A14695" t="str">
            <v>RFS/CELWAVE</v>
          </cell>
          <cell r="B14695" t="str">
            <v>SB6-W60XC2</v>
          </cell>
          <cell r="O14695"/>
          <cell r="T14695"/>
        </row>
        <row r="14696">
          <cell r="A14696" t="str">
            <v>RFS/CELWAVE</v>
          </cell>
          <cell r="B14696" t="str">
            <v>SB6-W71DC2</v>
          </cell>
          <cell r="O14696"/>
          <cell r="T14696"/>
        </row>
        <row r="14697">
          <cell r="A14697" t="str">
            <v>RFS/CELWAVE</v>
          </cell>
          <cell r="B14697" t="str">
            <v>SBX1-190CB</v>
          </cell>
          <cell r="O14697"/>
          <cell r="T14697"/>
        </row>
        <row r="14698">
          <cell r="A14698" t="str">
            <v>RFS/CELWAVE</v>
          </cell>
          <cell r="B14698" t="str">
            <v>SBX1-220CB</v>
          </cell>
          <cell r="O14698"/>
          <cell r="T14698"/>
        </row>
        <row r="14699">
          <cell r="A14699" t="str">
            <v>RFS/CELWAVE</v>
          </cell>
          <cell r="B14699" t="str">
            <v>SBX1-220CMPT</v>
          </cell>
          <cell r="O14699"/>
          <cell r="T14699"/>
        </row>
        <row r="14700">
          <cell r="A14700" t="str">
            <v>RFS/CELWAVE</v>
          </cell>
          <cell r="B14700" t="str">
            <v>SBX2-107AB</v>
          </cell>
          <cell r="O14700"/>
          <cell r="T14700"/>
        </row>
        <row r="14701">
          <cell r="A14701" t="str">
            <v>RFS/CELWAVE</v>
          </cell>
          <cell r="B14701" t="str">
            <v>SBX2-107AC</v>
          </cell>
          <cell r="O14701"/>
          <cell r="T14701"/>
        </row>
        <row r="14702">
          <cell r="A14702" t="str">
            <v>RFS/CELWAVE</v>
          </cell>
          <cell r="B14702" t="str">
            <v>SBX2-107AMPT</v>
          </cell>
          <cell r="O14702"/>
          <cell r="T14702"/>
        </row>
        <row r="14703">
          <cell r="A14703" t="str">
            <v>RFS/CELWAVE</v>
          </cell>
          <cell r="B14703" t="str">
            <v>SBX2-107BNEC</v>
          </cell>
          <cell r="O14703"/>
          <cell r="T14703"/>
        </row>
        <row r="14704">
          <cell r="A14704" t="str">
            <v>RFS/CELWAVE</v>
          </cell>
          <cell r="B14704" t="str">
            <v>SBX2-107NEC</v>
          </cell>
          <cell r="O14704"/>
          <cell r="T14704"/>
        </row>
        <row r="14705">
          <cell r="A14705" t="str">
            <v>RFS/CELWAVE</v>
          </cell>
          <cell r="B14705" t="str">
            <v>SBX2-190CB</v>
          </cell>
          <cell r="O14705"/>
          <cell r="T14705"/>
        </row>
        <row r="14706">
          <cell r="A14706" t="str">
            <v>RFS/CELWAVE</v>
          </cell>
          <cell r="B14706" t="str">
            <v>SBX3-107AC</v>
          </cell>
          <cell r="O14706"/>
          <cell r="T14706"/>
        </row>
        <row r="14707">
          <cell r="A14707" t="str">
            <v>RFS/CELWAVE</v>
          </cell>
          <cell r="B14707" t="str">
            <v>SBX3-107NEC</v>
          </cell>
          <cell r="O14707"/>
          <cell r="T14707"/>
        </row>
        <row r="14708">
          <cell r="A14708" t="str">
            <v>RFS/CELWAVE</v>
          </cell>
          <cell r="B14708" t="str">
            <v>SBX3-190AB</v>
          </cell>
          <cell r="O14708"/>
          <cell r="T14708"/>
        </row>
        <row r="14709">
          <cell r="A14709" t="str">
            <v>RFS/CELWAVE</v>
          </cell>
          <cell r="B14709" t="str">
            <v>SBX3-190AMPT</v>
          </cell>
          <cell r="O14709"/>
          <cell r="T14709"/>
        </row>
        <row r="14710">
          <cell r="A14710" t="str">
            <v>RFS/CELWAVE</v>
          </cell>
          <cell r="B14710" t="str">
            <v>SBX3-W100AMPT</v>
          </cell>
          <cell r="O14710"/>
          <cell r="T14710"/>
        </row>
        <row r="14711">
          <cell r="A14711" t="str">
            <v>RFS/CELWAVE</v>
          </cell>
          <cell r="B14711" t="str">
            <v>SBX4-107AB</v>
          </cell>
          <cell r="O14711"/>
          <cell r="T14711"/>
        </row>
        <row r="14712">
          <cell r="A14712" t="str">
            <v>RFS/CELWAVE</v>
          </cell>
          <cell r="B14712" t="str">
            <v>SBX4-107NEC</v>
          </cell>
          <cell r="O14712"/>
          <cell r="T14712"/>
        </row>
        <row r="14713">
          <cell r="A14713" t="str">
            <v>RFS/CELWAVE</v>
          </cell>
          <cell r="B14713" t="str">
            <v>SBX4-190AMPT</v>
          </cell>
          <cell r="O14713"/>
          <cell r="T14713"/>
        </row>
        <row r="14714">
          <cell r="A14714" t="str">
            <v>RFS/CELWAVE</v>
          </cell>
          <cell r="B14714" t="str">
            <v>SBX4-190DB</v>
          </cell>
          <cell r="O14714"/>
          <cell r="T14714"/>
        </row>
        <row r="14715">
          <cell r="A14715" t="str">
            <v>RFS/CELWAVE</v>
          </cell>
          <cell r="B14715" t="str">
            <v>SBX4-220AMPT</v>
          </cell>
          <cell r="O14715"/>
          <cell r="T14715"/>
        </row>
        <row r="14716">
          <cell r="A14716" t="str">
            <v>RFS/CELWAVE</v>
          </cell>
          <cell r="B14716" t="str">
            <v>SBX4-W100AB</v>
          </cell>
          <cell r="O14716"/>
          <cell r="T14716"/>
        </row>
        <row r="14717">
          <cell r="A14717" t="str">
            <v>RFS/CELWAVE</v>
          </cell>
          <cell r="B14717" t="str">
            <v>SBX4-W100AC</v>
          </cell>
          <cell r="O14717"/>
          <cell r="T14717"/>
        </row>
        <row r="14718">
          <cell r="A14718" t="str">
            <v>RFS/CELWAVE</v>
          </cell>
          <cell r="B14718" t="str">
            <v>SBX4-W100AMPT</v>
          </cell>
          <cell r="O14718"/>
          <cell r="T14718"/>
        </row>
        <row r="14719">
          <cell r="A14719" t="str">
            <v>RFS/CELWAVE</v>
          </cell>
          <cell r="B14719" t="str">
            <v>SBX4-W100CC</v>
          </cell>
          <cell r="O14719"/>
          <cell r="T14719"/>
        </row>
        <row r="14720">
          <cell r="A14720" t="str">
            <v>RFS/CELWAVE</v>
          </cell>
          <cell r="B14720" t="str">
            <v>SBX4-W100DB</v>
          </cell>
          <cell r="O14720"/>
          <cell r="T14720"/>
        </row>
        <row r="14721">
          <cell r="A14721" t="str">
            <v>RFS/CELWAVE</v>
          </cell>
          <cell r="B14721" t="str">
            <v>SBX4-W60AC2</v>
          </cell>
          <cell r="O14721"/>
          <cell r="T14721"/>
        </row>
        <row r="14722">
          <cell r="A14722" t="str">
            <v>RFS/CELWAVE</v>
          </cell>
          <cell r="B14722" t="str">
            <v>SBX4-W60AMPT</v>
          </cell>
          <cell r="O14722"/>
          <cell r="T14722"/>
        </row>
        <row r="14723">
          <cell r="A14723" t="str">
            <v>RFS/CELWAVE</v>
          </cell>
          <cell r="B14723" t="str">
            <v>SBX4-W60CC</v>
          </cell>
          <cell r="O14723"/>
          <cell r="T14723"/>
        </row>
        <row r="14724">
          <cell r="A14724" t="str">
            <v>RFS/CELWAVE</v>
          </cell>
          <cell r="B14724" t="str">
            <v>SBX4-W60CD</v>
          </cell>
          <cell r="O14724"/>
          <cell r="T14724"/>
        </row>
        <row r="14725">
          <cell r="A14725" t="str">
            <v>RFS/CELWAVE</v>
          </cell>
          <cell r="B14725" t="str">
            <v>SBX4-W60DC</v>
          </cell>
          <cell r="O14725"/>
          <cell r="T14725"/>
        </row>
        <row r="14726">
          <cell r="A14726" t="str">
            <v>RFS/CELWAVE</v>
          </cell>
          <cell r="B14726" t="str">
            <v>SBX6 W100DC2</v>
          </cell>
          <cell r="O14726"/>
          <cell r="T14726"/>
        </row>
        <row r="14727">
          <cell r="A14727" t="str">
            <v>RFS/CELWAVE</v>
          </cell>
          <cell r="B14727" t="str">
            <v>SBX6-190AB2</v>
          </cell>
          <cell r="O14727"/>
          <cell r="T14727"/>
        </row>
        <row r="14728">
          <cell r="A14728" t="str">
            <v>RFS/CELWAVE</v>
          </cell>
          <cell r="B14728" t="str">
            <v>SBX6-W100A</v>
          </cell>
          <cell r="O14728"/>
          <cell r="T14728"/>
        </row>
        <row r="14729">
          <cell r="A14729" t="str">
            <v>RFS/CELWAVE</v>
          </cell>
          <cell r="B14729" t="str">
            <v>SBX6-W100AC2</v>
          </cell>
          <cell r="O14729"/>
          <cell r="T14729"/>
        </row>
        <row r="14730">
          <cell r="A14730" t="str">
            <v>RFS/CELWAVE</v>
          </cell>
          <cell r="B14730" t="str">
            <v>SBX6-W100AMPT</v>
          </cell>
          <cell r="O14730"/>
          <cell r="T14730"/>
        </row>
        <row r="14731">
          <cell r="A14731" t="str">
            <v>RFS/CELWAVE</v>
          </cell>
          <cell r="B14731" t="str">
            <v>SBX6-W100DC2</v>
          </cell>
          <cell r="O14731"/>
          <cell r="T14731"/>
        </row>
        <row r="14732">
          <cell r="A14732" t="str">
            <v>RFS/CELWAVE</v>
          </cell>
          <cell r="B14732" t="str">
            <v>SBX6-W60AMPT</v>
          </cell>
          <cell r="O14732"/>
          <cell r="T14732"/>
        </row>
        <row r="14733">
          <cell r="A14733" t="str">
            <v>RFS/CELWAVE</v>
          </cell>
          <cell r="B14733" t="str">
            <v>SBX6-W60BC</v>
          </cell>
          <cell r="O14733"/>
          <cell r="T14733"/>
        </row>
        <row r="14734">
          <cell r="A14734" t="str">
            <v>RFS/CELWAVE</v>
          </cell>
          <cell r="B14734" t="str">
            <v>SBX6-W60BMPT</v>
          </cell>
          <cell r="O14734"/>
          <cell r="T14734"/>
        </row>
        <row r="14735">
          <cell r="A14735" t="str">
            <v>RFS/CELWAVE</v>
          </cell>
          <cell r="B14735" t="str">
            <v>SBX6-W60DC2</v>
          </cell>
          <cell r="O14735"/>
          <cell r="T14735"/>
        </row>
        <row r="14736">
          <cell r="A14736" t="str">
            <v>RFS/CELWAVE</v>
          </cell>
          <cell r="B14736" t="str">
            <v>SC-220AB</v>
          </cell>
          <cell r="O14736"/>
          <cell r="T14736"/>
        </row>
        <row r="14737">
          <cell r="A14737" t="str">
            <v>RFS/CELWAVE</v>
          </cell>
          <cell r="B14737" t="str">
            <v>SC1-190AB</v>
          </cell>
          <cell r="O14737"/>
          <cell r="T14737"/>
        </row>
        <row r="14738">
          <cell r="A14738" t="str">
            <v>RFS/CELWAVE</v>
          </cell>
          <cell r="B14738" t="str">
            <v>SC1-220AB</v>
          </cell>
          <cell r="O14738"/>
          <cell r="T14738"/>
        </row>
        <row r="14739">
          <cell r="A14739" t="str">
            <v>RFS/CELWAVE</v>
          </cell>
          <cell r="B14739" t="str">
            <v>SC1-220AGT1X</v>
          </cell>
          <cell r="O14739"/>
          <cell r="T14739"/>
        </row>
        <row r="14740">
          <cell r="A14740" t="str">
            <v>RFS/CELWAVE</v>
          </cell>
          <cell r="B14740" t="str">
            <v>SC1-280AGT1X</v>
          </cell>
          <cell r="O14740"/>
          <cell r="T14740"/>
        </row>
        <row r="14741">
          <cell r="A14741" t="str">
            <v>RFS/CELWAVE</v>
          </cell>
          <cell r="B14741" t="str">
            <v>SC2-142BB</v>
          </cell>
          <cell r="O14741"/>
          <cell r="T14741"/>
        </row>
        <row r="14742">
          <cell r="A14742" t="str">
            <v>RFS/CELWAVE</v>
          </cell>
          <cell r="B14742" t="str">
            <v>SC2-190AB</v>
          </cell>
          <cell r="O14742"/>
          <cell r="T14742"/>
        </row>
        <row r="14743">
          <cell r="A14743" t="str">
            <v>RFS/CELWAVE</v>
          </cell>
          <cell r="B14743" t="str">
            <v>SC2-190AMPT</v>
          </cell>
          <cell r="O14743"/>
          <cell r="T14743"/>
        </row>
        <row r="14744">
          <cell r="A14744" t="str">
            <v>RFS/CELWAVE</v>
          </cell>
          <cell r="B14744" t="str">
            <v>SC2-190BB</v>
          </cell>
          <cell r="O14744"/>
          <cell r="T14744"/>
        </row>
        <row r="14745">
          <cell r="A14745" t="str">
            <v>RFS/CELWAVE</v>
          </cell>
          <cell r="B14745" t="str">
            <v>SC2-190BDRW</v>
          </cell>
          <cell r="O14745"/>
          <cell r="T14745"/>
        </row>
        <row r="14746">
          <cell r="A14746" t="str">
            <v>RFS/CELWAVE</v>
          </cell>
          <cell r="B14746" t="str">
            <v>SC2-190BMPT</v>
          </cell>
          <cell r="O14746"/>
          <cell r="T14746"/>
        </row>
        <row r="14747">
          <cell r="A14747" t="str">
            <v>RFS/CELWAVE</v>
          </cell>
          <cell r="B14747" t="str">
            <v>SC2-190CB</v>
          </cell>
          <cell r="O14747"/>
          <cell r="T14747"/>
        </row>
        <row r="14748">
          <cell r="A14748" t="str">
            <v>RFS/CELWAVE</v>
          </cell>
          <cell r="B14748" t="str">
            <v>SC2-190CGT1RC</v>
          </cell>
          <cell r="O14748"/>
          <cell r="T14748"/>
        </row>
        <row r="14749">
          <cell r="A14749" t="str">
            <v>RFS/CELWAVE</v>
          </cell>
          <cell r="B14749" t="str">
            <v>SC2-190CGT1X</v>
          </cell>
          <cell r="O14749"/>
          <cell r="T14749"/>
        </row>
        <row r="14750">
          <cell r="A14750" t="str">
            <v>RFS/CELWAVE</v>
          </cell>
          <cell r="B14750" t="str">
            <v>SC2-190CUBTC</v>
          </cell>
          <cell r="O14750"/>
          <cell r="T14750"/>
        </row>
        <row r="14751">
          <cell r="A14751" t="str">
            <v>RFS/CELWAVE</v>
          </cell>
          <cell r="B14751" t="str">
            <v>SC2-220AB</v>
          </cell>
          <cell r="O14751"/>
          <cell r="T14751"/>
        </row>
        <row r="14752">
          <cell r="A14752" t="str">
            <v>RFS/CELWAVE</v>
          </cell>
          <cell r="B14752" t="str">
            <v>SC2-220AMPT</v>
          </cell>
          <cell r="O14752"/>
          <cell r="T14752"/>
        </row>
        <row r="14753">
          <cell r="A14753" t="str">
            <v>RFS/CELWAVE</v>
          </cell>
          <cell r="B14753" t="str">
            <v>SC2-220BB</v>
          </cell>
          <cell r="O14753"/>
          <cell r="T14753"/>
        </row>
        <row r="14754">
          <cell r="A14754" t="str">
            <v>RFS/CELWAVE</v>
          </cell>
          <cell r="B14754" t="str">
            <v>SC2-220BMPT</v>
          </cell>
          <cell r="O14754"/>
          <cell r="T14754"/>
        </row>
        <row r="14755">
          <cell r="A14755" t="str">
            <v>RFS/CELWAVE</v>
          </cell>
          <cell r="B14755" t="str">
            <v>SC2-220CB</v>
          </cell>
          <cell r="O14755"/>
          <cell r="T14755"/>
        </row>
        <row r="14756">
          <cell r="A14756" t="str">
            <v>RFS/CELWAVE</v>
          </cell>
          <cell r="B14756" t="str">
            <v>SC2-220CGT1RC</v>
          </cell>
          <cell r="O14756"/>
          <cell r="T14756"/>
        </row>
        <row r="14757">
          <cell r="A14757" t="str">
            <v>RFS/CELWAVE</v>
          </cell>
          <cell r="B14757" t="str">
            <v>SC2-W100AB</v>
          </cell>
          <cell r="O14757"/>
          <cell r="T14757"/>
        </row>
        <row r="14758">
          <cell r="A14758" t="str">
            <v>RFS/CELWAVE</v>
          </cell>
          <cell r="B14758" t="str">
            <v>SC2-W100AC</v>
          </cell>
          <cell r="O14758"/>
          <cell r="T14758"/>
        </row>
        <row r="14759">
          <cell r="A14759" t="str">
            <v>RFS/CELWAVE</v>
          </cell>
          <cell r="B14759" t="str">
            <v>SC2-W100AD</v>
          </cell>
          <cell r="O14759"/>
          <cell r="T14759"/>
        </row>
        <row r="14760">
          <cell r="A14760" t="str">
            <v>RFS/CELWAVE</v>
          </cell>
          <cell r="B14760" t="str">
            <v>SC2-W100AMPT</v>
          </cell>
          <cell r="O14760"/>
          <cell r="T14760"/>
        </row>
        <row r="14761">
          <cell r="A14761" t="str">
            <v>RFS/CELWAVE</v>
          </cell>
          <cell r="B14761" t="str">
            <v>SC2-W100BB</v>
          </cell>
          <cell r="O14761"/>
          <cell r="T14761"/>
        </row>
        <row r="14762">
          <cell r="A14762" t="str">
            <v>RFS/CELWAVE</v>
          </cell>
          <cell r="B14762" t="str">
            <v>SC2-W100BC</v>
          </cell>
          <cell r="O14762"/>
          <cell r="T14762"/>
        </row>
        <row r="14763">
          <cell r="A14763" t="str">
            <v>RFS/CELWAVE</v>
          </cell>
          <cell r="B14763" t="str">
            <v>SC2-W100BD</v>
          </cell>
          <cell r="O14763"/>
          <cell r="T14763"/>
        </row>
        <row r="14764">
          <cell r="A14764" t="str">
            <v>RFS/CELWAVE</v>
          </cell>
          <cell r="B14764" t="str">
            <v>SC2-W100BDRW</v>
          </cell>
          <cell r="O14764"/>
          <cell r="T14764"/>
        </row>
        <row r="14765">
          <cell r="A14765" t="str">
            <v>RFS/CELWAVE</v>
          </cell>
          <cell r="B14765" t="str">
            <v>SC2-W100BIPN</v>
          </cell>
          <cell r="O14765"/>
          <cell r="T14765"/>
        </row>
        <row r="14766">
          <cell r="A14766" t="str">
            <v>RFS/CELWAVE</v>
          </cell>
          <cell r="B14766" t="str">
            <v>SC2-W100BMPT</v>
          </cell>
          <cell r="O14766"/>
          <cell r="T14766"/>
        </row>
        <row r="14767">
          <cell r="A14767" t="str">
            <v>RFS/CELWAVE</v>
          </cell>
          <cell r="B14767" t="str">
            <v>SC2-W100BSTX</v>
          </cell>
          <cell r="O14767"/>
          <cell r="T14767"/>
        </row>
        <row r="14768">
          <cell r="A14768" t="str">
            <v>RFS/CELWAVE</v>
          </cell>
          <cell r="B14768" t="str">
            <v>SC2-W100CC</v>
          </cell>
          <cell r="O14768"/>
          <cell r="T14768"/>
        </row>
        <row r="14769">
          <cell r="A14769" t="str">
            <v>RFS/CELWAVE</v>
          </cell>
          <cell r="B14769" t="str">
            <v>SC2-W100CGT1RC</v>
          </cell>
          <cell r="O14769"/>
          <cell r="T14769"/>
        </row>
        <row r="14770">
          <cell r="A14770" t="str">
            <v>RFS/CELWAVE</v>
          </cell>
          <cell r="B14770" t="str">
            <v>SC2-W800BU</v>
          </cell>
          <cell r="O14770"/>
          <cell r="T14770"/>
        </row>
        <row r="14771">
          <cell r="A14771" t="str">
            <v>RFS/CELWAVE</v>
          </cell>
          <cell r="B14771" t="str">
            <v>SC2-W800YYY</v>
          </cell>
          <cell r="O14771"/>
          <cell r="T14771"/>
        </row>
        <row r="14772">
          <cell r="A14772" t="str">
            <v>RFS/CELWAVE</v>
          </cell>
          <cell r="B14772" t="str">
            <v>SC3-190AB</v>
          </cell>
          <cell r="O14772"/>
          <cell r="T14772"/>
        </row>
        <row r="14773">
          <cell r="A14773" t="str">
            <v>RFS/CELWAVE</v>
          </cell>
          <cell r="B14773" t="str">
            <v>SC3-190AB_CCIV2</v>
          </cell>
          <cell r="O14773"/>
          <cell r="T14773"/>
        </row>
        <row r="14774">
          <cell r="A14774" t="str">
            <v>RFS/CELWAVE</v>
          </cell>
          <cell r="B14774" t="str">
            <v>SC3-190AMPT</v>
          </cell>
          <cell r="O14774"/>
          <cell r="T14774"/>
        </row>
        <row r="14775">
          <cell r="A14775" t="str">
            <v>RFS/CELWAVE</v>
          </cell>
          <cell r="B14775" t="str">
            <v>SC3-190BGT1RC</v>
          </cell>
          <cell r="O14775"/>
          <cell r="T14775"/>
        </row>
        <row r="14776">
          <cell r="A14776" t="str">
            <v>RFS/CELWAVE</v>
          </cell>
          <cell r="B14776" t="str">
            <v>SC3-190BGT1X</v>
          </cell>
          <cell r="O14776"/>
          <cell r="T14776"/>
        </row>
        <row r="14777">
          <cell r="A14777" t="str">
            <v>RFS/CELWAVE</v>
          </cell>
          <cell r="B14777" t="str">
            <v>SC3-190xxx_20130312</v>
          </cell>
          <cell r="O14777"/>
          <cell r="T14777"/>
        </row>
        <row r="14778">
          <cell r="A14778" t="str">
            <v>RFS/CELWAVE</v>
          </cell>
          <cell r="B14778" t="str">
            <v>SC3-220AB</v>
          </cell>
          <cell r="O14778"/>
          <cell r="T14778"/>
        </row>
        <row r="14779">
          <cell r="A14779" t="str">
            <v>RFS/CELWAVE</v>
          </cell>
          <cell r="B14779" t="str">
            <v>SC3-220AMPT</v>
          </cell>
          <cell r="O14779"/>
          <cell r="T14779"/>
        </row>
        <row r="14780">
          <cell r="A14780" t="str">
            <v>RFS/CELWAVE</v>
          </cell>
          <cell r="B14780" t="str">
            <v>SC3-220BB</v>
          </cell>
          <cell r="O14780"/>
          <cell r="T14780"/>
        </row>
        <row r="14781">
          <cell r="A14781" t="str">
            <v>RFS/CELWAVE</v>
          </cell>
          <cell r="B14781" t="str">
            <v>SC3-W100A</v>
          </cell>
          <cell r="O14781"/>
          <cell r="T14781"/>
        </row>
        <row r="14782">
          <cell r="A14782" t="str">
            <v>RFS/CELWAVE</v>
          </cell>
          <cell r="B14782" t="str">
            <v>SC3-W100AB</v>
          </cell>
          <cell r="O14782"/>
          <cell r="T14782"/>
        </row>
        <row r="14783">
          <cell r="A14783" t="str">
            <v>RFS/CELWAVE</v>
          </cell>
          <cell r="B14783" t="str">
            <v>SC3-W100AB_CCIV2</v>
          </cell>
          <cell r="O14783"/>
          <cell r="T14783"/>
        </row>
        <row r="14784">
          <cell r="A14784" t="str">
            <v>RFS/CELWAVE</v>
          </cell>
          <cell r="B14784" t="str">
            <v>SC3-W100AC</v>
          </cell>
          <cell r="O14784"/>
          <cell r="T14784"/>
        </row>
        <row r="14785">
          <cell r="A14785" t="str">
            <v>RFS/CELWAVE</v>
          </cell>
          <cell r="B14785" t="str">
            <v>SC3-W100AC_CCIV2</v>
          </cell>
          <cell r="O14785"/>
          <cell r="T14785"/>
        </row>
        <row r="14786">
          <cell r="A14786" t="str">
            <v>RFS/CELWAVE</v>
          </cell>
          <cell r="B14786" t="str">
            <v>SC3-W100AC_CCIV3</v>
          </cell>
          <cell r="O14786"/>
          <cell r="T14786"/>
        </row>
        <row r="14787">
          <cell r="A14787" t="str">
            <v>RFS/CELWAVE</v>
          </cell>
          <cell r="B14787" t="str">
            <v>SC3-W100AD</v>
          </cell>
          <cell r="O14787"/>
          <cell r="T14787"/>
        </row>
        <row r="14788">
          <cell r="A14788" t="str">
            <v>RFS/CELWAVE</v>
          </cell>
          <cell r="B14788" t="str">
            <v>SC3-W100AMPT</v>
          </cell>
          <cell r="O14788"/>
          <cell r="T14788"/>
        </row>
        <row r="14789">
          <cell r="A14789" t="str">
            <v>RFS/CELWAVE</v>
          </cell>
          <cell r="B14789" t="str">
            <v>SC3-W100ASTX</v>
          </cell>
          <cell r="O14789"/>
          <cell r="T14789"/>
        </row>
        <row r="14790">
          <cell r="A14790" t="str">
            <v>RFS/CELWAVE</v>
          </cell>
          <cell r="B14790" t="str">
            <v>SC3-W100BGT1RC</v>
          </cell>
          <cell r="O14790"/>
          <cell r="T14790"/>
        </row>
        <row r="14791">
          <cell r="A14791" t="str">
            <v>RFS/CELWAVE</v>
          </cell>
          <cell r="B14791" t="str">
            <v>SC3-W100BGT1X</v>
          </cell>
          <cell r="O14791"/>
          <cell r="T14791"/>
        </row>
        <row r="14792">
          <cell r="A14792" t="str">
            <v>RFS/CELWAVE</v>
          </cell>
          <cell r="B14792" t="str">
            <v>SC3-W100XSTX</v>
          </cell>
          <cell r="O14792"/>
          <cell r="T14792"/>
        </row>
        <row r="14793">
          <cell r="A14793" t="str">
            <v>RFS/CELWAVE</v>
          </cell>
          <cell r="B14793" t="str">
            <v>SC3-W100XXX</v>
          </cell>
          <cell r="O14793"/>
          <cell r="T14793"/>
        </row>
        <row r="14794">
          <cell r="A14794" t="str">
            <v>RFS/CELWAVE</v>
          </cell>
          <cell r="B14794" t="str">
            <v>SC3-W60AC</v>
          </cell>
          <cell r="O14794"/>
          <cell r="T14794"/>
        </row>
        <row r="14795">
          <cell r="A14795" t="str">
            <v>RFS/CELWAVE</v>
          </cell>
          <cell r="B14795" t="str">
            <v>SC3-W60BC</v>
          </cell>
          <cell r="O14795"/>
          <cell r="T14795"/>
        </row>
        <row r="14796">
          <cell r="A14796" t="str">
            <v>RFS/CELWAVE</v>
          </cell>
          <cell r="B14796" t="str">
            <v>SC3-W60BUBTR</v>
          </cell>
          <cell r="O14796"/>
          <cell r="T14796"/>
        </row>
        <row r="14797">
          <cell r="A14797" t="str">
            <v>RFS/CELWAVE</v>
          </cell>
          <cell r="B14797" t="str">
            <v>SC3-W60XC</v>
          </cell>
          <cell r="O14797"/>
          <cell r="T14797"/>
        </row>
        <row r="14798">
          <cell r="A14798" t="str">
            <v>RFS/CELWAVE</v>
          </cell>
          <cell r="B14798" t="str">
            <v>SC3-W71BC</v>
          </cell>
          <cell r="O14798"/>
          <cell r="T14798"/>
        </row>
        <row r="14799">
          <cell r="A14799" t="str">
            <v>RFS/CELWAVE</v>
          </cell>
          <cell r="B14799" t="str">
            <v>SCC12-1E</v>
          </cell>
          <cell r="O14799"/>
          <cell r="T14799"/>
        </row>
        <row r="14800">
          <cell r="A14800" t="str">
            <v>RFS/CELWAVE</v>
          </cell>
          <cell r="B14800" t="str">
            <v>SCX-W100BC</v>
          </cell>
          <cell r="O14800"/>
          <cell r="T14800"/>
        </row>
        <row r="14801">
          <cell r="A14801" t="str">
            <v>RFS/CELWAVE</v>
          </cell>
          <cell r="B14801" t="str">
            <v>SCX2-100AB</v>
          </cell>
          <cell r="O14801"/>
          <cell r="T14801"/>
        </row>
        <row r="14802">
          <cell r="A14802" t="str">
            <v>RFS/CELWAVE</v>
          </cell>
          <cell r="B14802" t="str">
            <v>SCX2-190AMPT</v>
          </cell>
          <cell r="O14802"/>
          <cell r="T14802"/>
        </row>
        <row r="14803">
          <cell r="A14803" t="str">
            <v>RFS/CELWAVE</v>
          </cell>
          <cell r="B14803" t="str">
            <v>SCX2-190BB</v>
          </cell>
          <cell r="O14803"/>
          <cell r="T14803"/>
        </row>
        <row r="14804">
          <cell r="A14804" t="str">
            <v>RFS/CELWAVE</v>
          </cell>
          <cell r="B14804" t="str">
            <v>SCX2-190BMPT</v>
          </cell>
          <cell r="O14804"/>
          <cell r="T14804"/>
        </row>
        <row r="14805">
          <cell r="A14805" t="str">
            <v>RFS/CELWAVE</v>
          </cell>
          <cell r="B14805" t="str">
            <v>SCX2-190CB</v>
          </cell>
          <cell r="O14805"/>
          <cell r="T14805"/>
        </row>
        <row r="14806">
          <cell r="A14806" t="str">
            <v>RFS/CELWAVE</v>
          </cell>
          <cell r="B14806" t="str">
            <v>SCX2-220AB</v>
          </cell>
          <cell r="O14806"/>
          <cell r="T14806"/>
        </row>
        <row r="14807">
          <cell r="A14807" t="str">
            <v>RFS/CELWAVE</v>
          </cell>
          <cell r="B14807" t="str">
            <v>SCX2-220AMPT</v>
          </cell>
          <cell r="O14807"/>
          <cell r="T14807"/>
        </row>
        <row r="14808">
          <cell r="A14808" t="str">
            <v>RFS/CELWAVE</v>
          </cell>
          <cell r="B14808" t="str">
            <v>SCX2-220BMPT</v>
          </cell>
          <cell r="O14808"/>
          <cell r="T14808"/>
        </row>
        <row r="14809">
          <cell r="A14809" t="str">
            <v>RFS/CELWAVE</v>
          </cell>
          <cell r="B14809" t="str">
            <v>SCX2-220CB</v>
          </cell>
          <cell r="O14809"/>
          <cell r="T14809"/>
        </row>
        <row r="14810">
          <cell r="A14810" t="str">
            <v>RFS/CELWAVE</v>
          </cell>
          <cell r="B14810" t="str">
            <v>SCX2-W100</v>
          </cell>
          <cell r="O14810"/>
          <cell r="T14810"/>
        </row>
        <row r="14811">
          <cell r="A14811" t="str">
            <v>RFS/CELWAVE</v>
          </cell>
          <cell r="B14811" t="str">
            <v>SCX2-W100AB</v>
          </cell>
          <cell r="O14811"/>
          <cell r="T14811"/>
        </row>
        <row r="14812">
          <cell r="A14812" t="str">
            <v>RFS/CELWAVE</v>
          </cell>
          <cell r="B14812" t="str">
            <v>SCX2-W100AC</v>
          </cell>
          <cell r="O14812"/>
          <cell r="T14812"/>
        </row>
        <row r="14813">
          <cell r="A14813" t="str">
            <v>RFS/CELWAVE</v>
          </cell>
          <cell r="B14813" t="str">
            <v>SCX2-W100AMPT</v>
          </cell>
          <cell r="O14813"/>
          <cell r="T14813"/>
        </row>
        <row r="14814">
          <cell r="A14814" t="str">
            <v>RFS/CELWAVE</v>
          </cell>
          <cell r="B14814" t="str">
            <v>SCX2-W100BB</v>
          </cell>
          <cell r="O14814"/>
          <cell r="T14814"/>
        </row>
        <row r="14815">
          <cell r="A14815" t="str">
            <v>RFS/CELWAVE</v>
          </cell>
          <cell r="B14815" t="str">
            <v>SCX2-W100BMPT</v>
          </cell>
          <cell r="O14815"/>
          <cell r="T14815"/>
        </row>
        <row r="14816">
          <cell r="A14816" t="str">
            <v>RFS/CELWAVE</v>
          </cell>
          <cell r="B14816" t="str">
            <v>SCX2-W71BB</v>
          </cell>
          <cell r="O14816"/>
          <cell r="T14816"/>
        </row>
        <row r="14817">
          <cell r="A14817" t="str">
            <v>RFS/CELWAVE</v>
          </cell>
          <cell r="B14817" t="str">
            <v>SCX2-W71BC</v>
          </cell>
          <cell r="O14817"/>
          <cell r="T14817"/>
        </row>
        <row r="14818">
          <cell r="A14818" t="str">
            <v>RFS/CELWAVE</v>
          </cell>
          <cell r="B14818" t="str">
            <v>SCX2-W71BD</v>
          </cell>
          <cell r="O14818"/>
          <cell r="T14818"/>
        </row>
        <row r="14819">
          <cell r="A14819" t="str">
            <v>RFS/CELWAVE</v>
          </cell>
          <cell r="B14819" t="str">
            <v>SCX2-W71BV</v>
          </cell>
          <cell r="O14819"/>
          <cell r="T14819"/>
        </row>
        <row r="14820">
          <cell r="A14820" t="str">
            <v>RFS/CELWAVE</v>
          </cell>
          <cell r="B14820" t="str">
            <v>SCX2-W71BW</v>
          </cell>
          <cell r="O14820"/>
          <cell r="T14820"/>
        </row>
        <row r="14821">
          <cell r="A14821" t="str">
            <v>RFS/CELWAVE</v>
          </cell>
          <cell r="B14821" t="str">
            <v>SCX2-W71CB</v>
          </cell>
          <cell r="O14821"/>
          <cell r="T14821"/>
        </row>
        <row r="14822">
          <cell r="A14822" t="str">
            <v>RFS/CELWAVE</v>
          </cell>
          <cell r="B14822" t="str">
            <v>SCX3-190AB</v>
          </cell>
          <cell r="O14822"/>
          <cell r="T14822"/>
        </row>
        <row r="14823">
          <cell r="A14823" t="str">
            <v>RFS/CELWAVE</v>
          </cell>
          <cell r="B14823" t="str">
            <v>SCX3-190AMPT</v>
          </cell>
          <cell r="O14823"/>
          <cell r="T14823"/>
        </row>
        <row r="14824">
          <cell r="A14824" t="str">
            <v>RFS/CELWAVE</v>
          </cell>
          <cell r="B14824" t="str">
            <v>SCX3-190BB</v>
          </cell>
          <cell r="O14824"/>
          <cell r="T14824"/>
        </row>
        <row r="14825">
          <cell r="A14825" t="str">
            <v>RFS/CELWAVE</v>
          </cell>
          <cell r="B14825" t="str">
            <v>SCX3-220AMPT</v>
          </cell>
          <cell r="O14825"/>
          <cell r="T14825"/>
        </row>
        <row r="14826">
          <cell r="A14826" t="str">
            <v>RFS/CELWAVE</v>
          </cell>
          <cell r="B14826" t="str">
            <v>SCX3-W100AB</v>
          </cell>
          <cell r="O14826"/>
          <cell r="T14826"/>
        </row>
        <row r="14827">
          <cell r="A14827" t="str">
            <v>RFS/CELWAVE</v>
          </cell>
          <cell r="B14827" t="str">
            <v>SCX3-W100AC</v>
          </cell>
          <cell r="O14827"/>
          <cell r="T14827"/>
        </row>
        <row r="14828">
          <cell r="A14828" t="str">
            <v>RFS/CELWAVE</v>
          </cell>
          <cell r="B14828" t="str">
            <v>SCX3-W100AMPT</v>
          </cell>
          <cell r="O14828"/>
          <cell r="T14828"/>
        </row>
        <row r="14829">
          <cell r="A14829" t="str">
            <v>RFS/CELWAVE</v>
          </cell>
          <cell r="B14829" t="str">
            <v>SCX3-W100BC_20180525</v>
          </cell>
          <cell r="O14829"/>
          <cell r="T14829"/>
        </row>
        <row r="14830">
          <cell r="A14830" t="str">
            <v>RFS/CELWAVE</v>
          </cell>
          <cell r="B14830" t="str">
            <v>SCX3-W60AC</v>
          </cell>
          <cell r="O14830"/>
          <cell r="T14830"/>
        </row>
        <row r="14831">
          <cell r="A14831" t="str">
            <v>RFS/CELWAVE</v>
          </cell>
          <cell r="B14831" t="str">
            <v>SD3-103AB</v>
          </cell>
          <cell r="O14831"/>
          <cell r="T14831"/>
        </row>
        <row r="14832">
          <cell r="A14832" t="str">
            <v>RFS/CELWAVE</v>
          </cell>
          <cell r="B14832" t="str">
            <v>SD4-103AB</v>
          </cell>
          <cell r="O14832"/>
          <cell r="T14832"/>
        </row>
        <row r="14833">
          <cell r="A14833" t="str">
            <v>RFS/CELWAVE</v>
          </cell>
          <cell r="B14833" t="str">
            <v>SD4-107AB</v>
          </cell>
          <cell r="O14833"/>
          <cell r="T14833"/>
        </row>
        <row r="14834">
          <cell r="A14834" t="str">
            <v>RFS/CELWAVE</v>
          </cell>
          <cell r="B14834" t="str">
            <v>SD6-103AB</v>
          </cell>
          <cell r="O14834"/>
          <cell r="T14834"/>
        </row>
        <row r="14835">
          <cell r="A14835" t="str">
            <v>RFS/CELWAVE</v>
          </cell>
          <cell r="B14835" t="str">
            <v>SD6-103BB</v>
          </cell>
          <cell r="O14835"/>
          <cell r="T14835"/>
        </row>
        <row r="14836">
          <cell r="A14836" t="str">
            <v>RFS/CELWAVE</v>
          </cell>
          <cell r="B14836" t="str">
            <v>SDF3-52</v>
          </cell>
          <cell r="O14836"/>
          <cell r="T14836"/>
        </row>
        <row r="14837">
          <cell r="A14837" t="str">
            <v>RFS/CELWAVE</v>
          </cell>
          <cell r="B14837" t="str">
            <v>SDF3-52AN</v>
          </cell>
          <cell r="O14837"/>
          <cell r="T14837"/>
        </row>
        <row r="14838">
          <cell r="A14838" t="str">
            <v>RFS/CELWAVE</v>
          </cell>
          <cell r="B14838" t="str">
            <v>SDF4-52</v>
          </cell>
          <cell r="O14838"/>
          <cell r="T14838"/>
        </row>
        <row r="14839">
          <cell r="A14839" t="str">
            <v>RFS/CELWAVE</v>
          </cell>
          <cell r="B14839" t="str">
            <v>SDF6-52</v>
          </cell>
          <cell r="O14839"/>
          <cell r="T14839"/>
        </row>
        <row r="14840">
          <cell r="A14840" t="str">
            <v>RFS/CELWAVE</v>
          </cell>
          <cell r="B14840" t="str">
            <v>SET811016-PANEL</v>
          </cell>
          <cell r="O14840"/>
          <cell r="T14840"/>
        </row>
        <row r="14841">
          <cell r="A14841" t="str">
            <v>RFS/CELWAVE</v>
          </cell>
          <cell r="B14841" t="str">
            <v>SET811058-20WHIP</v>
          </cell>
          <cell r="O14841"/>
          <cell r="T14841"/>
        </row>
        <row r="14842">
          <cell r="A14842" t="str">
            <v>RFS/CELWAVE</v>
          </cell>
          <cell r="B14842" t="str">
            <v>SLX3-280AW</v>
          </cell>
          <cell r="O14842"/>
          <cell r="T14842"/>
        </row>
        <row r="14843">
          <cell r="A14843" t="str">
            <v>RFS/CELWAVE</v>
          </cell>
          <cell r="B14843" t="str">
            <v>SP2-103AB</v>
          </cell>
          <cell r="O14843"/>
          <cell r="T14843"/>
        </row>
        <row r="14844">
          <cell r="A14844" t="str">
            <v>RFS/CELWAVE</v>
          </cell>
          <cell r="B14844" t="str">
            <v>SP2-190B</v>
          </cell>
          <cell r="O14844"/>
          <cell r="T14844"/>
        </row>
        <row r="14845">
          <cell r="A14845" t="str">
            <v>RFS/CELWAVE</v>
          </cell>
          <cell r="B14845" t="str">
            <v>SP3-107BC</v>
          </cell>
          <cell r="O14845"/>
          <cell r="T14845"/>
        </row>
        <row r="14846">
          <cell r="A14846" t="str">
            <v>RFS/CELWAVE</v>
          </cell>
          <cell r="B14846" t="str">
            <v>SP4-103AB</v>
          </cell>
          <cell r="O14846"/>
          <cell r="T14846"/>
        </row>
        <row r="14847">
          <cell r="A14847" t="str">
            <v>RFS/CELWAVE</v>
          </cell>
          <cell r="B14847" t="str">
            <v>SP4-107A</v>
          </cell>
          <cell r="O14847"/>
          <cell r="T14847"/>
        </row>
        <row r="14848">
          <cell r="A14848" t="str">
            <v>RFS/CELWAVE</v>
          </cell>
          <cell r="B14848" t="str">
            <v>SP4-59AD</v>
          </cell>
          <cell r="O14848"/>
          <cell r="T14848"/>
        </row>
        <row r="14849">
          <cell r="A14849" t="str">
            <v>RFS/CELWAVE</v>
          </cell>
          <cell r="B14849" t="str">
            <v>SP6-103BD</v>
          </cell>
          <cell r="O14849"/>
          <cell r="T14849"/>
        </row>
        <row r="14850">
          <cell r="A14850" t="str">
            <v>RFS/CELWAVE</v>
          </cell>
          <cell r="B14850" t="str">
            <v>SPF2-52AN</v>
          </cell>
          <cell r="O14850"/>
          <cell r="T14850"/>
        </row>
        <row r="14851">
          <cell r="A14851" t="str">
            <v>RFS/CELWAVE</v>
          </cell>
          <cell r="B14851" t="str">
            <v>SPF2-52BN</v>
          </cell>
          <cell r="O14851"/>
          <cell r="T14851"/>
        </row>
        <row r="14852">
          <cell r="A14852" t="str">
            <v>RFS/CELWAVE</v>
          </cell>
          <cell r="B14852" t="str">
            <v>SPF2-52CN</v>
          </cell>
          <cell r="O14852"/>
          <cell r="T14852"/>
        </row>
        <row r="14853">
          <cell r="A14853" t="str">
            <v>RFS/CELWAVE</v>
          </cell>
          <cell r="B14853" t="str">
            <v>SPF2-57AN</v>
          </cell>
          <cell r="O14853"/>
          <cell r="T14853"/>
        </row>
        <row r="14854">
          <cell r="A14854" t="str">
            <v>RFS/CELWAVE</v>
          </cell>
          <cell r="B14854" t="str">
            <v>SPF3-52</v>
          </cell>
          <cell r="O14854"/>
          <cell r="T14854"/>
        </row>
        <row r="14855">
          <cell r="A14855" t="str">
            <v>RFS/CELWAVE</v>
          </cell>
          <cell r="B14855" t="str">
            <v>SPF3-52AN</v>
          </cell>
          <cell r="O14855"/>
          <cell r="T14855"/>
        </row>
        <row r="14856">
          <cell r="A14856" t="str">
            <v>RFS/CELWAVE</v>
          </cell>
          <cell r="B14856" t="str">
            <v>SPF3-57AN</v>
          </cell>
          <cell r="O14856"/>
          <cell r="T14856"/>
        </row>
        <row r="14857">
          <cell r="A14857" t="str">
            <v>RFS/CELWAVE</v>
          </cell>
          <cell r="B14857" t="str">
            <v>SPF4-23AJ</v>
          </cell>
          <cell r="O14857"/>
          <cell r="T14857"/>
        </row>
        <row r="14858">
          <cell r="A14858" t="str">
            <v>RFS/CELWAVE</v>
          </cell>
          <cell r="B14858" t="str">
            <v>SPF4-52</v>
          </cell>
          <cell r="O14858"/>
          <cell r="T14858"/>
        </row>
        <row r="14859">
          <cell r="A14859" t="str">
            <v>RFS/CELWAVE</v>
          </cell>
          <cell r="B14859" t="str">
            <v>SPF4-52BN</v>
          </cell>
          <cell r="O14859"/>
          <cell r="T14859"/>
        </row>
        <row r="14860">
          <cell r="A14860" t="str">
            <v>RFS/CELWAVE</v>
          </cell>
          <cell r="B14860" t="str">
            <v>SPF4-52CN</v>
          </cell>
          <cell r="O14860"/>
          <cell r="T14860"/>
        </row>
        <row r="14861">
          <cell r="A14861" t="str">
            <v>RFS/CELWAVE</v>
          </cell>
          <cell r="B14861" t="str">
            <v>SPF4-57AN</v>
          </cell>
          <cell r="O14861"/>
          <cell r="T14861"/>
        </row>
        <row r="14862">
          <cell r="A14862" t="str">
            <v>RFS/CELWAVE</v>
          </cell>
          <cell r="B14862" t="str">
            <v>SPF6-52</v>
          </cell>
          <cell r="O14862"/>
          <cell r="T14862"/>
        </row>
        <row r="14863">
          <cell r="A14863" t="str">
            <v>RFS/CELWAVE</v>
          </cell>
          <cell r="B14863" t="str">
            <v>SPF6-52BN</v>
          </cell>
          <cell r="O14863"/>
          <cell r="T14863"/>
        </row>
        <row r="14864">
          <cell r="A14864" t="str">
            <v>RFS/CELWAVE</v>
          </cell>
          <cell r="B14864" t="str">
            <v>SPF6-52CN</v>
          </cell>
          <cell r="O14864"/>
          <cell r="T14864"/>
        </row>
        <row r="14865">
          <cell r="A14865" t="str">
            <v>RFS/CELWAVE</v>
          </cell>
          <cell r="B14865" t="str">
            <v>SPF6-57A</v>
          </cell>
          <cell r="O14865"/>
          <cell r="T14865"/>
        </row>
        <row r="14866">
          <cell r="A14866" t="str">
            <v>RFS/CELWAVE</v>
          </cell>
          <cell r="B14866" t="str">
            <v>SPF6-57AN</v>
          </cell>
          <cell r="O14866"/>
          <cell r="T14866"/>
        </row>
        <row r="14867">
          <cell r="A14867" t="str">
            <v>RFS/CELWAVE</v>
          </cell>
          <cell r="B14867" t="str">
            <v>SSI800117D382_4</v>
          </cell>
          <cell r="O14867"/>
          <cell r="T14867"/>
        </row>
        <row r="14868">
          <cell r="A14868" t="str">
            <v>RFS/CELWAVE</v>
          </cell>
          <cell r="B14868" t="str">
            <v>SSI800117D382_5</v>
          </cell>
          <cell r="O14868"/>
          <cell r="T14868"/>
        </row>
        <row r="14869">
          <cell r="A14869" t="str">
            <v>RFS/CELWAVE</v>
          </cell>
          <cell r="B14869" t="str">
            <v>SSI800117O354_10</v>
          </cell>
          <cell r="O14869"/>
          <cell r="T14869"/>
        </row>
        <row r="14870">
          <cell r="A14870" t="str">
            <v>RFS/CELWAVE</v>
          </cell>
          <cell r="B14870" t="str">
            <v>SSI800117O382_6</v>
          </cell>
          <cell r="O14870"/>
          <cell r="T14870"/>
        </row>
        <row r="14871">
          <cell r="A14871" t="str">
            <v>RFS/CELWAVE</v>
          </cell>
          <cell r="B14871" t="str">
            <v>SSI800221O380_12</v>
          </cell>
          <cell r="O14871"/>
          <cell r="T14871"/>
        </row>
        <row r="14872">
          <cell r="A14872" t="str">
            <v>RFS/CELWAVE</v>
          </cell>
          <cell r="B14872" t="str">
            <v>SSI800221O420_11</v>
          </cell>
          <cell r="O14872"/>
          <cell r="T14872"/>
        </row>
        <row r="14873">
          <cell r="A14873" t="str">
            <v>RFS/CELWAVE</v>
          </cell>
          <cell r="B14873" t="str">
            <v>SSI800426D88_4</v>
          </cell>
          <cell r="O14873"/>
          <cell r="T14873"/>
        </row>
        <row r="14874">
          <cell r="A14874" t="str">
            <v>RFS/CELWAVE</v>
          </cell>
          <cell r="B14874" t="str">
            <v>SSI800426O87</v>
          </cell>
          <cell r="O14874"/>
          <cell r="T14874"/>
        </row>
        <row r="14875">
          <cell r="A14875" t="str">
            <v>RFS/CELWAVE</v>
          </cell>
          <cell r="B14875" t="str">
            <v>SSI800426O92</v>
          </cell>
          <cell r="O14875"/>
          <cell r="T14875"/>
        </row>
        <row r="14876">
          <cell r="A14876" t="str">
            <v>RFS/CELWAVE</v>
          </cell>
          <cell r="B14876" t="str">
            <v>SSI805185D446_2</v>
          </cell>
          <cell r="O14876"/>
          <cell r="T14876"/>
        </row>
        <row r="14877">
          <cell r="A14877" t="str">
            <v>RFS/CELWAVE</v>
          </cell>
          <cell r="B14877" t="str">
            <v>SSI805185O103</v>
          </cell>
          <cell r="O14877"/>
          <cell r="T14877"/>
        </row>
        <row r="14878">
          <cell r="A14878" t="str">
            <v>RFS/CELWAVE</v>
          </cell>
          <cell r="B14878" t="str">
            <v>SSI805185O446</v>
          </cell>
          <cell r="O14878"/>
          <cell r="T14878"/>
        </row>
        <row r="14879">
          <cell r="A14879" t="str">
            <v>RFS/CELWAVE</v>
          </cell>
          <cell r="B14879" t="str">
            <v>SSI805185O446_5</v>
          </cell>
          <cell r="O14879"/>
          <cell r="T14879"/>
        </row>
        <row r="14880">
          <cell r="A14880" t="str">
            <v>RFS/CELWAVE</v>
          </cell>
          <cell r="B14880" t="str">
            <v>SSI805185O446_8</v>
          </cell>
          <cell r="O14880"/>
          <cell r="T14880"/>
        </row>
        <row r="14881">
          <cell r="A14881" t="str">
            <v>RFS/CELWAVE</v>
          </cell>
          <cell r="B14881" t="str">
            <v>SSI805203O392_41</v>
          </cell>
          <cell r="O14881"/>
          <cell r="T14881"/>
        </row>
        <row r="14882">
          <cell r="A14882" t="str">
            <v>RFS/CELWAVE</v>
          </cell>
          <cell r="B14882" t="str">
            <v>SSI805203O494_7</v>
          </cell>
          <cell r="O14882"/>
          <cell r="T14882"/>
        </row>
        <row r="14883">
          <cell r="A14883" t="str">
            <v>RFS/CELWAVE</v>
          </cell>
          <cell r="B14883" t="str">
            <v>SSI805203O494_8</v>
          </cell>
          <cell r="O14883"/>
          <cell r="T14883"/>
        </row>
        <row r="14884">
          <cell r="A14884" t="str">
            <v>RFS/CELWAVE</v>
          </cell>
          <cell r="B14884" t="str">
            <v>SSI805260-2</v>
          </cell>
          <cell r="O14884"/>
          <cell r="T14884"/>
        </row>
        <row r="14885">
          <cell r="A14885" t="str">
            <v>RFS/CELWAVE</v>
          </cell>
          <cell r="B14885" t="str">
            <v>SSI805291-10OMN3</v>
          </cell>
          <cell r="O14885"/>
          <cell r="T14885"/>
        </row>
        <row r="14886">
          <cell r="A14886" t="str">
            <v>RFS/CELWAVE</v>
          </cell>
          <cell r="B14886" t="str">
            <v>SSI805494P516</v>
          </cell>
          <cell r="O14886"/>
          <cell r="T14886"/>
        </row>
        <row r="14887">
          <cell r="A14887" t="str">
            <v>RFS/CELWAVE</v>
          </cell>
          <cell r="B14887" t="str">
            <v>SSI805622D487</v>
          </cell>
          <cell r="O14887"/>
          <cell r="T14887"/>
        </row>
        <row r="14888">
          <cell r="A14888" t="str">
            <v>RFS/CELWAVE</v>
          </cell>
          <cell r="B14888" t="str">
            <v>SSI805622D520</v>
          </cell>
          <cell r="O14888"/>
          <cell r="T14888"/>
        </row>
        <row r="14889">
          <cell r="A14889" t="str">
            <v>RFS/CELWAVE</v>
          </cell>
          <cell r="B14889" t="str">
            <v>SSI805622O298_33</v>
          </cell>
          <cell r="O14889"/>
          <cell r="T14889"/>
        </row>
        <row r="14890">
          <cell r="A14890" t="str">
            <v>RFS/CELWAVE</v>
          </cell>
          <cell r="B14890" t="str">
            <v>SSI805622O435</v>
          </cell>
          <cell r="O14890"/>
          <cell r="T14890"/>
        </row>
        <row r="14891">
          <cell r="A14891" t="str">
            <v>RFS/CELWAVE</v>
          </cell>
          <cell r="B14891" t="str">
            <v>SSI805622O514_11</v>
          </cell>
          <cell r="O14891"/>
          <cell r="T14891"/>
        </row>
        <row r="14892">
          <cell r="A14892" t="str">
            <v>RFS/CELWAVE</v>
          </cell>
          <cell r="B14892" t="str">
            <v>SSI805622O545</v>
          </cell>
          <cell r="O14892"/>
          <cell r="T14892"/>
        </row>
        <row r="14893">
          <cell r="A14893" t="str">
            <v>RFS/CELWAVE</v>
          </cell>
          <cell r="B14893" t="str">
            <v>SSI805622Y144_84</v>
          </cell>
          <cell r="O14893"/>
          <cell r="T14893"/>
        </row>
        <row r="14894">
          <cell r="A14894" t="str">
            <v>RFS/CELWAVE</v>
          </cell>
          <cell r="B14894" t="str">
            <v>SSI805735-8</v>
          </cell>
          <cell r="O14894"/>
          <cell r="T14894"/>
        </row>
        <row r="14895">
          <cell r="A14895" t="str">
            <v>RFS/CELWAVE</v>
          </cell>
          <cell r="B14895" t="str">
            <v>SSI805738-10OMNI</v>
          </cell>
          <cell r="O14895"/>
          <cell r="T14895"/>
        </row>
        <row r="14896">
          <cell r="A14896" t="str">
            <v>RFS/CELWAVE</v>
          </cell>
          <cell r="B14896" t="str">
            <v>SSI806039M293</v>
          </cell>
          <cell r="O14896"/>
          <cell r="T14896"/>
        </row>
        <row r="14897">
          <cell r="A14897" t="str">
            <v>RFS/CELWAVE</v>
          </cell>
          <cell r="B14897" t="str">
            <v>SSI806247-12OMNI</v>
          </cell>
          <cell r="O14897"/>
          <cell r="T14897"/>
        </row>
        <row r="14898">
          <cell r="A14898" t="str">
            <v>RFS/CELWAVE</v>
          </cell>
          <cell r="B14898" t="str">
            <v>SSI806303-15OMNI</v>
          </cell>
          <cell r="O14898"/>
          <cell r="T14898"/>
        </row>
        <row r="14899">
          <cell r="A14899" t="str">
            <v>RFS/CELWAVE</v>
          </cell>
          <cell r="B14899" t="str">
            <v>SSI806303-20OMNI</v>
          </cell>
          <cell r="O14899"/>
          <cell r="T14899"/>
        </row>
        <row r="14900">
          <cell r="A14900" t="str">
            <v>RFS/CELWAVE</v>
          </cell>
          <cell r="B14900" t="str">
            <v>SSI806313-15OMNI</v>
          </cell>
          <cell r="O14900"/>
          <cell r="T14900"/>
        </row>
        <row r="14901">
          <cell r="A14901" t="str">
            <v>RFS/CELWAVE</v>
          </cell>
          <cell r="B14901" t="str">
            <v>SSI806406D126</v>
          </cell>
          <cell r="O14901"/>
          <cell r="T14901"/>
        </row>
        <row r="14902">
          <cell r="A14902" t="str">
            <v>RFS/CELWAVE</v>
          </cell>
          <cell r="B14902" t="str">
            <v>SSI806406D160</v>
          </cell>
          <cell r="O14902"/>
          <cell r="T14902"/>
        </row>
        <row r="14903">
          <cell r="A14903" t="str">
            <v>RFS/CELWAVE</v>
          </cell>
          <cell r="B14903" t="str">
            <v>SSI806406D183</v>
          </cell>
          <cell r="O14903"/>
          <cell r="T14903"/>
        </row>
        <row r="14904">
          <cell r="A14904" t="str">
            <v>RFS/CELWAVE</v>
          </cell>
          <cell r="B14904" t="str">
            <v>SSI806415P158</v>
          </cell>
          <cell r="O14904"/>
          <cell r="T14904"/>
        </row>
        <row r="14905">
          <cell r="A14905" t="str">
            <v>RFS/CELWAVE</v>
          </cell>
          <cell r="B14905" t="str">
            <v>SSI806457O190</v>
          </cell>
          <cell r="O14905"/>
          <cell r="T14905"/>
        </row>
        <row r="14906">
          <cell r="A14906" t="str">
            <v>RFS/CELWAVE</v>
          </cell>
          <cell r="B14906" t="str">
            <v>SSI806499-14OMNI</v>
          </cell>
          <cell r="O14906"/>
          <cell r="T14906"/>
        </row>
        <row r="14907">
          <cell r="A14907" t="str">
            <v>RFS/CELWAVE</v>
          </cell>
          <cell r="B14907" t="str">
            <v>SSI806612O160_1</v>
          </cell>
          <cell r="O14907"/>
          <cell r="T14907"/>
        </row>
        <row r="14908">
          <cell r="A14908" t="str">
            <v>RFS/CELWAVE</v>
          </cell>
          <cell r="B14908" t="str">
            <v>SSI806643O120</v>
          </cell>
          <cell r="O14908"/>
          <cell r="T14908"/>
        </row>
        <row r="14909">
          <cell r="A14909" t="str">
            <v>RFS/CELWAVE</v>
          </cell>
          <cell r="B14909" t="str">
            <v>SSI806685-15WHIP</v>
          </cell>
          <cell r="O14909"/>
          <cell r="T14909"/>
        </row>
        <row r="14910">
          <cell r="A14910" t="str">
            <v>RFS/CELWAVE</v>
          </cell>
          <cell r="B14910" t="str">
            <v>SSI806705O78</v>
          </cell>
          <cell r="O14910"/>
          <cell r="T14910"/>
        </row>
        <row r="14911">
          <cell r="A14911" t="str">
            <v>RFS/CELWAVE</v>
          </cell>
          <cell r="B14911" t="str">
            <v>SSI806748</v>
          </cell>
          <cell r="O14911"/>
          <cell r="T14911"/>
        </row>
        <row r="14912">
          <cell r="A14912" t="str">
            <v>RFS/CELWAVE</v>
          </cell>
          <cell r="B14912" t="str">
            <v>SSI806901-4PANEL</v>
          </cell>
          <cell r="O14912"/>
          <cell r="T14912"/>
        </row>
        <row r="14913">
          <cell r="A14913" t="str">
            <v>RFS/CELWAVE</v>
          </cell>
          <cell r="B14913" t="str">
            <v>SSI807203M135</v>
          </cell>
          <cell r="O14913"/>
          <cell r="T14913"/>
        </row>
        <row r="14914">
          <cell r="A14914" t="str">
            <v>RFS/CELWAVE</v>
          </cell>
          <cell r="B14914" t="str">
            <v>SSI807288-10'OMN</v>
          </cell>
          <cell r="O14914"/>
          <cell r="T14914"/>
        </row>
        <row r="14915">
          <cell r="A14915" t="str">
            <v>RFS/CELWAVE</v>
          </cell>
          <cell r="B14915" t="str">
            <v>SSI809026P92</v>
          </cell>
          <cell r="O14915"/>
          <cell r="T14915"/>
        </row>
        <row r="14916">
          <cell r="A14916" t="str">
            <v>RFS/CELWAVE</v>
          </cell>
          <cell r="B14916" t="str">
            <v>SSI809233M236</v>
          </cell>
          <cell r="O14916"/>
          <cell r="T14916"/>
        </row>
        <row r="14917">
          <cell r="A14917" t="str">
            <v>RFS/CELWAVE</v>
          </cell>
          <cell r="B14917" t="str">
            <v>SSI809236M123</v>
          </cell>
          <cell r="O14917"/>
          <cell r="T14917"/>
        </row>
        <row r="14918">
          <cell r="A14918" t="str">
            <v>RFS/CELWAVE</v>
          </cell>
          <cell r="B14918" t="str">
            <v>SSI809236M250</v>
          </cell>
          <cell r="O14918"/>
          <cell r="T14918"/>
        </row>
        <row r="14919">
          <cell r="A14919" t="str">
            <v>RFS/CELWAVE</v>
          </cell>
          <cell r="B14919" t="str">
            <v>SSI809481P158</v>
          </cell>
          <cell r="O14919"/>
          <cell r="T14919"/>
        </row>
        <row r="14920">
          <cell r="A14920" t="str">
            <v>RFS/CELWAVE</v>
          </cell>
          <cell r="B14920" t="str">
            <v>SSI809481P240</v>
          </cell>
          <cell r="O14920"/>
          <cell r="T14920"/>
        </row>
        <row r="14921">
          <cell r="A14921" t="str">
            <v>RFS/CELWAVE</v>
          </cell>
          <cell r="B14921" t="str">
            <v>SSI811567-DIPOLE</v>
          </cell>
          <cell r="O14921"/>
          <cell r="T14921"/>
        </row>
        <row r="14922">
          <cell r="A14922" t="str">
            <v>RFS/CELWAVE</v>
          </cell>
          <cell r="B14922" t="str">
            <v>SSI811982-15OMNI</v>
          </cell>
          <cell r="O14922"/>
          <cell r="T14922"/>
        </row>
        <row r="14923">
          <cell r="A14923" t="str">
            <v>RFS/CELWAVE</v>
          </cell>
          <cell r="B14923" t="str">
            <v>SSI812438-15OMNI</v>
          </cell>
          <cell r="O14923"/>
          <cell r="T14923"/>
        </row>
        <row r="14924">
          <cell r="A14924" t="str">
            <v>RFS/CELWAVE</v>
          </cell>
          <cell r="B14924" t="str">
            <v>SSI812507M135</v>
          </cell>
          <cell r="O14924"/>
          <cell r="T14924"/>
        </row>
        <row r="14925">
          <cell r="A14925" t="str">
            <v>RFS/CELWAVE</v>
          </cell>
          <cell r="B14925" t="str">
            <v>SSI812507M148</v>
          </cell>
          <cell r="O14925"/>
          <cell r="T14925"/>
        </row>
        <row r="14926">
          <cell r="A14926" t="str">
            <v>RFS/CELWAVE</v>
          </cell>
          <cell r="B14926" t="str">
            <v>SSI812507M176_1</v>
          </cell>
          <cell r="O14926"/>
          <cell r="T14926"/>
        </row>
        <row r="14927">
          <cell r="A14927" t="str">
            <v>RFS/CELWAVE</v>
          </cell>
          <cell r="B14927" t="str">
            <v>SSI812507M176_2</v>
          </cell>
          <cell r="O14927"/>
          <cell r="T14927"/>
        </row>
        <row r="14928">
          <cell r="A14928" t="str">
            <v>RFS/CELWAVE</v>
          </cell>
          <cell r="B14928" t="str">
            <v>SSI812507M196</v>
          </cell>
          <cell r="O14928"/>
          <cell r="T14928"/>
        </row>
        <row r="14929">
          <cell r="A14929" t="str">
            <v>RFS/CELWAVE</v>
          </cell>
          <cell r="B14929" t="str">
            <v>SSI812507M211</v>
          </cell>
          <cell r="O14929"/>
          <cell r="T14929"/>
        </row>
        <row r="14930">
          <cell r="A14930" t="str">
            <v>RFS/CELWAVE</v>
          </cell>
          <cell r="B14930" t="str">
            <v>SSI812515-10HPDM</v>
          </cell>
          <cell r="O14930"/>
          <cell r="T14930"/>
        </row>
        <row r="14931">
          <cell r="A14931" t="str">
            <v>RFS/CELWAVE</v>
          </cell>
          <cell r="B14931" t="str">
            <v>SSI812515-6DISH</v>
          </cell>
          <cell r="O14931"/>
          <cell r="T14931"/>
        </row>
        <row r="14932">
          <cell r="A14932" t="str">
            <v>RFS/CELWAVE</v>
          </cell>
          <cell r="B14932" t="str">
            <v>SSI812515-6HPDM</v>
          </cell>
          <cell r="O14932"/>
          <cell r="T14932"/>
        </row>
        <row r="14933">
          <cell r="A14933" t="str">
            <v>RFS/CELWAVE</v>
          </cell>
          <cell r="B14933" t="str">
            <v>SSI812515-8DISH</v>
          </cell>
          <cell r="O14933"/>
          <cell r="T14933"/>
        </row>
        <row r="14934">
          <cell r="A14934" t="str">
            <v>RFS/CELWAVE</v>
          </cell>
          <cell r="B14934" t="str">
            <v>SSI812825-10</v>
          </cell>
          <cell r="O14934"/>
          <cell r="T14934"/>
        </row>
        <row r="14935">
          <cell r="A14935" t="str">
            <v>RFS/CELWAVE</v>
          </cell>
          <cell r="B14935" t="str">
            <v>SSI812841-20OMNI</v>
          </cell>
          <cell r="O14935"/>
          <cell r="T14935"/>
        </row>
        <row r="14936">
          <cell r="A14936" t="str">
            <v>RFS/CELWAVE</v>
          </cell>
          <cell r="B14936" t="str">
            <v>SSI812892O132_7</v>
          </cell>
          <cell r="O14936"/>
          <cell r="T14936"/>
        </row>
        <row r="14937">
          <cell r="A14937" t="str">
            <v>RFS/CELWAVE</v>
          </cell>
          <cell r="B14937" t="str">
            <v>SSI812893P245</v>
          </cell>
          <cell r="O14937"/>
          <cell r="T14937"/>
        </row>
        <row r="14938">
          <cell r="A14938" t="str">
            <v>RFS/CELWAVE</v>
          </cell>
          <cell r="B14938" t="str">
            <v>SSI812893P245_1</v>
          </cell>
          <cell r="O14938"/>
          <cell r="T14938"/>
        </row>
        <row r="14939">
          <cell r="A14939" t="str">
            <v>RFS/CELWAVE</v>
          </cell>
          <cell r="B14939" t="str">
            <v>SSI813832-20</v>
          </cell>
          <cell r="O14939"/>
          <cell r="T14939"/>
        </row>
        <row r="14940">
          <cell r="A14940" t="str">
            <v>RFS/CELWAVE</v>
          </cell>
          <cell r="B14940" t="str">
            <v>SSI814129O115</v>
          </cell>
          <cell r="O14940"/>
          <cell r="T14940"/>
        </row>
        <row r="14941">
          <cell r="A14941" t="str">
            <v>RFS/CELWAVE</v>
          </cell>
          <cell r="B14941" t="str">
            <v>SSI814160-10OMNI</v>
          </cell>
          <cell r="O14941"/>
          <cell r="T14941"/>
        </row>
        <row r="14942">
          <cell r="A14942" t="str">
            <v>RFS/CELWAVE</v>
          </cell>
          <cell r="B14942" t="str">
            <v>SSI814309D230</v>
          </cell>
          <cell r="O14942"/>
          <cell r="T14942"/>
        </row>
        <row r="14943">
          <cell r="A14943" t="str">
            <v>RFS/CELWAVE</v>
          </cell>
          <cell r="B14943" t="str">
            <v>SSI814367-6OMNI</v>
          </cell>
          <cell r="O14943"/>
          <cell r="T14943"/>
        </row>
        <row r="14944">
          <cell r="A14944" t="str">
            <v>RFS/CELWAVE</v>
          </cell>
          <cell r="B14944" t="str">
            <v>SSI814369O184</v>
          </cell>
          <cell r="O14944"/>
          <cell r="T14944"/>
        </row>
        <row r="14945">
          <cell r="A14945" t="str">
            <v>RFS/CELWAVE</v>
          </cell>
          <cell r="B14945" t="str">
            <v>SSI814548X147</v>
          </cell>
          <cell r="O14945"/>
          <cell r="T14945"/>
        </row>
        <row r="14946">
          <cell r="A14946" t="str">
            <v>RFS/CELWAVE</v>
          </cell>
          <cell r="B14946" t="str">
            <v>SSI814857M195</v>
          </cell>
          <cell r="O14946"/>
          <cell r="T14946"/>
        </row>
        <row r="14947">
          <cell r="A14947" t="str">
            <v>RFS/CELWAVE</v>
          </cell>
          <cell r="B14947" t="str">
            <v>SSI814931P418</v>
          </cell>
          <cell r="O14947"/>
          <cell r="T14947"/>
        </row>
        <row r="14948">
          <cell r="A14948" t="str">
            <v>RFS/CELWAVE</v>
          </cell>
          <cell r="B14948" t="str">
            <v>SSI814971O145</v>
          </cell>
          <cell r="O14948"/>
          <cell r="T14948"/>
        </row>
        <row r="14949">
          <cell r="A14949" t="str">
            <v>RFS/CELWAVE</v>
          </cell>
          <cell r="B14949" t="str">
            <v>SSI815190M216</v>
          </cell>
          <cell r="O14949"/>
          <cell r="T14949"/>
        </row>
        <row r="14950">
          <cell r="A14950" t="str">
            <v>RFS/CELWAVE</v>
          </cell>
          <cell r="B14950" t="str">
            <v>SSI815478P101</v>
          </cell>
          <cell r="O14950"/>
          <cell r="T14950"/>
        </row>
        <row r="14951">
          <cell r="A14951" t="str">
            <v>RFS/CELWAVE</v>
          </cell>
          <cell r="B14951" t="str">
            <v>SSI815478P83</v>
          </cell>
          <cell r="O14951"/>
          <cell r="T14951"/>
        </row>
        <row r="14952">
          <cell r="A14952" t="str">
            <v>RFS/CELWAVE</v>
          </cell>
          <cell r="B14952" t="str">
            <v>SSI815484P150_7</v>
          </cell>
          <cell r="O14952"/>
          <cell r="T14952"/>
        </row>
        <row r="14953">
          <cell r="A14953" t="str">
            <v>RFS/CELWAVE</v>
          </cell>
          <cell r="B14953" t="str">
            <v>SSI815874O44</v>
          </cell>
          <cell r="O14953"/>
          <cell r="T14953"/>
        </row>
        <row r="14954">
          <cell r="A14954" t="str">
            <v>RFS/CELWAVE</v>
          </cell>
          <cell r="B14954" t="str">
            <v>SSI815879O284</v>
          </cell>
          <cell r="O14954"/>
          <cell r="T14954"/>
        </row>
        <row r="14955">
          <cell r="A14955" t="str">
            <v>RFS/CELWAVE</v>
          </cell>
          <cell r="B14955" t="str">
            <v>SSI815929O11</v>
          </cell>
          <cell r="O14955"/>
          <cell r="T14955"/>
        </row>
        <row r="14956">
          <cell r="A14956" t="str">
            <v>RFS/CELWAVE</v>
          </cell>
          <cell r="B14956" t="str">
            <v>SSI815951L13</v>
          </cell>
          <cell r="O14956"/>
          <cell r="T14956"/>
        </row>
        <row r="14957">
          <cell r="A14957" t="str">
            <v>RFS/CELWAVE</v>
          </cell>
          <cell r="B14957" t="str">
            <v>SSI815951O49</v>
          </cell>
          <cell r="O14957"/>
          <cell r="T14957"/>
        </row>
        <row r="14958">
          <cell r="A14958" t="str">
            <v>RFS/CELWAVE</v>
          </cell>
          <cell r="B14958" t="str">
            <v>SSI816063O10</v>
          </cell>
          <cell r="O14958"/>
          <cell r="T14958"/>
        </row>
        <row r="14959">
          <cell r="A14959" t="str">
            <v>RFS/CELWAVE</v>
          </cell>
          <cell r="B14959" t="str">
            <v>SSI816309-6DISH</v>
          </cell>
          <cell r="O14959"/>
          <cell r="T14959"/>
        </row>
        <row r="14960">
          <cell r="A14960" t="str">
            <v>RFS/CELWAVE</v>
          </cell>
          <cell r="B14960" t="str">
            <v>SSI816392O107</v>
          </cell>
          <cell r="O14960"/>
          <cell r="T14960"/>
        </row>
        <row r="14961">
          <cell r="A14961" t="str">
            <v>RFS/CELWAVE</v>
          </cell>
          <cell r="B14961" t="str">
            <v>SSI816392O123</v>
          </cell>
          <cell r="O14961"/>
          <cell r="T14961"/>
        </row>
        <row r="14962">
          <cell r="A14962" t="str">
            <v>RFS/CELWAVE</v>
          </cell>
          <cell r="B14962" t="str">
            <v>SSI816410O143</v>
          </cell>
          <cell r="O14962"/>
          <cell r="T14962"/>
        </row>
        <row r="14963">
          <cell r="A14963" t="str">
            <v>RFS/CELWAVE</v>
          </cell>
          <cell r="B14963" t="str">
            <v>SSI816581P183</v>
          </cell>
          <cell r="O14963"/>
          <cell r="T14963"/>
        </row>
        <row r="14964">
          <cell r="A14964" t="str">
            <v>RFS/CELWAVE</v>
          </cell>
          <cell r="B14964" t="str">
            <v>SSI816601-3RADOME</v>
          </cell>
          <cell r="O14964"/>
          <cell r="T14964"/>
        </row>
        <row r="14965">
          <cell r="A14965" t="str">
            <v>RFS/CELWAVE</v>
          </cell>
          <cell r="B14965" t="str">
            <v>SSI816658-6DISH</v>
          </cell>
          <cell r="O14965"/>
          <cell r="T14965"/>
        </row>
        <row r="14966">
          <cell r="A14966" t="str">
            <v>RFS/CELWAVE</v>
          </cell>
          <cell r="B14966" t="str">
            <v>SSI816671-O 139 13</v>
          </cell>
          <cell r="O14966"/>
          <cell r="T14966"/>
        </row>
        <row r="14967">
          <cell r="A14967" t="str">
            <v>RFS/CELWAVE</v>
          </cell>
          <cell r="B14967" t="str">
            <v>SSI816671-O 139 14</v>
          </cell>
          <cell r="O14967"/>
          <cell r="T14967"/>
        </row>
        <row r="14968">
          <cell r="A14968" t="str">
            <v>RFS/CELWAVE</v>
          </cell>
          <cell r="B14968" t="str">
            <v>SSI816671-O 142 15</v>
          </cell>
          <cell r="O14968"/>
          <cell r="T14968"/>
        </row>
        <row r="14969">
          <cell r="A14969" t="str">
            <v>RFS/CELWAVE</v>
          </cell>
          <cell r="B14969" t="str">
            <v>SSI816671-O 176 12</v>
          </cell>
          <cell r="O14969"/>
          <cell r="T14969"/>
        </row>
        <row r="14970">
          <cell r="A14970" t="str">
            <v>RFS/CELWAVE</v>
          </cell>
          <cell r="B14970" t="str">
            <v>SSI816690M131</v>
          </cell>
          <cell r="O14970"/>
          <cell r="T14970"/>
        </row>
        <row r="14971">
          <cell r="A14971" t="str">
            <v>RFS/CELWAVE</v>
          </cell>
          <cell r="B14971" t="str">
            <v>SSI816817O271</v>
          </cell>
          <cell r="O14971"/>
          <cell r="T14971"/>
        </row>
        <row r="14972">
          <cell r="A14972" t="str">
            <v>RFS/CELWAVE</v>
          </cell>
          <cell r="B14972" t="str">
            <v>SSI816817O293</v>
          </cell>
          <cell r="O14972"/>
          <cell r="T14972"/>
        </row>
        <row r="14973">
          <cell r="A14973" t="str">
            <v>RFS/CELWAVE</v>
          </cell>
          <cell r="B14973" t="str">
            <v>SSI816851P145</v>
          </cell>
          <cell r="O14973"/>
          <cell r="T14973"/>
        </row>
        <row r="14974">
          <cell r="A14974" t="str">
            <v>RFS/CELWAVE</v>
          </cell>
          <cell r="B14974" t="str">
            <v>SSI817260O147</v>
          </cell>
          <cell r="O14974"/>
          <cell r="T14974"/>
        </row>
        <row r="14975">
          <cell r="A14975" t="str">
            <v>RFS/CELWAVE</v>
          </cell>
          <cell r="B14975" t="str">
            <v>SU2-107B</v>
          </cell>
          <cell r="O14975"/>
          <cell r="T14975"/>
        </row>
        <row r="14976">
          <cell r="A14976" t="str">
            <v>RFS/CELWAVE</v>
          </cell>
          <cell r="B14976" t="str">
            <v>SU2-107BB</v>
          </cell>
          <cell r="O14976"/>
          <cell r="T14976"/>
        </row>
        <row r="14977">
          <cell r="A14977" t="str">
            <v>RFS/CELWAVE</v>
          </cell>
          <cell r="B14977" t="str">
            <v>SU3-103A</v>
          </cell>
          <cell r="O14977"/>
          <cell r="T14977"/>
        </row>
        <row r="14978">
          <cell r="A14978" t="str">
            <v>RFS/CELWAVE</v>
          </cell>
          <cell r="B14978" t="str">
            <v>SU3-107</v>
          </cell>
          <cell r="O14978"/>
          <cell r="T14978"/>
        </row>
        <row r="14979">
          <cell r="A14979" t="str">
            <v>RFS/CELWAVE</v>
          </cell>
          <cell r="B14979" t="str">
            <v>SU3-107BFC</v>
          </cell>
          <cell r="O14979"/>
          <cell r="T14979"/>
        </row>
        <row r="14980">
          <cell r="A14980" t="str">
            <v>RFS/CELWAVE</v>
          </cell>
          <cell r="B14980" t="str">
            <v>SU3-107FC</v>
          </cell>
          <cell r="O14980"/>
          <cell r="T14980"/>
        </row>
        <row r="14981">
          <cell r="A14981" t="str">
            <v>RFS/CELWAVE</v>
          </cell>
          <cell r="B14981" t="str">
            <v>SU3-107FD</v>
          </cell>
          <cell r="O14981"/>
          <cell r="T14981"/>
        </row>
        <row r="14982">
          <cell r="A14982" t="str">
            <v>RFS/CELWAVE</v>
          </cell>
          <cell r="B14982" t="str">
            <v>SU3-107P</v>
          </cell>
          <cell r="O14982"/>
          <cell r="T14982"/>
        </row>
        <row r="14983">
          <cell r="A14983" t="str">
            <v>RFS/CELWAVE</v>
          </cell>
          <cell r="B14983" t="str">
            <v>SU3-127AB</v>
          </cell>
          <cell r="O14983"/>
          <cell r="T14983"/>
        </row>
        <row r="14984">
          <cell r="A14984" t="str">
            <v>RFS/CELWAVE</v>
          </cell>
          <cell r="B14984" t="str">
            <v>SU3-190AB</v>
          </cell>
          <cell r="O14984"/>
          <cell r="T14984"/>
        </row>
        <row r="14985">
          <cell r="A14985" t="str">
            <v>RFS/CELWAVE</v>
          </cell>
          <cell r="B14985" t="str">
            <v>SU4-103AB</v>
          </cell>
          <cell r="O14985"/>
          <cell r="T14985"/>
        </row>
        <row r="14986">
          <cell r="A14986" t="str">
            <v>RFS/CELWAVE</v>
          </cell>
          <cell r="B14986" t="str">
            <v>SU4-107</v>
          </cell>
          <cell r="O14986"/>
          <cell r="T14986"/>
        </row>
        <row r="14987">
          <cell r="A14987" t="str">
            <v>RFS/CELWAVE</v>
          </cell>
          <cell r="B14987" t="str">
            <v>SU4-107A</v>
          </cell>
          <cell r="O14987"/>
          <cell r="T14987"/>
        </row>
        <row r="14988">
          <cell r="A14988" t="str">
            <v>RFS/CELWAVE</v>
          </cell>
          <cell r="B14988" t="str">
            <v>SU4-107AC</v>
          </cell>
          <cell r="O14988"/>
          <cell r="T14988"/>
        </row>
        <row r="14989">
          <cell r="A14989" t="str">
            <v>RFS/CELWAVE</v>
          </cell>
          <cell r="B14989" t="str">
            <v>SU4-107BB</v>
          </cell>
          <cell r="O14989"/>
          <cell r="T14989"/>
        </row>
        <row r="14990">
          <cell r="A14990" t="str">
            <v>RFS/CELWAVE</v>
          </cell>
          <cell r="B14990" t="str">
            <v>SU4-107BC</v>
          </cell>
          <cell r="O14990"/>
          <cell r="T14990"/>
        </row>
        <row r="14991">
          <cell r="A14991" t="str">
            <v>RFS/CELWAVE</v>
          </cell>
          <cell r="B14991" t="str">
            <v>SU4-190AB</v>
          </cell>
          <cell r="O14991"/>
          <cell r="T14991"/>
        </row>
        <row r="14992">
          <cell r="A14992" t="str">
            <v>RFS/CELWAVE</v>
          </cell>
          <cell r="B14992" t="str">
            <v>SU6-103BB</v>
          </cell>
          <cell r="O14992"/>
          <cell r="T14992"/>
        </row>
        <row r="14993">
          <cell r="A14993" t="str">
            <v>RFS/CELWAVE</v>
          </cell>
          <cell r="B14993" t="str">
            <v>SU6-107B</v>
          </cell>
          <cell r="O14993"/>
          <cell r="T14993"/>
        </row>
        <row r="14994">
          <cell r="A14994" t="str">
            <v>RFS/CELWAVE</v>
          </cell>
          <cell r="B14994" t="str">
            <v>SU6-107BB</v>
          </cell>
          <cell r="O14994"/>
          <cell r="T14994"/>
        </row>
        <row r="14995">
          <cell r="A14995" t="str">
            <v>RFS/CELWAVE</v>
          </cell>
          <cell r="B14995" t="str">
            <v>SU6-190BZ</v>
          </cell>
          <cell r="O14995"/>
          <cell r="T14995"/>
        </row>
        <row r="14996">
          <cell r="A14996" t="str">
            <v>RFS/CELWAVE</v>
          </cell>
          <cell r="B14996" t="str">
            <v>SU6-59BC</v>
          </cell>
          <cell r="O14996"/>
          <cell r="T14996"/>
        </row>
        <row r="14997">
          <cell r="A14997" t="str">
            <v>RFS/CELWAVE</v>
          </cell>
          <cell r="B14997" t="str">
            <v>SU6-65BC</v>
          </cell>
          <cell r="O14997"/>
          <cell r="T14997"/>
        </row>
        <row r="14998">
          <cell r="A14998" t="str">
            <v>RFS/CELWAVE</v>
          </cell>
          <cell r="B14998" t="str">
            <v>SU6-W60STX</v>
          </cell>
          <cell r="O14998"/>
          <cell r="T14998"/>
        </row>
        <row r="14999">
          <cell r="A14999" t="str">
            <v>RFS/CELWAVE</v>
          </cell>
          <cell r="B14999" t="str">
            <v>SUL4-103AC</v>
          </cell>
          <cell r="O14999"/>
          <cell r="T14999"/>
        </row>
        <row r="15000">
          <cell r="A15000" t="str">
            <v>RFS/CELWAVE</v>
          </cell>
          <cell r="B15000" t="str">
            <v>SUL6-103BC</v>
          </cell>
          <cell r="O15000"/>
          <cell r="T15000"/>
        </row>
        <row r="15001">
          <cell r="A15001" t="str">
            <v>RFS/CELWAVE</v>
          </cell>
          <cell r="B15001" t="str">
            <v>SUX2-190AB</v>
          </cell>
          <cell r="O15001"/>
          <cell r="T15001"/>
        </row>
        <row r="15002">
          <cell r="A15002" t="str">
            <v>RFS/CELWAVE</v>
          </cell>
          <cell r="B15002" t="str">
            <v>SUX2-190BB2H</v>
          </cell>
          <cell r="O15002"/>
          <cell r="T15002"/>
        </row>
        <row r="15003">
          <cell r="A15003" t="str">
            <v>RFS/CELWAVE</v>
          </cell>
          <cell r="B15003" t="str">
            <v>SUX3-107BB</v>
          </cell>
          <cell r="O15003"/>
          <cell r="T15003"/>
        </row>
        <row r="15004">
          <cell r="A15004" t="str">
            <v>RFS/CELWAVE</v>
          </cell>
          <cell r="B15004" t="str">
            <v>SUX3-107BD2</v>
          </cell>
          <cell r="O15004"/>
          <cell r="T15004"/>
        </row>
        <row r="15005">
          <cell r="A15005" t="str">
            <v>RFS/CELWAVE</v>
          </cell>
          <cell r="B15005" t="str">
            <v>SUX3-107BFC</v>
          </cell>
          <cell r="O15005"/>
          <cell r="T15005"/>
        </row>
        <row r="15006">
          <cell r="A15006" t="str">
            <v>RFS/CELWAVE</v>
          </cell>
          <cell r="B15006" t="str">
            <v>SUX3-190BB2</v>
          </cell>
          <cell r="O15006"/>
          <cell r="T15006"/>
        </row>
        <row r="15007">
          <cell r="A15007" t="str">
            <v>RFS/CELWAVE</v>
          </cell>
          <cell r="B15007" t="str">
            <v>SUX4-107AB</v>
          </cell>
          <cell r="O15007"/>
          <cell r="T15007"/>
        </row>
        <row r="15008">
          <cell r="A15008" t="str">
            <v>RFS/CELWAVE</v>
          </cell>
          <cell r="B15008" t="str">
            <v>SUX4-107BB</v>
          </cell>
          <cell r="O15008"/>
          <cell r="T15008"/>
        </row>
        <row r="15009">
          <cell r="A15009" t="str">
            <v>RFS/CELWAVE</v>
          </cell>
          <cell r="B15009" t="str">
            <v>SUX4-107BC</v>
          </cell>
          <cell r="O15009"/>
          <cell r="T15009"/>
        </row>
        <row r="15010">
          <cell r="A15010" t="str">
            <v>RFS/CELWAVE</v>
          </cell>
          <cell r="B15010" t="str">
            <v>SUX4-107BC2</v>
          </cell>
          <cell r="O15010"/>
          <cell r="T15010"/>
        </row>
        <row r="15011">
          <cell r="A15011" t="str">
            <v>RFS/CELWAVE</v>
          </cell>
          <cell r="B15011" t="str">
            <v>SUX4-107DC</v>
          </cell>
          <cell r="O15011"/>
          <cell r="T15011"/>
        </row>
        <row r="15012">
          <cell r="A15012" t="str">
            <v>RFS/CELWAVE</v>
          </cell>
          <cell r="B15012" t="str">
            <v>SUX4-59AC</v>
          </cell>
          <cell r="O15012"/>
          <cell r="T15012"/>
        </row>
        <row r="15013">
          <cell r="A15013" t="str">
            <v>RFS/CELWAVE</v>
          </cell>
          <cell r="B15013" t="str">
            <v>SUX6-107BB</v>
          </cell>
          <cell r="O15013"/>
          <cell r="T15013"/>
        </row>
        <row r="15014">
          <cell r="A15014" t="str">
            <v>RFS/CELWAVE</v>
          </cell>
          <cell r="B15014" t="str">
            <v>SUX6-107BC</v>
          </cell>
          <cell r="O15014"/>
          <cell r="T15014"/>
        </row>
        <row r="15015">
          <cell r="A15015" t="str">
            <v>RFS/CELWAVE</v>
          </cell>
          <cell r="B15015" t="str">
            <v>SUX6-107BD</v>
          </cell>
          <cell r="O15015"/>
          <cell r="T15015"/>
        </row>
        <row r="15016">
          <cell r="A15016" t="str">
            <v>RFS/CELWAVE</v>
          </cell>
          <cell r="B15016" t="str">
            <v>SUX6-59B</v>
          </cell>
          <cell r="O15016"/>
          <cell r="T15016"/>
        </row>
        <row r="15017">
          <cell r="A15017" t="str">
            <v>RFS/CELWAVE</v>
          </cell>
          <cell r="B15017" t="str">
            <v>TC-MDIS-04</v>
          </cell>
          <cell r="O15017"/>
          <cell r="T15017"/>
        </row>
        <row r="15018">
          <cell r="A15018" t="str">
            <v>RFS/CELWAVE</v>
          </cell>
          <cell r="B15018" t="str">
            <v>TC-MDIS-06</v>
          </cell>
          <cell r="O15018"/>
          <cell r="T15018"/>
        </row>
        <row r="15019">
          <cell r="A15019" t="str">
            <v>RFS/CELWAVE</v>
          </cell>
          <cell r="B15019" t="str">
            <v>TDF6546A</v>
          </cell>
          <cell r="O15019"/>
          <cell r="T15019"/>
        </row>
        <row r="15020">
          <cell r="A15020" t="str">
            <v>RFS/CELWAVE</v>
          </cell>
          <cell r="B15020" t="str">
            <v>TMA-DB-T1-6Z-8AB-0Z</v>
          </cell>
          <cell r="O15020"/>
          <cell r="T15020"/>
        </row>
        <row r="15021">
          <cell r="A15021" t="str">
            <v>RFS/CELWAVE</v>
          </cell>
          <cell r="B15021" t="str">
            <v>TME-ATM1900D-1A20</v>
          </cell>
          <cell r="O15021"/>
          <cell r="T15021"/>
        </row>
        <row r="15022">
          <cell r="A15022" t="str">
            <v>RFS/CELWAVE</v>
          </cell>
          <cell r="B15022" t="str">
            <v>TME-ATMA3P4-1A20</v>
          </cell>
          <cell r="O15022"/>
          <cell r="T15022"/>
        </row>
        <row r="15023">
          <cell r="A15023" t="str">
            <v>RFS/CELWAVE</v>
          </cell>
          <cell r="B15023" t="str">
            <v>TME-ATMA3P4DBP-1A20</v>
          </cell>
          <cell r="O15023"/>
          <cell r="T15023"/>
        </row>
        <row r="15024">
          <cell r="A15024" t="str">
            <v>RFS/CELWAVE</v>
          </cell>
          <cell r="B15024" t="str">
            <v>TME-ATMAA1412D-1A20</v>
          </cell>
          <cell r="O15024"/>
          <cell r="T15024"/>
        </row>
        <row r="15025">
          <cell r="A15025" t="str">
            <v>RFS/CELWAVE</v>
          </cell>
          <cell r="B15025" t="str">
            <v>TME-ATMAP1412D-1A20</v>
          </cell>
          <cell r="O15025"/>
          <cell r="T15025"/>
        </row>
        <row r="15026">
          <cell r="A15026" t="str">
            <v>RFS/CELWAVE</v>
          </cell>
          <cell r="B15026" t="str">
            <v>TME-DB-B1-6C-12AB-0Z</v>
          </cell>
          <cell r="O15026"/>
          <cell r="T15026"/>
        </row>
        <row r="15027">
          <cell r="A15027" t="str">
            <v>RFS/CELWAVE</v>
          </cell>
          <cell r="B15027" t="str">
            <v>TME-IBC1900HG-1</v>
          </cell>
          <cell r="O15027"/>
          <cell r="T15027"/>
        </row>
        <row r="15028">
          <cell r="A15028" t="str">
            <v>RFS/CELWAVE</v>
          </cell>
          <cell r="B15028" t="str">
            <v>UA10-17</v>
          </cell>
          <cell r="O15028"/>
          <cell r="T15028"/>
        </row>
        <row r="15029">
          <cell r="A15029" t="str">
            <v>RFS/CELWAVE</v>
          </cell>
          <cell r="B15029" t="str">
            <v>UA10-18</v>
          </cell>
          <cell r="O15029"/>
          <cell r="T15029"/>
        </row>
        <row r="15030">
          <cell r="A15030" t="str">
            <v>RFS/CELWAVE</v>
          </cell>
          <cell r="B15030" t="str">
            <v>UA10-21</v>
          </cell>
          <cell r="O15030"/>
          <cell r="T15030"/>
        </row>
        <row r="15031">
          <cell r="A15031" t="str">
            <v>RFS/CELWAVE</v>
          </cell>
          <cell r="B15031" t="str">
            <v>UA10-34</v>
          </cell>
          <cell r="O15031"/>
          <cell r="T15031"/>
        </row>
        <row r="15032">
          <cell r="A15032" t="str">
            <v>RFS/CELWAVE</v>
          </cell>
          <cell r="B15032" t="str">
            <v>UA10-36</v>
          </cell>
          <cell r="O15032"/>
          <cell r="T15032"/>
        </row>
        <row r="15033">
          <cell r="A15033" t="str">
            <v>RFS/CELWAVE</v>
          </cell>
          <cell r="B15033" t="str">
            <v>UA10-44</v>
          </cell>
          <cell r="O15033"/>
          <cell r="T15033"/>
        </row>
        <row r="15034">
          <cell r="A15034" t="str">
            <v>RFS/CELWAVE</v>
          </cell>
          <cell r="B15034" t="str">
            <v>UA10-57</v>
          </cell>
          <cell r="O15034"/>
          <cell r="T15034"/>
        </row>
        <row r="15035">
          <cell r="A15035" t="str">
            <v>RFS/CELWAVE</v>
          </cell>
          <cell r="B15035" t="str">
            <v>UA10-59</v>
          </cell>
          <cell r="O15035"/>
          <cell r="T15035"/>
        </row>
        <row r="15036">
          <cell r="A15036" t="str">
            <v>RFS/CELWAVE</v>
          </cell>
          <cell r="B15036" t="str">
            <v>UA10-59W</v>
          </cell>
          <cell r="O15036"/>
          <cell r="T15036"/>
        </row>
        <row r="15037">
          <cell r="A15037" t="str">
            <v>RFS/CELWAVE</v>
          </cell>
          <cell r="B15037" t="str">
            <v>UA12-17</v>
          </cell>
          <cell r="O15037"/>
          <cell r="T15037"/>
        </row>
        <row r="15038">
          <cell r="A15038" t="str">
            <v>RFS/CELWAVE</v>
          </cell>
          <cell r="B15038" t="str">
            <v>UA12-18</v>
          </cell>
          <cell r="O15038"/>
          <cell r="T15038"/>
        </row>
        <row r="15039">
          <cell r="A15039" t="str">
            <v>RFS/CELWAVE</v>
          </cell>
          <cell r="B15039" t="str">
            <v>UA12-21</v>
          </cell>
          <cell r="O15039"/>
          <cell r="T15039"/>
        </row>
        <row r="15040">
          <cell r="A15040" t="str">
            <v>RFS/CELWAVE</v>
          </cell>
          <cell r="B15040" t="str">
            <v>UA12-34</v>
          </cell>
          <cell r="O15040"/>
          <cell r="T15040"/>
        </row>
        <row r="15041">
          <cell r="A15041" t="str">
            <v>RFS/CELWAVE</v>
          </cell>
          <cell r="B15041" t="str">
            <v>UA12-36</v>
          </cell>
          <cell r="O15041"/>
          <cell r="T15041"/>
        </row>
        <row r="15042">
          <cell r="A15042" t="str">
            <v>RFS/CELWAVE</v>
          </cell>
          <cell r="B15042" t="str">
            <v>UA12-44</v>
          </cell>
          <cell r="O15042"/>
          <cell r="T15042"/>
        </row>
        <row r="15043">
          <cell r="A15043" t="str">
            <v>RFS/CELWAVE</v>
          </cell>
          <cell r="B15043" t="str">
            <v>UA12-57</v>
          </cell>
          <cell r="O15043"/>
          <cell r="T15043"/>
        </row>
        <row r="15044">
          <cell r="A15044" t="str">
            <v>RFS/CELWAVE</v>
          </cell>
          <cell r="B15044" t="str">
            <v>UA12-59</v>
          </cell>
          <cell r="O15044"/>
          <cell r="T15044"/>
        </row>
        <row r="15045">
          <cell r="A15045" t="str">
            <v>RFS/CELWAVE</v>
          </cell>
          <cell r="B15045" t="str">
            <v>UA12-59W</v>
          </cell>
          <cell r="O15045"/>
          <cell r="T15045"/>
        </row>
        <row r="15046">
          <cell r="A15046" t="str">
            <v>RFS/CELWAVE</v>
          </cell>
          <cell r="B15046" t="str">
            <v>UA15-34</v>
          </cell>
          <cell r="O15046"/>
          <cell r="T15046"/>
        </row>
        <row r="15047">
          <cell r="A15047" t="str">
            <v>RFS/CELWAVE</v>
          </cell>
          <cell r="B15047" t="str">
            <v>UA15-36</v>
          </cell>
          <cell r="O15047"/>
          <cell r="T15047"/>
        </row>
        <row r="15048">
          <cell r="A15048" t="str">
            <v>RFS/CELWAVE</v>
          </cell>
          <cell r="B15048" t="str">
            <v>UA15-44</v>
          </cell>
          <cell r="O15048"/>
          <cell r="T15048"/>
        </row>
        <row r="15049">
          <cell r="A15049" t="str">
            <v>RFS/CELWAVE</v>
          </cell>
          <cell r="B15049" t="str">
            <v>UA15-59</v>
          </cell>
          <cell r="O15049"/>
          <cell r="T15049"/>
        </row>
        <row r="15050">
          <cell r="A15050" t="str">
            <v>RFS/CELWAVE</v>
          </cell>
          <cell r="B15050" t="str">
            <v>UA4-107</v>
          </cell>
          <cell r="O15050"/>
          <cell r="T15050"/>
        </row>
        <row r="15051">
          <cell r="A15051" t="str">
            <v>RFS/CELWAVE</v>
          </cell>
          <cell r="B15051" t="str">
            <v>UA6-17</v>
          </cell>
          <cell r="O15051"/>
          <cell r="T15051"/>
        </row>
        <row r="15052">
          <cell r="A15052" t="str">
            <v>RFS/CELWAVE</v>
          </cell>
          <cell r="B15052" t="str">
            <v>UA6-18</v>
          </cell>
          <cell r="O15052"/>
          <cell r="T15052"/>
        </row>
        <row r="15053">
          <cell r="A15053" t="str">
            <v>RFS/CELWAVE</v>
          </cell>
          <cell r="B15053" t="str">
            <v>UA6-21</v>
          </cell>
          <cell r="O15053"/>
          <cell r="T15053"/>
        </row>
        <row r="15054">
          <cell r="A15054" t="str">
            <v>RFS/CELWAVE</v>
          </cell>
          <cell r="B15054" t="str">
            <v>UA6-34</v>
          </cell>
          <cell r="O15054"/>
          <cell r="T15054"/>
        </row>
        <row r="15055">
          <cell r="A15055" t="str">
            <v>RFS/CELWAVE</v>
          </cell>
          <cell r="B15055" t="str">
            <v>UA6-36</v>
          </cell>
          <cell r="O15055"/>
          <cell r="T15055"/>
        </row>
        <row r="15056">
          <cell r="A15056" t="str">
            <v>RFS/CELWAVE</v>
          </cell>
          <cell r="B15056" t="str">
            <v>UA6-44</v>
          </cell>
          <cell r="O15056"/>
          <cell r="T15056"/>
        </row>
        <row r="15057">
          <cell r="A15057" t="str">
            <v>RFS/CELWAVE</v>
          </cell>
          <cell r="B15057" t="str">
            <v>UA6-57</v>
          </cell>
          <cell r="O15057"/>
          <cell r="T15057"/>
        </row>
        <row r="15058">
          <cell r="A15058" t="str">
            <v>RFS/CELWAVE</v>
          </cell>
          <cell r="B15058" t="str">
            <v>UA6-59</v>
          </cell>
          <cell r="O15058"/>
          <cell r="T15058"/>
        </row>
        <row r="15059">
          <cell r="A15059" t="str">
            <v>RFS/CELWAVE</v>
          </cell>
          <cell r="B15059" t="str">
            <v>UA6-59BC</v>
          </cell>
          <cell r="O15059"/>
          <cell r="T15059"/>
        </row>
        <row r="15060">
          <cell r="A15060" t="str">
            <v>RFS/CELWAVE</v>
          </cell>
          <cell r="B15060" t="str">
            <v>UA6-59W</v>
          </cell>
          <cell r="O15060"/>
          <cell r="T15060"/>
        </row>
        <row r="15061">
          <cell r="A15061" t="str">
            <v>RFS/CELWAVE</v>
          </cell>
          <cell r="B15061" t="str">
            <v>UA6-65B</v>
          </cell>
          <cell r="O15061"/>
          <cell r="T15061"/>
        </row>
        <row r="15062">
          <cell r="A15062" t="str">
            <v>RFS/CELWAVE</v>
          </cell>
          <cell r="B15062" t="str">
            <v>UA8-107</v>
          </cell>
          <cell r="O15062"/>
          <cell r="T15062"/>
        </row>
        <row r="15063">
          <cell r="A15063" t="str">
            <v>RFS/CELWAVE</v>
          </cell>
          <cell r="B15063" t="str">
            <v>UA8-107A</v>
          </cell>
          <cell r="O15063"/>
          <cell r="T15063"/>
        </row>
        <row r="15064">
          <cell r="A15064" t="str">
            <v>RFS/CELWAVE</v>
          </cell>
          <cell r="B15064" t="str">
            <v>UA8-17</v>
          </cell>
          <cell r="O15064"/>
          <cell r="T15064"/>
        </row>
        <row r="15065">
          <cell r="A15065" t="str">
            <v>RFS/CELWAVE</v>
          </cell>
          <cell r="B15065" t="str">
            <v>UA8-18</v>
          </cell>
          <cell r="O15065"/>
          <cell r="T15065"/>
        </row>
        <row r="15066">
          <cell r="A15066" t="str">
            <v>RFS/CELWAVE</v>
          </cell>
          <cell r="B15066" t="str">
            <v>UA8-21</v>
          </cell>
          <cell r="O15066"/>
          <cell r="T15066"/>
        </row>
        <row r="15067">
          <cell r="A15067" t="str">
            <v>RFS/CELWAVE</v>
          </cell>
          <cell r="B15067" t="str">
            <v>UA8-34</v>
          </cell>
          <cell r="O15067"/>
          <cell r="T15067"/>
        </row>
        <row r="15068">
          <cell r="A15068" t="str">
            <v>RFS/CELWAVE</v>
          </cell>
          <cell r="B15068" t="str">
            <v>UA8-36</v>
          </cell>
          <cell r="O15068"/>
          <cell r="T15068"/>
        </row>
        <row r="15069">
          <cell r="A15069" t="str">
            <v>RFS/CELWAVE</v>
          </cell>
          <cell r="B15069" t="str">
            <v>UA8-44</v>
          </cell>
          <cell r="O15069"/>
          <cell r="T15069"/>
        </row>
        <row r="15070">
          <cell r="A15070" t="str">
            <v>RFS/CELWAVE</v>
          </cell>
          <cell r="B15070" t="str">
            <v>UA8-57</v>
          </cell>
          <cell r="O15070"/>
          <cell r="T15070"/>
        </row>
        <row r="15071">
          <cell r="A15071" t="str">
            <v>RFS/CELWAVE</v>
          </cell>
          <cell r="B15071" t="str">
            <v>UA8-59</v>
          </cell>
          <cell r="O15071"/>
          <cell r="T15071"/>
        </row>
        <row r="15072">
          <cell r="A15072" t="str">
            <v>RFS/CELWAVE</v>
          </cell>
          <cell r="B15072" t="str">
            <v>UA8-59AC</v>
          </cell>
          <cell r="O15072"/>
          <cell r="T15072"/>
        </row>
        <row r="15073">
          <cell r="A15073" t="str">
            <v>RFS/CELWAVE</v>
          </cell>
          <cell r="B15073" t="str">
            <v>UA8-59W</v>
          </cell>
          <cell r="O15073"/>
          <cell r="T15073"/>
        </row>
        <row r="15074">
          <cell r="A15074" t="str">
            <v>RFS/CELWAVE</v>
          </cell>
          <cell r="B15074" t="str">
            <v>UA8-65A</v>
          </cell>
          <cell r="O15074"/>
          <cell r="T15074"/>
        </row>
        <row r="15075">
          <cell r="A15075" t="str">
            <v>RFS/CELWAVE</v>
          </cell>
          <cell r="B15075" t="str">
            <v>UAF10-17</v>
          </cell>
          <cell r="O15075"/>
          <cell r="T15075"/>
        </row>
        <row r="15076">
          <cell r="A15076" t="str">
            <v>RFS/CELWAVE</v>
          </cell>
          <cell r="B15076" t="str">
            <v>UAF10-18</v>
          </cell>
          <cell r="O15076"/>
          <cell r="T15076"/>
        </row>
        <row r="15077">
          <cell r="A15077" t="str">
            <v>RFS/CELWAVE</v>
          </cell>
          <cell r="B15077" t="str">
            <v>UAF10-21</v>
          </cell>
          <cell r="O15077"/>
          <cell r="T15077"/>
        </row>
        <row r="15078">
          <cell r="A15078" t="str">
            <v>RFS/CELWAVE</v>
          </cell>
          <cell r="B15078" t="str">
            <v>UAF10-34</v>
          </cell>
          <cell r="O15078"/>
          <cell r="T15078"/>
        </row>
        <row r="15079">
          <cell r="A15079" t="str">
            <v>RFS/CELWAVE</v>
          </cell>
          <cell r="B15079" t="str">
            <v>UAF12-17</v>
          </cell>
          <cell r="O15079"/>
          <cell r="T15079"/>
        </row>
        <row r="15080">
          <cell r="A15080" t="str">
            <v>RFS/CELWAVE</v>
          </cell>
          <cell r="B15080" t="str">
            <v>UAF12-18</v>
          </cell>
          <cell r="O15080"/>
          <cell r="T15080"/>
        </row>
        <row r="15081">
          <cell r="A15081" t="str">
            <v>RFS/CELWAVE</v>
          </cell>
          <cell r="B15081" t="str">
            <v>UAF12-21</v>
          </cell>
          <cell r="O15081"/>
          <cell r="T15081"/>
        </row>
        <row r="15082">
          <cell r="A15082" t="str">
            <v>RFS/CELWAVE</v>
          </cell>
          <cell r="B15082" t="str">
            <v>UAF12-34</v>
          </cell>
          <cell r="O15082"/>
          <cell r="T15082"/>
        </row>
        <row r="15083">
          <cell r="A15083" t="str">
            <v>RFS/CELWAVE</v>
          </cell>
          <cell r="B15083" t="str">
            <v>UAF4-34</v>
          </cell>
          <cell r="O15083"/>
          <cell r="T15083"/>
        </row>
        <row r="15084">
          <cell r="A15084" t="str">
            <v>RFS/CELWAVE</v>
          </cell>
          <cell r="B15084" t="str">
            <v>UAF6-17</v>
          </cell>
          <cell r="O15084"/>
          <cell r="T15084"/>
        </row>
        <row r="15085">
          <cell r="A15085" t="str">
            <v>RFS/CELWAVE</v>
          </cell>
          <cell r="B15085" t="str">
            <v>UAF6-18</v>
          </cell>
          <cell r="O15085"/>
          <cell r="T15085"/>
        </row>
        <row r="15086">
          <cell r="A15086" t="str">
            <v>RFS/CELWAVE</v>
          </cell>
          <cell r="B15086" t="str">
            <v>UAF6-21</v>
          </cell>
          <cell r="O15086"/>
          <cell r="T15086"/>
        </row>
        <row r="15087">
          <cell r="A15087" t="str">
            <v>RFS/CELWAVE</v>
          </cell>
          <cell r="B15087" t="str">
            <v>UAF6-34</v>
          </cell>
          <cell r="O15087"/>
          <cell r="T15087"/>
        </row>
        <row r="15088">
          <cell r="A15088" t="str">
            <v>RFS/CELWAVE</v>
          </cell>
          <cell r="B15088" t="str">
            <v>UAF8-17</v>
          </cell>
          <cell r="O15088"/>
          <cell r="T15088"/>
        </row>
        <row r="15089">
          <cell r="A15089" t="str">
            <v>RFS/CELWAVE</v>
          </cell>
          <cell r="B15089" t="str">
            <v>UAF8-18</v>
          </cell>
          <cell r="O15089"/>
          <cell r="T15089"/>
        </row>
        <row r="15090">
          <cell r="A15090" t="str">
            <v>RFS/CELWAVE</v>
          </cell>
          <cell r="B15090" t="str">
            <v>UAF8-21</v>
          </cell>
          <cell r="O15090"/>
          <cell r="T15090"/>
        </row>
        <row r="15091">
          <cell r="A15091" t="str">
            <v>RFS/CELWAVE</v>
          </cell>
          <cell r="B15091" t="str">
            <v>UAF8-34</v>
          </cell>
          <cell r="O15091"/>
          <cell r="T15091"/>
        </row>
        <row r="15092">
          <cell r="A15092" t="str">
            <v>RFS/CELWAVE</v>
          </cell>
          <cell r="B15092" t="str">
            <v>UAX10-44</v>
          </cell>
          <cell r="O15092"/>
          <cell r="T15092"/>
        </row>
        <row r="15093">
          <cell r="A15093" t="str">
            <v>RFS/CELWAVE</v>
          </cell>
          <cell r="B15093" t="str">
            <v>UAX12-44</v>
          </cell>
          <cell r="O15093"/>
          <cell r="T15093"/>
        </row>
        <row r="15094">
          <cell r="A15094" t="str">
            <v>RFS/CELWAVE</v>
          </cell>
          <cell r="B15094" t="str">
            <v>UAX15-36</v>
          </cell>
          <cell r="O15094"/>
          <cell r="T15094"/>
        </row>
        <row r="15095">
          <cell r="A15095" t="str">
            <v>RFS/CELWAVE</v>
          </cell>
          <cell r="B15095" t="str">
            <v>UAX15-44</v>
          </cell>
          <cell r="O15095"/>
          <cell r="T15095"/>
        </row>
        <row r="15096">
          <cell r="A15096" t="str">
            <v>RFS/CELWAVE</v>
          </cell>
          <cell r="B15096" t="str">
            <v>UAX8-44</v>
          </cell>
          <cell r="O15096"/>
          <cell r="T15096"/>
        </row>
        <row r="15097">
          <cell r="A15097" t="str">
            <v>RFS/CELWAVE</v>
          </cell>
          <cell r="B15097" t="str">
            <v>ULX6-W100AC</v>
          </cell>
          <cell r="O15097"/>
          <cell r="T15097"/>
        </row>
        <row r="15098">
          <cell r="A15098" t="str">
            <v>RFS/CELWAVE</v>
          </cell>
          <cell r="B15098" t="str">
            <v>UXA10-107A</v>
          </cell>
          <cell r="O15098"/>
          <cell r="T15098"/>
        </row>
        <row r="15099">
          <cell r="A15099" t="str">
            <v>RFS/CELWAVE</v>
          </cell>
          <cell r="B15099" t="str">
            <v>UXA10-36</v>
          </cell>
          <cell r="O15099"/>
          <cell r="T15099"/>
        </row>
        <row r="15100">
          <cell r="A15100" t="str">
            <v>RFS/CELWAVE</v>
          </cell>
          <cell r="B15100" t="str">
            <v>UXA10-57</v>
          </cell>
          <cell r="O15100"/>
          <cell r="T15100"/>
        </row>
        <row r="15101">
          <cell r="A15101" t="str">
            <v>RFS/CELWAVE</v>
          </cell>
          <cell r="B15101" t="str">
            <v>UXA10-59</v>
          </cell>
          <cell r="O15101"/>
          <cell r="T15101"/>
        </row>
        <row r="15102">
          <cell r="A15102" t="str">
            <v>RFS/CELWAVE</v>
          </cell>
          <cell r="B15102" t="str">
            <v>UXA10-59AC</v>
          </cell>
          <cell r="O15102"/>
          <cell r="T15102"/>
        </row>
        <row r="15103">
          <cell r="A15103" t="str">
            <v>RFS/CELWAVE</v>
          </cell>
          <cell r="B15103" t="str">
            <v>UXA10-59BC</v>
          </cell>
          <cell r="O15103"/>
          <cell r="T15103"/>
        </row>
        <row r="15104">
          <cell r="A15104" t="str">
            <v>RFS/CELWAVE</v>
          </cell>
          <cell r="B15104" t="str">
            <v>UXA10-59W</v>
          </cell>
          <cell r="O15104"/>
          <cell r="T15104"/>
        </row>
        <row r="15105">
          <cell r="A15105" t="str">
            <v>RFS/CELWAVE</v>
          </cell>
          <cell r="B15105" t="str">
            <v>UXA10-U57AC</v>
          </cell>
          <cell r="O15105"/>
          <cell r="T15105"/>
        </row>
        <row r="15106">
          <cell r="A15106" t="str">
            <v>RFS/CELWAVE</v>
          </cell>
          <cell r="B15106" t="str">
            <v>UXA10-W57AC</v>
          </cell>
          <cell r="O15106"/>
          <cell r="T15106"/>
        </row>
        <row r="15107">
          <cell r="A15107" t="str">
            <v>RFS/CELWAVE</v>
          </cell>
          <cell r="B15107" t="str">
            <v>UXA10-W59AC</v>
          </cell>
          <cell r="O15107"/>
          <cell r="T15107"/>
        </row>
        <row r="15108">
          <cell r="A15108" t="str">
            <v>RFS/CELWAVE</v>
          </cell>
          <cell r="B15108" t="str">
            <v>UXA12-36</v>
          </cell>
          <cell r="O15108"/>
          <cell r="T15108"/>
        </row>
        <row r="15109">
          <cell r="A15109" t="str">
            <v>RFS/CELWAVE</v>
          </cell>
          <cell r="B15109" t="str">
            <v>UXA12-57</v>
          </cell>
          <cell r="O15109"/>
          <cell r="T15109"/>
        </row>
        <row r="15110">
          <cell r="A15110" t="str">
            <v>RFS/CELWAVE</v>
          </cell>
          <cell r="B15110" t="str">
            <v>UXA12-59</v>
          </cell>
          <cell r="O15110"/>
          <cell r="T15110"/>
        </row>
        <row r="15111">
          <cell r="A15111" t="str">
            <v>RFS/CELWAVE</v>
          </cell>
          <cell r="B15111" t="str">
            <v>UXA12-59AC</v>
          </cell>
          <cell r="O15111"/>
          <cell r="T15111"/>
        </row>
        <row r="15112">
          <cell r="A15112" t="str">
            <v>RFS/CELWAVE</v>
          </cell>
          <cell r="B15112" t="str">
            <v>UXA12-59W</v>
          </cell>
          <cell r="O15112"/>
          <cell r="T15112"/>
        </row>
        <row r="15113">
          <cell r="A15113" t="str">
            <v>RFS/CELWAVE</v>
          </cell>
          <cell r="B15113" t="str">
            <v>UXA15-59</v>
          </cell>
          <cell r="O15113"/>
          <cell r="T15113"/>
        </row>
        <row r="15114">
          <cell r="A15114" t="str">
            <v>RFS/CELWAVE</v>
          </cell>
          <cell r="B15114" t="str">
            <v>UXA2-190CB</v>
          </cell>
          <cell r="O15114"/>
          <cell r="T15114"/>
        </row>
        <row r="15115">
          <cell r="A15115" t="str">
            <v>RFS/CELWAVE</v>
          </cell>
          <cell r="B15115" t="str">
            <v>UXA4-105AC</v>
          </cell>
          <cell r="O15115"/>
          <cell r="T15115"/>
        </row>
        <row r="15116">
          <cell r="A15116" t="str">
            <v>RFS/CELWAVE</v>
          </cell>
          <cell r="B15116" t="str">
            <v>UXA4-107A</v>
          </cell>
          <cell r="O15116"/>
          <cell r="T15116"/>
        </row>
        <row r="15117">
          <cell r="A15117" t="str">
            <v>RFS/CELWAVE</v>
          </cell>
          <cell r="B15117" t="str">
            <v>UXA4-107AC</v>
          </cell>
          <cell r="O15117"/>
          <cell r="T15117"/>
        </row>
        <row r="15118">
          <cell r="A15118" t="str">
            <v>RFS/CELWAVE</v>
          </cell>
          <cell r="B15118" t="str">
            <v>UXA4-107BB</v>
          </cell>
          <cell r="O15118"/>
          <cell r="T15118"/>
        </row>
        <row r="15119">
          <cell r="A15119" t="str">
            <v>RFS/CELWAVE</v>
          </cell>
          <cell r="B15119" t="str">
            <v>UXA4-107BC</v>
          </cell>
          <cell r="O15119"/>
          <cell r="T15119"/>
        </row>
        <row r="15120">
          <cell r="A15120" t="str">
            <v>RFS/CELWAVE</v>
          </cell>
          <cell r="B15120" t="str">
            <v>UXA4-107BD</v>
          </cell>
          <cell r="O15120"/>
          <cell r="T15120"/>
        </row>
        <row r="15121">
          <cell r="A15121" t="str">
            <v>RFS/CELWAVE</v>
          </cell>
          <cell r="B15121" t="str">
            <v>UXA4-107DB</v>
          </cell>
          <cell r="O15121"/>
          <cell r="T15121"/>
        </row>
        <row r="15122">
          <cell r="A15122" t="str">
            <v>RFS/CELWAVE</v>
          </cell>
          <cell r="B15122" t="str">
            <v>UXA4-107DC</v>
          </cell>
          <cell r="O15122"/>
          <cell r="T15122"/>
        </row>
        <row r="15123">
          <cell r="A15123" t="str">
            <v>RFS/CELWAVE</v>
          </cell>
          <cell r="B15123" t="str">
            <v>UXA4-107DD2</v>
          </cell>
          <cell r="O15123"/>
          <cell r="T15123"/>
        </row>
        <row r="15124">
          <cell r="A15124" t="str">
            <v>RFS/CELWAVE</v>
          </cell>
          <cell r="B15124" t="str">
            <v>UXA4-190BB</v>
          </cell>
          <cell r="O15124"/>
          <cell r="T15124"/>
        </row>
        <row r="15125">
          <cell r="A15125" t="str">
            <v>RFS/CELWAVE</v>
          </cell>
          <cell r="B15125" t="str">
            <v>UXA4-220DB</v>
          </cell>
          <cell r="O15125"/>
          <cell r="T15125"/>
        </row>
        <row r="15126">
          <cell r="A15126" t="str">
            <v>RFS/CELWAVE</v>
          </cell>
          <cell r="B15126" t="str">
            <v>UXA4-59AC</v>
          </cell>
          <cell r="O15126"/>
          <cell r="T15126"/>
        </row>
        <row r="15127">
          <cell r="A15127" t="str">
            <v>RFS/CELWAVE</v>
          </cell>
          <cell r="B15127" t="str">
            <v>UXA6-107A</v>
          </cell>
          <cell r="O15127"/>
          <cell r="T15127"/>
        </row>
        <row r="15128">
          <cell r="A15128" t="str">
            <v>RFS/CELWAVE</v>
          </cell>
          <cell r="B15128" t="str">
            <v>UXA6-107BC</v>
          </cell>
          <cell r="O15128"/>
          <cell r="T15128"/>
        </row>
        <row r="15129">
          <cell r="A15129" t="str">
            <v>RFS/CELWAVE</v>
          </cell>
          <cell r="B15129" t="str">
            <v>UXA6-107BC2</v>
          </cell>
          <cell r="O15129"/>
          <cell r="T15129"/>
        </row>
        <row r="15130">
          <cell r="A15130" t="str">
            <v>RFS/CELWAVE</v>
          </cell>
          <cell r="B15130" t="str">
            <v>UXA6-190BB</v>
          </cell>
          <cell r="O15130"/>
          <cell r="T15130"/>
        </row>
        <row r="15131">
          <cell r="A15131" t="str">
            <v>RFS/CELWAVE</v>
          </cell>
          <cell r="B15131" t="str">
            <v>UXA6-57</v>
          </cell>
          <cell r="O15131"/>
          <cell r="T15131"/>
        </row>
        <row r="15132">
          <cell r="A15132" t="str">
            <v>RFS/CELWAVE</v>
          </cell>
          <cell r="B15132" t="str">
            <v>UXA6-57AC</v>
          </cell>
          <cell r="O15132"/>
          <cell r="T15132"/>
        </row>
        <row r="15133">
          <cell r="A15133" t="str">
            <v>RFS/CELWAVE</v>
          </cell>
          <cell r="B15133" t="str">
            <v>UXA6-59</v>
          </cell>
          <cell r="O15133"/>
          <cell r="T15133"/>
        </row>
        <row r="15134">
          <cell r="A15134" t="str">
            <v>RFS/CELWAVE</v>
          </cell>
          <cell r="B15134" t="str">
            <v>UXA6-59AD</v>
          </cell>
          <cell r="O15134"/>
          <cell r="T15134"/>
        </row>
        <row r="15135">
          <cell r="A15135" t="str">
            <v>RFS/CELWAVE</v>
          </cell>
          <cell r="B15135" t="str">
            <v>UXA6-59BC</v>
          </cell>
          <cell r="O15135"/>
          <cell r="T15135"/>
        </row>
        <row r="15136">
          <cell r="A15136" t="str">
            <v>RFS/CELWAVE</v>
          </cell>
          <cell r="B15136" t="str">
            <v>UXA6-59BD</v>
          </cell>
          <cell r="O15136"/>
          <cell r="T15136"/>
        </row>
        <row r="15137">
          <cell r="A15137" t="str">
            <v>RFS/CELWAVE</v>
          </cell>
          <cell r="B15137" t="str">
            <v>UXA6-59CC</v>
          </cell>
          <cell r="O15137"/>
          <cell r="T15137"/>
        </row>
        <row r="15138">
          <cell r="A15138" t="str">
            <v>RFS/CELWAVE</v>
          </cell>
          <cell r="B15138" t="str">
            <v>UXA6-59W</v>
          </cell>
          <cell r="O15138"/>
          <cell r="T15138"/>
        </row>
        <row r="15139">
          <cell r="A15139" t="str">
            <v>RFS/CELWAVE</v>
          </cell>
          <cell r="B15139" t="str">
            <v>UXA6-65A</v>
          </cell>
          <cell r="O15139"/>
          <cell r="T15139"/>
        </row>
        <row r="15140">
          <cell r="A15140" t="str">
            <v>RFS/CELWAVE</v>
          </cell>
          <cell r="B15140" t="str">
            <v>UXA6-U57AC</v>
          </cell>
          <cell r="O15140"/>
          <cell r="T15140"/>
        </row>
        <row r="15141">
          <cell r="A15141" t="str">
            <v>RFS/CELWAVE</v>
          </cell>
          <cell r="B15141" t="str">
            <v>UXA6-W57AC</v>
          </cell>
          <cell r="O15141"/>
          <cell r="T15141"/>
        </row>
        <row r="15142">
          <cell r="A15142" t="str">
            <v>RFS/CELWAVE</v>
          </cell>
          <cell r="B15142" t="str">
            <v>UXA6-W59ACSQGE</v>
          </cell>
          <cell r="O15142"/>
          <cell r="T15142"/>
        </row>
        <row r="15143">
          <cell r="A15143" t="str">
            <v>RFS/CELWAVE</v>
          </cell>
          <cell r="B15143" t="str">
            <v>UXA6-W59BC</v>
          </cell>
          <cell r="O15143"/>
          <cell r="T15143"/>
        </row>
        <row r="15144">
          <cell r="A15144" t="str">
            <v>RFS/CELWAVE</v>
          </cell>
          <cell r="B15144" t="str">
            <v>UXA6-W59BC_CCIV2</v>
          </cell>
          <cell r="O15144"/>
          <cell r="T15144"/>
        </row>
        <row r="15145">
          <cell r="A15145" t="str">
            <v>RFS/CELWAVE</v>
          </cell>
          <cell r="B15145" t="str">
            <v>UXA8-107A</v>
          </cell>
          <cell r="O15145"/>
          <cell r="T15145"/>
        </row>
        <row r="15146">
          <cell r="A15146" t="str">
            <v>RFS/CELWAVE</v>
          </cell>
          <cell r="B15146" t="str">
            <v>UXA8-107AC</v>
          </cell>
          <cell r="O15146"/>
          <cell r="T15146"/>
        </row>
        <row r="15147">
          <cell r="A15147" t="str">
            <v>RFS/CELWAVE</v>
          </cell>
          <cell r="B15147" t="str">
            <v>UXA8-36</v>
          </cell>
          <cell r="O15147"/>
          <cell r="T15147"/>
        </row>
        <row r="15148">
          <cell r="A15148" t="str">
            <v>RFS/CELWAVE</v>
          </cell>
          <cell r="B15148" t="str">
            <v>UXA8-57</v>
          </cell>
          <cell r="O15148"/>
          <cell r="T15148"/>
        </row>
        <row r="15149">
          <cell r="A15149" t="str">
            <v>RFS/CELWAVE</v>
          </cell>
          <cell r="B15149" t="str">
            <v>UXA8-59</v>
          </cell>
          <cell r="O15149"/>
          <cell r="T15149"/>
        </row>
        <row r="15150">
          <cell r="A15150" t="str">
            <v>RFS/CELWAVE</v>
          </cell>
          <cell r="B15150" t="str">
            <v>UXA8-59AC</v>
          </cell>
          <cell r="O15150"/>
          <cell r="T15150"/>
        </row>
        <row r="15151">
          <cell r="A15151" t="str">
            <v>RFS/CELWAVE</v>
          </cell>
          <cell r="B15151" t="str">
            <v>UXA8-59BC</v>
          </cell>
          <cell r="O15151"/>
          <cell r="T15151"/>
        </row>
        <row r="15152">
          <cell r="A15152" t="str">
            <v>RFS/CELWAVE</v>
          </cell>
          <cell r="B15152" t="str">
            <v>UXA8-59W</v>
          </cell>
          <cell r="O15152"/>
          <cell r="T15152"/>
        </row>
        <row r="15153">
          <cell r="A15153" t="str">
            <v>RFS/CELWAVE</v>
          </cell>
          <cell r="B15153" t="str">
            <v>UXA8-65AC</v>
          </cell>
          <cell r="O15153"/>
          <cell r="T15153"/>
        </row>
        <row r="15154">
          <cell r="A15154" t="str">
            <v>RFS/CELWAVE</v>
          </cell>
          <cell r="B15154" t="str">
            <v>UXA8-U57AC</v>
          </cell>
          <cell r="O15154"/>
          <cell r="T15154"/>
        </row>
        <row r="15155">
          <cell r="A15155" t="str">
            <v>RFS/CELWAVE</v>
          </cell>
          <cell r="B15155" t="str">
            <v>UXA8-W57AC</v>
          </cell>
          <cell r="O15155"/>
          <cell r="T15155"/>
        </row>
        <row r="15156">
          <cell r="A15156" t="str">
            <v>RFS/CELWAVE</v>
          </cell>
          <cell r="B15156" t="str">
            <v>UXA8-W59AC</v>
          </cell>
          <cell r="O15156"/>
          <cell r="T15156"/>
        </row>
        <row r="15157">
          <cell r="A15157" t="str">
            <v>RM YOUNG</v>
          </cell>
          <cell r="B15157" t="str">
            <v>41003</v>
          </cell>
          <cell r="O15157"/>
          <cell r="T15157"/>
        </row>
        <row r="15158">
          <cell r="A15158" t="str">
            <v>RM YOUNG</v>
          </cell>
          <cell r="B15158" t="str">
            <v>41382LC2</v>
          </cell>
          <cell r="O15158"/>
          <cell r="T15158"/>
        </row>
        <row r="15159">
          <cell r="A15159" t="str">
            <v>ROHDE &amp; SCHWARZ</v>
          </cell>
          <cell r="B15159" t="str">
            <v>ADD090</v>
          </cell>
          <cell r="O15159"/>
          <cell r="T15159"/>
        </row>
        <row r="15160">
          <cell r="A15160" t="str">
            <v>ROHDE &amp; SCHWARZ</v>
          </cell>
          <cell r="B15160" t="str">
            <v>ADD090 VTS DF</v>
          </cell>
          <cell r="O15160"/>
          <cell r="T15160"/>
        </row>
        <row r="15161">
          <cell r="A15161" t="str">
            <v>ROHDE &amp; SCHWARZ</v>
          </cell>
          <cell r="B15161" t="str">
            <v>ADD197</v>
          </cell>
          <cell r="O15161"/>
          <cell r="T15161"/>
        </row>
        <row r="15162">
          <cell r="A15162" t="str">
            <v>ROSENBERGER LEONI</v>
          </cell>
          <cell r="B15162" t="str">
            <v>120726</v>
          </cell>
          <cell r="O15162">
            <v>15.9608217592593</v>
          </cell>
          <cell r="T15162">
            <v>5.29468947907543</v>
          </cell>
        </row>
        <row r="15163">
          <cell r="A15163" t="str">
            <v>ROSENBERGER LEONI</v>
          </cell>
          <cell r="B15163" t="str">
            <v>2D2WC-21</v>
          </cell>
          <cell r="O15163">
            <v>7.56069637345679</v>
          </cell>
          <cell r="T15163">
            <v>2.44427973827547</v>
          </cell>
        </row>
        <row r="15164">
          <cell r="A15164" t="str">
            <v>ROSENBERGER LEONI</v>
          </cell>
          <cell r="B15164" t="str">
            <v>2D2WC-21_TMO</v>
          </cell>
          <cell r="O15164">
            <v>7.56069637345679</v>
          </cell>
          <cell r="T15164">
            <v>2.44427973827547</v>
          </cell>
        </row>
        <row r="15165">
          <cell r="A15165" t="str">
            <v>ROSENBERGER LEONI</v>
          </cell>
          <cell r="B15165" t="str">
            <v>2D2WD-21A</v>
          </cell>
          <cell r="O15165">
            <v>3.64361738040123</v>
          </cell>
          <cell r="T15165">
            <v>2.1738337023162799</v>
          </cell>
        </row>
        <row r="15166">
          <cell r="A15166" t="str">
            <v>ROSENBERGER LEONI</v>
          </cell>
          <cell r="B15166" t="str">
            <v>2D2WE-21A</v>
          </cell>
          <cell r="O15166">
            <v>5.1200342399691392</v>
          </cell>
          <cell r="T15166">
            <v>3.0546481543401702</v>
          </cell>
        </row>
        <row r="15167">
          <cell r="A15167" t="str">
            <v>ROSENBERGER LEONI</v>
          </cell>
          <cell r="B15167" t="str">
            <v>2D4WC-21</v>
          </cell>
          <cell r="O15167"/>
          <cell r="T15167"/>
        </row>
        <row r="15168">
          <cell r="A15168" t="str">
            <v>ROSENBERGER LEONI</v>
          </cell>
          <cell r="B15168" t="str">
            <v>2D4WD-21</v>
          </cell>
          <cell r="O15168">
            <v>11.64962384</v>
          </cell>
          <cell r="T15168">
            <v>3.7712777610000003</v>
          </cell>
        </row>
        <row r="15169">
          <cell r="A15169" t="str">
            <v>ROSENBERGER LEONI</v>
          </cell>
          <cell r="B15169" t="str">
            <v>2D4WE-21</v>
          </cell>
          <cell r="O15169">
            <v>15.7581790123457</v>
          </cell>
          <cell r="T15169">
            <v>5.1036027459202593</v>
          </cell>
        </row>
        <row r="15170">
          <cell r="A15170" t="str">
            <v>ROSENBERGER LEONI</v>
          </cell>
          <cell r="B15170" t="str">
            <v>2D4WHC-21_TMO</v>
          </cell>
          <cell r="O15170">
            <v>15.7581790123457</v>
          </cell>
          <cell r="T15170">
            <v>5.1036027459202593</v>
          </cell>
        </row>
        <row r="15171">
          <cell r="A15171" t="str">
            <v>ROSENBERGER LEONI</v>
          </cell>
          <cell r="B15171" t="str">
            <v>2D4WHE-21</v>
          </cell>
          <cell r="O15171">
            <v>15.950901813271591</v>
          </cell>
          <cell r="T15171">
            <v>5.1658961686133704</v>
          </cell>
        </row>
        <row r="15172">
          <cell r="A15172" t="str">
            <v>ROSENBERGER LEONI</v>
          </cell>
          <cell r="B15172" t="str">
            <v>2D4WHE-21_TMO</v>
          </cell>
          <cell r="O15172">
            <v>15.950901813271591</v>
          </cell>
          <cell r="T15172">
            <v>5.1658961686133704</v>
          </cell>
        </row>
        <row r="15173">
          <cell r="A15173" t="str">
            <v>ROSENBERGER LEONI</v>
          </cell>
          <cell r="B15173" t="str">
            <v>2F4WC-21</v>
          </cell>
          <cell r="O15173">
            <v>7.8165461029999994</v>
          </cell>
          <cell r="T15173">
            <v>2.5401713110000004</v>
          </cell>
        </row>
        <row r="15174">
          <cell r="A15174" t="str">
            <v>ROSENBERGER LEONI</v>
          </cell>
          <cell r="B15174" t="str">
            <v>2F4WD-21</v>
          </cell>
          <cell r="O15174">
            <v>11.64962384</v>
          </cell>
          <cell r="T15174">
            <v>3.7712777610000003</v>
          </cell>
        </row>
        <row r="15175">
          <cell r="A15175" t="str">
            <v>ROSENBERGER LEONI</v>
          </cell>
          <cell r="B15175" t="str">
            <v>2F4WE-21</v>
          </cell>
          <cell r="O15175">
            <v>15.95090181</v>
          </cell>
          <cell r="T15175">
            <v>5.1658961689999998</v>
          </cell>
        </row>
        <row r="15176">
          <cell r="A15176" t="str">
            <v>ROSENBERGER LEONI</v>
          </cell>
          <cell r="B15176" t="str">
            <v>2L2B2WE-21</v>
          </cell>
          <cell r="O15176">
            <v>15.95090181</v>
          </cell>
          <cell r="T15176">
            <v>5.1658961689999998</v>
          </cell>
        </row>
        <row r="15177">
          <cell r="A15177" t="str">
            <v>ROSENBERGER LEONI</v>
          </cell>
          <cell r="B15177" t="str">
            <v>BA-A5A54O7X65V-01</v>
          </cell>
          <cell r="O15177">
            <v>9.207672646604939</v>
          </cell>
          <cell r="T15177">
            <v>4.57759725727513</v>
          </cell>
        </row>
        <row r="15178">
          <cell r="A15178" t="str">
            <v>ROSENBERGER LEONI</v>
          </cell>
          <cell r="B15178" t="str">
            <v>BA-O3O3T3T3VFX65F-06</v>
          </cell>
          <cell r="O15178"/>
          <cell r="T15178"/>
        </row>
        <row r="15179">
          <cell r="A15179" t="str">
            <v>ROSENBERGER LEONI</v>
          </cell>
          <cell r="B15179" t="str">
            <v>BA-T8T8X65V-01</v>
          </cell>
          <cell r="O15179">
            <v>1.0143860918209899</v>
          </cell>
          <cell r="T15179">
            <v>0.64310714858396401</v>
          </cell>
        </row>
        <row r="15180">
          <cell r="A15180" t="str">
            <v>ROSENBERGER LEONI</v>
          </cell>
          <cell r="B15180" t="str">
            <v>D2W45E-21</v>
          </cell>
          <cell r="O15180">
            <v>15.950901813271591</v>
          </cell>
          <cell r="T15180">
            <v>5.1658961686133704</v>
          </cell>
        </row>
        <row r="15181">
          <cell r="A15181" t="str">
            <v>ROSENBERGER LEONI</v>
          </cell>
          <cell r="B15181" t="str">
            <v>D2WC-21</v>
          </cell>
          <cell r="O15181">
            <v>2.4901451581790104</v>
          </cell>
          <cell r="T15181">
            <v>1.4851479523286999</v>
          </cell>
        </row>
        <row r="15182">
          <cell r="A15182" t="str">
            <v>ROSENBERGER LEONI</v>
          </cell>
          <cell r="B15182" t="str">
            <v>D2WC-21_CCIV2</v>
          </cell>
          <cell r="O15182">
            <v>2.4901451581790104</v>
          </cell>
          <cell r="T15182">
            <v>1.4851479523286999</v>
          </cell>
        </row>
        <row r="15183">
          <cell r="A15183" t="str">
            <v>ROSENBERGER LEONI</v>
          </cell>
          <cell r="B15183" t="str">
            <v>D2WD-21</v>
          </cell>
          <cell r="O15183">
            <v>5.1453605612153801</v>
          </cell>
          <cell r="T15183">
            <v>2.5282466057892998</v>
          </cell>
        </row>
        <row r="15184">
          <cell r="A15184" t="str">
            <v>ROSENBERGER LEONI</v>
          </cell>
          <cell r="B15184" t="str">
            <v>MB-A64O9X65V-01</v>
          </cell>
          <cell r="O15184">
            <v>8.3893566740000001</v>
          </cell>
          <cell r="T15184">
            <v>4.6884637939999996</v>
          </cell>
        </row>
        <row r="15185">
          <cell r="A15185" t="str">
            <v>ROSENBERGER LEONI</v>
          </cell>
          <cell r="B15185" t="str">
            <v>S-WAVE VD275-03-C1</v>
          </cell>
          <cell r="O15185"/>
          <cell r="T15185"/>
        </row>
        <row r="15186">
          <cell r="A15186" t="str">
            <v>ROSENBERGER LEONI</v>
          </cell>
          <cell r="B15186" t="str">
            <v>S-WAVE VD275-09-C1</v>
          </cell>
          <cell r="O15186"/>
          <cell r="T15186"/>
        </row>
        <row r="15187">
          <cell r="A15187" t="str">
            <v>ROSENBERGER LEONI</v>
          </cell>
          <cell r="B15187" t="str">
            <v>S-WAVE VDW28-06-C2</v>
          </cell>
          <cell r="O15187"/>
          <cell r="T15187"/>
        </row>
        <row r="15188">
          <cell r="A15188" t="str">
            <v>ROSENBERGER LEONI</v>
          </cell>
          <cell r="B15188" t="str">
            <v>TME-FB-15-ABOX</v>
          </cell>
          <cell r="O15188"/>
          <cell r="T15188"/>
        </row>
        <row r="15189">
          <cell r="A15189" t="str">
            <v>ROSENBERGER LEONI</v>
          </cell>
          <cell r="B15189" t="str">
            <v>TME-FB-7J-1463</v>
          </cell>
          <cell r="O15189"/>
          <cell r="T15189"/>
        </row>
        <row r="15190">
          <cell r="A15190" t="str">
            <v>RUCKUS</v>
          </cell>
          <cell r="B15190" t="str">
            <v>AT-2101-DP</v>
          </cell>
          <cell r="O15190"/>
          <cell r="T15190"/>
        </row>
        <row r="15191">
          <cell r="A15191" t="str">
            <v>RUGGEDCOM</v>
          </cell>
          <cell r="B15191" t="str">
            <v>WIN5213</v>
          </cell>
          <cell r="O15191"/>
          <cell r="T15191"/>
        </row>
        <row r="15192">
          <cell r="A15192" t="str">
            <v>RUGGEDCOM</v>
          </cell>
          <cell r="B15192" t="str">
            <v>WIN5218</v>
          </cell>
          <cell r="O15192"/>
          <cell r="T15192"/>
        </row>
        <row r="15193">
          <cell r="A15193" t="str">
            <v>RUGGEDCOM</v>
          </cell>
          <cell r="B15193" t="str">
            <v>WIN5225</v>
          </cell>
          <cell r="O15193"/>
          <cell r="T15193"/>
        </row>
        <row r="15194">
          <cell r="A15194" t="str">
            <v>RUGGEDCOM</v>
          </cell>
          <cell r="B15194" t="str">
            <v>WIN5235</v>
          </cell>
          <cell r="O15194"/>
          <cell r="T15194"/>
        </row>
        <row r="15195">
          <cell r="A15195" t="str">
            <v>RUGGEDCOM</v>
          </cell>
          <cell r="B15195" t="str">
            <v>WIN7025-5-PEC_CCIV2</v>
          </cell>
          <cell r="O15195"/>
          <cell r="T15195"/>
        </row>
        <row r="15196">
          <cell r="A15196" t="str">
            <v>RVR</v>
          </cell>
          <cell r="B15196" t="str">
            <v>ACP-1 X22</v>
          </cell>
          <cell r="O15196"/>
          <cell r="T15196"/>
        </row>
        <row r="15197">
          <cell r="A15197" t="str">
            <v>RVR</v>
          </cell>
          <cell r="B15197" t="str">
            <v>ACP0</v>
          </cell>
          <cell r="O15197"/>
          <cell r="T15197"/>
        </row>
        <row r="15198">
          <cell r="A15198" t="str">
            <v>RVR</v>
          </cell>
          <cell r="B15198" t="str">
            <v>ACP1</v>
          </cell>
          <cell r="O15198"/>
          <cell r="T15198"/>
        </row>
        <row r="15199">
          <cell r="A15199" t="str">
            <v>RVR</v>
          </cell>
          <cell r="B15199" t="str">
            <v>ACP1X42</v>
          </cell>
          <cell r="O15199"/>
          <cell r="T15199"/>
        </row>
        <row r="15200">
          <cell r="A15200" t="str">
            <v>RVR</v>
          </cell>
          <cell r="B15200" t="str">
            <v>ACP1_CCIV2</v>
          </cell>
          <cell r="O15200"/>
          <cell r="T15200"/>
        </row>
        <row r="15201">
          <cell r="A15201" t="str">
            <v>RVR</v>
          </cell>
          <cell r="B15201" t="str">
            <v>AJ2EX21</v>
          </cell>
          <cell r="O15201"/>
          <cell r="T15201"/>
        </row>
        <row r="15202">
          <cell r="A15202" t="str">
            <v>RYMSA WIRELESS</v>
          </cell>
          <cell r="B15202" t="str">
            <v>AT 39-644TX</v>
          </cell>
          <cell r="O15202"/>
          <cell r="T15202"/>
        </row>
        <row r="15203">
          <cell r="A15203" t="str">
            <v>RYMSA WIRELESS</v>
          </cell>
          <cell r="B15203" t="str">
            <v>AT 39-684TV</v>
          </cell>
          <cell r="O15203"/>
          <cell r="T15203"/>
        </row>
        <row r="15204">
          <cell r="A15204" t="str">
            <v>RYMSA WIRELESS</v>
          </cell>
          <cell r="B15204" t="str">
            <v>AT 41-645TX</v>
          </cell>
          <cell r="O15204"/>
          <cell r="T15204"/>
        </row>
        <row r="15205">
          <cell r="A15205" t="str">
            <v>RYMSA WIRELESS</v>
          </cell>
          <cell r="B15205" t="str">
            <v>AT 41-646TV</v>
          </cell>
          <cell r="O15205"/>
          <cell r="T15205"/>
        </row>
        <row r="15206">
          <cell r="A15206" t="str">
            <v>RYMSA WIRELESS</v>
          </cell>
          <cell r="B15206" t="str">
            <v>AT 41-663TX</v>
          </cell>
          <cell r="O15206"/>
          <cell r="T15206"/>
        </row>
        <row r="15207">
          <cell r="A15207" t="str">
            <v>RYMSA WIRELESS</v>
          </cell>
          <cell r="B15207" t="str">
            <v>AT 41-664TV</v>
          </cell>
          <cell r="O15207"/>
          <cell r="T15207"/>
        </row>
        <row r="15208">
          <cell r="A15208" t="str">
            <v>RYMSA WIRELESS</v>
          </cell>
          <cell r="B15208" t="str">
            <v>AT 41-664TX</v>
          </cell>
          <cell r="O15208"/>
          <cell r="T15208"/>
        </row>
        <row r="15209">
          <cell r="A15209" t="str">
            <v>RYMSA WIRELESS</v>
          </cell>
          <cell r="B15209" t="str">
            <v>AT 41-665TX</v>
          </cell>
          <cell r="O15209"/>
          <cell r="T15209"/>
        </row>
        <row r="15210">
          <cell r="A15210" t="str">
            <v>RYMSA WIRELESS</v>
          </cell>
          <cell r="B15210" t="str">
            <v>AT 41-683T2</v>
          </cell>
          <cell r="O15210"/>
          <cell r="T15210"/>
        </row>
        <row r="15211">
          <cell r="A15211" t="str">
            <v>RYMSA WIRELESS</v>
          </cell>
          <cell r="B15211" t="str">
            <v>AT 41-683TX</v>
          </cell>
          <cell r="O15211"/>
          <cell r="T15211"/>
        </row>
        <row r="15212">
          <cell r="A15212" t="str">
            <v>RYMSA WIRELESS</v>
          </cell>
          <cell r="B15212" t="str">
            <v>AT 41-684TV</v>
          </cell>
          <cell r="O15212"/>
          <cell r="T15212"/>
        </row>
        <row r="15213">
          <cell r="A15213" t="str">
            <v>RYMSA WIRELESS</v>
          </cell>
          <cell r="B15213" t="str">
            <v>AT 41-685TX</v>
          </cell>
          <cell r="O15213"/>
          <cell r="T15213"/>
        </row>
        <row r="15214">
          <cell r="A15214" t="str">
            <v>RYMSA WIRELESS</v>
          </cell>
          <cell r="B15214" t="str">
            <v>AT 41-686TX</v>
          </cell>
          <cell r="O15214"/>
          <cell r="T15214"/>
        </row>
        <row r="15215">
          <cell r="A15215" t="str">
            <v>RYMSA WIRELESS</v>
          </cell>
          <cell r="B15215" t="str">
            <v>AT39-644T2</v>
          </cell>
          <cell r="O15215"/>
          <cell r="T15215"/>
        </row>
        <row r="15216">
          <cell r="A15216" t="str">
            <v>RYMSA WIRELESS</v>
          </cell>
          <cell r="B15216" t="str">
            <v>AT39-644TV</v>
          </cell>
          <cell r="O15216"/>
          <cell r="T15216"/>
        </row>
        <row r="15217">
          <cell r="A15217" t="str">
            <v>RYMSA WIRELESS</v>
          </cell>
          <cell r="B15217" t="str">
            <v>AT39-644TX</v>
          </cell>
          <cell r="O15217"/>
          <cell r="T15217"/>
        </row>
        <row r="15218">
          <cell r="A15218" t="str">
            <v>RYMSA WIRELESS</v>
          </cell>
          <cell r="B15218" t="str">
            <v>AT39-684T2</v>
          </cell>
          <cell r="O15218"/>
          <cell r="T15218"/>
        </row>
        <row r="15219">
          <cell r="A15219" t="str">
            <v>RYMSA WIRELESS</v>
          </cell>
          <cell r="B15219" t="str">
            <v>AT39-684TX</v>
          </cell>
          <cell r="O15219"/>
          <cell r="T15219"/>
        </row>
        <row r="15220">
          <cell r="A15220" t="str">
            <v>RYMSA WIRELESS</v>
          </cell>
          <cell r="B15220" t="str">
            <v>AT41-644 TV</v>
          </cell>
          <cell r="O15220"/>
          <cell r="T15220"/>
        </row>
        <row r="15221">
          <cell r="A15221" t="str">
            <v>RYMSA WIRELESS</v>
          </cell>
          <cell r="B15221" t="str">
            <v>MG D3-800TV</v>
          </cell>
          <cell r="O15221">
            <v>2.4090558740460604</v>
          </cell>
          <cell r="T15221">
            <v>1.3864164278299698</v>
          </cell>
        </row>
        <row r="15222">
          <cell r="A15222" t="str">
            <v>RYMSA WIRELESS</v>
          </cell>
          <cell r="B15222" t="str">
            <v>MG D3-800TX</v>
          </cell>
          <cell r="O15222">
            <v>2.4090558740460604</v>
          </cell>
          <cell r="T15222">
            <v>1.3864164278299698</v>
          </cell>
        </row>
        <row r="15223">
          <cell r="A15223" t="str">
            <v>RYMSA WIRELESS</v>
          </cell>
          <cell r="B15223" t="str">
            <v>MG D3-900TV</v>
          </cell>
          <cell r="O15223"/>
          <cell r="T15223"/>
        </row>
        <row r="15224">
          <cell r="A15224" t="str">
            <v>RYMSA WIRELESS</v>
          </cell>
          <cell r="B15224" t="str">
            <v>MG D3-900TX</v>
          </cell>
          <cell r="O15224">
            <v>3.3912578918438703</v>
          </cell>
          <cell r="T15224">
            <v>1.9358415982900099</v>
          </cell>
        </row>
        <row r="15225">
          <cell r="A15225" t="str">
            <v>RYMSA WIRELESS</v>
          </cell>
          <cell r="B15225" t="str">
            <v>MG D5-800TV</v>
          </cell>
          <cell r="O15225">
            <v>2.4090558740460604</v>
          </cell>
          <cell r="T15225">
            <v>1.3864164278299698</v>
          </cell>
        </row>
        <row r="15226">
          <cell r="A15226" t="str">
            <v>RYMSA WIRELESS</v>
          </cell>
          <cell r="B15226" t="str">
            <v>MG D5-800TX</v>
          </cell>
          <cell r="O15226">
            <v>2.4090558740460604</v>
          </cell>
          <cell r="T15226">
            <v>1.3864164278299698</v>
          </cell>
        </row>
        <row r="15227">
          <cell r="A15227" t="str">
            <v>RYMSA WIRELESS</v>
          </cell>
          <cell r="B15227" t="str">
            <v>MG V3-800TX</v>
          </cell>
          <cell r="O15227">
            <v>2.4090558740460604</v>
          </cell>
          <cell r="T15227">
            <v>1.3864164278299698</v>
          </cell>
        </row>
        <row r="15228">
          <cell r="A15228" t="str">
            <v>RYMSA WIRELESS</v>
          </cell>
          <cell r="B15228" t="str">
            <v>MG V3-900T2</v>
          </cell>
          <cell r="O15228">
            <v>3.3912578918438703</v>
          </cell>
          <cell r="T15228">
            <v>1.9358415982900099</v>
          </cell>
        </row>
        <row r="15229">
          <cell r="A15229" t="str">
            <v>RYMSA WIRELESS</v>
          </cell>
          <cell r="B15229" t="str">
            <v>MG V5-800TX</v>
          </cell>
          <cell r="O15229">
            <v>2.4090558740460604</v>
          </cell>
          <cell r="T15229">
            <v>1.3864164278299698</v>
          </cell>
        </row>
        <row r="15230">
          <cell r="A15230" t="str">
            <v>RYMSA WIRELESS</v>
          </cell>
          <cell r="B15230" t="str">
            <v>MG V5-900T2</v>
          </cell>
          <cell r="O15230">
            <v>3.3912578918438703</v>
          </cell>
          <cell r="T15230">
            <v>1.9358415982900099</v>
          </cell>
        </row>
        <row r="15231">
          <cell r="A15231" t="str">
            <v>RYMSA WIRELESS</v>
          </cell>
          <cell r="B15231" t="str">
            <v>MG-V1-800TX</v>
          </cell>
          <cell r="O15231"/>
          <cell r="T15231"/>
        </row>
        <row r="15232">
          <cell r="A15232" t="str">
            <v>RYMSA WIRELESS</v>
          </cell>
          <cell r="B15232" t="str">
            <v>MGD1-800TV</v>
          </cell>
          <cell r="O15232"/>
          <cell r="T15232"/>
        </row>
        <row r="15233">
          <cell r="A15233" t="str">
            <v>RYMSA WIRELESS</v>
          </cell>
          <cell r="B15233" t="str">
            <v>MGD3-400TV</v>
          </cell>
          <cell r="O15233"/>
          <cell r="T15233"/>
        </row>
        <row r="15234">
          <cell r="A15234" t="str">
            <v>RYMSA WIRELESS</v>
          </cell>
          <cell r="B15234" t="str">
            <v>MGD5-800TX</v>
          </cell>
          <cell r="O15234"/>
          <cell r="T15234"/>
        </row>
        <row r="15235">
          <cell r="A15235" t="str">
            <v>RYMSA WIRELESS</v>
          </cell>
          <cell r="B15235" t="str">
            <v>TGA D3-400TV</v>
          </cell>
          <cell r="O15235"/>
          <cell r="T15235"/>
        </row>
        <row r="15236">
          <cell r="A15236" t="str">
            <v>RYMSA WIRELESS</v>
          </cell>
          <cell r="B15236" t="str">
            <v>TGA D3-600T6T4</v>
          </cell>
          <cell r="O15236"/>
          <cell r="T15236"/>
        </row>
        <row r="15237">
          <cell r="A15237" t="str">
            <v>RYMSA WIRELESS</v>
          </cell>
          <cell r="B15237" t="str">
            <v>TGA D3-600TV</v>
          </cell>
          <cell r="O15237"/>
          <cell r="T15237"/>
        </row>
        <row r="15238">
          <cell r="A15238" t="str">
            <v>RYMSA WIRELESS</v>
          </cell>
          <cell r="B15238" t="str">
            <v>TGA D3-600TXTX</v>
          </cell>
          <cell r="O15238"/>
          <cell r="T15238"/>
        </row>
        <row r="15239">
          <cell r="A15239" t="str">
            <v>RYMSA WIRELESS</v>
          </cell>
          <cell r="B15239" t="str">
            <v>TGA D3-800TV</v>
          </cell>
          <cell r="O15239"/>
          <cell r="T15239"/>
        </row>
        <row r="15240">
          <cell r="A15240" t="str">
            <v>RYMSA WIRELESS</v>
          </cell>
          <cell r="B15240" t="str">
            <v>TGA-D3-600T4T3</v>
          </cell>
          <cell r="O15240"/>
          <cell r="T15240"/>
        </row>
        <row r="15241">
          <cell r="A15241" t="str">
            <v>RYMSA WIRELESS</v>
          </cell>
          <cell r="B15241" t="str">
            <v>TGA-D3-600T6T3</v>
          </cell>
          <cell r="O15241"/>
          <cell r="T15241"/>
        </row>
        <row r="15242">
          <cell r="A15242" t="str">
            <v>SABRE COMMUNICATIONS</v>
          </cell>
          <cell r="B15242" t="str">
            <v>C30014004</v>
          </cell>
          <cell r="O15242"/>
          <cell r="T15242"/>
        </row>
        <row r="15243">
          <cell r="A15243" t="str">
            <v>SABRE INDUSTRIES</v>
          </cell>
          <cell r="B15243" t="str">
            <v>C30085001</v>
          </cell>
          <cell r="O15243"/>
          <cell r="T15243"/>
        </row>
        <row r="15244">
          <cell r="A15244" t="str">
            <v>SABRE INDUSTRIES</v>
          </cell>
          <cell r="B15244" t="str">
            <v>C30085001_CCIV2</v>
          </cell>
          <cell r="O15244"/>
          <cell r="T15244"/>
        </row>
        <row r="15245">
          <cell r="A15245" t="str">
            <v>SABRE INDUSTRIES</v>
          </cell>
          <cell r="B15245" t="str">
            <v>C30085002</v>
          </cell>
          <cell r="O15245"/>
          <cell r="T15245"/>
        </row>
        <row r="15246">
          <cell r="A15246" t="str">
            <v>SABRE INDUSTRIES</v>
          </cell>
          <cell r="B15246" t="str">
            <v>C30085002_20090129</v>
          </cell>
          <cell r="O15246"/>
          <cell r="T15246"/>
        </row>
        <row r="15247">
          <cell r="A15247" t="str">
            <v>SAF</v>
          </cell>
          <cell r="B15247" t="str">
            <v>D18A60T1K601</v>
          </cell>
          <cell r="O15247"/>
          <cell r="T15247"/>
        </row>
        <row r="15248">
          <cell r="A15248" t="str">
            <v>SAF</v>
          </cell>
          <cell r="B15248" t="str">
            <v>FREEMILE FODU 2.4GHZ</v>
          </cell>
          <cell r="O15248"/>
          <cell r="T15248"/>
        </row>
        <row r="15249">
          <cell r="A15249" t="str">
            <v>SAF</v>
          </cell>
          <cell r="B15249" t="str">
            <v>INTEGRA 0.6M/2FT</v>
          </cell>
          <cell r="O15249"/>
          <cell r="T15249"/>
        </row>
        <row r="15250">
          <cell r="A15250" t="str">
            <v>SAF</v>
          </cell>
          <cell r="B15250" t="str">
            <v>INTEGRA-G</v>
          </cell>
          <cell r="O15250"/>
          <cell r="T15250"/>
        </row>
        <row r="15251">
          <cell r="A15251" t="str">
            <v>SAF</v>
          </cell>
          <cell r="B15251" t="str">
            <v>INTEGRA-W</v>
          </cell>
          <cell r="O15251"/>
          <cell r="T15251"/>
        </row>
        <row r="15252">
          <cell r="A15252" t="str">
            <v>SAF</v>
          </cell>
          <cell r="B15252" t="str">
            <v>Integra-X</v>
          </cell>
          <cell r="O15252"/>
          <cell r="T15252"/>
        </row>
        <row r="15253">
          <cell r="A15253" t="str">
            <v>SAF</v>
          </cell>
          <cell r="B15253" t="str">
            <v>TME-CFIP LUMINA FODU</v>
          </cell>
          <cell r="O15253"/>
          <cell r="T15253"/>
        </row>
        <row r="15254">
          <cell r="A15254" t="str">
            <v>SAF</v>
          </cell>
          <cell r="B15254" t="str">
            <v>TME-Z24FEE01L</v>
          </cell>
          <cell r="O15254"/>
          <cell r="T15254"/>
        </row>
        <row r="15255">
          <cell r="A15255" t="str">
            <v>SAF</v>
          </cell>
          <cell r="B15255" t="str">
            <v>Z24A30T37301</v>
          </cell>
          <cell r="O15255"/>
          <cell r="T15255"/>
        </row>
        <row r="15256">
          <cell r="A15256" t="str">
            <v>SAF</v>
          </cell>
          <cell r="B15256" t="str">
            <v>Z24A90T37301</v>
          </cell>
          <cell r="O15256"/>
          <cell r="T15256"/>
        </row>
        <row r="15257">
          <cell r="A15257" t="str">
            <v>SAGINAW CONTROL AND ENGINEERING</v>
          </cell>
          <cell r="B15257" t="str">
            <v>TME-SCE-41VR2412</v>
          </cell>
          <cell r="O15257"/>
          <cell r="T15257"/>
        </row>
        <row r="15258">
          <cell r="A15258" t="str">
            <v>SAMCO</v>
          </cell>
          <cell r="B15258" t="str">
            <v>SAM-137FM</v>
          </cell>
          <cell r="O15258"/>
          <cell r="T15258"/>
        </row>
        <row r="15259">
          <cell r="A15259" t="str">
            <v>SAMCO</v>
          </cell>
          <cell r="B15259" t="str">
            <v>SAM-159FM</v>
          </cell>
          <cell r="O15259"/>
          <cell r="T15259"/>
        </row>
        <row r="15260">
          <cell r="A15260" t="str">
            <v>SAMCO</v>
          </cell>
          <cell r="B15260" t="str">
            <v>SAM-160</v>
          </cell>
          <cell r="O15260"/>
          <cell r="T15260"/>
        </row>
        <row r="15261">
          <cell r="A15261" t="str">
            <v>SAMPLING LOOP</v>
          </cell>
          <cell r="B15261" t="str">
            <v>SL-16-16</v>
          </cell>
          <cell r="O15261"/>
          <cell r="T15261"/>
        </row>
        <row r="15262">
          <cell r="A15262" t="str">
            <v>SAMSUNG TELECOMMUNICATIONS</v>
          </cell>
          <cell r="B15262" t="str">
            <v>20W CBRS RRH</v>
          </cell>
          <cell r="O15262"/>
          <cell r="T15262"/>
        </row>
        <row r="15263">
          <cell r="A15263" t="str">
            <v>SAMSUNG TELECOMMUNICATIONS</v>
          </cell>
          <cell r="B15263" t="str">
            <v>39GHZ AU</v>
          </cell>
          <cell r="O15263"/>
          <cell r="T15263"/>
        </row>
        <row r="15264">
          <cell r="A15264" t="str">
            <v>SAMSUNG TELECOMMUNICATIONS</v>
          </cell>
          <cell r="B15264" t="str">
            <v>5G FWA AU</v>
          </cell>
          <cell r="O15264"/>
          <cell r="T15264"/>
        </row>
        <row r="15265">
          <cell r="A15265" t="str">
            <v>SAMSUNG TELECOMMUNICATIONS</v>
          </cell>
          <cell r="B15265" t="str">
            <v>5G NR</v>
          </cell>
          <cell r="O15265"/>
          <cell r="T15265"/>
        </row>
        <row r="15266">
          <cell r="A15266" t="str">
            <v>SAMSUNG TELECOMMUNICATIONS</v>
          </cell>
          <cell r="B15266" t="str">
            <v>64T64R</v>
          </cell>
          <cell r="O15266"/>
          <cell r="T15266"/>
        </row>
        <row r="15267">
          <cell r="A15267" t="str">
            <v>SAMSUNG TELECOMMUNICATIONS</v>
          </cell>
          <cell r="B15267" t="str">
            <v>ASSY-RT4401CA</v>
          </cell>
          <cell r="O15267"/>
          <cell r="T15267"/>
        </row>
        <row r="15268">
          <cell r="A15268" t="str">
            <v>SAMSUNG TELECOMMUNICATIONS</v>
          </cell>
          <cell r="B15268" t="str">
            <v>AT1K01</v>
          </cell>
          <cell r="O15268">
            <v>1.4574765257425299</v>
          </cell>
          <cell r="T15268">
            <v>0.93213173149608997</v>
          </cell>
        </row>
        <row r="15269">
          <cell r="A15269" t="str">
            <v>SAMSUNG TELECOMMUNICATIONS</v>
          </cell>
          <cell r="B15269" t="str">
            <v>AT1K02</v>
          </cell>
          <cell r="O15269"/>
          <cell r="T15269"/>
        </row>
        <row r="15270">
          <cell r="A15270" t="str">
            <v>SAMSUNG TELECOMMUNICATIONS</v>
          </cell>
          <cell r="B15270" t="str">
            <v>AT1K04</v>
          </cell>
          <cell r="O15270">
            <v>1.6319926066172499</v>
          </cell>
          <cell r="T15270">
            <v>1.1537710293225398</v>
          </cell>
        </row>
        <row r="15271">
          <cell r="A15271" t="str">
            <v>SAMSUNG TELECOMMUNICATIONS</v>
          </cell>
          <cell r="B15271" t="str">
            <v>AT1K06</v>
          </cell>
          <cell r="O15271">
            <v>1.6319926066172499</v>
          </cell>
          <cell r="T15271">
            <v>1.1537710293225398</v>
          </cell>
        </row>
        <row r="15272">
          <cell r="A15272" t="str">
            <v>SAMSUNG TELECOMMUNICATIONS</v>
          </cell>
          <cell r="B15272" t="str">
            <v>AWS/PCS 16T16R MMU</v>
          </cell>
          <cell r="O15272"/>
          <cell r="T15272"/>
        </row>
        <row r="15273">
          <cell r="A15273" t="str">
            <v>SAMSUNG TELECOMMUNICATIONS</v>
          </cell>
          <cell r="B15273" t="str">
            <v>C-BAND 64T64R MIMO</v>
          </cell>
          <cell r="O15273">
            <v>6.7372741081167291</v>
          </cell>
          <cell r="T15273">
            <v>2.3354908708541</v>
          </cell>
        </row>
        <row r="15274">
          <cell r="A15274" t="str">
            <v>SAMSUNG TELECOMMUNICATIONS</v>
          </cell>
          <cell r="B15274" t="str">
            <v>C-BAND 64T64R MMU</v>
          </cell>
          <cell r="O15274">
            <v>6.7372741081167291</v>
          </cell>
          <cell r="T15274">
            <v>2.3354908708541</v>
          </cell>
        </row>
        <row r="15275">
          <cell r="A15275" t="str">
            <v>SAMSUNG TELECOMMUNICATIONS</v>
          </cell>
          <cell r="B15275" t="str">
            <v>C-Band-CBRS 16T16R Dual MMU - A</v>
          </cell>
          <cell r="O15275"/>
          <cell r="T15275"/>
        </row>
        <row r="15276">
          <cell r="A15276" t="str">
            <v>SAMSUNG TELECOMMUNICATIONS</v>
          </cell>
          <cell r="B15276" t="str">
            <v>C-Band-CBRS 16T16R Dual MMU - B</v>
          </cell>
          <cell r="O15276"/>
          <cell r="T15276"/>
        </row>
        <row r="15277">
          <cell r="A15277" t="str">
            <v>SAMSUNG TELECOMMUNICATIONS</v>
          </cell>
          <cell r="B15277" t="str">
            <v>CBRS</v>
          </cell>
          <cell r="O15277">
            <v>1.5350955503734398</v>
          </cell>
          <cell r="T15277">
            <v>0.60647585458319297</v>
          </cell>
        </row>
        <row r="15278">
          <cell r="A15278" t="str">
            <v>SAMSUNG TELECOMMUNICATIONS</v>
          </cell>
          <cell r="B15278" t="str">
            <v>CBRS 4T4R</v>
          </cell>
          <cell r="O15278"/>
          <cell r="T15278"/>
        </row>
        <row r="15279">
          <cell r="A15279" t="str">
            <v>SAMSUNG TELECOMMUNICATIONS</v>
          </cell>
          <cell r="B15279" t="str">
            <v>CBRS 4T4R 20W RU WITH CLIP-ON ANTENNA</v>
          </cell>
          <cell r="O15279"/>
          <cell r="T15279"/>
        </row>
        <row r="15280">
          <cell r="A15280" t="str">
            <v>SAMSUNG TELECOMMUNICATIONS</v>
          </cell>
          <cell r="B15280" t="str">
            <v>CBRS-RT4401-48A</v>
          </cell>
          <cell r="O15280"/>
          <cell r="T15280"/>
        </row>
        <row r="15281">
          <cell r="A15281" t="str">
            <v>SAMSUNG TELECOMMUNICATIONS</v>
          </cell>
          <cell r="B15281" t="str">
            <v>HT 4401</v>
          </cell>
          <cell r="O15281"/>
          <cell r="T15281"/>
        </row>
        <row r="15282">
          <cell r="A15282" t="str">
            <v>SAMSUNG TELECOMMUNICATIONS</v>
          </cell>
          <cell r="B15282" t="str">
            <v>HT1K01</v>
          </cell>
          <cell r="O15282"/>
          <cell r="T15282"/>
        </row>
        <row r="15283">
          <cell r="A15283" t="str">
            <v>SAMSUNG TELECOMMUNICATIONS</v>
          </cell>
          <cell r="B15283" t="str">
            <v>LAA CLIP-ON</v>
          </cell>
          <cell r="O15283"/>
          <cell r="T15283"/>
        </row>
        <row r="15284">
          <cell r="A15284" t="str">
            <v>SAMSUNG TELECOMMUNICATIONS</v>
          </cell>
          <cell r="B15284" t="str">
            <v>M-MIMO AAU</v>
          </cell>
          <cell r="O15284">
            <v>6.9780049814858893</v>
          </cell>
          <cell r="T15284">
            <v>1.9497167347901101</v>
          </cell>
        </row>
        <row r="15285">
          <cell r="A15285" t="str">
            <v>SAMSUNG TELECOMMUNICATIONS</v>
          </cell>
          <cell r="B15285" t="str">
            <v>MF1601D-25A</v>
          </cell>
          <cell r="O15285"/>
          <cell r="T15285"/>
        </row>
        <row r="15286">
          <cell r="A15286" t="str">
            <v>SAMSUNG TELECOMMUNICATIONS</v>
          </cell>
          <cell r="B15286" t="str">
            <v>MMU</v>
          </cell>
          <cell r="O15286">
            <v>6.9780049814858893</v>
          </cell>
          <cell r="T15286">
            <v>1.9497167347901101</v>
          </cell>
        </row>
        <row r="15287">
          <cell r="A15287" t="str">
            <v>SAMSUNG TELECOMMUNICATIONS</v>
          </cell>
          <cell r="B15287" t="str">
            <v>MT1602d-48A_2023</v>
          </cell>
          <cell r="O15287"/>
          <cell r="T15287"/>
        </row>
        <row r="15288">
          <cell r="A15288" t="str">
            <v>SAMSUNG TELECOMMUNICATIONS</v>
          </cell>
          <cell r="B15288" t="str">
            <v>MT1602d-48B_2023</v>
          </cell>
          <cell r="O15288"/>
          <cell r="T15288"/>
        </row>
        <row r="15289">
          <cell r="A15289" t="str">
            <v>SAMSUNG TELECOMMUNICATIONS</v>
          </cell>
          <cell r="B15289" t="str">
            <v>MT6402-48A</v>
          </cell>
          <cell r="O15289"/>
          <cell r="T15289"/>
        </row>
        <row r="15290">
          <cell r="A15290" t="str">
            <v>SAMSUNG TELECOMMUNICATIONS</v>
          </cell>
          <cell r="B15290" t="str">
            <v>MT6407-77A</v>
          </cell>
          <cell r="O15290">
            <v>6.7372741081167291</v>
          </cell>
          <cell r="T15290">
            <v>2.3354908708541</v>
          </cell>
        </row>
        <row r="15291">
          <cell r="A15291" t="str">
            <v>SAMSUNG TELECOMMUNICATIONS</v>
          </cell>
          <cell r="B15291" t="str">
            <v>MT6407-77A_CCIV2</v>
          </cell>
          <cell r="O15291">
            <v>6.7372741081167291</v>
          </cell>
          <cell r="T15291">
            <v>2.3354908708541</v>
          </cell>
        </row>
        <row r="15292">
          <cell r="A15292" t="str">
            <v>SAMSUNG TELECOMMUNICATIONS</v>
          </cell>
          <cell r="B15292" t="str">
            <v>MT6413-77A</v>
          </cell>
          <cell r="O15292">
            <v>3.93130137123975</v>
          </cell>
          <cell r="T15292">
            <v>1.35631579368814</v>
          </cell>
        </row>
        <row r="15293">
          <cell r="A15293" t="str">
            <v>SAMSUNG TELECOMMUNICATIONS</v>
          </cell>
          <cell r="B15293" t="str">
            <v>NRU 2016.06.03</v>
          </cell>
          <cell r="O15293"/>
          <cell r="T15293"/>
        </row>
        <row r="15294">
          <cell r="A15294" t="str">
            <v>SAMSUNG TELECOMMUNICATIONS</v>
          </cell>
          <cell r="B15294" t="str">
            <v>ORAN CBRS 4T4R 20W RU</v>
          </cell>
          <cell r="O15294"/>
          <cell r="T15294"/>
        </row>
        <row r="15295">
          <cell r="A15295" t="str">
            <v>SAMSUNG TELECOMMUNICATIONS</v>
          </cell>
          <cell r="B15295" t="str">
            <v>R0440CC</v>
          </cell>
          <cell r="O15295"/>
          <cell r="T15295"/>
        </row>
        <row r="15296">
          <cell r="A15296" t="str">
            <v>SAMSUNG TELECOMMUNICATIONS</v>
          </cell>
          <cell r="B15296" t="str">
            <v>RRG-C2C W/EXT FILTER</v>
          </cell>
          <cell r="O15296"/>
          <cell r="T15296"/>
        </row>
        <row r="15297">
          <cell r="A15297" t="str">
            <v>SAMSUNG TELECOMMUNICATIONS</v>
          </cell>
          <cell r="B15297" t="str">
            <v>TME-1.9GHZ RRU</v>
          </cell>
          <cell r="O15297"/>
          <cell r="T15297"/>
        </row>
        <row r="15298">
          <cell r="A15298" t="str">
            <v>SAMSUNG TELECOMMUNICATIONS</v>
          </cell>
          <cell r="B15298" t="str">
            <v>TME-2.5GHZ 8T8R RRH</v>
          </cell>
          <cell r="O15298"/>
          <cell r="T15298"/>
        </row>
        <row r="15299">
          <cell r="A15299" t="str">
            <v>SAMSUNG TELECOMMUNICATIONS</v>
          </cell>
          <cell r="B15299" t="str">
            <v>TME-2.5GHZ RRH-V3</v>
          </cell>
          <cell r="O15299"/>
          <cell r="T15299"/>
        </row>
        <row r="15300">
          <cell r="A15300" t="str">
            <v>SAMSUNG TELECOMMUNICATIONS</v>
          </cell>
          <cell r="B15300" t="str">
            <v>TME-800MHZ EXT. FILTER</v>
          </cell>
          <cell r="O15300"/>
          <cell r="T15300"/>
        </row>
        <row r="15301">
          <cell r="A15301" t="str">
            <v>SAMSUNG TELECOMMUNICATIONS</v>
          </cell>
          <cell r="B15301" t="str">
            <v>TME-800MHz RRU</v>
          </cell>
          <cell r="O15301"/>
          <cell r="T15301"/>
        </row>
        <row r="15302">
          <cell r="A15302" t="str">
            <v>SAMSUNG TELECOMMUNICATIONS</v>
          </cell>
          <cell r="B15302" t="str">
            <v>TME-800MHz RRU W/EXT FILTER</v>
          </cell>
          <cell r="O15302"/>
          <cell r="T15302"/>
        </row>
        <row r="15303">
          <cell r="A15303" t="str">
            <v>SAMSUNG TELECOMMUNICATIONS</v>
          </cell>
          <cell r="B15303" t="str">
            <v>TME-NRRHV2</v>
          </cell>
          <cell r="O15303"/>
          <cell r="T15303"/>
        </row>
        <row r="15304">
          <cell r="A15304" t="str">
            <v>SAMSUNG TELECOMMUNICATIONS</v>
          </cell>
          <cell r="B15304" t="str">
            <v>TME-OPTIC FIBER JUNCTION CYLINDER</v>
          </cell>
          <cell r="O15304"/>
          <cell r="T15304"/>
        </row>
        <row r="15305">
          <cell r="A15305" t="str">
            <v>SAMSUNG TELECOMMUNICATIONS</v>
          </cell>
          <cell r="B15305" t="str">
            <v>TME-POWER JUNCTION CYLINDER</v>
          </cell>
          <cell r="O15305"/>
          <cell r="T15305"/>
        </row>
        <row r="15306">
          <cell r="A15306" t="str">
            <v>SAMSUNG TELECOMMUNICATIONS</v>
          </cell>
          <cell r="B15306" t="str">
            <v>TME-RRH-2WB</v>
          </cell>
          <cell r="O15306"/>
          <cell r="T15306"/>
        </row>
        <row r="15307">
          <cell r="A15307" t="str">
            <v>SAMSUNG TELECOMMUNICATIONS</v>
          </cell>
          <cell r="B15307" t="str">
            <v>TME-RRH-B8</v>
          </cell>
          <cell r="O15307"/>
          <cell r="T15307"/>
        </row>
        <row r="15308">
          <cell r="A15308" t="str">
            <v>SAMSUNG TELECOMMUNICATIONS</v>
          </cell>
          <cell r="B15308" t="str">
            <v>TME-RRH-C2 W/EXT FILTER</v>
          </cell>
          <cell r="O15308"/>
          <cell r="T15308"/>
        </row>
        <row r="15309">
          <cell r="A15309" t="str">
            <v>SAMSUNG TELECOMMUNICATIONS</v>
          </cell>
          <cell r="B15309" t="str">
            <v>TME-RRH-C2A W/EXT FILTER_CCIV2</v>
          </cell>
          <cell r="O15309"/>
          <cell r="T15309"/>
        </row>
        <row r="15310">
          <cell r="A15310" t="str">
            <v>SAMSUNG TELECOMMUNICATIONS</v>
          </cell>
          <cell r="B15310" t="str">
            <v>TME-RRH-C2A w/EXT FILTER</v>
          </cell>
          <cell r="O15310"/>
          <cell r="T15310"/>
        </row>
        <row r="15311">
          <cell r="A15311" t="str">
            <v>SAMSUNG TELECOMMUNICATIONS</v>
          </cell>
          <cell r="B15311" t="str">
            <v>TME-RRH-P4</v>
          </cell>
          <cell r="O15311"/>
          <cell r="T15311"/>
        </row>
        <row r="15312">
          <cell r="A15312" t="str">
            <v>SAMSUNG TELECOMMUNICATIONS</v>
          </cell>
          <cell r="B15312" t="str">
            <v>TME-RRH-P4 PH1</v>
          </cell>
          <cell r="O15312"/>
          <cell r="T15312"/>
        </row>
        <row r="15313">
          <cell r="A15313" t="str">
            <v>SAMSUNG TELECOMMUNICATIONS</v>
          </cell>
          <cell r="B15313" t="str">
            <v>TME-RT4401-48A</v>
          </cell>
          <cell r="O15313"/>
          <cell r="T15313"/>
        </row>
        <row r="15314">
          <cell r="A15314" t="str">
            <v>SAMSUNG TELECOMMUNICATIONS</v>
          </cell>
          <cell r="B15314" t="str">
            <v>XXDWMM-12.5-65-8T-CBRS</v>
          </cell>
          <cell r="O15314">
            <v>1.0415964571293499</v>
          </cell>
          <cell r="T15314">
            <v>0.74713787948132904</v>
          </cell>
        </row>
        <row r="15315">
          <cell r="A15315" t="str">
            <v>SARA</v>
          </cell>
          <cell r="B15315" t="str">
            <v>Terrestrial Acoustic Sensor Array (TASA)</v>
          </cell>
          <cell r="O15315"/>
          <cell r="T15315"/>
        </row>
        <row r="15316">
          <cell r="A15316" t="str">
            <v>SCALA</v>
          </cell>
          <cell r="B15316" t="str">
            <v>0694</v>
          </cell>
          <cell r="O15316"/>
          <cell r="T15316"/>
        </row>
        <row r="15317">
          <cell r="A15317" t="str">
            <v>SCALA</v>
          </cell>
          <cell r="B15317" t="str">
            <v>1900/063D/DT2</v>
          </cell>
          <cell r="O15317"/>
          <cell r="T15317"/>
        </row>
        <row r="15318">
          <cell r="A15318" t="str">
            <v>SCALA</v>
          </cell>
          <cell r="B15318" t="str">
            <v>2352HDSM</v>
          </cell>
          <cell r="O15318"/>
          <cell r="T15318"/>
        </row>
        <row r="15319">
          <cell r="A15319" t="str">
            <v>SCALA</v>
          </cell>
          <cell r="B15319" t="str">
            <v>40R-45</v>
          </cell>
          <cell r="O15319"/>
          <cell r="T15319"/>
        </row>
        <row r="15320">
          <cell r="A15320" t="str">
            <v>SCALA</v>
          </cell>
          <cell r="B15320" t="str">
            <v>64400-002</v>
          </cell>
          <cell r="O15320"/>
          <cell r="T15320"/>
        </row>
        <row r="15321">
          <cell r="A15321" t="str">
            <v>SCALA</v>
          </cell>
          <cell r="B15321" t="str">
            <v>64400-024</v>
          </cell>
          <cell r="O15321"/>
          <cell r="T15321"/>
        </row>
        <row r="15322">
          <cell r="A15322" t="str">
            <v>SCALA</v>
          </cell>
          <cell r="B15322" t="str">
            <v>6GP8-901N</v>
          </cell>
          <cell r="O15322"/>
          <cell r="T15322"/>
        </row>
        <row r="15323">
          <cell r="A15323" t="str">
            <v>SCALA</v>
          </cell>
          <cell r="B15323" t="str">
            <v>7101985</v>
          </cell>
          <cell r="O15323"/>
          <cell r="T15323"/>
        </row>
        <row r="15324">
          <cell r="A15324" t="str">
            <v>SCALA</v>
          </cell>
          <cell r="B15324" t="str">
            <v>730-362</v>
          </cell>
          <cell r="O15324"/>
          <cell r="T15324"/>
        </row>
        <row r="15325">
          <cell r="A15325" t="str">
            <v>SCALA</v>
          </cell>
          <cell r="B15325" t="str">
            <v>740-1365</v>
          </cell>
          <cell r="O15325"/>
          <cell r="T15325"/>
        </row>
        <row r="15326">
          <cell r="A15326" t="str">
            <v>SCALA</v>
          </cell>
          <cell r="B15326" t="str">
            <v>740-1483</v>
          </cell>
          <cell r="O15326"/>
          <cell r="T15326"/>
        </row>
        <row r="15327">
          <cell r="A15327" t="str">
            <v>SCALA</v>
          </cell>
          <cell r="B15327" t="str">
            <v>740-189</v>
          </cell>
          <cell r="O15327"/>
          <cell r="T15327"/>
        </row>
        <row r="15328">
          <cell r="A15328" t="str">
            <v>SCALA</v>
          </cell>
          <cell r="B15328" t="str">
            <v>740-189AS</v>
          </cell>
          <cell r="O15328"/>
          <cell r="T15328"/>
        </row>
        <row r="15329">
          <cell r="A15329" t="str">
            <v>SCALA</v>
          </cell>
          <cell r="B15329" t="str">
            <v>740-1905</v>
          </cell>
          <cell r="O15329"/>
          <cell r="T15329"/>
        </row>
        <row r="15330">
          <cell r="A15330" t="str">
            <v>SCALA</v>
          </cell>
          <cell r="B15330" t="str">
            <v>740-1955</v>
          </cell>
          <cell r="O15330"/>
          <cell r="T15330"/>
        </row>
        <row r="15331">
          <cell r="A15331" t="str">
            <v>SCALA</v>
          </cell>
          <cell r="B15331" t="str">
            <v>740-196</v>
          </cell>
          <cell r="O15331"/>
          <cell r="T15331"/>
        </row>
        <row r="15332">
          <cell r="A15332" t="str">
            <v>SCALA</v>
          </cell>
          <cell r="B15332" t="str">
            <v>740-1988</v>
          </cell>
          <cell r="O15332"/>
          <cell r="T15332"/>
        </row>
        <row r="15333">
          <cell r="A15333" t="str">
            <v>SCALA</v>
          </cell>
          <cell r="B15333" t="str">
            <v>740-198RFL-2</v>
          </cell>
          <cell r="O15333"/>
          <cell r="T15333"/>
        </row>
        <row r="15334">
          <cell r="A15334" t="str">
            <v>SCALA</v>
          </cell>
          <cell r="B15334" t="str">
            <v>740-198S</v>
          </cell>
          <cell r="O15334"/>
          <cell r="T15334"/>
        </row>
        <row r="15335">
          <cell r="A15335" t="str">
            <v>SCALA</v>
          </cell>
          <cell r="B15335" t="str">
            <v>740-19BS</v>
          </cell>
          <cell r="O15335"/>
          <cell r="T15335"/>
        </row>
        <row r="15336">
          <cell r="A15336" t="str">
            <v>SCALA</v>
          </cell>
          <cell r="B15336" t="str">
            <v>740-215</v>
          </cell>
          <cell r="O15336"/>
          <cell r="T15336"/>
        </row>
        <row r="15337">
          <cell r="A15337" t="str">
            <v>SCALA</v>
          </cell>
          <cell r="B15337" t="str">
            <v>740-217A</v>
          </cell>
          <cell r="O15337"/>
          <cell r="T15337"/>
        </row>
        <row r="15338">
          <cell r="A15338" t="str">
            <v>SCALA</v>
          </cell>
          <cell r="B15338" t="str">
            <v>740-218</v>
          </cell>
          <cell r="O15338"/>
          <cell r="T15338"/>
        </row>
        <row r="15339">
          <cell r="A15339" t="str">
            <v>SCALA</v>
          </cell>
          <cell r="B15339" t="str">
            <v>740-2185</v>
          </cell>
          <cell r="O15339"/>
          <cell r="T15339"/>
        </row>
        <row r="15340">
          <cell r="A15340" t="str">
            <v>SCALA</v>
          </cell>
          <cell r="B15340" t="str">
            <v>740-985</v>
          </cell>
          <cell r="O15340"/>
          <cell r="T15340"/>
        </row>
        <row r="15341">
          <cell r="A15341" t="str">
            <v>SCALA</v>
          </cell>
          <cell r="B15341" t="str">
            <v>740-988</v>
          </cell>
          <cell r="O15341"/>
          <cell r="T15341"/>
        </row>
        <row r="15342">
          <cell r="A15342" t="str">
            <v>SCALA</v>
          </cell>
          <cell r="B15342" t="str">
            <v>740-9983</v>
          </cell>
          <cell r="O15342"/>
          <cell r="T15342"/>
        </row>
        <row r="15343">
          <cell r="A15343" t="str">
            <v>SCALA</v>
          </cell>
          <cell r="B15343" t="str">
            <v>740028</v>
          </cell>
          <cell r="O15343"/>
          <cell r="T15343"/>
        </row>
        <row r="15344">
          <cell r="A15344" t="str">
            <v>SCALA</v>
          </cell>
          <cell r="B15344" t="str">
            <v>740189AS</v>
          </cell>
          <cell r="O15344"/>
          <cell r="T15344"/>
        </row>
        <row r="15345">
          <cell r="A15345" t="str">
            <v>SCALA</v>
          </cell>
          <cell r="B15345" t="str">
            <v>740198-R2</v>
          </cell>
          <cell r="O15345"/>
          <cell r="T15345"/>
        </row>
        <row r="15346">
          <cell r="A15346" t="str">
            <v>SCALA</v>
          </cell>
          <cell r="B15346" t="str">
            <v>740198-S</v>
          </cell>
          <cell r="O15346"/>
          <cell r="T15346"/>
        </row>
        <row r="15347">
          <cell r="A15347" t="str">
            <v>SCALA</v>
          </cell>
          <cell r="B15347" t="str">
            <v>7401985</v>
          </cell>
          <cell r="O15347"/>
          <cell r="T15347"/>
        </row>
        <row r="15348">
          <cell r="A15348" t="str">
            <v>SCALA</v>
          </cell>
          <cell r="B15348" t="str">
            <v>7401988</v>
          </cell>
          <cell r="O15348"/>
          <cell r="T15348"/>
        </row>
        <row r="15349">
          <cell r="A15349" t="str">
            <v>SCALA</v>
          </cell>
          <cell r="B15349" t="str">
            <v>8 FT OMNI</v>
          </cell>
          <cell r="O15349"/>
          <cell r="T15349"/>
        </row>
        <row r="15350">
          <cell r="A15350" t="str">
            <v>SCALA</v>
          </cell>
          <cell r="B15350" t="str">
            <v>80065 / N-50</v>
          </cell>
          <cell r="O15350"/>
          <cell r="T15350"/>
        </row>
        <row r="15351">
          <cell r="A15351" t="str">
            <v>SCALA</v>
          </cell>
          <cell r="B15351" t="str">
            <v>AD1900/063D</v>
          </cell>
          <cell r="O15351"/>
          <cell r="T15351"/>
        </row>
        <row r="15352">
          <cell r="A15352" t="str">
            <v>SCALA</v>
          </cell>
          <cell r="B15352" t="str">
            <v>AGC-825N</v>
          </cell>
          <cell r="O15352"/>
          <cell r="T15352"/>
        </row>
        <row r="15353">
          <cell r="A15353" t="str">
            <v>SCALA</v>
          </cell>
          <cell r="B15353" t="str">
            <v>AP-1900/063D</v>
          </cell>
          <cell r="O15353"/>
          <cell r="T15353"/>
        </row>
        <row r="15354">
          <cell r="A15354" t="str">
            <v>SCALA</v>
          </cell>
          <cell r="B15354" t="str">
            <v>AP-190010900</v>
          </cell>
          <cell r="O15354"/>
          <cell r="T15354"/>
        </row>
        <row r="15355">
          <cell r="A15355" t="str">
            <v>SCALA</v>
          </cell>
          <cell r="B15355" t="str">
            <v>AP11-850</v>
          </cell>
          <cell r="O15355"/>
          <cell r="T15355"/>
        </row>
        <row r="15356">
          <cell r="A15356" t="str">
            <v>SCALA</v>
          </cell>
          <cell r="B15356" t="str">
            <v>AP11-850/090/ADT</v>
          </cell>
          <cell r="O15356"/>
          <cell r="T15356"/>
        </row>
        <row r="15357">
          <cell r="A15357" t="str">
            <v>SCALA</v>
          </cell>
          <cell r="B15357" t="str">
            <v>AP11-850/105N</v>
          </cell>
          <cell r="O15357">
            <v>4.7138734668164393</v>
          </cell>
          <cell r="T15357">
            <v>1.9414730941415099</v>
          </cell>
        </row>
        <row r="15358">
          <cell r="A15358" t="str">
            <v>SCALA</v>
          </cell>
          <cell r="B15358" t="str">
            <v>AP11-880/090/XP</v>
          </cell>
          <cell r="O15358"/>
          <cell r="T15358"/>
        </row>
        <row r="15359">
          <cell r="A15359" t="str">
            <v>SCALA</v>
          </cell>
          <cell r="B15359" t="str">
            <v>AP11-880/090D/XPV</v>
          </cell>
          <cell r="O15359"/>
          <cell r="T15359"/>
        </row>
        <row r="15360">
          <cell r="A15360" t="str">
            <v>SCALA</v>
          </cell>
          <cell r="B15360" t="str">
            <v>AP12-1900/063D</v>
          </cell>
          <cell r="O15360"/>
          <cell r="T15360"/>
        </row>
        <row r="15361">
          <cell r="A15361" t="str">
            <v>SCALA</v>
          </cell>
          <cell r="B15361" t="str">
            <v>AP12-850/090D</v>
          </cell>
          <cell r="O15361">
            <v>4.713873467</v>
          </cell>
          <cell r="T15361">
            <v>1.941473094</v>
          </cell>
        </row>
        <row r="15362">
          <cell r="A15362" t="str">
            <v>SCALA</v>
          </cell>
          <cell r="B15362" t="str">
            <v>AP12-850/090N</v>
          </cell>
          <cell r="O15362"/>
          <cell r="T15362"/>
        </row>
        <row r="15363">
          <cell r="A15363" t="str">
            <v>SCALA</v>
          </cell>
          <cell r="B15363" t="str">
            <v>AP13-850</v>
          </cell>
          <cell r="O15363"/>
          <cell r="T15363"/>
        </row>
        <row r="15364">
          <cell r="A15364" t="str">
            <v>SCALA</v>
          </cell>
          <cell r="B15364" t="str">
            <v>AP13-850/065/ADT</v>
          </cell>
          <cell r="O15364"/>
          <cell r="T15364"/>
        </row>
        <row r="15365">
          <cell r="A15365" t="str">
            <v>SCALA</v>
          </cell>
          <cell r="B15365" t="str">
            <v>AP13-850/065D</v>
          </cell>
          <cell r="O15365">
            <v>4.7138734668164393</v>
          </cell>
          <cell r="T15365">
            <v>1.9414730941415099</v>
          </cell>
        </row>
        <row r="15366">
          <cell r="A15366" t="str">
            <v>SCALA</v>
          </cell>
          <cell r="B15366" t="str">
            <v>AP13-850/065D/DT6</v>
          </cell>
          <cell r="O15366"/>
          <cell r="T15366"/>
        </row>
        <row r="15367">
          <cell r="A15367" t="str">
            <v>SCALA</v>
          </cell>
          <cell r="B15367" t="str">
            <v>AP13805847D</v>
          </cell>
          <cell r="O15367"/>
          <cell r="T15367"/>
        </row>
        <row r="15368">
          <cell r="A15368" t="str">
            <v>SCALA</v>
          </cell>
          <cell r="B15368" t="str">
            <v>AP14-1900/063D</v>
          </cell>
          <cell r="O15368"/>
          <cell r="T15368"/>
        </row>
        <row r="15369">
          <cell r="A15369" t="str">
            <v>SCALA</v>
          </cell>
          <cell r="B15369" t="str">
            <v>AP14-1900/090D</v>
          </cell>
          <cell r="O15369"/>
          <cell r="T15369"/>
        </row>
        <row r="15370">
          <cell r="A15370" t="str">
            <v>SCALA</v>
          </cell>
          <cell r="B15370" t="str">
            <v>AP14-850/105</v>
          </cell>
          <cell r="O15370"/>
          <cell r="T15370"/>
        </row>
        <row r="15371">
          <cell r="A15371" t="str">
            <v>SCALA</v>
          </cell>
          <cell r="B15371" t="str">
            <v>AP15-1900</v>
          </cell>
          <cell r="O15371"/>
          <cell r="T15371"/>
        </row>
        <row r="15372">
          <cell r="A15372" t="str">
            <v>SCALA</v>
          </cell>
          <cell r="B15372" t="str">
            <v>AP15-1900/090D</v>
          </cell>
          <cell r="O15372"/>
          <cell r="T15372"/>
        </row>
        <row r="15373">
          <cell r="A15373" t="str">
            <v>SCALA</v>
          </cell>
          <cell r="B15373" t="str">
            <v>AP15-1900/090D/DT2</v>
          </cell>
          <cell r="O15373"/>
          <cell r="T15373"/>
        </row>
        <row r="15374">
          <cell r="A15374" t="str">
            <v>SCALA</v>
          </cell>
          <cell r="B15374" t="str">
            <v>AP15-1900AWS</v>
          </cell>
          <cell r="O15374"/>
          <cell r="T15374"/>
        </row>
        <row r="15375">
          <cell r="A15375" t="str">
            <v>SCALA</v>
          </cell>
          <cell r="B15375" t="str">
            <v>AP15-1900AWS-090</v>
          </cell>
          <cell r="O15375"/>
          <cell r="T15375"/>
        </row>
        <row r="15376">
          <cell r="A15376" t="str">
            <v>SCALA</v>
          </cell>
          <cell r="B15376" t="str">
            <v>AP15-850/090D/DT3</v>
          </cell>
          <cell r="O15376">
            <v>9.910364057363731</v>
          </cell>
          <cell r="T15376">
            <v>4.081318814989789</v>
          </cell>
        </row>
        <row r="15377">
          <cell r="A15377" t="str">
            <v>SCALA</v>
          </cell>
          <cell r="B15377" t="str">
            <v>AP15-880/060</v>
          </cell>
          <cell r="O15377"/>
          <cell r="T15377"/>
        </row>
        <row r="15378">
          <cell r="A15378" t="str">
            <v>SCALA</v>
          </cell>
          <cell r="B15378" t="str">
            <v>AP15-880/065/HV</v>
          </cell>
          <cell r="O15378"/>
          <cell r="T15378"/>
        </row>
        <row r="15379">
          <cell r="A15379" t="str">
            <v>SCALA</v>
          </cell>
          <cell r="B15379" t="str">
            <v>AP15-880/065/XP</v>
          </cell>
          <cell r="O15379"/>
          <cell r="T15379"/>
        </row>
        <row r="15380">
          <cell r="A15380" t="str">
            <v>SCALA</v>
          </cell>
          <cell r="B15380" t="str">
            <v>AP15-880/0650</v>
          </cell>
          <cell r="O15380"/>
          <cell r="T15380"/>
        </row>
        <row r="15381">
          <cell r="A15381" t="str">
            <v>SCALA</v>
          </cell>
          <cell r="B15381" t="str">
            <v>AP15-880/065D</v>
          </cell>
          <cell r="O15381"/>
          <cell r="T15381"/>
        </row>
        <row r="15382">
          <cell r="A15382" t="str">
            <v>SCALA</v>
          </cell>
          <cell r="B15382" t="str">
            <v>AP15-880/065D/HV</v>
          </cell>
          <cell r="O15382"/>
          <cell r="T15382"/>
        </row>
        <row r="15383">
          <cell r="A15383" t="str">
            <v>SCALA</v>
          </cell>
          <cell r="B15383" t="str">
            <v>AP15-880/06D</v>
          </cell>
          <cell r="O15383"/>
          <cell r="T15383"/>
        </row>
        <row r="15384">
          <cell r="A15384" t="str">
            <v>SCALA</v>
          </cell>
          <cell r="B15384" t="str">
            <v>AP15-880/090</v>
          </cell>
          <cell r="O15384"/>
          <cell r="T15384"/>
        </row>
        <row r="15385">
          <cell r="A15385" t="str">
            <v>SCALA</v>
          </cell>
          <cell r="B15385" t="str">
            <v>AP15-880/090/HV</v>
          </cell>
          <cell r="O15385"/>
          <cell r="T15385"/>
        </row>
        <row r="15386">
          <cell r="A15386" t="str">
            <v>SCALA</v>
          </cell>
          <cell r="B15386" t="str">
            <v>AP15880/065D</v>
          </cell>
          <cell r="O15386"/>
          <cell r="T15386"/>
        </row>
        <row r="15387">
          <cell r="A15387" t="str">
            <v>SCALA</v>
          </cell>
          <cell r="B15387" t="str">
            <v>AP16-1900/063D</v>
          </cell>
          <cell r="O15387">
            <v>1.3118952271115101</v>
          </cell>
          <cell r="T15387">
            <v>0.36486057342992501</v>
          </cell>
        </row>
        <row r="15388">
          <cell r="A15388" t="str">
            <v>SCALA</v>
          </cell>
          <cell r="B15388" t="str">
            <v>AP16-1900/090D</v>
          </cell>
          <cell r="O15388"/>
          <cell r="T15388"/>
        </row>
        <row r="15389">
          <cell r="A15389" t="str">
            <v>SCALA</v>
          </cell>
          <cell r="B15389" t="str">
            <v>AP16-1900/090D/DT2</v>
          </cell>
          <cell r="O15389"/>
          <cell r="T15389"/>
        </row>
        <row r="15390">
          <cell r="A15390" t="str">
            <v>SCALA</v>
          </cell>
          <cell r="B15390" t="str">
            <v>AP16-1900/190D</v>
          </cell>
          <cell r="O15390"/>
          <cell r="T15390"/>
        </row>
        <row r="15391">
          <cell r="A15391" t="str">
            <v>SCALA</v>
          </cell>
          <cell r="B15391" t="str">
            <v>AP16-850/047</v>
          </cell>
          <cell r="O15391"/>
          <cell r="T15391"/>
        </row>
        <row r="15392">
          <cell r="A15392" t="str">
            <v>SCALA</v>
          </cell>
          <cell r="B15392" t="str">
            <v>AP16-850/047D-DT6</v>
          </cell>
          <cell r="O15392"/>
          <cell r="T15392"/>
        </row>
        <row r="15393">
          <cell r="A15393" t="str">
            <v>SCALA</v>
          </cell>
          <cell r="B15393" t="str">
            <v>AP16-850/065</v>
          </cell>
          <cell r="O15393">
            <v>9.910364057363731</v>
          </cell>
          <cell r="T15393">
            <v>4.081318814989789</v>
          </cell>
        </row>
        <row r="15394">
          <cell r="A15394" t="str">
            <v>SCALA</v>
          </cell>
          <cell r="B15394" t="str">
            <v>AP16-850/065D</v>
          </cell>
          <cell r="O15394"/>
          <cell r="T15394"/>
        </row>
        <row r="15395">
          <cell r="A15395" t="str">
            <v>SCALA</v>
          </cell>
          <cell r="B15395" t="str">
            <v>AP16-850/065D/DT6</v>
          </cell>
          <cell r="O15395">
            <v>9.910364057363731</v>
          </cell>
          <cell r="T15395">
            <v>4.081318814989789</v>
          </cell>
        </row>
        <row r="15396">
          <cell r="A15396" t="str">
            <v>SCALA</v>
          </cell>
          <cell r="B15396" t="str">
            <v>AP16-850/065N/DT3</v>
          </cell>
          <cell r="O15396">
            <v>9.910364057363731</v>
          </cell>
          <cell r="T15396">
            <v>4.081318814989789</v>
          </cell>
        </row>
        <row r="15397">
          <cell r="A15397" t="str">
            <v>SCALA</v>
          </cell>
          <cell r="B15397" t="str">
            <v>AP16-880/065/XP</v>
          </cell>
          <cell r="O15397"/>
          <cell r="T15397"/>
        </row>
        <row r="15398">
          <cell r="A15398" t="str">
            <v>SCALA</v>
          </cell>
          <cell r="B15398" t="str">
            <v>AP16/1900063D/DT</v>
          </cell>
          <cell r="O15398"/>
          <cell r="T15398"/>
        </row>
        <row r="15399">
          <cell r="A15399" t="str">
            <v>SCALA</v>
          </cell>
          <cell r="B15399" t="str">
            <v>AP17-1900</v>
          </cell>
          <cell r="O15399"/>
          <cell r="T15399"/>
        </row>
        <row r="15400">
          <cell r="A15400" t="str">
            <v>SCALA</v>
          </cell>
          <cell r="B15400" t="str">
            <v>AP17-1900-0900-D</v>
          </cell>
          <cell r="O15400"/>
          <cell r="T15400"/>
        </row>
        <row r="15401">
          <cell r="A15401" t="str">
            <v>SCALA</v>
          </cell>
          <cell r="B15401" t="str">
            <v>AP17-1900-0900/D</v>
          </cell>
          <cell r="O15401"/>
          <cell r="T15401"/>
        </row>
        <row r="15402">
          <cell r="A15402" t="str">
            <v>SCALA</v>
          </cell>
          <cell r="B15402" t="str">
            <v>AP17-1900-090DT2</v>
          </cell>
          <cell r="O15402"/>
          <cell r="T15402"/>
        </row>
        <row r="15403">
          <cell r="A15403" t="str">
            <v>SCALA</v>
          </cell>
          <cell r="B15403" t="str">
            <v>AP17-1900/063D</v>
          </cell>
          <cell r="O15403">
            <v>1.9902526329999999</v>
          </cell>
          <cell r="T15403">
            <v>0.55370035500000003</v>
          </cell>
        </row>
        <row r="15404">
          <cell r="A15404" t="str">
            <v>SCALA</v>
          </cell>
          <cell r="B15404" t="str">
            <v>AP17-1900/063D/DT2</v>
          </cell>
          <cell r="O15404">
            <v>1.9902526329999999</v>
          </cell>
          <cell r="T15404">
            <v>0.55370035500000003</v>
          </cell>
        </row>
        <row r="15405">
          <cell r="A15405" t="str">
            <v>SCALA</v>
          </cell>
          <cell r="B15405" t="str">
            <v>AP17-1900/063DT2</v>
          </cell>
          <cell r="O15405"/>
          <cell r="T15405"/>
        </row>
        <row r="15406">
          <cell r="A15406" t="str">
            <v>SCALA</v>
          </cell>
          <cell r="B15406" t="str">
            <v>AP17-1900/090/D</v>
          </cell>
          <cell r="O15406"/>
          <cell r="T15406"/>
        </row>
        <row r="15407">
          <cell r="A15407" t="str">
            <v>SCALA</v>
          </cell>
          <cell r="B15407" t="str">
            <v>AP17-1900/090/DT</v>
          </cell>
          <cell r="O15407"/>
          <cell r="T15407"/>
        </row>
        <row r="15408">
          <cell r="A15408" t="str">
            <v>SCALA</v>
          </cell>
          <cell r="B15408" t="str">
            <v>AP17-1900/0900/D</v>
          </cell>
          <cell r="O15408"/>
          <cell r="T15408"/>
        </row>
        <row r="15409">
          <cell r="A15409" t="str">
            <v>SCALA</v>
          </cell>
          <cell r="B15409" t="str">
            <v>AP17-1900/090D</v>
          </cell>
          <cell r="O15409">
            <v>2.9647790770000002</v>
          </cell>
          <cell r="T15409">
            <v>1.0924443500000001</v>
          </cell>
        </row>
        <row r="15410">
          <cell r="A15410" t="str">
            <v>SCALA</v>
          </cell>
          <cell r="B15410" t="str">
            <v>AP17-1900/090D/</v>
          </cell>
          <cell r="O15410"/>
          <cell r="T15410"/>
        </row>
        <row r="15411">
          <cell r="A15411" t="str">
            <v>SCALA</v>
          </cell>
          <cell r="B15411" t="str">
            <v>AP17-1900/090D/D</v>
          </cell>
          <cell r="O15411"/>
          <cell r="T15411"/>
        </row>
        <row r="15412">
          <cell r="A15412" t="str">
            <v>SCALA</v>
          </cell>
          <cell r="B15412" t="str">
            <v>AP17-1900/090D/DT2</v>
          </cell>
          <cell r="O15412">
            <v>2.9647790770000002</v>
          </cell>
          <cell r="T15412">
            <v>1.0924443500000001</v>
          </cell>
        </row>
        <row r="15413">
          <cell r="A15413" t="str">
            <v>SCALA</v>
          </cell>
          <cell r="B15413" t="str">
            <v>AP17-1900/090D/XP</v>
          </cell>
          <cell r="O15413"/>
          <cell r="T15413"/>
        </row>
        <row r="15414">
          <cell r="A15414" t="str">
            <v>SCALA</v>
          </cell>
          <cell r="B15414" t="str">
            <v>AP17-1900/090DT2</v>
          </cell>
          <cell r="O15414"/>
          <cell r="T15414"/>
        </row>
        <row r="15415">
          <cell r="A15415" t="str">
            <v>SCALA</v>
          </cell>
          <cell r="B15415" t="str">
            <v>AP17-1900/09D/DT</v>
          </cell>
          <cell r="O15415"/>
          <cell r="T15415"/>
        </row>
        <row r="15416">
          <cell r="A15416" t="str">
            <v>SCALA</v>
          </cell>
          <cell r="B15416" t="str">
            <v>AP17-1900AWS/065</v>
          </cell>
          <cell r="O15416"/>
          <cell r="T15416"/>
        </row>
        <row r="15417">
          <cell r="A15417" t="str">
            <v>SCALA</v>
          </cell>
          <cell r="B15417" t="str">
            <v>AP170900-090-DT2</v>
          </cell>
          <cell r="O15417"/>
          <cell r="T15417"/>
        </row>
        <row r="15418">
          <cell r="A15418" t="str">
            <v>SCALA</v>
          </cell>
          <cell r="B15418" t="str">
            <v>AP171190009DDT2</v>
          </cell>
          <cell r="O15418"/>
          <cell r="T15418"/>
        </row>
        <row r="15419">
          <cell r="A15419" t="str">
            <v>SCALA</v>
          </cell>
          <cell r="B15419" t="str">
            <v>AP171800CD</v>
          </cell>
          <cell r="O15419"/>
          <cell r="T15419"/>
        </row>
        <row r="15420">
          <cell r="A15420" t="str">
            <v>SCALA</v>
          </cell>
          <cell r="B15420" t="str">
            <v>AP171900-090DDT2</v>
          </cell>
          <cell r="O15420"/>
          <cell r="T15420"/>
        </row>
        <row r="15421">
          <cell r="A15421" t="str">
            <v>SCALA</v>
          </cell>
          <cell r="B15421" t="str">
            <v>AP171900/090D/DT</v>
          </cell>
          <cell r="O15421"/>
          <cell r="T15421"/>
        </row>
        <row r="15422">
          <cell r="A15422" t="str">
            <v>SCALA</v>
          </cell>
          <cell r="B15422" t="str">
            <v>AP171900090DDT2</v>
          </cell>
          <cell r="O15422"/>
          <cell r="T15422"/>
        </row>
        <row r="15423">
          <cell r="A15423" t="str">
            <v>SCALA</v>
          </cell>
          <cell r="B15423" t="str">
            <v>AP171900DT2</v>
          </cell>
          <cell r="O15423"/>
          <cell r="T15423"/>
        </row>
        <row r="15424">
          <cell r="A15424" t="str">
            <v>SCALA</v>
          </cell>
          <cell r="B15424" t="str">
            <v>AP1763-DT2</v>
          </cell>
          <cell r="O15424"/>
          <cell r="T15424"/>
        </row>
        <row r="15425">
          <cell r="A15425" t="str">
            <v>SCALA</v>
          </cell>
          <cell r="B15425" t="str">
            <v>AP18</v>
          </cell>
          <cell r="O15425"/>
          <cell r="T15425"/>
        </row>
        <row r="15426">
          <cell r="A15426" t="str">
            <v>SCALA</v>
          </cell>
          <cell r="B15426" t="str">
            <v>AP18-063DPT2</v>
          </cell>
          <cell r="O15426"/>
          <cell r="T15426"/>
        </row>
        <row r="15427">
          <cell r="A15427" t="str">
            <v>SCALA</v>
          </cell>
          <cell r="B15427" t="str">
            <v>AP18-1500/63DT2</v>
          </cell>
          <cell r="O15427"/>
          <cell r="T15427"/>
        </row>
        <row r="15428">
          <cell r="A15428" t="str">
            <v>SCALA</v>
          </cell>
          <cell r="B15428" t="str">
            <v>AP18-1850/033D</v>
          </cell>
          <cell r="O15428"/>
          <cell r="T15428"/>
        </row>
        <row r="15429">
          <cell r="A15429" t="str">
            <v>SCALA</v>
          </cell>
          <cell r="B15429" t="str">
            <v>AP18-1900</v>
          </cell>
          <cell r="O15429"/>
          <cell r="T15429"/>
        </row>
        <row r="15430">
          <cell r="A15430" t="str">
            <v>SCALA</v>
          </cell>
          <cell r="B15430" t="str">
            <v>AP18-1900-063</v>
          </cell>
          <cell r="O15430"/>
          <cell r="T15430"/>
        </row>
        <row r="15431">
          <cell r="A15431" t="str">
            <v>SCALA</v>
          </cell>
          <cell r="B15431" t="str">
            <v>AP18-1900-063D-D</v>
          </cell>
          <cell r="O15431"/>
          <cell r="T15431"/>
        </row>
        <row r="15432">
          <cell r="A15432" t="str">
            <v>SCALA</v>
          </cell>
          <cell r="B15432" t="str">
            <v>AP18-1900-063P</v>
          </cell>
          <cell r="O15432"/>
          <cell r="T15432"/>
        </row>
        <row r="15433">
          <cell r="A15433" t="str">
            <v>SCALA</v>
          </cell>
          <cell r="B15433" t="str">
            <v>AP18-1900-090D</v>
          </cell>
          <cell r="O15433"/>
          <cell r="T15433"/>
        </row>
        <row r="15434">
          <cell r="A15434" t="str">
            <v>SCALA</v>
          </cell>
          <cell r="B15434" t="str">
            <v>AP18-1900-1063</v>
          </cell>
          <cell r="O15434"/>
          <cell r="T15434"/>
        </row>
        <row r="15435">
          <cell r="A15435" t="str">
            <v>SCALA</v>
          </cell>
          <cell r="B15435" t="str">
            <v>AP18-1900-63D</v>
          </cell>
          <cell r="O15435"/>
          <cell r="T15435"/>
        </row>
        <row r="15436">
          <cell r="A15436" t="str">
            <v>SCALA</v>
          </cell>
          <cell r="B15436" t="str">
            <v>AP18-1900/063/DT</v>
          </cell>
          <cell r="O15436"/>
          <cell r="T15436"/>
        </row>
        <row r="15437">
          <cell r="A15437" t="str">
            <v>SCALA</v>
          </cell>
          <cell r="B15437" t="str">
            <v>AP18-1900/063D</v>
          </cell>
          <cell r="O15437">
            <v>2.6868526090000002</v>
          </cell>
          <cell r="T15437">
            <v>0.74760765500000004</v>
          </cell>
        </row>
        <row r="15438">
          <cell r="A15438" t="str">
            <v>SCALA</v>
          </cell>
          <cell r="B15438" t="str">
            <v>AP18-1900/063D/D</v>
          </cell>
          <cell r="O15438"/>
          <cell r="T15438"/>
        </row>
        <row r="15439">
          <cell r="A15439" t="str">
            <v>SCALA</v>
          </cell>
          <cell r="B15439" t="str">
            <v>AP18-1900/063D/DT2</v>
          </cell>
          <cell r="O15439">
            <v>2.6868526090000002</v>
          </cell>
          <cell r="T15439">
            <v>0.74760765500000004</v>
          </cell>
        </row>
        <row r="15440">
          <cell r="A15440" t="str">
            <v>SCALA</v>
          </cell>
          <cell r="B15440" t="str">
            <v>AP18-1900/063DT2</v>
          </cell>
          <cell r="O15440"/>
          <cell r="T15440"/>
        </row>
        <row r="15441">
          <cell r="A15441" t="str">
            <v>SCALA</v>
          </cell>
          <cell r="B15441" t="str">
            <v>AP18-1900/065D/XP</v>
          </cell>
          <cell r="O15441"/>
          <cell r="T15441"/>
        </row>
        <row r="15442">
          <cell r="A15442" t="str">
            <v>SCALA</v>
          </cell>
          <cell r="B15442" t="str">
            <v>AP18-1900/080D</v>
          </cell>
          <cell r="O15442"/>
          <cell r="T15442"/>
        </row>
        <row r="15443">
          <cell r="A15443" t="str">
            <v>SCALA</v>
          </cell>
          <cell r="B15443" t="str">
            <v>AP18-1900/083D</v>
          </cell>
          <cell r="O15443"/>
          <cell r="T15443"/>
        </row>
        <row r="15444">
          <cell r="A15444" t="str">
            <v>SCALA</v>
          </cell>
          <cell r="B15444" t="str">
            <v>AP18-1900/0900</v>
          </cell>
          <cell r="O15444"/>
          <cell r="T15444"/>
        </row>
        <row r="15445">
          <cell r="A15445" t="str">
            <v>SCALA</v>
          </cell>
          <cell r="B15445" t="str">
            <v>AP18-1900/090D</v>
          </cell>
          <cell r="O15445">
            <v>4.4738824899999994</v>
          </cell>
          <cell r="T15445">
            <v>1.4169202589999998</v>
          </cell>
        </row>
        <row r="15446">
          <cell r="A15446" t="str">
            <v>SCALA</v>
          </cell>
          <cell r="B15446" t="str">
            <v>AP18-1900/090D/D</v>
          </cell>
          <cell r="O15446"/>
          <cell r="T15446"/>
        </row>
        <row r="15447">
          <cell r="A15447" t="str">
            <v>SCALA</v>
          </cell>
          <cell r="B15447" t="str">
            <v>AP18-1900/090D/DT2</v>
          </cell>
          <cell r="O15447">
            <v>4.4738824899999994</v>
          </cell>
          <cell r="T15447">
            <v>1.4169202589999998</v>
          </cell>
        </row>
        <row r="15448">
          <cell r="A15448" t="str">
            <v>SCALA</v>
          </cell>
          <cell r="B15448" t="str">
            <v>AP18-1900/63DT2</v>
          </cell>
          <cell r="O15448"/>
          <cell r="T15448"/>
        </row>
        <row r="15449">
          <cell r="A15449" t="str">
            <v>SCALA</v>
          </cell>
          <cell r="B15449" t="str">
            <v>AP18-1900063DDT2</v>
          </cell>
          <cell r="O15449"/>
          <cell r="T15449"/>
        </row>
        <row r="15450">
          <cell r="A15450" t="str">
            <v>SCALA</v>
          </cell>
          <cell r="B15450" t="str">
            <v>AP18-1900DT2</v>
          </cell>
          <cell r="O15450"/>
          <cell r="T15450"/>
        </row>
        <row r="15451">
          <cell r="A15451" t="str">
            <v>SCALA</v>
          </cell>
          <cell r="B15451" t="str">
            <v>AP18-2400-18D</v>
          </cell>
          <cell r="O15451"/>
          <cell r="T15451"/>
        </row>
        <row r="15452">
          <cell r="A15452" t="str">
            <v>SCALA</v>
          </cell>
          <cell r="B15452" t="str">
            <v>AP18/1900/063D/</v>
          </cell>
          <cell r="O15452"/>
          <cell r="T15452"/>
        </row>
        <row r="15453">
          <cell r="A15453" t="str">
            <v>SCALA</v>
          </cell>
          <cell r="B15453" t="str">
            <v>AP18/1900/063D/D</v>
          </cell>
          <cell r="O15453"/>
          <cell r="T15453"/>
        </row>
        <row r="15454">
          <cell r="A15454" t="str">
            <v>SCALA</v>
          </cell>
          <cell r="B15454" t="str">
            <v>AP18/1900/090D</v>
          </cell>
          <cell r="O15454"/>
          <cell r="T15454"/>
        </row>
        <row r="15455">
          <cell r="A15455" t="str">
            <v>SCALA</v>
          </cell>
          <cell r="B15455" t="str">
            <v>AP18/2400</v>
          </cell>
          <cell r="O15455"/>
          <cell r="T15455"/>
        </row>
        <row r="15456">
          <cell r="A15456" t="str">
            <v>SCALA</v>
          </cell>
          <cell r="B15456" t="str">
            <v>AP181900-063D</v>
          </cell>
          <cell r="O15456"/>
          <cell r="T15456"/>
        </row>
        <row r="15457">
          <cell r="A15457" t="str">
            <v>SCALA</v>
          </cell>
          <cell r="B15457" t="str">
            <v>AP181900/063/DT2</v>
          </cell>
          <cell r="O15457"/>
          <cell r="T15457"/>
        </row>
        <row r="15458">
          <cell r="A15458" t="str">
            <v>SCALA</v>
          </cell>
          <cell r="B15458" t="str">
            <v>AP181900/063D</v>
          </cell>
          <cell r="O15458"/>
          <cell r="T15458"/>
        </row>
        <row r="15459">
          <cell r="A15459" t="str">
            <v>SCALA</v>
          </cell>
          <cell r="B15459" t="str">
            <v>AP181900/063D/DT</v>
          </cell>
          <cell r="O15459"/>
          <cell r="T15459"/>
        </row>
        <row r="15460">
          <cell r="A15460" t="str">
            <v>SCALA</v>
          </cell>
          <cell r="B15460" t="str">
            <v>AP181900/090D</v>
          </cell>
          <cell r="O15460"/>
          <cell r="T15460"/>
        </row>
        <row r="15461">
          <cell r="A15461" t="str">
            <v>SCALA</v>
          </cell>
          <cell r="B15461" t="str">
            <v>AP181900063DDT2</v>
          </cell>
          <cell r="O15461"/>
          <cell r="T15461"/>
        </row>
        <row r="15462">
          <cell r="A15462" t="str">
            <v>SCALA</v>
          </cell>
          <cell r="B15462" t="str">
            <v>AP18190090DDT2</v>
          </cell>
          <cell r="O15462"/>
          <cell r="T15462"/>
        </row>
        <row r="15463">
          <cell r="A15463" t="str">
            <v>SCALA</v>
          </cell>
          <cell r="B15463" t="str">
            <v>AP18900063DDT2</v>
          </cell>
          <cell r="O15463"/>
          <cell r="T15463"/>
        </row>
        <row r="15464">
          <cell r="A15464" t="str">
            <v>SCALA</v>
          </cell>
          <cell r="B15464" t="str">
            <v>AP19-1900</v>
          </cell>
          <cell r="O15464"/>
          <cell r="T15464"/>
        </row>
        <row r="15465">
          <cell r="A15465" t="str">
            <v>SCALA</v>
          </cell>
          <cell r="B15465" t="str">
            <v>AP19-1940/065D/ADT/XP</v>
          </cell>
          <cell r="O15465"/>
          <cell r="T15465"/>
        </row>
        <row r="15466">
          <cell r="A15466" t="str">
            <v>SCALA</v>
          </cell>
          <cell r="B15466" t="str">
            <v>AP20-1850/033D</v>
          </cell>
          <cell r="O15466"/>
          <cell r="T15466"/>
        </row>
        <row r="15467">
          <cell r="A15467" t="str">
            <v>SCALA</v>
          </cell>
          <cell r="B15467" t="str">
            <v>AP20-1900-063D</v>
          </cell>
          <cell r="O15467"/>
          <cell r="T15467"/>
        </row>
        <row r="15468">
          <cell r="A15468" t="str">
            <v>SCALA</v>
          </cell>
          <cell r="B15468" t="str">
            <v>AP20-1900/063D</v>
          </cell>
          <cell r="O15468">
            <v>4.113655800439469</v>
          </cell>
          <cell r="T15468">
            <v>1.14488327571925</v>
          </cell>
        </row>
        <row r="15469">
          <cell r="A15469" t="str">
            <v>SCALA</v>
          </cell>
          <cell r="B15469" t="str">
            <v>AP20-1900/063D/DT2</v>
          </cell>
          <cell r="O15469">
            <v>4.113655800439469</v>
          </cell>
          <cell r="T15469">
            <v>1.14488327571925</v>
          </cell>
        </row>
        <row r="15470">
          <cell r="A15470" t="str">
            <v>SCALA</v>
          </cell>
          <cell r="B15470" t="str">
            <v>AP20-1900/063DT2</v>
          </cell>
          <cell r="O15470"/>
          <cell r="T15470"/>
        </row>
        <row r="15471">
          <cell r="A15471" t="str">
            <v>SCALA</v>
          </cell>
          <cell r="B15471" t="str">
            <v>AP20-1900063DDT2</v>
          </cell>
          <cell r="O15471"/>
          <cell r="T15471"/>
        </row>
        <row r="15472">
          <cell r="A15472" t="str">
            <v>SCALA</v>
          </cell>
          <cell r="B15472" t="str">
            <v>AP20-1940/045D/ADT/XP</v>
          </cell>
          <cell r="O15472">
            <v>3.530694591</v>
          </cell>
          <cell r="T15472">
            <v>1.219212838</v>
          </cell>
        </row>
        <row r="15473">
          <cell r="A15473" t="str">
            <v>SCALA</v>
          </cell>
          <cell r="B15473" t="str">
            <v>AP20-21900-0630</v>
          </cell>
          <cell r="O15473"/>
          <cell r="T15473"/>
        </row>
        <row r="15474">
          <cell r="A15474" t="str">
            <v>SCALA</v>
          </cell>
          <cell r="B15474" t="str">
            <v>AP21-1850/033D</v>
          </cell>
          <cell r="O15474"/>
          <cell r="T15474"/>
        </row>
        <row r="15475">
          <cell r="A15475" t="str">
            <v>SCALA</v>
          </cell>
          <cell r="B15475" t="str">
            <v>AP21-1900/065D</v>
          </cell>
          <cell r="O15475"/>
          <cell r="T15475"/>
        </row>
        <row r="15476">
          <cell r="A15476" t="str">
            <v>SCALA</v>
          </cell>
          <cell r="B15476" t="str">
            <v>AP22-1850/033D</v>
          </cell>
          <cell r="O15476">
            <v>7.1370544130000004</v>
          </cell>
          <cell r="T15476">
            <v>1.6465026880000002</v>
          </cell>
        </row>
        <row r="15477">
          <cell r="A15477" t="str">
            <v>SCALA</v>
          </cell>
          <cell r="B15477" t="str">
            <v>AP23-1900</v>
          </cell>
          <cell r="O15477"/>
          <cell r="T15477"/>
        </row>
        <row r="15478">
          <cell r="A15478" t="str">
            <v>SCALA</v>
          </cell>
          <cell r="B15478" t="str">
            <v>AP5-850/090</v>
          </cell>
          <cell r="O15478">
            <v>0.89284835309619504</v>
          </cell>
          <cell r="T15478">
            <v>0.36737153310038001</v>
          </cell>
        </row>
        <row r="15479">
          <cell r="A15479" t="str">
            <v>SCALA</v>
          </cell>
          <cell r="B15479" t="str">
            <v>AP5-850/105N</v>
          </cell>
          <cell r="O15479">
            <v>0.89284835309619504</v>
          </cell>
          <cell r="T15479">
            <v>0.36737153310038001</v>
          </cell>
        </row>
        <row r="15480">
          <cell r="A15480" t="str">
            <v>SCALA</v>
          </cell>
          <cell r="B15480" t="str">
            <v>AP8-850/105</v>
          </cell>
          <cell r="O15480"/>
          <cell r="T15480"/>
        </row>
        <row r="15481">
          <cell r="A15481" t="str">
            <v>SCALA</v>
          </cell>
          <cell r="B15481" t="str">
            <v>AP8-850/105N</v>
          </cell>
          <cell r="O15481"/>
          <cell r="T15481"/>
        </row>
        <row r="15482">
          <cell r="A15482" t="str">
            <v>SCALA</v>
          </cell>
          <cell r="B15482" t="str">
            <v>APL16-850/065D</v>
          </cell>
          <cell r="O15482"/>
          <cell r="T15482"/>
        </row>
        <row r="15483">
          <cell r="A15483" t="str">
            <v>SCALA</v>
          </cell>
          <cell r="B15483" t="str">
            <v>APT17-1800</v>
          </cell>
          <cell r="O15483"/>
          <cell r="T15483"/>
        </row>
        <row r="15484">
          <cell r="A15484" t="str">
            <v>SCALA</v>
          </cell>
          <cell r="B15484" t="str">
            <v>APT18-1900DT2</v>
          </cell>
          <cell r="O15484"/>
          <cell r="T15484"/>
        </row>
        <row r="15485">
          <cell r="A15485" t="str">
            <v>SCALA</v>
          </cell>
          <cell r="B15485" t="str">
            <v>BP11-875</v>
          </cell>
          <cell r="O15485"/>
          <cell r="T15485"/>
        </row>
        <row r="15486">
          <cell r="A15486" t="str">
            <v>SCALA</v>
          </cell>
          <cell r="B15486" t="str">
            <v>CA-2CP</v>
          </cell>
          <cell r="O15486"/>
          <cell r="T15486"/>
        </row>
        <row r="15487">
          <cell r="A15487" t="str">
            <v>SCALA</v>
          </cell>
          <cell r="B15487" t="str">
            <v>CA2-FM/CP</v>
          </cell>
          <cell r="O15487"/>
          <cell r="T15487"/>
        </row>
        <row r="15488">
          <cell r="A15488" t="str">
            <v>SCALA</v>
          </cell>
          <cell r="B15488" t="str">
            <v>CL-1469</v>
          </cell>
          <cell r="O15488"/>
          <cell r="T15488"/>
        </row>
        <row r="15489">
          <cell r="A15489" t="str">
            <v>SCALA</v>
          </cell>
          <cell r="B15489" t="str">
            <v>CL-1483</v>
          </cell>
          <cell r="O15489"/>
          <cell r="T15489"/>
        </row>
        <row r="15490">
          <cell r="A15490" t="str">
            <v>SCALA</v>
          </cell>
          <cell r="B15490" t="str">
            <v>CL-24/HCM</v>
          </cell>
          <cell r="O15490"/>
          <cell r="T15490"/>
        </row>
        <row r="15491">
          <cell r="A15491" t="str">
            <v>SCALA</v>
          </cell>
          <cell r="B15491" t="str">
            <v>CL-24/HRM</v>
          </cell>
          <cell r="O15491"/>
          <cell r="T15491"/>
        </row>
        <row r="15492">
          <cell r="A15492" t="str">
            <v>SCALA</v>
          </cell>
          <cell r="B15492" t="str">
            <v>CL-900A</v>
          </cell>
          <cell r="O15492"/>
          <cell r="T15492"/>
        </row>
        <row r="15493">
          <cell r="A15493" t="str">
            <v>SCALA</v>
          </cell>
          <cell r="B15493" t="str">
            <v>CL-FM-SRM-SV</v>
          </cell>
          <cell r="O15493"/>
          <cell r="T15493"/>
        </row>
        <row r="15494">
          <cell r="A15494" t="str">
            <v>SCALA</v>
          </cell>
          <cell r="B15494" t="str">
            <v>CL-FM/VRM</v>
          </cell>
          <cell r="O15494"/>
          <cell r="T15494"/>
        </row>
        <row r="15495">
          <cell r="A15495" t="str">
            <v>SCALA</v>
          </cell>
          <cell r="B15495" t="str">
            <v>CL-FM/VRM/50N</v>
          </cell>
          <cell r="O15495"/>
          <cell r="T15495"/>
        </row>
        <row r="15496">
          <cell r="A15496" t="str">
            <v>SCALA</v>
          </cell>
          <cell r="B15496" t="str">
            <v>CL-FMRX/VRM</v>
          </cell>
          <cell r="O15496"/>
          <cell r="T15496"/>
        </row>
        <row r="15497">
          <cell r="A15497" t="str">
            <v>SCALA</v>
          </cell>
          <cell r="B15497" t="str">
            <v>DGB9-900D/DT3</v>
          </cell>
          <cell r="O15497"/>
          <cell r="T15497"/>
        </row>
        <row r="15498">
          <cell r="A15498" t="str">
            <v>SCALA</v>
          </cell>
          <cell r="B15498" t="str">
            <v>DGP8-901N</v>
          </cell>
          <cell r="O15498"/>
          <cell r="T15498"/>
        </row>
        <row r="15499">
          <cell r="A15499" t="str">
            <v>SCALA</v>
          </cell>
          <cell r="B15499" t="str">
            <v>FMVMP-1</v>
          </cell>
          <cell r="O15499"/>
          <cell r="T15499"/>
        </row>
        <row r="15500">
          <cell r="A15500" t="str">
            <v>SCALA</v>
          </cell>
          <cell r="B15500" t="str">
            <v>GP8-901N</v>
          </cell>
          <cell r="O15500"/>
          <cell r="T15500"/>
        </row>
        <row r="15501">
          <cell r="A15501" t="str">
            <v>SCALA</v>
          </cell>
          <cell r="B15501" t="str">
            <v>HDB-155</v>
          </cell>
          <cell r="O15501"/>
          <cell r="T15501"/>
        </row>
        <row r="15502">
          <cell r="A15502" t="str">
            <v>SCALA</v>
          </cell>
          <cell r="B15502" t="str">
            <v>HDCA-10/HCM</v>
          </cell>
          <cell r="O15502"/>
          <cell r="T15502"/>
        </row>
        <row r="15503">
          <cell r="A15503" t="str">
            <v>SCALA</v>
          </cell>
          <cell r="B15503" t="str">
            <v>HDCA-10/HRM</v>
          </cell>
          <cell r="O15503"/>
          <cell r="T15503"/>
        </row>
        <row r="15504">
          <cell r="A15504" t="str">
            <v>SCALA</v>
          </cell>
          <cell r="B15504" t="str">
            <v>HDCA-5</v>
          </cell>
          <cell r="O15504"/>
          <cell r="T15504"/>
        </row>
        <row r="15505">
          <cell r="A15505" t="str">
            <v>SCALA</v>
          </cell>
          <cell r="B15505" t="str">
            <v>HDCA-5CP/RM</v>
          </cell>
          <cell r="O15505"/>
          <cell r="T15505"/>
        </row>
        <row r="15506">
          <cell r="A15506" t="str">
            <v>SCALA</v>
          </cell>
          <cell r="B15506" t="str">
            <v>KT740-198R2</v>
          </cell>
          <cell r="O15506"/>
          <cell r="T15506"/>
        </row>
        <row r="15507">
          <cell r="A15507" t="str">
            <v>SCALA</v>
          </cell>
          <cell r="B15507" t="str">
            <v>KT740198</v>
          </cell>
          <cell r="O15507"/>
          <cell r="T15507"/>
        </row>
        <row r="15508">
          <cell r="A15508" t="str">
            <v>SCALA</v>
          </cell>
          <cell r="B15508" t="str">
            <v>L732261</v>
          </cell>
          <cell r="O15508"/>
          <cell r="T15508"/>
        </row>
        <row r="15509">
          <cell r="A15509" t="str">
            <v>SCALA</v>
          </cell>
          <cell r="B15509" t="str">
            <v>MF-900B</v>
          </cell>
          <cell r="O15509"/>
          <cell r="T15509"/>
        </row>
        <row r="15510">
          <cell r="A15510" t="str">
            <v>SCALA</v>
          </cell>
          <cell r="B15510" t="str">
            <v>MF-950B</v>
          </cell>
          <cell r="O15510"/>
          <cell r="T15510"/>
        </row>
        <row r="15511">
          <cell r="A15511" t="str">
            <v>SCALA</v>
          </cell>
          <cell r="B15511" t="str">
            <v>MNAP-17-1900DT2</v>
          </cell>
          <cell r="O15511"/>
          <cell r="T15511"/>
        </row>
        <row r="15512">
          <cell r="A15512" t="str">
            <v>SCALA</v>
          </cell>
          <cell r="B15512" t="str">
            <v>OGB12-1900D</v>
          </cell>
          <cell r="O15512"/>
          <cell r="T15512"/>
        </row>
        <row r="15513">
          <cell r="A15513" t="str">
            <v>SCALA</v>
          </cell>
          <cell r="B15513" t="str">
            <v>OGB4-900D</v>
          </cell>
          <cell r="O15513"/>
          <cell r="T15513"/>
        </row>
        <row r="15514">
          <cell r="A15514" t="str">
            <v>SCALA</v>
          </cell>
          <cell r="B15514" t="str">
            <v>OGB6-460</v>
          </cell>
          <cell r="O15514"/>
          <cell r="T15514"/>
        </row>
        <row r="15515">
          <cell r="A15515" t="str">
            <v>SCALA</v>
          </cell>
          <cell r="B15515" t="str">
            <v>OGB6-900</v>
          </cell>
          <cell r="O15515"/>
          <cell r="T15515"/>
        </row>
        <row r="15516">
          <cell r="A15516" t="str">
            <v>SCALA</v>
          </cell>
          <cell r="B15516" t="str">
            <v>OGB6-928N</v>
          </cell>
          <cell r="O15516"/>
          <cell r="T15516"/>
        </row>
        <row r="15517">
          <cell r="A15517" t="str">
            <v>SCALA</v>
          </cell>
          <cell r="B15517" t="str">
            <v>OGB9-900</v>
          </cell>
          <cell r="O15517"/>
          <cell r="T15517"/>
        </row>
        <row r="15518">
          <cell r="A15518" t="str">
            <v>SCALA</v>
          </cell>
          <cell r="B15518" t="str">
            <v>OGB9-900-DT3</v>
          </cell>
          <cell r="O15518"/>
          <cell r="T15518"/>
        </row>
        <row r="15519">
          <cell r="A15519" t="str">
            <v>SCALA</v>
          </cell>
          <cell r="B15519" t="str">
            <v>OGB9-900-N</v>
          </cell>
          <cell r="O15519"/>
          <cell r="T15519"/>
        </row>
        <row r="15520">
          <cell r="A15520" t="str">
            <v>SCALA</v>
          </cell>
          <cell r="B15520" t="str">
            <v>OGB9-900D</v>
          </cell>
          <cell r="O15520"/>
          <cell r="T15520"/>
        </row>
        <row r="15521">
          <cell r="A15521" t="str">
            <v>SCALA</v>
          </cell>
          <cell r="B15521" t="str">
            <v>OGB9-900K</v>
          </cell>
          <cell r="O15521"/>
          <cell r="T15521"/>
        </row>
        <row r="15522">
          <cell r="A15522" t="str">
            <v>SCALA</v>
          </cell>
          <cell r="B15522" t="str">
            <v>OGB9-900N</v>
          </cell>
          <cell r="O15522"/>
          <cell r="T15522"/>
        </row>
        <row r="15523">
          <cell r="A15523" t="str">
            <v>SCALA</v>
          </cell>
          <cell r="B15523" t="str">
            <v>OGB9-915</v>
          </cell>
          <cell r="O15523"/>
          <cell r="T15523"/>
        </row>
        <row r="15524">
          <cell r="A15524" t="str">
            <v>SCALA</v>
          </cell>
          <cell r="B15524" t="str">
            <v>OGB9-9OON</v>
          </cell>
          <cell r="O15524"/>
          <cell r="T15524"/>
        </row>
        <row r="15525">
          <cell r="A15525" t="str">
            <v>SCALA</v>
          </cell>
          <cell r="B15525" t="str">
            <v>OGBC-825</v>
          </cell>
          <cell r="O15525"/>
          <cell r="T15525"/>
        </row>
        <row r="15526">
          <cell r="A15526" t="str">
            <v>SCALA</v>
          </cell>
          <cell r="B15526" t="str">
            <v>OGBC625</v>
          </cell>
          <cell r="O15526"/>
          <cell r="T15526"/>
        </row>
        <row r="15527">
          <cell r="A15527" t="str">
            <v>SCALA</v>
          </cell>
          <cell r="B15527" t="str">
            <v>OGC6-825</v>
          </cell>
          <cell r="O15527"/>
          <cell r="T15527"/>
        </row>
        <row r="15528">
          <cell r="A15528" t="str">
            <v>SCALA</v>
          </cell>
          <cell r="B15528" t="str">
            <v>OGC9-825</v>
          </cell>
          <cell r="O15528"/>
          <cell r="T15528"/>
        </row>
        <row r="15529">
          <cell r="A15529" t="str">
            <v>SCALA</v>
          </cell>
          <cell r="B15529" t="str">
            <v>OGC9-825D</v>
          </cell>
          <cell r="O15529"/>
          <cell r="T15529"/>
        </row>
        <row r="15530">
          <cell r="A15530" t="str">
            <v>SCALA</v>
          </cell>
          <cell r="B15530" t="str">
            <v>OGC9-825DU</v>
          </cell>
          <cell r="O15530"/>
          <cell r="T15530"/>
        </row>
        <row r="15531">
          <cell r="A15531" t="str">
            <v>SCALA</v>
          </cell>
          <cell r="B15531" t="str">
            <v>OGC9-825N</v>
          </cell>
          <cell r="O15531"/>
          <cell r="T15531"/>
        </row>
        <row r="15532">
          <cell r="A15532" t="str">
            <v>SCALA</v>
          </cell>
          <cell r="B15532" t="str">
            <v>OGC9-825NRFL-2</v>
          </cell>
          <cell r="O15532"/>
          <cell r="T15532"/>
        </row>
        <row r="15533">
          <cell r="A15533" t="str">
            <v>SCALA</v>
          </cell>
          <cell r="B15533" t="str">
            <v>OGC9-825NU</v>
          </cell>
          <cell r="O15533"/>
          <cell r="T15533"/>
        </row>
        <row r="15534">
          <cell r="A15534" t="str">
            <v>SCALA</v>
          </cell>
          <cell r="B15534" t="str">
            <v>OGC9-825RFL</v>
          </cell>
          <cell r="O15534"/>
          <cell r="T15534"/>
        </row>
        <row r="15535">
          <cell r="A15535" t="str">
            <v>SCALA</v>
          </cell>
          <cell r="B15535" t="str">
            <v>OGC9-825RFL-2</v>
          </cell>
          <cell r="O15535"/>
          <cell r="T15535"/>
        </row>
        <row r="15536">
          <cell r="A15536" t="str">
            <v>SCALA</v>
          </cell>
          <cell r="B15536" t="str">
            <v>OGC9-825RFL-5/8</v>
          </cell>
          <cell r="O15536"/>
          <cell r="T15536"/>
        </row>
        <row r="15537">
          <cell r="A15537" t="str">
            <v>SCALA</v>
          </cell>
          <cell r="B15537" t="str">
            <v>OGC9-82NV</v>
          </cell>
          <cell r="O15537"/>
          <cell r="T15537"/>
        </row>
        <row r="15538">
          <cell r="A15538" t="str">
            <v>SCALA</v>
          </cell>
          <cell r="B15538" t="str">
            <v>OGC9-853NU</v>
          </cell>
          <cell r="O15538"/>
          <cell r="T15538"/>
        </row>
        <row r="15539">
          <cell r="A15539" t="str">
            <v>SCALA</v>
          </cell>
          <cell r="B15539" t="str">
            <v>OGC9-860</v>
          </cell>
          <cell r="O15539"/>
          <cell r="T15539"/>
        </row>
        <row r="15540">
          <cell r="A15540" t="str">
            <v>SCALA</v>
          </cell>
          <cell r="B15540" t="str">
            <v>OGC9-860-NRFL</v>
          </cell>
          <cell r="O15540"/>
          <cell r="T15540"/>
        </row>
        <row r="15541">
          <cell r="A15541" t="str">
            <v>SCALA</v>
          </cell>
          <cell r="B15541" t="str">
            <v>OGC9-860N</v>
          </cell>
          <cell r="O15541"/>
          <cell r="T15541"/>
        </row>
        <row r="15542">
          <cell r="A15542" t="str">
            <v>SCALA</v>
          </cell>
          <cell r="B15542" t="str">
            <v>OGC9-860N-RFL5/8</v>
          </cell>
          <cell r="O15542"/>
          <cell r="T15542"/>
        </row>
        <row r="15543">
          <cell r="A15543" t="str">
            <v>SCALA</v>
          </cell>
          <cell r="B15543" t="str">
            <v>OGC9-860RFL200</v>
          </cell>
          <cell r="O15543"/>
          <cell r="T15543"/>
        </row>
        <row r="15544">
          <cell r="A15544" t="str">
            <v>SCALA</v>
          </cell>
          <cell r="B15544" t="str">
            <v>OGC9-90ON</v>
          </cell>
          <cell r="O15544"/>
          <cell r="T15544"/>
        </row>
        <row r="15545">
          <cell r="A15545" t="str">
            <v>SCALA</v>
          </cell>
          <cell r="B15545" t="str">
            <v>OGCU-025(740-21)</v>
          </cell>
          <cell r="O15545"/>
          <cell r="T15545"/>
        </row>
        <row r="15546">
          <cell r="A15546" t="str">
            <v>SCALA</v>
          </cell>
          <cell r="B15546" t="str">
            <v>OGD6-905/945</v>
          </cell>
          <cell r="O15546"/>
          <cell r="T15546"/>
        </row>
        <row r="15547">
          <cell r="A15547" t="str">
            <v>SCALA</v>
          </cell>
          <cell r="B15547" t="str">
            <v>OGP-901N</v>
          </cell>
          <cell r="O15547"/>
          <cell r="T15547"/>
        </row>
        <row r="15548">
          <cell r="A15548" t="str">
            <v>SCALA</v>
          </cell>
          <cell r="B15548" t="str">
            <v>OGP6-901N</v>
          </cell>
          <cell r="O15548"/>
          <cell r="T15548"/>
        </row>
        <row r="15549">
          <cell r="A15549" t="str">
            <v>SCALA</v>
          </cell>
          <cell r="B15549" t="str">
            <v>OGP8-901</v>
          </cell>
          <cell r="O15549"/>
          <cell r="T15549"/>
        </row>
        <row r="15550">
          <cell r="A15550" t="str">
            <v>SCALA</v>
          </cell>
          <cell r="B15550" t="str">
            <v>OGP8-901N</v>
          </cell>
          <cell r="O15550"/>
          <cell r="T15550"/>
        </row>
        <row r="15551">
          <cell r="A15551" t="str">
            <v>SCALA</v>
          </cell>
          <cell r="B15551" t="str">
            <v>OGP8-90IN</v>
          </cell>
          <cell r="O15551"/>
          <cell r="T15551"/>
        </row>
        <row r="15552">
          <cell r="A15552" t="str">
            <v>SCALA</v>
          </cell>
          <cell r="B15552" t="str">
            <v>OGP8-910NU</v>
          </cell>
          <cell r="O15552"/>
          <cell r="T15552"/>
        </row>
        <row r="15553">
          <cell r="A15553" t="str">
            <v>SCALA</v>
          </cell>
          <cell r="B15553" t="str">
            <v>OGP9-930</v>
          </cell>
          <cell r="O15553"/>
          <cell r="T15553"/>
        </row>
        <row r="15554">
          <cell r="A15554" t="str">
            <v>SCALA</v>
          </cell>
          <cell r="B15554" t="str">
            <v>OGPC 8250</v>
          </cell>
          <cell r="O15554"/>
          <cell r="T15554"/>
        </row>
        <row r="15555">
          <cell r="A15555" t="str">
            <v>SCALA</v>
          </cell>
          <cell r="B15555" t="str">
            <v>OGPH-901N</v>
          </cell>
          <cell r="O15555"/>
          <cell r="T15555"/>
        </row>
        <row r="15556">
          <cell r="A15556" t="str">
            <v>SCALA</v>
          </cell>
          <cell r="B15556" t="str">
            <v>OGT9-840</v>
          </cell>
          <cell r="O15556"/>
          <cell r="T15556"/>
        </row>
        <row r="15557">
          <cell r="A15557" t="str">
            <v>SCALA</v>
          </cell>
          <cell r="B15557" t="str">
            <v>PR-460</v>
          </cell>
          <cell r="O15557"/>
          <cell r="T15557"/>
        </row>
        <row r="15558">
          <cell r="A15558" t="str">
            <v>SCALA</v>
          </cell>
          <cell r="B15558" t="str">
            <v>PR-850</v>
          </cell>
          <cell r="O15558"/>
          <cell r="T15558"/>
        </row>
        <row r="15559">
          <cell r="A15559" t="str">
            <v>SCALA</v>
          </cell>
          <cell r="B15559" t="str">
            <v>PR-900</v>
          </cell>
          <cell r="O15559"/>
          <cell r="T15559"/>
        </row>
        <row r="15560">
          <cell r="A15560" t="str">
            <v>SCALA</v>
          </cell>
          <cell r="B15560" t="str">
            <v>PR-950</v>
          </cell>
          <cell r="O15560"/>
          <cell r="T15560"/>
        </row>
        <row r="15561">
          <cell r="A15561" t="str">
            <v>SCALA</v>
          </cell>
          <cell r="B15561" t="str">
            <v>PRBB850</v>
          </cell>
          <cell r="O15561"/>
          <cell r="T15561"/>
        </row>
        <row r="15562">
          <cell r="A15562" t="str">
            <v>SCALA</v>
          </cell>
          <cell r="B15562" t="str">
            <v>PRF-900</v>
          </cell>
          <cell r="O15562"/>
          <cell r="T15562"/>
        </row>
        <row r="15563">
          <cell r="A15563" t="str">
            <v>SCALA</v>
          </cell>
          <cell r="B15563" t="str">
            <v>PRF950</v>
          </cell>
          <cell r="O15563"/>
          <cell r="T15563"/>
        </row>
        <row r="15564">
          <cell r="A15564" t="str">
            <v>SCALA</v>
          </cell>
          <cell r="B15564" t="str">
            <v>RA5-400B_20180130</v>
          </cell>
          <cell r="O15564"/>
          <cell r="T15564"/>
        </row>
        <row r="15565">
          <cell r="A15565" t="str">
            <v>SCALA</v>
          </cell>
          <cell r="B15565" t="str">
            <v>RY-860A</v>
          </cell>
          <cell r="O15565"/>
          <cell r="T15565"/>
        </row>
        <row r="15566">
          <cell r="A15566" t="str">
            <v>SCALA</v>
          </cell>
          <cell r="B15566" t="str">
            <v>RY-900A</v>
          </cell>
          <cell r="O15566"/>
          <cell r="T15566"/>
        </row>
        <row r="15567">
          <cell r="A15567" t="str">
            <v>SCALA</v>
          </cell>
          <cell r="B15567" t="str">
            <v>SCALA</v>
          </cell>
          <cell r="O15567"/>
          <cell r="T15567"/>
        </row>
        <row r="15568">
          <cell r="A15568" t="str">
            <v>SCALA</v>
          </cell>
          <cell r="B15568" t="str">
            <v>SET811503-WHIP</v>
          </cell>
          <cell r="O15568"/>
          <cell r="T15568"/>
        </row>
        <row r="15569">
          <cell r="A15569" t="str">
            <v>SCALA</v>
          </cell>
          <cell r="B15569" t="str">
            <v>SL-8</v>
          </cell>
          <cell r="O15569"/>
          <cell r="T15569"/>
        </row>
        <row r="15570">
          <cell r="A15570" t="str">
            <v>SCALA</v>
          </cell>
          <cell r="B15570" t="str">
            <v>SL11-840/UT4</v>
          </cell>
          <cell r="O15570"/>
          <cell r="T15570"/>
        </row>
        <row r="15571">
          <cell r="A15571" t="str">
            <v>SCALA</v>
          </cell>
          <cell r="B15571" t="str">
            <v>SL11-850/UT1.5</v>
          </cell>
          <cell r="O15571"/>
          <cell r="T15571"/>
        </row>
        <row r="15572">
          <cell r="A15572" t="str">
            <v>SCALA</v>
          </cell>
          <cell r="B15572" t="str">
            <v>SL11-885/DT4U</v>
          </cell>
          <cell r="O15572"/>
          <cell r="T15572"/>
        </row>
        <row r="15573">
          <cell r="A15573" t="str">
            <v>SCALA</v>
          </cell>
          <cell r="B15573" t="str">
            <v>SL11-940/DT2</v>
          </cell>
          <cell r="O15573"/>
          <cell r="T15573"/>
        </row>
        <row r="15574">
          <cell r="A15574" t="str">
            <v>SCALA</v>
          </cell>
          <cell r="B15574" t="str">
            <v>SP18-1900/090D</v>
          </cell>
          <cell r="O15574"/>
          <cell r="T15574"/>
        </row>
        <row r="15575">
          <cell r="A15575" t="str">
            <v>SCALA</v>
          </cell>
          <cell r="B15575" t="str">
            <v>SSI800285O622</v>
          </cell>
          <cell r="O15575"/>
          <cell r="T15575"/>
        </row>
        <row r="15576">
          <cell r="A15576" t="str">
            <v>SCALA</v>
          </cell>
          <cell r="B15576" t="str">
            <v>SSI800289G172</v>
          </cell>
          <cell r="O15576"/>
          <cell r="T15576"/>
        </row>
        <row r="15577">
          <cell r="A15577" t="str">
            <v>SCALA</v>
          </cell>
          <cell r="B15577" t="str">
            <v>SSI800368Y456</v>
          </cell>
          <cell r="O15577"/>
          <cell r="T15577"/>
        </row>
        <row r="15578">
          <cell r="A15578" t="str">
            <v>SCALA</v>
          </cell>
          <cell r="B15578" t="str">
            <v>SSI800368Y480</v>
          </cell>
          <cell r="O15578"/>
          <cell r="T15578"/>
        </row>
        <row r="15579">
          <cell r="A15579" t="str">
            <v>SCALA</v>
          </cell>
          <cell r="B15579" t="str">
            <v>SSI800426Y10</v>
          </cell>
          <cell r="O15579"/>
          <cell r="T15579"/>
        </row>
        <row r="15580">
          <cell r="A15580" t="str">
            <v>SCALA</v>
          </cell>
          <cell r="B15580" t="str">
            <v>SSI805167-5OMNI</v>
          </cell>
          <cell r="O15580"/>
          <cell r="T15580"/>
        </row>
        <row r="15581">
          <cell r="A15581" t="str">
            <v>SCALA</v>
          </cell>
          <cell r="B15581" t="str">
            <v>SSI805182P261_4</v>
          </cell>
          <cell r="O15581"/>
          <cell r="T15581"/>
        </row>
        <row r="15582">
          <cell r="A15582" t="str">
            <v>SCALA</v>
          </cell>
          <cell r="B15582" t="str">
            <v>SSI805182P261_5</v>
          </cell>
          <cell r="O15582"/>
          <cell r="T15582"/>
        </row>
        <row r="15583">
          <cell r="A15583" t="str">
            <v>SCALA</v>
          </cell>
          <cell r="B15583" t="str">
            <v>SSI805182P261_6</v>
          </cell>
          <cell r="O15583"/>
          <cell r="T15583"/>
        </row>
        <row r="15584">
          <cell r="A15584" t="str">
            <v>SCALA</v>
          </cell>
          <cell r="B15584" t="str">
            <v>SSI805182P261_7</v>
          </cell>
          <cell r="O15584"/>
          <cell r="T15584"/>
        </row>
        <row r="15585">
          <cell r="A15585" t="str">
            <v>SCALA</v>
          </cell>
          <cell r="B15585" t="str">
            <v>SSI805182P261_8</v>
          </cell>
          <cell r="O15585"/>
          <cell r="T15585"/>
        </row>
        <row r="15586">
          <cell r="A15586" t="str">
            <v>SCALA</v>
          </cell>
          <cell r="B15586" t="str">
            <v>SSI805182P261_9</v>
          </cell>
          <cell r="O15586"/>
          <cell r="T15586"/>
        </row>
        <row r="15587">
          <cell r="A15587" t="str">
            <v>SCALA</v>
          </cell>
          <cell r="B15587" t="str">
            <v>SSI805185O399_9</v>
          </cell>
          <cell r="O15587"/>
          <cell r="T15587"/>
        </row>
        <row r="15588">
          <cell r="A15588" t="str">
            <v>SCALA</v>
          </cell>
          <cell r="B15588" t="str">
            <v>SSI805185O446_2</v>
          </cell>
          <cell r="O15588"/>
          <cell r="T15588"/>
        </row>
        <row r="15589">
          <cell r="A15589" t="str">
            <v>SCALA</v>
          </cell>
          <cell r="B15589" t="str">
            <v>SSI805203O445_30</v>
          </cell>
          <cell r="O15589"/>
          <cell r="T15589"/>
        </row>
        <row r="15590">
          <cell r="A15590" t="str">
            <v>SCALA</v>
          </cell>
          <cell r="B15590" t="str">
            <v>SSI805203O494_20</v>
          </cell>
          <cell r="O15590"/>
          <cell r="T15590"/>
        </row>
        <row r="15591">
          <cell r="A15591" t="str">
            <v>SCALA</v>
          </cell>
          <cell r="B15591" t="str">
            <v>SSI805238O414_5</v>
          </cell>
          <cell r="O15591"/>
          <cell r="T15591"/>
        </row>
        <row r="15592">
          <cell r="A15592" t="str">
            <v>SCALA</v>
          </cell>
          <cell r="B15592" t="str">
            <v>SSI805262O178</v>
          </cell>
          <cell r="O15592"/>
          <cell r="T15592"/>
        </row>
        <row r="15593">
          <cell r="A15593" t="str">
            <v>SCALA</v>
          </cell>
          <cell r="B15593" t="str">
            <v>SSI805262O403_22</v>
          </cell>
          <cell r="O15593"/>
          <cell r="T15593"/>
        </row>
        <row r="15594">
          <cell r="A15594" t="str">
            <v>SCALA</v>
          </cell>
          <cell r="B15594" t="str">
            <v>SSI805262O403_24</v>
          </cell>
          <cell r="O15594"/>
          <cell r="T15594"/>
        </row>
        <row r="15595">
          <cell r="A15595" t="str">
            <v>SCALA</v>
          </cell>
          <cell r="B15595" t="str">
            <v>SSI805281G180</v>
          </cell>
          <cell r="O15595"/>
          <cell r="T15595"/>
        </row>
        <row r="15596">
          <cell r="A15596" t="str">
            <v>SCALA</v>
          </cell>
          <cell r="B15596" t="str">
            <v>SSI805622O462</v>
          </cell>
          <cell r="O15596"/>
          <cell r="T15596"/>
        </row>
        <row r="15597">
          <cell r="A15597" t="str">
            <v>SCALA</v>
          </cell>
          <cell r="B15597" t="str">
            <v>SSI805622O526_8</v>
          </cell>
          <cell r="O15597"/>
          <cell r="T15597"/>
        </row>
        <row r="15598">
          <cell r="A15598" t="str">
            <v>SCALA</v>
          </cell>
          <cell r="B15598" t="str">
            <v>SSI805622O531</v>
          </cell>
          <cell r="O15598"/>
          <cell r="T15598"/>
        </row>
        <row r="15599">
          <cell r="A15599" t="str">
            <v>SCALA</v>
          </cell>
          <cell r="B15599" t="str">
            <v>SSI805658O122_7</v>
          </cell>
          <cell r="O15599"/>
          <cell r="T15599"/>
        </row>
        <row r="15600">
          <cell r="A15600" t="str">
            <v>SCALA</v>
          </cell>
          <cell r="B15600" t="str">
            <v>SSI806888-15</v>
          </cell>
          <cell r="O15600"/>
          <cell r="T15600"/>
        </row>
        <row r="15601">
          <cell r="A15601" t="str">
            <v>SCALA</v>
          </cell>
          <cell r="B15601" t="str">
            <v>SSI807109-15OMNI</v>
          </cell>
          <cell r="O15601"/>
          <cell r="T15601"/>
        </row>
        <row r="15602">
          <cell r="A15602" t="str">
            <v>SCALA</v>
          </cell>
          <cell r="B15602" t="str">
            <v>SSI807113-13OMNI</v>
          </cell>
          <cell r="O15602"/>
          <cell r="T15602"/>
        </row>
        <row r="15603">
          <cell r="A15603" t="str">
            <v>SCALA</v>
          </cell>
          <cell r="B15603" t="str">
            <v>SSI807148-4.66PA</v>
          </cell>
          <cell r="O15603"/>
          <cell r="T15603"/>
        </row>
        <row r="15604">
          <cell r="A15604" t="str">
            <v>SCALA</v>
          </cell>
          <cell r="B15604" t="str">
            <v>SSI807175-14OMNI</v>
          </cell>
          <cell r="O15604"/>
          <cell r="T15604"/>
        </row>
        <row r="15605">
          <cell r="A15605" t="str">
            <v>SCALA</v>
          </cell>
          <cell r="B15605" t="str">
            <v>SSI809000P136</v>
          </cell>
          <cell r="O15605"/>
          <cell r="T15605"/>
        </row>
        <row r="15606">
          <cell r="A15606" t="str">
            <v>SCALA</v>
          </cell>
          <cell r="B15606" t="str">
            <v>SSI809299O150</v>
          </cell>
          <cell r="O15606"/>
          <cell r="T15606"/>
        </row>
        <row r="15607">
          <cell r="A15607" t="str">
            <v>SCALA</v>
          </cell>
          <cell r="B15607" t="str">
            <v>SSI811285-PANEL</v>
          </cell>
          <cell r="O15607"/>
          <cell r="T15607"/>
        </row>
        <row r="15608">
          <cell r="A15608" t="str">
            <v>SCALA</v>
          </cell>
          <cell r="B15608" t="str">
            <v>SSI811557P145</v>
          </cell>
          <cell r="O15608"/>
          <cell r="T15608"/>
        </row>
        <row r="15609">
          <cell r="A15609" t="str">
            <v>SCALA</v>
          </cell>
          <cell r="B15609" t="str">
            <v>SSI811678-10OMNI</v>
          </cell>
          <cell r="O15609"/>
          <cell r="T15609"/>
        </row>
        <row r="15610">
          <cell r="A15610" t="str">
            <v>SCALA</v>
          </cell>
          <cell r="B15610" t="str">
            <v>SSI812328P181</v>
          </cell>
          <cell r="O15610"/>
          <cell r="T15610"/>
        </row>
        <row r="15611">
          <cell r="A15611" t="str">
            <v>SCALA</v>
          </cell>
          <cell r="B15611" t="str">
            <v>SSI812380-12WHIP</v>
          </cell>
          <cell r="O15611"/>
          <cell r="T15611"/>
        </row>
        <row r="15612">
          <cell r="A15612" t="str">
            <v>SCALA</v>
          </cell>
          <cell r="B15612" t="str">
            <v>SSI812511-10</v>
          </cell>
          <cell r="O15612"/>
          <cell r="T15612"/>
        </row>
        <row r="15613">
          <cell r="A15613" t="str">
            <v>SCALA</v>
          </cell>
          <cell r="B15613" t="str">
            <v>SSI812515-15WHIP</v>
          </cell>
          <cell r="O15613"/>
          <cell r="T15613"/>
        </row>
        <row r="15614">
          <cell r="A15614" t="str">
            <v>SCALA</v>
          </cell>
          <cell r="B15614" t="str">
            <v>SSI813127P210</v>
          </cell>
          <cell r="O15614"/>
          <cell r="T15614"/>
        </row>
        <row r="15615">
          <cell r="A15615" t="str">
            <v>SCALA</v>
          </cell>
          <cell r="B15615" t="str">
            <v>SSI813300P127</v>
          </cell>
          <cell r="O15615"/>
          <cell r="T15615"/>
        </row>
        <row r="15616">
          <cell r="A15616" t="str">
            <v>SCALA</v>
          </cell>
          <cell r="B15616" t="str">
            <v>SSI813362P207</v>
          </cell>
          <cell r="O15616"/>
          <cell r="T15616"/>
        </row>
        <row r="15617">
          <cell r="A15617" t="str">
            <v>SCALA</v>
          </cell>
          <cell r="B15617" t="str">
            <v>SSI813477P272</v>
          </cell>
          <cell r="O15617"/>
          <cell r="T15617"/>
        </row>
        <row r="15618">
          <cell r="A15618" t="str">
            <v>SCALA</v>
          </cell>
          <cell r="B15618" t="str">
            <v>SSI814230O184</v>
          </cell>
          <cell r="O15618"/>
          <cell r="T15618"/>
        </row>
        <row r="15619">
          <cell r="A15619" t="str">
            <v>SCALA</v>
          </cell>
          <cell r="B15619" t="str">
            <v>SSI814735O283</v>
          </cell>
          <cell r="O15619"/>
          <cell r="T15619"/>
        </row>
        <row r="15620">
          <cell r="A15620" t="str">
            <v>SCALA</v>
          </cell>
          <cell r="B15620" t="str">
            <v>SSI814783O186</v>
          </cell>
          <cell r="O15620"/>
          <cell r="T15620"/>
        </row>
        <row r="15621">
          <cell r="A15621" t="str">
            <v>SCALA</v>
          </cell>
          <cell r="B15621" t="str">
            <v>SSI815118O259</v>
          </cell>
          <cell r="O15621"/>
          <cell r="T15621"/>
        </row>
        <row r="15622">
          <cell r="A15622" t="str">
            <v>SCALA</v>
          </cell>
          <cell r="B15622" t="str">
            <v>SSI815332X282</v>
          </cell>
          <cell r="O15622"/>
          <cell r="T15622"/>
        </row>
        <row r="15623">
          <cell r="A15623" t="str">
            <v>SCALA</v>
          </cell>
          <cell r="B15623" t="str">
            <v>SSI815513O284_1</v>
          </cell>
          <cell r="O15623"/>
          <cell r="T15623"/>
        </row>
        <row r="15624">
          <cell r="A15624" t="str">
            <v>SCALA</v>
          </cell>
          <cell r="B15624" t="str">
            <v>SSI815513O284_5</v>
          </cell>
          <cell r="O15624"/>
          <cell r="T15624"/>
        </row>
        <row r="15625">
          <cell r="A15625" t="str">
            <v>SCALA</v>
          </cell>
          <cell r="B15625" t="str">
            <v>SSI815513O284_9</v>
          </cell>
          <cell r="O15625"/>
          <cell r="T15625"/>
        </row>
        <row r="15626">
          <cell r="A15626" t="str">
            <v>SCALA</v>
          </cell>
          <cell r="B15626" t="str">
            <v>SSI815696O281</v>
          </cell>
          <cell r="O15626"/>
          <cell r="T15626"/>
        </row>
        <row r="15627">
          <cell r="A15627" t="str">
            <v>SCALA</v>
          </cell>
          <cell r="B15627" t="str">
            <v>SSI815756O167</v>
          </cell>
          <cell r="O15627"/>
          <cell r="T15627"/>
        </row>
        <row r="15628">
          <cell r="A15628" t="str">
            <v>SCALA</v>
          </cell>
          <cell r="B15628" t="str">
            <v>SSI816297O200</v>
          </cell>
          <cell r="O15628"/>
          <cell r="T15628"/>
        </row>
        <row r="15629">
          <cell r="A15629" t="str">
            <v>SCALA</v>
          </cell>
          <cell r="B15629" t="str">
            <v>SSI816309-10WHIP</v>
          </cell>
          <cell r="O15629"/>
          <cell r="T15629"/>
        </row>
        <row r="15630">
          <cell r="A15630" t="str">
            <v>SCALA</v>
          </cell>
          <cell r="B15630" t="str">
            <v>SSI849884O71</v>
          </cell>
          <cell r="O15630"/>
          <cell r="T15630"/>
        </row>
        <row r="15631">
          <cell r="A15631" t="str">
            <v>SCALA</v>
          </cell>
          <cell r="B15631" t="str">
            <v>TB-5D</v>
          </cell>
          <cell r="O15631"/>
          <cell r="T15631"/>
        </row>
        <row r="15632">
          <cell r="A15632" t="str">
            <v>SCALA</v>
          </cell>
          <cell r="B15632" t="str">
            <v>TV 900</v>
          </cell>
          <cell r="O15632"/>
          <cell r="T15632"/>
        </row>
        <row r="15633">
          <cell r="A15633" t="str">
            <v>SCALA</v>
          </cell>
          <cell r="B15633" t="str">
            <v>TY-840</v>
          </cell>
          <cell r="O15633"/>
          <cell r="T15633"/>
        </row>
        <row r="15634">
          <cell r="A15634" t="str">
            <v>SCALA</v>
          </cell>
          <cell r="B15634" t="str">
            <v>TY-900</v>
          </cell>
          <cell r="O15634"/>
          <cell r="T15634"/>
        </row>
        <row r="15635">
          <cell r="A15635" t="str">
            <v>SCALA</v>
          </cell>
          <cell r="B15635" t="str">
            <v>YA7-155</v>
          </cell>
          <cell r="O15635"/>
          <cell r="T15635"/>
        </row>
        <row r="15636">
          <cell r="A15636" t="str">
            <v>SCAN-ANTENNA</v>
          </cell>
          <cell r="B15636" t="str">
            <v>BY600-12G_20250821</v>
          </cell>
          <cell r="O15636"/>
          <cell r="T15636"/>
        </row>
        <row r="15637">
          <cell r="A15637" t="str">
            <v>SCHWEITZER ENGINEERING LABORATORIES INC</v>
          </cell>
          <cell r="B15637" t="str">
            <v>SEL-9524 GNSS</v>
          </cell>
          <cell r="O15637"/>
          <cell r="T15637"/>
        </row>
        <row r="15638">
          <cell r="A15638" t="str">
            <v>SENSIS</v>
          </cell>
          <cell r="B15638" t="str">
            <v>AS-177/UPX</v>
          </cell>
          <cell r="O15638"/>
          <cell r="T15638"/>
        </row>
        <row r="15639">
          <cell r="A15639" t="str">
            <v>SHAKESPEARE</v>
          </cell>
          <cell r="B15639" t="str">
            <v>5101</v>
          </cell>
          <cell r="O15639"/>
          <cell r="T15639"/>
        </row>
        <row r="15640">
          <cell r="A15640" t="str">
            <v>SHAKESPEARE</v>
          </cell>
          <cell r="B15640" t="str">
            <v>HS-2774</v>
          </cell>
          <cell r="O15640"/>
          <cell r="T15640"/>
        </row>
        <row r="15641">
          <cell r="A15641" t="str">
            <v>SHENGLU</v>
          </cell>
          <cell r="B15641" t="str">
            <v>SL12432A</v>
          </cell>
          <cell r="O15641"/>
          <cell r="T15641"/>
        </row>
        <row r="15642">
          <cell r="A15642" t="str">
            <v>SHENGLU</v>
          </cell>
          <cell r="B15642" t="str">
            <v>SLA0628S3S49A21</v>
          </cell>
          <cell r="O15642"/>
          <cell r="T15642"/>
        </row>
        <row r="15643">
          <cell r="A15643" t="str">
            <v>SHENGLU</v>
          </cell>
          <cell r="B15643" t="str">
            <v>SLM09D10D1808B20</v>
          </cell>
          <cell r="O15643"/>
          <cell r="T15643"/>
        </row>
        <row r="15644">
          <cell r="A15644" t="str">
            <v>SHENGLU</v>
          </cell>
          <cell r="B15644" t="str">
            <v>SLM12D10D1808B20_202411</v>
          </cell>
          <cell r="O15644"/>
          <cell r="T15644"/>
        </row>
        <row r="15645">
          <cell r="A15645" t="str">
            <v>SHIVELY LABS</v>
          </cell>
          <cell r="B15645" t="str">
            <v>6014-1</v>
          </cell>
          <cell r="O15645"/>
          <cell r="T15645"/>
        </row>
        <row r="15646">
          <cell r="A15646" t="str">
            <v>SHIVELY LABS</v>
          </cell>
          <cell r="B15646" t="str">
            <v>6014-1/3</v>
          </cell>
          <cell r="O15646"/>
          <cell r="T15646"/>
        </row>
        <row r="15647">
          <cell r="A15647" t="str">
            <v>SHIVELY LABS</v>
          </cell>
          <cell r="B15647" t="str">
            <v>6014-2</v>
          </cell>
          <cell r="O15647"/>
          <cell r="T15647"/>
        </row>
        <row r="15648">
          <cell r="A15648" t="str">
            <v>SHIVELY LABS</v>
          </cell>
          <cell r="B15648" t="str">
            <v>6014-3/3-.5SS</v>
          </cell>
          <cell r="O15648"/>
          <cell r="T15648"/>
        </row>
        <row r="15649">
          <cell r="A15649" t="str">
            <v>SHIVELY LABS</v>
          </cell>
          <cell r="B15649" t="str">
            <v>6014PB</v>
          </cell>
          <cell r="O15649"/>
          <cell r="T15649"/>
        </row>
        <row r="15650">
          <cell r="A15650" t="str">
            <v>SHIVELY LABS</v>
          </cell>
          <cell r="B15650" t="str">
            <v>6016-1/2</v>
          </cell>
          <cell r="O15650"/>
          <cell r="T15650"/>
        </row>
        <row r="15651">
          <cell r="A15651" t="str">
            <v>SHIVELY LABS</v>
          </cell>
          <cell r="B15651" t="str">
            <v>6016-1/4</v>
          </cell>
          <cell r="O15651"/>
          <cell r="T15651"/>
        </row>
        <row r="15652">
          <cell r="A15652" t="str">
            <v>SHIVELY LABS</v>
          </cell>
          <cell r="B15652" t="str">
            <v>6016-4</v>
          </cell>
          <cell r="O15652"/>
          <cell r="T15652"/>
        </row>
        <row r="15653">
          <cell r="A15653" t="str">
            <v>SHIVELY LABS</v>
          </cell>
          <cell r="B15653" t="str">
            <v>6018</v>
          </cell>
          <cell r="O15653"/>
          <cell r="T15653"/>
        </row>
        <row r="15654">
          <cell r="A15654" t="str">
            <v>SHIVELY LABS</v>
          </cell>
          <cell r="B15654" t="str">
            <v>6020</v>
          </cell>
          <cell r="O15654"/>
          <cell r="T15654"/>
        </row>
        <row r="15655">
          <cell r="A15655" t="str">
            <v>SHIVELY LABS</v>
          </cell>
          <cell r="B15655" t="str">
            <v>6025-1/1</v>
          </cell>
          <cell r="O15655">
            <v>0</v>
          </cell>
          <cell r="T15655"/>
        </row>
        <row r="15656">
          <cell r="A15656" t="str">
            <v>SHIVELY LABS</v>
          </cell>
          <cell r="B15656" t="str">
            <v>6025_CCIV2</v>
          </cell>
          <cell r="O15656"/>
          <cell r="T15656"/>
        </row>
        <row r="15657">
          <cell r="A15657" t="str">
            <v>SHIVELY LABS</v>
          </cell>
          <cell r="B15657" t="str">
            <v>6025_CCIV3</v>
          </cell>
          <cell r="O15657"/>
          <cell r="T15657"/>
        </row>
        <row r="15658">
          <cell r="A15658" t="str">
            <v>SHIVELY LABS</v>
          </cell>
          <cell r="B15658" t="str">
            <v>6510-2</v>
          </cell>
          <cell r="O15658"/>
          <cell r="T15658"/>
        </row>
        <row r="15659">
          <cell r="A15659" t="str">
            <v>SHIVELY LABS</v>
          </cell>
          <cell r="B15659" t="str">
            <v>6513-1</v>
          </cell>
          <cell r="O15659"/>
          <cell r="T15659"/>
        </row>
        <row r="15660">
          <cell r="A15660" t="str">
            <v>SHIVELY LABS</v>
          </cell>
          <cell r="B15660" t="str">
            <v>6513-2</v>
          </cell>
          <cell r="O15660"/>
          <cell r="T15660"/>
        </row>
        <row r="15661">
          <cell r="A15661" t="str">
            <v>SHIVELY LABS</v>
          </cell>
          <cell r="B15661" t="str">
            <v>6513-2-DA</v>
          </cell>
          <cell r="O15661"/>
          <cell r="T15661"/>
        </row>
        <row r="15662">
          <cell r="A15662" t="str">
            <v>SHIVELY LABS</v>
          </cell>
          <cell r="B15662" t="str">
            <v>6513-3</v>
          </cell>
          <cell r="O15662"/>
          <cell r="T15662"/>
        </row>
        <row r="15663">
          <cell r="A15663" t="str">
            <v>SHIVELY LABS</v>
          </cell>
          <cell r="B15663" t="str">
            <v>6513-FW-1</v>
          </cell>
          <cell r="O15663"/>
          <cell r="T15663"/>
        </row>
        <row r="15664">
          <cell r="A15664" t="str">
            <v>SHIVELY LABS</v>
          </cell>
          <cell r="B15664" t="str">
            <v>6600-4-FW</v>
          </cell>
          <cell r="O15664"/>
          <cell r="T15664"/>
        </row>
        <row r="15665">
          <cell r="A15665" t="str">
            <v>SHIVELY LABS</v>
          </cell>
          <cell r="B15665" t="str">
            <v>6600-6-FW</v>
          </cell>
          <cell r="O15665"/>
          <cell r="T15665"/>
        </row>
        <row r="15666">
          <cell r="A15666" t="str">
            <v>SHIVELY LABS</v>
          </cell>
          <cell r="B15666" t="str">
            <v>6810</v>
          </cell>
          <cell r="O15666"/>
          <cell r="T15666"/>
        </row>
        <row r="15667">
          <cell r="A15667" t="str">
            <v>SHIVELY LABS</v>
          </cell>
          <cell r="B15667" t="str">
            <v>6810-1</v>
          </cell>
          <cell r="O15667"/>
          <cell r="T15667"/>
        </row>
        <row r="15668">
          <cell r="A15668" t="str">
            <v>SHIVELY LABS</v>
          </cell>
          <cell r="B15668" t="str">
            <v>6810-14</v>
          </cell>
          <cell r="O15668"/>
          <cell r="T15668"/>
        </row>
        <row r="15669">
          <cell r="A15669" t="str">
            <v>SHIVELY LABS</v>
          </cell>
          <cell r="B15669" t="str">
            <v>6810-1R</v>
          </cell>
          <cell r="O15669"/>
          <cell r="T15669"/>
        </row>
        <row r="15670">
          <cell r="A15670" t="str">
            <v>SHIVELY LABS</v>
          </cell>
          <cell r="B15670" t="str">
            <v>6810-2</v>
          </cell>
          <cell r="O15670"/>
          <cell r="T15670"/>
        </row>
        <row r="15671">
          <cell r="A15671" t="str">
            <v>SHIVELY LABS</v>
          </cell>
          <cell r="B15671" t="str">
            <v>6810-2 W/RADOME</v>
          </cell>
          <cell r="O15671"/>
          <cell r="T15671"/>
        </row>
        <row r="15672">
          <cell r="A15672" t="str">
            <v>SHIVELY LABS</v>
          </cell>
          <cell r="B15672" t="str">
            <v>6810-2-HW W/RADOME</v>
          </cell>
          <cell r="O15672"/>
          <cell r="T15672"/>
        </row>
        <row r="15673">
          <cell r="A15673" t="str">
            <v>SHIVELY LABS</v>
          </cell>
          <cell r="B15673" t="str">
            <v>6810-2R-SS</v>
          </cell>
          <cell r="O15673"/>
          <cell r="T15673"/>
        </row>
        <row r="15674">
          <cell r="A15674" t="str">
            <v>SHIVELY LABS</v>
          </cell>
          <cell r="B15674" t="str">
            <v>6810-3</v>
          </cell>
          <cell r="O15674"/>
          <cell r="T15674"/>
        </row>
        <row r="15675">
          <cell r="A15675" t="str">
            <v>SHIVELY LABS</v>
          </cell>
          <cell r="B15675" t="str">
            <v>6810-3_W/RADOME</v>
          </cell>
          <cell r="O15675"/>
          <cell r="T15675"/>
        </row>
        <row r="15676">
          <cell r="A15676" t="str">
            <v>SHIVELY LABS</v>
          </cell>
          <cell r="B15676" t="str">
            <v>6810-4</v>
          </cell>
          <cell r="O15676"/>
          <cell r="T15676"/>
        </row>
        <row r="15677">
          <cell r="A15677" t="str">
            <v>SHIVELY LABS</v>
          </cell>
          <cell r="B15677" t="str">
            <v>6810-4R-SS-DA</v>
          </cell>
          <cell r="O15677"/>
          <cell r="T15677"/>
        </row>
        <row r="15678">
          <cell r="A15678" t="str">
            <v>SHIVELY LABS</v>
          </cell>
          <cell r="B15678" t="str">
            <v>6810-5</v>
          </cell>
          <cell r="O15678"/>
          <cell r="T15678"/>
        </row>
        <row r="15679">
          <cell r="A15679" t="str">
            <v>SHIVELY LABS</v>
          </cell>
          <cell r="B15679" t="str">
            <v>6810-5-HW_W/RADOME</v>
          </cell>
          <cell r="O15679"/>
          <cell r="T15679"/>
        </row>
        <row r="15680">
          <cell r="A15680" t="str">
            <v>SHIVELY LABS</v>
          </cell>
          <cell r="B15680" t="str">
            <v>6810-6</v>
          </cell>
          <cell r="O15680"/>
          <cell r="T15680"/>
        </row>
        <row r="15681">
          <cell r="A15681" t="str">
            <v>SHIVELY LABS</v>
          </cell>
          <cell r="B15681" t="str">
            <v>6810-8-HW W/RADOME</v>
          </cell>
          <cell r="O15681"/>
          <cell r="T15681"/>
        </row>
        <row r="15682">
          <cell r="A15682" t="str">
            <v>SHIVELY LABS</v>
          </cell>
          <cell r="B15682" t="str">
            <v>6812</v>
          </cell>
          <cell r="O15682"/>
          <cell r="T15682"/>
        </row>
        <row r="15683">
          <cell r="A15683" t="str">
            <v>SHIVELY LABS</v>
          </cell>
          <cell r="B15683" t="str">
            <v>6812-6</v>
          </cell>
          <cell r="O15683"/>
          <cell r="T15683"/>
        </row>
        <row r="15684">
          <cell r="A15684" t="str">
            <v>SHIVELY LABS</v>
          </cell>
          <cell r="B15684" t="str">
            <v>6812-C</v>
          </cell>
          <cell r="O15684"/>
          <cell r="T15684"/>
        </row>
        <row r="15685">
          <cell r="A15685" t="str">
            <v>SHIVELY LABS</v>
          </cell>
          <cell r="B15685" t="str">
            <v>6812B</v>
          </cell>
          <cell r="O15685"/>
          <cell r="T15685"/>
        </row>
        <row r="15686">
          <cell r="A15686" t="str">
            <v>SHIVELY LABS</v>
          </cell>
          <cell r="B15686" t="str">
            <v>6812B 2</v>
          </cell>
          <cell r="O15686"/>
          <cell r="T15686"/>
        </row>
        <row r="15687">
          <cell r="A15687" t="str">
            <v>SHIVELY LABS</v>
          </cell>
          <cell r="B15687" t="str">
            <v>6812B-1</v>
          </cell>
          <cell r="O15687"/>
          <cell r="T15687"/>
        </row>
        <row r="15688">
          <cell r="A15688" t="str">
            <v>SHIVELY LABS</v>
          </cell>
          <cell r="B15688" t="str">
            <v>6812B-1_20201103</v>
          </cell>
          <cell r="O15688">
            <v>0</v>
          </cell>
          <cell r="T15688">
            <v>0</v>
          </cell>
        </row>
        <row r="15689">
          <cell r="A15689" t="str">
            <v>SHIVELY LABS</v>
          </cell>
          <cell r="B15689" t="str">
            <v>6812B-2</v>
          </cell>
          <cell r="O15689"/>
          <cell r="T15689"/>
        </row>
        <row r="15690">
          <cell r="A15690" t="str">
            <v>SHIVELY LABS</v>
          </cell>
          <cell r="B15690" t="str">
            <v>6812B-2-HW</v>
          </cell>
          <cell r="O15690"/>
          <cell r="T15690"/>
        </row>
        <row r="15691">
          <cell r="A15691" t="str">
            <v>SHIVELY LABS</v>
          </cell>
          <cell r="B15691" t="str">
            <v>6812B-3</v>
          </cell>
          <cell r="O15691"/>
          <cell r="T15691"/>
        </row>
        <row r="15692">
          <cell r="A15692" t="str">
            <v>SHIVELY LABS</v>
          </cell>
          <cell r="B15692" t="str">
            <v>6812B-3-SS</v>
          </cell>
          <cell r="O15692"/>
          <cell r="T15692"/>
        </row>
        <row r="15693">
          <cell r="A15693" t="str">
            <v>SHIVELY LABS</v>
          </cell>
          <cell r="B15693" t="str">
            <v>6812B-5-FW</v>
          </cell>
          <cell r="O15693"/>
          <cell r="T15693"/>
        </row>
        <row r="15694">
          <cell r="A15694" t="str">
            <v>SHIVELY LABS</v>
          </cell>
          <cell r="B15694" t="str">
            <v>6812C-2 BAY</v>
          </cell>
          <cell r="O15694"/>
          <cell r="T15694"/>
        </row>
        <row r="15695">
          <cell r="A15695" t="str">
            <v>SHIVELY LABS</v>
          </cell>
          <cell r="B15695" t="str">
            <v>6812C-5-HW</v>
          </cell>
          <cell r="O15695"/>
          <cell r="T15695"/>
        </row>
        <row r="15696">
          <cell r="A15696" t="str">
            <v>SHIVELY LABS</v>
          </cell>
          <cell r="B15696" t="str">
            <v>6813</v>
          </cell>
          <cell r="O15696"/>
          <cell r="T15696"/>
        </row>
        <row r="15697">
          <cell r="A15697" t="str">
            <v>SHIVELY LABS</v>
          </cell>
          <cell r="B15697" t="str">
            <v>6813-2</v>
          </cell>
          <cell r="O15697"/>
          <cell r="T15697"/>
        </row>
        <row r="15698">
          <cell r="A15698" t="str">
            <v>SHIVELY LABS</v>
          </cell>
          <cell r="B15698" t="str">
            <v>6813-2 HW</v>
          </cell>
          <cell r="O15698"/>
          <cell r="T15698"/>
        </row>
        <row r="15699">
          <cell r="A15699" t="str">
            <v>SHIVELY LABS</v>
          </cell>
          <cell r="B15699" t="str">
            <v>6813-2-HW W/RADOME</v>
          </cell>
          <cell r="O15699"/>
          <cell r="T15699"/>
        </row>
        <row r="15700">
          <cell r="A15700" t="str">
            <v>SHIVELY LABS</v>
          </cell>
          <cell r="B15700" t="str">
            <v>6813-2R</v>
          </cell>
          <cell r="O15700"/>
          <cell r="T15700"/>
        </row>
        <row r="15701">
          <cell r="A15701" t="str">
            <v>SHIVELY LABS</v>
          </cell>
          <cell r="B15701" t="str">
            <v>6813-3</v>
          </cell>
          <cell r="O15701"/>
          <cell r="T15701"/>
        </row>
        <row r="15702">
          <cell r="A15702" t="str">
            <v>SHIVELY LABS</v>
          </cell>
          <cell r="B15702" t="str">
            <v>6813-3-HW</v>
          </cell>
          <cell r="O15702"/>
          <cell r="T15702"/>
        </row>
        <row r="15703">
          <cell r="A15703" t="str">
            <v>SHIVELY LABS</v>
          </cell>
          <cell r="B15703" t="str">
            <v>6813-3D</v>
          </cell>
          <cell r="O15703"/>
          <cell r="T15703"/>
        </row>
        <row r="15704">
          <cell r="A15704" t="str">
            <v>SHIVELY LABS</v>
          </cell>
          <cell r="B15704" t="str">
            <v>6813-4</v>
          </cell>
          <cell r="O15704"/>
          <cell r="T15704"/>
        </row>
        <row r="15705">
          <cell r="A15705" t="str">
            <v>SHIVELY LABS</v>
          </cell>
          <cell r="B15705" t="str">
            <v>6813-5</v>
          </cell>
          <cell r="O15705"/>
          <cell r="T15705"/>
        </row>
        <row r="15706">
          <cell r="A15706" t="str">
            <v>SHIVELY LABS</v>
          </cell>
          <cell r="B15706" t="str">
            <v>6813-5R</v>
          </cell>
          <cell r="O15706"/>
          <cell r="T15706"/>
        </row>
        <row r="15707">
          <cell r="A15707" t="str">
            <v>SHIVELY LABS</v>
          </cell>
          <cell r="B15707" t="str">
            <v>6813-7-HW</v>
          </cell>
          <cell r="O15707"/>
          <cell r="T15707"/>
        </row>
        <row r="15708">
          <cell r="A15708" t="str">
            <v>SHIVELY LABS</v>
          </cell>
          <cell r="B15708" t="str">
            <v>6813-8</v>
          </cell>
          <cell r="O15708"/>
          <cell r="T15708"/>
        </row>
        <row r="15709">
          <cell r="A15709" t="str">
            <v>SHIVELY LABS</v>
          </cell>
          <cell r="B15709" t="str">
            <v>6814</v>
          </cell>
          <cell r="O15709"/>
          <cell r="T15709"/>
        </row>
        <row r="15710">
          <cell r="A15710" t="str">
            <v>SHIVELY LABS</v>
          </cell>
          <cell r="B15710" t="str">
            <v>6814-12</v>
          </cell>
          <cell r="O15710"/>
          <cell r="T15710"/>
        </row>
        <row r="15711">
          <cell r="A15711" t="str">
            <v>SHIVELY LABS</v>
          </cell>
          <cell r="B15711" t="str">
            <v>6814-2</v>
          </cell>
          <cell r="O15711"/>
          <cell r="T15711"/>
        </row>
        <row r="15712">
          <cell r="A15712" t="str">
            <v>SHIVELY LABS</v>
          </cell>
          <cell r="B15712" t="str">
            <v>6814-6</v>
          </cell>
          <cell r="O15712"/>
          <cell r="T15712"/>
        </row>
        <row r="15713">
          <cell r="A15713" t="str">
            <v>SHIVELY LABS</v>
          </cell>
          <cell r="B15713" t="str">
            <v>6815-1</v>
          </cell>
          <cell r="O15713"/>
          <cell r="T15713"/>
        </row>
        <row r="15714">
          <cell r="A15714" t="str">
            <v>SHIVELY LABS</v>
          </cell>
          <cell r="B15714" t="str">
            <v>6815-1R</v>
          </cell>
          <cell r="O15714"/>
          <cell r="T15714"/>
        </row>
        <row r="15715">
          <cell r="A15715" t="str">
            <v>SHIVELY LABS</v>
          </cell>
          <cell r="B15715" t="str">
            <v>6815-3R_20250315</v>
          </cell>
          <cell r="O15715"/>
          <cell r="T15715"/>
        </row>
        <row r="15716">
          <cell r="A15716" t="str">
            <v>SHIVELY LABS</v>
          </cell>
          <cell r="B15716" t="str">
            <v>6822-1</v>
          </cell>
          <cell r="O15716"/>
          <cell r="T15716"/>
        </row>
        <row r="15717">
          <cell r="A15717" t="str">
            <v>SHIVELY LABS</v>
          </cell>
          <cell r="B15717" t="str">
            <v>6822-2</v>
          </cell>
          <cell r="O15717"/>
          <cell r="T15717"/>
        </row>
        <row r="15718">
          <cell r="A15718" t="str">
            <v>SHIVELY LABS</v>
          </cell>
          <cell r="B15718" t="str">
            <v>6828-2</v>
          </cell>
          <cell r="O15718"/>
          <cell r="T15718"/>
        </row>
        <row r="15719">
          <cell r="A15719" t="str">
            <v>SHIVELY LABS</v>
          </cell>
          <cell r="B15719" t="str">
            <v>6832-1</v>
          </cell>
          <cell r="O15719"/>
          <cell r="T15719"/>
        </row>
        <row r="15720">
          <cell r="A15720" t="str">
            <v>SHIVELY LABS</v>
          </cell>
          <cell r="B15720" t="str">
            <v>6832-2</v>
          </cell>
          <cell r="O15720"/>
          <cell r="T15720"/>
        </row>
        <row r="15721">
          <cell r="A15721" t="str">
            <v>SHIVELY LABS</v>
          </cell>
          <cell r="B15721" t="str">
            <v>6842-1</v>
          </cell>
          <cell r="O15721"/>
          <cell r="T15721"/>
        </row>
        <row r="15722">
          <cell r="A15722" t="str">
            <v>SHIVELY LABS</v>
          </cell>
          <cell r="B15722" t="str">
            <v>6842-2</v>
          </cell>
          <cell r="O15722"/>
          <cell r="T15722"/>
        </row>
        <row r="15723">
          <cell r="A15723" t="str">
            <v>SHIVELY LABS</v>
          </cell>
          <cell r="B15723" t="str">
            <v>SLV-1</v>
          </cell>
          <cell r="O15723"/>
          <cell r="T15723"/>
        </row>
        <row r="15724">
          <cell r="A15724" t="str">
            <v>SHIVELY LABS</v>
          </cell>
          <cell r="B15724" t="str">
            <v>SLV-2</v>
          </cell>
          <cell r="O15724"/>
          <cell r="T15724"/>
        </row>
        <row r="15725">
          <cell r="A15725" t="str">
            <v>SHIVELY LABS</v>
          </cell>
          <cell r="B15725" t="str">
            <v>SLV-4</v>
          </cell>
          <cell r="O15725"/>
          <cell r="T15725"/>
        </row>
        <row r="15726">
          <cell r="A15726" t="str">
            <v>SHIVELY LABS</v>
          </cell>
          <cell r="B15726" t="str">
            <v>W284AV</v>
          </cell>
          <cell r="O15726">
            <v>0</v>
          </cell>
          <cell r="T15726"/>
        </row>
        <row r="15727">
          <cell r="A15727" t="str">
            <v>SIAE MICROELETTRONICA</v>
          </cell>
          <cell r="B15727" t="str">
            <v>SB1-W800CSIA</v>
          </cell>
          <cell r="O15727"/>
          <cell r="T15727"/>
        </row>
        <row r="15728">
          <cell r="A15728" t="str">
            <v>SIAE MICROELETTRONICA</v>
          </cell>
          <cell r="B15728" t="str">
            <v>SLU0380DS6A</v>
          </cell>
          <cell r="O15728"/>
          <cell r="T15728"/>
        </row>
        <row r="15729">
          <cell r="A15729" t="str">
            <v>SIAE MICROELETTRONICA</v>
          </cell>
          <cell r="B15729" t="str">
            <v>SLU0680DS6</v>
          </cell>
          <cell r="O15729"/>
          <cell r="T15729"/>
        </row>
        <row r="15730">
          <cell r="A15730" t="str">
            <v>SIGFOX</v>
          </cell>
          <cell r="B15730" t="str">
            <v>CXL 900-3LW</v>
          </cell>
          <cell r="O15730"/>
          <cell r="T15730"/>
        </row>
        <row r="15731">
          <cell r="A15731" t="str">
            <v>SIGNALFIRE WIRELESS TELEMETRY</v>
          </cell>
          <cell r="B15731" t="str">
            <v>GATEWAY STICK</v>
          </cell>
          <cell r="O15731"/>
          <cell r="T15731"/>
        </row>
        <row r="15732">
          <cell r="A15732" t="str">
            <v>SIKLU</v>
          </cell>
          <cell r="B15732" t="str">
            <v>EH-1200-2FT</v>
          </cell>
          <cell r="O15732"/>
          <cell r="T15732"/>
        </row>
        <row r="15733">
          <cell r="A15733" t="str">
            <v>SIKLU</v>
          </cell>
          <cell r="B15733" t="str">
            <v>EH-1200FX-1FT</v>
          </cell>
          <cell r="O15733"/>
          <cell r="T15733"/>
        </row>
        <row r="15734">
          <cell r="A15734" t="str">
            <v>SIKLU</v>
          </cell>
          <cell r="B15734" t="str">
            <v>EH-1200FX-2FT</v>
          </cell>
          <cell r="O15734"/>
          <cell r="T15734"/>
        </row>
        <row r="15735">
          <cell r="A15735" t="str">
            <v>SIKLU</v>
          </cell>
          <cell r="B15735" t="str">
            <v>EH-1200FX_ODU_0.5FT</v>
          </cell>
          <cell r="O15735"/>
          <cell r="T15735"/>
        </row>
        <row r="15736">
          <cell r="A15736" t="str">
            <v>SIKLU</v>
          </cell>
          <cell r="B15736" t="str">
            <v>EH-1200FX_ODU_1FT</v>
          </cell>
          <cell r="O15736"/>
          <cell r="T15736"/>
        </row>
        <row r="15737">
          <cell r="A15737" t="str">
            <v>SIKLU</v>
          </cell>
          <cell r="B15737" t="str">
            <v>EH-1200FX_ODU_2FT</v>
          </cell>
          <cell r="O15737"/>
          <cell r="T15737"/>
        </row>
        <row r="15738">
          <cell r="A15738" t="str">
            <v>SIKLU</v>
          </cell>
          <cell r="B15738" t="str">
            <v>EH-1200F_ODU_0.5FT</v>
          </cell>
          <cell r="O15738"/>
          <cell r="T15738"/>
        </row>
        <row r="15739">
          <cell r="A15739" t="str">
            <v>SIKLU</v>
          </cell>
          <cell r="B15739" t="str">
            <v>EH-1200F_ODU_1FT</v>
          </cell>
          <cell r="O15739"/>
          <cell r="T15739"/>
        </row>
        <row r="15740">
          <cell r="A15740" t="str">
            <v>SIKLU</v>
          </cell>
          <cell r="B15740" t="str">
            <v>EH-1200F_ODU_2FT</v>
          </cell>
          <cell r="O15740"/>
          <cell r="T15740"/>
        </row>
        <row r="15741">
          <cell r="A15741" t="str">
            <v>SIKLU</v>
          </cell>
          <cell r="B15741" t="str">
            <v>EH-1200TX_ODU_0.5FT</v>
          </cell>
          <cell r="O15741"/>
          <cell r="T15741"/>
        </row>
        <row r="15742">
          <cell r="A15742" t="str">
            <v>SIKLU</v>
          </cell>
          <cell r="B15742" t="str">
            <v>EH-1200TX_ODU_1FT</v>
          </cell>
          <cell r="O15742"/>
          <cell r="T15742"/>
        </row>
        <row r="15743">
          <cell r="A15743" t="str">
            <v>SIKLU</v>
          </cell>
          <cell r="B15743" t="str">
            <v>EH-1200TX_ODU_2FT</v>
          </cell>
          <cell r="O15743"/>
          <cell r="T15743"/>
        </row>
        <row r="15744">
          <cell r="A15744" t="str">
            <v>SIKLU</v>
          </cell>
          <cell r="B15744" t="str">
            <v>EH-1200T_ODU_0.5FT</v>
          </cell>
          <cell r="O15744"/>
          <cell r="T15744"/>
        </row>
        <row r="15745">
          <cell r="A15745" t="str">
            <v>SIKLU</v>
          </cell>
          <cell r="B15745" t="str">
            <v>EH-1200T_ODU_1FT</v>
          </cell>
          <cell r="O15745"/>
          <cell r="T15745"/>
        </row>
        <row r="15746">
          <cell r="A15746" t="str">
            <v>SIKLU</v>
          </cell>
          <cell r="B15746" t="str">
            <v>EH-1200T_ODU_2FT</v>
          </cell>
          <cell r="O15746"/>
          <cell r="T15746"/>
        </row>
        <row r="15747">
          <cell r="A15747" t="str">
            <v>SIKLU</v>
          </cell>
          <cell r="B15747" t="str">
            <v>EH-2200FX</v>
          </cell>
          <cell r="O15747"/>
          <cell r="T15747"/>
        </row>
        <row r="15748">
          <cell r="A15748" t="str">
            <v>SIKLU</v>
          </cell>
          <cell r="B15748" t="str">
            <v>EH-2500F</v>
          </cell>
          <cell r="O15748"/>
          <cell r="T15748"/>
        </row>
        <row r="15749">
          <cell r="A15749" t="str">
            <v>SIKLU</v>
          </cell>
          <cell r="B15749" t="str">
            <v>EH-2500FX</v>
          </cell>
          <cell r="O15749"/>
          <cell r="T15749"/>
        </row>
        <row r="15750">
          <cell r="A15750" t="str">
            <v>SIKLU</v>
          </cell>
          <cell r="B15750" t="str">
            <v>EH-2X00</v>
          </cell>
          <cell r="O15750"/>
          <cell r="T15750"/>
        </row>
        <row r="15751">
          <cell r="A15751" t="str">
            <v>SIKLU</v>
          </cell>
          <cell r="B15751" t="str">
            <v>EH-2X00-1FT</v>
          </cell>
          <cell r="O15751"/>
          <cell r="T15751"/>
        </row>
        <row r="15752">
          <cell r="A15752" t="str">
            <v>SIKLU</v>
          </cell>
          <cell r="B15752" t="str">
            <v>EH-5500FD-1FT</v>
          </cell>
          <cell r="O15752"/>
          <cell r="T15752"/>
        </row>
        <row r="15753">
          <cell r="A15753" t="str">
            <v>SIKLU</v>
          </cell>
          <cell r="B15753" t="str">
            <v>EH-5500FD-2FT</v>
          </cell>
          <cell r="O15753"/>
          <cell r="T15753"/>
        </row>
        <row r="15754">
          <cell r="A15754" t="str">
            <v>SIKLU</v>
          </cell>
          <cell r="B15754" t="str">
            <v>EH-600T</v>
          </cell>
          <cell r="O15754">
            <v>0.38667097999163902</v>
          </cell>
          <cell r="T15754">
            <v>0.22855564318173291</v>
          </cell>
        </row>
        <row r="15755">
          <cell r="A15755" t="str">
            <v>SIKLU</v>
          </cell>
          <cell r="B15755" t="str">
            <v>EH-8010</v>
          </cell>
          <cell r="O15755"/>
          <cell r="T15755"/>
        </row>
        <row r="15756">
          <cell r="A15756" t="str">
            <v>SIKLU</v>
          </cell>
          <cell r="B15756" t="str">
            <v>EH-8010FX_0.5FT</v>
          </cell>
          <cell r="O15756"/>
          <cell r="T15756"/>
        </row>
        <row r="15757">
          <cell r="A15757" t="str">
            <v>SIKLU</v>
          </cell>
          <cell r="B15757" t="str">
            <v>EH-8010FX_1.0FT</v>
          </cell>
          <cell r="O15757"/>
          <cell r="T15757"/>
        </row>
        <row r="15758">
          <cell r="A15758" t="str">
            <v>SIKLU</v>
          </cell>
          <cell r="B15758" t="str">
            <v>EH-8010FX_2.0FT</v>
          </cell>
          <cell r="O15758"/>
          <cell r="T15758"/>
        </row>
        <row r="15759">
          <cell r="A15759" t="str">
            <v>SIKLU</v>
          </cell>
          <cell r="B15759" t="str">
            <v>EH-ANT-1ft-B</v>
          </cell>
          <cell r="O15759"/>
          <cell r="T15759"/>
        </row>
        <row r="15760">
          <cell r="A15760" t="str">
            <v>SIKLU</v>
          </cell>
          <cell r="B15760" t="str">
            <v>EH-ANT-2FT-B</v>
          </cell>
          <cell r="O15760"/>
          <cell r="T15760"/>
        </row>
        <row r="15761">
          <cell r="A15761" t="str">
            <v>SIKLU</v>
          </cell>
          <cell r="B15761" t="str">
            <v>EH-ANT-2FT-DL5</v>
          </cell>
          <cell r="O15761"/>
          <cell r="T15761"/>
        </row>
        <row r="15762">
          <cell r="A15762" t="str">
            <v>SIKLU</v>
          </cell>
          <cell r="B15762" t="str">
            <v>EH-ANT-2ft-DL18</v>
          </cell>
          <cell r="O15762"/>
          <cell r="T15762"/>
        </row>
        <row r="15763">
          <cell r="A15763" t="str">
            <v>SIKLU</v>
          </cell>
          <cell r="B15763" t="str">
            <v>EH-ANT-E-1ft-DL5</v>
          </cell>
          <cell r="O15763"/>
          <cell r="T15763"/>
        </row>
        <row r="15764">
          <cell r="A15764" t="str">
            <v>SIKLU</v>
          </cell>
          <cell r="B15764" t="str">
            <v>ETHERHAUL-1200</v>
          </cell>
          <cell r="O15764"/>
          <cell r="T15764"/>
        </row>
        <row r="15765">
          <cell r="A15765" t="str">
            <v>SIKLU</v>
          </cell>
          <cell r="B15765" t="str">
            <v>ETHERHAUL-8010FX-ODU-1FT</v>
          </cell>
          <cell r="O15765"/>
          <cell r="T15765"/>
        </row>
        <row r="15766">
          <cell r="A15766" t="str">
            <v>SIKLU</v>
          </cell>
          <cell r="B15766" t="str">
            <v>MILLIMETER WAVE DISH</v>
          </cell>
          <cell r="O15766"/>
          <cell r="T15766"/>
        </row>
        <row r="15767">
          <cell r="A15767" t="str">
            <v>SILICON SOLAR INC</v>
          </cell>
          <cell r="B15767" t="str">
            <v>SI 110</v>
          </cell>
          <cell r="O15767"/>
          <cell r="T15767"/>
        </row>
        <row r="15768">
          <cell r="A15768" t="str">
            <v>SINCLAIR</v>
          </cell>
          <cell r="B15768" t="str">
            <v>25RT488BDT2-2</v>
          </cell>
          <cell r="O15768"/>
          <cell r="T15768"/>
        </row>
        <row r="15769">
          <cell r="A15769" t="str">
            <v>SINCLAIR</v>
          </cell>
          <cell r="B15769" t="str">
            <v>320-3</v>
          </cell>
          <cell r="O15769"/>
          <cell r="T15769"/>
        </row>
        <row r="15770">
          <cell r="A15770" t="str">
            <v>SINCLAIR</v>
          </cell>
          <cell r="B15770" t="str">
            <v>410C4RXN</v>
          </cell>
          <cell r="O15770"/>
          <cell r="T15770"/>
        </row>
        <row r="15771">
          <cell r="A15771" t="str">
            <v>SINCLAIR</v>
          </cell>
          <cell r="B15771" t="str">
            <v>410C9RX</v>
          </cell>
          <cell r="O15771"/>
          <cell r="T15771"/>
        </row>
        <row r="15772">
          <cell r="A15772" t="str">
            <v>SINCLAIR</v>
          </cell>
          <cell r="B15772" t="str">
            <v>410C9RXN</v>
          </cell>
          <cell r="O15772"/>
          <cell r="T15772"/>
        </row>
        <row r="15773">
          <cell r="A15773" t="str">
            <v>SINCLAIR</v>
          </cell>
          <cell r="B15773" t="str">
            <v>410L9RXN</v>
          </cell>
          <cell r="O15773"/>
          <cell r="T15773"/>
        </row>
        <row r="15774">
          <cell r="A15774" t="str">
            <v>SINCLAIR</v>
          </cell>
          <cell r="B15774" t="str">
            <v>411C9RXN</v>
          </cell>
          <cell r="O15774"/>
          <cell r="T15774"/>
        </row>
        <row r="15775">
          <cell r="A15775" t="str">
            <v>SINCLAIR</v>
          </cell>
          <cell r="B15775" t="str">
            <v>43221-18</v>
          </cell>
          <cell r="O15775"/>
          <cell r="T15775"/>
        </row>
        <row r="15776">
          <cell r="A15776" t="str">
            <v>SINCLAIR</v>
          </cell>
          <cell r="B15776" t="str">
            <v>488-2DT-INV</v>
          </cell>
          <cell r="O15776"/>
          <cell r="T15776"/>
        </row>
        <row r="15777">
          <cell r="A15777" t="str">
            <v>SINCLAIR</v>
          </cell>
          <cell r="B15777" t="str">
            <v>AP13-1900/160D</v>
          </cell>
          <cell r="O15777"/>
          <cell r="T15777"/>
        </row>
        <row r="15778">
          <cell r="A15778" t="str">
            <v>SINCLAIR</v>
          </cell>
          <cell r="B15778" t="str">
            <v>HP4-59W-93A</v>
          </cell>
          <cell r="O15778"/>
          <cell r="T15778"/>
        </row>
        <row r="15779">
          <cell r="A15779" t="str">
            <v>SINCLAIR</v>
          </cell>
          <cell r="B15779" t="str">
            <v>OA40-67</v>
          </cell>
          <cell r="O15779"/>
          <cell r="T15779"/>
        </row>
        <row r="15780">
          <cell r="A15780" t="str">
            <v>SINCLAIR</v>
          </cell>
          <cell r="B15780" t="str">
            <v>SBL480N</v>
          </cell>
          <cell r="O15780"/>
          <cell r="T15780"/>
        </row>
        <row r="15781">
          <cell r="A15781" t="str">
            <v>SINCLAIR</v>
          </cell>
          <cell r="B15781" t="str">
            <v>SC225M-SF7SNM-DM 217</v>
          </cell>
          <cell r="O15781"/>
          <cell r="T15781"/>
        </row>
        <row r="15782">
          <cell r="A15782" t="str">
            <v>SINCLAIR</v>
          </cell>
          <cell r="B15782" t="str">
            <v>SC226-SFXSNM</v>
          </cell>
          <cell r="O15782"/>
          <cell r="T15782"/>
        </row>
        <row r="15783">
          <cell r="A15783" t="str">
            <v>SINCLAIR</v>
          </cell>
          <cell r="B15783" t="str">
            <v>SC229</v>
          </cell>
          <cell r="O15783"/>
          <cell r="T15783"/>
        </row>
        <row r="15784">
          <cell r="A15784" t="str">
            <v>SINCLAIR</v>
          </cell>
          <cell r="B15784" t="str">
            <v>SC229-SFXLDF</v>
          </cell>
          <cell r="O15784"/>
          <cell r="T15784"/>
        </row>
        <row r="15785">
          <cell r="A15785" t="str">
            <v>SINCLAIR</v>
          </cell>
          <cell r="B15785" t="str">
            <v>SC229-SFXLDF(D02-FXXXX)</v>
          </cell>
          <cell r="O15785"/>
          <cell r="T15785"/>
        </row>
        <row r="15786">
          <cell r="A15786" t="str">
            <v>SINCLAIR</v>
          </cell>
          <cell r="B15786" t="str">
            <v>SC229-SFXSNF</v>
          </cell>
          <cell r="O15786"/>
          <cell r="T15786"/>
        </row>
        <row r="15787">
          <cell r="A15787" t="str">
            <v>SINCLAIR</v>
          </cell>
          <cell r="B15787" t="str">
            <v>SC229-SFXSNM</v>
          </cell>
          <cell r="O15787"/>
          <cell r="T15787"/>
        </row>
        <row r="15788">
          <cell r="A15788" t="str">
            <v>SINCLAIR</v>
          </cell>
          <cell r="B15788" t="str">
            <v>SC233</v>
          </cell>
          <cell r="O15788"/>
          <cell r="T15788"/>
        </row>
        <row r="15789">
          <cell r="A15789" t="str">
            <v>SINCLAIR</v>
          </cell>
          <cell r="B15789" t="str">
            <v>SC2340-HMBSNF</v>
          </cell>
          <cell r="O15789"/>
          <cell r="T15789"/>
        </row>
        <row r="15790">
          <cell r="A15790" t="str">
            <v>SINCLAIR</v>
          </cell>
          <cell r="B15790" t="str">
            <v>SC251D-HF4LDF</v>
          </cell>
          <cell r="O15790"/>
          <cell r="T15790"/>
        </row>
        <row r="15791">
          <cell r="A15791" t="str">
            <v>SINCLAIR</v>
          </cell>
          <cell r="B15791" t="str">
            <v>SC266-HF4LDF</v>
          </cell>
          <cell r="O15791"/>
          <cell r="T15791"/>
        </row>
        <row r="15792">
          <cell r="A15792" t="str">
            <v>SINCLAIR</v>
          </cell>
          <cell r="B15792" t="str">
            <v>SC272-SF1SNF</v>
          </cell>
          <cell r="O15792"/>
          <cell r="T15792"/>
        </row>
        <row r="15793">
          <cell r="A15793" t="str">
            <v>SINCLAIR</v>
          </cell>
          <cell r="B15793" t="str">
            <v>SC281-HF3LDF</v>
          </cell>
          <cell r="O15793"/>
          <cell r="T15793"/>
        </row>
        <row r="15794">
          <cell r="A15794" t="str">
            <v>SINCLAIR</v>
          </cell>
          <cell r="B15794" t="str">
            <v>SC281-HF4LDF</v>
          </cell>
          <cell r="O15794"/>
          <cell r="T15794"/>
        </row>
        <row r="15795">
          <cell r="A15795" t="str">
            <v>SINCLAIR</v>
          </cell>
          <cell r="B15795" t="str">
            <v>SC281-HL</v>
          </cell>
          <cell r="O15795"/>
          <cell r="T15795"/>
        </row>
        <row r="15796">
          <cell r="A15796" t="str">
            <v>SINCLAIR</v>
          </cell>
          <cell r="B15796" t="str">
            <v>SC281-L</v>
          </cell>
          <cell r="O15796"/>
          <cell r="T15796"/>
        </row>
        <row r="15797">
          <cell r="A15797" t="str">
            <v>SINCLAIR</v>
          </cell>
          <cell r="B15797" t="str">
            <v>SC320</v>
          </cell>
          <cell r="O15797"/>
          <cell r="T15797"/>
        </row>
        <row r="15798">
          <cell r="A15798" t="str">
            <v>SINCLAIR</v>
          </cell>
          <cell r="B15798" t="str">
            <v>SC323</v>
          </cell>
          <cell r="O15798"/>
          <cell r="T15798"/>
        </row>
        <row r="15799">
          <cell r="A15799" t="str">
            <v>SINCLAIR</v>
          </cell>
          <cell r="B15799" t="str">
            <v>SC328-HF8LDF(D00)</v>
          </cell>
          <cell r="O15799"/>
          <cell r="T15799"/>
        </row>
        <row r="15800">
          <cell r="A15800" t="str">
            <v>SINCLAIR</v>
          </cell>
          <cell r="B15800" t="str">
            <v>SC329-HF2LDF(D03-G06)</v>
          </cell>
          <cell r="O15800"/>
          <cell r="T15800"/>
        </row>
        <row r="15801">
          <cell r="A15801" t="str">
            <v>SINCLAIR</v>
          </cell>
          <cell r="B15801" t="str">
            <v>SC329-HF2SNF</v>
          </cell>
          <cell r="O15801"/>
          <cell r="T15801"/>
        </row>
        <row r="15802">
          <cell r="A15802" t="str">
            <v>SINCLAIR</v>
          </cell>
          <cell r="B15802" t="str">
            <v>SC329-HL</v>
          </cell>
          <cell r="O15802"/>
          <cell r="T15802"/>
        </row>
        <row r="15803">
          <cell r="A15803" t="str">
            <v>SINCLAIR</v>
          </cell>
          <cell r="B15803" t="str">
            <v>SC329-HT1LDF</v>
          </cell>
          <cell r="O15803"/>
          <cell r="T15803"/>
        </row>
        <row r="15804">
          <cell r="A15804" t="str">
            <v>SINCLAIR</v>
          </cell>
          <cell r="B15804" t="str">
            <v>SC329-HT1LDF(D00-G6)</v>
          </cell>
          <cell r="O15804"/>
          <cell r="T15804"/>
        </row>
        <row r="15805">
          <cell r="A15805" t="str">
            <v>SINCLAIR</v>
          </cell>
          <cell r="B15805" t="str">
            <v>SC329-HT1LDF(D06-G06)</v>
          </cell>
          <cell r="O15805"/>
          <cell r="T15805"/>
        </row>
        <row r="15806">
          <cell r="A15806" t="str">
            <v>SINCLAIR</v>
          </cell>
          <cell r="B15806" t="str">
            <v>SC343-HF3LDF</v>
          </cell>
          <cell r="O15806"/>
          <cell r="T15806"/>
        </row>
        <row r="15807">
          <cell r="A15807" t="str">
            <v>SINCLAIR</v>
          </cell>
          <cell r="B15807" t="str">
            <v>SC351D-HF3LDF(D00-G6)</v>
          </cell>
          <cell r="O15807"/>
          <cell r="T15807"/>
        </row>
        <row r="15808">
          <cell r="A15808" t="str">
            <v>SINCLAIR</v>
          </cell>
          <cell r="B15808" t="str">
            <v>SC366-HF2LDF</v>
          </cell>
          <cell r="O15808"/>
          <cell r="T15808"/>
        </row>
        <row r="15809">
          <cell r="A15809" t="str">
            <v>SINCLAIR</v>
          </cell>
          <cell r="B15809" t="str">
            <v>SC366-HF4LDF</v>
          </cell>
          <cell r="O15809"/>
          <cell r="T15809"/>
        </row>
        <row r="15810">
          <cell r="A15810" t="str">
            <v>SINCLAIR</v>
          </cell>
          <cell r="B15810" t="str">
            <v>SC381-HF2LDF</v>
          </cell>
          <cell r="O15810"/>
          <cell r="T15810"/>
        </row>
        <row r="15811">
          <cell r="A15811" t="str">
            <v>SINCLAIR</v>
          </cell>
          <cell r="B15811" t="str">
            <v>SC381-HF3LDF</v>
          </cell>
          <cell r="O15811"/>
          <cell r="T15811"/>
        </row>
        <row r="15812">
          <cell r="A15812" t="str">
            <v>SINCLAIR</v>
          </cell>
          <cell r="B15812" t="str">
            <v>SC381-HF4LDF</v>
          </cell>
          <cell r="O15812"/>
          <cell r="T15812"/>
        </row>
        <row r="15813">
          <cell r="A15813" t="str">
            <v>SINCLAIR</v>
          </cell>
          <cell r="B15813" t="str">
            <v>SC381-HL</v>
          </cell>
          <cell r="O15813"/>
          <cell r="T15813"/>
        </row>
        <row r="15814">
          <cell r="A15814" t="str">
            <v>SINCLAIR</v>
          </cell>
          <cell r="B15814" t="str">
            <v>SC381-L</v>
          </cell>
          <cell r="O15814"/>
          <cell r="T15814"/>
        </row>
        <row r="15815">
          <cell r="A15815" t="str">
            <v>SINCLAIR</v>
          </cell>
          <cell r="B15815" t="str">
            <v>SC389-HF3LDF(DXX)</v>
          </cell>
          <cell r="O15815"/>
          <cell r="T15815"/>
        </row>
        <row r="15816">
          <cell r="A15816" t="str">
            <v>SINCLAIR</v>
          </cell>
          <cell r="B15816" t="str">
            <v>SC412-HF2LDF</v>
          </cell>
          <cell r="O15816"/>
          <cell r="T15816"/>
        </row>
        <row r="15817">
          <cell r="A15817" t="str">
            <v>SINCLAIR</v>
          </cell>
          <cell r="B15817" t="str">
            <v>SC412-HF3LDF(DXX)</v>
          </cell>
          <cell r="O15817"/>
          <cell r="T15817"/>
        </row>
        <row r="15818">
          <cell r="A15818" t="str">
            <v>SINCLAIR</v>
          </cell>
          <cell r="B15818" t="str">
            <v>SC420</v>
          </cell>
          <cell r="O15818"/>
          <cell r="T15818"/>
        </row>
        <row r="15819">
          <cell r="A15819" t="str">
            <v>SINCLAIR</v>
          </cell>
          <cell r="B15819" t="str">
            <v>SC432D-HF2LDF(D02-I40-G06)</v>
          </cell>
          <cell r="O15819"/>
          <cell r="T15819"/>
        </row>
        <row r="15820">
          <cell r="A15820" t="str">
            <v>SINCLAIR</v>
          </cell>
          <cell r="B15820" t="str">
            <v>SC432D-HF6LDF(140-G06)</v>
          </cell>
          <cell r="O15820"/>
          <cell r="T15820"/>
        </row>
        <row r="15821">
          <cell r="A15821" t="str">
            <v>SINCLAIR</v>
          </cell>
          <cell r="B15821" t="str">
            <v>SC432D-HF6LDF(D04-I45-G03)</v>
          </cell>
          <cell r="O15821"/>
          <cell r="T15821"/>
        </row>
        <row r="15822">
          <cell r="A15822" t="str">
            <v>SINCLAIR</v>
          </cell>
          <cell r="B15822" t="str">
            <v>SC433-HF4SNF</v>
          </cell>
          <cell r="O15822"/>
          <cell r="T15822"/>
        </row>
        <row r="15823">
          <cell r="A15823" t="str">
            <v>SINCLAIR</v>
          </cell>
          <cell r="B15823" t="str">
            <v>SC433-HF6LDF</v>
          </cell>
          <cell r="O15823"/>
          <cell r="T15823"/>
        </row>
        <row r="15824">
          <cell r="A15824" t="str">
            <v>SINCLAIR</v>
          </cell>
          <cell r="B15824" t="str">
            <v>SC442D-HF2LDF</v>
          </cell>
          <cell r="O15824"/>
          <cell r="T15824"/>
        </row>
        <row r="15825">
          <cell r="A15825" t="str">
            <v>SINCLAIR</v>
          </cell>
          <cell r="B15825" t="str">
            <v>SC466-HF1LDF</v>
          </cell>
          <cell r="O15825"/>
          <cell r="T15825"/>
        </row>
        <row r="15826">
          <cell r="A15826" t="str">
            <v>SINCLAIR</v>
          </cell>
          <cell r="B15826" t="str">
            <v>SC466-HF1LDF(D05)</v>
          </cell>
          <cell r="O15826"/>
          <cell r="T15826"/>
        </row>
        <row r="15827">
          <cell r="A15827" t="str">
            <v>SINCLAIR</v>
          </cell>
          <cell r="B15827" t="str">
            <v>SC466-HF1LDF_CCIV2</v>
          </cell>
          <cell r="O15827"/>
          <cell r="T15827"/>
        </row>
        <row r="15828">
          <cell r="A15828" t="str">
            <v>SINCLAIR</v>
          </cell>
          <cell r="B15828" t="str">
            <v>SC466D-HF1LDF</v>
          </cell>
          <cell r="O15828"/>
          <cell r="T15828"/>
        </row>
        <row r="15829">
          <cell r="A15829" t="str">
            <v>SINCLAIR</v>
          </cell>
          <cell r="B15829" t="str">
            <v>SC46A-HF1LDF (D00-PIP)</v>
          </cell>
          <cell r="O15829"/>
          <cell r="T15829"/>
        </row>
        <row r="15830">
          <cell r="A15830" t="str">
            <v>SINCLAIR</v>
          </cell>
          <cell r="B15830" t="str">
            <v>SC46A-HF1LDF(DXX-PIP)</v>
          </cell>
          <cell r="O15830"/>
          <cell r="T15830"/>
        </row>
        <row r="15831">
          <cell r="A15831" t="str">
            <v>SINCLAIR</v>
          </cell>
          <cell r="B15831" t="str">
            <v>SC473-HF1LDF</v>
          </cell>
          <cell r="O15831"/>
          <cell r="T15831"/>
        </row>
        <row r="15832">
          <cell r="A15832" t="str">
            <v>SINCLAIR</v>
          </cell>
          <cell r="B15832" t="str">
            <v>SC476-HF1LDF(D00)</v>
          </cell>
          <cell r="O15832"/>
          <cell r="T15832"/>
        </row>
        <row r="15833">
          <cell r="A15833" t="str">
            <v>SINCLAIR</v>
          </cell>
          <cell r="B15833" t="str">
            <v>SC479-HF1LDF</v>
          </cell>
          <cell r="O15833"/>
          <cell r="T15833"/>
        </row>
        <row r="15834">
          <cell r="A15834" t="str">
            <v>SINCLAIR</v>
          </cell>
          <cell r="B15834" t="str">
            <v>SC479-HF1LDF(DXX-E5765)</v>
          </cell>
          <cell r="O15834"/>
          <cell r="T15834"/>
        </row>
        <row r="15835">
          <cell r="A15835" t="str">
            <v>SINCLAIR</v>
          </cell>
          <cell r="B15835" t="str">
            <v>SC479-HF2LDF(DXX)</v>
          </cell>
          <cell r="O15835"/>
          <cell r="T15835"/>
        </row>
        <row r="15836">
          <cell r="A15836" t="str">
            <v>SINCLAIR</v>
          </cell>
          <cell r="B15836" t="str">
            <v>SC480-SF1SNF</v>
          </cell>
          <cell r="O15836"/>
          <cell r="T15836"/>
        </row>
        <row r="15837">
          <cell r="A15837" t="str">
            <v>SINCLAIR</v>
          </cell>
          <cell r="B15837" t="str">
            <v>SC481-L</v>
          </cell>
          <cell r="O15837"/>
          <cell r="T15837"/>
        </row>
        <row r="15838">
          <cell r="A15838" t="str">
            <v>SINCLAIR</v>
          </cell>
          <cell r="B15838" t="str">
            <v>SC488-HF1LDF(D04)</v>
          </cell>
          <cell r="O15838"/>
          <cell r="T15838"/>
        </row>
        <row r="15839">
          <cell r="A15839" t="str">
            <v>SINCLAIR</v>
          </cell>
          <cell r="B15839" t="str">
            <v>SC488-HF1SNF(D02)</v>
          </cell>
          <cell r="O15839"/>
          <cell r="T15839"/>
        </row>
        <row r="15840">
          <cell r="A15840" t="str">
            <v>SINCLAIR</v>
          </cell>
          <cell r="B15840" t="str">
            <v>SC488-HF2LDF(D00)</v>
          </cell>
          <cell r="O15840"/>
          <cell r="T15840"/>
        </row>
        <row r="15841">
          <cell r="A15841" t="str">
            <v>SINCLAIR</v>
          </cell>
          <cell r="B15841" t="str">
            <v>SC488-HF4SNF</v>
          </cell>
          <cell r="O15841"/>
          <cell r="T15841"/>
        </row>
        <row r="15842">
          <cell r="A15842" t="str">
            <v>SINCLAIR</v>
          </cell>
          <cell r="B15842" t="str">
            <v>SC488-L PIM</v>
          </cell>
          <cell r="O15842"/>
          <cell r="T15842"/>
        </row>
        <row r="15843">
          <cell r="A15843" t="str">
            <v>SINCLAIR</v>
          </cell>
          <cell r="B15843" t="str">
            <v>SC488-SF1LDF</v>
          </cell>
          <cell r="O15843"/>
          <cell r="T15843"/>
        </row>
        <row r="15844">
          <cell r="A15844" t="str">
            <v>SINCLAIR</v>
          </cell>
          <cell r="B15844" t="str">
            <v>SC488-SF1SNF</v>
          </cell>
          <cell r="O15844"/>
          <cell r="T15844"/>
        </row>
        <row r="15845">
          <cell r="A15845" t="str">
            <v>SINCLAIR</v>
          </cell>
          <cell r="B15845" t="str">
            <v>SC488-SF2LDF</v>
          </cell>
          <cell r="O15845"/>
          <cell r="T15845"/>
        </row>
        <row r="15846">
          <cell r="A15846" t="str">
            <v>SINCLAIR</v>
          </cell>
          <cell r="B15846" t="str">
            <v>SC488-SF3SNF</v>
          </cell>
          <cell r="O15846"/>
          <cell r="T15846"/>
        </row>
        <row r="15847">
          <cell r="A15847" t="str">
            <v>SINCLAIR</v>
          </cell>
          <cell r="B15847" t="str">
            <v>SC488-SF4SNF</v>
          </cell>
          <cell r="O15847"/>
          <cell r="T15847"/>
        </row>
        <row r="15848">
          <cell r="A15848" t="str">
            <v>SINCLAIR</v>
          </cell>
          <cell r="B15848" t="str">
            <v>SC488-SF6LDF(D00)</v>
          </cell>
          <cell r="O15848"/>
          <cell r="T15848"/>
        </row>
        <row r="15849">
          <cell r="A15849" t="str">
            <v>SINCLAIR</v>
          </cell>
          <cell r="B15849" t="str">
            <v>SC488N</v>
          </cell>
          <cell r="O15849"/>
          <cell r="T15849"/>
        </row>
        <row r="15850">
          <cell r="A15850" t="str">
            <v>SINCLAIR</v>
          </cell>
          <cell r="B15850" t="str">
            <v>SC489</v>
          </cell>
          <cell r="O15850"/>
          <cell r="T15850"/>
        </row>
        <row r="15851">
          <cell r="A15851" t="str">
            <v>SINCLAIR</v>
          </cell>
          <cell r="B15851" t="str">
            <v>SC489-SF4LNF(D00)</v>
          </cell>
          <cell r="O15851"/>
          <cell r="T15851"/>
        </row>
        <row r="15852">
          <cell r="A15852" t="str">
            <v>SINCLAIR</v>
          </cell>
          <cell r="B15852" t="str">
            <v>SC499-HWBLDF(DXX-NUF)</v>
          </cell>
          <cell r="O15852"/>
          <cell r="T15852"/>
        </row>
        <row r="15853">
          <cell r="A15853" t="str">
            <v>SINCLAIR</v>
          </cell>
          <cell r="B15853" t="str">
            <v>SC499-HWBLDF(DXX-NUFP)</v>
          </cell>
          <cell r="O15853"/>
          <cell r="T15853"/>
        </row>
        <row r="15854">
          <cell r="A15854" t="str">
            <v>SINCLAIR</v>
          </cell>
          <cell r="B15854" t="str">
            <v>SC499D-HF1LDF(DXX-I35-PIP)</v>
          </cell>
          <cell r="O15854"/>
          <cell r="T15854"/>
        </row>
        <row r="15855">
          <cell r="A15855" t="str">
            <v>SINCLAIR</v>
          </cell>
          <cell r="B15855" t="str">
            <v>SC499S-HF1LDF</v>
          </cell>
          <cell r="O15855">
            <v>0</v>
          </cell>
          <cell r="T15855"/>
        </row>
        <row r="15856">
          <cell r="A15856" t="str">
            <v>SINCLAIR</v>
          </cell>
          <cell r="B15856" t="str">
            <v>SC49C-HWBLDF(DXX-NUF)</v>
          </cell>
          <cell r="O15856"/>
          <cell r="T15856"/>
        </row>
        <row r="15857">
          <cell r="A15857" t="str">
            <v>SINCLAIR</v>
          </cell>
          <cell r="B15857" t="str">
            <v>SD110-SF2PASNM</v>
          </cell>
          <cell r="O15857"/>
          <cell r="T15857"/>
        </row>
        <row r="15858">
          <cell r="A15858" t="str">
            <v>SINCLAIR</v>
          </cell>
          <cell r="B15858" t="str">
            <v>SD110-SF3PASNM</v>
          </cell>
          <cell r="O15858"/>
          <cell r="T15858"/>
        </row>
        <row r="15859">
          <cell r="A15859" t="str">
            <v>SINCLAIR</v>
          </cell>
          <cell r="B15859" t="str">
            <v>SD110-SFXPASNM</v>
          </cell>
          <cell r="O15859"/>
          <cell r="T15859"/>
        </row>
        <row r="15860">
          <cell r="A15860" t="str">
            <v>SINCLAIR</v>
          </cell>
          <cell r="B15860" t="str">
            <v>SD112-SFXPASNM</v>
          </cell>
          <cell r="O15860"/>
          <cell r="T15860"/>
        </row>
        <row r="15861">
          <cell r="A15861" t="str">
            <v>SINCLAIR</v>
          </cell>
          <cell r="B15861" t="str">
            <v>SD210</v>
          </cell>
          <cell r="O15861"/>
          <cell r="T15861"/>
        </row>
        <row r="15862">
          <cell r="A15862" t="str">
            <v>SINCLAIR</v>
          </cell>
          <cell r="B15862" t="str">
            <v>SD210-SF2P2SNM</v>
          </cell>
          <cell r="O15862"/>
          <cell r="T15862"/>
        </row>
        <row r="15863">
          <cell r="A15863" t="str">
            <v>SINCLAIR</v>
          </cell>
          <cell r="B15863" t="str">
            <v>SD210D-SF2P4SNM</v>
          </cell>
          <cell r="O15863"/>
          <cell r="T15863"/>
        </row>
        <row r="15864">
          <cell r="A15864" t="str">
            <v>SINCLAIR</v>
          </cell>
          <cell r="B15864" t="str">
            <v>SD210R-SF2P120LDF</v>
          </cell>
          <cell r="O15864"/>
          <cell r="T15864"/>
        </row>
        <row r="15865">
          <cell r="A15865" t="str">
            <v>SINCLAIR</v>
          </cell>
          <cell r="B15865" t="str">
            <v>SD212</v>
          </cell>
          <cell r="O15865"/>
          <cell r="T15865"/>
        </row>
        <row r="15866">
          <cell r="A15866" t="str">
            <v>SINCLAIR</v>
          </cell>
          <cell r="B15866" t="str">
            <v>SD212-HF2P2LDF</v>
          </cell>
          <cell r="O15866"/>
          <cell r="T15866"/>
        </row>
        <row r="15867">
          <cell r="A15867" t="str">
            <v>SINCLAIR</v>
          </cell>
          <cell r="B15867" t="str">
            <v>SD212-SF2P2SNM</v>
          </cell>
          <cell r="O15867"/>
          <cell r="T15867"/>
        </row>
        <row r="15868">
          <cell r="A15868" t="str">
            <v>SINCLAIR</v>
          </cell>
          <cell r="B15868" t="str">
            <v>SD212-SF2P4LNM(D00)_20240108</v>
          </cell>
          <cell r="O15868"/>
          <cell r="T15868"/>
        </row>
        <row r="15869">
          <cell r="A15869" t="str">
            <v>SINCLAIR</v>
          </cell>
          <cell r="B15869" t="str">
            <v>SD212-SF2P4SNM</v>
          </cell>
          <cell r="O15869"/>
          <cell r="T15869"/>
        </row>
        <row r="15870">
          <cell r="A15870" t="str">
            <v>SINCLAIR</v>
          </cell>
          <cell r="B15870" t="str">
            <v>SD212-SF3P2SNM</v>
          </cell>
          <cell r="O15870"/>
          <cell r="T15870"/>
        </row>
        <row r="15871">
          <cell r="A15871" t="str">
            <v>SINCLAIR</v>
          </cell>
          <cell r="B15871" t="str">
            <v>SD212-SF3P4LDF</v>
          </cell>
          <cell r="O15871"/>
          <cell r="T15871"/>
        </row>
        <row r="15872">
          <cell r="A15872" t="str">
            <v>SINCLAIR</v>
          </cell>
          <cell r="B15872" t="str">
            <v>SD212D-HF2P4SNM(D00B)</v>
          </cell>
          <cell r="O15872"/>
          <cell r="T15872"/>
        </row>
        <row r="15873">
          <cell r="A15873" t="str">
            <v>SINCLAIR</v>
          </cell>
          <cell r="B15873" t="str">
            <v>SD212D-SF3P4SNM (140)</v>
          </cell>
          <cell r="O15873"/>
          <cell r="T15873"/>
        </row>
        <row r="15874">
          <cell r="A15874" t="str">
            <v>SINCLAIR</v>
          </cell>
          <cell r="B15874" t="str">
            <v>SD212R-SF2P90LDF(D00S)</v>
          </cell>
          <cell r="O15874"/>
          <cell r="T15874"/>
        </row>
        <row r="15875">
          <cell r="A15875" t="str">
            <v>SINCLAIR</v>
          </cell>
          <cell r="B15875" t="str">
            <v>SD214</v>
          </cell>
          <cell r="O15875"/>
          <cell r="T15875"/>
        </row>
        <row r="15876">
          <cell r="A15876" t="str">
            <v>SINCLAIR</v>
          </cell>
          <cell r="B15876" t="str">
            <v>SD214-SF1P2SNM</v>
          </cell>
          <cell r="O15876"/>
          <cell r="T15876"/>
        </row>
        <row r="15877">
          <cell r="A15877" t="str">
            <v>SINCLAIR</v>
          </cell>
          <cell r="B15877" t="str">
            <v>SD214-SF2P2SNM</v>
          </cell>
          <cell r="O15877"/>
          <cell r="T15877"/>
        </row>
        <row r="15878">
          <cell r="A15878" t="str">
            <v>SINCLAIR</v>
          </cell>
          <cell r="B15878" t="str">
            <v>SD214-SF2P4LDF</v>
          </cell>
          <cell r="O15878"/>
          <cell r="T15878"/>
        </row>
        <row r="15879">
          <cell r="A15879" t="str">
            <v>SINCLAIR</v>
          </cell>
          <cell r="B15879" t="str">
            <v>SD214-SF2P4SNM(D00)</v>
          </cell>
          <cell r="O15879"/>
          <cell r="T15879"/>
        </row>
        <row r="15880">
          <cell r="A15880" t="str">
            <v>SINCLAIR</v>
          </cell>
          <cell r="B15880" t="str">
            <v>SD214-SF3PASNM(D00-LM)</v>
          </cell>
          <cell r="O15880"/>
          <cell r="T15880"/>
        </row>
        <row r="15881">
          <cell r="A15881" t="str">
            <v>SINCLAIR</v>
          </cell>
          <cell r="B15881" t="str">
            <v>SD218-SF2P2SNM</v>
          </cell>
          <cell r="O15881"/>
          <cell r="T15881"/>
        </row>
        <row r="15882">
          <cell r="A15882" t="str">
            <v>SINCLAIR</v>
          </cell>
          <cell r="B15882" t="str">
            <v>SD222-SF5PASNM</v>
          </cell>
          <cell r="O15882"/>
          <cell r="T15882"/>
        </row>
        <row r="15883">
          <cell r="A15883" t="str">
            <v>SINCLAIR</v>
          </cell>
          <cell r="B15883" t="str">
            <v>SD222-SF6PASNM</v>
          </cell>
          <cell r="O15883"/>
          <cell r="T15883"/>
        </row>
        <row r="15884">
          <cell r="A15884" t="str">
            <v>SINCLAIR</v>
          </cell>
          <cell r="B15884" t="str">
            <v>SD224-SF5PASNM</v>
          </cell>
          <cell r="O15884"/>
          <cell r="T15884"/>
        </row>
        <row r="15885">
          <cell r="A15885" t="str">
            <v>SINCLAIR</v>
          </cell>
          <cell r="B15885" t="str">
            <v>SD224-SF7PASNM</v>
          </cell>
          <cell r="O15885"/>
          <cell r="T15885"/>
        </row>
        <row r="15886">
          <cell r="A15886" t="str">
            <v>SINCLAIR</v>
          </cell>
          <cell r="B15886" t="str">
            <v>SD224-SF8PASNM</v>
          </cell>
          <cell r="O15886"/>
          <cell r="T15886"/>
        </row>
        <row r="15887">
          <cell r="A15887" t="str">
            <v>SINCLAIR</v>
          </cell>
          <cell r="B15887" t="str">
            <v>SD235-1C</v>
          </cell>
          <cell r="O15887"/>
          <cell r="T15887"/>
        </row>
        <row r="15888">
          <cell r="A15888" t="str">
            <v>SINCLAIR</v>
          </cell>
          <cell r="B15888" t="str">
            <v>SD235-HF2PASNM</v>
          </cell>
          <cell r="O15888"/>
          <cell r="T15888"/>
        </row>
        <row r="15889">
          <cell r="A15889" t="str">
            <v>SINCLAIR</v>
          </cell>
          <cell r="B15889" t="str">
            <v>SD235-SF2PALDF(D00B)</v>
          </cell>
          <cell r="O15889"/>
          <cell r="T15889"/>
        </row>
        <row r="15890">
          <cell r="A15890" t="str">
            <v>SINCLAIR</v>
          </cell>
          <cell r="B15890" t="str">
            <v>SD2352</v>
          </cell>
          <cell r="O15890"/>
          <cell r="T15890"/>
        </row>
        <row r="15891">
          <cell r="A15891" t="str">
            <v>SINCLAIR</v>
          </cell>
          <cell r="B15891" t="str">
            <v>SD2352-SF2PALDF</v>
          </cell>
          <cell r="O15891"/>
          <cell r="T15891"/>
        </row>
        <row r="15892">
          <cell r="A15892" t="str">
            <v>SINCLAIR</v>
          </cell>
          <cell r="B15892" t="str">
            <v>SD242-SF2P2SNM</v>
          </cell>
          <cell r="O15892"/>
          <cell r="T15892"/>
        </row>
        <row r="15893">
          <cell r="A15893" t="str">
            <v>SINCLAIR</v>
          </cell>
          <cell r="B15893" t="str">
            <v>SD310-HF1P2LDF</v>
          </cell>
          <cell r="O15893"/>
          <cell r="T15893"/>
        </row>
        <row r="15894">
          <cell r="A15894" t="str">
            <v>SINCLAIR</v>
          </cell>
          <cell r="B15894" t="str">
            <v>SD310-HF2P4SNM</v>
          </cell>
          <cell r="O15894"/>
          <cell r="T15894"/>
        </row>
        <row r="15895">
          <cell r="A15895" t="str">
            <v>SINCLAIR</v>
          </cell>
          <cell r="B15895" t="str">
            <v>SD310-HF3P4LDF</v>
          </cell>
          <cell r="O15895"/>
          <cell r="T15895"/>
        </row>
        <row r="15896">
          <cell r="A15896" t="str">
            <v>SINCLAIR</v>
          </cell>
          <cell r="B15896" t="str">
            <v>SD310-HL</v>
          </cell>
          <cell r="O15896"/>
          <cell r="T15896"/>
        </row>
        <row r="15897">
          <cell r="A15897" t="str">
            <v>SINCLAIR</v>
          </cell>
          <cell r="B15897" t="str">
            <v>SD312-HF1P2SNM</v>
          </cell>
          <cell r="O15897"/>
          <cell r="T15897"/>
        </row>
        <row r="15898">
          <cell r="A15898" t="str">
            <v>SINCLAIR</v>
          </cell>
          <cell r="B15898" t="str">
            <v>SD312-HF2P4SNM</v>
          </cell>
          <cell r="O15898"/>
          <cell r="T15898"/>
        </row>
        <row r="15899">
          <cell r="A15899" t="str">
            <v>SINCLAIR</v>
          </cell>
          <cell r="B15899" t="str">
            <v>SD312D-HF2P2LDM</v>
          </cell>
          <cell r="O15899"/>
          <cell r="T15899"/>
        </row>
        <row r="15900">
          <cell r="A15900" t="str">
            <v>SINCLAIR</v>
          </cell>
          <cell r="B15900" t="str">
            <v>SD314-H</v>
          </cell>
          <cell r="O15900"/>
          <cell r="T15900"/>
        </row>
        <row r="15901">
          <cell r="A15901" t="str">
            <v>SINCLAIR</v>
          </cell>
          <cell r="B15901" t="str">
            <v>SD314-HF2P2SNM</v>
          </cell>
          <cell r="O15901"/>
          <cell r="T15901"/>
        </row>
        <row r="15902">
          <cell r="A15902" t="str">
            <v>SINCLAIR</v>
          </cell>
          <cell r="B15902" t="str">
            <v>SD314-HF2P4LDF</v>
          </cell>
          <cell r="O15902"/>
          <cell r="T15902"/>
        </row>
        <row r="15903">
          <cell r="A15903" t="str">
            <v>SINCLAIR</v>
          </cell>
          <cell r="B15903" t="str">
            <v>SD314-HF2P4SNM</v>
          </cell>
          <cell r="O15903"/>
          <cell r="T15903"/>
        </row>
        <row r="15904">
          <cell r="A15904" t="str">
            <v>SINCLAIR</v>
          </cell>
          <cell r="B15904" t="str">
            <v>SD318-H</v>
          </cell>
          <cell r="O15904"/>
          <cell r="T15904"/>
        </row>
        <row r="15905">
          <cell r="A15905" t="str">
            <v>SINCLAIR</v>
          </cell>
          <cell r="B15905" t="str">
            <v>SD318-HF1P2SNM</v>
          </cell>
          <cell r="O15905"/>
          <cell r="T15905"/>
        </row>
        <row r="15906">
          <cell r="A15906" t="str">
            <v>SINCLAIR</v>
          </cell>
          <cell r="B15906" t="str">
            <v>SD318-HF3P2LDF</v>
          </cell>
          <cell r="O15906"/>
          <cell r="T15906"/>
        </row>
        <row r="15907">
          <cell r="A15907" t="str">
            <v>SINCLAIR</v>
          </cell>
          <cell r="B15907" t="str">
            <v>SD318-HF3P4LDF</v>
          </cell>
          <cell r="O15907"/>
          <cell r="T15907"/>
        </row>
        <row r="15908">
          <cell r="A15908" t="str">
            <v>SINCLAIR</v>
          </cell>
          <cell r="B15908" t="str">
            <v>SD318-HF3P4LDF(D00)</v>
          </cell>
          <cell r="O15908"/>
          <cell r="T15908"/>
        </row>
        <row r="15909">
          <cell r="A15909" t="str">
            <v>SINCLAIR</v>
          </cell>
          <cell r="B15909" t="str">
            <v>SD3352</v>
          </cell>
          <cell r="O15909"/>
          <cell r="T15909"/>
        </row>
        <row r="15910">
          <cell r="A15910" t="str">
            <v>SINCLAIR</v>
          </cell>
          <cell r="B15910" t="str">
            <v>SE412-SF3P2LNF</v>
          </cell>
          <cell r="O15910"/>
          <cell r="T15910"/>
        </row>
        <row r="15911">
          <cell r="A15911" t="str">
            <v>SINCLAIR</v>
          </cell>
          <cell r="B15911" t="str">
            <v>SE414-SF1P2LNF</v>
          </cell>
          <cell r="O15911">
            <v>1.2912473179999999</v>
          </cell>
          <cell r="T15911">
            <v>3.8674211619999999</v>
          </cell>
        </row>
        <row r="15912">
          <cell r="A15912" t="str">
            <v>SINCLAIR</v>
          </cell>
          <cell r="B15912" t="str">
            <v>SE414-SF1P4LNF</v>
          </cell>
          <cell r="O15912">
            <v>1.2912473179999999</v>
          </cell>
          <cell r="T15912">
            <v>3.8674211619999999</v>
          </cell>
        </row>
        <row r="15913">
          <cell r="A15913" t="str">
            <v>SINCLAIR</v>
          </cell>
          <cell r="B15913" t="str">
            <v>SE414-SF1PALDF</v>
          </cell>
          <cell r="O15913"/>
          <cell r="T15913"/>
        </row>
        <row r="15914">
          <cell r="A15914" t="str">
            <v>SINCLAIR</v>
          </cell>
          <cell r="B15914" t="str">
            <v>SE414-SF1PALNF</v>
          </cell>
          <cell r="O15914"/>
          <cell r="T15914"/>
        </row>
        <row r="15915">
          <cell r="A15915" t="str">
            <v>SINCLAIR</v>
          </cell>
          <cell r="B15915" t="str">
            <v>SE414-SF2P2LDF(D00)</v>
          </cell>
          <cell r="O15915">
            <v>1.2912473179999999</v>
          </cell>
          <cell r="T15915">
            <v>3.8674211619999999</v>
          </cell>
        </row>
        <row r="15916">
          <cell r="A15916" t="str">
            <v>SINCLAIR</v>
          </cell>
          <cell r="B15916" t="str">
            <v>SE414-SF3P2LDF(D00-E5749)</v>
          </cell>
          <cell r="O15916">
            <v>1.2912473179999999</v>
          </cell>
          <cell r="T15916">
            <v>3.8674211619999999</v>
          </cell>
        </row>
        <row r="15917">
          <cell r="A15917" t="str">
            <v>SINCLAIR</v>
          </cell>
          <cell r="B15917" t="str">
            <v>SE414-SF3P4LDF</v>
          </cell>
          <cell r="O15917">
            <v>1.4475483309999999</v>
          </cell>
          <cell r="T15917">
            <v>4.3420080670000001</v>
          </cell>
        </row>
        <row r="15918">
          <cell r="A15918" t="str">
            <v>SINCLAIR</v>
          </cell>
          <cell r="B15918" t="str">
            <v>SE414-SF3PALDF(D00)</v>
          </cell>
          <cell r="O15918"/>
          <cell r="T15918"/>
        </row>
        <row r="15919">
          <cell r="A15919" t="str">
            <v>SINCLAIR</v>
          </cell>
          <cell r="B15919" t="str">
            <v>SE414-SWBP4LDF(D00)</v>
          </cell>
          <cell r="O15919">
            <v>1.2912473179999999</v>
          </cell>
          <cell r="T15919">
            <v>3.8674211619999999</v>
          </cell>
        </row>
        <row r="15920">
          <cell r="A15920" t="str">
            <v>SINCLAIR</v>
          </cell>
          <cell r="B15920" t="str">
            <v>SE414-SWBPALD(D00)</v>
          </cell>
          <cell r="O15920"/>
          <cell r="T15920"/>
        </row>
        <row r="15921">
          <cell r="A15921" t="str">
            <v>SINCLAIR</v>
          </cell>
          <cell r="B15921" t="str">
            <v>SE414-SWBPALDFD00_R160</v>
          </cell>
          <cell r="O15921"/>
          <cell r="T15921"/>
        </row>
        <row r="15922">
          <cell r="A15922" t="str">
            <v>SINCLAIR</v>
          </cell>
          <cell r="B15922" t="str">
            <v>SE419</v>
          </cell>
          <cell r="O15922"/>
          <cell r="T15922"/>
        </row>
        <row r="15923">
          <cell r="A15923" t="str">
            <v>SINCLAIR</v>
          </cell>
          <cell r="B15923" t="str">
            <v>SE419-SF1P2LNF</v>
          </cell>
          <cell r="O15923"/>
          <cell r="T15923"/>
        </row>
        <row r="15924">
          <cell r="A15924" t="str">
            <v>SINCLAIR</v>
          </cell>
          <cell r="B15924" t="str">
            <v>SE419-SF1P4LNF</v>
          </cell>
          <cell r="O15924"/>
          <cell r="T15924"/>
        </row>
        <row r="15925">
          <cell r="A15925" t="str">
            <v>SINCLAIR</v>
          </cell>
          <cell r="B15925" t="str">
            <v>SE419-SF1PALDF</v>
          </cell>
          <cell r="O15925"/>
          <cell r="T15925"/>
        </row>
        <row r="15926">
          <cell r="A15926" t="str">
            <v>SINCLAIR</v>
          </cell>
          <cell r="B15926" t="str">
            <v>SE419-SF1PALNF</v>
          </cell>
          <cell r="O15926"/>
          <cell r="T15926"/>
        </row>
        <row r="15927">
          <cell r="A15927" t="str">
            <v>SINCLAIR</v>
          </cell>
          <cell r="B15927" t="str">
            <v>SE419-SF1PALNF-DM</v>
          </cell>
          <cell r="O15927"/>
          <cell r="T15927"/>
        </row>
        <row r="15928">
          <cell r="A15928" t="str">
            <v>SINCLAIR</v>
          </cell>
          <cell r="B15928" t="str">
            <v>SE419-SF3P2LDF</v>
          </cell>
          <cell r="O15928"/>
          <cell r="T15928"/>
        </row>
        <row r="15929">
          <cell r="A15929" t="str">
            <v>SINCLAIR</v>
          </cell>
          <cell r="B15929" t="str">
            <v>SE419-SF3P4LDF</v>
          </cell>
          <cell r="O15929"/>
          <cell r="T15929"/>
        </row>
        <row r="15930">
          <cell r="A15930" t="str">
            <v>SINCLAIR</v>
          </cell>
          <cell r="B15930" t="str">
            <v>SE419-SF3PALDF</v>
          </cell>
          <cell r="O15930"/>
          <cell r="T15930"/>
        </row>
        <row r="15931">
          <cell r="A15931" t="str">
            <v>SINCLAIR</v>
          </cell>
          <cell r="B15931" t="str">
            <v>SE419-SF3PALDF(D04)</v>
          </cell>
          <cell r="O15931"/>
          <cell r="T15931"/>
        </row>
        <row r="15932">
          <cell r="A15932" t="str">
            <v>SINCLAIR</v>
          </cell>
          <cell r="B15932" t="str">
            <v>SE419-SWBP2LDF D00</v>
          </cell>
          <cell r="O15932"/>
          <cell r="T15932"/>
        </row>
        <row r="15933">
          <cell r="A15933" t="str">
            <v>SINCLAIR</v>
          </cell>
          <cell r="B15933" t="str">
            <v>SE419-SWBP4LDF</v>
          </cell>
          <cell r="O15933"/>
          <cell r="T15933"/>
        </row>
        <row r="15934">
          <cell r="A15934" t="str">
            <v>SINCLAIR</v>
          </cell>
          <cell r="B15934" t="str">
            <v>SE419-SWBPALDF(D00)</v>
          </cell>
          <cell r="O15934"/>
          <cell r="T15934"/>
        </row>
        <row r="15935">
          <cell r="A15935" t="str">
            <v>SINCLAIR</v>
          </cell>
          <cell r="B15935" t="str">
            <v>SE4192-SWBP4LDF(DXX-E6461)</v>
          </cell>
          <cell r="O15935"/>
          <cell r="T15935"/>
        </row>
        <row r="15936">
          <cell r="A15936" t="str">
            <v>SINCLAIR</v>
          </cell>
          <cell r="B15936" t="str">
            <v>SE4192-SWBPALDF(DXX)</v>
          </cell>
          <cell r="O15936"/>
          <cell r="T15936"/>
        </row>
        <row r="15937">
          <cell r="A15937" t="str">
            <v>SINCLAIR</v>
          </cell>
          <cell r="B15937" t="str">
            <v>SG101</v>
          </cell>
          <cell r="O15937"/>
          <cell r="T15937"/>
        </row>
        <row r="15938">
          <cell r="A15938" t="str">
            <v>SINCLAIR</v>
          </cell>
          <cell r="B15938" t="str">
            <v>SG101-SF2PASNM</v>
          </cell>
          <cell r="O15938"/>
          <cell r="T15938"/>
        </row>
        <row r="15939">
          <cell r="A15939" t="str">
            <v>SINCLAIR</v>
          </cell>
          <cell r="B15939" t="str">
            <v>SG201</v>
          </cell>
          <cell r="O15939"/>
          <cell r="T15939"/>
        </row>
        <row r="15940">
          <cell r="A15940" t="str">
            <v>SINCLAIR</v>
          </cell>
          <cell r="B15940" t="str">
            <v>SG217-SF2SUF</v>
          </cell>
          <cell r="O15940"/>
          <cell r="T15940"/>
        </row>
        <row r="15941">
          <cell r="A15941" t="str">
            <v>SINCLAIR</v>
          </cell>
          <cell r="B15941" t="str">
            <v>SLR-310CB028</v>
          </cell>
          <cell r="O15941"/>
          <cell r="T15941"/>
        </row>
        <row r="15942">
          <cell r="A15942" t="str">
            <v>SINCLAIR</v>
          </cell>
          <cell r="B15942" t="str">
            <v>SLR310C8*4</v>
          </cell>
          <cell r="O15942"/>
          <cell r="T15942"/>
        </row>
        <row r="15943">
          <cell r="A15943" t="str">
            <v>SINCLAIR</v>
          </cell>
          <cell r="B15943" t="str">
            <v>SLR420-1</v>
          </cell>
          <cell r="O15943"/>
          <cell r="T15943"/>
        </row>
        <row r="15944">
          <cell r="A15944" t="str">
            <v>SINCLAIR</v>
          </cell>
          <cell r="B15944" t="str">
            <v>SM500-SF4SNF(CGF)</v>
          </cell>
          <cell r="O15944"/>
          <cell r="T15944"/>
        </row>
        <row r="15945">
          <cell r="A15945" t="str">
            <v>SINCLAIR</v>
          </cell>
          <cell r="B15945" t="str">
            <v>SP304V-SWBP120LDF</v>
          </cell>
          <cell r="O15945"/>
          <cell r="T15945"/>
        </row>
        <row r="15946">
          <cell r="A15946" t="str">
            <v>SINCLAIR</v>
          </cell>
          <cell r="B15946" t="str">
            <v>SP4402-SF2SNF</v>
          </cell>
          <cell r="O15946"/>
          <cell r="T15946"/>
        </row>
        <row r="15947">
          <cell r="A15947" t="str">
            <v>SINCLAIR</v>
          </cell>
          <cell r="B15947" t="str">
            <v>SPL410C4-4</v>
          </cell>
          <cell r="O15947"/>
          <cell r="T15947"/>
        </row>
        <row r="15948">
          <cell r="A15948" t="str">
            <v>SINCLAIR</v>
          </cell>
          <cell r="B15948" t="str">
            <v>SPL48ONA1</v>
          </cell>
          <cell r="O15948"/>
          <cell r="T15948"/>
        </row>
        <row r="15949">
          <cell r="A15949" t="str">
            <v>SINCLAIR</v>
          </cell>
          <cell r="B15949" t="str">
            <v>SR4BC-HF4P4LDF(DXX-PIP)</v>
          </cell>
          <cell r="O15949"/>
          <cell r="T15949"/>
        </row>
        <row r="15950">
          <cell r="A15950" t="str">
            <v>SINCLAIR</v>
          </cell>
          <cell r="B15950" t="str">
            <v>SR4CE-SF3P4LDF (D00-PIP)</v>
          </cell>
          <cell r="O15950">
            <v>0</v>
          </cell>
          <cell r="T15950">
            <v>0</v>
          </cell>
        </row>
        <row r="15951">
          <cell r="A15951" t="str">
            <v>SINCLAIR</v>
          </cell>
          <cell r="B15951" t="str">
            <v>SR4CF-SF3P2LDF</v>
          </cell>
          <cell r="O15951"/>
          <cell r="T15951"/>
        </row>
        <row r="15952">
          <cell r="A15952" t="str">
            <v>SINCLAIR</v>
          </cell>
          <cell r="B15952" t="str">
            <v>SRL 420 NHD *3</v>
          </cell>
          <cell r="O15952"/>
          <cell r="T15952"/>
        </row>
        <row r="15953">
          <cell r="A15953" t="str">
            <v>SINCLAIR</v>
          </cell>
          <cell r="B15953" t="str">
            <v>SRL-101A</v>
          </cell>
          <cell r="O15953"/>
          <cell r="T15953"/>
        </row>
        <row r="15954">
          <cell r="A15954" t="str">
            <v>SINCLAIR</v>
          </cell>
          <cell r="B15954" t="str">
            <v>SRL-101C</v>
          </cell>
          <cell r="O15954"/>
          <cell r="T15954"/>
        </row>
        <row r="15955">
          <cell r="A15955" t="str">
            <v>SINCLAIR</v>
          </cell>
          <cell r="B15955" t="str">
            <v>SRL-206EB</v>
          </cell>
          <cell r="O15955"/>
          <cell r="T15955"/>
        </row>
        <row r="15956">
          <cell r="A15956" t="str">
            <v>SINCLAIR</v>
          </cell>
          <cell r="B15956" t="str">
            <v>SRL-210A</v>
          </cell>
          <cell r="O15956"/>
          <cell r="T15956"/>
        </row>
        <row r="15957">
          <cell r="A15957" t="str">
            <v>SINCLAIR</v>
          </cell>
          <cell r="B15957" t="str">
            <v>SRL-210C-2</v>
          </cell>
          <cell r="O15957"/>
          <cell r="T15957"/>
        </row>
        <row r="15958">
          <cell r="A15958" t="str">
            <v>SINCLAIR</v>
          </cell>
          <cell r="B15958" t="str">
            <v>SRL-210C-4</v>
          </cell>
          <cell r="O15958"/>
          <cell r="T15958"/>
        </row>
        <row r="15959">
          <cell r="A15959" t="str">
            <v>SINCLAIR</v>
          </cell>
          <cell r="B15959" t="str">
            <v>SRL-210C4-2</v>
          </cell>
          <cell r="O15959"/>
          <cell r="T15959"/>
        </row>
        <row r="15960">
          <cell r="A15960" t="str">
            <v>SINCLAIR</v>
          </cell>
          <cell r="B15960" t="str">
            <v>SRL-217</v>
          </cell>
          <cell r="O15960"/>
          <cell r="T15960"/>
        </row>
        <row r="15961">
          <cell r="A15961" t="str">
            <v>SINCLAIR</v>
          </cell>
          <cell r="B15961" t="str">
            <v>SRL-217-2</v>
          </cell>
          <cell r="O15961"/>
          <cell r="T15961"/>
        </row>
        <row r="15962">
          <cell r="A15962" t="str">
            <v>SINCLAIR</v>
          </cell>
          <cell r="B15962" t="str">
            <v>SRL-222</v>
          </cell>
          <cell r="O15962"/>
          <cell r="T15962"/>
        </row>
        <row r="15963">
          <cell r="A15963" t="str">
            <v>SINCLAIR</v>
          </cell>
          <cell r="B15963" t="str">
            <v>SRL-222NM-5</v>
          </cell>
          <cell r="O15963"/>
          <cell r="T15963"/>
        </row>
        <row r="15964">
          <cell r="A15964" t="str">
            <v>SINCLAIR</v>
          </cell>
          <cell r="B15964" t="str">
            <v>SRL-224-4</v>
          </cell>
          <cell r="O15964"/>
          <cell r="T15964"/>
        </row>
        <row r="15965">
          <cell r="A15965" t="str">
            <v>SINCLAIR</v>
          </cell>
          <cell r="B15965" t="str">
            <v>SRL-224-5</v>
          </cell>
          <cell r="O15965"/>
          <cell r="T15965"/>
        </row>
        <row r="15966">
          <cell r="A15966" t="str">
            <v>SINCLAIR</v>
          </cell>
          <cell r="B15966" t="str">
            <v>SRL-224NM-4</v>
          </cell>
          <cell r="O15966"/>
          <cell r="T15966"/>
        </row>
        <row r="15967">
          <cell r="A15967" t="str">
            <v>SINCLAIR</v>
          </cell>
          <cell r="B15967" t="str">
            <v>SRL-224NM-5</v>
          </cell>
          <cell r="O15967"/>
          <cell r="T15967"/>
        </row>
        <row r="15968">
          <cell r="A15968" t="str">
            <v>SINCLAIR</v>
          </cell>
          <cell r="B15968" t="str">
            <v>SRL-227</v>
          </cell>
          <cell r="O15968"/>
          <cell r="T15968"/>
        </row>
        <row r="15969">
          <cell r="A15969" t="str">
            <v>SINCLAIR</v>
          </cell>
          <cell r="B15969" t="str">
            <v>SRL-229</v>
          </cell>
          <cell r="O15969"/>
          <cell r="T15969"/>
        </row>
        <row r="15970">
          <cell r="A15970" t="str">
            <v>SINCLAIR</v>
          </cell>
          <cell r="B15970" t="str">
            <v>SRL-229-1590</v>
          </cell>
          <cell r="O15970"/>
          <cell r="T15970"/>
        </row>
        <row r="15971">
          <cell r="A15971" t="str">
            <v>SINCLAIR</v>
          </cell>
          <cell r="B15971" t="str">
            <v>SRL-235-2</v>
          </cell>
          <cell r="O15971"/>
          <cell r="T15971"/>
        </row>
        <row r="15972">
          <cell r="A15972" t="str">
            <v>SINCLAIR</v>
          </cell>
          <cell r="B15972" t="str">
            <v>SRL-301</v>
          </cell>
          <cell r="O15972"/>
          <cell r="T15972"/>
        </row>
        <row r="15973">
          <cell r="A15973" t="str">
            <v>SINCLAIR</v>
          </cell>
          <cell r="B15973" t="str">
            <v>SRL-307RC-HD</v>
          </cell>
          <cell r="O15973"/>
          <cell r="T15973"/>
        </row>
        <row r="15974">
          <cell r="A15974" t="str">
            <v>SINCLAIR</v>
          </cell>
          <cell r="B15974" t="str">
            <v>SRL-310C-4HD</v>
          </cell>
          <cell r="O15974"/>
          <cell r="T15974"/>
        </row>
        <row r="15975">
          <cell r="A15975" t="str">
            <v>SINCLAIR</v>
          </cell>
          <cell r="B15975" t="str">
            <v>SRL-310C-8HD</v>
          </cell>
          <cell r="O15975"/>
          <cell r="T15975"/>
        </row>
        <row r="15976">
          <cell r="A15976" t="str">
            <v>SINCLAIR</v>
          </cell>
          <cell r="B15976" t="str">
            <v>SRL-310C2/C2-2</v>
          </cell>
          <cell r="O15976"/>
          <cell r="T15976"/>
        </row>
        <row r="15977">
          <cell r="A15977" t="str">
            <v>SINCLAIR</v>
          </cell>
          <cell r="B15977" t="str">
            <v>SRL-310C8-4</v>
          </cell>
          <cell r="O15977"/>
          <cell r="T15977"/>
        </row>
        <row r="15978">
          <cell r="A15978" t="str">
            <v>SINCLAIR</v>
          </cell>
          <cell r="B15978" t="str">
            <v>SRL-310C802B</v>
          </cell>
          <cell r="O15978"/>
          <cell r="T15978"/>
        </row>
        <row r="15979">
          <cell r="A15979" t="str">
            <v>SINCLAIR</v>
          </cell>
          <cell r="B15979" t="str">
            <v>SRL-312</v>
          </cell>
          <cell r="O15979"/>
          <cell r="T15979"/>
        </row>
        <row r="15980">
          <cell r="A15980" t="str">
            <v>SINCLAIR</v>
          </cell>
          <cell r="B15980" t="str">
            <v>SRL-317</v>
          </cell>
          <cell r="O15980"/>
          <cell r="T15980"/>
        </row>
        <row r="15981">
          <cell r="A15981" t="str">
            <v>SINCLAIR</v>
          </cell>
          <cell r="B15981" t="str">
            <v>SRL-317_CCIV2</v>
          </cell>
          <cell r="O15981"/>
          <cell r="T15981"/>
        </row>
        <row r="15982">
          <cell r="A15982" t="str">
            <v>SINCLAIR</v>
          </cell>
          <cell r="B15982" t="str">
            <v>SRL-320</v>
          </cell>
          <cell r="O15982"/>
          <cell r="T15982"/>
        </row>
        <row r="15983">
          <cell r="A15983" t="str">
            <v>SINCLAIR</v>
          </cell>
          <cell r="B15983" t="str">
            <v>SRL-320-3</v>
          </cell>
          <cell r="O15983"/>
          <cell r="T15983"/>
        </row>
        <row r="15984">
          <cell r="A15984" t="str">
            <v>SINCLAIR</v>
          </cell>
          <cell r="B15984" t="str">
            <v>SRL-369</v>
          </cell>
          <cell r="O15984"/>
          <cell r="T15984"/>
        </row>
        <row r="15985">
          <cell r="A15985" t="str">
            <v>SINCLAIR</v>
          </cell>
          <cell r="B15985" t="str">
            <v>SRL-406HD</v>
          </cell>
          <cell r="O15985"/>
          <cell r="T15985"/>
        </row>
        <row r="15986">
          <cell r="A15986" t="str">
            <v>SINCLAIR</v>
          </cell>
          <cell r="B15986" t="str">
            <v>SRL-410C-18</v>
          </cell>
          <cell r="O15986">
            <v>5.3272352568626902</v>
          </cell>
          <cell r="T15986">
            <v>14.8181213769097</v>
          </cell>
        </row>
        <row r="15987">
          <cell r="A15987" t="str">
            <v>SINCLAIR</v>
          </cell>
          <cell r="B15987" t="str">
            <v>SRL-410C-2</v>
          </cell>
          <cell r="O15987">
            <v>0.56091006192142201</v>
          </cell>
          <cell r="T15987">
            <v>1.5639885642357398</v>
          </cell>
        </row>
        <row r="15988">
          <cell r="A15988" t="str">
            <v>SINCLAIR</v>
          </cell>
          <cell r="B15988" t="str">
            <v>SRL-410C-4</v>
          </cell>
          <cell r="O15988">
            <v>1.1379872573521199</v>
          </cell>
          <cell r="T15988">
            <v>3.1701012638025396</v>
          </cell>
        </row>
        <row r="15989">
          <cell r="A15989" t="str">
            <v>SINCLAIR</v>
          </cell>
          <cell r="B15989" t="str">
            <v>SRL-410C-4R105</v>
          </cell>
          <cell r="O15989"/>
          <cell r="T15989"/>
        </row>
        <row r="15990">
          <cell r="A15990" t="str">
            <v>SINCLAIR</v>
          </cell>
          <cell r="B15990" t="str">
            <v>SRL-410C-4R130</v>
          </cell>
          <cell r="O15990"/>
          <cell r="T15990"/>
        </row>
        <row r="15991">
          <cell r="A15991" t="str">
            <v>SINCLAIR</v>
          </cell>
          <cell r="B15991" t="str">
            <v>SRL-410C-4R90</v>
          </cell>
          <cell r="O15991"/>
          <cell r="T15991"/>
        </row>
        <row r="15992">
          <cell r="A15992" t="str">
            <v>SINCLAIR</v>
          </cell>
          <cell r="B15992" t="str">
            <v>SRL-410C-4RXN</v>
          </cell>
          <cell r="O15992"/>
          <cell r="T15992"/>
        </row>
        <row r="15993">
          <cell r="A15993" t="str">
            <v>SINCLAIR</v>
          </cell>
          <cell r="B15993" t="str">
            <v>SRL-410C-4RXN*1</v>
          </cell>
          <cell r="O15993"/>
          <cell r="T15993"/>
        </row>
        <row r="15994">
          <cell r="A15994" t="str">
            <v>SINCLAIR</v>
          </cell>
          <cell r="B15994" t="str">
            <v>SRL-410C-4RXN-1</v>
          </cell>
          <cell r="O15994">
            <v>1.1410328609915901</v>
          </cell>
          <cell r="T15994">
            <v>3.5492776797671604</v>
          </cell>
        </row>
        <row r="15995">
          <cell r="A15995" t="str">
            <v>SINCLAIR</v>
          </cell>
          <cell r="B15995" t="str">
            <v>SRL-410C-9</v>
          </cell>
          <cell r="O15995">
            <v>2.5842678360722102</v>
          </cell>
          <cell r="T15995">
            <v>7.1945799135004496</v>
          </cell>
        </row>
        <row r="15996">
          <cell r="A15996" t="str">
            <v>SINCLAIR</v>
          </cell>
          <cell r="B15996" t="str">
            <v>SRL-410C-912</v>
          </cell>
          <cell r="O15996"/>
          <cell r="T15996"/>
        </row>
        <row r="15997">
          <cell r="A15997" t="str">
            <v>SINCLAIR</v>
          </cell>
          <cell r="B15997" t="str">
            <v>SRL-410C-9N41</v>
          </cell>
          <cell r="O15997">
            <v>2.5842678360722102</v>
          </cell>
          <cell r="T15997">
            <v>7.1945799135004496</v>
          </cell>
        </row>
        <row r="15998">
          <cell r="A15998" t="str">
            <v>SINCLAIR</v>
          </cell>
          <cell r="B15998" t="str">
            <v>SRL-410C-9R130</v>
          </cell>
          <cell r="O15998"/>
          <cell r="T15998"/>
        </row>
        <row r="15999">
          <cell r="A15999" t="str">
            <v>SINCLAIR</v>
          </cell>
          <cell r="B15999" t="str">
            <v>SRL-410C-9R160</v>
          </cell>
          <cell r="O15999"/>
          <cell r="T15999"/>
        </row>
        <row r="16000">
          <cell r="A16000" t="str">
            <v>SINCLAIR</v>
          </cell>
          <cell r="B16000" t="str">
            <v>SRL-410C-9R60</v>
          </cell>
          <cell r="O16000"/>
          <cell r="T16000"/>
        </row>
        <row r="16001">
          <cell r="A16001" t="str">
            <v>SINCLAIR</v>
          </cell>
          <cell r="B16001" t="str">
            <v>SRL-410C9-R105</v>
          </cell>
          <cell r="O16001"/>
          <cell r="T16001"/>
        </row>
        <row r="16002">
          <cell r="A16002" t="str">
            <v>SINCLAIR</v>
          </cell>
          <cell r="B16002" t="str">
            <v>SRL-411C-4RXN-1</v>
          </cell>
          <cell r="O16002"/>
          <cell r="T16002"/>
        </row>
        <row r="16003">
          <cell r="A16003" t="str">
            <v>SINCLAIR</v>
          </cell>
          <cell r="B16003" t="str">
            <v>SRL-411C-9R</v>
          </cell>
          <cell r="O16003"/>
          <cell r="T16003"/>
        </row>
        <row r="16004">
          <cell r="A16004" t="str">
            <v>SINCLAIR</v>
          </cell>
          <cell r="B16004" t="str">
            <v>SRL-411C-9R130</v>
          </cell>
          <cell r="O16004"/>
          <cell r="T16004"/>
        </row>
        <row r="16005">
          <cell r="A16005" t="str">
            <v>SINCLAIR</v>
          </cell>
          <cell r="B16005" t="str">
            <v>SRL-411C-9RXN-1</v>
          </cell>
          <cell r="O16005"/>
          <cell r="T16005"/>
        </row>
        <row r="16006">
          <cell r="A16006" t="str">
            <v>SINCLAIR</v>
          </cell>
          <cell r="B16006" t="str">
            <v>SRL-41P</v>
          </cell>
          <cell r="O16006"/>
          <cell r="T16006"/>
        </row>
        <row r="16007">
          <cell r="A16007" t="str">
            <v>SINCLAIR</v>
          </cell>
          <cell r="B16007" t="str">
            <v>SRL-420</v>
          </cell>
          <cell r="O16007"/>
          <cell r="T16007"/>
        </row>
        <row r="16008">
          <cell r="A16008" t="str">
            <v>SINCLAIR</v>
          </cell>
          <cell r="B16008" t="str">
            <v>SRL-420-1</v>
          </cell>
          <cell r="O16008"/>
          <cell r="T16008"/>
        </row>
        <row r="16009">
          <cell r="A16009" t="str">
            <v>SINCLAIR</v>
          </cell>
          <cell r="B16009" t="str">
            <v>SRL-420HD</v>
          </cell>
          <cell r="O16009"/>
          <cell r="T16009"/>
        </row>
        <row r="16010">
          <cell r="A16010" t="str">
            <v>SINCLAIR</v>
          </cell>
          <cell r="B16010" t="str">
            <v>SRL-420NHD</v>
          </cell>
          <cell r="O16010"/>
          <cell r="T16010"/>
        </row>
        <row r="16011">
          <cell r="A16011" t="str">
            <v>SINCLAIR</v>
          </cell>
          <cell r="B16011" t="str">
            <v>SRL-420NHD-1</v>
          </cell>
          <cell r="O16011"/>
          <cell r="T16011"/>
        </row>
        <row r="16012">
          <cell r="A16012" t="str">
            <v>SINCLAIR</v>
          </cell>
          <cell r="B16012" t="str">
            <v>SRL-420NHD-3</v>
          </cell>
          <cell r="O16012"/>
          <cell r="T16012"/>
        </row>
        <row r="16013">
          <cell r="A16013" t="str">
            <v>SINCLAIR</v>
          </cell>
          <cell r="B16013" t="str">
            <v>SRL-441/P</v>
          </cell>
          <cell r="O16013"/>
          <cell r="T16013"/>
        </row>
        <row r="16014">
          <cell r="A16014" t="str">
            <v>SINCLAIR</v>
          </cell>
          <cell r="B16014" t="str">
            <v>SRL-460</v>
          </cell>
          <cell r="O16014"/>
          <cell r="T16014"/>
        </row>
        <row r="16015">
          <cell r="A16015" t="str">
            <v>SINCLAIR</v>
          </cell>
          <cell r="B16015" t="str">
            <v>SRL-4702</v>
          </cell>
          <cell r="O16015"/>
          <cell r="T16015"/>
        </row>
        <row r="16016">
          <cell r="A16016" t="str">
            <v>SINCLAIR</v>
          </cell>
          <cell r="B16016" t="str">
            <v>SRL-480</v>
          </cell>
          <cell r="O16016"/>
          <cell r="T16016"/>
        </row>
        <row r="16017">
          <cell r="A16017" t="str">
            <v>SINCLAIR</v>
          </cell>
          <cell r="B16017" t="str">
            <v>SRL-480N-1</v>
          </cell>
          <cell r="O16017"/>
          <cell r="T16017"/>
        </row>
        <row r="16018">
          <cell r="A16018" t="str">
            <v>SINCLAIR</v>
          </cell>
          <cell r="B16018" t="str">
            <v>SRL-480N-2DT2</v>
          </cell>
          <cell r="O16018"/>
          <cell r="T16018"/>
        </row>
        <row r="16019">
          <cell r="A16019" t="str">
            <v>SINCLAIR</v>
          </cell>
          <cell r="B16019" t="str">
            <v>SRL-480N-2DT4</v>
          </cell>
          <cell r="O16019"/>
          <cell r="T16019"/>
        </row>
        <row r="16020">
          <cell r="A16020" t="str">
            <v>SINCLAIR</v>
          </cell>
          <cell r="B16020" t="str">
            <v>SRL-480N-2DT4INV</v>
          </cell>
          <cell r="O16020"/>
          <cell r="T16020"/>
        </row>
        <row r="16021">
          <cell r="A16021" t="str">
            <v>SINCLAIR</v>
          </cell>
          <cell r="B16021" t="str">
            <v>SRL-480N-3</v>
          </cell>
          <cell r="O16021"/>
          <cell r="T16021"/>
        </row>
        <row r="16022">
          <cell r="A16022" t="str">
            <v>SINCLAIR</v>
          </cell>
          <cell r="B16022" t="str">
            <v>SRL-480N-DT2</v>
          </cell>
          <cell r="O16022"/>
          <cell r="T16022"/>
        </row>
        <row r="16023">
          <cell r="A16023" t="str">
            <v>SINCLAIR</v>
          </cell>
          <cell r="B16023" t="str">
            <v>SRL-480N2DT2</v>
          </cell>
          <cell r="O16023"/>
          <cell r="T16023"/>
        </row>
        <row r="16024">
          <cell r="A16024" t="str">
            <v>SINCLAIR</v>
          </cell>
          <cell r="B16024" t="str">
            <v>SRL-488</v>
          </cell>
          <cell r="O16024"/>
          <cell r="T16024"/>
        </row>
        <row r="16025">
          <cell r="A16025" t="str">
            <v>SINCLAIR</v>
          </cell>
          <cell r="B16025" t="str">
            <v>SRL-488D-2DT2</v>
          </cell>
          <cell r="O16025"/>
          <cell r="T16025"/>
        </row>
        <row r="16026">
          <cell r="A16026" t="str">
            <v>SINCLAIR</v>
          </cell>
          <cell r="B16026" t="str">
            <v>SRL-488DT</v>
          </cell>
          <cell r="O16026"/>
          <cell r="T16026"/>
        </row>
        <row r="16027">
          <cell r="A16027" t="str">
            <v>SINCLAIR</v>
          </cell>
          <cell r="B16027" t="str">
            <v>SRL-488N</v>
          </cell>
          <cell r="O16027"/>
          <cell r="T16027"/>
        </row>
        <row r="16028">
          <cell r="A16028" t="str">
            <v>SINCLAIR</v>
          </cell>
          <cell r="B16028" t="str">
            <v>SRL-488N-1</v>
          </cell>
          <cell r="O16028"/>
          <cell r="T16028"/>
        </row>
        <row r="16029">
          <cell r="A16029" t="str">
            <v>SINCLAIR</v>
          </cell>
          <cell r="B16029" t="str">
            <v>SRL-488N-2</v>
          </cell>
          <cell r="O16029"/>
          <cell r="T16029"/>
        </row>
        <row r="16030">
          <cell r="A16030" t="str">
            <v>SINCLAIR</v>
          </cell>
          <cell r="B16030" t="str">
            <v>SRL-488N-2DT2</v>
          </cell>
          <cell r="O16030"/>
          <cell r="T16030"/>
        </row>
        <row r="16031">
          <cell r="A16031" t="str">
            <v>SINCLAIR</v>
          </cell>
          <cell r="B16031" t="str">
            <v>SRL-488N1DT2</v>
          </cell>
          <cell r="O16031"/>
          <cell r="T16031"/>
        </row>
        <row r="16032">
          <cell r="A16032" t="str">
            <v>SINCLAIR</v>
          </cell>
          <cell r="B16032" t="str">
            <v>SRL-488N1DT4</v>
          </cell>
          <cell r="O16032"/>
          <cell r="T16032"/>
        </row>
        <row r="16033">
          <cell r="A16033" t="str">
            <v>SINCLAIR</v>
          </cell>
          <cell r="B16033" t="str">
            <v>SRL-489-DT2</v>
          </cell>
          <cell r="O16033"/>
          <cell r="T16033"/>
        </row>
        <row r="16034">
          <cell r="A16034" t="str">
            <v>SINCLAIR</v>
          </cell>
          <cell r="B16034" t="str">
            <v>SRL-493</v>
          </cell>
          <cell r="O16034"/>
          <cell r="T16034"/>
        </row>
        <row r="16035">
          <cell r="A16035" t="str">
            <v>SINCLAIR</v>
          </cell>
          <cell r="B16035" t="str">
            <v>SRL-591-N</v>
          </cell>
          <cell r="O16035"/>
          <cell r="T16035"/>
        </row>
        <row r="16036">
          <cell r="A16036" t="str">
            <v>SINCLAIR</v>
          </cell>
          <cell r="B16036" t="str">
            <v>SRL222NM-5</v>
          </cell>
          <cell r="O16036"/>
          <cell r="T16036"/>
        </row>
        <row r="16037">
          <cell r="A16037" t="str">
            <v>SINCLAIR</v>
          </cell>
          <cell r="B16037" t="str">
            <v>SRL224-5</v>
          </cell>
          <cell r="O16037"/>
          <cell r="T16037"/>
        </row>
        <row r="16038">
          <cell r="A16038" t="str">
            <v>SINCLAIR</v>
          </cell>
          <cell r="B16038" t="str">
            <v>SRL229</v>
          </cell>
          <cell r="O16038"/>
          <cell r="T16038"/>
        </row>
        <row r="16039">
          <cell r="A16039" t="str">
            <v>SINCLAIR</v>
          </cell>
          <cell r="B16039" t="str">
            <v>SRL229-1590</v>
          </cell>
          <cell r="O16039"/>
          <cell r="T16039"/>
        </row>
        <row r="16040">
          <cell r="A16040" t="str">
            <v>SINCLAIR</v>
          </cell>
          <cell r="B16040" t="str">
            <v>SRL229-2225</v>
          </cell>
          <cell r="O16040"/>
          <cell r="T16040"/>
        </row>
        <row r="16041">
          <cell r="A16041" t="str">
            <v>SINCLAIR</v>
          </cell>
          <cell r="B16041" t="str">
            <v>SRL229NM-2210</v>
          </cell>
          <cell r="O16041"/>
          <cell r="T16041"/>
        </row>
        <row r="16042">
          <cell r="A16042" t="str">
            <v>SINCLAIR</v>
          </cell>
          <cell r="B16042" t="str">
            <v>SRL240NHD-3</v>
          </cell>
          <cell r="O16042"/>
          <cell r="T16042"/>
        </row>
        <row r="16043">
          <cell r="A16043" t="str">
            <v>SINCLAIR</v>
          </cell>
          <cell r="B16043" t="str">
            <v>SRL310C4</v>
          </cell>
          <cell r="O16043"/>
          <cell r="T16043"/>
        </row>
        <row r="16044">
          <cell r="A16044" t="str">
            <v>SINCLAIR</v>
          </cell>
          <cell r="B16044" t="str">
            <v>SRL320*4</v>
          </cell>
          <cell r="O16044"/>
          <cell r="T16044"/>
        </row>
        <row r="16045">
          <cell r="A16045" t="str">
            <v>SINCLAIR</v>
          </cell>
          <cell r="B16045" t="str">
            <v>SRL406-HD</v>
          </cell>
          <cell r="O16045"/>
          <cell r="T16045"/>
        </row>
        <row r="16046">
          <cell r="A16046" t="str">
            <v>SINCLAIR</v>
          </cell>
          <cell r="B16046" t="str">
            <v>SRL406RCHD*3</v>
          </cell>
          <cell r="O16046"/>
          <cell r="T16046"/>
        </row>
        <row r="16047">
          <cell r="A16047" t="str">
            <v>SINCLAIR</v>
          </cell>
          <cell r="B16047" t="str">
            <v>SRL410-C9RX</v>
          </cell>
          <cell r="O16047"/>
          <cell r="T16047"/>
        </row>
        <row r="16048">
          <cell r="A16048" t="str">
            <v>SINCLAIR</v>
          </cell>
          <cell r="B16048" t="str">
            <v>SRL4100-9R60</v>
          </cell>
          <cell r="O16048"/>
          <cell r="T16048"/>
        </row>
        <row r="16049">
          <cell r="A16049" t="str">
            <v>SINCLAIR</v>
          </cell>
          <cell r="B16049" t="str">
            <v>SRL410C*9*1</v>
          </cell>
          <cell r="O16049"/>
          <cell r="T16049"/>
        </row>
        <row r="16050">
          <cell r="A16050" t="str">
            <v>SINCLAIR</v>
          </cell>
          <cell r="B16050" t="str">
            <v>SRL410C-4-1</v>
          </cell>
          <cell r="O16050"/>
          <cell r="T16050"/>
        </row>
        <row r="16051">
          <cell r="A16051" t="str">
            <v>SINCLAIR</v>
          </cell>
          <cell r="B16051" t="str">
            <v>SRL410C-9R130</v>
          </cell>
          <cell r="O16051"/>
          <cell r="T16051"/>
        </row>
        <row r="16052">
          <cell r="A16052" t="str">
            <v>SINCLAIR</v>
          </cell>
          <cell r="B16052" t="str">
            <v>SRL410C4RXN*1</v>
          </cell>
          <cell r="O16052"/>
          <cell r="T16052"/>
        </row>
        <row r="16053">
          <cell r="A16053" t="str">
            <v>SINCLAIR</v>
          </cell>
          <cell r="B16053" t="str">
            <v>SRL410C9*4*1</v>
          </cell>
          <cell r="O16053"/>
          <cell r="T16053"/>
        </row>
        <row r="16054">
          <cell r="A16054" t="str">
            <v>SINCLAIR</v>
          </cell>
          <cell r="B16054" t="str">
            <v>SRL410C9N</v>
          </cell>
          <cell r="O16054"/>
          <cell r="T16054"/>
        </row>
        <row r="16055">
          <cell r="A16055" t="str">
            <v>SINCLAIR</v>
          </cell>
          <cell r="B16055" t="str">
            <v>SRL4110-9RXN</v>
          </cell>
          <cell r="O16055"/>
          <cell r="T16055"/>
        </row>
        <row r="16056">
          <cell r="A16056" t="str">
            <v>SINCLAIR</v>
          </cell>
          <cell r="B16056" t="str">
            <v>SRL411C-9N-4-1</v>
          </cell>
          <cell r="O16056"/>
          <cell r="T16056"/>
        </row>
        <row r="16057">
          <cell r="A16057" t="str">
            <v>SINCLAIR</v>
          </cell>
          <cell r="B16057" t="str">
            <v>SRL411C4L4</v>
          </cell>
          <cell r="O16057"/>
          <cell r="T16057"/>
        </row>
        <row r="16058">
          <cell r="A16058" t="str">
            <v>SINCLAIR</v>
          </cell>
          <cell r="B16058" t="str">
            <v>SRL411C4RX</v>
          </cell>
          <cell r="O16058"/>
          <cell r="T16058"/>
        </row>
        <row r="16059">
          <cell r="A16059" t="str">
            <v>SINCLAIR</v>
          </cell>
          <cell r="B16059" t="str">
            <v>SRL411C9N-2-1</v>
          </cell>
          <cell r="O16059"/>
          <cell r="T16059"/>
        </row>
        <row r="16060">
          <cell r="A16060" t="str">
            <v>SINCLAIR</v>
          </cell>
          <cell r="B16060" t="str">
            <v>SRL411C9N-4-1</v>
          </cell>
          <cell r="O16060"/>
          <cell r="T16060"/>
        </row>
        <row r="16061">
          <cell r="A16061" t="str">
            <v>SINCLAIR</v>
          </cell>
          <cell r="B16061" t="str">
            <v>SRL411C9RVN41</v>
          </cell>
          <cell r="O16061"/>
          <cell r="T16061"/>
        </row>
        <row r="16062">
          <cell r="A16062" t="str">
            <v>SINCLAIR</v>
          </cell>
          <cell r="B16062" t="str">
            <v>SRL411C9RX</v>
          </cell>
          <cell r="O16062"/>
          <cell r="T16062"/>
        </row>
        <row r="16063">
          <cell r="A16063" t="str">
            <v>SINCLAIR</v>
          </cell>
          <cell r="B16063" t="str">
            <v>SRL411C9RX-R105</v>
          </cell>
          <cell r="O16063"/>
          <cell r="T16063"/>
        </row>
        <row r="16064">
          <cell r="A16064" t="str">
            <v>SINCLAIR</v>
          </cell>
          <cell r="B16064" t="str">
            <v>SRL411C9RXN-1</v>
          </cell>
          <cell r="O16064"/>
          <cell r="T16064"/>
        </row>
        <row r="16065">
          <cell r="A16065" t="str">
            <v>SINCLAIR</v>
          </cell>
          <cell r="B16065" t="str">
            <v>SRL420</v>
          </cell>
          <cell r="O16065"/>
          <cell r="T16065"/>
        </row>
        <row r="16066">
          <cell r="A16066" t="str">
            <v>SINCLAIR</v>
          </cell>
          <cell r="B16066" t="str">
            <v>SRL420-NHD-3</v>
          </cell>
          <cell r="O16066"/>
          <cell r="T16066"/>
        </row>
        <row r="16067">
          <cell r="A16067" t="str">
            <v>SINCLAIR</v>
          </cell>
          <cell r="B16067" t="str">
            <v>SRL420NED.1</v>
          </cell>
          <cell r="O16067"/>
          <cell r="T16067"/>
        </row>
        <row r="16068">
          <cell r="A16068" t="str">
            <v>SINCLAIR</v>
          </cell>
          <cell r="B16068" t="str">
            <v>SRL420NHD-1</v>
          </cell>
          <cell r="O16068"/>
          <cell r="T16068"/>
        </row>
        <row r="16069">
          <cell r="A16069" t="str">
            <v>SINCLAIR</v>
          </cell>
          <cell r="B16069" t="str">
            <v>SRL420NHD-3</v>
          </cell>
          <cell r="O16069"/>
          <cell r="T16069"/>
        </row>
        <row r="16070">
          <cell r="A16070" t="str">
            <v>SINCLAIR</v>
          </cell>
          <cell r="B16070" t="str">
            <v>SRL420NHD1</v>
          </cell>
          <cell r="O16070"/>
          <cell r="T16070"/>
        </row>
        <row r="16071">
          <cell r="A16071" t="str">
            <v>SINCLAIR</v>
          </cell>
          <cell r="B16071" t="str">
            <v>SRL480N*2DT2</v>
          </cell>
          <cell r="O16071"/>
          <cell r="T16071"/>
        </row>
        <row r="16072">
          <cell r="A16072" t="str">
            <v>SINCLAIR</v>
          </cell>
          <cell r="B16072" t="str">
            <v>SRL480N1DT4</v>
          </cell>
          <cell r="O16072"/>
          <cell r="T16072"/>
        </row>
        <row r="16073">
          <cell r="A16073" t="str">
            <v>SINCLAIR</v>
          </cell>
          <cell r="B16073" t="str">
            <v>SRL480NDT2*1</v>
          </cell>
          <cell r="O16073"/>
          <cell r="T16073"/>
        </row>
        <row r="16074">
          <cell r="A16074" t="str">
            <v>SINCLAIR</v>
          </cell>
          <cell r="B16074" t="str">
            <v>SRL480NDT2*2-1</v>
          </cell>
          <cell r="O16074"/>
          <cell r="T16074"/>
        </row>
        <row r="16075">
          <cell r="A16075" t="str">
            <v>SINCLAIR</v>
          </cell>
          <cell r="B16075" t="str">
            <v>SRL480NDT2*Z</v>
          </cell>
          <cell r="O16075"/>
          <cell r="T16075"/>
        </row>
        <row r="16076">
          <cell r="A16076" t="str">
            <v>SINCLAIR</v>
          </cell>
          <cell r="B16076" t="str">
            <v>SRL480NPR-2</v>
          </cell>
          <cell r="O16076"/>
          <cell r="T16076"/>
        </row>
        <row r="16077">
          <cell r="A16077" t="str">
            <v>SINCLAIR</v>
          </cell>
          <cell r="B16077" t="str">
            <v>SRL488DT2-2</v>
          </cell>
          <cell r="O16077"/>
          <cell r="T16077"/>
        </row>
        <row r="16078">
          <cell r="A16078" t="str">
            <v>SINCLAIR</v>
          </cell>
          <cell r="B16078" t="str">
            <v>SRL488N</v>
          </cell>
          <cell r="O16078"/>
          <cell r="T16078"/>
        </row>
        <row r="16079">
          <cell r="A16079" t="str">
            <v>SINCLAIR</v>
          </cell>
          <cell r="B16079" t="str">
            <v>SRL488NDT2-2</v>
          </cell>
          <cell r="O16079"/>
          <cell r="T16079"/>
        </row>
        <row r="16080">
          <cell r="A16080" t="str">
            <v>SINCLAIR</v>
          </cell>
          <cell r="B16080" t="str">
            <v>SRLY20NHD-31</v>
          </cell>
          <cell r="O16080"/>
          <cell r="T16080"/>
        </row>
        <row r="16081">
          <cell r="A16081" t="str">
            <v>SINCLAIR</v>
          </cell>
          <cell r="B16081" t="str">
            <v>SRT488NUD11-22</v>
          </cell>
          <cell r="O16081"/>
          <cell r="T16081"/>
        </row>
        <row r="16082">
          <cell r="A16082" t="str">
            <v>SINCLAIR</v>
          </cell>
          <cell r="B16082" t="str">
            <v>SSI800285P214</v>
          </cell>
          <cell r="O16082"/>
          <cell r="T16082"/>
        </row>
        <row r="16083">
          <cell r="A16083" t="str">
            <v>SINCLAIR</v>
          </cell>
          <cell r="B16083" t="str">
            <v>SSI800285P217</v>
          </cell>
          <cell r="O16083"/>
          <cell r="T16083"/>
        </row>
        <row r="16084">
          <cell r="A16084" t="str">
            <v>SINCLAIR</v>
          </cell>
          <cell r="B16084" t="str">
            <v>SSI800285P587</v>
          </cell>
          <cell r="O16084"/>
          <cell r="T16084"/>
        </row>
        <row r="16085">
          <cell r="A16085" t="str">
            <v>SINCLAIR</v>
          </cell>
          <cell r="B16085" t="str">
            <v>SSI800285P593</v>
          </cell>
          <cell r="O16085"/>
          <cell r="T16085"/>
        </row>
        <row r="16086">
          <cell r="A16086" t="str">
            <v>SINCLAIR</v>
          </cell>
          <cell r="B16086" t="str">
            <v>SSI805203O494_19</v>
          </cell>
          <cell r="O16086"/>
          <cell r="T16086"/>
        </row>
        <row r="16087">
          <cell r="A16087" t="str">
            <v>SINCLAIR</v>
          </cell>
          <cell r="B16087" t="str">
            <v>SSI805622O514_10</v>
          </cell>
          <cell r="O16087"/>
          <cell r="T16087"/>
        </row>
        <row r="16088">
          <cell r="A16088" t="str">
            <v>SINCLAIR</v>
          </cell>
          <cell r="B16088" t="str">
            <v>SSI805717-10</v>
          </cell>
          <cell r="O16088"/>
          <cell r="T16088"/>
        </row>
        <row r="16089">
          <cell r="A16089" t="str">
            <v>SINCLAIR</v>
          </cell>
          <cell r="B16089" t="str">
            <v>SSI805717-20</v>
          </cell>
          <cell r="O16089"/>
          <cell r="T16089"/>
        </row>
        <row r="16090">
          <cell r="A16090" t="str">
            <v>SINCLAIR</v>
          </cell>
          <cell r="B16090" t="str">
            <v>SSI805721-15OMNI</v>
          </cell>
          <cell r="O16090"/>
          <cell r="T16090"/>
        </row>
        <row r="16091">
          <cell r="A16091" t="str">
            <v>SINCLAIR</v>
          </cell>
          <cell r="B16091" t="str">
            <v>SSI806029-8PANEL</v>
          </cell>
          <cell r="O16091"/>
          <cell r="T16091"/>
        </row>
        <row r="16092">
          <cell r="A16092" t="str">
            <v>SINCLAIR</v>
          </cell>
          <cell r="B16092" t="str">
            <v>SSI806065O 53</v>
          </cell>
          <cell r="O16092"/>
          <cell r="T16092"/>
        </row>
        <row r="16093">
          <cell r="A16093" t="str">
            <v>SINCLAIR</v>
          </cell>
          <cell r="B16093" t="str">
            <v>SSI814053P271</v>
          </cell>
          <cell r="O16093"/>
          <cell r="T16093"/>
        </row>
        <row r="16094">
          <cell r="A16094" t="str">
            <v>SINCLAIR</v>
          </cell>
          <cell r="B16094" t="str">
            <v>SSI814603P253</v>
          </cell>
          <cell r="O16094"/>
          <cell r="T16094"/>
        </row>
        <row r="16095">
          <cell r="A16095" t="str">
            <v>SINCLAIR</v>
          </cell>
          <cell r="B16095" t="str">
            <v>SSI814616O177</v>
          </cell>
          <cell r="O16095"/>
          <cell r="T16095"/>
        </row>
        <row r="16096">
          <cell r="A16096" t="str">
            <v>SINCLAIR</v>
          </cell>
          <cell r="B16096" t="str">
            <v>SSI814872O147</v>
          </cell>
          <cell r="O16096"/>
          <cell r="T16096"/>
        </row>
        <row r="16097">
          <cell r="A16097" t="str">
            <v>SINCLAIR</v>
          </cell>
          <cell r="B16097" t="str">
            <v>SSI814987O335</v>
          </cell>
          <cell r="O16097"/>
          <cell r="T16097"/>
        </row>
        <row r="16098">
          <cell r="A16098" t="str">
            <v>SINCLAIR</v>
          </cell>
          <cell r="B16098" t="str">
            <v>SSI815689O180</v>
          </cell>
          <cell r="O16098"/>
          <cell r="T16098"/>
        </row>
        <row r="16099">
          <cell r="A16099" t="str">
            <v>SINCLAIR</v>
          </cell>
          <cell r="B16099" t="str">
            <v>SV228-HF2SNM</v>
          </cell>
          <cell r="O16099"/>
          <cell r="T16099"/>
        </row>
        <row r="16100">
          <cell r="A16100" t="str">
            <v>SINCLAIR</v>
          </cell>
          <cell r="B16100" t="str">
            <v>SV302-HF1SNM</v>
          </cell>
          <cell r="O16100"/>
          <cell r="T16100"/>
        </row>
        <row r="16101">
          <cell r="A16101" t="str">
            <v>SINCLAIR</v>
          </cell>
          <cell r="B16101" t="str">
            <v>SY203</v>
          </cell>
          <cell r="O16101"/>
          <cell r="T16101"/>
        </row>
        <row r="16102">
          <cell r="A16102" t="str">
            <v>SINCLAIR</v>
          </cell>
          <cell r="B16102" t="str">
            <v>SY206-SF11SNM(U)</v>
          </cell>
          <cell r="O16102"/>
          <cell r="T16102"/>
        </row>
        <row r="16103">
          <cell r="A16103" t="str">
            <v>SINCLAIR</v>
          </cell>
          <cell r="B16103" t="str">
            <v>SY206-SF1SNM(C)</v>
          </cell>
          <cell r="O16103"/>
          <cell r="T16103"/>
        </row>
        <row r="16104">
          <cell r="A16104" t="str">
            <v>SINCLAIR</v>
          </cell>
          <cell r="B16104" t="str">
            <v>SY206-SF2SNM(E)</v>
          </cell>
          <cell r="O16104"/>
          <cell r="T16104"/>
        </row>
        <row r="16105">
          <cell r="A16105" t="str">
            <v>SINCLAIR</v>
          </cell>
          <cell r="B16105" t="str">
            <v>SY206EB</v>
          </cell>
          <cell r="O16105"/>
          <cell r="T16105"/>
        </row>
        <row r="16106">
          <cell r="A16106" t="str">
            <v>SINCLAIR</v>
          </cell>
          <cell r="B16106" t="str">
            <v>SY303-SF2SNM</v>
          </cell>
          <cell r="O16106"/>
          <cell r="T16106"/>
        </row>
        <row r="16107">
          <cell r="A16107" t="str">
            <v>SINCLAIR</v>
          </cell>
          <cell r="B16107" t="str">
            <v>SY307</v>
          </cell>
          <cell r="O16107"/>
          <cell r="T16107"/>
        </row>
        <row r="16108">
          <cell r="A16108" t="str">
            <v>SINCLAIR</v>
          </cell>
          <cell r="B16108" t="str">
            <v>SY307-SF3SNF</v>
          </cell>
          <cell r="O16108"/>
          <cell r="T16108"/>
        </row>
        <row r="16109">
          <cell r="A16109" t="str">
            <v>SINCLAIR</v>
          </cell>
          <cell r="B16109" t="str">
            <v>SY307-SF3SNM(ABK)</v>
          </cell>
          <cell r="O16109"/>
          <cell r="T16109"/>
        </row>
        <row r="16110">
          <cell r="A16110" t="str">
            <v>SINCLAIR</v>
          </cell>
          <cell r="B16110" t="str">
            <v>SY307-SF9SNM(ABK)</v>
          </cell>
          <cell r="O16110"/>
          <cell r="T16110"/>
        </row>
        <row r="16111">
          <cell r="A16111" t="str">
            <v>SINCLAIR</v>
          </cell>
          <cell r="B16111" t="str">
            <v>SY3072</v>
          </cell>
          <cell r="O16111"/>
          <cell r="T16111"/>
        </row>
        <row r="16112">
          <cell r="A16112" t="str">
            <v>SINCLAIR</v>
          </cell>
          <cell r="B16112" t="str">
            <v>SY3074-SF3SNM(ABK)</v>
          </cell>
          <cell r="O16112"/>
          <cell r="T16112"/>
        </row>
        <row r="16113">
          <cell r="A16113" t="str">
            <v>SINCLAIR</v>
          </cell>
          <cell r="B16113" t="str">
            <v>SY350-SFXSNM</v>
          </cell>
          <cell r="O16113"/>
          <cell r="T16113"/>
        </row>
        <row r="16114">
          <cell r="A16114" t="str">
            <v>SINCLAIR</v>
          </cell>
          <cell r="B16114" t="str">
            <v>SY406-SF1SNM</v>
          </cell>
          <cell r="O16114"/>
          <cell r="T16114"/>
        </row>
        <row r="16115">
          <cell r="A16115" t="str">
            <v>SINCLAIR</v>
          </cell>
          <cell r="B16115" t="str">
            <v>SY406-SF3SNM(ABK)</v>
          </cell>
          <cell r="O16115"/>
          <cell r="T16115"/>
        </row>
        <row r="16116">
          <cell r="A16116" t="str">
            <v>SINCLAIR</v>
          </cell>
          <cell r="B16116" t="str">
            <v>SY406R-HF3SNF</v>
          </cell>
          <cell r="O16116"/>
          <cell r="T16116"/>
        </row>
        <row r="16117">
          <cell r="A16117" t="str">
            <v>SINCLAIR</v>
          </cell>
          <cell r="B16117" t="str">
            <v>T49926</v>
          </cell>
          <cell r="O16117"/>
          <cell r="T16117"/>
        </row>
        <row r="16118">
          <cell r="A16118" t="str">
            <v>SIRA</v>
          </cell>
          <cell r="B16118" t="str">
            <v>FMC-01</v>
          </cell>
          <cell r="O16118"/>
          <cell r="T16118"/>
        </row>
        <row r="16119">
          <cell r="A16119" t="str">
            <v>SIRA</v>
          </cell>
          <cell r="B16119" t="str">
            <v>FMC-06-2</v>
          </cell>
          <cell r="O16119">
            <v>0</v>
          </cell>
          <cell r="T16119"/>
        </row>
        <row r="16120">
          <cell r="A16120" t="str">
            <v>SIRA</v>
          </cell>
          <cell r="B16120" t="str">
            <v>FMC-06/5</v>
          </cell>
          <cell r="O16120"/>
          <cell r="T16120"/>
        </row>
        <row r="16121">
          <cell r="A16121" t="str">
            <v>SIRA</v>
          </cell>
          <cell r="B16121" t="str">
            <v>UTV-01</v>
          </cell>
          <cell r="O16121">
            <v>6.3001205632716095</v>
          </cell>
          <cell r="T16121">
            <v>3.0625772069674499</v>
          </cell>
        </row>
        <row r="16122">
          <cell r="A16122" t="str">
            <v>SIRA</v>
          </cell>
          <cell r="B16122" t="str">
            <v>UTV-11/1</v>
          </cell>
          <cell r="O16122"/>
          <cell r="T16122"/>
        </row>
        <row r="16123">
          <cell r="A16123" t="str">
            <v>SIRA</v>
          </cell>
          <cell r="B16123" t="str">
            <v>UTV-11/4/LP</v>
          </cell>
          <cell r="O16123"/>
          <cell r="T16123"/>
        </row>
        <row r="16124">
          <cell r="A16124" t="str">
            <v>SIRIO</v>
          </cell>
          <cell r="B16124" t="str">
            <v>GP 87-108 LB</v>
          </cell>
          <cell r="O16124"/>
          <cell r="T16124"/>
        </row>
        <row r="16125">
          <cell r="A16125" t="str">
            <v>SITCO</v>
          </cell>
          <cell r="B16125" t="str">
            <v>MU12-1-39-42</v>
          </cell>
          <cell r="O16125"/>
          <cell r="T16125"/>
        </row>
        <row r="16126">
          <cell r="A16126" t="str">
            <v>SITCO</v>
          </cell>
          <cell r="B16126" t="str">
            <v>MU48-4-47</v>
          </cell>
          <cell r="O16126"/>
          <cell r="T16126"/>
        </row>
        <row r="16127">
          <cell r="A16127" t="str">
            <v>SITE PRO 1</v>
          </cell>
          <cell r="B16127" t="str">
            <v>ISMD6</v>
          </cell>
          <cell r="O16127"/>
          <cell r="T16127"/>
        </row>
        <row r="16128">
          <cell r="A16128" t="str">
            <v>SITE PRO 1</v>
          </cell>
          <cell r="B16128" t="str">
            <v>MIS-24_CCIV2</v>
          </cell>
          <cell r="O16128"/>
          <cell r="T16128"/>
        </row>
        <row r="16129">
          <cell r="A16129" t="str">
            <v>SKY PILOT</v>
          </cell>
          <cell r="B16129" t="str">
            <v>SKY EXTENDER</v>
          </cell>
          <cell r="O16129"/>
          <cell r="T16129"/>
        </row>
        <row r="16130">
          <cell r="A16130" t="str">
            <v>SKY PILOT</v>
          </cell>
          <cell r="B16130" t="str">
            <v>SKYGATEWAY</v>
          </cell>
          <cell r="O16130"/>
          <cell r="T16130"/>
        </row>
        <row r="16131">
          <cell r="A16131" t="str">
            <v>SKY PILOT</v>
          </cell>
          <cell r="B16131" t="str">
            <v>SP-1200</v>
          </cell>
          <cell r="O16131"/>
          <cell r="T16131"/>
        </row>
        <row r="16132">
          <cell r="A16132" t="str">
            <v>SKY PILOT</v>
          </cell>
          <cell r="B16132" t="str">
            <v>SP-4300</v>
          </cell>
          <cell r="O16132"/>
          <cell r="T16132"/>
        </row>
        <row r="16133">
          <cell r="A16133" t="str">
            <v>SKYMASTS</v>
          </cell>
          <cell r="B16133" t="str">
            <v>744</v>
          </cell>
          <cell r="O16133"/>
          <cell r="T16133"/>
        </row>
        <row r="16134">
          <cell r="A16134" t="str">
            <v>SKYMASTS</v>
          </cell>
          <cell r="B16134" t="str">
            <v>744.01</v>
          </cell>
          <cell r="O16134"/>
          <cell r="T16134"/>
        </row>
        <row r="16135">
          <cell r="A16135" t="str">
            <v>SKYNET WIRELESS</v>
          </cell>
          <cell r="B16135" t="str">
            <v>SC7161</v>
          </cell>
          <cell r="O16135"/>
          <cell r="T16135"/>
        </row>
        <row r="16136">
          <cell r="A16136" t="str">
            <v>SKYRIVER</v>
          </cell>
          <cell r="B16136" t="str">
            <v>PERCEIVA</v>
          </cell>
          <cell r="O16136"/>
          <cell r="T16136"/>
        </row>
        <row r="16137">
          <cell r="A16137" t="str">
            <v>SKYWARE GLOBAL</v>
          </cell>
          <cell r="B16137" t="str">
            <v>1.2M KU-BAND</v>
          </cell>
          <cell r="O16137"/>
          <cell r="T16137"/>
        </row>
        <row r="16138">
          <cell r="A16138" t="str">
            <v>SKYWARE GLOBAL</v>
          </cell>
          <cell r="B16138" t="str">
            <v>62-1835611</v>
          </cell>
          <cell r="O16138"/>
          <cell r="T16138"/>
        </row>
        <row r="16139">
          <cell r="A16139" t="str">
            <v>SKYWARE GLOBAL</v>
          </cell>
          <cell r="B16139" t="str">
            <v>RU TYPE 188</v>
          </cell>
          <cell r="O16139"/>
          <cell r="T16139"/>
        </row>
        <row r="16140">
          <cell r="A16140" t="str">
            <v>SOLECTEK</v>
          </cell>
          <cell r="B16140" t="str">
            <v>3000201</v>
          </cell>
          <cell r="O16140"/>
          <cell r="T16140"/>
        </row>
        <row r="16141">
          <cell r="A16141" t="str">
            <v>SOLECTEK</v>
          </cell>
          <cell r="B16141" t="str">
            <v>ANT-PNL-22</v>
          </cell>
          <cell r="O16141"/>
          <cell r="T16141"/>
        </row>
        <row r="16142">
          <cell r="A16142" t="str">
            <v>SOLECTEK</v>
          </cell>
          <cell r="B16142" t="str">
            <v>AS 5810</v>
          </cell>
          <cell r="O16142"/>
          <cell r="T16142"/>
        </row>
        <row r="16143">
          <cell r="A16143" t="str">
            <v>SOLECTEK</v>
          </cell>
          <cell r="B16143" t="str">
            <v>AS 5830</v>
          </cell>
          <cell r="O16143"/>
          <cell r="T16143"/>
        </row>
        <row r="16144">
          <cell r="A16144" t="str">
            <v>SOLECTEK</v>
          </cell>
          <cell r="B16144" t="str">
            <v>PTP-58-MR</v>
          </cell>
          <cell r="O16144"/>
          <cell r="T16144"/>
        </row>
        <row r="16145">
          <cell r="A16145" t="str">
            <v>SOLECTEK</v>
          </cell>
          <cell r="B16145" t="str">
            <v>SKYWAY 7301</v>
          </cell>
          <cell r="O16145"/>
          <cell r="T16145"/>
        </row>
        <row r="16146">
          <cell r="A16146" t="str">
            <v>SOLECTEK</v>
          </cell>
          <cell r="B16146" t="str">
            <v>SKYWAY 7501</v>
          </cell>
          <cell r="O16146"/>
          <cell r="T16146"/>
        </row>
        <row r="16147">
          <cell r="A16147" t="str">
            <v>SOLECTEK</v>
          </cell>
          <cell r="B16147" t="str">
            <v>SKYWAY KM24</v>
          </cell>
          <cell r="O16147"/>
          <cell r="T16147"/>
        </row>
        <row r="16148">
          <cell r="A16148" t="str">
            <v>SOLENET INC</v>
          </cell>
          <cell r="B16148" t="str">
            <v>ES-FRFS TOP LVL ASSY</v>
          </cell>
          <cell r="O16148"/>
          <cell r="T16148"/>
        </row>
        <row r="16149">
          <cell r="A16149" t="str">
            <v>SONY</v>
          </cell>
          <cell r="B16149" t="str">
            <v>SNCEP520</v>
          </cell>
          <cell r="O16149"/>
          <cell r="T16149"/>
        </row>
        <row r="16150">
          <cell r="A16150" t="str">
            <v>SOUTHWEST ANTENNAS</v>
          </cell>
          <cell r="B16150" t="str">
            <v>1009-0026</v>
          </cell>
          <cell r="O16150"/>
          <cell r="T16150"/>
        </row>
        <row r="16151">
          <cell r="A16151" t="str">
            <v>SOUTHWEST ANTENNAS</v>
          </cell>
          <cell r="B16151" t="str">
            <v>1009-024</v>
          </cell>
          <cell r="O16151"/>
          <cell r="T16151"/>
        </row>
        <row r="16152">
          <cell r="A16152" t="str">
            <v>SOUTHWEST ANTENNAS</v>
          </cell>
          <cell r="B16152" t="str">
            <v>1009-033</v>
          </cell>
          <cell r="O16152"/>
          <cell r="T16152"/>
        </row>
        <row r="16153">
          <cell r="A16153" t="str">
            <v>SPECTRACOM</v>
          </cell>
          <cell r="B16153" t="str">
            <v>8225</v>
          </cell>
          <cell r="O16153"/>
          <cell r="T16153"/>
        </row>
        <row r="16154">
          <cell r="A16154" t="str">
            <v>SPECTRACOM</v>
          </cell>
          <cell r="B16154" t="str">
            <v>8230</v>
          </cell>
          <cell r="O16154"/>
          <cell r="T16154"/>
        </row>
        <row r="16155">
          <cell r="A16155" t="str">
            <v>SPRINT</v>
          </cell>
          <cell r="B16155" t="str">
            <v>SPRINT NMP_1900/2500 ANTENNA</v>
          </cell>
          <cell r="O16155"/>
          <cell r="T16155"/>
        </row>
        <row r="16156">
          <cell r="A16156" t="str">
            <v>SPRINT</v>
          </cell>
          <cell r="B16156" t="str">
            <v>SPRINT NMP_800/1900 ANTENNA</v>
          </cell>
          <cell r="O16156"/>
          <cell r="T16156"/>
        </row>
        <row r="16157">
          <cell r="A16157" t="str">
            <v>SPRINT</v>
          </cell>
          <cell r="B16157" t="str">
            <v>TYPE 2</v>
          </cell>
          <cell r="O16157"/>
          <cell r="T16157"/>
        </row>
        <row r="16158">
          <cell r="A16158" t="str">
            <v>SPRINT</v>
          </cell>
          <cell r="B16158" t="str">
            <v>TYPE 3</v>
          </cell>
          <cell r="O16158"/>
          <cell r="T16158"/>
        </row>
        <row r="16159">
          <cell r="A16159" t="str">
            <v>SPRINT</v>
          </cell>
          <cell r="B16159" t="str">
            <v>TYPE 4</v>
          </cell>
          <cell r="O16159"/>
          <cell r="T16159"/>
        </row>
        <row r="16160">
          <cell r="A16160" t="str">
            <v>SPRINT MLA</v>
          </cell>
          <cell r="B16160" t="str">
            <v>SPRINT MLA_ANTENNA</v>
          </cell>
          <cell r="O16160"/>
          <cell r="T16160"/>
        </row>
        <row r="16161">
          <cell r="A16161" t="str">
            <v>SPRINT_MLA_NV_PR</v>
          </cell>
          <cell r="B16161" t="str">
            <v>PR NV PANEL</v>
          </cell>
          <cell r="O16161"/>
          <cell r="T16161"/>
        </row>
        <row r="16162">
          <cell r="A16162" t="str">
            <v>SSB ELECTRONIC</v>
          </cell>
          <cell r="B16162" t="str">
            <v>SSB-2424GD</v>
          </cell>
          <cell r="O16162"/>
          <cell r="T16162"/>
        </row>
        <row r="16163">
          <cell r="A16163" t="str">
            <v>STAR MICROWAVE</v>
          </cell>
          <cell r="B16163" t="str">
            <v>SM-3.5-ANT-17dBi-65</v>
          </cell>
          <cell r="O16163"/>
          <cell r="T16163"/>
        </row>
        <row r="16164">
          <cell r="A16164" t="str">
            <v>STAR MICROWAVE</v>
          </cell>
          <cell r="B16164" t="str">
            <v>SM-ANT-4FT-5G</v>
          </cell>
          <cell r="O16164"/>
          <cell r="T16164"/>
        </row>
        <row r="16165">
          <cell r="A16165" t="str">
            <v>STAR MICROWAVE</v>
          </cell>
          <cell r="B16165" t="str">
            <v>SM-GPS</v>
          </cell>
          <cell r="O16165"/>
          <cell r="T16165"/>
        </row>
        <row r="16166">
          <cell r="A16166" t="str">
            <v>STARLINK</v>
          </cell>
          <cell r="B16166" t="str">
            <v>STARLINK-STANDARD-DISH</v>
          </cell>
          <cell r="O16166"/>
          <cell r="T16166"/>
        </row>
        <row r="16167">
          <cell r="A16167" t="str">
            <v>STARRY INC</v>
          </cell>
          <cell r="B16167" t="str">
            <v>800-00001</v>
          </cell>
          <cell r="O16167"/>
          <cell r="T16167"/>
        </row>
        <row r="16168">
          <cell r="A16168" t="str">
            <v>STARRY INC</v>
          </cell>
          <cell r="B16168" t="str">
            <v>800-00002</v>
          </cell>
          <cell r="O16168"/>
          <cell r="T16168"/>
        </row>
        <row r="16169">
          <cell r="A16169" t="str">
            <v>STARRY INC</v>
          </cell>
          <cell r="B16169" t="str">
            <v>Sector (6 qty)</v>
          </cell>
          <cell r="O16169"/>
          <cell r="T16169"/>
        </row>
        <row r="16170">
          <cell r="A16170" t="str">
            <v>STARRY INC</v>
          </cell>
          <cell r="B16170" t="str">
            <v>TITAN 24X90</v>
          </cell>
          <cell r="O16170"/>
          <cell r="T16170"/>
        </row>
        <row r="16171">
          <cell r="A16171" t="str">
            <v>STARRY INC</v>
          </cell>
          <cell r="B16171" t="str">
            <v>TITAN 24X90_CCIV2</v>
          </cell>
          <cell r="O16171"/>
          <cell r="T16171"/>
        </row>
        <row r="16172">
          <cell r="A16172" t="str">
            <v>STARRY INC</v>
          </cell>
          <cell r="B16172" t="str">
            <v>TITAN A 37C60</v>
          </cell>
          <cell r="O16172"/>
          <cell r="T16172"/>
        </row>
        <row r="16173">
          <cell r="A16173" t="str">
            <v>STEATITE</v>
          </cell>
          <cell r="B16173" t="str">
            <v>QMS-00637</v>
          </cell>
          <cell r="O16173"/>
          <cell r="T16173"/>
        </row>
        <row r="16174">
          <cell r="A16174" t="str">
            <v>STEATITE</v>
          </cell>
          <cell r="B16174" t="str">
            <v>QMS-00733</v>
          </cell>
          <cell r="O16174"/>
          <cell r="T16174"/>
        </row>
        <row r="16175">
          <cell r="A16175" t="str">
            <v>STEATITE</v>
          </cell>
          <cell r="B16175" t="str">
            <v>QMS-01107-A</v>
          </cell>
          <cell r="O16175"/>
          <cell r="T16175"/>
        </row>
        <row r="16176">
          <cell r="A16176" t="str">
            <v>STELLA DORADUS</v>
          </cell>
          <cell r="B16176" t="str">
            <v>26 12015</v>
          </cell>
          <cell r="O16176"/>
          <cell r="T16176"/>
        </row>
        <row r="16177">
          <cell r="A16177" t="str">
            <v>STELLA DORADUS</v>
          </cell>
          <cell r="B16177" t="str">
            <v>26 3360</v>
          </cell>
          <cell r="O16177"/>
          <cell r="T16177"/>
        </row>
        <row r="16178">
          <cell r="A16178" t="str">
            <v>STELLA DORADUS</v>
          </cell>
          <cell r="B16178" t="str">
            <v>26 4040</v>
          </cell>
          <cell r="O16178"/>
          <cell r="T16178"/>
        </row>
        <row r="16179">
          <cell r="A16179" t="str">
            <v>STELLA DORADUS</v>
          </cell>
          <cell r="B16179" t="str">
            <v>26 SD98</v>
          </cell>
          <cell r="O16179"/>
          <cell r="T16179"/>
        </row>
        <row r="16180">
          <cell r="A16180" t="str">
            <v>STELLA DORADUS</v>
          </cell>
          <cell r="B16180" t="str">
            <v>26 SD98120NV</v>
          </cell>
          <cell r="O16180"/>
          <cell r="T16180"/>
        </row>
        <row r="16181">
          <cell r="A16181" t="str">
            <v>STELLA DORADUS</v>
          </cell>
          <cell r="B16181" t="str">
            <v>26SD9890</v>
          </cell>
          <cell r="O16181"/>
          <cell r="T16181"/>
        </row>
        <row r="16182">
          <cell r="A16182" t="str">
            <v>STELLA DORADUS</v>
          </cell>
          <cell r="B16182" t="str">
            <v>35 6008-4</v>
          </cell>
          <cell r="O16182"/>
          <cell r="T16182"/>
        </row>
        <row r="16183">
          <cell r="A16183" t="str">
            <v>STELLA DORADUS</v>
          </cell>
          <cell r="B16183" t="str">
            <v>56 3004</v>
          </cell>
          <cell r="O16183"/>
          <cell r="T16183"/>
        </row>
        <row r="16184">
          <cell r="A16184" t="str">
            <v>STELLA DORADUS</v>
          </cell>
          <cell r="B16184" t="str">
            <v>SD-365-58</v>
          </cell>
          <cell r="O16184"/>
          <cell r="T16184"/>
        </row>
        <row r="16185">
          <cell r="A16185" t="str">
            <v>STELLA DORADUS</v>
          </cell>
          <cell r="B16185" t="str">
            <v>SD2690075V/N</v>
          </cell>
          <cell r="O16185"/>
          <cell r="T16185"/>
        </row>
        <row r="16186">
          <cell r="A16186" t="str">
            <v>STELLA DORADUS</v>
          </cell>
          <cell r="B16186" t="str">
            <v>SD9890</v>
          </cell>
          <cell r="O16186"/>
          <cell r="T16186"/>
        </row>
        <row r="16187">
          <cell r="A16187" t="str">
            <v>STEPPIR ANTENNA SYSTEMS</v>
          </cell>
          <cell r="B16187" t="str">
            <v>DB42 MONSTIR PRO</v>
          </cell>
          <cell r="O16187"/>
          <cell r="T16187"/>
        </row>
        <row r="16188">
          <cell r="A16188" t="str">
            <v>STEPPIR ANTENNA SYSTEMS</v>
          </cell>
          <cell r="B16188" t="str">
            <v>HFT319C-HP</v>
          </cell>
          <cell r="O16188"/>
          <cell r="T16188"/>
        </row>
        <row r="16189">
          <cell r="A16189" t="str">
            <v>STRATEX NETWORKS</v>
          </cell>
          <cell r="B16189" t="str">
            <v>XP4-18GHZ</v>
          </cell>
          <cell r="O16189"/>
          <cell r="T16189"/>
        </row>
        <row r="16190">
          <cell r="A16190" t="str">
            <v>STRATOS GLOBAL</v>
          </cell>
          <cell r="B16190" t="str">
            <v>SDT 5000_CCIV2</v>
          </cell>
          <cell r="O16190">
            <v>0.81429715977997097</v>
          </cell>
          <cell r="T16190">
            <v>0.26607743646597992</v>
          </cell>
        </row>
        <row r="16191">
          <cell r="A16191" t="str">
            <v>SUN STREAM WIRELESS</v>
          </cell>
          <cell r="B16191" t="str">
            <v>5800AP</v>
          </cell>
          <cell r="O16191"/>
          <cell r="T16191"/>
        </row>
        <row r="16192">
          <cell r="A16192" t="str">
            <v>SUPERPASS</v>
          </cell>
          <cell r="B16192" t="str">
            <v>SPDG112F</v>
          </cell>
          <cell r="O16192"/>
          <cell r="T16192"/>
        </row>
        <row r="16193">
          <cell r="A16193" t="str">
            <v>SUPERPASS</v>
          </cell>
          <cell r="B16193" t="str">
            <v>SPDG12H22</v>
          </cell>
          <cell r="O16193"/>
          <cell r="T16193"/>
        </row>
        <row r="16194">
          <cell r="A16194" t="str">
            <v>SUPERPASS</v>
          </cell>
          <cell r="B16194" t="str">
            <v>SPDG12T</v>
          </cell>
          <cell r="O16194"/>
          <cell r="T16194"/>
        </row>
        <row r="16195">
          <cell r="A16195" t="str">
            <v>SUPERPASS</v>
          </cell>
          <cell r="B16195" t="str">
            <v>SPDG14T2</v>
          </cell>
          <cell r="O16195"/>
          <cell r="T16195"/>
        </row>
        <row r="16196">
          <cell r="A16196" t="str">
            <v>SUPERPASS</v>
          </cell>
          <cell r="B16196" t="str">
            <v>SPDG160</v>
          </cell>
          <cell r="O16196"/>
          <cell r="T16196"/>
        </row>
        <row r="16197">
          <cell r="A16197" t="str">
            <v>SUPERPASS</v>
          </cell>
          <cell r="B16197" t="str">
            <v>SPDG18T</v>
          </cell>
          <cell r="O16197"/>
          <cell r="T16197"/>
        </row>
        <row r="16198">
          <cell r="A16198" t="str">
            <v>SUPERPASS</v>
          </cell>
          <cell r="B16198" t="str">
            <v>SPDG80</v>
          </cell>
          <cell r="O16198"/>
          <cell r="T16198"/>
        </row>
        <row r="16199">
          <cell r="A16199" t="str">
            <v>SUPERPASS</v>
          </cell>
          <cell r="B16199" t="str">
            <v>SPDJ6T</v>
          </cell>
          <cell r="O16199"/>
          <cell r="T16199"/>
        </row>
        <row r="16200">
          <cell r="A16200" t="str">
            <v>SUPERPASS</v>
          </cell>
          <cell r="B16200" t="str">
            <v>SPHDC2F</v>
          </cell>
          <cell r="O16200"/>
          <cell r="T16200"/>
        </row>
        <row r="16201">
          <cell r="A16201" t="str">
            <v>SUPERPASS</v>
          </cell>
          <cell r="B16201" t="str">
            <v>SPHDC4F</v>
          </cell>
          <cell r="O16201"/>
          <cell r="T16201"/>
        </row>
        <row r="16202">
          <cell r="A16202" t="str">
            <v>SUPERPASS</v>
          </cell>
          <cell r="B16202" t="str">
            <v>SPHDC4S</v>
          </cell>
          <cell r="O16202"/>
          <cell r="T16202"/>
        </row>
        <row r="16203">
          <cell r="A16203" t="str">
            <v>SUPERPASS</v>
          </cell>
          <cell r="B16203" t="str">
            <v>SPHSG2T</v>
          </cell>
          <cell r="O16203"/>
          <cell r="T16203"/>
        </row>
        <row r="16204">
          <cell r="A16204" t="str">
            <v>SUPERPASS</v>
          </cell>
          <cell r="B16204" t="str">
            <v>SPLG22</v>
          </cell>
          <cell r="O16204"/>
          <cell r="T16204"/>
        </row>
        <row r="16205">
          <cell r="A16205" t="str">
            <v>SWEDCOM</v>
          </cell>
          <cell r="B16205" t="str">
            <v>ALP 110 11-N</v>
          </cell>
          <cell r="O16205"/>
          <cell r="T16205"/>
        </row>
        <row r="16206">
          <cell r="A16206" t="str">
            <v>SWEDCOM</v>
          </cell>
          <cell r="B16206" t="str">
            <v>ALP 11011-N</v>
          </cell>
          <cell r="O16206"/>
          <cell r="T16206"/>
        </row>
        <row r="16207">
          <cell r="A16207" t="str">
            <v>SWEDCOM</v>
          </cell>
          <cell r="B16207" t="str">
            <v>ALP 4014-N</v>
          </cell>
          <cell r="O16207"/>
          <cell r="T16207"/>
        </row>
        <row r="16208">
          <cell r="A16208" t="str">
            <v>SWEDCOM</v>
          </cell>
          <cell r="B16208" t="str">
            <v>ALP 4016-N</v>
          </cell>
          <cell r="O16208"/>
          <cell r="T16208"/>
        </row>
        <row r="16209">
          <cell r="A16209" t="str">
            <v>SWEDCOM</v>
          </cell>
          <cell r="B16209" t="str">
            <v>ALP 6011-N</v>
          </cell>
          <cell r="O16209"/>
          <cell r="T16209"/>
        </row>
        <row r="16210">
          <cell r="A16210" t="str">
            <v>SWEDCOM</v>
          </cell>
          <cell r="B16210" t="str">
            <v>ALP 6014-N</v>
          </cell>
          <cell r="O16210"/>
          <cell r="T16210"/>
        </row>
        <row r="16211">
          <cell r="A16211" t="str">
            <v>SWEDCOM</v>
          </cell>
          <cell r="B16211" t="str">
            <v>ALP 6016-N</v>
          </cell>
          <cell r="O16211"/>
          <cell r="T16211"/>
        </row>
        <row r="16212">
          <cell r="A16212" t="str">
            <v>SWEDCOM</v>
          </cell>
          <cell r="B16212" t="str">
            <v>ALP 8009 N10T</v>
          </cell>
          <cell r="O16212"/>
          <cell r="T16212"/>
        </row>
        <row r="16213">
          <cell r="A16213" t="str">
            <v>SWEDCOM</v>
          </cell>
          <cell r="B16213" t="str">
            <v>ALP 8010-N</v>
          </cell>
          <cell r="O16213"/>
          <cell r="T16213"/>
        </row>
        <row r="16214">
          <cell r="A16214" t="str">
            <v>SWEDCOM</v>
          </cell>
          <cell r="B16214" t="str">
            <v>ALP 8013-N</v>
          </cell>
          <cell r="O16214"/>
          <cell r="T16214"/>
        </row>
        <row r="16215">
          <cell r="A16215" t="str">
            <v>SWEDCOM</v>
          </cell>
          <cell r="B16215" t="str">
            <v>ALP 9011</v>
          </cell>
          <cell r="O16215"/>
          <cell r="T16215"/>
        </row>
        <row r="16216">
          <cell r="A16216" t="str">
            <v>SWEDCOM</v>
          </cell>
          <cell r="B16216" t="str">
            <v>ALP 9011 DIN</v>
          </cell>
          <cell r="O16216"/>
          <cell r="T16216"/>
        </row>
        <row r="16217">
          <cell r="A16217" t="str">
            <v>SWEDCOM</v>
          </cell>
          <cell r="B16217" t="str">
            <v>ALP 9209-N</v>
          </cell>
          <cell r="O16217"/>
          <cell r="T16217"/>
        </row>
        <row r="16218">
          <cell r="A16218" t="str">
            <v>SWEDCOM</v>
          </cell>
          <cell r="B16218" t="str">
            <v>ALP 9212-N</v>
          </cell>
          <cell r="O16218">
            <v>4.9478144290123502</v>
          </cell>
          <cell r="T16218">
            <v>5.5407489947570294</v>
          </cell>
        </row>
        <row r="16219">
          <cell r="A16219" t="str">
            <v>SWEDCOM</v>
          </cell>
          <cell r="B16219" t="str">
            <v>ALP 9214-N</v>
          </cell>
          <cell r="O16219"/>
          <cell r="T16219"/>
        </row>
        <row r="16220">
          <cell r="A16220" t="str">
            <v>SWEDCOM</v>
          </cell>
          <cell r="B16220" t="str">
            <v>ALP-9011-DIN</v>
          </cell>
          <cell r="O16220"/>
          <cell r="T16220"/>
        </row>
        <row r="16221">
          <cell r="A16221" t="str">
            <v>SWEDCOM</v>
          </cell>
          <cell r="B16221" t="str">
            <v>ALP-E 6014-DIN</v>
          </cell>
          <cell r="O16221"/>
          <cell r="T16221"/>
        </row>
        <row r="16222">
          <cell r="A16222" t="str">
            <v>SWEDCOM</v>
          </cell>
          <cell r="B16222" t="str">
            <v>ALP-E 9011-DIN</v>
          </cell>
          <cell r="O16222">
            <v>2.3937479887432001</v>
          </cell>
          <cell r="T16222">
            <v>2.9012459892251599</v>
          </cell>
        </row>
        <row r="16223">
          <cell r="A16223" t="str">
            <v>SWEDCOM</v>
          </cell>
          <cell r="B16223" t="str">
            <v>ALP24C3</v>
          </cell>
          <cell r="O16223"/>
          <cell r="T16223"/>
        </row>
        <row r="16224">
          <cell r="A16224" t="str">
            <v>SWEDCOM</v>
          </cell>
          <cell r="B16224" t="str">
            <v>ALP4212N</v>
          </cell>
          <cell r="O16224"/>
          <cell r="T16224"/>
        </row>
        <row r="16225">
          <cell r="A16225" t="str">
            <v>SWEDCOM</v>
          </cell>
          <cell r="B16225" t="str">
            <v>ALP630</v>
          </cell>
          <cell r="O16225"/>
          <cell r="T16225"/>
        </row>
        <row r="16226">
          <cell r="A16226" t="str">
            <v>SWEDCOM</v>
          </cell>
          <cell r="B16226" t="str">
            <v>ALP7130</v>
          </cell>
          <cell r="O16226"/>
          <cell r="T16226"/>
        </row>
        <row r="16227">
          <cell r="A16227" t="str">
            <v>SWEDCOM</v>
          </cell>
          <cell r="B16227" t="str">
            <v>ALP8013</v>
          </cell>
          <cell r="O16227"/>
          <cell r="T16227"/>
        </row>
        <row r="16228">
          <cell r="A16228" t="str">
            <v>SWEDCOM</v>
          </cell>
          <cell r="B16228" t="str">
            <v>ALP8031N</v>
          </cell>
          <cell r="O16228"/>
          <cell r="T16228"/>
        </row>
        <row r="16229">
          <cell r="A16229" t="str">
            <v>SWEDCOM</v>
          </cell>
          <cell r="B16229" t="str">
            <v>ALP9011-DIN</v>
          </cell>
          <cell r="O16229"/>
          <cell r="T16229"/>
        </row>
        <row r="16230">
          <cell r="A16230" t="str">
            <v>SWEDCOM</v>
          </cell>
          <cell r="B16230" t="str">
            <v>ALP9011DIN</v>
          </cell>
          <cell r="O16230"/>
          <cell r="T16230"/>
        </row>
        <row r="16231">
          <cell r="A16231" t="str">
            <v>SWEDCOM</v>
          </cell>
          <cell r="B16231" t="str">
            <v>ALP9704</v>
          </cell>
          <cell r="O16231"/>
          <cell r="T16231"/>
        </row>
        <row r="16232">
          <cell r="A16232" t="str">
            <v>SWEDCOM</v>
          </cell>
          <cell r="B16232" t="str">
            <v>ALPV9536</v>
          </cell>
          <cell r="O16232"/>
          <cell r="T16232"/>
        </row>
        <row r="16233">
          <cell r="A16233" t="str">
            <v>SWEDCOM</v>
          </cell>
          <cell r="B16233" t="str">
            <v>AP171900/063D</v>
          </cell>
          <cell r="O16233"/>
          <cell r="T16233"/>
        </row>
        <row r="16234">
          <cell r="A16234" t="str">
            <v>SWEDCOM</v>
          </cell>
          <cell r="B16234" t="str">
            <v>AP18-1900/09OD</v>
          </cell>
          <cell r="O16234"/>
          <cell r="T16234"/>
        </row>
        <row r="16235">
          <cell r="A16235" t="str">
            <v>SWEDCOM</v>
          </cell>
          <cell r="B16235" t="str">
            <v>BRACKET-SRT 10-20_CCIV2</v>
          </cell>
          <cell r="O16235"/>
          <cell r="T16235"/>
        </row>
        <row r="16236">
          <cell r="A16236" t="str">
            <v>SWEDCOM</v>
          </cell>
          <cell r="B16236" t="str">
            <v>LSCP 6014/5017</v>
          </cell>
          <cell r="O16236">
            <v>6.6376124203159996</v>
          </cell>
          <cell r="T16236">
            <v>5.9039558937518501</v>
          </cell>
        </row>
        <row r="16237">
          <cell r="A16237" t="str">
            <v>SWEDCOM</v>
          </cell>
          <cell r="B16237" t="str">
            <v>LSCP 9012/8515-DIN</v>
          </cell>
          <cell r="O16237">
            <v>4.8725753547248294</v>
          </cell>
          <cell r="T16237">
            <v>5.9074093375667491</v>
          </cell>
        </row>
        <row r="16238">
          <cell r="A16238" t="str">
            <v>SWEDCOM</v>
          </cell>
          <cell r="B16238" t="str">
            <v>LSCP9012-T2/8515-DIN</v>
          </cell>
          <cell r="O16238">
            <v>4.8725753547248294</v>
          </cell>
          <cell r="T16238">
            <v>5.9074093375667491</v>
          </cell>
        </row>
        <row r="16239">
          <cell r="A16239" t="str">
            <v>SWEDCOM</v>
          </cell>
          <cell r="B16239" t="str">
            <v>PR450</v>
          </cell>
          <cell r="O16239"/>
          <cell r="T16239"/>
        </row>
        <row r="16240">
          <cell r="A16240" t="str">
            <v>SWEDCOM</v>
          </cell>
          <cell r="B16240" t="str">
            <v>SACP 2X3016</v>
          </cell>
          <cell r="O16240">
            <v>4.3245152820588899</v>
          </cell>
          <cell r="T16240">
            <v>1.8889331809764101</v>
          </cell>
        </row>
        <row r="16241">
          <cell r="A16241" t="str">
            <v>SWEDCOM</v>
          </cell>
          <cell r="B16241" t="str">
            <v>SACP 2X5514</v>
          </cell>
          <cell r="O16241"/>
          <cell r="T16241"/>
        </row>
        <row r="16242">
          <cell r="A16242" t="str">
            <v>SWEDCOM</v>
          </cell>
          <cell r="B16242" t="str">
            <v>SACP 2X5516</v>
          </cell>
          <cell r="O16242">
            <v>4.9909754819999996</v>
          </cell>
          <cell r="T16242">
            <v>2.822657306</v>
          </cell>
        </row>
        <row r="16243">
          <cell r="A16243" t="str">
            <v>SWEDCOM</v>
          </cell>
          <cell r="B16243" t="str">
            <v>SACP 4X3016</v>
          </cell>
          <cell r="O16243"/>
          <cell r="T16243"/>
        </row>
        <row r="16244">
          <cell r="A16244" t="str">
            <v>SWEDCOM</v>
          </cell>
          <cell r="B16244" t="str">
            <v>SACP 4X5514</v>
          </cell>
          <cell r="O16244">
            <v>4.8658344209999997</v>
          </cell>
          <cell r="T16244">
            <v>2.740833818</v>
          </cell>
        </row>
        <row r="16245">
          <cell r="A16245" t="str">
            <v>SWEDCOM</v>
          </cell>
          <cell r="B16245" t="str">
            <v>SACP 4X5515</v>
          </cell>
          <cell r="O16245">
            <v>9.9759653040000007</v>
          </cell>
          <cell r="T16245">
            <v>5.0676349549999999</v>
          </cell>
        </row>
        <row r="16246">
          <cell r="A16246" t="str">
            <v>SWEDCOM</v>
          </cell>
          <cell r="B16246" t="str">
            <v>SC 100 11</v>
          </cell>
          <cell r="O16246">
            <v>2.3937479887432001</v>
          </cell>
          <cell r="T16246">
            <v>2.9012459892251599</v>
          </cell>
        </row>
        <row r="16247">
          <cell r="A16247" t="str">
            <v>SWEDCOM</v>
          </cell>
          <cell r="B16247" t="str">
            <v>SC 100 11-DIN</v>
          </cell>
          <cell r="O16247">
            <v>2.3937479887432001</v>
          </cell>
          <cell r="T16247">
            <v>2.9012459892251599</v>
          </cell>
        </row>
        <row r="16248">
          <cell r="A16248" t="str">
            <v>SWEDCOM</v>
          </cell>
          <cell r="B16248" t="str">
            <v>SC 100 13</v>
          </cell>
          <cell r="O16248">
            <v>4.8725753547248294</v>
          </cell>
          <cell r="T16248">
            <v>5.9074093375667491</v>
          </cell>
        </row>
        <row r="16249">
          <cell r="A16249" t="str">
            <v>SWEDCOM</v>
          </cell>
          <cell r="B16249" t="str">
            <v>SC 100 13-DIN</v>
          </cell>
          <cell r="O16249">
            <v>4.8725753547248294</v>
          </cell>
          <cell r="T16249">
            <v>5.9074093375667491</v>
          </cell>
        </row>
        <row r="16250">
          <cell r="A16250" t="str">
            <v>SWEDCOM</v>
          </cell>
          <cell r="B16250" t="str">
            <v>SC 2X9012-DIN</v>
          </cell>
          <cell r="O16250">
            <v>4.8725753547248294</v>
          </cell>
          <cell r="T16250">
            <v>5.9074093375667491</v>
          </cell>
        </row>
        <row r="16251">
          <cell r="A16251" t="str">
            <v>SWEDCOM</v>
          </cell>
          <cell r="B16251" t="str">
            <v>SC 4015 REV2</v>
          </cell>
          <cell r="O16251"/>
          <cell r="T16251"/>
        </row>
        <row r="16252">
          <cell r="A16252" t="str">
            <v>SWEDCOM</v>
          </cell>
          <cell r="B16252" t="str">
            <v>SC 6011</v>
          </cell>
          <cell r="O16252"/>
          <cell r="T16252"/>
        </row>
        <row r="16253">
          <cell r="A16253" t="str">
            <v>SWEDCOM</v>
          </cell>
          <cell r="B16253" t="str">
            <v>SC 6014-DIN</v>
          </cell>
          <cell r="O16253"/>
          <cell r="T16253"/>
        </row>
        <row r="16254">
          <cell r="A16254" t="str">
            <v>SWEDCOM</v>
          </cell>
          <cell r="B16254" t="str">
            <v>SC 6016</v>
          </cell>
          <cell r="O16254"/>
          <cell r="T16254"/>
        </row>
        <row r="16255">
          <cell r="A16255" t="str">
            <v>SWEDCOM</v>
          </cell>
          <cell r="B16255" t="str">
            <v>SC 6016 REV2</v>
          </cell>
          <cell r="O16255"/>
          <cell r="T16255"/>
        </row>
        <row r="16256">
          <cell r="A16256" t="str">
            <v>SWEDCOM</v>
          </cell>
          <cell r="B16256" t="str">
            <v>SC 6016-DIN</v>
          </cell>
          <cell r="O16256"/>
          <cell r="T16256"/>
        </row>
        <row r="16257">
          <cell r="A16257" t="str">
            <v>SWEDCOM</v>
          </cell>
          <cell r="B16257" t="str">
            <v>SC 9009</v>
          </cell>
          <cell r="O16257"/>
          <cell r="T16257"/>
        </row>
        <row r="16258">
          <cell r="A16258" t="str">
            <v>SWEDCOM</v>
          </cell>
          <cell r="B16258" t="str">
            <v>SC 9012 REV2</v>
          </cell>
          <cell r="O16258">
            <v>2.3937479887432001</v>
          </cell>
          <cell r="T16258">
            <v>2.9012459892251599</v>
          </cell>
        </row>
        <row r="16259">
          <cell r="A16259" t="str">
            <v>SWEDCOM</v>
          </cell>
          <cell r="B16259" t="str">
            <v>SC 9012-DIN</v>
          </cell>
          <cell r="O16259">
            <v>2.3937479887432001</v>
          </cell>
          <cell r="T16259">
            <v>2.9012459892251599</v>
          </cell>
        </row>
        <row r="16260">
          <cell r="A16260" t="str">
            <v>SWEDCOM</v>
          </cell>
          <cell r="B16260" t="str">
            <v>SC 9014</v>
          </cell>
          <cell r="O16260">
            <v>4.8725753547248294</v>
          </cell>
          <cell r="T16260">
            <v>5.9074093375667491</v>
          </cell>
        </row>
        <row r="16261">
          <cell r="A16261" t="str">
            <v>SWEDCOM</v>
          </cell>
          <cell r="B16261" t="str">
            <v>SC 9014 REV2</v>
          </cell>
          <cell r="O16261">
            <v>4.8725753547248294</v>
          </cell>
          <cell r="T16261">
            <v>5.9074093375667491</v>
          </cell>
        </row>
        <row r="16262">
          <cell r="A16262" t="str">
            <v>SWEDCOM</v>
          </cell>
          <cell r="B16262" t="str">
            <v>SC 9014-DIN</v>
          </cell>
          <cell r="O16262">
            <v>4.8725753547248294</v>
          </cell>
          <cell r="T16262">
            <v>5.9074093375667491</v>
          </cell>
        </row>
        <row r="16263">
          <cell r="A16263" t="str">
            <v>SWEDCOM</v>
          </cell>
          <cell r="B16263" t="str">
            <v>SC-E 2X6014</v>
          </cell>
          <cell r="O16263">
            <v>6.6376124203159996</v>
          </cell>
          <cell r="T16263">
            <v>5.9039558937518501</v>
          </cell>
        </row>
        <row r="16264">
          <cell r="A16264" t="str">
            <v>SWEDCOM</v>
          </cell>
          <cell r="B16264" t="str">
            <v>SC-E 6014 REV2</v>
          </cell>
          <cell r="O16264">
            <v>3.2047738233024701</v>
          </cell>
          <cell r="T16264">
            <v>2.8494867187892798</v>
          </cell>
        </row>
        <row r="16265">
          <cell r="A16265" t="str">
            <v>SWEDCOM</v>
          </cell>
          <cell r="B16265" t="str">
            <v>SC-E 6014-DIN</v>
          </cell>
          <cell r="O16265">
            <v>3.2047738233024701</v>
          </cell>
          <cell r="T16265">
            <v>2.8494867187892798</v>
          </cell>
        </row>
        <row r="16266">
          <cell r="A16266" t="str">
            <v>SWEDCOM</v>
          </cell>
          <cell r="B16266" t="str">
            <v>SC-E 6016</v>
          </cell>
          <cell r="O16266">
            <v>6.6376124203159996</v>
          </cell>
          <cell r="T16266">
            <v>5.9039558937518501</v>
          </cell>
        </row>
        <row r="16267">
          <cell r="A16267" t="str">
            <v>SWEDCOM</v>
          </cell>
          <cell r="B16267" t="str">
            <v>SC-E 6016 REV2</v>
          </cell>
          <cell r="O16267">
            <v>6.6376124203159996</v>
          </cell>
          <cell r="T16267">
            <v>5.9039558937518501</v>
          </cell>
        </row>
        <row r="16268">
          <cell r="A16268" t="str">
            <v>SWEDCOM</v>
          </cell>
          <cell r="B16268" t="str">
            <v>SC-E 9012</v>
          </cell>
          <cell r="O16268">
            <v>2.3937479887432001</v>
          </cell>
          <cell r="T16268">
            <v>2.9012459892251599</v>
          </cell>
        </row>
        <row r="16269">
          <cell r="A16269" t="str">
            <v>SWEDCOM</v>
          </cell>
          <cell r="B16269" t="str">
            <v>SC10013</v>
          </cell>
          <cell r="O16269"/>
          <cell r="T16269"/>
        </row>
        <row r="16270">
          <cell r="A16270" t="str">
            <v>SWEDCOM</v>
          </cell>
          <cell r="B16270" t="str">
            <v>SC19014-DIN</v>
          </cell>
          <cell r="O16270"/>
          <cell r="T16270"/>
        </row>
        <row r="16271">
          <cell r="A16271" t="str">
            <v>SWEDCOM</v>
          </cell>
          <cell r="B16271" t="str">
            <v>SC9011 DIN</v>
          </cell>
          <cell r="O16271"/>
          <cell r="T16271"/>
        </row>
        <row r="16272">
          <cell r="A16272" t="str">
            <v>SWEDCOM</v>
          </cell>
          <cell r="B16272" t="str">
            <v>SC9012-DIN</v>
          </cell>
          <cell r="O16272"/>
          <cell r="T16272"/>
        </row>
        <row r="16273">
          <cell r="A16273" t="str">
            <v>SWEDCOM</v>
          </cell>
          <cell r="B16273" t="str">
            <v>SC9012DIN</v>
          </cell>
          <cell r="O16273"/>
          <cell r="T16273"/>
        </row>
        <row r="16274">
          <cell r="A16274" t="str">
            <v>SWEDCOM</v>
          </cell>
          <cell r="B16274" t="str">
            <v>SC9014</v>
          </cell>
          <cell r="O16274"/>
          <cell r="T16274"/>
        </row>
        <row r="16275">
          <cell r="A16275" t="str">
            <v>SWEDCOM</v>
          </cell>
          <cell r="B16275" t="str">
            <v>SC9014-VIN</v>
          </cell>
          <cell r="O16275"/>
          <cell r="T16275"/>
        </row>
        <row r="16276">
          <cell r="A16276" t="str">
            <v>SWEDCOM</v>
          </cell>
          <cell r="B16276" t="str">
            <v>SCCP 2X6015</v>
          </cell>
          <cell r="O16276"/>
          <cell r="T16276"/>
        </row>
        <row r="16277">
          <cell r="A16277" t="str">
            <v>SWEDCOM</v>
          </cell>
          <cell r="B16277" t="str">
            <v>SCCP 2X6016</v>
          </cell>
          <cell r="O16277"/>
          <cell r="T16277"/>
        </row>
        <row r="16278">
          <cell r="A16278" t="str">
            <v>SWEDCOM</v>
          </cell>
          <cell r="B16278" t="str">
            <v>SCCP-E 2X6016</v>
          </cell>
          <cell r="O16278"/>
          <cell r="T16278"/>
        </row>
        <row r="16279">
          <cell r="A16279" t="str">
            <v>SWEDCOM</v>
          </cell>
          <cell r="B16279" t="str">
            <v>SCP 9012/8515-DIN</v>
          </cell>
          <cell r="O16279">
            <v>3.2047738233024701</v>
          </cell>
          <cell r="T16279">
            <v>2.8494867187892798</v>
          </cell>
        </row>
        <row r="16280">
          <cell r="A16280" t="str">
            <v>SWEDCOM</v>
          </cell>
          <cell r="B16280" t="str">
            <v>SCP 9012/9011-DIN</v>
          </cell>
          <cell r="O16280"/>
          <cell r="T16280"/>
        </row>
        <row r="16281">
          <cell r="A16281" t="str">
            <v>SWEDCOM</v>
          </cell>
          <cell r="B16281" t="str">
            <v>SCP 9012/9014-DIN</v>
          </cell>
          <cell r="O16281">
            <v>4.8725753547248294</v>
          </cell>
          <cell r="T16281">
            <v>5.9074093375667491</v>
          </cell>
        </row>
        <row r="16282">
          <cell r="A16282" t="str">
            <v>SWEDCOM</v>
          </cell>
          <cell r="B16282" t="str">
            <v>SCP 9014/2X8515</v>
          </cell>
          <cell r="O16282">
            <v>6.6376124203159996</v>
          </cell>
          <cell r="T16282">
            <v>5.9039558937518501</v>
          </cell>
        </row>
        <row r="16283">
          <cell r="A16283" t="str">
            <v>SWEDCOM</v>
          </cell>
          <cell r="B16283" t="str">
            <v>SCW 6014</v>
          </cell>
          <cell r="O16283"/>
          <cell r="T16283"/>
        </row>
        <row r="16284">
          <cell r="A16284" t="str">
            <v>SWEDCOM</v>
          </cell>
          <cell r="B16284" t="str">
            <v>SCW 6016</v>
          </cell>
          <cell r="O16284"/>
          <cell r="T16284"/>
        </row>
        <row r="16285">
          <cell r="A16285" t="str">
            <v>SWEDCOM</v>
          </cell>
          <cell r="B16285" t="str">
            <v>SCW 9012</v>
          </cell>
          <cell r="O16285"/>
          <cell r="T16285"/>
        </row>
        <row r="16286">
          <cell r="A16286" t="str">
            <v>SWEDCOM</v>
          </cell>
          <cell r="B16286" t="str">
            <v>SCW 9014</v>
          </cell>
          <cell r="O16286">
            <v>7.4387375889368901</v>
          </cell>
          <cell r="T16286">
            <v>7.1221325651301193</v>
          </cell>
        </row>
        <row r="16287">
          <cell r="A16287" t="str">
            <v>SWEDCOM</v>
          </cell>
          <cell r="B16287" t="str">
            <v>SI 8016</v>
          </cell>
          <cell r="O16287"/>
          <cell r="T16287"/>
        </row>
        <row r="16288">
          <cell r="A16288" t="str">
            <v>SWEDCOM</v>
          </cell>
          <cell r="B16288" t="str">
            <v>SLCP 2X6014</v>
          </cell>
          <cell r="O16288"/>
          <cell r="T16288"/>
        </row>
        <row r="16289">
          <cell r="A16289" t="str">
            <v>SWEDCOM</v>
          </cell>
          <cell r="B16289" t="str">
            <v>SLCP 2X6015</v>
          </cell>
          <cell r="O16289"/>
          <cell r="T16289"/>
        </row>
        <row r="16290">
          <cell r="A16290" t="str">
            <v>SWEDCOM</v>
          </cell>
          <cell r="B16290" t="str">
            <v>SLCP 2X6016</v>
          </cell>
          <cell r="O16290"/>
          <cell r="T16290"/>
        </row>
        <row r="16291">
          <cell r="A16291" t="str">
            <v>SWEDCOM</v>
          </cell>
          <cell r="B16291" t="str">
            <v>SLWX 5514</v>
          </cell>
          <cell r="O16291"/>
          <cell r="T16291"/>
        </row>
        <row r="16292">
          <cell r="A16292" t="str">
            <v>SWEDCOM</v>
          </cell>
          <cell r="B16292" t="str">
            <v>SLXW 5512</v>
          </cell>
          <cell r="O16292"/>
          <cell r="T16292"/>
        </row>
        <row r="16293">
          <cell r="A16293" t="str">
            <v>SWEDCOM</v>
          </cell>
          <cell r="B16293" t="str">
            <v>SLXW 5514</v>
          </cell>
          <cell r="O16293"/>
          <cell r="T16293"/>
        </row>
        <row r="16294">
          <cell r="A16294" t="str">
            <v>SWEDCOM</v>
          </cell>
          <cell r="B16294" t="str">
            <v>SP 6016-DIN</v>
          </cell>
          <cell r="O16294">
            <v>2.4915187622129999</v>
          </cell>
          <cell r="T16294">
            <v>1.4454805900292498</v>
          </cell>
        </row>
        <row r="16295">
          <cell r="A16295" t="str">
            <v>SWEDCOM</v>
          </cell>
          <cell r="B16295" t="str">
            <v>SP 9011-DIN</v>
          </cell>
          <cell r="O16295"/>
          <cell r="T16295"/>
        </row>
        <row r="16296">
          <cell r="A16296" t="str">
            <v>SWEDCOM</v>
          </cell>
          <cell r="B16296" t="str">
            <v>SP 9014-DIN</v>
          </cell>
          <cell r="O16296"/>
          <cell r="T16296"/>
        </row>
        <row r="16297">
          <cell r="A16297" t="str">
            <v>SWEDCOM</v>
          </cell>
          <cell r="B16297" t="str">
            <v>SP-E 5014</v>
          </cell>
          <cell r="O16297"/>
          <cell r="T16297"/>
        </row>
        <row r="16298">
          <cell r="A16298" t="str">
            <v>SWEDCOM</v>
          </cell>
          <cell r="B16298" t="str">
            <v>SP-E 5017 T4</v>
          </cell>
          <cell r="O16298"/>
          <cell r="T16298"/>
        </row>
        <row r="16299">
          <cell r="A16299" t="str">
            <v>SWEDCOM</v>
          </cell>
          <cell r="B16299" t="str">
            <v>SP-E 5017-DIN</v>
          </cell>
          <cell r="O16299"/>
          <cell r="T16299"/>
        </row>
        <row r="16300">
          <cell r="A16300" t="str">
            <v>SWEDCOM</v>
          </cell>
          <cell r="B16300" t="str">
            <v>SP-E 8515</v>
          </cell>
          <cell r="O16300"/>
          <cell r="T16300"/>
        </row>
        <row r="16301">
          <cell r="A16301" t="str">
            <v>SWEDCOM</v>
          </cell>
          <cell r="B16301" t="str">
            <v>SP-E 8515-DIN</v>
          </cell>
          <cell r="O16301"/>
          <cell r="T16301"/>
        </row>
        <row r="16302">
          <cell r="A16302" t="str">
            <v>SWEDCOM</v>
          </cell>
          <cell r="B16302" t="str">
            <v>SPCP 2X6516</v>
          </cell>
          <cell r="O16302"/>
          <cell r="T16302"/>
        </row>
        <row r="16303">
          <cell r="A16303" t="str">
            <v>SWEDCOM</v>
          </cell>
          <cell r="B16303" t="str">
            <v>SPO 9</v>
          </cell>
          <cell r="O16303"/>
          <cell r="T16303"/>
        </row>
        <row r="16304">
          <cell r="A16304" t="str">
            <v>SWEDCOM</v>
          </cell>
          <cell r="B16304" t="str">
            <v>SPW 5017</v>
          </cell>
          <cell r="O16304"/>
          <cell r="T16304"/>
        </row>
        <row r="16305">
          <cell r="A16305" t="str">
            <v>SWEDCOM</v>
          </cell>
          <cell r="B16305" t="str">
            <v>SPX 5014</v>
          </cell>
          <cell r="O16305"/>
          <cell r="T16305"/>
        </row>
        <row r="16306">
          <cell r="A16306" t="str">
            <v>SWEDCOM</v>
          </cell>
          <cell r="B16306" t="str">
            <v>SPX 8515-DIN</v>
          </cell>
          <cell r="O16306"/>
          <cell r="T16306"/>
        </row>
        <row r="16307">
          <cell r="A16307" t="str">
            <v>SWEDCOM</v>
          </cell>
          <cell r="B16307" t="str">
            <v>SPXW 8515</v>
          </cell>
          <cell r="O16307">
            <v>2.9157070009999999</v>
          </cell>
          <cell r="T16307">
            <v>2.375920909</v>
          </cell>
        </row>
        <row r="16308">
          <cell r="A16308" t="str">
            <v>SWEDCOM</v>
          </cell>
          <cell r="B16308" t="str">
            <v>SPXW 8515 T4</v>
          </cell>
          <cell r="O16308">
            <v>2.9157070009999999</v>
          </cell>
          <cell r="T16308">
            <v>2.375920909</v>
          </cell>
        </row>
        <row r="16309">
          <cell r="A16309" t="str">
            <v>SWEDCOM</v>
          </cell>
          <cell r="B16309" t="str">
            <v>SSI800664-3.58</v>
          </cell>
          <cell r="O16309"/>
          <cell r="T16309"/>
        </row>
        <row r="16310">
          <cell r="A16310" t="str">
            <v>SWEDCOM</v>
          </cell>
          <cell r="B16310" t="str">
            <v>SSI807113-8PANEL</v>
          </cell>
          <cell r="O16310"/>
          <cell r="T16310"/>
        </row>
        <row r="16311">
          <cell r="A16311" t="str">
            <v>SWEDCOM</v>
          </cell>
          <cell r="B16311" t="str">
            <v>SSI811567-PANEL</v>
          </cell>
          <cell r="O16311"/>
          <cell r="T16311"/>
        </row>
        <row r="16312">
          <cell r="A16312" t="str">
            <v>SWEDCOM</v>
          </cell>
          <cell r="B16312" t="str">
            <v>SWACP 4X5511-14</v>
          </cell>
          <cell r="O16312"/>
          <cell r="T16312"/>
        </row>
        <row r="16313">
          <cell r="A16313" t="str">
            <v>SWEDCOM</v>
          </cell>
          <cell r="B16313" t="str">
            <v>SWACP 4X5514</v>
          </cell>
          <cell r="O16313"/>
          <cell r="T16313"/>
        </row>
        <row r="16314">
          <cell r="A16314" t="str">
            <v>SWEDCOM</v>
          </cell>
          <cell r="B16314" t="str">
            <v>SWACP 4X5514-15</v>
          </cell>
          <cell r="O16314">
            <v>12.28938078999999</v>
          </cell>
          <cell r="T16314">
            <v>10.43015286</v>
          </cell>
        </row>
        <row r="16315">
          <cell r="A16315" t="str">
            <v>SWEDCOM</v>
          </cell>
          <cell r="B16315" t="str">
            <v>SWACP 6X5514</v>
          </cell>
          <cell r="O16315">
            <v>14.380897955246889</v>
          </cell>
          <cell r="T16315">
            <v>8.5515179453937904</v>
          </cell>
        </row>
        <row r="16316">
          <cell r="A16316" t="str">
            <v>SWEDCOM</v>
          </cell>
          <cell r="B16316" t="str">
            <v>SWANCP 6x5510</v>
          </cell>
          <cell r="O16316"/>
          <cell r="T16316"/>
        </row>
        <row r="16317">
          <cell r="A16317" t="str">
            <v>SWEDCOM</v>
          </cell>
          <cell r="B16317" t="str">
            <v>SWCP 2X5514</v>
          </cell>
          <cell r="O16317">
            <v>6.5580664639999995</v>
          </cell>
          <cell r="T16317">
            <v>5.2658723800000002</v>
          </cell>
        </row>
        <row r="16318">
          <cell r="A16318" t="str">
            <v>SWEDCOM</v>
          </cell>
          <cell r="B16318" t="str">
            <v>SWCP 2X5515</v>
          </cell>
          <cell r="O16318">
            <v>9.9018566740000011</v>
          </cell>
          <cell r="T16318">
            <v>8.0657593639999998</v>
          </cell>
        </row>
        <row r="16319">
          <cell r="A16319" t="str">
            <v>SWEDCOM</v>
          </cell>
          <cell r="B16319" t="str">
            <v>SWCP 2X5516</v>
          </cell>
          <cell r="O16319">
            <v>12.28938078999999</v>
          </cell>
          <cell r="T16319">
            <v>10.38494216</v>
          </cell>
        </row>
        <row r="16320">
          <cell r="A16320" t="str">
            <v>SWEDCOM</v>
          </cell>
          <cell r="B16320" t="str">
            <v>SWCP 2X7014</v>
          </cell>
          <cell r="O16320">
            <v>9.9018566740000011</v>
          </cell>
          <cell r="T16320">
            <v>8.0657593639999998</v>
          </cell>
        </row>
        <row r="16321">
          <cell r="A16321" t="str">
            <v>SWEDCOM</v>
          </cell>
          <cell r="B16321" t="str">
            <v>SWCP 2X7015</v>
          </cell>
          <cell r="O16321">
            <v>12.28938078999999</v>
          </cell>
          <cell r="T16321">
            <v>10.43015286</v>
          </cell>
        </row>
        <row r="16322">
          <cell r="A16322" t="str">
            <v>SWR</v>
          </cell>
          <cell r="B16322" t="str">
            <v>FM 3/1</v>
          </cell>
          <cell r="O16322"/>
          <cell r="T16322"/>
        </row>
        <row r="16323">
          <cell r="A16323" t="str">
            <v>SWR</v>
          </cell>
          <cell r="B16323" t="str">
            <v>FM1/1</v>
          </cell>
          <cell r="O16323"/>
          <cell r="T16323"/>
        </row>
        <row r="16324">
          <cell r="A16324" t="str">
            <v>SWR</v>
          </cell>
          <cell r="B16324" t="str">
            <v>FM1/1 LOW POWER</v>
          </cell>
          <cell r="O16324"/>
          <cell r="T16324"/>
        </row>
        <row r="16325">
          <cell r="A16325" t="str">
            <v>SWR</v>
          </cell>
          <cell r="B16325" t="str">
            <v>FM1/2</v>
          </cell>
          <cell r="O16325"/>
          <cell r="T16325"/>
        </row>
        <row r="16326">
          <cell r="A16326" t="str">
            <v>SWR</v>
          </cell>
          <cell r="B16326" t="str">
            <v>FM1/2 HW</v>
          </cell>
          <cell r="O16326"/>
          <cell r="T16326"/>
        </row>
        <row r="16327">
          <cell r="A16327" t="str">
            <v>SWR</v>
          </cell>
          <cell r="B16327" t="str">
            <v>FM1/4</v>
          </cell>
          <cell r="O16327"/>
          <cell r="T16327"/>
        </row>
        <row r="16328">
          <cell r="A16328" t="str">
            <v>SWR</v>
          </cell>
          <cell r="B16328" t="str">
            <v>FM10/2-0.75WS</v>
          </cell>
          <cell r="O16328"/>
          <cell r="T16328"/>
        </row>
        <row r="16329">
          <cell r="A16329" t="str">
            <v>SWR</v>
          </cell>
          <cell r="B16329" t="str">
            <v>FM10/8</v>
          </cell>
          <cell r="O16329"/>
          <cell r="T16329"/>
        </row>
        <row r="16330">
          <cell r="A16330" t="str">
            <v>SWR</v>
          </cell>
          <cell r="B16330" t="str">
            <v>FM3/1-DA</v>
          </cell>
          <cell r="O16330"/>
          <cell r="T16330"/>
        </row>
        <row r="16331">
          <cell r="A16331" t="str">
            <v>SWR</v>
          </cell>
          <cell r="B16331" t="str">
            <v>FM3/2</v>
          </cell>
          <cell r="O16331"/>
          <cell r="T16331"/>
        </row>
        <row r="16332">
          <cell r="A16332" t="str">
            <v>SWR</v>
          </cell>
          <cell r="B16332" t="str">
            <v>FM3/2-0.8WS-DA</v>
          </cell>
          <cell r="O16332"/>
          <cell r="T16332"/>
        </row>
        <row r="16333">
          <cell r="A16333" t="str">
            <v>SWR</v>
          </cell>
          <cell r="B16333" t="str">
            <v>FM3/2-HWS-DA</v>
          </cell>
          <cell r="O16333"/>
          <cell r="T16333"/>
        </row>
        <row r="16334">
          <cell r="A16334" t="str">
            <v>SWR</v>
          </cell>
          <cell r="B16334" t="str">
            <v>FM3/3</v>
          </cell>
          <cell r="O16334"/>
          <cell r="T16334"/>
        </row>
        <row r="16335">
          <cell r="A16335" t="str">
            <v>SWR</v>
          </cell>
          <cell r="B16335" t="str">
            <v>FM3/4</v>
          </cell>
          <cell r="O16335"/>
          <cell r="T16335"/>
        </row>
        <row r="16336">
          <cell r="A16336" t="str">
            <v>SWR</v>
          </cell>
          <cell r="B16336" t="str">
            <v>FM3/5</v>
          </cell>
          <cell r="O16336"/>
          <cell r="T16336"/>
        </row>
        <row r="16337">
          <cell r="A16337" t="str">
            <v>SWR</v>
          </cell>
          <cell r="B16337" t="str">
            <v>FM3/6-CF</v>
          </cell>
          <cell r="O16337"/>
          <cell r="T16337"/>
        </row>
        <row r="16338">
          <cell r="A16338" t="str">
            <v>SWR</v>
          </cell>
          <cell r="B16338" t="str">
            <v>FM3R/4-HWS</v>
          </cell>
          <cell r="O16338"/>
          <cell r="T16338"/>
        </row>
        <row r="16339">
          <cell r="A16339" t="str">
            <v>SWR</v>
          </cell>
          <cell r="B16339" t="str">
            <v>FM3RA</v>
          </cell>
          <cell r="O16339"/>
          <cell r="T16339"/>
        </row>
        <row r="16340">
          <cell r="A16340" t="str">
            <v>SWR</v>
          </cell>
          <cell r="B16340" t="str">
            <v>FMEC/1</v>
          </cell>
          <cell r="O16340"/>
          <cell r="T16340"/>
        </row>
        <row r="16341">
          <cell r="A16341" t="str">
            <v>SWR</v>
          </cell>
          <cell r="B16341" t="str">
            <v>FMEC/1-DA</v>
          </cell>
          <cell r="O16341"/>
          <cell r="T16341"/>
        </row>
        <row r="16342">
          <cell r="A16342" t="str">
            <v>SWR</v>
          </cell>
          <cell r="B16342" t="str">
            <v>FMEC/1_RADOME</v>
          </cell>
          <cell r="O16342"/>
          <cell r="T16342"/>
        </row>
        <row r="16343">
          <cell r="A16343" t="str">
            <v>SWR</v>
          </cell>
          <cell r="B16343" t="str">
            <v>FMEC/2</v>
          </cell>
          <cell r="O16343"/>
          <cell r="T16343"/>
        </row>
        <row r="16344">
          <cell r="A16344" t="str">
            <v>SWR</v>
          </cell>
          <cell r="B16344" t="str">
            <v>FMEC/2 DA</v>
          </cell>
          <cell r="O16344"/>
          <cell r="T16344"/>
        </row>
        <row r="16345">
          <cell r="A16345" t="str">
            <v>SWR</v>
          </cell>
          <cell r="B16345" t="str">
            <v>FMEC/2 W/DEICERS</v>
          </cell>
          <cell r="O16345"/>
          <cell r="T16345"/>
        </row>
        <row r="16346">
          <cell r="A16346" t="str">
            <v>SWR</v>
          </cell>
          <cell r="B16346" t="str">
            <v>FMEC/2-RADOME</v>
          </cell>
          <cell r="O16346"/>
          <cell r="T16346"/>
        </row>
        <row r="16347">
          <cell r="A16347" t="str">
            <v>SWR</v>
          </cell>
          <cell r="B16347" t="str">
            <v>FMEC/4</v>
          </cell>
          <cell r="O16347"/>
          <cell r="T16347"/>
        </row>
        <row r="16348">
          <cell r="A16348" t="str">
            <v>SWR</v>
          </cell>
          <cell r="B16348" t="str">
            <v>FMEC/4-RADOME</v>
          </cell>
          <cell r="O16348"/>
          <cell r="T16348"/>
        </row>
        <row r="16349">
          <cell r="A16349" t="str">
            <v>SWR</v>
          </cell>
          <cell r="B16349" t="str">
            <v>FMEC/5</v>
          </cell>
          <cell r="O16349"/>
          <cell r="T16349"/>
        </row>
        <row r="16350">
          <cell r="A16350" t="str">
            <v>SWR</v>
          </cell>
          <cell r="B16350" t="str">
            <v>FMEC/6</v>
          </cell>
          <cell r="O16350"/>
          <cell r="T16350"/>
        </row>
        <row r="16351">
          <cell r="A16351" t="str">
            <v>SWR</v>
          </cell>
          <cell r="B16351" t="str">
            <v>FMECRA/1-DA</v>
          </cell>
          <cell r="O16351"/>
          <cell r="T16351"/>
        </row>
        <row r="16352">
          <cell r="A16352" t="str">
            <v>SWR</v>
          </cell>
          <cell r="B16352" t="str">
            <v>FMECRA/1-TA</v>
          </cell>
          <cell r="O16352"/>
          <cell r="T16352"/>
        </row>
        <row r="16353">
          <cell r="A16353" t="str">
            <v>SWR</v>
          </cell>
          <cell r="B16353" t="str">
            <v>FMEV/2 Plus</v>
          </cell>
          <cell r="O16353"/>
          <cell r="T16353"/>
        </row>
        <row r="16354">
          <cell r="A16354" t="str">
            <v>SWR</v>
          </cell>
          <cell r="B16354" t="str">
            <v>FMU/10</v>
          </cell>
          <cell r="O16354"/>
          <cell r="T16354"/>
        </row>
        <row r="16355">
          <cell r="A16355" t="str">
            <v>SWR</v>
          </cell>
          <cell r="B16355" t="str">
            <v>FMU/12</v>
          </cell>
          <cell r="O16355"/>
          <cell r="T16355"/>
        </row>
        <row r="16356">
          <cell r="A16356" t="str">
            <v>SWR</v>
          </cell>
          <cell r="B16356" t="str">
            <v>LP12/47</v>
          </cell>
          <cell r="O16356"/>
          <cell r="T16356"/>
        </row>
        <row r="16357">
          <cell r="A16357" t="str">
            <v>SWR</v>
          </cell>
          <cell r="B16357" t="str">
            <v>SW8</v>
          </cell>
          <cell r="O16357"/>
          <cell r="T16357"/>
        </row>
        <row r="16358">
          <cell r="A16358" t="str">
            <v>SWR</v>
          </cell>
          <cell r="B16358" t="str">
            <v>SWDDPD 2-2-0-2/25</v>
          </cell>
          <cell r="O16358"/>
          <cell r="T16358"/>
        </row>
        <row r="16359">
          <cell r="A16359" t="str">
            <v>SWR</v>
          </cell>
          <cell r="B16359" t="str">
            <v>SWLP12MLS/22</v>
          </cell>
          <cell r="O16359"/>
          <cell r="T16359"/>
        </row>
        <row r="16360">
          <cell r="A16360" t="str">
            <v>SWR</v>
          </cell>
          <cell r="B16360" t="str">
            <v>SWLP160I/69</v>
          </cell>
          <cell r="O16360"/>
          <cell r="T16360"/>
        </row>
        <row r="16361">
          <cell r="A16361" t="str">
            <v>SWR</v>
          </cell>
          <cell r="B16361" t="str">
            <v>SWLP16OI/36</v>
          </cell>
          <cell r="O16361"/>
          <cell r="T16361"/>
        </row>
        <row r="16362">
          <cell r="A16362" t="str">
            <v>SWR</v>
          </cell>
          <cell r="B16362" t="str">
            <v>SWLP16OI/44</v>
          </cell>
          <cell r="O16362"/>
          <cell r="T16362"/>
        </row>
        <row r="16363">
          <cell r="A16363" t="str">
            <v>SWR</v>
          </cell>
          <cell r="B16363" t="str">
            <v>SWLP16OI/50</v>
          </cell>
          <cell r="O16363"/>
          <cell r="T16363"/>
        </row>
        <row r="16364">
          <cell r="A16364" t="str">
            <v>SWR</v>
          </cell>
          <cell r="B16364" t="str">
            <v>SWLP24EC/66</v>
          </cell>
          <cell r="O16364"/>
          <cell r="T16364"/>
        </row>
        <row r="16365">
          <cell r="A16365" t="str">
            <v>SWR</v>
          </cell>
          <cell r="B16365" t="str">
            <v>SWLP24OI/23</v>
          </cell>
          <cell r="O16365"/>
          <cell r="T16365"/>
        </row>
        <row r="16366">
          <cell r="A16366" t="str">
            <v>SWR</v>
          </cell>
          <cell r="B16366" t="str">
            <v>SWLP8BF/51</v>
          </cell>
          <cell r="O16366"/>
          <cell r="T16366"/>
        </row>
        <row r="16367">
          <cell r="A16367" t="str">
            <v>SWR</v>
          </cell>
          <cell r="B16367" t="str">
            <v>SWLP8PN/25</v>
          </cell>
          <cell r="O16367"/>
          <cell r="T16367"/>
        </row>
        <row r="16368">
          <cell r="A16368" t="str">
            <v>SWR</v>
          </cell>
          <cell r="B16368" t="str">
            <v>SWLP8WC</v>
          </cell>
          <cell r="O16368"/>
          <cell r="T16368"/>
        </row>
        <row r="16369">
          <cell r="A16369" t="str">
            <v>SWR</v>
          </cell>
          <cell r="B16369" t="str">
            <v>SWLP8WL/36</v>
          </cell>
          <cell r="O16369"/>
          <cell r="T16369"/>
        </row>
        <row r="16370">
          <cell r="A16370" t="str">
            <v>SWR</v>
          </cell>
          <cell r="B16370" t="str">
            <v>SWMP8WLS/38</v>
          </cell>
          <cell r="O16370"/>
          <cell r="T16370"/>
        </row>
        <row r="16371">
          <cell r="A16371" t="str">
            <v>SWR</v>
          </cell>
          <cell r="B16371" t="str">
            <v>SWRLP18WC/42</v>
          </cell>
          <cell r="O16371"/>
          <cell r="T16371"/>
        </row>
        <row r="16372">
          <cell r="A16372" t="str">
            <v>SWR</v>
          </cell>
          <cell r="B16372" t="str">
            <v>WRX/4</v>
          </cell>
          <cell r="O16372"/>
          <cell r="T16372"/>
        </row>
        <row r="16373">
          <cell r="A16373" t="str">
            <v>SYMMETRICOM</v>
          </cell>
          <cell r="B16373" t="str">
            <v>58532A</v>
          </cell>
          <cell r="O16373"/>
          <cell r="T16373"/>
        </row>
        <row r="16374">
          <cell r="A16374" t="str">
            <v>SYNERGY SYSTEMS</v>
          </cell>
          <cell r="B16374" t="str">
            <v>10001724</v>
          </cell>
          <cell r="O16374"/>
          <cell r="T16374"/>
        </row>
        <row r="16375">
          <cell r="A16375" t="str">
            <v>SYNERGY SYSTEMS</v>
          </cell>
          <cell r="B16375" t="str">
            <v>VIC-100</v>
          </cell>
          <cell r="O16375"/>
          <cell r="T16375"/>
        </row>
        <row r="16376">
          <cell r="A16376" t="str">
            <v>T-MOBILE MLA</v>
          </cell>
          <cell r="B16376" t="str">
            <v>T-MOBILE MLA_ANTENNA</v>
          </cell>
          <cell r="O16376"/>
          <cell r="T16376"/>
        </row>
        <row r="16377">
          <cell r="A16377" t="str">
            <v>T-MOBILE MLA</v>
          </cell>
          <cell r="B16377" t="str">
            <v>T-MOBILE MLA_DISH</v>
          </cell>
          <cell r="O16377"/>
          <cell r="T16377"/>
        </row>
        <row r="16378">
          <cell r="A16378" t="str">
            <v>TAARA</v>
          </cell>
          <cell r="B16378" t="str">
            <v>FCOS TERMINAL MODEL V1_20190228</v>
          </cell>
          <cell r="O16378"/>
          <cell r="T16378"/>
        </row>
        <row r="16379">
          <cell r="A16379" t="str">
            <v>TAARA</v>
          </cell>
          <cell r="B16379" t="str">
            <v>WOC TERMINAL</v>
          </cell>
          <cell r="O16379"/>
          <cell r="T16379"/>
        </row>
        <row r="16380">
          <cell r="A16380" t="str">
            <v>TACHYON NETWORKS</v>
          </cell>
          <cell r="B16380" t="str">
            <v>TNA-301</v>
          </cell>
          <cell r="O16380"/>
          <cell r="T16380"/>
        </row>
        <row r="16381">
          <cell r="A16381" t="str">
            <v>TACHYON NETWORKS</v>
          </cell>
          <cell r="B16381" t="str">
            <v>TNA-302</v>
          </cell>
          <cell r="O16381"/>
          <cell r="T16381"/>
        </row>
        <row r="16382">
          <cell r="A16382" t="str">
            <v>TACO COMMUNICATIONS INC</v>
          </cell>
          <cell r="B16382" t="str">
            <v>D-1338-BB</v>
          </cell>
          <cell r="O16382"/>
          <cell r="T16382"/>
        </row>
        <row r="16383">
          <cell r="A16383" t="str">
            <v>TACO COMMUNICATIONS INC</v>
          </cell>
          <cell r="B16383" t="str">
            <v>D2118</v>
          </cell>
          <cell r="O16383"/>
          <cell r="T16383"/>
        </row>
        <row r="16384">
          <cell r="A16384" t="str">
            <v>TACO COMMUNICATIONS INC</v>
          </cell>
          <cell r="B16384" t="str">
            <v>D2211</v>
          </cell>
          <cell r="O16384"/>
          <cell r="T16384"/>
        </row>
        <row r="16385">
          <cell r="A16385" t="str">
            <v>TACO COMMUNICATIONS INC</v>
          </cell>
          <cell r="B16385" t="str">
            <v>D2218</v>
          </cell>
          <cell r="O16385"/>
          <cell r="T16385"/>
        </row>
        <row r="16386">
          <cell r="A16386" t="str">
            <v>TACO COMMUNICATIONS INC</v>
          </cell>
          <cell r="B16386" t="str">
            <v>D4062A</v>
          </cell>
          <cell r="O16386"/>
          <cell r="T16386"/>
        </row>
        <row r="16387">
          <cell r="A16387" t="str">
            <v>TACO COMMUNICATIONS INC</v>
          </cell>
          <cell r="B16387" t="str">
            <v>D5073</v>
          </cell>
          <cell r="O16387"/>
          <cell r="T16387"/>
        </row>
        <row r="16388">
          <cell r="A16388" t="str">
            <v>TACO COMMUNICATIONS INC</v>
          </cell>
          <cell r="B16388" t="str">
            <v>J105-10</v>
          </cell>
          <cell r="O16388"/>
          <cell r="T16388"/>
        </row>
        <row r="16389">
          <cell r="A16389" t="str">
            <v>TACO COMMUNICATIONS INC</v>
          </cell>
          <cell r="B16389" t="str">
            <v>J105-12</v>
          </cell>
          <cell r="O16389"/>
          <cell r="T16389"/>
        </row>
        <row r="16390">
          <cell r="A16390" t="str">
            <v>TACO COMMUNICATIONS INC</v>
          </cell>
          <cell r="B16390" t="str">
            <v>J55-3</v>
          </cell>
          <cell r="O16390"/>
          <cell r="T16390"/>
        </row>
        <row r="16391">
          <cell r="A16391" t="str">
            <v>TACO COMMUNICATIONS INC</v>
          </cell>
          <cell r="B16391" t="str">
            <v>J55-LO</v>
          </cell>
          <cell r="O16391"/>
          <cell r="T16391"/>
        </row>
        <row r="16392">
          <cell r="A16392" t="str">
            <v>TACO COMMUNICATIONS INC</v>
          </cell>
          <cell r="B16392" t="str">
            <v>PB-61-BB</v>
          </cell>
          <cell r="O16392"/>
          <cell r="T16392"/>
        </row>
        <row r="16393">
          <cell r="A16393" t="str">
            <v>TACO COMMUNICATIONS INC</v>
          </cell>
          <cell r="B16393" t="str">
            <v>PB-81-BB</v>
          </cell>
          <cell r="O16393"/>
          <cell r="T16393"/>
        </row>
        <row r="16394">
          <cell r="A16394" t="str">
            <v>TACORA WIRELESS</v>
          </cell>
          <cell r="B16394" t="str">
            <v>10T 2WAY ARRAY</v>
          </cell>
          <cell r="O16394"/>
          <cell r="T16394"/>
        </row>
        <row r="16395">
          <cell r="A16395" t="str">
            <v>TAOGLAS</v>
          </cell>
          <cell r="B16395" t="str">
            <v>LWB01.A.505111</v>
          </cell>
          <cell r="O16395">
            <v>0.301061943331975</v>
          </cell>
          <cell r="T16395">
            <v>8.1704602102839599E-2</v>
          </cell>
        </row>
        <row r="16396">
          <cell r="A16396" t="str">
            <v>TAOGLAS</v>
          </cell>
          <cell r="B16396" t="str">
            <v>OMB.6960.B07F21</v>
          </cell>
          <cell r="O16396"/>
          <cell r="T16396"/>
        </row>
        <row r="16397">
          <cell r="A16397" t="str">
            <v>TAOGLAS</v>
          </cell>
          <cell r="B16397" t="str">
            <v>OMB.915.B08F21</v>
          </cell>
          <cell r="O16397"/>
          <cell r="T16397"/>
        </row>
        <row r="16398">
          <cell r="A16398" t="str">
            <v>TARANA WIRELESS</v>
          </cell>
          <cell r="B16398" t="str">
            <v>18-0002-001</v>
          </cell>
          <cell r="O16398"/>
          <cell r="T16398"/>
        </row>
        <row r="16399">
          <cell r="A16399" t="str">
            <v>TARANA WIRELESS</v>
          </cell>
          <cell r="B16399" t="str">
            <v>18-0024-001_20250123</v>
          </cell>
          <cell r="O16399"/>
          <cell r="T16399"/>
        </row>
        <row r="16400">
          <cell r="A16400" t="str">
            <v>TARANA WIRELESS</v>
          </cell>
          <cell r="B16400" t="str">
            <v>ABSOLUTEAIR 2</v>
          </cell>
          <cell r="O16400"/>
          <cell r="T16400"/>
        </row>
        <row r="16401">
          <cell r="A16401" t="str">
            <v>TARANA WIRELESS</v>
          </cell>
          <cell r="B16401" t="str">
            <v>ABSOLUTEAIR 2_CCIV2</v>
          </cell>
          <cell r="O16401"/>
          <cell r="T16401"/>
        </row>
        <row r="16402">
          <cell r="A16402" t="str">
            <v>TARANA WIRELESS</v>
          </cell>
          <cell r="B16402" t="str">
            <v>G1</v>
          </cell>
          <cell r="O16402">
            <v>2.8907156427986398</v>
          </cell>
          <cell r="T16402">
            <v>0.60808706968440396</v>
          </cell>
        </row>
        <row r="16403">
          <cell r="A16403" t="str">
            <v>TARANA WIRELESS</v>
          </cell>
          <cell r="B16403" t="str">
            <v>G1-18-0003-001</v>
          </cell>
          <cell r="O16403">
            <v>2.8907156427986398</v>
          </cell>
          <cell r="T16403">
            <v>0.60808706968440396</v>
          </cell>
        </row>
        <row r="16404">
          <cell r="A16404" t="str">
            <v>TARANA WIRELESS</v>
          </cell>
          <cell r="B16404" t="str">
            <v>G1-18-0003-001_CCIV2</v>
          </cell>
          <cell r="O16404"/>
          <cell r="T16404"/>
        </row>
        <row r="16405">
          <cell r="A16405" t="str">
            <v>TARANA WIRELESS</v>
          </cell>
          <cell r="B16405" t="str">
            <v>G1-BN3AS1001</v>
          </cell>
          <cell r="O16405">
            <v>2.8907156427986398</v>
          </cell>
          <cell r="T16405">
            <v>0.60808706968440396</v>
          </cell>
        </row>
        <row r="16406">
          <cell r="A16406" t="str">
            <v>TARANA WIRELESS</v>
          </cell>
          <cell r="B16406" t="str">
            <v>G1-BN3BSI001</v>
          </cell>
          <cell r="O16406">
            <v>2.8907156427986398</v>
          </cell>
          <cell r="T16406">
            <v>0.60808706968440396</v>
          </cell>
        </row>
        <row r="16407">
          <cell r="A16407" t="str">
            <v>TARANA WIRELESS</v>
          </cell>
          <cell r="B16407" t="str">
            <v>G1-BN3BSI001_CCIV2</v>
          </cell>
          <cell r="O16407">
            <v>2.8907156427986398</v>
          </cell>
          <cell r="T16407">
            <v>0.60808706968440396</v>
          </cell>
        </row>
        <row r="16408">
          <cell r="A16408" t="str">
            <v>TARANA WIRELESS</v>
          </cell>
          <cell r="B16408" t="str">
            <v>G1-BN5AS1002</v>
          </cell>
          <cell r="O16408">
            <v>2.8907156427986398</v>
          </cell>
          <cell r="T16408">
            <v>0.60808706968440396</v>
          </cell>
        </row>
        <row r="16409">
          <cell r="A16409" t="str">
            <v>TARANA WIRELESS</v>
          </cell>
          <cell r="B16409" t="str">
            <v>G1-RN3AS1001</v>
          </cell>
          <cell r="O16409"/>
          <cell r="T16409"/>
        </row>
        <row r="16410">
          <cell r="A16410" t="str">
            <v>TARANA WIRELESS</v>
          </cell>
          <cell r="B16410" t="str">
            <v>G1-RN5AS1002</v>
          </cell>
          <cell r="O16410"/>
          <cell r="T16410"/>
        </row>
        <row r="16411">
          <cell r="A16411" t="str">
            <v>TARANA WIRELESS</v>
          </cell>
          <cell r="B16411" t="str">
            <v>G1BN6ASI002</v>
          </cell>
          <cell r="O16411">
            <v>2.8907156427986398</v>
          </cell>
          <cell r="T16411">
            <v>0.60808706968440396</v>
          </cell>
        </row>
        <row r="16412">
          <cell r="A16412" t="str">
            <v>TARANA WIRELESS</v>
          </cell>
          <cell r="B16412" t="str">
            <v>G1RN6AHB012</v>
          </cell>
          <cell r="O16412"/>
          <cell r="T16412"/>
        </row>
        <row r="16413">
          <cell r="A16413" t="str">
            <v>TARANA WIRELESS</v>
          </cell>
          <cell r="B16413" t="str">
            <v>G2BNF356900</v>
          </cell>
          <cell r="O16413"/>
          <cell r="T16413"/>
        </row>
        <row r="16414">
          <cell r="A16414" t="str">
            <v>TARANA WIRELESS</v>
          </cell>
          <cell r="B16414" t="str">
            <v>GIGABIT 1_BN</v>
          </cell>
          <cell r="O16414">
            <v>2.8907156427986398</v>
          </cell>
          <cell r="T16414">
            <v>0.60808706968440396</v>
          </cell>
        </row>
        <row r="16415">
          <cell r="A16415" t="str">
            <v>TARANA WIRELESS</v>
          </cell>
          <cell r="B16415" t="str">
            <v>GXRN8356900</v>
          </cell>
          <cell r="O16415"/>
          <cell r="T16415"/>
        </row>
        <row r="16416">
          <cell r="A16416" t="str">
            <v>TEKELEC SYSTEMES</v>
          </cell>
          <cell r="B16416" t="str">
            <v>EPSILON GPS ANTENNA 35 DB</v>
          </cell>
          <cell r="O16416"/>
          <cell r="T16416"/>
        </row>
        <row r="16417">
          <cell r="A16417" t="str">
            <v>TEKTELIC COMMUNICATIONS</v>
          </cell>
          <cell r="B16417" t="str">
            <v>T0007265</v>
          </cell>
          <cell r="O16417"/>
          <cell r="T16417"/>
        </row>
        <row r="16418">
          <cell r="A16418" t="str">
            <v>TELETRONICS</v>
          </cell>
          <cell r="B16418" t="str">
            <v>15-136</v>
          </cell>
          <cell r="O16418"/>
          <cell r="T16418"/>
        </row>
        <row r="16419">
          <cell r="A16419" t="str">
            <v>TELETRONICS</v>
          </cell>
          <cell r="B16419" t="str">
            <v>15-205</v>
          </cell>
          <cell r="O16419"/>
          <cell r="T16419"/>
        </row>
        <row r="16420">
          <cell r="A16420" t="str">
            <v>TELETRONICS</v>
          </cell>
          <cell r="B16420" t="str">
            <v>15-212</v>
          </cell>
          <cell r="O16420"/>
          <cell r="T16420"/>
        </row>
        <row r="16421">
          <cell r="A16421" t="str">
            <v>TELETRONICS</v>
          </cell>
          <cell r="B16421" t="str">
            <v>15-216</v>
          </cell>
          <cell r="O16421"/>
          <cell r="T16421"/>
        </row>
        <row r="16422">
          <cell r="A16422" t="str">
            <v>TELETRONICS</v>
          </cell>
          <cell r="B16422" t="str">
            <v>15-401</v>
          </cell>
          <cell r="O16422"/>
          <cell r="T16422"/>
        </row>
        <row r="16423">
          <cell r="A16423" t="str">
            <v>TELETRONICS</v>
          </cell>
          <cell r="B16423" t="str">
            <v>15-404</v>
          </cell>
          <cell r="O16423"/>
          <cell r="T16423"/>
        </row>
        <row r="16424">
          <cell r="A16424" t="str">
            <v>TELETRONICS</v>
          </cell>
          <cell r="B16424" t="str">
            <v>15-551</v>
          </cell>
          <cell r="O16424"/>
          <cell r="T16424"/>
        </row>
        <row r="16425">
          <cell r="A16425" t="str">
            <v>TELETRONICS</v>
          </cell>
          <cell r="B16425" t="str">
            <v>ANT-S2419-120H</v>
          </cell>
          <cell r="O16425"/>
          <cell r="T16425"/>
        </row>
        <row r="16426">
          <cell r="A16426" t="str">
            <v>TELETRONICS</v>
          </cell>
          <cell r="B16426" t="str">
            <v>ANT-YAGI-12</v>
          </cell>
          <cell r="O16426"/>
          <cell r="T16426"/>
        </row>
        <row r="16427">
          <cell r="A16427" t="str">
            <v>TELETRONICS</v>
          </cell>
          <cell r="B16427" t="str">
            <v>ANT-YAGI-6</v>
          </cell>
          <cell r="O16427"/>
          <cell r="T16427"/>
        </row>
        <row r="16428">
          <cell r="A16428" t="str">
            <v>TELEVES</v>
          </cell>
          <cell r="B16428" t="str">
            <v>DAT BOSS MIX LR</v>
          </cell>
          <cell r="O16428"/>
          <cell r="T16428"/>
        </row>
        <row r="16429">
          <cell r="A16429" t="str">
            <v>TELEWAVE</v>
          </cell>
          <cell r="B16429" t="str">
            <v>220 D6-9</v>
          </cell>
          <cell r="O16429"/>
          <cell r="T16429"/>
        </row>
        <row r="16430">
          <cell r="A16430" t="str">
            <v>TELEWAVE</v>
          </cell>
          <cell r="B16430" t="str">
            <v>ANT135F2</v>
          </cell>
          <cell r="O16430"/>
          <cell r="T16430"/>
        </row>
        <row r="16431">
          <cell r="A16431" t="str">
            <v>TELEWAVE</v>
          </cell>
          <cell r="B16431" t="str">
            <v>ANT140F2</v>
          </cell>
          <cell r="O16431"/>
          <cell r="T16431"/>
        </row>
        <row r="16432">
          <cell r="A16432" t="str">
            <v>TELEWAVE</v>
          </cell>
          <cell r="B16432" t="str">
            <v>ANT150D</v>
          </cell>
          <cell r="O16432"/>
          <cell r="T16432"/>
        </row>
        <row r="16433">
          <cell r="A16433" t="str">
            <v>TELEWAVE</v>
          </cell>
          <cell r="B16433" t="str">
            <v>ANT150D3</v>
          </cell>
          <cell r="O16433"/>
          <cell r="T16433"/>
        </row>
        <row r="16434">
          <cell r="A16434" t="str">
            <v>TELEWAVE</v>
          </cell>
          <cell r="B16434" t="str">
            <v>ANT150D3D</v>
          </cell>
          <cell r="O16434"/>
          <cell r="T16434"/>
        </row>
        <row r="16435">
          <cell r="A16435" t="str">
            <v>TELEWAVE</v>
          </cell>
          <cell r="B16435" t="str">
            <v>ANT150D3_20240722</v>
          </cell>
          <cell r="O16435"/>
          <cell r="T16435"/>
        </row>
        <row r="16436">
          <cell r="A16436" t="str">
            <v>TELEWAVE</v>
          </cell>
          <cell r="B16436" t="str">
            <v>ANT150D6-9</v>
          </cell>
          <cell r="O16436"/>
          <cell r="T16436"/>
        </row>
        <row r="16437">
          <cell r="A16437" t="str">
            <v>TELEWAVE</v>
          </cell>
          <cell r="B16437" t="str">
            <v>ANT150D6-9_20240722</v>
          </cell>
          <cell r="O16437"/>
          <cell r="T16437"/>
        </row>
        <row r="16438">
          <cell r="A16438" t="str">
            <v>TELEWAVE</v>
          </cell>
          <cell r="B16438" t="str">
            <v>ANT150D_20240722</v>
          </cell>
          <cell r="O16438"/>
          <cell r="T16438"/>
        </row>
        <row r="16439">
          <cell r="A16439" t="str">
            <v>TELEWAVE</v>
          </cell>
          <cell r="B16439" t="str">
            <v>ANT150F2</v>
          </cell>
          <cell r="O16439"/>
          <cell r="T16439"/>
        </row>
        <row r="16440">
          <cell r="A16440" t="str">
            <v>TELEWAVE</v>
          </cell>
          <cell r="B16440" t="str">
            <v>ANT150F2_CCIV2</v>
          </cell>
          <cell r="O16440"/>
          <cell r="T16440"/>
        </row>
        <row r="16441">
          <cell r="A16441" t="str">
            <v>TELEWAVE</v>
          </cell>
          <cell r="B16441" t="str">
            <v>ANT150F6</v>
          </cell>
          <cell r="O16441"/>
          <cell r="T16441"/>
        </row>
        <row r="16442">
          <cell r="A16442" t="str">
            <v>TELEWAVE</v>
          </cell>
          <cell r="B16442" t="str">
            <v>ANT150Y7-WR</v>
          </cell>
          <cell r="O16442"/>
          <cell r="T16442"/>
        </row>
        <row r="16443">
          <cell r="A16443" t="str">
            <v>TELEWAVE</v>
          </cell>
          <cell r="B16443" t="str">
            <v>ANT220D3</v>
          </cell>
          <cell r="O16443"/>
          <cell r="T16443"/>
        </row>
        <row r="16444">
          <cell r="A16444" t="str">
            <v>TELEWAVE</v>
          </cell>
          <cell r="B16444" t="str">
            <v>ANT220D6-9</v>
          </cell>
          <cell r="O16444"/>
          <cell r="T16444"/>
        </row>
        <row r="16445">
          <cell r="A16445" t="str">
            <v>TELEWAVE</v>
          </cell>
          <cell r="B16445" t="str">
            <v>ANT220D7-12</v>
          </cell>
          <cell r="O16445"/>
          <cell r="T16445"/>
        </row>
        <row r="16446">
          <cell r="A16446" t="str">
            <v>TELEWAVE</v>
          </cell>
          <cell r="B16446" t="str">
            <v>ANT220F2</v>
          </cell>
          <cell r="O16446"/>
          <cell r="T16446"/>
        </row>
        <row r="16447">
          <cell r="A16447" t="str">
            <v>TELEWAVE</v>
          </cell>
          <cell r="B16447" t="str">
            <v>ANT220F6</v>
          </cell>
          <cell r="O16447"/>
          <cell r="T16447"/>
        </row>
        <row r="16448">
          <cell r="A16448" t="str">
            <v>TELEWAVE</v>
          </cell>
          <cell r="B16448" t="str">
            <v>ANT22OF6</v>
          </cell>
          <cell r="O16448"/>
          <cell r="T16448"/>
        </row>
        <row r="16449">
          <cell r="A16449" t="str">
            <v>TELEWAVE</v>
          </cell>
          <cell r="B16449" t="str">
            <v>ANT2400Y12-WR</v>
          </cell>
          <cell r="O16449"/>
          <cell r="T16449"/>
        </row>
        <row r="16450">
          <cell r="A16450" t="str">
            <v>TELEWAVE</v>
          </cell>
          <cell r="B16450" t="str">
            <v>ANT280S</v>
          </cell>
          <cell r="O16450"/>
          <cell r="T16450"/>
        </row>
        <row r="16451">
          <cell r="A16451" t="str">
            <v>TELEWAVE</v>
          </cell>
          <cell r="B16451" t="str">
            <v>ANT425F2</v>
          </cell>
          <cell r="O16451"/>
          <cell r="T16451"/>
        </row>
        <row r="16452">
          <cell r="A16452" t="str">
            <v>TELEWAVE</v>
          </cell>
          <cell r="B16452" t="str">
            <v>ANT42D</v>
          </cell>
          <cell r="O16452"/>
          <cell r="T16452"/>
        </row>
        <row r="16453">
          <cell r="A16453" t="str">
            <v>TELEWAVE</v>
          </cell>
          <cell r="B16453" t="str">
            <v>ANT450D</v>
          </cell>
          <cell r="O16453"/>
          <cell r="T16453"/>
        </row>
        <row r="16454">
          <cell r="A16454" t="str">
            <v>TELEWAVE</v>
          </cell>
          <cell r="B16454" t="str">
            <v>ANT450D3</v>
          </cell>
          <cell r="O16454"/>
          <cell r="T16454"/>
        </row>
        <row r="16455">
          <cell r="A16455" t="str">
            <v>TELEWAVE</v>
          </cell>
          <cell r="B16455" t="str">
            <v>ANT450D6-9</v>
          </cell>
          <cell r="O16455"/>
          <cell r="T16455"/>
        </row>
        <row r="16456">
          <cell r="A16456" t="str">
            <v>TELEWAVE</v>
          </cell>
          <cell r="B16456" t="str">
            <v>ANT450D7-12</v>
          </cell>
          <cell r="O16456"/>
          <cell r="T16456"/>
        </row>
        <row r="16457">
          <cell r="A16457" t="str">
            <v>TELEWAVE</v>
          </cell>
          <cell r="B16457" t="str">
            <v>ANT450F10</v>
          </cell>
          <cell r="O16457"/>
          <cell r="T16457"/>
        </row>
        <row r="16458">
          <cell r="A16458" t="str">
            <v>TELEWAVE</v>
          </cell>
          <cell r="B16458" t="str">
            <v>ANT450F2</v>
          </cell>
          <cell r="O16458"/>
          <cell r="T16458"/>
        </row>
        <row r="16459">
          <cell r="A16459" t="str">
            <v>TELEWAVE</v>
          </cell>
          <cell r="B16459" t="str">
            <v>ANT450F6</v>
          </cell>
          <cell r="O16459"/>
          <cell r="T16459"/>
        </row>
        <row r="16460">
          <cell r="A16460" t="str">
            <v>TELEWAVE</v>
          </cell>
          <cell r="B16460" t="str">
            <v>ANT450Y10-WR</v>
          </cell>
          <cell r="O16460"/>
          <cell r="T16460"/>
        </row>
        <row r="16461">
          <cell r="A16461" t="str">
            <v>TELEWAVE</v>
          </cell>
          <cell r="B16461" t="str">
            <v>ANT450Y5-WR</v>
          </cell>
          <cell r="O16461"/>
          <cell r="T16461"/>
        </row>
        <row r="16462">
          <cell r="A16462" t="str">
            <v>TELEWAVE</v>
          </cell>
          <cell r="B16462" t="str">
            <v>ANT450Y7-WR</v>
          </cell>
          <cell r="O16462"/>
          <cell r="T16462"/>
        </row>
        <row r="16463">
          <cell r="A16463" t="str">
            <v>TELEWAVE</v>
          </cell>
          <cell r="B16463" t="str">
            <v>ANT480F2</v>
          </cell>
          <cell r="O16463"/>
          <cell r="T16463"/>
        </row>
        <row r="16464">
          <cell r="A16464" t="str">
            <v>TELEWAVE</v>
          </cell>
          <cell r="B16464" t="str">
            <v>ANT500D6-9</v>
          </cell>
          <cell r="O16464"/>
          <cell r="T16464"/>
        </row>
        <row r="16465">
          <cell r="A16465" t="str">
            <v>TELEWAVE</v>
          </cell>
          <cell r="B16465" t="str">
            <v>ANT500F6</v>
          </cell>
          <cell r="O16465"/>
          <cell r="T16465"/>
        </row>
        <row r="16466">
          <cell r="A16466" t="str">
            <v>TELEWAVE</v>
          </cell>
          <cell r="B16466" t="str">
            <v>ANT750D6-9</v>
          </cell>
          <cell r="O16466"/>
          <cell r="T16466"/>
        </row>
        <row r="16467">
          <cell r="A16467" t="str">
            <v>TELEWAVE</v>
          </cell>
          <cell r="B16467" t="str">
            <v>ANT770F6</v>
          </cell>
          <cell r="O16467"/>
          <cell r="T16467"/>
        </row>
        <row r="16468">
          <cell r="A16468" t="str">
            <v>TELEWAVE</v>
          </cell>
          <cell r="B16468" t="str">
            <v>ANT850F10</v>
          </cell>
          <cell r="O16468"/>
          <cell r="T16468"/>
        </row>
        <row r="16469">
          <cell r="A16469" t="str">
            <v>TELEWAVE</v>
          </cell>
          <cell r="B16469" t="str">
            <v>ANT850F2</v>
          </cell>
          <cell r="O16469"/>
          <cell r="T16469"/>
        </row>
        <row r="16470">
          <cell r="A16470" t="str">
            <v>TELEWAVE</v>
          </cell>
          <cell r="B16470" t="str">
            <v>ANT850F6</v>
          </cell>
          <cell r="O16470"/>
          <cell r="T16470"/>
        </row>
        <row r="16471">
          <cell r="A16471" t="str">
            <v>TELEWAVE</v>
          </cell>
          <cell r="B16471" t="str">
            <v>ANT900D</v>
          </cell>
          <cell r="O16471"/>
          <cell r="T16471"/>
        </row>
        <row r="16472">
          <cell r="A16472" t="str">
            <v>TELEWAVE</v>
          </cell>
          <cell r="B16472" t="str">
            <v>ANT90D</v>
          </cell>
          <cell r="O16472"/>
          <cell r="T16472"/>
        </row>
        <row r="16473">
          <cell r="A16473" t="str">
            <v>TELEWAVE</v>
          </cell>
          <cell r="B16473" t="str">
            <v>ANT930Y12-WR</v>
          </cell>
          <cell r="O16473"/>
          <cell r="T16473"/>
        </row>
        <row r="16474">
          <cell r="A16474" t="str">
            <v>TELEWAVE</v>
          </cell>
          <cell r="B16474" t="str">
            <v>ANT940F10</v>
          </cell>
          <cell r="O16474"/>
          <cell r="T16474"/>
        </row>
        <row r="16475">
          <cell r="A16475" t="str">
            <v>TELEWAVE</v>
          </cell>
          <cell r="B16475" t="str">
            <v>ANT940F6</v>
          </cell>
          <cell r="O16475"/>
          <cell r="T16475"/>
        </row>
        <row r="16476">
          <cell r="A16476" t="str">
            <v>TELEWAVE</v>
          </cell>
          <cell r="B16476" t="str">
            <v>ANT940Y10-WR</v>
          </cell>
          <cell r="O16476"/>
          <cell r="T16476"/>
        </row>
        <row r="16477">
          <cell r="A16477" t="str">
            <v>TELEWAVE</v>
          </cell>
          <cell r="B16477" t="str">
            <v>Telant 150Y7-WR</v>
          </cell>
          <cell r="O16477"/>
          <cell r="T16477"/>
        </row>
        <row r="16478">
          <cell r="A16478" t="str">
            <v>TELRAD</v>
          </cell>
          <cell r="B16478" t="str">
            <v>300726</v>
          </cell>
          <cell r="O16478"/>
          <cell r="T16478"/>
        </row>
        <row r="16479">
          <cell r="A16479" t="str">
            <v>TELRAD</v>
          </cell>
          <cell r="B16479" t="str">
            <v>300736</v>
          </cell>
          <cell r="O16479"/>
          <cell r="T16479"/>
        </row>
        <row r="16480">
          <cell r="A16480" t="str">
            <v>TELRAD</v>
          </cell>
          <cell r="B16480" t="str">
            <v>300748</v>
          </cell>
          <cell r="O16480"/>
          <cell r="T16480"/>
        </row>
        <row r="16481">
          <cell r="A16481" t="str">
            <v>TELRAD</v>
          </cell>
          <cell r="B16481" t="str">
            <v>300794</v>
          </cell>
          <cell r="O16481"/>
          <cell r="T16481"/>
        </row>
        <row r="16482">
          <cell r="A16482" t="str">
            <v>TELRAD</v>
          </cell>
          <cell r="B16482" t="str">
            <v>301715</v>
          </cell>
          <cell r="O16482"/>
          <cell r="T16482"/>
        </row>
        <row r="16483">
          <cell r="A16483" t="str">
            <v>TELRAD</v>
          </cell>
          <cell r="B16483" t="str">
            <v>700275</v>
          </cell>
          <cell r="O16483"/>
          <cell r="T16483"/>
        </row>
        <row r="16484">
          <cell r="A16484" t="str">
            <v>TELRAD</v>
          </cell>
          <cell r="B16484" t="str">
            <v>700736</v>
          </cell>
          <cell r="O16484"/>
          <cell r="T16484"/>
        </row>
        <row r="16485">
          <cell r="A16485" t="str">
            <v>TELRAD</v>
          </cell>
          <cell r="B16485" t="str">
            <v>BREEZEGPS</v>
          </cell>
          <cell r="O16485"/>
          <cell r="T16485"/>
        </row>
        <row r="16486">
          <cell r="A16486" t="str">
            <v>TELSA</v>
          </cell>
          <cell r="B16486" t="str">
            <v>T01281606</v>
          </cell>
          <cell r="O16486"/>
          <cell r="T16486"/>
        </row>
        <row r="16487">
          <cell r="A16487" t="str">
            <v>TENXC WIRELESS</v>
          </cell>
          <cell r="B16487" t="str">
            <v>BSA-B65-17V412-02</v>
          </cell>
          <cell r="O16487">
            <v>18.964567589999998</v>
          </cell>
          <cell r="T16487">
            <v>5.3137763769999999</v>
          </cell>
        </row>
        <row r="16488">
          <cell r="A16488" t="str">
            <v>TENXC WIRELESS</v>
          </cell>
          <cell r="B16488" t="str">
            <v>BSA-B65-19V210-02</v>
          </cell>
          <cell r="O16488"/>
          <cell r="T16488"/>
        </row>
        <row r="16489">
          <cell r="A16489" t="str">
            <v>TENXC WIRELESS</v>
          </cell>
          <cell r="B16489" t="str">
            <v>BSA-DA65-19R212-02</v>
          </cell>
          <cell r="O16489">
            <v>18.964567589999998</v>
          </cell>
          <cell r="T16489">
            <v>5.3137763769999999</v>
          </cell>
        </row>
        <row r="16490">
          <cell r="A16490" t="str">
            <v>TENXC WIRELESS</v>
          </cell>
          <cell r="B16490" t="str">
            <v>BSA-DA65-19V212-02</v>
          </cell>
          <cell r="O16490">
            <v>18.964567589999998</v>
          </cell>
          <cell r="T16490">
            <v>5.3137763769999999</v>
          </cell>
        </row>
        <row r="16491">
          <cell r="A16491" t="str">
            <v>TENXC WIRELESS</v>
          </cell>
          <cell r="B16491" t="str">
            <v>BSA-M65-19R010-02</v>
          </cell>
          <cell r="O16491">
            <v>19.288418369999992</v>
          </cell>
          <cell r="T16491">
            <v>6.3287320779999989</v>
          </cell>
        </row>
        <row r="16492">
          <cell r="A16492" t="str">
            <v>TENXC WIRELESS</v>
          </cell>
          <cell r="B16492" t="str">
            <v>BSA-M65-19V010-02</v>
          </cell>
          <cell r="O16492">
            <v>19.288418369999992</v>
          </cell>
          <cell r="T16492">
            <v>6.3287320779999989</v>
          </cell>
        </row>
        <row r="16493">
          <cell r="A16493" t="str">
            <v>TENXC WIRELESS</v>
          </cell>
          <cell r="B16493" t="str">
            <v>BSA-W65-20R210-02</v>
          </cell>
          <cell r="O16493">
            <v>6.3588880769999996</v>
          </cell>
          <cell r="T16493">
            <v>2.7554242100000002</v>
          </cell>
        </row>
        <row r="16494">
          <cell r="A16494" t="str">
            <v>TERABEAM</v>
          </cell>
          <cell r="B16494" t="str">
            <v>A5.8-2.5-G</v>
          </cell>
          <cell r="O16494"/>
          <cell r="T16494"/>
        </row>
        <row r="16495">
          <cell r="A16495" t="str">
            <v>TERABEAM</v>
          </cell>
          <cell r="B16495" t="str">
            <v>LP14</v>
          </cell>
          <cell r="O16495"/>
          <cell r="T16495"/>
        </row>
        <row r="16496">
          <cell r="A16496" t="str">
            <v>TERABEAM</v>
          </cell>
          <cell r="B16496" t="str">
            <v>PT2424</v>
          </cell>
          <cell r="O16496"/>
          <cell r="T16496"/>
        </row>
        <row r="16497">
          <cell r="A16497" t="str">
            <v>TERMA</v>
          </cell>
          <cell r="B16497" t="str">
            <v>259220-012</v>
          </cell>
          <cell r="O16497"/>
          <cell r="T16497"/>
        </row>
        <row r="16498">
          <cell r="A16498" t="str">
            <v>TERMA</v>
          </cell>
          <cell r="B16498" t="str">
            <v>SCANTER 12FT HP-F</v>
          </cell>
          <cell r="O16498"/>
          <cell r="T16498"/>
        </row>
        <row r="16499">
          <cell r="A16499" t="str">
            <v>TERMA</v>
          </cell>
          <cell r="B16499" t="str">
            <v>SCANTER 18FT CP-F</v>
          </cell>
          <cell r="O16499"/>
          <cell r="T16499"/>
        </row>
        <row r="16500">
          <cell r="A16500" t="str">
            <v>TERMA</v>
          </cell>
          <cell r="B16500" t="str">
            <v>SCANTER 18FT HP-F</v>
          </cell>
          <cell r="O16500"/>
          <cell r="T16500"/>
        </row>
        <row r="16501">
          <cell r="A16501" t="str">
            <v>TERRAWAVE</v>
          </cell>
          <cell r="B16501" t="str">
            <v>M5160160P10006</v>
          </cell>
          <cell r="O16501">
            <v>0.85260096099999994</v>
          </cell>
          <cell r="T16501">
            <v>0.2141639579999999</v>
          </cell>
        </row>
        <row r="16502">
          <cell r="A16502" t="str">
            <v>TERRAWAVE</v>
          </cell>
          <cell r="B16502" t="str">
            <v>T09125P10006</v>
          </cell>
          <cell r="O16502">
            <v>7.7069754169999998</v>
          </cell>
          <cell r="T16502">
            <v>1.235296822</v>
          </cell>
        </row>
        <row r="16503">
          <cell r="A16503" t="str">
            <v>TERRAWAVE</v>
          </cell>
          <cell r="B16503" t="str">
            <v>T24130P10006G</v>
          </cell>
          <cell r="O16503">
            <v>0.53658146116201</v>
          </cell>
          <cell r="T16503">
            <v>6.7562318183633896E-2</v>
          </cell>
        </row>
        <row r="16504">
          <cell r="A16504" t="str">
            <v>TERRAWAVE</v>
          </cell>
          <cell r="B16504" t="str">
            <v>T24135P10006120</v>
          </cell>
          <cell r="O16504">
            <v>0.84524037600000002</v>
          </cell>
          <cell r="T16504">
            <v>0.20337939899999991</v>
          </cell>
        </row>
        <row r="16505">
          <cell r="A16505" t="str">
            <v>TERRAWAVE</v>
          </cell>
          <cell r="B16505" t="str">
            <v>T24190P10006G</v>
          </cell>
          <cell r="O16505"/>
          <cell r="T16505"/>
        </row>
        <row r="16506">
          <cell r="A16506" t="str">
            <v>TERRAWAVE</v>
          </cell>
          <cell r="B16506" t="str">
            <v>T24210D10006</v>
          </cell>
          <cell r="O16506"/>
          <cell r="T16506"/>
        </row>
        <row r="16507">
          <cell r="A16507" t="str">
            <v>TERRAWAVE</v>
          </cell>
          <cell r="B16507" t="str">
            <v>T24235G10006T</v>
          </cell>
          <cell r="O16507"/>
          <cell r="T16507"/>
        </row>
        <row r="16508">
          <cell r="A16508" t="str">
            <v>TERRAWAVE</v>
          </cell>
          <cell r="B16508" t="str">
            <v>T35180P1000615</v>
          </cell>
          <cell r="O16508"/>
          <cell r="T16508"/>
        </row>
        <row r="16509">
          <cell r="A16509" t="str">
            <v>TERRAWAVE</v>
          </cell>
          <cell r="B16509" t="str">
            <v>T49300G10006</v>
          </cell>
          <cell r="O16509"/>
          <cell r="T16509"/>
        </row>
        <row r="16510">
          <cell r="A16510" t="str">
            <v>TERRAWAVE</v>
          </cell>
          <cell r="B16510" t="str">
            <v>T58150P10006120</v>
          </cell>
          <cell r="O16510">
            <v>1.1137525289999999</v>
          </cell>
          <cell r="T16510">
            <v>0.42580242800000001</v>
          </cell>
        </row>
        <row r="16511">
          <cell r="A16511" t="str">
            <v>TERRAWAVE</v>
          </cell>
          <cell r="B16511" t="str">
            <v>T58300G10006</v>
          </cell>
          <cell r="O16511"/>
          <cell r="T16511"/>
        </row>
        <row r="16512">
          <cell r="A16512" t="str">
            <v>TERRAWAVE</v>
          </cell>
          <cell r="B16512" t="str">
            <v>TME-8X8X4 ENCLOSURE</v>
          </cell>
          <cell r="O16512"/>
          <cell r="T16512"/>
        </row>
        <row r="16513">
          <cell r="A16513" t="str">
            <v>TERRAWAVE</v>
          </cell>
          <cell r="B16513" t="str">
            <v>TS8300G10006</v>
          </cell>
          <cell r="O16513"/>
          <cell r="T16513"/>
        </row>
        <row r="16514">
          <cell r="A16514" t="str">
            <v>TESSCO</v>
          </cell>
          <cell r="B16514" t="str">
            <v>DFPD2-52</v>
          </cell>
          <cell r="O16514"/>
          <cell r="T16514"/>
        </row>
        <row r="16515">
          <cell r="A16515" t="str">
            <v>TESSCO</v>
          </cell>
          <cell r="B16515" t="str">
            <v>GS-35F-0548 P</v>
          </cell>
          <cell r="O16515"/>
          <cell r="T16515"/>
        </row>
        <row r="16516">
          <cell r="A16516" t="str">
            <v>TESSCO</v>
          </cell>
          <cell r="B16516" t="str">
            <v>PCTEL MAXRAD</v>
          </cell>
          <cell r="O16516"/>
          <cell r="T16516"/>
        </row>
        <row r="16517">
          <cell r="A16517" t="str">
            <v>TESSCO</v>
          </cell>
          <cell r="B16517" t="str">
            <v>Power Enclosure</v>
          </cell>
          <cell r="O16517"/>
          <cell r="T16517"/>
        </row>
        <row r="16518">
          <cell r="A16518" t="str">
            <v>THALES ANTENNAS</v>
          </cell>
          <cell r="B16518" t="str">
            <v>8100</v>
          </cell>
          <cell r="O16518"/>
          <cell r="T16518"/>
        </row>
        <row r="16519">
          <cell r="A16519" t="str">
            <v>THALES ANTENNAS</v>
          </cell>
          <cell r="B16519" t="str">
            <v>8136-R</v>
          </cell>
          <cell r="O16519"/>
          <cell r="T16519"/>
        </row>
        <row r="16520">
          <cell r="A16520" t="str">
            <v>THALES ANTENNAS</v>
          </cell>
          <cell r="B16520" t="str">
            <v>8165-R0</v>
          </cell>
          <cell r="O16520"/>
          <cell r="T16520"/>
        </row>
        <row r="16521">
          <cell r="A16521" t="str">
            <v>THALES ANTENNAS</v>
          </cell>
          <cell r="B16521" t="str">
            <v>8165-R2</v>
          </cell>
          <cell r="O16521"/>
          <cell r="T16521"/>
        </row>
        <row r="16522">
          <cell r="A16522" t="str">
            <v>THALES ANTENNAS</v>
          </cell>
          <cell r="B16522" t="str">
            <v>P65Q72NS0B</v>
          </cell>
          <cell r="O16522"/>
          <cell r="T16522"/>
        </row>
        <row r="16523">
          <cell r="A16523" t="str">
            <v>THALES ANTENNAS</v>
          </cell>
          <cell r="B16523" t="str">
            <v>RAVF-17VP/22/17</v>
          </cell>
          <cell r="O16523"/>
          <cell r="T16523"/>
        </row>
        <row r="16524">
          <cell r="A16524" t="str">
            <v>THIES CLIMA</v>
          </cell>
          <cell r="B16524" t="str">
            <v>5.4110.00.100</v>
          </cell>
          <cell r="O16524"/>
          <cell r="T16524"/>
        </row>
        <row r="16525">
          <cell r="A16525" t="str">
            <v>THURAYA M2M</v>
          </cell>
          <cell r="B16525" t="str">
            <v>FT2225</v>
          </cell>
          <cell r="O16525"/>
          <cell r="T16525"/>
        </row>
        <row r="16526">
          <cell r="A16526" t="str">
            <v>TIL-TEK</v>
          </cell>
          <cell r="B16526" t="str">
            <v>811</v>
          </cell>
          <cell r="O16526">
            <v>15.9589145367041</v>
          </cell>
          <cell r="T16526">
            <v>8.2556576029916293</v>
          </cell>
        </row>
        <row r="16527">
          <cell r="A16527" t="str">
            <v>TIL-TEK</v>
          </cell>
          <cell r="B16527" t="str">
            <v>AIRCELL-TA-811</v>
          </cell>
          <cell r="O16527">
            <v>15.9589145367041</v>
          </cell>
          <cell r="T16527">
            <v>8.2556576029916293</v>
          </cell>
        </row>
        <row r="16528">
          <cell r="A16528" t="str">
            <v>TIL-TEK</v>
          </cell>
          <cell r="B16528" t="str">
            <v>AIRCELL-TIK-800</v>
          </cell>
          <cell r="O16528">
            <v>15.9589145367041</v>
          </cell>
          <cell r="T16528">
            <v>8.2556576029916293</v>
          </cell>
        </row>
        <row r="16529">
          <cell r="A16529" t="str">
            <v>TIL-TEK</v>
          </cell>
          <cell r="B16529" t="str">
            <v>MGD3-800TX</v>
          </cell>
          <cell r="O16529">
            <v>2.7391162269999998</v>
          </cell>
          <cell r="T16529">
            <v>1.5140968429999999</v>
          </cell>
        </row>
        <row r="16530">
          <cell r="A16530" t="str">
            <v>TIL-TEK</v>
          </cell>
          <cell r="B16530" t="str">
            <v>TA-01806-16-62-T5</v>
          </cell>
          <cell r="O16530"/>
          <cell r="T16530"/>
        </row>
        <row r="16531">
          <cell r="A16531" t="str">
            <v>TIL-TEK</v>
          </cell>
          <cell r="B16531" t="str">
            <v>TA-1404</v>
          </cell>
          <cell r="O16531"/>
          <cell r="T16531"/>
        </row>
        <row r="16532">
          <cell r="A16532" t="str">
            <v>TIL-TEK</v>
          </cell>
          <cell r="B16532" t="str">
            <v>TA-1450</v>
          </cell>
          <cell r="O16532"/>
          <cell r="T16532"/>
        </row>
        <row r="16533">
          <cell r="A16533" t="str">
            <v>TIL-TEK</v>
          </cell>
          <cell r="B16533" t="str">
            <v>TA-1806-16-33</v>
          </cell>
          <cell r="O16533"/>
          <cell r="T16533"/>
        </row>
        <row r="16534">
          <cell r="A16534" t="str">
            <v>TIL-TEK</v>
          </cell>
          <cell r="B16534" t="str">
            <v>TA-1806-16-62</v>
          </cell>
          <cell r="O16534"/>
          <cell r="T16534"/>
        </row>
        <row r="16535">
          <cell r="A16535" t="str">
            <v>TIL-TEK</v>
          </cell>
          <cell r="B16535" t="str">
            <v>TA-1806-16-90</v>
          </cell>
          <cell r="O16535"/>
          <cell r="T16535"/>
        </row>
        <row r="16536">
          <cell r="A16536" t="str">
            <v>TIL-TEK</v>
          </cell>
          <cell r="B16536" t="str">
            <v>TA-1850</v>
          </cell>
          <cell r="O16536"/>
          <cell r="T16536"/>
        </row>
        <row r="16537">
          <cell r="A16537" t="str">
            <v>TIL-TEK</v>
          </cell>
          <cell r="B16537" t="str">
            <v>TA-1850-2</v>
          </cell>
          <cell r="O16537"/>
          <cell r="T16537"/>
        </row>
        <row r="16538">
          <cell r="A16538" t="str">
            <v>TIL-TEK</v>
          </cell>
          <cell r="B16538" t="str">
            <v>TA-2103-10-DAB</v>
          </cell>
          <cell r="O16538"/>
          <cell r="T16538"/>
        </row>
        <row r="16539">
          <cell r="A16539" t="str">
            <v>TIL-TEK</v>
          </cell>
          <cell r="B16539" t="str">
            <v>TA-2103-2-DAB</v>
          </cell>
          <cell r="O16539"/>
          <cell r="T16539"/>
        </row>
        <row r="16540">
          <cell r="A16540" t="str">
            <v>TIL-TEK</v>
          </cell>
          <cell r="B16540" t="str">
            <v>TA-2104-16-90</v>
          </cell>
          <cell r="O16540"/>
          <cell r="T16540"/>
        </row>
        <row r="16541">
          <cell r="A16541" t="str">
            <v>TIL-TEK</v>
          </cell>
          <cell r="B16541" t="str">
            <v>TA-2105H-16-90</v>
          </cell>
          <cell r="O16541"/>
          <cell r="T16541"/>
        </row>
        <row r="16542">
          <cell r="A16542" t="str">
            <v>TIL-TEK</v>
          </cell>
          <cell r="B16542" t="str">
            <v>TA-2304</v>
          </cell>
          <cell r="O16542"/>
          <cell r="T16542"/>
        </row>
        <row r="16543">
          <cell r="A16543" t="str">
            <v>TIL-TEK</v>
          </cell>
          <cell r="B16543" t="str">
            <v>TA-2304--2-DAB-60</v>
          </cell>
          <cell r="O16543"/>
          <cell r="T16543"/>
        </row>
        <row r="16544">
          <cell r="A16544" t="str">
            <v>TIL-TEK</v>
          </cell>
          <cell r="B16544" t="str">
            <v>TA-2304-2</v>
          </cell>
          <cell r="O16544"/>
          <cell r="T16544"/>
        </row>
        <row r="16545">
          <cell r="A16545" t="str">
            <v>TIL-TEK</v>
          </cell>
          <cell r="B16545" t="str">
            <v>TA-2304-2-DAB</v>
          </cell>
          <cell r="O16545">
            <v>2.8562154621422495</v>
          </cell>
          <cell r="T16545">
            <v>1.4499306676627899</v>
          </cell>
        </row>
        <row r="16546">
          <cell r="A16546" t="str">
            <v>TIL-TEK</v>
          </cell>
          <cell r="B16546" t="str">
            <v>TA-2304-2-DAB-120</v>
          </cell>
          <cell r="O16546">
            <v>2.8562154621422495</v>
          </cell>
          <cell r="T16546">
            <v>1.4499306676627899</v>
          </cell>
        </row>
        <row r="16547">
          <cell r="A16547" t="str">
            <v>TIL-TEK</v>
          </cell>
          <cell r="B16547" t="str">
            <v>TA-2304-2-DAB-60</v>
          </cell>
          <cell r="O16547">
            <v>2.8562154621422495</v>
          </cell>
          <cell r="T16547">
            <v>1.4499306676627899</v>
          </cell>
        </row>
        <row r="16548">
          <cell r="A16548" t="str">
            <v>TIL-TEK</v>
          </cell>
          <cell r="B16548" t="str">
            <v>TA-2304-2-DAB-90</v>
          </cell>
          <cell r="O16548">
            <v>2.8562154621422495</v>
          </cell>
          <cell r="T16548">
            <v>1.4499306676627899</v>
          </cell>
        </row>
        <row r="16549">
          <cell r="A16549" t="str">
            <v>TIL-TEK</v>
          </cell>
          <cell r="B16549" t="str">
            <v>TA-2304-2-DAB-H</v>
          </cell>
          <cell r="O16549"/>
          <cell r="T16549"/>
        </row>
        <row r="16550">
          <cell r="A16550" t="str">
            <v>TIL-TEK</v>
          </cell>
          <cell r="B16550" t="str">
            <v>TA-2304-2-DAB-H-120</v>
          </cell>
          <cell r="O16550"/>
          <cell r="T16550"/>
        </row>
        <row r="16551">
          <cell r="A16551" t="str">
            <v>TIL-TEK</v>
          </cell>
          <cell r="B16551" t="str">
            <v>TA-2304-2-DAB-H-90</v>
          </cell>
          <cell r="O16551"/>
          <cell r="T16551"/>
        </row>
        <row r="16552">
          <cell r="A16552" t="str">
            <v>TIL-TEK</v>
          </cell>
          <cell r="B16552" t="str">
            <v>TA-2304-2-DAB-L-045</v>
          </cell>
          <cell r="O16552"/>
          <cell r="T16552"/>
        </row>
        <row r="16553">
          <cell r="A16553" t="str">
            <v>TIL-TEK</v>
          </cell>
          <cell r="B16553" t="str">
            <v>TA-2304-2-DAB-L-060</v>
          </cell>
          <cell r="O16553"/>
          <cell r="T16553"/>
        </row>
        <row r="16554">
          <cell r="A16554" t="str">
            <v>TIL-TEK</v>
          </cell>
          <cell r="B16554" t="str">
            <v>TA-2304-2-DAB-L-090</v>
          </cell>
          <cell r="O16554"/>
          <cell r="T16554"/>
        </row>
        <row r="16555">
          <cell r="A16555" t="str">
            <v>TIL-TEK</v>
          </cell>
          <cell r="B16555" t="str">
            <v>TA-2304-2-DAB-L-120</v>
          </cell>
          <cell r="O16555"/>
          <cell r="T16555"/>
        </row>
        <row r="16556">
          <cell r="A16556" t="str">
            <v>TIL-TEK</v>
          </cell>
          <cell r="B16556" t="str">
            <v>TA-2304-2-DAB-L-160</v>
          </cell>
          <cell r="O16556"/>
          <cell r="T16556"/>
        </row>
        <row r="16557">
          <cell r="A16557" t="str">
            <v>TIL-TEK</v>
          </cell>
          <cell r="B16557" t="str">
            <v>TA-2304-2-LCC</v>
          </cell>
          <cell r="O16557"/>
          <cell r="T16557"/>
        </row>
        <row r="16558">
          <cell r="A16558" t="str">
            <v>TIL-TEK</v>
          </cell>
          <cell r="B16558" t="str">
            <v>TA-2304-2-LCC-H</v>
          </cell>
          <cell r="O16558"/>
          <cell r="T16558"/>
        </row>
        <row r="16559">
          <cell r="A16559" t="str">
            <v>TIL-TEK</v>
          </cell>
          <cell r="B16559" t="str">
            <v>TA-2304-4</v>
          </cell>
          <cell r="O16559"/>
          <cell r="T16559"/>
        </row>
        <row r="16560">
          <cell r="A16560" t="str">
            <v>TIL-TEK</v>
          </cell>
          <cell r="B16560" t="str">
            <v>TA-2304-45</v>
          </cell>
          <cell r="O16560"/>
          <cell r="T16560"/>
        </row>
        <row r="16561">
          <cell r="A16561" t="str">
            <v>TIL-TEK</v>
          </cell>
          <cell r="B16561" t="str">
            <v>TA-2304-DAB</v>
          </cell>
          <cell r="O16561">
            <v>1.3227414741188799</v>
          </cell>
          <cell r="T16561">
            <v>0.75071259729684603</v>
          </cell>
        </row>
        <row r="16562">
          <cell r="A16562" t="str">
            <v>TIL-TEK</v>
          </cell>
          <cell r="B16562" t="str">
            <v>TA-2304-LCC</v>
          </cell>
          <cell r="O16562"/>
          <cell r="T16562"/>
        </row>
        <row r="16563">
          <cell r="A16563" t="str">
            <v>TIL-TEK</v>
          </cell>
          <cell r="B16563" t="str">
            <v>TA-2305-2-DAB-H</v>
          </cell>
          <cell r="O16563"/>
          <cell r="T16563"/>
        </row>
        <row r="16564">
          <cell r="A16564" t="str">
            <v>TIL-TEK</v>
          </cell>
          <cell r="B16564" t="str">
            <v>TA-2305-2-DAB-M-XXX</v>
          </cell>
          <cell r="O16564"/>
          <cell r="T16564"/>
        </row>
        <row r="16565">
          <cell r="A16565" t="str">
            <v>TIL-TEK</v>
          </cell>
          <cell r="B16565" t="str">
            <v>TA-2324-LH24</v>
          </cell>
          <cell r="O16565"/>
          <cell r="T16565"/>
        </row>
        <row r="16566">
          <cell r="A16566" t="str">
            <v>TIL-TEK</v>
          </cell>
          <cell r="B16566" t="str">
            <v>TA-2324-LHCP</v>
          </cell>
          <cell r="O16566"/>
          <cell r="T16566"/>
        </row>
        <row r="16567">
          <cell r="A16567" t="str">
            <v>TIL-TEK</v>
          </cell>
          <cell r="B16567" t="str">
            <v>TA-2324R</v>
          </cell>
          <cell r="O16567"/>
          <cell r="T16567"/>
        </row>
        <row r="16568">
          <cell r="A16568" t="str">
            <v>TIL-TEK</v>
          </cell>
          <cell r="B16568" t="str">
            <v>TA-2335-DAB-H</v>
          </cell>
          <cell r="O16568">
            <v>7.1383825231481497</v>
          </cell>
          <cell r="T16568">
            <v>2.07841426467873</v>
          </cell>
        </row>
        <row r="16569">
          <cell r="A16569" t="str">
            <v>TIL-TEK</v>
          </cell>
          <cell r="B16569" t="str">
            <v>TA-2335-DAB-L-095</v>
          </cell>
          <cell r="O16569">
            <v>7.1383825231481497</v>
          </cell>
          <cell r="T16569">
            <v>2.07841426467873</v>
          </cell>
        </row>
        <row r="16570">
          <cell r="A16570" t="str">
            <v>TIL-TEK</v>
          </cell>
          <cell r="B16570" t="str">
            <v>TA-2335-DAB-M-095</v>
          </cell>
          <cell r="O16570">
            <v>7.1383825231481497</v>
          </cell>
          <cell r="T16570">
            <v>2.07841426467873</v>
          </cell>
        </row>
        <row r="16571">
          <cell r="A16571" t="str">
            <v>TIL-TEK</v>
          </cell>
          <cell r="B16571" t="str">
            <v>TA-2335-LCC</v>
          </cell>
          <cell r="O16571"/>
          <cell r="T16571"/>
        </row>
        <row r="16572">
          <cell r="A16572" t="str">
            <v>TIL-TEK</v>
          </cell>
          <cell r="B16572" t="str">
            <v>TA-2335-LCC-H</v>
          </cell>
          <cell r="O16572"/>
          <cell r="T16572"/>
        </row>
        <row r="16573">
          <cell r="A16573" t="str">
            <v>TIL-TEK</v>
          </cell>
          <cell r="B16573" t="str">
            <v>TA-2335-LOC</v>
          </cell>
          <cell r="O16573"/>
          <cell r="T16573"/>
        </row>
        <row r="16574">
          <cell r="A16574" t="str">
            <v>TIL-TEK</v>
          </cell>
          <cell r="B16574" t="str">
            <v>TA-2350</v>
          </cell>
          <cell r="O16574"/>
          <cell r="T16574"/>
        </row>
        <row r="16575">
          <cell r="A16575" t="str">
            <v>TIL-TEK</v>
          </cell>
          <cell r="B16575" t="str">
            <v>TA-2350-DAB</v>
          </cell>
          <cell r="O16575"/>
          <cell r="T16575"/>
        </row>
        <row r="16576">
          <cell r="A16576" t="str">
            <v>TIL-TEK</v>
          </cell>
          <cell r="B16576" t="str">
            <v>TA-2350-DAB-H</v>
          </cell>
          <cell r="O16576"/>
          <cell r="T16576"/>
        </row>
        <row r="16577">
          <cell r="A16577" t="str">
            <v>TIL-TEK</v>
          </cell>
          <cell r="B16577" t="str">
            <v>TA-2350-DAB-L-T2</v>
          </cell>
          <cell r="O16577"/>
          <cell r="T16577"/>
        </row>
        <row r="16578">
          <cell r="A16578" t="str">
            <v>TIL-TEK</v>
          </cell>
          <cell r="B16578" t="str">
            <v>TA-2350-DAB-L-T4</v>
          </cell>
          <cell r="O16578"/>
          <cell r="T16578"/>
        </row>
        <row r="16579">
          <cell r="A16579" t="str">
            <v>TIL-TEK</v>
          </cell>
          <cell r="B16579" t="str">
            <v>TA-2350-DAB-L-T6</v>
          </cell>
          <cell r="O16579"/>
          <cell r="T16579"/>
        </row>
        <row r="16580">
          <cell r="A16580" t="str">
            <v>TIL-TEK</v>
          </cell>
          <cell r="B16580" t="str">
            <v>TA-2350-DAB-L-TX</v>
          </cell>
          <cell r="O16580"/>
          <cell r="T16580"/>
        </row>
        <row r="16581">
          <cell r="A16581" t="str">
            <v>TIL-TEK</v>
          </cell>
          <cell r="B16581" t="str">
            <v>TA-2350-DAB-T4</v>
          </cell>
          <cell r="O16581"/>
          <cell r="T16581"/>
        </row>
        <row r="16582">
          <cell r="A16582" t="str">
            <v>TIL-TEK</v>
          </cell>
          <cell r="B16582" t="str">
            <v>TA-2350-DAB-T6</v>
          </cell>
          <cell r="O16582"/>
          <cell r="T16582"/>
        </row>
        <row r="16583">
          <cell r="A16583" t="str">
            <v>TIL-TEK</v>
          </cell>
          <cell r="B16583" t="str">
            <v>TA-2350-LCC</v>
          </cell>
          <cell r="O16583"/>
          <cell r="T16583"/>
        </row>
        <row r="16584">
          <cell r="A16584" t="str">
            <v>TIL-TEK</v>
          </cell>
          <cell r="B16584" t="str">
            <v>TA-2350-LCC-H</v>
          </cell>
          <cell r="O16584"/>
          <cell r="T16584"/>
        </row>
        <row r="16585">
          <cell r="A16585" t="str">
            <v>TIL-TEK</v>
          </cell>
          <cell r="B16585" t="str">
            <v>TA-2350-T2</v>
          </cell>
          <cell r="O16585"/>
          <cell r="T16585"/>
        </row>
        <row r="16586">
          <cell r="A16586" t="str">
            <v>TIL-TEK</v>
          </cell>
          <cell r="B16586" t="str">
            <v>TA-2355-DAB-M-T2</v>
          </cell>
          <cell r="O16586"/>
          <cell r="T16586"/>
        </row>
        <row r="16587">
          <cell r="A16587" t="str">
            <v>TIL-TEK</v>
          </cell>
          <cell r="B16587" t="str">
            <v>TA-2355-DAB-S-T2</v>
          </cell>
          <cell r="O16587"/>
          <cell r="T16587"/>
        </row>
        <row r="16588">
          <cell r="A16588" t="str">
            <v>TIL-TEK</v>
          </cell>
          <cell r="B16588" t="str">
            <v>TA-2355-LCC</v>
          </cell>
          <cell r="O16588"/>
          <cell r="T16588"/>
        </row>
        <row r="16589">
          <cell r="A16589" t="str">
            <v>TIL-TEK</v>
          </cell>
          <cell r="B16589" t="str">
            <v>TA-2355W-DAB-H-T2</v>
          </cell>
          <cell r="O16589"/>
          <cell r="T16589"/>
        </row>
        <row r="16590">
          <cell r="A16590" t="str">
            <v>TIL-TEK</v>
          </cell>
          <cell r="B16590" t="str">
            <v>TA-2355W-DAB-M</v>
          </cell>
          <cell r="O16590"/>
          <cell r="T16590"/>
        </row>
        <row r="16591">
          <cell r="A16591" t="str">
            <v>TIL-TEK</v>
          </cell>
          <cell r="B16591" t="str">
            <v>TA-2355W-DAB-M-T2</v>
          </cell>
          <cell r="O16591"/>
          <cell r="T16591"/>
        </row>
        <row r="16592">
          <cell r="A16592" t="str">
            <v>TIL-TEK</v>
          </cell>
          <cell r="B16592" t="str">
            <v>TA-2404-8-120</v>
          </cell>
          <cell r="O16592"/>
          <cell r="T16592"/>
        </row>
        <row r="16593">
          <cell r="A16593" t="str">
            <v>TIL-TEK</v>
          </cell>
          <cell r="B16593" t="str">
            <v>TA-2450</v>
          </cell>
          <cell r="O16593"/>
          <cell r="T16593"/>
        </row>
        <row r="16594">
          <cell r="A16594" t="str">
            <v>TIL-TEK</v>
          </cell>
          <cell r="B16594" t="str">
            <v>TA-5204-8-120</v>
          </cell>
          <cell r="O16594"/>
          <cell r="T16594"/>
        </row>
        <row r="16595">
          <cell r="A16595" t="str">
            <v>TIL-TEK</v>
          </cell>
          <cell r="B16595" t="str">
            <v>TA-5204-8-90</v>
          </cell>
          <cell r="O16595"/>
          <cell r="T16595"/>
        </row>
        <row r="16596">
          <cell r="A16596" t="str">
            <v>TIL-TEK</v>
          </cell>
          <cell r="B16596" t="str">
            <v>TA-5205H-8-120</v>
          </cell>
          <cell r="O16596">
            <v>0.81426842206790084</v>
          </cell>
          <cell r="T16596">
            <v>0.66083399943199084</v>
          </cell>
        </row>
        <row r="16597">
          <cell r="A16597" t="str">
            <v>TIL-TEK</v>
          </cell>
          <cell r="B16597" t="str">
            <v>TA-5205H-8-60</v>
          </cell>
          <cell r="O16597"/>
          <cell r="T16597"/>
        </row>
        <row r="16598">
          <cell r="A16598" t="str">
            <v>TIL-TEK</v>
          </cell>
          <cell r="B16598" t="str">
            <v>TA-5206</v>
          </cell>
          <cell r="O16598"/>
          <cell r="T16598"/>
        </row>
        <row r="16599">
          <cell r="A16599" t="str">
            <v>TIL-TEK</v>
          </cell>
          <cell r="B16599" t="str">
            <v>TA-5505H-8-120</v>
          </cell>
          <cell r="O16599">
            <v>0.81426842206790084</v>
          </cell>
          <cell r="T16599">
            <v>0.66083399943199084</v>
          </cell>
        </row>
        <row r="16600">
          <cell r="A16600" t="str">
            <v>TIL-TEK</v>
          </cell>
          <cell r="B16600" t="str">
            <v>TA-5705H-14-90</v>
          </cell>
          <cell r="O16600"/>
          <cell r="T16600"/>
        </row>
        <row r="16601">
          <cell r="A16601" t="str">
            <v>TIL-TEK</v>
          </cell>
          <cell r="B16601" t="str">
            <v>TA-703</v>
          </cell>
          <cell r="O16601"/>
          <cell r="T16601"/>
        </row>
        <row r="16602">
          <cell r="A16602" t="str">
            <v>TIL-TEK</v>
          </cell>
          <cell r="B16602" t="str">
            <v>TA-711</v>
          </cell>
          <cell r="O16602"/>
          <cell r="T16602"/>
        </row>
        <row r="16603">
          <cell r="A16603" t="str">
            <v>TIL-TEK</v>
          </cell>
          <cell r="B16603" t="str">
            <v>TA-803</v>
          </cell>
          <cell r="O16603"/>
          <cell r="T16603"/>
        </row>
        <row r="16604">
          <cell r="A16604" t="str">
            <v>TIL-TEK</v>
          </cell>
          <cell r="B16604" t="str">
            <v>TA-811</v>
          </cell>
          <cell r="O16604"/>
          <cell r="T16604"/>
        </row>
        <row r="16605">
          <cell r="A16605" t="str">
            <v>TIL-TEK</v>
          </cell>
          <cell r="B16605" t="str">
            <v>TA-811C</v>
          </cell>
          <cell r="O16605"/>
          <cell r="T16605"/>
        </row>
        <row r="16606">
          <cell r="A16606" t="str">
            <v>TIL-TEK</v>
          </cell>
          <cell r="B16606" t="str">
            <v>TA-819-10H-39</v>
          </cell>
          <cell r="O16606"/>
          <cell r="T16606"/>
        </row>
        <row r="16607">
          <cell r="A16607" t="str">
            <v>TIL-TEK</v>
          </cell>
          <cell r="B16607" t="str">
            <v>TA-819-10H-39B</v>
          </cell>
          <cell r="O16607">
            <v>15.54821566</v>
          </cell>
          <cell r="T16607">
            <v>5.2419867350000002</v>
          </cell>
        </row>
        <row r="16608">
          <cell r="A16608" t="str">
            <v>TIL-TEK</v>
          </cell>
          <cell r="B16608" t="str">
            <v>TA-819-10H-56-RX</v>
          </cell>
          <cell r="O16608"/>
          <cell r="T16608"/>
        </row>
        <row r="16609">
          <cell r="A16609" t="str">
            <v>TIL-TEK</v>
          </cell>
          <cell r="B16609" t="str">
            <v>TA-819-10H-56-TX/RX</v>
          </cell>
          <cell r="O16609"/>
          <cell r="T16609"/>
        </row>
        <row r="16610">
          <cell r="A16610" t="str">
            <v>TIL-TEK</v>
          </cell>
          <cell r="B16610" t="str">
            <v>TA-819-10V-39</v>
          </cell>
          <cell r="O16610"/>
          <cell r="T16610"/>
        </row>
        <row r="16611">
          <cell r="A16611" t="str">
            <v>TIL-TEK</v>
          </cell>
          <cell r="B16611" t="str">
            <v>TA-819-10V-39B</v>
          </cell>
          <cell r="O16611">
            <v>27.7490080677203</v>
          </cell>
          <cell r="T16611">
            <v>9.1113195844224499</v>
          </cell>
        </row>
        <row r="16612">
          <cell r="A16612" t="str">
            <v>TIL-TEK</v>
          </cell>
          <cell r="B16612" t="str">
            <v>TA-819-10V-56-RX</v>
          </cell>
          <cell r="O16612"/>
          <cell r="T16612"/>
        </row>
        <row r="16613">
          <cell r="A16613" t="str">
            <v>TIL-TEK</v>
          </cell>
          <cell r="B16613" t="str">
            <v>TA-819-10V-56-TX/RX</v>
          </cell>
          <cell r="O16613"/>
          <cell r="T16613"/>
        </row>
        <row r="16614">
          <cell r="A16614" t="str">
            <v>TIL-TEK</v>
          </cell>
          <cell r="B16614" t="str">
            <v>TA-824-4-65</v>
          </cell>
          <cell r="O16614"/>
          <cell r="T16614"/>
        </row>
        <row r="16615">
          <cell r="A16615" t="str">
            <v>TIL-TEK</v>
          </cell>
          <cell r="B16615" t="str">
            <v>TA-824-4-90</v>
          </cell>
          <cell r="O16615"/>
          <cell r="T16615"/>
        </row>
        <row r="16616">
          <cell r="A16616" t="str">
            <v>TIL-TEK</v>
          </cell>
          <cell r="B16616" t="str">
            <v>TA-926H-4-120</v>
          </cell>
          <cell r="O16616">
            <v>9.39807587670483</v>
          </cell>
          <cell r="T16616">
            <v>2.1248597134823397</v>
          </cell>
        </row>
        <row r="16617">
          <cell r="A16617" t="str">
            <v>TIL-TEK</v>
          </cell>
          <cell r="B16617" t="str">
            <v>TA-926H-4-60</v>
          </cell>
          <cell r="O16617"/>
          <cell r="T16617"/>
        </row>
        <row r="16618">
          <cell r="A16618" t="str">
            <v>TIL-TEK</v>
          </cell>
          <cell r="B16618" t="str">
            <v>TA-926VH-4-120</v>
          </cell>
          <cell r="O16618"/>
          <cell r="T16618"/>
        </row>
        <row r="16619">
          <cell r="A16619" t="str">
            <v>TIL-TEK</v>
          </cell>
          <cell r="B16619" t="str">
            <v>TA-926VH-4-90</v>
          </cell>
          <cell r="O16619"/>
          <cell r="T16619"/>
        </row>
        <row r="16620">
          <cell r="A16620" t="str">
            <v>TIL-TEK</v>
          </cell>
          <cell r="B16620" t="str">
            <v>TA-926VH-8-120</v>
          </cell>
          <cell r="O16620"/>
          <cell r="T16620"/>
        </row>
        <row r="16621">
          <cell r="A16621" t="str">
            <v>TIL-TEK</v>
          </cell>
          <cell r="B16621" t="str">
            <v>TA2304-90</v>
          </cell>
          <cell r="O16621"/>
          <cell r="T16621"/>
        </row>
        <row r="16622">
          <cell r="A16622" t="str">
            <v>TMC DESIGN CORPORATION</v>
          </cell>
          <cell r="B16622" t="str">
            <v>HOD-200-20</v>
          </cell>
          <cell r="O16622"/>
          <cell r="T16622"/>
        </row>
        <row r="16623">
          <cell r="A16623" t="str">
            <v>TME</v>
          </cell>
          <cell r="B16623" t="str">
            <v>TME_ONLY</v>
          </cell>
          <cell r="O16623"/>
          <cell r="T16623"/>
        </row>
        <row r="16624">
          <cell r="A16624" t="str">
            <v>TONGYU COMMUNICATION</v>
          </cell>
          <cell r="B16624" t="str">
            <v>SKY31</v>
          </cell>
          <cell r="O16624"/>
          <cell r="T16624"/>
        </row>
        <row r="16625">
          <cell r="A16625" t="str">
            <v>TONGYU COMMUNICATION</v>
          </cell>
          <cell r="B16625" t="str">
            <v>SKY39</v>
          </cell>
          <cell r="O16625"/>
          <cell r="T16625"/>
        </row>
        <row r="16626">
          <cell r="A16626" t="str">
            <v>TONGYU COMMUNICATION</v>
          </cell>
          <cell r="B16626" t="str">
            <v>T126027INTDER4FT2V03</v>
          </cell>
          <cell r="O16626">
            <v>7.8176601080246897</v>
          </cell>
          <cell r="T16626">
            <v>3.1008917921680998</v>
          </cell>
        </row>
        <row r="16627">
          <cell r="A16627" t="str">
            <v>TONGYU COMMUNICATION</v>
          </cell>
          <cell r="B16627" t="str">
            <v>T2008M6R032v03</v>
          </cell>
          <cell r="O16627">
            <v>11.085619212963001</v>
          </cell>
          <cell r="T16627">
            <v>4.3989239753087999</v>
          </cell>
        </row>
        <row r="16628">
          <cell r="A16628" t="str">
            <v>TONGYU COMMUNICATION</v>
          </cell>
          <cell r="B16628" t="str">
            <v>TDJ-151717DE-65F</v>
          </cell>
          <cell r="O16628"/>
          <cell r="T16628"/>
        </row>
        <row r="16629">
          <cell r="A16629" t="str">
            <v>TONGYU COMMUNICATION</v>
          </cell>
          <cell r="B16629" t="str">
            <v>TDJ-333817A-90PT0</v>
          </cell>
          <cell r="O16629"/>
          <cell r="T16629"/>
        </row>
        <row r="16630">
          <cell r="A16630" t="str">
            <v>TONGYU COMMUNICATION</v>
          </cell>
          <cell r="B16630" t="str">
            <v>TDJ-333817D-90PTO</v>
          </cell>
          <cell r="O16630"/>
          <cell r="T16630"/>
        </row>
        <row r="16631">
          <cell r="A16631" t="str">
            <v>TONGYU COMMUNICATION</v>
          </cell>
          <cell r="B16631" t="str">
            <v>TQB-8016/D1918/D252718DEI-65F</v>
          </cell>
          <cell r="O16631"/>
          <cell r="T16631"/>
        </row>
        <row r="16632">
          <cell r="A16632" t="str">
            <v>TONGYU COMMUNICATION</v>
          </cell>
          <cell r="B16632" t="str">
            <v>TYA03U023S</v>
          </cell>
          <cell r="O16632"/>
          <cell r="T16632"/>
        </row>
        <row r="16633">
          <cell r="A16633" t="str">
            <v>TONGYU COMMUNICATION</v>
          </cell>
          <cell r="B16633" t="str">
            <v>TYA12U10WS</v>
          </cell>
          <cell r="O16633"/>
          <cell r="T16633"/>
        </row>
        <row r="16634">
          <cell r="A16634" t="str">
            <v>TONGYU COMMUNICATION</v>
          </cell>
          <cell r="B16634" t="str">
            <v>TYDA-202616D4T6</v>
          </cell>
          <cell r="O16634"/>
          <cell r="T16634"/>
        </row>
        <row r="16635">
          <cell r="A16635" t="str">
            <v>TONGYU COMMUNICATION</v>
          </cell>
          <cell r="B16635" t="str">
            <v>TYDA-252717DER4-90P</v>
          </cell>
          <cell r="O16635"/>
          <cell r="T16635"/>
        </row>
        <row r="16636">
          <cell r="A16636" t="str">
            <v>TONGYU COMMUNICATION</v>
          </cell>
          <cell r="B16636" t="str">
            <v>TYDA-252718DER4-65P</v>
          </cell>
          <cell r="O16636">
            <v>4.83864197530864</v>
          </cell>
          <cell r="T16636">
            <v>2.27050169762015</v>
          </cell>
        </row>
        <row r="16637">
          <cell r="A16637" t="str">
            <v>TOP SIGNAL</v>
          </cell>
          <cell r="B16637" t="str">
            <v>TS221071</v>
          </cell>
          <cell r="O16637"/>
          <cell r="T16637"/>
        </row>
        <row r="16638">
          <cell r="A16638" t="str">
            <v>TOSHIBA</v>
          </cell>
          <cell r="B16638" t="str">
            <v>IK-WB15A</v>
          </cell>
          <cell r="O16638"/>
          <cell r="T16638"/>
        </row>
        <row r="16639">
          <cell r="A16639" t="str">
            <v>TOWER LIGHTING</v>
          </cell>
          <cell r="B16639" t="str">
            <v>SIDE MARKER_12IN</v>
          </cell>
          <cell r="O16639"/>
          <cell r="T16639"/>
        </row>
        <row r="16640">
          <cell r="A16640" t="str">
            <v>TP-LINK</v>
          </cell>
          <cell r="B16640" t="str">
            <v>CPE710</v>
          </cell>
          <cell r="O16640"/>
          <cell r="T16640"/>
        </row>
        <row r="16641">
          <cell r="A16641" t="str">
            <v>TP-LINK</v>
          </cell>
          <cell r="B16641" t="str">
            <v>TL-ANT2424B</v>
          </cell>
          <cell r="O16641"/>
          <cell r="T16641"/>
        </row>
        <row r="16642">
          <cell r="A16642" t="str">
            <v>TRAK</v>
          </cell>
          <cell r="B16642" t="str">
            <v>L32B</v>
          </cell>
          <cell r="O16642"/>
          <cell r="T16642"/>
        </row>
        <row r="16643">
          <cell r="A16643" t="str">
            <v>TRAM</v>
          </cell>
          <cell r="B16643" t="str">
            <v>1486</v>
          </cell>
          <cell r="O16643"/>
          <cell r="T16643"/>
        </row>
        <row r="16644">
          <cell r="A16644" t="str">
            <v>TRANGO BROADBAND</v>
          </cell>
          <cell r="B16644" t="str">
            <v>ACCESS5830</v>
          </cell>
          <cell r="O16644"/>
          <cell r="T16644"/>
        </row>
        <row r="16645">
          <cell r="A16645" t="str">
            <v>TRANGO BROADBAND</v>
          </cell>
          <cell r="B16645" t="str">
            <v>AD11G-2</v>
          </cell>
          <cell r="O16645"/>
          <cell r="T16645"/>
        </row>
        <row r="16646">
          <cell r="A16646" t="str">
            <v>TRANGO BROADBAND</v>
          </cell>
          <cell r="B16646" t="str">
            <v>AD11G-2-T2</v>
          </cell>
          <cell r="O16646"/>
          <cell r="T16646"/>
        </row>
        <row r="16647">
          <cell r="A16647" t="str">
            <v>TRANGO BROADBAND</v>
          </cell>
          <cell r="B16647" t="str">
            <v>AD11G-3-S1</v>
          </cell>
          <cell r="O16647"/>
          <cell r="T16647"/>
        </row>
        <row r="16648">
          <cell r="A16648" t="str">
            <v>TRANGO BROADBAND</v>
          </cell>
          <cell r="B16648" t="str">
            <v>AD11G-3-S2</v>
          </cell>
          <cell r="O16648"/>
          <cell r="T16648"/>
        </row>
        <row r="16649">
          <cell r="A16649" t="str">
            <v>TRANGO BROADBAND</v>
          </cell>
          <cell r="B16649" t="str">
            <v>AD11G-4-S2</v>
          </cell>
          <cell r="O16649"/>
          <cell r="T16649"/>
        </row>
        <row r="16650">
          <cell r="A16650" t="str">
            <v>TRANGO BROADBAND</v>
          </cell>
          <cell r="B16650" t="str">
            <v>AD18G-1-S2</v>
          </cell>
          <cell r="O16650"/>
          <cell r="T16650"/>
        </row>
        <row r="16651">
          <cell r="A16651" t="str">
            <v>TRANGO BROADBAND</v>
          </cell>
          <cell r="B16651" t="str">
            <v>AD18G-2</v>
          </cell>
          <cell r="O16651"/>
          <cell r="T16651"/>
        </row>
        <row r="16652">
          <cell r="A16652" t="str">
            <v>TRANGO BROADBAND</v>
          </cell>
          <cell r="B16652" t="str">
            <v>AD18G-2-S1</v>
          </cell>
          <cell r="O16652"/>
          <cell r="T16652"/>
        </row>
        <row r="16653">
          <cell r="A16653" t="str">
            <v>TRANGO BROADBAND</v>
          </cell>
          <cell r="B16653" t="str">
            <v>AD18G-2-S2</v>
          </cell>
          <cell r="O16653"/>
          <cell r="T16653"/>
        </row>
        <row r="16654">
          <cell r="A16654" t="str">
            <v>TRANGO BROADBAND</v>
          </cell>
          <cell r="B16654" t="str">
            <v>AD18G-4</v>
          </cell>
          <cell r="O16654"/>
          <cell r="T16654"/>
        </row>
        <row r="16655">
          <cell r="A16655" t="str">
            <v>TRANGO BROADBAND</v>
          </cell>
          <cell r="B16655" t="str">
            <v>AD5800-27-D</v>
          </cell>
          <cell r="O16655"/>
          <cell r="T16655"/>
        </row>
        <row r="16656">
          <cell r="A16656" t="str">
            <v>TRANGO BROADBAND</v>
          </cell>
          <cell r="B16656" t="str">
            <v>AD5830-23-D</v>
          </cell>
          <cell r="O16656"/>
          <cell r="T16656"/>
        </row>
        <row r="16657">
          <cell r="A16657" t="str">
            <v>TRANGO BROADBAND</v>
          </cell>
          <cell r="B16657" t="str">
            <v>AD5830-23-DP</v>
          </cell>
          <cell r="O16657"/>
          <cell r="T16657"/>
        </row>
        <row r="16658">
          <cell r="A16658" t="str">
            <v>TRANGO BROADBAND</v>
          </cell>
          <cell r="B16658" t="str">
            <v>AD5830S-24-D</v>
          </cell>
          <cell r="O16658"/>
          <cell r="T16658"/>
        </row>
        <row r="16659">
          <cell r="A16659" t="str">
            <v>TRANGO BROADBAND</v>
          </cell>
          <cell r="B16659" t="str">
            <v>AD6G-2-T2</v>
          </cell>
          <cell r="O16659"/>
          <cell r="T16659"/>
        </row>
        <row r="16660">
          <cell r="A16660" t="str">
            <v>TRANGO BROADBAND</v>
          </cell>
          <cell r="B16660" t="str">
            <v>AD6G-3-T2</v>
          </cell>
          <cell r="O16660"/>
          <cell r="T16660"/>
        </row>
        <row r="16661">
          <cell r="A16661" t="str">
            <v>TRANGO BROADBAND</v>
          </cell>
          <cell r="B16661" t="str">
            <v>ATLAS5010-INT</v>
          </cell>
          <cell r="O16661"/>
          <cell r="T16661"/>
        </row>
        <row r="16662">
          <cell r="A16662" t="str">
            <v>TRANGO BROADBAND</v>
          </cell>
          <cell r="B16662" t="str">
            <v>M2400S-AP</v>
          </cell>
          <cell r="O16662"/>
          <cell r="T16662"/>
        </row>
        <row r="16663">
          <cell r="A16663" t="str">
            <v>TRANGO BROADBAND</v>
          </cell>
          <cell r="B16663" t="str">
            <v>M5800S-AP-60</v>
          </cell>
          <cell r="O16663"/>
          <cell r="T16663"/>
        </row>
        <row r="16664">
          <cell r="A16664" t="str">
            <v>TRANGO BROADBAND</v>
          </cell>
          <cell r="B16664" t="str">
            <v>M5800S-SU</v>
          </cell>
          <cell r="O16664"/>
          <cell r="T16664"/>
        </row>
        <row r="16665">
          <cell r="A16665" t="str">
            <v>TRANGO BROADBAND</v>
          </cell>
          <cell r="B16665" t="str">
            <v>M5830S-AP-60</v>
          </cell>
          <cell r="O16665"/>
          <cell r="T16665"/>
        </row>
        <row r="16666">
          <cell r="A16666" t="str">
            <v>TRANGO BROADBAND</v>
          </cell>
          <cell r="B16666" t="str">
            <v>M5830S-SU</v>
          </cell>
          <cell r="O16666"/>
          <cell r="T16666"/>
        </row>
        <row r="16667">
          <cell r="A16667" t="str">
            <v>TRANGO BROADBAND</v>
          </cell>
          <cell r="B16667" t="str">
            <v>M5830S-SU-EXT</v>
          </cell>
          <cell r="O16667"/>
          <cell r="T16667"/>
        </row>
        <row r="16668">
          <cell r="A16668" t="str">
            <v>TRANGO BROADBAND</v>
          </cell>
          <cell r="B16668" t="str">
            <v>M900S</v>
          </cell>
          <cell r="O16668"/>
          <cell r="T16668"/>
        </row>
        <row r="16669">
          <cell r="A16669" t="str">
            <v>TRANGO BROADBAND</v>
          </cell>
          <cell r="B16669" t="str">
            <v>M900S-AP</v>
          </cell>
          <cell r="O16669"/>
          <cell r="T16669"/>
        </row>
        <row r="16670">
          <cell r="A16670" t="str">
            <v>TRANGO BROADBAND</v>
          </cell>
          <cell r="B16670" t="str">
            <v>P5055M-19-US/IC</v>
          </cell>
          <cell r="O16670"/>
          <cell r="T16670"/>
        </row>
        <row r="16671">
          <cell r="A16671" t="str">
            <v>TRANGO BROADBAND</v>
          </cell>
          <cell r="B16671" t="str">
            <v>P5055M-23-UF</v>
          </cell>
          <cell r="O16671"/>
          <cell r="T16671"/>
        </row>
        <row r="16672">
          <cell r="A16672" t="str">
            <v>TRANGO BROADBAND</v>
          </cell>
          <cell r="B16672" t="str">
            <v>P5055M-23-US/IC</v>
          </cell>
          <cell r="O16672"/>
          <cell r="T16672"/>
        </row>
        <row r="16673">
          <cell r="A16673" t="str">
            <v>TRANGO BROADBAND</v>
          </cell>
          <cell r="B16673" t="str">
            <v>TRANGOLINK-10</v>
          </cell>
          <cell r="O16673"/>
          <cell r="T16673"/>
        </row>
        <row r="16674">
          <cell r="A16674" t="str">
            <v>TRANGO SYSTEMS</v>
          </cell>
          <cell r="B16674" t="str">
            <v>AD11G-3-T2</v>
          </cell>
          <cell r="O16674"/>
          <cell r="T16674"/>
        </row>
        <row r="16675">
          <cell r="A16675" t="str">
            <v>TRANGO SYSTEMS</v>
          </cell>
          <cell r="B16675" t="str">
            <v>AD11G-4-T2</v>
          </cell>
          <cell r="O16675"/>
          <cell r="T16675"/>
        </row>
        <row r="16676">
          <cell r="A16676" t="str">
            <v>TRANGO SYSTEMS</v>
          </cell>
          <cell r="B16676" t="str">
            <v>AD18G-1-T2</v>
          </cell>
          <cell r="O16676"/>
          <cell r="T16676"/>
        </row>
        <row r="16677">
          <cell r="A16677" t="str">
            <v>TRANGO SYSTEMS</v>
          </cell>
          <cell r="B16677" t="str">
            <v>AD18G-2-T2</v>
          </cell>
          <cell r="O16677"/>
          <cell r="T16677"/>
        </row>
        <row r="16678">
          <cell r="A16678" t="str">
            <v>TRANGO SYSTEMS</v>
          </cell>
          <cell r="B16678" t="str">
            <v>AD23G-1-T2</v>
          </cell>
          <cell r="O16678"/>
          <cell r="T16678"/>
        </row>
        <row r="16679">
          <cell r="A16679" t="str">
            <v>TRANGO SYSTEMS</v>
          </cell>
          <cell r="B16679" t="str">
            <v>AD23G-2-T2</v>
          </cell>
          <cell r="O16679"/>
          <cell r="T16679"/>
        </row>
        <row r="16680">
          <cell r="A16680" t="str">
            <v>TRANGO SYSTEMS</v>
          </cell>
          <cell r="B16680" t="str">
            <v>AD23G-3-T2</v>
          </cell>
          <cell r="O16680"/>
          <cell r="T16680"/>
        </row>
        <row r="16681">
          <cell r="A16681" t="str">
            <v>TRANGO SYSTEMS</v>
          </cell>
          <cell r="B16681" t="str">
            <v>M5800S-SU</v>
          </cell>
          <cell r="O16681"/>
          <cell r="T16681"/>
        </row>
        <row r="16682">
          <cell r="A16682" t="str">
            <v>TRANGO SYSTEMS</v>
          </cell>
          <cell r="B16682" t="str">
            <v>STRATAPRO XI</v>
          </cell>
          <cell r="O16682"/>
          <cell r="T16682"/>
        </row>
        <row r="16683">
          <cell r="A16683" t="str">
            <v>TRANZEO WIRELESS</v>
          </cell>
          <cell r="B16683" t="str">
            <v>TR-24H-120-16</v>
          </cell>
          <cell r="O16683"/>
          <cell r="T16683"/>
        </row>
        <row r="16684">
          <cell r="A16684" t="str">
            <v>TRANZEO WIRELESS</v>
          </cell>
          <cell r="B16684" t="str">
            <v>TR-24H-90-14</v>
          </cell>
          <cell r="O16684"/>
          <cell r="T16684"/>
        </row>
        <row r="16685">
          <cell r="A16685" t="str">
            <v>TRANZEO WIRELESS</v>
          </cell>
          <cell r="B16685" t="str">
            <v>TR-24H-90-17</v>
          </cell>
          <cell r="O16685"/>
          <cell r="T16685"/>
        </row>
        <row r="16686">
          <cell r="A16686" t="str">
            <v>TRANZEO WIRELESS</v>
          </cell>
          <cell r="B16686" t="str">
            <v>TR-3115</v>
          </cell>
          <cell r="O16686"/>
          <cell r="T16686"/>
        </row>
        <row r="16687">
          <cell r="A16687" t="str">
            <v>TRANZEO WIRELESS</v>
          </cell>
          <cell r="B16687" t="str">
            <v>TR-4219</v>
          </cell>
          <cell r="O16687"/>
          <cell r="T16687"/>
        </row>
        <row r="16688">
          <cell r="A16688" t="str">
            <v>TRANZEO WIRELESS</v>
          </cell>
          <cell r="B16688" t="str">
            <v>TR-5.8-29DB-ANT</v>
          </cell>
          <cell r="O16688"/>
          <cell r="T16688"/>
        </row>
        <row r="16689">
          <cell r="A16689" t="str">
            <v>TRANZEO WIRELESS</v>
          </cell>
          <cell r="B16689" t="str">
            <v>TR-5.8-32DB-ANT</v>
          </cell>
          <cell r="O16689"/>
          <cell r="T16689"/>
        </row>
        <row r="16690">
          <cell r="A16690" t="str">
            <v>TRANZEO WIRELESS</v>
          </cell>
          <cell r="B16690" t="str">
            <v>TR-5800</v>
          </cell>
          <cell r="O16690"/>
          <cell r="T16690"/>
        </row>
        <row r="16691">
          <cell r="A16691" t="str">
            <v>TRANZEO WIRELESS</v>
          </cell>
          <cell r="B16691" t="str">
            <v>TR-5821</v>
          </cell>
          <cell r="O16691"/>
          <cell r="T16691"/>
        </row>
        <row r="16692">
          <cell r="A16692" t="str">
            <v>TRANZEO WIRELESS</v>
          </cell>
          <cell r="B16692" t="str">
            <v>TR-5829</v>
          </cell>
          <cell r="O16692"/>
          <cell r="T16692"/>
        </row>
        <row r="16693">
          <cell r="A16693" t="str">
            <v>TRANZEO WIRELESS</v>
          </cell>
          <cell r="B16693" t="str">
            <v>TR-5A</v>
          </cell>
          <cell r="O16693"/>
          <cell r="T16693"/>
        </row>
        <row r="16694">
          <cell r="A16694" t="str">
            <v>TRANZEO WIRELESS</v>
          </cell>
          <cell r="B16694" t="str">
            <v>TR-5A-24F</v>
          </cell>
          <cell r="O16694"/>
          <cell r="T16694"/>
        </row>
        <row r="16695">
          <cell r="A16695" t="str">
            <v>TRANZEO WIRELESS</v>
          </cell>
          <cell r="B16695" t="str">
            <v>TR-5PLUS-24</v>
          </cell>
          <cell r="O16695"/>
          <cell r="T16695"/>
        </row>
        <row r="16696">
          <cell r="A16696" t="str">
            <v>TRANZEO WIRELESS</v>
          </cell>
          <cell r="B16696" t="str">
            <v>TR-5PLUS-NF</v>
          </cell>
          <cell r="O16696"/>
          <cell r="T16696"/>
        </row>
        <row r="16697">
          <cell r="A16697" t="str">
            <v>TRANZEO WIRELESS</v>
          </cell>
          <cell r="B16697" t="str">
            <v>TR-6000</v>
          </cell>
          <cell r="O16697"/>
          <cell r="T16697"/>
        </row>
        <row r="16698">
          <cell r="A16698" t="str">
            <v>TRANZEO WIRELESS</v>
          </cell>
          <cell r="B16698" t="str">
            <v>TR-6015</v>
          </cell>
          <cell r="O16698"/>
          <cell r="T16698"/>
        </row>
        <row r="16699">
          <cell r="A16699" t="str">
            <v>TRANZEO WIRELESS</v>
          </cell>
          <cell r="B16699" t="str">
            <v>TR-6619_CCIV2</v>
          </cell>
          <cell r="O16699"/>
          <cell r="T16699"/>
        </row>
        <row r="16700">
          <cell r="A16700" t="str">
            <v>TRANZEO WIRELESS</v>
          </cell>
          <cell r="B16700" t="str">
            <v>TR-900-11F</v>
          </cell>
          <cell r="O16700"/>
          <cell r="T16700"/>
        </row>
        <row r="16701">
          <cell r="A16701" t="str">
            <v>TRANZEO WIRELESS</v>
          </cell>
          <cell r="B16701" t="str">
            <v>TR-900-8F</v>
          </cell>
          <cell r="O16701"/>
          <cell r="T16701"/>
        </row>
        <row r="16702">
          <cell r="A16702" t="str">
            <v>TRANZEO WIRELESS</v>
          </cell>
          <cell r="B16702" t="str">
            <v>TR-900-H12F</v>
          </cell>
          <cell r="O16702"/>
          <cell r="T16702"/>
        </row>
        <row r="16703">
          <cell r="A16703" t="str">
            <v>TRANZEO WIRELESS</v>
          </cell>
          <cell r="B16703" t="str">
            <v>TR-900-NF</v>
          </cell>
          <cell r="O16703"/>
          <cell r="T16703"/>
        </row>
        <row r="16704">
          <cell r="A16704" t="str">
            <v>TRANZEO WIRELESS</v>
          </cell>
          <cell r="B16704" t="str">
            <v>TR-900-V13F</v>
          </cell>
          <cell r="O16704"/>
          <cell r="T16704"/>
        </row>
        <row r="16705">
          <cell r="A16705" t="str">
            <v>TRANZEO WIRELESS</v>
          </cell>
          <cell r="B16705" t="str">
            <v>TR-902-11F</v>
          </cell>
          <cell r="O16705"/>
          <cell r="T16705"/>
        </row>
        <row r="16706">
          <cell r="A16706" t="str">
            <v>TRANZEO WIRELESS</v>
          </cell>
          <cell r="B16706" t="str">
            <v>TR-902-8F</v>
          </cell>
          <cell r="O16706"/>
          <cell r="T16706"/>
        </row>
        <row r="16707">
          <cell r="A16707" t="str">
            <v>TRANZEO WIRELESS</v>
          </cell>
          <cell r="B16707" t="str">
            <v>TR-902-NF</v>
          </cell>
          <cell r="O16707"/>
          <cell r="T16707"/>
        </row>
        <row r="16708">
          <cell r="A16708" t="str">
            <v>TRANZEO WIRELESS</v>
          </cell>
          <cell r="B16708" t="str">
            <v>TR-OD900-12</v>
          </cell>
          <cell r="O16708"/>
          <cell r="T16708"/>
        </row>
        <row r="16709">
          <cell r="A16709" t="str">
            <v>TRANZEO WIRELESS</v>
          </cell>
          <cell r="B16709" t="str">
            <v>TR-ODH24-13</v>
          </cell>
          <cell r="O16709"/>
          <cell r="T16709"/>
        </row>
        <row r="16710">
          <cell r="A16710" t="str">
            <v>TREPIC NETWORKS</v>
          </cell>
          <cell r="B16710" t="str">
            <v>CUSTOM PLATE</v>
          </cell>
          <cell r="O16710"/>
          <cell r="T16710"/>
        </row>
        <row r="16711">
          <cell r="A16711" t="str">
            <v>TRILLIANT</v>
          </cell>
          <cell r="B16711" t="str">
            <v>GATE-1000</v>
          </cell>
          <cell r="O16711"/>
          <cell r="T16711"/>
        </row>
        <row r="16712">
          <cell r="A16712" t="str">
            <v>TRILLIANT</v>
          </cell>
          <cell r="B16712" t="str">
            <v>XBRG-3000</v>
          </cell>
          <cell r="O16712"/>
          <cell r="T16712"/>
        </row>
        <row r="16713">
          <cell r="A16713" t="str">
            <v>TRILLIANT</v>
          </cell>
          <cell r="B16713" t="str">
            <v>XTEN-1000</v>
          </cell>
          <cell r="O16713"/>
          <cell r="T16713"/>
        </row>
        <row r="16714">
          <cell r="A16714" t="str">
            <v>TRILLIANT</v>
          </cell>
          <cell r="B16714" t="str">
            <v>XTEN-1000-W</v>
          </cell>
          <cell r="O16714"/>
          <cell r="T16714"/>
        </row>
        <row r="16715">
          <cell r="A16715" t="str">
            <v>TRIMBLE</v>
          </cell>
          <cell r="B16715" t="str">
            <v>23339</v>
          </cell>
          <cell r="O16715"/>
          <cell r="T16715"/>
        </row>
        <row r="16716">
          <cell r="A16716" t="str">
            <v>TRIMBLE</v>
          </cell>
          <cell r="B16716" t="str">
            <v>23632-00</v>
          </cell>
          <cell r="O16716"/>
          <cell r="T16716"/>
        </row>
        <row r="16717">
          <cell r="A16717" t="str">
            <v>TRIMBLE</v>
          </cell>
          <cell r="B16717" t="str">
            <v>23632-10</v>
          </cell>
          <cell r="O16717"/>
          <cell r="T16717"/>
        </row>
        <row r="16718">
          <cell r="A16718" t="str">
            <v>TRIMBLE</v>
          </cell>
          <cell r="B16718" t="str">
            <v>23632-20</v>
          </cell>
          <cell r="O16718"/>
          <cell r="T16718"/>
        </row>
        <row r="16719">
          <cell r="A16719" t="str">
            <v>TRIMBLE</v>
          </cell>
          <cell r="B16719" t="str">
            <v>33632-10</v>
          </cell>
          <cell r="O16719"/>
          <cell r="T16719"/>
        </row>
        <row r="16720">
          <cell r="A16720" t="str">
            <v>TRIMBLE</v>
          </cell>
          <cell r="B16720" t="str">
            <v>57860-30</v>
          </cell>
          <cell r="O16720"/>
          <cell r="T16720"/>
        </row>
        <row r="16721">
          <cell r="A16721" t="str">
            <v>TRIMBLE</v>
          </cell>
          <cell r="B16721" t="str">
            <v>A1304-00</v>
          </cell>
          <cell r="O16721"/>
          <cell r="T16721"/>
        </row>
        <row r="16722">
          <cell r="A16722" t="str">
            <v>TRIMBLE</v>
          </cell>
          <cell r="B16722" t="str">
            <v>ACUTIME 2000</v>
          </cell>
          <cell r="O16722"/>
          <cell r="T16722"/>
        </row>
        <row r="16723">
          <cell r="A16723" t="str">
            <v>TRIMBLE</v>
          </cell>
          <cell r="B16723" t="str">
            <v>ACUTIME 360</v>
          </cell>
          <cell r="O16723"/>
          <cell r="T16723"/>
        </row>
        <row r="16724">
          <cell r="A16724" t="str">
            <v>TRIMBLE</v>
          </cell>
          <cell r="B16724" t="str">
            <v>ACUTIME GOLD</v>
          </cell>
          <cell r="O16724"/>
          <cell r="T16724"/>
        </row>
        <row r="16725">
          <cell r="A16725" t="str">
            <v>TRIMBLE</v>
          </cell>
          <cell r="B16725" t="str">
            <v>ACUTIME RS422</v>
          </cell>
          <cell r="O16725"/>
          <cell r="T16725"/>
        </row>
        <row r="16726">
          <cell r="A16726" t="str">
            <v>TRIMBLE</v>
          </cell>
          <cell r="B16726" t="str">
            <v>BULLET III</v>
          </cell>
          <cell r="O16726"/>
          <cell r="T16726"/>
        </row>
        <row r="16727">
          <cell r="A16727" t="str">
            <v>TRIMBLE</v>
          </cell>
          <cell r="B16727" t="str">
            <v>SSI805185L10</v>
          </cell>
          <cell r="O16727"/>
          <cell r="T16727"/>
        </row>
        <row r="16728">
          <cell r="A16728" t="str">
            <v>TRIMBLE</v>
          </cell>
          <cell r="B16728" t="str">
            <v>SSI816702L15</v>
          </cell>
          <cell r="O16728"/>
          <cell r="T16728"/>
        </row>
        <row r="16729">
          <cell r="A16729" t="str">
            <v>TRIPOINT</v>
          </cell>
          <cell r="B16729" t="str">
            <v>1.8M</v>
          </cell>
          <cell r="O16729"/>
          <cell r="T16729"/>
        </row>
        <row r="16730">
          <cell r="A16730" t="str">
            <v>TRIPOINT</v>
          </cell>
          <cell r="B16730" t="str">
            <v>1950</v>
          </cell>
          <cell r="O16730"/>
          <cell r="T16730"/>
        </row>
        <row r="16731">
          <cell r="A16731" t="str">
            <v>TRIPOINT</v>
          </cell>
          <cell r="B16731" t="str">
            <v>2.4M</v>
          </cell>
          <cell r="O16731"/>
          <cell r="T16731"/>
        </row>
        <row r="16732">
          <cell r="A16732" t="str">
            <v>TRIPOINT</v>
          </cell>
          <cell r="B16732" t="str">
            <v>MHP-75B72-S</v>
          </cell>
          <cell r="O16732"/>
          <cell r="T16732"/>
        </row>
        <row r="16733">
          <cell r="A16733" t="str">
            <v>TRIPOINT</v>
          </cell>
          <cell r="B16733" t="str">
            <v>P-20A36GE-U</v>
          </cell>
          <cell r="O16733"/>
          <cell r="T16733"/>
        </row>
        <row r="16734">
          <cell r="A16734" t="str">
            <v>TRIPOINT</v>
          </cell>
          <cell r="B16734" t="str">
            <v>P-20A36GP-U</v>
          </cell>
          <cell r="O16734"/>
          <cell r="T16734"/>
        </row>
        <row r="16735">
          <cell r="A16735" t="str">
            <v>TRIPOINT</v>
          </cell>
          <cell r="B16735" t="str">
            <v>P-24A120GE-S</v>
          </cell>
          <cell r="O16735"/>
          <cell r="T16735"/>
        </row>
        <row r="16736">
          <cell r="A16736" t="str">
            <v>TRIPOINT</v>
          </cell>
          <cell r="B16736" t="str">
            <v>P-24A120GL-S</v>
          </cell>
          <cell r="O16736"/>
          <cell r="T16736"/>
        </row>
        <row r="16737">
          <cell r="A16737" t="str">
            <v>TRIPOINT</v>
          </cell>
          <cell r="B16737" t="str">
            <v>P-24A120GP-S</v>
          </cell>
          <cell r="O16737"/>
          <cell r="T16737"/>
        </row>
        <row r="16738">
          <cell r="A16738" t="str">
            <v>TRIPOINT</v>
          </cell>
          <cell r="B16738" t="str">
            <v>P-24A36GE-U</v>
          </cell>
          <cell r="O16738"/>
          <cell r="T16738"/>
        </row>
        <row r="16739">
          <cell r="A16739" t="str">
            <v>TRIPOINT</v>
          </cell>
          <cell r="B16739" t="str">
            <v>P-24A72GN-U</v>
          </cell>
          <cell r="O16739"/>
          <cell r="T16739"/>
        </row>
        <row r="16740">
          <cell r="A16740" t="str">
            <v>TRIPOINT</v>
          </cell>
          <cell r="B16740" t="str">
            <v>P-9A120GN-S</v>
          </cell>
          <cell r="O16740"/>
          <cell r="T16740"/>
        </row>
        <row r="16741">
          <cell r="A16741" t="str">
            <v>TRIPOINT</v>
          </cell>
          <cell r="B16741" t="str">
            <v>QFD2-52</v>
          </cell>
          <cell r="O16741"/>
          <cell r="T16741"/>
        </row>
        <row r="16742">
          <cell r="A16742" t="str">
            <v>TRIPOINT</v>
          </cell>
          <cell r="B16742" t="str">
            <v>SSG4-23A</v>
          </cell>
          <cell r="O16742"/>
          <cell r="T16742"/>
        </row>
        <row r="16743">
          <cell r="A16743" t="str">
            <v>TROLL SYSTEMS</v>
          </cell>
          <cell r="B16743" t="str">
            <v>A6</v>
          </cell>
          <cell r="O16743"/>
          <cell r="T16743"/>
        </row>
        <row r="16744">
          <cell r="A16744" t="str">
            <v>TROPOS NETWORK</v>
          </cell>
          <cell r="B16744" t="str">
            <v>5210 OUTDOOR ROUTER</v>
          </cell>
          <cell r="O16744"/>
          <cell r="T16744"/>
        </row>
        <row r="16745">
          <cell r="A16745" t="str">
            <v>TROPOS NETWORK</v>
          </cell>
          <cell r="B16745" t="str">
            <v>TME-6420-XA</v>
          </cell>
          <cell r="O16745"/>
          <cell r="T16745"/>
        </row>
        <row r="16746">
          <cell r="A16746" t="str">
            <v>TROPOS NETWORK</v>
          </cell>
          <cell r="B16746" t="str">
            <v>TME-7320</v>
          </cell>
          <cell r="O16746"/>
          <cell r="T16746"/>
        </row>
        <row r="16747">
          <cell r="A16747" t="str">
            <v>TRUEPATH WIRELESS</v>
          </cell>
          <cell r="B16747" t="str">
            <v>NEPTUNE ANTENNA</v>
          </cell>
          <cell r="O16747"/>
          <cell r="T16747"/>
        </row>
        <row r="16748">
          <cell r="A16748" t="str">
            <v>TX RX SYSTEMS</v>
          </cell>
          <cell r="B16748" t="str">
            <v>101-68-10-0-01N</v>
          </cell>
          <cell r="O16748"/>
          <cell r="T16748"/>
        </row>
        <row r="16749">
          <cell r="A16749" t="str">
            <v>TX RX SYSTEMS</v>
          </cell>
          <cell r="B16749" t="str">
            <v>101-68-10-0-03N</v>
          </cell>
          <cell r="O16749"/>
          <cell r="T16749"/>
        </row>
        <row r="16750">
          <cell r="A16750" t="str">
            <v>TX RX SYSTEMS</v>
          </cell>
          <cell r="B16750" t="str">
            <v>101-68-10-1-03N</v>
          </cell>
          <cell r="O16750"/>
          <cell r="T16750"/>
        </row>
        <row r="16751">
          <cell r="A16751" t="str">
            <v>TX RX SYSTEMS</v>
          </cell>
          <cell r="B16751" t="str">
            <v>101-68-10-5-01</v>
          </cell>
          <cell r="O16751"/>
          <cell r="T16751"/>
        </row>
        <row r="16752">
          <cell r="A16752" t="str">
            <v>TX RX SYSTEMS</v>
          </cell>
          <cell r="B16752" t="str">
            <v>101-68-10-6-03N</v>
          </cell>
          <cell r="O16752"/>
          <cell r="T16752"/>
        </row>
        <row r="16753">
          <cell r="A16753" t="str">
            <v>TX RX SYSTEMS</v>
          </cell>
          <cell r="B16753" t="str">
            <v>101-68-10-X-03N</v>
          </cell>
          <cell r="O16753"/>
          <cell r="T16753"/>
        </row>
        <row r="16754">
          <cell r="A16754" t="str">
            <v>TX RX SYSTEMS</v>
          </cell>
          <cell r="B16754" t="str">
            <v>101-83B-09-0-03/03N</v>
          </cell>
          <cell r="O16754"/>
          <cell r="T16754"/>
        </row>
        <row r="16755">
          <cell r="A16755" t="str">
            <v>TX RX SYSTEMS</v>
          </cell>
          <cell r="B16755" t="str">
            <v>101-88-10-3-01N</v>
          </cell>
          <cell r="O16755"/>
          <cell r="T16755"/>
        </row>
        <row r="16756">
          <cell r="A16756" t="str">
            <v>TX RX SYSTEMS</v>
          </cell>
          <cell r="B16756" t="str">
            <v>101-89A-09-05-01N</v>
          </cell>
          <cell r="O16756"/>
          <cell r="T16756"/>
        </row>
        <row r="16757">
          <cell r="A16757" t="str">
            <v>TX RX SYSTEMS</v>
          </cell>
          <cell r="B16757" t="str">
            <v>101-89A-09-3-03N</v>
          </cell>
          <cell r="O16757"/>
          <cell r="T16757"/>
        </row>
        <row r="16758">
          <cell r="A16758" t="str">
            <v>TX RX SYSTEMS</v>
          </cell>
          <cell r="B16758" t="str">
            <v>101-89A-09-5-03N</v>
          </cell>
          <cell r="O16758"/>
          <cell r="T16758"/>
        </row>
        <row r="16759">
          <cell r="A16759" t="str">
            <v>TX RX SYSTEMS</v>
          </cell>
          <cell r="B16759" t="str">
            <v>101-90-08-0-01</v>
          </cell>
          <cell r="O16759"/>
          <cell r="T16759"/>
        </row>
        <row r="16760">
          <cell r="A16760" t="str">
            <v>TX RX SYSTEMS</v>
          </cell>
          <cell r="B16760" t="str">
            <v>101-90-08-5-01</v>
          </cell>
          <cell r="O16760"/>
          <cell r="T16760"/>
        </row>
        <row r="16761">
          <cell r="A16761" t="str">
            <v>TX RX SYSTEMS</v>
          </cell>
          <cell r="B16761" t="str">
            <v>101-90-08-X-03</v>
          </cell>
          <cell r="O16761"/>
          <cell r="T16761"/>
        </row>
        <row r="16762">
          <cell r="A16762" t="str">
            <v>TX RX SYSTEMS</v>
          </cell>
          <cell r="B16762" t="str">
            <v>101-92-12-0-01</v>
          </cell>
          <cell r="O16762"/>
          <cell r="T16762"/>
        </row>
        <row r="16763">
          <cell r="A16763" t="str">
            <v>TX RX SYSTEMS</v>
          </cell>
          <cell r="B16763" t="str">
            <v>101D-90-06-0-01N</v>
          </cell>
          <cell r="O16763"/>
          <cell r="T16763"/>
        </row>
        <row r="16764">
          <cell r="A16764" t="str">
            <v>TX RX SYSTEMS</v>
          </cell>
          <cell r="B16764" t="str">
            <v>101D-90-06-0-03</v>
          </cell>
          <cell r="O16764"/>
          <cell r="T16764"/>
        </row>
        <row r="16765">
          <cell r="A16765" t="str">
            <v>TX RX SYSTEMS</v>
          </cell>
          <cell r="B16765" t="str">
            <v>BA40-41-DIN</v>
          </cell>
          <cell r="O16765"/>
          <cell r="T16765"/>
        </row>
        <row r="16766">
          <cell r="A16766" t="str">
            <v>TX RX SYSTEMS</v>
          </cell>
          <cell r="B16766" t="str">
            <v>BA80-41-DIN</v>
          </cell>
          <cell r="O16766"/>
          <cell r="T16766"/>
        </row>
        <row r="16767">
          <cell r="A16767" t="str">
            <v>TX RX SYSTEMS</v>
          </cell>
          <cell r="B16767" t="str">
            <v>CC806-03</v>
          </cell>
          <cell r="O16767"/>
          <cell r="T16767"/>
        </row>
        <row r="16768">
          <cell r="A16768" t="str">
            <v>TX RX SYSTEMS</v>
          </cell>
          <cell r="B16768" t="str">
            <v>CC806-06</v>
          </cell>
          <cell r="O16768"/>
          <cell r="T16768"/>
        </row>
        <row r="16769">
          <cell r="A16769" t="str">
            <v>TX RX SYSTEMS</v>
          </cell>
          <cell r="B16769" t="str">
            <v>CC806-06-T5</v>
          </cell>
          <cell r="O16769"/>
          <cell r="T16769"/>
        </row>
        <row r="16770">
          <cell r="A16770" t="str">
            <v>TX RX SYSTEMS</v>
          </cell>
          <cell r="B16770" t="str">
            <v>CC806-09</v>
          </cell>
          <cell r="O16770"/>
          <cell r="T16770"/>
        </row>
        <row r="16771">
          <cell r="A16771" t="str">
            <v>TX RX SYSTEMS</v>
          </cell>
          <cell r="B16771" t="str">
            <v>CC806-09-T5</v>
          </cell>
          <cell r="O16771"/>
          <cell r="T16771"/>
        </row>
        <row r="16772">
          <cell r="A16772" t="str">
            <v>TX RX SYSTEMS</v>
          </cell>
          <cell r="B16772" t="str">
            <v>CC806-12</v>
          </cell>
          <cell r="O16772"/>
          <cell r="T16772"/>
        </row>
        <row r="16773">
          <cell r="A16773" t="str">
            <v>TYCON WIRELESS</v>
          </cell>
          <cell r="B16773" t="str">
            <v>EZ-BRIDGE-LT+</v>
          </cell>
          <cell r="O16773"/>
          <cell r="T16773"/>
        </row>
        <row r="16774">
          <cell r="A16774" t="str">
            <v>UBIQUITI NETWORK</v>
          </cell>
          <cell r="B16774" t="str">
            <v>2G-15-120</v>
          </cell>
          <cell r="O16774"/>
          <cell r="T16774"/>
        </row>
        <row r="16775">
          <cell r="A16775" t="str">
            <v>UBIQUITI NETWORK</v>
          </cell>
          <cell r="B16775" t="str">
            <v>2G-16-90</v>
          </cell>
          <cell r="O16775"/>
          <cell r="T16775"/>
        </row>
        <row r="16776">
          <cell r="A16776" t="str">
            <v>UBIQUITI NETWORK</v>
          </cell>
          <cell r="B16776" t="str">
            <v>3G-120-18</v>
          </cell>
          <cell r="O16776"/>
          <cell r="T16776"/>
        </row>
        <row r="16777">
          <cell r="A16777" t="str">
            <v>UBIQUITI NETWORK</v>
          </cell>
          <cell r="B16777" t="str">
            <v>3G-26</v>
          </cell>
          <cell r="O16777"/>
          <cell r="T16777"/>
        </row>
        <row r="16778">
          <cell r="A16778" t="str">
            <v>UBIQUITI NETWORK</v>
          </cell>
          <cell r="B16778" t="str">
            <v>5G-120-16</v>
          </cell>
          <cell r="O16778"/>
          <cell r="T16778"/>
        </row>
        <row r="16779">
          <cell r="A16779" t="str">
            <v>UBIQUITI NETWORK</v>
          </cell>
          <cell r="B16779" t="str">
            <v>5G-120-19</v>
          </cell>
          <cell r="O16779">
            <v>1.5784111028055099</v>
          </cell>
          <cell r="T16779">
            <v>0.86105763925369705</v>
          </cell>
        </row>
        <row r="16780">
          <cell r="A16780" t="str">
            <v>UBIQUITI NETWORK</v>
          </cell>
          <cell r="B16780" t="str">
            <v>5G-20-90</v>
          </cell>
          <cell r="O16780"/>
          <cell r="T16780"/>
        </row>
        <row r="16781">
          <cell r="A16781" t="str">
            <v>UBIQUITI NETWORK</v>
          </cell>
          <cell r="B16781" t="str">
            <v>5G-30</v>
          </cell>
          <cell r="O16781"/>
          <cell r="T16781"/>
        </row>
        <row r="16782">
          <cell r="A16782" t="str">
            <v>UBIQUITI NETWORK</v>
          </cell>
          <cell r="B16782" t="str">
            <v>5G-34</v>
          </cell>
          <cell r="O16782"/>
          <cell r="T16782"/>
        </row>
        <row r="16783">
          <cell r="A16783" t="str">
            <v>UBIQUITI NETWORK</v>
          </cell>
          <cell r="B16783" t="str">
            <v>5G-90-17</v>
          </cell>
          <cell r="O16783"/>
          <cell r="T16783"/>
        </row>
        <row r="16784">
          <cell r="A16784" t="str">
            <v>UBIQUITI NETWORK</v>
          </cell>
          <cell r="B16784" t="str">
            <v>5G-90-20</v>
          </cell>
          <cell r="O16784"/>
          <cell r="T16784"/>
        </row>
        <row r="16785">
          <cell r="A16785" t="str">
            <v>UBIQUITI NETWORK</v>
          </cell>
          <cell r="B16785" t="str">
            <v>AF-11G35</v>
          </cell>
          <cell r="O16785"/>
          <cell r="T16785"/>
        </row>
        <row r="16786">
          <cell r="A16786" t="str">
            <v>UBIQUITI NETWORK</v>
          </cell>
          <cell r="B16786" t="str">
            <v>AF-11G35_CCIV2</v>
          </cell>
          <cell r="O16786"/>
          <cell r="T16786"/>
        </row>
        <row r="16787">
          <cell r="A16787" t="str">
            <v>UBIQUITI NETWORK</v>
          </cell>
          <cell r="B16787" t="str">
            <v>AF-24HD</v>
          </cell>
          <cell r="O16787"/>
          <cell r="T16787"/>
        </row>
        <row r="16788">
          <cell r="A16788" t="str">
            <v>UBIQUITI NETWORK</v>
          </cell>
          <cell r="B16788" t="str">
            <v>AF-2G24-S45</v>
          </cell>
          <cell r="O16788"/>
          <cell r="T16788"/>
        </row>
        <row r="16789">
          <cell r="A16789" t="str">
            <v>UBIQUITI NETWORK</v>
          </cell>
          <cell r="B16789" t="str">
            <v>AF-3G26-S45</v>
          </cell>
          <cell r="O16789"/>
          <cell r="T16789"/>
        </row>
        <row r="16790">
          <cell r="A16790" t="str">
            <v>UBIQUITI NETWORK</v>
          </cell>
          <cell r="B16790" t="str">
            <v>AF-5G23-S45</v>
          </cell>
          <cell r="O16790"/>
          <cell r="T16790"/>
        </row>
        <row r="16791">
          <cell r="A16791" t="str">
            <v>UBIQUITI NETWORK</v>
          </cell>
          <cell r="B16791" t="str">
            <v>AF-5G30-S45</v>
          </cell>
          <cell r="O16791"/>
          <cell r="T16791"/>
        </row>
        <row r="16792">
          <cell r="A16792" t="str">
            <v>UBIQUITI NETWORK</v>
          </cell>
          <cell r="B16792" t="str">
            <v>AF-5G34-S45</v>
          </cell>
          <cell r="O16792"/>
          <cell r="T16792"/>
        </row>
        <row r="16793">
          <cell r="A16793" t="str">
            <v>UBIQUITI NETWORK</v>
          </cell>
          <cell r="B16793" t="str">
            <v>AF-60</v>
          </cell>
          <cell r="O16793"/>
          <cell r="T16793"/>
        </row>
        <row r="16794">
          <cell r="A16794" t="str">
            <v>UBIQUITI NETWORK</v>
          </cell>
          <cell r="B16794" t="str">
            <v>AF-60_CCIV2</v>
          </cell>
          <cell r="O16794"/>
          <cell r="T16794"/>
        </row>
        <row r="16795">
          <cell r="A16795" t="str">
            <v>UBIQUITI NETWORK</v>
          </cell>
          <cell r="B16795" t="str">
            <v>AF60-LR</v>
          </cell>
          <cell r="O16795"/>
          <cell r="T16795"/>
        </row>
        <row r="16796">
          <cell r="A16796" t="str">
            <v>UBIQUITI NETWORK</v>
          </cell>
          <cell r="B16796" t="str">
            <v>AF60-XG-US</v>
          </cell>
          <cell r="O16796"/>
          <cell r="T16796"/>
        </row>
        <row r="16797">
          <cell r="A16797" t="str">
            <v>UBIQUITI NETWORK</v>
          </cell>
          <cell r="B16797" t="str">
            <v>AIRFIBER 60 LR</v>
          </cell>
          <cell r="O16797"/>
          <cell r="T16797"/>
        </row>
        <row r="16798">
          <cell r="A16798" t="str">
            <v>UBIQUITI NETWORK</v>
          </cell>
          <cell r="B16798" t="str">
            <v>AIRFIBER AF-5U</v>
          </cell>
          <cell r="O16798"/>
          <cell r="T16798"/>
        </row>
        <row r="16799">
          <cell r="A16799" t="str">
            <v>UBIQUITI NETWORK</v>
          </cell>
          <cell r="B16799" t="str">
            <v>AIRFIBER AF24</v>
          </cell>
          <cell r="O16799"/>
          <cell r="T16799"/>
        </row>
        <row r="16800">
          <cell r="A16800" t="str">
            <v>UBIQUITI NETWORK</v>
          </cell>
          <cell r="B16800" t="str">
            <v>AIRFIBER AF5_CCIV2</v>
          </cell>
          <cell r="O16800"/>
          <cell r="T16800"/>
        </row>
        <row r="16801">
          <cell r="A16801" t="str">
            <v>UBIQUITI NETWORK</v>
          </cell>
          <cell r="B16801" t="str">
            <v>AIRMAX GIGABEAM PLUS</v>
          </cell>
          <cell r="O16801"/>
          <cell r="T16801"/>
        </row>
        <row r="16802">
          <cell r="A16802" t="str">
            <v>UBIQUITI NETWORK</v>
          </cell>
          <cell r="B16802" t="str">
            <v>AM-2G15-120</v>
          </cell>
          <cell r="O16802"/>
          <cell r="T16802"/>
        </row>
        <row r="16803">
          <cell r="A16803" t="str">
            <v>UBIQUITI NETWORK</v>
          </cell>
          <cell r="B16803" t="str">
            <v>AM-2G16-90</v>
          </cell>
          <cell r="O16803"/>
          <cell r="T16803"/>
        </row>
        <row r="16804">
          <cell r="A16804" t="str">
            <v>UBIQUITI NETWORK</v>
          </cell>
          <cell r="B16804" t="str">
            <v>AM-3G18-120</v>
          </cell>
          <cell r="O16804"/>
          <cell r="T16804"/>
        </row>
        <row r="16805">
          <cell r="A16805" t="str">
            <v>UBIQUITI NETWORK</v>
          </cell>
          <cell r="B16805" t="str">
            <v>AM-5AC21-60</v>
          </cell>
          <cell r="O16805">
            <v>2.06266975308642</v>
          </cell>
          <cell r="T16805">
            <v>0.93052083012447884</v>
          </cell>
        </row>
        <row r="16806">
          <cell r="A16806" t="str">
            <v>UBIQUITI NETWORK</v>
          </cell>
          <cell r="B16806" t="str">
            <v>AM-5AC22-45</v>
          </cell>
          <cell r="O16806"/>
          <cell r="T16806"/>
        </row>
        <row r="16807">
          <cell r="A16807" t="str">
            <v>UBIQUITI NETWORK</v>
          </cell>
          <cell r="B16807" t="str">
            <v>AM-5G16-120</v>
          </cell>
          <cell r="O16807"/>
          <cell r="T16807"/>
        </row>
        <row r="16808">
          <cell r="A16808" t="str">
            <v>UBIQUITI NETWORK</v>
          </cell>
          <cell r="B16808" t="str">
            <v>AM-5G17-90</v>
          </cell>
          <cell r="O16808"/>
          <cell r="T16808"/>
        </row>
        <row r="16809">
          <cell r="A16809" t="str">
            <v>UBIQUITI NETWORK</v>
          </cell>
          <cell r="B16809" t="str">
            <v>AM-5G19-120</v>
          </cell>
          <cell r="O16809"/>
          <cell r="T16809"/>
        </row>
        <row r="16810">
          <cell r="A16810" t="str">
            <v>UBIQUITI NETWORK</v>
          </cell>
          <cell r="B16810" t="str">
            <v>AM-5G20-90</v>
          </cell>
          <cell r="O16810">
            <v>1.4551354618211698</v>
          </cell>
          <cell r="T16810">
            <v>0.73911608593810096</v>
          </cell>
        </row>
        <row r="16811">
          <cell r="A16811" t="str">
            <v>UBIQUITI NETWORK</v>
          </cell>
          <cell r="B16811" t="str">
            <v>AM-9M13</v>
          </cell>
          <cell r="O16811"/>
          <cell r="T16811"/>
        </row>
        <row r="16812">
          <cell r="A16812" t="str">
            <v>UBIQUITI NETWORK</v>
          </cell>
          <cell r="B16812" t="str">
            <v>AM-V2G-TI</v>
          </cell>
          <cell r="O16812"/>
          <cell r="T16812"/>
        </row>
        <row r="16813">
          <cell r="A16813" t="str">
            <v>UBIQUITI NETWORK</v>
          </cell>
          <cell r="B16813" t="str">
            <v>AM-V5G-TI</v>
          </cell>
          <cell r="O16813">
            <v>2.4109450307764297</v>
          </cell>
          <cell r="T16813">
            <v>0.82110212376916303</v>
          </cell>
        </row>
        <row r="16814">
          <cell r="A16814" t="str">
            <v>UBIQUITI NETWORK</v>
          </cell>
          <cell r="B16814" t="str">
            <v>AMO-2G13</v>
          </cell>
          <cell r="O16814"/>
          <cell r="T16814"/>
        </row>
        <row r="16815">
          <cell r="A16815" t="str">
            <v>UBIQUITI NETWORK</v>
          </cell>
          <cell r="B16815" t="str">
            <v>AMO-3G12</v>
          </cell>
          <cell r="O16815"/>
          <cell r="T16815"/>
        </row>
        <row r="16816">
          <cell r="A16816" t="str">
            <v>UBIQUITI NETWORK</v>
          </cell>
          <cell r="B16816" t="str">
            <v>AMO-5G13</v>
          </cell>
          <cell r="O16816"/>
          <cell r="T16816"/>
        </row>
        <row r="16817">
          <cell r="A16817" t="str">
            <v>UBIQUITI NETWORK</v>
          </cell>
          <cell r="B16817" t="str">
            <v>AMS 3G-120-18:3</v>
          </cell>
          <cell r="O16817"/>
          <cell r="T16817"/>
        </row>
        <row r="16818">
          <cell r="A16818" t="str">
            <v>UBIQUITI NETWORK</v>
          </cell>
          <cell r="B16818" t="str">
            <v>AMS 900-120-13</v>
          </cell>
          <cell r="O16818"/>
          <cell r="T16818"/>
        </row>
        <row r="16819">
          <cell r="A16819" t="str">
            <v>UBIQUITI NETWORK</v>
          </cell>
          <cell r="B16819" t="str">
            <v>AP-5AC-90-HD</v>
          </cell>
          <cell r="O16819">
            <v>3.47952980324074</v>
          </cell>
          <cell r="T16819">
            <v>2.1697145343636097</v>
          </cell>
        </row>
        <row r="16820">
          <cell r="A16820" t="str">
            <v>UBIQUITI NETWORK</v>
          </cell>
          <cell r="B16820" t="str">
            <v>GBE-LR</v>
          </cell>
          <cell r="O16820"/>
          <cell r="T16820"/>
        </row>
        <row r="16821">
          <cell r="A16821" t="str">
            <v>UBIQUITI NETWORK</v>
          </cell>
          <cell r="B16821" t="str">
            <v>HORN-5-30</v>
          </cell>
          <cell r="O16821"/>
          <cell r="T16821"/>
        </row>
        <row r="16822">
          <cell r="A16822" t="str">
            <v>UBIQUITI NETWORK</v>
          </cell>
          <cell r="B16822" t="str">
            <v>HORN-5-45</v>
          </cell>
          <cell r="O16822"/>
          <cell r="T16822"/>
        </row>
        <row r="16823">
          <cell r="A16823" t="str">
            <v>UBIQUITI NETWORK</v>
          </cell>
          <cell r="B16823" t="str">
            <v>HORN-5-60</v>
          </cell>
          <cell r="O16823"/>
          <cell r="T16823"/>
        </row>
        <row r="16824">
          <cell r="A16824" t="str">
            <v>UBIQUITI NETWORK</v>
          </cell>
          <cell r="B16824" t="str">
            <v>HORN-5-90</v>
          </cell>
          <cell r="O16824"/>
          <cell r="T16824"/>
        </row>
        <row r="16825">
          <cell r="A16825" t="str">
            <v>UBIQUITI NETWORK</v>
          </cell>
          <cell r="B16825" t="str">
            <v>IS-5AC</v>
          </cell>
          <cell r="O16825"/>
          <cell r="T16825"/>
        </row>
        <row r="16826">
          <cell r="A16826" t="str">
            <v>UBIQUITI NETWORK</v>
          </cell>
          <cell r="B16826" t="str">
            <v>LAP-120-US</v>
          </cell>
          <cell r="O16826"/>
          <cell r="T16826"/>
        </row>
        <row r="16827">
          <cell r="A16827" t="str">
            <v>UBIQUITI NETWORK</v>
          </cell>
          <cell r="B16827" t="str">
            <v>LAP-GPS</v>
          </cell>
          <cell r="O16827"/>
          <cell r="T16827"/>
        </row>
        <row r="16828">
          <cell r="A16828" t="str">
            <v>UBIQUITI NETWORK</v>
          </cell>
          <cell r="B16828" t="str">
            <v>LBE-5AC-16-120</v>
          </cell>
          <cell r="O16828"/>
          <cell r="T16828"/>
        </row>
        <row r="16829">
          <cell r="A16829" t="str">
            <v>UBIQUITI NETWORK</v>
          </cell>
          <cell r="B16829" t="str">
            <v>LBE-5AC-Gen2</v>
          </cell>
          <cell r="O16829"/>
          <cell r="T16829"/>
        </row>
        <row r="16830">
          <cell r="A16830" t="str">
            <v>UBIQUITI NETWORK</v>
          </cell>
          <cell r="B16830" t="str">
            <v>LITEAP</v>
          </cell>
          <cell r="O16830"/>
          <cell r="T16830"/>
        </row>
        <row r="16831">
          <cell r="A16831" t="str">
            <v>UBIQUITI NETWORK</v>
          </cell>
          <cell r="B16831" t="str">
            <v>NANOBRIDGE M365</v>
          </cell>
          <cell r="O16831"/>
          <cell r="T16831"/>
        </row>
        <row r="16832">
          <cell r="A16832" t="str">
            <v>UBIQUITI NETWORK</v>
          </cell>
          <cell r="B16832" t="str">
            <v>NANOBRIDGE M5-22</v>
          </cell>
          <cell r="O16832"/>
          <cell r="T16832"/>
        </row>
        <row r="16833">
          <cell r="A16833" t="str">
            <v>UBIQUITI NETWORK</v>
          </cell>
          <cell r="B16833" t="str">
            <v>NANOBRIDGE M5-25</v>
          </cell>
          <cell r="O16833"/>
          <cell r="T16833"/>
        </row>
        <row r="16834">
          <cell r="A16834" t="str">
            <v>UBIQUITI NETWORK</v>
          </cell>
          <cell r="B16834" t="str">
            <v>NANOSTATION LOCO M900</v>
          </cell>
          <cell r="O16834"/>
          <cell r="T16834"/>
        </row>
        <row r="16835">
          <cell r="A16835" t="str">
            <v>UBIQUITI NETWORK</v>
          </cell>
          <cell r="B16835" t="str">
            <v>NANOSTATION M365_CCIV2</v>
          </cell>
          <cell r="O16835"/>
          <cell r="T16835"/>
        </row>
        <row r="16836">
          <cell r="A16836" t="str">
            <v>UBIQUITI NETWORK</v>
          </cell>
          <cell r="B16836" t="str">
            <v>NANOSTATION2_CCIV2</v>
          </cell>
          <cell r="O16836"/>
          <cell r="T16836"/>
        </row>
        <row r="16837">
          <cell r="A16837" t="str">
            <v>UBIQUITI NETWORK</v>
          </cell>
          <cell r="B16837" t="str">
            <v>NANOSTATION5</v>
          </cell>
          <cell r="O16837"/>
          <cell r="T16837"/>
        </row>
        <row r="16838">
          <cell r="A16838" t="str">
            <v>UBIQUITI NETWORK</v>
          </cell>
          <cell r="B16838" t="str">
            <v>NBE-5AC-GEN2</v>
          </cell>
          <cell r="O16838"/>
          <cell r="T16838"/>
        </row>
        <row r="16839">
          <cell r="A16839" t="str">
            <v>UBIQUITI NETWORK</v>
          </cell>
          <cell r="B16839" t="str">
            <v>NBE-M5-16</v>
          </cell>
          <cell r="O16839"/>
          <cell r="T16839"/>
        </row>
        <row r="16840">
          <cell r="A16840" t="str">
            <v>UBIQUITI NETWORK</v>
          </cell>
          <cell r="B16840" t="str">
            <v>NBE-M5-400</v>
          </cell>
          <cell r="O16840"/>
          <cell r="T16840"/>
        </row>
        <row r="16841">
          <cell r="A16841" t="str">
            <v>UBIQUITI NETWORK</v>
          </cell>
          <cell r="B16841" t="str">
            <v>NBM5-22</v>
          </cell>
          <cell r="O16841"/>
          <cell r="T16841"/>
        </row>
        <row r="16842">
          <cell r="A16842" t="str">
            <v>UBIQUITI NETWORK</v>
          </cell>
          <cell r="B16842" t="str">
            <v>NBM5-25</v>
          </cell>
          <cell r="O16842"/>
          <cell r="T16842"/>
        </row>
        <row r="16843">
          <cell r="A16843" t="str">
            <v>UBIQUITI NETWORK</v>
          </cell>
          <cell r="B16843" t="str">
            <v>NS5L</v>
          </cell>
          <cell r="O16843"/>
          <cell r="T16843"/>
        </row>
        <row r="16844">
          <cell r="A16844" t="str">
            <v>UBIQUITI NETWORK</v>
          </cell>
          <cell r="B16844" t="str">
            <v>NSM5</v>
          </cell>
          <cell r="O16844"/>
          <cell r="T16844"/>
        </row>
        <row r="16845">
          <cell r="A16845" t="str">
            <v>UBIQUITI NETWORK</v>
          </cell>
          <cell r="B16845" t="str">
            <v>PBE-5AC-400-ISO</v>
          </cell>
          <cell r="O16845"/>
          <cell r="T16845"/>
        </row>
        <row r="16846">
          <cell r="A16846" t="str">
            <v>UBIQUITI NETWORK</v>
          </cell>
          <cell r="B16846" t="str">
            <v>PBE-5AC-500</v>
          </cell>
          <cell r="O16846"/>
          <cell r="T16846"/>
        </row>
        <row r="16847">
          <cell r="A16847" t="str">
            <v>UBIQUITI NETWORK</v>
          </cell>
          <cell r="B16847" t="str">
            <v>PBE-5AC-620</v>
          </cell>
          <cell r="O16847"/>
          <cell r="T16847"/>
        </row>
        <row r="16848">
          <cell r="A16848" t="str">
            <v>UBIQUITI NETWORK</v>
          </cell>
          <cell r="B16848" t="str">
            <v>PBE-5AC-GEN2</v>
          </cell>
          <cell r="O16848"/>
          <cell r="T16848"/>
        </row>
        <row r="16849">
          <cell r="A16849" t="str">
            <v>UBIQUITI NETWORK</v>
          </cell>
          <cell r="B16849" t="str">
            <v>PBE-5AC-ISO-GEN2</v>
          </cell>
          <cell r="O16849"/>
          <cell r="T16849"/>
        </row>
        <row r="16850">
          <cell r="A16850" t="str">
            <v>UBIQUITI NETWORK</v>
          </cell>
          <cell r="B16850" t="str">
            <v>PBE-M2-400</v>
          </cell>
          <cell r="O16850"/>
          <cell r="T16850"/>
        </row>
        <row r="16851">
          <cell r="A16851" t="str">
            <v>UBIQUITI NETWORK</v>
          </cell>
          <cell r="B16851" t="str">
            <v>PBE-M5-400</v>
          </cell>
          <cell r="O16851"/>
          <cell r="T16851"/>
        </row>
        <row r="16852">
          <cell r="A16852" t="str">
            <v>UBIQUITI NETWORK</v>
          </cell>
          <cell r="B16852" t="str">
            <v>PBE-M5-620</v>
          </cell>
          <cell r="O16852"/>
          <cell r="T16852"/>
        </row>
        <row r="16853">
          <cell r="A16853" t="str">
            <v>UBIQUITI NETWORK</v>
          </cell>
          <cell r="B16853" t="str">
            <v>POWERBRIDGE M365</v>
          </cell>
          <cell r="O16853"/>
          <cell r="T16853"/>
        </row>
        <row r="16854">
          <cell r="A16854" t="str">
            <v>UBIQUITI NETWORK</v>
          </cell>
          <cell r="B16854" t="str">
            <v>POWERBRIDGE M5_CCIV2</v>
          </cell>
          <cell r="O16854"/>
          <cell r="T16854"/>
        </row>
        <row r="16855">
          <cell r="A16855" t="str">
            <v>UBIQUITI NETWORK</v>
          </cell>
          <cell r="B16855" t="str">
            <v>PRISMAP-5-30</v>
          </cell>
          <cell r="O16855"/>
          <cell r="T16855"/>
        </row>
        <row r="16856">
          <cell r="A16856" t="str">
            <v>UBIQUITI NETWORK</v>
          </cell>
          <cell r="B16856" t="str">
            <v>PRISMAP-5-60</v>
          </cell>
          <cell r="O16856"/>
          <cell r="T16856"/>
        </row>
        <row r="16857">
          <cell r="A16857" t="str">
            <v>UBIQUITI NETWORK</v>
          </cell>
          <cell r="B16857" t="str">
            <v>PS2-17D</v>
          </cell>
          <cell r="O16857"/>
          <cell r="T16857"/>
        </row>
        <row r="16858">
          <cell r="A16858" t="str">
            <v>UBIQUITI NETWORK</v>
          </cell>
          <cell r="B16858" t="str">
            <v>PS2-18V</v>
          </cell>
          <cell r="O16858"/>
          <cell r="T16858"/>
        </row>
        <row r="16859">
          <cell r="A16859" t="str">
            <v>UBIQUITI NETWORK</v>
          </cell>
          <cell r="B16859" t="str">
            <v>PS5-22V</v>
          </cell>
          <cell r="O16859"/>
          <cell r="T16859"/>
        </row>
        <row r="16860">
          <cell r="A16860" t="str">
            <v>UBIQUITI NETWORK</v>
          </cell>
          <cell r="B16860" t="str">
            <v>RD-2G-24</v>
          </cell>
          <cell r="O16860"/>
          <cell r="T16860"/>
        </row>
        <row r="16861">
          <cell r="A16861" t="str">
            <v>UBIQUITI NETWORK</v>
          </cell>
          <cell r="B16861" t="str">
            <v>RD-3G26</v>
          </cell>
          <cell r="O16861"/>
          <cell r="T16861"/>
        </row>
        <row r="16862">
          <cell r="A16862" t="str">
            <v>UBIQUITI NETWORK</v>
          </cell>
          <cell r="B16862" t="str">
            <v>RD-5G-30</v>
          </cell>
          <cell r="O16862"/>
          <cell r="T16862"/>
        </row>
        <row r="16863">
          <cell r="A16863" t="str">
            <v>UBIQUITI NETWORK</v>
          </cell>
          <cell r="B16863" t="str">
            <v>RD-5G-34</v>
          </cell>
          <cell r="O16863"/>
          <cell r="T16863"/>
        </row>
        <row r="16864">
          <cell r="A16864" t="str">
            <v>UBIQUITI NETWORK</v>
          </cell>
          <cell r="B16864" t="str">
            <v>RD-5G30</v>
          </cell>
          <cell r="O16864"/>
          <cell r="T16864"/>
        </row>
        <row r="16865">
          <cell r="A16865" t="str">
            <v>UBIQUITI NETWORK</v>
          </cell>
          <cell r="B16865" t="str">
            <v>RD-5G30-LW</v>
          </cell>
          <cell r="O16865"/>
          <cell r="T16865"/>
        </row>
        <row r="16866">
          <cell r="A16866" t="str">
            <v>UBIQUITI NETWORK</v>
          </cell>
          <cell r="B16866" t="str">
            <v>RD-5G31-AC</v>
          </cell>
          <cell r="O16866"/>
          <cell r="T16866"/>
        </row>
        <row r="16867">
          <cell r="A16867" t="str">
            <v>UBIQUITI NETWORK</v>
          </cell>
          <cell r="B16867" t="str">
            <v>RM5-GPS</v>
          </cell>
          <cell r="O16867"/>
          <cell r="T16867"/>
        </row>
        <row r="16868">
          <cell r="A16868" t="str">
            <v>UBIQUITI NETWORK</v>
          </cell>
          <cell r="B16868" t="str">
            <v>ROCKET M5_CCIV2</v>
          </cell>
          <cell r="O16868"/>
          <cell r="T16868"/>
        </row>
        <row r="16869">
          <cell r="A16869" t="str">
            <v>UBIQUITI NETWORK</v>
          </cell>
          <cell r="B16869" t="str">
            <v>RP-5AC-Gen2</v>
          </cell>
          <cell r="O16869"/>
          <cell r="T16869"/>
        </row>
        <row r="16870">
          <cell r="A16870" t="str">
            <v>UBIQUITI NETWORK</v>
          </cell>
          <cell r="B16870" t="str">
            <v>TME-ROCKET M5</v>
          </cell>
          <cell r="O16870"/>
          <cell r="T16870"/>
        </row>
        <row r="16871">
          <cell r="A16871" t="str">
            <v>UBIQUITI NETWORK</v>
          </cell>
          <cell r="B16871" t="str">
            <v>WAVE PRO</v>
          </cell>
          <cell r="O16871"/>
          <cell r="T16871"/>
        </row>
        <row r="16872">
          <cell r="A16872" t="str">
            <v>UBIQUITI NETWORK</v>
          </cell>
          <cell r="B16872" t="str">
            <v>Wave AP</v>
          </cell>
          <cell r="O16872"/>
          <cell r="T16872"/>
        </row>
        <row r="16873">
          <cell r="A16873" t="str">
            <v>UBIQUITI NETWORK</v>
          </cell>
          <cell r="B16873" t="str">
            <v>Wave AP Micro</v>
          </cell>
          <cell r="O16873"/>
          <cell r="T16873"/>
        </row>
        <row r="16874">
          <cell r="A16874" t="str">
            <v>UBIQUITI NETWORK</v>
          </cell>
          <cell r="B16874" t="str">
            <v>Wave AP-Gen2</v>
          </cell>
          <cell r="O16874"/>
          <cell r="T16874"/>
        </row>
        <row r="16875">
          <cell r="A16875" t="str">
            <v>UBIQUITI NETWORK</v>
          </cell>
          <cell r="B16875" t="str">
            <v>airFiber 60 XG</v>
          </cell>
          <cell r="O16875"/>
          <cell r="T16875"/>
        </row>
        <row r="16876">
          <cell r="A16876" t="str">
            <v>UBIQUITI NETWORK</v>
          </cell>
          <cell r="B16876" t="str">
            <v>airFiber 60 XR</v>
          </cell>
          <cell r="O16876">
            <v>0</v>
          </cell>
          <cell r="T16876"/>
        </row>
        <row r="16877">
          <cell r="A16877" t="str">
            <v>UBIQUITI NETWORKS</v>
          </cell>
          <cell r="B16877" t="str">
            <v>AF-11</v>
          </cell>
          <cell r="O16877"/>
          <cell r="T16877"/>
        </row>
        <row r="16878">
          <cell r="A16878" t="str">
            <v>UBIQUITI NETWORKS</v>
          </cell>
          <cell r="B16878" t="str">
            <v>AF-11G35_DS</v>
          </cell>
          <cell r="O16878"/>
          <cell r="T16878"/>
        </row>
        <row r="16879">
          <cell r="A16879" t="str">
            <v>UBIQUITI NETWORKS</v>
          </cell>
          <cell r="B16879" t="str">
            <v>AF-5G34-S45</v>
          </cell>
          <cell r="O16879"/>
          <cell r="T16879"/>
        </row>
        <row r="16880">
          <cell r="A16880" t="str">
            <v>UBIQUITI NETWORKS</v>
          </cell>
          <cell r="B16880" t="str">
            <v>AF60-LR</v>
          </cell>
          <cell r="O16880"/>
          <cell r="T16880"/>
        </row>
        <row r="16881">
          <cell r="A16881" t="str">
            <v>UBIQUITI NETWORKS</v>
          </cell>
          <cell r="B16881" t="str">
            <v>AIRFIBER_AF-11FX_DS</v>
          </cell>
          <cell r="O16881"/>
          <cell r="T16881"/>
        </row>
        <row r="16882">
          <cell r="A16882" t="str">
            <v>UBIQUITI NETWORKS</v>
          </cell>
          <cell r="B16882" t="str">
            <v>AM-2G15-120</v>
          </cell>
          <cell r="O16882"/>
          <cell r="T16882"/>
        </row>
        <row r="16883">
          <cell r="A16883" t="str">
            <v>UBIQUITI NETWORKS</v>
          </cell>
          <cell r="B16883" t="str">
            <v>AM-2G16-90</v>
          </cell>
          <cell r="O16883"/>
          <cell r="T16883"/>
        </row>
        <row r="16884">
          <cell r="A16884" t="str">
            <v>UBIQUITI NETWORKS</v>
          </cell>
          <cell r="B16884" t="str">
            <v>AM-3G18-120</v>
          </cell>
          <cell r="O16884"/>
          <cell r="T16884"/>
        </row>
        <row r="16885">
          <cell r="A16885" t="str">
            <v>UBIQUITI NETWORKS</v>
          </cell>
          <cell r="B16885" t="str">
            <v>AM-5AC21-60</v>
          </cell>
          <cell r="O16885">
            <v>2.06266975308642</v>
          </cell>
          <cell r="T16885">
            <v>0.93052083012447884</v>
          </cell>
        </row>
        <row r="16886">
          <cell r="A16886" t="str">
            <v>UBIQUITI NETWORKS</v>
          </cell>
          <cell r="B16886" t="str">
            <v>AM-5AC22-45</v>
          </cell>
          <cell r="O16886"/>
          <cell r="T16886"/>
        </row>
        <row r="16887">
          <cell r="A16887" t="str">
            <v>UBIQUITI NETWORKS</v>
          </cell>
          <cell r="B16887" t="str">
            <v>AM-5G16-120</v>
          </cell>
          <cell r="O16887"/>
          <cell r="T16887"/>
        </row>
        <row r="16888">
          <cell r="A16888" t="str">
            <v>UBIQUITI NETWORKS</v>
          </cell>
          <cell r="B16888" t="str">
            <v>AM-5G17-90</v>
          </cell>
          <cell r="O16888"/>
          <cell r="T16888"/>
        </row>
        <row r="16889">
          <cell r="A16889" t="str">
            <v>UBIQUITI NETWORKS</v>
          </cell>
          <cell r="B16889" t="str">
            <v>AM-5G19-120</v>
          </cell>
          <cell r="O16889"/>
          <cell r="T16889"/>
        </row>
        <row r="16890">
          <cell r="A16890" t="str">
            <v>UBIQUITI NETWORKS</v>
          </cell>
          <cell r="B16890" t="str">
            <v>AM-5G20-90</v>
          </cell>
          <cell r="O16890"/>
          <cell r="T16890"/>
        </row>
        <row r="16891">
          <cell r="A16891" t="str">
            <v>UBIQUITI NETWORKS</v>
          </cell>
          <cell r="B16891" t="str">
            <v>AM-9M13</v>
          </cell>
          <cell r="O16891"/>
          <cell r="T16891"/>
        </row>
        <row r="16892">
          <cell r="A16892" t="str">
            <v>UBIQUITI NETWORKS</v>
          </cell>
          <cell r="B16892" t="str">
            <v>AMY-9M16</v>
          </cell>
          <cell r="O16892"/>
          <cell r="T16892"/>
        </row>
        <row r="16893">
          <cell r="A16893" t="str">
            <v>UBIQUITI NETWORKS</v>
          </cell>
          <cell r="B16893" t="str">
            <v>Airfiber AF-5XHD</v>
          </cell>
          <cell r="O16893"/>
          <cell r="T16893"/>
        </row>
        <row r="16894">
          <cell r="A16894" t="str">
            <v>UBIQUITI NETWORKS</v>
          </cell>
          <cell r="B16894" t="str">
            <v>HORN 5-30</v>
          </cell>
          <cell r="O16894"/>
          <cell r="T16894"/>
        </row>
        <row r="16895">
          <cell r="A16895" t="str">
            <v>UBIQUITI NETWORKS</v>
          </cell>
          <cell r="B16895" t="str">
            <v>HORN 5-45</v>
          </cell>
          <cell r="O16895"/>
          <cell r="T16895"/>
        </row>
        <row r="16896">
          <cell r="A16896" t="str">
            <v>UBIQUITI NETWORKS</v>
          </cell>
          <cell r="B16896" t="str">
            <v>HORN 5-60</v>
          </cell>
          <cell r="O16896"/>
          <cell r="T16896"/>
        </row>
        <row r="16897">
          <cell r="A16897" t="str">
            <v>UBIQUITI NETWORKS</v>
          </cell>
          <cell r="B16897" t="str">
            <v>HORN 5-90</v>
          </cell>
          <cell r="O16897"/>
          <cell r="T16897"/>
        </row>
        <row r="16898">
          <cell r="A16898" t="str">
            <v>UBIQUITI NETWORKS</v>
          </cell>
          <cell r="B16898" t="str">
            <v>LAP-120</v>
          </cell>
          <cell r="O16898"/>
          <cell r="T16898"/>
        </row>
        <row r="16899">
          <cell r="A16899" t="str">
            <v>UBIQUITI NETWORKS</v>
          </cell>
          <cell r="B16899" t="str">
            <v>LAP-GPS</v>
          </cell>
          <cell r="O16899"/>
          <cell r="T16899"/>
        </row>
        <row r="16900">
          <cell r="A16900" t="str">
            <v>UBIQUITI NETWORKS</v>
          </cell>
          <cell r="B16900" t="str">
            <v>LPA-GPS</v>
          </cell>
          <cell r="O16900"/>
          <cell r="T16900"/>
        </row>
        <row r="16901">
          <cell r="A16901" t="str">
            <v>UBIQUITI NETWORKS</v>
          </cell>
          <cell r="B16901" t="str">
            <v>LTU ROCKET</v>
          </cell>
          <cell r="O16901"/>
          <cell r="T16901"/>
        </row>
        <row r="16902">
          <cell r="A16902" t="str">
            <v>UBIQUITI NETWORKS</v>
          </cell>
          <cell r="B16902" t="str">
            <v>NANOBEAM</v>
          </cell>
          <cell r="O16902"/>
          <cell r="T16902"/>
        </row>
        <row r="16903">
          <cell r="A16903" t="str">
            <v>UBIQUITI NETWORKS</v>
          </cell>
          <cell r="B16903" t="str">
            <v>PBE-5AC-Gen2</v>
          </cell>
          <cell r="O16903"/>
          <cell r="T16903"/>
        </row>
        <row r="16904">
          <cell r="A16904" t="str">
            <v>UBIQUITI NETWORKS</v>
          </cell>
          <cell r="B16904" t="str">
            <v>PS-5AC</v>
          </cell>
          <cell r="O16904"/>
          <cell r="T16904"/>
        </row>
        <row r="16905">
          <cell r="A16905" t="str">
            <v>UBIQUITI NETWORKS</v>
          </cell>
          <cell r="B16905" t="str">
            <v>RD-2G24</v>
          </cell>
          <cell r="O16905"/>
          <cell r="T16905"/>
        </row>
        <row r="16906">
          <cell r="A16906" t="str">
            <v>UBIQUITI NETWORKS</v>
          </cell>
          <cell r="B16906" t="str">
            <v>RD-3G26</v>
          </cell>
          <cell r="O16906"/>
          <cell r="T16906"/>
        </row>
        <row r="16907">
          <cell r="A16907" t="str">
            <v>UBIQUITI NETWORKS</v>
          </cell>
          <cell r="B16907" t="str">
            <v>RD-5G30</v>
          </cell>
          <cell r="O16907"/>
          <cell r="T16907"/>
        </row>
        <row r="16908">
          <cell r="A16908" t="str">
            <v>UBIQUITI NETWORKS</v>
          </cell>
          <cell r="B16908" t="str">
            <v>RD-5G30-LW</v>
          </cell>
          <cell r="O16908"/>
          <cell r="T16908"/>
        </row>
        <row r="16909">
          <cell r="A16909" t="str">
            <v>UBIQUITI NETWORKS</v>
          </cell>
          <cell r="B16909" t="str">
            <v>RD-5G34</v>
          </cell>
          <cell r="O16909"/>
          <cell r="T16909"/>
        </row>
        <row r="16910">
          <cell r="A16910" t="str">
            <v>UBIQUITI NETWORKS</v>
          </cell>
          <cell r="B16910" t="str">
            <v>RP-5AC-GEN2</v>
          </cell>
          <cell r="O16910"/>
          <cell r="T16910"/>
        </row>
        <row r="16911">
          <cell r="A16911" t="str">
            <v>UBIQUITI NETWORKS</v>
          </cell>
          <cell r="B16911" t="str">
            <v>UISP_HORN</v>
          </cell>
          <cell r="O16911"/>
          <cell r="T16911"/>
        </row>
        <row r="16912">
          <cell r="A16912" t="str">
            <v>UBIQUITI NETWORKS</v>
          </cell>
          <cell r="B16912" t="str">
            <v>airFiber 60 XR</v>
          </cell>
          <cell r="O16912"/>
          <cell r="T16912"/>
        </row>
        <row r="16913">
          <cell r="A16913" t="str">
            <v>UBIQUITI NETWORKS</v>
          </cell>
          <cell r="B16913" t="str">
            <v>airMAX GigaBeam Long-Range</v>
          </cell>
          <cell r="O16913"/>
          <cell r="T16913"/>
        </row>
        <row r="16914">
          <cell r="A16914" t="str">
            <v>ULTRAK</v>
          </cell>
          <cell r="B16914" t="str">
            <v>KD6SW4N1</v>
          </cell>
          <cell r="O16914"/>
          <cell r="T16914"/>
        </row>
        <row r="16915">
          <cell r="A16915" t="str">
            <v>UNITED STATES ANTENNA PRODUCTS, INC</v>
          </cell>
          <cell r="B16915" t="str">
            <v>LP-1017</v>
          </cell>
          <cell r="O16915"/>
          <cell r="T16915"/>
        </row>
        <row r="16916">
          <cell r="A16916" t="str">
            <v>UNKNOWN</v>
          </cell>
          <cell r="B16916" t="str">
            <v>1 SOLID DISHES</v>
          </cell>
          <cell r="O16916"/>
          <cell r="T16916"/>
        </row>
        <row r="16917">
          <cell r="A16917" t="str">
            <v>UNKNOWN</v>
          </cell>
          <cell r="B16917" t="str">
            <v>1' MW DISH 38 GHZ</v>
          </cell>
          <cell r="O16917"/>
          <cell r="T16917"/>
        </row>
        <row r="16918">
          <cell r="A16918" t="str">
            <v>UNKNOWN</v>
          </cell>
          <cell r="B16918" t="str">
            <v>10 FT STD DISH</v>
          </cell>
          <cell r="O16918"/>
          <cell r="T16918"/>
        </row>
        <row r="16919">
          <cell r="A16919" t="str">
            <v>UNKNOWN</v>
          </cell>
          <cell r="B16919" t="str">
            <v>10 FT UHX DISH</v>
          </cell>
          <cell r="O16919"/>
          <cell r="T16919"/>
        </row>
        <row r="16920">
          <cell r="A16920" t="str">
            <v>UNKNOWN</v>
          </cell>
          <cell r="B16920" t="str">
            <v>10 FT WHIP</v>
          </cell>
          <cell r="O16920"/>
          <cell r="T16920"/>
        </row>
        <row r="16921">
          <cell r="A16921" t="str">
            <v>UNKNOWN</v>
          </cell>
          <cell r="B16921" t="str">
            <v>10' HP DISH</v>
          </cell>
          <cell r="O16921"/>
          <cell r="T16921"/>
        </row>
        <row r="16922">
          <cell r="A16922" t="str">
            <v>UNKNOWN</v>
          </cell>
          <cell r="B16922" t="str">
            <v>10' HP DISHES</v>
          </cell>
          <cell r="O16922"/>
          <cell r="T16922"/>
        </row>
        <row r="16923">
          <cell r="A16923" t="str">
            <v>UNKNOWN</v>
          </cell>
          <cell r="B16923" t="str">
            <v>10FT GRID DISH</v>
          </cell>
          <cell r="O16923"/>
          <cell r="T16923"/>
        </row>
        <row r="16924">
          <cell r="A16924" t="str">
            <v>UNKNOWN</v>
          </cell>
          <cell r="B16924" t="str">
            <v>10FT SOLID DISH</v>
          </cell>
          <cell r="O16924"/>
          <cell r="T16924"/>
        </row>
        <row r="16925">
          <cell r="A16925" t="str">
            <v>UNKNOWN</v>
          </cell>
          <cell r="B16925" t="str">
            <v>12 FT HP DISH</v>
          </cell>
          <cell r="O16925"/>
          <cell r="T16925"/>
        </row>
        <row r="16926">
          <cell r="A16926" t="str">
            <v>UNKNOWN</v>
          </cell>
          <cell r="B16926" t="str">
            <v>12 FT SOLID MW WITH RAD.</v>
          </cell>
          <cell r="O16926"/>
          <cell r="T16926"/>
        </row>
        <row r="16927">
          <cell r="A16927" t="str">
            <v>UNKNOWN</v>
          </cell>
          <cell r="B16927" t="str">
            <v>12'MT./W DISH</v>
          </cell>
          <cell r="O16927"/>
          <cell r="T16927"/>
        </row>
        <row r="16928">
          <cell r="A16928" t="str">
            <v>UNKNOWN</v>
          </cell>
          <cell r="B16928" t="str">
            <v>13 FT OMNI</v>
          </cell>
          <cell r="O16928"/>
          <cell r="T16928"/>
        </row>
        <row r="16929">
          <cell r="A16929" t="str">
            <v>UNKNOWN</v>
          </cell>
          <cell r="B16929" t="str">
            <v>15 FT HP</v>
          </cell>
          <cell r="O16929"/>
          <cell r="T16929"/>
        </row>
        <row r="16930">
          <cell r="A16930" t="str">
            <v>UNKNOWN</v>
          </cell>
          <cell r="B16930" t="str">
            <v>16' PLATFORM</v>
          </cell>
          <cell r="O16930"/>
          <cell r="T16930"/>
        </row>
        <row r="16931">
          <cell r="A16931" t="str">
            <v>UNKNOWN</v>
          </cell>
          <cell r="B16931" t="str">
            <v>18 FT OMNI</v>
          </cell>
          <cell r="O16931"/>
          <cell r="T16931"/>
        </row>
        <row r="16932">
          <cell r="A16932" t="str">
            <v>UNKNOWN</v>
          </cell>
          <cell r="B16932" t="str">
            <v>2 FT HP</v>
          </cell>
          <cell r="O16932"/>
          <cell r="T16932"/>
        </row>
        <row r="16933">
          <cell r="A16933" t="str">
            <v>UNKNOWN</v>
          </cell>
          <cell r="B16933" t="str">
            <v>2 FT STANDARD DISH</v>
          </cell>
          <cell r="O16933"/>
          <cell r="T16933"/>
        </row>
        <row r="16934">
          <cell r="A16934" t="str">
            <v>UNKNOWN</v>
          </cell>
          <cell r="B16934" t="str">
            <v>2 SOLID DISHES</v>
          </cell>
          <cell r="O16934"/>
          <cell r="T16934"/>
        </row>
        <row r="16935">
          <cell r="A16935" t="str">
            <v>UNKNOWN</v>
          </cell>
          <cell r="B16935" t="str">
            <v>2 WAY WHIPS</v>
          </cell>
          <cell r="O16935"/>
          <cell r="T16935"/>
        </row>
        <row r="16936">
          <cell r="A16936" t="str">
            <v>UNKNOWN</v>
          </cell>
          <cell r="B16936" t="str">
            <v>2-WAY ANTENNAS</v>
          </cell>
          <cell r="O16936"/>
          <cell r="T16936"/>
        </row>
        <row r="16937">
          <cell r="A16937" t="str">
            <v>UNKNOWN</v>
          </cell>
          <cell r="B16937" t="str">
            <v>20 FT WHIP</v>
          </cell>
          <cell r="O16937"/>
          <cell r="T16937"/>
        </row>
        <row r="16938">
          <cell r="A16938" t="str">
            <v>UNKNOWN</v>
          </cell>
          <cell r="B16938" t="str">
            <v>20' STAR MOUNT</v>
          </cell>
          <cell r="O16938"/>
          <cell r="T16938"/>
        </row>
        <row r="16939">
          <cell r="A16939" t="str">
            <v>UNKNOWN</v>
          </cell>
          <cell r="B16939" t="str">
            <v>24A48GN-4</v>
          </cell>
          <cell r="O16939"/>
          <cell r="T16939"/>
        </row>
        <row r="16940">
          <cell r="A16940" t="str">
            <v>UNKNOWN</v>
          </cell>
          <cell r="B16940" t="str">
            <v>3 BAY FM ANTENNA</v>
          </cell>
          <cell r="O16940"/>
          <cell r="T16940"/>
        </row>
        <row r="16941">
          <cell r="A16941" t="str">
            <v>UNKNOWN</v>
          </cell>
          <cell r="B16941" t="str">
            <v>3 FT DISH</v>
          </cell>
          <cell r="O16941"/>
          <cell r="T16941"/>
        </row>
        <row r="16942">
          <cell r="A16942" t="str">
            <v>UNKNOWN</v>
          </cell>
          <cell r="B16942" t="str">
            <v>3 SF EPA</v>
          </cell>
          <cell r="O16942"/>
          <cell r="T16942"/>
        </row>
        <row r="16943">
          <cell r="A16943" t="str">
            <v>UNKNOWN</v>
          </cell>
          <cell r="B16943" t="str">
            <v>3 SQ  FT. VHF ANTENNAS</v>
          </cell>
          <cell r="O16943"/>
          <cell r="T16943"/>
        </row>
        <row r="16944">
          <cell r="A16944" t="str">
            <v>UNKNOWN</v>
          </cell>
          <cell r="B16944" t="str">
            <v>3 SQ. FT ANTENNA</v>
          </cell>
          <cell r="O16944"/>
          <cell r="T16944"/>
        </row>
        <row r="16945">
          <cell r="A16945" t="str">
            <v>UNKNOWN</v>
          </cell>
          <cell r="B16945" t="str">
            <v>3 SQ. FT.  ANTENNAS</v>
          </cell>
          <cell r="O16945"/>
          <cell r="T16945"/>
        </row>
        <row r="16946">
          <cell r="A16946" t="str">
            <v>UNKNOWN</v>
          </cell>
          <cell r="B16946" t="str">
            <v>3 SQ. FT. VHF ANTENNA</v>
          </cell>
          <cell r="O16946"/>
          <cell r="T16946"/>
        </row>
        <row r="16947">
          <cell r="A16947" t="str">
            <v>UNKNOWN</v>
          </cell>
          <cell r="B16947" t="str">
            <v>3 SQ. FT. VHF ANTENNAS</v>
          </cell>
          <cell r="O16947"/>
          <cell r="T16947"/>
        </row>
        <row r="16948">
          <cell r="A16948" t="str">
            <v>UNKNOWN</v>
          </cell>
          <cell r="B16948" t="str">
            <v>3 SQUARE FOOT VHF</v>
          </cell>
          <cell r="O16948"/>
          <cell r="T16948"/>
        </row>
        <row r="16949">
          <cell r="A16949" t="str">
            <v>UNKNOWN</v>
          </cell>
          <cell r="B16949" t="str">
            <v>3 SQUARE FT</v>
          </cell>
          <cell r="O16949"/>
          <cell r="T16949"/>
        </row>
        <row r="16950">
          <cell r="A16950" t="str">
            <v>UNKNOWN</v>
          </cell>
          <cell r="B16950" t="str">
            <v>3 VHF</v>
          </cell>
          <cell r="O16950"/>
          <cell r="T16950"/>
        </row>
        <row r="16951">
          <cell r="A16951" t="str">
            <v>UNKNOWN</v>
          </cell>
          <cell r="B16951" t="str">
            <v>3' HP</v>
          </cell>
          <cell r="O16951"/>
          <cell r="T16951"/>
        </row>
        <row r="16952">
          <cell r="A16952" t="str">
            <v>UNKNOWN</v>
          </cell>
          <cell r="B16952" t="str">
            <v>3' SOLID DISH</v>
          </cell>
          <cell r="O16952"/>
          <cell r="T16952"/>
        </row>
        <row r="16953">
          <cell r="A16953" t="str">
            <v>UNKNOWN</v>
          </cell>
          <cell r="B16953" t="str">
            <v>3' TEST ARM</v>
          </cell>
          <cell r="O16953"/>
          <cell r="T16953"/>
        </row>
        <row r="16954">
          <cell r="A16954" t="str">
            <v>UNKNOWN</v>
          </cell>
          <cell r="B16954" t="str">
            <v>3' VHF</v>
          </cell>
          <cell r="O16954"/>
          <cell r="T16954"/>
        </row>
        <row r="16955">
          <cell r="A16955" t="str">
            <v>UNKNOWN</v>
          </cell>
          <cell r="B16955" t="str">
            <v>4 DISHES/ W RADOME</v>
          </cell>
          <cell r="O16955"/>
          <cell r="T16955"/>
        </row>
        <row r="16956">
          <cell r="A16956" t="str">
            <v>UNKNOWN</v>
          </cell>
          <cell r="B16956" t="str">
            <v>4 FT</v>
          </cell>
          <cell r="O16956"/>
          <cell r="T16956"/>
        </row>
        <row r="16957">
          <cell r="A16957" t="str">
            <v>UNKNOWN</v>
          </cell>
          <cell r="B16957" t="str">
            <v>4 FT HP DISH</v>
          </cell>
          <cell r="O16957"/>
          <cell r="T16957"/>
        </row>
        <row r="16958">
          <cell r="A16958" t="str">
            <v>UNKNOWN</v>
          </cell>
          <cell r="B16958" t="str">
            <v>4 FT HP MICROWAVE</v>
          </cell>
          <cell r="O16958"/>
          <cell r="T16958"/>
        </row>
        <row r="16959">
          <cell r="A16959" t="str">
            <v>UNKNOWN</v>
          </cell>
          <cell r="B16959" t="str">
            <v>4 FT MICROWAVE</v>
          </cell>
          <cell r="O16959"/>
          <cell r="T16959"/>
        </row>
        <row r="16960">
          <cell r="A16960" t="str">
            <v>UNKNOWN</v>
          </cell>
          <cell r="B16960" t="str">
            <v>4 FT MICROWAVE DISH</v>
          </cell>
          <cell r="O16960"/>
          <cell r="T16960"/>
        </row>
        <row r="16961">
          <cell r="A16961" t="str">
            <v>UNKNOWN</v>
          </cell>
          <cell r="B16961" t="str">
            <v>4 FT PANEL ANTENNA</v>
          </cell>
          <cell r="O16961"/>
          <cell r="T16961"/>
        </row>
        <row r="16962">
          <cell r="A16962" t="str">
            <v>UNKNOWN</v>
          </cell>
          <cell r="B16962" t="str">
            <v>4 FT SOLID DISH</v>
          </cell>
          <cell r="O16962"/>
          <cell r="T16962"/>
        </row>
        <row r="16963">
          <cell r="A16963" t="str">
            <v>UNKNOWN</v>
          </cell>
          <cell r="B16963" t="str">
            <v>4 FT STANDARD DISH</v>
          </cell>
          <cell r="O16963"/>
          <cell r="T16963"/>
        </row>
        <row r="16964">
          <cell r="A16964" t="str">
            <v>UNKNOWN</v>
          </cell>
          <cell r="B16964" t="str">
            <v>4 FT WHIP</v>
          </cell>
          <cell r="O16964"/>
          <cell r="T16964"/>
        </row>
        <row r="16965">
          <cell r="A16965" t="str">
            <v>UNKNOWN</v>
          </cell>
          <cell r="B16965" t="str">
            <v>4 SOLID DISHES</v>
          </cell>
          <cell r="O16965"/>
          <cell r="T16965"/>
        </row>
        <row r="16966">
          <cell r="A16966" t="str">
            <v>UNKNOWN</v>
          </cell>
          <cell r="B16966" t="str">
            <v>4' GRID DISH</v>
          </cell>
          <cell r="O16966"/>
          <cell r="T16966"/>
        </row>
        <row r="16967">
          <cell r="A16967" t="str">
            <v>UNKNOWN</v>
          </cell>
          <cell r="B16967" t="str">
            <v>4' HPM W/DISH</v>
          </cell>
          <cell r="O16967"/>
          <cell r="T16967"/>
        </row>
        <row r="16968">
          <cell r="A16968" t="str">
            <v>UNKNOWN</v>
          </cell>
          <cell r="B16968" t="str">
            <v>4' MW-DISH</v>
          </cell>
          <cell r="O16968"/>
          <cell r="T16968"/>
        </row>
        <row r="16969">
          <cell r="A16969" t="str">
            <v>UNKNOWN</v>
          </cell>
          <cell r="B16969" t="str">
            <v>4' STD DISH</v>
          </cell>
          <cell r="O16969"/>
          <cell r="T16969"/>
        </row>
        <row r="16970">
          <cell r="A16970" t="str">
            <v>UNKNOWN</v>
          </cell>
          <cell r="B16970" t="str">
            <v>4'-OMNI</v>
          </cell>
          <cell r="O16970"/>
          <cell r="T16970"/>
        </row>
        <row r="16971">
          <cell r="A16971" t="str">
            <v>UNKNOWN</v>
          </cell>
          <cell r="B16971" t="str">
            <v>4-BAY FM</v>
          </cell>
          <cell r="O16971"/>
          <cell r="T16971"/>
        </row>
        <row r="16972">
          <cell r="A16972" t="str">
            <v>UNKNOWN</v>
          </cell>
          <cell r="B16972" t="str">
            <v>43 IN X 6.5 IN X 8 IN PANEL</v>
          </cell>
          <cell r="O16972"/>
          <cell r="T16972"/>
        </row>
        <row r="16973">
          <cell r="A16973" t="str">
            <v>UNKNOWN</v>
          </cell>
          <cell r="B16973" t="str">
            <v>4875</v>
          </cell>
          <cell r="O16973"/>
          <cell r="T16973"/>
        </row>
        <row r="16974">
          <cell r="A16974" t="str">
            <v>UNKNOWN</v>
          </cell>
          <cell r="B16974" t="str">
            <v>49367</v>
          </cell>
          <cell r="O16974"/>
          <cell r="T16974"/>
        </row>
        <row r="16975">
          <cell r="A16975" t="str">
            <v>UNKNOWN</v>
          </cell>
          <cell r="B16975" t="str">
            <v>4FT.MICRO DISH</v>
          </cell>
          <cell r="O16975"/>
          <cell r="T16975"/>
        </row>
        <row r="16976">
          <cell r="A16976" t="str">
            <v>UNKNOWN</v>
          </cell>
          <cell r="B16976" t="str">
            <v>4FTX1FTX.67FT</v>
          </cell>
          <cell r="O16976"/>
          <cell r="T16976"/>
        </row>
        <row r="16977">
          <cell r="A16977" t="str">
            <v>UNKNOWN</v>
          </cell>
          <cell r="B16977" t="str">
            <v>5 FT WHIP</v>
          </cell>
          <cell r="O16977"/>
          <cell r="T16977"/>
        </row>
        <row r="16978">
          <cell r="A16978" t="str">
            <v>UNKNOWN</v>
          </cell>
          <cell r="B16978" t="str">
            <v>5 SQFT PANEL</v>
          </cell>
          <cell r="O16978"/>
          <cell r="T16978"/>
        </row>
        <row r="16979">
          <cell r="A16979" t="str">
            <v>UNKNOWN</v>
          </cell>
          <cell r="B16979" t="str">
            <v>5' DISH</v>
          </cell>
          <cell r="O16979"/>
          <cell r="T16979"/>
        </row>
        <row r="16980">
          <cell r="A16980" t="str">
            <v>UNKNOWN</v>
          </cell>
          <cell r="B16980" t="str">
            <v>5.5 SQFT PANEL</v>
          </cell>
          <cell r="O16980"/>
          <cell r="T16980"/>
        </row>
        <row r="16981">
          <cell r="A16981" t="str">
            <v>UNKNOWN</v>
          </cell>
          <cell r="B16981" t="str">
            <v>52" X 11.4"</v>
          </cell>
          <cell r="O16981"/>
          <cell r="T16981"/>
        </row>
        <row r="16982">
          <cell r="A16982" t="str">
            <v>UNKNOWN</v>
          </cell>
          <cell r="B16982" t="str">
            <v>52" X 4" - PANEL</v>
          </cell>
          <cell r="O16982"/>
          <cell r="T16982"/>
        </row>
        <row r="16983">
          <cell r="A16983" t="str">
            <v>UNKNOWN</v>
          </cell>
          <cell r="B16983" t="str">
            <v>52" X 42"</v>
          </cell>
          <cell r="O16983"/>
          <cell r="T16983"/>
        </row>
        <row r="16984">
          <cell r="A16984" t="str">
            <v>UNKNOWN</v>
          </cell>
          <cell r="B16984" t="str">
            <v>52" X 8" - PANEL</v>
          </cell>
          <cell r="O16984"/>
          <cell r="T16984"/>
        </row>
        <row r="16985">
          <cell r="A16985" t="str">
            <v>UNKNOWN</v>
          </cell>
          <cell r="B16985" t="str">
            <v>56" X 8"</v>
          </cell>
          <cell r="O16985"/>
          <cell r="T16985"/>
        </row>
        <row r="16986">
          <cell r="A16986" t="str">
            <v>UNKNOWN</v>
          </cell>
          <cell r="B16986" t="str">
            <v>6 BAY LP FM</v>
          </cell>
          <cell r="O16986"/>
          <cell r="T16986"/>
        </row>
        <row r="16987">
          <cell r="A16987" t="str">
            <v>UNKNOWN</v>
          </cell>
          <cell r="B16987" t="str">
            <v>6 DISH W/RADOME</v>
          </cell>
          <cell r="O16987"/>
          <cell r="T16987"/>
        </row>
        <row r="16988">
          <cell r="A16988" t="str">
            <v>UNKNOWN</v>
          </cell>
          <cell r="B16988" t="str">
            <v>6 DISHES</v>
          </cell>
          <cell r="O16988"/>
          <cell r="T16988"/>
        </row>
        <row r="16989">
          <cell r="A16989" t="str">
            <v>UNKNOWN</v>
          </cell>
          <cell r="B16989" t="str">
            <v>6 FT GRID DISH</v>
          </cell>
          <cell r="O16989"/>
          <cell r="T16989"/>
        </row>
        <row r="16990">
          <cell r="A16990" t="str">
            <v>UNKNOWN</v>
          </cell>
          <cell r="B16990" t="str">
            <v>6 FT HP DISH</v>
          </cell>
          <cell r="O16990"/>
          <cell r="T16990"/>
        </row>
        <row r="16991">
          <cell r="A16991" t="str">
            <v>UNKNOWN</v>
          </cell>
          <cell r="B16991" t="str">
            <v>6 FT HP MW - 6 GHZ - DISH</v>
          </cell>
          <cell r="O16991"/>
          <cell r="T16991"/>
        </row>
        <row r="16992">
          <cell r="A16992" t="str">
            <v>UNKNOWN</v>
          </cell>
          <cell r="B16992" t="str">
            <v>6 FT HP MW - 6 GHZ -DISH</v>
          </cell>
          <cell r="O16992"/>
          <cell r="T16992"/>
        </row>
        <row r="16993">
          <cell r="A16993" t="str">
            <v>UNKNOWN</v>
          </cell>
          <cell r="B16993" t="str">
            <v>6 FT PANEL</v>
          </cell>
          <cell r="O16993"/>
          <cell r="T16993"/>
        </row>
        <row r="16994">
          <cell r="A16994" t="str">
            <v>UNKNOWN</v>
          </cell>
          <cell r="B16994" t="str">
            <v>6 FT SOLID DISH</v>
          </cell>
          <cell r="O16994"/>
          <cell r="T16994"/>
        </row>
        <row r="16995">
          <cell r="A16995" t="str">
            <v>UNKNOWN</v>
          </cell>
          <cell r="B16995" t="str">
            <v>6 FT STD DISH</v>
          </cell>
          <cell r="O16995"/>
          <cell r="T16995"/>
        </row>
        <row r="16996">
          <cell r="A16996" t="str">
            <v>UNKNOWN</v>
          </cell>
          <cell r="B16996" t="str">
            <v>6 FT STD MICROWAVE</v>
          </cell>
          <cell r="O16996"/>
          <cell r="T16996"/>
        </row>
        <row r="16997">
          <cell r="A16997" t="str">
            <v>UNKNOWN</v>
          </cell>
          <cell r="B16997" t="str">
            <v>6 GRID DISH</v>
          </cell>
          <cell r="O16997"/>
          <cell r="T16997"/>
        </row>
        <row r="16998">
          <cell r="A16998" t="str">
            <v>UNKNOWN</v>
          </cell>
          <cell r="B16998" t="str">
            <v>6 SOLID DISHES</v>
          </cell>
          <cell r="O16998"/>
          <cell r="T16998"/>
        </row>
        <row r="16999">
          <cell r="A16999" t="str">
            <v>UNKNOWN</v>
          </cell>
          <cell r="B16999" t="str">
            <v>6' 10GHZ DISH</v>
          </cell>
          <cell r="O16999"/>
          <cell r="T16999"/>
        </row>
        <row r="17000">
          <cell r="A17000" t="str">
            <v>UNKNOWN</v>
          </cell>
          <cell r="B17000" t="str">
            <v>6' 11 GHZ DISH</v>
          </cell>
          <cell r="O17000"/>
          <cell r="T17000"/>
        </row>
        <row r="17001">
          <cell r="A17001" t="str">
            <v>UNKNOWN</v>
          </cell>
          <cell r="B17001" t="str">
            <v>6' DIA DISH</v>
          </cell>
          <cell r="O17001"/>
          <cell r="T17001"/>
        </row>
        <row r="17002">
          <cell r="A17002" t="str">
            <v>UNKNOWN</v>
          </cell>
          <cell r="B17002" t="str">
            <v>6' DIA STD DISH</v>
          </cell>
          <cell r="O17002"/>
          <cell r="T17002"/>
        </row>
        <row r="17003">
          <cell r="A17003" t="str">
            <v>UNKNOWN</v>
          </cell>
          <cell r="B17003" t="str">
            <v>6' DIA. GRIDS</v>
          </cell>
          <cell r="O17003"/>
          <cell r="T17003"/>
        </row>
        <row r="17004">
          <cell r="A17004" t="str">
            <v>UNKNOWN</v>
          </cell>
          <cell r="B17004" t="str">
            <v>6' DISH</v>
          </cell>
          <cell r="O17004"/>
          <cell r="T17004"/>
        </row>
        <row r="17005">
          <cell r="A17005" t="str">
            <v>UNKNOWN</v>
          </cell>
          <cell r="B17005" t="str">
            <v>6' GRID</v>
          </cell>
          <cell r="O17005"/>
          <cell r="T17005"/>
        </row>
        <row r="17006">
          <cell r="A17006" t="str">
            <v>UNKNOWN</v>
          </cell>
          <cell r="B17006" t="str">
            <v>6' GRID DISH</v>
          </cell>
          <cell r="O17006"/>
          <cell r="T17006"/>
        </row>
        <row r="17007">
          <cell r="A17007" t="str">
            <v>UNKNOWN</v>
          </cell>
          <cell r="B17007" t="str">
            <v>6' GRID DISHES</v>
          </cell>
          <cell r="O17007"/>
          <cell r="T17007"/>
        </row>
        <row r="17008">
          <cell r="A17008" t="str">
            <v>UNKNOWN</v>
          </cell>
          <cell r="B17008" t="str">
            <v>6' GRID MW</v>
          </cell>
          <cell r="O17008"/>
          <cell r="T17008"/>
        </row>
        <row r="17009">
          <cell r="A17009" t="str">
            <v>UNKNOWN</v>
          </cell>
          <cell r="B17009" t="str">
            <v>6' HP DISH</v>
          </cell>
          <cell r="O17009"/>
          <cell r="T17009"/>
        </row>
        <row r="17010">
          <cell r="A17010" t="str">
            <v>UNKNOWN</v>
          </cell>
          <cell r="B17010" t="str">
            <v>6' HP MW</v>
          </cell>
          <cell r="O17010"/>
          <cell r="T17010"/>
        </row>
        <row r="17011">
          <cell r="A17011" t="str">
            <v>UNKNOWN</v>
          </cell>
          <cell r="B17011" t="str">
            <v>6' MHP DISH</v>
          </cell>
          <cell r="O17011"/>
          <cell r="T17011"/>
        </row>
        <row r="17012">
          <cell r="A17012" t="str">
            <v>UNKNOWN</v>
          </cell>
          <cell r="B17012" t="str">
            <v>6' MW-DISH</v>
          </cell>
          <cell r="O17012"/>
          <cell r="T17012"/>
        </row>
        <row r="17013">
          <cell r="A17013" t="str">
            <v>UNKNOWN</v>
          </cell>
          <cell r="B17013" t="str">
            <v>6' OMNI</v>
          </cell>
          <cell r="O17013"/>
          <cell r="T17013"/>
        </row>
        <row r="17014">
          <cell r="A17014" t="str">
            <v>UNKNOWN</v>
          </cell>
          <cell r="B17014" t="str">
            <v>6' STD DISHES</v>
          </cell>
          <cell r="O17014"/>
          <cell r="T17014"/>
        </row>
        <row r="17015">
          <cell r="A17015" t="str">
            <v>UNKNOWN</v>
          </cell>
          <cell r="B17015" t="str">
            <v>6' STD MICROWAVE</v>
          </cell>
          <cell r="O17015"/>
          <cell r="T17015"/>
        </row>
        <row r="17016">
          <cell r="A17016" t="str">
            <v>UNKNOWN</v>
          </cell>
          <cell r="B17016" t="str">
            <v>6'STD.RADONE DSH</v>
          </cell>
          <cell r="O17016"/>
          <cell r="T17016"/>
        </row>
        <row r="17017">
          <cell r="A17017" t="str">
            <v>UNKNOWN</v>
          </cell>
          <cell r="B17017" t="str">
            <v>66.2" XX 8.5"</v>
          </cell>
          <cell r="O17017"/>
          <cell r="T17017"/>
        </row>
        <row r="17018">
          <cell r="A17018" t="str">
            <v>UNKNOWN</v>
          </cell>
          <cell r="B17018" t="str">
            <v>6FT DISH</v>
          </cell>
          <cell r="O17018"/>
          <cell r="T17018"/>
        </row>
        <row r="17019">
          <cell r="A17019" t="str">
            <v>UNKNOWN</v>
          </cell>
          <cell r="B17019" t="str">
            <v>6FT GRID DISH</v>
          </cell>
          <cell r="O17019"/>
          <cell r="T17019"/>
        </row>
        <row r="17020">
          <cell r="A17020" t="str">
            <v>UNKNOWN</v>
          </cell>
          <cell r="B17020" t="str">
            <v>6FT. MICRO DISH</v>
          </cell>
          <cell r="O17020"/>
          <cell r="T17020"/>
        </row>
        <row r="17021">
          <cell r="A17021" t="str">
            <v>UNKNOWN</v>
          </cell>
          <cell r="B17021" t="str">
            <v>8 FT</v>
          </cell>
          <cell r="O17021"/>
          <cell r="T17021"/>
        </row>
        <row r="17022">
          <cell r="A17022" t="str">
            <v>UNKNOWN</v>
          </cell>
          <cell r="B17022" t="str">
            <v>8 FT &amp; 10 FT DISHES</v>
          </cell>
          <cell r="O17022"/>
          <cell r="T17022"/>
        </row>
        <row r="17023">
          <cell r="A17023" t="str">
            <v>UNKNOWN</v>
          </cell>
          <cell r="B17023" t="str">
            <v>8 FT GRID DISH</v>
          </cell>
          <cell r="O17023"/>
          <cell r="T17023"/>
        </row>
        <row r="17024">
          <cell r="A17024" t="str">
            <v>UNKNOWN</v>
          </cell>
          <cell r="B17024" t="str">
            <v>8 FT M/W DISH</v>
          </cell>
          <cell r="O17024"/>
          <cell r="T17024"/>
        </row>
        <row r="17025">
          <cell r="A17025" t="str">
            <v>UNKNOWN</v>
          </cell>
          <cell r="B17025" t="str">
            <v>8 FT MHP DISH</v>
          </cell>
          <cell r="O17025"/>
          <cell r="T17025"/>
        </row>
        <row r="17026">
          <cell r="A17026" t="str">
            <v>UNKNOWN</v>
          </cell>
          <cell r="B17026" t="str">
            <v>8 FT STD DISH</v>
          </cell>
          <cell r="O17026"/>
          <cell r="T17026"/>
        </row>
        <row r="17027">
          <cell r="A17027" t="str">
            <v>UNKNOWN</v>
          </cell>
          <cell r="B17027" t="str">
            <v>8 FT STD DISH W/RADOMES</v>
          </cell>
          <cell r="O17027"/>
          <cell r="T17027"/>
        </row>
        <row r="17028">
          <cell r="A17028" t="str">
            <v>UNKNOWN</v>
          </cell>
          <cell r="B17028" t="str">
            <v>8 FT WHIP</v>
          </cell>
          <cell r="O17028"/>
          <cell r="T17028"/>
        </row>
        <row r="17029">
          <cell r="A17029" t="str">
            <v>UNKNOWN</v>
          </cell>
          <cell r="B17029" t="str">
            <v>8 GRIDS</v>
          </cell>
          <cell r="O17029"/>
          <cell r="T17029"/>
        </row>
        <row r="17030">
          <cell r="A17030" t="str">
            <v>UNKNOWN</v>
          </cell>
          <cell r="B17030" t="str">
            <v>8 H.P. DISHES</v>
          </cell>
          <cell r="O17030"/>
          <cell r="T17030"/>
        </row>
        <row r="17031">
          <cell r="A17031" t="str">
            <v>UNKNOWN</v>
          </cell>
          <cell r="B17031" t="str">
            <v>8 HP DISH</v>
          </cell>
          <cell r="O17031"/>
          <cell r="T17031"/>
        </row>
        <row r="17032">
          <cell r="A17032" t="str">
            <v>UNKNOWN</v>
          </cell>
          <cell r="B17032" t="str">
            <v>8 HP DISHES</v>
          </cell>
          <cell r="O17032"/>
          <cell r="T17032"/>
        </row>
        <row r="17033">
          <cell r="A17033" t="str">
            <v>UNKNOWN</v>
          </cell>
          <cell r="B17033" t="str">
            <v>8 SOLID DISHES RADOME</v>
          </cell>
          <cell r="O17033"/>
          <cell r="T17033"/>
        </row>
        <row r="17034">
          <cell r="A17034" t="str">
            <v>UNKNOWN</v>
          </cell>
          <cell r="B17034" t="str">
            <v>8' DISH W/RADOME</v>
          </cell>
          <cell r="O17034"/>
          <cell r="T17034"/>
        </row>
        <row r="17035">
          <cell r="A17035" t="str">
            <v>UNKNOWN</v>
          </cell>
          <cell r="B17035" t="str">
            <v>8' H.P. DISHES</v>
          </cell>
          <cell r="O17035"/>
          <cell r="T17035"/>
        </row>
        <row r="17036">
          <cell r="A17036" t="str">
            <v>UNKNOWN</v>
          </cell>
          <cell r="B17036" t="str">
            <v>8' HP DISH</v>
          </cell>
          <cell r="O17036"/>
          <cell r="T17036"/>
        </row>
        <row r="17037">
          <cell r="A17037" t="str">
            <v>UNKNOWN</v>
          </cell>
          <cell r="B17037" t="str">
            <v>8' HP DISHES</v>
          </cell>
          <cell r="O17037"/>
          <cell r="T17037"/>
        </row>
        <row r="17038">
          <cell r="A17038" t="str">
            <v>UNKNOWN</v>
          </cell>
          <cell r="B17038" t="str">
            <v>8' SLD DISH/RADO</v>
          </cell>
          <cell r="O17038"/>
          <cell r="T17038"/>
        </row>
        <row r="17039">
          <cell r="A17039" t="str">
            <v>UNKNOWN</v>
          </cell>
          <cell r="B17039" t="str">
            <v>8' STD DISH</v>
          </cell>
          <cell r="O17039"/>
          <cell r="T17039"/>
        </row>
        <row r="17040">
          <cell r="A17040" t="str">
            <v>UNKNOWN</v>
          </cell>
          <cell r="B17040" t="str">
            <v>8' STD. DISHES</v>
          </cell>
          <cell r="O17040"/>
          <cell r="T17040"/>
        </row>
        <row r="17041">
          <cell r="A17041" t="str">
            <v>UNKNOWN</v>
          </cell>
          <cell r="B17041" t="str">
            <v>80010</v>
          </cell>
          <cell r="O17041"/>
          <cell r="T17041"/>
        </row>
        <row r="17042">
          <cell r="A17042" t="str">
            <v>UNKNOWN</v>
          </cell>
          <cell r="B17042" t="str">
            <v>809282O248_2</v>
          </cell>
          <cell r="O17042"/>
          <cell r="T17042"/>
        </row>
        <row r="17043">
          <cell r="A17043" t="str">
            <v>UNKNOWN</v>
          </cell>
          <cell r="B17043" t="str">
            <v>809282P248_12</v>
          </cell>
          <cell r="O17043"/>
          <cell r="T17043"/>
        </row>
        <row r="17044">
          <cell r="A17044" t="str">
            <v>UNKNOWN</v>
          </cell>
          <cell r="B17044" t="str">
            <v>809406P249_12</v>
          </cell>
          <cell r="O17044"/>
          <cell r="T17044"/>
        </row>
        <row r="17045">
          <cell r="A17045" t="str">
            <v>UNKNOWN</v>
          </cell>
          <cell r="B17045" t="str">
            <v>8FT GRID DISH</v>
          </cell>
          <cell r="O17045"/>
          <cell r="T17045"/>
        </row>
        <row r="17046">
          <cell r="A17046" t="str">
            <v>UNKNOWN</v>
          </cell>
          <cell r="B17046" t="str">
            <v>8FT SOLID DISH</v>
          </cell>
          <cell r="O17046"/>
          <cell r="T17046"/>
        </row>
        <row r="17047">
          <cell r="A17047" t="str">
            <v>UNKNOWN</v>
          </cell>
          <cell r="B17047" t="str">
            <v>8FT. DIA. GRID</v>
          </cell>
          <cell r="O17047"/>
          <cell r="T17047"/>
        </row>
        <row r="17048">
          <cell r="A17048" t="str">
            <v>UNKNOWN</v>
          </cell>
          <cell r="B17048" t="str">
            <v>8FT. HP ANTENNA</v>
          </cell>
          <cell r="O17048"/>
          <cell r="T17048"/>
        </row>
        <row r="17049">
          <cell r="A17049" t="str">
            <v>UNKNOWN</v>
          </cell>
          <cell r="B17049" t="str">
            <v>8FT.MHP DISH</v>
          </cell>
          <cell r="O17049"/>
          <cell r="T17049"/>
        </row>
        <row r="17050">
          <cell r="A17050" t="str">
            <v>UNKNOWN</v>
          </cell>
          <cell r="B17050" t="str">
            <v>8FT.STD. DISH</v>
          </cell>
          <cell r="O17050"/>
          <cell r="T17050"/>
        </row>
        <row r="17051">
          <cell r="A17051" t="str">
            <v>UNKNOWN</v>
          </cell>
          <cell r="B17051" t="str">
            <v>90-12-00NA</v>
          </cell>
          <cell r="O17051"/>
          <cell r="T17051"/>
        </row>
        <row r="17052">
          <cell r="A17052" t="str">
            <v>UNKNOWN</v>
          </cell>
          <cell r="B17052" t="str">
            <v>9212</v>
          </cell>
          <cell r="O17052"/>
          <cell r="T17052"/>
        </row>
        <row r="17053">
          <cell r="A17053" t="str">
            <v>UNKNOWN</v>
          </cell>
          <cell r="B17053" t="str">
            <v>A8P952</v>
          </cell>
          <cell r="O17053"/>
          <cell r="T17053"/>
        </row>
        <row r="17054">
          <cell r="A17054" t="str">
            <v>UNKNOWN</v>
          </cell>
          <cell r="B17054" t="str">
            <v>A8P977</v>
          </cell>
          <cell r="O17054"/>
          <cell r="T17054"/>
        </row>
        <row r="17055">
          <cell r="A17055" t="str">
            <v>UNKNOWN</v>
          </cell>
          <cell r="B17055" t="str">
            <v>ACP6014</v>
          </cell>
          <cell r="O17055"/>
          <cell r="T17055"/>
        </row>
        <row r="17056">
          <cell r="A17056" t="str">
            <v>UNKNOWN</v>
          </cell>
          <cell r="B17056" t="str">
            <v>ALLGONPANELS6X74</v>
          </cell>
          <cell r="O17056"/>
          <cell r="T17056"/>
        </row>
        <row r="17057">
          <cell r="A17057" t="str">
            <v>UNKNOWN</v>
          </cell>
          <cell r="B17057" t="str">
            <v>ALP5016</v>
          </cell>
          <cell r="O17057"/>
          <cell r="T17057"/>
        </row>
        <row r="17058">
          <cell r="A17058" t="str">
            <v>UNKNOWN</v>
          </cell>
          <cell r="B17058" t="str">
            <v>ALP6017</v>
          </cell>
          <cell r="O17058"/>
          <cell r="T17058"/>
        </row>
        <row r="17059">
          <cell r="A17059" t="str">
            <v>UNKNOWN</v>
          </cell>
          <cell r="B17059" t="str">
            <v>ALP6017N</v>
          </cell>
          <cell r="O17059"/>
          <cell r="T17059"/>
        </row>
        <row r="17060">
          <cell r="A17060" t="str">
            <v>UNKNOWN</v>
          </cell>
          <cell r="B17060" t="str">
            <v>ALP9210</v>
          </cell>
          <cell r="O17060"/>
          <cell r="T17060"/>
        </row>
        <row r="17061">
          <cell r="A17061" t="str">
            <v>UNKNOWN</v>
          </cell>
          <cell r="B17061" t="str">
            <v>ALP9211</v>
          </cell>
          <cell r="O17061"/>
          <cell r="T17061"/>
        </row>
        <row r="17062">
          <cell r="A17062" t="str">
            <v>UNKNOWN</v>
          </cell>
          <cell r="B17062" t="str">
            <v>AMP</v>
          </cell>
          <cell r="O17062"/>
          <cell r="T17062"/>
        </row>
        <row r="17063">
          <cell r="A17063" t="str">
            <v>UNKNOWN</v>
          </cell>
          <cell r="B17063" t="str">
            <v>AMPS</v>
          </cell>
          <cell r="O17063"/>
          <cell r="T17063"/>
        </row>
        <row r="17064">
          <cell r="A17064" t="str">
            <v>UNKNOWN</v>
          </cell>
          <cell r="B17064" t="str">
            <v>ANTEL 80014</v>
          </cell>
          <cell r="O17064"/>
          <cell r="T17064"/>
        </row>
        <row r="17065">
          <cell r="A17065" t="str">
            <v>UNKNOWN</v>
          </cell>
          <cell r="B17065" t="str">
            <v>AP-901011-7</v>
          </cell>
          <cell r="O17065"/>
          <cell r="T17065"/>
        </row>
        <row r="17066">
          <cell r="A17066" t="str">
            <v>UNKNOWN</v>
          </cell>
          <cell r="B17066" t="str">
            <v>AP17-1900/090</v>
          </cell>
          <cell r="O17066"/>
          <cell r="T17066"/>
        </row>
        <row r="17067">
          <cell r="A17067" t="str">
            <v>UNKNOWN</v>
          </cell>
          <cell r="B17067" t="str">
            <v>AP86-1101</v>
          </cell>
          <cell r="O17067"/>
          <cell r="T17067"/>
        </row>
        <row r="17068">
          <cell r="A17068" t="str">
            <v>UNKNOWN</v>
          </cell>
          <cell r="B17068" t="str">
            <v>BETWEEN PLATFORM</v>
          </cell>
          <cell r="O17068"/>
          <cell r="T17068"/>
        </row>
        <row r="17069">
          <cell r="A17069" t="str">
            <v>UNKNOWN</v>
          </cell>
          <cell r="B17069" t="str">
            <v>BMRICH ANT.</v>
          </cell>
          <cell r="O17069"/>
          <cell r="T17069"/>
        </row>
        <row r="17070">
          <cell r="A17070" t="str">
            <v>UNKNOWN</v>
          </cell>
          <cell r="B17070" t="str">
            <v>BWR-10</v>
          </cell>
          <cell r="O17070"/>
          <cell r="T17070"/>
        </row>
        <row r="17071">
          <cell r="A17071" t="str">
            <v>UNKNOWN</v>
          </cell>
          <cell r="B17071" t="str">
            <v>CANNISTERS</v>
          </cell>
          <cell r="O17071"/>
          <cell r="T17071"/>
        </row>
        <row r="17072">
          <cell r="A17072" t="str">
            <v>UNKNOWN</v>
          </cell>
          <cell r="B17072" t="str">
            <v>CB3788H105</v>
          </cell>
          <cell r="O17072"/>
          <cell r="T17072"/>
        </row>
        <row r="17073">
          <cell r="A17073" t="str">
            <v>UNKNOWN</v>
          </cell>
          <cell r="B17073" t="str">
            <v>CELLPLUS ANTENNA</v>
          </cell>
          <cell r="O17073"/>
          <cell r="T17073"/>
        </row>
        <row r="17074">
          <cell r="A17074" t="str">
            <v>UNKNOWN</v>
          </cell>
          <cell r="B17074" t="str">
            <v>CELLULAR</v>
          </cell>
          <cell r="O17074"/>
          <cell r="T17074"/>
        </row>
        <row r="17075">
          <cell r="A17075" t="str">
            <v>UNKNOWN</v>
          </cell>
          <cell r="B17075" t="str">
            <v>CELLULAR ANTENNA</v>
          </cell>
          <cell r="O17075"/>
          <cell r="T17075"/>
        </row>
        <row r="17076">
          <cell r="A17076" t="str">
            <v>UNKNOWN</v>
          </cell>
          <cell r="B17076" t="str">
            <v>CELLULAR OMNI</v>
          </cell>
          <cell r="O17076"/>
          <cell r="T17076"/>
        </row>
        <row r="17077">
          <cell r="A17077" t="str">
            <v>UNKNOWN</v>
          </cell>
          <cell r="B17077" t="str">
            <v>CELLULAR PANEL</v>
          </cell>
          <cell r="O17077"/>
          <cell r="T17077"/>
        </row>
        <row r="17078">
          <cell r="A17078" t="str">
            <v>UNKNOWN</v>
          </cell>
          <cell r="B17078" t="str">
            <v>CELLULAR PLATFOR</v>
          </cell>
          <cell r="O17078"/>
          <cell r="T17078"/>
        </row>
        <row r="17079">
          <cell r="A17079" t="str">
            <v>UNKNOWN</v>
          </cell>
          <cell r="B17079" t="str">
            <v>CETEC JSCP</v>
          </cell>
          <cell r="O17079"/>
          <cell r="T17079"/>
        </row>
        <row r="17080">
          <cell r="A17080" t="str">
            <v>UNKNOWN</v>
          </cell>
          <cell r="B17080" t="str">
            <v>CO-41A</v>
          </cell>
          <cell r="O17080"/>
          <cell r="T17080"/>
        </row>
        <row r="17081">
          <cell r="A17081" t="str">
            <v>UNKNOWN</v>
          </cell>
          <cell r="B17081" t="str">
            <v>COBRA ARMS</v>
          </cell>
          <cell r="O17081"/>
          <cell r="T17081"/>
        </row>
        <row r="17082">
          <cell r="A17082" t="str">
            <v>UNKNOWN</v>
          </cell>
          <cell r="B17082" t="str">
            <v>COMBO CURVED ARMS</v>
          </cell>
          <cell r="O17082"/>
          <cell r="T17082"/>
        </row>
        <row r="17083">
          <cell r="A17083" t="str">
            <v>UNKNOWN</v>
          </cell>
          <cell r="B17083" t="str">
            <v>CRA-825D17</v>
          </cell>
          <cell r="O17083"/>
          <cell r="T17083"/>
        </row>
        <row r="17084">
          <cell r="A17084" t="str">
            <v>UNKNOWN</v>
          </cell>
          <cell r="B17084" t="str">
            <v>CRA-870M10</v>
          </cell>
          <cell r="O17084"/>
          <cell r="T17084"/>
        </row>
        <row r="17085">
          <cell r="A17085" t="str">
            <v>UNKNOWN</v>
          </cell>
          <cell r="B17085" t="str">
            <v>CTY 9010-N</v>
          </cell>
          <cell r="O17085"/>
          <cell r="T17085"/>
        </row>
        <row r="17086">
          <cell r="A17086" t="str">
            <v>UNKNOWN</v>
          </cell>
          <cell r="B17086" t="str">
            <v>DAPA 58080</v>
          </cell>
          <cell r="O17086"/>
          <cell r="T17086"/>
        </row>
        <row r="17087">
          <cell r="A17087" t="str">
            <v>UNKNOWN</v>
          </cell>
          <cell r="B17087" t="str">
            <v>DB540</v>
          </cell>
          <cell r="O17087"/>
          <cell r="T17087"/>
        </row>
        <row r="17088">
          <cell r="A17088" t="str">
            <v>UNKNOWN</v>
          </cell>
          <cell r="B17088" t="str">
            <v>DB567Y</v>
          </cell>
          <cell r="O17088"/>
          <cell r="T17088"/>
        </row>
        <row r="17089">
          <cell r="A17089" t="str">
            <v>UNKNOWN</v>
          </cell>
          <cell r="B17089" t="str">
            <v>DB580E</v>
          </cell>
          <cell r="O17089"/>
          <cell r="T17089"/>
        </row>
        <row r="17090">
          <cell r="A17090" t="str">
            <v>UNKNOWN</v>
          </cell>
          <cell r="B17090" t="str">
            <v>DB806-X</v>
          </cell>
          <cell r="O17090"/>
          <cell r="T17090"/>
        </row>
        <row r="17091">
          <cell r="A17091" t="str">
            <v>UNKNOWN</v>
          </cell>
          <cell r="B17091" t="str">
            <v>DB808</v>
          </cell>
          <cell r="O17091"/>
          <cell r="T17091"/>
        </row>
        <row r="17092">
          <cell r="A17092" t="str">
            <v>UNKNOWN</v>
          </cell>
          <cell r="B17092" t="str">
            <v>DB810M</v>
          </cell>
          <cell r="O17092"/>
          <cell r="T17092"/>
        </row>
        <row r="17093">
          <cell r="A17093" t="str">
            <v>UNKNOWN</v>
          </cell>
          <cell r="B17093" t="str">
            <v>DB870105-SX</v>
          </cell>
          <cell r="O17093"/>
          <cell r="T17093"/>
        </row>
        <row r="17094">
          <cell r="A17094" t="str">
            <v>UNKNOWN</v>
          </cell>
          <cell r="B17094" t="str">
            <v>DB874H105-8'</v>
          </cell>
          <cell r="O17094"/>
          <cell r="T17094"/>
        </row>
        <row r="17095">
          <cell r="A17095" t="str">
            <v>UNKNOWN</v>
          </cell>
          <cell r="B17095" t="str">
            <v>DB874H120/11</v>
          </cell>
          <cell r="O17095"/>
          <cell r="T17095"/>
        </row>
        <row r="17096">
          <cell r="A17096" t="str">
            <v>UNKNOWN</v>
          </cell>
          <cell r="B17096" t="str">
            <v>DB874H120W/CAN</v>
          </cell>
          <cell r="O17096"/>
          <cell r="T17096"/>
        </row>
        <row r="17097">
          <cell r="A17097" t="str">
            <v>UNKNOWN</v>
          </cell>
          <cell r="B17097" t="str">
            <v>DB878H23</v>
          </cell>
          <cell r="O17097"/>
          <cell r="T17097"/>
        </row>
        <row r="17098">
          <cell r="A17098" t="str">
            <v>UNKNOWN</v>
          </cell>
          <cell r="B17098" t="str">
            <v>DB87H120-SX</v>
          </cell>
          <cell r="O17098"/>
          <cell r="T17098"/>
        </row>
        <row r="17099">
          <cell r="A17099" t="str">
            <v>UNKNOWN</v>
          </cell>
          <cell r="B17099" t="str">
            <v>DIPOLE</v>
          </cell>
          <cell r="O17099"/>
          <cell r="T17099"/>
        </row>
        <row r="17100">
          <cell r="A17100" t="str">
            <v>UNKNOWN</v>
          </cell>
          <cell r="B17100" t="str">
            <v>DIRECTIONAL ANT.</v>
          </cell>
          <cell r="O17100"/>
          <cell r="T17100"/>
        </row>
        <row r="17101">
          <cell r="A17101" t="str">
            <v>UNKNOWN</v>
          </cell>
          <cell r="B17101" t="str">
            <v>DLNA</v>
          </cell>
          <cell r="O17101"/>
          <cell r="T17101"/>
        </row>
        <row r="17102">
          <cell r="A17102" t="str">
            <v>UNKNOWN</v>
          </cell>
          <cell r="B17102" t="str">
            <v>DMN96-2-1/A</v>
          </cell>
          <cell r="O17102"/>
          <cell r="T17102"/>
        </row>
        <row r="17103">
          <cell r="A17103" t="str">
            <v>UNKNOWN</v>
          </cell>
          <cell r="B17103" t="str">
            <v>EIA/TIA-222E</v>
          </cell>
          <cell r="O17103"/>
          <cell r="T17103"/>
        </row>
        <row r="17104">
          <cell r="A17104" t="str">
            <v>UNKNOWN</v>
          </cell>
          <cell r="B17104" t="str">
            <v>ERICCSON ALNO</v>
          </cell>
          <cell r="O17104"/>
          <cell r="T17104"/>
        </row>
        <row r="17105">
          <cell r="A17105" t="str">
            <v>UNKNOWN</v>
          </cell>
          <cell r="B17105" t="str">
            <v>FG844-R</v>
          </cell>
          <cell r="O17105"/>
          <cell r="T17105"/>
        </row>
        <row r="17106">
          <cell r="A17106" t="str">
            <v>UNKNOWN</v>
          </cell>
          <cell r="B17106" t="str">
            <v>G GRIDS</v>
          </cell>
          <cell r="O17106"/>
          <cell r="T17106"/>
        </row>
        <row r="17107">
          <cell r="A17107" t="str">
            <v>UNKNOWN</v>
          </cell>
          <cell r="B17107" t="str">
            <v>G GRIP</v>
          </cell>
          <cell r="O17107"/>
          <cell r="T17107"/>
        </row>
        <row r="17108">
          <cell r="A17108" t="str">
            <v>UNKNOWN</v>
          </cell>
          <cell r="B17108" t="str">
            <v>GENERIC ANTENNAS</v>
          </cell>
          <cell r="O17108"/>
          <cell r="T17108"/>
        </row>
        <row r="17109">
          <cell r="A17109" t="str">
            <v>UNKNOWN</v>
          </cell>
          <cell r="B17109" t="str">
            <v>GENERIC PANEL</v>
          </cell>
          <cell r="O17109"/>
          <cell r="T17109"/>
        </row>
        <row r="17110">
          <cell r="A17110" t="str">
            <v>UNKNOWN</v>
          </cell>
          <cell r="B17110" t="str">
            <v>GENERIC WHIP</v>
          </cell>
          <cell r="O17110"/>
          <cell r="T17110"/>
        </row>
        <row r="17111">
          <cell r="A17111" t="str">
            <v>UNKNOWN</v>
          </cell>
          <cell r="B17111" t="str">
            <v>GPS</v>
          </cell>
          <cell r="O17111"/>
          <cell r="T17111"/>
        </row>
        <row r="17112">
          <cell r="A17112" t="str">
            <v>UNKNOWN</v>
          </cell>
          <cell r="B17112" t="str">
            <v>GRID PLANE</v>
          </cell>
          <cell r="O17112"/>
          <cell r="T17112"/>
        </row>
        <row r="17113">
          <cell r="A17113" t="str">
            <v>UNKNOWN</v>
          </cell>
          <cell r="B17113" t="str">
            <v>H.P. DISH-6</v>
          </cell>
          <cell r="O17113"/>
          <cell r="T17113"/>
        </row>
        <row r="17114">
          <cell r="A17114" t="str">
            <v>UNKNOWN</v>
          </cell>
          <cell r="B17114" t="str">
            <v>HP DC6-22</v>
          </cell>
          <cell r="O17114"/>
          <cell r="T17114"/>
        </row>
        <row r="17115">
          <cell r="A17115" t="str">
            <v>UNKNOWN</v>
          </cell>
          <cell r="B17115" t="str">
            <v>HP DISH</v>
          </cell>
          <cell r="O17115"/>
          <cell r="T17115"/>
        </row>
        <row r="17116">
          <cell r="A17116" t="str">
            <v>UNKNOWN</v>
          </cell>
          <cell r="B17116" t="str">
            <v>HP DISHES</v>
          </cell>
          <cell r="O17116"/>
          <cell r="T17116"/>
        </row>
        <row r="17117">
          <cell r="A17117" t="str">
            <v>UNKNOWN</v>
          </cell>
          <cell r="B17117" t="str">
            <v>HP-10</v>
          </cell>
          <cell r="O17117"/>
          <cell r="T17117"/>
        </row>
        <row r="17118">
          <cell r="A17118" t="str">
            <v>UNKNOWN</v>
          </cell>
          <cell r="B17118" t="str">
            <v>HP-12</v>
          </cell>
          <cell r="O17118"/>
          <cell r="T17118"/>
        </row>
        <row r="17119">
          <cell r="A17119" t="str">
            <v>UNKNOWN</v>
          </cell>
          <cell r="B17119" t="str">
            <v>HP-6</v>
          </cell>
          <cell r="O17119"/>
          <cell r="T17119"/>
        </row>
        <row r="17120">
          <cell r="A17120" t="str">
            <v>UNKNOWN</v>
          </cell>
          <cell r="B17120" t="str">
            <v>HP-60A120G</v>
          </cell>
          <cell r="O17120"/>
          <cell r="T17120"/>
        </row>
        <row r="17121">
          <cell r="A17121" t="str">
            <v>UNKNOWN</v>
          </cell>
          <cell r="B17121" t="str">
            <v>HP105A120</v>
          </cell>
          <cell r="O17121"/>
          <cell r="T17121"/>
        </row>
        <row r="17122">
          <cell r="A17122" t="str">
            <v>UNKNOWN</v>
          </cell>
          <cell r="B17122" t="str">
            <v>HP2MW-18</v>
          </cell>
          <cell r="O17122"/>
          <cell r="T17122"/>
        </row>
        <row r="17123">
          <cell r="A17123" t="str">
            <v>UNKNOWN</v>
          </cell>
          <cell r="B17123" t="str">
            <v>HP6MWDISHES</v>
          </cell>
          <cell r="O17123"/>
          <cell r="T17123"/>
        </row>
        <row r="17124">
          <cell r="A17124" t="str">
            <v>UNKNOWN</v>
          </cell>
          <cell r="B17124" t="str">
            <v>HP8</v>
          </cell>
          <cell r="O17124"/>
          <cell r="T17124"/>
        </row>
        <row r="17125">
          <cell r="A17125" t="str">
            <v>UNKNOWN</v>
          </cell>
          <cell r="B17125" t="str">
            <v>HP8MW</v>
          </cell>
          <cell r="O17125"/>
          <cell r="T17125"/>
        </row>
        <row r="17126">
          <cell r="A17126" t="str">
            <v>UNKNOWN</v>
          </cell>
          <cell r="B17126" t="str">
            <v>ICE SHIELDS</v>
          </cell>
          <cell r="O17126"/>
          <cell r="T17126"/>
        </row>
        <row r="17127">
          <cell r="A17127" t="str">
            <v>UNKNOWN</v>
          </cell>
          <cell r="B17127" t="str">
            <v>JLSF2DE</v>
          </cell>
          <cell r="O17127"/>
          <cell r="T17127"/>
        </row>
        <row r="17128">
          <cell r="A17128" t="str">
            <v>UNKNOWN</v>
          </cell>
          <cell r="B17128" t="str">
            <v>K515676</v>
          </cell>
          <cell r="O17128"/>
          <cell r="T17128"/>
        </row>
        <row r="17129">
          <cell r="A17129" t="str">
            <v>UNKNOWN</v>
          </cell>
          <cell r="B17129" t="str">
            <v>K521972L1</v>
          </cell>
          <cell r="O17129"/>
          <cell r="T17129"/>
        </row>
        <row r="17130">
          <cell r="A17130" t="str">
            <v>UNKNOWN</v>
          </cell>
          <cell r="B17130" t="str">
            <v>KATHREIN 780</v>
          </cell>
          <cell r="O17130"/>
          <cell r="T17130"/>
        </row>
        <row r="17131">
          <cell r="A17131" t="str">
            <v>UNKNOWN</v>
          </cell>
          <cell r="B17131" t="str">
            <v>KS-15-97063</v>
          </cell>
          <cell r="O17131"/>
          <cell r="T17131"/>
        </row>
        <row r="17132">
          <cell r="A17132" t="str">
            <v>UNKNOWN</v>
          </cell>
          <cell r="B17132" t="str">
            <v>KS-15640</v>
          </cell>
          <cell r="O17132"/>
          <cell r="T17132"/>
        </row>
        <row r="17133">
          <cell r="A17133" t="str">
            <v>UNKNOWN</v>
          </cell>
          <cell r="B17133" t="str">
            <v>KS-15676</v>
          </cell>
          <cell r="O17133"/>
          <cell r="T17133"/>
        </row>
        <row r="17134">
          <cell r="A17134" t="str">
            <v>UNKNOWN</v>
          </cell>
          <cell r="B17134" t="str">
            <v>KS15676C-980</v>
          </cell>
          <cell r="O17134"/>
          <cell r="T17134"/>
        </row>
        <row r="17135">
          <cell r="A17135" t="str">
            <v>UNKNOWN</v>
          </cell>
          <cell r="B17135" t="str">
            <v>KS15676L9-BD</v>
          </cell>
          <cell r="O17135"/>
          <cell r="T17135"/>
        </row>
        <row r="17136">
          <cell r="A17136" t="str">
            <v>UNKNOWN</v>
          </cell>
          <cell r="B17136" t="str">
            <v>KS15676L9BC</v>
          </cell>
          <cell r="O17136"/>
          <cell r="T17136"/>
        </row>
        <row r="17137">
          <cell r="A17137" t="str">
            <v>UNKNOWN</v>
          </cell>
          <cell r="B17137" t="str">
            <v>KS21972</v>
          </cell>
          <cell r="O17137"/>
          <cell r="T17137"/>
        </row>
        <row r="17138">
          <cell r="A17138" t="str">
            <v>UNKNOWN</v>
          </cell>
          <cell r="B17138" t="str">
            <v>KS2197211</v>
          </cell>
          <cell r="O17138"/>
          <cell r="T17138"/>
        </row>
        <row r="17139">
          <cell r="A17139" t="str">
            <v>UNKNOWN</v>
          </cell>
          <cell r="B17139" t="str">
            <v>LD6-105C</v>
          </cell>
          <cell r="O17139"/>
          <cell r="T17139"/>
        </row>
        <row r="17140">
          <cell r="A17140" t="str">
            <v>UNKNOWN</v>
          </cell>
          <cell r="B17140" t="str">
            <v>LIGHT STANDARD</v>
          </cell>
          <cell r="O17140"/>
          <cell r="T17140"/>
        </row>
        <row r="17141">
          <cell r="A17141" t="str">
            <v>UNKNOWN</v>
          </cell>
          <cell r="B17141" t="str">
            <v>LPD7908/4 8'</v>
          </cell>
          <cell r="O17141"/>
          <cell r="T17141"/>
        </row>
        <row r="17142">
          <cell r="A17142" t="str">
            <v>UNKNOWN</v>
          </cell>
          <cell r="B17142" t="str">
            <v>LUHF-VHF-ANT</v>
          </cell>
          <cell r="O17142"/>
          <cell r="T17142"/>
        </row>
        <row r="17143">
          <cell r="A17143" t="str">
            <v>UNKNOWN</v>
          </cell>
          <cell r="B17143" t="str">
            <v>MAP-60A48L-2</v>
          </cell>
          <cell r="O17143"/>
          <cell r="T17143"/>
        </row>
        <row r="17144">
          <cell r="A17144" t="str">
            <v>UNKNOWN</v>
          </cell>
          <cell r="B17144" t="str">
            <v>MAU LNAS</v>
          </cell>
          <cell r="O17144"/>
          <cell r="T17144"/>
        </row>
        <row r="17145">
          <cell r="A17145" t="str">
            <v>UNKNOWN</v>
          </cell>
          <cell r="B17145" t="str">
            <v>MFB1500</v>
          </cell>
          <cell r="O17145"/>
          <cell r="T17145"/>
        </row>
        <row r="17146">
          <cell r="A17146" t="str">
            <v>UNKNOWN</v>
          </cell>
          <cell r="B17146" t="str">
            <v>MHP-2296</v>
          </cell>
          <cell r="O17146"/>
          <cell r="T17146"/>
        </row>
        <row r="17147">
          <cell r="A17147" t="str">
            <v>UNKNOWN</v>
          </cell>
          <cell r="B17147" t="str">
            <v>MICRO PLATFORM</v>
          </cell>
          <cell r="O17147"/>
          <cell r="T17147"/>
        </row>
        <row r="17148">
          <cell r="A17148" t="str">
            <v>UNKNOWN</v>
          </cell>
          <cell r="B17148" t="str">
            <v>MINI PLATFORM</v>
          </cell>
          <cell r="O17148"/>
          <cell r="T17148"/>
        </row>
        <row r="17149">
          <cell r="A17149" t="str">
            <v>UNKNOWN</v>
          </cell>
          <cell r="B17149" t="str">
            <v>MPH60A96DL</v>
          </cell>
          <cell r="O17149"/>
          <cell r="T17149"/>
        </row>
        <row r="17150">
          <cell r="A17150" t="str">
            <v>UNKNOWN</v>
          </cell>
          <cell r="B17150" t="str">
            <v>OMNI ANTENNAS</v>
          </cell>
          <cell r="O17150"/>
          <cell r="T17150"/>
        </row>
        <row r="17151">
          <cell r="A17151" t="str">
            <v>UNKNOWN</v>
          </cell>
          <cell r="B17151" t="str">
            <v>OMNI WHIP</v>
          </cell>
          <cell r="O17151"/>
          <cell r="T17151"/>
        </row>
        <row r="17152">
          <cell r="A17152" t="str">
            <v>UNKNOWN</v>
          </cell>
          <cell r="B17152" t="str">
            <v>OMNIS</v>
          </cell>
          <cell r="O17152"/>
          <cell r="T17152"/>
        </row>
        <row r="17153">
          <cell r="A17153" t="str">
            <v>UNKNOWN</v>
          </cell>
          <cell r="B17153" t="str">
            <v>OMNI_CCIV2</v>
          </cell>
          <cell r="O17153"/>
          <cell r="T17153"/>
        </row>
        <row r="17154">
          <cell r="A17154" t="str">
            <v>UNKNOWN</v>
          </cell>
          <cell r="B17154" t="str">
            <v>OVAL BEACONS</v>
          </cell>
          <cell r="O17154"/>
          <cell r="T17154"/>
        </row>
        <row r="17155">
          <cell r="A17155" t="str">
            <v>UNKNOWN</v>
          </cell>
          <cell r="B17155" t="str">
            <v>P-21B72GF</v>
          </cell>
          <cell r="O17155"/>
          <cell r="T17155"/>
        </row>
        <row r="17156">
          <cell r="A17156" t="str">
            <v>UNKNOWN</v>
          </cell>
          <cell r="B17156" t="str">
            <v>P-24A72G-2</v>
          </cell>
          <cell r="O17156"/>
          <cell r="T17156"/>
        </row>
        <row r="17157">
          <cell r="A17157" t="str">
            <v>UNKNOWN</v>
          </cell>
          <cell r="B17157" t="str">
            <v>P-60A72L</v>
          </cell>
          <cell r="O17157"/>
          <cell r="T17157"/>
        </row>
        <row r="17158">
          <cell r="A17158" t="str">
            <v>UNKNOWN</v>
          </cell>
          <cell r="B17158" t="str">
            <v>P21A9CGE</v>
          </cell>
          <cell r="O17158"/>
          <cell r="T17158"/>
        </row>
        <row r="17159">
          <cell r="A17159" t="str">
            <v>UNKNOWN</v>
          </cell>
          <cell r="B17159" t="str">
            <v>P57A72-1-DISH</v>
          </cell>
          <cell r="O17159"/>
          <cell r="T17159"/>
        </row>
        <row r="17160">
          <cell r="A17160" t="str">
            <v>UNKNOWN</v>
          </cell>
          <cell r="B17160" t="str">
            <v>P6DA72L-2</v>
          </cell>
          <cell r="O17160"/>
          <cell r="T17160"/>
        </row>
        <row r="17161">
          <cell r="A17161" t="str">
            <v>UNKNOWN</v>
          </cell>
          <cell r="B17161" t="str">
            <v>PANEL</v>
          </cell>
          <cell r="O17161"/>
          <cell r="T17161"/>
        </row>
        <row r="17162">
          <cell r="A17162" t="str">
            <v>UNKNOWN</v>
          </cell>
          <cell r="B17162" t="str">
            <v>PANEL ANTENNAS</v>
          </cell>
          <cell r="O17162"/>
          <cell r="T17162"/>
        </row>
        <row r="17163">
          <cell r="A17163" t="str">
            <v>UNKNOWN</v>
          </cell>
          <cell r="B17163" t="str">
            <v>PANEL ANTENNAS W/LEG MOUNTS</v>
          </cell>
          <cell r="O17163"/>
          <cell r="T17163"/>
        </row>
        <row r="17164">
          <cell r="A17164" t="str">
            <v>UNKNOWN</v>
          </cell>
          <cell r="B17164" t="str">
            <v>PANELS</v>
          </cell>
          <cell r="O17164"/>
          <cell r="T17164"/>
        </row>
        <row r="17165">
          <cell r="A17165" t="str">
            <v>UNKNOWN</v>
          </cell>
          <cell r="B17165" t="str">
            <v>PAR6-59A-PXA</v>
          </cell>
          <cell r="O17165"/>
          <cell r="T17165"/>
        </row>
        <row r="17166">
          <cell r="A17166" t="str">
            <v>UNKNOWN</v>
          </cell>
          <cell r="B17166" t="str">
            <v>PC519HA</v>
          </cell>
          <cell r="O17166"/>
          <cell r="T17166"/>
        </row>
        <row r="17167">
          <cell r="A17167" t="str">
            <v>UNKNOWN</v>
          </cell>
          <cell r="B17167" t="str">
            <v>PCS 19HA110</v>
          </cell>
          <cell r="O17167"/>
          <cell r="T17167"/>
        </row>
        <row r="17168">
          <cell r="A17168" t="str">
            <v>UNKNOWN</v>
          </cell>
          <cell r="B17168" t="str">
            <v>PCS ANTENNAS</v>
          </cell>
          <cell r="O17168"/>
          <cell r="T17168"/>
        </row>
        <row r="17169">
          <cell r="A17169" t="str">
            <v>UNKNOWN</v>
          </cell>
          <cell r="B17169" t="str">
            <v>PCS19HA-11015</v>
          </cell>
          <cell r="O17169"/>
          <cell r="T17169"/>
        </row>
        <row r="17170">
          <cell r="A17170" t="str">
            <v>UNKNOWN</v>
          </cell>
          <cell r="B17170" t="str">
            <v>PCS19HA-110152D9</v>
          </cell>
          <cell r="O17170"/>
          <cell r="T17170"/>
        </row>
        <row r="17171">
          <cell r="A17171" t="str">
            <v>UNKNOWN</v>
          </cell>
          <cell r="B17171" t="str">
            <v>PCS19HA-1105-2DM</v>
          </cell>
          <cell r="O17171"/>
          <cell r="T17171"/>
        </row>
        <row r="17172">
          <cell r="A17172" t="str">
            <v>UNKNOWN</v>
          </cell>
          <cell r="B17172" t="str">
            <v>PCS19HA41015-0D6</v>
          </cell>
          <cell r="O17172"/>
          <cell r="T17172"/>
        </row>
        <row r="17173">
          <cell r="A17173" t="str">
            <v>UNKNOWN</v>
          </cell>
          <cell r="B17173" t="str">
            <v>PCSA 060-19</v>
          </cell>
          <cell r="O17173"/>
          <cell r="T17173"/>
        </row>
        <row r="17174">
          <cell r="A17174" t="str">
            <v>UNKNOWN</v>
          </cell>
          <cell r="B17174" t="str">
            <v>PCSA 090-16</v>
          </cell>
          <cell r="O17174"/>
          <cell r="T17174"/>
        </row>
        <row r="17175">
          <cell r="A17175" t="str">
            <v>UNKNOWN</v>
          </cell>
          <cell r="B17175" t="str">
            <v>PCSA-065-19</v>
          </cell>
          <cell r="O17175"/>
          <cell r="T17175"/>
        </row>
        <row r="17176">
          <cell r="A17176" t="str">
            <v>UNKNOWN</v>
          </cell>
          <cell r="B17176" t="str">
            <v>PCSA060-19</v>
          </cell>
          <cell r="O17176"/>
          <cell r="T17176"/>
        </row>
        <row r="17177">
          <cell r="A17177" t="str">
            <v>UNKNOWN</v>
          </cell>
          <cell r="B17177" t="str">
            <v>PD 1136</v>
          </cell>
          <cell r="O17177"/>
          <cell r="T17177"/>
        </row>
        <row r="17178">
          <cell r="A17178" t="str">
            <v>UNKNOWN</v>
          </cell>
          <cell r="B17178" t="str">
            <v>PD010017&amp;LPD7908</v>
          </cell>
          <cell r="O17178"/>
          <cell r="T17178"/>
        </row>
        <row r="17179">
          <cell r="A17179" t="str">
            <v>UNKNOWN</v>
          </cell>
          <cell r="B17179" t="str">
            <v>PD1014</v>
          </cell>
          <cell r="O17179"/>
          <cell r="T17179"/>
        </row>
        <row r="17180">
          <cell r="A17180" t="str">
            <v>UNKNOWN</v>
          </cell>
          <cell r="B17180" t="str">
            <v>PD10164</v>
          </cell>
          <cell r="O17180"/>
          <cell r="T17180"/>
        </row>
        <row r="17181">
          <cell r="A17181" t="str">
            <v>UNKNOWN</v>
          </cell>
          <cell r="B17181" t="str">
            <v>PD10176'8</v>
          </cell>
          <cell r="O17181"/>
          <cell r="T17181"/>
        </row>
        <row r="17182">
          <cell r="A17182" t="str">
            <v>UNKNOWN</v>
          </cell>
          <cell r="B17182" t="str">
            <v>PD10183</v>
          </cell>
          <cell r="O17182"/>
          <cell r="T17182"/>
        </row>
        <row r="17183">
          <cell r="A17183" t="str">
            <v>UNKNOWN</v>
          </cell>
          <cell r="B17183" t="str">
            <v>PD1101</v>
          </cell>
          <cell r="O17183"/>
          <cell r="T17183"/>
        </row>
        <row r="17184">
          <cell r="A17184" t="str">
            <v>UNKNOWN</v>
          </cell>
          <cell r="B17184" t="str">
            <v>PD1132 ANTENNA</v>
          </cell>
          <cell r="O17184"/>
          <cell r="T17184"/>
        </row>
        <row r="17185">
          <cell r="A17185" t="str">
            <v>UNKNOWN</v>
          </cell>
          <cell r="B17185" t="str">
            <v>PD11320</v>
          </cell>
          <cell r="O17185"/>
          <cell r="T17185"/>
        </row>
        <row r="17186">
          <cell r="A17186" t="str">
            <v>UNKNOWN</v>
          </cell>
          <cell r="B17186" t="str">
            <v>PD1132A</v>
          </cell>
          <cell r="O17186"/>
          <cell r="T17186"/>
        </row>
        <row r="17187">
          <cell r="A17187" t="str">
            <v>UNKNOWN</v>
          </cell>
          <cell r="B17187" t="str">
            <v>PD1132D</v>
          </cell>
          <cell r="O17187"/>
          <cell r="T17187"/>
        </row>
        <row r="17188">
          <cell r="A17188" t="str">
            <v>UNKNOWN</v>
          </cell>
          <cell r="B17188" t="str">
            <v>PD1132E</v>
          </cell>
          <cell r="O17188"/>
          <cell r="T17188"/>
        </row>
        <row r="17189">
          <cell r="A17189" t="str">
            <v>UNKNOWN</v>
          </cell>
          <cell r="B17189" t="str">
            <v>PD1138</v>
          </cell>
          <cell r="O17189"/>
          <cell r="T17189"/>
        </row>
        <row r="17190">
          <cell r="A17190" t="str">
            <v>UNKNOWN</v>
          </cell>
          <cell r="B17190" t="str">
            <v>PD113E</v>
          </cell>
          <cell r="O17190"/>
          <cell r="T17190"/>
        </row>
        <row r="17191">
          <cell r="A17191" t="str">
            <v>UNKNOWN</v>
          </cell>
          <cell r="B17191" t="str">
            <v>PD1142</v>
          </cell>
          <cell r="O17191"/>
          <cell r="T17191"/>
        </row>
        <row r="17192">
          <cell r="A17192" t="str">
            <v>UNKNOWN</v>
          </cell>
          <cell r="B17192" t="str">
            <v>PD1150</v>
          </cell>
          <cell r="O17192"/>
          <cell r="T17192"/>
        </row>
        <row r="17193">
          <cell r="A17193" t="str">
            <v>UNKNOWN</v>
          </cell>
          <cell r="B17193" t="str">
            <v>PD11520</v>
          </cell>
          <cell r="O17193"/>
          <cell r="T17193"/>
        </row>
        <row r="17194">
          <cell r="A17194" t="str">
            <v>UNKNOWN</v>
          </cell>
          <cell r="B17194" t="str">
            <v>PD1170-7</v>
          </cell>
          <cell r="O17194"/>
          <cell r="T17194"/>
        </row>
        <row r="17195">
          <cell r="A17195" t="str">
            <v>UNKNOWN</v>
          </cell>
          <cell r="B17195" t="str">
            <v>PD1251</v>
          </cell>
          <cell r="O17195"/>
          <cell r="T17195"/>
        </row>
        <row r="17196">
          <cell r="A17196" t="str">
            <v>UNKNOWN</v>
          </cell>
          <cell r="B17196" t="str">
            <v>PD1251,PD10017</v>
          </cell>
          <cell r="O17196"/>
          <cell r="T17196"/>
        </row>
        <row r="17197">
          <cell r="A17197" t="str">
            <v>UNKNOWN</v>
          </cell>
          <cell r="B17197" t="str">
            <v>PD430</v>
          </cell>
          <cell r="O17197"/>
          <cell r="T17197"/>
        </row>
        <row r="17198">
          <cell r="A17198" t="str">
            <v>UNKNOWN</v>
          </cell>
          <cell r="B17198" t="str">
            <v>PD6885</v>
          </cell>
          <cell r="O17198"/>
          <cell r="T17198"/>
        </row>
        <row r="17199">
          <cell r="A17199" t="str">
            <v>UNKNOWN</v>
          </cell>
          <cell r="B17199" t="str">
            <v>PD83</v>
          </cell>
          <cell r="O17199"/>
          <cell r="T17199"/>
        </row>
        <row r="17200">
          <cell r="A17200" t="str">
            <v>UNKNOWN</v>
          </cell>
          <cell r="B17200" t="str">
            <v>PL8-59D W/RADOME</v>
          </cell>
          <cell r="O17200"/>
          <cell r="T17200"/>
        </row>
        <row r="17201">
          <cell r="A17201" t="str">
            <v>UNKNOWN</v>
          </cell>
          <cell r="B17201" t="str">
            <v>PO220</v>
          </cell>
          <cell r="O17201"/>
          <cell r="T17201"/>
        </row>
        <row r="17202">
          <cell r="A17202" t="str">
            <v>UNKNOWN</v>
          </cell>
          <cell r="B17202" t="str">
            <v>PR850</v>
          </cell>
          <cell r="O17202"/>
          <cell r="T17202"/>
        </row>
        <row r="17203">
          <cell r="A17203" t="str">
            <v>UNKNOWN</v>
          </cell>
          <cell r="B17203" t="str">
            <v>RR-90-17-DP</v>
          </cell>
          <cell r="O17203"/>
          <cell r="T17203"/>
        </row>
        <row r="17204">
          <cell r="A17204" t="str">
            <v>UNKNOWN</v>
          </cell>
          <cell r="B17204" t="str">
            <v>RS90-12-00</v>
          </cell>
          <cell r="O17204"/>
          <cell r="T17204"/>
        </row>
        <row r="17205">
          <cell r="A17205" t="str">
            <v>UNKNOWN</v>
          </cell>
          <cell r="B17205" t="str">
            <v>RS90-14-000P</v>
          </cell>
          <cell r="O17205"/>
          <cell r="T17205"/>
        </row>
        <row r="17206">
          <cell r="A17206" t="str">
            <v>UNKNOWN</v>
          </cell>
          <cell r="B17206" t="str">
            <v>RWA800100</v>
          </cell>
          <cell r="O17206"/>
          <cell r="T17206"/>
        </row>
        <row r="17207">
          <cell r="A17207" t="str">
            <v>UNKNOWN</v>
          </cell>
          <cell r="B17207" t="str">
            <v>SE61055E</v>
          </cell>
          <cell r="O17207"/>
          <cell r="T17207"/>
        </row>
        <row r="17208">
          <cell r="A17208" t="str">
            <v>UNKNOWN</v>
          </cell>
          <cell r="B17208" t="str">
            <v>SET811448 20WHIP</v>
          </cell>
          <cell r="O17208"/>
          <cell r="T17208"/>
        </row>
        <row r="17209">
          <cell r="A17209" t="str">
            <v>UNKNOWN</v>
          </cell>
          <cell r="B17209" t="str">
            <v>SET811448 7DISH</v>
          </cell>
          <cell r="O17209"/>
          <cell r="T17209"/>
        </row>
        <row r="17210">
          <cell r="A17210" t="str">
            <v>UNKNOWN</v>
          </cell>
          <cell r="B17210" t="str">
            <v>SET811448 8WHIP</v>
          </cell>
          <cell r="O17210"/>
          <cell r="T17210"/>
        </row>
        <row r="17211">
          <cell r="A17211" t="str">
            <v>UNKNOWN</v>
          </cell>
          <cell r="B17211" t="str">
            <v>SET811448 9DISH</v>
          </cell>
          <cell r="O17211"/>
          <cell r="T17211"/>
        </row>
        <row r="17212">
          <cell r="A17212" t="str">
            <v>UNKNOWN</v>
          </cell>
          <cell r="B17212" t="str">
            <v>SET811671-YAGI</v>
          </cell>
          <cell r="O17212"/>
          <cell r="T17212"/>
        </row>
        <row r="17213">
          <cell r="A17213" t="str">
            <v>UNKNOWN</v>
          </cell>
          <cell r="B17213" t="str">
            <v>SET812161-DIPOLE</v>
          </cell>
          <cell r="O17213"/>
          <cell r="T17213"/>
        </row>
        <row r="17214">
          <cell r="A17214" t="str">
            <v>UNKNOWN</v>
          </cell>
          <cell r="B17214" t="str">
            <v>SET812296-WHIP</v>
          </cell>
          <cell r="O17214"/>
          <cell r="T17214"/>
        </row>
        <row r="17215">
          <cell r="A17215" t="str">
            <v>UNKNOWN</v>
          </cell>
          <cell r="B17215" t="str">
            <v>SET812605-4DISH</v>
          </cell>
          <cell r="O17215"/>
          <cell r="T17215"/>
        </row>
        <row r="17216">
          <cell r="A17216" t="str">
            <v>UNKNOWN</v>
          </cell>
          <cell r="B17216" t="str">
            <v>SET812605-8DISH</v>
          </cell>
          <cell r="O17216"/>
          <cell r="T17216"/>
        </row>
        <row r="17217">
          <cell r="A17217" t="str">
            <v>UNKNOWN</v>
          </cell>
          <cell r="B17217" t="str">
            <v>SET812605-8YAGI</v>
          </cell>
          <cell r="O17217"/>
          <cell r="T17217"/>
        </row>
        <row r="17218">
          <cell r="A17218" t="str">
            <v>UNKNOWN</v>
          </cell>
          <cell r="B17218" t="str">
            <v>SMART ANTENNAS</v>
          </cell>
          <cell r="O17218"/>
          <cell r="T17218"/>
        </row>
        <row r="17219">
          <cell r="A17219" t="str">
            <v>UNKNOWN</v>
          </cell>
          <cell r="B17219" t="str">
            <v>SMART BTS</v>
          </cell>
          <cell r="O17219"/>
          <cell r="T17219"/>
        </row>
        <row r="17220">
          <cell r="A17220" t="str">
            <v>UNKNOWN</v>
          </cell>
          <cell r="B17220" t="str">
            <v>SPA1900/8517DS</v>
          </cell>
          <cell r="O17220"/>
          <cell r="T17220"/>
        </row>
        <row r="17221">
          <cell r="A17221" t="str">
            <v>UNKNOWN</v>
          </cell>
          <cell r="B17221" t="str">
            <v>SRL210C</v>
          </cell>
          <cell r="O17221"/>
          <cell r="T17221"/>
        </row>
        <row r="17222">
          <cell r="A17222" t="str">
            <v>UNKNOWN</v>
          </cell>
          <cell r="B17222" t="str">
            <v>SRL411C9RXN</v>
          </cell>
          <cell r="O17222"/>
          <cell r="T17222"/>
        </row>
        <row r="17223">
          <cell r="A17223" t="str">
            <v>UNKNOWN</v>
          </cell>
          <cell r="B17223" t="str">
            <v>SRL468</v>
          </cell>
          <cell r="O17223"/>
          <cell r="T17223"/>
        </row>
        <row r="17224">
          <cell r="A17224" t="str">
            <v>UNKNOWN</v>
          </cell>
          <cell r="B17224" t="str">
            <v>SRL480</v>
          </cell>
          <cell r="O17224"/>
          <cell r="T17224"/>
        </row>
        <row r="17225">
          <cell r="A17225" t="str">
            <v>UNKNOWN</v>
          </cell>
          <cell r="B17225" t="str">
            <v>SRL485</v>
          </cell>
          <cell r="O17225"/>
          <cell r="T17225"/>
        </row>
        <row r="17226">
          <cell r="A17226" t="str">
            <v>UNKNOWN</v>
          </cell>
          <cell r="B17226" t="str">
            <v>SRL488</v>
          </cell>
          <cell r="O17226"/>
          <cell r="T17226"/>
        </row>
        <row r="17227">
          <cell r="A17227" t="str">
            <v>UNKNOWN</v>
          </cell>
          <cell r="B17227" t="str">
            <v>SSI 816252L13</v>
          </cell>
          <cell r="O17227"/>
          <cell r="T17227"/>
        </row>
        <row r="17228">
          <cell r="A17228" t="str">
            <v>UNKNOWN</v>
          </cell>
          <cell r="B17228" t="str">
            <v>SSI800276O460</v>
          </cell>
          <cell r="O17228"/>
          <cell r="T17228"/>
        </row>
        <row r="17229">
          <cell r="A17229" t="str">
            <v>UNKNOWN</v>
          </cell>
          <cell r="B17229" t="str">
            <v>SSI800663-10OMNI</v>
          </cell>
          <cell r="O17229"/>
          <cell r="T17229"/>
        </row>
        <row r="17230">
          <cell r="A17230" t="str">
            <v>UNKNOWN</v>
          </cell>
          <cell r="B17230" t="str">
            <v>SSI800663-OMNI</v>
          </cell>
          <cell r="O17230"/>
          <cell r="T17230"/>
        </row>
        <row r="17231">
          <cell r="A17231" t="str">
            <v>UNKNOWN</v>
          </cell>
          <cell r="B17231" t="str">
            <v>SSI805642-5</v>
          </cell>
          <cell r="O17231"/>
          <cell r="T17231"/>
        </row>
        <row r="17232">
          <cell r="A17232" t="str">
            <v>UNKNOWN</v>
          </cell>
          <cell r="B17232" t="str">
            <v>SSI809211P</v>
          </cell>
          <cell r="O17232"/>
          <cell r="T17232"/>
        </row>
        <row r="17233">
          <cell r="A17233" t="str">
            <v>UNKNOWN</v>
          </cell>
          <cell r="B17233" t="str">
            <v>SSI809253M110</v>
          </cell>
          <cell r="O17233"/>
          <cell r="T17233"/>
        </row>
        <row r="17234">
          <cell r="A17234" t="str">
            <v>UNKNOWN</v>
          </cell>
          <cell r="B17234" t="str">
            <v>SSI811293-WHIP</v>
          </cell>
          <cell r="O17234"/>
          <cell r="T17234"/>
        </row>
        <row r="17235">
          <cell r="A17235" t="str">
            <v>UNKNOWN</v>
          </cell>
          <cell r="B17235" t="str">
            <v>SSI811320-RPANEL</v>
          </cell>
          <cell r="O17235"/>
          <cell r="T17235"/>
        </row>
        <row r="17236">
          <cell r="A17236" t="str">
            <v>UNKNOWN</v>
          </cell>
          <cell r="B17236" t="str">
            <v>SSI811342-16DISH</v>
          </cell>
          <cell r="O17236"/>
          <cell r="T17236"/>
        </row>
        <row r="17237">
          <cell r="A17237" t="str">
            <v>UNKNOWN</v>
          </cell>
          <cell r="B17237" t="str">
            <v>SSI811408-8DISH</v>
          </cell>
          <cell r="O17237"/>
          <cell r="T17237"/>
        </row>
        <row r="17238">
          <cell r="A17238" t="str">
            <v>UNKNOWN</v>
          </cell>
          <cell r="B17238" t="str">
            <v>SSI811472-RPANEL</v>
          </cell>
          <cell r="O17238"/>
          <cell r="T17238"/>
        </row>
        <row r="17239">
          <cell r="A17239" t="str">
            <v>UNKNOWN</v>
          </cell>
          <cell r="B17239" t="str">
            <v>SSI811526-10WHIP</v>
          </cell>
          <cell r="O17239"/>
          <cell r="T17239"/>
        </row>
        <row r="17240">
          <cell r="A17240" t="str">
            <v>UNKNOWN</v>
          </cell>
          <cell r="B17240" t="str">
            <v>SSI811559D60</v>
          </cell>
          <cell r="O17240"/>
          <cell r="T17240"/>
        </row>
        <row r="17241">
          <cell r="A17241" t="str">
            <v>UNKNOWN</v>
          </cell>
          <cell r="B17241" t="str">
            <v>SSI811559D97</v>
          </cell>
          <cell r="O17241"/>
          <cell r="T17241"/>
        </row>
        <row r="17242">
          <cell r="A17242" t="str">
            <v>UNKNOWN</v>
          </cell>
          <cell r="B17242" t="str">
            <v>SSI811559Y60</v>
          </cell>
          <cell r="O17242"/>
          <cell r="T17242"/>
        </row>
        <row r="17243">
          <cell r="A17243" t="str">
            <v>UNKNOWN</v>
          </cell>
          <cell r="B17243" t="str">
            <v>SSI811567-10OMNI</v>
          </cell>
          <cell r="O17243"/>
          <cell r="T17243"/>
        </row>
        <row r="17244">
          <cell r="A17244" t="str">
            <v>UNKNOWN</v>
          </cell>
          <cell r="B17244" t="str">
            <v>SSI811567-15OMNI</v>
          </cell>
          <cell r="O17244"/>
          <cell r="T17244"/>
        </row>
        <row r="17245">
          <cell r="A17245" t="str">
            <v>UNKNOWN</v>
          </cell>
          <cell r="B17245" t="str">
            <v>SSI811567-3.5OMN</v>
          </cell>
          <cell r="O17245"/>
          <cell r="T17245"/>
        </row>
        <row r="17246">
          <cell r="A17246" t="str">
            <v>UNKNOWN</v>
          </cell>
          <cell r="B17246" t="str">
            <v>SSI811567-6CATV</v>
          </cell>
          <cell r="O17246"/>
          <cell r="T17246"/>
        </row>
        <row r="17247">
          <cell r="A17247" t="str">
            <v>UNKNOWN</v>
          </cell>
          <cell r="B17247" t="str">
            <v>SSI811567-8OMNI</v>
          </cell>
          <cell r="O17247"/>
          <cell r="T17247"/>
        </row>
        <row r="17248">
          <cell r="A17248" t="str">
            <v>UNKNOWN</v>
          </cell>
          <cell r="B17248" t="str">
            <v>SSI811567-YAGI</v>
          </cell>
          <cell r="O17248"/>
          <cell r="T17248"/>
        </row>
        <row r="17249">
          <cell r="A17249" t="str">
            <v>UNKNOWN</v>
          </cell>
          <cell r="B17249" t="str">
            <v>SSI811609-2DISH</v>
          </cell>
          <cell r="O17249"/>
          <cell r="T17249"/>
        </row>
        <row r="17250">
          <cell r="A17250" t="str">
            <v>UNKNOWN</v>
          </cell>
          <cell r="B17250" t="str">
            <v>SSI811671-YAGGI</v>
          </cell>
          <cell r="O17250"/>
          <cell r="T17250"/>
        </row>
        <row r="17251">
          <cell r="A17251" t="str">
            <v>UNKNOWN</v>
          </cell>
          <cell r="B17251" t="str">
            <v>SSI811747-15WHIP</v>
          </cell>
          <cell r="O17251"/>
          <cell r="T17251"/>
        </row>
        <row r="17252">
          <cell r="A17252" t="str">
            <v>UNKNOWN</v>
          </cell>
          <cell r="B17252" t="str">
            <v>SSI811778-6GRID</v>
          </cell>
          <cell r="O17252"/>
          <cell r="T17252"/>
        </row>
        <row r="17253">
          <cell r="A17253" t="str">
            <v>UNKNOWN</v>
          </cell>
          <cell r="B17253" t="str">
            <v>SSI811854-3OMNI</v>
          </cell>
          <cell r="O17253"/>
          <cell r="T17253"/>
        </row>
        <row r="17254">
          <cell r="A17254" t="str">
            <v>UNKNOWN</v>
          </cell>
          <cell r="B17254" t="str">
            <v>SSI811854-6 DISH</v>
          </cell>
          <cell r="O17254"/>
          <cell r="T17254"/>
        </row>
        <row r="17255">
          <cell r="A17255" t="str">
            <v>UNKNOWN</v>
          </cell>
          <cell r="B17255" t="str">
            <v>SSI811854-8 DISH</v>
          </cell>
          <cell r="O17255"/>
          <cell r="T17255"/>
        </row>
        <row r="17256">
          <cell r="A17256" t="str">
            <v>UNKNOWN</v>
          </cell>
          <cell r="B17256" t="str">
            <v>SSI811929-8OMNI</v>
          </cell>
          <cell r="O17256"/>
          <cell r="T17256"/>
        </row>
        <row r="17257">
          <cell r="A17257" t="str">
            <v>UNKNOWN</v>
          </cell>
          <cell r="B17257" t="str">
            <v>SSI811931</v>
          </cell>
          <cell r="O17257"/>
          <cell r="T17257"/>
        </row>
        <row r="17258">
          <cell r="A17258" t="str">
            <v>UNKNOWN</v>
          </cell>
          <cell r="B17258" t="str">
            <v>SSI811931-10</v>
          </cell>
          <cell r="O17258"/>
          <cell r="T17258"/>
        </row>
        <row r="17259">
          <cell r="A17259" t="str">
            <v>UNKNOWN</v>
          </cell>
          <cell r="B17259" t="str">
            <v>SSI811931-15</v>
          </cell>
          <cell r="O17259"/>
          <cell r="T17259"/>
        </row>
        <row r="17260">
          <cell r="A17260" t="str">
            <v>UNKNOWN</v>
          </cell>
          <cell r="B17260" t="str">
            <v>SSI811931-2</v>
          </cell>
          <cell r="O17260"/>
          <cell r="T17260"/>
        </row>
        <row r="17261">
          <cell r="A17261" t="str">
            <v>UNKNOWN</v>
          </cell>
          <cell r="B17261" t="str">
            <v>SSI811931-20</v>
          </cell>
          <cell r="O17261"/>
          <cell r="T17261"/>
        </row>
        <row r="17262">
          <cell r="A17262" t="str">
            <v>UNKNOWN</v>
          </cell>
          <cell r="B17262" t="str">
            <v>SSI811931-4</v>
          </cell>
          <cell r="O17262"/>
          <cell r="T17262"/>
        </row>
        <row r="17263">
          <cell r="A17263" t="str">
            <v>UNKNOWN</v>
          </cell>
          <cell r="B17263" t="str">
            <v>SSI811931-6</v>
          </cell>
          <cell r="O17263"/>
          <cell r="T17263"/>
        </row>
        <row r="17264">
          <cell r="A17264" t="str">
            <v>UNKNOWN</v>
          </cell>
          <cell r="B17264" t="str">
            <v>SSI811931-8</v>
          </cell>
          <cell r="O17264"/>
          <cell r="T17264"/>
        </row>
        <row r="17265">
          <cell r="A17265" t="str">
            <v>UNKNOWN</v>
          </cell>
          <cell r="B17265" t="str">
            <v>SSI811931-TVTYPE</v>
          </cell>
          <cell r="O17265"/>
          <cell r="T17265"/>
        </row>
        <row r="17266">
          <cell r="A17266" t="str">
            <v>UNKNOWN</v>
          </cell>
          <cell r="B17266" t="str">
            <v>SSI811964-6DISH</v>
          </cell>
          <cell r="O17266"/>
          <cell r="T17266"/>
        </row>
        <row r="17267">
          <cell r="A17267" t="str">
            <v>UNKNOWN</v>
          </cell>
          <cell r="B17267" t="str">
            <v>SSI811974-10DIPO</v>
          </cell>
          <cell r="O17267"/>
          <cell r="T17267"/>
        </row>
        <row r="17268">
          <cell r="A17268" t="str">
            <v>UNKNOWN</v>
          </cell>
          <cell r="B17268" t="str">
            <v>SSI811974-12OMNI</v>
          </cell>
          <cell r="O17268"/>
          <cell r="T17268"/>
        </row>
        <row r="17269">
          <cell r="A17269" t="str">
            <v>UNKNOWN</v>
          </cell>
          <cell r="B17269" t="str">
            <v>SSI811974-20DIPO</v>
          </cell>
          <cell r="O17269"/>
          <cell r="T17269"/>
        </row>
        <row r="17270">
          <cell r="A17270" t="str">
            <v>UNKNOWN</v>
          </cell>
          <cell r="B17270" t="str">
            <v>SSI811974-2DISH</v>
          </cell>
          <cell r="O17270"/>
          <cell r="T17270"/>
        </row>
        <row r="17271">
          <cell r="A17271" t="str">
            <v>UNKNOWN</v>
          </cell>
          <cell r="B17271" t="str">
            <v>SSI811974-4DISH</v>
          </cell>
          <cell r="O17271"/>
          <cell r="T17271"/>
        </row>
        <row r="17272">
          <cell r="A17272" t="str">
            <v>UNKNOWN</v>
          </cell>
          <cell r="B17272" t="str">
            <v>SSI811974-6YAGI</v>
          </cell>
          <cell r="O17272"/>
          <cell r="T17272"/>
        </row>
        <row r="17273">
          <cell r="A17273" t="str">
            <v>UNKNOWN</v>
          </cell>
          <cell r="B17273" t="str">
            <v>SSI811974-8DISH</v>
          </cell>
          <cell r="O17273"/>
          <cell r="T17273"/>
        </row>
        <row r="17274">
          <cell r="A17274" t="str">
            <v>UNKNOWN</v>
          </cell>
          <cell r="B17274" t="str">
            <v>SSI812032-10OMNI</v>
          </cell>
          <cell r="O17274"/>
          <cell r="T17274"/>
        </row>
        <row r="17275">
          <cell r="A17275" t="str">
            <v>UNKNOWN</v>
          </cell>
          <cell r="B17275" t="str">
            <v>SSI812032-18YAGI</v>
          </cell>
          <cell r="O17275"/>
          <cell r="T17275"/>
        </row>
        <row r="17276">
          <cell r="A17276" t="str">
            <v>UNKNOWN</v>
          </cell>
          <cell r="B17276" t="str">
            <v>SSI812032-20OMNI</v>
          </cell>
          <cell r="O17276"/>
          <cell r="T17276"/>
        </row>
        <row r="17277">
          <cell r="A17277" t="str">
            <v>UNKNOWN</v>
          </cell>
          <cell r="B17277" t="str">
            <v>SSI812032-PANEL</v>
          </cell>
          <cell r="O17277"/>
          <cell r="T17277"/>
        </row>
        <row r="17278">
          <cell r="A17278" t="str">
            <v>UNKNOWN</v>
          </cell>
          <cell r="B17278" t="str">
            <v>SSI812123-10DISH</v>
          </cell>
          <cell r="O17278"/>
          <cell r="T17278"/>
        </row>
        <row r="17279">
          <cell r="A17279" t="str">
            <v>UNKNOWN</v>
          </cell>
          <cell r="B17279" t="str">
            <v>SSI812123-10OMNI</v>
          </cell>
          <cell r="O17279"/>
          <cell r="T17279"/>
        </row>
        <row r="17280">
          <cell r="A17280" t="str">
            <v>UNKNOWN</v>
          </cell>
          <cell r="B17280" t="str">
            <v>SSI812123-20DIPO</v>
          </cell>
          <cell r="O17280"/>
          <cell r="T17280"/>
        </row>
        <row r="17281">
          <cell r="A17281" t="str">
            <v>UNKNOWN</v>
          </cell>
          <cell r="B17281" t="str">
            <v>SSI812123-20OMNI</v>
          </cell>
          <cell r="O17281"/>
          <cell r="T17281"/>
        </row>
        <row r="17282">
          <cell r="A17282" t="str">
            <v>UNKNOWN</v>
          </cell>
          <cell r="B17282" t="str">
            <v>SSI812123-2YAGI</v>
          </cell>
          <cell r="O17282"/>
          <cell r="T17282"/>
        </row>
        <row r="17283">
          <cell r="A17283" t="str">
            <v>UNKNOWN</v>
          </cell>
          <cell r="B17283" t="str">
            <v>SSI812123-3YAGI</v>
          </cell>
          <cell r="O17283"/>
          <cell r="T17283"/>
        </row>
        <row r="17284">
          <cell r="A17284" t="str">
            <v>UNKNOWN</v>
          </cell>
          <cell r="B17284" t="str">
            <v>SSI812123-4DISH</v>
          </cell>
          <cell r="O17284"/>
          <cell r="T17284"/>
        </row>
        <row r="17285">
          <cell r="A17285" t="str">
            <v>UNKNOWN</v>
          </cell>
          <cell r="B17285" t="str">
            <v>SSI812123-8DISH</v>
          </cell>
          <cell r="O17285"/>
          <cell r="T17285"/>
        </row>
        <row r="17286">
          <cell r="A17286" t="str">
            <v>UNKNOWN</v>
          </cell>
          <cell r="B17286" t="str">
            <v>SSI812217-3CONE</v>
          </cell>
          <cell r="O17286"/>
          <cell r="T17286"/>
        </row>
        <row r="17287">
          <cell r="A17287" t="str">
            <v>UNKNOWN</v>
          </cell>
          <cell r="B17287" t="str">
            <v>SSI812308O97</v>
          </cell>
          <cell r="O17287"/>
          <cell r="T17287"/>
        </row>
        <row r="17288">
          <cell r="A17288" t="str">
            <v>UNKNOWN</v>
          </cell>
          <cell r="B17288" t="str">
            <v>SSI812336-9DISH</v>
          </cell>
          <cell r="O17288"/>
          <cell r="T17288"/>
        </row>
        <row r="17289">
          <cell r="A17289" t="str">
            <v>UNKNOWN</v>
          </cell>
          <cell r="B17289" t="str">
            <v>SSI812354-13OMNI</v>
          </cell>
          <cell r="O17289"/>
          <cell r="T17289"/>
        </row>
        <row r="17290">
          <cell r="A17290" t="str">
            <v>UNKNOWN</v>
          </cell>
          <cell r="B17290" t="str">
            <v>SSI812383-15WHIP</v>
          </cell>
          <cell r="O17290"/>
          <cell r="T17290"/>
        </row>
        <row r="17291">
          <cell r="A17291" t="str">
            <v>UNKNOWN</v>
          </cell>
          <cell r="B17291" t="str">
            <v>SSI812383-4DISH</v>
          </cell>
          <cell r="O17291"/>
          <cell r="T17291"/>
        </row>
        <row r="17292">
          <cell r="A17292" t="str">
            <v>UNKNOWN</v>
          </cell>
          <cell r="B17292" t="str">
            <v>SSI812383-8WHIP</v>
          </cell>
          <cell r="O17292"/>
          <cell r="T17292"/>
        </row>
        <row r="17293">
          <cell r="A17293" t="str">
            <v>UNKNOWN</v>
          </cell>
          <cell r="B17293" t="str">
            <v>SSI812432-12DISH</v>
          </cell>
          <cell r="O17293"/>
          <cell r="T17293"/>
        </row>
        <row r="17294">
          <cell r="A17294" t="str">
            <v>UNKNOWN</v>
          </cell>
          <cell r="B17294" t="str">
            <v>SSI812432-12OMNI</v>
          </cell>
          <cell r="O17294"/>
          <cell r="T17294"/>
        </row>
        <row r="17295">
          <cell r="A17295" t="str">
            <v>UNKNOWN</v>
          </cell>
          <cell r="B17295" t="str">
            <v>SSI812433L15</v>
          </cell>
          <cell r="O17295"/>
          <cell r="T17295"/>
        </row>
        <row r="17296">
          <cell r="A17296" t="str">
            <v>UNKNOWN</v>
          </cell>
          <cell r="B17296" t="str">
            <v>SSI812433L8</v>
          </cell>
          <cell r="O17296"/>
          <cell r="T17296"/>
        </row>
        <row r="17297">
          <cell r="A17297" t="str">
            <v>UNKNOWN</v>
          </cell>
          <cell r="B17297" t="str">
            <v>SSI812433P150</v>
          </cell>
          <cell r="O17297"/>
          <cell r="T17297"/>
        </row>
        <row r="17298">
          <cell r="A17298" t="str">
            <v>UNKNOWN</v>
          </cell>
          <cell r="B17298" t="str">
            <v>SSI812433P165</v>
          </cell>
          <cell r="O17298"/>
          <cell r="T17298"/>
        </row>
        <row r="17299">
          <cell r="A17299" t="str">
            <v>UNKNOWN</v>
          </cell>
          <cell r="B17299" t="str">
            <v>SSI812433P179</v>
          </cell>
          <cell r="O17299"/>
          <cell r="T17299"/>
        </row>
        <row r="17300">
          <cell r="A17300" t="str">
            <v>UNKNOWN</v>
          </cell>
          <cell r="B17300" t="str">
            <v>SSI812439-10WHIP</v>
          </cell>
          <cell r="O17300"/>
          <cell r="T17300"/>
        </row>
        <row r="17301">
          <cell r="A17301" t="str">
            <v>UNKNOWN</v>
          </cell>
          <cell r="B17301" t="str">
            <v>SSI812439-3YAGI</v>
          </cell>
          <cell r="O17301"/>
          <cell r="T17301"/>
        </row>
        <row r="17302">
          <cell r="A17302" t="str">
            <v>UNKNOWN</v>
          </cell>
          <cell r="B17302" t="str">
            <v>SSI812449O245</v>
          </cell>
          <cell r="O17302"/>
          <cell r="T17302"/>
        </row>
        <row r="17303">
          <cell r="A17303" t="str">
            <v>UNKNOWN</v>
          </cell>
          <cell r="B17303" t="str">
            <v>SSI812500-10</v>
          </cell>
          <cell r="O17303"/>
          <cell r="T17303"/>
        </row>
        <row r="17304">
          <cell r="A17304" t="str">
            <v>UNKNOWN</v>
          </cell>
          <cell r="B17304" t="str">
            <v>SSI812500-5</v>
          </cell>
          <cell r="O17304"/>
          <cell r="T17304"/>
        </row>
        <row r="17305">
          <cell r="A17305" t="str">
            <v>UNKNOWN</v>
          </cell>
          <cell r="B17305" t="str">
            <v>SSI812500-8</v>
          </cell>
          <cell r="O17305"/>
          <cell r="T17305"/>
        </row>
        <row r="17306">
          <cell r="A17306" t="str">
            <v>UNKNOWN</v>
          </cell>
          <cell r="B17306" t="str">
            <v>SSI812505-14OMNI</v>
          </cell>
          <cell r="O17306"/>
          <cell r="T17306"/>
        </row>
        <row r="17307">
          <cell r="A17307" t="str">
            <v>UNKNOWN</v>
          </cell>
          <cell r="B17307" t="str">
            <v>SSI812572D160</v>
          </cell>
          <cell r="O17307"/>
          <cell r="T17307"/>
        </row>
        <row r="17308">
          <cell r="A17308" t="str">
            <v>UNKNOWN</v>
          </cell>
          <cell r="B17308" t="str">
            <v>SSI812595-12WHIP</v>
          </cell>
          <cell r="O17308"/>
          <cell r="T17308"/>
        </row>
        <row r="17309">
          <cell r="A17309" t="str">
            <v>UNKNOWN</v>
          </cell>
          <cell r="B17309" t="str">
            <v>SSI812605-1.5YAGI</v>
          </cell>
          <cell r="O17309"/>
          <cell r="T17309"/>
        </row>
        <row r="17310">
          <cell r="A17310" t="str">
            <v>UNKNOWN</v>
          </cell>
          <cell r="B17310" t="str">
            <v>SSI812605-16OMNI</v>
          </cell>
          <cell r="O17310"/>
          <cell r="T17310"/>
        </row>
        <row r="17311">
          <cell r="A17311" t="str">
            <v>UNKNOWN</v>
          </cell>
          <cell r="B17311" t="str">
            <v>SSI812605-20DIPO</v>
          </cell>
          <cell r="O17311"/>
          <cell r="T17311"/>
        </row>
        <row r="17312">
          <cell r="A17312" t="str">
            <v>UNKNOWN</v>
          </cell>
          <cell r="B17312" t="str">
            <v>SSI812623-10OMNI</v>
          </cell>
          <cell r="O17312"/>
          <cell r="T17312"/>
        </row>
        <row r="17313">
          <cell r="A17313" t="str">
            <v>UNKNOWN</v>
          </cell>
          <cell r="B17313" t="str">
            <v>SSI812623-6OMNI</v>
          </cell>
          <cell r="O17313"/>
          <cell r="T17313"/>
        </row>
        <row r="17314">
          <cell r="A17314" t="str">
            <v>UNKNOWN</v>
          </cell>
          <cell r="B17314" t="str">
            <v>SSI812668-8DISH</v>
          </cell>
          <cell r="O17314"/>
          <cell r="T17314"/>
        </row>
        <row r="17315">
          <cell r="A17315" t="str">
            <v>UNKNOWN</v>
          </cell>
          <cell r="B17315" t="str">
            <v>SSI812700-PANEL</v>
          </cell>
          <cell r="O17315"/>
          <cell r="T17315"/>
        </row>
        <row r="17316">
          <cell r="A17316" t="str">
            <v>UNKNOWN</v>
          </cell>
          <cell r="B17316" t="str">
            <v>SSI812723-14OMNI</v>
          </cell>
          <cell r="O17316"/>
          <cell r="T17316"/>
        </row>
        <row r="17317">
          <cell r="A17317" t="str">
            <v>UNKNOWN</v>
          </cell>
          <cell r="B17317" t="str">
            <v>SSI812723-3.5OMN</v>
          </cell>
          <cell r="O17317"/>
          <cell r="T17317"/>
        </row>
        <row r="17318">
          <cell r="A17318" t="str">
            <v>UNKNOWN</v>
          </cell>
          <cell r="B17318" t="str">
            <v>SSI812723-4DISH</v>
          </cell>
          <cell r="O17318"/>
          <cell r="T17318"/>
        </row>
        <row r="17319">
          <cell r="A17319" t="str">
            <v>UNKNOWN</v>
          </cell>
          <cell r="B17319" t="str">
            <v>SSI812727M130</v>
          </cell>
          <cell r="O17319"/>
          <cell r="T17319"/>
        </row>
        <row r="17320">
          <cell r="A17320" t="str">
            <v>UNKNOWN</v>
          </cell>
          <cell r="B17320" t="str">
            <v>SSI812727M160</v>
          </cell>
          <cell r="O17320"/>
          <cell r="T17320"/>
        </row>
        <row r="17321">
          <cell r="A17321" t="str">
            <v>UNKNOWN</v>
          </cell>
          <cell r="B17321" t="str">
            <v>SSI812727O438</v>
          </cell>
          <cell r="O17321"/>
          <cell r="T17321"/>
        </row>
        <row r="17322">
          <cell r="A17322" t="str">
            <v>UNKNOWN</v>
          </cell>
          <cell r="B17322" t="str">
            <v>SSI812812-10WHIP</v>
          </cell>
          <cell r="O17322"/>
          <cell r="T17322"/>
        </row>
        <row r="17323">
          <cell r="A17323" t="str">
            <v>UNKNOWN</v>
          </cell>
          <cell r="B17323" t="str">
            <v>SSI812813-12WHIP</v>
          </cell>
          <cell r="O17323"/>
          <cell r="T17323"/>
        </row>
        <row r="17324">
          <cell r="A17324" t="str">
            <v>UNKNOWN</v>
          </cell>
          <cell r="B17324" t="str">
            <v>SSI812813-15WHIP</v>
          </cell>
          <cell r="O17324"/>
          <cell r="T17324"/>
        </row>
        <row r="17325">
          <cell r="A17325" t="str">
            <v>UNKNOWN</v>
          </cell>
          <cell r="B17325" t="str">
            <v>SSI812813-8DISH</v>
          </cell>
          <cell r="O17325"/>
          <cell r="T17325"/>
        </row>
        <row r="17326">
          <cell r="A17326" t="str">
            <v>UNKNOWN</v>
          </cell>
          <cell r="B17326" t="str">
            <v>SSI812813-8PANEL</v>
          </cell>
          <cell r="O17326"/>
          <cell r="T17326"/>
        </row>
        <row r="17327">
          <cell r="A17327" t="str">
            <v>UNKNOWN</v>
          </cell>
          <cell r="B17327" t="str">
            <v>SSI812826L11</v>
          </cell>
          <cell r="O17327"/>
          <cell r="T17327"/>
        </row>
        <row r="17328">
          <cell r="A17328" t="str">
            <v>UNKNOWN</v>
          </cell>
          <cell r="B17328" t="str">
            <v>SSI812826L12_26</v>
          </cell>
          <cell r="O17328"/>
          <cell r="T17328"/>
        </row>
        <row r="17329">
          <cell r="A17329" t="str">
            <v>UNKNOWN</v>
          </cell>
          <cell r="B17329" t="str">
            <v>SSI812826L12_27</v>
          </cell>
          <cell r="O17329"/>
          <cell r="T17329"/>
        </row>
        <row r="17330">
          <cell r="A17330" t="str">
            <v>UNKNOWN</v>
          </cell>
          <cell r="B17330" t="str">
            <v>SSI812826L13</v>
          </cell>
          <cell r="O17330"/>
          <cell r="T17330"/>
        </row>
        <row r="17331">
          <cell r="A17331" t="str">
            <v>UNKNOWN</v>
          </cell>
          <cell r="B17331" t="str">
            <v>SSI812876-10DISH</v>
          </cell>
          <cell r="O17331"/>
          <cell r="T17331"/>
        </row>
        <row r="17332">
          <cell r="A17332" t="str">
            <v>UNKNOWN</v>
          </cell>
          <cell r="B17332" t="str">
            <v>SSI812876-12DISH</v>
          </cell>
          <cell r="O17332"/>
          <cell r="T17332"/>
        </row>
        <row r="17333">
          <cell r="A17333" t="str">
            <v>UNKNOWN</v>
          </cell>
          <cell r="B17333" t="str">
            <v>SSI812876-15OMNI</v>
          </cell>
          <cell r="O17333"/>
          <cell r="T17333"/>
        </row>
        <row r="17334">
          <cell r="A17334" t="str">
            <v>UNKNOWN</v>
          </cell>
          <cell r="B17334" t="str">
            <v>SSI812893L15</v>
          </cell>
          <cell r="O17334"/>
          <cell r="T17334"/>
        </row>
        <row r="17335">
          <cell r="A17335" t="str">
            <v>UNKNOWN</v>
          </cell>
          <cell r="B17335" t="str">
            <v>SSI812893L20</v>
          </cell>
          <cell r="O17335"/>
          <cell r="T17335"/>
        </row>
        <row r="17336">
          <cell r="A17336" t="str">
            <v>UNKNOWN</v>
          </cell>
          <cell r="B17336" t="str">
            <v>SSI812893M150</v>
          </cell>
          <cell r="O17336"/>
          <cell r="T17336"/>
        </row>
        <row r="17337">
          <cell r="A17337" t="str">
            <v>UNKNOWN</v>
          </cell>
          <cell r="B17337" t="str">
            <v>SSI812893M160</v>
          </cell>
          <cell r="O17337"/>
          <cell r="T17337"/>
        </row>
        <row r="17338">
          <cell r="A17338" t="str">
            <v>UNKNOWN</v>
          </cell>
          <cell r="B17338" t="str">
            <v>SSI812893O101</v>
          </cell>
          <cell r="O17338"/>
          <cell r="T17338"/>
        </row>
        <row r="17339">
          <cell r="A17339" t="str">
            <v>UNKNOWN</v>
          </cell>
          <cell r="B17339" t="str">
            <v>SSI812893O172</v>
          </cell>
          <cell r="O17339"/>
          <cell r="T17339"/>
        </row>
        <row r="17340">
          <cell r="A17340" t="str">
            <v>UNKNOWN</v>
          </cell>
          <cell r="B17340" t="str">
            <v>SSI812893O201</v>
          </cell>
          <cell r="O17340"/>
          <cell r="T17340"/>
        </row>
        <row r="17341">
          <cell r="A17341" t="str">
            <v>UNKNOWN</v>
          </cell>
          <cell r="B17341" t="str">
            <v>SSI812939-15OMNI</v>
          </cell>
          <cell r="O17341"/>
          <cell r="T17341"/>
        </row>
        <row r="17342">
          <cell r="A17342" t="str">
            <v>UNKNOWN</v>
          </cell>
          <cell r="B17342" t="str">
            <v>SSI812939-6DISH</v>
          </cell>
          <cell r="O17342"/>
          <cell r="T17342"/>
        </row>
        <row r="17343">
          <cell r="A17343" t="str">
            <v>UNKNOWN</v>
          </cell>
          <cell r="B17343" t="str">
            <v>SSI812939-8DISH</v>
          </cell>
          <cell r="O17343"/>
          <cell r="T17343"/>
        </row>
        <row r="17344">
          <cell r="A17344" t="str">
            <v>UNKNOWN</v>
          </cell>
          <cell r="B17344" t="str">
            <v>SSI813126-20OMNI</v>
          </cell>
          <cell r="O17344"/>
          <cell r="T17344"/>
        </row>
        <row r="17345">
          <cell r="A17345" t="str">
            <v>UNKNOWN</v>
          </cell>
          <cell r="B17345" t="str">
            <v>SSI813131-10DISH</v>
          </cell>
          <cell r="O17345"/>
          <cell r="T17345"/>
        </row>
        <row r="17346">
          <cell r="A17346" t="str">
            <v>UNKNOWN</v>
          </cell>
          <cell r="B17346" t="str">
            <v>SSI813131-10WHIP</v>
          </cell>
          <cell r="O17346"/>
          <cell r="T17346"/>
        </row>
        <row r="17347">
          <cell r="A17347" t="str">
            <v>UNKNOWN</v>
          </cell>
          <cell r="B17347" t="str">
            <v>SSI813131-15WHIP</v>
          </cell>
          <cell r="O17347"/>
          <cell r="T17347"/>
        </row>
        <row r="17348">
          <cell r="A17348" t="str">
            <v>UNKNOWN</v>
          </cell>
          <cell r="B17348" t="str">
            <v>SSI813131-20WHIP</v>
          </cell>
          <cell r="O17348"/>
          <cell r="T17348"/>
        </row>
        <row r="17349">
          <cell r="A17349" t="str">
            <v>UNKNOWN</v>
          </cell>
          <cell r="B17349" t="str">
            <v>SSI813131-3GPS</v>
          </cell>
          <cell r="O17349"/>
          <cell r="T17349"/>
        </row>
        <row r="17350">
          <cell r="A17350" t="str">
            <v>UNKNOWN</v>
          </cell>
          <cell r="B17350" t="str">
            <v>SSI813131-3WHIP</v>
          </cell>
          <cell r="O17350"/>
          <cell r="T17350"/>
        </row>
        <row r="17351">
          <cell r="A17351" t="str">
            <v>UNKNOWN</v>
          </cell>
          <cell r="B17351" t="str">
            <v>SSI813131-4GPS</v>
          </cell>
          <cell r="O17351"/>
          <cell r="T17351"/>
        </row>
        <row r="17352">
          <cell r="A17352" t="str">
            <v>UNKNOWN</v>
          </cell>
          <cell r="B17352" t="str">
            <v>SSI813131-6</v>
          </cell>
          <cell r="O17352"/>
          <cell r="T17352"/>
        </row>
        <row r="17353">
          <cell r="A17353" t="str">
            <v>UNKNOWN</v>
          </cell>
          <cell r="B17353" t="str">
            <v>SSI813131-6DISH</v>
          </cell>
          <cell r="O17353"/>
          <cell r="T17353"/>
        </row>
        <row r="17354">
          <cell r="A17354" t="str">
            <v>UNKNOWN</v>
          </cell>
          <cell r="B17354" t="str">
            <v>SSI813241O125</v>
          </cell>
          <cell r="O17354"/>
          <cell r="T17354"/>
        </row>
        <row r="17355">
          <cell r="A17355" t="str">
            <v>UNKNOWN</v>
          </cell>
          <cell r="B17355" t="str">
            <v>SSI813241P125</v>
          </cell>
          <cell r="O17355"/>
          <cell r="T17355"/>
        </row>
        <row r="17356">
          <cell r="A17356" t="str">
            <v>UNKNOWN</v>
          </cell>
          <cell r="B17356" t="str">
            <v>SSI813362L8</v>
          </cell>
          <cell r="O17356"/>
          <cell r="T17356"/>
        </row>
        <row r="17357">
          <cell r="A17357" t="str">
            <v>UNKNOWN</v>
          </cell>
          <cell r="B17357" t="str">
            <v>SSI813362P190</v>
          </cell>
          <cell r="O17357"/>
          <cell r="T17357"/>
        </row>
        <row r="17358">
          <cell r="A17358" t="str">
            <v>UNKNOWN</v>
          </cell>
          <cell r="B17358" t="str">
            <v>SSI813776-4DISH</v>
          </cell>
          <cell r="O17358"/>
          <cell r="T17358"/>
        </row>
        <row r="17359">
          <cell r="A17359" t="str">
            <v>UNKNOWN</v>
          </cell>
          <cell r="B17359" t="str">
            <v>SSI813776-6DISH</v>
          </cell>
          <cell r="O17359"/>
          <cell r="T17359"/>
        </row>
        <row r="17360">
          <cell r="A17360" t="str">
            <v>UNKNOWN</v>
          </cell>
          <cell r="B17360" t="str">
            <v>SSI813776-8DISH</v>
          </cell>
          <cell r="O17360"/>
          <cell r="T17360"/>
        </row>
        <row r="17361">
          <cell r="A17361" t="str">
            <v>UNKNOWN</v>
          </cell>
          <cell r="B17361" t="str">
            <v>SSI814026G108</v>
          </cell>
          <cell r="O17361"/>
          <cell r="T17361"/>
        </row>
        <row r="17362">
          <cell r="A17362" t="str">
            <v>UNKNOWN</v>
          </cell>
          <cell r="B17362" t="str">
            <v>SSI814026O240</v>
          </cell>
          <cell r="O17362"/>
          <cell r="T17362"/>
        </row>
        <row r="17363">
          <cell r="A17363" t="str">
            <v>UNKNOWN</v>
          </cell>
          <cell r="B17363" t="str">
            <v>SSI814041D41</v>
          </cell>
          <cell r="O17363"/>
          <cell r="T17363"/>
        </row>
        <row r="17364">
          <cell r="A17364" t="str">
            <v>UNKNOWN</v>
          </cell>
          <cell r="B17364" t="str">
            <v>SSI8141290O20</v>
          </cell>
          <cell r="O17364"/>
          <cell r="T17364"/>
        </row>
        <row r="17365">
          <cell r="A17365" t="str">
            <v>UNKNOWN</v>
          </cell>
          <cell r="B17365" t="str">
            <v>SSI814129B78_16</v>
          </cell>
          <cell r="O17365"/>
          <cell r="T17365"/>
        </row>
        <row r="17366">
          <cell r="A17366" t="str">
            <v>UNKNOWN</v>
          </cell>
          <cell r="B17366" t="str">
            <v>SSI814129D40</v>
          </cell>
          <cell r="O17366"/>
          <cell r="T17366"/>
        </row>
        <row r="17367">
          <cell r="A17367" t="str">
            <v>UNKNOWN</v>
          </cell>
          <cell r="B17367" t="str">
            <v>SSI814129D60</v>
          </cell>
          <cell r="O17367"/>
          <cell r="T17367"/>
        </row>
        <row r="17368">
          <cell r="A17368" t="str">
            <v>UNKNOWN</v>
          </cell>
          <cell r="B17368" t="str">
            <v>SSI814129O39</v>
          </cell>
          <cell r="O17368"/>
          <cell r="T17368"/>
        </row>
        <row r="17369">
          <cell r="A17369" t="str">
            <v>UNKNOWN</v>
          </cell>
          <cell r="B17369" t="str">
            <v>SSI814129O40</v>
          </cell>
          <cell r="O17369"/>
          <cell r="T17369"/>
        </row>
        <row r="17370">
          <cell r="A17370" t="str">
            <v>UNKNOWN</v>
          </cell>
          <cell r="B17370" t="str">
            <v>SSI814129O43</v>
          </cell>
          <cell r="O17370"/>
          <cell r="T17370"/>
        </row>
        <row r="17371">
          <cell r="A17371" t="str">
            <v>UNKNOWN</v>
          </cell>
          <cell r="B17371" t="str">
            <v>SSI814129O78_14</v>
          </cell>
          <cell r="O17371"/>
          <cell r="T17371"/>
        </row>
        <row r="17372">
          <cell r="A17372" t="str">
            <v>UNKNOWN</v>
          </cell>
          <cell r="B17372" t="str">
            <v>SSI814129O78_15</v>
          </cell>
          <cell r="O17372"/>
          <cell r="T17372"/>
        </row>
        <row r="17373">
          <cell r="A17373" t="str">
            <v>UNKNOWN</v>
          </cell>
          <cell r="B17373" t="str">
            <v>SSI814129Y18</v>
          </cell>
          <cell r="O17373"/>
          <cell r="T17373"/>
        </row>
        <row r="17374">
          <cell r="A17374" t="str">
            <v>UNKNOWN</v>
          </cell>
          <cell r="B17374" t="str">
            <v>SSI814129Y20</v>
          </cell>
          <cell r="O17374"/>
          <cell r="T17374"/>
        </row>
        <row r="17375">
          <cell r="A17375" t="str">
            <v>UNKNOWN</v>
          </cell>
          <cell r="B17375" t="str">
            <v>SSI814129Y21</v>
          </cell>
          <cell r="O17375"/>
          <cell r="T17375"/>
        </row>
        <row r="17376">
          <cell r="A17376" t="str">
            <v>UNKNOWN</v>
          </cell>
          <cell r="B17376" t="str">
            <v>SSI814129Y29</v>
          </cell>
          <cell r="O17376"/>
          <cell r="T17376"/>
        </row>
        <row r="17377">
          <cell r="A17377" t="str">
            <v>UNKNOWN</v>
          </cell>
          <cell r="B17377" t="str">
            <v>SSI814155P266</v>
          </cell>
          <cell r="O17377"/>
          <cell r="T17377"/>
        </row>
        <row r="17378">
          <cell r="A17378" t="str">
            <v>UNKNOWN</v>
          </cell>
          <cell r="B17378" t="str">
            <v>SSI814380L10</v>
          </cell>
          <cell r="O17378"/>
          <cell r="T17378"/>
        </row>
        <row r="17379">
          <cell r="A17379" t="str">
            <v>UNKNOWN</v>
          </cell>
          <cell r="B17379" t="str">
            <v>SSI814380O282</v>
          </cell>
          <cell r="O17379"/>
          <cell r="T17379"/>
        </row>
        <row r="17380">
          <cell r="A17380" t="str">
            <v>UNKNOWN</v>
          </cell>
          <cell r="B17380" t="str">
            <v>SSI814385G125</v>
          </cell>
          <cell r="O17380"/>
          <cell r="T17380"/>
        </row>
        <row r="17381">
          <cell r="A17381" t="str">
            <v>UNKNOWN</v>
          </cell>
          <cell r="B17381" t="str">
            <v>SSI814385O125</v>
          </cell>
          <cell r="O17381"/>
          <cell r="T17381"/>
        </row>
        <row r="17382">
          <cell r="A17382" t="str">
            <v>UNKNOWN</v>
          </cell>
          <cell r="B17382" t="str">
            <v>SSI814548O149</v>
          </cell>
          <cell r="O17382"/>
          <cell r="T17382"/>
        </row>
        <row r="17383">
          <cell r="A17383" t="str">
            <v>UNKNOWN</v>
          </cell>
          <cell r="B17383" t="str">
            <v>SSI814783G111</v>
          </cell>
          <cell r="O17383"/>
          <cell r="T17383"/>
        </row>
        <row r="17384">
          <cell r="A17384" t="str">
            <v>UNKNOWN</v>
          </cell>
          <cell r="B17384" t="str">
            <v>SSI814783G78</v>
          </cell>
          <cell r="O17384"/>
          <cell r="T17384"/>
        </row>
        <row r="17385">
          <cell r="A17385" t="str">
            <v>UNKNOWN</v>
          </cell>
          <cell r="B17385" t="str">
            <v>SSI814897D106</v>
          </cell>
          <cell r="O17385"/>
          <cell r="T17385"/>
        </row>
        <row r="17386">
          <cell r="A17386" t="str">
            <v>UNKNOWN</v>
          </cell>
          <cell r="B17386" t="str">
            <v>SSI814897D122</v>
          </cell>
          <cell r="O17386"/>
          <cell r="T17386"/>
        </row>
        <row r="17387">
          <cell r="A17387" t="str">
            <v>UNKNOWN</v>
          </cell>
          <cell r="B17387" t="str">
            <v>SSI814897D136</v>
          </cell>
          <cell r="O17387"/>
          <cell r="T17387"/>
        </row>
        <row r="17388">
          <cell r="A17388" t="str">
            <v>UNKNOWN</v>
          </cell>
          <cell r="B17388" t="str">
            <v>SSI815002O273</v>
          </cell>
          <cell r="O17388"/>
          <cell r="T17388"/>
        </row>
        <row r="17389">
          <cell r="A17389" t="str">
            <v>UNKNOWN</v>
          </cell>
          <cell r="B17389" t="str">
            <v>SSI815002O360_11</v>
          </cell>
          <cell r="O17389"/>
          <cell r="T17389"/>
        </row>
        <row r="17390">
          <cell r="A17390" t="str">
            <v>UNKNOWN</v>
          </cell>
          <cell r="B17390" t="str">
            <v>SSI815002O360_14</v>
          </cell>
          <cell r="O17390"/>
          <cell r="T17390"/>
        </row>
        <row r="17391">
          <cell r="A17391" t="str">
            <v>UNKNOWN</v>
          </cell>
          <cell r="B17391" t="str">
            <v>SSI815404P203</v>
          </cell>
          <cell r="O17391"/>
          <cell r="T17391"/>
        </row>
        <row r="17392">
          <cell r="A17392" t="str">
            <v>UNKNOWN</v>
          </cell>
          <cell r="B17392" t="str">
            <v>SSI815410P112</v>
          </cell>
          <cell r="O17392"/>
          <cell r="T17392"/>
        </row>
        <row r="17393">
          <cell r="A17393" t="str">
            <v>UNKNOWN</v>
          </cell>
          <cell r="B17393" t="str">
            <v>SSI815554G176</v>
          </cell>
          <cell r="O17393"/>
          <cell r="T17393"/>
        </row>
        <row r="17394">
          <cell r="A17394" t="str">
            <v>UNKNOWN</v>
          </cell>
          <cell r="B17394" t="str">
            <v>SSI815729O112</v>
          </cell>
          <cell r="O17394"/>
          <cell r="T17394"/>
        </row>
        <row r="17395">
          <cell r="A17395" t="str">
            <v>UNKNOWN</v>
          </cell>
          <cell r="B17395" t="str">
            <v>SSI815729O90</v>
          </cell>
          <cell r="O17395"/>
          <cell r="T17395"/>
        </row>
        <row r="17396">
          <cell r="A17396" t="str">
            <v>UNKNOWN</v>
          </cell>
          <cell r="B17396" t="str">
            <v>SSI815818O282</v>
          </cell>
          <cell r="O17396"/>
          <cell r="T17396"/>
        </row>
        <row r="17397">
          <cell r="A17397" t="str">
            <v>UNKNOWN</v>
          </cell>
          <cell r="B17397" t="str">
            <v>SSI816221G184</v>
          </cell>
          <cell r="O17397"/>
          <cell r="T17397"/>
        </row>
        <row r="17398">
          <cell r="A17398" t="str">
            <v>UNKNOWN</v>
          </cell>
          <cell r="B17398" t="str">
            <v>SSI816221O190</v>
          </cell>
          <cell r="O17398"/>
          <cell r="T17398"/>
        </row>
        <row r="17399">
          <cell r="A17399" t="str">
            <v>UNKNOWN</v>
          </cell>
          <cell r="B17399" t="str">
            <v>SSI816283O295</v>
          </cell>
          <cell r="O17399"/>
          <cell r="T17399"/>
        </row>
        <row r="17400">
          <cell r="A17400" t="str">
            <v>UNKNOWN</v>
          </cell>
          <cell r="B17400" t="str">
            <v>SSI816439-4PANEL</v>
          </cell>
          <cell r="O17400"/>
          <cell r="T17400"/>
        </row>
        <row r="17401">
          <cell r="A17401" t="str">
            <v>UNKNOWN</v>
          </cell>
          <cell r="B17401" t="str">
            <v>SSI816439-6DISH</v>
          </cell>
          <cell r="O17401"/>
          <cell r="T17401"/>
        </row>
        <row r="17402">
          <cell r="A17402" t="str">
            <v>UNKNOWN</v>
          </cell>
          <cell r="B17402" t="str">
            <v>SSI816546 4FT PANEL</v>
          </cell>
          <cell r="O17402"/>
          <cell r="T17402"/>
        </row>
        <row r="17403">
          <cell r="A17403" t="str">
            <v>UNKNOWN</v>
          </cell>
          <cell r="B17403" t="str">
            <v>SSI816564-8PANEL</v>
          </cell>
          <cell r="O17403"/>
          <cell r="T17403"/>
        </row>
        <row r="17404">
          <cell r="A17404" t="str">
            <v>UNKNOWN</v>
          </cell>
          <cell r="B17404" t="str">
            <v>SSI816596G237_3</v>
          </cell>
          <cell r="O17404"/>
          <cell r="T17404"/>
        </row>
        <row r="17405">
          <cell r="A17405" t="str">
            <v>UNKNOWN</v>
          </cell>
          <cell r="B17405" t="str">
            <v>SSI816596G237_4</v>
          </cell>
          <cell r="O17405"/>
          <cell r="T17405"/>
        </row>
        <row r="17406">
          <cell r="A17406" t="str">
            <v>UNKNOWN</v>
          </cell>
          <cell r="B17406" t="str">
            <v>SSI816608-10WHIP</v>
          </cell>
          <cell r="O17406"/>
          <cell r="T17406"/>
        </row>
        <row r="17407">
          <cell r="A17407" t="str">
            <v>UNKNOWN</v>
          </cell>
          <cell r="B17407" t="str">
            <v>SSI816608-11WHIP</v>
          </cell>
          <cell r="O17407"/>
          <cell r="T17407"/>
        </row>
        <row r="17408">
          <cell r="A17408" t="str">
            <v>UNKNOWN</v>
          </cell>
          <cell r="B17408" t="str">
            <v>SSI816608-2RAYDOME</v>
          </cell>
          <cell r="O17408"/>
          <cell r="T17408"/>
        </row>
        <row r="17409">
          <cell r="A17409" t="str">
            <v>UNKNOWN</v>
          </cell>
          <cell r="B17409" t="str">
            <v>SSI816614O12_19</v>
          </cell>
          <cell r="O17409"/>
          <cell r="T17409"/>
        </row>
        <row r="17410">
          <cell r="A17410" t="str">
            <v>UNKNOWN</v>
          </cell>
          <cell r="B17410" t="str">
            <v>SSI816615G100</v>
          </cell>
          <cell r="O17410"/>
          <cell r="T17410"/>
        </row>
        <row r="17411">
          <cell r="A17411" t="str">
            <v>UNKNOWN</v>
          </cell>
          <cell r="B17411" t="str">
            <v>SSI816615G125</v>
          </cell>
          <cell r="O17411"/>
          <cell r="T17411"/>
        </row>
        <row r="17412">
          <cell r="A17412" t="str">
            <v>UNKNOWN</v>
          </cell>
          <cell r="B17412" t="str">
            <v>SSI816615G145</v>
          </cell>
          <cell r="O17412"/>
          <cell r="T17412"/>
        </row>
        <row r="17413">
          <cell r="A17413" t="str">
            <v>UNKNOWN</v>
          </cell>
          <cell r="B17413" t="str">
            <v>SSI816615G155</v>
          </cell>
          <cell r="O17413"/>
          <cell r="T17413"/>
        </row>
        <row r="17414">
          <cell r="A17414" t="str">
            <v>UNKNOWN</v>
          </cell>
          <cell r="B17414" t="str">
            <v>SSI816615G260</v>
          </cell>
          <cell r="O17414"/>
          <cell r="T17414"/>
        </row>
        <row r="17415">
          <cell r="A17415" t="str">
            <v>UNKNOWN</v>
          </cell>
          <cell r="B17415" t="str">
            <v>SSI816634-D 221 18</v>
          </cell>
          <cell r="O17415"/>
          <cell r="T17415"/>
        </row>
        <row r="17416">
          <cell r="A17416" t="str">
            <v>UNKNOWN</v>
          </cell>
          <cell r="B17416" t="str">
            <v>SSI816634-L 11 22</v>
          </cell>
          <cell r="O17416"/>
          <cell r="T17416"/>
        </row>
        <row r="17417">
          <cell r="A17417" t="str">
            <v>UNKNOWN</v>
          </cell>
          <cell r="B17417" t="str">
            <v>SSI816634-L 11 23</v>
          </cell>
          <cell r="O17417"/>
          <cell r="T17417"/>
        </row>
        <row r="17418">
          <cell r="A17418" t="str">
            <v>UNKNOWN</v>
          </cell>
          <cell r="B17418" t="str">
            <v>SSI816636-2DISH</v>
          </cell>
          <cell r="O17418"/>
          <cell r="T17418"/>
        </row>
        <row r="17419">
          <cell r="A17419" t="str">
            <v>UNKNOWN</v>
          </cell>
          <cell r="B17419" t="str">
            <v>SSI816640-3DISH</v>
          </cell>
          <cell r="O17419"/>
          <cell r="T17419"/>
        </row>
        <row r="17420">
          <cell r="A17420" t="str">
            <v>UNKNOWN</v>
          </cell>
          <cell r="B17420" t="str">
            <v>SSI816640-8PANEL</v>
          </cell>
          <cell r="O17420"/>
          <cell r="T17420"/>
        </row>
        <row r="17421">
          <cell r="A17421" t="str">
            <v>UNKNOWN</v>
          </cell>
          <cell r="B17421" t="str">
            <v>SSI816651O278</v>
          </cell>
          <cell r="O17421"/>
          <cell r="T17421"/>
        </row>
        <row r="17422">
          <cell r="A17422" t="str">
            <v>UNKNOWN</v>
          </cell>
          <cell r="B17422" t="str">
            <v>SSI816674- 7 DISH</v>
          </cell>
          <cell r="O17422"/>
          <cell r="T17422"/>
        </row>
        <row r="17423">
          <cell r="A17423" t="str">
            <v>UNKNOWN</v>
          </cell>
          <cell r="B17423" t="str">
            <v>SSI816674- 9 DISH</v>
          </cell>
          <cell r="O17423"/>
          <cell r="T17423"/>
        </row>
        <row r="17424">
          <cell r="A17424" t="str">
            <v>UNKNOWN</v>
          </cell>
          <cell r="B17424" t="str">
            <v>SSI816690D168_1</v>
          </cell>
          <cell r="O17424"/>
          <cell r="T17424"/>
        </row>
        <row r="17425">
          <cell r="A17425" t="str">
            <v>UNKNOWN</v>
          </cell>
          <cell r="B17425" t="str">
            <v>SSI816690D168_2</v>
          </cell>
          <cell r="O17425"/>
          <cell r="T17425"/>
        </row>
        <row r="17426">
          <cell r="A17426" t="str">
            <v>UNKNOWN</v>
          </cell>
          <cell r="B17426" t="str">
            <v>SSI816690O71</v>
          </cell>
          <cell r="O17426"/>
          <cell r="T17426"/>
        </row>
        <row r="17427">
          <cell r="A17427" t="str">
            <v>UNKNOWN</v>
          </cell>
          <cell r="B17427" t="str">
            <v>SSI816690Y37</v>
          </cell>
          <cell r="O17427"/>
          <cell r="T17427"/>
        </row>
        <row r="17428">
          <cell r="A17428" t="str">
            <v>UNKNOWN</v>
          </cell>
          <cell r="B17428" t="str">
            <v>SSI816690Y86</v>
          </cell>
          <cell r="O17428"/>
          <cell r="T17428"/>
        </row>
        <row r="17429">
          <cell r="A17429" t="str">
            <v>UNKNOWN</v>
          </cell>
          <cell r="B17429" t="str">
            <v>SSI816717-M151 5</v>
          </cell>
          <cell r="O17429"/>
          <cell r="T17429"/>
        </row>
        <row r="17430">
          <cell r="A17430" t="str">
            <v>UNKNOWN</v>
          </cell>
          <cell r="B17430" t="str">
            <v>SSI816775M32</v>
          </cell>
          <cell r="O17430"/>
          <cell r="T17430"/>
        </row>
        <row r="17431">
          <cell r="A17431" t="str">
            <v>UNKNOWN</v>
          </cell>
          <cell r="B17431" t="str">
            <v>SSI816775O25</v>
          </cell>
          <cell r="O17431"/>
          <cell r="T17431"/>
        </row>
        <row r="17432">
          <cell r="A17432" t="str">
            <v>UNKNOWN</v>
          </cell>
          <cell r="B17432" t="str">
            <v>SSI816775O38</v>
          </cell>
          <cell r="O17432"/>
          <cell r="T17432"/>
        </row>
        <row r="17433">
          <cell r="A17433" t="str">
            <v>UNKNOWN</v>
          </cell>
          <cell r="B17433" t="str">
            <v>SSI816775O52</v>
          </cell>
          <cell r="O17433"/>
          <cell r="T17433"/>
        </row>
        <row r="17434">
          <cell r="A17434" t="str">
            <v>UNKNOWN</v>
          </cell>
          <cell r="B17434" t="str">
            <v>SSI816818L10</v>
          </cell>
          <cell r="O17434"/>
          <cell r="T17434"/>
        </row>
        <row r="17435">
          <cell r="A17435" t="str">
            <v>UNKNOWN</v>
          </cell>
          <cell r="B17435" t="str">
            <v>SSI816818L9</v>
          </cell>
          <cell r="O17435"/>
          <cell r="T17435"/>
        </row>
        <row r="17436">
          <cell r="A17436" t="str">
            <v>UNKNOWN</v>
          </cell>
          <cell r="B17436" t="str">
            <v>SSI816818P100</v>
          </cell>
          <cell r="O17436"/>
          <cell r="T17436"/>
        </row>
        <row r="17437">
          <cell r="A17437" t="str">
            <v>UNKNOWN</v>
          </cell>
          <cell r="B17437" t="str">
            <v>SSI816818P127</v>
          </cell>
          <cell r="O17437"/>
          <cell r="T17437"/>
        </row>
        <row r="17438">
          <cell r="A17438" t="str">
            <v>UNKNOWN</v>
          </cell>
          <cell r="B17438" t="str">
            <v>SSI816818P180</v>
          </cell>
          <cell r="O17438"/>
          <cell r="T17438"/>
        </row>
        <row r="17439">
          <cell r="A17439" t="str">
            <v>UNKNOWN</v>
          </cell>
          <cell r="B17439" t="str">
            <v>SSI816818P70</v>
          </cell>
          <cell r="O17439"/>
          <cell r="T17439"/>
        </row>
        <row r="17440">
          <cell r="A17440" t="str">
            <v>UNKNOWN</v>
          </cell>
          <cell r="B17440" t="str">
            <v>SSI816820P122</v>
          </cell>
          <cell r="O17440"/>
          <cell r="T17440"/>
        </row>
        <row r="17441">
          <cell r="A17441" t="str">
            <v>UNKNOWN</v>
          </cell>
          <cell r="B17441" t="str">
            <v>STANDARD DISH</v>
          </cell>
          <cell r="O17441"/>
          <cell r="T17441"/>
        </row>
        <row r="17442">
          <cell r="A17442" t="str">
            <v>UNKNOWN</v>
          </cell>
          <cell r="B17442" t="str">
            <v>SYSTEM ANTENNA</v>
          </cell>
          <cell r="O17442"/>
          <cell r="T17442"/>
        </row>
        <row r="17443">
          <cell r="A17443" t="str">
            <v>UNKNOWN</v>
          </cell>
          <cell r="B17443" t="str">
            <v>T2M02M</v>
          </cell>
          <cell r="O17443"/>
          <cell r="T17443"/>
        </row>
        <row r="17444">
          <cell r="A17444" t="str">
            <v>UNKNOWN</v>
          </cell>
          <cell r="B17444" t="str">
            <v>TDD6023A</v>
          </cell>
          <cell r="O17444"/>
          <cell r="T17444"/>
        </row>
        <row r="17445">
          <cell r="A17445" t="str">
            <v>UNKNOWN</v>
          </cell>
          <cell r="B17445" t="str">
            <v>TDD6492A</v>
          </cell>
          <cell r="O17445"/>
          <cell r="T17445"/>
        </row>
        <row r="17446">
          <cell r="A17446" t="str">
            <v>UNKNOWN</v>
          </cell>
          <cell r="B17446" t="str">
            <v>TDE6081</v>
          </cell>
          <cell r="O17446"/>
          <cell r="T17446"/>
        </row>
        <row r="17447">
          <cell r="A17447" t="str">
            <v>UNKNOWN</v>
          </cell>
          <cell r="B17447" t="str">
            <v>TEST MOBILE</v>
          </cell>
          <cell r="O17447"/>
          <cell r="T17447"/>
        </row>
        <row r="17448">
          <cell r="A17448" t="str">
            <v>UNKNOWN</v>
          </cell>
          <cell r="B17448" t="str">
            <v>TWO WAY</v>
          </cell>
          <cell r="O17448"/>
          <cell r="T17448"/>
        </row>
        <row r="17449">
          <cell r="A17449" t="str">
            <v>UNKNOWN</v>
          </cell>
          <cell r="B17449" t="str">
            <v>TWO WAY ANTENNA</v>
          </cell>
          <cell r="O17449"/>
          <cell r="T17449"/>
        </row>
        <row r="17450">
          <cell r="A17450" t="str">
            <v>UNKNOWN</v>
          </cell>
          <cell r="B17450" t="str">
            <v>UHF/VHF</v>
          </cell>
          <cell r="O17450"/>
          <cell r="T17450"/>
        </row>
        <row r="17451">
          <cell r="A17451" t="str">
            <v>UNKNOWN</v>
          </cell>
          <cell r="B17451" t="str">
            <v>UHX</v>
          </cell>
          <cell r="O17451"/>
          <cell r="T17451"/>
        </row>
        <row r="17452">
          <cell r="A17452" t="str">
            <v>UNKNOWN</v>
          </cell>
          <cell r="B17452" t="str">
            <v>UHX 10</v>
          </cell>
          <cell r="O17452"/>
          <cell r="T17452"/>
        </row>
        <row r="17453">
          <cell r="A17453" t="str">
            <v>UNKNOWN</v>
          </cell>
          <cell r="B17453" t="str">
            <v>UHX-8</v>
          </cell>
          <cell r="O17453"/>
          <cell r="T17453"/>
        </row>
        <row r="17454">
          <cell r="A17454" t="str">
            <v>UNKNOWN</v>
          </cell>
          <cell r="B17454" t="str">
            <v>UHX6</v>
          </cell>
          <cell r="O17454"/>
          <cell r="T17454"/>
        </row>
        <row r="17455">
          <cell r="A17455" t="str">
            <v>UNKNOWN</v>
          </cell>
          <cell r="B17455" t="str">
            <v>UHX8-59E</v>
          </cell>
          <cell r="O17455"/>
          <cell r="T17455"/>
        </row>
        <row r="17456">
          <cell r="A17456" t="str">
            <v>UNKNOWN</v>
          </cell>
          <cell r="B17456" t="str">
            <v>UNKNOWN_CCIV2</v>
          </cell>
          <cell r="O17456"/>
          <cell r="T17456"/>
        </row>
        <row r="17457">
          <cell r="A17457" t="str">
            <v>UNKNOWN</v>
          </cell>
          <cell r="B17457" t="str">
            <v>VFF W (3)</v>
          </cell>
          <cell r="O17457"/>
          <cell r="T17457"/>
        </row>
        <row r="17458">
          <cell r="A17458" t="str">
            <v>UNKNOWN</v>
          </cell>
          <cell r="B17458" t="str">
            <v>VHF</v>
          </cell>
          <cell r="O17458"/>
          <cell r="T17458"/>
        </row>
        <row r="17459">
          <cell r="A17459" t="str">
            <v>UNKNOWN</v>
          </cell>
          <cell r="B17459" t="str">
            <v>VHF ANTENNA</v>
          </cell>
          <cell r="O17459"/>
          <cell r="T17459"/>
        </row>
        <row r="17460">
          <cell r="A17460" t="str">
            <v>UNKNOWN</v>
          </cell>
          <cell r="B17460" t="str">
            <v>VHF ANTENNAS</v>
          </cell>
          <cell r="O17460"/>
          <cell r="T17460"/>
        </row>
        <row r="17461">
          <cell r="A17461" t="str">
            <v>UNKNOWN</v>
          </cell>
          <cell r="B17461" t="str">
            <v>VHF WHIPS</v>
          </cell>
          <cell r="O17461"/>
          <cell r="T17461"/>
        </row>
        <row r="17462">
          <cell r="A17462" t="str">
            <v>UNKNOWN</v>
          </cell>
          <cell r="B17462" t="str">
            <v>WHIP</v>
          </cell>
          <cell r="O17462"/>
          <cell r="T17462"/>
        </row>
        <row r="17463">
          <cell r="A17463" t="str">
            <v>UNKNOWN</v>
          </cell>
          <cell r="B17463" t="str">
            <v>WHIP ANT.W/1</v>
          </cell>
          <cell r="O17463"/>
          <cell r="T17463"/>
        </row>
        <row r="17464">
          <cell r="A17464" t="str">
            <v>UNKNOWN</v>
          </cell>
          <cell r="B17464" t="str">
            <v>WHIP W/1</v>
          </cell>
          <cell r="O17464"/>
          <cell r="T17464"/>
        </row>
        <row r="17465">
          <cell r="A17465" t="str">
            <v>UNKNOWN</v>
          </cell>
          <cell r="B17465" t="str">
            <v>WHIPS</v>
          </cell>
          <cell r="O17465"/>
          <cell r="T17465"/>
        </row>
        <row r="17466">
          <cell r="A17466" t="str">
            <v>UNKNOWN</v>
          </cell>
          <cell r="B17466" t="str">
            <v>WHIPS W/3</v>
          </cell>
          <cell r="O17466"/>
          <cell r="T17466"/>
        </row>
        <row r="17467">
          <cell r="A17467" t="str">
            <v>UNKNOWN</v>
          </cell>
          <cell r="B17467" t="str">
            <v>Y-115</v>
          </cell>
          <cell r="O17467"/>
          <cell r="T17467"/>
        </row>
        <row r="17468">
          <cell r="A17468" t="str">
            <v>UNKNOWN</v>
          </cell>
          <cell r="B17468" t="str">
            <v>Y-25</v>
          </cell>
          <cell r="O17468"/>
          <cell r="T17468"/>
        </row>
        <row r="17469">
          <cell r="A17469" t="str">
            <v>UNKNOWN</v>
          </cell>
          <cell r="B17469" t="str">
            <v>Y-85</v>
          </cell>
          <cell r="O17469"/>
          <cell r="T17469"/>
        </row>
        <row r="17470">
          <cell r="A17470" t="str">
            <v>UNKNOWN</v>
          </cell>
          <cell r="B17470" t="str">
            <v>YAGI</v>
          </cell>
          <cell r="O17470"/>
          <cell r="T17470"/>
        </row>
        <row r="17471">
          <cell r="A17471" t="str">
            <v>UNKNOWN</v>
          </cell>
          <cell r="B17471" t="str">
            <v>YUHF-E</v>
          </cell>
          <cell r="O17471"/>
          <cell r="T17471"/>
        </row>
        <row r="17472">
          <cell r="A17472" t="str">
            <v>VAISALA</v>
          </cell>
          <cell r="B17472" t="str">
            <v>HMP60</v>
          </cell>
          <cell r="O17472"/>
          <cell r="T17472"/>
        </row>
        <row r="17473">
          <cell r="A17473" t="str">
            <v>VALEMOUNT NETWORKS COPR</v>
          </cell>
          <cell r="B17473" t="str">
            <v>X4517</v>
          </cell>
          <cell r="O17473"/>
          <cell r="T17473"/>
        </row>
        <row r="17474">
          <cell r="A17474" t="str">
            <v>VALMONT</v>
          </cell>
          <cell r="B17474" t="str">
            <v>1620-8</v>
          </cell>
          <cell r="O17474"/>
          <cell r="T17474"/>
        </row>
        <row r="17475">
          <cell r="A17475" t="str">
            <v>VALMONT</v>
          </cell>
          <cell r="B17475" t="str">
            <v>800250</v>
          </cell>
          <cell r="O17475"/>
          <cell r="T17475"/>
        </row>
        <row r="17476">
          <cell r="A17476" t="str">
            <v>VALMONT</v>
          </cell>
          <cell r="B17476" t="str">
            <v>800251</v>
          </cell>
          <cell r="O17476"/>
          <cell r="T17476"/>
        </row>
        <row r="17477">
          <cell r="A17477" t="str">
            <v>VALMONT</v>
          </cell>
          <cell r="B17477" t="str">
            <v>800252</v>
          </cell>
          <cell r="O17477"/>
          <cell r="T17477"/>
        </row>
        <row r="17478">
          <cell r="A17478" t="str">
            <v>VALMONT</v>
          </cell>
          <cell r="B17478" t="str">
            <v>800253</v>
          </cell>
          <cell r="O17478"/>
          <cell r="T17478"/>
        </row>
        <row r="17479">
          <cell r="A17479" t="str">
            <v>VALMONT</v>
          </cell>
          <cell r="B17479" t="str">
            <v>CIS04</v>
          </cell>
          <cell r="O17479"/>
          <cell r="T17479"/>
        </row>
        <row r="17480">
          <cell r="A17480" t="str">
            <v>VALMONT</v>
          </cell>
          <cell r="B17480" t="str">
            <v>CIS06</v>
          </cell>
          <cell r="O17480"/>
          <cell r="T17480"/>
        </row>
        <row r="17481">
          <cell r="A17481" t="str">
            <v>VALMONT</v>
          </cell>
          <cell r="B17481" t="str">
            <v>ISMD10</v>
          </cell>
          <cell r="O17481"/>
          <cell r="T17481"/>
        </row>
        <row r="17482">
          <cell r="A17482" t="str">
            <v>VALMONT</v>
          </cell>
          <cell r="B17482" t="str">
            <v>ISMD4</v>
          </cell>
          <cell r="O17482"/>
          <cell r="T17482"/>
        </row>
        <row r="17483">
          <cell r="A17483" t="str">
            <v>VALMONT</v>
          </cell>
          <cell r="B17483" t="str">
            <v>ISMD4-R5LL</v>
          </cell>
          <cell r="O17483"/>
          <cell r="T17483"/>
        </row>
        <row r="17484">
          <cell r="A17484" t="str">
            <v>VALMONT</v>
          </cell>
          <cell r="B17484" t="str">
            <v>ISMD4_V2</v>
          </cell>
          <cell r="O17484"/>
          <cell r="T17484"/>
        </row>
        <row r="17485">
          <cell r="A17485" t="str">
            <v>VALMONT</v>
          </cell>
          <cell r="B17485" t="str">
            <v>ISMD6</v>
          </cell>
          <cell r="O17485"/>
          <cell r="T17485"/>
        </row>
        <row r="17486">
          <cell r="A17486" t="str">
            <v>VALMONT</v>
          </cell>
          <cell r="B17486" t="str">
            <v>ISMD6-R5LL</v>
          </cell>
          <cell r="O17486"/>
          <cell r="T17486"/>
        </row>
        <row r="17487">
          <cell r="A17487" t="str">
            <v>VALMONT</v>
          </cell>
          <cell r="B17487" t="str">
            <v>ISMD8</v>
          </cell>
          <cell r="O17487"/>
          <cell r="T17487"/>
        </row>
        <row r="17488">
          <cell r="A17488" t="str">
            <v>VALMONT</v>
          </cell>
          <cell r="B17488" t="str">
            <v>ISMD8-R5LL</v>
          </cell>
          <cell r="O17488"/>
          <cell r="T17488"/>
        </row>
        <row r="17489">
          <cell r="A17489" t="str">
            <v>VALMONT</v>
          </cell>
          <cell r="B17489" t="str">
            <v>MIS-24</v>
          </cell>
          <cell r="O17489"/>
          <cell r="T17489"/>
        </row>
        <row r="17490">
          <cell r="A17490" t="str">
            <v>VALMONT</v>
          </cell>
          <cell r="B17490" t="str">
            <v>RTM6X8-HF</v>
          </cell>
          <cell r="O17490"/>
          <cell r="T17490"/>
        </row>
        <row r="17491">
          <cell r="A17491" t="str">
            <v>VALMONT</v>
          </cell>
          <cell r="B17491" t="str">
            <v>RTM8X10</v>
          </cell>
          <cell r="O17491"/>
          <cell r="T17491"/>
        </row>
        <row r="17492">
          <cell r="A17492" t="str">
            <v>VALMONT</v>
          </cell>
          <cell r="B17492" t="str">
            <v>RTM8X12-HF</v>
          </cell>
          <cell r="O17492"/>
          <cell r="T17492"/>
        </row>
        <row r="17493">
          <cell r="A17493" t="str">
            <v>VECIMA NETWORKS INC</v>
          </cell>
          <cell r="B17493" t="str">
            <v>OBR3650/HP_CCIV2</v>
          </cell>
          <cell r="O17493"/>
          <cell r="T17493"/>
        </row>
        <row r="17494">
          <cell r="A17494" t="str">
            <v>VECIMA NETWORKS INC</v>
          </cell>
          <cell r="B17494" t="str">
            <v>TME-OBR3650/HP</v>
          </cell>
          <cell r="O17494"/>
          <cell r="T17494"/>
        </row>
        <row r="17495">
          <cell r="A17495" t="str">
            <v>VENTEV</v>
          </cell>
          <cell r="B17495" t="str">
            <v>M3030050O100NMO</v>
          </cell>
          <cell r="O17495"/>
          <cell r="T17495"/>
        </row>
        <row r="17496">
          <cell r="A17496" t="str">
            <v>VERTEX</v>
          </cell>
          <cell r="B17496" t="str">
            <v>1.5 METER</v>
          </cell>
          <cell r="O17496"/>
          <cell r="T17496"/>
        </row>
        <row r="17497">
          <cell r="A17497" t="str">
            <v>VERTEX</v>
          </cell>
          <cell r="B17497" t="str">
            <v>101V VPD</v>
          </cell>
          <cell r="O17497"/>
          <cell r="T17497"/>
        </row>
        <row r="17498">
          <cell r="A17498" t="str">
            <v>VIASAT</v>
          </cell>
          <cell r="B17498" t="str">
            <v>PN 533084-002</v>
          </cell>
          <cell r="O17498"/>
          <cell r="T17498"/>
        </row>
        <row r="17499">
          <cell r="A17499" t="str">
            <v>VICON</v>
          </cell>
          <cell r="B17499" t="str">
            <v>S2000 OUTDOOR PENDANT</v>
          </cell>
          <cell r="O17499"/>
          <cell r="T17499"/>
        </row>
        <row r="17500">
          <cell r="A17500" t="str">
            <v>VICON</v>
          </cell>
          <cell r="B17500" t="str">
            <v>V2102D-W313MIR</v>
          </cell>
          <cell r="O17500"/>
          <cell r="T17500"/>
        </row>
        <row r="17501">
          <cell r="A17501" t="str">
            <v>VICON</v>
          </cell>
          <cell r="B17501" t="str">
            <v>V4.5H-12-1</v>
          </cell>
          <cell r="O17501"/>
          <cell r="T17501"/>
        </row>
        <row r="17502">
          <cell r="A17502" t="str">
            <v>VISLINK</v>
          </cell>
          <cell r="B17502" t="str">
            <v>ELLIPSE DR-II</v>
          </cell>
          <cell r="O17502"/>
          <cell r="T17502"/>
        </row>
        <row r="17503">
          <cell r="A17503" t="str">
            <v>VISLINK</v>
          </cell>
          <cell r="B17503" t="str">
            <v>SEC13-2/7Q</v>
          </cell>
          <cell r="O17503"/>
          <cell r="T17503"/>
        </row>
        <row r="17504">
          <cell r="A17504" t="str">
            <v>VISLINK</v>
          </cell>
          <cell r="B17504" t="str">
            <v>USCAN2-DRB-2N</v>
          </cell>
          <cell r="O17504"/>
          <cell r="T17504"/>
        </row>
        <row r="17505">
          <cell r="A17505" t="str">
            <v>VISLINK</v>
          </cell>
          <cell r="B17505" t="str">
            <v>UltraScan DR II</v>
          </cell>
          <cell r="O17505"/>
          <cell r="T17505"/>
        </row>
        <row r="17506">
          <cell r="A17506" t="str">
            <v>VIVATO</v>
          </cell>
          <cell r="B17506" t="str">
            <v>VA2210</v>
          </cell>
          <cell r="O17506"/>
          <cell r="T17506"/>
        </row>
        <row r="17507">
          <cell r="A17507" t="str">
            <v>VZW</v>
          </cell>
          <cell r="B17507" t="str">
            <v>Sub6 Antenna</v>
          </cell>
          <cell r="O17507"/>
          <cell r="T17507"/>
        </row>
        <row r="17508">
          <cell r="A17508" t="str">
            <v>VZW</v>
          </cell>
          <cell r="B17508" t="str">
            <v>Sub6 Antenna - VZS01</v>
          </cell>
          <cell r="O17508"/>
          <cell r="T17508"/>
        </row>
        <row r="17509">
          <cell r="A17509" t="str">
            <v>WADE ANTENNA</v>
          </cell>
          <cell r="B17509" t="str">
            <v>D-1338-BB</v>
          </cell>
          <cell r="O17509"/>
          <cell r="T17509"/>
        </row>
        <row r="17510">
          <cell r="A17510" t="str">
            <v>WADE ANTENNA</v>
          </cell>
          <cell r="B17510" t="str">
            <v>J105-HI</v>
          </cell>
          <cell r="O17510"/>
          <cell r="T17510"/>
        </row>
        <row r="17511">
          <cell r="A17511" t="str">
            <v>WADE ANTENNA</v>
          </cell>
          <cell r="B17511" t="str">
            <v>J55-FM</v>
          </cell>
          <cell r="O17511"/>
          <cell r="T17511"/>
        </row>
        <row r="17512">
          <cell r="A17512" t="str">
            <v>WADE ANTENNA</v>
          </cell>
          <cell r="B17512" t="str">
            <v>J55-LO</v>
          </cell>
          <cell r="O17512"/>
          <cell r="T17512"/>
        </row>
        <row r="17513">
          <cell r="A17513" t="str">
            <v>WADE ANTENNA</v>
          </cell>
          <cell r="B17513" t="str">
            <v>PB-81-BB</v>
          </cell>
          <cell r="O17513"/>
          <cell r="T17513"/>
        </row>
        <row r="17514">
          <cell r="A17514" t="str">
            <v>WADE ANTENNA</v>
          </cell>
          <cell r="B17514" t="str">
            <v>SPEC0048_B01</v>
          </cell>
          <cell r="O17514"/>
          <cell r="T17514"/>
        </row>
        <row r="17515">
          <cell r="A17515" t="str">
            <v>WADE ANTENNA</v>
          </cell>
          <cell r="B17515" t="str">
            <v>WH14-69/24</v>
          </cell>
          <cell r="O17515"/>
          <cell r="T17515"/>
        </row>
        <row r="17516">
          <cell r="A17516" t="str">
            <v>WADE ANTENNA</v>
          </cell>
          <cell r="B17516" t="str">
            <v>WH14-69/S</v>
          </cell>
          <cell r="O17516"/>
          <cell r="T17516"/>
        </row>
        <row r="17517">
          <cell r="A17517" t="str">
            <v>WADE ANTENNA</v>
          </cell>
          <cell r="B17517" t="str">
            <v>WL 14-69/HP</v>
          </cell>
          <cell r="O17517"/>
          <cell r="T17517"/>
        </row>
        <row r="17518">
          <cell r="A17518" t="str">
            <v>WADE ANTENNA</v>
          </cell>
          <cell r="B17518" t="str">
            <v>WL 14-69/S</v>
          </cell>
          <cell r="O17518"/>
          <cell r="T17518"/>
        </row>
        <row r="17519">
          <cell r="A17519" t="str">
            <v>WADE ANTENNA</v>
          </cell>
          <cell r="B17519" t="str">
            <v>WL 7-13/HP</v>
          </cell>
          <cell r="O17519"/>
          <cell r="T17519"/>
        </row>
        <row r="17520">
          <cell r="A17520" t="str">
            <v>WADE ANTENNA</v>
          </cell>
          <cell r="B17520" t="str">
            <v>WL 7-13/S</v>
          </cell>
          <cell r="O17520"/>
          <cell r="T17520"/>
        </row>
        <row r="17521">
          <cell r="A17521" t="str">
            <v>WAVE CONCEPTS</v>
          </cell>
          <cell r="B17521" t="str">
            <v>LM240010519</v>
          </cell>
          <cell r="O17521"/>
          <cell r="T17521"/>
        </row>
        <row r="17522">
          <cell r="A17522" t="str">
            <v>WAVE WIRLESS</v>
          </cell>
          <cell r="B17522" t="str">
            <v>A24-16P27A</v>
          </cell>
          <cell r="O17522"/>
          <cell r="T17522"/>
        </row>
        <row r="17523">
          <cell r="A17523" t="str">
            <v>WAVE WIRLESS</v>
          </cell>
          <cell r="B17523" t="str">
            <v>A24-18SPG-D</v>
          </cell>
          <cell r="O17523"/>
          <cell r="T17523"/>
        </row>
        <row r="17524">
          <cell r="A17524" t="str">
            <v>WAVE WIRLESS</v>
          </cell>
          <cell r="B17524" t="str">
            <v>A24-24SPG-D</v>
          </cell>
          <cell r="O17524"/>
          <cell r="T17524"/>
        </row>
        <row r="17525">
          <cell r="A17525" t="str">
            <v>WAVE WIRLESS</v>
          </cell>
          <cell r="B17525" t="str">
            <v>A24-90V-D</v>
          </cell>
          <cell r="O17525"/>
          <cell r="T17525"/>
        </row>
        <row r="17526">
          <cell r="A17526" t="str">
            <v>WAVELINK</v>
          </cell>
          <cell r="B17526" t="str">
            <v>PROex216-10-H-0-N4</v>
          </cell>
          <cell r="O17526"/>
          <cell r="T17526"/>
        </row>
        <row r="17527">
          <cell r="A17527" t="str">
            <v>WAVERIDER</v>
          </cell>
          <cell r="B17527" t="str">
            <v>305-0110</v>
          </cell>
          <cell r="O17527"/>
          <cell r="T17527"/>
        </row>
        <row r="17528">
          <cell r="A17528" t="str">
            <v>WB MANUFACTURING</v>
          </cell>
          <cell r="B17528" t="str">
            <v>OS-R3/OSF-R3-11X</v>
          </cell>
          <cell r="O17528"/>
          <cell r="T17528"/>
        </row>
        <row r="17529">
          <cell r="A17529" t="str">
            <v>WEATHER BUG</v>
          </cell>
          <cell r="B17529" t="str">
            <v>ANEMOMETER</v>
          </cell>
          <cell r="O17529"/>
          <cell r="T17529"/>
        </row>
        <row r="17530">
          <cell r="A17530" t="str">
            <v>WEATHER BUG</v>
          </cell>
          <cell r="B17530" t="str">
            <v>ASPIRATED SHELTER</v>
          </cell>
          <cell r="O17530"/>
          <cell r="T17530"/>
        </row>
        <row r="17531">
          <cell r="A17531" t="str">
            <v>WEATHER BUG</v>
          </cell>
          <cell r="B17531" t="str">
            <v>RAIN GAUGE</v>
          </cell>
          <cell r="O17531"/>
          <cell r="T17531"/>
        </row>
        <row r="17532">
          <cell r="A17532" t="str">
            <v>WEATHER FLOW</v>
          </cell>
          <cell r="B17532" t="str">
            <v>SCYLLA WEATHER STATION UNIT</v>
          </cell>
          <cell r="O17532"/>
          <cell r="T17532"/>
        </row>
        <row r="17533">
          <cell r="A17533" t="str">
            <v>WEATHER FLOW</v>
          </cell>
          <cell r="B17533" t="str">
            <v>WEATHER STATION EQUIPMENT</v>
          </cell>
          <cell r="O17533"/>
          <cell r="T17533"/>
        </row>
        <row r="17534">
          <cell r="A17534" t="str">
            <v>WEATHERHAWK</v>
          </cell>
          <cell r="B17534" t="str">
            <v>600 Series</v>
          </cell>
          <cell r="O17534"/>
          <cell r="T17534"/>
        </row>
        <row r="17535">
          <cell r="A17535" t="str">
            <v>WESTELL</v>
          </cell>
          <cell r="B17535" t="str">
            <v>CSI-AY/806-960/14</v>
          </cell>
          <cell r="O17535"/>
          <cell r="T17535"/>
        </row>
        <row r="17536">
          <cell r="A17536" t="str">
            <v>WESTELL/ANTONE</v>
          </cell>
          <cell r="B17536" t="str">
            <v>TME-AWC-TMA-700C-VG</v>
          </cell>
          <cell r="O17536"/>
          <cell r="T17536"/>
        </row>
        <row r="17537">
          <cell r="A17537" t="str">
            <v>WESTELL/ANTONE</v>
          </cell>
          <cell r="B17537" t="str">
            <v>TME-BWC-TTMA-700C-VG</v>
          </cell>
          <cell r="O17537"/>
          <cell r="T17537"/>
        </row>
        <row r="17538">
          <cell r="A17538" t="str">
            <v>WESTERN ELECTRIC</v>
          </cell>
          <cell r="B17538" t="str">
            <v>KS-15676 L9</v>
          </cell>
          <cell r="O17538"/>
          <cell r="T17538"/>
        </row>
        <row r="17539">
          <cell r="A17539" t="str">
            <v>WESTERN UNION</v>
          </cell>
          <cell r="B17539" t="str">
            <v>KS15676</v>
          </cell>
          <cell r="O17539"/>
          <cell r="T17539"/>
        </row>
        <row r="17540">
          <cell r="A17540" t="str">
            <v>WHELEN</v>
          </cell>
          <cell r="B17540" t="str">
            <v>WPS-4000-4</v>
          </cell>
          <cell r="O17540"/>
          <cell r="T17540"/>
        </row>
        <row r="17541">
          <cell r="A17541" t="str">
            <v>WHELEN</v>
          </cell>
          <cell r="B17541" t="str">
            <v>WPS2805</v>
          </cell>
          <cell r="O17541"/>
          <cell r="T17541"/>
        </row>
        <row r="17542">
          <cell r="A17542" t="str">
            <v>WHELEN</v>
          </cell>
          <cell r="B17542" t="str">
            <v>WPS2807</v>
          </cell>
          <cell r="O17542"/>
          <cell r="T17542"/>
        </row>
        <row r="17543">
          <cell r="A17543" t="str">
            <v>WI-FIBER</v>
          </cell>
          <cell r="B17543" t="str">
            <v>5.8 GHZ SOLID DISH</v>
          </cell>
          <cell r="O17543"/>
          <cell r="T17543"/>
        </row>
        <row r="17544">
          <cell r="A17544" t="str">
            <v>WI-FIBER</v>
          </cell>
          <cell r="B17544" t="str">
            <v>SMART_MESH</v>
          </cell>
          <cell r="O17544"/>
          <cell r="T17544"/>
        </row>
        <row r="17545">
          <cell r="A17545" t="str">
            <v>WIEGMANN</v>
          </cell>
          <cell r="B17545" t="str">
            <v>TME-N4161206</v>
          </cell>
          <cell r="O17545"/>
          <cell r="T17545"/>
        </row>
        <row r="17546">
          <cell r="A17546" t="str">
            <v>WIFI-PLUS</v>
          </cell>
          <cell r="B17546" t="str">
            <v>WISPER-120</v>
          </cell>
          <cell r="O17546"/>
          <cell r="T17546"/>
        </row>
        <row r="17547">
          <cell r="A17547" t="str">
            <v>WIFX</v>
          </cell>
          <cell r="B17547" t="str">
            <v>Lorix one</v>
          </cell>
          <cell r="O17547"/>
          <cell r="T17547"/>
        </row>
        <row r="17548">
          <cell r="A17548" t="str">
            <v>WILAN</v>
          </cell>
          <cell r="B17548" t="str">
            <v>ULTIMA 3</v>
          </cell>
          <cell r="O17548"/>
          <cell r="T17548"/>
        </row>
        <row r="17549">
          <cell r="A17549" t="str">
            <v>WILCOX ELECTRIC INC</v>
          </cell>
          <cell r="B17549" t="str">
            <v>FA-10207-3_19920215</v>
          </cell>
          <cell r="O17549"/>
          <cell r="T17549"/>
        </row>
        <row r="17550">
          <cell r="A17550" t="str">
            <v>WILSON ELECTRONICS INC</v>
          </cell>
          <cell r="B17550" t="str">
            <v>301111</v>
          </cell>
          <cell r="O17550"/>
          <cell r="T17550"/>
        </row>
        <row r="17551">
          <cell r="A17551" t="str">
            <v>WILSON ELECTRONICS INC</v>
          </cell>
          <cell r="B17551" t="str">
            <v>304411</v>
          </cell>
          <cell r="O17551"/>
          <cell r="T17551"/>
        </row>
        <row r="17552">
          <cell r="A17552" t="str">
            <v>WILSON ELECTRONICS INC</v>
          </cell>
          <cell r="B17552" t="str">
            <v>311129</v>
          </cell>
          <cell r="O17552"/>
          <cell r="T17552"/>
        </row>
        <row r="17553">
          <cell r="A17553" t="str">
            <v>WILSON ELECTRONICS INC</v>
          </cell>
          <cell r="B17553" t="str">
            <v>314411</v>
          </cell>
          <cell r="O17553"/>
          <cell r="T17553"/>
        </row>
        <row r="17554">
          <cell r="A17554" t="str">
            <v>WINEGARD</v>
          </cell>
          <cell r="B17554" t="str">
            <v>FV-30BB</v>
          </cell>
          <cell r="O17554"/>
          <cell r="T17554"/>
        </row>
        <row r="17555">
          <cell r="A17555" t="str">
            <v>WINEGARD</v>
          </cell>
          <cell r="B17555" t="str">
            <v>HD-9032</v>
          </cell>
          <cell r="O17555"/>
          <cell r="T17555"/>
        </row>
        <row r="17556">
          <cell r="A17556" t="str">
            <v>WINEGARD</v>
          </cell>
          <cell r="B17556" t="str">
            <v>HD9095P</v>
          </cell>
          <cell r="O17556"/>
          <cell r="T17556"/>
        </row>
        <row r="17557">
          <cell r="A17557" t="str">
            <v>WINEGARD</v>
          </cell>
          <cell r="B17557" t="str">
            <v>YA-1713</v>
          </cell>
          <cell r="O17557"/>
          <cell r="T17557"/>
        </row>
        <row r="17558">
          <cell r="A17558" t="str">
            <v>WINNCOM</v>
          </cell>
          <cell r="B17558" t="str">
            <v>5054-PA-23DT-MT</v>
          </cell>
          <cell r="O17558"/>
          <cell r="T17558"/>
        </row>
        <row r="17559">
          <cell r="A17559" t="str">
            <v>WINNCOM</v>
          </cell>
          <cell r="B17559" t="str">
            <v>WR2400-24</v>
          </cell>
          <cell r="O17559"/>
          <cell r="T17559"/>
        </row>
        <row r="17560">
          <cell r="A17560" t="str">
            <v>WINNCOM</v>
          </cell>
          <cell r="B17560" t="str">
            <v>WRO2400-100</v>
          </cell>
          <cell r="O17560"/>
          <cell r="T17560"/>
        </row>
        <row r="17561">
          <cell r="A17561" t="str">
            <v>WINNCOM</v>
          </cell>
          <cell r="B17561" t="str">
            <v>WRO2400-135HK</v>
          </cell>
          <cell r="O17561"/>
          <cell r="T17561"/>
        </row>
        <row r="17562">
          <cell r="A17562" t="str">
            <v>WINNCOM</v>
          </cell>
          <cell r="B17562" t="str">
            <v>WRP52/58-28</v>
          </cell>
          <cell r="O17562"/>
          <cell r="T17562"/>
        </row>
        <row r="17563">
          <cell r="A17563" t="str">
            <v>WINNCOM</v>
          </cell>
          <cell r="B17563" t="str">
            <v>WRQFD2-52-N</v>
          </cell>
          <cell r="O17563"/>
          <cell r="T17563"/>
        </row>
        <row r="17564">
          <cell r="A17564" t="str">
            <v>WINNCOM</v>
          </cell>
          <cell r="B17564" t="str">
            <v>WRW2400-16H</v>
          </cell>
          <cell r="O17564"/>
          <cell r="T17564"/>
        </row>
        <row r="17565">
          <cell r="A17565" t="str">
            <v>WIRELESS BEEHIVE</v>
          </cell>
          <cell r="B17565" t="str">
            <v>58DP</v>
          </cell>
          <cell r="O17565"/>
          <cell r="T17565"/>
        </row>
        <row r="17566">
          <cell r="A17566" t="str">
            <v>WIRELESS BEEHIVE</v>
          </cell>
          <cell r="B17566" t="str">
            <v>S-54V</v>
          </cell>
          <cell r="O17566"/>
          <cell r="T17566"/>
        </row>
        <row r="17567">
          <cell r="A17567" t="str">
            <v>WIRELESS BEEHIVE</v>
          </cell>
          <cell r="B17567" t="str">
            <v>S-57V</v>
          </cell>
          <cell r="O17567"/>
          <cell r="T17567"/>
        </row>
        <row r="17568">
          <cell r="A17568" t="str">
            <v>WIRELESS BEEHIVE</v>
          </cell>
          <cell r="B17568" t="str">
            <v>STINGER_CCIV2</v>
          </cell>
          <cell r="O17568"/>
          <cell r="T17568"/>
        </row>
        <row r="17569">
          <cell r="A17569" t="str">
            <v>WIRELESS INTERACTIVE COMM INC</v>
          </cell>
          <cell r="B17569" t="str">
            <v>ORION-900</v>
          </cell>
          <cell r="O17569"/>
          <cell r="T17569"/>
        </row>
        <row r="17570">
          <cell r="A17570" t="str">
            <v>WIRELESS INTERACTIVE COMM INC</v>
          </cell>
          <cell r="B17570" t="str">
            <v>WISAH58-120-16</v>
          </cell>
          <cell r="O17570"/>
          <cell r="T17570"/>
        </row>
        <row r="17571">
          <cell r="A17571" t="str">
            <v>WIRELESS MATRIX</v>
          </cell>
          <cell r="B17571" t="str">
            <v>SDT 5000</v>
          </cell>
          <cell r="O17571">
            <v>0.81429715977997097</v>
          </cell>
          <cell r="T17571">
            <v>0.26607743646597992</v>
          </cell>
        </row>
        <row r="17572">
          <cell r="A17572" t="str">
            <v>WIRELESS MATRIX</v>
          </cell>
          <cell r="B17572" t="str">
            <v>SDX 1100</v>
          </cell>
          <cell r="O17572"/>
          <cell r="T17572"/>
        </row>
        <row r="17573">
          <cell r="A17573" t="str">
            <v>WIRELESS ONLINE</v>
          </cell>
          <cell r="B17573" t="str">
            <v>WOL-2100R4-3</v>
          </cell>
          <cell r="O17573"/>
          <cell r="T17573"/>
        </row>
        <row r="17574">
          <cell r="A17574" t="str">
            <v>WIRELESS ONLINE</v>
          </cell>
          <cell r="B17574" t="str">
            <v>WOL-2100R7+1</v>
          </cell>
          <cell r="O17574"/>
          <cell r="T17574"/>
        </row>
        <row r="17575">
          <cell r="A17575" t="str">
            <v>WISCO INTERNATIONAL</v>
          </cell>
          <cell r="B17575" t="str">
            <v>DB264</v>
          </cell>
          <cell r="O17575"/>
          <cell r="T17575"/>
        </row>
        <row r="17576">
          <cell r="A17576" t="str">
            <v>WM VISION</v>
          </cell>
          <cell r="B17576" t="str">
            <v>Pro2 Camera</v>
          </cell>
          <cell r="O17576"/>
          <cell r="T17576"/>
        </row>
        <row r="17577">
          <cell r="A17577" t="str">
            <v>XIAN PUTIAN ANTENNA</v>
          </cell>
          <cell r="B17577" t="str">
            <v>WTC09-107SAR-QFD</v>
          </cell>
          <cell r="O17577"/>
          <cell r="T17577"/>
        </row>
        <row r="17578">
          <cell r="A17578" t="str">
            <v>XIAN PUTIAN ANTENNA</v>
          </cell>
          <cell r="B17578" t="str">
            <v>WTC09-107SAR-QFD W/RADOME</v>
          </cell>
          <cell r="O17578"/>
          <cell r="T17578"/>
        </row>
        <row r="17579">
          <cell r="A17579" t="str">
            <v>YDI</v>
          </cell>
          <cell r="B17579" t="str">
            <v>A-2412</v>
          </cell>
          <cell r="O17579"/>
          <cell r="T17579"/>
        </row>
        <row r="17580">
          <cell r="A17580" t="str">
            <v>YDI</v>
          </cell>
          <cell r="B17580" t="str">
            <v>A2.45LP14</v>
          </cell>
          <cell r="O17580"/>
          <cell r="T17580"/>
        </row>
        <row r="17581">
          <cell r="A17581" t="str">
            <v>YDI</v>
          </cell>
          <cell r="B17581" t="str">
            <v>A2.45LP15</v>
          </cell>
          <cell r="O17581"/>
          <cell r="T17581"/>
        </row>
        <row r="17582">
          <cell r="A17582" t="str">
            <v>YDI</v>
          </cell>
          <cell r="B17582" t="str">
            <v>A5.8FP21-M</v>
          </cell>
          <cell r="O17582"/>
          <cell r="T17582"/>
        </row>
        <row r="17583">
          <cell r="A17583" t="str">
            <v>YDI</v>
          </cell>
          <cell r="B17583" t="str">
            <v>A5.8FP23-M</v>
          </cell>
          <cell r="O17583"/>
          <cell r="T17583"/>
        </row>
        <row r="17584">
          <cell r="A17584" t="str">
            <v>YDI</v>
          </cell>
          <cell r="B17584" t="str">
            <v>FP19W</v>
          </cell>
          <cell r="O17584"/>
          <cell r="T17584"/>
        </row>
        <row r="17585">
          <cell r="A17585" t="str">
            <v>YDI</v>
          </cell>
          <cell r="B17585" t="str">
            <v>LINK CX</v>
          </cell>
          <cell r="O17585"/>
          <cell r="T17585"/>
        </row>
        <row r="17586">
          <cell r="A17586" t="str">
            <v>YDI</v>
          </cell>
          <cell r="B17586" t="str">
            <v>LP18</v>
          </cell>
          <cell r="O17586"/>
          <cell r="T17586"/>
        </row>
        <row r="17587">
          <cell r="A17587" t="str">
            <v>ZDA COMMUNICATIONS US</v>
          </cell>
          <cell r="B17587" t="str">
            <v>ZDA QJ 1090-5</v>
          </cell>
          <cell r="O17587"/>
          <cell r="T17587"/>
        </row>
        <row r="17588">
          <cell r="A17588" t="str">
            <v>ZDA COMMUNICATIONS US</v>
          </cell>
          <cell r="B17588" t="str">
            <v>ZDADJ750-16YG</v>
          </cell>
          <cell r="O17588"/>
          <cell r="T17588"/>
        </row>
        <row r="17589">
          <cell r="A17589" t="str">
            <v>ZDA COMMUNICATIONS US</v>
          </cell>
          <cell r="B17589" t="str">
            <v>ZDAGP1900-20-15</v>
          </cell>
          <cell r="O17589"/>
          <cell r="T17589"/>
        </row>
        <row r="17590">
          <cell r="A17590" t="str">
            <v>ZDA COMMUNICATIONS US</v>
          </cell>
          <cell r="B17590" t="str">
            <v>ZDAGP450C-18-8</v>
          </cell>
          <cell r="O17590"/>
          <cell r="T17590"/>
        </row>
        <row r="17591">
          <cell r="A17591" t="str">
            <v>ZDA COMMUNICATIONS US</v>
          </cell>
          <cell r="B17591" t="str">
            <v>ZDAGP700-15-17</v>
          </cell>
          <cell r="O17591"/>
          <cell r="T17591"/>
        </row>
        <row r="17592">
          <cell r="A17592" t="str">
            <v>ZDA COMMUNICATIONS US</v>
          </cell>
          <cell r="B17592" t="str">
            <v>ZDAGP900C-21-7</v>
          </cell>
          <cell r="O17592"/>
          <cell r="T17592"/>
        </row>
        <row r="17593">
          <cell r="A17593" t="str">
            <v>ZDA COMMUNICATIONS US</v>
          </cell>
          <cell r="B17593" t="str">
            <v>ZDAQJ1900-10</v>
          </cell>
          <cell r="O17593"/>
          <cell r="T17593"/>
        </row>
        <row r="17594">
          <cell r="A17594" t="str">
            <v>ZDA COMMUNICATIONS US</v>
          </cell>
          <cell r="B17594" t="str">
            <v>ZDAQJ700-10</v>
          </cell>
          <cell r="O17594"/>
          <cell r="T17594"/>
        </row>
        <row r="17595">
          <cell r="A17595" t="str">
            <v>ZDA COMMUNICATIONS US</v>
          </cell>
          <cell r="B17595" t="str">
            <v>ZDAQJ700-8</v>
          </cell>
          <cell r="O17595"/>
          <cell r="T17595"/>
        </row>
        <row r="17596">
          <cell r="A17596" t="str">
            <v>ZILAVY</v>
          </cell>
          <cell r="B17596" t="str">
            <v>WTAE CAMERA</v>
          </cell>
          <cell r="O17596"/>
          <cell r="T17596"/>
        </row>
        <row r="17597">
          <cell r="A17597" t="str">
            <v>ZTE</v>
          </cell>
          <cell r="B17597" t="str">
            <v>ATG-2400-26</v>
          </cell>
          <cell r="O17597"/>
          <cell r="T17597"/>
        </row>
        <row r="17598">
          <cell r="A17598" t="str">
            <v>ZTE</v>
          </cell>
          <cell r="B17598" t="str">
            <v>TME-ZXSDR R8862A</v>
          </cell>
          <cell r="O17598"/>
          <cell r="T17598"/>
        </row>
        <row r="17599">
          <cell r="A17599" t="str">
            <v>ZTE</v>
          </cell>
          <cell r="B17599" t="str">
            <v>TME-ZXSDR R8882</v>
          </cell>
          <cell r="O17599"/>
          <cell r="T17599"/>
        </row>
        <row r="17600">
          <cell r="A17600" t="str">
            <v>ZTE</v>
          </cell>
          <cell r="B17600" t="str">
            <v>ZXSDR R8984E</v>
          </cell>
          <cell r="O17600"/>
          <cell r="T17600"/>
        </row>
        <row r="17601">
          <cell r="A17601"/>
          <cell r="B17601"/>
          <cell r="O17601"/>
          <cell r="T17601"/>
        </row>
      </sheetData>
      <sheetData sheetId="1"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0</v>
    <v>5</v>
  </rv>
  <rv s="0">
    <v>1</v>
    <v>5</v>
  </rv>
  <rv s="0">
    <v>0</v>
    <v>4</v>
  </rv>
  <rv s="0">
    <v>2</v>
    <v>5</v>
  </rv>
  <rv s="1">
    <v>13</v>
    <v>1</v>
  </rv>
  <rv s="2">
    <v>13</v>
    <v>3</v>
  </rv>
  <rv s="0">
    <v>3</v>
    <v>5</v>
  </rv>
</rvData>
</file>

<file path=xl/richData/rdrichvaluestructure.xml><?xml version="1.0" encoding="utf-8"?>
<rvStructures xmlns="http://schemas.microsoft.com/office/spreadsheetml/2017/richdata" count="3">
  <s t="_localImage">
    <k n="_rvRel:LocalImageIdentifier" t="i"/>
    <k n="CalcOrigin" t="i"/>
  </s>
  <s t="_error">
    <k n="errorType" t="i"/>
    <k n="propagated" t="b"/>
  </s>
  <s t="_error">
    <k n="errorType" t="i"/>
    <k n="subType" t="i"/>
  </s>
</rvStructures>
</file>

<file path=xl/richData/richValueRel.xml><?xml version="1.0" encoding="utf-8"?>
<richValueRels xmlns="http://schemas.microsoft.com/office/spreadsheetml/2022/richvaluerel" xmlns:r="http://schemas.openxmlformats.org/officeDocument/2006/relationships">
  <rel r:id="rId1"/>
  <rel r:id="rId2"/>
  <rel r:id="rId3"/>
  <rel r:id="rId4"/>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806FDC7-0F93-4C18-AD50-D2CDD65150FF}" name="tblRevisions" displayName="tblRevisions" ref="A4:D46" totalsRowShown="0" headerRowDxfId="697" dataDxfId="695" headerRowBorderDxfId="696" tableBorderDxfId="694">
  <autoFilter ref="A4:D46" xr:uid="{1806FDC7-0F93-4C18-AD50-D2CDD65150FF}"/>
  <tableColumns count="4">
    <tableColumn id="1" xr3:uid="{6CFDB7D3-25E3-42BC-BDEC-298F6621616A}" name="Revision" dataDxfId="693"/>
    <tableColumn id="2" xr3:uid="{145CF765-29AD-48AC-90D3-90729A8BF19E}" name="Date Updated" dataDxfId="692"/>
    <tableColumn id="3" xr3:uid="{E2039746-7144-4180-85C6-14EBE517E5BB}" name="By" dataDxfId="691"/>
    <tableColumn id="4" xr3:uid="{302BC7CB-7889-41F3-A859-7C239B0C7595}" name="Notes" dataDxfId="690"/>
  </tableColumns>
  <tableStyleInfo name="TableStyleMedium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12F2AE0-F08C-484F-954D-8513F6DBB144}" name="AlphaSector" displayName="AlphaSector" ref="L3:S28" totalsRowShown="0" headerRowDxfId="676" dataDxfId="674" headerRowBorderDxfId="675">
  <autoFilter ref="L3:S28" xr:uid="{F116D2A0-DDE5-4BC0-99FE-55FB5E13179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DB4596F-C842-4305-BA6C-5FDE9B7060B4}" name="Azimuth (°)" dataDxfId="673"/>
    <tableColumn id="7" xr3:uid="{0DA4AB26-666E-4078-9D72-36214E60A6F5}" name="Quantity" dataDxfId="672"/>
    <tableColumn id="8" xr3:uid="{0B0CCCDD-66C1-4A13-BDDF-E0299B359EE8}" name="Position Top" dataDxfId="671"/>
    <tableColumn id="9" xr3:uid="{7227F3AC-794E-4D55-9484-95C65C35D4A1}" name="Location Top (in)" dataDxfId="670"/>
    <tableColumn id="10" xr3:uid="{3AD7EE2C-A397-46C7-8D65-6F56E9ED3142}" name="Position Btm" dataDxfId="669"/>
    <tableColumn id="11" xr3:uid="{B696933E-6A8A-4085-8D33-8FB343595ED2}" name="Location Btm (in)" dataDxfId="668"/>
    <tableColumn id="12" xr3:uid="{E2CDE35D-BB42-4ABA-9DE8-636D9B8C2170}" name="Location Top (%)" dataDxfId="667"/>
    <tableColumn id="13" xr3:uid="{6DF39312-5680-49D4-821E-E22138E20EA7}" name="Location Btm (%)" dataDxfId="666"/>
  </tableColumns>
  <tableStyleInfo name="TableStyleMedium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3260AA-A226-41DE-916C-59D9101C401F}" name="BetaSector" displayName="BetaSector" ref="T3:AA28" totalsRowShown="0" headerRowDxfId="665" dataDxfId="663" headerRowBorderDxfId="664">
  <autoFilter ref="T3:AA28" xr:uid="{9D11AE85-E23F-41B7-8B70-9BC29DBE11BF}">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BDE9DA0B-DE86-4616-A080-B777AFC82BF1}" name="Azimuth (°)" dataDxfId="662"/>
    <tableColumn id="7" xr3:uid="{9AD2C125-0D9E-451D-A1CB-486CB2E511F0}" name="Quantity" dataDxfId="661"/>
    <tableColumn id="8" xr3:uid="{FD79ACB0-4AD7-4411-A1FA-4DAAC574B77C}" name="Position Top" dataDxfId="660"/>
    <tableColumn id="9" xr3:uid="{BD8E3C9B-1A84-442D-8160-0E4EA5708150}" name="Location Top (in)" dataDxfId="659"/>
    <tableColumn id="10" xr3:uid="{D82D56AF-D685-420A-A2AE-B6BFE2CD2D7A}" name="Position Btm" dataDxfId="658"/>
    <tableColumn id="11" xr3:uid="{347A27D5-FFCE-4675-9959-7645CEDAF0DE}" name="Location Btm (in)" dataDxfId="657"/>
    <tableColumn id="12" xr3:uid="{33A1D551-A0A0-4548-A773-C78A374731D3}" name="Location Top (%)" dataDxfId="656"/>
    <tableColumn id="13" xr3:uid="{47A27A9D-BC0F-4079-8574-F4666BC29543}" name="Location Btm (%)" dataDxfId="655"/>
  </tableColumns>
  <tableStyleInfo name="NB+C_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3922B56-1A3A-43F5-BB06-28138EBA54B2}" name="GammaSector" displayName="GammaSector" ref="AB3:AI28" totalsRowShown="0" headerRowDxfId="654" dataDxfId="652" headerRowBorderDxfId="653">
  <autoFilter ref="AB3:AI28" xr:uid="{1CE82DCF-041C-47DD-955E-A3323301667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2F0EE4D-310F-4D45-8BFC-A3088DD87230}" name="Azimuth (°)" dataDxfId="651"/>
    <tableColumn id="7" xr3:uid="{2645469C-8800-454D-BCCD-9C955613A4C8}" name="Quantity" dataDxfId="650"/>
    <tableColumn id="8" xr3:uid="{CB236C19-E9A5-428C-AA5D-043F82A72FC7}" name="Position Top" dataDxfId="649"/>
    <tableColumn id="9" xr3:uid="{AC3594F6-55F1-41A7-8A64-57510A01B509}" name="Location Top (in)" dataDxfId="648"/>
    <tableColumn id="10" xr3:uid="{5E9CC90F-1C8F-4E35-9529-DAE16D0927B4}" name="Position Btm" dataDxfId="647"/>
    <tableColumn id="11" xr3:uid="{6F4FC314-8F5C-41CC-830D-4686A72849F6}" name="Location Btm (in)" dataDxfId="646"/>
    <tableColumn id="12" xr3:uid="{FB4DE63E-6514-412F-BEB2-8BAD539F9CAA}" name="Location Top (%)" dataDxfId="645"/>
    <tableColumn id="13" xr3:uid="{A47EDA50-88F3-41AD-B7FE-520C198EEF3B}" name="Location Btm (%)" dataDxfId="644"/>
  </tableColumns>
  <tableStyleInfo name="TableStyleMedium1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EA84C3E-E60D-45FC-917C-9CA549BCD2D6}" name="DeltaSector" displayName="DeltaSector" ref="AJ3:AQ28" totalsRowShown="0" headerRowDxfId="643" dataDxfId="641" headerRowBorderDxfId="642">
  <autoFilter ref="AJ3:AQ28" xr:uid="{4BDC9C70-FFD6-46E6-A450-437F66B4ACD3}">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70738BD9-2797-487F-ACE6-C5B53C3D98A1}" name="Azimuth (°)" dataDxfId="640"/>
    <tableColumn id="7" xr3:uid="{5BF4ED81-4759-484F-BF0C-EAC2C86F7271}" name="Quantity" dataDxfId="639"/>
    <tableColumn id="8" xr3:uid="{8E7C6A75-812A-4CBB-92AA-29F792BCCE47}" name="Position Top" dataDxfId="638"/>
    <tableColumn id="9" xr3:uid="{AE457067-AA7A-4568-AB16-0771653C2F68}" name="Location Top (in)" dataDxfId="637"/>
    <tableColumn id="10" xr3:uid="{FC6794A8-A68C-468B-B52C-AD49E4FC6583}" name="Position Btm" dataDxfId="636"/>
    <tableColumn id="11" xr3:uid="{376A43F8-9DB4-48F2-976C-EDEEA76523B0}" name="Location Btm (in)" dataDxfId="635"/>
    <tableColumn id="12" xr3:uid="{E439F8F7-7DF2-4C1F-AD8B-884141D5A3FC}" name="Location Top (%)" dataDxfId="634"/>
    <tableColumn id="13" xr3:uid="{787B0B94-D3B0-4FF1-A3BB-94BC9F0259EB}" name="Location Btm (%)" dataDxfId="633"/>
  </tableColumns>
  <tableStyleInfo name="NB+C_Tab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BBC5C22-E866-49F9-B0A4-F0D6FA830544}" name="Dimensions_APPURT" displayName="Dimensions_APPURT" ref="AR3:AU28" totalsRowShown="0" headerRowDxfId="632" dataDxfId="630" headerRowBorderDxfId="631">
  <autoFilter ref="AR3:AU28" xr:uid="{CDAE393A-B74D-43E5-BB9B-C69EF83AD779}">
    <filterColumn colId="0" hiddenButton="1"/>
    <filterColumn colId="1" hiddenButton="1"/>
    <filterColumn colId="2" hiddenButton="1"/>
    <filterColumn colId="3" hiddenButton="1"/>
  </autoFilter>
  <tableColumns count="4">
    <tableColumn id="1" xr3:uid="{AE150271-2C97-4A73-9522-5BF65F021C5D}" name="Height (in)" dataDxfId="629"/>
    <tableColumn id="2" xr3:uid="{2D957E31-F4A9-4391-B1AF-ED8E266D96C2}" name="Width (in)" dataDxfId="628"/>
    <tableColumn id="3" xr3:uid="{AFADBEBF-4681-4005-BE7E-A2B7A13F0DFF}" name="Depth (in)" dataDxfId="627"/>
    <tableColumn id="4" xr3:uid="{4A6A5687-77B5-4968-8E0F-035FC80A9917}" name="Weight (lbf)" dataDxfId="626"/>
  </tableColumns>
  <tableStyleInfo name="TableStyleMedium1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68C6B7A-F116-4126-A206-E67EBE8C0CB6}" name="Calculations_APPURT" displayName="Calculations_APPURT" ref="A3:K28" totalsRowShown="0" headerRowDxfId="625" dataDxfId="623" headerRowBorderDxfId="624">
  <autoFilter ref="A3:K28" xr:uid="{E00C25FF-0A2B-4338-8E92-3EA02CD57DD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3714084C-0ED8-4156-A11E-8924404C5D6A}" name="Manufacturer" dataDxfId="622"/>
    <tableColumn id="11" xr3:uid="{5D9DE329-8752-4AF1-AE73-ED4199153CB1}" name="Model" dataDxfId="621"/>
    <tableColumn id="2" xr3:uid="{017FEA53-482A-4827-92F7-842DC06E307F}" name="Condition" dataDxfId="620"/>
    <tableColumn id="3" xr3:uid="{CA8C02B7-E851-411A-A362-FE168E376163}" name="Type" dataDxfId="619"/>
    <tableColumn id="6" xr3:uid="{1970E39B-0718-4ED5-B6D5-D440EB43ACC4}" name="Shape" dataDxfId="618"/>
    <tableColumn id="12" xr3:uid="{E87325BD-5B8C-4359-AA13-B769C1F80EA0}" name="Brackets" dataDxfId="617"/>
    <tableColumn id="5" xr3:uid="{97C62311-A6AF-412C-B99C-407050027D1A}" name="Vertical Offset" dataDxfId="616"/>
    <tableColumn id="8" xr3:uid="{0A44AA3B-B84B-4C3F-A839-BE05EDD83F1F}" name="Lateral Offset" dataDxfId="615"/>
    <tableColumn id="7" xr3:uid="{EA2EA676-4DEF-4AE7-8F6C-2B6A5516DB0D}" name="Horizontal Offset" dataDxfId="614"/>
    <tableColumn id="10" xr3:uid="{0ACD942B-D46B-4AAA-9F65-16A27404CE21}" name="Front Shield" dataDxfId="613"/>
    <tableColumn id="9" xr3:uid="{5C228C94-8862-444D-94FC-F166A37BB13F}" name="Side Shield" dataDxfId="612"/>
  </tableColumns>
  <tableStyleInfo name="NB+C_Tab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FE8A44-1740-4F5F-B45A-FB8317D95792}" name="Hazards_APPURT" displayName="Hazards_APPURT" ref="AV3:BF28" totalsRowShown="0" headerRowDxfId="611" dataDxfId="609" headerRowBorderDxfId="610" tableBorderDxfId="608">
  <autoFilter ref="AV3:BF28" xr:uid="{A2FE8A44-1740-4F5F-B45A-FB8317D957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5BE0232-8FBD-4FE2-9E2E-EB4D75A9B991}" name="Front CaAa" dataDxfId="607">
      <calculatedColumnFormula array="1">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calculatedColumnFormula>
    </tableColumn>
    <tableColumn id="2" xr3:uid="{52E9B8A7-D3C4-48C5-B683-5ED84E17FEB4}" name="Side CaAa" dataDxfId="606">
      <calculatedColumnFormula array="1">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calculatedColumnFormula>
    </tableColumn>
    <tableColumn id="3" xr3:uid="{4850E318-BA4B-4C15-9AFE-FD64A5FF80BB}" name="Ice Front CaAa" dataDxfId="605">
      <calculatedColumnFormula array="1">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calculatedColumnFormula>
    </tableColumn>
    <tableColumn id="4" xr3:uid="{BF8B4BB2-C471-43A0-AF3F-66FBC8C5F777}" name="Ice Side CaAa" dataDxfId="604">
      <calculatedColumnFormula array="1">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calculatedColumnFormula>
    </tableColumn>
    <tableColumn id="5" xr3:uid="{257356A6-BFF2-41B0-8EC2-A5C072B9B804}" name="Ice Weight" dataDxfId="603">
      <calculatedColumnFormula>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calculatedColumnFormula>
    </tableColumn>
    <tableColumn id="6" xr3:uid="{B7683C4F-E8F8-4847-AB9D-C44B4E092E22}" name="Kz" dataDxfId="602">
      <calculatedColumnFormula array="1">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calculatedColumnFormula>
    </tableColumn>
    <tableColumn id="7" xr3:uid="{E44724CC-714E-44AF-9A7C-04C1B7AB6128}" name="Kd" dataDxfId="601">
      <calculatedColumnFormula>IF(OR(Calculations_APPURT[[#This Row],[Shape]]="CFD",Calculations_APPURT[[#This Row],[Shape]]="CCI"),1,0.95)</calculatedColumnFormula>
    </tableColumn>
    <tableColumn id="8" xr3:uid="{C5A8E12F-E56A-4777-817D-2030BCAA0092}" name="qz" dataDxfId="600">
      <calculatedColumnFormula array="1">0.00256 * Hazards_APPURT[[#This Row],[Kz]] * Kzt * Ks * I.wind * V^2 * IF(RIGHT(TIA,1)="G",1,Ke) * IF(OR(Calculations_APPURT[[#This Row],[Shape]]="CFD",Calculations_APPURT[[#This Row],[Shape]]="CCI"),1, Hazards_APPURT[[#This Row],[Kd]]) * Gh</calculatedColumnFormula>
    </tableColumn>
    <tableColumn id="9" xr3:uid="{C52806BE-ECA1-4990-BE70-10D92ABB00ED}" name="Kiz" dataDxfId="599">
      <calculatedColumnFormula>IF(Risk="I",0,MIN(((z+Calculations_APPURT[[#This Row],[Vertical Offset]]/12)/33)^(0.1),1.4))</calculatedColumnFormula>
    </tableColumn>
    <tableColumn id="10" xr3:uid="{526ED84F-2FD8-4B5F-B5AA-02FCF9155215}" name="tiz" dataDxfId="598">
      <calculatedColumnFormula array="1">IF(Risk="I",0,IF(TIA="ANSI/TIA-222-G",2,1*Kes.i)*ti*I.ice*Hazards_APPURT[[#This Row],[Kiz]]*(Kzt/Ks)^(0.35))</calculatedColumnFormula>
    </tableColumn>
    <tableColumn id="11" xr3:uid="{1396B8FC-8850-4325-A6E4-03B712C6D563}" name="qiz" dataDxfId="597">
      <calculatedColumnFormula array="1">0.00256 * Hazards_APPURT[[#This Row],[Kz]] * Kzt * Ks * I.wind * Vi^2 * IF(RIGHT(TIA,1)="G",1,Ke) * IF(OR(Calculations_APPURT[[#This Row],[Shape]]="CFD",Calculations_APPURT[[#This Row],[Shape]]="CCI"),1, Kd) * Gh</calculatedColumnFormula>
    </tableColumn>
  </tableColumns>
  <tableStyleInfo name="NB+C_Tab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3E7FAC-0292-4468-A778-73E99A01C050}" name="CaAa_APPURT" displayName="CaAa_APPURT" ref="BG3:GD28" totalsRowShown="0" headerRowDxfId="596" dataDxfId="594" headerRowBorderDxfId="595" tableBorderDxfId="593">
  <autoFilter ref="BG3:GD28" xr:uid="{2F3E7FAC-0292-4468-A778-73E99A01C05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autoFilter>
  <tableColumns count="128">
    <tableColumn id="1" xr3:uid="{61EE2692-452A-4295-AF5C-F699732DF439}" name="Alpha 0" dataDxfId="592">
      <calculatedColumnFormula>_xlfn.LET(
    _xlpm.model,        Calculations_APPURT[[#This Row],[Model]],
    _xlpm.Shape,        Calculations_APPURT[[#This Row],[Shape]],
    _xlpm.Direction,    BG$1,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 xr3:uid="{B26CBA0E-A0BB-4BCB-B2CB-638648258656}" name="Alpha 30" dataDxfId="591">
      <calculatedColumnFormula>_xlfn.LET(
    _xlpm.model,        Calculations_APPURT[[#This Row],[Model]],
    _xlpm.Shape,        Calculations_APPURT[[#This Row],[Shape]],
    _xlpm.Direction,    BH$1,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 xr3:uid="{0DF8853D-570A-43B2-9416-932D5F6526C1}" name="Alpha 45" dataDxfId="590">
      <calculatedColumnFormula>_xlfn.LET(
    _xlpm.model,        Calculations_APPURT[[#This Row],[Model]],
    _xlpm.Shape,        Calculations_APPURT[[#This Row],[Shape]],
    _xlpm.Direction,    BI$1,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 xr3:uid="{91A21E11-BA44-4834-A04A-74F2C7AA9CFD}" name="Alpha 60" dataDxfId="589">
      <calculatedColumnFormula>_xlfn.LET(
    _xlpm.model,        Calculations_APPURT[[#This Row],[Model]],
    _xlpm.Shape,        Calculations_APPURT[[#This Row],[Shape]],
    _xlpm.Direction,    BJ$1,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 xr3:uid="{22152AD6-C99E-4711-A91D-E171797D333E}" name="Alpha 90" dataDxfId="588">
      <calculatedColumnFormula>_xlfn.LET(
    _xlpm.model,        Calculations_APPURT[[#This Row],[Model]],
    _xlpm.Shape,        Calculations_APPURT[[#This Row],[Shape]],
    _xlpm.Direction,    BK$1,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6" xr3:uid="{41CD2817-68C6-4AF1-842F-2BC91764CAF1}" name="Alpha 120" dataDxfId="587">
      <calculatedColumnFormula>_xlfn.LET(
    _xlpm.model,        Calculations_APPURT[[#This Row],[Model]],
    _xlpm.Shape,        Calculations_APPURT[[#This Row],[Shape]],
    _xlpm.Direction,    BL$1,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7" xr3:uid="{5B13D3E5-0634-4CD5-8469-3FAFD88B07CA}" name="Alpha 135" dataDxfId="586">
      <calculatedColumnFormula>_xlfn.LET(
    _xlpm.model,        Calculations_APPURT[[#This Row],[Model]],
    _xlpm.Shape,        Calculations_APPURT[[#This Row],[Shape]],
    _xlpm.Direction,    BM$1,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8" xr3:uid="{EAC69CE2-249F-4E88-AA8B-77CF508433D4}" name="Alpha 150" dataDxfId="585">
      <calculatedColumnFormula>_xlfn.LET(
    _xlpm.model,        Calculations_APPURT[[#This Row],[Model]],
    _xlpm.Shape,        Calculations_APPURT[[#This Row],[Shape]],
    _xlpm.Direction,    BN$1,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9" xr3:uid="{DF73AD21-D1FA-48BA-9A77-53AADF095474}" name="Alpha 180" dataDxfId="584">
      <calculatedColumnFormula>_xlfn.LET(
    _xlpm.model,        Calculations_APPURT[[#This Row],[Model]],
    _xlpm.Shape,        Calculations_APPURT[[#This Row],[Shape]],
    _xlpm.Direction,    BO$1,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0" xr3:uid="{BE4B1B2B-6F14-40B5-97DD-78FFF46DAF59}" name="Alpha 210" dataDxfId="583">
      <calculatedColumnFormula>_xlfn.LET(
    _xlpm.model,        Calculations_APPURT[[#This Row],[Model]],
    _xlpm.Shape,        Calculations_APPURT[[#This Row],[Shape]],
    _xlpm.Direction,    BP$1,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1" xr3:uid="{4CF56496-2A6F-4D7F-8149-DB8DBCC17B4E}" name="Alpha 225" dataDxfId="582">
      <calculatedColumnFormula>_xlfn.LET(
    _xlpm.model,        Calculations_APPURT[[#This Row],[Model]],
    _xlpm.Shape,        Calculations_APPURT[[#This Row],[Shape]],
    _xlpm.Direction,    BQ$1,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2" xr3:uid="{D86EC83D-7E99-4C4B-913F-2E76CEE78B8F}" name="Alpha 240" dataDxfId="581">
      <calculatedColumnFormula>_xlfn.LET(
    _xlpm.model,        Calculations_APPURT[[#This Row],[Model]],
    _xlpm.Shape,        Calculations_APPURT[[#This Row],[Shape]],
    _xlpm.Direction,    BR$1,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3" xr3:uid="{051C6188-4DCA-439B-983F-227E757F6F96}" name="Alpha 270" dataDxfId="580">
      <calculatedColumnFormula>_xlfn.LET(
    _xlpm.model,        Calculations_APPURT[[#This Row],[Model]],
    _xlpm.Shape,        Calculations_APPURT[[#This Row],[Shape]],
    _xlpm.Direction,    BS$1,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4" xr3:uid="{69BD8EB8-C407-452F-ABCB-1651D22C514F}" name="Alpha 300" dataDxfId="579">
      <calculatedColumnFormula>_xlfn.LET(
    _xlpm.model,        Calculations_APPURT[[#This Row],[Model]],
    _xlpm.Shape,        Calculations_APPURT[[#This Row],[Shape]],
    _xlpm.Direction,    BT$1,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5" xr3:uid="{EF333966-70C9-46D0-8598-72E6C1CD202A}" name="Alpha 315" dataDxfId="578">
      <calculatedColumnFormula>_xlfn.LET(
    _xlpm.model,        Calculations_APPURT[[#This Row],[Model]],
    _xlpm.Shape,        Calculations_APPURT[[#This Row],[Shape]],
    _xlpm.Direction,    BU$1,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6" xr3:uid="{0F173454-F4E1-4049-BCAD-D9107007F7F0}" name="Alpha 330" dataDxfId="577">
      <calculatedColumnFormula>_xlfn.LET(
    _xlpm.model,        Calculations_APPURT[[#This Row],[Model]],
    _xlpm.Shape,        Calculations_APPURT[[#This Row],[Shape]],
    _xlpm.Direction,    BV$1,
    _xlpm.Azimuth,      AlphaSector[[#This Row],[Azimuth (°)]]-AlphaMountAzimuth,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7" xr3:uid="{312D7A37-6F3C-4490-BA03-BDBC979DD895}" name="Beta 0" dataDxfId="576">
      <calculatedColumnFormula>_xlfn.LET(
    _xlpm.model,        Calculations_APPURT[[#This Row],[Model]],
    _xlpm.Shape,        Calculations_APPURT[[#This Row],[Shape]],
    _xlpm.Direction,    BW$1,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8" xr3:uid="{7B9DE0E9-1944-48F0-9F62-19198582AE6F}" name="Beta 30" dataDxfId="575">
      <calculatedColumnFormula>_xlfn.LET(
    _xlpm.model,        Calculations_APPURT[[#This Row],[Model]],
    _xlpm.Shape,        Calculations_APPURT[[#This Row],[Shape]],
    _xlpm.Direction,    BX$1,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19" xr3:uid="{58E76B83-D3B5-4E09-9572-1E2E5D5061DE}" name="Beta 45" dataDxfId="574">
      <calculatedColumnFormula>_xlfn.LET(
    _xlpm.model,        Calculations_APPURT[[#This Row],[Model]],
    _xlpm.Shape,        Calculations_APPURT[[#This Row],[Shape]],
    _xlpm.Direction,    BY$1,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0" xr3:uid="{2B9CA520-A32D-4040-83B7-0AE8A50D000F}" name="Beta 60" dataDxfId="573">
      <calculatedColumnFormula>_xlfn.LET(
    _xlpm.model,        Calculations_APPURT[[#This Row],[Model]],
    _xlpm.Shape,        Calculations_APPURT[[#This Row],[Shape]],
    _xlpm.Direction,    BZ$1,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1" xr3:uid="{A2B03C03-5BF0-48BC-88CD-CBAE6761A7A6}" name="Beta 90" dataDxfId="572">
      <calculatedColumnFormula>_xlfn.LET(
    _xlpm.model,        Calculations_APPURT[[#This Row],[Model]],
    _xlpm.Shape,        Calculations_APPURT[[#This Row],[Shape]],
    _xlpm.Direction,    CA$1,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2" xr3:uid="{D2DF8FFB-6C7D-4491-A9F4-A2BB23822C4D}" name="Beta 120" dataDxfId="571">
      <calculatedColumnFormula>_xlfn.LET(
    _xlpm.model,        Calculations_APPURT[[#This Row],[Model]],
    _xlpm.Shape,        Calculations_APPURT[[#This Row],[Shape]],
    _xlpm.Direction,    CB$1,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3" xr3:uid="{DF18C4C0-3BB6-4F6F-8439-EC95199E5B73}" name="Beta 135" dataDxfId="570">
      <calculatedColumnFormula>_xlfn.LET(
    _xlpm.model,        Calculations_APPURT[[#This Row],[Model]],
    _xlpm.Shape,        Calculations_APPURT[[#This Row],[Shape]],
    _xlpm.Direction,    CC$1,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4" xr3:uid="{719AA554-3E4F-4485-83F3-2ECA02622F01}" name="Beta 150" dataDxfId="569">
      <calculatedColumnFormula>_xlfn.LET(
    _xlpm.model,        Calculations_APPURT[[#This Row],[Model]],
    _xlpm.Shape,        Calculations_APPURT[[#This Row],[Shape]],
    _xlpm.Direction,    CD$1,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5" xr3:uid="{98285649-0570-46FE-A4E3-C6E3E1FEB41F}" name="Beta 180" dataDxfId="568">
      <calculatedColumnFormula>_xlfn.LET(
    _xlpm.model,        Calculations_APPURT[[#This Row],[Model]],
    _xlpm.Shape,        Calculations_APPURT[[#This Row],[Shape]],
    _xlpm.Direction,    CE$1,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6" xr3:uid="{E2CE17ED-9A9C-4942-9827-1599039B50B2}" name="Beta 210" dataDxfId="567">
      <calculatedColumnFormula>_xlfn.LET(
    _xlpm.model,        Calculations_APPURT[[#This Row],[Model]],
    _xlpm.Shape,        Calculations_APPURT[[#This Row],[Shape]],
    _xlpm.Direction,    CF$1,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7" xr3:uid="{8EBECCE4-994A-472F-BDCA-849A42CC3A12}" name="Beta 225" dataDxfId="566">
      <calculatedColumnFormula>_xlfn.LET(
    _xlpm.model,        Calculations_APPURT[[#This Row],[Model]],
    _xlpm.Shape,        Calculations_APPURT[[#This Row],[Shape]],
    _xlpm.Direction,    CG$1,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8" xr3:uid="{86E879ED-0258-4D39-85E0-31E73596B831}" name="Beta 240" dataDxfId="565">
      <calculatedColumnFormula>_xlfn.LET(
    _xlpm.model,        Calculations_APPURT[[#This Row],[Model]],
    _xlpm.Shape,        Calculations_APPURT[[#This Row],[Shape]],
    _xlpm.Direction,    CH$1,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29" xr3:uid="{53964E26-FCB4-4EB5-AD71-1F258944424C}" name="Beta 270" dataDxfId="564">
      <calculatedColumnFormula>_xlfn.LET(
    _xlpm.model,        Calculations_APPURT[[#This Row],[Model]],
    _xlpm.Shape,        Calculations_APPURT[[#This Row],[Shape]],
    _xlpm.Direction,    CI$1,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0" xr3:uid="{672DEF5C-5AB5-4327-8DE3-749ECB45D141}" name="Beta 300" dataDxfId="563">
      <calculatedColumnFormula>_xlfn.LET(
    _xlpm.model,        Calculations_APPURT[[#This Row],[Model]],
    _xlpm.Shape,        Calculations_APPURT[[#This Row],[Shape]],
    _xlpm.Direction,    CJ$1,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1" xr3:uid="{F66A44F7-7BDD-41FA-80E4-49227AD50BC7}" name="Beta 315" dataDxfId="562">
      <calculatedColumnFormula>_xlfn.LET(
    _xlpm.model,        Calculations_APPURT[[#This Row],[Model]],
    _xlpm.Shape,        Calculations_APPURT[[#This Row],[Shape]],
    _xlpm.Direction,    CK$1,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2" xr3:uid="{5605F8DC-E8ED-493B-9FFA-90A5BB98ABB8}" name="Beta 330" dataDxfId="561">
      <calculatedColumnFormula>_xlfn.LET(
    _xlpm.model,        Calculations_APPURT[[#This Row],[Model]],
    _xlpm.Shape,        Calculations_APPURT[[#This Row],[Shape]],
    _xlpm.Direction,    CL$1,
    _xlpm.Azimuth,      BetaSector[[#This Row],[Azimuth (°)]]-BetaMountAzimuth,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3" xr3:uid="{3CBE2DE8-9E66-435E-8310-CB23A32180D4}" name="Gamma 0" dataDxfId="560">
      <calculatedColumnFormula>_xlfn.LET(
    _xlpm.model,        Calculations_APPURT[[#This Row],[Model]],
    _xlpm.Shape,        Calculations_APPURT[[#This Row],[Shape]],
    _xlpm.Direction,    CM$1,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4" xr3:uid="{47C184C7-67BC-4149-916B-5887F145D523}" name="Gamma 30" dataDxfId="559">
      <calculatedColumnFormula>_xlfn.LET(
    _xlpm.model,        Calculations_APPURT[[#This Row],[Model]],
    _xlpm.Shape,        Calculations_APPURT[[#This Row],[Shape]],
    _xlpm.Direction,    CN$1,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5" xr3:uid="{C9E3033D-2A2F-4914-B020-83A212A62D9B}" name="Gamma 45" dataDxfId="558">
      <calculatedColumnFormula>_xlfn.LET(
    _xlpm.model,        Calculations_APPURT[[#This Row],[Model]],
    _xlpm.Shape,        Calculations_APPURT[[#This Row],[Shape]],
    _xlpm.Direction,    CO$1,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6" xr3:uid="{178C32F0-A5D8-40A6-B0B4-8A6F5C6FCFCE}" name="Gamma 60" dataDxfId="557">
      <calculatedColumnFormula>_xlfn.LET(
    _xlpm.model,        Calculations_APPURT[[#This Row],[Model]],
    _xlpm.Shape,        Calculations_APPURT[[#This Row],[Shape]],
    _xlpm.Direction,    CP$1,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7" xr3:uid="{5A169940-4A37-49C7-9D5D-60DD321DD042}" name="Gamma 90" dataDxfId="556">
      <calculatedColumnFormula>_xlfn.LET(
    _xlpm.model,        Calculations_APPURT[[#This Row],[Model]],
    _xlpm.Shape,        Calculations_APPURT[[#This Row],[Shape]],
    _xlpm.Direction,    CQ$1,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8" xr3:uid="{D111B691-9302-4F2A-A115-C7B7C6E2081B}" name="Gamma 120" dataDxfId="555">
      <calculatedColumnFormula>_xlfn.LET(
    _xlpm.model,        Calculations_APPURT[[#This Row],[Model]],
    _xlpm.Shape,        Calculations_APPURT[[#This Row],[Shape]],
    _xlpm.Direction,    CR$1,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39" xr3:uid="{A1AB71DC-C092-4130-88F7-56EF8F08C3C3}" name="Gamma 135" dataDxfId="554">
      <calculatedColumnFormula>_xlfn.LET(
    _xlpm.model,        Calculations_APPURT[[#This Row],[Model]],
    _xlpm.Shape,        Calculations_APPURT[[#This Row],[Shape]],
    _xlpm.Direction,    CS$1,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0" xr3:uid="{817D7A24-946E-41A6-9E67-0BAC8D68B2A2}" name="Gamma 150" dataDxfId="553">
      <calculatedColumnFormula>_xlfn.LET(
    _xlpm.model,        Calculations_APPURT[[#This Row],[Model]],
    _xlpm.Shape,        Calculations_APPURT[[#This Row],[Shape]],
    _xlpm.Direction,    CT$1,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1" xr3:uid="{13C59D0B-46E8-48AF-BFF1-FC0DA7964CF4}" name="Gamma 180" dataDxfId="552">
      <calculatedColumnFormula>_xlfn.LET(
    _xlpm.model,        Calculations_APPURT[[#This Row],[Model]],
    _xlpm.Shape,        Calculations_APPURT[[#This Row],[Shape]],
    _xlpm.Direction,    CU$1,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2" xr3:uid="{959361A3-7B91-4088-A09F-FF2A222123D5}" name="Gamma 210" dataDxfId="551">
      <calculatedColumnFormula>_xlfn.LET(
    _xlpm.model,        Calculations_APPURT[[#This Row],[Model]],
    _xlpm.Shape,        Calculations_APPURT[[#This Row],[Shape]],
    _xlpm.Direction,    CV$1,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3" xr3:uid="{8B9755C1-13AC-409F-A12E-9014982CF892}" name="Gamma 225" dataDxfId="550">
      <calculatedColumnFormula>_xlfn.LET(
    _xlpm.model,        Calculations_APPURT[[#This Row],[Model]],
    _xlpm.Shape,        Calculations_APPURT[[#This Row],[Shape]],
    _xlpm.Direction,    CW$1,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4" xr3:uid="{F9AFF717-1D17-4F62-AC59-898CBE8CE884}" name="Gamma 240" dataDxfId="549">
      <calculatedColumnFormula>_xlfn.LET(
    _xlpm.model,        Calculations_APPURT[[#This Row],[Model]],
    _xlpm.Shape,        Calculations_APPURT[[#This Row],[Shape]],
    _xlpm.Direction,    CX$1,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5" xr3:uid="{F08FD477-F1B7-4D52-BAD3-F1502E7B46EF}" name="Gamma 270" dataDxfId="548">
      <calculatedColumnFormula>_xlfn.LET(
    _xlpm.model,        Calculations_APPURT[[#This Row],[Model]],
    _xlpm.Shape,        Calculations_APPURT[[#This Row],[Shape]],
    _xlpm.Direction,    CY$1,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6" xr3:uid="{59CDB18D-5BB6-42CB-B88D-79F8FC00B061}" name="Gamma 300" dataDxfId="547">
      <calculatedColumnFormula>_xlfn.LET(
    _xlpm.model,        Calculations_APPURT[[#This Row],[Model]],
    _xlpm.Shape,        Calculations_APPURT[[#This Row],[Shape]],
    _xlpm.Direction,    CZ$1,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7" xr3:uid="{5D541F87-E2E2-445A-B26C-C1A379E947BF}" name="Gamma 315" dataDxfId="546">
      <calculatedColumnFormula>_xlfn.LET(
    _xlpm.model,        Calculations_APPURT[[#This Row],[Model]],
    _xlpm.Shape,        Calculations_APPURT[[#This Row],[Shape]],
    _xlpm.Direction,    DA$1,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8" xr3:uid="{F7EEA931-1448-4B31-A686-BB4B936E86C0}" name="Gamma 330" dataDxfId="545">
      <calculatedColumnFormula>_xlfn.LET(
    _xlpm.model,        Calculations_APPURT[[#This Row],[Model]],
    _xlpm.Shape,        Calculations_APPURT[[#This Row],[Shape]],
    _xlpm.Direction,    DB$1,
    _xlpm.Azimuth,      GammaSector[[#This Row],[Azimuth (°)]]-GammaMountAzimuth,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49" xr3:uid="{9155F4E7-1299-4F70-9B6D-6FDA0C512A09}" name="Delta 0" dataDxfId="544">
      <calculatedColumnFormula>_xlfn.LET(
    _xlpm.model,        Calculations_APPURT[[#This Row],[Model]],
    _xlpm.Shape,        Calculations_APPURT[[#This Row],[Shape]],
    _xlpm.Direction,    DC$1,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0" xr3:uid="{F6D42A70-AEC1-4C85-AEF8-4821E08BEE89}" name="Delta 30" dataDxfId="543">
      <calculatedColumnFormula>_xlfn.LET(
    _xlpm.model,        Calculations_APPURT[[#This Row],[Model]],
    _xlpm.Shape,        Calculations_APPURT[[#This Row],[Shape]],
    _xlpm.Direction,    DD$1,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1" xr3:uid="{9E94494A-7E6F-4ADA-8A49-FD3CD794A5AC}" name="Delta 45" dataDxfId="542">
      <calculatedColumnFormula>_xlfn.LET(
    _xlpm.model,        Calculations_APPURT[[#This Row],[Model]],
    _xlpm.Shape,        Calculations_APPURT[[#This Row],[Shape]],
    _xlpm.Direction,    DE$1,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2" xr3:uid="{04B8F1C7-A2A6-4EEB-9EB8-5E54E17A80F2}" name="Delta 60" dataDxfId="541">
      <calculatedColumnFormula>_xlfn.LET(
    _xlpm.model,        Calculations_APPURT[[#This Row],[Model]],
    _xlpm.Shape,        Calculations_APPURT[[#This Row],[Shape]],
    _xlpm.Direction,    DF$1,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3" xr3:uid="{417EF734-41D3-43E0-8E19-225C5175734A}" name="Delta 90" dataDxfId="540">
      <calculatedColumnFormula>_xlfn.LET(
    _xlpm.model,        Calculations_APPURT[[#This Row],[Model]],
    _xlpm.Shape,        Calculations_APPURT[[#This Row],[Shape]],
    _xlpm.Direction,    DG$1,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4" xr3:uid="{0DA6B889-30F6-49D9-8571-39BB73036B71}" name="Delta 120" dataDxfId="539">
      <calculatedColumnFormula>_xlfn.LET(
    _xlpm.model,        Calculations_APPURT[[#This Row],[Model]],
    _xlpm.Shape,        Calculations_APPURT[[#This Row],[Shape]],
    _xlpm.Direction,    DH$1,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5" xr3:uid="{473C92D8-8011-42F3-8DF3-B17991057CEA}" name="Delta 135" dataDxfId="538">
      <calculatedColumnFormula>_xlfn.LET(
    _xlpm.model,        Calculations_APPURT[[#This Row],[Model]],
    _xlpm.Shape,        Calculations_APPURT[[#This Row],[Shape]],
    _xlpm.Direction,    DI$1,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6" xr3:uid="{698CC1AD-6508-4633-98A2-7431FF488C0F}" name="Delta 150" dataDxfId="537">
      <calculatedColumnFormula>_xlfn.LET(
    _xlpm.model,        Calculations_APPURT[[#This Row],[Model]],
    _xlpm.Shape,        Calculations_APPURT[[#This Row],[Shape]],
    _xlpm.Direction,    DJ$1,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7" xr3:uid="{7CC85E49-48F9-4730-A34B-67D2108418FF}" name="Delta 180" dataDxfId="536">
      <calculatedColumnFormula>_xlfn.LET(
    _xlpm.model,        Calculations_APPURT[[#This Row],[Model]],
    _xlpm.Shape,        Calculations_APPURT[[#This Row],[Shape]],
    _xlpm.Direction,    DK$1,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8" xr3:uid="{DFDF2FE4-EBB0-4993-8569-88D4B02375E0}" name="Delta 210" dataDxfId="535">
      <calculatedColumnFormula>_xlfn.LET(
    _xlpm.model,        Calculations_APPURT[[#This Row],[Model]],
    _xlpm.Shape,        Calculations_APPURT[[#This Row],[Shape]],
    _xlpm.Direction,    DL$1,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59" xr3:uid="{8E341025-865E-4F62-BDA2-7112C3F5B970}" name="Delta 225" dataDxfId="534">
      <calculatedColumnFormula>_xlfn.LET(
    _xlpm.model,        Calculations_APPURT[[#This Row],[Model]],
    _xlpm.Shape,        Calculations_APPURT[[#This Row],[Shape]],
    _xlpm.Direction,    DM$1,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60" xr3:uid="{A9CAD6A1-1566-4780-9497-2D5D7FEB2F81}" name="Delta 240" dataDxfId="533">
      <calculatedColumnFormula>_xlfn.LET(
    _xlpm.model,        Calculations_APPURT[[#This Row],[Model]],
    _xlpm.Shape,        Calculations_APPURT[[#This Row],[Shape]],
    _xlpm.Direction,    DN$1,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61" xr3:uid="{C15695F9-A2E7-4515-8C21-84CADFF95C09}" name="Delta 270" dataDxfId="532">
      <calculatedColumnFormula>_xlfn.LET(
    _xlpm.model,        Calculations_APPURT[[#This Row],[Model]],
    _xlpm.Shape,        Calculations_APPURT[[#This Row],[Shape]],
    _xlpm.Direction,    DO$1,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62" xr3:uid="{9A954DA8-0BA8-4494-995F-99A2665FF906}" name="Delta 300" dataDxfId="531">
      <calculatedColumnFormula>_xlfn.LET(
    _xlpm.model,        Calculations_APPURT[[#This Row],[Model]],
    _xlpm.Shape,        Calculations_APPURT[[#This Row],[Shape]],
    _xlpm.Direction,    DP$1,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63" xr3:uid="{E23A6574-0776-45F0-9271-56AA84F6DBA9}" name="Delta 315" dataDxfId="530">
      <calculatedColumnFormula>_xlfn.LET(
    _xlpm.model,        Calculations_APPURT[[#This Row],[Model]],
    _xlpm.Shape,        Calculations_APPURT[[#This Row],[Shape]],
    _xlpm.Direction,    DQ$1,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64" xr3:uid="{6ADA38A0-05D5-4669-B82A-321E544F1837}" name="Delta 330" dataDxfId="529">
      <calculatedColumnFormula>_xlfn.LET(
    _xlpm.model,        Calculations_APPURT[[#This Row],[Model]],
    _xlpm.Shape,        Calculations_APPURT[[#This Row],[Shape]],
    _xlpm.Direction,    DR$1,
    _xlpm.Azimuth,      DeltaSector[[#This Row],[Azimuth (°)]]-DeltaMountAzimuth,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calculatedColumnFormula>
    </tableColumn>
    <tableColumn id="65" xr3:uid="{A13915A0-E509-4E31-8358-36AE648032A4}" name="Alpha Ice 0" dataDxfId="528">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AlphaSector[[#This Row],[Azimuth (°)]]-AlphaMountAzimuth,
_xlpm.iCaAa_Front*_xlpm.Shield_Front*COS(PI()/180*(_xlpm.Direction+_xlpm.Azimuth))^2 + _xlpm.iCaAa_Side*_xlpm.Shield_Side*SIN(PI()/180*(_xlpm.Direction+_xlpm.Azimuth))^2)</calculatedColumnFormula>
    </tableColumn>
    <tableColumn id="66" xr3:uid="{C1D1FC4D-21FB-40AC-9C2B-16AB5906505B}" name="Alpha Ice 30" dataDxfId="527">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AlphaSector[[#This Row],[Azimuth (°)]]-AlphaMountAzimuth,
_xlpm.iCaAa_Front*_xlpm.Shield_Front*COS(PI()/180*(_xlpm.Direction+_xlpm.Azimuth))^2 + _xlpm.iCaAa_Side*_xlpm.Shield_Side*SIN(PI()/180*(_xlpm.Direction+_xlpm.Azimuth))^2)</calculatedColumnFormula>
    </tableColumn>
    <tableColumn id="67" xr3:uid="{F856DD3C-FA4C-4B22-9FEE-F6C4D8D95089}" name="Alpha Ice 45" dataDxfId="526">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AlphaSector[[#This Row],[Azimuth (°)]]-AlphaMountAzimuth,
_xlpm.iCaAa_Front*_xlpm.Shield_Front*COS(PI()/180*(_xlpm.Direction+_xlpm.Azimuth))^2 + _xlpm.iCaAa_Side*_xlpm.Shield_Side*SIN(PI()/180*(_xlpm.Direction+_xlpm.Azimuth))^2)</calculatedColumnFormula>
    </tableColumn>
    <tableColumn id="68" xr3:uid="{85412267-A675-4F31-BDBD-D11FA56D9E29}" name="Alpha Ice 60" dataDxfId="525">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AlphaSector[[#This Row],[Azimuth (°)]]-AlphaMountAzimuth,
_xlpm.iCaAa_Front*_xlpm.Shield_Front*COS(PI()/180*(_xlpm.Direction+_xlpm.Azimuth))^2 + _xlpm.iCaAa_Side*_xlpm.Shield_Side*SIN(PI()/180*(_xlpm.Direction+_xlpm.Azimuth))^2)</calculatedColumnFormula>
    </tableColumn>
    <tableColumn id="69" xr3:uid="{BD00D1CC-DADF-4728-955A-4AF9031C2ABE}" name="Alpha Ice 90" dataDxfId="524">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AlphaSector[[#This Row],[Azimuth (°)]]-AlphaMountAzimuth,
_xlpm.iCaAa_Front*_xlpm.Shield_Front*COS(PI()/180*(_xlpm.Direction+_xlpm.Azimuth))^2 + _xlpm.iCaAa_Side*_xlpm.Shield_Side*SIN(PI()/180*(_xlpm.Direction+_xlpm.Azimuth))^2)</calculatedColumnFormula>
    </tableColumn>
    <tableColumn id="70" xr3:uid="{6CB28CDA-66FC-4D9D-B99C-9144D872824B}" name="Alpha Ice 120" dataDxfId="523">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AlphaSector[[#This Row],[Azimuth (°)]]-AlphaMountAzimuth,
_xlpm.iCaAa_Front*_xlpm.Shield_Front*COS(PI()/180*(_xlpm.Direction+_xlpm.Azimuth))^2 + _xlpm.iCaAa_Side*_xlpm.Shield_Side*SIN(PI()/180*(_xlpm.Direction+_xlpm.Azimuth))^2)</calculatedColumnFormula>
    </tableColumn>
    <tableColumn id="71" xr3:uid="{39C50968-0F62-4752-AAED-F830F5B6D276}" name="Alpha Ice 135" dataDxfId="522">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AlphaSector[[#This Row],[Azimuth (°)]]-AlphaMountAzimuth,
_xlpm.iCaAa_Front*_xlpm.Shield_Front*COS(PI()/180*(_xlpm.Direction+_xlpm.Azimuth))^2 + _xlpm.iCaAa_Side*_xlpm.Shield_Side*SIN(PI()/180*(_xlpm.Direction+_xlpm.Azimuth))^2)</calculatedColumnFormula>
    </tableColumn>
    <tableColumn id="72" xr3:uid="{6F78C756-BCE7-42F9-9BD7-8FC3340E20F5}" name="Alpha Ice 150" dataDxfId="521">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AlphaSector[[#This Row],[Azimuth (°)]]-AlphaMountAzimuth,
_xlpm.iCaAa_Front*_xlpm.Shield_Front*COS(PI()/180*(_xlpm.Direction+_xlpm.Azimuth))^2 + _xlpm.iCaAa_Side*_xlpm.Shield_Side*SIN(PI()/180*(_xlpm.Direction+_xlpm.Azimuth))^2)</calculatedColumnFormula>
    </tableColumn>
    <tableColumn id="73" xr3:uid="{C0657153-D074-4DBE-94FF-CF0B14161D96}" name="Alpha Ice 180" dataDxfId="520">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AlphaSector[[#This Row],[Azimuth (°)]]-AlphaMountAzimuth,
_xlpm.iCaAa_Front*_xlpm.Shield_Front*COS(PI()/180*(_xlpm.Direction+_xlpm.Azimuth))^2 + _xlpm.iCaAa_Side*_xlpm.Shield_Side*SIN(PI()/180*(_xlpm.Direction+_xlpm.Azimuth))^2)</calculatedColumnFormula>
    </tableColumn>
    <tableColumn id="74" xr3:uid="{242F0129-C678-488E-8092-7E256F9D1DA4}" name="Alpha Ice 210" dataDxfId="519">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AlphaSector[[#This Row],[Azimuth (°)]]-AlphaMountAzimuth,
_xlpm.iCaAa_Front*_xlpm.Shield_Front*COS(PI()/180*(_xlpm.Direction+_xlpm.Azimuth))^2 + _xlpm.iCaAa_Side*_xlpm.Shield_Side*SIN(PI()/180*(_xlpm.Direction+_xlpm.Azimuth))^2)</calculatedColumnFormula>
    </tableColumn>
    <tableColumn id="75" xr3:uid="{96103FDE-7F7E-46F1-81AF-BEAB42E775C7}" name="Alpha Ice 225" dataDxfId="518">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AlphaSector[[#This Row],[Azimuth (°)]]-AlphaMountAzimuth,
_xlpm.iCaAa_Front*_xlpm.Shield_Front*COS(PI()/180*(_xlpm.Direction+_xlpm.Azimuth))^2 + _xlpm.iCaAa_Side*_xlpm.Shield_Side*SIN(PI()/180*(_xlpm.Direction+_xlpm.Azimuth))^2)</calculatedColumnFormula>
    </tableColumn>
    <tableColumn id="76" xr3:uid="{3314F38A-55D9-43ED-B79E-62E3CC40E9B3}" name="Alpha Ice 240" dataDxfId="517">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AlphaSector[[#This Row],[Azimuth (°)]]-AlphaMountAzimuth,
_xlpm.iCaAa_Front*_xlpm.Shield_Front*COS(PI()/180*(_xlpm.Direction+_xlpm.Azimuth))^2 + _xlpm.iCaAa_Side*_xlpm.Shield_Side*SIN(PI()/180*(_xlpm.Direction+_xlpm.Azimuth))^2)</calculatedColumnFormula>
    </tableColumn>
    <tableColumn id="77" xr3:uid="{56BCA616-AB87-44DB-951C-069128E80FF7}" name="Alpha Ice 270" dataDxfId="516">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AlphaSector[[#This Row],[Azimuth (°)]]-AlphaMountAzimuth,
_xlpm.iCaAa_Front*_xlpm.Shield_Front*COS(PI()/180*(_xlpm.Direction+_xlpm.Azimuth))^2 + _xlpm.iCaAa_Side*_xlpm.Shield_Side*SIN(PI()/180*(_xlpm.Direction+_xlpm.Azimuth))^2)</calculatedColumnFormula>
    </tableColumn>
    <tableColumn id="78" xr3:uid="{39A8E996-3C60-45CE-AFD9-24DA43F7FD85}" name="Alpha Ice 300" dataDxfId="515">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AlphaSector[[#This Row],[Azimuth (°)]]-AlphaMountAzimuth,
_xlpm.iCaAa_Front*_xlpm.Shield_Front*COS(PI()/180*(_xlpm.Direction+_xlpm.Azimuth))^2 + _xlpm.iCaAa_Side*_xlpm.Shield_Side*SIN(PI()/180*(_xlpm.Direction+_xlpm.Azimuth))^2)</calculatedColumnFormula>
    </tableColumn>
    <tableColumn id="79" xr3:uid="{9C44C877-BFF7-4D52-9912-85D8130A36F8}" name="Alpha Ice 315" dataDxfId="514">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AlphaSector[[#This Row],[Azimuth (°)]]-AlphaMountAzimuth,
_xlpm.iCaAa_Front*_xlpm.Shield_Front*COS(PI()/180*(_xlpm.Direction+_xlpm.Azimuth))^2 + _xlpm.iCaAa_Side*_xlpm.Shield_Side*SIN(PI()/180*(_xlpm.Direction+_xlpm.Azimuth))^2)</calculatedColumnFormula>
    </tableColumn>
    <tableColumn id="80" xr3:uid="{99A637B1-AAE4-4A36-91B8-CF26D632078C}" name="Alpha Ice 330" dataDxfId="513">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AlphaSector[[#This Row],[Azimuth (°)]]-AlphaMountAzimuth,
_xlpm.iCaAa_Front*_xlpm.Shield_Front*COS(PI()/180*(_xlpm.Direction+_xlpm.Azimuth))^2 + _xlpm.iCaAa_Side*_xlpm.Shield_Side*SIN(PI()/180*(_xlpm.Direction+_xlpm.Azimuth))^2)</calculatedColumnFormula>
    </tableColumn>
    <tableColumn id="81" xr3:uid="{6F2FC1EA-ECA0-4FE2-8393-294527A860E9}" name="Beta Ice 0" dataDxfId="512">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BetaSector[[#This Row],[Azimuth (°)]]-BetaMountAzimuth,
_xlpm.iCaAa_Front*_xlpm.Shield_Front*COS(PI()/180*(_xlpm.Direction+_xlpm.Azimuth))^2 + _xlpm.iCaAa_Side*_xlpm.Shield_Side*SIN(PI()/180*(_xlpm.Direction+_xlpm.Azimuth))^2)</calculatedColumnFormula>
    </tableColumn>
    <tableColumn id="82" xr3:uid="{ADAE219E-E2C9-47BC-A206-579FEE5947BD}" name="Beta Ice 30" dataDxfId="511">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BetaSector[[#This Row],[Azimuth (°)]]-BetaMountAzimuth,
_xlpm.iCaAa_Front*_xlpm.Shield_Front*COS(PI()/180*(_xlpm.Direction+_xlpm.Azimuth))^2 + _xlpm.iCaAa_Side*_xlpm.Shield_Side*SIN(PI()/180*(_xlpm.Direction+_xlpm.Azimuth))^2)</calculatedColumnFormula>
    </tableColumn>
    <tableColumn id="83" xr3:uid="{164243C1-A6D6-4EE1-8A9F-1B64C474C642}" name="Beta Ice 45" dataDxfId="510">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BetaSector[[#This Row],[Azimuth (°)]]-BetaMountAzimuth,
_xlpm.iCaAa_Front*_xlpm.Shield_Front*COS(PI()/180*(_xlpm.Direction+_xlpm.Azimuth))^2 + _xlpm.iCaAa_Side*_xlpm.Shield_Side*SIN(PI()/180*(_xlpm.Direction+_xlpm.Azimuth))^2)</calculatedColumnFormula>
    </tableColumn>
    <tableColumn id="84" xr3:uid="{4900F2DB-F947-41F4-A05B-5C6A036763C6}" name="Beta Ice 60" dataDxfId="509">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BetaSector[[#This Row],[Azimuth (°)]]-BetaMountAzimuth,
_xlpm.iCaAa_Front*_xlpm.Shield_Front*COS(PI()/180*(_xlpm.Direction+_xlpm.Azimuth))^2 + _xlpm.iCaAa_Side*_xlpm.Shield_Side*SIN(PI()/180*(_xlpm.Direction+_xlpm.Azimuth))^2)</calculatedColumnFormula>
    </tableColumn>
    <tableColumn id="85" xr3:uid="{983F6CCF-A0B9-4A0D-ACAF-07CCFA0558BA}" name="Beta Ice 90" dataDxfId="508">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BetaSector[[#This Row],[Azimuth (°)]]-BetaMountAzimuth,
_xlpm.iCaAa_Front*_xlpm.Shield_Front*COS(PI()/180*(_xlpm.Direction+_xlpm.Azimuth))^2 + _xlpm.iCaAa_Side*_xlpm.Shield_Side*SIN(PI()/180*(_xlpm.Direction+_xlpm.Azimuth))^2)</calculatedColumnFormula>
    </tableColumn>
    <tableColumn id="86" xr3:uid="{6ACF312C-B67F-45DC-95DC-3B88A2CAF4CE}" name="Beta Ice 120" dataDxfId="507">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BetaSector[[#This Row],[Azimuth (°)]]-BetaMountAzimuth,
_xlpm.iCaAa_Front*_xlpm.Shield_Front*COS(PI()/180*(_xlpm.Direction+_xlpm.Azimuth))^2 + _xlpm.iCaAa_Side*_xlpm.Shield_Side*SIN(PI()/180*(_xlpm.Direction+_xlpm.Azimuth))^2)</calculatedColumnFormula>
    </tableColumn>
    <tableColumn id="87" xr3:uid="{324F6129-1C53-4395-AEFA-BCAB2D593E0F}" name="Beta Ice 135" dataDxfId="506">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BetaSector[[#This Row],[Azimuth (°)]]-BetaMountAzimuth,
_xlpm.iCaAa_Front*_xlpm.Shield_Front*COS(PI()/180*(_xlpm.Direction+_xlpm.Azimuth))^2 + _xlpm.iCaAa_Side*_xlpm.Shield_Side*SIN(PI()/180*(_xlpm.Direction+_xlpm.Azimuth))^2)</calculatedColumnFormula>
    </tableColumn>
    <tableColumn id="88" xr3:uid="{0752531B-E683-42AD-A4EA-932F19732567}" name="Beta Ice 150" dataDxfId="505">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BetaSector[[#This Row],[Azimuth (°)]]-BetaMountAzimuth,
_xlpm.iCaAa_Front*_xlpm.Shield_Front*COS(PI()/180*(_xlpm.Direction+_xlpm.Azimuth))^2 + _xlpm.iCaAa_Side*_xlpm.Shield_Side*SIN(PI()/180*(_xlpm.Direction+_xlpm.Azimuth))^2)</calculatedColumnFormula>
    </tableColumn>
    <tableColumn id="89" xr3:uid="{55D8854D-B934-4D17-9464-63C758182FF6}" name="Beta Ice 180" dataDxfId="504">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BetaSector[[#This Row],[Azimuth (°)]]-BetaMountAzimuth,
_xlpm.iCaAa_Front*_xlpm.Shield_Front*COS(PI()/180*(_xlpm.Direction+_xlpm.Azimuth))^2 + _xlpm.iCaAa_Side*_xlpm.Shield_Side*SIN(PI()/180*(_xlpm.Direction+_xlpm.Azimuth))^2)</calculatedColumnFormula>
    </tableColumn>
    <tableColumn id="90" xr3:uid="{624424D4-5CEA-4234-9ABF-1E51BBE8B5B7}" name="Beta Ice 210" dataDxfId="503">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BetaSector[[#This Row],[Azimuth (°)]]-BetaMountAzimuth,
_xlpm.iCaAa_Front*_xlpm.Shield_Front*COS(PI()/180*(_xlpm.Direction+_xlpm.Azimuth))^2 + _xlpm.iCaAa_Side*_xlpm.Shield_Side*SIN(PI()/180*(_xlpm.Direction+_xlpm.Azimuth))^2)</calculatedColumnFormula>
    </tableColumn>
    <tableColumn id="91" xr3:uid="{0A159660-3C15-4C25-9811-8F893346B319}" name="Beta Ice 225" dataDxfId="502">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BetaSector[[#This Row],[Azimuth (°)]]-BetaMountAzimuth,
_xlpm.iCaAa_Front*_xlpm.Shield_Front*COS(PI()/180*(_xlpm.Direction+_xlpm.Azimuth))^2 + _xlpm.iCaAa_Side*_xlpm.Shield_Side*SIN(PI()/180*(_xlpm.Direction+_xlpm.Azimuth))^2)</calculatedColumnFormula>
    </tableColumn>
    <tableColumn id="92" xr3:uid="{738D2F5F-EB3E-4117-AA42-25601F8513D8}" name="Beta Ice 240" dataDxfId="501">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BetaSector[[#This Row],[Azimuth (°)]]-BetaMountAzimuth,
_xlpm.iCaAa_Front*_xlpm.Shield_Front*COS(PI()/180*(_xlpm.Direction+_xlpm.Azimuth))^2 + _xlpm.iCaAa_Side*_xlpm.Shield_Side*SIN(PI()/180*(_xlpm.Direction+_xlpm.Azimuth))^2)</calculatedColumnFormula>
    </tableColumn>
    <tableColumn id="93" xr3:uid="{8E1B55CA-F5BD-4184-BBB0-F9B68EC1459D}" name="Beta Ice 270" dataDxfId="500">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BetaSector[[#This Row],[Azimuth (°)]]-BetaMountAzimuth,
_xlpm.iCaAa_Front*_xlpm.Shield_Front*COS(PI()/180*(_xlpm.Direction+_xlpm.Azimuth))^2 + _xlpm.iCaAa_Side*_xlpm.Shield_Side*SIN(PI()/180*(_xlpm.Direction+_xlpm.Azimuth))^2)</calculatedColumnFormula>
    </tableColumn>
    <tableColumn id="94" xr3:uid="{F25B35C7-A4A9-4561-8D83-B6CF347768A9}" name="Beta Ice 300" dataDxfId="499">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BetaSector[[#This Row],[Azimuth (°)]]-BetaMountAzimuth,
_xlpm.iCaAa_Front*_xlpm.Shield_Front*COS(PI()/180*(_xlpm.Direction+_xlpm.Azimuth))^2 + _xlpm.iCaAa_Side*_xlpm.Shield_Side*SIN(PI()/180*(_xlpm.Direction+_xlpm.Azimuth))^2)</calculatedColumnFormula>
    </tableColumn>
    <tableColumn id="95" xr3:uid="{967961C5-278D-4D57-B135-502E721ADF14}" name="Beta Ice 315" dataDxfId="498">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BetaSector[[#This Row],[Azimuth (°)]]-BetaMountAzimuth,
_xlpm.iCaAa_Front*_xlpm.Shield_Front*COS(PI()/180*(_xlpm.Direction+_xlpm.Azimuth))^2 + _xlpm.iCaAa_Side*_xlpm.Shield_Side*SIN(PI()/180*(_xlpm.Direction+_xlpm.Azimuth))^2)</calculatedColumnFormula>
    </tableColumn>
    <tableColumn id="96" xr3:uid="{82275A2D-759A-4B05-8AAD-D1E966BE15C7}" name="Beta Ice 330" dataDxfId="497">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BetaSector[[#This Row],[Azimuth (°)]]-BetaMountAzimuth,
_xlpm.iCaAa_Front*_xlpm.Shield_Front*COS(PI()/180*(_xlpm.Direction+_xlpm.Azimuth))^2 + _xlpm.iCaAa_Side*_xlpm.Shield_Side*SIN(PI()/180*(_xlpm.Direction+_xlpm.Azimuth))^2)</calculatedColumnFormula>
    </tableColumn>
    <tableColumn id="97" xr3:uid="{B2AB2639-79B7-4664-B0FC-FA15EE3D3993}" name="Gamma Ice 0" dataDxfId="496">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GammaSector[[#This Row],[Azimuth (°)]]-GammaMountAzimuth,
_xlpm.iCaAa_Front*_xlpm.Shield_Front*COS(PI()/180*(_xlpm.Direction+_xlpm.Azimuth))^2 + _xlpm.iCaAa_Side*_xlpm.Shield_Side*SIN(PI()/180*(_xlpm.Direction+_xlpm.Azimuth))^2)</calculatedColumnFormula>
    </tableColumn>
    <tableColumn id="98" xr3:uid="{45A5D067-07DD-4AE7-8D2E-8A5C982E9002}" name="Gamma Ice 30" dataDxfId="495">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GammaSector[[#This Row],[Azimuth (°)]]-GammaMountAzimuth,
_xlpm.iCaAa_Front*_xlpm.Shield_Front*COS(PI()/180*(_xlpm.Direction+_xlpm.Azimuth))^2 + _xlpm.iCaAa_Side*_xlpm.Shield_Side*SIN(PI()/180*(_xlpm.Direction+_xlpm.Azimuth))^2)</calculatedColumnFormula>
    </tableColumn>
    <tableColumn id="99" xr3:uid="{0C786D02-8396-448F-802B-D50512463CF9}" name="Gamma Ice 45" dataDxfId="494">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GammaSector[[#This Row],[Azimuth (°)]]-GammaMountAzimuth,
_xlpm.iCaAa_Front*_xlpm.Shield_Front*COS(PI()/180*(_xlpm.Direction+_xlpm.Azimuth))^2 + _xlpm.iCaAa_Side*_xlpm.Shield_Side*SIN(PI()/180*(_xlpm.Direction+_xlpm.Azimuth))^2)</calculatedColumnFormula>
    </tableColumn>
    <tableColumn id="100" xr3:uid="{AC64EA87-8AEC-4230-B4FF-876CCEE0D443}" name="Gamma Ice 60" dataDxfId="493">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GammaSector[[#This Row],[Azimuth (°)]]-GammaMountAzimuth,
_xlpm.iCaAa_Front*_xlpm.Shield_Front*COS(PI()/180*(_xlpm.Direction+_xlpm.Azimuth))^2 + _xlpm.iCaAa_Side*_xlpm.Shield_Side*SIN(PI()/180*(_xlpm.Direction+_xlpm.Azimuth))^2)</calculatedColumnFormula>
    </tableColumn>
    <tableColumn id="101" xr3:uid="{69BC9756-4ED0-4AE7-B413-2EE5E13AB3CB}" name="Gamma Ice 90" dataDxfId="492">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GammaSector[[#This Row],[Azimuth (°)]]-GammaMountAzimuth,
_xlpm.iCaAa_Front*_xlpm.Shield_Front*COS(PI()/180*(_xlpm.Direction+_xlpm.Azimuth))^2 + _xlpm.iCaAa_Side*_xlpm.Shield_Side*SIN(PI()/180*(_xlpm.Direction+_xlpm.Azimuth))^2)</calculatedColumnFormula>
    </tableColumn>
    <tableColumn id="102" xr3:uid="{E8511165-AE44-46CA-A39D-3942EFFAFE86}" name="Gamma Ice 120" dataDxfId="491">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GammaSector[[#This Row],[Azimuth (°)]]-GammaMountAzimuth,
_xlpm.iCaAa_Front*_xlpm.Shield_Front*COS(PI()/180*(_xlpm.Direction+_xlpm.Azimuth))^2 + _xlpm.iCaAa_Side*_xlpm.Shield_Side*SIN(PI()/180*(_xlpm.Direction+_xlpm.Azimuth))^2)</calculatedColumnFormula>
    </tableColumn>
    <tableColumn id="103" xr3:uid="{D17BA7C9-EED4-492B-8322-49BC820A31E9}" name="Gamma Ice 135" dataDxfId="490">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GammaSector[[#This Row],[Azimuth (°)]]-GammaMountAzimuth,
_xlpm.iCaAa_Front*_xlpm.Shield_Front*COS(PI()/180*(_xlpm.Direction+_xlpm.Azimuth))^2 + _xlpm.iCaAa_Side*_xlpm.Shield_Side*SIN(PI()/180*(_xlpm.Direction+_xlpm.Azimuth))^2)</calculatedColumnFormula>
    </tableColumn>
    <tableColumn id="104" xr3:uid="{07615C1C-361A-4F7A-829E-3A869B14DE9C}" name="Gamma Ice 150" dataDxfId="489">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GammaSector[[#This Row],[Azimuth (°)]]-GammaMountAzimuth,
_xlpm.iCaAa_Front*_xlpm.Shield_Front*COS(PI()/180*(_xlpm.Direction+_xlpm.Azimuth))^2 + _xlpm.iCaAa_Side*_xlpm.Shield_Side*SIN(PI()/180*(_xlpm.Direction+_xlpm.Azimuth))^2)</calculatedColumnFormula>
    </tableColumn>
    <tableColumn id="105" xr3:uid="{111B0095-F435-402C-B960-35C464D027D7}" name="Gamma Ice 180" dataDxfId="488">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GammaSector[[#This Row],[Azimuth (°)]]-GammaMountAzimuth,
_xlpm.iCaAa_Front*_xlpm.Shield_Front*COS(PI()/180*(_xlpm.Direction+_xlpm.Azimuth))^2 + _xlpm.iCaAa_Side*_xlpm.Shield_Side*SIN(PI()/180*(_xlpm.Direction+_xlpm.Azimuth))^2)</calculatedColumnFormula>
    </tableColumn>
    <tableColumn id="106" xr3:uid="{F1D3A1A1-1F46-4F5E-BEC1-B13171FCBB64}" name="Gamma Ice 210" dataDxfId="487">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GammaSector[[#This Row],[Azimuth (°)]]-GammaMountAzimuth,
_xlpm.iCaAa_Front*_xlpm.Shield_Front*COS(PI()/180*(_xlpm.Direction+_xlpm.Azimuth))^2 + _xlpm.iCaAa_Side*_xlpm.Shield_Side*SIN(PI()/180*(_xlpm.Direction+_xlpm.Azimuth))^2)</calculatedColumnFormula>
    </tableColumn>
    <tableColumn id="107" xr3:uid="{8979F718-1318-4748-A04E-74E2855CF4B7}" name="Gamma Ice 225" dataDxfId="486">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GammaSector[[#This Row],[Azimuth (°)]]-GammaMountAzimuth,
_xlpm.iCaAa_Front*_xlpm.Shield_Front*COS(PI()/180*(_xlpm.Direction+_xlpm.Azimuth))^2 + _xlpm.iCaAa_Side*_xlpm.Shield_Side*SIN(PI()/180*(_xlpm.Direction+_xlpm.Azimuth))^2)</calculatedColumnFormula>
    </tableColumn>
    <tableColumn id="108" xr3:uid="{455C619F-D7B2-459A-AED3-3EED9500926C}" name="Gamma Ice 240" dataDxfId="485">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GammaSector[[#This Row],[Azimuth (°)]]-GammaMountAzimuth,
_xlpm.iCaAa_Front*_xlpm.Shield_Front*COS(PI()/180*(_xlpm.Direction+_xlpm.Azimuth))^2 + _xlpm.iCaAa_Side*_xlpm.Shield_Side*SIN(PI()/180*(_xlpm.Direction+_xlpm.Azimuth))^2)</calculatedColumnFormula>
    </tableColumn>
    <tableColumn id="109" xr3:uid="{FC17603F-E1B3-4B64-B200-6B8A68E7FD9D}" name="Gamma Ice 270" dataDxfId="484">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GammaSector[[#This Row],[Azimuth (°)]]-GammaMountAzimuth,
_xlpm.iCaAa_Front*_xlpm.Shield_Front*COS(PI()/180*(_xlpm.Direction+_xlpm.Azimuth))^2 + _xlpm.iCaAa_Side*_xlpm.Shield_Side*SIN(PI()/180*(_xlpm.Direction+_xlpm.Azimuth))^2)</calculatedColumnFormula>
    </tableColumn>
    <tableColumn id="110" xr3:uid="{0AB2EE37-6689-46E8-AD61-17BD59A06251}" name="Gamma Ice 300" dataDxfId="483">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GammaSector[[#This Row],[Azimuth (°)]]-GammaMountAzimuth,
_xlpm.iCaAa_Front*_xlpm.Shield_Front*COS(PI()/180*(_xlpm.Direction+_xlpm.Azimuth))^2 + _xlpm.iCaAa_Side*_xlpm.Shield_Side*SIN(PI()/180*(_xlpm.Direction+_xlpm.Azimuth))^2)</calculatedColumnFormula>
    </tableColumn>
    <tableColumn id="111" xr3:uid="{A1B96DD6-3A35-4E57-9552-4EE55B011B6C}" name="Gamma Ice 315" dataDxfId="482">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GammaSector[[#This Row],[Azimuth (°)]]-GammaMountAzimuth,
_xlpm.iCaAa_Front*_xlpm.Shield_Front*COS(PI()/180*(_xlpm.Direction+_xlpm.Azimuth))^2 + _xlpm.iCaAa_Side*_xlpm.Shield_Side*SIN(PI()/180*(_xlpm.Direction+_xlpm.Azimuth))^2)</calculatedColumnFormula>
    </tableColumn>
    <tableColumn id="112" xr3:uid="{22C7E330-A9AD-4849-9C97-A97EA37C4E3D}" name="Gamma Ice 330" dataDxfId="481">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GammaSector[[#This Row],[Azimuth (°)]]-GammaMountAzimuth,
_xlpm.iCaAa_Front*_xlpm.Shield_Front*COS(PI()/180*(_xlpm.Direction+_xlpm.Azimuth))^2 + _xlpm.iCaAa_Side*_xlpm.Shield_Side*SIN(PI()/180*(_xlpm.Direction+_xlpm.Azimuth))^2)</calculatedColumnFormula>
    </tableColumn>
    <tableColumn id="113" xr3:uid="{CAEDFF31-E755-408E-ADD8-3EB5AA5BDF3B}" name="Delta Ice 0" dataDxfId="480">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DeltaSector[[#This Row],[Azimuth (°)]]-DeltaMountAzimuth,
_xlpm.iCaAa_Front*COS(PI()/180*(_xlpm.Direction+_xlpm.Azimuth))^2 + _xlpm.iCaAa_Side*SIN(PI()/180*(_xlpm.Direction+_xlpm.Azimuth))^2)</calculatedColumnFormula>
    </tableColumn>
    <tableColumn id="114" xr3:uid="{072B7BBE-14F5-4539-8E8F-AFD0931F9E48}" name="Delta Ice 30" dataDxfId="479">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DeltaSector[[#This Row],[Azimuth (°)]]-DeltaMountAzimuth,
_xlpm.iCaAa_Front*COS(PI()/180*(_xlpm.Direction+_xlpm.Azimuth))^2 + _xlpm.iCaAa_Side*SIN(PI()/180*(_xlpm.Direction+_xlpm.Azimuth))^2)</calculatedColumnFormula>
    </tableColumn>
    <tableColumn id="115" xr3:uid="{B3E9E666-C56F-4C2A-9762-964521CC6FEA}" name="Delta Ice 45" dataDxfId="478">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DeltaSector[[#This Row],[Azimuth (°)]]-DeltaMountAzimuth,
_xlpm.iCaAa_Front*COS(PI()/180*(_xlpm.Direction+_xlpm.Azimuth))^2 + _xlpm.iCaAa_Side*SIN(PI()/180*(_xlpm.Direction+_xlpm.Azimuth))^2)</calculatedColumnFormula>
    </tableColumn>
    <tableColumn id="116" xr3:uid="{3F3B9C5E-033A-4AA3-ABAC-9CEEEADA69EA}" name="Delta Ice 60" dataDxfId="477">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DeltaSector[[#This Row],[Azimuth (°)]]-DeltaMountAzimuth,
_xlpm.iCaAa_Front*COS(PI()/180*(_xlpm.Direction+_xlpm.Azimuth))^2 + _xlpm.iCaAa_Side*SIN(PI()/180*(_xlpm.Direction+_xlpm.Azimuth))^2)</calculatedColumnFormula>
    </tableColumn>
    <tableColumn id="117" xr3:uid="{1A87405D-E792-4DBD-91DF-F9F0793A5216}" name="Delta Ice 90" dataDxfId="476">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DeltaSector[[#This Row],[Azimuth (°)]]-DeltaMountAzimuth,
_xlpm.iCaAa_Front*COS(PI()/180*(_xlpm.Direction+_xlpm.Azimuth))^2 + _xlpm.iCaAa_Side*SIN(PI()/180*(_xlpm.Direction+_xlpm.Azimuth))^2)</calculatedColumnFormula>
    </tableColumn>
    <tableColumn id="118" xr3:uid="{BCAFA66B-2E37-4C0F-9C5A-446F7FA35BD6}" name="Delta Ice 120" dataDxfId="475">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DeltaSector[[#This Row],[Azimuth (°)]]-DeltaMountAzimuth,
_xlpm.iCaAa_Front*COS(PI()/180*(_xlpm.Direction+_xlpm.Azimuth))^2 + _xlpm.iCaAa_Side*SIN(PI()/180*(_xlpm.Direction+_xlpm.Azimuth))^2)</calculatedColumnFormula>
    </tableColumn>
    <tableColumn id="119" xr3:uid="{3E8DC5E1-FCB7-4F86-A49D-7693ACA5746F}" name="Delta Ice 135" dataDxfId="474">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DeltaSector[[#This Row],[Azimuth (°)]]-DeltaMountAzimuth,
_xlpm.iCaAa_Front*COS(PI()/180*(_xlpm.Direction+_xlpm.Azimuth))^2 + _xlpm.iCaAa_Side*SIN(PI()/180*(_xlpm.Direction+_xlpm.Azimuth))^2)</calculatedColumnFormula>
    </tableColumn>
    <tableColumn id="120" xr3:uid="{FF015D2D-9FEF-4BB7-86EB-19562D262861}" name="Delta Ice 150" dataDxfId="473">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DeltaSector[[#This Row],[Azimuth (°)]]-DeltaMountAzimuth,
_xlpm.iCaAa_Front*COS(PI()/180*(_xlpm.Direction+_xlpm.Azimuth))^2 + _xlpm.iCaAa_Side*SIN(PI()/180*(_xlpm.Direction+_xlpm.Azimuth))^2)</calculatedColumnFormula>
    </tableColumn>
    <tableColumn id="121" xr3:uid="{2BE02B99-63AE-4464-8871-EEB80446D18A}" name="Delta Ice 180" dataDxfId="472">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DeltaSector[[#This Row],[Azimuth (°)]]-DeltaMountAzimuth,
_xlpm.iCaAa_Front*COS(PI()/180*(_xlpm.Direction+_xlpm.Azimuth))^2 + _xlpm.iCaAa_Side*SIN(PI()/180*(_xlpm.Direction+_xlpm.Azimuth))^2)</calculatedColumnFormula>
    </tableColumn>
    <tableColumn id="122" xr3:uid="{CF706651-5F11-4D4E-8B95-62C65A24C8EB}" name="Delta Ice 210" dataDxfId="471">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DeltaSector[[#This Row],[Azimuth (°)]]-DeltaMountAzimuth,
_xlpm.iCaAa_Front*COS(PI()/180*(_xlpm.Direction+_xlpm.Azimuth))^2 + _xlpm.iCaAa_Side*SIN(PI()/180*(_xlpm.Direction+_xlpm.Azimuth))^2)</calculatedColumnFormula>
    </tableColumn>
    <tableColumn id="123" xr3:uid="{C013EA70-A7FC-4D49-9AD1-C3F9CBC39DD8}" name="Delta Ice 225" dataDxfId="470">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DeltaSector[[#This Row],[Azimuth (°)]]-DeltaMountAzimuth,
_xlpm.iCaAa_Front*COS(PI()/180*(_xlpm.Direction+_xlpm.Azimuth))^2 + _xlpm.iCaAa_Side*SIN(PI()/180*(_xlpm.Direction+_xlpm.Azimuth))^2)</calculatedColumnFormula>
    </tableColumn>
    <tableColumn id="124" xr3:uid="{3DF47954-C925-41A5-8EBF-E8AADB74DF9B}" name="Delta Ice 240" dataDxfId="469">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DeltaSector[[#This Row],[Azimuth (°)]]-DeltaMountAzimuth,
_xlpm.iCaAa_Front*COS(PI()/180*(_xlpm.Direction+_xlpm.Azimuth))^2 + _xlpm.iCaAa_Side*SIN(PI()/180*(_xlpm.Direction+_xlpm.Azimuth))^2)</calculatedColumnFormula>
    </tableColumn>
    <tableColumn id="125" xr3:uid="{27357AEF-9F86-4E0E-8D71-256B4A79932B}" name="Delta Ice 270" dataDxfId="468">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DeltaSector[[#This Row],[Azimuth (°)]]-DeltaMountAzimuth,
_xlpm.iCaAa_Front*COS(PI()/180*(_xlpm.Direction+_xlpm.Azimuth))^2 + _xlpm.iCaAa_Side*SIN(PI()/180*(_xlpm.Direction+_xlpm.Azimuth))^2)</calculatedColumnFormula>
    </tableColumn>
    <tableColumn id="126" xr3:uid="{F779D061-B228-4F2C-A4AD-F5D08EA2EFE7}" name="Delta Ice 300" dataDxfId="467">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DeltaSector[[#This Row],[Azimuth (°)]]-DeltaMountAzimuth,
_xlpm.iCaAa_Front*COS(PI()/180*(_xlpm.Direction+_xlpm.Azimuth))^2 + _xlpm.iCaAa_Side*SIN(PI()/180*(_xlpm.Direction+_xlpm.Azimuth))^2)</calculatedColumnFormula>
    </tableColumn>
    <tableColumn id="127" xr3:uid="{F3208F8C-6B69-496A-A0DC-0C5320F6B604}" name="Delta Ice 315" dataDxfId="466">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DeltaSector[[#This Row],[Azimuth (°)]]-DeltaMountAzimuth,
_xlpm.iCaAa_Front*COS(PI()/180*(_xlpm.Direction+_xlpm.Azimuth))^2 + _xlpm.iCaAa_Side*SIN(PI()/180*(_xlpm.Direction+_xlpm.Azimuth))^2)</calculatedColumnFormula>
    </tableColumn>
    <tableColumn id="128" xr3:uid="{B31C8DB0-0209-4741-9A98-9222B0997707}" name="Delta Ice 330" dataDxfId="465">
      <calculatedColumnFormula>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DeltaSector[[#This Row],[Azimuth (°)]]-DeltaMountAzimuth,
_xlpm.iCaAa_Front*COS(PI()/180*(_xlpm.Direction+_xlpm.Azimuth))^2 + _xlpm.iCaAa_Side*SIN(PI()/180*(_xlpm.Direction+_xlpm.Azimuth))^2)</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E23C0DC-74DA-4DDC-86F7-3519BF80B8C3}" name="Forces_APPURT" displayName="Forces_APPURT" ref="GE3:VN28" totalsRowShown="0" headerRowDxfId="464" dataDxfId="462" headerRowBorderDxfId="463" tableBorderDxfId="461">
  <autoFilter ref="GE3:VN28" xr:uid="{0E23C0DC-74DA-4DDC-86F7-3519BF80B8C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filterColumn colId="147" hiddenButton="1"/>
    <filterColumn colId="148" hiddenButton="1"/>
    <filterColumn colId="149" hiddenButton="1"/>
    <filterColumn colId="150" hiddenButton="1"/>
    <filterColumn colId="151" hiddenButton="1"/>
    <filterColumn colId="152" hiddenButton="1"/>
    <filterColumn colId="153" hiddenButton="1"/>
    <filterColumn colId="154" hiddenButton="1"/>
    <filterColumn colId="155" hiddenButton="1"/>
    <filterColumn colId="156" hiddenButton="1"/>
    <filterColumn colId="157" hiddenButton="1"/>
    <filterColumn colId="158" hiddenButton="1"/>
    <filterColumn colId="159" hiddenButton="1"/>
    <filterColumn colId="160" hiddenButton="1"/>
    <filterColumn colId="161" hiddenButton="1"/>
    <filterColumn colId="162" hiddenButton="1"/>
    <filterColumn colId="163" hiddenButton="1"/>
    <filterColumn colId="164" hiddenButton="1"/>
    <filterColumn colId="165" hiddenButton="1"/>
    <filterColumn colId="166" hiddenButton="1"/>
    <filterColumn colId="167" hiddenButton="1"/>
    <filterColumn colId="168" hiddenButton="1"/>
    <filterColumn colId="169" hiddenButton="1"/>
    <filterColumn colId="170" hiddenButton="1"/>
    <filterColumn colId="171" hiddenButton="1"/>
    <filterColumn colId="172" hiddenButton="1"/>
    <filterColumn colId="173" hiddenButton="1"/>
    <filterColumn colId="174" hiddenButton="1"/>
    <filterColumn colId="175" hiddenButton="1"/>
    <filterColumn colId="176" hiddenButton="1"/>
    <filterColumn colId="177" hiddenButton="1"/>
    <filterColumn colId="178" hiddenButton="1"/>
    <filterColumn colId="179" hiddenButton="1"/>
    <filterColumn colId="180" hiddenButton="1"/>
    <filterColumn colId="181" hiddenButton="1"/>
    <filterColumn colId="182" hiddenButton="1"/>
    <filterColumn colId="183" hiddenButton="1"/>
    <filterColumn colId="184" hiddenButton="1"/>
    <filterColumn colId="185" hiddenButton="1"/>
    <filterColumn colId="186" hiddenButton="1"/>
    <filterColumn colId="187" hiddenButton="1"/>
    <filterColumn colId="188" hiddenButton="1"/>
    <filterColumn colId="189" hiddenButton="1"/>
    <filterColumn colId="190" hiddenButton="1"/>
    <filterColumn colId="191" hiddenButton="1"/>
    <filterColumn colId="192" hiddenButton="1"/>
    <filterColumn colId="193" hiddenButton="1"/>
    <filterColumn colId="194" hiddenButton="1"/>
    <filterColumn colId="195" hiddenButton="1"/>
    <filterColumn colId="196" hiddenButton="1"/>
    <filterColumn colId="197" hiddenButton="1"/>
    <filterColumn colId="198" hiddenButton="1"/>
    <filterColumn colId="199" hiddenButton="1"/>
    <filterColumn colId="200" hiddenButton="1"/>
    <filterColumn colId="201" hiddenButton="1"/>
    <filterColumn colId="202" hiddenButton="1"/>
    <filterColumn colId="203" hiddenButton="1"/>
    <filterColumn colId="204" hiddenButton="1"/>
    <filterColumn colId="205" hiddenButton="1"/>
    <filterColumn colId="206" hiddenButton="1"/>
    <filterColumn colId="207" hiddenButton="1"/>
    <filterColumn colId="208" hiddenButton="1"/>
    <filterColumn colId="209" hiddenButton="1"/>
    <filterColumn colId="210" hiddenButton="1"/>
    <filterColumn colId="211" hiddenButton="1"/>
    <filterColumn colId="212" hiddenButton="1"/>
    <filterColumn colId="213" hiddenButton="1"/>
    <filterColumn colId="214" hiddenButton="1"/>
    <filterColumn colId="215" hiddenButton="1"/>
    <filterColumn colId="216" hiddenButton="1"/>
    <filterColumn colId="217" hiddenButton="1"/>
    <filterColumn colId="218" hiddenButton="1"/>
    <filterColumn colId="219" hiddenButton="1"/>
    <filterColumn colId="220" hiddenButton="1"/>
    <filterColumn colId="221" hiddenButton="1"/>
    <filterColumn colId="222" hiddenButton="1"/>
    <filterColumn colId="223" hiddenButton="1"/>
    <filterColumn colId="224" hiddenButton="1"/>
    <filterColumn colId="225" hiddenButton="1"/>
    <filterColumn colId="226" hiddenButton="1"/>
    <filterColumn colId="227" hiddenButton="1"/>
    <filterColumn colId="228" hiddenButton="1"/>
    <filterColumn colId="229" hiddenButton="1"/>
    <filterColumn colId="230" hiddenButton="1"/>
    <filterColumn colId="231" hiddenButton="1"/>
    <filterColumn colId="232" hiddenButton="1"/>
    <filterColumn colId="233" hiddenButton="1"/>
    <filterColumn colId="234" hiddenButton="1"/>
    <filterColumn colId="235" hiddenButton="1"/>
    <filterColumn colId="236" hiddenButton="1"/>
    <filterColumn colId="237" hiddenButton="1"/>
    <filterColumn colId="238" hiddenButton="1"/>
    <filterColumn colId="239" hiddenButton="1"/>
    <filterColumn colId="240" hiddenButton="1"/>
    <filterColumn colId="241" hiddenButton="1"/>
    <filterColumn colId="242" hiddenButton="1"/>
    <filterColumn colId="243" hiddenButton="1"/>
    <filterColumn colId="244" hiddenButton="1"/>
    <filterColumn colId="245" hiddenButton="1"/>
    <filterColumn colId="246" hiddenButton="1"/>
    <filterColumn colId="247" hiddenButton="1"/>
    <filterColumn colId="248" hiddenButton="1"/>
    <filterColumn colId="249" hiddenButton="1"/>
    <filterColumn colId="250" hiddenButton="1"/>
    <filterColumn colId="251" hiddenButton="1"/>
    <filterColumn colId="252" hiddenButton="1"/>
    <filterColumn colId="253" hiddenButton="1"/>
    <filterColumn colId="254" hiddenButton="1"/>
    <filterColumn colId="255" hiddenButton="1"/>
    <filterColumn colId="256" hiddenButton="1"/>
    <filterColumn colId="257" hiddenButton="1"/>
    <filterColumn colId="258" hiddenButton="1"/>
    <filterColumn colId="259" hiddenButton="1"/>
    <filterColumn colId="260" hiddenButton="1"/>
    <filterColumn colId="261" hiddenButton="1"/>
    <filterColumn colId="262" hiddenButton="1"/>
    <filterColumn colId="263" hiddenButton="1"/>
    <filterColumn colId="264" hiddenButton="1"/>
    <filterColumn colId="265" hiddenButton="1"/>
    <filterColumn colId="266" hiddenButton="1"/>
    <filterColumn colId="267" hiddenButton="1"/>
    <filterColumn colId="268" hiddenButton="1"/>
    <filterColumn colId="269" hiddenButton="1"/>
    <filterColumn colId="270" hiddenButton="1"/>
    <filterColumn colId="271" hiddenButton="1"/>
    <filterColumn colId="272" hiddenButton="1"/>
    <filterColumn colId="273" hiddenButton="1"/>
    <filterColumn colId="274" hiddenButton="1"/>
    <filterColumn colId="275" hiddenButton="1"/>
    <filterColumn colId="276" hiddenButton="1"/>
    <filterColumn colId="277" hiddenButton="1"/>
    <filterColumn colId="278" hiddenButton="1"/>
    <filterColumn colId="279" hiddenButton="1"/>
    <filterColumn colId="280" hiddenButton="1"/>
    <filterColumn colId="281" hiddenButton="1"/>
    <filterColumn colId="282" hiddenButton="1"/>
    <filterColumn colId="283" hiddenButton="1"/>
    <filterColumn colId="284" hiddenButton="1"/>
    <filterColumn colId="285" hiddenButton="1"/>
    <filterColumn colId="286" hiddenButton="1"/>
    <filterColumn colId="287" hiddenButton="1"/>
    <filterColumn colId="288" hiddenButton="1"/>
    <filterColumn colId="289" hiddenButton="1"/>
    <filterColumn colId="290" hiddenButton="1"/>
    <filterColumn colId="291" hiddenButton="1"/>
    <filterColumn colId="292" hiddenButton="1"/>
    <filterColumn colId="293" hiddenButton="1"/>
    <filterColumn colId="294" hiddenButton="1"/>
    <filterColumn colId="295" hiddenButton="1"/>
    <filterColumn colId="296" hiddenButton="1"/>
    <filterColumn colId="297" hiddenButton="1"/>
    <filterColumn colId="298" hiddenButton="1"/>
    <filterColumn colId="299" hiddenButton="1"/>
    <filterColumn colId="300" hiddenButton="1"/>
    <filterColumn colId="301" hiddenButton="1"/>
    <filterColumn colId="302" hiddenButton="1"/>
    <filterColumn colId="303" hiddenButton="1"/>
    <filterColumn colId="304" hiddenButton="1"/>
    <filterColumn colId="305" hiddenButton="1"/>
    <filterColumn colId="306" hiddenButton="1"/>
    <filterColumn colId="307" hiddenButton="1"/>
    <filterColumn colId="308" hiddenButton="1"/>
    <filterColumn colId="309" hiddenButton="1"/>
    <filterColumn colId="310" hiddenButton="1"/>
    <filterColumn colId="311" hiddenButton="1"/>
    <filterColumn colId="312" hiddenButton="1"/>
    <filterColumn colId="313" hiddenButton="1"/>
    <filterColumn colId="314" hiddenButton="1"/>
    <filterColumn colId="315" hiddenButton="1"/>
    <filterColumn colId="316" hiddenButton="1"/>
    <filterColumn colId="317" hiddenButton="1"/>
    <filterColumn colId="318" hiddenButton="1"/>
    <filterColumn colId="319" hiddenButton="1"/>
    <filterColumn colId="320" hiddenButton="1"/>
    <filterColumn colId="321" hiddenButton="1"/>
    <filterColumn colId="322" hiddenButton="1"/>
    <filterColumn colId="323" hiddenButton="1"/>
    <filterColumn colId="324" hiddenButton="1"/>
    <filterColumn colId="325" hiddenButton="1"/>
    <filterColumn colId="326" hiddenButton="1"/>
    <filterColumn colId="327" hiddenButton="1"/>
    <filterColumn colId="328" hiddenButton="1"/>
    <filterColumn colId="329" hiddenButton="1"/>
    <filterColumn colId="330" hiddenButton="1"/>
    <filterColumn colId="331" hiddenButton="1"/>
    <filterColumn colId="332" hiddenButton="1"/>
    <filterColumn colId="333" hiddenButton="1"/>
    <filterColumn colId="334" hiddenButton="1"/>
    <filterColumn colId="335" hiddenButton="1"/>
    <filterColumn colId="336" hiddenButton="1"/>
    <filterColumn colId="337" hiddenButton="1"/>
    <filterColumn colId="338" hiddenButton="1"/>
    <filterColumn colId="339" hiddenButton="1"/>
    <filterColumn colId="340" hiddenButton="1"/>
    <filterColumn colId="341" hiddenButton="1"/>
    <filterColumn colId="342" hiddenButton="1"/>
    <filterColumn colId="343" hiddenButton="1"/>
    <filterColumn colId="344" hiddenButton="1"/>
    <filterColumn colId="345" hiddenButton="1"/>
    <filterColumn colId="346" hiddenButton="1"/>
    <filterColumn colId="347" hiddenButton="1"/>
    <filterColumn colId="348" hiddenButton="1"/>
    <filterColumn colId="349" hiddenButton="1"/>
    <filterColumn colId="350" hiddenButton="1"/>
    <filterColumn colId="351" hiddenButton="1"/>
    <filterColumn colId="352" hiddenButton="1"/>
    <filterColumn colId="353" hiddenButton="1"/>
    <filterColumn colId="354" hiddenButton="1"/>
    <filterColumn colId="355" hiddenButton="1"/>
    <filterColumn colId="356" hiddenButton="1"/>
    <filterColumn colId="357" hiddenButton="1"/>
    <filterColumn colId="358" hiddenButton="1"/>
    <filterColumn colId="359" hiddenButton="1"/>
    <filterColumn colId="360" hiddenButton="1"/>
    <filterColumn colId="361" hiddenButton="1"/>
    <filterColumn colId="362" hiddenButton="1"/>
    <filterColumn colId="363" hiddenButton="1"/>
    <filterColumn colId="364" hiddenButton="1"/>
    <filterColumn colId="365" hiddenButton="1"/>
    <filterColumn colId="366" hiddenButton="1"/>
    <filterColumn colId="367" hiddenButton="1"/>
    <filterColumn colId="368" hiddenButton="1"/>
    <filterColumn colId="369" hiddenButton="1"/>
    <filterColumn colId="370" hiddenButton="1"/>
    <filterColumn colId="371" hiddenButton="1"/>
    <filterColumn colId="372" hiddenButton="1"/>
    <filterColumn colId="373" hiddenButton="1"/>
    <filterColumn colId="374" hiddenButton="1"/>
    <filterColumn colId="375" hiddenButton="1"/>
    <filterColumn colId="376" hiddenButton="1"/>
    <filterColumn colId="377" hiddenButton="1"/>
    <filterColumn colId="378" hiddenButton="1"/>
    <filterColumn colId="379" hiddenButton="1"/>
    <filterColumn colId="380" hiddenButton="1"/>
    <filterColumn colId="381" hiddenButton="1"/>
    <filterColumn colId="382" hiddenButton="1"/>
    <filterColumn colId="383" hiddenButton="1"/>
    <filterColumn colId="384" hiddenButton="1"/>
    <filterColumn colId="385" hiddenButton="1"/>
    <filterColumn colId="386" hiddenButton="1"/>
    <filterColumn colId="387" hiddenButton="1"/>
    <filterColumn colId="388" hiddenButton="1"/>
    <filterColumn colId="389" hiddenButton="1"/>
    <filterColumn colId="390" hiddenButton="1"/>
    <filterColumn colId="391" hiddenButton="1"/>
    <filterColumn colId="392" hiddenButton="1"/>
    <filterColumn colId="393" hiddenButton="1"/>
    <filterColumn colId="394" hiddenButton="1"/>
    <filterColumn colId="395" hiddenButton="1"/>
    <filterColumn colId="396" hiddenButton="1"/>
    <filterColumn colId="397" hiddenButton="1"/>
    <filterColumn colId="398" hiddenButton="1"/>
    <filterColumn colId="399" hiddenButton="1"/>
  </autoFilter>
  <tableColumns count="400">
    <tableColumn id="1" xr3:uid="{7C830282-E371-4C69-B573-1FE0EB80A282}" name="Alpha Fa 0" dataDxfId="460">
      <calculatedColumnFormula>IFERROR(1/Calculations_APPURT[[#This Row],[Brackets]],0) * cv_F * AlphaSector[[#This Row],[Quantity]] * Hazards_APPURT[[#This Row],[qz]] * CaAa_APPURT[[#This Row],[Alpha 0]] * IF(Calculations_APPURT[[#This Row],[Shape]]="CFD",1, Ka)</calculatedColumnFormula>
    </tableColumn>
    <tableColumn id="2" xr3:uid="{0F431D6C-0B65-42D9-B9D5-F88075A1D358}" name="Alpha Fa 30" dataDxfId="459">
      <calculatedColumnFormula>IFERROR(1/Calculations_APPURT[[#This Row],[Brackets]],0) * cv_F * AlphaSector[[#This Row],[Quantity]] * Hazards_APPURT[[#This Row],[qz]] * CaAa_APPURT[[#This Row],[Alpha 30]] * IF(Calculations_APPURT[[#This Row],[Shape]]="CFD",1, Ka)</calculatedColumnFormula>
    </tableColumn>
    <tableColumn id="3" xr3:uid="{CD149170-1C70-4CB6-8ADA-28FEE51B73F3}" name="Alpha Fa 45" dataDxfId="458">
      <calculatedColumnFormula>IFERROR(1/Calculations_APPURT[[#This Row],[Brackets]],0) * cv_F * AlphaSector[[#This Row],[Quantity]] * Hazards_APPURT[[#This Row],[qz]] * CaAa_APPURT[[#This Row],[Alpha 45]] * IF(Calculations_APPURT[[#This Row],[Shape]]="CFD",1, Ka)</calculatedColumnFormula>
    </tableColumn>
    <tableColumn id="4" xr3:uid="{425EB64C-6AB7-4655-A9DA-C168C6A5D290}" name="Alpha Fa 60" dataDxfId="457">
      <calculatedColumnFormula>IFERROR(1/Calculations_APPURT[[#This Row],[Brackets]],0) * cv_F * AlphaSector[[#This Row],[Quantity]] * Hazards_APPURT[[#This Row],[qz]] * CaAa_APPURT[[#This Row],[Alpha 60]] * IF(Calculations_APPURT[[#This Row],[Shape]]="CFD",1, Ka)</calculatedColumnFormula>
    </tableColumn>
    <tableColumn id="5" xr3:uid="{6FD4FB59-F8F5-43D6-8D76-9B090976832C}" name="Alpha Fa 90" dataDxfId="456">
      <calculatedColumnFormula>IFERROR(1/Calculations_APPURT[[#This Row],[Brackets]],0) * cv_F * AlphaSector[[#This Row],[Quantity]] * Hazards_APPURT[[#This Row],[qz]] * CaAa_APPURT[[#This Row],[Alpha 90]] * IF(Calculations_APPURT[[#This Row],[Shape]]="CFD",1, Ka)</calculatedColumnFormula>
    </tableColumn>
    <tableColumn id="6" xr3:uid="{3A8BBFA1-C7CB-489A-B77C-F0540639F676}" name="Alpha Fa 120" dataDxfId="455">
      <calculatedColumnFormula>IFERROR(1/Calculations_APPURT[[#This Row],[Brackets]],0) * cv_F * AlphaSector[[#This Row],[Quantity]] * Hazards_APPURT[[#This Row],[qz]] * CaAa_APPURT[[#This Row],[Alpha 120]] * IF(Calculations_APPURT[[#This Row],[Shape]]="CFD",1, Ka)</calculatedColumnFormula>
    </tableColumn>
    <tableColumn id="7" xr3:uid="{712A6CD7-5206-48EF-A2EE-4F6755CB5BB0}" name="Alpha Fa 135" dataDxfId="454">
      <calculatedColumnFormula>IFERROR(1/Calculations_APPURT[[#This Row],[Brackets]],0) * cv_F * AlphaSector[[#This Row],[Quantity]] * Hazards_APPURT[[#This Row],[qz]] * CaAa_APPURT[[#This Row],[Alpha 135]] * IF(Calculations_APPURT[[#This Row],[Shape]]="CFD",1, Ka)</calculatedColumnFormula>
    </tableColumn>
    <tableColumn id="8" xr3:uid="{B310DF32-1B6A-4F9B-A6FF-5A5B64D7C2CA}" name="Alpha Fa 150" dataDxfId="453">
      <calculatedColumnFormula>IFERROR(1/Calculations_APPURT[[#This Row],[Brackets]],0) * cv_F * AlphaSector[[#This Row],[Quantity]] * Hazards_APPURT[[#This Row],[qz]] * CaAa_APPURT[[#This Row],[Alpha 150]] * IF(Calculations_APPURT[[#This Row],[Shape]]="CFD",1, Ka)</calculatedColumnFormula>
    </tableColumn>
    <tableColumn id="9" xr3:uid="{0054CF7D-B22E-4CC3-BFB6-8C2F76F95E56}" name="Alpha Fa 180" dataDxfId="452">
      <calculatedColumnFormula>IFERROR(1/Calculations_APPURT[[#This Row],[Brackets]],0) * cv_F * AlphaSector[[#This Row],[Quantity]] * Hazards_APPURT[[#This Row],[qz]] * CaAa_APPURT[[#This Row],[Alpha 180]] * IF(Calculations_APPURT[[#This Row],[Shape]]="CFD",1, Ka)</calculatedColumnFormula>
    </tableColumn>
    <tableColumn id="10" xr3:uid="{197C8559-60F7-486E-930B-B011D512B05B}" name="Alpha Fa 210" dataDxfId="451">
      <calculatedColumnFormula>IFERROR(1/Calculations_APPURT[[#This Row],[Brackets]],0) * cv_F * AlphaSector[[#This Row],[Quantity]] * Hazards_APPURT[[#This Row],[qz]] * CaAa_APPURT[[#This Row],[Alpha 210]] * IF(Calculations_APPURT[[#This Row],[Shape]]="CFD",1, Ka)</calculatedColumnFormula>
    </tableColumn>
    <tableColumn id="11" xr3:uid="{D0839E46-B52F-42B1-AA2E-927A16F1ACAA}" name="Alpha Fa 225" dataDxfId="450">
      <calculatedColumnFormula>IFERROR(1/Calculations_APPURT[[#This Row],[Brackets]],0) * cv_F * AlphaSector[[#This Row],[Quantity]] * Hazards_APPURT[[#This Row],[qz]] * CaAa_APPURT[[#This Row],[Alpha 225]] * IF(Calculations_APPURT[[#This Row],[Shape]]="CFD",1, Ka)</calculatedColumnFormula>
    </tableColumn>
    <tableColumn id="12" xr3:uid="{A11CDE07-950E-46D4-B76D-A5C4B93C1DEF}" name="Alpha Fa 240" dataDxfId="449">
      <calculatedColumnFormula>IFERROR(1/Calculations_APPURT[[#This Row],[Brackets]],0) * cv_F * AlphaSector[[#This Row],[Quantity]] * Hazards_APPURT[[#This Row],[qz]] * CaAa_APPURT[[#This Row],[Alpha 240]] * IF(Calculations_APPURT[[#This Row],[Shape]]="CFD",1, Ka)</calculatedColumnFormula>
    </tableColumn>
    <tableColumn id="13" xr3:uid="{9E0B2A06-3EBB-4CA8-829D-40ABEA1FA261}" name="Alpha Fa 270" dataDxfId="448">
      <calculatedColumnFormula>IFERROR(1/Calculations_APPURT[[#This Row],[Brackets]],0) * cv_F * AlphaSector[[#This Row],[Quantity]] * Hazards_APPURT[[#This Row],[qz]] * CaAa_APPURT[[#This Row],[Alpha 270]] * IF(Calculations_APPURT[[#This Row],[Shape]]="CFD",1, Ka)</calculatedColumnFormula>
    </tableColumn>
    <tableColumn id="14" xr3:uid="{17623D8B-D5F7-4EEF-8913-449AC9756F37}" name="Alpha Fa 300" dataDxfId="447">
      <calculatedColumnFormula>IFERROR(1/Calculations_APPURT[[#This Row],[Brackets]],0) * cv_F * AlphaSector[[#This Row],[Quantity]] * Hazards_APPURT[[#This Row],[qz]] * CaAa_APPURT[[#This Row],[Alpha 300]] * IF(Calculations_APPURT[[#This Row],[Shape]]="CFD",1, Ka)</calculatedColumnFormula>
    </tableColumn>
    <tableColumn id="15" xr3:uid="{03F9841D-788F-4A5D-97B2-C597B6C099E7}" name="Alpha Fa 315" dataDxfId="446">
      <calculatedColumnFormula>IFERROR(1/Calculations_APPURT[[#This Row],[Brackets]],0) * cv_F * AlphaSector[[#This Row],[Quantity]] * Hazards_APPURT[[#This Row],[qz]] * CaAa_APPURT[[#This Row],[Alpha 315]] * IF(Calculations_APPURT[[#This Row],[Shape]]="CFD",1, Ka)</calculatedColumnFormula>
    </tableColumn>
    <tableColumn id="16" xr3:uid="{A9C0DFA9-B1C8-48C5-83A9-6CCDFE94BFB5}" name="Alpha Fa 330" dataDxfId="445">
      <calculatedColumnFormula>IFERROR(1/Calculations_APPURT[[#This Row],[Brackets]],0) * cv_F * AlphaSector[[#This Row],[Quantity]] * Hazards_APPURT[[#This Row],[qz]] * CaAa_APPURT[[#This Row],[Alpha 330]] * IF(Calculations_APPURT[[#This Row],[Shape]]="CFD",1, Ka)</calculatedColumnFormula>
    </tableColumn>
    <tableColumn id="17" xr3:uid="{73C6222D-22CA-4EBD-932A-F3AA8D531349}" name="Beta Fa 0" dataDxfId="444">
      <calculatedColumnFormula>IFERROR(1/Calculations_APPURT[[#This Row],[Brackets]],0) * cv_F * BetaSector[[#This Row],[Quantity]] * Hazards_APPURT[[#This Row],[qz]] * CaAa_APPURT[[#This Row],[Beta 0]] * IF(Calculations_APPURT[[#This Row],[Shape]]="CFD",1, Ka)</calculatedColumnFormula>
    </tableColumn>
    <tableColumn id="18" xr3:uid="{2580AA81-11A1-499A-BF03-14C9791D1DEC}" name="Beta Fa 30" dataDxfId="443">
      <calculatedColumnFormula>IFERROR(1/Calculations_APPURT[[#This Row],[Brackets]],0) * cv_F * BetaSector[[#This Row],[Quantity]] * Hazards_APPURT[[#This Row],[qz]] * CaAa_APPURT[[#This Row],[Beta 30]] * IF(Calculations_APPURT[[#This Row],[Shape]]="CFD",1, Ka)</calculatedColumnFormula>
    </tableColumn>
    <tableColumn id="19" xr3:uid="{1F51B913-4C26-4740-BFF2-9B663EEC59A7}" name="Beta Fa 45" dataDxfId="442">
      <calculatedColumnFormula>IFERROR(1/Calculations_APPURT[[#This Row],[Brackets]],0) * cv_F * BetaSector[[#This Row],[Quantity]] * Hazards_APPURT[[#This Row],[qz]] * CaAa_APPURT[[#This Row],[Beta 45]] * IF(Calculations_APPURT[[#This Row],[Shape]]="CFD",1, Ka)</calculatedColumnFormula>
    </tableColumn>
    <tableColumn id="20" xr3:uid="{E6D6F129-108C-4574-80EA-683028316579}" name="Beta Fa 60" dataDxfId="441">
      <calculatedColumnFormula>IFERROR(1/Calculations_APPURT[[#This Row],[Brackets]],0) * cv_F * BetaSector[[#This Row],[Quantity]] * Hazards_APPURT[[#This Row],[qz]] * CaAa_APPURT[[#This Row],[Beta 60]] * IF(Calculations_APPURT[[#This Row],[Shape]]="CFD",1, Ka)</calculatedColumnFormula>
    </tableColumn>
    <tableColumn id="21" xr3:uid="{3C3E8E34-A594-4606-91B9-75B3523A3C75}" name="Beta Fa 90" dataDxfId="440">
      <calculatedColumnFormula>IFERROR(1/Calculations_APPURT[[#This Row],[Brackets]],0) * cv_F * BetaSector[[#This Row],[Quantity]] * Hazards_APPURT[[#This Row],[qz]] * CaAa_APPURT[[#This Row],[Beta 90]] * IF(Calculations_APPURT[[#This Row],[Shape]]="CFD",1, Ka)</calculatedColumnFormula>
    </tableColumn>
    <tableColumn id="22" xr3:uid="{FC2F34D3-F348-40AC-A69A-1FB725A264AC}" name="Beta Fa 120" dataDxfId="439">
      <calculatedColumnFormula>IFERROR(1/Calculations_APPURT[[#This Row],[Brackets]],0) * cv_F * BetaSector[[#This Row],[Quantity]] * Hazards_APPURT[[#This Row],[qz]] * CaAa_APPURT[[#This Row],[Beta 120]] * IF(Calculations_APPURT[[#This Row],[Shape]]="CFD",1, Ka)</calculatedColumnFormula>
    </tableColumn>
    <tableColumn id="23" xr3:uid="{717787EC-B8B1-4058-A059-849007107F6C}" name="Beta Fa 135" dataDxfId="438">
      <calculatedColumnFormula>IFERROR(1/Calculations_APPURT[[#This Row],[Brackets]],0) * cv_F * BetaSector[[#This Row],[Quantity]] * Hazards_APPURT[[#This Row],[qz]] * CaAa_APPURT[[#This Row],[Beta 135]] * IF(Calculations_APPURT[[#This Row],[Shape]]="CFD",1, Ka)</calculatedColumnFormula>
    </tableColumn>
    <tableColumn id="24" xr3:uid="{D7D6295E-C240-4E33-B956-545C3B98368D}" name="Beta Fa 150" dataDxfId="437">
      <calculatedColumnFormula>IFERROR(1/Calculations_APPURT[[#This Row],[Brackets]],0) * cv_F * BetaSector[[#This Row],[Quantity]] * Hazards_APPURT[[#This Row],[qz]] * CaAa_APPURT[[#This Row],[Beta 150]] * IF(Calculations_APPURT[[#This Row],[Shape]]="CFD",1, Ka)</calculatedColumnFormula>
    </tableColumn>
    <tableColumn id="25" xr3:uid="{0854A442-EA96-4AF2-B5AA-9C4FC6E0C2C0}" name="Beta Fa 180" dataDxfId="436">
      <calculatedColumnFormula>IFERROR(1/Calculations_APPURT[[#This Row],[Brackets]],0) * cv_F * BetaSector[[#This Row],[Quantity]] * Hazards_APPURT[[#This Row],[qz]] * CaAa_APPURT[[#This Row],[Beta 180]] * IF(Calculations_APPURT[[#This Row],[Shape]]="CFD",1, Ka)</calculatedColumnFormula>
    </tableColumn>
    <tableColumn id="26" xr3:uid="{4B313F6C-BE61-494A-99B2-9E2B4AF9C262}" name="Beta Fa 210" dataDxfId="435">
      <calculatedColumnFormula>IFERROR(1/Calculations_APPURT[[#This Row],[Brackets]],0) * cv_F * BetaSector[[#This Row],[Quantity]] * Hazards_APPURT[[#This Row],[qz]] * CaAa_APPURT[[#This Row],[Beta 210]] * IF(Calculations_APPURT[[#This Row],[Shape]]="CFD",1, Ka)</calculatedColumnFormula>
    </tableColumn>
    <tableColumn id="27" xr3:uid="{E472377D-50E9-4A2F-B37F-DD13684D74F3}" name="Beta Fa 225" dataDxfId="434">
      <calculatedColumnFormula>IFERROR(1/Calculations_APPURT[[#This Row],[Brackets]],0) * cv_F * BetaSector[[#This Row],[Quantity]] * Hazards_APPURT[[#This Row],[qz]] * CaAa_APPURT[[#This Row],[Beta 225]] * IF(Calculations_APPURT[[#This Row],[Shape]]="CFD",1, Ka)</calculatedColumnFormula>
    </tableColumn>
    <tableColumn id="28" xr3:uid="{3E083F5A-66F9-425B-95F1-763C7A08FD2F}" name="Beta Fa 240" dataDxfId="433">
      <calculatedColumnFormula>IFERROR(1/Calculations_APPURT[[#This Row],[Brackets]],0) * cv_F * BetaSector[[#This Row],[Quantity]] * Hazards_APPURT[[#This Row],[qz]] * CaAa_APPURT[[#This Row],[Beta 240]] * IF(Calculations_APPURT[[#This Row],[Shape]]="CFD",1, Ka)</calculatedColumnFormula>
    </tableColumn>
    <tableColumn id="29" xr3:uid="{94C67B29-A3FD-4861-90BC-CAA48829C266}" name="Beta Fa 270" dataDxfId="432">
      <calculatedColumnFormula>IFERROR(1/Calculations_APPURT[[#This Row],[Brackets]],0) * cv_F * BetaSector[[#This Row],[Quantity]] * Hazards_APPURT[[#This Row],[qz]] * CaAa_APPURT[[#This Row],[Beta 270]] * IF(Calculations_APPURT[[#This Row],[Shape]]="CFD",1, Ka)</calculatedColumnFormula>
    </tableColumn>
    <tableColumn id="30" xr3:uid="{0DD366BC-83DD-43B5-87B2-C2EAA67B51E3}" name="Beta Fa 300" dataDxfId="431">
      <calculatedColumnFormula>IFERROR(1/Calculations_APPURT[[#This Row],[Brackets]],0) * cv_F * BetaSector[[#This Row],[Quantity]] * Hazards_APPURT[[#This Row],[qz]] * CaAa_APPURT[[#This Row],[Beta 300]] * IF(Calculations_APPURT[[#This Row],[Shape]]="CFD",1, Ka)</calculatedColumnFormula>
    </tableColumn>
    <tableColumn id="31" xr3:uid="{3956255D-0EED-4562-85D6-9780553D9F7B}" name="Beta Fa 315" dataDxfId="430">
      <calculatedColumnFormula>IFERROR(1/Calculations_APPURT[[#This Row],[Brackets]],0) * cv_F * BetaSector[[#This Row],[Quantity]] * Hazards_APPURT[[#This Row],[qz]] * CaAa_APPURT[[#This Row],[Beta 315]] * IF(Calculations_APPURT[[#This Row],[Shape]]="CFD",1, Ka)</calculatedColumnFormula>
    </tableColumn>
    <tableColumn id="32" xr3:uid="{84503B4B-B448-449D-AFA8-DCCE51B32CD4}" name="Beta Fa 330" dataDxfId="429">
      <calculatedColumnFormula>IFERROR(1/Calculations_APPURT[[#This Row],[Brackets]],0) * cv_F * BetaSector[[#This Row],[Quantity]] * Hazards_APPURT[[#This Row],[qz]] * CaAa_APPURT[[#This Row],[Beta 330]] * IF(Calculations_APPURT[[#This Row],[Shape]]="CFD",1, Ka)</calculatedColumnFormula>
    </tableColumn>
    <tableColumn id="33" xr3:uid="{42FFB4E6-5107-4CDE-8C91-AA0C7AA89A9B}" name="Gamma Fa 0" dataDxfId="428">
      <calculatedColumnFormula>IFERROR(1/Calculations_APPURT[[#This Row],[Brackets]],0) * cv_F * GammaSector[[#This Row],[Quantity]] * Hazards_APPURT[[#This Row],[qz]] * CaAa_APPURT[[#This Row],[Gamma 0]] * IF(Calculations_APPURT[[#This Row],[Shape]]="CFD",1, Ka)</calculatedColumnFormula>
    </tableColumn>
    <tableColumn id="34" xr3:uid="{0507B256-0570-4A7B-8938-5F54E69D149B}" name="Gamma Fa 30" dataDxfId="427">
      <calculatedColumnFormula>IFERROR(1/Calculations_APPURT[[#This Row],[Brackets]],0) * cv_F * GammaSector[[#This Row],[Quantity]] * Hazards_APPURT[[#This Row],[qz]] * CaAa_APPURT[[#This Row],[Gamma 30]] * IF(Calculations_APPURT[[#This Row],[Shape]]="CFD",1, Ka)</calculatedColumnFormula>
    </tableColumn>
    <tableColumn id="35" xr3:uid="{99FFB87C-87CB-4288-B360-36C6F5B2281A}" name="Gamma Fa 45" dataDxfId="426">
      <calculatedColumnFormula>IFERROR(1/Calculations_APPURT[[#This Row],[Brackets]],0) * cv_F * GammaSector[[#This Row],[Quantity]] * Hazards_APPURT[[#This Row],[qz]] * CaAa_APPURT[[#This Row],[Gamma 45]] * IF(Calculations_APPURT[[#This Row],[Shape]]="CFD",1, Ka)</calculatedColumnFormula>
    </tableColumn>
    <tableColumn id="36" xr3:uid="{10D70CBB-9822-4D09-B2E6-192D4295CE33}" name="Gamma Fa 60" dataDxfId="425">
      <calculatedColumnFormula>IFERROR(1/Calculations_APPURT[[#This Row],[Brackets]],0) * cv_F * GammaSector[[#This Row],[Quantity]] * Hazards_APPURT[[#This Row],[qz]] * CaAa_APPURT[[#This Row],[Gamma 60]] * IF(Calculations_APPURT[[#This Row],[Shape]]="CFD",1, Ka)</calculatedColumnFormula>
    </tableColumn>
    <tableColumn id="37" xr3:uid="{27D01F58-CBC7-4D4E-BFEC-7B65D4C2092A}" name="Gamma Fa 90" dataDxfId="424">
      <calculatedColumnFormula>IFERROR(1/Calculations_APPURT[[#This Row],[Brackets]],0) * cv_F * GammaSector[[#This Row],[Quantity]] * Hazards_APPURT[[#This Row],[qz]] * CaAa_APPURT[[#This Row],[Gamma 90]] * IF(Calculations_APPURT[[#This Row],[Shape]]="CFD",1, Ka)</calculatedColumnFormula>
    </tableColumn>
    <tableColumn id="38" xr3:uid="{5DE0374D-E4AC-401E-B56A-07E6F4D6B22B}" name="Gamma Fa 120" dataDxfId="423">
      <calculatedColumnFormula>IFERROR(1/Calculations_APPURT[[#This Row],[Brackets]],0) * cv_F * GammaSector[[#This Row],[Quantity]] * Hazards_APPURT[[#This Row],[qz]] * CaAa_APPURT[[#This Row],[Gamma 120]] * IF(Calculations_APPURT[[#This Row],[Shape]]="CFD",1, Ka)</calculatedColumnFormula>
    </tableColumn>
    <tableColumn id="39" xr3:uid="{E7ACA80D-3D03-487F-B54D-46E20E68CCFA}" name="Gamma Fa 135" dataDxfId="422">
      <calculatedColumnFormula>IFERROR(1/Calculations_APPURT[[#This Row],[Brackets]],0) * cv_F * GammaSector[[#This Row],[Quantity]] * Hazards_APPURT[[#This Row],[qz]] * CaAa_APPURT[[#This Row],[Gamma 135]] * IF(Calculations_APPURT[[#This Row],[Shape]]="CFD",1, Ka)</calculatedColumnFormula>
    </tableColumn>
    <tableColumn id="40" xr3:uid="{2C59CEB6-2D08-4891-B672-C744F0897A58}" name="Gamma Fa 150" dataDxfId="421">
      <calculatedColumnFormula>IFERROR(1/Calculations_APPURT[[#This Row],[Brackets]],0) * cv_F * GammaSector[[#This Row],[Quantity]] * Hazards_APPURT[[#This Row],[qz]] * CaAa_APPURT[[#This Row],[Gamma 150]] * IF(Calculations_APPURT[[#This Row],[Shape]]="CFD",1, Ka)</calculatedColumnFormula>
    </tableColumn>
    <tableColumn id="41" xr3:uid="{2D44B5CE-A2FE-4DE1-9CCD-E0D26D06EA77}" name="Gamma Fa 180" dataDxfId="420">
      <calculatedColumnFormula>IFERROR(1/Calculations_APPURT[[#This Row],[Brackets]],0) * cv_F * GammaSector[[#This Row],[Quantity]] * Hazards_APPURT[[#This Row],[qz]] * CaAa_APPURT[[#This Row],[Gamma 180]] * IF(Calculations_APPURT[[#This Row],[Shape]]="CFD",1, Ka)</calculatedColumnFormula>
    </tableColumn>
    <tableColumn id="42" xr3:uid="{34820529-B6FA-4DCC-ADF2-55BA5AB02DB8}" name="Gamma Fa 210" dataDxfId="419">
      <calculatedColumnFormula>IFERROR(1/Calculations_APPURT[[#This Row],[Brackets]],0) * cv_F * GammaSector[[#This Row],[Quantity]] * Hazards_APPURT[[#This Row],[qz]] * CaAa_APPURT[[#This Row],[Gamma 210]] * IF(Calculations_APPURT[[#This Row],[Shape]]="CFD",1, Ka)</calculatedColumnFormula>
    </tableColumn>
    <tableColumn id="43" xr3:uid="{BF68253D-AD24-450E-8FB8-526B8C1ED57B}" name="Gamma Fa 225" dataDxfId="418">
      <calculatedColumnFormula>IFERROR(1/Calculations_APPURT[[#This Row],[Brackets]],0) * cv_F * GammaSector[[#This Row],[Quantity]] * Hazards_APPURT[[#This Row],[qz]] * CaAa_APPURT[[#This Row],[Gamma 225]] * IF(Calculations_APPURT[[#This Row],[Shape]]="CFD",1, Ka)</calculatedColumnFormula>
    </tableColumn>
    <tableColumn id="44" xr3:uid="{88F26A43-6C7F-477E-B6D4-DC45485BBFD6}" name="Gamma Fa 240" dataDxfId="417">
      <calculatedColumnFormula>IFERROR(1/Calculations_APPURT[[#This Row],[Brackets]],0) * cv_F * GammaSector[[#This Row],[Quantity]] * Hazards_APPURT[[#This Row],[qz]] * CaAa_APPURT[[#This Row],[Gamma 240]] * IF(Calculations_APPURT[[#This Row],[Shape]]="CFD",1, Ka)</calculatedColumnFormula>
    </tableColumn>
    <tableColumn id="45" xr3:uid="{C6985F0A-839D-427A-87EA-681953E8CB2C}" name="Gamma Fa 270" dataDxfId="416">
      <calculatedColumnFormula>IFERROR(1/Calculations_APPURT[[#This Row],[Brackets]],0) * cv_F * GammaSector[[#This Row],[Quantity]] * Hazards_APPURT[[#This Row],[qz]] * CaAa_APPURT[[#This Row],[Gamma 270]] * IF(Calculations_APPURT[[#This Row],[Shape]]="CFD",1, Ka)</calculatedColumnFormula>
    </tableColumn>
    <tableColumn id="46" xr3:uid="{DD6F164E-9EC0-47F4-80E3-77313E705D25}" name="Gamma Fa 300" dataDxfId="415">
      <calculatedColumnFormula>IFERROR(1/Calculations_APPURT[[#This Row],[Brackets]],0) * cv_F * GammaSector[[#This Row],[Quantity]] * Hazards_APPURT[[#This Row],[qz]] * CaAa_APPURT[[#This Row],[Gamma 300]] * IF(Calculations_APPURT[[#This Row],[Shape]]="CFD",1, Ka)</calculatedColumnFormula>
    </tableColumn>
    <tableColumn id="47" xr3:uid="{8169CC66-D845-4ACA-AF29-6A070835F0BE}" name="Gamma Fa 315" dataDxfId="414">
      <calculatedColumnFormula>IFERROR(1/Calculations_APPURT[[#This Row],[Brackets]],0) * cv_F * GammaSector[[#This Row],[Quantity]] * Hazards_APPURT[[#This Row],[qz]] * CaAa_APPURT[[#This Row],[Gamma 315]] * IF(Calculations_APPURT[[#This Row],[Shape]]="CFD",1, Ka)</calculatedColumnFormula>
    </tableColumn>
    <tableColumn id="48" xr3:uid="{F8B6B617-6FEF-4639-AAD3-181B4F0F0AB1}" name="Gamma Fa 330" dataDxfId="413">
      <calculatedColumnFormula>IFERROR(1/Calculations_APPURT[[#This Row],[Brackets]],0) * cv_F * GammaSector[[#This Row],[Quantity]] * Hazards_APPURT[[#This Row],[qz]] * CaAa_APPURT[[#This Row],[Gamma 330]] * IF(Calculations_APPURT[[#This Row],[Shape]]="CFD",1, Ka)</calculatedColumnFormula>
    </tableColumn>
    <tableColumn id="49" xr3:uid="{831AA698-2BFA-4DA4-A07E-E9526F589126}" name="Delta Fa 0" dataDxfId="412">
      <calculatedColumnFormula>IFERROR(1/Calculations_APPURT[[#This Row],[Brackets]],0) * cv_F * DeltaSector[[#This Row],[Quantity]] * Hazards_APPURT[[#This Row],[qz]] * CaAa_APPURT[[#This Row],[Delta 0]] * IF(Calculations_APPURT[[#This Row],[Shape]]="CFD",1, Ka)</calculatedColumnFormula>
    </tableColumn>
    <tableColumn id="50" xr3:uid="{DD24F356-55C8-485A-AC94-D52DF067F5CA}" name="Delta Fa 30" dataDxfId="411">
      <calculatedColumnFormula>IFERROR(1/Calculations_APPURT[[#This Row],[Brackets]],0) * cv_F * DeltaSector[[#This Row],[Quantity]] * Hazards_APPURT[[#This Row],[qz]] * CaAa_APPURT[[#This Row],[Delta 30]] * IF(Calculations_APPURT[[#This Row],[Shape]]="CFD",1, Ka)</calculatedColumnFormula>
    </tableColumn>
    <tableColumn id="51" xr3:uid="{C3FE6AAE-5641-49B7-A168-1827DCBA309A}" name="Delta Fa 45" dataDxfId="410">
      <calculatedColumnFormula>IFERROR(1/Calculations_APPURT[[#This Row],[Brackets]],0) * cv_F * DeltaSector[[#This Row],[Quantity]] * Hazards_APPURT[[#This Row],[qz]] * CaAa_APPURT[[#This Row],[Delta 45]] * IF(Calculations_APPURT[[#This Row],[Shape]]="CFD",1, Ka)</calculatedColumnFormula>
    </tableColumn>
    <tableColumn id="52" xr3:uid="{F4FE075F-A84E-4198-85EB-5C099DA852D2}" name="Delta Fa 60" dataDxfId="409">
      <calculatedColumnFormula>IFERROR(1/Calculations_APPURT[[#This Row],[Brackets]],0) * cv_F * DeltaSector[[#This Row],[Quantity]] * Hazards_APPURT[[#This Row],[qz]] * CaAa_APPURT[[#This Row],[Delta 60]] * IF(Calculations_APPURT[[#This Row],[Shape]]="CFD",1, Ka)</calculatedColumnFormula>
    </tableColumn>
    <tableColumn id="53" xr3:uid="{F01F39F4-A852-4131-8CEE-64D4A2367338}" name="Delta Fa 90" dataDxfId="408">
      <calculatedColumnFormula>IFERROR(1/Calculations_APPURT[[#This Row],[Brackets]],0) * cv_F * DeltaSector[[#This Row],[Quantity]] * Hazards_APPURT[[#This Row],[qz]] * CaAa_APPURT[[#This Row],[Delta 90]] * IF(Calculations_APPURT[[#This Row],[Shape]]="CFD",1, Ka)</calculatedColumnFormula>
    </tableColumn>
    <tableColumn id="54" xr3:uid="{07DBD241-9A43-4082-8B3C-378AB75E2BDE}" name="Delta Fa 120" dataDxfId="407">
      <calculatedColumnFormula>IFERROR(1/Calculations_APPURT[[#This Row],[Brackets]],0) * cv_F * DeltaSector[[#This Row],[Quantity]] * Hazards_APPURT[[#This Row],[qz]] * CaAa_APPURT[[#This Row],[Delta 120]] * IF(Calculations_APPURT[[#This Row],[Shape]]="CFD",1, Ka)</calculatedColumnFormula>
    </tableColumn>
    <tableColumn id="55" xr3:uid="{26D3AC5B-873F-47A9-AD1B-93FFAE408086}" name="Delta Fa 135" dataDxfId="406">
      <calculatedColumnFormula>IFERROR(1/Calculations_APPURT[[#This Row],[Brackets]],0) * cv_F * DeltaSector[[#This Row],[Quantity]] * Hazards_APPURT[[#This Row],[qz]] * CaAa_APPURT[[#This Row],[Delta 135]] * IF(Calculations_APPURT[[#This Row],[Shape]]="CFD",1, Ka)</calculatedColumnFormula>
    </tableColumn>
    <tableColumn id="56" xr3:uid="{F09665CE-667D-4940-8CAF-F232E86B82F6}" name="Delta Fa 150" dataDxfId="405">
      <calculatedColumnFormula>IFERROR(1/Calculations_APPURT[[#This Row],[Brackets]],0) * cv_F * DeltaSector[[#This Row],[Quantity]] * Hazards_APPURT[[#This Row],[qz]] * CaAa_APPURT[[#This Row],[Delta 150]] * IF(Calculations_APPURT[[#This Row],[Shape]]="CFD",1, Ka)</calculatedColumnFormula>
    </tableColumn>
    <tableColumn id="57" xr3:uid="{8C3DB256-A879-4E8C-B711-6F2C37D1456C}" name="Delta Fa 180" dataDxfId="404">
      <calculatedColumnFormula>IFERROR(1/Calculations_APPURT[[#This Row],[Brackets]],0) * cv_F * DeltaSector[[#This Row],[Quantity]] * Hazards_APPURT[[#This Row],[qz]] * CaAa_APPURT[[#This Row],[Delta 180]] * IF(Calculations_APPURT[[#This Row],[Shape]]="CFD",1, Ka)</calculatedColumnFormula>
    </tableColumn>
    <tableColumn id="58" xr3:uid="{F12B16D5-3DF3-4846-871E-49CF2A12FCD1}" name="Delta Fa 210" dataDxfId="403">
      <calculatedColumnFormula>IFERROR(1/Calculations_APPURT[[#This Row],[Brackets]],0) * cv_F * DeltaSector[[#This Row],[Quantity]] * Hazards_APPURT[[#This Row],[qz]] * CaAa_APPURT[[#This Row],[Delta 210]] * IF(Calculations_APPURT[[#This Row],[Shape]]="CFD",1, Ka)</calculatedColumnFormula>
    </tableColumn>
    <tableColumn id="59" xr3:uid="{FAF3350C-21BE-4184-89AE-5BF24EC128F3}" name="Delta Fa 225" dataDxfId="402">
      <calculatedColumnFormula>IFERROR(1/Calculations_APPURT[[#This Row],[Brackets]],0) * cv_F * DeltaSector[[#This Row],[Quantity]] * Hazards_APPURT[[#This Row],[qz]] * CaAa_APPURT[[#This Row],[Delta 225]] * IF(Calculations_APPURT[[#This Row],[Shape]]="CFD",1, Ka)</calculatedColumnFormula>
    </tableColumn>
    <tableColumn id="60" xr3:uid="{F604D141-7301-4960-9AD6-FCF3B5414F80}" name="Delta Fa 240" dataDxfId="401">
      <calculatedColumnFormula>IFERROR(1/Calculations_APPURT[[#This Row],[Brackets]],0) * cv_F * DeltaSector[[#This Row],[Quantity]] * Hazards_APPURT[[#This Row],[qz]] * CaAa_APPURT[[#This Row],[Delta 240]] * IF(Calculations_APPURT[[#This Row],[Shape]]="CFD",1, Ka)</calculatedColumnFormula>
    </tableColumn>
    <tableColumn id="61" xr3:uid="{58FE1789-1060-4D14-A2ED-E41528BEF589}" name="Delta Fa 270" dataDxfId="400">
      <calculatedColumnFormula>IFERROR(1/Calculations_APPURT[[#This Row],[Brackets]],0) * cv_F * DeltaSector[[#This Row],[Quantity]] * Hazards_APPURT[[#This Row],[qz]] * CaAa_APPURT[[#This Row],[Delta 270]] * IF(Calculations_APPURT[[#This Row],[Shape]]="CFD",1, Ka)</calculatedColumnFormula>
    </tableColumn>
    <tableColumn id="62" xr3:uid="{58A5A98E-3C6C-4416-93D2-475CE27444A5}" name="Delta Fa 300" dataDxfId="399">
      <calculatedColumnFormula>IFERROR(1/Calculations_APPURT[[#This Row],[Brackets]],0) * cv_F * DeltaSector[[#This Row],[Quantity]] * Hazards_APPURT[[#This Row],[qz]] * CaAa_APPURT[[#This Row],[Delta 300]] * IF(Calculations_APPURT[[#This Row],[Shape]]="CFD",1, Ka)</calculatedColumnFormula>
    </tableColumn>
    <tableColumn id="63" xr3:uid="{6BD699EF-3B56-49C2-B6BF-BCA76DE79B4C}" name="Delta Fa 315" dataDxfId="398">
      <calculatedColumnFormula>IFERROR(1/Calculations_APPURT[[#This Row],[Brackets]],0) * cv_F * DeltaSector[[#This Row],[Quantity]] * Hazards_APPURT[[#This Row],[qz]] * CaAa_APPURT[[#This Row],[Delta 315]] * IF(Calculations_APPURT[[#This Row],[Shape]]="CFD",1, Ka)</calculatedColumnFormula>
    </tableColumn>
    <tableColumn id="64" xr3:uid="{D99A15F3-10C2-4002-A0AC-4A0D9DAE521B}" name="Delta Fa 330" dataDxfId="397">
      <calculatedColumnFormula>IFERROR(1/Calculations_APPURT[[#This Row],[Brackets]],0) * cv_F * DeltaSector[[#This Row],[Quantity]] * Hazards_APPURT[[#This Row],[qz]] * CaAa_APPURT[[#This Row],[Delta 330]] * IF(Calculations_APPURT[[#This Row],[Shape]]="CFD",1, Ka)</calculatedColumnFormula>
    </tableColumn>
    <tableColumn id="65" xr3:uid="{640B0398-4E2F-48A7-A61B-F235CDB66E95}" name="Alpha Fai 0" dataDxfId="396">
      <calculatedColumnFormula>IFERROR(1/Calculations_APPURT[[#This Row],[Brackets]],0) * cv_F * AlphaSector[[#This Row],[Quantity]] * Hazards_APPURT[[#This Row],[qiz]] * CaAa_APPURT[[#This Row],[Alpha Ice 0]]</calculatedColumnFormula>
    </tableColumn>
    <tableColumn id="66" xr3:uid="{2BDE823F-7D8E-448E-8C6D-45024BAB9E81}" name="Alpha Fai 30" dataDxfId="395">
      <calculatedColumnFormula>IFERROR(1/Calculations_APPURT[[#This Row],[Brackets]],0) * cv_F * AlphaSector[[#This Row],[Quantity]] * Hazards_APPURT[[#This Row],[qiz]] * CaAa_APPURT[[#This Row],[Alpha Ice 30]]</calculatedColumnFormula>
    </tableColumn>
    <tableColumn id="67" xr3:uid="{18605ED1-AF62-4348-98CF-163B792EAB81}" name="Alpha Fai 45" dataDxfId="394">
      <calculatedColumnFormula>IFERROR(1/Calculations_APPURT[[#This Row],[Brackets]],0) * cv_F * AlphaSector[[#This Row],[Quantity]] * Hazards_APPURT[[#This Row],[qiz]] * CaAa_APPURT[[#This Row],[Alpha Ice 45]]</calculatedColumnFormula>
    </tableColumn>
    <tableColumn id="68" xr3:uid="{733C2019-E6F6-4701-9799-67E942165A6D}" name="Alpha Fai 60" dataDxfId="393">
      <calculatedColumnFormula>IFERROR(1/Calculations_APPURT[[#This Row],[Brackets]],0) * cv_F * AlphaSector[[#This Row],[Quantity]] * Hazards_APPURT[[#This Row],[qiz]] * CaAa_APPURT[[#This Row],[Alpha Ice 60]]</calculatedColumnFormula>
    </tableColumn>
    <tableColumn id="69" xr3:uid="{91707D4D-E675-4D30-9F35-9BA5739708A9}" name="Alpha Fai 90" dataDxfId="392">
      <calculatedColumnFormula>IFERROR(1/Calculations_APPURT[[#This Row],[Brackets]],0) * cv_F * AlphaSector[[#This Row],[Quantity]] * Hazards_APPURT[[#This Row],[qiz]] * CaAa_APPURT[[#This Row],[Alpha Ice 90]]</calculatedColumnFormula>
    </tableColumn>
    <tableColumn id="70" xr3:uid="{34F140BA-7E66-4370-8AB1-87E88179231A}" name="Alpha Fai 120" dataDxfId="391">
      <calculatedColumnFormula>IFERROR(1/Calculations_APPURT[[#This Row],[Brackets]],0) * cv_F * AlphaSector[[#This Row],[Quantity]] * Hazards_APPURT[[#This Row],[qiz]] * CaAa_APPURT[[#This Row],[Alpha Ice 120]]</calculatedColumnFormula>
    </tableColumn>
    <tableColumn id="71" xr3:uid="{BAF28046-BD31-4D6D-AF0D-7D9ABA345CFD}" name="Alpha Fai 135" dataDxfId="390">
      <calculatedColumnFormula>IFERROR(1/Calculations_APPURT[[#This Row],[Brackets]],0) * cv_F * AlphaSector[[#This Row],[Quantity]] * Hazards_APPURT[[#This Row],[qiz]] * CaAa_APPURT[[#This Row],[Alpha Ice 135]]</calculatedColumnFormula>
    </tableColumn>
    <tableColumn id="72" xr3:uid="{8F8A238B-D598-45CE-9ECD-3C97484A35EF}" name="Alpha Fai 150" dataDxfId="389">
      <calculatedColumnFormula>IFERROR(1/Calculations_APPURT[[#This Row],[Brackets]],0) * cv_F * AlphaSector[[#This Row],[Quantity]] * Hazards_APPURT[[#This Row],[qiz]] * CaAa_APPURT[[#This Row],[Alpha Ice 150]]</calculatedColumnFormula>
    </tableColumn>
    <tableColumn id="73" xr3:uid="{AF2270E3-539F-4941-B1F1-6571E81C9779}" name="Alpha Fai 180" dataDxfId="388">
      <calculatedColumnFormula>IFERROR(1/Calculations_APPURT[[#This Row],[Brackets]],0) * cv_F * AlphaSector[[#This Row],[Quantity]] * Hazards_APPURT[[#This Row],[qiz]] * CaAa_APPURT[[#This Row],[Alpha Ice 180]]</calculatedColumnFormula>
    </tableColumn>
    <tableColumn id="74" xr3:uid="{C449FB04-6B76-4951-B162-B10CA5154CEE}" name="Alpha Fai 210" dataDxfId="387">
      <calculatedColumnFormula>IFERROR(1/Calculations_APPURT[[#This Row],[Brackets]],0) * cv_F * AlphaSector[[#This Row],[Quantity]] * Hazards_APPURT[[#This Row],[qiz]] * CaAa_APPURT[[#This Row],[Alpha Ice 210]]</calculatedColumnFormula>
    </tableColumn>
    <tableColumn id="75" xr3:uid="{56FBEE51-CB18-4C39-A119-2C0DB0973531}" name="Alpha Fai 225" dataDxfId="386">
      <calculatedColumnFormula>IFERROR(1/Calculations_APPURT[[#This Row],[Brackets]],0) * cv_F * AlphaSector[[#This Row],[Quantity]] * Hazards_APPURT[[#This Row],[qiz]] * CaAa_APPURT[[#This Row],[Alpha Ice 225]]</calculatedColumnFormula>
    </tableColumn>
    <tableColumn id="76" xr3:uid="{6EC6F6E5-1C34-4E09-ACF0-BEBC1D345C81}" name="Alpha Fai 240" dataDxfId="385">
      <calculatedColumnFormula>IFERROR(1/Calculations_APPURT[[#This Row],[Brackets]],0) * cv_F * AlphaSector[[#This Row],[Quantity]] * Hazards_APPURT[[#This Row],[qiz]] * CaAa_APPURT[[#This Row],[Alpha Ice 240]]</calculatedColumnFormula>
    </tableColumn>
    <tableColumn id="77" xr3:uid="{9D3F71A0-B19C-46B3-988C-184BD2A384F3}" name="Alpha Fai 270" dataDxfId="384">
      <calculatedColumnFormula>IFERROR(1/Calculations_APPURT[[#This Row],[Brackets]],0) * cv_F * AlphaSector[[#This Row],[Quantity]] * Hazards_APPURT[[#This Row],[qiz]] * CaAa_APPURT[[#This Row],[Alpha Ice 270]]</calculatedColumnFormula>
    </tableColumn>
    <tableColumn id="78" xr3:uid="{0E5C95A0-3B7A-48C5-82B8-A0653EFB45AF}" name="Alpha Fai 300" dataDxfId="383">
      <calculatedColumnFormula>IFERROR(1/Calculations_APPURT[[#This Row],[Brackets]],0) * cv_F * AlphaSector[[#This Row],[Quantity]] * Hazards_APPURT[[#This Row],[qiz]] * CaAa_APPURT[[#This Row],[Alpha Ice 300]]</calculatedColumnFormula>
    </tableColumn>
    <tableColumn id="79" xr3:uid="{699071C9-A0EA-44BE-85D6-B9A06ADBA172}" name="Alpha Fai 315" dataDxfId="382">
      <calculatedColumnFormula>IFERROR(1/Calculations_APPURT[[#This Row],[Brackets]],0) * cv_F * AlphaSector[[#This Row],[Quantity]] * Hazards_APPURT[[#This Row],[qiz]] * CaAa_APPURT[[#This Row],[Alpha Ice 315]]</calculatedColumnFormula>
    </tableColumn>
    <tableColumn id="80" xr3:uid="{FAC4B081-D934-4F31-B1D0-C816FB0CE6A5}" name="Alpha Fai 330" dataDxfId="381">
      <calculatedColumnFormula>IFERROR(1/Calculations_APPURT[[#This Row],[Brackets]],0) * cv_F * AlphaSector[[#This Row],[Quantity]] * Hazards_APPURT[[#This Row],[qiz]] * CaAa_APPURT[[#This Row],[Alpha Ice 330]]</calculatedColumnFormula>
    </tableColumn>
    <tableColumn id="81" xr3:uid="{5C4484E3-05C4-4142-A957-8E601AFF96D5}" name="Beta Fai 0" dataDxfId="380">
      <calculatedColumnFormula>IFERROR(1/Calculations_APPURT[[#This Row],[Brackets]],0) * cv_F * BetaSector[[#This Row],[Quantity]] * Hazards_APPURT[[#This Row],[qiz]] * CaAa_APPURT[[#This Row],[Beta Ice 0]]</calculatedColumnFormula>
    </tableColumn>
    <tableColumn id="82" xr3:uid="{6B84227B-9977-47C6-B7F1-7F8D4A6B4F8C}" name="Beta Fai 30" dataDxfId="379">
      <calculatedColumnFormula>IFERROR(1/Calculations_APPURT[[#This Row],[Brackets]],0) * cv_F * BetaSector[[#This Row],[Quantity]] * Hazards_APPURT[[#This Row],[qiz]] * CaAa_APPURT[[#This Row],[Beta Ice 30]]</calculatedColumnFormula>
    </tableColumn>
    <tableColumn id="83" xr3:uid="{21B8BDDE-6838-4963-8418-C0BE2E6E441B}" name="Beta Fai 45" dataDxfId="378">
      <calculatedColumnFormula>IFERROR(1/Calculations_APPURT[[#This Row],[Brackets]],0) * cv_F * BetaSector[[#This Row],[Quantity]] * Hazards_APPURT[[#This Row],[qiz]] * CaAa_APPURT[[#This Row],[Beta Ice 45]]</calculatedColumnFormula>
    </tableColumn>
    <tableColumn id="84" xr3:uid="{E54A967D-9E2D-4601-87B3-2EA577201143}" name="Beta Fai 60" dataDxfId="377">
      <calculatedColumnFormula>IFERROR(1/Calculations_APPURT[[#This Row],[Brackets]],0) * cv_F * BetaSector[[#This Row],[Quantity]] * Hazards_APPURT[[#This Row],[qiz]] * CaAa_APPURT[[#This Row],[Beta Ice 60]]</calculatedColumnFormula>
    </tableColumn>
    <tableColumn id="85" xr3:uid="{D31ACB74-8EF0-44C9-BD95-4DD69A9782C2}" name="Beta Fai 90" dataDxfId="376">
      <calculatedColumnFormula>IFERROR(1/Calculations_APPURT[[#This Row],[Brackets]],0) * cv_F * BetaSector[[#This Row],[Quantity]] * Hazards_APPURT[[#This Row],[qiz]] * CaAa_APPURT[[#This Row],[Beta Ice 90]]</calculatedColumnFormula>
    </tableColumn>
    <tableColumn id="86" xr3:uid="{8B456525-D75C-4E07-B226-60C25FE10708}" name="Beta Fai 120" dataDxfId="375">
      <calculatedColumnFormula>IFERROR(1/Calculations_APPURT[[#This Row],[Brackets]],0) * cv_F * BetaSector[[#This Row],[Quantity]] * Hazards_APPURT[[#This Row],[qiz]] * CaAa_APPURT[[#This Row],[Beta Ice 120]]</calculatedColumnFormula>
    </tableColumn>
    <tableColumn id="87" xr3:uid="{05F1231A-C57E-45EF-8171-D99BFD5E4B35}" name="Beta Fai 135" dataDxfId="374">
      <calculatedColumnFormula>IFERROR(1/Calculations_APPURT[[#This Row],[Brackets]],0) * cv_F * BetaSector[[#This Row],[Quantity]] * Hazards_APPURT[[#This Row],[qiz]] * CaAa_APPURT[[#This Row],[Beta Ice 135]]</calculatedColumnFormula>
    </tableColumn>
    <tableColumn id="88" xr3:uid="{50FDF47B-3B8A-4C9C-9AC3-728159999387}" name="Beta Fai 150" dataDxfId="373">
      <calculatedColumnFormula>IFERROR(1/Calculations_APPURT[[#This Row],[Brackets]],0) * cv_F * BetaSector[[#This Row],[Quantity]] * Hazards_APPURT[[#This Row],[qiz]] * CaAa_APPURT[[#This Row],[Beta Ice 150]]</calculatedColumnFormula>
    </tableColumn>
    <tableColumn id="89" xr3:uid="{3B7FD888-1CCD-4953-9785-400371FEBCEC}" name="Beta Fai 180" dataDxfId="372">
      <calculatedColumnFormula>IFERROR(1/Calculations_APPURT[[#This Row],[Brackets]],0) * cv_F * BetaSector[[#This Row],[Quantity]] * Hazards_APPURT[[#This Row],[qiz]] * CaAa_APPURT[[#This Row],[Beta Ice 180]]</calculatedColumnFormula>
    </tableColumn>
    <tableColumn id="90" xr3:uid="{8ECEE9D6-BB05-42B7-9C21-46506CA97BB9}" name="Beta Fai 210" dataDxfId="371">
      <calculatedColumnFormula>IFERROR(1/Calculations_APPURT[[#This Row],[Brackets]],0) * cv_F * BetaSector[[#This Row],[Quantity]] * Hazards_APPURT[[#This Row],[qiz]] * CaAa_APPURT[[#This Row],[Beta Ice 210]]</calculatedColumnFormula>
    </tableColumn>
    <tableColumn id="91" xr3:uid="{B92ED787-16F1-4B9B-8D0A-72F220B7140B}" name="Beta Fai 225" dataDxfId="370">
      <calculatedColumnFormula>IFERROR(1/Calculations_APPURT[[#This Row],[Brackets]],0) * cv_F * BetaSector[[#This Row],[Quantity]] * Hazards_APPURT[[#This Row],[qiz]] * CaAa_APPURT[[#This Row],[Beta Ice 225]]</calculatedColumnFormula>
    </tableColumn>
    <tableColumn id="92" xr3:uid="{DD618AB4-E3C8-42A8-976D-51E9998F7BC4}" name="Beta Fai 240" dataDxfId="369">
      <calculatedColumnFormula>IFERROR(1/Calculations_APPURT[[#This Row],[Brackets]],0) * cv_F * BetaSector[[#This Row],[Quantity]] * Hazards_APPURT[[#This Row],[qiz]] * CaAa_APPURT[[#This Row],[Beta Ice 240]]</calculatedColumnFormula>
    </tableColumn>
    <tableColumn id="93" xr3:uid="{2FCEB223-B3B5-4A70-BB2B-3BC1A7E48FB4}" name="Beta Fai 270" dataDxfId="368">
      <calculatedColumnFormula>IFERROR(1/Calculations_APPURT[[#This Row],[Brackets]],0) * cv_F * BetaSector[[#This Row],[Quantity]] * Hazards_APPURT[[#This Row],[qiz]] * CaAa_APPURT[[#This Row],[Beta Ice 270]]</calculatedColumnFormula>
    </tableColumn>
    <tableColumn id="94" xr3:uid="{9D65AC1F-2ECE-42AF-9EEB-4BE15729340E}" name="Beta Fai 300" dataDxfId="367">
      <calculatedColumnFormula>IFERROR(1/Calculations_APPURT[[#This Row],[Brackets]],0) * cv_F * BetaSector[[#This Row],[Quantity]] * Hazards_APPURT[[#This Row],[qiz]] * CaAa_APPURT[[#This Row],[Beta Ice 300]]</calculatedColumnFormula>
    </tableColumn>
    <tableColumn id="95" xr3:uid="{1BDFF1CC-98A7-4B0D-AFC7-368821227BF1}" name="Beta Fai 315" dataDxfId="366">
      <calculatedColumnFormula>IFERROR(1/Calculations_APPURT[[#This Row],[Brackets]],0) * cv_F * BetaSector[[#This Row],[Quantity]] * Hazards_APPURT[[#This Row],[qiz]] * CaAa_APPURT[[#This Row],[Beta Ice 315]]</calculatedColumnFormula>
    </tableColumn>
    <tableColumn id="96" xr3:uid="{9208E052-380F-40E2-8987-3C17BB3C8202}" name="Beta Fai 330" dataDxfId="365">
      <calculatedColumnFormula>IFERROR(1/Calculations_APPURT[[#This Row],[Brackets]],0) * cv_F * BetaSector[[#This Row],[Quantity]] * Hazards_APPURT[[#This Row],[qiz]] * CaAa_APPURT[[#This Row],[Beta Ice 330]]</calculatedColumnFormula>
    </tableColumn>
    <tableColumn id="97" xr3:uid="{8D2F5A61-05F1-4849-90F4-6996DCAB9A8E}" name="Gamma Fai 0" dataDxfId="364">
      <calculatedColumnFormula>IFERROR(1/Calculations_APPURT[[#This Row],[Brackets]],0) * cv_F * GammaSector[[#This Row],[Quantity]] * Hazards_APPURT[[#This Row],[qiz]] * CaAa_APPURT[[#This Row],[Gamma Ice 0]]</calculatedColumnFormula>
    </tableColumn>
    <tableColumn id="98" xr3:uid="{B0B824A1-A1B0-453D-BA21-0CA33AF9EA84}" name="Gamma Fai 30" dataDxfId="363">
      <calculatedColumnFormula>IFERROR(1/Calculations_APPURT[[#This Row],[Brackets]],0) * cv_F * GammaSector[[#This Row],[Quantity]] * Hazards_APPURT[[#This Row],[qiz]] * CaAa_APPURT[[#This Row],[Gamma Ice 30]]</calculatedColumnFormula>
    </tableColumn>
    <tableColumn id="99" xr3:uid="{D9FF6512-28C2-4B2B-B0C4-A375C6C258A5}" name="Gamma Fai 45" dataDxfId="362">
      <calculatedColumnFormula>IFERROR(1/Calculations_APPURT[[#This Row],[Brackets]],0) * cv_F * GammaSector[[#This Row],[Quantity]] * Hazards_APPURT[[#This Row],[qiz]] * CaAa_APPURT[[#This Row],[Gamma Ice 45]]</calculatedColumnFormula>
    </tableColumn>
    <tableColumn id="100" xr3:uid="{C8EAB624-C449-4CA7-97CD-66396E129CC5}" name="Gamma Fai 60" dataDxfId="361">
      <calculatedColumnFormula>IFERROR(1/Calculations_APPURT[[#This Row],[Brackets]],0) * cv_F * GammaSector[[#This Row],[Quantity]] * Hazards_APPURT[[#This Row],[qiz]] * CaAa_APPURT[[#This Row],[Gamma Ice 60]]</calculatedColumnFormula>
    </tableColumn>
    <tableColumn id="101" xr3:uid="{31A1BC72-887D-43D1-978F-2D07366BB324}" name="Gamma Fai 90" dataDxfId="360">
      <calculatedColumnFormula>IFERROR(1/Calculations_APPURT[[#This Row],[Brackets]],0) * cv_F * GammaSector[[#This Row],[Quantity]] * Hazards_APPURT[[#This Row],[qiz]] * CaAa_APPURT[[#This Row],[Gamma Ice 90]]</calculatedColumnFormula>
    </tableColumn>
    <tableColumn id="102" xr3:uid="{64B856A3-7934-45AC-AC71-F1C0AC1CD804}" name="Gamma Fai 120" dataDxfId="359">
      <calculatedColumnFormula>IFERROR(1/Calculations_APPURT[[#This Row],[Brackets]],0) * cv_F * GammaSector[[#This Row],[Quantity]] * Hazards_APPURT[[#This Row],[qiz]] * CaAa_APPURT[[#This Row],[Gamma Ice 120]]</calculatedColumnFormula>
    </tableColumn>
    <tableColumn id="103" xr3:uid="{A68C5B63-1324-4235-83F7-B1DB3A273064}" name="Gamma Fai 135" dataDxfId="358">
      <calculatedColumnFormula>IFERROR(1/Calculations_APPURT[[#This Row],[Brackets]],0) * cv_F * GammaSector[[#This Row],[Quantity]] * Hazards_APPURT[[#This Row],[qiz]] * CaAa_APPURT[[#This Row],[Gamma Ice 135]]</calculatedColumnFormula>
    </tableColumn>
    <tableColumn id="104" xr3:uid="{7CA9D6B2-DBA7-46FB-A0AE-F72E51DB6993}" name="Gamma Fai 150" dataDxfId="357">
      <calculatedColumnFormula>IFERROR(1/Calculations_APPURT[[#This Row],[Brackets]],0) * cv_F * GammaSector[[#This Row],[Quantity]] * Hazards_APPURT[[#This Row],[qiz]] * CaAa_APPURT[[#This Row],[Gamma Ice 150]]</calculatedColumnFormula>
    </tableColumn>
    <tableColumn id="105" xr3:uid="{27CF6152-B542-40F5-8A85-0BC4EC28BC7A}" name="Gamma Fai 180" dataDxfId="356">
      <calculatedColumnFormula>IFERROR(1/Calculations_APPURT[[#This Row],[Brackets]],0) * cv_F * GammaSector[[#This Row],[Quantity]] * Hazards_APPURT[[#This Row],[qiz]] * CaAa_APPURT[[#This Row],[Gamma Ice 180]]</calculatedColumnFormula>
    </tableColumn>
    <tableColumn id="106" xr3:uid="{8E5AD134-4BD7-4CA1-9FFB-9F5FA2F1C3AC}" name="Gamma Fai 210" dataDxfId="355">
      <calculatedColumnFormula>IFERROR(1/Calculations_APPURT[[#This Row],[Brackets]],0) * cv_F * GammaSector[[#This Row],[Quantity]] * Hazards_APPURT[[#This Row],[qiz]] * CaAa_APPURT[[#This Row],[Gamma Ice 210]]</calculatedColumnFormula>
    </tableColumn>
    <tableColumn id="107" xr3:uid="{6AD6D383-76D6-4F64-95E8-2EF187D4284F}" name="Gamma Fai 225" dataDxfId="354">
      <calculatedColumnFormula>IFERROR(1/Calculations_APPURT[[#This Row],[Brackets]],0) * cv_F * GammaSector[[#This Row],[Quantity]] * Hazards_APPURT[[#This Row],[qiz]] * CaAa_APPURT[[#This Row],[Gamma Ice 225]]</calculatedColumnFormula>
    </tableColumn>
    <tableColumn id="108" xr3:uid="{6A88DFEB-FDC1-47C1-B51C-39A64DF23713}" name="Gamma Fai 240" dataDxfId="353">
      <calculatedColumnFormula>IFERROR(1/Calculations_APPURT[[#This Row],[Brackets]],0) * cv_F * GammaSector[[#This Row],[Quantity]] * Hazards_APPURT[[#This Row],[qiz]] * CaAa_APPURT[[#This Row],[Gamma Ice 240]]</calculatedColumnFormula>
    </tableColumn>
    <tableColumn id="109" xr3:uid="{AD0999A0-A1BD-40AD-B568-FCE6F6F01E96}" name="Gamma Fai 270" dataDxfId="352">
      <calculatedColumnFormula>IFERROR(1/Calculations_APPURT[[#This Row],[Brackets]],0) * cv_F * GammaSector[[#This Row],[Quantity]] * Hazards_APPURT[[#This Row],[qiz]] * CaAa_APPURT[[#This Row],[Gamma Ice 270]]</calculatedColumnFormula>
    </tableColumn>
    <tableColumn id="110" xr3:uid="{9A15F8D9-9650-44B9-A1D2-4C545ECFAEE1}" name="Gamma Fai 300" dataDxfId="351">
      <calculatedColumnFormula>IFERROR(1/Calculations_APPURT[[#This Row],[Brackets]],0) * cv_F * GammaSector[[#This Row],[Quantity]] * Hazards_APPURT[[#This Row],[qiz]] * CaAa_APPURT[[#This Row],[Gamma Ice 300]]</calculatedColumnFormula>
    </tableColumn>
    <tableColumn id="111" xr3:uid="{DD136254-696D-419F-92DB-7EEC85920363}" name="Gamma Fai 315" dataDxfId="350">
      <calculatedColumnFormula>IFERROR(1/Calculations_APPURT[[#This Row],[Brackets]],0) * cv_F * GammaSector[[#This Row],[Quantity]] * Hazards_APPURT[[#This Row],[qiz]] * CaAa_APPURT[[#This Row],[Gamma Ice 315]]</calculatedColumnFormula>
    </tableColumn>
    <tableColumn id="112" xr3:uid="{F59F94CA-394F-4039-8765-E340B4D9FCEA}" name="Gamma Fai 330" dataDxfId="349">
      <calculatedColumnFormula>IFERROR(1/Calculations_APPURT[[#This Row],[Brackets]],0) * cv_F * GammaSector[[#This Row],[Quantity]] * Hazards_APPURT[[#This Row],[qiz]] * CaAa_APPURT[[#This Row],[Gamma Ice 330]]</calculatedColumnFormula>
    </tableColumn>
    <tableColumn id="113" xr3:uid="{7617C3F3-9CC2-42C2-8846-80A6425F3D32}" name="Delta Fai 0" dataDxfId="348">
      <calculatedColumnFormula>IFERROR(1/Calculations_APPURT[[#This Row],[Brackets]],0) * cv_F * DeltaSector[[#This Row],[Quantity]] * Hazards_APPURT[[#This Row],[qiz]] * CaAa_APPURT[[#This Row],[Delta Ice 0]]</calculatedColumnFormula>
    </tableColumn>
    <tableColumn id="114" xr3:uid="{D350AF76-3877-4739-B40D-8F478FE5C65D}" name="Delta Fai 30" dataDxfId="347">
      <calculatedColumnFormula>IFERROR(1/Calculations_APPURT[[#This Row],[Brackets]],0) * cv_F * DeltaSector[[#This Row],[Quantity]] * Hazards_APPURT[[#This Row],[qiz]] * CaAa_APPURT[[#This Row],[Delta Ice 30]]</calculatedColumnFormula>
    </tableColumn>
    <tableColumn id="115" xr3:uid="{63CFE88E-B783-416F-89AF-93040DCC4C3E}" name="Delta Fai 45" dataDxfId="346">
      <calculatedColumnFormula>IFERROR(1/Calculations_APPURT[[#This Row],[Brackets]],0) * cv_F * DeltaSector[[#This Row],[Quantity]] * Hazards_APPURT[[#This Row],[qiz]] * CaAa_APPURT[[#This Row],[Delta Ice 45]]</calculatedColumnFormula>
    </tableColumn>
    <tableColumn id="116" xr3:uid="{29D4B9AF-E4A8-4742-856A-2811D04742E2}" name="Delta Fai 60" dataDxfId="345">
      <calculatedColumnFormula>IFERROR(1/Calculations_APPURT[[#This Row],[Brackets]],0) * cv_F * DeltaSector[[#This Row],[Quantity]] * Hazards_APPURT[[#This Row],[qiz]] * CaAa_APPURT[[#This Row],[Delta Ice 60]]</calculatedColumnFormula>
    </tableColumn>
    <tableColumn id="117" xr3:uid="{19BE9A33-036C-4AD1-B3A0-4AE1AC2D25DB}" name="Delta Fai 90" dataDxfId="344">
      <calculatedColumnFormula>IFERROR(1/Calculations_APPURT[[#This Row],[Brackets]],0) * cv_F * DeltaSector[[#This Row],[Quantity]] * Hazards_APPURT[[#This Row],[qiz]] * CaAa_APPURT[[#This Row],[Delta Ice 90]]</calculatedColumnFormula>
    </tableColumn>
    <tableColumn id="118" xr3:uid="{42838D1B-2CCD-4BFD-82C1-5FF2F4CBF276}" name="Delta Fai 120" dataDxfId="343">
      <calculatedColumnFormula>IFERROR(1/Calculations_APPURT[[#This Row],[Brackets]],0) * cv_F * DeltaSector[[#This Row],[Quantity]] * Hazards_APPURT[[#This Row],[qiz]] * CaAa_APPURT[[#This Row],[Delta Ice 120]]</calculatedColumnFormula>
    </tableColumn>
    <tableColumn id="119" xr3:uid="{3D447E69-DF5A-4E7F-8452-3BAF1DFBF7D3}" name="Delta Fai 135" dataDxfId="342">
      <calculatedColumnFormula>IFERROR(1/Calculations_APPURT[[#This Row],[Brackets]],0) * cv_F * DeltaSector[[#This Row],[Quantity]] * Hazards_APPURT[[#This Row],[qiz]] * CaAa_APPURT[[#This Row],[Delta Ice 135]]</calculatedColumnFormula>
    </tableColumn>
    <tableColumn id="120" xr3:uid="{3DCF7C2F-B81B-4242-B3EE-4FB28FD82CAB}" name="Delta Fai 150" dataDxfId="341">
      <calculatedColumnFormula>IFERROR(1/Calculations_APPURT[[#This Row],[Brackets]],0) * cv_F * DeltaSector[[#This Row],[Quantity]] * Hazards_APPURT[[#This Row],[qiz]] * CaAa_APPURT[[#This Row],[Delta Ice 150]]</calculatedColumnFormula>
    </tableColumn>
    <tableColumn id="121" xr3:uid="{844F0963-D636-4BF4-89A6-0C92C3994552}" name="Delta Fai 180" dataDxfId="340">
      <calculatedColumnFormula>IFERROR(1/Calculations_APPURT[[#This Row],[Brackets]],0) * cv_F * DeltaSector[[#This Row],[Quantity]] * Hazards_APPURT[[#This Row],[qiz]] * CaAa_APPURT[[#This Row],[Delta Ice 180]]</calculatedColumnFormula>
    </tableColumn>
    <tableColumn id="122" xr3:uid="{2D9CC38F-7FBE-4EED-B60C-B9D5039DFC01}" name="Delta Fai 210" dataDxfId="339">
      <calculatedColumnFormula>IFERROR(1/Calculations_APPURT[[#This Row],[Brackets]],0) * cv_F * DeltaSector[[#This Row],[Quantity]] * Hazards_APPURT[[#This Row],[qiz]] * CaAa_APPURT[[#This Row],[Delta Ice 210]]</calculatedColumnFormula>
    </tableColumn>
    <tableColumn id="123" xr3:uid="{BCD7F78C-070C-463F-9A1D-DC52ABD9F968}" name="Delta Fai 225" dataDxfId="338">
      <calculatedColumnFormula>IFERROR(1/Calculations_APPURT[[#This Row],[Brackets]],0) * cv_F * DeltaSector[[#This Row],[Quantity]] * Hazards_APPURT[[#This Row],[qiz]] * CaAa_APPURT[[#This Row],[Delta Ice 225]]</calculatedColumnFormula>
    </tableColumn>
    <tableColumn id="124" xr3:uid="{56B248DD-AC25-4F12-9AA1-1768549BF3C2}" name="Delta Fai 240" dataDxfId="337">
      <calculatedColumnFormula>IFERROR(1/Calculations_APPURT[[#This Row],[Brackets]],0) * cv_F * DeltaSector[[#This Row],[Quantity]] * Hazards_APPURT[[#This Row],[qiz]] * CaAa_APPURT[[#This Row],[Delta Ice 240]]</calculatedColumnFormula>
    </tableColumn>
    <tableColumn id="125" xr3:uid="{09AABDCE-307B-449D-BC8E-D741A58100D3}" name="Delta Fai 270" dataDxfId="336">
      <calculatedColumnFormula>IFERROR(1/Calculations_APPURT[[#This Row],[Brackets]],0) * cv_F * DeltaSector[[#This Row],[Quantity]] * Hazards_APPURT[[#This Row],[qiz]] * CaAa_APPURT[[#This Row],[Delta Ice 270]]</calculatedColumnFormula>
    </tableColumn>
    <tableColumn id="126" xr3:uid="{EDD0ADBD-8CAD-45D9-A8B6-F012BF1098EA}" name="Delta Fai 300" dataDxfId="335">
      <calculatedColumnFormula>IFERROR(1/Calculations_APPURT[[#This Row],[Brackets]],0) * cv_F * DeltaSector[[#This Row],[Quantity]] * Hazards_APPURT[[#This Row],[qiz]] * CaAa_APPURT[[#This Row],[Delta Ice 300]]</calculatedColumnFormula>
    </tableColumn>
    <tableColumn id="127" xr3:uid="{C507E75C-72A1-443C-8EFF-B6B3BEB73E28}" name="Delta Fai 315" dataDxfId="334">
      <calculatedColumnFormula>IFERROR(1/Calculations_APPURT[[#This Row],[Brackets]],0) * cv_F * DeltaSector[[#This Row],[Quantity]] * Hazards_APPURT[[#This Row],[qiz]] * CaAa_APPURT[[#This Row],[Delta Ice 315]]</calculatedColumnFormula>
    </tableColumn>
    <tableColumn id="128" xr3:uid="{777E0581-0435-4458-8D82-96829D7B2A77}" name="Delta Fai 330" dataDxfId="333">
      <calculatedColumnFormula>IFERROR(1/Calculations_APPURT[[#This Row],[Brackets]],0) * cv_F * DeltaSector[[#This Row],[Quantity]] * Hazards_APPURT[[#This Row],[qiz]] * CaAa_APPURT[[#This Row],[Delta Ice 330]]</calculatedColumnFormula>
    </tableColumn>
    <tableColumn id="129" xr3:uid="{F950F0E5-A4CE-4CA5-9290-E15129708775}" name="Alpha Mx 0" dataDxfId="332">
      <calculatedColumnFormula>IFERROR(1/Calculations_APPURT[[#This Row],[Brackets]],0) * cv_M * Forces_APPURT[[#This Row],[Alpha Fa 0]] * Calculations_APPURT[[#This Row],[Horizontal Offset]]/12</calculatedColumnFormula>
    </tableColumn>
    <tableColumn id="130" xr3:uid="{1FF2B4C2-8BC9-48B1-A661-2D228519514F}" name="Alpha Mx 30" dataDxfId="331">
      <calculatedColumnFormula>IFERROR(1/Calculations_APPURT[[#This Row],[Brackets]],0) * cv_M * Forces_APPURT[[#This Row],[Alpha Fa 30]] * Calculations_APPURT[[#This Row],[Horizontal Offset]]/12</calculatedColumnFormula>
    </tableColumn>
    <tableColumn id="131" xr3:uid="{414432A8-C586-426C-B508-E3A47E61E595}" name="Alpha Mx 45" dataDxfId="330">
      <calculatedColumnFormula>IFERROR(1/Calculations_APPURT[[#This Row],[Brackets]],0) * cv_M * Forces_APPURT[[#This Row],[Alpha Fa 45]] * Calculations_APPURT[[#This Row],[Horizontal Offset]]/12</calculatedColumnFormula>
    </tableColumn>
    <tableColumn id="132" xr3:uid="{10B58C8E-18C2-4940-9572-90D7ECF46DCE}" name="Alpha Mx 60" dataDxfId="329">
      <calculatedColumnFormula>IFERROR(1/Calculations_APPURT[[#This Row],[Brackets]],0) * cv_M * Forces_APPURT[[#This Row],[Alpha Fa 60]] * Calculations_APPURT[[#This Row],[Horizontal Offset]]/12</calculatedColumnFormula>
    </tableColumn>
    <tableColumn id="133" xr3:uid="{FBB88985-2B63-4336-B664-0B320EBB720A}" name="Alpha Mx 90" dataDxfId="328">
      <calculatedColumnFormula>IFERROR(1/Calculations_APPURT[[#This Row],[Brackets]],0) * cv_M * Forces_APPURT[[#This Row],[Alpha Fa 90]] * Calculations_APPURT[[#This Row],[Horizontal Offset]]/12</calculatedColumnFormula>
    </tableColumn>
    <tableColumn id="134" xr3:uid="{541EF901-E593-47FA-A0EE-8EC43742C13F}" name="Alpha Mx 120" dataDxfId="327">
      <calculatedColumnFormula>IFERROR(1/Calculations_APPURT[[#This Row],[Brackets]],0) * cv_M * Forces_APPURT[[#This Row],[Alpha Fa 120]] * Calculations_APPURT[[#This Row],[Horizontal Offset]]/12</calculatedColumnFormula>
    </tableColumn>
    <tableColumn id="135" xr3:uid="{9C2A2B1F-D147-4686-8C58-CBFB16D92C7E}" name="Alpha Mx 135" dataDxfId="326">
      <calculatedColumnFormula>IFERROR(1/Calculations_APPURT[[#This Row],[Brackets]],0) * cv_M * Forces_APPURT[[#This Row],[Alpha Fa 135]] * Calculations_APPURT[[#This Row],[Horizontal Offset]]/12</calculatedColumnFormula>
    </tableColumn>
    <tableColumn id="136" xr3:uid="{829131D6-C43E-46BB-ACD5-3DB3B00933D9}" name="Alpha Mx 150" dataDxfId="325">
      <calculatedColumnFormula>IFERROR(1/Calculations_APPURT[[#This Row],[Brackets]],0) * cv_M * Forces_APPURT[[#This Row],[Alpha Fa 150]] * Calculations_APPURT[[#This Row],[Horizontal Offset]]/12</calculatedColumnFormula>
    </tableColumn>
    <tableColumn id="137" xr3:uid="{3473662F-3D36-4E08-9998-5FB88AF4B13A}" name="Alpha Mx 180" dataDxfId="324">
      <calculatedColumnFormula>IFERROR(1/Calculations_APPURT[[#This Row],[Brackets]],0) * cv_M * Forces_APPURT[[#This Row],[Alpha Fa 180]] * Calculations_APPURT[[#This Row],[Horizontal Offset]]/12</calculatedColumnFormula>
    </tableColumn>
    <tableColumn id="138" xr3:uid="{EF106CF9-81BA-450B-9461-398BB5FDE1C6}" name="Alpha Mx 210" dataDxfId="323">
      <calculatedColumnFormula>IFERROR(1/Calculations_APPURT[[#This Row],[Brackets]],0) * cv_M * Forces_APPURT[[#This Row],[Alpha Fa 210]] * Calculations_APPURT[[#This Row],[Horizontal Offset]]/12</calculatedColumnFormula>
    </tableColumn>
    <tableColumn id="139" xr3:uid="{08FE859B-B355-4015-9EC3-DC53CED79538}" name="Alpha Mx 225" dataDxfId="322">
      <calculatedColumnFormula>IFERROR(1/Calculations_APPURT[[#This Row],[Brackets]],0) * cv_M * Forces_APPURT[[#This Row],[Alpha Fa 225]] * Calculations_APPURT[[#This Row],[Horizontal Offset]]/12</calculatedColumnFormula>
    </tableColumn>
    <tableColumn id="140" xr3:uid="{D46C4EBD-B3CC-44BD-8A76-1E5DC38C718B}" name="Alpha Mx 240" dataDxfId="321">
      <calculatedColumnFormula>IFERROR(1/Calculations_APPURT[[#This Row],[Brackets]],0) * cv_M * Forces_APPURT[[#This Row],[Alpha Fa 240]] * Calculations_APPURT[[#This Row],[Horizontal Offset]]/12</calculatedColumnFormula>
    </tableColumn>
    <tableColumn id="141" xr3:uid="{526F20C5-507A-40CB-AE9D-08AF4B95A42A}" name="Alpha Mx 270" dataDxfId="320">
      <calculatedColumnFormula>IFERROR(1/Calculations_APPURT[[#This Row],[Brackets]],0) * cv_M * Forces_APPURT[[#This Row],[Alpha Fa 270]] * Calculations_APPURT[[#This Row],[Horizontal Offset]]/12</calculatedColumnFormula>
    </tableColumn>
    <tableColumn id="142" xr3:uid="{56729CF8-A59E-4511-B92A-B638C1318DCC}" name="Alpha Mx 300" dataDxfId="319">
      <calculatedColumnFormula>IFERROR(1/Calculations_APPURT[[#This Row],[Brackets]],0) * cv_M * Forces_APPURT[[#This Row],[Alpha Fa 300]] * Calculations_APPURT[[#This Row],[Horizontal Offset]]/12</calculatedColumnFormula>
    </tableColumn>
    <tableColumn id="143" xr3:uid="{169269F9-9B04-42D2-92DE-DA237A3EC1D1}" name="Alpha Mx 315" dataDxfId="318">
      <calculatedColumnFormula>IFERROR(1/Calculations_APPURT[[#This Row],[Brackets]],0) * cv_M * Forces_APPURT[[#This Row],[Alpha Fa 315]] * Calculations_APPURT[[#This Row],[Horizontal Offset]]/12</calculatedColumnFormula>
    </tableColumn>
    <tableColumn id="144" xr3:uid="{80246BC6-26FB-4F9E-B72E-BCF742D66D56}" name="Alpha Mx 330" dataDxfId="317">
      <calculatedColumnFormula>IFERROR(1/Calculations_APPURT[[#This Row],[Brackets]],0) * cv_M * Forces_APPURT[[#This Row],[Alpha Fa 330]] * Calculations_APPURT[[#This Row],[Horizontal Offset]]/12</calculatedColumnFormula>
    </tableColumn>
    <tableColumn id="145" xr3:uid="{882DA619-171F-4DBF-961A-EDFC27DADD50}" name="Beta Mx 0" dataDxfId="316">
      <calculatedColumnFormula>IFERROR(1/Calculations_APPURT[[#This Row],[Brackets]],0) * cv_M * Forces_APPURT[[#This Row],[Beta Fa 0]] * Calculations_APPURT[[#This Row],[Horizontal Offset]]/12</calculatedColumnFormula>
    </tableColumn>
    <tableColumn id="146" xr3:uid="{7B0C3555-B67E-464F-B33E-62ABBB79AD40}" name="Beta Mx 30" dataDxfId="315">
      <calculatedColumnFormula>IFERROR(1/Calculations_APPURT[[#This Row],[Brackets]],0) * cv_M * Forces_APPURT[[#This Row],[Beta Fa 30]] * Calculations_APPURT[[#This Row],[Horizontal Offset]]/12</calculatedColumnFormula>
    </tableColumn>
    <tableColumn id="147" xr3:uid="{B7863671-5CDC-4BE1-ADF9-F1C2D2CC4A04}" name="Beta Mx 45" dataDxfId="314">
      <calculatedColumnFormula>IFERROR(1/Calculations_APPURT[[#This Row],[Brackets]],0) * cv_M * Forces_APPURT[[#This Row],[Beta Fa 45]] * Calculations_APPURT[[#This Row],[Horizontal Offset]]/12</calculatedColumnFormula>
    </tableColumn>
    <tableColumn id="148" xr3:uid="{B21DC309-A0E9-44C7-ABA2-C90A15DCAA3F}" name="Beta Mx 60" dataDxfId="313">
      <calculatedColumnFormula>IFERROR(1/Calculations_APPURT[[#This Row],[Brackets]],0) * cv_M * Forces_APPURT[[#This Row],[Beta Fa 60]] * Calculations_APPURT[[#This Row],[Horizontal Offset]]/12</calculatedColumnFormula>
    </tableColumn>
    <tableColumn id="149" xr3:uid="{A52A6FD2-783B-41B7-A806-1F6FE1DC9152}" name="Beta Mx 90" dataDxfId="312">
      <calculatedColumnFormula>IFERROR(1/Calculations_APPURT[[#This Row],[Brackets]],0) * cv_M * Forces_APPURT[[#This Row],[Beta Fa 90]] * Calculations_APPURT[[#This Row],[Horizontal Offset]]/12</calculatedColumnFormula>
    </tableColumn>
    <tableColumn id="150" xr3:uid="{7334FE58-80FD-4C4B-92EF-EAF460686577}" name="Beta Mx 120" dataDxfId="311">
      <calculatedColumnFormula>IFERROR(1/Calculations_APPURT[[#This Row],[Brackets]],0) * cv_M * Forces_APPURT[[#This Row],[Beta Fa 120]] * Calculations_APPURT[[#This Row],[Horizontal Offset]]/12</calculatedColumnFormula>
    </tableColumn>
    <tableColumn id="151" xr3:uid="{2B62F9FB-1BB5-4965-8B4B-7BA097D1CD47}" name="Beta Mx 135" dataDxfId="310">
      <calculatedColumnFormula>IFERROR(1/Calculations_APPURT[[#This Row],[Brackets]],0) * cv_M * Forces_APPURT[[#This Row],[Beta Fa 135]] * Calculations_APPURT[[#This Row],[Horizontal Offset]]/12</calculatedColumnFormula>
    </tableColumn>
    <tableColumn id="152" xr3:uid="{A1A05069-B2F1-41F0-97D0-CEC07462C942}" name="Beta Mx 150" dataDxfId="309">
      <calculatedColumnFormula>IFERROR(1/Calculations_APPURT[[#This Row],[Brackets]],0) * cv_M * Forces_APPURT[[#This Row],[Beta Fa 150]] * Calculations_APPURT[[#This Row],[Horizontal Offset]]/12</calculatedColumnFormula>
    </tableColumn>
    <tableColumn id="153" xr3:uid="{DE056C9C-DABF-4E99-8239-4299B049878B}" name="Beta Mx 180" dataDxfId="308">
      <calculatedColumnFormula>IFERROR(1/Calculations_APPURT[[#This Row],[Brackets]],0) * cv_M * Forces_APPURT[[#This Row],[Beta Fa 180]] * Calculations_APPURT[[#This Row],[Horizontal Offset]]/12</calculatedColumnFormula>
    </tableColumn>
    <tableColumn id="154" xr3:uid="{D32D8286-BF99-4FEC-B637-2B61448F246E}" name="Beta Mx 210" dataDxfId="307">
      <calculatedColumnFormula>IFERROR(1/Calculations_APPURT[[#This Row],[Brackets]],0) * cv_M * Forces_APPURT[[#This Row],[Beta Fa 210]] * Calculations_APPURT[[#This Row],[Horizontal Offset]]/12</calculatedColumnFormula>
    </tableColumn>
    <tableColumn id="155" xr3:uid="{A15CBEEC-0110-4EC0-BCD0-F6CC11EA12AF}" name="Beta Mx 225" dataDxfId="306">
      <calculatedColumnFormula>IFERROR(1/Calculations_APPURT[[#This Row],[Brackets]],0) * cv_M * Forces_APPURT[[#This Row],[Beta Fa 225]] * Calculations_APPURT[[#This Row],[Horizontal Offset]]/12</calculatedColumnFormula>
    </tableColumn>
    <tableColumn id="156" xr3:uid="{423667C8-EAC6-4905-95E6-2B97774D37B7}" name="Beta Mx 240" dataDxfId="305">
      <calculatedColumnFormula>IFERROR(1/Calculations_APPURT[[#This Row],[Brackets]],0) * cv_M * Forces_APPURT[[#This Row],[Beta Fa 240]] * Calculations_APPURT[[#This Row],[Horizontal Offset]]/12</calculatedColumnFormula>
    </tableColumn>
    <tableColumn id="157" xr3:uid="{9A57BE9C-32AE-4E4B-BEA5-05C6D1FE1950}" name="Beta Mx 270" dataDxfId="304">
      <calculatedColumnFormula>IFERROR(1/Calculations_APPURT[[#This Row],[Brackets]],0) * cv_M * Forces_APPURT[[#This Row],[Beta Fa 270]] * Calculations_APPURT[[#This Row],[Horizontal Offset]]/12</calculatedColumnFormula>
    </tableColumn>
    <tableColumn id="158" xr3:uid="{5735DE8F-A02A-4955-9108-6367D79F37BF}" name="Beta Mx 300" dataDxfId="303">
      <calculatedColumnFormula>IFERROR(1/Calculations_APPURT[[#This Row],[Brackets]],0) * cv_M * Forces_APPURT[[#This Row],[Beta Fa 300]] * Calculations_APPURT[[#This Row],[Horizontal Offset]]/12</calculatedColumnFormula>
    </tableColumn>
    <tableColumn id="159" xr3:uid="{A8BC1894-DB5F-4A31-9BD3-8A6F0456989C}" name="Beta Mx 315" dataDxfId="302">
      <calculatedColumnFormula>IFERROR(1/Calculations_APPURT[[#This Row],[Brackets]],0) * cv_M * Forces_APPURT[[#This Row],[Beta Fa 315]] * Calculations_APPURT[[#This Row],[Horizontal Offset]]/12</calculatedColumnFormula>
    </tableColumn>
    <tableColumn id="160" xr3:uid="{CEE7F977-163C-473C-A4BE-00AD1B272FF2}" name="Beta Mx 330" dataDxfId="301">
      <calculatedColumnFormula>IFERROR(1/Calculations_APPURT[[#This Row],[Brackets]],0) * cv_M * Forces_APPURT[[#This Row],[Beta Fa 330]] * Calculations_APPURT[[#This Row],[Horizontal Offset]]/12</calculatedColumnFormula>
    </tableColumn>
    <tableColumn id="161" xr3:uid="{024F17B3-4E84-4583-81C2-2E40C9CE0483}" name="Gamma Mx 0" dataDxfId="300">
      <calculatedColumnFormula>IFERROR(1/Calculations_APPURT[[#This Row],[Brackets]],0) * cv_M * Forces_APPURT[[#This Row],[Gamma Fa 0]] * Calculations_APPURT[[#This Row],[Horizontal Offset]]/12</calculatedColumnFormula>
    </tableColumn>
    <tableColumn id="162" xr3:uid="{0B531890-E5BD-41EB-B4A0-DF19F201AFF3}" name="Gamma Mx 30" dataDxfId="299">
      <calculatedColumnFormula>IFERROR(1/Calculations_APPURT[[#This Row],[Brackets]],0) * cv_M * Forces_APPURT[[#This Row],[Gamma Fa 30]] * Calculations_APPURT[[#This Row],[Horizontal Offset]]/12</calculatedColumnFormula>
    </tableColumn>
    <tableColumn id="163" xr3:uid="{0F5348C4-F722-4E97-9C44-516F301A3ADA}" name="Gamma Mx 45" dataDxfId="298">
      <calculatedColumnFormula>IFERROR(1/Calculations_APPURT[[#This Row],[Brackets]],0) * cv_M * Forces_APPURT[[#This Row],[Gamma Fa 45]] * Calculations_APPURT[[#This Row],[Horizontal Offset]]/12</calculatedColumnFormula>
    </tableColumn>
    <tableColumn id="164" xr3:uid="{AFCFE17F-AF2C-4D10-A65C-ED8DBFBB7A0B}" name="Gamma Mx 60" dataDxfId="297">
      <calculatedColumnFormula>IFERROR(1/Calculations_APPURT[[#This Row],[Brackets]],0) * cv_M * Forces_APPURT[[#This Row],[Gamma Fa 60]] * Calculations_APPURT[[#This Row],[Horizontal Offset]]/12</calculatedColumnFormula>
    </tableColumn>
    <tableColumn id="165" xr3:uid="{ACC0779B-C377-47B7-B638-BB734D6CEAAE}" name="Gamma Mx 90" dataDxfId="296">
      <calculatedColumnFormula>IFERROR(1/Calculations_APPURT[[#This Row],[Brackets]],0) * cv_M * Forces_APPURT[[#This Row],[Gamma Fa 90]] * Calculations_APPURT[[#This Row],[Horizontal Offset]]/12</calculatedColumnFormula>
    </tableColumn>
    <tableColumn id="166" xr3:uid="{8AE8100A-0C6C-4B47-B54E-176B7822EBAE}" name="Gamma Mx 120" dataDxfId="295">
      <calculatedColumnFormula>IFERROR(1/Calculations_APPURT[[#This Row],[Brackets]],0) * cv_M * Forces_APPURT[[#This Row],[Gamma Fa 120]] * Calculations_APPURT[[#This Row],[Horizontal Offset]]/12</calculatedColumnFormula>
    </tableColumn>
    <tableColumn id="167" xr3:uid="{402582B2-79AC-49BA-BD04-B1B31AB4BB67}" name="Gamma Mx 135" dataDxfId="294">
      <calculatedColumnFormula>IFERROR(1/Calculations_APPURT[[#This Row],[Brackets]],0) * cv_M * Forces_APPURT[[#This Row],[Gamma Fa 135]] * Calculations_APPURT[[#This Row],[Horizontal Offset]]/12</calculatedColumnFormula>
    </tableColumn>
    <tableColumn id="168" xr3:uid="{6EDF473C-9C6D-42A5-93BE-17590328C22B}" name="Gamma Mx 150" dataDxfId="293">
      <calculatedColumnFormula>IFERROR(1/Calculations_APPURT[[#This Row],[Brackets]],0) * cv_M * Forces_APPURT[[#This Row],[Gamma Fa 150]] * Calculations_APPURT[[#This Row],[Horizontal Offset]]/12</calculatedColumnFormula>
    </tableColumn>
    <tableColumn id="169" xr3:uid="{86BB3B6C-F0F2-44B3-B7BA-88F3649035C3}" name="Gamma Mx 180" dataDxfId="292">
      <calculatedColumnFormula>IFERROR(1/Calculations_APPURT[[#This Row],[Brackets]],0) * cv_M * Forces_APPURT[[#This Row],[Gamma Fa 180]] * Calculations_APPURT[[#This Row],[Horizontal Offset]]/12</calculatedColumnFormula>
    </tableColumn>
    <tableColumn id="170" xr3:uid="{DCA10A0F-75CC-4B40-88B1-F0FFD46FDE32}" name="Gamma Mx 210" dataDxfId="291">
      <calculatedColumnFormula>IFERROR(1/Calculations_APPURT[[#This Row],[Brackets]],0) * cv_M * Forces_APPURT[[#This Row],[Gamma Fa 210]] * Calculations_APPURT[[#This Row],[Horizontal Offset]]/12</calculatedColumnFormula>
    </tableColumn>
    <tableColumn id="171" xr3:uid="{365A293A-B3C0-47B5-9B9F-D699FA4B6A87}" name="Gamma Mx 225" dataDxfId="290">
      <calculatedColumnFormula>IFERROR(1/Calculations_APPURT[[#This Row],[Brackets]],0) * cv_M * Forces_APPURT[[#This Row],[Gamma Fa 225]] * Calculations_APPURT[[#This Row],[Horizontal Offset]]/12</calculatedColumnFormula>
    </tableColumn>
    <tableColumn id="172" xr3:uid="{C8C96474-65A6-444E-9956-9D2900C189BB}" name="Gamma Mx 240" dataDxfId="289">
      <calculatedColumnFormula>IFERROR(1/Calculations_APPURT[[#This Row],[Brackets]],0) * cv_M * Forces_APPURT[[#This Row],[Gamma Fa 240]] * Calculations_APPURT[[#This Row],[Horizontal Offset]]/12</calculatedColumnFormula>
    </tableColumn>
    <tableColumn id="173" xr3:uid="{9DD5F9A5-8694-423B-B17C-6053D9CBCF5F}" name="Gamma Mx 270" dataDxfId="288">
      <calculatedColumnFormula>IFERROR(1/Calculations_APPURT[[#This Row],[Brackets]],0) * cv_M * Forces_APPURT[[#This Row],[Gamma Fa 270]] * Calculations_APPURT[[#This Row],[Horizontal Offset]]/12</calculatedColumnFormula>
    </tableColumn>
    <tableColumn id="174" xr3:uid="{992C01EF-5589-4663-8125-1D2E212917D1}" name="Gamma Mx 300" dataDxfId="287">
      <calculatedColumnFormula>IFERROR(1/Calculations_APPURT[[#This Row],[Brackets]],0) * cv_M * Forces_APPURT[[#This Row],[Gamma Fa 300]] * Calculations_APPURT[[#This Row],[Horizontal Offset]]/12</calculatedColumnFormula>
    </tableColumn>
    <tableColumn id="175" xr3:uid="{F15590A4-E861-4C9F-B5E9-CDDA91FBC714}" name="Gamma Mx 315" dataDxfId="286">
      <calculatedColumnFormula>IFERROR(1/Calculations_APPURT[[#This Row],[Brackets]],0) * cv_M * Forces_APPURT[[#This Row],[Gamma Fa 315]] * Calculations_APPURT[[#This Row],[Horizontal Offset]]/12</calculatedColumnFormula>
    </tableColumn>
    <tableColumn id="176" xr3:uid="{D87DC708-5455-4FC5-92A2-0BC3FB923749}" name="Gamma Mx 330" dataDxfId="285">
      <calculatedColumnFormula>IFERROR(1/Calculations_APPURT[[#This Row],[Brackets]],0) * cv_M * Forces_APPURT[[#This Row],[Gamma Fa 330]] * Calculations_APPURT[[#This Row],[Horizontal Offset]]/12</calculatedColumnFormula>
    </tableColumn>
    <tableColumn id="177" xr3:uid="{7E2FEF91-9CC7-4E93-9982-F2B7A40C64C8}" name="Delta Mx 0" dataDxfId="284">
      <calculatedColumnFormula>IFERROR(1/Calculations_APPURT[[#This Row],[Brackets]],0) * cv_M * Forces_APPURT[[#This Row],[Delta Fa 0]] * Calculations_APPURT[[#This Row],[Horizontal Offset]]/12</calculatedColumnFormula>
    </tableColumn>
    <tableColumn id="178" xr3:uid="{3919AACD-F762-4D89-A3FC-563113673C64}" name="Delta Mx 30" dataDxfId="283">
      <calculatedColumnFormula>IFERROR(1/Calculations_APPURT[[#This Row],[Brackets]],0) * cv_M * Forces_APPURT[[#This Row],[Delta Fa 30]] * Calculations_APPURT[[#This Row],[Horizontal Offset]]/12</calculatedColumnFormula>
    </tableColumn>
    <tableColumn id="179" xr3:uid="{3566F835-689C-4080-8050-53D8F1D3DD6C}" name="Delta Mx 45" dataDxfId="282">
      <calculatedColumnFormula>IFERROR(1/Calculations_APPURT[[#This Row],[Brackets]],0) * cv_M * Forces_APPURT[[#This Row],[Delta Fa 45]] * Calculations_APPURT[[#This Row],[Horizontal Offset]]/12</calculatedColumnFormula>
    </tableColumn>
    <tableColumn id="180" xr3:uid="{F8BADCC2-0652-4798-8402-0E2582EC2C91}" name="Delta Mx 60" dataDxfId="281">
      <calculatedColumnFormula>IFERROR(1/Calculations_APPURT[[#This Row],[Brackets]],0) * cv_M * Forces_APPURT[[#This Row],[Delta Fa 60]] * Calculations_APPURT[[#This Row],[Horizontal Offset]]/12</calculatedColumnFormula>
    </tableColumn>
    <tableColumn id="181" xr3:uid="{DD62E8F6-C356-40FB-AFF7-430BD040D570}" name="Delta Mx 90" dataDxfId="280">
      <calculatedColumnFormula>IFERROR(1/Calculations_APPURT[[#This Row],[Brackets]],0) * cv_M * Forces_APPURT[[#This Row],[Delta Fa 90]] * Calculations_APPURT[[#This Row],[Horizontal Offset]]/12</calculatedColumnFormula>
    </tableColumn>
    <tableColumn id="182" xr3:uid="{1B71C459-EBAF-42A6-88AA-C6F35AD8A132}" name="Delta Mx 120" dataDxfId="279">
      <calculatedColumnFormula>IFERROR(1/Calculations_APPURT[[#This Row],[Brackets]],0) * cv_M * Forces_APPURT[[#This Row],[Delta Fa 120]] * Calculations_APPURT[[#This Row],[Horizontal Offset]]/12</calculatedColumnFormula>
    </tableColumn>
    <tableColumn id="183" xr3:uid="{84D127CA-6327-45E7-BA19-DDE5ED470D3D}" name="Delta Mx 135" dataDxfId="278">
      <calculatedColumnFormula>IFERROR(1/Calculations_APPURT[[#This Row],[Brackets]],0) * cv_M * Forces_APPURT[[#This Row],[Delta Fa 135]] * Calculations_APPURT[[#This Row],[Horizontal Offset]]/12</calculatedColumnFormula>
    </tableColumn>
    <tableColumn id="184" xr3:uid="{4C2315F0-F260-403B-A9F9-FD446F2A8B21}" name="Delta Mx 150" dataDxfId="277">
      <calculatedColumnFormula>IFERROR(1/Calculations_APPURT[[#This Row],[Brackets]],0) * cv_M * Forces_APPURT[[#This Row],[Delta Fa 150]] * Calculations_APPURT[[#This Row],[Horizontal Offset]]/12</calculatedColumnFormula>
    </tableColumn>
    <tableColumn id="185" xr3:uid="{BEBF969E-0707-4C53-BD05-4F40BADE0695}" name="Delta Mx 180" dataDxfId="276">
      <calculatedColumnFormula>IFERROR(1/Calculations_APPURT[[#This Row],[Brackets]],0) * cv_M * Forces_APPURT[[#This Row],[Delta Fa 180]] * Calculations_APPURT[[#This Row],[Horizontal Offset]]/12</calculatedColumnFormula>
    </tableColumn>
    <tableColumn id="186" xr3:uid="{2415D8C9-ADE2-4DF4-83D9-8A1B6293539C}" name="Delta Mx 210" dataDxfId="275">
      <calculatedColumnFormula>IFERROR(1/Calculations_APPURT[[#This Row],[Brackets]],0) * cv_M * Forces_APPURT[[#This Row],[Delta Fa 210]] * Calculations_APPURT[[#This Row],[Horizontal Offset]]/12</calculatedColumnFormula>
    </tableColumn>
    <tableColumn id="187" xr3:uid="{CE7E7269-AFD8-4B5D-A3CE-94C465EE0B2B}" name="Delta Mx 225" dataDxfId="274">
      <calculatedColumnFormula>IFERROR(1/Calculations_APPURT[[#This Row],[Brackets]],0) * cv_M * Forces_APPURT[[#This Row],[Delta Fa 225]] * Calculations_APPURT[[#This Row],[Horizontal Offset]]/12</calculatedColumnFormula>
    </tableColumn>
    <tableColumn id="188" xr3:uid="{9581106D-6CB3-4DBE-8050-E035B05FD65B}" name="Delta Mx 240" dataDxfId="273">
      <calculatedColumnFormula>IFERROR(1/Calculations_APPURT[[#This Row],[Brackets]],0) * cv_M * Forces_APPURT[[#This Row],[Delta Fa 240]] * Calculations_APPURT[[#This Row],[Horizontal Offset]]/12</calculatedColumnFormula>
    </tableColumn>
    <tableColumn id="189" xr3:uid="{2DDDA9F3-12BE-4F0F-9257-CD966D394670}" name="Delta Mx 270" dataDxfId="272">
      <calculatedColumnFormula>IFERROR(1/Calculations_APPURT[[#This Row],[Brackets]],0) * cv_M * Forces_APPURT[[#This Row],[Delta Fa 270]] * Calculations_APPURT[[#This Row],[Horizontal Offset]]/12</calculatedColumnFormula>
    </tableColumn>
    <tableColumn id="190" xr3:uid="{C3C518CC-F0B8-4C48-A215-C44BCE25E002}" name="Delta Mx 300" dataDxfId="271">
      <calculatedColumnFormula>IFERROR(1/Calculations_APPURT[[#This Row],[Brackets]],0) * cv_M * Forces_APPURT[[#This Row],[Delta Fa 300]] * Calculations_APPURT[[#This Row],[Horizontal Offset]]/12</calculatedColumnFormula>
    </tableColumn>
    <tableColumn id="191" xr3:uid="{B7CA5F1D-C980-4144-9955-2BD4D83C5849}" name="Delta Mx 315" dataDxfId="270">
      <calculatedColumnFormula>IFERROR(1/Calculations_APPURT[[#This Row],[Brackets]],0) * cv_M * Forces_APPURT[[#This Row],[Delta Fa 315]] * Calculations_APPURT[[#This Row],[Horizontal Offset]]/12</calculatedColumnFormula>
    </tableColumn>
    <tableColumn id="192" xr3:uid="{FEAAF363-57B1-4CCA-8ACB-AE8BC4576EB8}" name="Delta Mx 330" dataDxfId="269">
      <calculatedColumnFormula>IFERROR(1/Calculations_APPURT[[#This Row],[Brackets]],0) * cv_M * Forces_APPURT[[#This Row],[Delta Fa 330]] * Calculations_APPURT[[#This Row],[Horizontal Offset]]/12</calculatedColumnFormula>
    </tableColumn>
    <tableColumn id="193" xr3:uid="{5C273BEB-EFBD-4AD0-A9CB-2C577591FE8B}" name="Alpha Mxi 0" dataDxfId="268">
      <calculatedColumnFormula>IFERROR(1/Calculations_APPURT[[#This Row],[Brackets]],0) * cv_M * Forces_APPURT[[#This Row],[Alpha Fai 0]] * Calculations_APPURT[[#This Row],[Horizontal Offset]]/12</calculatedColumnFormula>
    </tableColumn>
    <tableColumn id="194" xr3:uid="{3FACEE9D-3943-4F09-ACD9-4452F954277A}" name="Alpha Mxi 30" dataDxfId="267">
      <calculatedColumnFormula>IFERROR(1/Calculations_APPURT[[#This Row],[Brackets]],0) * cv_M * Forces_APPURT[[#This Row],[Alpha Fai 30]] * Calculations_APPURT[[#This Row],[Horizontal Offset]]/12</calculatedColumnFormula>
    </tableColumn>
    <tableColumn id="195" xr3:uid="{F42435B1-9110-4CA5-82F9-E34BB63BF0A5}" name="Alpha Mxi 45" dataDxfId="266">
      <calculatedColumnFormula>IFERROR(1/Calculations_APPURT[[#This Row],[Brackets]],0) * cv_M * Forces_APPURT[[#This Row],[Alpha Fai 45]] * Calculations_APPURT[[#This Row],[Horizontal Offset]]/12</calculatedColumnFormula>
    </tableColumn>
    <tableColumn id="196" xr3:uid="{BBE2E993-35AD-48EE-823A-FD9A6118FE87}" name="Alpha Mxi 60" dataDxfId="265">
      <calculatedColumnFormula>IFERROR(1/Calculations_APPURT[[#This Row],[Brackets]],0) * cv_M * Forces_APPURT[[#This Row],[Alpha Fai 60]] * Calculations_APPURT[[#This Row],[Horizontal Offset]]/12</calculatedColumnFormula>
    </tableColumn>
    <tableColumn id="197" xr3:uid="{9EA4E0A5-8432-4515-8E9B-2239EF0FD2D7}" name="Alpha Mxi 90" dataDxfId="264">
      <calculatedColumnFormula>IFERROR(1/Calculations_APPURT[[#This Row],[Brackets]],0) * cv_M * Forces_APPURT[[#This Row],[Alpha Fai 90]] * Calculations_APPURT[[#This Row],[Horizontal Offset]]/12</calculatedColumnFormula>
    </tableColumn>
    <tableColumn id="198" xr3:uid="{4AA48419-319E-438B-9ACC-AC75E1F9863E}" name="Alpha Mxi 120" dataDxfId="263">
      <calculatedColumnFormula>IFERROR(1/Calculations_APPURT[[#This Row],[Brackets]],0) * cv_M * Forces_APPURT[[#This Row],[Alpha Fai 120]] * Calculations_APPURT[[#This Row],[Horizontal Offset]]/12</calculatedColumnFormula>
    </tableColumn>
    <tableColumn id="199" xr3:uid="{0241FE5C-CE83-410E-9573-952EA3D1AC90}" name="Alpha Mxi 135" dataDxfId="262">
      <calculatedColumnFormula>IFERROR(1/Calculations_APPURT[[#This Row],[Brackets]],0) * cv_M * Forces_APPURT[[#This Row],[Alpha Fai 135]] * Calculations_APPURT[[#This Row],[Horizontal Offset]]/12</calculatedColumnFormula>
    </tableColumn>
    <tableColumn id="200" xr3:uid="{49AF5215-ABEE-4066-AC8F-E332A64BC987}" name="Alpha Mxi 150" dataDxfId="261">
      <calculatedColumnFormula>IFERROR(1/Calculations_APPURT[[#This Row],[Brackets]],0) * cv_M * Forces_APPURT[[#This Row],[Alpha Fai 150]] * Calculations_APPURT[[#This Row],[Horizontal Offset]]/12</calculatedColumnFormula>
    </tableColumn>
    <tableColumn id="201" xr3:uid="{E2B669C8-FE48-48C3-981D-F31B2623C705}" name="Alpha Mxi 180" dataDxfId="260">
      <calculatedColumnFormula>IFERROR(1/Calculations_APPURT[[#This Row],[Brackets]],0) * cv_M * Forces_APPURT[[#This Row],[Alpha Fai 180]] * Calculations_APPURT[[#This Row],[Horizontal Offset]]/12</calculatedColumnFormula>
    </tableColumn>
    <tableColumn id="202" xr3:uid="{49F4BF31-DB67-4531-A390-BC59E22B7B93}" name="Alpha Mxi 210" dataDxfId="259">
      <calculatedColumnFormula>IFERROR(1/Calculations_APPURT[[#This Row],[Brackets]],0) * cv_M * Forces_APPURT[[#This Row],[Alpha Fai 210]] * Calculations_APPURT[[#This Row],[Horizontal Offset]]/12</calculatedColumnFormula>
    </tableColumn>
    <tableColumn id="203" xr3:uid="{ECD4871D-4F51-4959-8550-5D330876F645}" name="Alpha Mxi 225" dataDxfId="258">
      <calculatedColumnFormula>IFERROR(1/Calculations_APPURT[[#This Row],[Brackets]],0) * cv_M * Forces_APPURT[[#This Row],[Alpha Fai 225]] * Calculations_APPURT[[#This Row],[Horizontal Offset]]/12</calculatedColumnFormula>
    </tableColumn>
    <tableColumn id="204" xr3:uid="{04113424-8DCE-4090-B998-865E8BEF8554}" name="Alpha Mxi 240" dataDxfId="257">
      <calculatedColumnFormula>IFERROR(1/Calculations_APPURT[[#This Row],[Brackets]],0) * cv_M * Forces_APPURT[[#This Row],[Alpha Fai 240]] * Calculations_APPURT[[#This Row],[Horizontal Offset]]/12</calculatedColumnFormula>
    </tableColumn>
    <tableColumn id="205" xr3:uid="{A8331ACF-B27C-409D-888D-E4549E229175}" name="Alpha Mxi 270" dataDxfId="256">
      <calculatedColumnFormula>IFERROR(1/Calculations_APPURT[[#This Row],[Brackets]],0) * cv_M * Forces_APPURT[[#This Row],[Alpha Fai 270]] * Calculations_APPURT[[#This Row],[Horizontal Offset]]/12</calculatedColumnFormula>
    </tableColumn>
    <tableColumn id="206" xr3:uid="{21A3C98A-DB05-4814-A044-F464CA4996FF}" name="Alpha Mxi 300" dataDxfId="255">
      <calculatedColumnFormula>IFERROR(1/Calculations_APPURT[[#This Row],[Brackets]],0) * cv_M * Forces_APPURT[[#This Row],[Alpha Fai 300]] * Calculations_APPURT[[#This Row],[Horizontal Offset]]/12</calculatedColumnFormula>
    </tableColumn>
    <tableColumn id="207" xr3:uid="{5901151E-33AD-41C0-A51A-FD735D0C298E}" name="Alpha Mxi 315" dataDxfId="254">
      <calculatedColumnFormula>IFERROR(1/Calculations_APPURT[[#This Row],[Brackets]],0) * cv_M * Forces_APPURT[[#This Row],[Alpha Fai 315]] * Calculations_APPURT[[#This Row],[Horizontal Offset]]/12</calculatedColumnFormula>
    </tableColumn>
    <tableColumn id="208" xr3:uid="{F20B9B0F-E35D-411A-BE38-2B2BEFA9EB48}" name="Alpha Mxi 330" dataDxfId="253">
      <calculatedColumnFormula>IFERROR(1/Calculations_APPURT[[#This Row],[Brackets]],0) * cv_M * Forces_APPURT[[#This Row],[Alpha Fai 330]] * Calculations_APPURT[[#This Row],[Horizontal Offset]]/12</calculatedColumnFormula>
    </tableColumn>
    <tableColumn id="209" xr3:uid="{374AE0CF-8749-4425-858E-7A69C1CB0C8E}" name="Beta Mxi 0" dataDxfId="252">
      <calculatedColumnFormula>IFERROR(1/Calculations_APPURT[[#This Row],[Brackets]],0) * cv_M * Forces_APPURT[[#This Row],[Beta Fai 0]] * Calculations_APPURT[[#This Row],[Horizontal Offset]]/12</calculatedColumnFormula>
    </tableColumn>
    <tableColumn id="210" xr3:uid="{CD501662-3E5E-4B96-AA70-9F7A3968B99F}" name="Beta Mxi 30" dataDxfId="251">
      <calculatedColumnFormula>IFERROR(1/Calculations_APPURT[[#This Row],[Brackets]],0) * cv_M * Forces_APPURT[[#This Row],[Beta Fai 30]] * Calculations_APPURT[[#This Row],[Horizontal Offset]]/12</calculatedColumnFormula>
    </tableColumn>
    <tableColumn id="211" xr3:uid="{479C35E3-5E97-487B-9D0B-3770795B4E4C}" name="Beta Mxi 45" dataDxfId="250">
      <calculatedColumnFormula>IFERROR(1/Calculations_APPURT[[#This Row],[Brackets]],0) * cv_M * Forces_APPURT[[#This Row],[Beta Fai 45]] * Calculations_APPURT[[#This Row],[Horizontal Offset]]/12</calculatedColumnFormula>
    </tableColumn>
    <tableColumn id="212" xr3:uid="{54FC1A16-2812-49B0-A320-4EA38FF43D8E}" name="Beta Mxi 60" dataDxfId="249">
      <calculatedColumnFormula>IFERROR(1/Calculations_APPURT[[#This Row],[Brackets]],0) * cv_M * Forces_APPURT[[#This Row],[Beta Fai 60]] * Calculations_APPURT[[#This Row],[Horizontal Offset]]/12</calculatedColumnFormula>
    </tableColumn>
    <tableColumn id="213" xr3:uid="{0481A66E-7ACF-4E68-B730-9F815BE5C887}" name="Beta Mxi 90" dataDxfId="248">
      <calculatedColumnFormula>IFERROR(1/Calculations_APPURT[[#This Row],[Brackets]],0) * cv_M * Forces_APPURT[[#This Row],[Beta Fai 90]] * Calculations_APPURT[[#This Row],[Horizontal Offset]]/12</calculatedColumnFormula>
    </tableColumn>
    <tableColumn id="214" xr3:uid="{D2952148-3190-4DC4-9D96-3290A08CA26C}" name="Beta Mxi 120" dataDxfId="247">
      <calculatedColumnFormula>IFERROR(1/Calculations_APPURT[[#This Row],[Brackets]],0) * cv_M * Forces_APPURT[[#This Row],[Beta Fai 120]] * Calculations_APPURT[[#This Row],[Horizontal Offset]]/12</calculatedColumnFormula>
    </tableColumn>
    <tableColumn id="215" xr3:uid="{C8178A9B-B2AA-46D6-92C0-764436E356B5}" name="Beta Mxi 135" dataDxfId="246">
      <calculatedColumnFormula>IFERROR(1/Calculations_APPURT[[#This Row],[Brackets]],0) * cv_M * Forces_APPURT[[#This Row],[Beta Fai 135]] * Calculations_APPURT[[#This Row],[Horizontal Offset]]/12</calculatedColumnFormula>
    </tableColumn>
    <tableColumn id="216" xr3:uid="{0EBCF57F-C1F2-46EB-9CB8-34B4BFCD899A}" name="Beta Mxi 150" dataDxfId="245">
      <calculatedColumnFormula>IFERROR(1/Calculations_APPURT[[#This Row],[Brackets]],0) * cv_M * Forces_APPURT[[#This Row],[Beta Fai 150]] * Calculations_APPURT[[#This Row],[Horizontal Offset]]/12</calculatedColumnFormula>
    </tableColumn>
    <tableColumn id="217" xr3:uid="{E888A17F-AEFD-423A-A5C0-396D43B9F35F}" name="Beta Mxi 180" dataDxfId="244">
      <calculatedColumnFormula>IFERROR(1/Calculations_APPURT[[#This Row],[Brackets]],0) * cv_M * Forces_APPURT[[#This Row],[Beta Fai 180]] * Calculations_APPURT[[#This Row],[Horizontal Offset]]/12</calculatedColumnFormula>
    </tableColumn>
    <tableColumn id="218" xr3:uid="{3E2AE948-8AC5-4C94-AC8A-9E6DD75DE5D2}" name="Beta Mxi 210" dataDxfId="243">
      <calculatedColumnFormula>IFERROR(1/Calculations_APPURT[[#This Row],[Brackets]],0) * cv_M * Forces_APPURT[[#This Row],[Beta Fai 210]] * Calculations_APPURT[[#This Row],[Horizontal Offset]]/12</calculatedColumnFormula>
    </tableColumn>
    <tableColumn id="219" xr3:uid="{1C045EF4-A32B-4AE2-ACAA-B71CC770401C}" name="Beta Mxi 225" dataDxfId="242">
      <calculatedColumnFormula>IFERROR(1/Calculations_APPURT[[#This Row],[Brackets]],0) * cv_M * Forces_APPURT[[#This Row],[Beta Fai 225]] * Calculations_APPURT[[#This Row],[Horizontal Offset]]/12</calculatedColumnFormula>
    </tableColumn>
    <tableColumn id="220" xr3:uid="{198BBC9A-B80B-4043-8B7D-F1C3FB81E7C0}" name="Beta Mxi 240" dataDxfId="241">
      <calculatedColumnFormula>IFERROR(1/Calculations_APPURT[[#This Row],[Brackets]],0) * cv_M * Forces_APPURT[[#This Row],[Beta Fai 240]] * Calculations_APPURT[[#This Row],[Horizontal Offset]]/12</calculatedColumnFormula>
    </tableColumn>
    <tableColumn id="221" xr3:uid="{498CF3D8-0B20-410C-8596-38453DDAC4A1}" name="Beta Mxi 270" dataDxfId="240">
      <calculatedColumnFormula>IFERROR(1/Calculations_APPURT[[#This Row],[Brackets]],0) * cv_M * Forces_APPURT[[#This Row],[Beta Fai 270]] * Calculations_APPURT[[#This Row],[Horizontal Offset]]/12</calculatedColumnFormula>
    </tableColumn>
    <tableColumn id="222" xr3:uid="{8661D294-DA42-4F94-B400-22004A7C16D4}" name="Beta Mxi 300" dataDxfId="239">
      <calculatedColumnFormula>IFERROR(1/Calculations_APPURT[[#This Row],[Brackets]],0) * cv_M * Forces_APPURT[[#This Row],[Beta Fai 300]] * Calculations_APPURT[[#This Row],[Horizontal Offset]]/12</calculatedColumnFormula>
    </tableColumn>
    <tableColumn id="223" xr3:uid="{AE8055D4-03B1-44A1-BC15-301043D569D9}" name="Beta Mxi 315" dataDxfId="238">
      <calculatedColumnFormula>IFERROR(1/Calculations_APPURT[[#This Row],[Brackets]],0) * cv_M * Forces_APPURT[[#This Row],[Beta Fai 315]] * Calculations_APPURT[[#This Row],[Horizontal Offset]]/12</calculatedColumnFormula>
    </tableColumn>
    <tableColumn id="224" xr3:uid="{5DFCC529-59BD-463B-87AE-6606C978A3FA}" name="Beta Mxi 330" dataDxfId="237">
      <calculatedColumnFormula>IFERROR(1/Calculations_APPURT[[#This Row],[Brackets]],0) * cv_M * Forces_APPURT[[#This Row],[Beta Fai 330]] * Calculations_APPURT[[#This Row],[Horizontal Offset]]/12</calculatedColumnFormula>
    </tableColumn>
    <tableColumn id="225" xr3:uid="{53EE2631-5E6F-43EF-BE0C-32D78098640F}" name="Gamma Mxi 0" dataDxfId="236">
      <calculatedColumnFormula>IFERROR(1/Calculations_APPURT[[#This Row],[Brackets]],0) * cv_M * Forces_APPURT[[#This Row],[Gamma Fai 0]] * Calculations_APPURT[[#This Row],[Horizontal Offset]]/12</calculatedColumnFormula>
    </tableColumn>
    <tableColumn id="226" xr3:uid="{6B4E5943-BE48-4DEE-BC71-0BDA78949828}" name="Gamma Mxi 30" dataDxfId="235">
      <calculatedColumnFormula>IFERROR(1/Calculations_APPURT[[#This Row],[Brackets]],0) * cv_M * Forces_APPURT[[#This Row],[Gamma Fai 30]] * Calculations_APPURT[[#This Row],[Horizontal Offset]]/12</calculatedColumnFormula>
    </tableColumn>
    <tableColumn id="227" xr3:uid="{D34399A4-3740-420A-8D0E-299C8C2074D3}" name="Gamma Mxi 45" dataDxfId="234">
      <calculatedColumnFormula>IFERROR(1/Calculations_APPURT[[#This Row],[Brackets]],0) * cv_M * Forces_APPURT[[#This Row],[Gamma Fai 45]] * Calculations_APPURT[[#This Row],[Horizontal Offset]]/12</calculatedColumnFormula>
    </tableColumn>
    <tableColumn id="228" xr3:uid="{3EB880EC-A3C4-4195-923F-1F37851F3C1B}" name="Gamma Mxi 60" dataDxfId="233">
      <calculatedColumnFormula>IFERROR(1/Calculations_APPURT[[#This Row],[Brackets]],0) * cv_M * Forces_APPURT[[#This Row],[Gamma Fai 60]] * Calculations_APPURT[[#This Row],[Horizontal Offset]]/12</calculatedColumnFormula>
    </tableColumn>
    <tableColumn id="229" xr3:uid="{C1E7D38E-51C8-4851-B0FD-464ECBF2F3D4}" name="Gamma Mxi 90" dataDxfId="232">
      <calculatedColumnFormula>IFERROR(1/Calculations_APPURT[[#This Row],[Brackets]],0) * cv_M * Forces_APPURT[[#This Row],[Gamma Fai 90]] * Calculations_APPURT[[#This Row],[Horizontal Offset]]/12</calculatedColumnFormula>
    </tableColumn>
    <tableColumn id="230" xr3:uid="{3B06F29A-C74E-4B54-B886-8C6FE40E0A82}" name="Gamma Mxi 120" dataDxfId="231">
      <calculatedColumnFormula>IFERROR(1/Calculations_APPURT[[#This Row],[Brackets]],0) * cv_M * Forces_APPURT[[#This Row],[Gamma Fai 120]] * Calculations_APPURT[[#This Row],[Horizontal Offset]]/12</calculatedColumnFormula>
    </tableColumn>
    <tableColumn id="231" xr3:uid="{B580F06B-04CE-4EEF-94B5-A877CA059950}" name="Gamma Mxi 135" dataDxfId="230">
      <calculatedColumnFormula>IFERROR(1/Calculations_APPURT[[#This Row],[Brackets]],0) * cv_M * Forces_APPURT[[#This Row],[Gamma Fai 135]] * Calculations_APPURT[[#This Row],[Horizontal Offset]]/12</calculatedColumnFormula>
    </tableColumn>
    <tableColumn id="232" xr3:uid="{681A756C-3271-43D2-BE34-3AFE2FF50604}" name="Gamma Mxi 150" dataDxfId="229">
      <calculatedColumnFormula>IFERROR(1/Calculations_APPURT[[#This Row],[Brackets]],0) * cv_M * Forces_APPURT[[#This Row],[Gamma Fai 150]] * Calculations_APPURT[[#This Row],[Horizontal Offset]]/12</calculatedColumnFormula>
    </tableColumn>
    <tableColumn id="233" xr3:uid="{C9604E99-DF5A-4C03-BBE1-6D825E9759D1}" name="Gamma Mxi 180" dataDxfId="228">
      <calculatedColumnFormula>IFERROR(1/Calculations_APPURT[[#This Row],[Brackets]],0) * cv_M * Forces_APPURT[[#This Row],[Gamma Fai 180]] * Calculations_APPURT[[#This Row],[Horizontal Offset]]/12</calculatedColumnFormula>
    </tableColumn>
    <tableColumn id="234" xr3:uid="{85FA47A2-457E-4F9F-A933-468E46B5119F}" name="Gamma Mxi 210" dataDxfId="227">
      <calculatedColumnFormula>IFERROR(1/Calculations_APPURT[[#This Row],[Brackets]],0) * cv_M * Forces_APPURT[[#This Row],[Gamma Fai 210]] * Calculations_APPURT[[#This Row],[Horizontal Offset]]/12</calculatedColumnFormula>
    </tableColumn>
    <tableColumn id="235" xr3:uid="{14DE4D14-F2AB-45CD-ADD4-5112602430EC}" name="Gamma Mxi 225" dataDxfId="226">
      <calculatedColumnFormula>IFERROR(1/Calculations_APPURT[[#This Row],[Brackets]],0) * cv_M * Forces_APPURT[[#This Row],[Gamma Fai 225]] * Calculations_APPURT[[#This Row],[Horizontal Offset]]/12</calculatedColumnFormula>
    </tableColumn>
    <tableColumn id="236" xr3:uid="{12AC1D18-D2E6-4A20-8617-8D39E7E90F35}" name="Gamma Mxi 240" dataDxfId="225">
      <calculatedColumnFormula>IFERROR(1/Calculations_APPURT[[#This Row],[Brackets]],0) * cv_M * Forces_APPURT[[#This Row],[Gamma Fai 240]] * Calculations_APPURT[[#This Row],[Horizontal Offset]]/12</calculatedColumnFormula>
    </tableColumn>
    <tableColumn id="237" xr3:uid="{C383E823-B2C6-4458-AFC6-EB95B6BEA5F9}" name="Gamma Mxi 270" dataDxfId="224">
      <calculatedColumnFormula>IFERROR(1/Calculations_APPURT[[#This Row],[Brackets]],0) * cv_M * Forces_APPURT[[#This Row],[Gamma Fai 270]] * Calculations_APPURT[[#This Row],[Horizontal Offset]]/12</calculatedColumnFormula>
    </tableColumn>
    <tableColumn id="238" xr3:uid="{7B1B8161-947C-4E74-8315-0B90791D0715}" name="Gamma Mxi 300" dataDxfId="223">
      <calculatedColumnFormula>IFERROR(1/Calculations_APPURT[[#This Row],[Brackets]],0) * cv_M * Forces_APPURT[[#This Row],[Gamma Fai 300]] * Calculations_APPURT[[#This Row],[Horizontal Offset]]/12</calculatedColumnFormula>
    </tableColumn>
    <tableColumn id="239" xr3:uid="{9D02DFD5-0489-482E-A3EA-8A9E05AA1528}" name="Gamma Mxi 315" dataDxfId="222">
      <calculatedColumnFormula>IFERROR(1/Calculations_APPURT[[#This Row],[Brackets]],0) * cv_M * Forces_APPURT[[#This Row],[Gamma Fai 315]] * Calculations_APPURT[[#This Row],[Horizontal Offset]]/12</calculatedColumnFormula>
    </tableColumn>
    <tableColumn id="240" xr3:uid="{4D7879A2-B499-4416-9260-315E69135489}" name="Gamma Mxi 330" dataDxfId="221">
      <calculatedColumnFormula>IFERROR(1/Calculations_APPURT[[#This Row],[Brackets]],0) * cv_M * Forces_APPURT[[#This Row],[Gamma Fai 330]] * Calculations_APPURT[[#This Row],[Horizontal Offset]]/12</calculatedColumnFormula>
    </tableColumn>
    <tableColumn id="241" xr3:uid="{4BC0E038-5386-45F1-BC62-AE388FC9E3AC}" name="Delta Mxi 0" dataDxfId="220">
      <calculatedColumnFormula>IFERROR(1/Calculations_APPURT[[#This Row],[Brackets]],0) * cv_M * Forces_APPURT[[#This Row],[Delta Fai 0]] * Calculations_APPURT[[#This Row],[Horizontal Offset]]/12</calculatedColumnFormula>
    </tableColumn>
    <tableColumn id="242" xr3:uid="{E51AE4B7-EDEE-4100-9A3B-31F0BADA1C7E}" name="Delta Mxi 30" dataDxfId="219">
      <calculatedColumnFormula>IFERROR(1/Calculations_APPURT[[#This Row],[Brackets]],0) * cv_M * Forces_APPURT[[#This Row],[Delta Fai 30]] * Calculations_APPURT[[#This Row],[Horizontal Offset]]/12</calculatedColumnFormula>
    </tableColumn>
    <tableColumn id="243" xr3:uid="{5CA7AD84-80B4-41E8-AC49-97C7DEB847CC}" name="Delta Mxi 45" dataDxfId="218">
      <calculatedColumnFormula>IFERROR(1/Calculations_APPURT[[#This Row],[Brackets]],0) * cv_M * Forces_APPURT[[#This Row],[Delta Fai 45]] * Calculations_APPURT[[#This Row],[Horizontal Offset]]/12</calculatedColumnFormula>
    </tableColumn>
    <tableColumn id="244" xr3:uid="{1B997E14-278E-4082-A9A0-25DBC0771D9F}" name="Delta Mxi 60" dataDxfId="217">
      <calculatedColumnFormula>IFERROR(1/Calculations_APPURT[[#This Row],[Brackets]],0) * cv_M * Forces_APPURT[[#This Row],[Delta Fai 60]] * Calculations_APPURT[[#This Row],[Horizontal Offset]]/12</calculatedColumnFormula>
    </tableColumn>
    <tableColumn id="245" xr3:uid="{F6865A1A-4532-4592-934C-26AE9064CEB6}" name="Delta Mxi 90" dataDxfId="216">
      <calculatedColumnFormula>IFERROR(1/Calculations_APPURT[[#This Row],[Brackets]],0) * cv_M * Forces_APPURT[[#This Row],[Delta Fai 90]] * Calculations_APPURT[[#This Row],[Horizontal Offset]]/12</calculatedColumnFormula>
    </tableColumn>
    <tableColumn id="246" xr3:uid="{02BA168D-FBF5-460D-9583-271986587AF2}" name="Delta Mxi 120" dataDxfId="215">
      <calculatedColumnFormula>IFERROR(1/Calculations_APPURT[[#This Row],[Brackets]],0) * cv_M * Forces_APPURT[[#This Row],[Delta Fai 120]] * Calculations_APPURT[[#This Row],[Horizontal Offset]]/12</calculatedColumnFormula>
    </tableColumn>
    <tableColumn id="247" xr3:uid="{59EB2B8A-8AE2-40BC-9F51-2B4A4B2B7582}" name="Delta Mxi 135" dataDxfId="214">
      <calculatedColumnFormula>IFERROR(1/Calculations_APPURT[[#This Row],[Brackets]],0) * cv_M * Forces_APPURT[[#This Row],[Delta Fai 135]] * Calculations_APPURT[[#This Row],[Horizontal Offset]]/12</calculatedColumnFormula>
    </tableColumn>
    <tableColumn id="248" xr3:uid="{ECE1A7EC-B066-44CB-ACA6-AB770AECB176}" name="Delta Mxi 150" dataDxfId="213">
      <calculatedColumnFormula>IFERROR(1/Calculations_APPURT[[#This Row],[Brackets]],0) * cv_M * Forces_APPURT[[#This Row],[Delta Fai 150]] * Calculations_APPURT[[#This Row],[Horizontal Offset]]/12</calculatedColumnFormula>
    </tableColumn>
    <tableColumn id="249" xr3:uid="{EC21E833-0B64-43B2-88B2-CEEDE1C98291}" name="Delta Mxi 180" dataDxfId="212">
      <calculatedColumnFormula>IFERROR(1/Calculations_APPURT[[#This Row],[Brackets]],0) * cv_M * Forces_APPURT[[#This Row],[Delta Fai 180]] * Calculations_APPURT[[#This Row],[Horizontal Offset]]/12</calculatedColumnFormula>
    </tableColumn>
    <tableColumn id="250" xr3:uid="{D3698081-102C-4B41-86D7-90540268BD38}" name="Delta Mxi 210" dataDxfId="211">
      <calculatedColumnFormula>IFERROR(1/Calculations_APPURT[[#This Row],[Brackets]],0) * cv_M * Forces_APPURT[[#This Row],[Delta Fai 210]] * Calculations_APPURT[[#This Row],[Horizontal Offset]]/12</calculatedColumnFormula>
    </tableColumn>
    <tableColumn id="251" xr3:uid="{7478F1C6-39E1-4674-8303-025BCB201200}" name="Delta Mxi 225" dataDxfId="210">
      <calculatedColumnFormula>IFERROR(1/Calculations_APPURT[[#This Row],[Brackets]],0) * cv_M * Forces_APPURT[[#This Row],[Delta Fai 225]] * Calculations_APPURT[[#This Row],[Horizontal Offset]]/12</calculatedColumnFormula>
    </tableColumn>
    <tableColumn id="252" xr3:uid="{9C97ACE7-DBE9-4F77-8152-F53EFBF4C480}" name="Delta Mxi 240" dataDxfId="209">
      <calculatedColumnFormula>IFERROR(1/Calculations_APPURT[[#This Row],[Brackets]],0) * cv_M * Forces_APPURT[[#This Row],[Delta Fai 240]] * Calculations_APPURT[[#This Row],[Horizontal Offset]]/12</calculatedColumnFormula>
    </tableColumn>
    <tableColumn id="253" xr3:uid="{A5E38A5E-032A-4D15-B2EB-CB5E74195D6C}" name="Delta Mxi 270" dataDxfId="208">
      <calculatedColumnFormula>IFERROR(1/Calculations_APPURT[[#This Row],[Brackets]],0) * cv_M * Forces_APPURT[[#This Row],[Delta Fai 270]] * Calculations_APPURT[[#This Row],[Horizontal Offset]]/12</calculatedColumnFormula>
    </tableColumn>
    <tableColumn id="254" xr3:uid="{C644CCBD-4F96-49C5-B40F-7218337A85BB}" name="Delta Mxi 300" dataDxfId="207">
      <calculatedColumnFormula>IFERROR(1/Calculations_APPURT[[#This Row],[Brackets]],0) * cv_M * Forces_APPURT[[#This Row],[Delta Fai 300]] * Calculations_APPURT[[#This Row],[Horizontal Offset]]/12</calculatedColumnFormula>
    </tableColumn>
    <tableColumn id="255" xr3:uid="{7A83239B-AB22-47F1-AAEC-4D5A9E4DA72D}" name="Delta Mxi 315" dataDxfId="206">
      <calculatedColumnFormula>IFERROR(1/Calculations_APPURT[[#This Row],[Brackets]],0) * cv_M * Forces_APPURT[[#This Row],[Delta Fai 315]] * Calculations_APPURT[[#This Row],[Horizontal Offset]]/12</calculatedColumnFormula>
    </tableColumn>
    <tableColumn id="256" xr3:uid="{3D9B6F2C-4526-40FD-8667-0248AF402311}" name="Delta Mxi 330" dataDxfId="205">
      <calculatedColumnFormula>IFERROR(1/Calculations_APPURT[[#This Row],[Brackets]],0) * cv_M * Forces_APPURT[[#This Row],[Delta Fai 330]] * Calculations_APPURT[[#This Row],[Horizontal Offset]]/12</calculatedColumnFormula>
    </tableColumn>
    <tableColumn id="257" xr3:uid="{CEB039D8-5FA7-45A5-B094-D294808CFB29}" name="Alpha Mz 0" dataDxfId="204">
      <calculatedColumnFormula>IFERROR(1/Calculations_APPURT[[#This Row],[Brackets]],0) * cv_M * Forces_APPURT[[#This Row],[Alpha Fa 0]] * Calculations_APPURT[[#This Row],[Lateral Offset]]/12</calculatedColumnFormula>
    </tableColumn>
    <tableColumn id="258" xr3:uid="{8115CF94-DD90-4D4C-A41E-DE00CC3BA90B}" name="Alpha Mz 30" dataDxfId="203">
      <calculatedColumnFormula>IFERROR(1/Calculations_APPURT[[#This Row],[Brackets]],0) * cv_M * Forces_APPURT[[#This Row],[Alpha Fa 30]] * Calculations_APPURT[[#This Row],[Lateral Offset]]/12</calculatedColumnFormula>
    </tableColumn>
    <tableColumn id="259" xr3:uid="{4DDE6C48-36F2-47CC-A383-B0880B0D2E9F}" name="Alpha Mz 45" dataDxfId="202">
      <calculatedColumnFormula>IFERROR(1/Calculations_APPURT[[#This Row],[Brackets]],0) * cv_M * Forces_APPURT[[#This Row],[Alpha Fa 45]] * Calculations_APPURT[[#This Row],[Lateral Offset]]/12</calculatedColumnFormula>
    </tableColumn>
    <tableColumn id="260" xr3:uid="{AD369AE0-95E6-4030-AB68-B1BFF67A2E68}" name="Alpha Mz 60" dataDxfId="201">
      <calculatedColumnFormula>IFERROR(1/Calculations_APPURT[[#This Row],[Brackets]],0) * cv_M * Forces_APPURT[[#This Row],[Alpha Fa 60]] * Calculations_APPURT[[#This Row],[Lateral Offset]]/12</calculatedColumnFormula>
    </tableColumn>
    <tableColumn id="261" xr3:uid="{602FD1F8-6F11-4A6B-AF13-4FACED99CC89}" name="Alpha Mz 90" dataDxfId="200">
      <calculatedColumnFormula>IFERROR(1/Calculations_APPURT[[#This Row],[Brackets]],0) * cv_M * Forces_APPURT[[#This Row],[Alpha Fa 90]] * Calculations_APPURT[[#This Row],[Lateral Offset]]/12</calculatedColumnFormula>
    </tableColumn>
    <tableColumn id="262" xr3:uid="{684E4CCC-5161-40A0-8BB4-F92B23B86438}" name="Alpha Mz 120" dataDxfId="199">
      <calculatedColumnFormula>IFERROR(1/Calculations_APPURT[[#This Row],[Brackets]],0) * cv_M * Forces_APPURT[[#This Row],[Alpha Fa 120]] * Calculations_APPURT[[#This Row],[Lateral Offset]]/12</calculatedColumnFormula>
    </tableColumn>
    <tableColumn id="263" xr3:uid="{30F93AB0-8220-4774-9B46-5C706CBCE24D}" name="Alpha Mz 135" dataDxfId="198">
      <calculatedColumnFormula>IFERROR(1/Calculations_APPURT[[#This Row],[Brackets]],0) * cv_M * Forces_APPURT[[#This Row],[Alpha Fa 135]] * Calculations_APPURT[[#This Row],[Lateral Offset]]/12</calculatedColumnFormula>
    </tableColumn>
    <tableColumn id="264" xr3:uid="{FBCCA48D-3B31-4F55-A1A8-02BFA36743E2}" name="Alpha Mz 150" dataDxfId="197">
      <calculatedColumnFormula>IFERROR(1/Calculations_APPURT[[#This Row],[Brackets]],0) * cv_M * Forces_APPURT[[#This Row],[Alpha Fa 150]] * Calculations_APPURT[[#This Row],[Lateral Offset]]/12</calculatedColumnFormula>
    </tableColumn>
    <tableColumn id="265" xr3:uid="{D9FFE4A8-3966-4F97-83AD-B941D5E33AC8}" name="Alpha Mz 180" dataDxfId="196">
      <calculatedColumnFormula>IFERROR(1/Calculations_APPURT[[#This Row],[Brackets]],0) * cv_M * Forces_APPURT[[#This Row],[Alpha Fa 180]] * Calculations_APPURT[[#This Row],[Lateral Offset]]/12</calculatedColumnFormula>
    </tableColumn>
    <tableColumn id="266" xr3:uid="{98F97DF3-B063-4085-83A5-AC610BDDE187}" name="Alpha Mz 210" dataDxfId="195">
      <calculatedColumnFormula>IFERROR(1/Calculations_APPURT[[#This Row],[Brackets]],0) * cv_M * Forces_APPURT[[#This Row],[Alpha Fa 210]] * Calculations_APPURT[[#This Row],[Lateral Offset]]/12</calculatedColumnFormula>
    </tableColumn>
    <tableColumn id="267" xr3:uid="{63A79ABC-AA68-4841-A273-BF78290F140F}" name="Alpha Mz 225" dataDxfId="194">
      <calculatedColumnFormula>IFERROR(1/Calculations_APPURT[[#This Row],[Brackets]],0) * cv_M * Forces_APPURT[[#This Row],[Alpha Fa 225]] * Calculations_APPURT[[#This Row],[Lateral Offset]]/12</calculatedColumnFormula>
    </tableColumn>
    <tableColumn id="268" xr3:uid="{64FBE5F2-56A7-4B86-83E3-AB2694C635BE}" name="Alpha Mz 240" dataDxfId="193">
      <calculatedColumnFormula>IFERROR(1/Calculations_APPURT[[#This Row],[Brackets]],0) * cv_M * Forces_APPURT[[#This Row],[Alpha Fa 240]] * Calculations_APPURT[[#This Row],[Lateral Offset]]/12</calculatedColumnFormula>
    </tableColumn>
    <tableColumn id="269" xr3:uid="{CAD41839-569C-4224-BCF0-21F2DE92CC52}" name="Alpha Mz 270" dataDxfId="192">
      <calculatedColumnFormula>IFERROR(1/Calculations_APPURT[[#This Row],[Brackets]],0) * cv_M * Forces_APPURT[[#This Row],[Alpha Fa 270]] * Calculations_APPURT[[#This Row],[Lateral Offset]]/12</calculatedColumnFormula>
    </tableColumn>
    <tableColumn id="270" xr3:uid="{C2904F85-CA2A-4A73-B161-6CD2DB9978F8}" name="Alpha Mz 300" dataDxfId="191">
      <calculatedColumnFormula>IFERROR(1/Calculations_APPURT[[#This Row],[Brackets]],0) * cv_M * Forces_APPURT[[#This Row],[Alpha Fa 300]] * Calculations_APPURT[[#This Row],[Lateral Offset]]/12</calculatedColumnFormula>
    </tableColumn>
    <tableColumn id="271" xr3:uid="{FAE6E68F-CF85-490A-AFE6-2ED0077CE072}" name="Alpha Mz 315" dataDxfId="190">
      <calculatedColumnFormula>IFERROR(1/Calculations_APPURT[[#This Row],[Brackets]],0) * cv_M * Forces_APPURT[[#This Row],[Alpha Fa 315]] * Calculations_APPURT[[#This Row],[Lateral Offset]]/12</calculatedColumnFormula>
    </tableColumn>
    <tableColumn id="272" xr3:uid="{6773D41C-891C-4D87-9DDD-9C6A1B3CFD60}" name="Alpha Mz 330" dataDxfId="189">
      <calculatedColumnFormula>IFERROR(1/Calculations_APPURT[[#This Row],[Brackets]],0) * cv_M * Forces_APPURT[[#This Row],[Alpha Fa 330]] * Calculations_APPURT[[#This Row],[Lateral Offset]]/12</calculatedColumnFormula>
    </tableColumn>
    <tableColumn id="273" xr3:uid="{7852CF33-1FEB-4D97-B0FF-AAE4CDE61975}" name="Beta Mz 0" dataDxfId="188">
      <calculatedColumnFormula>IFERROR(1/Calculations_APPURT[[#This Row],[Brackets]],0) * cv_M * Forces_APPURT[[#This Row],[Beta Fa 0]] * Calculations_APPURT[[#This Row],[Lateral Offset]]/12</calculatedColumnFormula>
    </tableColumn>
    <tableColumn id="274" xr3:uid="{46A2829D-335F-4A38-9292-F94AE19ED53C}" name="Beta Mz 30" dataDxfId="187">
      <calculatedColumnFormula>IFERROR(1/Calculations_APPURT[[#This Row],[Brackets]],0) * cv_M * Forces_APPURT[[#This Row],[Beta Fa 30]] * Calculations_APPURT[[#This Row],[Lateral Offset]]/12</calculatedColumnFormula>
    </tableColumn>
    <tableColumn id="275" xr3:uid="{39367118-4892-4D63-B234-F0744ED28420}" name="Beta Mz 45" dataDxfId="186">
      <calculatedColumnFormula>IFERROR(1/Calculations_APPURT[[#This Row],[Brackets]],0) * cv_M * Forces_APPURT[[#This Row],[Beta Fa 45]] * Calculations_APPURT[[#This Row],[Lateral Offset]]/12</calculatedColumnFormula>
    </tableColumn>
    <tableColumn id="276" xr3:uid="{7E998C54-D210-461A-A2D1-E4E130C7F176}" name="Beta Mz 60" dataDxfId="185">
      <calculatedColumnFormula>IFERROR(1/Calculations_APPURT[[#This Row],[Brackets]],0) * cv_M * Forces_APPURT[[#This Row],[Beta Fa 60]] * Calculations_APPURT[[#This Row],[Lateral Offset]]/12</calculatedColumnFormula>
    </tableColumn>
    <tableColumn id="277" xr3:uid="{3228AF3D-E6FE-4111-B12D-109B7676D69A}" name="Beta Mz 90" dataDxfId="184">
      <calculatedColumnFormula>IFERROR(1/Calculations_APPURT[[#This Row],[Brackets]],0) * cv_M * Forces_APPURT[[#This Row],[Beta Fa 90]] * Calculations_APPURT[[#This Row],[Lateral Offset]]/12</calculatedColumnFormula>
    </tableColumn>
    <tableColumn id="278" xr3:uid="{078C8A96-E558-4ADC-90C2-1C6FB09B024F}" name="Beta Mz 120" dataDxfId="183">
      <calculatedColumnFormula>IFERROR(1/Calculations_APPURT[[#This Row],[Brackets]],0) * cv_M * Forces_APPURT[[#This Row],[Beta Fa 120]] * Calculations_APPURT[[#This Row],[Lateral Offset]]/12</calculatedColumnFormula>
    </tableColumn>
    <tableColumn id="279" xr3:uid="{0A5EBEE5-8DD2-488B-B0A4-5B20DAE075BF}" name="Beta Mz 135" dataDxfId="182">
      <calculatedColumnFormula>IFERROR(1/Calculations_APPURT[[#This Row],[Brackets]],0) * cv_M * Forces_APPURT[[#This Row],[Beta Fa 135]] * Calculations_APPURT[[#This Row],[Lateral Offset]]/12</calculatedColumnFormula>
    </tableColumn>
    <tableColumn id="280" xr3:uid="{247E5C86-C117-4738-94BA-FBB126961C83}" name="Beta Mz 150" dataDxfId="181">
      <calculatedColumnFormula>IFERROR(1/Calculations_APPURT[[#This Row],[Brackets]],0) * cv_M * Forces_APPURT[[#This Row],[Beta Fa 150]] * Calculations_APPURT[[#This Row],[Lateral Offset]]/12</calculatedColumnFormula>
    </tableColumn>
    <tableColumn id="281" xr3:uid="{532D9393-7102-41B8-BF82-9DFC3E06FDE8}" name="Beta Mz 180" dataDxfId="180">
      <calculatedColumnFormula>IFERROR(1/Calculations_APPURT[[#This Row],[Brackets]],0) * cv_M * Forces_APPURT[[#This Row],[Beta Fa 180]] * Calculations_APPURT[[#This Row],[Lateral Offset]]/12</calculatedColumnFormula>
    </tableColumn>
    <tableColumn id="282" xr3:uid="{35B3FCE4-9EAC-4E2C-BE65-B79E040FEB07}" name="Beta Mz 210" dataDxfId="179">
      <calculatedColumnFormula>IFERROR(1/Calculations_APPURT[[#This Row],[Brackets]],0) * cv_M * Forces_APPURT[[#This Row],[Beta Fa 210]] * Calculations_APPURT[[#This Row],[Lateral Offset]]/12</calculatedColumnFormula>
    </tableColumn>
    <tableColumn id="283" xr3:uid="{49181637-A5A2-4E74-9A42-D3413448EDD6}" name="Beta Mz 225" dataDxfId="178">
      <calculatedColumnFormula>IFERROR(1/Calculations_APPURT[[#This Row],[Brackets]],0) * cv_M * Forces_APPURT[[#This Row],[Beta Fa 225]] * Calculations_APPURT[[#This Row],[Lateral Offset]]/12</calculatedColumnFormula>
    </tableColumn>
    <tableColumn id="284" xr3:uid="{8AF7601B-01C5-4EC7-B35D-DA6A3860ECAA}" name="Beta Mz 240" dataDxfId="177">
      <calculatedColumnFormula>IFERROR(1/Calculations_APPURT[[#This Row],[Brackets]],0) * cv_M * Forces_APPURT[[#This Row],[Beta Fa 240]] * Calculations_APPURT[[#This Row],[Lateral Offset]]/12</calculatedColumnFormula>
    </tableColumn>
    <tableColumn id="285" xr3:uid="{A10A24D7-39CD-49D6-95DB-47365DBE187E}" name="Beta Mz 270" dataDxfId="176">
      <calculatedColumnFormula>IFERROR(1/Calculations_APPURT[[#This Row],[Brackets]],0) * cv_M * Forces_APPURT[[#This Row],[Beta Fa 270]] * Calculations_APPURT[[#This Row],[Lateral Offset]]/12</calculatedColumnFormula>
    </tableColumn>
    <tableColumn id="286" xr3:uid="{E2F931FA-79D1-4CE4-A691-61035E94C81C}" name="Beta Mz 300" dataDxfId="175">
      <calculatedColumnFormula>IFERROR(1/Calculations_APPURT[[#This Row],[Brackets]],0) * cv_M * Forces_APPURT[[#This Row],[Beta Fa 300]] * Calculations_APPURT[[#This Row],[Lateral Offset]]/12</calculatedColumnFormula>
    </tableColumn>
    <tableColumn id="287" xr3:uid="{0D3FF3DF-E591-4401-AFFB-991F8C5E054D}" name="Beta Mz 315" dataDxfId="174">
      <calculatedColumnFormula>IFERROR(1/Calculations_APPURT[[#This Row],[Brackets]],0) * cv_M * Forces_APPURT[[#This Row],[Beta Fa 315]] * Calculations_APPURT[[#This Row],[Lateral Offset]]/12</calculatedColumnFormula>
    </tableColumn>
    <tableColumn id="288" xr3:uid="{9046BC3C-5A36-46F6-A513-48702D9785E1}" name="Beta Mz 330" dataDxfId="173">
      <calculatedColumnFormula>IFERROR(1/Calculations_APPURT[[#This Row],[Brackets]],0) * cv_M * Forces_APPURT[[#This Row],[Beta Fa 330]] * Calculations_APPURT[[#This Row],[Lateral Offset]]/12</calculatedColumnFormula>
    </tableColumn>
    <tableColumn id="289" xr3:uid="{DC8C1622-CC20-46C9-A780-81E905040DB4}" name="Gamma Mz 0" dataDxfId="172">
      <calculatedColumnFormula>IFERROR(1/Calculations_APPURT[[#This Row],[Brackets]],0) * cv_M * Forces_APPURT[[#This Row],[Gamma Fa 0]] * Calculations_APPURT[[#This Row],[Lateral Offset]]/12</calculatedColumnFormula>
    </tableColumn>
    <tableColumn id="290" xr3:uid="{137AAD76-E8A0-4851-94B3-8738BBB56D0E}" name="Gamma Mz 30" dataDxfId="171">
      <calculatedColumnFormula>IFERROR(1/Calculations_APPURT[[#This Row],[Brackets]],0) * cv_M * Forces_APPURT[[#This Row],[Gamma Fa 30]] * Calculations_APPURT[[#This Row],[Lateral Offset]]/12</calculatedColumnFormula>
    </tableColumn>
    <tableColumn id="291" xr3:uid="{8FE06969-F212-4C3F-99FE-F6DFA2537491}" name="Gamma Mz 45" dataDxfId="170">
      <calculatedColumnFormula>IFERROR(1/Calculations_APPURT[[#This Row],[Brackets]],0) * cv_M * Forces_APPURT[[#This Row],[Gamma Fa 45]] * Calculations_APPURT[[#This Row],[Lateral Offset]]/12</calculatedColumnFormula>
    </tableColumn>
    <tableColumn id="292" xr3:uid="{A83D4E9C-82AA-46F4-8821-30C6C4BA7603}" name="Gamma Mz 60" dataDxfId="169">
      <calculatedColumnFormula>IFERROR(1/Calculations_APPURT[[#This Row],[Brackets]],0) * cv_M * Forces_APPURT[[#This Row],[Gamma Fa 60]] * Calculations_APPURT[[#This Row],[Lateral Offset]]/12</calculatedColumnFormula>
    </tableColumn>
    <tableColumn id="293" xr3:uid="{3F7527CB-04BC-4DE9-90F2-5727B8BA4238}" name="Gamma Mz 90" dataDxfId="168">
      <calculatedColumnFormula>IFERROR(1/Calculations_APPURT[[#This Row],[Brackets]],0) * cv_M * Forces_APPURT[[#This Row],[Gamma Fa 90]] * Calculations_APPURT[[#This Row],[Lateral Offset]]/12</calculatedColumnFormula>
    </tableColumn>
    <tableColumn id="294" xr3:uid="{28C7A890-73CE-4A66-94B7-6D001DC43B27}" name="Gamma Mz 120" dataDxfId="167">
      <calculatedColumnFormula>IFERROR(1/Calculations_APPURT[[#This Row],[Brackets]],0) * cv_M * Forces_APPURT[[#This Row],[Gamma Fa 120]] * Calculations_APPURT[[#This Row],[Lateral Offset]]/12</calculatedColumnFormula>
    </tableColumn>
    <tableColumn id="295" xr3:uid="{BD920D90-7F1B-4CED-A86F-A8D576CF502B}" name="Gamma Mz 135" dataDxfId="166">
      <calculatedColumnFormula>IFERROR(1/Calculations_APPURT[[#This Row],[Brackets]],0) * cv_M * Forces_APPURT[[#This Row],[Gamma Fa 135]] * Calculations_APPURT[[#This Row],[Lateral Offset]]/12</calculatedColumnFormula>
    </tableColumn>
    <tableColumn id="296" xr3:uid="{50CAE642-1F56-4944-A65B-617292BD1A30}" name="Gamma Mz 150" dataDxfId="165">
      <calculatedColumnFormula>IFERROR(1/Calculations_APPURT[[#This Row],[Brackets]],0) * cv_M * Forces_APPURT[[#This Row],[Gamma Fa 150]] * Calculations_APPURT[[#This Row],[Lateral Offset]]/12</calculatedColumnFormula>
    </tableColumn>
    <tableColumn id="297" xr3:uid="{E99B320C-8EFA-4794-B883-CA5F60375818}" name="Gamma Mz 180" dataDxfId="164">
      <calculatedColumnFormula>IFERROR(1/Calculations_APPURT[[#This Row],[Brackets]],0) * cv_M * Forces_APPURT[[#This Row],[Gamma Fa 180]] * Calculations_APPURT[[#This Row],[Lateral Offset]]/12</calculatedColumnFormula>
    </tableColumn>
    <tableColumn id="298" xr3:uid="{4DBAD04F-D879-4207-A09C-21D8C8645C42}" name="Gamma Mz 210" dataDxfId="163">
      <calculatedColumnFormula>IFERROR(1/Calculations_APPURT[[#This Row],[Brackets]],0) * cv_M * Forces_APPURT[[#This Row],[Gamma Fa 210]] * Calculations_APPURT[[#This Row],[Lateral Offset]]/12</calculatedColumnFormula>
    </tableColumn>
    <tableColumn id="299" xr3:uid="{52C783F5-FD19-4DEE-BC8D-3CEADB1328F8}" name="Gamma Mz 225" dataDxfId="162">
      <calculatedColumnFormula>IFERROR(1/Calculations_APPURT[[#This Row],[Brackets]],0) * cv_M * Forces_APPURT[[#This Row],[Gamma Fa 225]] * Calculations_APPURT[[#This Row],[Lateral Offset]]/12</calculatedColumnFormula>
    </tableColumn>
    <tableColumn id="300" xr3:uid="{2440A39E-E27A-47E5-8136-AE3345F739E8}" name="Gamma Mz 240" dataDxfId="161">
      <calculatedColumnFormula>IFERROR(1/Calculations_APPURT[[#This Row],[Brackets]],0) * cv_M * Forces_APPURT[[#This Row],[Gamma Fa 240]] * Calculations_APPURT[[#This Row],[Lateral Offset]]/12</calculatedColumnFormula>
    </tableColumn>
    <tableColumn id="301" xr3:uid="{D359A38A-4875-42A9-8FB9-CD258133CF4F}" name="Gamma Mz 270" dataDxfId="160">
      <calculatedColumnFormula>IFERROR(1/Calculations_APPURT[[#This Row],[Brackets]],0) * cv_M * Forces_APPURT[[#This Row],[Gamma Fa 270]] * Calculations_APPURT[[#This Row],[Lateral Offset]]/12</calculatedColumnFormula>
    </tableColumn>
    <tableColumn id="302" xr3:uid="{7B289589-56B2-405F-90A0-4F1CE5C059BC}" name="Gamma Mz 300" dataDxfId="159">
      <calculatedColumnFormula>IFERROR(1/Calculations_APPURT[[#This Row],[Brackets]],0) * cv_M * Forces_APPURT[[#This Row],[Gamma Fa 300]] * Calculations_APPURT[[#This Row],[Lateral Offset]]/12</calculatedColumnFormula>
    </tableColumn>
    <tableColumn id="303" xr3:uid="{35C2705C-8F00-4463-B360-7CE56FA802F1}" name="Gamma Mz 315" dataDxfId="158">
      <calculatedColumnFormula>IFERROR(1/Calculations_APPURT[[#This Row],[Brackets]],0) * cv_M * Forces_APPURT[[#This Row],[Gamma Fa 315]] * Calculations_APPURT[[#This Row],[Lateral Offset]]/12</calculatedColumnFormula>
    </tableColumn>
    <tableColumn id="304" xr3:uid="{7F9813E1-64DD-42D2-A995-4C21E0E132E1}" name="Gamma Mz 330" dataDxfId="157">
      <calculatedColumnFormula>IFERROR(1/Calculations_APPURT[[#This Row],[Brackets]],0) * cv_M * Forces_APPURT[[#This Row],[Gamma Fa 330]] * Calculations_APPURT[[#This Row],[Lateral Offset]]/12</calculatedColumnFormula>
    </tableColumn>
    <tableColumn id="305" xr3:uid="{63B706B2-4813-4AAF-8793-75FB02FC409C}" name="Delta Mz 0" dataDxfId="156">
      <calculatedColumnFormula>IFERROR(1/Calculations_APPURT[[#This Row],[Brackets]],0) * cv_M * Forces_APPURT[[#This Row],[Delta Fa 0]] * Calculations_APPURT[[#This Row],[Lateral Offset]]/12</calculatedColumnFormula>
    </tableColumn>
    <tableColumn id="306" xr3:uid="{6820A2A8-1B0F-432D-A117-FE4A3EEB8336}" name="Delta Mz 30" dataDxfId="155">
      <calculatedColumnFormula>IFERROR(1/Calculations_APPURT[[#This Row],[Brackets]],0) * cv_M * Forces_APPURT[[#This Row],[Delta Fa 30]] * Calculations_APPURT[[#This Row],[Lateral Offset]]/12</calculatedColumnFormula>
    </tableColumn>
    <tableColumn id="307" xr3:uid="{0763BE08-9A3D-4234-BCBF-219D9B8BE962}" name="Delta Mz 45" dataDxfId="154">
      <calculatedColumnFormula>IFERROR(1/Calculations_APPURT[[#This Row],[Brackets]],0) * cv_M * Forces_APPURT[[#This Row],[Delta Fa 45]] * Calculations_APPURT[[#This Row],[Lateral Offset]]/12</calculatedColumnFormula>
    </tableColumn>
    <tableColumn id="308" xr3:uid="{0B17D5D8-9A63-498D-8B4F-2B93B22B1D5D}" name="Delta Mz 60" dataDxfId="153">
      <calculatedColumnFormula>IFERROR(1/Calculations_APPURT[[#This Row],[Brackets]],0) * cv_M * Forces_APPURT[[#This Row],[Delta Fa 60]] * Calculations_APPURT[[#This Row],[Lateral Offset]]/12</calculatedColumnFormula>
    </tableColumn>
    <tableColumn id="309" xr3:uid="{5DA6863F-E91A-4B0B-978B-FFAE41C96ECF}" name="Delta Mz 90" dataDxfId="152">
      <calculatedColumnFormula>IFERROR(1/Calculations_APPURT[[#This Row],[Brackets]],0) * cv_M * Forces_APPURT[[#This Row],[Delta Fa 90]] * Calculations_APPURT[[#This Row],[Lateral Offset]]/12</calculatedColumnFormula>
    </tableColumn>
    <tableColumn id="310" xr3:uid="{FA05CED6-5EE1-453C-98B0-07D6F872EC82}" name="Delta Mz 120" dataDxfId="151">
      <calculatedColumnFormula>IFERROR(1/Calculations_APPURT[[#This Row],[Brackets]],0) * cv_M * Forces_APPURT[[#This Row],[Delta Fa 120]] * Calculations_APPURT[[#This Row],[Lateral Offset]]/12</calculatedColumnFormula>
    </tableColumn>
    <tableColumn id="311" xr3:uid="{BA1B78CB-BD05-4A78-95B5-ACEC224A18B0}" name="Delta Mz 135" dataDxfId="150">
      <calculatedColumnFormula>IFERROR(1/Calculations_APPURT[[#This Row],[Brackets]],0) * cv_M * Forces_APPURT[[#This Row],[Delta Fa 135]] * Calculations_APPURT[[#This Row],[Lateral Offset]]/12</calculatedColumnFormula>
    </tableColumn>
    <tableColumn id="312" xr3:uid="{C63C2DBB-FE90-4AF4-BB92-AE240D14E15E}" name="Delta Mz 150" dataDxfId="149">
      <calculatedColumnFormula>IFERROR(1/Calculations_APPURT[[#This Row],[Brackets]],0) * cv_M * Forces_APPURT[[#This Row],[Delta Fa 150]] * Calculations_APPURT[[#This Row],[Lateral Offset]]/12</calculatedColumnFormula>
    </tableColumn>
    <tableColumn id="313" xr3:uid="{4CCFE0B8-0700-498D-8811-6EA502BF2513}" name="Delta Mz 180" dataDxfId="148">
      <calculatedColumnFormula>IFERROR(1/Calculations_APPURT[[#This Row],[Brackets]],0) * cv_M * Forces_APPURT[[#This Row],[Delta Fa 180]] * Calculations_APPURT[[#This Row],[Lateral Offset]]/12</calculatedColumnFormula>
    </tableColumn>
    <tableColumn id="314" xr3:uid="{D438BAC8-FCFE-4A88-A66B-0F45075422F9}" name="Delta Mz 210" dataDxfId="147">
      <calculatedColumnFormula>IFERROR(1/Calculations_APPURT[[#This Row],[Brackets]],0) * cv_M * Forces_APPURT[[#This Row],[Delta Fa 210]] * Calculations_APPURT[[#This Row],[Lateral Offset]]/12</calculatedColumnFormula>
    </tableColumn>
    <tableColumn id="315" xr3:uid="{5BC33A0E-3E0B-458B-ADD5-A7BEA37568AD}" name="Delta Mz 225" dataDxfId="146">
      <calculatedColumnFormula>IFERROR(1/Calculations_APPURT[[#This Row],[Brackets]],0) * cv_M * Forces_APPURT[[#This Row],[Delta Fa 225]] * Calculations_APPURT[[#This Row],[Lateral Offset]]/12</calculatedColumnFormula>
    </tableColumn>
    <tableColumn id="316" xr3:uid="{C5B12E1F-82AE-4D3B-ADBA-612CAE40701D}" name="Delta Mz 240" dataDxfId="145">
      <calculatedColumnFormula>IFERROR(1/Calculations_APPURT[[#This Row],[Brackets]],0) * cv_M * Forces_APPURT[[#This Row],[Delta Fa 240]] * Calculations_APPURT[[#This Row],[Lateral Offset]]/12</calculatedColumnFormula>
    </tableColumn>
    <tableColumn id="317" xr3:uid="{1778842B-B0D3-442B-B5E9-0F2B6D9BC19F}" name="Delta Mz 270" dataDxfId="144">
      <calculatedColumnFormula>IFERROR(1/Calculations_APPURT[[#This Row],[Brackets]],0) * cv_M * Forces_APPURT[[#This Row],[Delta Fa 270]] * Calculations_APPURT[[#This Row],[Lateral Offset]]/12</calculatedColumnFormula>
    </tableColumn>
    <tableColumn id="318" xr3:uid="{578BB5FE-C300-4D12-890C-BEEF9DB0EF19}" name="Delta Mz 300" dataDxfId="143">
      <calculatedColumnFormula>IFERROR(1/Calculations_APPURT[[#This Row],[Brackets]],0) * cv_M * Forces_APPURT[[#This Row],[Delta Fa 300]] * Calculations_APPURT[[#This Row],[Lateral Offset]]/12</calculatedColumnFormula>
    </tableColumn>
    <tableColumn id="319" xr3:uid="{60E60956-D4A4-4181-BE92-0BE6BC361264}" name="Delta Mz 315" dataDxfId="142">
      <calculatedColumnFormula>IFERROR(1/Calculations_APPURT[[#This Row],[Brackets]],0) * cv_M * Forces_APPURT[[#This Row],[Delta Fa 315]] * Calculations_APPURT[[#This Row],[Lateral Offset]]/12</calculatedColumnFormula>
    </tableColumn>
    <tableColumn id="320" xr3:uid="{A8C8AB66-9999-451D-9A75-A028A66A0592}" name="Delta Mz 330" dataDxfId="141">
      <calculatedColumnFormula>IFERROR(1/Calculations_APPURT[[#This Row],[Brackets]],0) * cv_M * Forces_APPURT[[#This Row],[Delta Fa 330]] * Calculations_APPURT[[#This Row],[Lateral Offset]]/12</calculatedColumnFormula>
    </tableColumn>
    <tableColumn id="321" xr3:uid="{EBBD5240-7F5F-42B5-A4AB-4483EE75F609}" name="Alpha Mzi 0" dataDxfId="140">
      <calculatedColumnFormula>IFERROR(1/Calculations_APPURT[[#This Row],[Brackets]],0) * cv_M * Forces_APPURT[[#This Row],[Alpha Fai 0]] * Calculations_APPURT[[#This Row],[Lateral Offset]]/12</calculatedColumnFormula>
    </tableColumn>
    <tableColumn id="322" xr3:uid="{2BD93E91-6D5F-4A0C-B50A-72AC98F76504}" name="Alpha Mzi 30" dataDxfId="139">
      <calculatedColumnFormula>IFERROR(1/Calculations_APPURT[[#This Row],[Brackets]],0) * cv_M * Forces_APPURT[[#This Row],[Alpha Fai 30]] * Calculations_APPURT[[#This Row],[Lateral Offset]]/12</calculatedColumnFormula>
    </tableColumn>
    <tableColumn id="323" xr3:uid="{63B398FA-2CFB-496C-8121-281B4AC4466D}" name="Alpha Mzi 45" dataDxfId="138">
      <calculatedColumnFormula>IFERROR(1/Calculations_APPURT[[#This Row],[Brackets]],0) * cv_M * Forces_APPURT[[#This Row],[Alpha Fai 45]] * Calculations_APPURT[[#This Row],[Lateral Offset]]/12</calculatedColumnFormula>
    </tableColumn>
    <tableColumn id="324" xr3:uid="{AAC34FBB-B04C-47C2-9165-F860C5DC269D}" name="Alpha Mzi 60" dataDxfId="137">
      <calculatedColumnFormula>IFERROR(1/Calculations_APPURT[[#This Row],[Brackets]],0) * cv_M * Forces_APPURT[[#This Row],[Alpha Fai 60]] * Calculations_APPURT[[#This Row],[Lateral Offset]]/12</calculatedColumnFormula>
    </tableColumn>
    <tableColumn id="325" xr3:uid="{2E00376D-6BF5-4155-82E9-A0043DFC14E5}" name="Alpha Mzi 90" dataDxfId="136">
      <calculatedColumnFormula>IFERROR(1/Calculations_APPURT[[#This Row],[Brackets]],0) * cv_M * Forces_APPURT[[#This Row],[Alpha Fai 90]] * Calculations_APPURT[[#This Row],[Lateral Offset]]/12</calculatedColumnFormula>
    </tableColumn>
    <tableColumn id="326" xr3:uid="{9563AAB1-DAB0-4411-8E94-E2E36C34542C}" name="Alpha Mzi 120" dataDxfId="135">
      <calculatedColumnFormula>IFERROR(1/Calculations_APPURT[[#This Row],[Brackets]],0) * cv_M * Forces_APPURT[[#This Row],[Alpha Fai 120]] * Calculations_APPURT[[#This Row],[Lateral Offset]]/12</calculatedColumnFormula>
    </tableColumn>
    <tableColumn id="327" xr3:uid="{18D2C1FB-6C3A-4D6F-9656-C3F63296D128}" name="Alpha Mzi 135" dataDxfId="134">
      <calculatedColumnFormula>IFERROR(1/Calculations_APPURT[[#This Row],[Brackets]],0) * cv_M * Forces_APPURT[[#This Row],[Alpha Fai 135]] * Calculations_APPURT[[#This Row],[Lateral Offset]]/12</calculatedColumnFormula>
    </tableColumn>
    <tableColumn id="328" xr3:uid="{7F023587-45A7-4944-9F23-FE5DF0D8F3F4}" name="Alpha Mzi 150" dataDxfId="133">
      <calculatedColumnFormula>IFERROR(1/Calculations_APPURT[[#This Row],[Brackets]],0) * cv_M * Forces_APPURT[[#This Row],[Alpha Fai 150]] * Calculations_APPURT[[#This Row],[Lateral Offset]]/12</calculatedColumnFormula>
    </tableColumn>
    <tableColumn id="329" xr3:uid="{70431845-CA43-4113-865D-A996B56A0617}" name="Alpha Mzi 180" dataDxfId="132">
      <calculatedColumnFormula>IFERROR(1/Calculations_APPURT[[#This Row],[Brackets]],0) * cv_M * Forces_APPURT[[#This Row],[Alpha Fai 180]] * Calculations_APPURT[[#This Row],[Lateral Offset]]/12</calculatedColumnFormula>
    </tableColumn>
    <tableColumn id="330" xr3:uid="{112815C7-036A-4A1B-B69E-9CDC7F7FF2ED}" name="Alpha Mzi 210" dataDxfId="131">
      <calculatedColumnFormula>IFERROR(1/Calculations_APPURT[[#This Row],[Brackets]],0) * cv_M * Forces_APPURT[[#This Row],[Alpha Fai 210]] * Calculations_APPURT[[#This Row],[Lateral Offset]]/12</calculatedColumnFormula>
    </tableColumn>
    <tableColumn id="331" xr3:uid="{5EF13A1F-39FD-440C-91C4-5552A91057E2}" name="Alpha Mzi 225" dataDxfId="130">
      <calculatedColumnFormula>IFERROR(1/Calculations_APPURT[[#This Row],[Brackets]],0) * cv_M * Forces_APPURT[[#This Row],[Alpha Fai 225]] * Calculations_APPURT[[#This Row],[Lateral Offset]]/12</calculatedColumnFormula>
    </tableColumn>
    <tableColumn id="332" xr3:uid="{9330A64B-DDFC-4145-9469-7919FB476C6C}" name="Alpha Mzi 240" dataDxfId="129">
      <calculatedColumnFormula>IFERROR(1/Calculations_APPURT[[#This Row],[Brackets]],0) * cv_M * Forces_APPURT[[#This Row],[Alpha Fai 240]] * Calculations_APPURT[[#This Row],[Lateral Offset]]/12</calculatedColumnFormula>
    </tableColumn>
    <tableColumn id="333" xr3:uid="{A68CE94F-CE9C-4DF0-9EFD-66471526A41A}" name="Alpha Mzi 270" dataDxfId="128">
      <calculatedColumnFormula>IFERROR(1/Calculations_APPURT[[#This Row],[Brackets]],0) * cv_M * Forces_APPURT[[#This Row],[Alpha Fai 270]] * Calculations_APPURT[[#This Row],[Lateral Offset]]/12</calculatedColumnFormula>
    </tableColumn>
    <tableColumn id="334" xr3:uid="{AAEFE152-6440-407D-A652-4E9F9C9522EF}" name="Alpha Mzi 300" dataDxfId="127">
      <calculatedColumnFormula>IFERROR(1/Calculations_APPURT[[#This Row],[Brackets]],0) * cv_M * Forces_APPURT[[#This Row],[Alpha Fai 300]] * Calculations_APPURT[[#This Row],[Lateral Offset]]/12</calculatedColumnFormula>
    </tableColumn>
    <tableColumn id="335" xr3:uid="{9308368A-6363-418A-8815-639843FBAF31}" name="Alpha Mzi 315" dataDxfId="126">
      <calculatedColumnFormula>IFERROR(1/Calculations_APPURT[[#This Row],[Brackets]],0) * cv_M * Forces_APPURT[[#This Row],[Alpha Fai 315]] * Calculations_APPURT[[#This Row],[Lateral Offset]]/12</calculatedColumnFormula>
    </tableColumn>
    <tableColumn id="336" xr3:uid="{ABB65D77-1119-45BB-8B1B-10EEB52D60CF}" name="Alpha Mzi 330" dataDxfId="125">
      <calculatedColumnFormula>IFERROR(1/Calculations_APPURT[[#This Row],[Brackets]],0) * cv_M * Forces_APPURT[[#This Row],[Alpha Fai 330]] * Calculations_APPURT[[#This Row],[Lateral Offset]]/12</calculatedColumnFormula>
    </tableColumn>
    <tableColumn id="337" xr3:uid="{FE5028B9-DA9E-4F5E-9791-AC231577836A}" name="Beta Mzi 0" dataDxfId="124">
      <calculatedColumnFormula>IFERROR(1/Calculations_APPURT[[#This Row],[Brackets]],0) * cv_M * Forces_APPURT[[#This Row],[Beta Fai 0]] * Calculations_APPURT[[#This Row],[Lateral Offset]]/12</calculatedColumnFormula>
    </tableColumn>
    <tableColumn id="338" xr3:uid="{07D40612-3A57-440E-B3B2-E7229ED5676D}" name="Beta Mzi 30" dataDxfId="123">
      <calculatedColumnFormula>IFERROR(1/Calculations_APPURT[[#This Row],[Brackets]],0) * cv_M * Forces_APPURT[[#This Row],[Beta Fai 30]] * Calculations_APPURT[[#This Row],[Lateral Offset]]/12</calculatedColumnFormula>
    </tableColumn>
    <tableColumn id="339" xr3:uid="{BEE8D5A6-EC34-45A7-BD76-40A0265681BC}" name="Beta Mzi 45" dataDxfId="122">
      <calculatedColumnFormula>IFERROR(1/Calculations_APPURT[[#This Row],[Brackets]],0) * cv_M * Forces_APPURT[[#This Row],[Beta Fai 45]] * Calculations_APPURT[[#This Row],[Lateral Offset]]/12</calculatedColumnFormula>
    </tableColumn>
    <tableColumn id="340" xr3:uid="{45A1A247-011F-40BB-8F3F-D0342B8C2E5B}" name="Beta Mzi 60" dataDxfId="121">
      <calculatedColumnFormula>IFERROR(1/Calculations_APPURT[[#This Row],[Brackets]],0) * cv_M * Forces_APPURT[[#This Row],[Beta Fai 60]] * Calculations_APPURT[[#This Row],[Lateral Offset]]/12</calculatedColumnFormula>
    </tableColumn>
    <tableColumn id="341" xr3:uid="{5D2D165A-1A5A-4600-B0E4-A12A4BB828CD}" name="Beta Mzi 90" dataDxfId="120">
      <calculatedColumnFormula>IFERROR(1/Calculations_APPURT[[#This Row],[Brackets]],0) * cv_M * Forces_APPURT[[#This Row],[Beta Fai 90]] * Calculations_APPURT[[#This Row],[Lateral Offset]]/12</calculatedColumnFormula>
    </tableColumn>
    <tableColumn id="342" xr3:uid="{3607B9FA-0135-407D-A25B-47E7C032FEE5}" name="Beta Mzi 120" dataDxfId="119">
      <calculatedColumnFormula>IFERROR(1/Calculations_APPURT[[#This Row],[Brackets]],0) * cv_M * Forces_APPURT[[#This Row],[Beta Fai 120]] * Calculations_APPURT[[#This Row],[Lateral Offset]]/12</calculatedColumnFormula>
    </tableColumn>
    <tableColumn id="343" xr3:uid="{6697D337-44FA-4AFF-887C-AAA6EE8E9B2F}" name="Beta Mzi 135" dataDxfId="118">
      <calculatedColumnFormula>IFERROR(1/Calculations_APPURT[[#This Row],[Brackets]],0) * cv_M * Forces_APPURT[[#This Row],[Beta Fai 135]] * Calculations_APPURT[[#This Row],[Lateral Offset]]/12</calculatedColumnFormula>
    </tableColumn>
    <tableColumn id="344" xr3:uid="{4AB5DC3E-7E94-4F7F-B9CD-137B93D5F1A7}" name="Beta Mzi 150" dataDxfId="117">
      <calculatedColumnFormula>IFERROR(1/Calculations_APPURT[[#This Row],[Brackets]],0) * cv_M * Forces_APPURT[[#This Row],[Beta Fai 150]] * Calculations_APPURT[[#This Row],[Lateral Offset]]/12</calculatedColumnFormula>
    </tableColumn>
    <tableColumn id="345" xr3:uid="{BBC1EF1E-4042-4AF2-B83E-A32C1DBCA01F}" name="Beta Mzi 180" dataDxfId="116">
      <calculatedColumnFormula>IFERROR(1/Calculations_APPURT[[#This Row],[Brackets]],0) * cv_M * Forces_APPURT[[#This Row],[Beta Fai 180]] * Calculations_APPURT[[#This Row],[Lateral Offset]]/12</calculatedColumnFormula>
    </tableColumn>
    <tableColumn id="346" xr3:uid="{1041FDDF-00B3-4319-B464-ADBAD63BEBE6}" name="Beta Mzi 210" dataDxfId="115">
      <calculatedColumnFormula>IFERROR(1/Calculations_APPURT[[#This Row],[Brackets]],0) * cv_M * Forces_APPURT[[#This Row],[Beta Fai 210]] * Calculations_APPURT[[#This Row],[Lateral Offset]]/12</calculatedColumnFormula>
    </tableColumn>
    <tableColumn id="347" xr3:uid="{8D31845A-87B6-437C-A03A-7312D9F71C69}" name="Beta Mzi 225" dataDxfId="114">
      <calculatedColumnFormula>IFERROR(1/Calculations_APPURT[[#This Row],[Brackets]],0) * cv_M * Forces_APPURT[[#This Row],[Beta Fai 225]] * Calculations_APPURT[[#This Row],[Lateral Offset]]/12</calculatedColumnFormula>
    </tableColumn>
    <tableColumn id="348" xr3:uid="{054DD48D-FBFC-4FE1-B9E7-731F0EADB71C}" name="Beta Mzi 240" dataDxfId="113">
      <calculatedColumnFormula>IFERROR(1/Calculations_APPURT[[#This Row],[Brackets]],0) * cv_M * Forces_APPURT[[#This Row],[Beta Fai 240]] * Calculations_APPURT[[#This Row],[Lateral Offset]]/12</calculatedColumnFormula>
    </tableColumn>
    <tableColumn id="349" xr3:uid="{96E0FDD7-8CEC-4BCA-B3A3-A4B59421BD73}" name="Beta Mzi 270" dataDxfId="112">
      <calculatedColumnFormula>IFERROR(1/Calculations_APPURT[[#This Row],[Brackets]],0) * cv_M * Forces_APPURT[[#This Row],[Beta Fai 270]] * Calculations_APPURT[[#This Row],[Lateral Offset]]/12</calculatedColumnFormula>
    </tableColumn>
    <tableColumn id="350" xr3:uid="{DC8A89D3-0B94-4753-91AB-CFEFF03A5153}" name="Beta Mzi 300" dataDxfId="111">
      <calculatedColumnFormula>IFERROR(1/Calculations_APPURT[[#This Row],[Brackets]],0) * cv_M * Forces_APPURT[[#This Row],[Beta Fai 300]] * Calculations_APPURT[[#This Row],[Lateral Offset]]/12</calculatedColumnFormula>
    </tableColumn>
    <tableColumn id="351" xr3:uid="{FC784BDC-6A03-4AF3-A169-9EEDB404B7AE}" name="Beta Mzi 315" dataDxfId="110">
      <calculatedColumnFormula>IFERROR(1/Calculations_APPURT[[#This Row],[Brackets]],0) * cv_M * Forces_APPURT[[#This Row],[Beta Fai 315]] * Calculations_APPURT[[#This Row],[Lateral Offset]]/12</calculatedColumnFormula>
    </tableColumn>
    <tableColumn id="352" xr3:uid="{965FD369-9342-4843-8BC3-2108BF8E3A30}" name="Beta Mzi 330" dataDxfId="109">
      <calculatedColumnFormula>IFERROR(1/Calculations_APPURT[[#This Row],[Brackets]],0) * cv_M * Forces_APPURT[[#This Row],[Beta Fai 330]] * Calculations_APPURT[[#This Row],[Lateral Offset]]/12</calculatedColumnFormula>
    </tableColumn>
    <tableColumn id="353" xr3:uid="{A97DF492-227D-4A7A-A5CC-C7EED41EA444}" name="Gamma Mzi 0" dataDxfId="108">
      <calculatedColumnFormula>IFERROR(1/Calculations_APPURT[[#This Row],[Brackets]],0) * cv_M * Forces_APPURT[[#This Row],[Gamma Fai 0]] * Calculations_APPURT[[#This Row],[Lateral Offset]]/12</calculatedColumnFormula>
    </tableColumn>
    <tableColumn id="354" xr3:uid="{4C4EF64F-7C32-4E16-AD3D-0DE6BDAD8997}" name="Gamma Mzi 30" dataDxfId="107">
      <calculatedColumnFormula>IFERROR(1/Calculations_APPURT[[#This Row],[Brackets]],0) * cv_M * Forces_APPURT[[#This Row],[Gamma Fai 30]] * Calculations_APPURT[[#This Row],[Lateral Offset]]/12</calculatedColumnFormula>
    </tableColumn>
    <tableColumn id="355" xr3:uid="{D94FE66B-6E7A-46CE-8FEF-C026B0427FFC}" name="Gamma Mzi 45" dataDxfId="106">
      <calculatedColumnFormula>IFERROR(1/Calculations_APPURT[[#This Row],[Brackets]],0) * cv_M * Forces_APPURT[[#This Row],[Gamma Fai 45]] * Calculations_APPURT[[#This Row],[Lateral Offset]]/12</calculatedColumnFormula>
    </tableColumn>
    <tableColumn id="356" xr3:uid="{FE95905C-7EEF-4397-91E0-37DFCD5CE3CC}" name="Gamma Mzi 60" dataDxfId="105">
      <calculatedColumnFormula>IFERROR(1/Calculations_APPURT[[#This Row],[Brackets]],0) * cv_M * Forces_APPURT[[#This Row],[Gamma Fai 60]] * Calculations_APPURT[[#This Row],[Lateral Offset]]/12</calculatedColumnFormula>
    </tableColumn>
    <tableColumn id="357" xr3:uid="{DF414475-6C95-46EC-96D5-E8B5FBA2F102}" name="Gamma Mzi 90" dataDxfId="104">
      <calculatedColumnFormula>IFERROR(1/Calculations_APPURT[[#This Row],[Brackets]],0) * cv_M * Forces_APPURT[[#This Row],[Gamma Fai 90]] * Calculations_APPURT[[#This Row],[Lateral Offset]]/12</calculatedColumnFormula>
    </tableColumn>
    <tableColumn id="358" xr3:uid="{8F71B628-4944-4DD5-A28E-FBE4D7CE1301}" name="Gamma Mzi 120" dataDxfId="103">
      <calculatedColumnFormula>IFERROR(1/Calculations_APPURT[[#This Row],[Brackets]],0) * cv_M * Forces_APPURT[[#This Row],[Gamma Fai 120]] * Calculations_APPURT[[#This Row],[Lateral Offset]]/12</calculatedColumnFormula>
    </tableColumn>
    <tableColumn id="359" xr3:uid="{E7E8E21D-9044-4CE1-AF6B-B81261380041}" name="Gamma Mzi 135" dataDxfId="102">
      <calculatedColumnFormula>IFERROR(1/Calculations_APPURT[[#This Row],[Brackets]],0) * cv_M * Forces_APPURT[[#This Row],[Gamma Fai 135]] * Calculations_APPURT[[#This Row],[Lateral Offset]]/12</calculatedColumnFormula>
    </tableColumn>
    <tableColumn id="360" xr3:uid="{31607212-AF6B-47F3-833B-E0C66CC1D436}" name="Gamma Mzi 150" dataDxfId="101">
      <calculatedColumnFormula>IFERROR(1/Calculations_APPURT[[#This Row],[Brackets]],0) * cv_M * Forces_APPURT[[#This Row],[Gamma Fai 150]] * Calculations_APPURT[[#This Row],[Lateral Offset]]/12</calculatedColumnFormula>
    </tableColumn>
    <tableColumn id="361" xr3:uid="{3845710F-4D70-4A83-8A48-7FF76A8C54B5}" name="Gamma Mzi 180" dataDxfId="100">
      <calculatedColumnFormula>IFERROR(1/Calculations_APPURT[[#This Row],[Brackets]],0) * cv_M * Forces_APPURT[[#This Row],[Gamma Fai 180]] * Calculations_APPURT[[#This Row],[Lateral Offset]]/12</calculatedColumnFormula>
    </tableColumn>
    <tableColumn id="362" xr3:uid="{DC98D19A-60C1-4CAB-B857-F4BB4F75625A}" name="Gamma Mzi 210" dataDxfId="99">
      <calculatedColumnFormula>IFERROR(1/Calculations_APPURT[[#This Row],[Brackets]],0) * cv_M * Forces_APPURT[[#This Row],[Gamma Fai 210]] * Calculations_APPURT[[#This Row],[Lateral Offset]]/12</calculatedColumnFormula>
    </tableColumn>
    <tableColumn id="363" xr3:uid="{4600A326-C982-41C4-B2C5-43110FFAADDD}" name="Gamma Mzi 225" dataDxfId="98">
      <calculatedColumnFormula>IFERROR(1/Calculations_APPURT[[#This Row],[Brackets]],0) * cv_M * Forces_APPURT[[#This Row],[Gamma Fai 225]] * Calculations_APPURT[[#This Row],[Lateral Offset]]/12</calculatedColumnFormula>
    </tableColumn>
    <tableColumn id="364" xr3:uid="{CABDFE0E-C5C6-497C-8B3C-2EAAFBE812C1}" name="Gamma Mzi 240" dataDxfId="97">
      <calculatedColumnFormula>IFERROR(1/Calculations_APPURT[[#This Row],[Brackets]],0) * cv_M * Forces_APPURT[[#This Row],[Gamma Fai 240]] * Calculations_APPURT[[#This Row],[Lateral Offset]]/12</calculatedColumnFormula>
    </tableColumn>
    <tableColumn id="365" xr3:uid="{1CC02CAF-AACB-4476-B10D-42E2884FDA28}" name="Gamma Mzi 270" dataDxfId="96">
      <calculatedColumnFormula>IFERROR(1/Calculations_APPURT[[#This Row],[Brackets]],0) * cv_M * Forces_APPURT[[#This Row],[Gamma Fai 270]] * Calculations_APPURT[[#This Row],[Lateral Offset]]/12</calculatedColumnFormula>
    </tableColumn>
    <tableColumn id="366" xr3:uid="{61503E71-8A3A-457F-86DE-A22458BADF3C}" name="Gamma Mzi 300" dataDxfId="95">
      <calculatedColumnFormula>IFERROR(1/Calculations_APPURT[[#This Row],[Brackets]],0) * cv_M * Forces_APPURT[[#This Row],[Gamma Fai 300]] * Calculations_APPURT[[#This Row],[Lateral Offset]]/12</calculatedColumnFormula>
    </tableColumn>
    <tableColumn id="367" xr3:uid="{40D27056-DB51-4302-B621-25D2BDA468D5}" name="Gamma Mzi 315" dataDxfId="94">
      <calculatedColumnFormula>IFERROR(1/Calculations_APPURT[[#This Row],[Brackets]],0) * cv_M * Forces_APPURT[[#This Row],[Gamma Fai 315]] * Calculations_APPURT[[#This Row],[Lateral Offset]]/12</calculatedColumnFormula>
    </tableColumn>
    <tableColumn id="368" xr3:uid="{E3A5DB1F-79F1-4D3B-9E27-948C8BF2F417}" name="Gamma Mzi 330" dataDxfId="93">
      <calculatedColumnFormula>IFERROR(1/Calculations_APPURT[[#This Row],[Brackets]],0) * cv_M * Forces_APPURT[[#This Row],[Gamma Fai 330]] * Calculations_APPURT[[#This Row],[Lateral Offset]]/12</calculatedColumnFormula>
    </tableColumn>
    <tableColumn id="369" xr3:uid="{B877A689-1295-4809-A5FE-D7A706248156}" name="Delta Mzi 0" dataDxfId="92">
      <calculatedColumnFormula>IFERROR(1/Calculations_APPURT[[#This Row],[Brackets]],0) * cv_M * Forces_APPURT[[#This Row],[Delta Fai 0]] * Calculations_APPURT[[#This Row],[Lateral Offset]]/12</calculatedColumnFormula>
    </tableColumn>
    <tableColumn id="370" xr3:uid="{C318A9C5-598C-4FA0-859E-9C2424740E01}" name="Delta Mzi 30" dataDxfId="91">
      <calculatedColumnFormula>IFERROR(1/Calculations_APPURT[[#This Row],[Brackets]],0) * cv_M * Forces_APPURT[[#This Row],[Delta Fai 30]] * Calculations_APPURT[[#This Row],[Lateral Offset]]/12</calculatedColumnFormula>
    </tableColumn>
    <tableColumn id="371" xr3:uid="{20BD4256-A0D7-41AC-843A-549E18D921EC}" name="Delta Mzi 45" dataDxfId="90">
      <calculatedColumnFormula>IFERROR(1/Calculations_APPURT[[#This Row],[Brackets]],0) * cv_M * Forces_APPURT[[#This Row],[Delta Fai 45]] * Calculations_APPURT[[#This Row],[Lateral Offset]]/12</calculatedColumnFormula>
    </tableColumn>
    <tableColumn id="372" xr3:uid="{DA7EC81B-7278-4EC4-B0E5-4A36BE4DA566}" name="Delta Mzi 60" dataDxfId="89">
      <calculatedColumnFormula>IFERROR(1/Calculations_APPURT[[#This Row],[Brackets]],0) * cv_M * Forces_APPURT[[#This Row],[Delta Fai 60]] * Calculations_APPURT[[#This Row],[Lateral Offset]]/12</calculatedColumnFormula>
    </tableColumn>
    <tableColumn id="373" xr3:uid="{B40D88B3-0F08-4D75-A433-5B5F5628EDC9}" name="Delta Mzi 90" dataDxfId="88">
      <calculatedColumnFormula>IFERROR(1/Calculations_APPURT[[#This Row],[Brackets]],0) * cv_M * Forces_APPURT[[#This Row],[Delta Fai 90]] * Calculations_APPURT[[#This Row],[Lateral Offset]]/12</calculatedColumnFormula>
    </tableColumn>
    <tableColumn id="374" xr3:uid="{E57F09B7-6790-45B8-A54B-D1023FE25C77}" name="Delta Mzi 120" dataDxfId="87">
      <calculatedColumnFormula>IFERROR(1/Calculations_APPURT[[#This Row],[Brackets]],0) * cv_M * Forces_APPURT[[#This Row],[Delta Fai 120]] * Calculations_APPURT[[#This Row],[Lateral Offset]]/12</calculatedColumnFormula>
    </tableColumn>
    <tableColumn id="375" xr3:uid="{0C142D72-1B2D-4405-A6DE-49CDF772A3A3}" name="Delta Mzi 135" dataDxfId="86">
      <calculatedColumnFormula>IFERROR(1/Calculations_APPURT[[#This Row],[Brackets]],0) * cv_M * Forces_APPURT[[#This Row],[Delta Fai 135]] * Calculations_APPURT[[#This Row],[Lateral Offset]]/12</calculatedColumnFormula>
    </tableColumn>
    <tableColumn id="376" xr3:uid="{F5A14639-6E2E-44E2-A62A-423A1EED4CCF}" name="Delta Mzi 150" dataDxfId="85">
      <calculatedColumnFormula>IFERROR(1/Calculations_APPURT[[#This Row],[Brackets]],0) * cv_M * Forces_APPURT[[#This Row],[Delta Fai 150]] * Calculations_APPURT[[#This Row],[Lateral Offset]]/12</calculatedColumnFormula>
    </tableColumn>
    <tableColumn id="377" xr3:uid="{C852A236-925F-4755-B404-4072D28718B6}" name="Delta Mzi 180" dataDxfId="84">
      <calculatedColumnFormula>IFERROR(1/Calculations_APPURT[[#This Row],[Brackets]],0) * cv_M * Forces_APPURT[[#This Row],[Delta Fai 180]] * Calculations_APPURT[[#This Row],[Lateral Offset]]/12</calculatedColumnFormula>
    </tableColumn>
    <tableColumn id="378" xr3:uid="{FE56E99D-61F0-49B6-85FD-6A567C5A7E8F}" name="Delta Mzi 210" dataDxfId="83">
      <calculatedColumnFormula>IFERROR(1/Calculations_APPURT[[#This Row],[Brackets]],0) * cv_M * Forces_APPURT[[#This Row],[Delta Fai 210]] * Calculations_APPURT[[#This Row],[Lateral Offset]]/12</calculatedColumnFormula>
    </tableColumn>
    <tableColumn id="379" xr3:uid="{D7C593D0-26C8-4978-8E7D-D41F243C9D75}" name="Delta Mzi 225" dataDxfId="82">
      <calculatedColumnFormula>IFERROR(1/Calculations_APPURT[[#This Row],[Brackets]],0) * cv_M * Forces_APPURT[[#This Row],[Delta Fai 225]] * Calculations_APPURT[[#This Row],[Lateral Offset]]/12</calculatedColumnFormula>
    </tableColumn>
    <tableColumn id="380" xr3:uid="{4A156D4B-8BAA-4F7E-8B16-44FEEF5876E8}" name="Delta Mzi 240" dataDxfId="81">
      <calculatedColumnFormula>IFERROR(1/Calculations_APPURT[[#This Row],[Brackets]],0) * cv_M * Forces_APPURT[[#This Row],[Delta Fai 240]] * Calculations_APPURT[[#This Row],[Lateral Offset]]/12</calculatedColumnFormula>
    </tableColumn>
    <tableColumn id="381" xr3:uid="{C64D273F-652D-43DD-89A3-4CEF7A4FEA40}" name="Delta Mzi 270" dataDxfId="80">
      <calculatedColumnFormula>IFERROR(1/Calculations_APPURT[[#This Row],[Brackets]],0) * cv_M * Forces_APPURT[[#This Row],[Delta Fai 270]] * Calculations_APPURT[[#This Row],[Lateral Offset]]/12</calculatedColumnFormula>
    </tableColumn>
    <tableColumn id="382" xr3:uid="{F931C6F3-21DA-45F2-8CD3-CE4B6A2CC0DC}" name="Delta Mzi 300" dataDxfId="79">
      <calculatedColumnFormula>IFERROR(1/Calculations_APPURT[[#This Row],[Brackets]],0) * cv_M * Forces_APPURT[[#This Row],[Delta Fai 300]] * Calculations_APPURT[[#This Row],[Lateral Offset]]/12</calculatedColumnFormula>
    </tableColumn>
    <tableColumn id="383" xr3:uid="{24A8DEAC-2993-4251-8360-9C68BF2A42D6}" name="Delta Mzi 315" dataDxfId="78">
      <calculatedColumnFormula>IFERROR(1/Calculations_APPURT[[#This Row],[Brackets]],0) * cv_M * Forces_APPURT[[#This Row],[Delta Fai 315]] * Calculations_APPURT[[#This Row],[Lateral Offset]]/12</calculatedColumnFormula>
    </tableColumn>
    <tableColumn id="384" xr3:uid="{8C6BC067-DD02-43DA-99C9-8FCE4344EF2B}" name="Delta Mzi 330" dataDxfId="77">
      <calculatedColumnFormula>IFERROR(1/Calculations_APPURT[[#This Row],[Brackets]],0) * cv_M * Forces_APPURT[[#This Row],[Delta Fai 330]] * Calculations_APPURT[[#This Row],[Lateral Offset]]/12</calculatedColumnFormula>
    </tableColumn>
    <tableColumn id="385" xr3:uid="{737A137A-AD59-47DF-9FB2-EFDFCDF318EC}" name="Alpha Dead" dataDxfId="76">
      <calculatedColumnFormula>Dimensions_APPURT[[#This Row],[Weight (lbf)]] * cv_F * AlphaSector[[#This Row],[Quantity]]</calculatedColumnFormula>
    </tableColumn>
    <tableColumn id="386" xr3:uid="{E4CC2B29-A624-450D-BF46-ACD5766C1141}" name="Beta Dead" dataDxfId="75">
      <calculatedColumnFormula>Dimensions_APPURT[[#This Row],[Weight (lbf)]] * cv_F * BetaSector[[#This Row],[Quantity]]</calculatedColumnFormula>
    </tableColumn>
    <tableColumn id="387" xr3:uid="{25CF88CF-6C19-428E-80C6-670C5CA7E6D9}" name="Gamma Dead" dataDxfId="74">
      <calculatedColumnFormula>Dimensions_APPURT[[#This Row],[Weight (lbf)]] * cv_F * GammaSector[[#This Row],[Quantity]]</calculatedColumnFormula>
    </tableColumn>
    <tableColumn id="388" xr3:uid="{10ACA742-763B-4265-9A98-0293AFE82626}" name="Delta Dead" dataDxfId="73">
      <calculatedColumnFormula>Dimensions_APPURT[[#This Row],[Weight (lbf)]] * cv_F * DeltaSector[[#This Row],[Quantity]]</calculatedColumnFormula>
    </tableColumn>
    <tableColumn id="389" xr3:uid="{4FD606D4-1724-4D8E-AA04-11862F1E0190}" name="Alpha Moment" dataDxfId="72">
      <calculatedColumnFormula>Dimensions_APPURT[[#This Row],[Weight (lbf)]] * cv_M * AlphaSector[[#This Row],[Quantity]] * Calculations_APPURT[[#This Row],[Horizontal Offset]]/12</calculatedColumnFormula>
    </tableColumn>
    <tableColumn id="390" xr3:uid="{20906B6E-C6A4-43BF-9D4F-745F7D10C5B0}" name="Beta Moment" dataDxfId="71">
      <calculatedColumnFormula>Dimensions_APPURT[[#This Row],[Weight (lbf)]] * cv_M * BetaSector[[#This Row],[Quantity]] * Calculations_APPURT[[#This Row],[Horizontal Offset]]/12</calculatedColumnFormula>
    </tableColumn>
    <tableColumn id="391" xr3:uid="{87DA4B90-31CA-4CC2-B172-3644FCF60ED8}" name="Gamma Moment" dataDxfId="70">
      <calculatedColumnFormula>Dimensions_APPURT[[#This Row],[Weight (lbf)]] * cv_M * GammaSector[[#This Row],[Quantity]] * Calculations_APPURT[[#This Row],[Horizontal Offset]]/12</calculatedColumnFormula>
    </tableColumn>
    <tableColumn id="392" xr3:uid="{69A4DB60-ED3A-4343-9920-2327E5758AC5}" name="Delta Moment" dataDxfId="69">
      <calculatedColumnFormula>Dimensions_APPURT[[#This Row],[Weight (lbf)]] * cv_M * DeltaSector[[#This Row],[Quantity]] * Calculations_APPURT[[#This Row],[Horizontal Offset]]/12</calculatedColumnFormula>
    </tableColumn>
    <tableColumn id="393" xr3:uid="{DB792C06-0929-45FC-89BF-04A70C19AF19}" name="Alpha Dead Ice" dataDxfId="68">
      <calculatedColumnFormula>Hazards_APPURT[[#This Row],[Ice Weight]] * cv_F * AlphaSector[[#This Row],[Quantity]]</calculatedColumnFormula>
    </tableColumn>
    <tableColumn id="394" xr3:uid="{F4E11731-DD3B-4318-98E5-ECBDED483266}" name="Beta Dead Ice" dataDxfId="67">
      <calculatedColumnFormula>Hazards_APPURT[[#This Row],[Ice Weight]] * cv_F * BetaSector[[#This Row],[Quantity]]</calculatedColumnFormula>
    </tableColumn>
    <tableColumn id="395" xr3:uid="{B8887EE8-1375-49AF-B065-67A575150A06}" name="Gamma Dead Ice" dataDxfId="66">
      <calculatedColumnFormula>Hazards_APPURT[[#This Row],[Ice Weight]] * cv_F * GammaSector[[#This Row],[Quantity]]</calculatedColumnFormula>
    </tableColumn>
    <tableColumn id="396" xr3:uid="{5F741677-D27E-4395-ADB0-B5ED97021431}" name="Delta Dead Ice" dataDxfId="65">
      <calculatedColumnFormula>Hazards_APPURT[[#This Row],[Ice Weight]] * cv_F * DeltaSector[[#This Row],[Quantity]]</calculatedColumnFormula>
    </tableColumn>
    <tableColumn id="397" xr3:uid="{7ACFA0DC-3A9C-4BB9-991C-5FDA7B0436CC}" name="Alpha Ice Moment" dataDxfId="64">
      <calculatedColumnFormula>Hazards_APPURT[[#This Row],[Ice Weight]] * cv_M * AlphaSector[[#This Row],[Quantity]] * Calculations_APPURT[[#This Row],[Horizontal Offset]]/12</calculatedColumnFormula>
    </tableColumn>
    <tableColumn id="398" xr3:uid="{B9DBFAB4-8D51-4D76-8D72-B18B10BE4908}" name="Beta Ice Moment" dataDxfId="63">
      <calculatedColumnFormula>Hazards_APPURT[[#This Row],[Ice Weight]] * cv_M * BetaSector[[#This Row],[Quantity]] * Calculations_APPURT[[#This Row],[Horizontal Offset]]/12</calculatedColumnFormula>
    </tableColumn>
    <tableColumn id="399" xr3:uid="{9478FF39-D263-48B9-984B-75443087455E}" name="Gamma Ice Moment" dataDxfId="62">
      <calculatedColumnFormula>Hazards_APPURT[[#This Row],[Ice Weight]] * cv_M * GammaSector[[#This Row],[Quantity]] * Calculations_APPURT[[#This Row],[Horizontal Offset]]/12</calculatedColumnFormula>
    </tableColumn>
    <tableColumn id="400" xr3:uid="{DBD9AF05-516B-4AE3-9D3D-BB305C6B7783}" name="Delta Ice Moment" dataDxfId="61">
      <calculatedColumnFormula>Hazards_APPURT[[#This Row],[Ice Weight]] * cv_M * DeltaSector[[#This Row],[Quantity]] * Calculations_APPURT[[#This Row],[Horizontal Offset]]/12</calculatedColumnFormula>
    </tableColumn>
  </tableColumns>
  <tableStyleInfo name="NB+C_Tabl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7B0AED7-7B26-4C69-A73E-52E69425D8E4}" name="tblAPPURT" displayName="tblAPPURT" ref="A3:D1003" totalsRowShown="0" headerRowDxfId="57" dataDxfId="55" headerRowBorderDxfId="56" tableBorderDxfId="54">
  <autoFilter ref="A3:D1003" xr:uid="{F7B0AED7-7B26-4C69-A73E-52E69425D8E4}">
    <filterColumn colId="0" hiddenButton="1"/>
    <filterColumn colId="1" hiddenButton="1"/>
    <filterColumn colId="2" hiddenButton="1"/>
    <filterColumn colId="3" hiddenButton="1"/>
  </autoFilter>
  <tableColumns count="4">
    <tableColumn id="1" xr3:uid="{DD88B5FE-3EA3-44B5-9FB3-86725F28BFE8}" name="Name" dataDxfId="53">
      <calculatedColumnFormula>IF(AH4="","",_xlfn.CONCAT(AH4,"_",ROW()-3))</calculatedColumnFormula>
    </tableColumn>
    <tableColumn id="2" xr3:uid="{624A7151-0125-4C45-9ED9-E678F00A1931}" name="Condition" dataDxfId="52">
      <calculatedColumnFormula>IF(AI4="","",AI4)</calculatedColumnFormula>
    </tableColumn>
    <tableColumn id="3" xr3:uid="{6C9FE99B-0D8D-4C6C-AC1F-C8DC44792B1A}" name="Type" dataDxfId="51">
      <calculatedColumnFormula>IF(AJ4="","",AJ4)</calculatedColumnFormula>
    </tableColumn>
    <tableColumn id="4" xr3:uid="{A987E2E8-763F-42F8-ACCE-7096B5B00F77}" name="Shape" dataDxfId="50">
      <calculatedColumnFormula>IF(AK4="","",AK4)</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2D4CBE7-0368-4F6A-A84D-4B9A4C37AA99}" name="tblAlpha" displayName="tblAlpha" ref="E3:J1003" totalsRowShown="0" headerRowDxfId="49" dataDxfId="48">
  <autoFilter ref="E3:J1003" xr:uid="{F2D4CBE7-0368-4F6A-A84D-4B9A4C37AA99}">
    <filterColumn colId="0" hiddenButton="1"/>
    <filterColumn colId="1" hiddenButton="1"/>
    <filterColumn colId="2" hiddenButton="1"/>
    <filterColumn colId="3" hiddenButton="1"/>
    <filterColumn colId="4" hiddenButton="1"/>
    <filterColumn colId="5" hiddenButton="1"/>
  </autoFilter>
  <tableColumns count="6">
    <tableColumn id="1" xr3:uid="{870BFD91-940F-46BC-92CC-210172A3D0FD}" name="Azimuth (°)" dataDxfId="47">
      <calculatedColumnFormula>IF(AL4="","",AL4)</calculatedColumnFormula>
    </tableColumn>
    <tableColumn id="6" xr3:uid="{1B561E35-7BE2-4EE1-8A41-CCB3DC840B57}" name="Quantity" dataDxfId="46">
      <calculatedColumnFormula>IF(AM4="","",AM4)</calculatedColumnFormula>
    </tableColumn>
    <tableColumn id="2" xr3:uid="{6E1AC96F-CDA4-424F-9BA1-EE1DEADA2A9B}" name="Position Top" dataDxfId="45">
      <calculatedColumnFormula>IF(AN4="","",AN4)</calculatedColumnFormula>
    </tableColumn>
    <tableColumn id="3" xr3:uid="{6B4712B6-FA2A-4C69-9741-DF527B78280F}" name="Location Top (in)" dataDxfId="44">
      <calculatedColumnFormula>IF(AO4="","",IF(AQ4&lt;&gt;0,(AO4+AQ4)/2,AO4)-BN4)</calculatedColumnFormula>
    </tableColumn>
    <tableColumn id="4" xr3:uid="{3893EF1F-633E-4EEC-AD6B-594A213513D5}" name="Position Btm" dataDxfId="43">
      <calculatedColumnFormula>IF(AP4="","",AP4)</calculatedColumnFormula>
    </tableColumn>
    <tableColumn id="5" xr3:uid="{3D59DDFC-6002-4A03-AE16-6E84916252F6}" name="Location Btm (in)" dataDxfId="42">
      <calculatedColumnFormula>IF(AQ4="","",(AO4+AQ4)/2-BN4)</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C55649D-4195-4602-B592-58708090A012}" name="tblBeta" displayName="tblBeta" ref="K3:P1003" totalsRowShown="0" headerRowDxfId="41" dataDxfId="40">
  <autoFilter ref="K3:P1003" xr:uid="{CC55649D-4195-4602-B592-58708090A012}">
    <filterColumn colId="0" hiddenButton="1"/>
    <filterColumn colId="1" hiddenButton="1"/>
    <filterColumn colId="2" hiddenButton="1"/>
    <filterColumn colId="3" hiddenButton="1"/>
    <filterColumn colId="4" hiddenButton="1"/>
    <filterColumn colId="5" hiddenButton="1"/>
  </autoFilter>
  <tableColumns count="6">
    <tableColumn id="1" xr3:uid="{24806A6B-3BC4-45B8-8D28-B3B4CCB61815}" name="Azimuth (°)" dataDxfId="39">
      <calculatedColumnFormula>IF(AR4="","",AR4)</calculatedColumnFormula>
    </tableColumn>
    <tableColumn id="6" xr3:uid="{84F03FAC-A54D-4DE3-A950-D013723BB8A3}" name="Quantity" dataDxfId="38">
      <calculatedColumnFormula>IF(AS4="","",AS4)</calculatedColumnFormula>
    </tableColumn>
    <tableColumn id="2" xr3:uid="{9D5F468E-C69F-4FEB-89A2-71F76BEBD6AD}" name="Position Top" dataDxfId="37">
      <calculatedColumnFormula>IF(AT4="","",AT4)</calculatedColumnFormula>
    </tableColumn>
    <tableColumn id="3" xr3:uid="{E2D4A4CB-E2C9-4BDB-AA84-C118D8B81559}" name="Location Top (in)" dataDxfId="36">
      <calculatedColumnFormula>IF(AU4="","",IF(AW4&lt;&gt;0,(AU4+AW4)/2,AU4)-BN5)</calculatedColumnFormula>
    </tableColumn>
    <tableColumn id="4" xr3:uid="{5648B5F9-8054-40DE-894E-FFB2F7262097}" name="Position Btm" dataDxfId="35">
      <calculatedColumnFormula>IF(AV4="","",AV4)</calculatedColumnFormula>
    </tableColumn>
    <tableColumn id="5" xr3:uid="{18404485-7B30-486D-BB8F-4E4DB91F8531}" name="Location Btm (in)" dataDxfId="34">
      <calculatedColumnFormula>IF(AW4="","",(AU4+AW4)/2-BN5)</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6E62F4D-9A8D-42FA-9214-99C4BFD2D395}" name="tblGamma" displayName="tblGamma" ref="Q3:V1003" totalsRowShown="0" headerRowDxfId="33" dataDxfId="32">
  <autoFilter ref="Q3:V1003" xr:uid="{F6E62F4D-9A8D-42FA-9214-99C4BFD2D395}">
    <filterColumn colId="0" hiddenButton="1"/>
    <filterColumn colId="1" hiddenButton="1"/>
    <filterColumn colId="2" hiddenButton="1"/>
    <filterColumn colId="3" hiddenButton="1"/>
    <filterColumn colId="4" hiddenButton="1"/>
    <filterColumn colId="5" hiddenButton="1"/>
  </autoFilter>
  <tableColumns count="6">
    <tableColumn id="1" xr3:uid="{692CA584-A244-4A43-833D-D3B572ACC74D}" name="Azimuth (°)" dataDxfId="31">
      <calculatedColumnFormula>IF(AX4="","",AX4)</calculatedColumnFormula>
    </tableColumn>
    <tableColumn id="6" xr3:uid="{28D41764-1083-4A7F-B239-F8219A4A82D9}" name="Quantity" dataDxfId="30">
      <calculatedColumnFormula>IF(AY4="","",AY4)</calculatedColumnFormula>
    </tableColumn>
    <tableColumn id="2" xr3:uid="{ED6F5259-9A8D-4ACF-9466-04A91ADE1474}" name="Position Top" dataDxfId="29">
      <calculatedColumnFormula>IF(AZ4="","",AZ4)</calculatedColumnFormula>
    </tableColumn>
    <tableColumn id="3" xr3:uid="{26AF49EC-80A0-4C9C-B9D3-415A5EB670BE}" name="Location Top (in)" dataDxfId="28">
      <calculatedColumnFormula>IF(BA4="","",IF(BC4&lt;&gt;0,(BA4+BC4)/2,BA4)-BN6)</calculatedColumnFormula>
    </tableColumn>
    <tableColumn id="4" xr3:uid="{C1D1D155-FDFF-4A89-A2E4-759C7DFDB1EA}" name="Position Btm" dataDxfId="27">
      <calculatedColumnFormula>IF(BB4="","",BB4)</calculatedColumnFormula>
    </tableColumn>
    <tableColumn id="5" xr3:uid="{8C5F45DB-A7CF-4AB0-8B3D-E87DA228A9E7}" name="Location Btm (in)" dataDxfId="26">
      <calculatedColumnFormula>IF(BC4="","",(BA4+BC4)/2-BN6)</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2F63ACE-48D1-4379-A33E-E879C6D4C1FE}" name="tblDelta" displayName="tblDelta" ref="W3:AB1003" totalsRowShown="0" headerRowDxfId="25" dataDxfId="24">
  <autoFilter ref="W3:AB1003" xr:uid="{42F63ACE-48D1-4379-A33E-E879C6D4C1FE}">
    <filterColumn colId="0" hiddenButton="1"/>
    <filterColumn colId="1" hiddenButton="1"/>
    <filterColumn colId="2" hiddenButton="1"/>
    <filterColumn colId="3" hiddenButton="1"/>
    <filterColumn colId="4" hiddenButton="1"/>
    <filterColumn colId="5" hiddenButton="1"/>
  </autoFilter>
  <tableColumns count="6">
    <tableColumn id="1" xr3:uid="{138C4BFC-460E-4D23-96FD-4C20D09296FF}" name="Azimuth (°)" dataDxfId="23">
      <calculatedColumnFormula>IF(BD4="","",BD4)</calculatedColumnFormula>
    </tableColumn>
    <tableColumn id="6" xr3:uid="{8324FAE4-45DA-4A09-87E8-7271EC44674D}" name="Quantity" dataDxfId="22">
      <calculatedColumnFormula>IF(BE4="","",BE4)</calculatedColumnFormula>
    </tableColumn>
    <tableColumn id="2" xr3:uid="{8BAC1F35-5B9C-46A2-8100-878D1511FDAB}" name="Position Top" dataDxfId="21">
      <calculatedColumnFormula>IF(BF4="","",BF4)</calculatedColumnFormula>
    </tableColumn>
    <tableColumn id="3" xr3:uid="{F8272296-AA85-4C6B-A339-345518ADCB88}" name="Location Top (in)" dataDxfId="20">
      <calculatedColumnFormula>IF(BG4="","",IF(BI4&lt;&gt;0,(BG4+BI4)/2,BG4)-BN7)</calculatedColumnFormula>
    </tableColumn>
    <tableColumn id="4" xr3:uid="{C40E2BEA-8B89-48F0-AB8E-C871CDFF5D58}" name="Position Btm" dataDxfId="19">
      <calculatedColumnFormula>IF(BH4="","",BH4)</calculatedColumnFormula>
    </tableColumn>
    <tableColumn id="5" xr3:uid="{88C38A4D-F03E-4A1F-9BD9-F21B8E14AA92}" name="Location Btm (in)" dataDxfId="18">
      <calculatedColumnFormula>IF(BI4="","",(BG4+BI4)/2-BN7)</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855B0F0-95B3-4B60-A052-C70FBDB3E137}" name="tblDimensions" displayName="tblDimensions" ref="AC3:AF1003" totalsRowShown="0" headerRowDxfId="17" dataDxfId="16">
  <autoFilter ref="AC3:AF1003" xr:uid="{C855B0F0-95B3-4B60-A052-C70FBDB3E137}">
    <filterColumn colId="0" hiddenButton="1"/>
    <filterColumn colId="1" hiddenButton="1"/>
    <filterColumn colId="2" hiddenButton="1"/>
    <filterColumn colId="3" hiddenButton="1"/>
  </autoFilter>
  <tableColumns count="4">
    <tableColumn id="1" xr3:uid="{ED0B3F0D-959F-4656-B607-3A6CFA551052}" name="Height / Diameter (in)" dataDxfId="15">
      <calculatedColumnFormula>IF(BJ4="","",BJ4)</calculatedColumnFormula>
    </tableColumn>
    <tableColumn id="2" xr3:uid="{178D0687-8AB8-431A-99E5-775AB50FD719}" name="Width (in)" dataDxfId="14">
      <calculatedColumnFormula>IF(BK4="","",BK4)</calculatedColumnFormula>
    </tableColumn>
    <tableColumn id="3" xr3:uid="{267F6B26-C5CB-4486-9074-5E3478129291}" name="Depth (in)" dataDxfId="13">
      <calculatedColumnFormula>IF(BL4="","",BL4)</calculatedColumnFormula>
    </tableColumn>
    <tableColumn id="4" xr3:uid="{0322BFBB-8423-439F-9CBB-ED1E374A63E7}" name="Weight (lbs)" dataDxfId="12">
      <calculatedColumnFormula>IF(BM4="","",BM4)</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NB+C Theme">
      <a:dk1>
        <a:srgbClr val="000000"/>
      </a:dk1>
      <a:lt1>
        <a:sysClr val="window" lastClr="FFFFFF"/>
      </a:lt1>
      <a:dk2>
        <a:srgbClr val="323232"/>
      </a:dk2>
      <a:lt2>
        <a:srgbClr val="DDDEDF"/>
      </a:lt2>
      <a:accent1>
        <a:srgbClr val="FD7700"/>
      </a:accent1>
      <a:accent2>
        <a:srgbClr val="FABF8F"/>
      </a:accent2>
      <a:accent3>
        <a:srgbClr val="ABB0B0"/>
      </a:accent3>
      <a:accent4>
        <a:srgbClr val="F2F6F8"/>
      </a:accent4>
      <a:accent5>
        <a:srgbClr val="4B6984"/>
      </a:accent5>
      <a:accent6>
        <a:srgbClr val="FDE9D9"/>
      </a:accent6>
      <a:hlink>
        <a:srgbClr val="A95007"/>
      </a:hlink>
      <a:folHlink>
        <a:srgbClr val="44546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5.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2.xml"/><Relationship Id="rId13" Type="http://schemas.openxmlformats.org/officeDocument/2006/relationships/table" Target="../tables/table7.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table" Target="../tables/table6.xml"/><Relationship Id="rId2" Type="http://schemas.openxmlformats.org/officeDocument/2006/relationships/drawing" Target="../drawings/drawing3.xml"/><Relationship Id="rId16" Type="http://schemas.openxmlformats.org/officeDocument/2006/relationships/table" Target="../tables/table10.xml"/><Relationship Id="rId1" Type="http://schemas.openxmlformats.org/officeDocument/2006/relationships/printerSettings" Target="../printerSettings/printerSettings6.bin"/><Relationship Id="rId6" Type="http://schemas.openxmlformats.org/officeDocument/2006/relationships/ctrlProp" Target="../ctrlProps/ctrlProp4.xml"/><Relationship Id="rId11" Type="http://schemas.openxmlformats.org/officeDocument/2006/relationships/table" Target="../tables/table5.xml"/><Relationship Id="rId5" Type="http://schemas.openxmlformats.org/officeDocument/2006/relationships/ctrlProp" Target="../ctrlProps/ctrlProp3.xml"/><Relationship Id="rId15" Type="http://schemas.openxmlformats.org/officeDocument/2006/relationships/table" Target="../tables/table9.xml"/><Relationship Id="rId10" Type="http://schemas.openxmlformats.org/officeDocument/2006/relationships/table" Target="../tables/table4.xml"/><Relationship Id="rId4" Type="http://schemas.openxmlformats.org/officeDocument/2006/relationships/ctrlProp" Target="../ctrlProps/ctrlProp2.xml"/><Relationship Id="rId9" Type="http://schemas.openxmlformats.org/officeDocument/2006/relationships/table" Target="../tables/table3.xml"/><Relationship Id="rId14" Type="http://schemas.openxmlformats.org/officeDocument/2006/relationships/table" Target="../tables/table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ctrlProp" Target="../ctrlProps/ctrlProp65.xml"/><Relationship Id="rId68" Type="http://schemas.openxmlformats.org/officeDocument/2006/relationships/ctrlProp" Target="../ctrlProps/ctrlProp70.xml"/><Relationship Id="rId84" Type="http://schemas.openxmlformats.org/officeDocument/2006/relationships/ctrlProp" Target="../ctrlProps/ctrlProp86.xml"/><Relationship Id="rId89" Type="http://schemas.openxmlformats.org/officeDocument/2006/relationships/ctrlProp" Target="../ctrlProps/ctrlProp91.xml"/><Relationship Id="rId16" Type="http://schemas.openxmlformats.org/officeDocument/2006/relationships/ctrlProp" Target="../ctrlProps/ctrlProp18.xml"/><Relationship Id="rId11" Type="http://schemas.openxmlformats.org/officeDocument/2006/relationships/ctrlProp" Target="../ctrlProps/ctrlProp13.xml"/><Relationship Id="rId32" Type="http://schemas.openxmlformats.org/officeDocument/2006/relationships/ctrlProp" Target="../ctrlProps/ctrlProp34.xml"/><Relationship Id="rId37" Type="http://schemas.openxmlformats.org/officeDocument/2006/relationships/ctrlProp" Target="../ctrlProps/ctrlProp39.xml"/><Relationship Id="rId53" Type="http://schemas.openxmlformats.org/officeDocument/2006/relationships/ctrlProp" Target="../ctrlProps/ctrlProp55.xml"/><Relationship Id="rId58" Type="http://schemas.openxmlformats.org/officeDocument/2006/relationships/ctrlProp" Target="../ctrlProps/ctrlProp60.xml"/><Relationship Id="rId74" Type="http://schemas.openxmlformats.org/officeDocument/2006/relationships/ctrlProp" Target="../ctrlProps/ctrlProp76.xml"/><Relationship Id="rId79" Type="http://schemas.openxmlformats.org/officeDocument/2006/relationships/ctrlProp" Target="../ctrlProps/ctrlProp81.xml"/><Relationship Id="rId5" Type="http://schemas.openxmlformats.org/officeDocument/2006/relationships/ctrlProp" Target="../ctrlProps/ctrlProp7.xml"/><Relationship Id="rId90" Type="http://schemas.openxmlformats.org/officeDocument/2006/relationships/ctrlProp" Target="../ctrlProps/ctrlProp92.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ctrlProp" Target="../ctrlProps/ctrlProp58.xml"/><Relationship Id="rId64" Type="http://schemas.openxmlformats.org/officeDocument/2006/relationships/ctrlProp" Target="../ctrlProps/ctrlProp66.xml"/><Relationship Id="rId69" Type="http://schemas.openxmlformats.org/officeDocument/2006/relationships/ctrlProp" Target="../ctrlProps/ctrlProp71.xml"/><Relationship Id="rId77" Type="http://schemas.openxmlformats.org/officeDocument/2006/relationships/ctrlProp" Target="../ctrlProps/ctrlProp79.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ctrlProp" Target="../ctrlProps/ctrlProp74.xml"/><Relationship Id="rId80" Type="http://schemas.openxmlformats.org/officeDocument/2006/relationships/ctrlProp" Target="../ctrlProps/ctrlProp82.xml"/><Relationship Id="rId85" Type="http://schemas.openxmlformats.org/officeDocument/2006/relationships/ctrlProp" Target="../ctrlProps/ctrlProp87.xml"/><Relationship Id="rId3" Type="http://schemas.openxmlformats.org/officeDocument/2006/relationships/vmlDrawing" Target="../drawings/vmlDrawing4.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ctrlProp" Target="../ctrlProps/ctrlProp61.xml"/><Relationship Id="rId67" Type="http://schemas.openxmlformats.org/officeDocument/2006/relationships/ctrlProp" Target="../ctrlProps/ctrlProp69.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62" Type="http://schemas.openxmlformats.org/officeDocument/2006/relationships/ctrlProp" Target="../ctrlProps/ctrlProp64.xml"/><Relationship Id="rId70" Type="http://schemas.openxmlformats.org/officeDocument/2006/relationships/ctrlProp" Target="../ctrlProps/ctrlProp72.xml"/><Relationship Id="rId75" Type="http://schemas.openxmlformats.org/officeDocument/2006/relationships/ctrlProp" Target="../ctrlProps/ctrlProp77.xml"/><Relationship Id="rId83" Type="http://schemas.openxmlformats.org/officeDocument/2006/relationships/ctrlProp" Target="../ctrlProps/ctrlProp85.xml"/><Relationship Id="rId88" Type="http://schemas.openxmlformats.org/officeDocument/2006/relationships/ctrlProp" Target="../ctrlProps/ctrlProp90.xml"/><Relationship Id="rId1" Type="http://schemas.openxmlformats.org/officeDocument/2006/relationships/printerSettings" Target="../printerSettings/printerSettings10.bin"/><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73" Type="http://schemas.openxmlformats.org/officeDocument/2006/relationships/ctrlProp" Target="../ctrlProps/ctrlProp75.xml"/><Relationship Id="rId78" Type="http://schemas.openxmlformats.org/officeDocument/2006/relationships/ctrlProp" Target="../ctrlProps/ctrlProp80.xml"/><Relationship Id="rId81" Type="http://schemas.openxmlformats.org/officeDocument/2006/relationships/ctrlProp" Target="../ctrlProps/ctrlProp83.xml"/><Relationship Id="rId86" Type="http://schemas.openxmlformats.org/officeDocument/2006/relationships/ctrlProp" Target="../ctrlProps/ctrlProp88.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ctrlProp" Target="../ctrlProps/ctrlProp57.xml"/><Relationship Id="rId76" Type="http://schemas.openxmlformats.org/officeDocument/2006/relationships/ctrlProp" Target="../ctrlProps/ctrlProp78.xml"/><Relationship Id="rId7" Type="http://schemas.openxmlformats.org/officeDocument/2006/relationships/ctrlProp" Target="../ctrlProps/ctrlProp9.xml"/><Relationship Id="rId71" Type="http://schemas.openxmlformats.org/officeDocument/2006/relationships/ctrlProp" Target="../ctrlProps/ctrlProp73.xml"/><Relationship Id="rId2" Type="http://schemas.openxmlformats.org/officeDocument/2006/relationships/drawing" Target="../drawings/drawing5.xml"/><Relationship Id="rId29" Type="http://schemas.openxmlformats.org/officeDocument/2006/relationships/ctrlProp" Target="../ctrlProps/ctrlProp31.xml"/><Relationship Id="rId24" Type="http://schemas.openxmlformats.org/officeDocument/2006/relationships/ctrlProp" Target="../ctrlProps/ctrlProp26.xml"/><Relationship Id="rId40" Type="http://schemas.openxmlformats.org/officeDocument/2006/relationships/ctrlProp" Target="../ctrlProps/ctrlProp42.xml"/><Relationship Id="rId45" Type="http://schemas.openxmlformats.org/officeDocument/2006/relationships/ctrlProp" Target="../ctrlProps/ctrlProp47.xml"/><Relationship Id="rId66" Type="http://schemas.openxmlformats.org/officeDocument/2006/relationships/ctrlProp" Target="../ctrlProps/ctrlProp68.xml"/><Relationship Id="rId87" Type="http://schemas.openxmlformats.org/officeDocument/2006/relationships/ctrlProp" Target="../ctrlProps/ctrlProp89.xml"/><Relationship Id="rId61" Type="http://schemas.openxmlformats.org/officeDocument/2006/relationships/ctrlProp" Target="../ctrlProps/ctrlProp63.xml"/><Relationship Id="rId82" Type="http://schemas.openxmlformats.org/officeDocument/2006/relationships/ctrlProp" Target="../ctrlProps/ctrlProp84.xml"/><Relationship Id="rId19"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9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table" Target="../tables/table11.xml"/><Relationship Id="rId1" Type="http://schemas.openxmlformats.org/officeDocument/2006/relationships/printerSettings" Target="../printerSettings/printerSettings12.bin"/><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ACA55-62BB-487C-8D1F-21A82B561512}">
  <sheetPr codeName="Meta">
    <tabColor theme="4"/>
  </sheetPr>
  <dimension ref="A1:P45"/>
  <sheetViews>
    <sheetView workbookViewId="0">
      <selection activeCell="E11" sqref="E11"/>
    </sheetView>
  </sheetViews>
  <sheetFormatPr defaultColWidth="9.140625" defaultRowHeight="11.25" x14ac:dyDescent="0.2"/>
  <cols>
    <col min="1" max="1" width="2.140625" style="11" bestFit="1" customWidth="1"/>
    <col min="2" max="2" width="14.85546875" style="11" bestFit="1" customWidth="1"/>
    <col min="3" max="3" width="8.7109375" style="11" bestFit="1" customWidth="1"/>
    <col min="4" max="4" width="13.140625" style="11" bestFit="1" customWidth="1"/>
    <col min="5" max="5" width="52.140625" style="11" bestFit="1" customWidth="1"/>
    <col min="6" max="16384" width="9.140625" style="11"/>
  </cols>
  <sheetData>
    <row r="1" spans="1:16" x14ac:dyDescent="0.2">
      <c r="A1" s="223" t="s">
        <v>0</v>
      </c>
      <c r="B1" s="11" t="s">
        <v>1</v>
      </c>
      <c r="C1" s="11" t="s">
        <v>2</v>
      </c>
      <c r="D1" s="11" t="s">
        <v>3</v>
      </c>
      <c r="E1" s="223" t="s">
        <v>4</v>
      </c>
      <c r="F1" s="11" t="s">
        <v>5</v>
      </c>
      <c r="J1" s="380" t="s">
        <v>6</v>
      </c>
      <c r="K1" s="380"/>
      <c r="L1" s="380"/>
      <c r="M1" s="380"/>
      <c r="O1" s="11" t="s">
        <v>36</v>
      </c>
      <c r="P1" s="11" t="e" vm="1">
        <v>#VALUE!</v>
      </c>
    </row>
    <row r="2" spans="1:16" x14ac:dyDescent="0.2">
      <c r="A2" s="223" t="str">
        <f>IF(RIGHT(TIA,1)="I","BC","C")</f>
        <v>C</v>
      </c>
      <c r="B2" s="11" t="s">
        <v>7</v>
      </c>
      <c r="C2" s="11" t="s">
        <v>8</v>
      </c>
      <c r="D2" s="11" t="s">
        <v>9</v>
      </c>
      <c r="E2" s="223" t="s">
        <v>10</v>
      </c>
      <c r="F2" s="11" t="s">
        <v>11</v>
      </c>
      <c r="J2" s="381" t="s">
        <v>12</v>
      </c>
      <c r="K2" s="380" t="s">
        <v>13</v>
      </c>
      <c r="L2" s="380"/>
      <c r="M2" s="380"/>
      <c r="O2" s="11" t="s">
        <v>37</v>
      </c>
      <c r="P2" s="11" t="e" vm="2">
        <v>#VALUE!</v>
      </c>
    </row>
    <row r="3" spans="1:16" x14ac:dyDescent="0.2">
      <c r="A3" s="223" t="str">
        <f>IF(RIGHT(TIA,1)="I","C","D")</f>
        <v>D</v>
      </c>
      <c r="B3" s="11" t="s">
        <v>14</v>
      </c>
      <c r="C3" s="11" t="s">
        <v>15</v>
      </c>
      <c r="D3" s="11" t="s">
        <v>16</v>
      </c>
      <c r="E3" s="223" t="s">
        <v>17</v>
      </c>
      <c r="J3" s="381"/>
      <c r="K3" s="224" t="s">
        <v>18</v>
      </c>
      <c r="L3" s="382" t="s">
        <v>19</v>
      </c>
      <c r="M3" s="383"/>
    </row>
    <row r="4" spans="1:16" x14ac:dyDescent="0.2">
      <c r="A4" s="223" t="str">
        <f>IF(RIGHT(TIA,1)="I","D","")</f>
        <v/>
      </c>
      <c r="B4" s="11" t="s">
        <v>20</v>
      </c>
      <c r="C4" s="11" t="s">
        <v>21</v>
      </c>
      <c r="E4" s="223" t="s">
        <v>22</v>
      </c>
      <c r="J4" s="246">
        <v>2.5</v>
      </c>
      <c r="K4" s="246">
        <v>1.2</v>
      </c>
      <c r="L4" s="246">
        <v>0.5</v>
      </c>
      <c r="M4" s="246">
        <v>0.7</v>
      </c>
      <c r="O4" s="11" t="str" cm="1">
        <f t="array" ref="O4:O5">IF(Standard="TIA",_xlfn.VSTACK("MA","SA"),_xlfn.VSTACK("LRFD","ASD"))</f>
        <v>MA</v>
      </c>
    </row>
    <row r="5" spans="1:16" x14ac:dyDescent="0.2">
      <c r="B5" s="11" t="s">
        <v>23</v>
      </c>
      <c r="E5" s="223" t="s">
        <v>1257</v>
      </c>
      <c r="J5" s="246">
        <v>7</v>
      </c>
      <c r="K5" s="246">
        <v>1.4</v>
      </c>
      <c r="L5" s="246">
        <v>0.6</v>
      </c>
      <c r="M5" s="246">
        <v>0.8</v>
      </c>
      <c r="O5" s="11" t="str">
        <v>SA</v>
      </c>
    </row>
    <row r="6" spans="1:16" x14ac:dyDescent="0.2">
      <c r="B6" s="11" t="s">
        <v>24</v>
      </c>
      <c r="E6" s="223"/>
      <c r="J6" s="246">
        <v>25</v>
      </c>
      <c r="K6" s="246">
        <v>2</v>
      </c>
      <c r="L6" s="246">
        <v>0.6</v>
      </c>
      <c r="M6" s="246">
        <v>1.2</v>
      </c>
    </row>
    <row r="7" spans="1:16" x14ac:dyDescent="0.2">
      <c r="B7" s="11" t="s">
        <v>11</v>
      </c>
      <c r="E7" s="223" t="s">
        <v>25</v>
      </c>
      <c r="O7" s="11" t="s">
        <v>38</v>
      </c>
    </row>
    <row r="8" spans="1:16" x14ac:dyDescent="0.2">
      <c r="E8" s="11" t="s">
        <v>26</v>
      </c>
      <c r="O8" s="11" t="s">
        <v>39</v>
      </c>
    </row>
    <row r="10" spans="1:16" ht="11.25" customHeight="1" x14ac:dyDescent="0.2">
      <c r="D10" s="145" t="s">
        <v>1255</v>
      </c>
      <c r="E10" s="145" t="s">
        <v>27</v>
      </c>
      <c r="O10" s="264" t="str">
        <f>_xlfn.CONCAT("                                                                   GAMMA = ",GammaMountAzimuth,"°
   BETA = ",BetaMountAzimuth,"°                                                                                                  DELTA = ", DeltaMountAzimuth,"°
                                                                  ALPHA = ",AlphaMountAzimuth,"°")</f>
        <v xml:space="preserve">                                                                   GAMMA = °
   BETA = °                                                                                                  DELTA = °
                                                                  ALPHA = °</v>
      </c>
    </row>
    <row r="11" spans="1:16" ht="11.25" customHeight="1" x14ac:dyDescent="0.2">
      <c r="D11" s="11" t="s">
        <v>28</v>
      </c>
      <c r="E11" s="11" t="s">
        <v>29</v>
      </c>
      <c r="O11" s="264" t="str">
        <f>_xlfn.CONCAT("                                                                        
   BETA = ",BetaMountAzimuth,"°                                                                                               GAMMA = ",GammaMountAzimuth,"°
                                                                  ALPHA = ",AlphaMountAzimuth,"°")</f>
        <v xml:space="preserve">                                                                        
   BETA = °                                                                                               GAMMA = °
                                                                  ALPHA = °</v>
      </c>
    </row>
    <row r="12" spans="1:16" ht="11.25" customHeight="1" x14ac:dyDescent="0.2">
      <c r="D12" s="11" t="s">
        <v>30</v>
      </c>
      <c r="E12" s="11" t="s">
        <v>31</v>
      </c>
      <c r="O12" s="264" t="str">
        <f>_xlfn.CONCAT("                                                                        
   BETA = ",BetaMountAzimuth,"°
                                                                  ALPHA = ",AlphaMountAzimuth,"°")</f>
        <v xml:space="preserve">                                                                        
   BETA = °
                                                                  ALPHA = °</v>
      </c>
    </row>
    <row r="13" spans="1:16" ht="11.25" customHeight="1" x14ac:dyDescent="0.2">
      <c r="D13" s="11" t="s">
        <v>32</v>
      </c>
      <c r="E13" s="11" t="s">
        <v>33</v>
      </c>
      <c r="O13" s="264" t="str">
        <f>_xlfn.CONCAT("                                                                        
                                                                  ALPHA = ",AlphaMountAzimuth,"°")</f>
        <v xml:space="preserve">                                                                        
                                                                  ALPHA = °</v>
      </c>
    </row>
    <row r="14" spans="1:16" x14ac:dyDescent="0.2">
      <c r="D14" s="11" t="s">
        <v>34</v>
      </c>
      <c r="E14" s="11" t="s">
        <v>35</v>
      </c>
    </row>
    <row r="15" spans="1:16" x14ac:dyDescent="0.2">
      <c r="D15" s="11" t="s">
        <v>1253</v>
      </c>
      <c r="E15" s="11" t="s">
        <v>35</v>
      </c>
    </row>
    <row r="16" spans="1:16" x14ac:dyDescent="0.2">
      <c r="D16" s="11" t="s">
        <v>1254</v>
      </c>
      <c r="E16" s="11" t="s">
        <v>1256</v>
      </c>
    </row>
    <row r="18" spans="4:5" x14ac:dyDescent="0.2">
      <c r="D18" s="11" t="s">
        <v>1316</v>
      </c>
      <c r="E18" s="286" t="b">
        <v>0</v>
      </c>
    </row>
    <row r="19" spans="4:5" x14ac:dyDescent="0.2">
      <c r="D19" s="11" t="s">
        <v>1317</v>
      </c>
      <c r="E19" s="286" t="s">
        <v>1338</v>
      </c>
    </row>
    <row r="20" spans="4:5" x14ac:dyDescent="0.2">
      <c r="D20" s="11" t="s">
        <v>1318</v>
      </c>
      <c r="E20" s="286" t="s">
        <v>1339</v>
      </c>
    </row>
    <row r="21" spans="4:5" x14ac:dyDescent="0.2">
      <c r="D21" s="11" t="s">
        <v>1319</v>
      </c>
      <c r="E21" s="287" t="str">
        <f ca="1">_xlfn.CONCAT("USName=",IF($E$19="",_xlfn.CONCAT(TEXT(Code!BA45,"0.0")," ft ",Code!H21,"_",Code!H25,"_",TEXT(Code!Q36,"0.00")," ft^2_",TEXT(TODAY(),"YYYYMMDD")),$E$19))</f>
        <v>USName=14.5 ft Platform_Existing_68.77 ft^2_20250905</v>
      </c>
    </row>
    <row r="22" spans="4:5" x14ac:dyDescent="0.2">
      <c r="E22" s="287" t="str">
        <f ca="1">_xlfn.CONCAT("SIName=",IF($E$20="",_xlfn.CONCAT(TEXT(Code!BA45*0.3048,"0.00")," m ",Code!H21,"_",Code!H25,"_",TEXT(Code!Q36*0.3048^2,"0.00")," ft^2_",TEXT(TODAY(),"YYYYMMDD")),$E$20))</f>
        <v>SIName=4.42 m Platform_Existing_6.39 ft^2_20250905</v>
      </c>
    </row>
    <row r="23" spans="4:5" x14ac:dyDescent="0.2">
      <c r="E23" s="287" t="str">
        <f>_xlfn.CONCAT("Values=",TEXT(Code!Q36*144,"0.0000")," ",TEXT(Code!R36*144,"0.0000")," ",TEXT(Code!Q33,"0.0000")," ",TEXT(Code!R33,"0.0000")," ",TEXT(Code!S36*144,"0.0000")," 0 0 ",TEXT(Code!Q37*144,"0.0000")," ",TEXT(Code!R37*144,"0.0000")," ",TEXT(Code!S37*144,"0.0000")," 0 0 ",TEXT(Code!S33,"0.0000")," 0 0 0 0 0 0 0 0 0")</f>
        <v>Values=0.0000 0.0000 0.0000 0.0000 0.0000 0 0 0.0000 0.0000 0.0000 0 0 0.0000 0 0 0 0 0 0 0 0 0</v>
      </c>
    </row>
    <row r="24" spans="4:5" x14ac:dyDescent="0.2">
      <c r="D24" s="11" t="s">
        <v>1320</v>
      </c>
      <c r="E24" s="288">
        <f>Code!Q31*144</f>
        <v>0</v>
      </c>
    </row>
    <row r="25" spans="4:5" ht="11.25" customHeight="1" x14ac:dyDescent="0.2">
      <c r="D25" s="11" t="s">
        <v>1321</v>
      </c>
      <c r="E25" s="288">
        <f>Code!R31*144</f>
        <v>0</v>
      </c>
    </row>
    <row r="26" spans="4:5" ht="11.25" customHeight="1" x14ac:dyDescent="0.2">
      <c r="D26" s="11" t="s">
        <v>1322</v>
      </c>
      <c r="E26" s="288">
        <f>Code!Q33</f>
        <v>0</v>
      </c>
    </row>
    <row r="27" spans="4:5" ht="11.25" customHeight="1" x14ac:dyDescent="0.2">
      <c r="D27" s="11" t="s">
        <v>1323</v>
      </c>
      <c r="E27" s="288">
        <f>Code!R33</f>
        <v>0</v>
      </c>
    </row>
    <row r="28" spans="4:5" ht="11.25" customHeight="1" x14ac:dyDescent="0.2">
      <c r="D28" s="11" t="s">
        <v>1324</v>
      </c>
      <c r="E28" s="288">
        <f>Code!S31*144</f>
        <v>0</v>
      </c>
    </row>
    <row r="29" spans="4:5" ht="11.25" customHeight="1" x14ac:dyDescent="0.2">
      <c r="D29" s="11" t="s">
        <v>1325</v>
      </c>
      <c r="E29" s="11">
        <v>0</v>
      </c>
    </row>
    <row r="30" spans="4:5" x14ac:dyDescent="0.2">
      <c r="D30" s="11" t="s">
        <v>1326</v>
      </c>
      <c r="E30" s="11">
        <v>0</v>
      </c>
    </row>
    <row r="31" spans="4:5" x14ac:dyDescent="0.2">
      <c r="D31" s="11" t="s">
        <v>1327</v>
      </c>
      <c r="E31" s="288">
        <f>Code!Q32*144</f>
        <v>0</v>
      </c>
    </row>
    <row r="32" spans="4:5" x14ac:dyDescent="0.2">
      <c r="D32" s="11" t="s">
        <v>1328</v>
      </c>
      <c r="E32" s="288">
        <f>Code!R32*144</f>
        <v>0</v>
      </c>
    </row>
    <row r="33" spans="4:5" x14ac:dyDescent="0.2">
      <c r="D33" s="11" t="s">
        <v>1329</v>
      </c>
      <c r="E33" s="288">
        <f>Code!S32*144</f>
        <v>0</v>
      </c>
    </row>
    <row r="34" spans="4:5" x14ac:dyDescent="0.2">
      <c r="D34" s="11" t="s">
        <v>1330</v>
      </c>
      <c r="E34" s="11">
        <v>0</v>
      </c>
    </row>
    <row r="35" spans="4:5" x14ac:dyDescent="0.2">
      <c r="D35" s="11" t="s">
        <v>1331</v>
      </c>
      <c r="E35" s="11">
        <v>0</v>
      </c>
    </row>
    <row r="36" spans="4:5" x14ac:dyDescent="0.2">
      <c r="D36" s="11" t="s">
        <v>1332</v>
      </c>
      <c r="E36" s="288">
        <f>Code!S33</f>
        <v>0</v>
      </c>
    </row>
    <row r="37" spans="4:5" x14ac:dyDescent="0.2">
      <c r="D37" s="11" t="s">
        <v>1333</v>
      </c>
      <c r="E37" s="11">
        <v>0</v>
      </c>
    </row>
    <row r="38" spans="4:5" x14ac:dyDescent="0.2">
      <c r="D38" s="11" t="s">
        <v>1334</v>
      </c>
      <c r="E38" s="11">
        <v>0</v>
      </c>
    </row>
    <row r="39" spans="4:5" x14ac:dyDescent="0.2">
      <c r="D39" s="11" t="s">
        <v>1301</v>
      </c>
      <c r="E39" s="11">
        <v>0</v>
      </c>
    </row>
    <row r="40" spans="4:5" x14ac:dyDescent="0.2">
      <c r="D40" s="11" t="s">
        <v>1303</v>
      </c>
      <c r="E40" s="11">
        <v>0</v>
      </c>
    </row>
    <row r="41" spans="4:5" x14ac:dyDescent="0.2">
      <c r="D41" s="11" t="s">
        <v>1302</v>
      </c>
      <c r="E41" s="11">
        <v>0</v>
      </c>
    </row>
    <row r="42" spans="4:5" x14ac:dyDescent="0.2">
      <c r="D42" s="11" t="s">
        <v>1295</v>
      </c>
      <c r="E42" s="11">
        <v>0</v>
      </c>
    </row>
    <row r="43" spans="4:5" x14ac:dyDescent="0.2">
      <c r="D43" s="11" t="s">
        <v>1335</v>
      </c>
      <c r="E43" s="11">
        <v>0</v>
      </c>
    </row>
    <row r="44" spans="4:5" x14ac:dyDescent="0.2">
      <c r="D44" s="11" t="s">
        <v>1336</v>
      </c>
      <c r="E44" s="11">
        <v>0</v>
      </c>
    </row>
    <row r="45" spans="4:5" x14ac:dyDescent="0.2">
      <c r="D45" s="11" t="s">
        <v>1337</v>
      </c>
      <c r="E45" s="11">
        <v>0</v>
      </c>
    </row>
  </sheetData>
  <mergeCells count="4">
    <mergeCell ref="J1:M1"/>
    <mergeCell ref="J2:J3"/>
    <mergeCell ref="K2:M2"/>
    <mergeCell ref="L3:M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B35E9-E5C3-4129-A786-780FD90D66FA}">
  <sheetPr codeName="Sheet2">
    <tabColor theme="3"/>
  </sheetPr>
  <dimension ref="A1:E108"/>
  <sheetViews>
    <sheetView showGridLines="0" workbookViewId="0">
      <pane ySplit="4" topLeftCell="A5" activePane="bottomLeft" state="frozen"/>
      <selection pane="bottomLeft" activeCell="A5" sqref="A5"/>
    </sheetView>
  </sheetViews>
  <sheetFormatPr defaultRowHeight="12" x14ac:dyDescent="0.2"/>
  <cols>
    <col min="1" max="3" width="15.7109375" style="240" customWidth="1"/>
    <col min="4" max="4" width="185.7109375" style="241" customWidth="1"/>
    <col min="5" max="5" width="2.7109375" style="69" customWidth="1"/>
    <col min="6" max="16384" width="9.140625" style="238"/>
  </cols>
  <sheetData>
    <row r="1" spans="1:4" ht="12.75" thickBot="1" x14ac:dyDescent="0.25">
      <c r="A1" s="384" t="s">
        <v>40</v>
      </c>
      <c r="B1" s="384"/>
      <c r="C1" s="384"/>
      <c r="D1" s="384"/>
    </row>
    <row r="2" spans="1:4" x14ac:dyDescent="0.2">
      <c r="A2" s="370" t="s">
        <v>41</v>
      </c>
      <c r="B2" s="69" t="str" cm="1">
        <f t="array" ref="B2">INDEX(A:A, MATCH(TRUE, A:A&lt;&gt;"", 0) + 5)</f>
        <v>3.2.2</v>
      </c>
      <c r="C2" s="239">
        <f>VLOOKUP(B2,A:B,2,FALSE)</f>
        <v>46009</v>
      </c>
      <c r="D2" s="385"/>
    </row>
    <row r="3" spans="1:4" x14ac:dyDescent="0.2">
      <c r="A3" s="370" t="s">
        <v>42</v>
      </c>
      <c r="B3" s="69" t="str" cm="1">
        <f t="array" ref="B3">INDEX(A:A, MATCH(TRUE, A:A&lt;&gt;"", 0) + 4)</f>
        <v>3.3.0</v>
      </c>
      <c r="C3" s="239">
        <f>VLOOKUP(B3,A:B,2,FALSE)</f>
        <v>46020</v>
      </c>
      <c r="D3" s="385"/>
    </row>
    <row r="4" spans="1:4" ht="12.75" thickBot="1" x14ac:dyDescent="0.25">
      <c r="A4" s="371" t="s">
        <v>43</v>
      </c>
      <c r="B4" s="372" t="s">
        <v>44</v>
      </c>
      <c r="C4" s="371" t="s">
        <v>45</v>
      </c>
      <c r="D4" s="373" t="s">
        <v>46</v>
      </c>
    </row>
    <row r="5" spans="1:4" ht="168" x14ac:dyDescent="0.2">
      <c r="A5" s="69" t="s">
        <v>1799</v>
      </c>
      <c r="B5" s="239">
        <v>46020</v>
      </c>
      <c r="C5" s="187" t="s">
        <v>1801</v>
      </c>
      <c r="D5" s="376" t="s">
        <v>1800</v>
      </c>
    </row>
    <row r="6" spans="1:4" ht="24" x14ac:dyDescent="0.2">
      <c r="A6" s="69" t="s">
        <v>1342</v>
      </c>
      <c r="B6" s="239">
        <v>46009</v>
      </c>
      <c r="C6" s="187" t="s">
        <v>49</v>
      </c>
      <c r="D6" s="376" t="s">
        <v>1343</v>
      </c>
    </row>
    <row r="7" spans="1:4" x14ac:dyDescent="0.2">
      <c r="A7" s="69" t="s">
        <v>1340</v>
      </c>
      <c r="B7" s="239">
        <v>46006</v>
      </c>
      <c r="C7" s="69" t="s">
        <v>49</v>
      </c>
      <c r="D7" s="377" t="s">
        <v>1341</v>
      </c>
    </row>
    <row r="8" spans="1:4" ht="228" x14ac:dyDescent="0.2">
      <c r="A8" s="69" t="s">
        <v>68</v>
      </c>
      <c r="B8" s="239">
        <v>45999</v>
      </c>
      <c r="C8" s="240" t="s">
        <v>49</v>
      </c>
      <c r="D8" s="376" t="s">
        <v>1794</v>
      </c>
    </row>
    <row r="9" spans="1:4" ht="72" x14ac:dyDescent="0.2">
      <c r="A9" s="240" t="s">
        <v>67</v>
      </c>
      <c r="B9" s="239">
        <v>45979</v>
      </c>
      <c r="C9" s="240" t="s">
        <v>49</v>
      </c>
      <c r="D9" s="376" t="s">
        <v>1353</v>
      </c>
    </row>
    <row r="10" spans="1:4" ht="36" x14ac:dyDescent="0.2">
      <c r="A10" s="240" t="s">
        <v>66</v>
      </c>
      <c r="B10" s="239">
        <v>45965</v>
      </c>
      <c r="C10" s="240" t="s">
        <v>49</v>
      </c>
      <c r="D10" s="376" t="s">
        <v>1352</v>
      </c>
    </row>
    <row r="11" spans="1:4" ht="216" x14ac:dyDescent="0.2">
      <c r="A11" s="240" t="s">
        <v>65</v>
      </c>
      <c r="B11" s="239">
        <v>45917</v>
      </c>
      <c r="C11" s="240" t="s">
        <v>49</v>
      </c>
      <c r="D11" s="376" t="s">
        <v>1789</v>
      </c>
    </row>
    <row r="12" spans="1:4" ht="24" x14ac:dyDescent="0.2">
      <c r="A12" s="69" t="s">
        <v>60</v>
      </c>
      <c r="B12" s="239">
        <v>45686</v>
      </c>
      <c r="C12" s="240" t="s">
        <v>49</v>
      </c>
      <c r="D12" s="376" t="s">
        <v>1790</v>
      </c>
    </row>
    <row r="13" spans="1:4" x14ac:dyDescent="0.2">
      <c r="A13" s="240" t="s">
        <v>59</v>
      </c>
      <c r="B13" s="239">
        <v>45609</v>
      </c>
      <c r="C13" s="240" t="s">
        <v>49</v>
      </c>
      <c r="D13" s="376" t="s">
        <v>1349</v>
      </c>
    </row>
    <row r="14" spans="1:4" x14ac:dyDescent="0.2">
      <c r="A14" s="240" t="s">
        <v>58</v>
      </c>
      <c r="B14" s="239">
        <v>45579</v>
      </c>
      <c r="C14" s="240" t="s">
        <v>49</v>
      </c>
      <c r="D14" s="378" t="s">
        <v>1348</v>
      </c>
    </row>
    <row r="15" spans="1:4" ht="24" x14ac:dyDescent="0.2">
      <c r="A15" s="240" t="s">
        <v>56</v>
      </c>
      <c r="B15" s="239">
        <v>45552</v>
      </c>
      <c r="C15" s="240" t="s">
        <v>57</v>
      </c>
      <c r="D15" s="376" t="s">
        <v>1791</v>
      </c>
    </row>
    <row r="16" spans="1:4" ht="24" x14ac:dyDescent="0.2">
      <c r="A16" s="69" t="s">
        <v>55</v>
      </c>
      <c r="B16" s="239">
        <v>45539</v>
      </c>
      <c r="C16" s="240" t="s">
        <v>49</v>
      </c>
      <c r="D16" s="376" t="s">
        <v>1347</v>
      </c>
    </row>
    <row r="17" spans="1:4" x14ac:dyDescent="0.2">
      <c r="A17" s="240" t="s">
        <v>54</v>
      </c>
      <c r="B17" s="239">
        <v>45504</v>
      </c>
      <c r="C17" s="240" t="s">
        <v>49</v>
      </c>
      <c r="D17" s="376" t="s">
        <v>1346</v>
      </c>
    </row>
    <row r="18" spans="1:4" ht="24" x14ac:dyDescent="0.2">
      <c r="A18" s="240" t="s">
        <v>53</v>
      </c>
      <c r="B18" s="239">
        <v>45447</v>
      </c>
      <c r="C18" s="240" t="s">
        <v>49</v>
      </c>
      <c r="D18" s="376" t="s">
        <v>1792</v>
      </c>
    </row>
    <row r="19" spans="1:4" ht="24" x14ac:dyDescent="0.2">
      <c r="A19" s="240" t="s">
        <v>52</v>
      </c>
      <c r="B19" s="239">
        <v>45435</v>
      </c>
      <c r="C19" s="240" t="s">
        <v>49</v>
      </c>
      <c r="D19" s="376" t="s">
        <v>1345</v>
      </c>
    </row>
    <row r="20" spans="1:4" x14ac:dyDescent="0.2">
      <c r="A20" s="69" t="s">
        <v>64</v>
      </c>
      <c r="B20" s="239">
        <v>45847</v>
      </c>
      <c r="C20" s="240" t="s">
        <v>49</v>
      </c>
      <c r="D20" s="378" t="s">
        <v>1793</v>
      </c>
    </row>
    <row r="21" spans="1:4" ht="36" x14ac:dyDescent="0.2">
      <c r="A21" s="240" t="s">
        <v>63</v>
      </c>
      <c r="B21" s="239">
        <v>45804</v>
      </c>
      <c r="C21" s="240" t="s">
        <v>49</v>
      </c>
      <c r="D21" s="376" t="s">
        <v>1795</v>
      </c>
    </row>
    <row r="22" spans="1:4" x14ac:dyDescent="0.2">
      <c r="A22" s="240" t="s">
        <v>62</v>
      </c>
      <c r="B22" s="239">
        <v>45791</v>
      </c>
      <c r="C22" s="240" t="s">
        <v>49</v>
      </c>
      <c r="D22" s="376" t="s">
        <v>1351</v>
      </c>
    </row>
    <row r="23" spans="1:4" ht="24" x14ac:dyDescent="0.2">
      <c r="A23" s="69" t="s">
        <v>61</v>
      </c>
      <c r="B23" s="239">
        <v>45715</v>
      </c>
      <c r="C23" s="240" t="s">
        <v>49</v>
      </c>
      <c r="D23" s="376" t="s">
        <v>1350</v>
      </c>
    </row>
    <row r="24" spans="1:4" ht="48" x14ac:dyDescent="0.2">
      <c r="A24" s="240" t="s">
        <v>51</v>
      </c>
      <c r="B24" s="239">
        <v>45433</v>
      </c>
      <c r="C24" s="240" t="s">
        <v>49</v>
      </c>
      <c r="D24" s="376" t="s">
        <v>1344</v>
      </c>
    </row>
    <row r="25" spans="1:4" ht="336" x14ac:dyDescent="0.2">
      <c r="A25" s="240" t="s">
        <v>50</v>
      </c>
      <c r="B25" s="239">
        <v>45420</v>
      </c>
      <c r="C25" s="240" t="s">
        <v>49</v>
      </c>
      <c r="D25" s="376" t="s">
        <v>1796</v>
      </c>
    </row>
    <row r="26" spans="1:4" x14ac:dyDescent="0.2">
      <c r="A26" s="240" t="s">
        <v>1354</v>
      </c>
      <c r="B26" s="239">
        <v>45303</v>
      </c>
      <c r="C26" s="240" t="s">
        <v>49</v>
      </c>
      <c r="D26" s="376" t="s">
        <v>1355</v>
      </c>
    </row>
    <row r="27" spans="1:4" x14ac:dyDescent="0.2">
      <c r="A27" s="69" t="s">
        <v>47</v>
      </c>
      <c r="B27" s="239">
        <v>45000</v>
      </c>
      <c r="C27" s="240" t="s">
        <v>1366</v>
      </c>
      <c r="D27" s="378" t="s">
        <v>1369</v>
      </c>
    </row>
    <row r="28" spans="1:4" ht="108" x14ac:dyDescent="0.2">
      <c r="A28" s="69" t="s">
        <v>1356</v>
      </c>
      <c r="B28" s="239">
        <v>44887</v>
      </c>
      <c r="C28" s="240" t="s">
        <v>49</v>
      </c>
      <c r="D28" s="376" t="s">
        <v>1370</v>
      </c>
    </row>
    <row r="29" spans="1:4" x14ac:dyDescent="0.2">
      <c r="A29" s="69" t="s">
        <v>1357</v>
      </c>
      <c r="B29" s="239" t="s">
        <v>48</v>
      </c>
      <c r="C29" s="240" t="s">
        <v>48</v>
      </c>
      <c r="D29" s="378" t="s">
        <v>48</v>
      </c>
    </row>
    <row r="30" spans="1:4" x14ac:dyDescent="0.2">
      <c r="A30" s="69" t="s">
        <v>1358</v>
      </c>
      <c r="B30" s="239">
        <v>44349</v>
      </c>
      <c r="C30" s="240" t="s">
        <v>1366</v>
      </c>
      <c r="D30" s="378" t="s">
        <v>1371</v>
      </c>
    </row>
    <row r="31" spans="1:4" ht="24" x14ac:dyDescent="0.2">
      <c r="A31" s="69" t="s">
        <v>1359</v>
      </c>
      <c r="B31" s="239">
        <v>44288</v>
      </c>
      <c r="C31" s="240" t="s">
        <v>49</v>
      </c>
      <c r="D31" s="376" t="s">
        <v>1372</v>
      </c>
    </row>
    <row r="32" spans="1:4" x14ac:dyDescent="0.2">
      <c r="A32" s="69" t="s">
        <v>1359</v>
      </c>
      <c r="B32" s="239">
        <v>44342</v>
      </c>
      <c r="C32" s="240" t="s">
        <v>1367</v>
      </c>
      <c r="D32" s="378" t="s">
        <v>1373</v>
      </c>
    </row>
    <row r="33" spans="1:4" ht="60" x14ac:dyDescent="0.2">
      <c r="A33" s="69" t="s">
        <v>1360</v>
      </c>
      <c r="B33" s="239">
        <v>44228</v>
      </c>
      <c r="C33" s="240" t="s">
        <v>49</v>
      </c>
      <c r="D33" s="376" t="s">
        <v>1374</v>
      </c>
    </row>
    <row r="34" spans="1:4" x14ac:dyDescent="0.2">
      <c r="A34" s="69" t="s">
        <v>1361</v>
      </c>
      <c r="B34" s="239">
        <v>44047</v>
      </c>
      <c r="C34" s="240" t="s">
        <v>1367</v>
      </c>
      <c r="D34" s="378" t="s">
        <v>1375</v>
      </c>
    </row>
    <row r="35" spans="1:4" x14ac:dyDescent="0.2">
      <c r="A35" s="69" t="s">
        <v>1362</v>
      </c>
      <c r="B35" s="239">
        <v>43865</v>
      </c>
      <c r="C35" s="240" t="s">
        <v>1368</v>
      </c>
      <c r="D35" s="378" t="s">
        <v>1376</v>
      </c>
    </row>
    <row r="36" spans="1:4" ht="24" x14ac:dyDescent="0.2">
      <c r="A36" s="69" t="s">
        <v>1363</v>
      </c>
      <c r="B36" s="239">
        <v>43833</v>
      </c>
      <c r="C36" s="240" t="s">
        <v>1368</v>
      </c>
      <c r="D36" s="376" t="s">
        <v>1377</v>
      </c>
    </row>
    <row r="37" spans="1:4" ht="24" x14ac:dyDescent="0.2">
      <c r="A37" s="69" t="s">
        <v>1364</v>
      </c>
      <c r="B37" s="239">
        <v>43808</v>
      </c>
      <c r="C37" s="240" t="s">
        <v>1368</v>
      </c>
      <c r="D37" s="376" t="s">
        <v>1378</v>
      </c>
    </row>
    <row r="38" spans="1:4" x14ac:dyDescent="0.2">
      <c r="A38" s="69" t="s">
        <v>1365</v>
      </c>
      <c r="B38" s="239">
        <v>43787</v>
      </c>
      <c r="C38" s="240" t="s">
        <v>1368</v>
      </c>
      <c r="D38" s="378" t="s">
        <v>1379</v>
      </c>
    </row>
    <row r="39" spans="1:4" ht="36" x14ac:dyDescent="0.2">
      <c r="A39" s="69" t="s">
        <v>1380</v>
      </c>
      <c r="B39" s="239">
        <v>43692</v>
      </c>
      <c r="C39" s="240" t="s">
        <v>1366</v>
      </c>
      <c r="D39" s="376" t="s">
        <v>1388</v>
      </c>
    </row>
    <row r="40" spans="1:4" ht="24" x14ac:dyDescent="0.2">
      <c r="A40" s="69" t="s">
        <v>1381</v>
      </c>
      <c r="B40" s="239">
        <v>43676</v>
      </c>
      <c r="C40" s="240" t="s">
        <v>1368</v>
      </c>
      <c r="D40" s="376" t="s">
        <v>1389</v>
      </c>
    </row>
    <row r="41" spans="1:4" x14ac:dyDescent="0.2">
      <c r="A41" s="69" t="s">
        <v>1382</v>
      </c>
      <c r="B41" s="239">
        <v>43573</v>
      </c>
      <c r="C41" s="240" t="s">
        <v>1366</v>
      </c>
      <c r="D41" s="378" t="s">
        <v>1390</v>
      </c>
    </row>
    <row r="42" spans="1:4" x14ac:dyDescent="0.2">
      <c r="A42" s="69" t="s">
        <v>1383</v>
      </c>
      <c r="B42" s="239">
        <v>43559</v>
      </c>
      <c r="C42" s="240" t="s">
        <v>1368</v>
      </c>
      <c r="D42" s="378" t="s">
        <v>1391</v>
      </c>
    </row>
    <row r="43" spans="1:4" ht="60" x14ac:dyDescent="0.2">
      <c r="A43" s="69" t="s">
        <v>1384</v>
      </c>
      <c r="B43" s="239">
        <v>43550</v>
      </c>
      <c r="C43" s="240" t="s">
        <v>1368</v>
      </c>
      <c r="D43" s="376" t="s">
        <v>1392</v>
      </c>
    </row>
    <row r="44" spans="1:4" ht="24" x14ac:dyDescent="0.2">
      <c r="A44" s="69" t="s">
        <v>1385</v>
      </c>
      <c r="B44" s="239">
        <v>43535</v>
      </c>
      <c r="C44" s="240" t="s">
        <v>1368</v>
      </c>
      <c r="D44" s="376" t="s">
        <v>1393</v>
      </c>
    </row>
    <row r="45" spans="1:4" ht="24" x14ac:dyDescent="0.2">
      <c r="A45" s="69" t="s">
        <v>1386</v>
      </c>
      <c r="B45" s="239">
        <v>43531</v>
      </c>
      <c r="C45" s="240" t="s">
        <v>1368</v>
      </c>
      <c r="D45" s="376" t="s">
        <v>1394</v>
      </c>
    </row>
    <row r="46" spans="1:4" ht="12.75" thickBot="1" x14ac:dyDescent="0.25">
      <c r="A46" s="369" t="s">
        <v>1387</v>
      </c>
      <c r="B46" s="374">
        <v>43528</v>
      </c>
      <c r="C46" s="375" t="s">
        <v>1368</v>
      </c>
      <c r="D46" s="379" t="s">
        <v>1395</v>
      </c>
    </row>
    <row r="47" spans="1:4" x14ac:dyDescent="0.2">
      <c r="B47" s="239"/>
    </row>
    <row r="48" spans="1:4" x14ac:dyDescent="0.2">
      <c r="B48" s="239"/>
    </row>
    <row r="49" spans="1:2" x14ac:dyDescent="0.2">
      <c r="B49" s="239"/>
    </row>
    <row r="50" spans="1:2" x14ac:dyDescent="0.2">
      <c r="A50" s="69"/>
      <c r="B50" s="239"/>
    </row>
    <row r="51" spans="1:2" x14ac:dyDescent="0.2">
      <c r="B51" s="239"/>
    </row>
    <row r="52" spans="1:2" x14ac:dyDescent="0.2">
      <c r="B52" s="239"/>
    </row>
    <row r="53" spans="1:2" x14ac:dyDescent="0.2">
      <c r="B53" s="239"/>
    </row>
    <row r="54" spans="1:2" x14ac:dyDescent="0.2">
      <c r="A54" s="69"/>
      <c r="B54" s="239"/>
    </row>
    <row r="55" spans="1:2" x14ac:dyDescent="0.2">
      <c r="B55" s="239"/>
    </row>
    <row r="56" spans="1:2" x14ac:dyDescent="0.2">
      <c r="B56" s="239"/>
    </row>
    <row r="57" spans="1:2" x14ac:dyDescent="0.2">
      <c r="B57" s="239"/>
    </row>
    <row r="58" spans="1:2" x14ac:dyDescent="0.2">
      <c r="A58" s="69"/>
      <c r="B58" s="239"/>
    </row>
    <row r="59" spans="1:2" x14ac:dyDescent="0.2">
      <c r="B59" s="239"/>
    </row>
    <row r="60" spans="1:2" x14ac:dyDescent="0.2">
      <c r="B60" s="239"/>
    </row>
    <row r="61" spans="1:2" x14ac:dyDescent="0.2">
      <c r="B61" s="239"/>
    </row>
    <row r="62" spans="1:2" x14ac:dyDescent="0.2">
      <c r="A62" s="69"/>
      <c r="B62" s="239"/>
    </row>
    <row r="63" spans="1:2" x14ac:dyDescent="0.2">
      <c r="B63" s="239"/>
    </row>
    <row r="64" spans="1:2" x14ac:dyDescent="0.2">
      <c r="B64" s="239"/>
    </row>
    <row r="65" spans="1:2" x14ac:dyDescent="0.2">
      <c r="B65" s="239"/>
    </row>
    <row r="66" spans="1:2" x14ac:dyDescent="0.2">
      <c r="A66" s="69"/>
      <c r="B66" s="239"/>
    </row>
    <row r="67" spans="1:2" x14ac:dyDescent="0.2">
      <c r="B67" s="239"/>
    </row>
    <row r="68" spans="1:2" x14ac:dyDescent="0.2">
      <c r="B68" s="239"/>
    </row>
    <row r="69" spans="1:2" x14ac:dyDescent="0.2">
      <c r="B69" s="239"/>
    </row>
    <row r="70" spans="1:2" x14ac:dyDescent="0.2">
      <c r="A70" s="69"/>
      <c r="B70" s="239"/>
    </row>
    <row r="71" spans="1:2" x14ac:dyDescent="0.2">
      <c r="B71" s="239"/>
    </row>
    <row r="72" spans="1:2" x14ac:dyDescent="0.2">
      <c r="B72" s="239"/>
    </row>
    <row r="73" spans="1:2" x14ac:dyDescent="0.2">
      <c r="B73" s="239"/>
    </row>
    <row r="74" spans="1:2" x14ac:dyDescent="0.2">
      <c r="A74" s="69"/>
      <c r="B74" s="239"/>
    </row>
    <row r="75" spans="1:2" x14ac:dyDescent="0.2">
      <c r="B75" s="239"/>
    </row>
    <row r="76" spans="1:2" x14ac:dyDescent="0.2">
      <c r="B76" s="239"/>
    </row>
    <row r="77" spans="1:2" x14ac:dyDescent="0.2">
      <c r="B77" s="239"/>
    </row>
    <row r="78" spans="1:2" x14ac:dyDescent="0.2">
      <c r="A78" s="69"/>
      <c r="B78" s="239"/>
    </row>
    <row r="79" spans="1:2" x14ac:dyDescent="0.2">
      <c r="B79" s="239"/>
    </row>
    <row r="80" spans="1:2" x14ac:dyDescent="0.2">
      <c r="B80" s="239"/>
    </row>
    <row r="81" spans="1:2" x14ac:dyDescent="0.2">
      <c r="B81" s="239"/>
    </row>
    <row r="82" spans="1:2" x14ac:dyDescent="0.2">
      <c r="A82" s="69"/>
      <c r="B82" s="239"/>
    </row>
    <row r="83" spans="1:2" x14ac:dyDescent="0.2">
      <c r="B83" s="239"/>
    </row>
    <row r="84" spans="1:2" x14ac:dyDescent="0.2">
      <c r="B84" s="239"/>
    </row>
    <row r="85" spans="1:2" x14ac:dyDescent="0.2">
      <c r="B85" s="239"/>
    </row>
    <row r="86" spans="1:2" x14ac:dyDescent="0.2">
      <c r="A86" s="69"/>
      <c r="B86" s="239"/>
    </row>
    <row r="87" spans="1:2" x14ac:dyDescent="0.2">
      <c r="B87" s="239"/>
    </row>
    <row r="88" spans="1:2" x14ac:dyDescent="0.2">
      <c r="B88" s="239"/>
    </row>
    <row r="89" spans="1:2" x14ac:dyDescent="0.2">
      <c r="B89" s="239"/>
    </row>
    <row r="90" spans="1:2" x14ac:dyDescent="0.2">
      <c r="A90" s="69"/>
      <c r="B90" s="239"/>
    </row>
    <row r="91" spans="1:2" x14ac:dyDescent="0.2">
      <c r="B91" s="239"/>
    </row>
    <row r="92" spans="1:2" x14ac:dyDescent="0.2">
      <c r="B92" s="239"/>
    </row>
    <row r="93" spans="1:2" x14ac:dyDescent="0.2">
      <c r="B93" s="239"/>
    </row>
    <row r="94" spans="1:2" x14ac:dyDescent="0.2">
      <c r="A94" s="69"/>
      <c r="B94" s="239"/>
    </row>
    <row r="95" spans="1:2" x14ac:dyDescent="0.2">
      <c r="B95" s="239"/>
    </row>
    <row r="96" spans="1:2" x14ac:dyDescent="0.2">
      <c r="B96" s="239"/>
    </row>
    <row r="97" spans="1:2" x14ac:dyDescent="0.2">
      <c r="B97" s="239"/>
    </row>
    <row r="98" spans="1:2" x14ac:dyDescent="0.2">
      <c r="A98" s="69"/>
      <c r="B98" s="239"/>
    </row>
    <row r="99" spans="1:2" x14ac:dyDescent="0.2">
      <c r="B99" s="239"/>
    </row>
    <row r="100" spans="1:2" x14ac:dyDescent="0.2">
      <c r="B100" s="239"/>
    </row>
    <row r="101" spans="1:2" x14ac:dyDescent="0.2">
      <c r="B101" s="239"/>
    </row>
    <row r="102" spans="1:2" x14ac:dyDescent="0.2">
      <c r="A102" s="69"/>
      <c r="B102" s="239"/>
    </row>
    <row r="103" spans="1:2" x14ac:dyDescent="0.2">
      <c r="B103" s="239"/>
    </row>
    <row r="104" spans="1:2" x14ac:dyDescent="0.2">
      <c r="B104" s="239"/>
    </row>
    <row r="105" spans="1:2" x14ac:dyDescent="0.2">
      <c r="B105" s="239"/>
    </row>
    <row r="106" spans="1:2" x14ac:dyDescent="0.2">
      <c r="A106" s="69"/>
      <c r="B106" s="239"/>
    </row>
    <row r="107" spans="1:2" x14ac:dyDescent="0.2">
      <c r="B107" s="239"/>
    </row>
    <row r="108" spans="1:2" x14ac:dyDescent="0.2">
      <c r="B108" s="239"/>
    </row>
  </sheetData>
  <mergeCells count="2">
    <mergeCell ref="A1:D1"/>
    <mergeCell ref="D2:D3"/>
  </mergeCells>
  <conditionalFormatting sqref="A8">
    <cfRule type="expression" dxfId="718" priority="21">
      <formula>IF($N8="Fail",TRUE,FALSE)</formula>
    </cfRule>
  </conditionalFormatting>
  <conditionalFormatting sqref="A12">
    <cfRule type="expression" dxfId="717" priority="20">
      <formula>IF($N12="Fail",TRUE,FALSE)</formula>
    </cfRule>
  </conditionalFormatting>
  <conditionalFormatting sqref="A16">
    <cfRule type="expression" dxfId="716" priority="19">
      <formula>IF($N16="Fail",TRUE,FALSE)</formula>
    </cfRule>
  </conditionalFormatting>
  <conditionalFormatting sqref="A20">
    <cfRule type="expression" dxfId="715" priority="18">
      <formula>IF($N20="Fail",TRUE,FALSE)</formula>
    </cfRule>
  </conditionalFormatting>
  <conditionalFormatting sqref="A23 A28:A46">
    <cfRule type="expression" dxfId="714" priority="17">
      <formula>IF($N24="Fail",TRUE,FALSE)</formula>
    </cfRule>
  </conditionalFormatting>
  <conditionalFormatting sqref="A27">
    <cfRule type="expression" dxfId="713" priority="16">
      <formula>IF($N28="Fail",TRUE,FALSE)</formula>
    </cfRule>
  </conditionalFormatting>
  <conditionalFormatting sqref="A50">
    <cfRule type="expression" dxfId="712" priority="15">
      <formula>IF($N32="Fail",TRUE,FALSE)</formula>
    </cfRule>
  </conditionalFormatting>
  <conditionalFormatting sqref="A54">
    <cfRule type="expression" dxfId="711" priority="14">
      <formula>IF($N36="Fail",TRUE,FALSE)</formula>
    </cfRule>
  </conditionalFormatting>
  <conditionalFormatting sqref="A58">
    <cfRule type="expression" dxfId="710" priority="13">
      <formula>IF($N40="Fail",TRUE,FALSE)</formula>
    </cfRule>
  </conditionalFormatting>
  <conditionalFormatting sqref="A62">
    <cfRule type="expression" dxfId="709" priority="12">
      <formula>IF($N44="Fail",TRUE,FALSE)</formula>
    </cfRule>
  </conditionalFormatting>
  <conditionalFormatting sqref="A66">
    <cfRule type="expression" dxfId="708" priority="11">
      <formula>IF($N48="Fail",TRUE,FALSE)</formula>
    </cfRule>
  </conditionalFormatting>
  <conditionalFormatting sqref="A70">
    <cfRule type="expression" dxfId="707" priority="10">
      <formula>IF($N52="Fail",TRUE,FALSE)</formula>
    </cfRule>
  </conditionalFormatting>
  <conditionalFormatting sqref="A74">
    <cfRule type="expression" dxfId="706" priority="9">
      <formula>IF($N56="Fail",TRUE,FALSE)</formula>
    </cfRule>
  </conditionalFormatting>
  <conditionalFormatting sqref="A78">
    <cfRule type="expression" dxfId="705" priority="8">
      <formula>IF($N60="Fail",TRUE,FALSE)</formula>
    </cfRule>
  </conditionalFormatting>
  <conditionalFormatting sqref="A82">
    <cfRule type="expression" dxfId="704" priority="7">
      <formula>IF($N64="Fail",TRUE,FALSE)</formula>
    </cfRule>
  </conditionalFormatting>
  <conditionalFormatting sqref="A86">
    <cfRule type="expression" dxfId="703" priority="6">
      <formula>IF($N68="Fail",TRUE,FALSE)</formula>
    </cfRule>
  </conditionalFormatting>
  <conditionalFormatting sqref="A90">
    <cfRule type="expression" dxfId="702" priority="5">
      <formula>IF($N72="Fail",TRUE,FALSE)</formula>
    </cfRule>
  </conditionalFormatting>
  <conditionalFormatting sqref="A94">
    <cfRule type="expression" dxfId="701" priority="4">
      <formula>IF($N76="Fail",TRUE,FALSE)</formula>
    </cfRule>
  </conditionalFormatting>
  <conditionalFormatting sqref="A98">
    <cfRule type="expression" dxfId="700" priority="3">
      <formula>IF($N80="Fail",TRUE,FALSE)</formula>
    </cfRule>
  </conditionalFormatting>
  <conditionalFormatting sqref="A102">
    <cfRule type="expression" dxfId="699" priority="2">
      <formula>IF($N84="Fail",TRUE,FALSE)</formula>
    </cfRule>
  </conditionalFormatting>
  <conditionalFormatting sqref="A106">
    <cfRule type="expression" dxfId="698" priority="1">
      <formula>IF($N88="Fail",TRUE,FALSE)</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1E020-C69C-41CF-8ED4-D20720527FDE}">
  <sheetPr codeName="shCode">
    <tabColor theme="4"/>
    <pageSetUpPr fitToPage="1"/>
  </sheetPr>
  <dimension ref="A1:BV104"/>
  <sheetViews>
    <sheetView showGridLines="0" tabSelected="1" zoomScaleNormal="100" zoomScaleSheetLayoutView="40" workbookViewId="0">
      <selection activeCell="B2" sqref="B2"/>
    </sheetView>
  </sheetViews>
  <sheetFormatPr defaultColWidth="6.28515625" defaultRowHeight="15" customHeight="1" x14ac:dyDescent="0.2"/>
  <cols>
    <col min="1" max="9" width="15.7109375" style="1" customWidth="1"/>
    <col min="10" max="10" width="2.7109375" style="1" customWidth="1"/>
    <col min="11" max="19" width="15.7109375" style="1" customWidth="1"/>
    <col min="20" max="20" width="2.7109375" style="1" customWidth="1"/>
    <col min="21" max="22" width="15.7109375" style="1" customWidth="1"/>
    <col min="23" max="34" width="5.7109375" style="1" customWidth="1"/>
    <col min="35" max="36" width="13.85546875" style="1" customWidth="1"/>
    <col min="37" max="37" width="13.7109375" style="1" customWidth="1"/>
    <col min="38" max="38" width="2.7109375" style="1" customWidth="1"/>
    <col min="39" max="47" width="15.7109375" style="57" customWidth="1"/>
    <col min="48" max="48" width="2.7109375" style="69" customWidth="1"/>
    <col min="49" max="57" width="5.7109375" style="69" customWidth="1"/>
    <col min="58" max="58" width="5.7109375" customWidth="1"/>
    <col min="59" max="63" width="5.7109375" style="57" customWidth="1"/>
    <col min="64" max="64" width="16.28515625" style="57" customWidth="1"/>
    <col min="65" max="65" width="6.7109375" style="57" customWidth="1"/>
    <col min="66" max="66" width="3.28515625" style="57" customWidth="1"/>
    <col min="67" max="67" width="6.7109375" style="57" customWidth="1"/>
    <col min="68" max="69" width="3.28515625" style="57" customWidth="1"/>
    <col min="70" max="71" width="5.7109375" style="1" customWidth="1"/>
    <col min="72" max="78" width="6.28515625" style="1" customWidth="1"/>
    <col min="79" max="16384" width="6.28515625" style="1"/>
  </cols>
  <sheetData>
    <row r="1" spans="1:74" ht="15" customHeight="1" x14ac:dyDescent="0.2">
      <c r="A1" s="343"/>
      <c r="B1" s="344"/>
      <c r="C1" s="345"/>
      <c r="D1" s="345"/>
      <c r="E1" s="344"/>
      <c r="F1" s="344"/>
      <c r="G1" s="344"/>
      <c r="H1" s="344"/>
      <c r="I1" s="346"/>
      <c r="K1" s="343"/>
      <c r="L1" s="344"/>
      <c r="M1" s="345"/>
      <c r="N1" s="345"/>
      <c r="O1" s="344"/>
      <c r="P1" s="344"/>
      <c r="Q1" s="344"/>
      <c r="R1" s="344"/>
      <c r="S1" s="346"/>
      <c r="U1" s="266"/>
      <c r="V1" s="267"/>
      <c r="W1" s="267"/>
      <c r="X1" s="267"/>
      <c r="Y1" s="267"/>
      <c r="Z1" s="267"/>
      <c r="AA1" s="267"/>
      <c r="AB1" s="267"/>
      <c r="AC1" s="267"/>
      <c r="AD1" s="267"/>
      <c r="AE1" s="267"/>
      <c r="AF1" s="267"/>
      <c r="AG1" s="267"/>
      <c r="AH1" s="267"/>
      <c r="AI1" s="344"/>
      <c r="AJ1" s="344"/>
      <c r="AK1" s="346"/>
      <c r="AM1" s="343"/>
      <c r="AN1" s="344"/>
      <c r="AO1" s="345"/>
      <c r="AP1" s="345"/>
      <c r="AQ1" s="358"/>
      <c r="AR1" s="344"/>
      <c r="AS1" s="344"/>
      <c r="AT1" s="344"/>
      <c r="AU1" s="346"/>
    </row>
    <row r="2" spans="1:74" ht="12.75" x14ac:dyDescent="0.2">
      <c r="A2" s="347"/>
      <c r="B2" s="348" t="s">
        <v>69</v>
      </c>
      <c r="C2" s="417"/>
      <c r="D2" s="417"/>
      <c r="G2" s="422" t="e" vm="3">
        <f>IF(LEFT(B2,3)&lt;&gt;"TKK",Meta!P1,Meta!P2)</f>
        <v>#VALUE!</v>
      </c>
      <c r="H2" s="422"/>
      <c r="I2" s="423"/>
      <c r="K2" s="347"/>
      <c r="L2" s="348" t="s">
        <v>70</v>
      </c>
      <c r="M2" s="417">
        <f>ProjectNumber</f>
        <v>0</v>
      </c>
      <c r="N2" s="417"/>
      <c r="Q2" s="422" t="e" vm="3">
        <f>IF(LEFT(B2,3)&lt;&gt;"TKK",Meta!P1,Meta!P2)</f>
        <v>#VALUE!</v>
      </c>
      <c r="R2" s="422"/>
      <c r="S2" s="423"/>
      <c r="T2" s="223"/>
      <c r="U2" s="268"/>
      <c r="V2" s="348" t="s">
        <v>70</v>
      </c>
      <c r="W2" s="472">
        <f>ProjectNumber</f>
        <v>0</v>
      </c>
      <c r="X2" s="472"/>
      <c r="Y2" s="472"/>
      <c r="Z2" s="472"/>
      <c r="AA2" s="472"/>
      <c r="AB2" s="472"/>
      <c r="AC2" s="357"/>
      <c r="AD2" s="357"/>
      <c r="AE2" s="357"/>
      <c r="AF2" s="357"/>
      <c r="AG2" s="478" t="e" vm="3">
        <f>IF(LEFT(B2,3)&lt;&gt;"TKK",Meta!P1,Meta!P2)</f>
        <v>#VALUE!</v>
      </c>
      <c r="AH2" s="478"/>
      <c r="AI2" s="478"/>
      <c r="AJ2" s="478"/>
      <c r="AK2" s="479"/>
      <c r="AM2" s="347"/>
      <c r="AN2" s="348" t="s">
        <v>70</v>
      </c>
      <c r="AO2" s="417">
        <f>ProjectNumber</f>
        <v>0</v>
      </c>
      <c r="AP2" s="417"/>
      <c r="AQ2" s="359"/>
      <c r="AR2" s="360"/>
      <c r="AS2" s="422" t="e" vm="3">
        <f>IF(LEFT(B2,3)&lt;&gt;"TKK",Meta!P1,Meta!P2)</f>
        <v>#VALUE!</v>
      </c>
      <c r="AT2" s="422"/>
      <c r="AU2" s="423"/>
    </row>
    <row r="3" spans="1:74" ht="12.75" customHeight="1" x14ac:dyDescent="0.2">
      <c r="A3" s="349"/>
      <c r="B3" s="350" t="s">
        <v>71</v>
      </c>
      <c r="C3" s="417"/>
      <c r="D3" s="417"/>
      <c r="G3" s="422"/>
      <c r="H3" s="422"/>
      <c r="I3" s="423"/>
      <c r="K3" s="349"/>
      <c r="L3" s="350" t="s">
        <v>71</v>
      </c>
      <c r="M3" s="417">
        <f>C3</f>
        <v>0</v>
      </c>
      <c r="N3" s="417"/>
      <c r="Q3" s="422"/>
      <c r="R3" s="422"/>
      <c r="S3" s="423"/>
      <c r="T3" s="223"/>
      <c r="U3" s="269"/>
      <c r="V3" s="350" t="s">
        <v>71</v>
      </c>
      <c r="W3" s="472">
        <f>Client</f>
        <v>0</v>
      </c>
      <c r="X3" s="472"/>
      <c r="Y3" s="472"/>
      <c r="Z3" s="472"/>
      <c r="AA3" s="472"/>
      <c r="AB3" s="472"/>
      <c r="AC3" s="357"/>
      <c r="AD3" s="357"/>
      <c r="AE3" s="357"/>
      <c r="AF3" s="357"/>
      <c r="AG3" s="478"/>
      <c r="AH3" s="478"/>
      <c r="AI3" s="478"/>
      <c r="AJ3" s="478"/>
      <c r="AK3" s="479"/>
      <c r="AM3" s="349"/>
      <c r="AN3" s="350" t="s">
        <v>71</v>
      </c>
      <c r="AO3" s="417">
        <f>Code!C3</f>
        <v>0</v>
      </c>
      <c r="AP3" s="417"/>
      <c r="AQ3" s="359"/>
      <c r="AR3" s="360"/>
      <c r="AS3" s="422"/>
      <c r="AT3" s="422"/>
      <c r="AU3" s="423"/>
    </row>
    <row r="4" spans="1:74" ht="12.75" customHeight="1" x14ac:dyDescent="0.2">
      <c r="A4" s="349"/>
      <c r="B4" s="350" t="s">
        <v>72</v>
      </c>
      <c r="C4" s="417"/>
      <c r="D4" s="417"/>
      <c r="G4" s="422"/>
      <c r="H4" s="422"/>
      <c r="I4" s="423"/>
      <c r="K4" s="349"/>
      <c r="L4" s="350" t="s">
        <v>72</v>
      </c>
      <c r="M4" s="417">
        <f>C4</f>
        <v>0</v>
      </c>
      <c r="N4" s="417"/>
      <c r="Q4" s="422"/>
      <c r="R4" s="422"/>
      <c r="S4" s="423"/>
      <c r="T4" s="223"/>
      <c r="U4" s="269"/>
      <c r="V4" s="350" t="s">
        <v>72</v>
      </c>
      <c r="W4" s="472">
        <f>Carrier</f>
        <v>0</v>
      </c>
      <c r="X4" s="472"/>
      <c r="Y4" s="472"/>
      <c r="Z4" s="472"/>
      <c r="AA4" s="472"/>
      <c r="AB4" s="472"/>
      <c r="AC4" s="357"/>
      <c r="AD4" s="357"/>
      <c r="AE4" s="357"/>
      <c r="AF4" s="357"/>
      <c r="AG4" s="478"/>
      <c r="AH4" s="478"/>
      <c r="AI4" s="478"/>
      <c r="AJ4" s="478"/>
      <c r="AK4" s="479"/>
      <c r="AM4" s="349"/>
      <c r="AN4" s="350" t="s">
        <v>72</v>
      </c>
      <c r="AO4" s="421">
        <f>Carrier</f>
        <v>0</v>
      </c>
      <c r="AP4" s="421"/>
      <c r="AQ4" s="359"/>
      <c r="AR4" s="360"/>
      <c r="AS4" s="422"/>
      <c r="AT4" s="422"/>
      <c r="AU4" s="423"/>
    </row>
    <row r="5" spans="1:74" ht="12.75" customHeight="1" x14ac:dyDescent="0.2">
      <c r="A5" s="351"/>
      <c r="B5" s="352" t="s">
        <v>73</v>
      </c>
      <c r="C5" s="417"/>
      <c r="D5" s="417"/>
      <c r="G5" s="422"/>
      <c r="H5" s="422"/>
      <c r="I5" s="423"/>
      <c r="K5" s="351"/>
      <c r="L5" s="352" t="s">
        <v>73</v>
      </c>
      <c r="M5" s="417">
        <f>C5</f>
        <v>0</v>
      </c>
      <c r="N5" s="417"/>
      <c r="Q5" s="422"/>
      <c r="R5" s="422"/>
      <c r="S5" s="423"/>
      <c r="T5" s="223"/>
      <c r="U5" s="270"/>
      <c r="V5" s="352" t="s">
        <v>73</v>
      </c>
      <c r="W5" s="472">
        <f>Carrier_SiteName</f>
        <v>0</v>
      </c>
      <c r="X5" s="472"/>
      <c r="Y5" s="472"/>
      <c r="Z5" s="472"/>
      <c r="AA5" s="472"/>
      <c r="AB5" s="472"/>
      <c r="AC5" s="357"/>
      <c r="AD5" s="357"/>
      <c r="AE5" s="357"/>
      <c r="AF5" s="357"/>
      <c r="AG5" s="478"/>
      <c r="AH5" s="478"/>
      <c r="AI5" s="478"/>
      <c r="AJ5" s="478"/>
      <c r="AK5" s="479"/>
      <c r="AM5" s="351"/>
      <c r="AN5" s="348" t="s">
        <v>73</v>
      </c>
      <c r="AO5" s="421">
        <f>Carrier_SiteName</f>
        <v>0</v>
      </c>
      <c r="AP5" s="421"/>
      <c r="AQ5" s="359"/>
      <c r="AR5" s="361"/>
      <c r="AS5" s="422"/>
      <c r="AT5" s="422"/>
      <c r="AU5" s="423"/>
    </row>
    <row r="6" spans="1:74" ht="15" customHeight="1" x14ac:dyDescent="0.2">
      <c r="A6" s="351"/>
      <c r="B6" s="352" t="s">
        <v>74</v>
      </c>
      <c r="C6" s="417"/>
      <c r="D6" s="417"/>
      <c r="I6" s="353"/>
      <c r="K6" s="351"/>
      <c r="L6" s="352" t="s">
        <v>74</v>
      </c>
      <c r="M6" s="417">
        <f>C6</f>
        <v>0</v>
      </c>
      <c r="N6" s="417"/>
      <c r="S6" s="353"/>
      <c r="T6" s="223"/>
      <c r="U6" s="270"/>
      <c r="V6" s="352" t="s">
        <v>74</v>
      </c>
      <c r="W6" s="472">
        <f>Carrier_SiteNumber</f>
        <v>0</v>
      </c>
      <c r="X6" s="472"/>
      <c r="Y6" s="472"/>
      <c r="Z6" s="472"/>
      <c r="AA6" s="472"/>
      <c r="AB6" s="472"/>
      <c r="AC6" s="357"/>
      <c r="AD6" s="357"/>
      <c r="AE6" s="357"/>
      <c r="AF6" s="357"/>
      <c r="AG6" s="357"/>
      <c r="AH6" s="357"/>
      <c r="AK6" s="353"/>
      <c r="AM6" s="351"/>
      <c r="AN6" s="348" t="s">
        <v>74</v>
      </c>
      <c r="AO6" s="421">
        <f>Carrier_SiteNumber</f>
        <v>0</v>
      </c>
      <c r="AP6" s="421"/>
      <c r="AQ6" s="359"/>
      <c r="AR6" s="360"/>
      <c r="AS6" s="1"/>
      <c r="AT6" s="1"/>
      <c r="AU6" s="353"/>
    </row>
    <row r="7" spans="1:74" ht="15" customHeight="1" x14ac:dyDescent="0.2">
      <c r="A7" s="351"/>
      <c r="B7" s="352" t="s">
        <v>75</v>
      </c>
      <c r="C7" s="417"/>
      <c r="D7" s="417"/>
      <c r="F7"/>
      <c r="G7" s="419" t="s">
        <v>4</v>
      </c>
      <c r="H7" s="419"/>
      <c r="I7" s="420"/>
      <c r="K7" s="351"/>
      <c r="L7" s="352" t="s">
        <v>75</v>
      </c>
      <c r="M7" s="421">
        <f>C7</f>
        <v>0</v>
      </c>
      <c r="N7" s="421"/>
      <c r="Q7" s="419" t="str">
        <f>G7</f>
        <v>8601 Six Forks Road, Suite 540, Raleigh, NC 27615</v>
      </c>
      <c r="R7" s="419"/>
      <c r="S7" s="420"/>
      <c r="T7" s="223"/>
      <c r="U7" s="270"/>
      <c r="V7" s="352" t="s">
        <v>75</v>
      </c>
      <c r="W7" s="472">
        <f>Carrier_Project</f>
        <v>0</v>
      </c>
      <c r="X7" s="472"/>
      <c r="Y7" s="472"/>
      <c r="Z7" s="472"/>
      <c r="AA7" s="472"/>
      <c r="AB7" s="472"/>
      <c r="AC7" s="357"/>
      <c r="AD7" s="357"/>
      <c r="AE7" s="357"/>
      <c r="AF7" s="357"/>
      <c r="AG7" s="419" t="str">
        <f>G7</f>
        <v>8601 Six Forks Road, Suite 540, Raleigh, NC 27615</v>
      </c>
      <c r="AH7" s="419"/>
      <c r="AI7" s="419"/>
      <c r="AJ7" s="419"/>
      <c r="AK7" s="420"/>
      <c r="AM7" s="351"/>
      <c r="AN7" s="348" t="s">
        <v>75</v>
      </c>
      <c r="AO7" s="421">
        <f>Code!C7</f>
        <v>0</v>
      </c>
      <c r="AP7" s="421"/>
      <c r="AQ7" s="359"/>
      <c r="AR7" s="360"/>
      <c r="AS7" s="419" t="str">
        <f>Code!G7</f>
        <v>8601 Six Forks Road, Suite 540, Raleigh, NC 27615</v>
      </c>
      <c r="AT7" s="419"/>
      <c r="AU7" s="420"/>
    </row>
    <row r="8" spans="1:74" ht="15" customHeight="1" thickBot="1" x14ac:dyDescent="0.25">
      <c r="A8" s="354"/>
      <c r="B8" s="355"/>
      <c r="C8" s="355"/>
      <c r="D8" s="355"/>
      <c r="E8" s="355"/>
      <c r="F8" s="355"/>
      <c r="G8" s="355"/>
      <c r="H8" s="355"/>
      <c r="I8" s="356"/>
      <c r="K8" s="354"/>
      <c r="L8" s="355"/>
      <c r="M8" s="355"/>
      <c r="N8" s="355"/>
      <c r="O8" s="355"/>
      <c r="P8" s="355"/>
      <c r="Q8" s="355"/>
      <c r="R8" s="355"/>
      <c r="S8" s="356"/>
      <c r="T8" s="223"/>
      <c r="U8" s="271"/>
      <c r="V8" s="272"/>
      <c r="W8" s="272"/>
      <c r="X8" s="272"/>
      <c r="Y8" s="272"/>
      <c r="Z8" s="272"/>
      <c r="AA8" s="272"/>
      <c r="AB8" s="272"/>
      <c r="AC8" s="272"/>
      <c r="AD8" s="272"/>
      <c r="AE8" s="272"/>
      <c r="AF8" s="272"/>
      <c r="AG8" s="272"/>
      <c r="AH8" s="272"/>
      <c r="AI8" s="355"/>
      <c r="AJ8" s="355"/>
      <c r="AK8" s="356"/>
      <c r="AM8" s="354"/>
      <c r="AN8" s="355"/>
      <c r="AO8" s="355"/>
      <c r="AP8" s="355"/>
      <c r="AQ8" s="355"/>
      <c r="AR8" s="355"/>
      <c r="AS8" s="355"/>
      <c r="AT8" s="355"/>
      <c r="AU8" s="356"/>
    </row>
    <row r="9" spans="1:74" ht="15" customHeight="1" x14ac:dyDescent="0.2">
      <c r="A9" s="218"/>
    </row>
    <row r="10" spans="1:74" s="81" customFormat="1" ht="26.85" customHeight="1" thickBot="1" x14ac:dyDescent="0.25">
      <c r="A10" s="225"/>
      <c r="B10" s="226"/>
      <c r="C10" s="418" t="s">
        <v>76</v>
      </c>
      <c r="D10" s="418"/>
      <c r="E10" s="418"/>
      <c r="F10" s="418"/>
      <c r="G10" s="418"/>
      <c r="H10" s="226"/>
      <c r="I10" s="226"/>
      <c r="K10" s="418" t="str">
        <f>C10&amp;" - Calculations Summary"</f>
        <v>Structural Mount Analysis - Calculations Summary</v>
      </c>
      <c r="L10" s="418"/>
      <c r="M10" s="418"/>
      <c r="N10" s="418"/>
      <c r="O10" s="418"/>
      <c r="P10" s="418"/>
      <c r="Q10" s="418"/>
      <c r="R10" s="418"/>
      <c r="S10" s="418"/>
      <c r="U10" s="473" t="str">
        <f>$C$10&amp;" - Loading Summary"</f>
        <v>Structural Mount Analysis - Loading Summary</v>
      </c>
      <c r="V10" s="473"/>
      <c r="W10" s="473"/>
      <c r="X10" s="473"/>
      <c r="Y10" s="473"/>
      <c r="Z10" s="473"/>
      <c r="AA10" s="473"/>
      <c r="AB10" s="473"/>
      <c r="AC10" s="473"/>
      <c r="AD10" s="473"/>
      <c r="AE10" s="473"/>
      <c r="AF10" s="473"/>
      <c r="AG10" s="473"/>
      <c r="AH10" s="473"/>
      <c r="AI10" s="473"/>
      <c r="AJ10" s="473"/>
      <c r="AK10" s="473"/>
      <c r="AM10" s="418" t="s">
        <v>77</v>
      </c>
      <c r="AN10" s="418"/>
      <c r="AO10" s="418"/>
      <c r="AP10" s="418"/>
      <c r="AQ10" s="418"/>
      <c r="AR10" s="418"/>
      <c r="AS10" s="418"/>
      <c r="AT10" s="418"/>
      <c r="AU10" s="418"/>
      <c r="AV10" s="243" t="s">
        <v>78</v>
      </c>
      <c r="AW10" s="244"/>
      <c r="AX10" s="244"/>
      <c r="AY10" s="244"/>
      <c r="AZ10" s="244"/>
      <c r="BA10" s="244"/>
      <c r="BB10" s="244"/>
      <c r="BC10" s="244"/>
      <c r="BD10" s="244"/>
      <c r="BE10" s="69"/>
      <c r="BF10"/>
      <c r="BG10" s="57"/>
      <c r="BH10" s="57"/>
      <c r="BI10" s="57"/>
      <c r="BJ10" s="57"/>
      <c r="BK10" s="57"/>
      <c r="BL10" s="57"/>
      <c r="BM10" s="57"/>
      <c r="BN10" s="57"/>
      <c r="BO10" s="57"/>
      <c r="BP10" s="57"/>
      <c r="BQ10" s="57"/>
    </row>
    <row r="12" spans="1:74" s="67" customFormat="1" ht="15" customHeight="1" x14ac:dyDescent="0.2">
      <c r="A12" s="390" t="s">
        <v>79</v>
      </c>
      <c r="B12" s="390"/>
      <c r="F12" s="390" t="s">
        <v>80</v>
      </c>
      <c r="G12" s="390"/>
      <c r="K12" s="390" t="s">
        <v>81</v>
      </c>
      <c r="L12" s="390"/>
      <c r="P12" s="390" t="s">
        <v>82</v>
      </c>
      <c r="Q12" s="390"/>
      <c r="R12" s="390"/>
      <c r="U12" s="390" t="s">
        <v>681</v>
      </c>
      <c r="V12" s="390"/>
      <c r="W12" s="390"/>
      <c r="X12" s="390"/>
      <c r="Y12" s="390"/>
      <c r="Z12" s="390"/>
      <c r="AA12" s="390"/>
      <c r="AB12" s="390"/>
      <c r="AC12" s="390"/>
      <c r="AD12" s="390"/>
      <c r="AE12" s="390"/>
      <c r="AF12" s="390"/>
      <c r="AG12" s="390"/>
      <c r="AH12" s="390"/>
      <c r="AI12" s="390"/>
      <c r="AJ12" s="390"/>
      <c r="AK12" s="390"/>
      <c r="AM12" s="390" t="s">
        <v>83</v>
      </c>
      <c r="AN12" s="390"/>
      <c r="AO12" s="57"/>
      <c r="AP12" s="57"/>
      <c r="AQ12" s="57"/>
      <c r="AR12" s="390" t="s">
        <v>84</v>
      </c>
      <c r="AS12" s="390"/>
      <c r="AT12" s="57"/>
      <c r="AU12" s="57"/>
      <c r="AV12" s="69"/>
      <c r="BE12" s="69"/>
      <c r="BF12"/>
      <c r="BG12" s="57"/>
      <c r="BH12" s="57"/>
      <c r="BI12" s="57"/>
      <c r="BJ12" s="57"/>
      <c r="BK12" s="57"/>
      <c r="BL12" s="57"/>
      <c r="BM12" s="57"/>
      <c r="BN12" s="57"/>
      <c r="BO12" s="57"/>
      <c r="BP12" s="57"/>
      <c r="BQ12" s="57"/>
    </row>
    <row r="13" spans="1:74" ht="15" customHeight="1" x14ac:dyDescent="0.2">
      <c r="A13" s="390"/>
      <c r="B13" s="390"/>
      <c r="F13" s="390"/>
      <c r="G13" s="390"/>
      <c r="K13" s="390"/>
      <c r="L13" s="390"/>
      <c r="P13" s="390"/>
      <c r="Q13" s="390"/>
      <c r="R13" s="390"/>
      <c r="U13" s="390"/>
      <c r="V13" s="390"/>
      <c r="W13" s="390"/>
      <c r="X13" s="390"/>
      <c r="Y13" s="390"/>
      <c r="Z13" s="390"/>
      <c r="AA13" s="390"/>
      <c r="AB13" s="390"/>
      <c r="AC13" s="390"/>
      <c r="AD13" s="390"/>
      <c r="AE13" s="390"/>
      <c r="AF13" s="390"/>
      <c r="AG13" s="390"/>
      <c r="AH13" s="390"/>
      <c r="AI13" s="390"/>
      <c r="AJ13" s="390"/>
      <c r="AK13" s="390"/>
      <c r="AM13" s="390"/>
      <c r="AN13" s="390"/>
      <c r="AR13" s="390"/>
      <c r="AS13" s="390"/>
    </row>
    <row r="14" spans="1:74" ht="15" customHeight="1" thickBot="1" x14ac:dyDescent="0.25">
      <c r="A14" s="397" t="s">
        <v>87</v>
      </c>
      <c r="B14" s="397"/>
      <c r="C14" s="397"/>
      <c r="D14" s="397"/>
      <c r="F14" s="397" t="s">
        <v>88</v>
      </c>
      <c r="G14" s="397"/>
      <c r="H14" s="397"/>
      <c r="I14" s="397"/>
      <c r="K14" s="397" t="s">
        <v>89</v>
      </c>
      <c r="L14" s="397"/>
      <c r="M14" s="397"/>
      <c r="N14" s="397"/>
      <c r="P14" s="397" t="s">
        <v>90</v>
      </c>
      <c r="Q14" s="397"/>
      <c r="R14" s="397"/>
      <c r="S14" s="397"/>
      <c r="U14" s="397" t="s">
        <v>682</v>
      </c>
      <c r="V14" s="397"/>
      <c r="W14" s="397"/>
      <c r="X14" s="397"/>
      <c r="Y14" s="397"/>
      <c r="Z14" s="397"/>
      <c r="AA14" s="397"/>
      <c r="AB14" s="397"/>
      <c r="AC14" s="397"/>
      <c r="AD14" s="397"/>
      <c r="AE14" s="397"/>
      <c r="AF14" s="397"/>
      <c r="AG14" s="397"/>
      <c r="AH14" s="397"/>
      <c r="AI14" s="397"/>
      <c r="AJ14" s="397"/>
      <c r="AK14" s="397"/>
      <c r="AM14" s="397" t="s">
        <v>91</v>
      </c>
      <c r="AN14" s="397"/>
      <c r="AO14" s="397"/>
      <c r="AP14" s="397"/>
      <c r="AR14" s="397" t="s">
        <v>91</v>
      </c>
      <c r="AS14" s="397"/>
      <c r="AT14" s="397"/>
      <c r="AU14" s="397"/>
      <c r="AW14" s="442" t="s">
        <v>85</v>
      </c>
      <c r="AX14" s="442"/>
      <c r="AY14" s="442"/>
      <c r="AZ14" s="442"/>
      <c r="BA14" s="442"/>
      <c r="BB14" s="442"/>
      <c r="BC14" s="442"/>
      <c r="BD14" s="442"/>
    </row>
    <row r="15" spans="1:74" ht="15" customHeight="1" thickBot="1" x14ac:dyDescent="0.25">
      <c r="A15" s="396" t="s">
        <v>92</v>
      </c>
      <c r="B15" s="396"/>
      <c r="C15" s="396"/>
      <c r="D15" s="396"/>
      <c r="F15" s="396" t="s">
        <v>93</v>
      </c>
      <c r="G15" s="396"/>
      <c r="H15" s="396"/>
      <c r="I15" s="396"/>
      <c r="K15" s="396" t="s">
        <v>94</v>
      </c>
      <c r="L15" s="396"/>
      <c r="M15" s="396"/>
      <c r="N15" s="396"/>
      <c r="P15" s="396" t="s">
        <v>95</v>
      </c>
      <c r="Q15" s="396"/>
      <c r="R15" s="396"/>
      <c r="S15" s="396"/>
      <c r="U15" s="401" t="s">
        <v>233</v>
      </c>
      <c r="V15" s="401"/>
      <c r="W15" s="317">
        <v>0</v>
      </c>
      <c r="X15" s="317">
        <v>30</v>
      </c>
      <c r="Y15" s="317">
        <v>60</v>
      </c>
      <c r="Z15" s="317">
        <v>90</v>
      </c>
      <c r="AA15" s="317">
        <v>120</v>
      </c>
      <c r="AB15" s="317">
        <v>150</v>
      </c>
      <c r="AC15" s="317">
        <v>180</v>
      </c>
      <c r="AD15" s="317">
        <v>210</v>
      </c>
      <c r="AE15" s="317">
        <v>240</v>
      </c>
      <c r="AF15" s="317">
        <v>270</v>
      </c>
      <c r="AG15" s="317">
        <v>300</v>
      </c>
      <c r="AH15" s="317">
        <v>330</v>
      </c>
      <c r="AI15" s="316" t="s">
        <v>683</v>
      </c>
      <c r="AJ15" s="316" t="s">
        <v>1803</v>
      </c>
      <c r="AK15" s="316" t="s">
        <v>180</v>
      </c>
      <c r="AM15" s="396" t="str">
        <f>CONCATENATE("Mount Centerline = ", TEXT(z, "##0.0#")," ft | Vertical Envelope = ",TEXT($BA$34-$BA$35,"0.0")," ft")</f>
        <v>Mount Centerline = 0.0 ft | Vertical Envelope = 0.0 ft</v>
      </c>
      <c r="AN15" s="396"/>
      <c r="AO15" s="396"/>
      <c r="AP15" s="396"/>
      <c r="AQ15" s="143"/>
      <c r="AR15" s="396" t="str">
        <f>CONCATENATE("Mount Centerline = ", TEXT(z, "##0.0#")," ft | Vertical Envelope = ",TEXT($BA$34-$BA$35,"0.0")," ft")</f>
        <v>Mount Centerline = 0.0 ft | Vertical Envelope = 0.0 ft</v>
      </c>
      <c r="AS15" s="396"/>
      <c r="AT15" s="396"/>
      <c r="AU15" s="396"/>
      <c r="AW15" s="443" t="s">
        <v>86</v>
      </c>
      <c r="AX15" s="443"/>
      <c r="AY15" s="443"/>
      <c r="AZ15" s="443"/>
      <c r="BA15" s="443"/>
      <c r="BB15" s="443"/>
      <c r="BC15" s="443"/>
      <c r="BD15" s="443"/>
      <c r="BR15" s="57"/>
      <c r="BS15" s="57"/>
      <c r="BT15" s="57"/>
      <c r="BU15" s="57"/>
      <c r="BV15" s="57"/>
    </row>
    <row r="16" spans="1:74" ht="15" customHeight="1" x14ac:dyDescent="0.2">
      <c r="A16" s="399" t="s">
        <v>96</v>
      </c>
      <c r="B16" s="399"/>
      <c r="C16" s="399" t="s">
        <v>23</v>
      </c>
      <c r="D16" s="399"/>
      <c r="F16" s="399" t="s">
        <v>97</v>
      </c>
      <c r="G16" s="399"/>
      <c r="H16" s="416"/>
      <c r="I16" s="416"/>
      <c r="K16" s="399" t="s">
        <v>98</v>
      </c>
      <c r="L16" s="399"/>
      <c r="M16" s="399">
        <f>IF(Roof_Speed_Up&lt;&gt;"Yes",1,IF(zr&lt;H_1,1,IF(zr&lt;=H_2,MAX(1+0.3*MIN(Ws/Hs,1),1.1),1)))</f>
        <v>1</v>
      </c>
      <c r="N16" s="399"/>
      <c r="P16" s="399" t="s">
        <v>99</v>
      </c>
      <c r="Q16" s="399"/>
      <c r="R16" s="399"/>
      <c r="S16" s="399"/>
      <c r="U16" s="475" t="str">
        <f>IF(ISBLANK('Discrete Loads'!B4),"",'Discrete Loads'!B4)</f>
        <v/>
      </c>
      <c r="V16" s="475"/>
      <c r="W16" s="341" t="str" cm="1">
        <f t="array" ref="W16">_xlfn.LET(
    _xlpm.model,        'Discrete Loads'!$B4,
    _xlpm.Shape,        'Discrete Loads'!$E4,
    _xlpm.Direction,    W$15,
    _xlpm.Azimuth,      0,
    _xlpm.CaAa_Front,   _xlfn.XLOOKUP(Code!$U16&amp;ROW()-12,Calculations_APPURT[Model]&amp;ROW('Discrete Loads'!B4),Hazards_APPURT[Front CaAa],0,0,1),
    _xlpm.CaAa_Side,    _xlfn.XLOOKUP(Code!$U16&amp;ROW()-12,Calculations_APPURT[Model]&amp;ROW('Discrete Loads'!B4),Hazards_APPURT[Side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X16" s="341" t="str" cm="1">
        <f t="array" ref="X16">_xlfn.LET(
    _xlpm.model,        'Discrete Loads'!$B4,
    _xlpm.Shape,        'Discrete Loads'!$E4,
    _xlpm.Direction,    X$15,
    _xlpm.Azimuth,      0,
    _xlpm.CaAa_Front,   _xlfn.XLOOKUP(Code!$U16&amp;ROW()-12,Calculations_APPURT[Model]&amp;ROW('Discrete Loads'!C4),Hazards_APPURT[Front CaAa],0,0,1),
    _xlpm.CaAa_Side,    _xlfn.XLOOKUP(Code!$U16&amp;ROW()-12,Calculations_APPURT[Model]&amp;ROW('Discrete Loads'!C4),Hazards_APPURT[Side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Y16" s="341" t="str" cm="1">
        <f t="array" ref="Y16">_xlfn.LET(
    _xlpm.model,        'Discrete Loads'!$B4,
    _xlpm.Shape,        'Discrete Loads'!$E4,
    _xlpm.Direction,    Y$15,
    _xlpm.Azimuth,      0,
    _xlpm.CaAa_Front,   _xlfn.XLOOKUP(Code!$U16&amp;ROW()-12,Calculations_APPURT[Model]&amp;ROW('Discrete Loads'!D4),Hazards_APPURT[Front CaAa],0,0,1),
    _xlpm.CaAa_Side,    _xlfn.XLOOKUP(Code!$U16&amp;ROW()-12,Calculations_APPURT[Model]&amp;ROW('Discrete Loads'!D4),Hazards_APPURT[Side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Z16" s="341" t="str" cm="1">
        <f t="array" ref="Z16">_xlfn.LET(
    _xlpm.model,        'Discrete Loads'!$B4,
    _xlpm.Shape,        'Discrete Loads'!$E4,
    _xlpm.Direction,    Z$15,
    _xlpm.Azimuth,      0,
    _xlpm.CaAa_Front,   _xlfn.XLOOKUP(Code!$U16&amp;ROW()-12,Calculations_APPURT[Model]&amp;ROW('Discrete Loads'!E4),Hazards_APPURT[Front CaAa],0,0,1),
    _xlpm.CaAa_Side,    _xlfn.XLOOKUP(Code!$U16&amp;ROW()-12,Calculations_APPURT[Model]&amp;ROW('Discrete Loads'!E4),Hazards_APPURT[Side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AA16" s="341" t="str" cm="1">
        <f t="array" ref="AA16">_xlfn.LET(
    _xlpm.model,        'Discrete Loads'!$B4,
    _xlpm.Shape,        'Discrete Loads'!$E4,
    _xlpm.Direction,    AA$15,
    _xlpm.Azimuth,      0,
    _xlpm.CaAa_Front,   _xlfn.XLOOKUP(Code!$U16&amp;ROW()-12,Calculations_APPURT[Model]&amp;ROW('Discrete Loads'!F4),Hazards_APPURT[Front CaAa],0,0,1),
    _xlpm.CaAa_Side,    _xlfn.XLOOKUP(Code!$U16&amp;ROW()-12,Calculations_APPURT[Model]&amp;ROW('Discrete Loads'!F4),Hazards_APPURT[Side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AB16" s="341" t="str" cm="1">
        <f t="array" ref="AB16">_xlfn.LET(
    _xlpm.model,        'Discrete Loads'!$B4,
    _xlpm.Shape,        'Discrete Loads'!$E4,
    _xlpm.Direction,    AB$15,
    _xlpm.Azimuth,      0,
    _xlpm.CaAa_Front,   _xlfn.XLOOKUP(Code!$U16&amp;ROW()-12,Calculations_APPURT[Model]&amp;ROW('Discrete Loads'!G4),Hazards_APPURT[Front CaAa],0,0,1),
    _xlpm.CaAa_Side,    _xlfn.XLOOKUP(Code!$U16&amp;ROW()-12,Calculations_APPURT[Model]&amp;ROW('Discrete Loads'!G4),Hazards_APPURT[Side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AC16" s="341" t="str" cm="1">
        <f t="array" ref="AC16">_xlfn.LET(
    _xlpm.model,        'Discrete Loads'!$B4,
    _xlpm.Shape,        'Discrete Loads'!$E4,
    _xlpm.Direction,    AC$15,
    _xlpm.Azimuth,      0,
    _xlpm.CaAa_Front,   _xlfn.XLOOKUP(Code!$U16&amp;ROW()-12,Calculations_APPURT[Model]&amp;ROW('Discrete Loads'!H4),Hazards_APPURT[Front CaAa],0,0,1),
    _xlpm.CaAa_Side,    _xlfn.XLOOKUP(Code!$U16&amp;ROW()-12,Calculations_APPURT[Model]&amp;ROW('Discrete Loads'!H4),Hazards_APPURT[Side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AD16" s="341" t="str" cm="1">
        <f t="array" ref="AD16">_xlfn.LET(
    _xlpm.model,        'Discrete Loads'!$B4,
    _xlpm.Shape,        'Discrete Loads'!$E4,
    _xlpm.Direction,    AD$15,
    _xlpm.Azimuth,      0,
    _xlpm.CaAa_Front,   _xlfn.XLOOKUP(Code!$U16&amp;ROW()-12,Calculations_APPURT[Model]&amp;ROW('Discrete Loads'!I4),Hazards_APPURT[Front CaAa],0,0,1),
    _xlpm.CaAa_Side,    _xlfn.XLOOKUP(Code!$U16&amp;ROW()-12,Calculations_APPURT[Model]&amp;ROW('Discrete Loads'!I4),Hazards_APPURT[Side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AE16" s="341" t="str" cm="1">
        <f t="array" ref="AE16">_xlfn.LET(
    _xlpm.model,        'Discrete Loads'!$B4,
    _xlpm.Shape,        'Discrete Loads'!$E4,
    _xlpm.Direction,    AE$15,
    _xlpm.Azimuth,      0,
    _xlpm.CaAa_Front,   _xlfn.XLOOKUP(Code!$U16&amp;ROW()-12,Calculations_APPURT[Model]&amp;ROW('Discrete Loads'!J4),Hazards_APPURT[Front CaAa],0,0,1),
    _xlpm.CaAa_Side,    _xlfn.XLOOKUP(Code!$U16&amp;ROW()-12,Calculations_APPURT[Model]&amp;ROW('Discrete Loads'!J4),Hazards_APPURT[Side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AF16" s="341" t="str" cm="1">
        <f t="array" ref="AF16">_xlfn.LET(
    _xlpm.model,        'Discrete Loads'!$B4,
    _xlpm.Shape,        'Discrete Loads'!$E4,
    _xlpm.Direction,    AF$15,
    _xlpm.Azimuth,      0,
    _xlpm.CaAa_Front,   _xlfn.XLOOKUP(Code!$U16&amp;ROW()-12,Calculations_APPURT[Model]&amp;ROW('Discrete Loads'!K4),Hazards_APPURT[Front CaAa],0,0,1),
    _xlpm.CaAa_Side,    _xlfn.XLOOKUP(Code!$U16&amp;ROW()-12,Calculations_APPURT[Model]&amp;ROW('Discrete Loads'!K4),Hazards_APPURT[Side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AG16" s="341" t="str" cm="1">
        <f t="array" ref="AG16">_xlfn.LET(
    _xlpm.model,        'Discrete Loads'!$B4,
    _xlpm.Shape,        'Discrete Loads'!$E4,
    _xlpm.Direction,    AG$15,
    _xlpm.Azimuth,      0,
    _xlpm.CaAa_Front,   _xlfn.XLOOKUP(Code!$U16&amp;ROW()-12,Calculations_APPURT[Model]&amp;ROW('Discrete Loads'!L4),Hazards_APPURT[Front CaAa],0,0,1),
    _xlpm.CaAa_Side,    _xlfn.XLOOKUP(Code!$U16&amp;ROW()-12,Calculations_APPURT[Model]&amp;ROW('Discrete Loads'!L4),Hazards_APPURT[Side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AH16" s="341" t="str" cm="1">
        <f t="array" ref="AH16">_xlfn.LET(
    _xlpm.model,        'Discrete Loads'!$B4,
    _xlpm.Shape,        'Discrete Loads'!$E4,
    _xlpm.Direction,    AH$15,
    _xlpm.Azimuth,      0,
    _xlpm.CaAa_Front,   _xlfn.XLOOKUP(Code!$U16&amp;ROW()-12,Calculations_APPURT[Model]&amp;ROW('Discrete Loads'!M4),Hazards_APPURT[Front CaAa],0,0,1),
    _xlpm.CaAa_Side,    _xlfn.XLOOKUP(Code!$U16&amp;ROW()-12,Calculations_APPURT[Model]&amp;ROW('Discrete Loads'!M4),Hazards_APPURT[Side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IF($U16="","",IF(_xlpm.Shape="CFD", _xlpm.CFD_val, _xlpm.CaAa_Front*COS(PI()/180*(_xlpm.Direction+_xlpm.Azimuth))^2 + _xlpm.CaAa_Side*SIN(PI()/180*(_xlpm.Direction+_xlpm.Azimuth))^2)))</f>
        <v/>
      </c>
      <c r="AI16" s="339" t="str" cm="1">
        <f t="array" ref="AI16">IF($U16="","",_xlfn.XLOOKUP($U16&amp;(ROW()-12),Calculations_APPURT[Model]&amp;ROW(Calculations_APPURT[Model]),IF(Calculations_APPURT[Shape]&lt;&gt;"CFD","TIA","Manufacturer*"),"",0,1))</f>
        <v/>
      </c>
      <c r="AJ16" s="363" t="str" cm="1">
        <f t="array" ref="AJ16">IF(U16="","",_xlfn.XLOOKUP($U16&amp;(ROW()-12),Calculations_APPURT[Model]&amp;ROW(Calculations_APPURT[Model]),Hazards_APPURT[qz],"",0,1))</f>
        <v/>
      </c>
      <c r="AK16" s="366" t="str" cm="1">
        <f t="array" ref="AK16">IF(U16="","",_xlfn.XLOOKUP($U16&amp;(ROW()-12),Calculations_APPURT[Model]&amp;ROW(Calculations_APPURT[Model]),Dimensions_APPURT[Weight (lbf)],"",0,1))</f>
        <v/>
      </c>
      <c r="AM16" s="69"/>
      <c r="AN16" s="244"/>
      <c r="AO16" s="244"/>
      <c r="AP16" s="244"/>
      <c r="AQ16" s="300"/>
      <c r="AR16" s="69"/>
      <c r="AS16" s="244"/>
      <c r="AT16" s="244"/>
      <c r="AU16" s="244"/>
      <c r="AW16" s="335" t="b">
        <v>1</v>
      </c>
      <c r="AX16" s="467" t="s">
        <v>679</v>
      </c>
      <c r="AY16" s="468"/>
      <c r="AZ16" s="469"/>
      <c r="BA16" s="335" t="b">
        <v>1</v>
      </c>
      <c r="BB16" s="467" t="s">
        <v>678</v>
      </c>
      <c r="BC16" s="468"/>
      <c r="BD16" s="469"/>
      <c r="BR16" s="57"/>
      <c r="BS16" s="57"/>
      <c r="BT16" s="57"/>
      <c r="BU16" s="57"/>
      <c r="BV16" s="57"/>
    </row>
    <row r="17" spans="1:74" ht="15" customHeight="1" x14ac:dyDescent="0.2">
      <c r="A17" s="404" t="s">
        <v>100</v>
      </c>
      <c r="B17" s="404"/>
      <c r="C17" s="404" t="s">
        <v>15</v>
      </c>
      <c r="D17" s="404"/>
      <c r="F17" s="404" t="s">
        <v>101</v>
      </c>
      <c r="G17" s="404"/>
      <c r="H17" s="404"/>
      <c r="I17" s="404"/>
      <c r="K17" s="404" t="s">
        <v>102</v>
      </c>
      <c r="L17" s="404"/>
      <c r="M17" s="404">
        <v>0.95</v>
      </c>
      <c r="N17" s="404"/>
      <c r="P17" s="404" t="s">
        <v>103</v>
      </c>
      <c r="Q17" s="404"/>
      <c r="R17" s="404"/>
      <c r="S17" s="404"/>
      <c r="U17" s="386" t="str">
        <f>IF(ISBLANK('Discrete Loads'!B5),"",'Discrete Loads'!B5)</f>
        <v/>
      </c>
      <c r="V17" s="386"/>
      <c r="W17" s="342" t="str" cm="1">
        <f t="array" ref="W17">_xlfn.LET(
    _xlpm.model,        'Discrete Loads'!$B5,
    _xlpm.Shape,        'Discrete Loads'!$E5,
    _xlpm.Direction,    W$15,
    _xlpm.Azimuth,      0,
    _xlpm.CaAa_Front,   _xlfn.XLOOKUP(Code!$U17&amp;ROW()-12,Calculations_APPURT[Model]&amp;ROW('Discrete Loads'!B5),Hazards_APPURT[Front CaAa],0,0,1),
    _xlpm.CaAa_Side,    _xlfn.XLOOKUP(Code!$U17&amp;ROW()-12,Calculations_APPURT[Model]&amp;ROW('Discrete Loads'!B5),Hazards_APPURT[Side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X17" s="342" t="str" cm="1">
        <f t="array" ref="X17">_xlfn.LET(
    _xlpm.model,        'Discrete Loads'!$B5,
    _xlpm.Shape,        'Discrete Loads'!$E5,
    _xlpm.Direction,    X$15,
    _xlpm.Azimuth,      0,
    _xlpm.CaAa_Front,   _xlfn.XLOOKUP(Code!$U17&amp;ROW()-12,Calculations_APPURT[Model]&amp;ROW('Discrete Loads'!C5),Hazards_APPURT[Front CaAa],0,0,1),
    _xlpm.CaAa_Side,    _xlfn.XLOOKUP(Code!$U17&amp;ROW()-12,Calculations_APPURT[Model]&amp;ROW('Discrete Loads'!C5),Hazards_APPURT[Side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Y17" s="342" t="str" cm="1">
        <f t="array" ref="Y17">_xlfn.LET(
    _xlpm.model,        'Discrete Loads'!$B5,
    _xlpm.Shape,        'Discrete Loads'!$E5,
    _xlpm.Direction,    Y$15,
    _xlpm.Azimuth,      0,
    _xlpm.CaAa_Front,   _xlfn.XLOOKUP(Code!$U17&amp;ROW()-12,Calculations_APPURT[Model]&amp;ROW('Discrete Loads'!D5),Hazards_APPURT[Front CaAa],0,0,1),
    _xlpm.CaAa_Side,    _xlfn.XLOOKUP(Code!$U17&amp;ROW()-12,Calculations_APPURT[Model]&amp;ROW('Discrete Loads'!D5),Hazards_APPURT[Side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Z17" s="342" t="str" cm="1">
        <f t="array" ref="Z17">_xlfn.LET(
    _xlpm.model,        'Discrete Loads'!$B5,
    _xlpm.Shape,        'Discrete Loads'!$E5,
    _xlpm.Direction,    Z$15,
    _xlpm.Azimuth,      0,
    _xlpm.CaAa_Front,   _xlfn.XLOOKUP(Code!$U17&amp;ROW()-12,Calculations_APPURT[Model]&amp;ROW('Discrete Loads'!E5),Hazards_APPURT[Front CaAa],0,0,1),
    _xlpm.CaAa_Side,    _xlfn.XLOOKUP(Code!$U17&amp;ROW()-12,Calculations_APPURT[Model]&amp;ROW('Discrete Loads'!E5),Hazards_APPURT[Side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AA17" s="342" t="str" cm="1">
        <f t="array" ref="AA17">_xlfn.LET(
    _xlpm.model,        'Discrete Loads'!$B5,
    _xlpm.Shape,        'Discrete Loads'!$E5,
    _xlpm.Direction,    AA$15,
    _xlpm.Azimuth,      0,
    _xlpm.CaAa_Front,   _xlfn.XLOOKUP(Code!$U17&amp;ROW()-12,Calculations_APPURT[Model]&amp;ROW('Discrete Loads'!F5),Hazards_APPURT[Front CaAa],0,0,1),
    _xlpm.CaAa_Side,    _xlfn.XLOOKUP(Code!$U17&amp;ROW()-12,Calculations_APPURT[Model]&amp;ROW('Discrete Loads'!F5),Hazards_APPURT[Side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AB17" s="342" t="str" cm="1">
        <f t="array" ref="AB17">_xlfn.LET(
    _xlpm.model,        'Discrete Loads'!$B5,
    _xlpm.Shape,        'Discrete Loads'!$E5,
    _xlpm.Direction,    AB$15,
    _xlpm.Azimuth,      0,
    _xlpm.CaAa_Front,   _xlfn.XLOOKUP(Code!$U17&amp;ROW()-12,Calculations_APPURT[Model]&amp;ROW('Discrete Loads'!G5),Hazards_APPURT[Front CaAa],0,0,1),
    _xlpm.CaAa_Side,    _xlfn.XLOOKUP(Code!$U17&amp;ROW()-12,Calculations_APPURT[Model]&amp;ROW('Discrete Loads'!G5),Hazards_APPURT[Side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AC17" s="342" t="str" cm="1">
        <f t="array" ref="AC17">_xlfn.LET(
    _xlpm.model,        'Discrete Loads'!$B5,
    _xlpm.Shape,        'Discrete Loads'!$E5,
    _xlpm.Direction,    AC$15,
    _xlpm.Azimuth,      0,
    _xlpm.CaAa_Front,   _xlfn.XLOOKUP(Code!$U17&amp;ROW()-12,Calculations_APPURT[Model]&amp;ROW('Discrete Loads'!H5),Hazards_APPURT[Front CaAa],0,0,1),
    _xlpm.CaAa_Side,    _xlfn.XLOOKUP(Code!$U17&amp;ROW()-12,Calculations_APPURT[Model]&amp;ROW('Discrete Loads'!H5),Hazards_APPURT[Side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AD17" s="342" t="str" cm="1">
        <f t="array" ref="AD17">_xlfn.LET(
    _xlpm.model,        'Discrete Loads'!$B5,
    _xlpm.Shape,        'Discrete Loads'!$E5,
    _xlpm.Direction,    AD$15,
    _xlpm.Azimuth,      0,
    _xlpm.CaAa_Front,   _xlfn.XLOOKUP(Code!$U17&amp;ROW()-12,Calculations_APPURT[Model]&amp;ROW('Discrete Loads'!I5),Hazards_APPURT[Front CaAa],0,0,1),
    _xlpm.CaAa_Side,    _xlfn.XLOOKUP(Code!$U17&amp;ROW()-12,Calculations_APPURT[Model]&amp;ROW('Discrete Loads'!I5),Hazards_APPURT[Side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AE17" s="342" t="str" cm="1">
        <f t="array" ref="AE17">_xlfn.LET(
    _xlpm.model,        'Discrete Loads'!$B5,
    _xlpm.Shape,        'Discrete Loads'!$E5,
    _xlpm.Direction,    AE$15,
    _xlpm.Azimuth,      0,
    _xlpm.CaAa_Front,   _xlfn.XLOOKUP(Code!$U17&amp;ROW()-12,Calculations_APPURT[Model]&amp;ROW('Discrete Loads'!J5),Hazards_APPURT[Front CaAa],0,0,1),
    _xlpm.CaAa_Side,    _xlfn.XLOOKUP(Code!$U17&amp;ROW()-12,Calculations_APPURT[Model]&amp;ROW('Discrete Loads'!J5),Hazards_APPURT[Side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AF17" s="342" t="str" cm="1">
        <f t="array" ref="AF17">_xlfn.LET(
    _xlpm.model,        'Discrete Loads'!$B5,
    _xlpm.Shape,        'Discrete Loads'!$E5,
    _xlpm.Direction,    AF$15,
    _xlpm.Azimuth,      0,
    _xlpm.CaAa_Front,   _xlfn.XLOOKUP(Code!$U17&amp;ROW()-12,Calculations_APPURT[Model]&amp;ROW('Discrete Loads'!K5),Hazards_APPURT[Front CaAa],0,0,1),
    _xlpm.CaAa_Side,    _xlfn.XLOOKUP(Code!$U17&amp;ROW()-12,Calculations_APPURT[Model]&amp;ROW('Discrete Loads'!K5),Hazards_APPURT[Side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AG17" s="342" t="str" cm="1">
        <f t="array" ref="AG17">_xlfn.LET(
    _xlpm.model,        'Discrete Loads'!$B5,
    _xlpm.Shape,        'Discrete Loads'!$E5,
    _xlpm.Direction,    AG$15,
    _xlpm.Azimuth,      0,
    _xlpm.CaAa_Front,   _xlfn.XLOOKUP(Code!$U17&amp;ROW()-12,Calculations_APPURT[Model]&amp;ROW('Discrete Loads'!L5),Hazards_APPURT[Front CaAa],0,0,1),
    _xlpm.CaAa_Side,    _xlfn.XLOOKUP(Code!$U17&amp;ROW()-12,Calculations_APPURT[Model]&amp;ROW('Discrete Loads'!L5),Hazards_APPURT[Side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AH17" s="342" t="str" cm="1">
        <f t="array" ref="AH17">_xlfn.LET(
    _xlpm.model,        'Discrete Loads'!$B5,
    _xlpm.Shape,        'Discrete Loads'!$E5,
    _xlpm.Direction,    AH$15,
    _xlpm.Azimuth,      0,
    _xlpm.CaAa_Front,   _xlfn.XLOOKUP(Code!$U17&amp;ROW()-12,Calculations_APPURT[Model]&amp;ROW('Discrete Loads'!M5),Hazards_APPURT[Front CaAa],0,0,1),
    _xlpm.CaAa_Side,    _xlfn.XLOOKUP(Code!$U17&amp;ROW()-12,Calculations_APPURT[Model]&amp;ROW('Discrete Loads'!M5),Hazards_APPURT[Side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IF($U17="","",IF(_xlpm.Shape="CFD", _xlpm.CFD_val, _xlpm.CaAa_Front*COS(PI()/180*(_xlpm.Direction+_xlpm.Azimuth))^2 + _xlpm.CaAa_Side*SIN(PI()/180*(_xlpm.Direction+_xlpm.Azimuth))^2)))</f>
        <v/>
      </c>
      <c r="AI17" s="340" t="str" cm="1">
        <f t="array" ref="AI17">IF($U17="","",_xlfn.XLOOKUP($U17&amp;(ROW()-12),Calculations_APPURT[Model]&amp;ROW(Calculations_APPURT[Model]),IF(Calculations_APPURT[Shape]&lt;&gt;"CFD","TIA","Manufacturer*"),"",0,1))</f>
        <v/>
      </c>
      <c r="AJ17" s="364" t="str" cm="1">
        <f t="array" ref="AJ17">IF(U17="","",_xlfn.XLOOKUP($U17&amp;(ROW()-12),Calculations_APPURT[Model]&amp;ROW(Calculations_APPURT[Model]),Hazards_APPURT[qz],"",0,1))</f>
        <v/>
      </c>
      <c r="AK17" s="367" t="str" cm="1">
        <f t="array" ref="AK17">IF(U17="","",_xlfn.XLOOKUP($U17&amp;(ROW()-12),Calculations_APPURT[Model]&amp;ROW(Calculations_APPURT[Model]),Dimensions_APPURT[Weight (lbf)],"",0,1))</f>
        <v/>
      </c>
      <c r="AM17" s="69"/>
      <c r="AN17" s="314" t="s">
        <v>104</v>
      </c>
      <c r="AO17" s="227" t="s">
        <v>105</v>
      </c>
      <c r="AP17" s="244"/>
      <c r="AQ17" s="300"/>
      <c r="AR17" s="69"/>
      <c r="AS17" s="314" t="s">
        <v>104</v>
      </c>
      <c r="AT17" s="227" t="s">
        <v>105</v>
      </c>
      <c r="AU17" s="244"/>
      <c r="AW17" s="296" t="b">
        <v>1</v>
      </c>
      <c r="AX17" s="387" t="s">
        <v>1798</v>
      </c>
      <c r="AY17" s="388"/>
      <c r="AZ17" s="389"/>
      <c r="BA17" s="296" t="b">
        <v>0</v>
      </c>
      <c r="BB17" s="387" t="s">
        <v>1797</v>
      </c>
      <c r="BC17" s="388"/>
      <c r="BD17" s="389"/>
      <c r="BR17" s="57"/>
      <c r="BS17" s="57"/>
      <c r="BT17" s="57"/>
      <c r="BU17" s="57"/>
      <c r="BV17" s="57"/>
    </row>
    <row r="18" spans="1:74" ht="15" customHeight="1" x14ac:dyDescent="0.2">
      <c r="A18" s="399" t="s">
        <v>106</v>
      </c>
      <c r="B18" s="399"/>
      <c r="C18" s="399" t="s">
        <v>9</v>
      </c>
      <c r="D18" s="399"/>
      <c r="F18" s="399" t="s">
        <v>107</v>
      </c>
      <c r="G18" s="399"/>
      <c r="H18" s="399"/>
      <c r="I18" s="399"/>
      <c r="K18" s="399" t="s">
        <v>108</v>
      </c>
      <c r="L18" s="399"/>
      <c r="M18" s="398">
        <f>IF(OR(RIGHT(TIA,1)="H",RIGHT(TIA,1)="I"),EXP(1)^(-0.0000362*zs),TEXT(1,"#"))</f>
        <v>1</v>
      </c>
      <c r="N18" s="398"/>
      <c r="P18" s="399" t="s">
        <v>109</v>
      </c>
      <c r="Q18" s="399"/>
      <c r="R18" s="399"/>
      <c r="S18" s="399"/>
      <c r="U18" s="474" t="str">
        <f>IF(ISBLANK('Discrete Loads'!B6),"",'Discrete Loads'!B6)</f>
        <v/>
      </c>
      <c r="V18" s="474"/>
      <c r="W18" s="341" t="str" cm="1">
        <f t="array" ref="W18">_xlfn.LET(
    _xlpm.model,        'Discrete Loads'!$B6,
    _xlpm.Shape,        'Discrete Loads'!$E6,
    _xlpm.Direction,    W$15,
    _xlpm.Azimuth,      0,
    _xlpm.CaAa_Front,   _xlfn.XLOOKUP(Code!$U18&amp;ROW()-12,Calculations_APPURT[Model]&amp;ROW('Discrete Loads'!B6),Hazards_APPURT[Front CaAa],0,0,1),
    _xlpm.CaAa_Side,    _xlfn.XLOOKUP(Code!$U18&amp;ROW()-12,Calculations_APPURT[Model]&amp;ROW('Discrete Loads'!B6),Hazards_APPURT[Side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X18" s="341" t="str" cm="1">
        <f t="array" ref="X18">_xlfn.LET(
    _xlpm.model,        'Discrete Loads'!$B6,
    _xlpm.Shape,        'Discrete Loads'!$E6,
    _xlpm.Direction,    X$15,
    _xlpm.Azimuth,      0,
    _xlpm.CaAa_Front,   _xlfn.XLOOKUP(Code!$U18&amp;ROW()-12,Calculations_APPURT[Model]&amp;ROW('Discrete Loads'!C6),Hazards_APPURT[Front CaAa],0,0,1),
    _xlpm.CaAa_Side,    _xlfn.XLOOKUP(Code!$U18&amp;ROW()-12,Calculations_APPURT[Model]&amp;ROW('Discrete Loads'!C6),Hazards_APPURT[Side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Y18" s="341" t="str" cm="1">
        <f t="array" ref="Y18">_xlfn.LET(
    _xlpm.model,        'Discrete Loads'!$B6,
    _xlpm.Shape,        'Discrete Loads'!$E6,
    _xlpm.Direction,    Y$15,
    _xlpm.Azimuth,      0,
    _xlpm.CaAa_Front,   _xlfn.XLOOKUP(Code!$U18&amp;ROW()-12,Calculations_APPURT[Model]&amp;ROW('Discrete Loads'!D6),Hazards_APPURT[Front CaAa],0,0,1),
    _xlpm.CaAa_Side,    _xlfn.XLOOKUP(Code!$U18&amp;ROW()-12,Calculations_APPURT[Model]&amp;ROW('Discrete Loads'!D6),Hazards_APPURT[Side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Z18" s="341" t="str" cm="1">
        <f t="array" ref="Z18">_xlfn.LET(
    _xlpm.model,        'Discrete Loads'!$B6,
    _xlpm.Shape,        'Discrete Loads'!$E6,
    _xlpm.Direction,    Z$15,
    _xlpm.Azimuth,      0,
    _xlpm.CaAa_Front,   _xlfn.XLOOKUP(Code!$U18&amp;ROW()-12,Calculations_APPURT[Model]&amp;ROW('Discrete Loads'!E6),Hazards_APPURT[Front CaAa],0,0,1),
    _xlpm.CaAa_Side,    _xlfn.XLOOKUP(Code!$U18&amp;ROW()-12,Calculations_APPURT[Model]&amp;ROW('Discrete Loads'!E6),Hazards_APPURT[Side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AA18" s="341" t="str" cm="1">
        <f t="array" ref="AA18">_xlfn.LET(
    _xlpm.model,        'Discrete Loads'!$B6,
    _xlpm.Shape,        'Discrete Loads'!$E6,
    _xlpm.Direction,    AA$15,
    _xlpm.Azimuth,      0,
    _xlpm.CaAa_Front,   _xlfn.XLOOKUP(Code!$U18&amp;ROW()-12,Calculations_APPURT[Model]&amp;ROW('Discrete Loads'!F6),Hazards_APPURT[Front CaAa],0,0,1),
    _xlpm.CaAa_Side,    _xlfn.XLOOKUP(Code!$U18&amp;ROW()-12,Calculations_APPURT[Model]&amp;ROW('Discrete Loads'!F6),Hazards_APPURT[Side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AB18" s="341" t="str" cm="1">
        <f t="array" ref="AB18">_xlfn.LET(
    _xlpm.model,        'Discrete Loads'!$B6,
    _xlpm.Shape,        'Discrete Loads'!$E6,
    _xlpm.Direction,    AB$15,
    _xlpm.Azimuth,      0,
    _xlpm.CaAa_Front,   _xlfn.XLOOKUP(Code!$U18&amp;ROW()-12,Calculations_APPURT[Model]&amp;ROW('Discrete Loads'!G6),Hazards_APPURT[Front CaAa],0,0,1),
    _xlpm.CaAa_Side,    _xlfn.XLOOKUP(Code!$U18&amp;ROW()-12,Calculations_APPURT[Model]&amp;ROW('Discrete Loads'!G6),Hazards_APPURT[Side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AC18" s="341" t="str" cm="1">
        <f t="array" ref="AC18">_xlfn.LET(
    _xlpm.model,        'Discrete Loads'!$B6,
    _xlpm.Shape,        'Discrete Loads'!$E6,
    _xlpm.Direction,    AC$15,
    _xlpm.Azimuth,      0,
    _xlpm.CaAa_Front,   _xlfn.XLOOKUP(Code!$U18&amp;ROW()-12,Calculations_APPURT[Model]&amp;ROW('Discrete Loads'!H6),Hazards_APPURT[Front CaAa],0,0,1),
    _xlpm.CaAa_Side,    _xlfn.XLOOKUP(Code!$U18&amp;ROW()-12,Calculations_APPURT[Model]&amp;ROW('Discrete Loads'!H6),Hazards_APPURT[Side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AD18" s="341" t="str" cm="1">
        <f t="array" ref="AD18">_xlfn.LET(
    _xlpm.model,        'Discrete Loads'!$B6,
    _xlpm.Shape,        'Discrete Loads'!$E6,
    _xlpm.Direction,    AD$15,
    _xlpm.Azimuth,      0,
    _xlpm.CaAa_Front,   _xlfn.XLOOKUP(Code!$U18&amp;ROW()-12,Calculations_APPURT[Model]&amp;ROW('Discrete Loads'!I6),Hazards_APPURT[Front CaAa],0,0,1),
    _xlpm.CaAa_Side,    _xlfn.XLOOKUP(Code!$U18&amp;ROW()-12,Calculations_APPURT[Model]&amp;ROW('Discrete Loads'!I6),Hazards_APPURT[Side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AE18" s="341" t="str" cm="1">
        <f t="array" ref="AE18">_xlfn.LET(
    _xlpm.model,        'Discrete Loads'!$B6,
    _xlpm.Shape,        'Discrete Loads'!$E6,
    _xlpm.Direction,    AE$15,
    _xlpm.Azimuth,      0,
    _xlpm.CaAa_Front,   _xlfn.XLOOKUP(Code!$U18&amp;ROW()-12,Calculations_APPURT[Model]&amp;ROW('Discrete Loads'!J6),Hazards_APPURT[Front CaAa],0,0,1),
    _xlpm.CaAa_Side,    _xlfn.XLOOKUP(Code!$U18&amp;ROW()-12,Calculations_APPURT[Model]&amp;ROW('Discrete Loads'!J6),Hazards_APPURT[Side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AF18" s="341" t="str" cm="1">
        <f t="array" ref="AF18">_xlfn.LET(
    _xlpm.model,        'Discrete Loads'!$B6,
    _xlpm.Shape,        'Discrete Loads'!$E6,
    _xlpm.Direction,    AF$15,
    _xlpm.Azimuth,      0,
    _xlpm.CaAa_Front,   _xlfn.XLOOKUP(Code!$U18&amp;ROW()-12,Calculations_APPURT[Model]&amp;ROW('Discrete Loads'!K6),Hazards_APPURT[Front CaAa],0,0,1),
    _xlpm.CaAa_Side,    _xlfn.XLOOKUP(Code!$U18&amp;ROW()-12,Calculations_APPURT[Model]&amp;ROW('Discrete Loads'!K6),Hazards_APPURT[Side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AG18" s="341" t="str" cm="1">
        <f t="array" ref="AG18">_xlfn.LET(
    _xlpm.model,        'Discrete Loads'!$B6,
    _xlpm.Shape,        'Discrete Loads'!$E6,
    _xlpm.Direction,    AG$15,
    _xlpm.Azimuth,      0,
    _xlpm.CaAa_Front,   _xlfn.XLOOKUP(Code!$U18&amp;ROW()-12,Calculations_APPURT[Model]&amp;ROW('Discrete Loads'!L6),Hazards_APPURT[Front CaAa],0,0,1),
    _xlpm.CaAa_Side,    _xlfn.XLOOKUP(Code!$U18&amp;ROW()-12,Calculations_APPURT[Model]&amp;ROW('Discrete Loads'!L6),Hazards_APPURT[Side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AH18" s="341" t="str" cm="1">
        <f t="array" ref="AH18">_xlfn.LET(
    _xlpm.model,        'Discrete Loads'!$B6,
    _xlpm.Shape,        'Discrete Loads'!$E6,
    _xlpm.Direction,    AH$15,
    _xlpm.Azimuth,      0,
    _xlpm.CaAa_Front,   _xlfn.XLOOKUP(Code!$U18&amp;ROW()-12,Calculations_APPURT[Model]&amp;ROW('Discrete Loads'!M6),Hazards_APPURT[Front CaAa],0,0,1),
    _xlpm.CaAa_Side,    _xlfn.XLOOKUP(Code!$U18&amp;ROW()-12,Calculations_APPURT[Model]&amp;ROW('Discrete Loads'!M6),Hazards_APPURT[Side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IF($U18="","",IF(_xlpm.Shape="CFD", _xlpm.CFD_val, _xlpm.CaAa_Front*COS(PI()/180*(_xlpm.Direction+_xlpm.Azimuth))^2 + _xlpm.CaAa_Side*SIN(PI()/180*(_xlpm.Direction+_xlpm.Azimuth))^2)))</f>
        <v/>
      </c>
      <c r="AI18" s="339" t="str" cm="1">
        <f t="array" ref="AI18">IF($U18="","",_xlfn.XLOOKUP($U18&amp;(ROW()-12),Calculations_APPURT[Model]&amp;ROW(Calculations_APPURT[Model]),IF(Calculations_APPURT[Shape]&lt;&gt;"CFD","TIA","Manufacturer*"),"",0,1))</f>
        <v/>
      </c>
      <c r="AJ18" s="363" t="str" cm="1">
        <f t="array" ref="AJ18">IF(U18="","",_xlfn.XLOOKUP($U18&amp;(ROW()-12),Calculations_APPURT[Model]&amp;ROW(Calculations_APPURT[Model]),Hazards_APPURT[qz],"",0,1))</f>
        <v/>
      </c>
      <c r="AK18" s="366" t="str" cm="1">
        <f t="array" ref="AK18">IF(U18="","",_xlfn.XLOOKUP($U18&amp;(ROW()-12),Calculations_APPURT[Model]&amp;ROW(Calculations_APPURT[Model]),Dimensions_APPURT[Weight (lbf)],"",0,1))</f>
        <v/>
      </c>
      <c r="AM18" s="449"/>
      <c r="AN18" s="449"/>
      <c r="AO18" s="449"/>
      <c r="AP18" s="449"/>
      <c r="AQ18" s="300"/>
      <c r="AR18" s="451" t="str">
        <f>IF(Display_Sector=FALSE,"",
 IF(QtySectors="","",
 IF(QtySectors=1,sector1,
 IF(QtySectors=2,sector2,
 IF(QtySectors=3,sector3,
 IF(QtySectors=4,sector4))))))</f>
        <v/>
      </c>
      <c r="AS18" s="452"/>
      <c r="AT18" s="452"/>
      <c r="AU18" s="452"/>
      <c r="AW18" s="444" t="s">
        <v>1782</v>
      </c>
      <c r="AX18" s="445"/>
      <c r="AY18" s="445"/>
      <c r="AZ18" s="446"/>
      <c r="BA18" s="443" t="s">
        <v>84</v>
      </c>
      <c r="BB18" s="443"/>
      <c r="BC18" s="443"/>
      <c r="BD18" s="443"/>
      <c r="BR18" s="57"/>
      <c r="BS18" s="57"/>
      <c r="BT18" s="57"/>
      <c r="BU18" s="57"/>
      <c r="BV18" s="57"/>
    </row>
    <row r="19" spans="1:74" ht="15" customHeight="1" thickBot="1" x14ac:dyDescent="0.25">
      <c r="A19" s="413" t="s">
        <v>114</v>
      </c>
      <c r="B19" s="413"/>
      <c r="C19" s="299" t="s">
        <v>115</v>
      </c>
      <c r="D19" s="299" t="s">
        <v>1252</v>
      </c>
      <c r="F19" s="404" t="s">
        <v>116</v>
      </c>
      <c r="G19" s="404"/>
      <c r="H19" s="404"/>
      <c r="I19" s="404"/>
      <c r="K19" s="404" t="s">
        <v>117</v>
      </c>
      <c r="L19" s="404"/>
      <c r="M19" s="404">
        <v>1</v>
      </c>
      <c r="N19" s="404"/>
      <c r="P19" s="404" t="s">
        <v>118</v>
      </c>
      <c r="Q19" s="404"/>
      <c r="R19" s="404"/>
      <c r="S19" s="404"/>
      <c r="U19" s="386" t="str">
        <f>IF(ISBLANK('Discrete Loads'!B7),"",'Discrete Loads'!B7)</f>
        <v/>
      </c>
      <c r="V19" s="386"/>
      <c r="W19" s="342" t="str" cm="1">
        <f t="array" ref="W19">_xlfn.LET(
    _xlpm.model,        'Discrete Loads'!$B7,
    _xlpm.Shape,        'Discrete Loads'!$E7,
    _xlpm.Direction,    W$15,
    _xlpm.Azimuth,      0,
    _xlpm.CaAa_Front,   _xlfn.XLOOKUP(Code!$U19&amp;ROW()-12,Calculations_APPURT[Model]&amp;ROW('Discrete Loads'!B7),Hazards_APPURT[Front CaAa],0,0,1),
    _xlpm.CaAa_Side,    _xlfn.XLOOKUP(Code!$U19&amp;ROW()-12,Calculations_APPURT[Model]&amp;ROW('Discrete Loads'!B7),Hazards_APPURT[Side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X19" s="342" t="str" cm="1">
        <f t="array" ref="X19">_xlfn.LET(
    _xlpm.model,        'Discrete Loads'!$B7,
    _xlpm.Shape,        'Discrete Loads'!$E7,
    _xlpm.Direction,    X$15,
    _xlpm.Azimuth,      0,
    _xlpm.CaAa_Front,   _xlfn.XLOOKUP(Code!$U19&amp;ROW()-12,Calculations_APPURT[Model]&amp;ROW('Discrete Loads'!C7),Hazards_APPURT[Front CaAa],0,0,1),
    _xlpm.CaAa_Side,    _xlfn.XLOOKUP(Code!$U19&amp;ROW()-12,Calculations_APPURT[Model]&amp;ROW('Discrete Loads'!C7),Hazards_APPURT[Side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Y19" s="342" t="str" cm="1">
        <f t="array" ref="Y19">_xlfn.LET(
    _xlpm.model,        'Discrete Loads'!$B7,
    _xlpm.Shape,        'Discrete Loads'!$E7,
    _xlpm.Direction,    Y$15,
    _xlpm.Azimuth,      0,
    _xlpm.CaAa_Front,   _xlfn.XLOOKUP(Code!$U19&amp;ROW()-12,Calculations_APPURT[Model]&amp;ROW('Discrete Loads'!D7),Hazards_APPURT[Front CaAa],0,0,1),
    _xlpm.CaAa_Side,    _xlfn.XLOOKUP(Code!$U19&amp;ROW()-12,Calculations_APPURT[Model]&amp;ROW('Discrete Loads'!D7),Hazards_APPURT[Side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Z19" s="342" t="str" cm="1">
        <f t="array" ref="Z19">_xlfn.LET(
    _xlpm.model,        'Discrete Loads'!$B7,
    _xlpm.Shape,        'Discrete Loads'!$E7,
    _xlpm.Direction,    Z$15,
    _xlpm.Azimuth,      0,
    _xlpm.CaAa_Front,   _xlfn.XLOOKUP(Code!$U19&amp;ROW()-12,Calculations_APPURT[Model]&amp;ROW('Discrete Loads'!E7),Hazards_APPURT[Front CaAa],0,0,1),
    _xlpm.CaAa_Side,    _xlfn.XLOOKUP(Code!$U19&amp;ROW()-12,Calculations_APPURT[Model]&amp;ROW('Discrete Loads'!E7),Hazards_APPURT[Side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AA19" s="342" t="str" cm="1">
        <f t="array" ref="AA19">_xlfn.LET(
    _xlpm.model,        'Discrete Loads'!$B7,
    _xlpm.Shape,        'Discrete Loads'!$E7,
    _xlpm.Direction,    AA$15,
    _xlpm.Azimuth,      0,
    _xlpm.CaAa_Front,   _xlfn.XLOOKUP(Code!$U19&amp;ROW()-12,Calculations_APPURT[Model]&amp;ROW('Discrete Loads'!F7),Hazards_APPURT[Front CaAa],0,0,1),
    _xlpm.CaAa_Side,    _xlfn.XLOOKUP(Code!$U19&amp;ROW()-12,Calculations_APPURT[Model]&amp;ROW('Discrete Loads'!F7),Hazards_APPURT[Side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AB19" s="342" t="str" cm="1">
        <f t="array" ref="AB19">_xlfn.LET(
    _xlpm.model,        'Discrete Loads'!$B7,
    _xlpm.Shape,        'Discrete Loads'!$E7,
    _xlpm.Direction,    AB$15,
    _xlpm.Azimuth,      0,
    _xlpm.CaAa_Front,   _xlfn.XLOOKUP(Code!$U19&amp;ROW()-12,Calculations_APPURT[Model]&amp;ROW('Discrete Loads'!G7),Hazards_APPURT[Front CaAa],0,0,1),
    _xlpm.CaAa_Side,    _xlfn.XLOOKUP(Code!$U19&amp;ROW()-12,Calculations_APPURT[Model]&amp;ROW('Discrete Loads'!G7),Hazards_APPURT[Side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AC19" s="342" t="str" cm="1">
        <f t="array" ref="AC19">_xlfn.LET(
    _xlpm.model,        'Discrete Loads'!$B7,
    _xlpm.Shape,        'Discrete Loads'!$E7,
    _xlpm.Direction,    AC$15,
    _xlpm.Azimuth,      0,
    _xlpm.CaAa_Front,   _xlfn.XLOOKUP(Code!$U19&amp;ROW()-12,Calculations_APPURT[Model]&amp;ROW('Discrete Loads'!H7),Hazards_APPURT[Front CaAa],0,0,1),
    _xlpm.CaAa_Side,    _xlfn.XLOOKUP(Code!$U19&amp;ROW()-12,Calculations_APPURT[Model]&amp;ROW('Discrete Loads'!H7),Hazards_APPURT[Side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AD19" s="342" t="str" cm="1">
        <f t="array" ref="AD19">_xlfn.LET(
    _xlpm.model,        'Discrete Loads'!$B7,
    _xlpm.Shape,        'Discrete Loads'!$E7,
    _xlpm.Direction,    AD$15,
    _xlpm.Azimuth,      0,
    _xlpm.CaAa_Front,   _xlfn.XLOOKUP(Code!$U19&amp;ROW()-12,Calculations_APPURT[Model]&amp;ROW('Discrete Loads'!I7),Hazards_APPURT[Front CaAa],0,0,1),
    _xlpm.CaAa_Side,    _xlfn.XLOOKUP(Code!$U19&amp;ROW()-12,Calculations_APPURT[Model]&amp;ROW('Discrete Loads'!I7),Hazards_APPURT[Side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AE19" s="342" t="str" cm="1">
        <f t="array" ref="AE19">_xlfn.LET(
    _xlpm.model,        'Discrete Loads'!$B7,
    _xlpm.Shape,        'Discrete Loads'!$E7,
    _xlpm.Direction,    AE$15,
    _xlpm.Azimuth,      0,
    _xlpm.CaAa_Front,   _xlfn.XLOOKUP(Code!$U19&amp;ROW()-12,Calculations_APPURT[Model]&amp;ROW('Discrete Loads'!J7),Hazards_APPURT[Front CaAa],0,0,1),
    _xlpm.CaAa_Side,    _xlfn.XLOOKUP(Code!$U19&amp;ROW()-12,Calculations_APPURT[Model]&amp;ROW('Discrete Loads'!J7),Hazards_APPURT[Side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AF19" s="342" t="str" cm="1">
        <f t="array" ref="AF19">_xlfn.LET(
    _xlpm.model,        'Discrete Loads'!$B7,
    _xlpm.Shape,        'Discrete Loads'!$E7,
    _xlpm.Direction,    AF$15,
    _xlpm.Azimuth,      0,
    _xlpm.CaAa_Front,   _xlfn.XLOOKUP(Code!$U19&amp;ROW()-12,Calculations_APPURT[Model]&amp;ROW('Discrete Loads'!K7),Hazards_APPURT[Front CaAa],0,0,1),
    _xlpm.CaAa_Side,    _xlfn.XLOOKUP(Code!$U19&amp;ROW()-12,Calculations_APPURT[Model]&amp;ROW('Discrete Loads'!K7),Hazards_APPURT[Side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AG19" s="342" t="str" cm="1">
        <f t="array" ref="AG19">_xlfn.LET(
    _xlpm.model,        'Discrete Loads'!$B7,
    _xlpm.Shape,        'Discrete Loads'!$E7,
    _xlpm.Direction,    AG$15,
    _xlpm.Azimuth,      0,
    _xlpm.CaAa_Front,   _xlfn.XLOOKUP(Code!$U19&amp;ROW()-12,Calculations_APPURT[Model]&amp;ROW('Discrete Loads'!L7),Hazards_APPURT[Front CaAa],0,0,1),
    _xlpm.CaAa_Side,    _xlfn.XLOOKUP(Code!$U19&amp;ROW()-12,Calculations_APPURT[Model]&amp;ROW('Discrete Loads'!L7),Hazards_APPURT[Side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AH19" s="342" t="str" cm="1">
        <f t="array" ref="AH19">_xlfn.LET(
    _xlpm.model,        'Discrete Loads'!$B7,
    _xlpm.Shape,        'Discrete Loads'!$E7,
    _xlpm.Direction,    AH$15,
    _xlpm.Azimuth,      0,
    _xlpm.CaAa_Front,   _xlfn.XLOOKUP(Code!$U19&amp;ROW()-12,Calculations_APPURT[Model]&amp;ROW('Discrete Loads'!M7),Hazards_APPURT[Front CaAa],0,0,1),
    _xlpm.CaAa_Side,    _xlfn.XLOOKUP(Code!$U19&amp;ROW()-12,Calculations_APPURT[Model]&amp;ROW('Discrete Loads'!M7),Hazards_APPURT[Side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IF($U19="","",IF(_xlpm.Shape="CFD", _xlpm.CFD_val, _xlpm.CaAa_Front*COS(PI()/180*(_xlpm.Direction+_xlpm.Azimuth))^2 + _xlpm.CaAa_Side*SIN(PI()/180*(_xlpm.Direction+_xlpm.Azimuth))^2)))</f>
        <v/>
      </c>
      <c r="AI19" s="340" t="str" cm="1">
        <f t="array" ref="AI19">IF($U19="","",_xlfn.XLOOKUP($U19&amp;(ROW()-12),Calculations_APPURT[Model]&amp;ROW(Calculations_APPURT[Model]),IF(Calculations_APPURT[Shape]&lt;&gt;"CFD","TIA","Manufacturer*"),"",0,1))</f>
        <v/>
      </c>
      <c r="AJ19" s="364" t="str" cm="1">
        <f t="array" ref="AJ19">IF(U19="","",_xlfn.XLOOKUP($U19&amp;(ROW()-12),Calculations_APPURT[Model]&amp;ROW(Calculations_APPURT[Model]),Hazards_APPURT[qz],"",0,1))</f>
        <v/>
      </c>
      <c r="AK19" s="367" t="str" cm="1">
        <f t="array" ref="AK19">IF(U19="","",_xlfn.XLOOKUP($U19&amp;(ROW()-12),Calculations_APPURT[Model]&amp;ROW(Calculations_APPURT[Model]),Dimensions_APPURT[Weight (lbf)],"",0,1))</f>
        <v/>
      </c>
      <c r="AM19" s="449"/>
      <c r="AN19" s="449"/>
      <c r="AO19" s="449"/>
      <c r="AP19" s="449"/>
      <c r="AQ19" s="300"/>
      <c r="AR19" s="452"/>
      <c r="AS19" s="452"/>
      <c r="AT19" s="452"/>
      <c r="AU19" s="452"/>
      <c r="AW19" s="476" t="s">
        <v>1783</v>
      </c>
      <c r="AX19" s="476"/>
      <c r="AY19" s="476"/>
      <c r="AZ19" s="476"/>
      <c r="BA19" s="476" t="s">
        <v>1783</v>
      </c>
      <c r="BB19" s="476"/>
      <c r="BC19" s="476"/>
      <c r="BD19" s="476"/>
      <c r="BR19" s="57"/>
      <c r="BS19" s="57"/>
      <c r="BT19" s="57"/>
      <c r="BU19" s="57"/>
      <c r="BV19" s="57"/>
    </row>
    <row r="20" spans="1:74" ht="15" customHeight="1" thickBot="1" x14ac:dyDescent="0.25">
      <c r="A20" s="396" t="s">
        <v>119</v>
      </c>
      <c r="B20" s="396"/>
      <c r="C20" s="396"/>
      <c r="D20" s="396"/>
      <c r="F20" s="399" t="s">
        <v>120</v>
      </c>
      <c r="G20" s="399"/>
      <c r="H20" s="399"/>
      <c r="I20" s="399"/>
      <c r="K20" s="392" t="s">
        <v>121</v>
      </c>
      <c r="L20" s="392"/>
      <c r="M20" s="392">
        <v>0.9</v>
      </c>
      <c r="N20" s="392"/>
      <c r="P20" s="399" t="s">
        <v>122</v>
      </c>
      <c r="Q20" s="399"/>
      <c r="R20" s="399"/>
      <c r="S20" s="399"/>
      <c r="U20" s="474" t="str">
        <f>IF(ISBLANK('Discrete Loads'!B8),"",'Discrete Loads'!B8)</f>
        <v/>
      </c>
      <c r="V20" s="474"/>
      <c r="W20" s="341" t="str" cm="1">
        <f t="array" ref="W20">_xlfn.LET(
    _xlpm.model,        'Discrete Loads'!$B8,
    _xlpm.Shape,        'Discrete Loads'!$E8,
    _xlpm.Direction,    W$15,
    _xlpm.Azimuth,      0,
    _xlpm.CaAa_Front,   _xlfn.XLOOKUP(Code!$U20&amp;ROW()-12,Calculations_APPURT[Model]&amp;ROW('Discrete Loads'!B8),Hazards_APPURT[Front CaAa],0,0,1),
    _xlpm.CaAa_Side,    _xlfn.XLOOKUP(Code!$U20&amp;ROW()-12,Calculations_APPURT[Model]&amp;ROW('Discrete Loads'!B8),Hazards_APPURT[Side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X20" s="341" t="str" cm="1">
        <f t="array" ref="X20">_xlfn.LET(
    _xlpm.model,        'Discrete Loads'!$B8,
    _xlpm.Shape,        'Discrete Loads'!$E8,
    _xlpm.Direction,    X$15,
    _xlpm.Azimuth,      0,
    _xlpm.CaAa_Front,   _xlfn.XLOOKUP(Code!$U20&amp;ROW()-12,Calculations_APPURT[Model]&amp;ROW('Discrete Loads'!C8),Hazards_APPURT[Front CaAa],0,0,1),
    _xlpm.CaAa_Side,    _xlfn.XLOOKUP(Code!$U20&amp;ROW()-12,Calculations_APPURT[Model]&amp;ROW('Discrete Loads'!C8),Hazards_APPURT[Side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Y20" s="341" t="str" cm="1">
        <f t="array" ref="Y20">_xlfn.LET(
    _xlpm.model,        'Discrete Loads'!$B8,
    _xlpm.Shape,        'Discrete Loads'!$E8,
    _xlpm.Direction,    Y$15,
    _xlpm.Azimuth,      0,
    _xlpm.CaAa_Front,   _xlfn.XLOOKUP(Code!$U20&amp;ROW()-12,Calculations_APPURT[Model]&amp;ROW('Discrete Loads'!D8),Hazards_APPURT[Front CaAa],0,0,1),
    _xlpm.CaAa_Side,    _xlfn.XLOOKUP(Code!$U20&amp;ROW()-12,Calculations_APPURT[Model]&amp;ROW('Discrete Loads'!D8),Hazards_APPURT[Side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Z20" s="341" t="str" cm="1">
        <f t="array" ref="Z20">_xlfn.LET(
    _xlpm.model,        'Discrete Loads'!$B8,
    _xlpm.Shape,        'Discrete Loads'!$E8,
    _xlpm.Direction,    Z$15,
    _xlpm.Azimuth,      0,
    _xlpm.CaAa_Front,   _xlfn.XLOOKUP(Code!$U20&amp;ROW()-12,Calculations_APPURT[Model]&amp;ROW('Discrete Loads'!E8),Hazards_APPURT[Front CaAa],0,0,1),
    _xlpm.CaAa_Side,    _xlfn.XLOOKUP(Code!$U20&amp;ROW()-12,Calculations_APPURT[Model]&amp;ROW('Discrete Loads'!E8),Hazards_APPURT[Side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AA20" s="341" t="str" cm="1">
        <f t="array" ref="AA20">_xlfn.LET(
    _xlpm.model,        'Discrete Loads'!$B8,
    _xlpm.Shape,        'Discrete Loads'!$E8,
    _xlpm.Direction,    AA$15,
    _xlpm.Azimuth,      0,
    _xlpm.CaAa_Front,   _xlfn.XLOOKUP(Code!$U20&amp;ROW()-12,Calculations_APPURT[Model]&amp;ROW('Discrete Loads'!F8),Hazards_APPURT[Front CaAa],0,0,1),
    _xlpm.CaAa_Side,    _xlfn.XLOOKUP(Code!$U20&amp;ROW()-12,Calculations_APPURT[Model]&amp;ROW('Discrete Loads'!F8),Hazards_APPURT[Side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AB20" s="341" t="str" cm="1">
        <f t="array" ref="AB20">_xlfn.LET(
    _xlpm.model,        'Discrete Loads'!$B8,
    _xlpm.Shape,        'Discrete Loads'!$E8,
    _xlpm.Direction,    AB$15,
    _xlpm.Azimuth,      0,
    _xlpm.CaAa_Front,   _xlfn.XLOOKUP(Code!$U20&amp;ROW()-12,Calculations_APPURT[Model]&amp;ROW('Discrete Loads'!G8),Hazards_APPURT[Front CaAa],0,0,1),
    _xlpm.CaAa_Side,    _xlfn.XLOOKUP(Code!$U20&amp;ROW()-12,Calculations_APPURT[Model]&amp;ROW('Discrete Loads'!G8),Hazards_APPURT[Side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AC20" s="341" t="str" cm="1">
        <f t="array" ref="AC20">_xlfn.LET(
    _xlpm.model,        'Discrete Loads'!$B8,
    _xlpm.Shape,        'Discrete Loads'!$E8,
    _xlpm.Direction,    AC$15,
    _xlpm.Azimuth,      0,
    _xlpm.CaAa_Front,   _xlfn.XLOOKUP(Code!$U20&amp;ROW()-12,Calculations_APPURT[Model]&amp;ROW('Discrete Loads'!H8),Hazards_APPURT[Front CaAa],0,0,1),
    _xlpm.CaAa_Side,    _xlfn.XLOOKUP(Code!$U20&amp;ROW()-12,Calculations_APPURT[Model]&amp;ROW('Discrete Loads'!H8),Hazards_APPURT[Side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AD20" s="341" t="str" cm="1">
        <f t="array" ref="AD20">_xlfn.LET(
    _xlpm.model,        'Discrete Loads'!$B8,
    _xlpm.Shape,        'Discrete Loads'!$E8,
    _xlpm.Direction,    AD$15,
    _xlpm.Azimuth,      0,
    _xlpm.CaAa_Front,   _xlfn.XLOOKUP(Code!$U20&amp;ROW()-12,Calculations_APPURT[Model]&amp;ROW('Discrete Loads'!I8),Hazards_APPURT[Front CaAa],0,0,1),
    _xlpm.CaAa_Side,    _xlfn.XLOOKUP(Code!$U20&amp;ROW()-12,Calculations_APPURT[Model]&amp;ROW('Discrete Loads'!I8),Hazards_APPURT[Side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AE20" s="341" t="str" cm="1">
        <f t="array" ref="AE20">_xlfn.LET(
    _xlpm.model,        'Discrete Loads'!$B8,
    _xlpm.Shape,        'Discrete Loads'!$E8,
    _xlpm.Direction,    AE$15,
    _xlpm.Azimuth,      0,
    _xlpm.CaAa_Front,   _xlfn.XLOOKUP(Code!$U20&amp;ROW()-12,Calculations_APPURT[Model]&amp;ROW('Discrete Loads'!J8),Hazards_APPURT[Front CaAa],0,0,1),
    _xlpm.CaAa_Side,    _xlfn.XLOOKUP(Code!$U20&amp;ROW()-12,Calculations_APPURT[Model]&amp;ROW('Discrete Loads'!J8),Hazards_APPURT[Side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AF20" s="341" t="str" cm="1">
        <f t="array" ref="AF20">_xlfn.LET(
    _xlpm.model,        'Discrete Loads'!$B8,
    _xlpm.Shape,        'Discrete Loads'!$E8,
    _xlpm.Direction,    AF$15,
    _xlpm.Azimuth,      0,
    _xlpm.CaAa_Front,   _xlfn.XLOOKUP(Code!$U20&amp;ROW()-12,Calculations_APPURT[Model]&amp;ROW('Discrete Loads'!K8),Hazards_APPURT[Front CaAa],0,0,1),
    _xlpm.CaAa_Side,    _xlfn.XLOOKUP(Code!$U20&amp;ROW()-12,Calculations_APPURT[Model]&amp;ROW('Discrete Loads'!K8),Hazards_APPURT[Side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AG20" s="341" t="str" cm="1">
        <f t="array" ref="AG20">_xlfn.LET(
    _xlpm.model,        'Discrete Loads'!$B8,
    _xlpm.Shape,        'Discrete Loads'!$E8,
    _xlpm.Direction,    AG$15,
    _xlpm.Azimuth,      0,
    _xlpm.CaAa_Front,   _xlfn.XLOOKUP(Code!$U20&amp;ROW()-12,Calculations_APPURT[Model]&amp;ROW('Discrete Loads'!L8),Hazards_APPURT[Front CaAa],0,0,1),
    _xlpm.CaAa_Side,    _xlfn.XLOOKUP(Code!$U20&amp;ROW()-12,Calculations_APPURT[Model]&amp;ROW('Discrete Loads'!L8),Hazards_APPURT[Side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AH20" s="341" t="str" cm="1">
        <f t="array" ref="AH20">_xlfn.LET(
    _xlpm.model,        'Discrete Loads'!$B8,
    _xlpm.Shape,        'Discrete Loads'!$E8,
    _xlpm.Direction,    AH$15,
    _xlpm.Azimuth,      0,
    _xlpm.CaAa_Front,   _xlfn.XLOOKUP(Code!$U20&amp;ROW()-12,Calculations_APPURT[Model]&amp;ROW('Discrete Loads'!M8),Hazards_APPURT[Front CaAa],0,0,1),
    _xlpm.CaAa_Side,    _xlfn.XLOOKUP(Code!$U20&amp;ROW()-12,Calculations_APPURT[Model]&amp;ROW('Discrete Loads'!M8),Hazards_APPURT[Side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IF($U20="","",IF(_xlpm.Shape="CFD", _xlpm.CFD_val, _xlpm.CaAa_Front*COS(PI()/180*(_xlpm.Direction+_xlpm.Azimuth))^2 + _xlpm.CaAa_Side*SIN(PI()/180*(_xlpm.Direction+_xlpm.Azimuth))^2)))</f>
        <v/>
      </c>
      <c r="AI20" s="339" t="str" cm="1">
        <f t="array" ref="AI20">IF($U20="","",_xlfn.XLOOKUP($U20&amp;(ROW()-12),Calculations_APPURT[Model]&amp;ROW(Calculations_APPURT[Model]),IF(Calculations_APPURT[Shape]&lt;&gt;"CFD","TIA","Manufacturer*"),"",0,1))</f>
        <v/>
      </c>
      <c r="AJ20" s="363" t="str" cm="1">
        <f t="array" ref="AJ20">IF(U20="","",_xlfn.XLOOKUP($U20&amp;(ROW()-12),Calculations_APPURT[Model]&amp;ROW(Calculations_APPURT[Model]),Hazards_APPURT[qz],"",0,1))</f>
        <v/>
      </c>
      <c r="AK20" s="366" t="str" cm="1">
        <f t="array" ref="AK20">IF(U20="","",_xlfn.XLOOKUP($U20&amp;(ROW()-12),Calculations_APPURT[Model]&amp;ROW(Calculations_APPURT[Model]),Dimensions_APPURT[Weight (lbf)],"",0,1))</f>
        <v/>
      </c>
      <c r="AM20" s="449"/>
      <c r="AN20" s="449"/>
      <c r="AO20" s="449"/>
      <c r="AP20" s="449"/>
      <c r="AQ20" s="300"/>
      <c r="AR20" s="452"/>
      <c r="AS20" s="452"/>
      <c r="AT20" s="452"/>
      <c r="AU20" s="452"/>
      <c r="AW20" s="387">
        <v>1</v>
      </c>
      <c r="AX20" s="389"/>
      <c r="AY20" s="467"/>
      <c r="AZ20" s="469"/>
      <c r="BA20" s="387">
        <v>1</v>
      </c>
      <c r="BB20" s="389"/>
      <c r="BC20" s="467"/>
      <c r="BD20" s="469"/>
    </row>
    <row r="21" spans="1:74" ht="15" customHeight="1" thickBot="1" x14ac:dyDescent="0.25">
      <c r="A21" s="399" t="s">
        <v>123</v>
      </c>
      <c r="B21" s="399"/>
      <c r="C21" s="399" t="s">
        <v>124</v>
      </c>
      <c r="D21" s="399"/>
      <c r="F21" s="413" t="s">
        <v>125</v>
      </c>
      <c r="G21" s="413"/>
      <c r="H21" s="413"/>
      <c r="I21" s="413"/>
      <c r="K21" s="396" t="s">
        <v>126</v>
      </c>
      <c r="L21" s="396"/>
      <c r="M21" s="396"/>
      <c r="N21" s="396"/>
      <c r="P21" s="404" t="s">
        <v>127</v>
      </c>
      <c r="Q21" s="404"/>
      <c r="R21" s="404"/>
      <c r="S21" s="404"/>
      <c r="U21" s="386" t="str">
        <f>IF(ISBLANK('Discrete Loads'!B9),"",'Discrete Loads'!B9)</f>
        <v/>
      </c>
      <c r="V21" s="386"/>
      <c r="W21" s="342" t="str" cm="1">
        <f t="array" ref="W21">_xlfn.LET(
    _xlpm.model,        'Discrete Loads'!$B9,
    _xlpm.Shape,        'Discrete Loads'!$E9,
    _xlpm.Direction,    W$15,
    _xlpm.Azimuth,      0,
    _xlpm.CaAa_Front,   _xlfn.XLOOKUP(Code!$U21&amp;ROW()-12,Calculations_APPURT[Model]&amp;ROW('Discrete Loads'!B9),Hazards_APPURT[Front CaAa],0,0,1),
    _xlpm.CaAa_Side,    _xlfn.XLOOKUP(Code!$U21&amp;ROW()-12,Calculations_APPURT[Model]&amp;ROW('Discrete Loads'!B9),Hazards_APPURT[Side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X21" s="342" t="str" cm="1">
        <f t="array" ref="X21">_xlfn.LET(
    _xlpm.model,        'Discrete Loads'!$B9,
    _xlpm.Shape,        'Discrete Loads'!$E9,
    _xlpm.Direction,    X$15,
    _xlpm.Azimuth,      0,
    _xlpm.CaAa_Front,   _xlfn.XLOOKUP(Code!$U21&amp;ROW()-12,Calculations_APPURT[Model]&amp;ROW('Discrete Loads'!C9),Hazards_APPURT[Front CaAa],0,0,1),
    _xlpm.CaAa_Side,    _xlfn.XLOOKUP(Code!$U21&amp;ROW()-12,Calculations_APPURT[Model]&amp;ROW('Discrete Loads'!C9),Hazards_APPURT[Side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Y21" s="342" t="str" cm="1">
        <f t="array" ref="Y21">_xlfn.LET(
    _xlpm.model,        'Discrete Loads'!$B9,
    _xlpm.Shape,        'Discrete Loads'!$E9,
    _xlpm.Direction,    Y$15,
    _xlpm.Azimuth,      0,
    _xlpm.CaAa_Front,   _xlfn.XLOOKUP(Code!$U21&amp;ROW()-12,Calculations_APPURT[Model]&amp;ROW('Discrete Loads'!D9),Hazards_APPURT[Front CaAa],0,0,1),
    _xlpm.CaAa_Side,    _xlfn.XLOOKUP(Code!$U21&amp;ROW()-12,Calculations_APPURT[Model]&amp;ROW('Discrete Loads'!D9),Hazards_APPURT[Side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Z21" s="342" t="str" cm="1">
        <f t="array" ref="Z21">_xlfn.LET(
    _xlpm.model,        'Discrete Loads'!$B9,
    _xlpm.Shape,        'Discrete Loads'!$E9,
    _xlpm.Direction,    Z$15,
    _xlpm.Azimuth,      0,
    _xlpm.CaAa_Front,   _xlfn.XLOOKUP(Code!$U21&amp;ROW()-12,Calculations_APPURT[Model]&amp;ROW('Discrete Loads'!E9),Hazards_APPURT[Front CaAa],0,0,1),
    _xlpm.CaAa_Side,    _xlfn.XLOOKUP(Code!$U21&amp;ROW()-12,Calculations_APPURT[Model]&amp;ROW('Discrete Loads'!E9),Hazards_APPURT[Side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AA21" s="342" t="str" cm="1">
        <f t="array" ref="AA21">_xlfn.LET(
    _xlpm.model,        'Discrete Loads'!$B9,
    _xlpm.Shape,        'Discrete Loads'!$E9,
    _xlpm.Direction,    AA$15,
    _xlpm.Azimuth,      0,
    _xlpm.CaAa_Front,   _xlfn.XLOOKUP(Code!$U21&amp;ROW()-12,Calculations_APPURT[Model]&amp;ROW('Discrete Loads'!F9),Hazards_APPURT[Front CaAa],0,0,1),
    _xlpm.CaAa_Side,    _xlfn.XLOOKUP(Code!$U21&amp;ROW()-12,Calculations_APPURT[Model]&amp;ROW('Discrete Loads'!F9),Hazards_APPURT[Side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AB21" s="342" t="str" cm="1">
        <f t="array" ref="AB21">_xlfn.LET(
    _xlpm.model,        'Discrete Loads'!$B9,
    _xlpm.Shape,        'Discrete Loads'!$E9,
    _xlpm.Direction,    AB$15,
    _xlpm.Azimuth,      0,
    _xlpm.CaAa_Front,   _xlfn.XLOOKUP(Code!$U21&amp;ROW()-12,Calculations_APPURT[Model]&amp;ROW('Discrete Loads'!G9),Hazards_APPURT[Front CaAa],0,0,1),
    _xlpm.CaAa_Side,    _xlfn.XLOOKUP(Code!$U21&amp;ROW()-12,Calculations_APPURT[Model]&amp;ROW('Discrete Loads'!G9),Hazards_APPURT[Side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AC21" s="342" t="str" cm="1">
        <f t="array" ref="AC21">_xlfn.LET(
    _xlpm.model,        'Discrete Loads'!$B9,
    _xlpm.Shape,        'Discrete Loads'!$E9,
    _xlpm.Direction,    AC$15,
    _xlpm.Azimuth,      0,
    _xlpm.CaAa_Front,   _xlfn.XLOOKUP(Code!$U21&amp;ROW()-12,Calculations_APPURT[Model]&amp;ROW('Discrete Loads'!H9),Hazards_APPURT[Front CaAa],0,0,1),
    _xlpm.CaAa_Side,    _xlfn.XLOOKUP(Code!$U21&amp;ROW()-12,Calculations_APPURT[Model]&amp;ROW('Discrete Loads'!H9),Hazards_APPURT[Side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AD21" s="342" t="str" cm="1">
        <f t="array" ref="AD21">_xlfn.LET(
    _xlpm.model,        'Discrete Loads'!$B9,
    _xlpm.Shape,        'Discrete Loads'!$E9,
    _xlpm.Direction,    AD$15,
    _xlpm.Azimuth,      0,
    _xlpm.CaAa_Front,   _xlfn.XLOOKUP(Code!$U21&amp;ROW()-12,Calculations_APPURT[Model]&amp;ROW('Discrete Loads'!I9),Hazards_APPURT[Front CaAa],0,0,1),
    _xlpm.CaAa_Side,    _xlfn.XLOOKUP(Code!$U21&amp;ROW()-12,Calculations_APPURT[Model]&amp;ROW('Discrete Loads'!I9),Hazards_APPURT[Side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AE21" s="342" t="str" cm="1">
        <f t="array" ref="AE21">_xlfn.LET(
    _xlpm.model,        'Discrete Loads'!$B9,
    _xlpm.Shape,        'Discrete Loads'!$E9,
    _xlpm.Direction,    AE$15,
    _xlpm.Azimuth,      0,
    _xlpm.CaAa_Front,   _xlfn.XLOOKUP(Code!$U21&amp;ROW()-12,Calculations_APPURT[Model]&amp;ROW('Discrete Loads'!J9),Hazards_APPURT[Front CaAa],0,0,1),
    _xlpm.CaAa_Side,    _xlfn.XLOOKUP(Code!$U21&amp;ROW()-12,Calculations_APPURT[Model]&amp;ROW('Discrete Loads'!J9),Hazards_APPURT[Side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AF21" s="342" t="str" cm="1">
        <f t="array" ref="AF21">_xlfn.LET(
    _xlpm.model,        'Discrete Loads'!$B9,
    _xlpm.Shape,        'Discrete Loads'!$E9,
    _xlpm.Direction,    AF$15,
    _xlpm.Azimuth,      0,
    _xlpm.CaAa_Front,   _xlfn.XLOOKUP(Code!$U21&amp;ROW()-12,Calculations_APPURT[Model]&amp;ROW('Discrete Loads'!K9),Hazards_APPURT[Front CaAa],0,0,1),
    _xlpm.CaAa_Side,    _xlfn.XLOOKUP(Code!$U21&amp;ROW()-12,Calculations_APPURT[Model]&amp;ROW('Discrete Loads'!K9),Hazards_APPURT[Side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AG21" s="342" t="str" cm="1">
        <f t="array" ref="AG21">_xlfn.LET(
    _xlpm.model,        'Discrete Loads'!$B9,
    _xlpm.Shape,        'Discrete Loads'!$E9,
    _xlpm.Direction,    AG$15,
    _xlpm.Azimuth,      0,
    _xlpm.CaAa_Front,   _xlfn.XLOOKUP(Code!$U21&amp;ROW()-12,Calculations_APPURT[Model]&amp;ROW('Discrete Loads'!L9),Hazards_APPURT[Front CaAa],0,0,1),
    _xlpm.CaAa_Side,    _xlfn.XLOOKUP(Code!$U21&amp;ROW()-12,Calculations_APPURT[Model]&amp;ROW('Discrete Loads'!L9),Hazards_APPURT[Side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AH21" s="342" t="str" cm="1">
        <f t="array" ref="AH21">_xlfn.LET(
    _xlpm.model,        'Discrete Loads'!$B9,
    _xlpm.Shape,        'Discrete Loads'!$E9,
    _xlpm.Direction,    AH$15,
    _xlpm.Azimuth,      0,
    _xlpm.CaAa_Front,   _xlfn.XLOOKUP(Code!$U21&amp;ROW()-12,Calculations_APPURT[Model]&amp;ROW('Discrete Loads'!M9),Hazards_APPURT[Front CaAa],0,0,1),
    _xlpm.CaAa_Side,    _xlfn.XLOOKUP(Code!$U21&amp;ROW()-12,Calculations_APPURT[Model]&amp;ROW('Discrete Loads'!M9),Hazards_APPURT[Side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IF($U21="","",IF(_xlpm.Shape="CFD", _xlpm.CFD_val, _xlpm.CaAa_Front*COS(PI()/180*(_xlpm.Direction+_xlpm.Azimuth))^2 + _xlpm.CaAa_Side*SIN(PI()/180*(_xlpm.Direction+_xlpm.Azimuth))^2)))</f>
        <v/>
      </c>
      <c r="AI21" s="340" t="str" cm="1">
        <f t="array" ref="AI21">IF($U21="","",_xlfn.XLOOKUP($U21&amp;(ROW()-12),Calculations_APPURT[Model]&amp;ROW(Calculations_APPURT[Model]),IF(Calculations_APPURT[Shape]&lt;&gt;"CFD","TIA","Manufacturer*"),"",0,1))</f>
        <v/>
      </c>
      <c r="AJ21" s="364" t="str" cm="1">
        <f t="array" ref="AJ21">IF(U21="","",_xlfn.XLOOKUP($U21&amp;(ROW()-12),Calculations_APPURT[Model]&amp;ROW(Calculations_APPURT[Model]),Hazards_APPURT[qz],"",0,1))</f>
        <v/>
      </c>
      <c r="AK21" s="367" t="str" cm="1">
        <f t="array" ref="AK21">IF(U21="","",_xlfn.XLOOKUP($U21&amp;(ROW()-12),Calculations_APPURT[Model]&amp;ROW(Calculations_APPURT[Model]),Dimensions_APPURT[Weight (lbf)],"",0,1))</f>
        <v/>
      </c>
      <c r="AM21" s="449"/>
      <c r="AN21" s="449"/>
      <c r="AO21" s="449"/>
      <c r="AP21" s="449"/>
      <c r="AQ21" s="300"/>
      <c r="AR21" s="452"/>
      <c r="AS21" s="452"/>
      <c r="AT21" s="452"/>
      <c r="AU21" s="452"/>
      <c r="AW21" s="476" t="s">
        <v>1784</v>
      </c>
      <c r="AX21" s="476"/>
      <c r="AY21" s="476"/>
      <c r="AZ21" s="476"/>
      <c r="BA21" s="476" t="s">
        <v>1784</v>
      </c>
      <c r="BB21" s="476"/>
      <c r="BC21" s="476"/>
      <c r="BD21" s="476"/>
    </row>
    <row r="22" spans="1:74" ht="15" customHeight="1" thickBot="1" x14ac:dyDescent="0.25">
      <c r="A22" s="393" t="s">
        <v>128</v>
      </c>
      <c r="B22" s="393"/>
      <c r="C22" s="414"/>
      <c r="D22" s="414"/>
      <c r="F22" s="396" t="s">
        <v>129</v>
      </c>
      <c r="G22" s="396"/>
      <c r="H22" s="396"/>
      <c r="I22" s="396"/>
      <c r="K22" s="399" t="s">
        <v>130</v>
      </c>
      <c r="L22" s="399"/>
      <c r="M22" s="398" t="str" cm="1">
        <f t="array" ref="M22">IFERROR(IF(Exposure="BC",AVERAGE(MAX(MIN(2.41*(z/zg.US)^(2/alpha),2.41),Kzmin),MAX(MIN(2.41*(z/zg.US_c)^(2/alpha_c),2.41),Kzmin_c)),
IF(AND(RIGHT(TIA,1)="I",Exposure="D",Hurricane_Prone="Yes"),Kz_Exposure_D,
IF(Kzmin&gt;=Kz_Factor*(z/zg.US)^(2/alpha),Kzmin,IF(Kz_Factor&lt;=Kz_Factor*(z/zg.US)^(2/alpha),Kz_Factor,Kz_Factor*(z/zg.US)^(2/alpha))))),"N/A")</f>
        <v>N/A</v>
      </c>
      <c r="N22" s="398"/>
      <c r="P22" s="399" t="s">
        <v>131</v>
      </c>
      <c r="Q22" s="399"/>
      <c r="R22" s="399"/>
      <c r="S22" s="399"/>
      <c r="U22" s="474" t="str">
        <f>IF(ISBLANK('Discrete Loads'!B10),"",'Discrete Loads'!B10)</f>
        <v/>
      </c>
      <c r="V22" s="474"/>
      <c r="W22" s="341" t="str" cm="1">
        <f t="array" ref="W22">_xlfn.LET(
    _xlpm.model,        'Discrete Loads'!$B10,
    _xlpm.Shape,        'Discrete Loads'!$E10,
    _xlpm.Direction,    W$15,
    _xlpm.Azimuth,      0,
    _xlpm.CaAa_Front,   _xlfn.XLOOKUP(Code!$U22&amp;ROW()-12,Calculations_APPURT[Model]&amp;ROW('Discrete Loads'!B10),Hazards_APPURT[Front CaAa],0,0,1),
    _xlpm.CaAa_Side,    _xlfn.XLOOKUP(Code!$U22&amp;ROW()-12,Calculations_APPURT[Model]&amp;ROW('Discrete Loads'!B10),Hazards_APPURT[Side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X22" s="341" t="str" cm="1">
        <f t="array" ref="X22">_xlfn.LET(
    _xlpm.model,        'Discrete Loads'!$B10,
    _xlpm.Shape,        'Discrete Loads'!$E10,
    _xlpm.Direction,    X$15,
    _xlpm.Azimuth,      0,
    _xlpm.CaAa_Front,   _xlfn.XLOOKUP(Code!$U22&amp;ROW()-12,Calculations_APPURT[Model]&amp;ROW('Discrete Loads'!C10),Hazards_APPURT[Front CaAa],0,0,1),
    _xlpm.CaAa_Side,    _xlfn.XLOOKUP(Code!$U22&amp;ROW()-12,Calculations_APPURT[Model]&amp;ROW('Discrete Loads'!C10),Hazards_APPURT[Side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Y22" s="341" t="str" cm="1">
        <f t="array" ref="Y22">_xlfn.LET(
    _xlpm.model,        'Discrete Loads'!$B10,
    _xlpm.Shape,        'Discrete Loads'!$E10,
    _xlpm.Direction,    Y$15,
    _xlpm.Azimuth,      0,
    _xlpm.CaAa_Front,   _xlfn.XLOOKUP(Code!$U22&amp;ROW()-12,Calculations_APPURT[Model]&amp;ROW('Discrete Loads'!D10),Hazards_APPURT[Front CaAa],0,0,1),
    _xlpm.CaAa_Side,    _xlfn.XLOOKUP(Code!$U22&amp;ROW()-12,Calculations_APPURT[Model]&amp;ROW('Discrete Loads'!D10),Hazards_APPURT[Side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Z22" s="341" t="str" cm="1">
        <f t="array" ref="Z22">_xlfn.LET(
    _xlpm.model,        'Discrete Loads'!$B10,
    _xlpm.Shape,        'Discrete Loads'!$E10,
    _xlpm.Direction,    Z$15,
    _xlpm.Azimuth,      0,
    _xlpm.CaAa_Front,   _xlfn.XLOOKUP(Code!$U22&amp;ROW()-12,Calculations_APPURT[Model]&amp;ROW('Discrete Loads'!E10),Hazards_APPURT[Front CaAa],0,0,1),
    _xlpm.CaAa_Side,    _xlfn.XLOOKUP(Code!$U22&amp;ROW()-12,Calculations_APPURT[Model]&amp;ROW('Discrete Loads'!E10),Hazards_APPURT[Side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AA22" s="341" t="str" cm="1">
        <f t="array" ref="AA22">_xlfn.LET(
    _xlpm.model,        'Discrete Loads'!$B10,
    _xlpm.Shape,        'Discrete Loads'!$E10,
    _xlpm.Direction,    AA$15,
    _xlpm.Azimuth,      0,
    _xlpm.CaAa_Front,   _xlfn.XLOOKUP(Code!$U22&amp;ROW()-12,Calculations_APPURT[Model]&amp;ROW('Discrete Loads'!F10),Hazards_APPURT[Front CaAa],0,0,1),
    _xlpm.CaAa_Side,    _xlfn.XLOOKUP(Code!$U22&amp;ROW()-12,Calculations_APPURT[Model]&amp;ROW('Discrete Loads'!F10),Hazards_APPURT[Side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AB22" s="341" t="str" cm="1">
        <f t="array" ref="AB22">_xlfn.LET(
    _xlpm.model,        'Discrete Loads'!$B10,
    _xlpm.Shape,        'Discrete Loads'!$E10,
    _xlpm.Direction,    AB$15,
    _xlpm.Azimuth,      0,
    _xlpm.CaAa_Front,   _xlfn.XLOOKUP(Code!$U22&amp;ROW()-12,Calculations_APPURT[Model]&amp;ROW('Discrete Loads'!G10),Hazards_APPURT[Front CaAa],0,0,1),
    _xlpm.CaAa_Side,    _xlfn.XLOOKUP(Code!$U22&amp;ROW()-12,Calculations_APPURT[Model]&amp;ROW('Discrete Loads'!G10),Hazards_APPURT[Side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AC22" s="341" t="str" cm="1">
        <f t="array" ref="AC22">_xlfn.LET(
    _xlpm.model,        'Discrete Loads'!$B10,
    _xlpm.Shape,        'Discrete Loads'!$E10,
    _xlpm.Direction,    AC$15,
    _xlpm.Azimuth,      0,
    _xlpm.CaAa_Front,   _xlfn.XLOOKUP(Code!$U22&amp;ROW()-12,Calculations_APPURT[Model]&amp;ROW('Discrete Loads'!H10),Hazards_APPURT[Front CaAa],0,0,1),
    _xlpm.CaAa_Side,    _xlfn.XLOOKUP(Code!$U22&amp;ROW()-12,Calculations_APPURT[Model]&amp;ROW('Discrete Loads'!H10),Hazards_APPURT[Side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AD22" s="341" t="str" cm="1">
        <f t="array" ref="AD22">_xlfn.LET(
    _xlpm.model,        'Discrete Loads'!$B10,
    _xlpm.Shape,        'Discrete Loads'!$E10,
    _xlpm.Direction,    AD$15,
    _xlpm.Azimuth,      0,
    _xlpm.CaAa_Front,   _xlfn.XLOOKUP(Code!$U22&amp;ROW()-12,Calculations_APPURT[Model]&amp;ROW('Discrete Loads'!I10),Hazards_APPURT[Front CaAa],0,0,1),
    _xlpm.CaAa_Side,    _xlfn.XLOOKUP(Code!$U22&amp;ROW()-12,Calculations_APPURT[Model]&amp;ROW('Discrete Loads'!I10),Hazards_APPURT[Side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AE22" s="341" t="str" cm="1">
        <f t="array" ref="AE22">_xlfn.LET(
    _xlpm.model,        'Discrete Loads'!$B10,
    _xlpm.Shape,        'Discrete Loads'!$E10,
    _xlpm.Direction,    AE$15,
    _xlpm.Azimuth,      0,
    _xlpm.CaAa_Front,   _xlfn.XLOOKUP(Code!$U22&amp;ROW()-12,Calculations_APPURT[Model]&amp;ROW('Discrete Loads'!J10),Hazards_APPURT[Front CaAa],0,0,1),
    _xlpm.CaAa_Side,    _xlfn.XLOOKUP(Code!$U22&amp;ROW()-12,Calculations_APPURT[Model]&amp;ROW('Discrete Loads'!J10),Hazards_APPURT[Side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AF22" s="341" t="str" cm="1">
        <f t="array" ref="AF22">_xlfn.LET(
    _xlpm.model,        'Discrete Loads'!$B10,
    _xlpm.Shape,        'Discrete Loads'!$E10,
    _xlpm.Direction,    AF$15,
    _xlpm.Azimuth,      0,
    _xlpm.CaAa_Front,   _xlfn.XLOOKUP(Code!$U22&amp;ROW()-12,Calculations_APPURT[Model]&amp;ROW('Discrete Loads'!K10),Hazards_APPURT[Front CaAa],0,0,1),
    _xlpm.CaAa_Side,    _xlfn.XLOOKUP(Code!$U22&amp;ROW()-12,Calculations_APPURT[Model]&amp;ROW('Discrete Loads'!K10),Hazards_APPURT[Side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AG22" s="341" t="str" cm="1">
        <f t="array" ref="AG22">_xlfn.LET(
    _xlpm.model,        'Discrete Loads'!$B10,
    _xlpm.Shape,        'Discrete Loads'!$E10,
    _xlpm.Direction,    AG$15,
    _xlpm.Azimuth,      0,
    _xlpm.CaAa_Front,   _xlfn.XLOOKUP(Code!$U22&amp;ROW()-12,Calculations_APPURT[Model]&amp;ROW('Discrete Loads'!L10),Hazards_APPURT[Front CaAa],0,0,1),
    _xlpm.CaAa_Side,    _xlfn.XLOOKUP(Code!$U22&amp;ROW()-12,Calculations_APPURT[Model]&amp;ROW('Discrete Loads'!L10),Hazards_APPURT[Side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AH22" s="341" t="str" cm="1">
        <f t="array" ref="AH22">_xlfn.LET(
    _xlpm.model,        'Discrete Loads'!$B10,
    _xlpm.Shape,        'Discrete Loads'!$E10,
    _xlpm.Direction,    AH$15,
    _xlpm.Azimuth,      0,
    _xlpm.CaAa_Front,   _xlfn.XLOOKUP(Code!$U22&amp;ROW()-12,Calculations_APPURT[Model]&amp;ROW('Discrete Loads'!M10),Hazards_APPURT[Front CaAa],0,0,1),
    _xlpm.CaAa_Side,    _xlfn.XLOOKUP(Code!$U22&amp;ROW()-12,Calculations_APPURT[Model]&amp;ROW('Discrete Loads'!M10),Hazards_APPURT[Side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IF($U22="","",IF(_xlpm.Shape="CFD", _xlpm.CFD_val, _xlpm.CaAa_Front*COS(PI()/180*(_xlpm.Direction+_xlpm.Azimuth))^2 + _xlpm.CaAa_Side*SIN(PI()/180*(_xlpm.Direction+_xlpm.Azimuth))^2)))</f>
        <v/>
      </c>
      <c r="AI22" s="339" t="str" cm="1">
        <f t="array" ref="AI22">IF($U22="","",_xlfn.XLOOKUP($U22&amp;(ROW()-12),Calculations_APPURT[Model]&amp;ROW(Calculations_APPURT[Model]),IF(Calculations_APPURT[Shape]&lt;&gt;"CFD","TIA","Manufacturer*"),"",0,1))</f>
        <v/>
      </c>
      <c r="AJ22" s="363" t="str" cm="1">
        <f t="array" ref="AJ22">IF(U22="","",_xlfn.XLOOKUP($U22&amp;(ROW()-12),Calculations_APPURT[Model]&amp;ROW(Calculations_APPURT[Model]),Hazards_APPURT[qz],"",0,1))</f>
        <v/>
      </c>
      <c r="AK22" s="366" t="str" cm="1">
        <f t="array" ref="AK22">IF(U22="","",_xlfn.XLOOKUP($U22&amp;(ROW()-12),Calculations_APPURT[Model]&amp;ROW(Calculations_APPURT[Model]),Dimensions_APPURT[Weight (lbf)],"",0,1))</f>
        <v/>
      </c>
      <c r="AM22" s="449"/>
      <c r="AN22" s="449"/>
      <c r="AO22" s="449"/>
      <c r="AP22" s="449"/>
      <c r="AQ22" s="300"/>
      <c r="AR22" s="452"/>
      <c r="AS22" s="452"/>
      <c r="AT22" s="452"/>
      <c r="AU22" s="452"/>
      <c r="AW22" s="457" t="s">
        <v>132</v>
      </c>
      <c r="AX22" s="458"/>
      <c r="AY22" s="457" t="s">
        <v>1785</v>
      </c>
      <c r="AZ22" s="458"/>
      <c r="BA22" s="457" t="s">
        <v>110</v>
      </c>
      <c r="BB22" s="458"/>
      <c r="BC22" s="457" t="s">
        <v>111</v>
      </c>
      <c r="BD22" s="458"/>
    </row>
    <row r="23" spans="1:74" ht="15" customHeight="1" x14ac:dyDescent="0.2">
      <c r="A23" s="399" t="str">
        <f>IF(ISNUMBER(SEARCH("SA",D19)),Meta!O8,Meta!O7)</f>
        <v>Maintenance Wind Speed, Vₘ</v>
      </c>
      <c r="B23" s="399"/>
      <c r="C23" s="415">
        <f>IF(ISNUMBER(SEARCH("Service",A23)),60,30)</f>
        <v>30</v>
      </c>
      <c r="D23" s="415"/>
      <c r="F23" s="399" t="s">
        <v>132</v>
      </c>
      <c r="G23" s="399"/>
      <c r="H23" s="416"/>
      <c r="I23" s="416"/>
      <c r="K23" s="404" t="s">
        <v>133</v>
      </c>
      <c r="L23" s="404"/>
      <c r="M23" s="404" t="str">
        <f>IF(ASCE&lt;&gt;"ASCE 7-05","N/A",IF(TIA="ANSI/TIA-222-G",IF(Risk="I",0.87,IF(Risk="II",1,1.15)),"N/A"))</f>
        <v>N/A</v>
      </c>
      <c r="N23" s="404"/>
      <c r="P23" s="404" t="s">
        <v>134</v>
      </c>
      <c r="Q23" s="404"/>
      <c r="R23" s="404"/>
      <c r="S23" s="404"/>
      <c r="U23" s="386" t="str">
        <f>IF(ISBLANK('Discrete Loads'!B11),"",'Discrete Loads'!B11)</f>
        <v/>
      </c>
      <c r="V23" s="386"/>
      <c r="W23" s="342" t="str" cm="1">
        <f t="array" ref="W23">_xlfn.LET(
    _xlpm.model,        'Discrete Loads'!$B11,
    _xlpm.Shape,        'Discrete Loads'!$E11,
    _xlpm.Direction,    W$15,
    _xlpm.Azimuth,      0,
    _xlpm.CaAa_Front,   _xlfn.XLOOKUP(Code!$U23&amp;ROW()-12,Calculations_APPURT[Model]&amp;ROW('Discrete Loads'!B11),Hazards_APPURT[Front CaAa],0,0,1),
    _xlpm.CaAa_Side,    _xlfn.XLOOKUP(Code!$U23&amp;ROW()-12,Calculations_APPURT[Model]&amp;ROW('Discrete Loads'!B11),Hazards_APPURT[Side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X23" s="342" t="str" cm="1">
        <f t="array" ref="X23">_xlfn.LET(
    _xlpm.model,        'Discrete Loads'!$B11,
    _xlpm.Shape,        'Discrete Loads'!$E11,
    _xlpm.Direction,    X$15,
    _xlpm.Azimuth,      0,
    _xlpm.CaAa_Front,   _xlfn.XLOOKUP(Code!$U23&amp;ROW()-12,Calculations_APPURT[Model]&amp;ROW('Discrete Loads'!C11),Hazards_APPURT[Front CaAa],0,0,1),
    _xlpm.CaAa_Side,    _xlfn.XLOOKUP(Code!$U23&amp;ROW()-12,Calculations_APPURT[Model]&amp;ROW('Discrete Loads'!C11),Hazards_APPURT[Side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Y23" s="342" t="str" cm="1">
        <f t="array" ref="Y23">_xlfn.LET(
    _xlpm.model,        'Discrete Loads'!$B11,
    _xlpm.Shape,        'Discrete Loads'!$E11,
    _xlpm.Direction,    Y$15,
    _xlpm.Azimuth,      0,
    _xlpm.CaAa_Front,   _xlfn.XLOOKUP(Code!$U23&amp;ROW()-12,Calculations_APPURT[Model]&amp;ROW('Discrete Loads'!D11),Hazards_APPURT[Front CaAa],0,0,1),
    _xlpm.CaAa_Side,    _xlfn.XLOOKUP(Code!$U23&amp;ROW()-12,Calculations_APPURT[Model]&amp;ROW('Discrete Loads'!D11),Hazards_APPURT[Side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Z23" s="342" t="str" cm="1">
        <f t="array" ref="Z23">_xlfn.LET(
    _xlpm.model,        'Discrete Loads'!$B11,
    _xlpm.Shape,        'Discrete Loads'!$E11,
    _xlpm.Direction,    Z$15,
    _xlpm.Azimuth,      0,
    _xlpm.CaAa_Front,   _xlfn.XLOOKUP(Code!$U23&amp;ROW()-12,Calculations_APPURT[Model]&amp;ROW('Discrete Loads'!E11),Hazards_APPURT[Front CaAa],0,0,1),
    _xlpm.CaAa_Side,    _xlfn.XLOOKUP(Code!$U23&amp;ROW()-12,Calculations_APPURT[Model]&amp;ROW('Discrete Loads'!E11),Hazards_APPURT[Side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AA23" s="342" t="str" cm="1">
        <f t="array" ref="AA23">_xlfn.LET(
    _xlpm.model,        'Discrete Loads'!$B11,
    _xlpm.Shape,        'Discrete Loads'!$E11,
    _xlpm.Direction,    AA$15,
    _xlpm.Azimuth,      0,
    _xlpm.CaAa_Front,   _xlfn.XLOOKUP(Code!$U23&amp;ROW()-12,Calculations_APPURT[Model]&amp;ROW('Discrete Loads'!F11),Hazards_APPURT[Front CaAa],0,0,1),
    _xlpm.CaAa_Side,    _xlfn.XLOOKUP(Code!$U23&amp;ROW()-12,Calculations_APPURT[Model]&amp;ROW('Discrete Loads'!F11),Hazards_APPURT[Side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AB23" s="342" t="str" cm="1">
        <f t="array" ref="AB23">_xlfn.LET(
    _xlpm.model,        'Discrete Loads'!$B11,
    _xlpm.Shape,        'Discrete Loads'!$E11,
    _xlpm.Direction,    AB$15,
    _xlpm.Azimuth,      0,
    _xlpm.CaAa_Front,   _xlfn.XLOOKUP(Code!$U23&amp;ROW()-12,Calculations_APPURT[Model]&amp;ROW('Discrete Loads'!G11),Hazards_APPURT[Front CaAa],0,0,1),
    _xlpm.CaAa_Side,    _xlfn.XLOOKUP(Code!$U23&amp;ROW()-12,Calculations_APPURT[Model]&amp;ROW('Discrete Loads'!G11),Hazards_APPURT[Side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AC23" s="342" t="str" cm="1">
        <f t="array" ref="AC23">_xlfn.LET(
    _xlpm.model,        'Discrete Loads'!$B11,
    _xlpm.Shape,        'Discrete Loads'!$E11,
    _xlpm.Direction,    AC$15,
    _xlpm.Azimuth,      0,
    _xlpm.CaAa_Front,   _xlfn.XLOOKUP(Code!$U23&amp;ROW()-12,Calculations_APPURT[Model]&amp;ROW('Discrete Loads'!H11),Hazards_APPURT[Front CaAa],0,0,1),
    _xlpm.CaAa_Side,    _xlfn.XLOOKUP(Code!$U23&amp;ROW()-12,Calculations_APPURT[Model]&amp;ROW('Discrete Loads'!H11),Hazards_APPURT[Side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AD23" s="342" t="str" cm="1">
        <f t="array" ref="AD23">_xlfn.LET(
    _xlpm.model,        'Discrete Loads'!$B11,
    _xlpm.Shape,        'Discrete Loads'!$E11,
    _xlpm.Direction,    AD$15,
    _xlpm.Azimuth,      0,
    _xlpm.CaAa_Front,   _xlfn.XLOOKUP(Code!$U23&amp;ROW()-12,Calculations_APPURT[Model]&amp;ROW('Discrete Loads'!I11),Hazards_APPURT[Front CaAa],0,0,1),
    _xlpm.CaAa_Side,    _xlfn.XLOOKUP(Code!$U23&amp;ROW()-12,Calculations_APPURT[Model]&amp;ROW('Discrete Loads'!I11),Hazards_APPURT[Side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AE23" s="342" t="str" cm="1">
        <f t="array" ref="AE23">_xlfn.LET(
    _xlpm.model,        'Discrete Loads'!$B11,
    _xlpm.Shape,        'Discrete Loads'!$E11,
    _xlpm.Direction,    AE$15,
    _xlpm.Azimuth,      0,
    _xlpm.CaAa_Front,   _xlfn.XLOOKUP(Code!$U23&amp;ROW()-12,Calculations_APPURT[Model]&amp;ROW('Discrete Loads'!J11),Hazards_APPURT[Front CaAa],0,0,1),
    _xlpm.CaAa_Side,    _xlfn.XLOOKUP(Code!$U23&amp;ROW()-12,Calculations_APPURT[Model]&amp;ROW('Discrete Loads'!J11),Hazards_APPURT[Side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AF23" s="342" t="str" cm="1">
        <f t="array" ref="AF23">_xlfn.LET(
    _xlpm.model,        'Discrete Loads'!$B11,
    _xlpm.Shape,        'Discrete Loads'!$E11,
    _xlpm.Direction,    AF$15,
    _xlpm.Azimuth,      0,
    _xlpm.CaAa_Front,   _xlfn.XLOOKUP(Code!$U23&amp;ROW()-12,Calculations_APPURT[Model]&amp;ROW('Discrete Loads'!K11),Hazards_APPURT[Front CaAa],0,0,1),
    _xlpm.CaAa_Side,    _xlfn.XLOOKUP(Code!$U23&amp;ROW()-12,Calculations_APPURT[Model]&amp;ROW('Discrete Loads'!K11),Hazards_APPURT[Side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AG23" s="342" t="str" cm="1">
        <f t="array" ref="AG23">_xlfn.LET(
    _xlpm.model,        'Discrete Loads'!$B11,
    _xlpm.Shape,        'Discrete Loads'!$E11,
    _xlpm.Direction,    AG$15,
    _xlpm.Azimuth,      0,
    _xlpm.CaAa_Front,   _xlfn.XLOOKUP(Code!$U23&amp;ROW()-12,Calculations_APPURT[Model]&amp;ROW('Discrete Loads'!L11),Hazards_APPURT[Front CaAa],0,0,1),
    _xlpm.CaAa_Side,    _xlfn.XLOOKUP(Code!$U23&amp;ROW()-12,Calculations_APPURT[Model]&amp;ROW('Discrete Loads'!L11),Hazards_APPURT[Side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AH23" s="342" t="str" cm="1">
        <f t="array" ref="AH23">_xlfn.LET(
    _xlpm.model,        'Discrete Loads'!$B11,
    _xlpm.Shape,        'Discrete Loads'!$E11,
    _xlpm.Direction,    AH$15,
    _xlpm.Azimuth,      0,
    _xlpm.CaAa_Front,   _xlfn.XLOOKUP(Code!$U23&amp;ROW()-12,Calculations_APPURT[Model]&amp;ROW('Discrete Loads'!M11),Hazards_APPURT[Front CaAa],0,0,1),
    _xlpm.CaAa_Side,    _xlfn.XLOOKUP(Code!$U23&amp;ROW()-12,Calculations_APPURT[Model]&amp;ROW('Discrete Loads'!M11),Hazards_APPURT[Side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IF($U23="","",IF(_xlpm.Shape="CFD", _xlpm.CFD_val, _xlpm.CaAa_Front*COS(PI()/180*(_xlpm.Direction+_xlpm.Azimuth))^2 + _xlpm.CaAa_Side*SIN(PI()/180*(_xlpm.Direction+_xlpm.Azimuth))^2)))</f>
        <v/>
      </c>
      <c r="AI23" s="340" t="str" cm="1">
        <f t="array" ref="AI23">IF($U23="","",_xlfn.XLOOKUP($U23&amp;(ROW()-12),Calculations_APPURT[Model]&amp;ROW(Calculations_APPURT[Model]),IF(Calculations_APPURT[Shape]&lt;&gt;"CFD","TIA","Manufacturer*"),"",0,1))</f>
        <v/>
      </c>
      <c r="AJ23" s="364" t="str" cm="1">
        <f t="array" ref="AJ23">IF(U23="","",_xlfn.XLOOKUP($U23&amp;(ROW()-12),Calculations_APPURT[Model]&amp;ROW(Calculations_APPURT[Model]),Hazards_APPURT[qz],"",0,1))</f>
        <v/>
      </c>
      <c r="AK23" s="367" t="str" cm="1">
        <f t="array" ref="AK23">IF(U23="","",_xlfn.XLOOKUP($U23&amp;(ROW()-12),Calculations_APPURT[Model]&amp;ROW(Calculations_APPURT[Model]),Dimensions_APPURT[Weight (lbf)],"",0,1))</f>
        <v/>
      </c>
      <c r="AM23" s="449"/>
      <c r="AN23" s="449"/>
      <c r="AO23" s="449"/>
      <c r="AP23" s="449"/>
      <c r="AQ23" s="300"/>
      <c r="AR23" s="452"/>
      <c r="AS23" s="452"/>
      <c r="AT23" s="452"/>
      <c r="AU23" s="452"/>
      <c r="AW23" s="459">
        <v>284</v>
      </c>
      <c r="AX23" s="460"/>
      <c r="AY23" s="459">
        <v>314</v>
      </c>
      <c r="AZ23" s="460"/>
      <c r="BA23" s="459">
        <v>284</v>
      </c>
      <c r="BB23" s="460"/>
      <c r="BC23" s="459">
        <v>314</v>
      </c>
      <c r="BD23" s="460"/>
    </row>
    <row r="24" spans="1:74" ht="15" customHeight="1" thickBot="1" x14ac:dyDescent="0.25">
      <c r="A24" s="393" t="s">
        <v>135</v>
      </c>
      <c r="B24" s="393"/>
      <c r="C24" s="404"/>
      <c r="D24" s="404"/>
      <c r="F24" s="404" t="s">
        <v>101</v>
      </c>
      <c r="G24" s="404"/>
      <c r="H24" s="404"/>
      <c r="I24" s="404"/>
      <c r="K24" s="392" t="s">
        <v>137</v>
      </c>
      <c r="L24" s="392"/>
      <c r="M24" s="432" t="str">
        <f>IFERROR(Ka*Kes.w*qz,"N/A")</f>
        <v>N/A</v>
      </c>
      <c r="N24" s="432"/>
      <c r="P24" s="392" t="s">
        <v>138</v>
      </c>
      <c r="Q24" s="392"/>
      <c r="R24" s="392"/>
      <c r="S24" s="392"/>
      <c r="U24" s="474" t="str">
        <f>IF(ISBLANK('Discrete Loads'!B12),"",'Discrete Loads'!B12)</f>
        <v/>
      </c>
      <c r="V24" s="474"/>
      <c r="W24" s="341" t="str" cm="1">
        <f t="array" ref="W24">_xlfn.LET(
    _xlpm.model,        'Discrete Loads'!$B12,
    _xlpm.Shape,        'Discrete Loads'!$E12,
    _xlpm.Direction,    W$15,
    _xlpm.Azimuth,      0,
    _xlpm.CaAa_Front,   _xlfn.XLOOKUP(Code!$U24&amp;ROW()-12,Calculations_APPURT[Model]&amp;ROW('Discrete Loads'!B12),Hazards_APPURT[Front CaAa],0,0,1),
    _xlpm.CaAa_Side,    _xlfn.XLOOKUP(Code!$U24&amp;ROW()-12,Calculations_APPURT[Model]&amp;ROW('Discrete Loads'!B12),Hazards_APPURT[Side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X24" s="341" t="str" cm="1">
        <f t="array" ref="X24">_xlfn.LET(
    _xlpm.model,        'Discrete Loads'!$B12,
    _xlpm.Shape,        'Discrete Loads'!$E12,
    _xlpm.Direction,    X$15,
    _xlpm.Azimuth,      0,
    _xlpm.CaAa_Front,   _xlfn.XLOOKUP(Code!$U24&amp;ROW()-12,Calculations_APPURT[Model]&amp;ROW('Discrete Loads'!C12),Hazards_APPURT[Front CaAa],0,0,1),
    _xlpm.CaAa_Side,    _xlfn.XLOOKUP(Code!$U24&amp;ROW()-12,Calculations_APPURT[Model]&amp;ROW('Discrete Loads'!C12),Hazards_APPURT[Side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Y24" s="341" t="str" cm="1">
        <f t="array" ref="Y24">_xlfn.LET(
    _xlpm.model,        'Discrete Loads'!$B12,
    _xlpm.Shape,        'Discrete Loads'!$E12,
    _xlpm.Direction,    Y$15,
    _xlpm.Azimuth,      0,
    _xlpm.CaAa_Front,   _xlfn.XLOOKUP(Code!$U24&amp;ROW()-12,Calculations_APPURT[Model]&amp;ROW('Discrete Loads'!D12),Hazards_APPURT[Front CaAa],0,0,1),
    _xlpm.CaAa_Side,    _xlfn.XLOOKUP(Code!$U24&amp;ROW()-12,Calculations_APPURT[Model]&amp;ROW('Discrete Loads'!D12),Hazards_APPURT[Side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Z24" s="341" t="str" cm="1">
        <f t="array" ref="Z24">_xlfn.LET(
    _xlpm.model,        'Discrete Loads'!$B12,
    _xlpm.Shape,        'Discrete Loads'!$E12,
    _xlpm.Direction,    Z$15,
    _xlpm.Azimuth,      0,
    _xlpm.CaAa_Front,   _xlfn.XLOOKUP(Code!$U24&amp;ROW()-12,Calculations_APPURT[Model]&amp;ROW('Discrete Loads'!E12),Hazards_APPURT[Front CaAa],0,0,1),
    _xlpm.CaAa_Side,    _xlfn.XLOOKUP(Code!$U24&amp;ROW()-12,Calculations_APPURT[Model]&amp;ROW('Discrete Loads'!E12),Hazards_APPURT[Side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AA24" s="341" t="str" cm="1">
        <f t="array" ref="AA24">_xlfn.LET(
    _xlpm.model,        'Discrete Loads'!$B12,
    _xlpm.Shape,        'Discrete Loads'!$E12,
    _xlpm.Direction,    AA$15,
    _xlpm.Azimuth,      0,
    _xlpm.CaAa_Front,   _xlfn.XLOOKUP(Code!$U24&amp;ROW()-12,Calculations_APPURT[Model]&amp;ROW('Discrete Loads'!F12),Hazards_APPURT[Front CaAa],0,0,1),
    _xlpm.CaAa_Side,    _xlfn.XLOOKUP(Code!$U24&amp;ROW()-12,Calculations_APPURT[Model]&amp;ROW('Discrete Loads'!F12),Hazards_APPURT[Side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AB24" s="341" t="str" cm="1">
        <f t="array" ref="AB24">_xlfn.LET(
    _xlpm.model,        'Discrete Loads'!$B12,
    _xlpm.Shape,        'Discrete Loads'!$E12,
    _xlpm.Direction,    AB$15,
    _xlpm.Azimuth,      0,
    _xlpm.CaAa_Front,   _xlfn.XLOOKUP(Code!$U24&amp;ROW()-12,Calculations_APPURT[Model]&amp;ROW('Discrete Loads'!G12),Hazards_APPURT[Front CaAa],0,0,1),
    _xlpm.CaAa_Side,    _xlfn.XLOOKUP(Code!$U24&amp;ROW()-12,Calculations_APPURT[Model]&amp;ROW('Discrete Loads'!G12),Hazards_APPURT[Side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AC24" s="341" t="str" cm="1">
        <f t="array" ref="AC24">_xlfn.LET(
    _xlpm.model,        'Discrete Loads'!$B12,
    _xlpm.Shape,        'Discrete Loads'!$E12,
    _xlpm.Direction,    AC$15,
    _xlpm.Azimuth,      0,
    _xlpm.CaAa_Front,   _xlfn.XLOOKUP(Code!$U24&amp;ROW()-12,Calculations_APPURT[Model]&amp;ROW('Discrete Loads'!H12),Hazards_APPURT[Front CaAa],0,0,1),
    _xlpm.CaAa_Side,    _xlfn.XLOOKUP(Code!$U24&amp;ROW()-12,Calculations_APPURT[Model]&amp;ROW('Discrete Loads'!H12),Hazards_APPURT[Side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AD24" s="341" t="str" cm="1">
        <f t="array" ref="AD24">_xlfn.LET(
    _xlpm.model,        'Discrete Loads'!$B12,
    _xlpm.Shape,        'Discrete Loads'!$E12,
    _xlpm.Direction,    AD$15,
    _xlpm.Azimuth,      0,
    _xlpm.CaAa_Front,   _xlfn.XLOOKUP(Code!$U24&amp;ROW()-12,Calculations_APPURT[Model]&amp;ROW('Discrete Loads'!I12),Hazards_APPURT[Front CaAa],0,0,1),
    _xlpm.CaAa_Side,    _xlfn.XLOOKUP(Code!$U24&amp;ROW()-12,Calculations_APPURT[Model]&amp;ROW('Discrete Loads'!I12),Hazards_APPURT[Side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AE24" s="341" t="str" cm="1">
        <f t="array" ref="AE24">_xlfn.LET(
    _xlpm.model,        'Discrete Loads'!$B12,
    _xlpm.Shape,        'Discrete Loads'!$E12,
    _xlpm.Direction,    AE$15,
    _xlpm.Azimuth,      0,
    _xlpm.CaAa_Front,   _xlfn.XLOOKUP(Code!$U24&amp;ROW()-12,Calculations_APPURT[Model]&amp;ROW('Discrete Loads'!J12),Hazards_APPURT[Front CaAa],0,0,1),
    _xlpm.CaAa_Side,    _xlfn.XLOOKUP(Code!$U24&amp;ROW()-12,Calculations_APPURT[Model]&amp;ROW('Discrete Loads'!J12),Hazards_APPURT[Side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AF24" s="341" t="str" cm="1">
        <f t="array" ref="AF24">_xlfn.LET(
    _xlpm.model,        'Discrete Loads'!$B12,
    _xlpm.Shape,        'Discrete Loads'!$E12,
    _xlpm.Direction,    AF$15,
    _xlpm.Azimuth,      0,
    _xlpm.CaAa_Front,   _xlfn.XLOOKUP(Code!$U24&amp;ROW()-12,Calculations_APPURT[Model]&amp;ROW('Discrete Loads'!K12),Hazards_APPURT[Front CaAa],0,0,1),
    _xlpm.CaAa_Side,    _xlfn.XLOOKUP(Code!$U24&amp;ROW()-12,Calculations_APPURT[Model]&amp;ROW('Discrete Loads'!K12),Hazards_APPURT[Side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AG24" s="341" t="str" cm="1">
        <f t="array" ref="AG24">_xlfn.LET(
    _xlpm.model,        'Discrete Loads'!$B12,
    _xlpm.Shape,        'Discrete Loads'!$E12,
    _xlpm.Direction,    AG$15,
    _xlpm.Azimuth,      0,
    _xlpm.CaAa_Front,   _xlfn.XLOOKUP(Code!$U24&amp;ROW()-12,Calculations_APPURT[Model]&amp;ROW('Discrete Loads'!L12),Hazards_APPURT[Front CaAa],0,0,1),
    _xlpm.CaAa_Side,    _xlfn.XLOOKUP(Code!$U24&amp;ROW()-12,Calculations_APPURT[Model]&amp;ROW('Discrete Loads'!L12),Hazards_APPURT[Side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AH24" s="341" t="str" cm="1">
        <f t="array" ref="AH24">_xlfn.LET(
    _xlpm.model,        'Discrete Loads'!$B12,
    _xlpm.Shape,        'Discrete Loads'!$E12,
    _xlpm.Direction,    AH$15,
    _xlpm.Azimuth,      0,
    _xlpm.CaAa_Front,   _xlfn.XLOOKUP(Code!$U24&amp;ROW()-12,Calculations_APPURT[Model]&amp;ROW('Discrete Loads'!M12),Hazards_APPURT[Front CaAa],0,0,1),
    _xlpm.CaAa_Side,    _xlfn.XLOOKUP(Code!$U24&amp;ROW()-12,Calculations_APPURT[Model]&amp;ROW('Discrete Loads'!M12),Hazards_APPURT[Side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IF($U24="","",IF(_xlpm.Shape="CFD", _xlpm.CFD_val, _xlpm.CaAa_Front*COS(PI()/180*(_xlpm.Direction+_xlpm.Azimuth))^2 + _xlpm.CaAa_Side*SIN(PI()/180*(_xlpm.Direction+_xlpm.Azimuth))^2)))</f>
        <v/>
      </c>
      <c r="AI24" s="339" t="str" cm="1">
        <f t="array" ref="AI24">IF($U24="","",_xlfn.XLOOKUP($U24&amp;(ROW()-12),Calculations_APPURT[Model]&amp;ROW(Calculations_APPURT[Model]),IF(Calculations_APPURT[Shape]&lt;&gt;"CFD","TIA","Manufacturer*"),"",0,1))</f>
        <v/>
      </c>
      <c r="AJ24" s="363" t="str" cm="1">
        <f t="array" ref="AJ24">IF(U24="","",_xlfn.XLOOKUP($U24&amp;(ROW()-12),Calculations_APPURT[Model]&amp;ROW(Calculations_APPURT[Model]),Hazards_APPURT[qz],"",0,1))</f>
        <v/>
      </c>
      <c r="AK24" s="366" t="str" cm="1">
        <f t="array" ref="AK24">IF(U24="","",_xlfn.XLOOKUP($U24&amp;(ROW()-12),Calculations_APPURT[Model]&amp;ROW(Calculations_APPURT[Model]),Dimensions_APPURT[Weight (lbf)],"",0,1))</f>
        <v/>
      </c>
      <c r="AM24" s="449"/>
      <c r="AN24" s="449"/>
      <c r="AO24" s="449"/>
      <c r="AP24" s="449"/>
      <c r="AQ24" s="300"/>
      <c r="AR24" s="452"/>
      <c r="AS24" s="452"/>
      <c r="AT24" s="452"/>
      <c r="AU24" s="452"/>
      <c r="AW24" s="457" t="s">
        <v>112</v>
      </c>
      <c r="AX24" s="458"/>
      <c r="AY24" s="457" t="s">
        <v>113</v>
      </c>
      <c r="AZ24" s="458"/>
      <c r="BA24" s="457" t="s">
        <v>112</v>
      </c>
      <c r="BB24" s="458"/>
      <c r="BC24" s="457" t="s">
        <v>113</v>
      </c>
      <c r="BD24" s="458"/>
    </row>
    <row r="25" spans="1:74" ht="15" customHeight="1" thickBot="1" x14ac:dyDescent="0.25">
      <c r="A25" s="391" t="s">
        <v>142</v>
      </c>
      <c r="B25" s="391"/>
      <c r="C25" s="416"/>
      <c r="D25" s="416"/>
      <c r="F25" s="392" t="s">
        <v>140</v>
      </c>
      <c r="G25" s="392"/>
      <c r="H25" s="392"/>
      <c r="I25" s="392"/>
      <c r="K25" s="396" t="s">
        <v>141</v>
      </c>
      <c r="L25" s="396"/>
      <c r="M25" s="396"/>
      <c r="N25" s="396"/>
      <c r="U25" s="386" t="str">
        <f>IF(ISBLANK('Discrete Loads'!B13),"",'Discrete Loads'!B13)</f>
        <v/>
      </c>
      <c r="V25" s="386"/>
      <c r="W25" s="342" t="str" cm="1">
        <f t="array" ref="W25">_xlfn.LET(
    _xlpm.model,        'Discrete Loads'!$B13,
    _xlpm.Shape,        'Discrete Loads'!$E13,
    _xlpm.Direction,    W$15,
    _xlpm.Azimuth,      0,
    _xlpm.CaAa_Front,   _xlfn.XLOOKUP(Code!$U25&amp;ROW()-12,Calculations_APPURT[Model]&amp;ROW('Discrete Loads'!B13),Hazards_APPURT[Front CaAa],0,0,1),
    _xlpm.CaAa_Side,    _xlfn.XLOOKUP(Code!$U25&amp;ROW()-12,Calculations_APPURT[Model]&amp;ROW('Discrete Loads'!B13),Hazards_APPURT[Side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X25" s="342" t="str" cm="1">
        <f t="array" ref="X25">_xlfn.LET(
    _xlpm.model,        'Discrete Loads'!$B13,
    _xlpm.Shape,        'Discrete Loads'!$E13,
    _xlpm.Direction,    X$15,
    _xlpm.Azimuth,      0,
    _xlpm.CaAa_Front,   _xlfn.XLOOKUP(Code!$U25&amp;ROW()-12,Calculations_APPURT[Model]&amp;ROW('Discrete Loads'!C13),Hazards_APPURT[Front CaAa],0,0,1),
    _xlpm.CaAa_Side,    _xlfn.XLOOKUP(Code!$U25&amp;ROW()-12,Calculations_APPURT[Model]&amp;ROW('Discrete Loads'!C13),Hazards_APPURT[Side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Y25" s="342" t="str" cm="1">
        <f t="array" ref="Y25">_xlfn.LET(
    _xlpm.model,        'Discrete Loads'!$B13,
    _xlpm.Shape,        'Discrete Loads'!$E13,
    _xlpm.Direction,    Y$15,
    _xlpm.Azimuth,      0,
    _xlpm.CaAa_Front,   _xlfn.XLOOKUP(Code!$U25&amp;ROW()-12,Calculations_APPURT[Model]&amp;ROW('Discrete Loads'!D13),Hazards_APPURT[Front CaAa],0,0,1),
    _xlpm.CaAa_Side,    _xlfn.XLOOKUP(Code!$U25&amp;ROW()-12,Calculations_APPURT[Model]&amp;ROW('Discrete Loads'!D13),Hazards_APPURT[Side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Z25" s="342" t="str" cm="1">
        <f t="array" ref="Z25">_xlfn.LET(
    _xlpm.model,        'Discrete Loads'!$B13,
    _xlpm.Shape,        'Discrete Loads'!$E13,
    _xlpm.Direction,    Z$15,
    _xlpm.Azimuth,      0,
    _xlpm.CaAa_Front,   _xlfn.XLOOKUP(Code!$U25&amp;ROW()-12,Calculations_APPURT[Model]&amp;ROW('Discrete Loads'!E13),Hazards_APPURT[Front CaAa],0,0,1),
    _xlpm.CaAa_Side,    _xlfn.XLOOKUP(Code!$U25&amp;ROW()-12,Calculations_APPURT[Model]&amp;ROW('Discrete Loads'!E13),Hazards_APPURT[Side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AA25" s="342" t="str" cm="1">
        <f t="array" ref="AA25">_xlfn.LET(
    _xlpm.model,        'Discrete Loads'!$B13,
    _xlpm.Shape,        'Discrete Loads'!$E13,
    _xlpm.Direction,    AA$15,
    _xlpm.Azimuth,      0,
    _xlpm.CaAa_Front,   _xlfn.XLOOKUP(Code!$U25&amp;ROW()-12,Calculations_APPURT[Model]&amp;ROW('Discrete Loads'!F13),Hazards_APPURT[Front CaAa],0,0,1),
    _xlpm.CaAa_Side,    _xlfn.XLOOKUP(Code!$U25&amp;ROW()-12,Calculations_APPURT[Model]&amp;ROW('Discrete Loads'!F13),Hazards_APPURT[Side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AB25" s="342" t="str" cm="1">
        <f t="array" ref="AB25">_xlfn.LET(
    _xlpm.model,        'Discrete Loads'!$B13,
    _xlpm.Shape,        'Discrete Loads'!$E13,
    _xlpm.Direction,    AB$15,
    _xlpm.Azimuth,      0,
    _xlpm.CaAa_Front,   _xlfn.XLOOKUP(Code!$U25&amp;ROW()-12,Calculations_APPURT[Model]&amp;ROW('Discrete Loads'!G13),Hazards_APPURT[Front CaAa],0,0,1),
    _xlpm.CaAa_Side,    _xlfn.XLOOKUP(Code!$U25&amp;ROW()-12,Calculations_APPURT[Model]&amp;ROW('Discrete Loads'!G13),Hazards_APPURT[Side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AC25" s="342" t="str" cm="1">
        <f t="array" ref="AC25">_xlfn.LET(
    _xlpm.model,        'Discrete Loads'!$B13,
    _xlpm.Shape,        'Discrete Loads'!$E13,
    _xlpm.Direction,    AC$15,
    _xlpm.Azimuth,      0,
    _xlpm.CaAa_Front,   _xlfn.XLOOKUP(Code!$U25&amp;ROW()-12,Calculations_APPURT[Model]&amp;ROW('Discrete Loads'!H13),Hazards_APPURT[Front CaAa],0,0,1),
    _xlpm.CaAa_Side,    _xlfn.XLOOKUP(Code!$U25&amp;ROW()-12,Calculations_APPURT[Model]&amp;ROW('Discrete Loads'!H13),Hazards_APPURT[Side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AD25" s="342" t="str" cm="1">
        <f t="array" ref="AD25">_xlfn.LET(
    _xlpm.model,        'Discrete Loads'!$B13,
    _xlpm.Shape,        'Discrete Loads'!$E13,
    _xlpm.Direction,    AD$15,
    _xlpm.Azimuth,      0,
    _xlpm.CaAa_Front,   _xlfn.XLOOKUP(Code!$U25&amp;ROW()-12,Calculations_APPURT[Model]&amp;ROW('Discrete Loads'!I13),Hazards_APPURT[Front CaAa],0,0,1),
    _xlpm.CaAa_Side,    _xlfn.XLOOKUP(Code!$U25&amp;ROW()-12,Calculations_APPURT[Model]&amp;ROW('Discrete Loads'!I13),Hazards_APPURT[Side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AE25" s="342" t="str" cm="1">
        <f t="array" ref="AE25">_xlfn.LET(
    _xlpm.model,        'Discrete Loads'!$B13,
    _xlpm.Shape,        'Discrete Loads'!$E13,
    _xlpm.Direction,    AE$15,
    _xlpm.Azimuth,      0,
    _xlpm.CaAa_Front,   _xlfn.XLOOKUP(Code!$U25&amp;ROW()-12,Calculations_APPURT[Model]&amp;ROW('Discrete Loads'!J13),Hazards_APPURT[Front CaAa],0,0,1),
    _xlpm.CaAa_Side,    _xlfn.XLOOKUP(Code!$U25&amp;ROW()-12,Calculations_APPURT[Model]&amp;ROW('Discrete Loads'!J13),Hazards_APPURT[Side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AF25" s="342" t="str" cm="1">
        <f t="array" ref="AF25">_xlfn.LET(
    _xlpm.model,        'Discrete Loads'!$B13,
    _xlpm.Shape,        'Discrete Loads'!$E13,
    _xlpm.Direction,    AF$15,
    _xlpm.Azimuth,      0,
    _xlpm.CaAa_Front,   _xlfn.XLOOKUP(Code!$U25&amp;ROW()-12,Calculations_APPURT[Model]&amp;ROW('Discrete Loads'!K13),Hazards_APPURT[Front CaAa],0,0,1),
    _xlpm.CaAa_Side,    _xlfn.XLOOKUP(Code!$U25&amp;ROW()-12,Calculations_APPURT[Model]&amp;ROW('Discrete Loads'!K13),Hazards_APPURT[Side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AG25" s="342" t="str" cm="1">
        <f t="array" ref="AG25">_xlfn.LET(
    _xlpm.model,        'Discrete Loads'!$B13,
    _xlpm.Shape,        'Discrete Loads'!$E13,
    _xlpm.Direction,    AG$15,
    _xlpm.Azimuth,      0,
    _xlpm.CaAa_Front,   _xlfn.XLOOKUP(Code!$U25&amp;ROW()-12,Calculations_APPURT[Model]&amp;ROW('Discrete Loads'!L13),Hazards_APPURT[Front CaAa],0,0,1),
    _xlpm.CaAa_Side,    _xlfn.XLOOKUP(Code!$U25&amp;ROW()-12,Calculations_APPURT[Model]&amp;ROW('Discrete Loads'!L13),Hazards_APPURT[Side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AH25" s="342" t="str" cm="1">
        <f t="array" ref="AH25">_xlfn.LET(
    _xlpm.model,        'Discrete Loads'!$B13,
    _xlpm.Shape,        'Discrete Loads'!$E13,
    _xlpm.Direction,    AH$15,
    _xlpm.Azimuth,      0,
    _xlpm.CaAa_Front,   _xlfn.XLOOKUP(Code!$U25&amp;ROW()-12,Calculations_APPURT[Model]&amp;ROW('Discrete Loads'!M13),Hazards_APPURT[Front CaAa],0,0,1),
    _xlpm.CaAa_Side,    _xlfn.XLOOKUP(Code!$U25&amp;ROW()-12,Calculations_APPURT[Model]&amp;ROW('Discrete Loads'!M13),Hazards_APPURT[Side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IF($U25="","",IF(_xlpm.Shape="CFD", _xlpm.CFD_val, _xlpm.CaAa_Front*COS(PI()/180*(_xlpm.Direction+_xlpm.Azimuth))^2 + _xlpm.CaAa_Side*SIN(PI()/180*(_xlpm.Direction+_xlpm.Azimuth))^2)))</f>
        <v/>
      </c>
      <c r="AI25" s="340" t="str" cm="1">
        <f t="array" ref="AI25">IF($U25="","",_xlfn.XLOOKUP($U25&amp;(ROW()-12),Calculations_APPURT[Model]&amp;ROW(Calculations_APPURT[Model]),IF(Calculations_APPURT[Shape]&lt;&gt;"CFD","TIA","Manufacturer*"),"",0,1))</f>
        <v/>
      </c>
      <c r="AJ25" s="364" t="str" cm="1">
        <f t="array" ref="AJ25">IF(U25="","",_xlfn.XLOOKUP($U25&amp;(ROW()-12),Calculations_APPURT[Model]&amp;ROW(Calculations_APPURT[Model]),Hazards_APPURT[qz],"",0,1))</f>
        <v/>
      </c>
      <c r="AK25" s="367" t="str" cm="1">
        <f t="array" ref="AK25">IF(U25="","",_xlfn.XLOOKUP($U25&amp;(ROW()-12),Calculations_APPURT[Model]&amp;ROW(Calculations_APPURT[Model]),Dimensions_APPURT[Weight (lbf)],"",0,1))</f>
        <v/>
      </c>
      <c r="AM25" s="449"/>
      <c r="AN25" s="449"/>
      <c r="AO25" s="449"/>
      <c r="AP25" s="449"/>
      <c r="AQ25" s="300"/>
      <c r="AR25" s="452"/>
      <c r="AS25" s="452"/>
      <c r="AT25" s="452"/>
      <c r="AU25" s="452"/>
      <c r="AW25" s="459">
        <v>54.662984837438934</v>
      </c>
      <c r="AX25" s="460"/>
      <c r="AY25" s="459">
        <v>31.400000000000002</v>
      </c>
      <c r="AZ25" s="460"/>
      <c r="BA25" s="459">
        <v>22.284240145071557</v>
      </c>
      <c r="BB25" s="460"/>
      <c r="BC25" s="459">
        <v>31.400000000000002</v>
      </c>
      <c r="BD25" s="460"/>
    </row>
    <row r="26" spans="1:74" ht="15" customHeight="1" thickBot="1" x14ac:dyDescent="0.25">
      <c r="A26" s="404" t="s">
        <v>145</v>
      </c>
      <c r="B26" s="404"/>
      <c r="C26" s="404"/>
      <c r="D26" s="404"/>
      <c r="F26" s="396" t="s">
        <v>143</v>
      </c>
      <c r="G26" s="396"/>
      <c r="H26" s="396"/>
      <c r="I26" s="396"/>
      <c r="K26" s="399" t="s">
        <v>144</v>
      </c>
      <c r="L26" s="399"/>
      <c r="M26" s="398">
        <f>IFERROR(IF(Risk="I",0,IF((z/33)^(0.1)&lt;=1.4,(z/33)^(0.1),1.4)),"N/A")</f>
        <v>0</v>
      </c>
      <c r="N26" s="398"/>
      <c r="U26" s="474" t="str">
        <f>IF(ISBLANK('Discrete Loads'!B14),"",'Discrete Loads'!B14)</f>
        <v/>
      </c>
      <c r="V26" s="474"/>
      <c r="W26" s="341" t="str" cm="1">
        <f t="array" ref="W26">_xlfn.LET(
    _xlpm.model,        'Discrete Loads'!$B14,
    _xlpm.Shape,        'Discrete Loads'!$E14,
    _xlpm.Direction,    W$15,
    _xlpm.Azimuth,      0,
    _xlpm.CaAa_Front,   _xlfn.XLOOKUP(Code!$U26&amp;ROW()-12,Calculations_APPURT[Model]&amp;ROW('Discrete Loads'!B14),Hazards_APPURT[Front CaAa],0,0,1),
    _xlpm.CaAa_Side,    _xlfn.XLOOKUP(Code!$U26&amp;ROW()-12,Calculations_APPURT[Model]&amp;ROW('Discrete Loads'!B14),Hazards_APPURT[Side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X26" s="341" t="str" cm="1">
        <f t="array" ref="X26">_xlfn.LET(
    _xlpm.model,        'Discrete Loads'!$B14,
    _xlpm.Shape,        'Discrete Loads'!$E14,
    _xlpm.Direction,    X$15,
    _xlpm.Azimuth,      0,
    _xlpm.CaAa_Front,   _xlfn.XLOOKUP(Code!$U26&amp;ROW()-12,Calculations_APPURT[Model]&amp;ROW('Discrete Loads'!C14),Hazards_APPURT[Front CaAa],0,0,1),
    _xlpm.CaAa_Side,    _xlfn.XLOOKUP(Code!$U26&amp;ROW()-12,Calculations_APPURT[Model]&amp;ROW('Discrete Loads'!C14),Hazards_APPURT[Side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Y26" s="341" t="str" cm="1">
        <f t="array" ref="Y26">_xlfn.LET(
    _xlpm.model,        'Discrete Loads'!$B14,
    _xlpm.Shape,        'Discrete Loads'!$E14,
    _xlpm.Direction,    Y$15,
    _xlpm.Azimuth,      0,
    _xlpm.CaAa_Front,   _xlfn.XLOOKUP(Code!$U26&amp;ROW()-12,Calculations_APPURT[Model]&amp;ROW('Discrete Loads'!D14),Hazards_APPURT[Front CaAa],0,0,1),
    _xlpm.CaAa_Side,    _xlfn.XLOOKUP(Code!$U26&amp;ROW()-12,Calculations_APPURT[Model]&amp;ROW('Discrete Loads'!D14),Hazards_APPURT[Side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Z26" s="341" t="str" cm="1">
        <f t="array" ref="Z26">_xlfn.LET(
    _xlpm.model,        'Discrete Loads'!$B14,
    _xlpm.Shape,        'Discrete Loads'!$E14,
    _xlpm.Direction,    Z$15,
    _xlpm.Azimuth,      0,
    _xlpm.CaAa_Front,   _xlfn.XLOOKUP(Code!$U26&amp;ROW()-12,Calculations_APPURT[Model]&amp;ROW('Discrete Loads'!E14),Hazards_APPURT[Front CaAa],0,0,1),
    _xlpm.CaAa_Side,    _xlfn.XLOOKUP(Code!$U26&amp;ROW()-12,Calculations_APPURT[Model]&amp;ROW('Discrete Loads'!E14),Hazards_APPURT[Side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AA26" s="341" t="str" cm="1">
        <f t="array" ref="AA26">_xlfn.LET(
    _xlpm.model,        'Discrete Loads'!$B14,
    _xlpm.Shape,        'Discrete Loads'!$E14,
    _xlpm.Direction,    AA$15,
    _xlpm.Azimuth,      0,
    _xlpm.CaAa_Front,   _xlfn.XLOOKUP(Code!$U26&amp;ROW()-12,Calculations_APPURT[Model]&amp;ROW('Discrete Loads'!F14),Hazards_APPURT[Front CaAa],0,0,1),
    _xlpm.CaAa_Side,    _xlfn.XLOOKUP(Code!$U26&amp;ROW()-12,Calculations_APPURT[Model]&amp;ROW('Discrete Loads'!F14),Hazards_APPURT[Side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AB26" s="341" t="str" cm="1">
        <f t="array" ref="AB26">_xlfn.LET(
    _xlpm.model,        'Discrete Loads'!$B14,
    _xlpm.Shape,        'Discrete Loads'!$E14,
    _xlpm.Direction,    AB$15,
    _xlpm.Azimuth,      0,
    _xlpm.CaAa_Front,   _xlfn.XLOOKUP(Code!$U26&amp;ROW()-12,Calculations_APPURT[Model]&amp;ROW('Discrete Loads'!G14),Hazards_APPURT[Front CaAa],0,0,1),
    _xlpm.CaAa_Side,    _xlfn.XLOOKUP(Code!$U26&amp;ROW()-12,Calculations_APPURT[Model]&amp;ROW('Discrete Loads'!G14),Hazards_APPURT[Side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AC26" s="341" t="str" cm="1">
        <f t="array" ref="AC26">_xlfn.LET(
    _xlpm.model,        'Discrete Loads'!$B14,
    _xlpm.Shape,        'Discrete Loads'!$E14,
    _xlpm.Direction,    AC$15,
    _xlpm.Azimuth,      0,
    _xlpm.CaAa_Front,   _xlfn.XLOOKUP(Code!$U26&amp;ROW()-12,Calculations_APPURT[Model]&amp;ROW('Discrete Loads'!H14),Hazards_APPURT[Front CaAa],0,0,1),
    _xlpm.CaAa_Side,    _xlfn.XLOOKUP(Code!$U26&amp;ROW()-12,Calculations_APPURT[Model]&amp;ROW('Discrete Loads'!H14),Hazards_APPURT[Side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AD26" s="341" t="str" cm="1">
        <f t="array" ref="AD26">_xlfn.LET(
    _xlpm.model,        'Discrete Loads'!$B14,
    _xlpm.Shape,        'Discrete Loads'!$E14,
    _xlpm.Direction,    AD$15,
    _xlpm.Azimuth,      0,
    _xlpm.CaAa_Front,   _xlfn.XLOOKUP(Code!$U26&amp;ROW()-12,Calculations_APPURT[Model]&amp;ROW('Discrete Loads'!I14),Hazards_APPURT[Front CaAa],0,0,1),
    _xlpm.CaAa_Side,    _xlfn.XLOOKUP(Code!$U26&amp;ROW()-12,Calculations_APPURT[Model]&amp;ROW('Discrete Loads'!I14),Hazards_APPURT[Side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AE26" s="341" t="str" cm="1">
        <f t="array" ref="AE26">_xlfn.LET(
    _xlpm.model,        'Discrete Loads'!$B14,
    _xlpm.Shape,        'Discrete Loads'!$E14,
    _xlpm.Direction,    AE$15,
    _xlpm.Azimuth,      0,
    _xlpm.CaAa_Front,   _xlfn.XLOOKUP(Code!$U26&amp;ROW()-12,Calculations_APPURT[Model]&amp;ROW('Discrete Loads'!J14),Hazards_APPURT[Front CaAa],0,0,1),
    _xlpm.CaAa_Side,    _xlfn.XLOOKUP(Code!$U26&amp;ROW()-12,Calculations_APPURT[Model]&amp;ROW('Discrete Loads'!J14),Hazards_APPURT[Side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AF26" s="341" t="str" cm="1">
        <f t="array" ref="AF26">_xlfn.LET(
    _xlpm.model,        'Discrete Loads'!$B14,
    _xlpm.Shape,        'Discrete Loads'!$E14,
    _xlpm.Direction,    AF$15,
    _xlpm.Azimuth,      0,
    _xlpm.CaAa_Front,   _xlfn.XLOOKUP(Code!$U26&amp;ROW()-12,Calculations_APPURT[Model]&amp;ROW('Discrete Loads'!K14),Hazards_APPURT[Front CaAa],0,0,1),
    _xlpm.CaAa_Side,    _xlfn.XLOOKUP(Code!$U26&amp;ROW()-12,Calculations_APPURT[Model]&amp;ROW('Discrete Loads'!K14),Hazards_APPURT[Side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AG26" s="341" t="str" cm="1">
        <f t="array" ref="AG26">_xlfn.LET(
    _xlpm.model,        'Discrete Loads'!$B14,
    _xlpm.Shape,        'Discrete Loads'!$E14,
    _xlpm.Direction,    AG$15,
    _xlpm.Azimuth,      0,
    _xlpm.CaAa_Front,   _xlfn.XLOOKUP(Code!$U26&amp;ROW()-12,Calculations_APPURT[Model]&amp;ROW('Discrete Loads'!L14),Hazards_APPURT[Front CaAa],0,0,1),
    _xlpm.CaAa_Side,    _xlfn.XLOOKUP(Code!$U26&amp;ROW()-12,Calculations_APPURT[Model]&amp;ROW('Discrete Loads'!L14),Hazards_APPURT[Side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AH26" s="341" t="str" cm="1">
        <f t="array" ref="AH26">_xlfn.LET(
    _xlpm.model,        'Discrete Loads'!$B14,
    _xlpm.Shape,        'Discrete Loads'!$E14,
    _xlpm.Direction,    AH$15,
    _xlpm.Azimuth,      0,
    _xlpm.CaAa_Front,   _xlfn.XLOOKUP(Code!$U26&amp;ROW()-12,Calculations_APPURT[Model]&amp;ROW('Discrete Loads'!M14),Hazards_APPURT[Front CaAa],0,0,1),
    _xlpm.CaAa_Side,    _xlfn.XLOOKUP(Code!$U26&amp;ROW()-12,Calculations_APPURT[Model]&amp;ROW('Discrete Loads'!M14),Hazards_APPURT[Side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IF($U26="","",IF(_xlpm.Shape="CFD", _xlpm.CFD_val, _xlpm.CaAa_Front*COS(PI()/180*(_xlpm.Direction+_xlpm.Azimuth))^2 + _xlpm.CaAa_Side*SIN(PI()/180*(_xlpm.Direction+_xlpm.Azimuth))^2)))</f>
        <v/>
      </c>
      <c r="AI26" s="339" t="str" cm="1">
        <f t="array" ref="AI26">IF($U26="","",_xlfn.XLOOKUP($U26&amp;(ROW()-12),Calculations_APPURT[Model]&amp;ROW(Calculations_APPURT[Model]),IF(Calculations_APPURT[Shape]&lt;&gt;"CFD","TIA","Manufacturer*"),"",0,1))</f>
        <v/>
      </c>
      <c r="AJ26" s="363" t="str" cm="1">
        <f t="array" ref="AJ26">IF(U26="","",_xlfn.XLOOKUP($U26&amp;(ROW()-12),Calculations_APPURT[Model]&amp;ROW(Calculations_APPURT[Model]),Hazards_APPURT[qz],"",0,1))</f>
        <v/>
      </c>
      <c r="AK26" s="366" t="str" cm="1">
        <f t="array" ref="AK26">IF(U26="","",_xlfn.XLOOKUP($U26&amp;(ROW()-12),Calculations_APPURT[Model]&amp;ROW(Calculations_APPURT[Model]),Dimensions_APPURT[Weight (lbf)],"",0,1))</f>
        <v/>
      </c>
      <c r="AM26" s="449"/>
      <c r="AN26" s="449"/>
      <c r="AO26" s="449"/>
      <c r="AP26" s="449"/>
      <c r="AQ26" s="300"/>
      <c r="AR26" s="452"/>
      <c r="AS26" s="452"/>
      <c r="AT26" s="452"/>
      <c r="AU26" s="452"/>
      <c r="AW26" s="457" t="s">
        <v>112</v>
      </c>
      <c r="AX26" s="458"/>
      <c r="AY26" s="457" t="s">
        <v>113</v>
      </c>
      <c r="AZ26" s="458"/>
      <c r="BA26" s="457" t="s">
        <v>112</v>
      </c>
      <c r="BB26" s="458"/>
      <c r="BC26" s="457" t="s">
        <v>113</v>
      </c>
      <c r="BD26" s="458"/>
    </row>
    <row r="27" spans="1:74" ht="15" customHeight="1" x14ac:dyDescent="0.2">
      <c r="A27" s="391" t="s">
        <v>150</v>
      </c>
      <c r="B27" s="391"/>
      <c r="C27" s="399"/>
      <c r="D27" s="399"/>
      <c r="F27" s="391" t="s">
        <v>147</v>
      </c>
      <c r="G27" s="391"/>
      <c r="H27" s="399"/>
      <c r="I27" s="399"/>
      <c r="K27" s="404" t="s">
        <v>148</v>
      </c>
      <c r="L27" s="404"/>
      <c r="M27" s="404" cm="1">
        <f t="array" ref="M27">IFERROR(I.ice,"N/A")</f>
        <v>1</v>
      </c>
      <c r="N27" s="404"/>
      <c r="P27" s="390" t="s">
        <v>149</v>
      </c>
      <c r="Q27" s="390"/>
      <c r="U27" s="386" t="str">
        <f>IF(ISBLANK('Discrete Loads'!B15),"",'Discrete Loads'!B15)</f>
        <v/>
      </c>
      <c r="V27" s="386"/>
      <c r="W27" s="342" t="str" cm="1">
        <f t="array" ref="W27">_xlfn.LET(
    _xlpm.model,        'Discrete Loads'!$B15,
    _xlpm.Shape,        'Discrete Loads'!$E15,
    _xlpm.Direction,    W$15,
    _xlpm.Azimuth,      0,
    _xlpm.CaAa_Front,   _xlfn.XLOOKUP(Code!$U27&amp;ROW()-12,Calculations_APPURT[Model]&amp;ROW('Discrete Loads'!B15),Hazards_APPURT[Front CaAa],0,0,1),
    _xlpm.CaAa_Side,    _xlfn.XLOOKUP(Code!$U27&amp;ROW()-12,Calculations_APPURT[Model]&amp;ROW('Discrete Loads'!B15),Hazards_APPURT[Side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X27" s="342" t="str" cm="1">
        <f t="array" ref="X27">_xlfn.LET(
    _xlpm.model,        'Discrete Loads'!$B15,
    _xlpm.Shape,        'Discrete Loads'!$E15,
    _xlpm.Direction,    X$15,
    _xlpm.Azimuth,      0,
    _xlpm.CaAa_Front,   _xlfn.XLOOKUP(Code!$U27&amp;ROW()-12,Calculations_APPURT[Model]&amp;ROW('Discrete Loads'!C15),Hazards_APPURT[Front CaAa],0,0,1),
    _xlpm.CaAa_Side,    _xlfn.XLOOKUP(Code!$U27&amp;ROW()-12,Calculations_APPURT[Model]&amp;ROW('Discrete Loads'!C15),Hazards_APPURT[Side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Y27" s="342" t="str" cm="1">
        <f t="array" ref="Y27">_xlfn.LET(
    _xlpm.model,        'Discrete Loads'!$B15,
    _xlpm.Shape,        'Discrete Loads'!$E15,
    _xlpm.Direction,    Y$15,
    _xlpm.Azimuth,      0,
    _xlpm.CaAa_Front,   _xlfn.XLOOKUP(Code!$U27&amp;ROW()-12,Calculations_APPURT[Model]&amp;ROW('Discrete Loads'!D15),Hazards_APPURT[Front CaAa],0,0,1),
    _xlpm.CaAa_Side,    _xlfn.XLOOKUP(Code!$U27&amp;ROW()-12,Calculations_APPURT[Model]&amp;ROW('Discrete Loads'!D15),Hazards_APPURT[Side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Z27" s="342" t="str" cm="1">
        <f t="array" ref="Z27">_xlfn.LET(
    _xlpm.model,        'Discrete Loads'!$B15,
    _xlpm.Shape,        'Discrete Loads'!$E15,
    _xlpm.Direction,    Z$15,
    _xlpm.Azimuth,      0,
    _xlpm.CaAa_Front,   _xlfn.XLOOKUP(Code!$U27&amp;ROW()-12,Calculations_APPURT[Model]&amp;ROW('Discrete Loads'!E15),Hazards_APPURT[Front CaAa],0,0,1),
    _xlpm.CaAa_Side,    _xlfn.XLOOKUP(Code!$U27&amp;ROW()-12,Calculations_APPURT[Model]&amp;ROW('Discrete Loads'!E15),Hazards_APPURT[Side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AA27" s="342" t="str" cm="1">
        <f t="array" ref="AA27">_xlfn.LET(
    _xlpm.model,        'Discrete Loads'!$B15,
    _xlpm.Shape,        'Discrete Loads'!$E15,
    _xlpm.Direction,    AA$15,
    _xlpm.Azimuth,      0,
    _xlpm.CaAa_Front,   _xlfn.XLOOKUP(Code!$U27&amp;ROW()-12,Calculations_APPURT[Model]&amp;ROW('Discrete Loads'!F15),Hazards_APPURT[Front CaAa],0,0,1),
    _xlpm.CaAa_Side,    _xlfn.XLOOKUP(Code!$U27&amp;ROW()-12,Calculations_APPURT[Model]&amp;ROW('Discrete Loads'!F15),Hazards_APPURT[Side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AB27" s="342" t="str" cm="1">
        <f t="array" ref="AB27">_xlfn.LET(
    _xlpm.model,        'Discrete Loads'!$B15,
    _xlpm.Shape,        'Discrete Loads'!$E15,
    _xlpm.Direction,    AB$15,
    _xlpm.Azimuth,      0,
    _xlpm.CaAa_Front,   _xlfn.XLOOKUP(Code!$U27&amp;ROW()-12,Calculations_APPURT[Model]&amp;ROW('Discrete Loads'!G15),Hazards_APPURT[Front CaAa],0,0,1),
    _xlpm.CaAa_Side,    _xlfn.XLOOKUP(Code!$U27&amp;ROW()-12,Calculations_APPURT[Model]&amp;ROW('Discrete Loads'!G15),Hazards_APPURT[Side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AC27" s="342" t="str" cm="1">
        <f t="array" ref="AC27">_xlfn.LET(
    _xlpm.model,        'Discrete Loads'!$B15,
    _xlpm.Shape,        'Discrete Loads'!$E15,
    _xlpm.Direction,    AC$15,
    _xlpm.Azimuth,      0,
    _xlpm.CaAa_Front,   _xlfn.XLOOKUP(Code!$U27&amp;ROW()-12,Calculations_APPURT[Model]&amp;ROW('Discrete Loads'!H15),Hazards_APPURT[Front CaAa],0,0,1),
    _xlpm.CaAa_Side,    _xlfn.XLOOKUP(Code!$U27&amp;ROW()-12,Calculations_APPURT[Model]&amp;ROW('Discrete Loads'!H15),Hazards_APPURT[Side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AD27" s="342" t="str" cm="1">
        <f t="array" ref="AD27">_xlfn.LET(
    _xlpm.model,        'Discrete Loads'!$B15,
    _xlpm.Shape,        'Discrete Loads'!$E15,
    _xlpm.Direction,    AD$15,
    _xlpm.Azimuth,      0,
    _xlpm.CaAa_Front,   _xlfn.XLOOKUP(Code!$U27&amp;ROW()-12,Calculations_APPURT[Model]&amp;ROW('Discrete Loads'!I15),Hazards_APPURT[Front CaAa],0,0,1),
    _xlpm.CaAa_Side,    _xlfn.XLOOKUP(Code!$U27&amp;ROW()-12,Calculations_APPURT[Model]&amp;ROW('Discrete Loads'!I15),Hazards_APPURT[Side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AE27" s="342" t="str" cm="1">
        <f t="array" ref="AE27">_xlfn.LET(
    _xlpm.model,        'Discrete Loads'!$B15,
    _xlpm.Shape,        'Discrete Loads'!$E15,
    _xlpm.Direction,    AE$15,
    _xlpm.Azimuth,      0,
    _xlpm.CaAa_Front,   _xlfn.XLOOKUP(Code!$U27&amp;ROW()-12,Calculations_APPURT[Model]&amp;ROW('Discrete Loads'!J15),Hazards_APPURT[Front CaAa],0,0,1),
    _xlpm.CaAa_Side,    _xlfn.XLOOKUP(Code!$U27&amp;ROW()-12,Calculations_APPURT[Model]&amp;ROW('Discrete Loads'!J15),Hazards_APPURT[Side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AF27" s="342" t="str" cm="1">
        <f t="array" ref="AF27">_xlfn.LET(
    _xlpm.model,        'Discrete Loads'!$B15,
    _xlpm.Shape,        'Discrete Loads'!$E15,
    _xlpm.Direction,    AF$15,
    _xlpm.Azimuth,      0,
    _xlpm.CaAa_Front,   _xlfn.XLOOKUP(Code!$U27&amp;ROW()-12,Calculations_APPURT[Model]&amp;ROW('Discrete Loads'!K15),Hazards_APPURT[Front CaAa],0,0,1),
    _xlpm.CaAa_Side,    _xlfn.XLOOKUP(Code!$U27&amp;ROW()-12,Calculations_APPURT[Model]&amp;ROW('Discrete Loads'!K15),Hazards_APPURT[Side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AG27" s="342" t="str" cm="1">
        <f t="array" ref="AG27">_xlfn.LET(
    _xlpm.model,        'Discrete Loads'!$B15,
    _xlpm.Shape,        'Discrete Loads'!$E15,
    _xlpm.Direction,    AG$15,
    _xlpm.Azimuth,      0,
    _xlpm.CaAa_Front,   _xlfn.XLOOKUP(Code!$U27&amp;ROW()-12,Calculations_APPURT[Model]&amp;ROW('Discrete Loads'!L15),Hazards_APPURT[Front CaAa],0,0,1),
    _xlpm.CaAa_Side,    _xlfn.XLOOKUP(Code!$U27&amp;ROW()-12,Calculations_APPURT[Model]&amp;ROW('Discrete Loads'!L15),Hazards_APPURT[Side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AH27" s="342" t="str" cm="1">
        <f t="array" ref="AH27">_xlfn.LET(
    _xlpm.model,        'Discrete Loads'!$B15,
    _xlpm.Shape,        'Discrete Loads'!$E15,
    _xlpm.Direction,    AH$15,
    _xlpm.Azimuth,      0,
    _xlpm.CaAa_Front,   _xlfn.XLOOKUP(Code!$U27&amp;ROW()-12,Calculations_APPURT[Model]&amp;ROW('Discrete Loads'!M15),Hazards_APPURT[Front CaAa],0,0,1),
    _xlpm.CaAa_Side,    _xlfn.XLOOKUP(Code!$U27&amp;ROW()-12,Calculations_APPURT[Model]&amp;ROW('Discrete Loads'!M15),Hazards_APPURT[Side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IF($U27="","",IF(_xlpm.Shape="CFD", _xlpm.CFD_val, _xlpm.CaAa_Front*COS(PI()/180*(_xlpm.Direction+_xlpm.Azimuth))^2 + _xlpm.CaAa_Side*SIN(PI()/180*(_xlpm.Direction+_xlpm.Azimuth))^2)))</f>
        <v/>
      </c>
      <c r="AI27" s="340" t="str" cm="1">
        <f t="array" ref="AI27">IF($U27="","",_xlfn.XLOOKUP($U27&amp;(ROW()-12),Calculations_APPURT[Model]&amp;ROW(Calculations_APPURT[Model]),IF(Calculations_APPURT[Shape]&lt;&gt;"CFD","TIA","Manufacturer*"),"",0,1))</f>
        <v/>
      </c>
      <c r="AJ27" s="364" t="str" cm="1">
        <f t="array" ref="AJ27">IF(U27="","",_xlfn.XLOOKUP($U27&amp;(ROW()-12),Calculations_APPURT[Model]&amp;ROW(Calculations_APPURT[Model]),Hazards_APPURT[qz],"",0,1))</f>
        <v/>
      </c>
      <c r="AK27" s="367" t="str" cm="1">
        <f t="array" ref="AK27">IF(U27="","",_xlfn.XLOOKUP($U27&amp;(ROW()-12),Calculations_APPURT[Model]&amp;ROW(Calculations_APPURT[Model]),Dimensions_APPURT[Weight (lbf)],"",0,1))</f>
        <v/>
      </c>
      <c r="AM27" s="449"/>
      <c r="AN27" s="449"/>
      <c r="AO27" s="449"/>
      <c r="AP27" s="449"/>
      <c r="AQ27" s="300"/>
      <c r="AR27" s="452"/>
      <c r="AS27" s="452"/>
      <c r="AT27" s="452"/>
      <c r="AU27" s="452"/>
      <c r="AW27" s="470"/>
      <c r="AX27" s="471"/>
      <c r="AY27" s="470"/>
      <c r="AZ27" s="471"/>
      <c r="BA27" s="470"/>
      <c r="BB27" s="471"/>
      <c r="BC27" s="470"/>
      <c r="BD27" s="471"/>
    </row>
    <row r="28" spans="1:74" ht="15" customHeight="1" thickBot="1" x14ac:dyDescent="0.25">
      <c r="A28" s="405" t="s">
        <v>139</v>
      </c>
      <c r="B28" s="405"/>
      <c r="C28" s="413"/>
      <c r="D28" s="413"/>
      <c r="F28" s="404" t="s">
        <v>151</v>
      </c>
      <c r="G28" s="404"/>
      <c r="H28" s="425"/>
      <c r="I28" s="425"/>
      <c r="K28" s="399" t="s">
        <v>152</v>
      </c>
      <c r="L28" s="399"/>
      <c r="M28" s="398" t="str">
        <f>IFERROR(qiz*Ka*Kes.w,"N/A")</f>
        <v>N/A</v>
      </c>
      <c r="N28" s="398"/>
      <c r="P28" s="390"/>
      <c r="Q28" s="390"/>
      <c r="U28" s="474" t="str">
        <f>IF(ISBLANK('Discrete Loads'!B16),"",'Discrete Loads'!B16)</f>
        <v/>
      </c>
      <c r="V28" s="474"/>
      <c r="W28" s="341" t="str" cm="1">
        <f t="array" ref="W28">_xlfn.LET(
    _xlpm.model,        'Discrete Loads'!$B16,
    _xlpm.Shape,        'Discrete Loads'!$E16,
    _xlpm.Direction,    W$15,
    _xlpm.Azimuth,      0,
    _xlpm.CaAa_Front,   _xlfn.XLOOKUP(Code!$U28&amp;ROW()-12,Calculations_APPURT[Model]&amp;ROW('Discrete Loads'!B16),Hazards_APPURT[Front CaAa],0,0,1),
    _xlpm.CaAa_Side,    _xlfn.XLOOKUP(Code!$U28&amp;ROW()-12,Calculations_APPURT[Model]&amp;ROW('Discrete Loads'!B16),Hazards_APPURT[Side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X28" s="341" t="str" cm="1">
        <f t="array" ref="X28">_xlfn.LET(
    _xlpm.model,        'Discrete Loads'!$B16,
    _xlpm.Shape,        'Discrete Loads'!$E16,
    _xlpm.Direction,    X$15,
    _xlpm.Azimuth,      0,
    _xlpm.CaAa_Front,   _xlfn.XLOOKUP(Code!$U28&amp;ROW()-12,Calculations_APPURT[Model]&amp;ROW('Discrete Loads'!C16),Hazards_APPURT[Front CaAa],0,0,1),
    _xlpm.CaAa_Side,    _xlfn.XLOOKUP(Code!$U28&amp;ROW()-12,Calculations_APPURT[Model]&amp;ROW('Discrete Loads'!C16),Hazards_APPURT[Side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Y28" s="341" t="str" cm="1">
        <f t="array" ref="Y28">_xlfn.LET(
    _xlpm.model,        'Discrete Loads'!$B16,
    _xlpm.Shape,        'Discrete Loads'!$E16,
    _xlpm.Direction,    Y$15,
    _xlpm.Azimuth,      0,
    _xlpm.CaAa_Front,   _xlfn.XLOOKUP(Code!$U28&amp;ROW()-12,Calculations_APPURT[Model]&amp;ROW('Discrete Loads'!D16),Hazards_APPURT[Front CaAa],0,0,1),
    _xlpm.CaAa_Side,    _xlfn.XLOOKUP(Code!$U28&amp;ROW()-12,Calculations_APPURT[Model]&amp;ROW('Discrete Loads'!D16),Hazards_APPURT[Side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Z28" s="341" t="str" cm="1">
        <f t="array" ref="Z28">_xlfn.LET(
    _xlpm.model,        'Discrete Loads'!$B16,
    _xlpm.Shape,        'Discrete Loads'!$E16,
    _xlpm.Direction,    Z$15,
    _xlpm.Azimuth,      0,
    _xlpm.CaAa_Front,   _xlfn.XLOOKUP(Code!$U28&amp;ROW()-12,Calculations_APPURT[Model]&amp;ROW('Discrete Loads'!E16),Hazards_APPURT[Front CaAa],0,0,1),
    _xlpm.CaAa_Side,    _xlfn.XLOOKUP(Code!$U28&amp;ROW()-12,Calculations_APPURT[Model]&amp;ROW('Discrete Loads'!E16),Hazards_APPURT[Side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AA28" s="341" t="str" cm="1">
        <f t="array" ref="AA28">_xlfn.LET(
    _xlpm.model,        'Discrete Loads'!$B16,
    _xlpm.Shape,        'Discrete Loads'!$E16,
    _xlpm.Direction,    AA$15,
    _xlpm.Azimuth,      0,
    _xlpm.CaAa_Front,   _xlfn.XLOOKUP(Code!$U28&amp;ROW()-12,Calculations_APPURT[Model]&amp;ROW('Discrete Loads'!F16),Hazards_APPURT[Front CaAa],0,0,1),
    _xlpm.CaAa_Side,    _xlfn.XLOOKUP(Code!$U28&amp;ROW()-12,Calculations_APPURT[Model]&amp;ROW('Discrete Loads'!F16),Hazards_APPURT[Side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AB28" s="341" t="str" cm="1">
        <f t="array" ref="AB28">_xlfn.LET(
    _xlpm.model,        'Discrete Loads'!$B16,
    _xlpm.Shape,        'Discrete Loads'!$E16,
    _xlpm.Direction,    AB$15,
    _xlpm.Azimuth,      0,
    _xlpm.CaAa_Front,   _xlfn.XLOOKUP(Code!$U28&amp;ROW()-12,Calculations_APPURT[Model]&amp;ROW('Discrete Loads'!G16),Hazards_APPURT[Front CaAa],0,0,1),
    _xlpm.CaAa_Side,    _xlfn.XLOOKUP(Code!$U28&amp;ROW()-12,Calculations_APPURT[Model]&amp;ROW('Discrete Loads'!G16),Hazards_APPURT[Side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AC28" s="341" t="str" cm="1">
        <f t="array" ref="AC28">_xlfn.LET(
    _xlpm.model,        'Discrete Loads'!$B16,
    _xlpm.Shape,        'Discrete Loads'!$E16,
    _xlpm.Direction,    AC$15,
    _xlpm.Azimuth,      0,
    _xlpm.CaAa_Front,   _xlfn.XLOOKUP(Code!$U28&amp;ROW()-12,Calculations_APPURT[Model]&amp;ROW('Discrete Loads'!H16),Hazards_APPURT[Front CaAa],0,0,1),
    _xlpm.CaAa_Side,    _xlfn.XLOOKUP(Code!$U28&amp;ROW()-12,Calculations_APPURT[Model]&amp;ROW('Discrete Loads'!H16),Hazards_APPURT[Side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AD28" s="341" t="str" cm="1">
        <f t="array" ref="AD28">_xlfn.LET(
    _xlpm.model,        'Discrete Loads'!$B16,
    _xlpm.Shape,        'Discrete Loads'!$E16,
    _xlpm.Direction,    AD$15,
    _xlpm.Azimuth,      0,
    _xlpm.CaAa_Front,   _xlfn.XLOOKUP(Code!$U28&amp;ROW()-12,Calculations_APPURT[Model]&amp;ROW('Discrete Loads'!I16),Hazards_APPURT[Front CaAa],0,0,1),
    _xlpm.CaAa_Side,    _xlfn.XLOOKUP(Code!$U28&amp;ROW()-12,Calculations_APPURT[Model]&amp;ROW('Discrete Loads'!I16),Hazards_APPURT[Side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AE28" s="341" t="str" cm="1">
        <f t="array" ref="AE28">_xlfn.LET(
    _xlpm.model,        'Discrete Loads'!$B16,
    _xlpm.Shape,        'Discrete Loads'!$E16,
    _xlpm.Direction,    AE$15,
    _xlpm.Azimuth,      0,
    _xlpm.CaAa_Front,   _xlfn.XLOOKUP(Code!$U28&amp;ROW()-12,Calculations_APPURT[Model]&amp;ROW('Discrete Loads'!J16),Hazards_APPURT[Front CaAa],0,0,1),
    _xlpm.CaAa_Side,    _xlfn.XLOOKUP(Code!$U28&amp;ROW()-12,Calculations_APPURT[Model]&amp;ROW('Discrete Loads'!J16),Hazards_APPURT[Side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AF28" s="341" t="str" cm="1">
        <f t="array" ref="AF28">_xlfn.LET(
    _xlpm.model,        'Discrete Loads'!$B16,
    _xlpm.Shape,        'Discrete Loads'!$E16,
    _xlpm.Direction,    AF$15,
    _xlpm.Azimuth,      0,
    _xlpm.CaAa_Front,   _xlfn.XLOOKUP(Code!$U28&amp;ROW()-12,Calculations_APPURT[Model]&amp;ROW('Discrete Loads'!K16),Hazards_APPURT[Front CaAa],0,0,1),
    _xlpm.CaAa_Side,    _xlfn.XLOOKUP(Code!$U28&amp;ROW()-12,Calculations_APPURT[Model]&amp;ROW('Discrete Loads'!K16),Hazards_APPURT[Side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AG28" s="341" t="str" cm="1">
        <f t="array" ref="AG28">_xlfn.LET(
    _xlpm.model,        'Discrete Loads'!$B16,
    _xlpm.Shape,        'Discrete Loads'!$E16,
    _xlpm.Direction,    AG$15,
    _xlpm.Azimuth,      0,
    _xlpm.CaAa_Front,   _xlfn.XLOOKUP(Code!$U28&amp;ROW()-12,Calculations_APPURT[Model]&amp;ROW('Discrete Loads'!L16),Hazards_APPURT[Front CaAa],0,0,1),
    _xlpm.CaAa_Side,    _xlfn.XLOOKUP(Code!$U28&amp;ROW()-12,Calculations_APPURT[Model]&amp;ROW('Discrete Loads'!L16),Hazards_APPURT[Side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AH28" s="341" t="str" cm="1">
        <f t="array" ref="AH28">_xlfn.LET(
    _xlpm.model,        'Discrete Loads'!$B16,
    _xlpm.Shape,        'Discrete Loads'!$E16,
    _xlpm.Direction,    AH$15,
    _xlpm.Azimuth,      0,
    _xlpm.CaAa_Front,   _xlfn.XLOOKUP(Code!$U28&amp;ROW()-12,Calculations_APPURT[Model]&amp;ROW('Discrete Loads'!M16),Hazards_APPURT[Front CaAa],0,0,1),
    _xlpm.CaAa_Side,    _xlfn.XLOOKUP(Code!$U28&amp;ROW()-12,Calculations_APPURT[Model]&amp;ROW('Discrete Loads'!M16),Hazards_APPURT[Side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IF($U28="","",IF(_xlpm.Shape="CFD", _xlpm.CFD_val, _xlpm.CaAa_Front*COS(PI()/180*(_xlpm.Direction+_xlpm.Azimuth))^2 + _xlpm.CaAa_Side*SIN(PI()/180*(_xlpm.Direction+_xlpm.Azimuth))^2)))</f>
        <v/>
      </c>
      <c r="AI28" s="339" t="str" cm="1">
        <f t="array" ref="AI28">IF($U28="","",_xlfn.XLOOKUP($U28&amp;(ROW()-12),Calculations_APPURT[Model]&amp;ROW(Calculations_APPURT[Model]),IF(Calculations_APPURT[Shape]&lt;&gt;"CFD","TIA","Manufacturer*"),"",0,1))</f>
        <v/>
      </c>
      <c r="AJ28" s="363" t="str" cm="1">
        <f t="array" ref="AJ28">IF(U28="","",_xlfn.XLOOKUP($U28&amp;(ROW()-12),Calculations_APPURT[Model]&amp;ROW(Calculations_APPURT[Model]),Hazards_APPURT[qz],"",0,1))</f>
        <v/>
      </c>
      <c r="AK28" s="366" t="str" cm="1">
        <f t="array" ref="AK28">IF(U28="","",_xlfn.XLOOKUP($U28&amp;(ROW()-12),Calculations_APPURT[Model]&amp;ROW(Calculations_APPURT[Model]),Dimensions_APPURT[Weight (lbf)],"",0,1))</f>
        <v/>
      </c>
      <c r="AM28" s="449"/>
      <c r="AN28" s="449"/>
      <c r="AO28" s="449"/>
      <c r="AP28" s="449"/>
      <c r="AQ28" s="300"/>
      <c r="AR28" s="452"/>
      <c r="AS28" s="452"/>
      <c r="AT28" s="452"/>
      <c r="AU28" s="452"/>
      <c r="AW28" s="444" t="s">
        <v>677</v>
      </c>
      <c r="AX28" s="445"/>
      <c r="AY28" s="445"/>
      <c r="AZ28" s="445"/>
      <c r="BA28" s="445"/>
      <c r="BB28" s="445"/>
      <c r="BC28" s="445"/>
      <c r="BD28" s="446"/>
    </row>
    <row r="29" spans="1:74" ht="15" customHeight="1" thickBot="1" x14ac:dyDescent="0.25">
      <c r="A29" s="396" t="s">
        <v>155</v>
      </c>
      <c r="B29" s="396"/>
      <c r="C29" s="396"/>
      <c r="D29" s="396"/>
      <c r="F29" s="399" t="s">
        <v>156</v>
      </c>
      <c r="G29" s="399"/>
      <c r="H29" s="416"/>
      <c r="I29" s="416"/>
      <c r="K29" s="402" t="s">
        <v>157</v>
      </c>
      <c r="L29" s="402"/>
      <c r="M29" s="431">
        <f>IFERROR(tiz*Kes.i,"N/A")</f>
        <v>0</v>
      </c>
      <c r="N29" s="431"/>
      <c r="P29" s="397" t="s">
        <v>158</v>
      </c>
      <c r="Q29" s="397"/>
      <c r="R29" s="397"/>
      <c r="S29" s="397"/>
      <c r="U29" s="386" t="str">
        <f>IF(ISBLANK('Discrete Loads'!B17),"",'Discrete Loads'!B17)</f>
        <v/>
      </c>
      <c r="V29" s="386"/>
      <c r="W29" s="342" t="str" cm="1">
        <f t="array" ref="W29">_xlfn.LET(
    _xlpm.model,        'Discrete Loads'!$B17,
    _xlpm.Shape,        'Discrete Loads'!$E17,
    _xlpm.Direction,    W$15,
    _xlpm.Azimuth,      0,
    _xlpm.CaAa_Front,   _xlfn.XLOOKUP(Code!$U29&amp;ROW()-12,Calculations_APPURT[Model]&amp;ROW('Discrete Loads'!B17),Hazards_APPURT[Front CaAa],0,0,1),
    _xlpm.CaAa_Side,    _xlfn.XLOOKUP(Code!$U29&amp;ROW()-12,Calculations_APPURT[Model]&amp;ROW('Discrete Loads'!B17),Hazards_APPURT[Side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X29" s="342" t="str" cm="1">
        <f t="array" ref="X29">_xlfn.LET(
    _xlpm.model,        'Discrete Loads'!$B17,
    _xlpm.Shape,        'Discrete Loads'!$E17,
    _xlpm.Direction,    X$15,
    _xlpm.Azimuth,      0,
    _xlpm.CaAa_Front,   _xlfn.XLOOKUP(Code!$U29&amp;ROW()-12,Calculations_APPURT[Model]&amp;ROW('Discrete Loads'!C17),Hazards_APPURT[Front CaAa],0,0,1),
    _xlpm.CaAa_Side,    _xlfn.XLOOKUP(Code!$U29&amp;ROW()-12,Calculations_APPURT[Model]&amp;ROW('Discrete Loads'!C17),Hazards_APPURT[Side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Y29" s="342" t="str" cm="1">
        <f t="array" ref="Y29">_xlfn.LET(
    _xlpm.model,        'Discrete Loads'!$B17,
    _xlpm.Shape,        'Discrete Loads'!$E17,
    _xlpm.Direction,    Y$15,
    _xlpm.Azimuth,      0,
    _xlpm.CaAa_Front,   _xlfn.XLOOKUP(Code!$U29&amp;ROW()-12,Calculations_APPURT[Model]&amp;ROW('Discrete Loads'!D17),Hazards_APPURT[Front CaAa],0,0,1),
    _xlpm.CaAa_Side,    _xlfn.XLOOKUP(Code!$U29&amp;ROW()-12,Calculations_APPURT[Model]&amp;ROW('Discrete Loads'!D17),Hazards_APPURT[Side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Z29" s="342" t="str" cm="1">
        <f t="array" ref="Z29">_xlfn.LET(
    _xlpm.model,        'Discrete Loads'!$B17,
    _xlpm.Shape,        'Discrete Loads'!$E17,
    _xlpm.Direction,    Z$15,
    _xlpm.Azimuth,      0,
    _xlpm.CaAa_Front,   _xlfn.XLOOKUP(Code!$U29&amp;ROW()-12,Calculations_APPURT[Model]&amp;ROW('Discrete Loads'!E17),Hazards_APPURT[Front CaAa],0,0,1),
    _xlpm.CaAa_Side,    _xlfn.XLOOKUP(Code!$U29&amp;ROW()-12,Calculations_APPURT[Model]&amp;ROW('Discrete Loads'!E17),Hazards_APPURT[Side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AA29" s="342" t="str" cm="1">
        <f t="array" ref="AA29">_xlfn.LET(
    _xlpm.model,        'Discrete Loads'!$B17,
    _xlpm.Shape,        'Discrete Loads'!$E17,
    _xlpm.Direction,    AA$15,
    _xlpm.Azimuth,      0,
    _xlpm.CaAa_Front,   _xlfn.XLOOKUP(Code!$U29&amp;ROW()-12,Calculations_APPURT[Model]&amp;ROW('Discrete Loads'!F17),Hazards_APPURT[Front CaAa],0,0,1),
    _xlpm.CaAa_Side,    _xlfn.XLOOKUP(Code!$U29&amp;ROW()-12,Calculations_APPURT[Model]&amp;ROW('Discrete Loads'!F17),Hazards_APPURT[Side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AB29" s="342" t="str" cm="1">
        <f t="array" ref="AB29">_xlfn.LET(
    _xlpm.model,        'Discrete Loads'!$B17,
    _xlpm.Shape,        'Discrete Loads'!$E17,
    _xlpm.Direction,    AB$15,
    _xlpm.Azimuth,      0,
    _xlpm.CaAa_Front,   _xlfn.XLOOKUP(Code!$U29&amp;ROW()-12,Calculations_APPURT[Model]&amp;ROW('Discrete Loads'!G17),Hazards_APPURT[Front CaAa],0,0,1),
    _xlpm.CaAa_Side,    _xlfn.XLOOKUP(Code!$U29&amp;ROW()-12,Calculations_APPURT[Model]&amp;ROW('Discrete Loads'!G17),Hazards_APPURT[Side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AC29" s="342" t="str" cm="1">
        <f t="array" ref="AC29">_xlfn.LET(
    _xlpm.model,        'Discrete Loads'!$B17,
    _xlpm.Shape,        'Discrete Loads'!$E17,
    _xlpm.Direction,    AC$15,
    _xlpm.Azimuth,      0,
    _xlpm.CaAa_Front,   _xlfn.XLOOKUP(Code!$U29&amp;ROW()-12,Calculations_APPURT[Model]&amp;ROW('Discrete Loads'!H17),Hazards_APPURT[Front CaAa],0,0,1),
    _xlpm.CaAa_Side,    _xlfn.XLOOKUP(Code!$U29&amp;ROW()-12,Calculations_APPURT[Model]&amp;ROW('Discrete Loads'!H17),Hazards_APPURT[Side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AD29" s="342" t="str" cm="1">
        <f t="array" ref="AD29">_xlfn.LET(
    _xlpm.model,        'Discrete Loads'!$B17,
    _xlpm.Shape,        'Discrete Loads'!$E17,
    _xlpm.Direction,    AD$15,
    _xlpm.Azimuth,      0,
    _xlpm.CaAa_Front,   _xlfn.XLOOKUP(Code!$U29&amp;ROW()-12,Calculations_APPURT[Model]&amp;ROW('Discrete Loads'!I17),Hazards_APPURT[Front CaAa],0,0,1),
    _xlpm.CaAa_Side,    _xlfn.XLOOKUP(Code!$U29&amp;ROW()-12,Calculations_APPURT[Model]&amp;ROW('Discrete Loads'!I17),Hazards_APPURT[Side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AE29" s="342" t="str" cm="1">
        <f t="array" ref="AE29">_xlfn.LET(
    _xlpm.model,        'Discrete Loads'!$B17,
    _xlpm.Shape,        'Discrete Loads'!$E17,
    _xlpm.Direction,    AE$15,
    _xlpm.Azimuth,      0,
    _xlpm.CaAa_Front,   _xlfn.XLOOKUP(Code!$U29&amp;ROW()-12,Calculations_APPURT[Model]&amp;ROW('Discrete Loads'!J17),Hazards_APPURT[Front CaAa],0,0,1),
    _xlpm.CaAa_Side,    _xlfn.XLOOKUP(Code!$U29&amp;ROW()-12,Calculations_APPURT[Model]&amp;ROW('Discrete Loads'!J17),Hazards_APPURT[Side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AF29" s="342" t="str" cm="1">
        <f t="array" ref="AF29">_xlfn.LET(
    _xlpm.model,        'Discrete Loads'!$B17,
    _xlpm.Shape,        'Discrete Loads'!$E17,
    _xlpm.Direction,    AF$15,
    _xlpm.Azimuth,      0,
    _xlpm.CaAa_Front,   _xlfn.XLOOKUP(Code!$U29&amp;ROW()-12,Calculations_APPURT[Model]&amp;ROW('Discrete Loads'!K17),Hazards_APPURT[Front CaAa],0,0,1),
    _xlpm.CaAa_Side,    _xlfn.XLOOKUP(Code!$U29&amp;ROW()-12,Calculations_APPURT[Model]&amp;ROW('Discrete Loads'!K17),Hazards_APPURT[Side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AG29" s="342" t="str" cm="1">
        <f t="array" ref="AG29">_xlfn.LET(
    _xlpm.model,        'Discrete Loads'!$B17,
    _xlpm.Shape,        'Discrete Loads'!$E17,
    _xlpm.Direction,    AG$15,
    _xlpm.Azimuth,      0,
    _xlpm.CaAa_Front,   _xlfn.XLOOKUP(Code!$U29&amp;ROW()-12,Calculations_APPURT[Model]&amp;ROW('Discrete Loads'!L17),Hazards_APPURT[Front CaAa],0,0,1),
    _xlpm.CaAa_Side,    _xlfn.XLOOKUP(Code!$U29&amp;ROW()-12,Calculations_APPURT[Model]&amp;ROW('Discrete Loads'!L17),Hazards_APPURT[Side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AH29" s="342" t="str" cm="1">
        <f t="array" ref="AH29">_xlfn.LET(
    _xlpm.model,        'Discrete Loads'!$B17,
    _xlpm.Shape,        'Discrete Loads'!$E17,
    _xlpm.Direction,    AH$15,
    _xlpm.Azimuth,      0,
    _xlpm.CaAa_Front,   _xlfn.XLOOKUP(Code!$U29&amp;ROW()-12,Calculations_APPURT[Model]&amp;ROW('Discrete Loads'!M17),Hazards_APPURT[Front CaAa],0,0,1),
    _xlpm.CaAa_Side,    _xlfn.XLOOKUP(Code!$U29&amp;ROW()-12,Calculations_APPURT[Model]&amp;ROW('Discrete Loads'!M17),Hazards_APPURT[Side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IF($U29="","",IF(_xlpm.Shape="CFD", _xlpm.CFD_val, _xlpm.CaAa_Front*COS(PI()/180*(_xlpm.Direction+_xlpm.Azimuth))^2 + _xlpm.CaAa_Side*SIN(PI()/180*(_xlpm.Direction+_xlpm.Azimuth))^2)))</f>
        <v/>
      </c>
      <c r="AI29" s="340" t="str" cm="1">
        <f t="array" ref="AI29">IF($U29="","",_xlfn.XLOOKUP($U29&amp;(ROW()-12),Calculations_APPURT[Model]&amp;ROW(Calculations_APPURT[Model]),IF(Calculations_APPURT[Shape]&lt;&gt;"CFD","TIA","Manufacturer*"),"",0,1))</f>
        <v/>
      </c>
      <c r="AJ29" s="364" t="str" cm="1">
        <f t="array" ref="AJ29">IF(U29="","",_xlfn.XLOOKUP($U29&amp;(ROW()-12),Calculations_APPURT[Model]&amp;ROW(Calculations_APPURT[Model]),Hazards_APPURT[qz],"",0,1))</f>
        <v/>
      </c>
      <c r="AK29" s="367" t="str" cm="1">
        <f t="array" ref="AK29">IF(U29="","",_xlfn.XLOOKUP($U29&amp;(ROW()-12),Calculations_APPURT[Model]&amp;ROW(Calculations_APPURT[Model]),Dimensions_APPURT[Weight (lbf)],"",0,1))</f>
        <v/>
      </c>
      <c r="AM29" s="449"/>
      <c r="AN29" s="449"/>
      <c r="AO29" s="449"/>
      <c r="AP29" s="449"/>
      <c r="AQ29" s="300"/>
      <c r="AR29" s="452"/>
      <c r="AS29" s="452"/>
      <c r="AT29" s="452"/>
      <c r="AU29" s="452"/>
      <c r="AW29" s="457" t="s">
        <v>537</v>
      </c>
      <c r="AX29" s="458"/>
      <c r="AY29" s="467">
        <v>3</v>
      </c>
      <c r="AZ29" s="469"/>
      <c r="BA29" s="457" t="s">
        <v>233</v>
      </c>
      <c r="BB29" s="458"/>
      <c r="BC29" s="467">
        <v>5</v>
      </c>
      <c r="BD29" s="469"/>
    </row>
    <row r="30" spans="1:74" ht="15" customHeight="1" thickBot="1" x14ac:dyDescent="0.25">
      <c r="A30" s="391" t="s">
        <v>159</v>
      </c>
      <c r="B30" s="391"/>
      <c r="C30" s="415"/>
      <c r="D30" s="415"/>
      <c r="F30" s="404" t="s">
        <v>160</v>
      </c>
      <c r="G30" s="404"/>
      <c r="H30" s="425"/>
      <c r="I30" s="425"/>
      <c r="K30" s="396" t="s">
        <v>161</v>
      </c>
      <c r="L30" s="396"/>
      <c r="M30" s="396"/>
      <c r="N30" s="396"/>
      <c r="P30" s="316" t="s">
        <v>162</v>
      </c>
      <c r="Q30" s="316" t="s">
        <v>163</v>
      </c>
      <c r="R30" s="316" t="s">
        <v>164</v>
      </c>
      <c r="S30" s="316" t="s">
        <v>165</v>
      </c>
      <c r="U30" s="474" t="str">
        <f>IF(ISBLANK('Discrete Loads'!B18),"",'Discrete Loads'!B18)</f>
        <v/>
      </c>
      <c r="V30" s="474"/>
      <c r="W30" s="341" t="str" cm="1">
        <f t="array" ref="W30">_xlfn.LET(
    _xlpm.model,        'Discrete Loads'!$B18,
    _xlpm.Shape,        'Discrete Loads'!$E18,
    _xlpm.Direction,    W$15,
    _xlpm.Azimuth,      0,
    _xlpm.CaAa_Front,   _xlfn.XLOOKUP(Code!$U30&amp;ROW()-12,Calculations_APPURT[Model]&amp;ROW('Discrete Loads'!B18),Hazards_APPURT[Front CaAa],0,0,1),
    _xlpm.CaAa_Side,    _xlfn.XLOOKUP(Code!$U30&amp;ROW()-12,Calculations_APPURT[Model]&amp;ROW('Discrete Loads'!B18),Hazards_APPURT[Side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X30" s="341" t="str" cm="1">
        <f t="array" ref="X30">_xlfn.LET(
    _xlpm.model,        'Discrete Loads'!$B18,
    _xlpm.Shape,        'Discrete Loads'!$E18,
    _xlpm.Direction,    X$15,
    _xlpm.Azimuth,      0,
    _xlpm.CaAa_Front,   _xlfn.XLOOKUP(Code!$U30&amp;ROW()-12,Calculations_APPURT[Model]&amp;ROW('Discrete Loads'!C18),Hazards_APPURT[Front CaAa],0,0,1),
    _xlpm.CaAa_Side,    _xlfn.XLOOKUP(Code!$U30&amp;ROW()-12,Calculations_APPURT[Model]&amp;ROW('Discrete Loads'!C18),Hazards_APPURT[Side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Y30" s="341" t="str" cm="1">
        <f t="array" ref="Y30">_xlfn.LET(
    _xlpm.model,        'Discrete Loads'!$B18,
    _xlpm.Shape,        'Discrete Loads'!$E18,
    _xlpm.Direction,    Y$15,
    _xlpm.Azimuth,      0,
    _xlpm.CaAa_Front,   _xlfn.XLOOKUP(Code!$U30&amp;ROW()-12,Calculations_APPURT[Model]&amp;ROW('Discrete Loads'!D18),Hazards_APPURT[Front CaAa],0,0,1),
    _xlpm.CaAa_Side,    _xlfn.XLOOKUP(Code!$U30&amp;ROW()-12,Calculations_APPURT[Model]&amp;ROW('Discrete Loads'!D18),Hazards_APPURT[Side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Z30" s="341" t="str" cm="1">
        <f t="array" ref="Z30">_xlfn.LET(
    _xlpm.model,        'Discrete Loads'!$B18,
    _xlpm.Shape,        'Discrete Loads'!$E18,
    _xlpm.Direction,    Z$15,
    _xlpm.Azimuth,      0,
    _xlpm.CaAa_Front,   _xlfn.XLOOKUP(Code!$U30&amp;ROW()-12,Calculations_APPURT[Model]&amp;ROW('Discrete Loads'!E18),Hazards_APPURT[Front CaAa],0,0,1),
    _xlpm.CaAa_Side,    _xlfn.XLOOKUP(Code!$U30&amp;ROW()-12,Calculations_APPURT[Model]&amp;ROW('Discrete Loads'!E18),Hazards_APPURT[Side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AA30" s="341" t="str" cm="1">
        <f t="array" ref="AA30">_xlfn.LET(
    _xlpm.model,        'Discrete Loads'!$B18,
    _xlpm.Shape,        'Discrete Loads'!$E18,
    _xlpm.Direction,    AA$15,
    _xlpm.Azimuth,      0,
    _xlpm.CaAa_Front,   _xlfn.XLOOKUP(Code!$U30&amp;ROW()-12,Calculations_APPURT[Model]&amp;ROW('Discrete Loads'!F18),Hazards_APPURT[Front CaAa],0,0,1),
    _xlpm.CaAa_Side,    _xlfn.XLOOKUP(Code!$U30&amp;ROW()-12,Calculations_APPURT[Model]&amp;ROW('Discrete Loads'!F18),Hazards_APPURT[Side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AB30" s="341" t="str" cm="1">
        <f t="array" ref="AB30">_xlfn.LET(
    _xlpm.model,        'Discrete Loads'!$B18,
    _xlpm.Shape,        'Discrete Loads'!$E18,
    _xlpm.Direction,    AB$15,
    _xlpm.Azimuth,      0,
    _xlpm.CaAa_Front,   _xlfn.XLOOKUP(Code!$U30&amp;ROW()-12,Calculations_APPURT[Model]&amp;ROW('Discrete Loads'!G18),Hazards_APPURT[Front CaAa],0,0,1),
    _xlpm.CaAa_Side,    _xlfn.XLOOKUP(Code!$U30&amp;ROW()-12,Calculations_APPURT[Model]&amp;ROW('Discrete Loads'!G18),Hazards_APPURT[Side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AC30" s="341" t="str" cm="1">
        <f t="array" ref="AC30">_xlfn.LET(
    _xlpm.model,        'Discrete Loads'!$B18,
    _xlpm.Shape,        'Discrete Loads'!$E18,
    _xlpm.Direction,    AC$15,
    _xlpm.Azimuth,      0,
    _xlpm.CaAa_Front,   _xlfn.XLOOKUP(Code!$U30&amp;ROW()-12,Calculations_APPURT[Model]&amp;ROW('Discrete Loads'!H18),Hazards_APPURT[Front CaAa],0,0,1),
    _xlpm.CaAa_Side,    _xlfn.XLOOKUP(Code!$U30&amp;ROW()-12,Calculations_APPURT[Model]&amp;ROW('Discrete Loads'!H18),Hazards_APPURT[Side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AD30" s="341" t="str" cm="1">
        <f t="array" ref="AD30">_xlfn.LET(
    _xlpm.model,        'Discrete Loads'!$B18,
    _xlpm.Shape,        'Discrete Loads'!$E18,
    _xlpm.Direction,    AD$15,
    _xlpm.Azimuth,      0,
    _xlpm.CaAa_Front,   _xlfn.XLOOKUP(Code!$U30&amp;ROW()-12,Calculations_APPURT[Model]&amp;ROW('Discrete Loads'!I18),Hazards_APPURT[Front CaAa],0,0,1),
    _xlpm.CaAa_Side,    _xlfn.XLOOKUP(Code!$U30&amp;ROW()-12,Calculations_APPURT[Model]&amp;ROW('Discrete Loads'!I18),Hazards_APPURT[Side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AE30" s="341" t="str" cm="1">
        <f t="array" ref="AE30">_xlfn.LET(
    _xlpm.model,        'Discrete Loads'!$B18,
    _xlpm.Shape,        'Discrete Loads'!$E18,
    _xlpm.Direction,    AE$15,
    _xlpm.Azimuth,      0,
    _xlpm.CaAa_Front,   _xlfn.XLOOKUP(Code!$U30&amp;ROW()-12,Calculations_APPURT[Model]&amp;ROW('Discrete Loads'!J18),Hazards_APPURT[Front CaAa],0,0,1),
    _xlpm.CaAa_Side,    _xlfn.XLOOKUP(Code!$U30&amp;ROW()-12,Calculations_APPURT[Model]&amp;ROW('Discrete Loads'!J18),Hazards_APPURT[Side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AF30" s="341" t="str" cm="1">
        <f t="array" ref="AF30">_xlfn.LET(
    _xlpm.model,        'Discrete Loads'!$B18,
    _xlpm.Shape,        'Discrete Loads'!$E18,
    _xlpm.Direction,    AF$15,
    _xlpm.Azimuth,      0,
    _xlpm.CaAa_Front,   _xlfn.XLOOKUP(Code!$U30&amp;ROW()-12,Calculations_APPURT[Model]&amp;ROW('Discrete Loads'!K18),Hazards_APPURT[Front CaAa],0,0,1),
    _xlpm.CaAa_Side,    _xlfn.XLOOKUP(Code!$U30&amp;ROW()-12,Calculations_APPURT[Model]&amp;ROW('Discrete Loads'!K18),Hazards_APPURT[Side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AG30" s="341" t="str" cm="1">
        <f t="array" ref="AG30">_xlfn.LET(
    _xlpm.model,        'Discrete Loads'!$B18,
    _xlpm.Shape,        'Discrete Loads'!$E18,
    _xlpm.Direction,    AG$15,
    _xlpm.Azimuth,      0,
    _xlpm.CaAa_Front,   _xlfn.XLOOKUP(Code!$U30&amp;ROW()-12,Calculations_APPURT[Model]&amp;ROW('Discrete Loads'!L18),Hazards_APPURT[Front CaAa],0,0,1),
    _xlpm.CaAa_Side,    _xlfn.XLOOKUP(Code!$U30&amp;ROW()-12,Calculations_APPURT[Model]&amp;ROW('Discrete Loads'!L18),Hazards_APPURT[Side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AH30" s="341" t="str" cm="1">
        <f t="array" ref="AH30">_xlfn.LET(
    _xlpm.model,        'Discrete Loads'!$B18,
    _xlpm.Shape,        'Discrete Loads'!$E18,
    _xlpm.Direction,    AH$15,
    _xlpm.Azimuth,      0,
    _xlpm.CaAa_Front,   _xlfn.XLOOKUP(Code!$U30&amp;ROW()-12,Calculations_APPURT[Model]&amp;ROW('Discrete Loads'!M18),Hazards_APPURT[Front CaAa],0,0,1),
    _xlpm.CaAa_Side,    _xlfn.XLOOKUP(Code!$U30&amp;ROW()-12,Calculations_APPURT[Model]&amp;ROW('Discrete Loads'!M18),Hazards_APPURT[Side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IF($U30="","",IF(_xlpm.Shape="CFD", _xlpm.CFD_val, _xlpm.CaAa_Front*COS(PI()/180*(_xlpm.Direction+_xlpm.Azimuth))^2 + _xlpm.CaAa_Side*SIN(PI()/180*(_xlpm.Direction+_xlpm.Azimuth))^2)))</f>
        <v/>
      </c>
      <c r="AI30" s="339" t="str" cm="1">
        <f t="array" ref="AI30">IF($U30="","",_xlfn.XLOOKUP($U30&amp;(ROW()-12),Calculations_APPURT[Model]&amp;ROW(Calculations_APPURT[Model]),IF(Calculations_APPURT[Shape]&lt;&gt;"CFD","TIA","Manufacturer*"),"",0,1))</f>
        <v/>
      </c>
      <c r="AJ30" s="363" t="str" cm="1">
        <f t="array" ref="AJ30">IF(U30="","",_xlfn.XLOOKUP($U30&amp;(ROW()-12),Calculations_APPURT[Model]&amp;ROW(Calculations_APPURT[Model]),Hazards_APPURT[qz],"",0,1))</f>
        <v/>
      </c>
      <c r="AK30" s="366" t="str" cm="1">
        <f t="array" ref="AK30">IF(U30="","",_xlfn.XLOOKUP($U30&amp;(ROW()-12),Calculations_APPURT[Model]&amp;ROW(Calculations_APPURT[Model]),Dimensions_APPURT[Weight (lbf)],"",0,1))</f>
        <v/>
      </c>
      <c r="AM30" s="449"/>
      <c r="AN30" s="449"/>
      <c r="AO30" s="449"/>
      <c r="AP30" s="449"/>
      <c r="AQ30" s="300"/>
      <c r="AR30" s="452"/>
      <c r="AS30" s="452"/>
      <c r="AT30" s="452"/>
      <c r="AU30" s="452"/>
      <c r="AW30" s="444" t="s">
        <v>1787</v>
      </c>
      <c r="AX30" s="445"/>
      <c r="AY30" s="445"/>
      <c r="AZ30" s="445"/>
      <c r="BA30" s="445"/>
      <c r="BB30" s="445"/>
      <c r="BC30" s="445"/>
      <c r="BD30" s="446"/>
    </row>
    <row r="31" spans="1:74" ht="15" customHeight="1" thickBot="1" x14ac:dyDescent="0.25">
      <c r="A31" s="405" t="s">
        <v>166</v>
      </c>
      <c r="B31" s="405"/>
      <c r="C31" s="428"/>
      <c r="D31" s="428"/>
      <c r="F31" s="399" t="s">
        <v>167</v>
      </c>
      <c r="G31" s="399"/>
      <c r="H31" s="416"/>
      <c r="I31" s="416"/>
      <c r="K31" s="399" t="s">
        <v>168</v>
      </c>
      <c r="L31" s="399"/>
      <c r="M31" s="399" cm="1">
        <f t="array" ref="M31">IFERROR(I.earthquake,"N/A")</f>
        <v>1</v>
      </c>
      <c r="N31" s="399"/>
      <c r="P31" s="318" t="s">
        <v>169</v>
      </c>
      <c r="Q31" s="321">
        <f>SUM(Geometry!$AU:$AU)</f>
        <v>0</v>
      </c>
      <c r="R31" s="321">
        <f>SUM(Geometry!$AV:$AV)</f>
        <v>0</v>
      </c>
      <c r="S31" s="322">
        <f>SUM(Geometry!$AW:$AW)</f>
        <v>0</v>
      </c>
      <c r="U31" s="386" t="str">
        <f>IF(ISBLANK('Discrete Loads'!B19),"",'Discrete Loads'!B19)</f>
        <v/>
      </c>
      <c r="V31" s="386"/>
      <c r="W31" s="342" t="str" cm="1">
        <f t="array" ref="W31">_xlfn.LET(
    _xlpm.model,        'Discrete Loads'!$B19,
    _xlpm.Shape,        'Discrete Loads'!$E19,
    _xlpm.Direction,    W$15,
    _xlpm.Azimuth,      0,
    _xlpm.CaAa_Front,   _xlfn.XLOOKUP(Code!$U31&amp;ROW()-12,Calculations_APPURT[Model]&amp;ROW('Discrete Loads'!B19),Hazards_APPURT[Front CaAa],0,0,1),
    _xlpm.CaAa_Side,    _xlfn.XLOOKUP(Code!$U31&amp;ROW()-12,Calculations_APPURT[Model]&amp;ROW('Discrete Loads'!B19),Hazards_APPURT[Side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X31" s="342" t="str" cm="1">
        <f t="array" ref="X31">_xlfn.LET(
    _xlpm.model,        'Discrete Loads'!$B19,
    _xlpm.Shape,        'Discrete Loads'!$E19,
    _xlpm.Direction,    X$15,
    _xlpm.Azimuth,      0,
    _xlpm.CaAa_Front,   _xlfn.XLOOKUP(Code!$U31&amp;ROW()-12,Calculations_APPURT[Model]&amp;ROW('Discrete Loads'!C19),Hazards_APPURT[Front CaAa],0,0,1),
    _xlpm.CaAa_Side,    _xlfn.XLOOKUP(Code!$U31&amp;ROW()-12,Calculations_APPURT[Model]&amp;ROW('Discrete Loads'!C19),Hazards_APPURT[Side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Y31" s="342" t="str" cm="1">
        <f t="array" ref="Y31">_xlfn.LET(
    _xlpm.model,        'Discrete Loads'!$B19,
    _xlpm.Shape,        'Discrete Loads'!$E19,
    _xlpm.Direction,    Y$15,
    _xlpm.Azimuth,      0,
    _xlpm.CaAa_Front,   _xlfn.XLOOKUP(Code!$U31&amp;ROW()-12,Calculations_APPURT[Model]&amp;ROW('Discrete Loads'!D19),Hazards_APPURT[Front CaAa],0,0,1),
    _xlpm.CaAa_Side,    _xlfn.XLOOKUP(Code!$U31&amp;ROW()-12,Calculations_APPURT[Model]&amp;ROW('Discrete Loads'!D19),Hazards_APPURT[Side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Z31" s="342" t="str" cm="1">
        <f t="array" ref="Z31">_xlfn.LET(
    _xlpm.model,        'Discrete Loads'!$B19,
    _xlpm.Shape,        'Discrete Loads'!$E19,
    _xlpm.Direction,    Z$15,
    _xlpm.Azimuth,      0,
    _xlpm.CaAa_Front,   _xlfn.XLOOKUP(Code!$U31&amp;ROW()-12,Calculations_APPURT[Model]&amp;ROW('Discrete Loads'!E19),Hazards_APPURT[Front CaAa],0,0,1),
    _xlpm.CaAa_Side,    _xlfn.XLOOKUP(Code!$U31&amp;ROW()-12,Calculations_APPURT[Model]&amp;ROW('Discrete Loads'!E19),Hazards_APPURT[Side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AA31" s="342" t="str" cm="1">
        <f t="array" ref="AA31">_xlfn.LET(
    _xlpm.model,        'Discrete Loads'!$B19,
    _xlpm.Shape,        'Discrete Loads'!$E19,
    _xlpm.Direction,    AA$15,
    _xlpm.Azimuth,      0,
    _xlpm.CaAa_Front,   _xlfn.XLOOKUP(Code!$U31&amp;ROW()-12,Calculations_APPURT[Model]&amp;ROW('Discrete Loads'!F19),Hazards_APPURT[Front CaAa],0,0,1),
    _xlpm.CaAa_Side,    _xlfn.XLOOKUP(Code!$U31&amp;ROW()-12,Calculations_APPURT[Model]&amp;ROW('Discrete Loads'!F19),Hazards_APPURT[Side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AB31" s="342" t="str" cm="1">
        <f t="array" ref="AB31">_xlfn.LET(
    _xlpm.model,        'Discrete Loads'!$B19,
    _xlpm.Shape,        'Discrete Loads'!$E19,
    _xlpm.Direction,    AB$15,
    _xlpm.Azimuth,      0,
    _xlpm.CaAa_Front,   _xlfn.XLOOKUP(Code!$U31&amp;ROW()-12,Calculations_APPURT[Model]&amp;ROW('Discrete Loads'!G19),Hazards_APPURT[Front CaAa],0,0,1),
    _xlpm.CaAa_Side,    _xlfn.XLOOKUP(Code!$U31&amp;ROW()-12,Calculations_APPURT[Model]&amp;ROW('Discrete Loads'!G19),Hazards_APPURT[Side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AC31" s="342" t="str" cm="1">
        <f t="array" ref="AC31">_xlfn.LET(
    _xlpm.model,        'Discrete Loads'!$B19,
    _xlpm.Shape,        'Discrete Loads'!$E19,
    _xlpm.Direction,    AC$15,
    _xlpm.Azimuth,      0,
    _xlpm.CaAa_Front,   _xlfn.XLOOKUP(Code!$U31&amp;ROW()-12,Calculations_APPURT[Model]&amp;ROW('Discrete Loads'!H19),Hazards_APPURT[Front CaAa],0,0,1),
    _xlpm.CaAa_Side,    _xlfn.XLOOKUP(Code!$U31&amp;ROW()-12,Calculations_APPURT[Model]&amp;ROW('Discrete Loads'!H19),Hazards_APPURT[Side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AD31" s="342" t="str" cm="1">
        <f t="array" ref="AD31">_xlfn.LET(
    _xlpm.model,        'Discrete Loads'!$B19,
    _xlpm.Shape,        'Discrete Loads'!$E19,
    _xlpm.Direction,    AD$15,
    _xlpm.Azimuth,      0,
    _xlpm.CaAa_Front,   _xlfn.XLOOKUP(Code!$U31&amp;ROW()-12,Calculations_APPURT[Model]&amp;ROW('Discrete Loads'!I19),Hazards_APPURT[Front CaAa],0,0,1),
    _xlpm.CaAa_Side,    _xlfn.XLOOKUP(Code!$U31&amp;ROW()-12,Calculations_APPURT[Model]&amp;ROW('Discrete Loads'!I19),Hazards_APPURT[Side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AE31" s="342" t="str" cm="1">
        <f t="array" ref="AE31">_xlfn.LET(
    _xlpm.model,        'Discrete Loads'!$B19,
    _xlpm.Shape,        'Discrete Loads'!$E19,
    _xlpm.Direction,    AE$15,
    _xlpm.Azimuth,      0,
    _xlpm.CaAa_Front,   _xlfn.XLOOKUP(Code!$U31&amp;ROW()-12,Calculations_APPURT[Model]&amp;ROW('Discrete Loads'!J19),Hazards_APPURT[Front CaAa],0,0,1),
    _xlpm.CaAa_Side,    _xlfn.XLOOKUP(Code!$U31&amp;ROW()-12,Calculations_APPURT[Model]&amp;ROW('Discrete Loads'!J19),Hazards_APPURT[Side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AF31" s="342" t="str" cm="1">
        <f t="array" ref="AF31">_xlfn.LET(
    _xlpm.model,        'Discrete Loads'!$B19,
    _xlpm.Shape,        'Discrete Loads'!$E19,
    _xlpm.Direction,    AF$15,
    _xlpm.Azimuth,      0,
    _xlpm.CaAa_Front,   _xlfn.XLOOKUP(Code!$U31&amp;ROW()-12,Calculations_APPURT[Model]&amp;ROW('Discrete Loads'!K19),Hazards_APPURT[Front CaAa],0,0,1),
    _xlpm.CaAa_Side,    _xlfn.XLOOKUP(Code!$U31&amp;ROW()-12,Calculations_APPURT[Model]&amp;ROW('Discrete Loads'!K19),Hazards_APPURT[Side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AG31" s="342" t="str" cm="1">
        <f t="array" ref="AG31">_xlfn.LET(
    _xlpm.model,        'Discrete Loads'!$B19,
    _xlpm.Shape,        'Discrete Loads'!$E19,
    _xlpm.Direction,    AG$15,
    _xlpm.Azimuth,      0,
    _xlpm.CaAa_Front,   _xlfn.XLOOKUP(Code!$U31&amp;ROW()-12,Calculations_APPURT[Model]&amp;ROW('Discrete Loads'!L19),Hazards_APPURT[Front CaAa],0,0,1),
    _xlpm.CaAa_Side,    _xlfn.XLOOKUP(Code!$U31&amp;ROW()-12,Calculations_APPURT[Model]&amp;ROW('Discrete Loads'!L19),Hazards_APPURT[Side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AH31" s="342" t="str" cm="1">
        <f t="array" ref="AH31">_xlfn.LET(
    _xlpm.model,        'Discrete Loads'!$B19,
    _xlpm.Shape,        'Discrete Loads'!$E19,
    _xlpm.Direction,    AH$15,
    _xlpm.Azimuth,      0,
    _xlpm.CaAa_Front,   _xlfn.XLOOKUP(Code!$U31&amp;ROW()-12,Calculations_APPURT[Model]&amp;ROW('Discrete Loads'!M19),Hazards_APPURT[Front CaAa],0,0,1),
    _xlpm.CaAa_Side,    _xlfn.XLOOKUP(Code!$U31&amp;ROW()-12,Calculations_APPURT[Model]&amp;ROW('Discrete Loads'!M19),Hazards_APPURT[Side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IF($U31="","",IF(_xlpm.Shape="CFD", _xlpm.CFD_val, _xlpm.CaAa_Front*COS(PI()/180*(_xlpm.Direction+_xlpm.Azimuth))^2 + _xlpm.CaAa_Side*SIN(PI()/180*(_xlpm.Direction+_xlpm.Azimuth))^2)))</f>
        <v/>
      </c>
      <c r="AI31" s="340" t="str" cm="1">
        <f t="array" ref="AI31">IF($U31="","",_xlfn.XLOOKUP($U31&amp;(ROW()-12),Calculations_APPURT[Model]&amp;ROW(Calculations_APPURT[Model]),IF(Calculations_APPURT[Shape]&lt;&gt;"CFD","TIA","Manufacturer*"),"",0,1))</f>
        <v/>
      </c>
      <c r="AJ31" s="364" t="str" cm="1">
        <f t="array" ref="AJ31">IF(U31="","",_xlfn.XLOOKUP($U31&amp;(ROW()-12),Calculations_APPURT[Model]&amp;ROW(Calculations_APPURT[Model]),Hazards_APPURT[qz],"",0,1))</f>
        <v/>
      </c>
      <c r="AK31" s="367" t="str" cm="1">
        <f t="array" ref="AK31">IF(U31="","",_xlfn.XLOOKUP($U31&amp;(ROW()-12),Calculations_APPURT[Model]&amp;ROW(Calculations_APPURT[Model]),Dimensions_APPURT[Weight (lbf)],"",0,1))</f>
        <v/>
      </c>
      <c r="AM31" s="449"/>
      <c r="AN31" s="449"/>
      <c r="AO31" s="449"/>
      <c r="AP31" s="449"/>
      <c r="AQ31" s="300"/>
      <c r="AR31" s="452"/>
      <c r="AS31" s="452"/>
      <c r="AT31" s="452"/>
      <c r="AU31" s="452"/>
      <c r="AW31" s="455" t="s">
        <v>176</v>
      </c>
      <c r="AX31" s="455"/>
      <c r="AY31" s="455"/>
      <c r="AZ31" s="455"/>
      <c r="BA31" s="456">
        <f>MAX(BE45:BE70)*1</f>
        <v>0</v>
      </c>
      <c r="BB31" s="456"/>
      <c r="BC31" s="456"/>
      <c r="BD31" s="456"/>
    </row>
    <row r="32" spans="1:74" ht="15" customHeight="1" thickBot="1" x14ac:dyDescent="0.25">
      <c r="A32" s="396" t="s">
        <v>172</v>
      </c>
      <c r="B32" s="396"/>
      <c r="C32" s="396"/>
      <c r="D32" s="396"/>
      <c r="F32" s="404" t="s">
        <v>173</v>
      </c>
      <c r="G32" s="404"/>
      <c r="H32" s="425"/>
      <c r="I32" s="425"/>
      <c r="K32" s="404" t="s">
        <v>174</v>
      </c>
      <c r="L32" s="404"/>
      <c r="M32" s="404">
        <f>rho</f>
        <v>1</v>
      </c>
      <c r="N32" s="404"/>
      <c r="P32" s="69" t="s">
        <v>175</v>
      </c>
      <c r="Q32" s="297">
        <f>SUM(Geometry!$AZ:$AZ)</f>
        <v>0</v>
      </c>
      <c r="R32" s="297">
        <f>SUM(Geometry!$BA:$BA)</f>
        <v>0</v>
      </c>
      <c r="S32" s="298">
        <f>SUM(Geometry!$BB:$BB)</f>
        <v>0</v>
      </c>
      <c r="U32" s="474" t="str">
        <f>IF(ISBLANK('Discrete Loads'!B20),"",'Discrete Loads'!B20)</f>
        <v/>
      </c>
      <c r="V32" s="474"/>
      <c r="W32" s="341" t="str" cm="1">
        <f t="array" ref="W32">_xlfn.LET(
    _xlpm.model,        'Discrete Loads'!$B20,
    _xlpm.Shape,        'Discrete Loads'!$E20,
    _xlpm.Direction,    W$15,
    _xlpm.Azimuth,      0,
    _xlpm.CaAa_Front,   _xlfn.XLOOKUP(Code!$U32&amp;ROW()-12,Calculations_APPURT[Model]&amp;ROW('Discrete Loads'!B20),Hazards_APPURT[Front CaAa],0,0,1),
    _xlpm.CaAa_Side,    _xlfn.XLOOKUP(Code!$U32&amp;ROW()-12,Calculations_APPURT[Model]&amp;ROW('Discrete Loads'!B20),Hazards_APPURT[Side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X32" s="341" t="str" cm="1">
        <f t="array" ref="X32">_xlfn.LET(
    _xlpm.model,        'Discrete Loads'!$B20,
    _xlpm.Shape,        'Discrete Loads'!$E20,
    _xlpm.Direction,    X$15,
    _xlpm.Azimuth,      0,
    _xlpm.CaAa_Front,   _xlfn.XLOOKUP(Code!$U32&amp;ROW()-12,Calculations_APPURT[Model]&amp;ROW('Discrete Loads'!C20),Hazards_APPURT[Front CaAa],0,0,1),
    _xlpm.CaAa_Side,    _xlfn.XLOOKUP(Code!$U32&amp;ROW()-12,Calculations_APPURT[Model]&amp;ROW('Discrete Loads'!C20),Hazards_APPURT[Side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Y32" s="341" t="str" cm="1">
        <f t="array" ref="Y32">_xlfn.LET(
    _xlpm.model,        'Discrete Loads'!$B20,
    _xlpm.Shape,        'Discrete Loads'!$E20,
    _xlpm.Direction,    Y$15,
    _xlpm.Azimuth,      0,
    _xlpm.CaAa_Front,   _xlfn.XLOOKUP(Code!$U32&amp;ROW()-12,Calculations_APPURT[Model]&amp;ROW('Discrete Loads'!D20),Hazards_APPURT[Front CaAa],0,0,1),
    _xlpm.CaAa_Side,    _xlfn.XLOOKUP(Code!$U32&amp;ROW()-12,Calculations_APPURT[Model]&amp;ROW('Discrete Loads'!D20),Hazards_APPURT[Side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Z32" s="341" t="str" cm="1">
        <f t="array" ref="Z32">_xlfn.LET(
    _xlpm.model,        'Discrete Loads'!$B20,
    _xlpm.Shape,        'Discrete Loads'!$E20,
    _xlpm.Direction,    Z$15,
    _xlpm.Azimuth,      0,
    _xlpm.CaAa_Front,   _xlfn.XLOOKUP(Code!$U32&amp;ROW()-12,Calculations_APPURT[Model]&amp;ROW('Discrete Loads'!E20),Hazards_APPURT[Front CaAa],0,0,1),
    _xlpm.CaAa_Side,    _xlfn.XLOOKUP(Code!$U32&amp;ROW()-12,Calculations_APPURT[Model]&amp;ROW('Discrete Loads'!E20),Hazards_APPURT[Side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AA32" s="341" t="str" cm="1">
        <f t="array" ref="AA32">_xlfn.LET(
    _xlpm.model,        'Discrete Loads'!$B20,
    _xlpm.Shape,        'Discrete Loads'!$E20,
    _xlpm.Direction,    AA$15,
    _xlpm.Azimuth,      0,
    _xlpm.CaAa_Front,   _xlfn.XLOOKUP(Code!$U32&amp;ROW()-12,Calculations_APPURT[Model]&amp;ROW('Discrete Loads'!F20),Hazards_APPURT[Front CaAa],0,0,1),
    _xlpm.CaAa_Side,    _xlfn.XLOOKUP(Code!$U32&amp;ROW()-12,Calculations_APPURT[Model]&amp;ROW('Discrete Loads'!F20),Hazards_APPURT[Side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AB32" s="341" t="str" cm="1">
        <f t="array" ref="AB32">_xlfn.LET(
    _xlpm.model,        'Discrete Loads'!$B20,
    _xlpm.Shape,        'Discrete Loads'!$E20,
    _xlpm.Direction,    AB$15,
    _xlpm.Azimuth,      0,
    _xlpm.CaAa_Front,   _xlfn.XLOOKUP(Code!$U32&amp;ROW()-12,Calculations_APPURT[Model]&amp;ROW('Discrete Loads'!G20),Hazards_APPURT[Front CaAa],0,0,1),
    _xlpm.CaAa_Side,    _xlfn.XLOOKUP(Code!$U32&amp;ROW()-12,Calculations_APPURT[Model]&amp;ROW('Discrete Loads'!G20),Hazards_APPURT[Side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AC32" s="341" t="str" cm="1">
        <f t="array" ref="AC32">_xlfn.LET(
    _xlpm.model,        'Discrete Loads'!$B20,
    _xlpm.Shape,        'Discrete Loads'!$E20,
    _xlpm.Direction,    AC$15,
    _xlpm.Azimuth,      0,
    _xlpm.CaAa_Front,   _xlfn.XLOOKUP(Code!$U32&amp;ROW()-12,Calculations_APPURT[Model]&amp;ROW('Discrete Loads'!H20),Hazards_APPURT[Front CaAa],0,0,1),
    _xlpm.CaAa_Side,    _xlfn.XLOOKUP(Code!$U32&amp;ROW()-12,Calculations_APPURT[Model]&amp;ROW('Discrete Loads'!H20),Hazards_APPURT[Side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AD32" s="341" t="str" cm="1">
        <f t="array" ref="AD32">_xlfn.LET(
    _xlpm.model,        'Discrete Loads'!$B20,
    _xlpm.Shape,        'Discrete Loads'!$E20,
    _xlpm.Direction,    AD$15,
    _xlpm.Azimuth,      0,
    _xlpm.CaAa_Front,   _xlfn.XLOOKUP(Code!$U32&amp;ROW()-12,Calculations_APPURT[Model]&amp;ROW('Discrete Loads'!I20),Hazards_APPURT[Front CaAa],0,0,1),
    _xlpm.CaAa_Side,    _xlfn.XLOOKUP(Code!$U32&amp;ROW()-12,Calculations_APPURT[Model]&amp;ROW('Discrete Loads'!I20),Hazards_APPURT[Side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AE32" s="341" t="str" cm="1">
        <f t="array" ref="AE32">_xlfn.LET(
    _xlpm.model,        'Discrete Loads'!$B20,
    _xlpm.Shape,        'Discrete Loads'!$E20,
    _xlpm.Direction,    AE$15,
    _xlpm.Azimuth,      0,
    _xlpm.CaAa_Front,   _xlfn.XLOOKUP(Code!$U32&amp;ROW()-12,Calculations_APPURT[Model]&amp;ROW('Discrete Loads'!J20),Hazards_APPURT[Front CaAa],0,0,1),
    _xlpm.CaAa_Side,    _xlfn.XLOOKUP(Code!$U32&amp;ROW()-12,Calculations_APPURT[Model]&amp;ROW('Discrete Loads'!J20),Hazards_APPURT[Side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AF32" s="341" t="str" cm="1">
        <f t="array" ref="AF32">_xlfn.LET(
    _xlpm.model,        'Discrete Loads'!$B20,
    _xlpm.Shape,        'Discrete Loads'!$E20,
    _xlpm.Direction,    AF$15,
    _xlpm.Azimuth,      0,
    _xlpm.CaAa_Front,   _xlfn.XLOOKUP(Code!$U32&amp;ROW()-12,Calculations_APPURT[Model]&amp;ROW('Discrete Loads'!K20),Hazards_APPURT[Front CaAa],0,0,1),
    _xlpm.CaAa_Side,    _xlfn.XLOOKUP(Code!$U32&amp;ROW()-12,Calculations_APPURT[Model]&amp;ROW('Discrete Loads'!K20),Hazards_APPURT[Side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AG32" s="341" t="str" cm="1">
        <f t="array" ref="AG32">_xlfn.LET(
    _xlpm.model,        'Discrete Loads'!$B20,
    _xlpm.Shape,        'Discrete Loads'!$E20,
    _xlpm.Direction,    AG$15,
    _xlpm.Azimuth,      0,
    _xlpm.CaAa_Front,   _xlfn.XLOOKUP(Code!$U32&amp;ROW()-12,Calculations_APPURT[Model]&amp;ROW('Discrete Loads'!L20),Hazards_APPURT[Front CaAa],0,0,1),
    _xlpm.CaAa_Side,    _xlfn.XLOOKUP(Code!$U32&amp;ROW()-12,Calculations_APPURT[Model]&amp;ROW('Discrete Loads'!L20),Hazards_APPURT[Side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AH32" s="341" t="str" cm="1">
        <f t="array" ref="AH32">_xlfn.LET(
    _xlpm.model,        'Discrete Loads'!$B20,
    _xlpm.Shape,        'Discrete Loads'!$E20,
    _xlpm.Direction,    AH$15,
    _xlpm.Azimuth,      0,
    _xlpm.CaAa_Front,   _xlfn.XLOOKUP(Code!$U32&amp;ROW()-12,Calculations_APPURT[Model]&amp;ROW('Discrete Loads'!M20),Hazards_APPURT[Front CaAa],0,0,1),
    _xlpm.CaAa_Side,    _xlfn.XLOOKUP(Code!$U32&amp;ROW()-12,Calculations_APPURT[Model]&amp;ROW('Discrete Loads'!M20),Hazards_APPURT[Side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IF($U32="","",IF(_xlpm.Shape="CFD", _xlpm.CFD_val, _xlpm.CaAa_Front*COS(PI()/180*(_xlpm.Direction+_xlpm.Azimuth))^2 + _xlpm.CaAa_Side*SIN(PI()/180*(_xlpm.Direction+_xlpm.Azimuth))^2)))</f>
        <v/>
      </c>
      <c r="AI32" s="339" t="str" cm="1">
        <f t="array" ref="AI32">IF($U32="","",_xlfn.XLOOKUP($U32&amp;(ROW()-12),Calculations_APPURT[Model]&amp;ROW(Calculations_APPURT[Model]),IF(Calculations_APPURT[Shape]&lt;&gt;"CFD","TIA","Manufacturer*"),"",0,1))</f>
        <v/>
      </c>
      <c r="AJ32" s="363" t="str" cm="1">
        <f t="array" ref="AJ32">IF(U32="","",_xlfn.XLOOKUP($U32&amp;(ROW()-12),Calculations_APPURT[Model]&amp;ROW(Calculations_APPURT[Model]),Hazards_APPURT[qz],"",0,1))</f>
        <v/>
      </c>
      <c r="AK32" s="366" t="str" cm="1">
        <f t="array" ref="AK32">IF(U32="","",_xlfn.XLOOKUP($U32&amp;(ROW()-12),Calculations_APPURT[Model]&amp;ROW(Calculations_APPURT[Model]),Dimensions_APPURT[Weight (lbf)],"",0,1))</f>
        <v/>
      </c>
      <c r="AM32" s="449"/>
      <c r="AN32" s="449"/>
      <c r="AO32" s="449"/>
      <c r="AP32" s="449"/>
      <c r="AQ32" s="300"/>
      <c r="AR32" s="452"/>
      <c r="AS32" s="452"/>
      <c r="AT32" s="452"/>
      <c r="AU32" s="452"/>
      <c r="AW32" s="455" t="s">
        <v>181</v>
      </c>
      <c r="AX32" s="455"/>
      <c r="AY32" s="455"/>
      <c r="AZ32" s="455"/>
      <c r="BA32" s="456">
        <f>MAX(Geometry!U:U)*IF(RISA3D.Unit.Length="in",1/12,1)</f>
        <v>0</v>
      </c>
      <c r="BB32" s="456"/>
      <c r="BC32" s="456"/>
      <c r="BD32" s="456"/>
    </row>
    <row r="33" spans="1:69" ht="15" customHeight="1" thickBot="1" x14ac:dyDescent="0.25">
      <c r="A33" s="391" t="s">
        <v>177</v>
      </c>
      <c r="B33" s="391"/>
      <c r="C33" s="407"/>
      <c r="D33" s="407"/>
      <c r="F33" s="399" t="s">
        <v>178</v>
      </c>
      <c r="G33" s="399"/>
      <c r="H33" s="416">
        <f>Parapet_Height+Xb/5</f>
        <v>0</v>
      </c>
      <c r="I33" s="416"/>
      <c r="K33" s="399" t="s">
        <v>179</v>
      </c>
      <c r="L33" s="399"/>
      <c r="M33" s="399">
        <f>R.mount</f>
        <v>2</v>
      </c>
      <c r="N33" s="399"/>
      <c r="P33" s="319" t="s">
        <v>180</v>
      </c>
      <c r="Q33" s="320">
        <f>SUM(Geometry!$BC:$BC)</f>
        <v>0</v>
      </c>
      <c r="R33" s="320">
        <f>SUM(Geometry!$BD:$BD)</f>
        <v>0</v>
      </c>
      <c r="S33" s="320">
        <f>SUM(Geometry!$BE:$BE)</f>
        <v>0</v>
      </c>
      <c r="U33" s="386" t="str">
        <f>IF(ISBLANK('Discrete Loads'!B21),"",'Discrete Loads'!B21)</f>
        <v/>
      </c>
      <c r="V33" s="386"/>
      <c r="W33" s="342" t="str" cm="1">
        <f t="array" ref="W33">_xlfn.LET(
    _xlpm.model,        'Discrete Loads'!$B21,
    _xlpm.Shape,        'Discrete Loads'!$E21,
    _xlpm.Direction,    W$15,
    _xlpm.Azimuth,      0,
    _xlpm.CaAa_Front,   _xlfn.XLOOKUP(Code!$U33&amp;ROW()-12,Calculations_APPURT[Model]&amp;ROW('Discrete Loads'!B21),Hazards_APPURT[Front CaAa],0,0,1),
    _xlpm.CaAa_Side,    _xlfn.XLOOKUP(Code!$U33&amp;ROW()-12,Calculations_APPURT[Model]&amp;ROW('Discrete Loads'!B21),Hazards_APPURT[Side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X33" s="342" t="str" cm="1">
        <f t="array" ref="X33">_xlfn.LET(
    _xlpm.model,        'Discrete Loads'!$B21,
    _xlpm.Shape,        'Discrete Loads'!$E21,
    _xlpm.Direction,    X$15,
    _xlpm.Azimuth,      0,
    _xlpm.CaAa_Front,   _xlfn.XLOOKUP(Code!$U33&amp;ROW()-12,Calculations_APPURT[Model]&amp;ROW('Discrete Loads'!C21),Hazards_APPURT[Front CaAa],0,0,1),
    _xlpm.CaAa_Side,    _xlfn.XLOOKUP(Code!$U33&amp;ROW()-12,Calculations_APPURT[Model]&amp;ROW('Discrete Loads'!C21),Hazards_APPURT[Side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Y33" s="342" t="str" cm="1">
        <f t="array" ref="Y33">_xlfn.LET(
    _xlpm.model,        'Discrete Loads'!$B21,
    _xlpm.Shape,        'Discrete Loads'!$E21,
    _xlpm.Direction,    Y$15,
    _xlpm.Azimuth,      0,
    _xlpm.CaAa_Front,   _xlfn.XLOOKUP(Code!$U33&amp;ROW()-12,Calculations_APPURT[Model]&amp;ROW('Discrete Loads'!D21),Hazards_APPURT[Front CaAa],0,0,1),
    _xlpm.CaAa_Side,    _xlfn.XLOOKUP(Code!$U33&amp;ROW()-12,Calculations_APPURT[Model]&amp;ROW('Discrete Loads'!D21),Hazards_APPURT[Side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Z33" s="342" t="str" cm="1">
        <f t="array" ref="Z33">_xlfn.LET(
    _xlpm.model,        'Discrete Loads'!$B21,
    _xlpm.Shape,        'Discrete Loads'!$E21,
    _xlpm.Direction,    Z$15,
    _xlpm.Azimuth,      0,
    _xlpm.CaAa_Front,   _xlfn.XLOOKUP(Code!$U33&amp;ROW()-12,Calculations_APPURT[Model]&amp;ROW('Discrete Loads'!E21),Hazards_APPURT[Front CaAa],0,0,1),
    _xlpm.CaAa_Side,    _xlfn.XLOOKUP(Code!$U33&amp;ROW()-12,Calculations_APPURT[Model]&amp;ROW('Discrete Loads'!E21),Hazards_APPURT[Side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AA33" s="342" t="str" cm="1">
        <f t="array" ref="AA33">_xlfn.LET(
    _xlpm.model,        'Discrete Loads'!$B21,
    _xlpm.Shape,        'Discrete Loads'!$E21,
    _xlpm.Direction,    AA$15,
    _xlpm.Azimuth,      0,
    _xlpm.CaAa_Front,   _xlfn.XLOOKUP(Code!$U33&amp;ROW()-12,Calculations_APPURT[Model]&amp;ROW('Discrete Loads'!F21),Hazards_APPURT[Front CaAa],0,0,1),
    _xlpm.CaAa_Side,    _xlfn.XLOOKUP(Code!$U33&amp;ROW()-12,Calculations_APPURT[Model]&amp;ROW('Discrete Loads'!F21),Hazards_APPURT[Side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AB33" s="342" t="str" cm="1">
        <f t="array" ref="AB33">_xlfn.LET(
    _xlpm.model,        'Discrete Loads'!$B21,
    _xlpm.Shape,        'Discrete Loads'!$E21,
    _xlpm.Direction,    AB$15,
    _xlpm.Azimuth,      0,
    _xlpm.CaAa_Front,   _xlfn.XLOOKUP(Code!$U33&amp;ROW()-12,Calculations_APPURT[Model]&amp;ROW('Discrete Loads'!G21),Hazards_APPURT[Front CaAa],0,0,1),
    _xlpm.CaAa_Side,    _xlfn.XLOOKUP(Code!$U33&amp;ROW()-12,Calculations_APPURT[Model]&amp;ROW('Discrete Loads'!G21),Hazards_APPURT[Side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AC33" s="342" t="str" cm="1">
        <f t="array" ref="AC33">_xlfn.LET(
    _xlpm.model,        'Discrete Loads'!$B21,
    _xlpm.Shape,        'Discrete Loads'!$E21,
    _xlpm.Direction,    AC$15,
    _xlpm.Azimuth,      0,
    _xlpm.CaAa_Front,   _xlfn.XLOOKUP(Code!$U33&amp;ROW()-12,Calculations_APPURT[Model]&amp;ROW('Discrete Loads'!H21),Hazards_APPURT[Front CaAa],0,0,1),
    _xlpm.CaAa_Side,    _xlfn.XLOOKUP(Code!$U33&amp;ROW()-12,Calculations_APPURT[Model]&amp;ROW('Discrete Loads'!H21),Hazards_APPURT[Side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AD33" s="342" t="str" cm="1">
        <f t="array" ref="AD33">_xlfn.LET(
    _xlpm.model,        'Discrete Loads'!$B21,
    _xlpm.Shape,        'Discrete Loads'!$E21,
    _xlpm.Direction,    AD$15,
    _xlpm.Azimuth,      0,
    _xlpm.CaAa_Front,   _xlfn.XLOOKUP(Code!$U33&amp;ROW()-12,Calculations_APPURT[Model]&amp;ROW('Discrete Loads'!I21),Hazards_APPURT[Front CaAa],0,0,1),
    _xlpm.CaAa_Side,    _xlfn.XLOOKUP(Code!$U33&amp;ROW()-12,Calculations_APPURT[Model]&amp;ROW('Discrete Loads'!I21),Hazards_APPURT[Side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AE33" s="342" t="str" cm="1">
        <f t="array" ref="AE33">_xlfn.LET(
    _xlpm.model,        'Discrete Loads'!$B21,
    _xlpm.Shape,        'Discrete Loads'!$E21,
    _xlpm.Direction,    AE$15,
    _xlpm.Azimuth,      0,
    _xlpm.CaAa_Front,   _xlfn.XLOOKUP(Code!$U33&amp;ROW()-12,Calculations_APPURT[Model]&amp;ROW('Discrete Loads'!J21),Hazards_APPURT[Front CaAa],0,0,1),
    _xlpm.CaAa_Side,    _xlfn.XLOOKUP(Code!$U33&amp;ROW()-12,Calculations_APPURT[Model]&amp;ROW('Discrete Loads'!J21),Hazards_APPURT[Side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AF33" s="342" t="str" cm="1">
        <f t="array" ref="AF33">_xlfn.LET(
    _xlpm.model,        'Discrete Loads'!$B21,
    _xlpm.Shape,        'Discrete Loads'!$E21,
    _xlpm.Direction,    AF$15,
    _xlpm.Azimuth,      0,
    _xlpm.CaAa_Front,   _xlfn.XLOOKUP(Code!$U33&amp;ROW()-12,Calculations_APPURT[Model]&amp;ROW('Discrete Loads'!K21),Hazards_APPURT[Front CaAa],0,0,1),
    _xlpm.CaAa_Side,    _xlfn.XLOOKUP(Code!$U33&amp;ROW()-12,Calculations_APPURT[Model]&amp;ROW('Discrete Loads'!K21),Hazards_APPURT[Side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AG33" s="342" t="str" cm="1">
        <f t="array" ref="AG33">_xlfn.LET(
    _xlpm.model,        'Discrete Loads'!$B21,
    _xlpm.Shape,        'Discrete Loads'!$E21,
    _xlpm.Direction,    AG$15,
    _xlpm.Azimuth,      0,
    _xlpm.CaAa_Front,   _xlfn.XLOOKUP(Code!$U33&amp;ROW()-12,Calculations_APPURT[Model]&amp;ROW('Discrete Loads'!L21),Hazards_APPURT[Front CaAa],0,0,1),
    _xlpm.CaAa_Side,    _xlfn.XLOOKUP(Code!$U33&amp;ROW()-12,Calculations_APPURT[Model]&amp;ROW('Discrete Loads'!L21),Hazards_APPURT[Side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AH33" s="342" t="str" cm="1">
        <f t="array" ref="AH33">_xlfn.LET(
    _xlpm.model,        'Discrete Loads'!$B21,
    _xlpm.Shape,        'Discrete Loads'!$E21,
    _xlpm.Direction,    AH$15,
    _xlpm.Azimuth,      0,
    _xlpm.CaAa_Front,   _xlfn.XLOOKUP(Code!$U33&amp;ROW()-12,Calculations_APPURT[Model]&amp;ROW('Discrete Loads'!M21),Hazards_APPURT[Front CaAa],0,0,1),
    _xlpm.CaAa_Side,    _xlfn.XLOOKUP(Code!$U33&amp;ROW()-12,Calculations_APPURT[Model]&amp;ROW('Discrete Loads'!M21),Hazards_APPURT[Side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IF($U33="","",IF(_xlpm.Shape="CFD", _xlpm.CFD_val, _xlpm.CaAa_Front*COS(PI()/180*(_xlpm.Direction+_xlpm.Azimuth))^2 + _xlpm.CaAa_Side*SIN(PI()/180*(_xlpm.Direction+_xlpm.Azimuth))^2)))</f>
        <v/>
      </c>
      <c r="AI33" s="340" t="str" cm="1">
        <f t="array" ref="AI33">IF($U33="","",_xlfn.XLOOKUP($U33&amp;(ROW()-12),Calculations_APPURT[Model]&amp;ROW(Calculations_APPURT[Model]),IF(Calculations_APPURT[Shape]&lt;&gt;"CFD","TIA","Manufacturer*"),"",0,1))</f>
        <v/>
      </c>
      <c r="AJ33" s="364" t="str" cm="1">
        <f t="array" ref="AJ33">IF(U33="","",_xlfn.XLOOKUP($U33&amp;(ROW()-12),Calculations_APPURT[Model]&amp;ROW(Calculations_APPURT[Model]),Hazards_APPURT[qz],"",0,1))</f>
        <v/>
      </c>
      <c r="AK33" s="367" t="str" cm="1">
        <f t="array" ref="AK33">IF(U33="","",_xlfn.XLOOKUP($U33&amp;(ROW()-12),Calculations_APPURT[Model]&amp;ROW(Calculations_APPURT[Model]),Dimensions_APPURT[Weight (lbf)],"",0,1))</f>
        <v/>
      </c>
      <c r="AM33" s="449"/>
      <c r="AN33" s="449"/>
      <c r="AO33" s="449"/>
      <c r="AP33" s="449"/>
      <c r="AQ33" s="300"/>
      <c r="AR33" s="452"/>
      <c r="AS33" s="452"/>
      <c r="AT33" s="452"/>
      <c r="AU33" s="452"/>
      <c r="AW33" s="455" t="s">
        <v>186</v>
      </c>
      <c r="AX33" s="455"/>
      <c r="AY33" s="455"/>
      <c r="AZ33" s="455"/>
      <c r="BA33" s="456">
        <f>MIN(Geometry!U:U)*IF(RISA3D.Unit.Length="in",1/12,1)</f>
        <v>0</v>
      </c>
      <c r="BB33" s="456"/>
      <c r="BC33" s="456"/>
      <c r="BD33" s="456"/>
    </row>
    <row r="34" spans="1:69" ht="15" customHeight="1" thickBot="1" x14ac:dyDescent="0.25">
      <c r="A34" s="393" t="s">
        <v>182</v>
      </c>
      <c r="B34" s="393"/>
      <c r="C34" s="408"/>
      <c r="D34" s="408"/>
      <c r="F34" s="413" t="s">
        <v>183</v>
      </c>
      <c r="G34" s="413"/>
      <c r="H34" s="427">
        <f>Parapet_Height+MIN(Hs,Ws)</f>
        <v>0</v>
      </c>
      <c r="I34" s="427"/>
      <c r="K34" s="404" t="s">
        <v>184</v>
      </c>
      <c r="L34" s="404"/>
      <c r="M34" s="412" t="str" cm="1">
        <f t="array" aca="1" ref="M34" ca="1">IFERROR(IF(Supporting_Structure="Yes",S_DS*I.earthquake/R.mount,IF(S_1&lt;0.6,MAX(S_DS*I.earthquake/R.mount,0.044*S_DS*I.earthquake,0.03),MAX(S_DS*I.earthquake/R.mount,0.044*S_DS*I.earthquake,0.03,0.8*S_1*I.earthquake/R.mount))),"N/A")</f>
        <v>N/A</v>
      </c>
      <c r="N34" s="412"/>
      <c r="P34" s="223" t="s">
        <v>185</v>
      </c>
      <c r="U34" s="474" t="str">
        <f>IF(ISBLANK('Discrete Loads'!B22),"",'Discrete Loads'!B22)</f>
        <v/>
      </c>
      <c r="V34" s="474"/>
      <c r="W34" s="341" t="str" cm="1">
        <f t="array" ref="W34">_xlfn.LET(
    _xlpm.model,        'Discrete Loads'!$B22,
    _xlpm.Shape,        'Discrete Loads'!$E22,
    _xlpm.Direction,    W$15,
    _xlpm.Azimuth,      0,
    _xlpm.CaAa_Front,   _xlfn.XLOOKUP(Code!$U34&amp;ROW()-12,Calculations_APPURT[Model]&amp;ROW('Discrete Loads'!B22),Hazards_APPURT[Front CaAa],0,0,1),
    _xlpm.CaAa_Side,    _xlfn.XLOOKUP(Code!$U34&amp;ROW()-12,Calculations_APPURT[Model]&amp;ROW('Discrete Loads'!B22),Hazards_APPURT[Side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X34" s="341" t="str" cm="1">
        <f t="array" ref="X34">_xlfn.LET(
    _xlpm.model,        'Discrete Loads'!$B22,
    _xlpm.Shape,        'Discrete Loads'!$E22,
    _xlpm.Direction,    X$15,
    _xlpm.Azimuth,      0,
    _xlpm.CaAa_Front,   _xlfn.XLOOKUP(Code!$U34&amp;ROW()-12,Calculations_APPURT[Model]&amp;ROW('Discrete Loads'!C22),Hazards_APPURT[Front CaAa],0,0,1),
    _xlpm.CaAa_Side,    _xlfn.XLOOKUP(Code!$U34&amp;ROW()-12,Calculations_APPURT[Model]&amp;ROW('Discrete Loads'!C22),Hazards_APPURT[Side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Y34" s="341" t="str" cm="1">
        <f t="array" ref="Y34">_xlfn.LET(
    _xlpm.model,        'Discrete Loads'!$B22,
    _xlpm.Shape,        'Discrete Loads'!$E22,
    _xlpm.Direction,    Y$15,
    _xlpm.Azimuth,      0,
    _xlpm.CaAa_Front,   _xlfn.XLOOKUP(Code!$U34&amp;ROW()-12,Calculations_APPURT[Model]&amp;ROW('Discrete Loads'!D22),Hazards_APPURT[Front CaAa],0,0,1),
    _xlpm.CaAa_Side,    _xlfn.XLOOKUP(Code!$U34&amp;ROW()-12,Calculations_APPURT[Model]&amp;ROW('Discrete Loads'!D22),Hazards_APPURT[Side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Z34" s="341" t="str" cm="1">
        <f t="array" ref="Z34">_xlfn.LET(
    _xlpm.model,        'Discrete Loads'!$B22,
    _xlpm.Shape,        'Discrete Loads'!$E22,
    _xlpm.Direction,    Z$15,
    _xlpm.Azimuth,      0,
    _xlpm.CaAa_Front,   _xlfn.XLOOKUP(Code!$U34&amp;ROW()-12,Calculations_APPURT[Model]&amp;ROW('Discrete Loads'!E22),Hazards_APPURT[Front CaAa],0,0,1),
    _xlpm.CaAa_Side,    _xlfn.XLOOKUP(Code!$U34&amp;ROW()-12,Calculations_APPURT[Model]&amp;ROW('Discrete Loads'!E22),Hazards_APPURT[Side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AA34" s="341" t="str" cm="1">
        <f t="array" ref="AA34">_xlfn.LET(
    _xlpm.model,        'Discrete Loads'!$B22,
    _xlpm.Shape,        'Discrete Loads'!$E22,
    _xlpm.Direction,    AA$15,
    _xlpm.Azimuth,      0,
    _xlpm.CaAa_Front,   _xlfn.XLOOKUP(Code!$U34&amp;ROW()-12,Calculations_APPURT[Model]&amp;ROW('Discrete Loads'!F22),Hazards_APPURT[Front CaAa],0,0,1),
    _xlpm.CaAa_Side,    _xlfn.XLOOKUP(Code!$U34&amp;ROW()-12,Calculations_APPURT[Model]&amp;ROW('Discrete Loads'!F22),Hazards_APPURT[Side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AB34" s="341" t="str" cm="1">
        <f t="array" ref="AB34">_xlfn.LET(
    _xlpm.model,        'Discrete Loads'!$B22,
    _xlpm.Shape,        'Discrete Loads'!$E22,
    _xlpm.Direction,    AB$15,
    _xlpm.Azimuth,      0,
    _xlpm.CaAa_Front,   _xlfn.XLOOKUP(Code!$U34&amp;ROW()-12,Calculations_APPURT[Model]&amp;ROW('Discrete Loads'!G22),Hazards_APPURT[Front CaAa],0,0,1),
    _xlpm.CaAa_Side,    _xlfn.XLOOKUP(Code!$U34&amp;ROW()-12,Calculations_APPURT[Model]&amp;ROW('Discrete Loads'!G22),Hazards_APPURT[Side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AC34" s="341" t="str" cm="1">
        <f t="array" ref="AC34">_xlfn.LET(
    _xlpm.model,        'Discrete Loads'!$B22,
    _xlpm.Shape,        'Discrete Loads'!$E22,
    _xlpm.Direction,    AC$15,
    _xlpm.Azimuth,      0,
    _xlpm.CaAa_Front,   _xlfn.XLOOKUP(Code!$U34&amp;ROW()-12,Calculations_APPURT[Model]&amp;ROW('Discrete Loads'!H22),Hazards_APPURT[Front CaAa],0,0,1),
    _xlpm.CaAa_Side,    _xlfn.XLOOKUP(Code!$U34&amp;ROW()-12,Calculations_APPURT[Model]&amp;ROW('Discrete Loads'!H22),Hazards_APPURT[Side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AD34" s="341" t="str" cm="1">
        <f t="array" ref="AD34">_xlfn.LET(
    _xlpm.model,        'Discrete Loads'!$B22,
    _xlpm.Shape,        'Discrete Loads'!$E22,
    _xlpm.Direction,    AD$15,
    _xlpm.Azimuth,      0,
    _xlpm.CaAa_Front,   _xlfn.XLOOKUP(Code!$U34&amp;ROW()-12,Calculations_APPURT[Model]&amp;ROW('Discrete Loads'!I22),Hazards_APPURT[Front CaAa],0,0,1),
    _xlpm.CaAa_Side,    _xlfn.XLOOKUP(Code!$U34&amp;ROW()-12,Calculations_APPURT[Model]&amp;ROW('Discrete Loads'!I22),Hazards_APPURT[Side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AE34" s="341" t="str" cm="1">
        <f t="array" ref="AE34">_xlfn.LET(
    _xlpm.model,        'Discrete Loads'!$B22,
    _xlpm.Shape,        'Discrete Loads'!$E22,
    _xlpm.Direction,    AE$15,
    _xlpm.Azimuth,      0,
    _xlpm.CaAa_Front,   _xlfn.XLOOKUP(Code!$U34&amp;ROW()-12,Calculations_APPURT[Model]&amp;ROW('Discrete Loads'!J22),Hazards_APPURT[Front CaAa],0,0,1),
    _xlpm.CaAa_Side,    _xlfn.XLOOKUP(Code!$U34&amp;ROW()-12,Calculations_APPURT[Model]&amp;ROW('Discrete Loads'!J22),Hazards_APPURT[Side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AF34" s="341" t="str" cm="1">
        <f t="array" ref="AF34">_xlfn.LET(
    _xlpm.model,        'Discrete Loads'!$B22,
    _xlpm.Shape,        'Discrete Loads'!$E22,
    _xlpm.Direction,    AF$15,
    _xlpm.Azimuth,      0,
    _xlpm.CaAa_Front,   _xlfn.XLOOKUP(Code!$U34&amp;ROW()-12,Calculations_APPURT[Model]&amp;ROW('Discrete Loads'!K22),Hazards_APPURT[Front CaAa],0,0,1),
    _xlpm.CaAa_Side,    _xlfn.XLOOKUP(Code!$U34&amp;ROW()-12,Calculations_APPURT[Model]&amp;ROW('Discrete Loads'!K22),Hazards_APPURT[Side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AG34" s="341" t="str" cm="1">
        <f t="array" ref="AG34">_xlfn.LET(
    _xlpm.model,        'Discrete Loads'!$B22,
    _xlpm.Shape,        'Discrete Loads'!$E22,
    _xlpm.Direction,    AG$15,
    _xlpm.Azimuth,      0,
    _xlpm.CaAa_Front,   _xlfn.XLOOKUP(Code!$U34&amp;ROW()-12,Calculations_APPURT[Model]&amp;ROW('Discrete Loads'!L22),Hazards_APPURT[Front CaAa],0,0,1),
    _xlpm.CaAa_Side,    _xlfn.XLOOKUP(Code!$U34&amp;ROW()-12,Calculations_APPURT[Model]&amp;ROW('Discrete Loads'!L22),Hazards_APPURT[Side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AH34" s="341" t="str" cm="1">
        <f t="array" ref="AH34">_xlfn.LET(
    _xlpm.model,        'Discrete Loads'!$B22,
    _xlpm.Shape,        'Discrete Loads'!$E22,
    _xlpm.Direction,    AH$15,
    _xlpm.Azimuth,      0,
    _xlpm.CaAa_Front,   _xlfn.XLOOKUP(Code!$U34&amp;ROW()-12,Calculations_APPURT[Model]&amp;ROW('Discrete Loads'!M22),Hazards_APPURT[Front CaAa],0,0,1),
    _xlpm.CaAa_Side,    _xlfn.XLOOKUP(Code!$U34&amp;ROW()-12,Calculations_APPURT[Model]&amp;ROW('Discrete Loads'!M22),Hazards_APPURT[Side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IF($U34="","",IF(_xlpm.Shape="CFD", _xlpm.CFD_val, _xlpm.CaAa_Front*COS(PI()/180*(_xlpm.Direction+_xlpm.Azimuth))^2 + _xlpm.CaAa_Side*SIN(PI()/180*(_xlpm.Direction+_xlpm.Azimuth))^2)))</f>
        <v/>
      </c>
      <c r="AI34" s="339" t="str" cm="1">
        <f t="array" ref="AI34">IF($U34="","",_xlfn.XLOOKUP($U34&amp;(ROW()-12),Calculations_APPURT[Model]&amp;ROW(Calculations_APPURT[Model]),IF(Calculations_APPURT[Shape]&lt;&gt;"CFD","TIA","Manufacturer*"),"",0,1))</f>
        <v/>
      </c>
      <c r="AJ34" s="363" t="str" cm="1">
        <f t="array" ref="AJ34">IF(U34="","",_xlfn.XLOOKUP($U34&amp;(ROW()-12),Calculations_APPURT[Model]&amp;ROW(Calculations_APPURT[Model]),Hazards_APPURT[qz],"",0,1))</f>
        <v/>
      </c>
      <c r="AK34" s="366" t="str" cm="1">
        <f t="array" ref="AK34">IF(U34="","",_xlfn.XLOOKUP($U34&amp;(ROW()-12),Calculations_APPURT[Model]&amp;ROW(Calculations_APPURT[Model]),Dimensions_APPURT[Weight (lbf)],"",0,1))</f>
        <v/>
      </c>
      <c r="AM34" s="449"/>
      <c r="AN34" s="449"/>
      <c r="AO34" s="449"/>
      <c r="AP34" s="449"/>
      <c r="AQ34" s="300"/>
      <c r="AR34" s="452"/>
      <c r="AS34" s="452"/>
      <c r="AT34" s="452"/>
      <c r="AU34" s="452"/>
      <c r="AW34" s="455" t="s">
        <v>191</v>
      </c>
      <c r="AX34" s="455"/>
      <c r="AY34" s="455"/>
      <c r="AZ34" s="455"/>
      <c r="BA34" s="456">
        <f>MAX(z + ABS(BA32),$BE$45:$BE$71)</f>
        <v>0</v>
      </c>
      <c r="BB34" s="456"/>
      <c r="BC34" s="456"/>
      <c r="BD34" s="456"/>
    </row>
    <row r="35" spans="1:69" ht="15" customHeight="1" x14ac:dyDescent="0.2">
      <c r="A35" s="391" t="s">
        <v>187</v>
      </c>
      <c r="B35" s="391"/>
      <c r="C35" s="409"/>
      <c r="D35" s="409"/>
      <c r="K35" s="399" t="s">
        <v>189</v>
      </c>
      <c r="L35" s="399"/>
      <c r="M35" s="398" t="str">
        <f ca="1">IFERROR(IF(z&lt;0.5*TowerHeight,IF(Cs*3&lt;0.3*S_DS,0.3*S_DS,IF(Cs*3&gt;2*S_DS,2*S_DS,Cs*3)),IF(Cs*1.2&lt;0.3*S_DS,0.3*S_DS,IF(Cs*1.2&gt;2*S_DS,2*S_DS,Cs*1.2))),"N/A")</f>
        <v>N/A</v>
      </c>
      <c r="N35" s="398"/>
      <c r="P35" s="223" t="s">
        <v>190</v>
      </c>
      <c r="U35" s="386" t="str">
        <f>IF(ISBLANK('Discrete Loads'!B23),"",'Discrete Loads'!B23)</f>
        <v/>
      </c>
      <c r="V35" s="386"/>
      <c r="W35" s="342" t="str" cm="1">
        <f t="array" ref="W35">_xlfn.LET(
    _xlpm.model,        'Discrete Loads'!$B23,
    _xlpm.Shape,        'Discrete Loads'!$E23,
    _xlpm.Direction,    W$15,
    _xlpm.Azimuth,      0,
    _xlpm.CaAa_Front,   _xlfn.XLOOKUP(Code!$U35&amp;ROW()-12,Calculations_APPURT[Model]&amp;ROW('Discrete Loads'!B23),Hazards_APPURT[Front CaAa],0,0,1),
    _xlpm.CaAa_Side,    _xlfn.XLOOKUP(Code!$U35&amp;ROW()-12,Calculations_APPURT[Model]&amp;ROW('Discrete Loads'!B23),Hazards_APPURT[Side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X35" s="342" t="str" cm="1">
        <f t="array" ref="X35">_xlfn.LET(
    _xlpm.model,        'Discrete Loads'!$B23,
    _xlpm.Shape,        'Discrete Loads'!$E23,
    _xlpm.Direction,    X$15,
    _xlpm.Azimuth,      0,
    _xlpm.CaAa_Front,   _xlfn.XLOOKUP(Code!$U35&amp;ROW()-12,Calculations_APPURT[Model]&amp;ROW('Discrete Loads'!C23),Hazards_APPURT[Front CaAa],0,0,1),
    _xlpm.CaAa_Side,    _xlfn.XLOOKUP(Code!$U35&amp;ROW()-12,Calculations_APPURT[Model]&amp;ROW('Discrete Loads'!C23),Hazards_APPURT[Side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Y35" s="342" t="str" cm="1">
        <f t="array" ref="Y35">_xlfn.LET(
    _xlpm.model,        'Discrete Loads'!$B23,
    _xlpm.Shape,        'Discrete Loads'!$E23,
    _xlpm.Direction,    Y$15,
    _xlpm.Azimuth,      0,
    _xlpm.CaAa_Front,   _xlfn.XLOOKUP(Code!$U35&amp;ROW()-12,Calculations_APPURT[Model]&amp;ROW('Discrete Loads'!D23),Hazards_APPURT[Front CaAa],0,0,1),
    _xlpm.CaAa_Side,    _xlfn.XLOOKUP(Code!$U35&amp;ROW()-12,Calculations_APPURT[Model]&amp;ROW('Discrete Loads'!D23),Hazards_APPURT[Side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Z35" s="342" t="str" cm="1">
        <f t="array" ref="Z35">_xlfn.LET(
    _xlpm.model,        'Discrete Loads'!$B23,
    _xlpm.Shape,        'Discrete Loads'!$E23,
    _xlpm.Direction,    Z$15,
    _xlpm.Azimuth,      0,
    _xlpm.CaAa_Front,   _xlfn.XLOOKUP(Code!$U35&amp;ROW()-12,Calculations_APPURT[Model]&amp;ROW('Discrete Loads'!E23),Hazards_APPURT[Front CaAa],0,0,1),
    _xlpm.CaAa_Side,    _xlfn.XLOOKUP(Code!$U35&amp;ROW()-12,Calculations_APPURT[Model]&amp;ROW('Discrete Loads'!E23),Hazards_APPURT[Side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AA35" s="342" t="str" cm="1">
        <f t="array" ref="AA35">_xlfn.LET(
    _xlpm.model,        'Discrete Loads'!$B23,
    _xlpm.Shape,        'Discrete Loads'!$E23,
    _xlpm.Direction,    AA$15,
    _xlpm.Azimuth,      0,
    _xlpm.CaAa_Front,   _xlfn.XLOOKUP(Code!$U35&amp;ROW()-12,Calculations_APPURT[Model]&amp;ROW('Discrete Loads'!F23),Hazards_APPURT[Front CaAa],0,0,1),
    _xlpm.CaAa_Side,    _xlfn.XLOOKUP(Code!$U35&amp;ROW()-12,Calculations_APPURT[Model]&amp;ROW('Discrete Loads'!F23),Hazards_APPURT[Side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AB35" s="342" t="str" cm="1">
        <f t="array" ref="AB35">_xlfn.LET(
    _xlpm.model,        'Discrete Loads'!$B23,
    _xlpm.Shape,        'Discrete Loads'!$E23,
    _xlpm.Direction,    AB$15,
    _xlpm.Azimuth,      0,
    _xlpm.CaAa_Front,   _xlfn.XLOOKUP(Code!$U35&amp;ROW()-12,Calculations_APPURT[Model]&amp;ROW('Discrete Loads'!G23),Hazards_APPURT[Front CaAa],0,0,1),
    _xlpm.CaAa_Side,    _xlfn.XLOOKUP(Code!$U35&amp;ROW()-12,Calculations_APPURT[Model]&amp;ROW('Discrete Loads'!G23),Hazards_APPURT[Side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AC35" s="342" t="str" cm="1">
        <f t="array" ref="AC35">_xlfn.LET(
    _xlpm.model,        'Discrete Loads'!$B23,
    _xlpm.Shape,        'Discrete Loads'!$E23,
    _xlpm.Direction,    AC$15,
    _xlpm.Azimuth,      0,
    _xlpm.CaAa_Front,   _xlfn.XLOOKUP(Code!$U35&amp;ROW()-12,Calculations_APPURT[Model]&amp;ROW('Discrete Loads'!H23),Hazards_APPURT[Front CaAa],0,0,1),
    _xlpm.CaAa_Side,    _xlfn.XLOOKUP(Code!$U35&amp;ROW()-12,Calculations_APPURT[Model]&amp;ROW('Discrete Loads'!H23),Hazards_APPURT[Side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AD35" s="342" t="str" cm="1">
        <f t="array" ref="AD35">_xlfn.LET(
    _xlpm.model,        'Discrete Loads'!$B23,
    _xlpm.Shape,        'Discrete Loads'!$E23,
    _xlpm.Direction,    AD$15,
    _xlpm.Azimuth,      0,
    _xlpm.CaAa_Front,   _xlfn.XLOOKUP(Code!$U35&amp;ROW()-12,Calculations_APPURT[Model]&amp;ROW('Discrete Loads'!I23),Hazards_APPURT[Front CaAa],0,0,1),
    _xlpm.CaAa_Side,    _xlfn.XLOOKUP(Code!$U35&amp;ROW()-12,Calculations_APPURT[Model]&amp;ROW('Discrete Loads'!I23),Hazards_APPURT[Side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AE35" s="342" t="str" cm="1">
        <f t="array" ref="AE35">_xlfn.LET(
    _xlpm.model,        'Discrete Loads'!$B23,
    _xlpm.Shape,        'Discrete Loads'!$E23,
    _xlpm.Direction,    AE$15,
    _xlpm.Azimuth,      0,
    _xlpm.CaAa_Front,   _xlfn.XLOOKUP(Code!$U35&amp;ROW()-12,Calculations_APPURT[Model]&amp;ROW('Discrete Loads'!J23),Hazards_APPURT[Front CaAa],0,0,1),
    _xlpm.CaAa_Side,    _xlfn.XLOOKUP(Code!$U35&amp;ROW()-12,Calculations_APPURT[Model]&amp;ROW('Discrete Loads'!J23),Hazards_APPURT[Side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AF35" s="342" t="str" cm="1">
        <f t="array" ref="AF35">_xlfn.LET(
    _xlpm.model,        'Discrete Loads'!$B23,
    _xlpm.Shape,        'Discrete Loads'!$E23,
    _xlpm.Direction,    AF$15,
    _xlpm.Azimuth,      0,
    _xlpm.CaAa_Front,   _xlfn.XLOOKUP(Code!$U35&amp;ROW()-12,Calculations_APPURT[Model]&amp;ROW('Discrete Loads'!K23),Hazards_APPURT[Front CaAa],0,0,1),
    _xlpm.CaAa_Side,    _xlfn.XLOOKUP(Code!$U35&amp;ROW()-12,Calculations_APPURT[Model]&amp;ROW('Discrete Loads'!K23),Hazards_APPURT[Side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AG35" s="342" t="str" cm="1">
        <f t="array" ref="AG35">_xlfn.LET(
    _xlpm.model,        'Discrete Loads'!$B23,
    _xlpm.Shape,        'Discrete Loads'!$E23,
    _xlpm.Direction,    AG$15,
    _xlpm.Azimuth,      0,
    _xlpm.CaAa_Front,   _xlfn.XLOOKUP(Code!$U35&amp;ROW()-12,Calculations_APPURT[Model]&amp;ROW('Discrete Loads'!L23),Hazards_APPURT[Front CaAa],0,0,1),
    _xlpm.CaAa_Side,    _xlfn.XLOOKUP(Code!$U35&amp;ROW()-12,Calculations_APPURT[Model]&amp;ROW('Discrete Loads'!L23),Hazards_APPURT[Side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AH35" s="342" t="str" cm="1">
        <f t="array" ref="AH35">_xlfn.LET(
    _xlpm.model,        'Discrete Loads'!$B23,
    _xlpm.Shape,        'Discrete Loads'!$E23,
    _xlpm.Direction,    AH$15,
    _xlpm.Azimuth,      0,
    _xlpm.CaAa_Front,   _xlfn.XLOOKUP(Code!$U35&amp;ROW()-12,Calculations_APPURT[Model]&amp;ROW('Discrete Loads'!M23),Hazards_APPURT[Front CaAa],0,0,1),
    _xlpm.CaAa_Side,    _xlfn.XLOOKUP(Code!$U35&amp;ROW()-12,Calculations_APPURT[Model]&amp;ROW('Discrete Loads'!M23),Hazards_APPURT[Side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IF($U35="","",IF(_xlpm.Shape="CFD", _xlpm.CFD_val, _xlpm.CaAa_Front*COS(PI()/180*(_xlpm.Direction+_xlpm.Azimuth))^2 + _xlpm.CaAa_Side*SIN(PI()/180*(_xlpm.Direction+_xlpm.Azimuth))^2)))</f>
        <v/>
      </c>
      <c r="AI35" s="340" t="str" cm="1">
        <f t="array" ref="AI35">IF($U35="","",_xlfn.XLOOKUP($U35&amp;(ROW()-12),Calculations_APPURT[Model]&amp;ROW(Calculations_APPURT[Model]),IF(Calculations_APPURT[Shape]&lt;&gt;"CFD","TIA","Manufacturer*"),"",0,1))</f>
        <v/>
      </c>
      <c r="AJ35" s="364" t="str" cm="1">
        <f t="array" ref="AJ35">IF(U35="","",_xlfn.XLOOKUP($U35&amp;(ROW()-12),Calculations_APPURT[Model]&amp;ROW(Calculations_APPURT[Model]),Hazards_APPURT[qz],"",0,1))</f>
        <v/>
      </c>
      <c r="AK35" s="367" t="str" cm="1">
        <f t="array" ref="AK35">IF(U35="","",_xlfn.XLOOKUP($U35&amp;(ROW()-12),Calculations_APPURT[Model]&amp;ROW(Calculations_APPURT[Model]),Dimensions_APPURT[Weight (lbf)],"",0,1))</f>
        <v/>
      </c>
      <c r="AM35" s="449"/>
      <c r="AN35" s="449"/>
      <c r="AO35" s="449"/>
      <c r="AP35" s="449"/>
      <c r="AQ35" s="300"/>
      <c r="AR35" s="452"/>
      <c r="AS35" s="452"/>
      <c r="AT35" s="452"/>
      <c r="AU35" s="452"/>
      <c r="AW35" s="455" t="s">
        <v>196</v>
      </c>
      <c r="AX35" s="455"/>
      <c r="AY35" s="455"/>
      <c r="AZ35" s="455"/>
      <c r="BA35" s="456">
        <f>MIN(z - ABS(BA33),$BF$45:$BF$71)</f>
        <v>0</v>
      </c>
      <c r="BB35" s="456"/>
      <c r="BC35" s="456"/>
      <c r="BD35" s="456"/>
    </row>
    <row r="36" spans="1:69" ht="15" customHeight="1" thickBot="1" x14ac:dyDescent="0.25">
      <c r="A36" s="404" t="s">
        <v>192</v>
      </c>
      <c r="B36" s="404"/>
      <c r="C36" s="426" t="str">
        <f ca="1">IFERROR(Fa * S_S,"N/A")</f>
        <v>N/A</v>
      </c>
      <c r="D36" s="426"/>
      <c r="F36" s="390" t="s">
        <v>193</v>
      </c>
      <c r="G36" s="390"/>
      <c r="K36" s="413" t="s">
        <v>194</v>
      </c>
      <c r="L36" s="413"/>
      <c r="M36" s="413" t="str">
        <f>IFERROR(IF(OR(Supporting_Structure="Yes",TowerType="Rooftop"),3,IF(z/TowerHeight&gt;0.5,1,3)),"N/A")</f>
        <v>N/A</v>
      </c>
      <c r="N36" s="413"/>
      <c r="P36" s="223" t="s">
        <v>195</v>
      </c>
      <c r="U36" s="474" t="str">
        <f>IF(ISBLANK('Discrete Loads'!B24),"",'Discrete Loads'!B24)</f>
        <v/>
      </c>
      <c r="V36" s="474"/>
      <c r="W36" s="341" t="str" cm="1">
        <f t="array" ref="W36">_xlfn.LET(
    _xlpm.model,        'Discrete Loads'!$B24,
    _xlpm.Shape,        'Discrete Loads'!$E24,
    _xlpm.Direction,    W$15,
    _xlpm.Azimuth,      0,
    _xlpm.CaAa_Front,   _xlfn.XLOOKUP(Code!$U36&amp;ROW()-12,Calculations_APPURT[Model]&amp;ROW('Discrete Loads'!B24),Hazards_APPURT[Front CaAa],0,0,1),
    _xlpm.CaAa_Side,    _xlfn.XLOOKUP(Code!$U36&amp;ROW()-12,Calculations_APPURT[Model]&amp;ROW('Discrete Loads'!B24),Hazards_APPURT[Side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X36" s="341" t="str" cm="1">
        <f t="array" ref="X36">_xlfn.LET(
    _xlpm.model,        'Discrete Loads'!$B24,
    _xlpm.Shape,        'Discrete Loads'!$E24,
    _xlpm.Direction,    X$15,
    _xlpm.Azimuth,      0,
    _xlpm.CaAa_Front,   _xlfn.XLOOKUP(Code!$U36&amp;ROW()-12,Calculations_APPURT[Model]&amp;ROW('Discrete Loads'!C24),Hazards_APPURT[Front CaAa],0,0,1),
    _xlpm.CaAa_Side,    _xlfn.XLOOKUP(Code!$U36&amp;ROW()-12,Calculations_APPURT[Model]&amp;ROW('Discrete Loads'!C24),Hazards_APPURT[Side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Y36" s="341" t="str" cm="1">
        <f t="array" ref="Y36">_xlfn.LET(
    _xlpm.model,        'Discrete Loads'!$B24,
    _xlpm.Shape,        'Discrete Loads'!$E24,
    _xlpm.Direction,    Y$15,
    _xlpm.Azimuth,      0,
    _xlpm.CaAa_Front,   _xlfn.XLOOKUP(Code!$U36&amp;ROW()-12,Calculations_APPURT[Model]&amp;ROW('Discrete Loads'!D24),Hazards_APPURT[Front CaAa],0,0,1),
    _xlpm.CaAa_Side,    _xlfn.XLOOKUP(Code!$U36&amp;ROW()-12,Calculations_APPURT[Model]&amp;ROW('Discrete Loads'!D24),Hazards_APPURT[Side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Z36" s="341" t="str" cm="1">
        <f t="array" ref="Z36">_xlfn.LET(
    _xlpm.model,        'Discrete Loads'!$B24,
    _xlpm.Shape,        'Discrete Loads'!$E24,
    _xlpm.Direction,    Z$15,
    _xlpm.Azimuth,      0,
    _xlpm.CaAa_Front,   _xlfn.XLOOKUP(Code!$U36&amp;ROW()-12,Calculations_APPURT[Model]&amp;ROW('Discrete Loads'!E24),Hazards_APPURT[Front CaAa],0,0,1),
    _xlpm.CaAa_Side,    _xlfn.XLOOKUP(Code!$U36&amp;ROW()-12,Calculations_APPURT[Model]&amp;ROW('Discrete Loads'!E24),Hazards_APPURT[Side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AA36" s="341" t="str" cm="1">
        <f t="array" ref="AA36">_xlfn.LET(
    _xlpm.model,        'Discrete Loads'!$B24,
    _xlpm.Shape,        'Discrete Loads'!$E24,
    _xlpm.Direction,    AA$15,
    _xlpm.Azimuth,      0,
    _xlpm.CaAa_Front,   _xlfn.XLOOKUP(Code!$U36&amp;ROW()-12,Calculations_APPURT[Model]&amp;ROW('Discrete Loads'!F24),Hazards_APPURT[Front CaAa],0,0,1),
    _xlpm.CaAa_Side,    _xlfn.XLOOKUP(Code!$U36&amp;ROW()-12,Calculations_APPURT[Model]&amp;ROW('Discrete Loads'!F24),Hazards_APPURT[Side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AB36" s="341" t="str" cm="1">
        <f t="array" ref="AB36">_xlfn.LET(
    _xlpm.model,        'Discrete Loads'!$B24,
    _xlpm.Shape,        'Discrete Loads'!$E24,
    _xlpm.Direction,    AB$15,
    _xlpm.Azimuth,      0,
    _xlpm.CaAa_Front,   _xlfn.XLOOKUP(Code!$U36&amp;ROW()-12,Calculations_APPURT[Model]&amp;ROW('Discrete Loads'!G24),Hazards_APPURT[Front CaAa],0,0,1),
    _xlpm.CaAa_Side,    _xlfn.XLOOKUP(Code!$U36&amp;ROW()-12,Calculations_APPURT[Model]&amp;ROW('Discrete Loads'!G24),Hazards_APPURT[Side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AC36" s="341" t="str" cm="1">
        <f t="array" ref="AC36">_xlfn.LET(
    _xlpm.model,        'Discrete Loads'!$B24,
    _xlpm.Shape,        'Discrete Loads'!$E24,
    _xlpm.Direction,    AC$15,
    _xlpm.Azimuth,      0,
    _xlpm.CaAa_Front,   _xlfn.XLOOKUP(Code!$U36&amp;ROW()-12,Calculations_APPURT[Model]&amp;ROW('Discrete Loads'!H24),Hazards_APPURT[Front CaAa],0,0,1),
    _xlpm.CaAa_Side,    _xlfn.XLOOKUP(Code!$U36&amp;ROW()-12,Calculations_APPURT[Model]&amp;ROW('Discrete Loads'!H24),Hazards_APPURT[Side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AD36" s="341" t="str" cm="1">
        <f t="array" ref="AD36">_xlfn.LET(
    _xlpm.model,        'Discrete Loads'!$B24,
    _xlpm.Shape,        'Discrete Loads'!$E24,
    _xlpm.Direction,    AD$15,
    _xlpm.Azimuth,      0,
    _xlpm.CaAa_Front,   _xlfn.XLOOKUP(Code!$U36&amp;ROW()-12,Calculations_APPURT[Model]&amp;ROW('Discrete Loads'!I24),Hazards_APPURT[Front CaAa],0,0,1),
    _xlpm.CaAa_Side,    _xlfn.XLOOKUP(Code!$U36&amp;ROW()-12,Calculations_APPURT[Model]&amp;ROW('Discrete Loads'!I24),Hazards_APPURT[Side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AE36" s="341" t="str" cm="1">
        <f t="array" ref="AE36">_xlfn.LET(
    _xlpm.model,        'Discrete Loads'!$B24,
    _xlpm.Shape,        'Discrete Loads'!$E24,
    _xlpm.Direction,    AE$15,
    _xlpm.Azimuth,      0,
    _xlpm.CaAa_Front,   _xlfn.XLOOKUP(Code!$U36&amp;ROW()-12,Calculations_APPURT[Model]&amp;ROW('Discrete Loads'!J24),Hazards_APPURT[Front CaAa],0,0,1),
    _xlpm.CaAa_Side,    _xlfn.XLOOKUP(Code!$U36&amp;ROW()-12,Calculations_APPURT[Model]&amp;ROW('Discrete Loads'!J24),Hazards_APPURT[Side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AF36" s="341" t="str" cm="1">
        <f t="array" ref="AF36">_xlfn.LET(
    _xlpm.model,        'Discrete Loads'!$B24,
    _xlpm.Shape,        'Discrete Loads'!$E24,
    _xlpm.Direction,    AF$15,
    _xlpm.Azimuth,      0,
    _xlpm.CaAa_Front,   _xlfn.XLOOKUP(Code!$U36&amp;ROW()-12,Calculations_APPURT[Model]&amp;ROW('Discrete Loads'!K24),Hazards_APPURT[Front CaAa],0,0,1),
    _xlpm.CaAa_Side,    _xlfn.XLOOKUP(Code!$U36&amp;ROW()-12,Calculations_APPURT[Model]&amp;ROW('Discrete Loads'!K24),Hazards_APPURT[Side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AG36" s="341" t="str" cm="1">
        <f t="array" ref="AG36">_xlfn.LET(
    _xlpm.model,        'Discrete Loads'!$B24,
    _xlpm.Shape,        'Discrete Loads'!$E24,
    _xlpm.Direction,    AG$15,
    _xlpm.Azimuth,      0,
    _xlpm.CaAa_Front,   _xlfn.XLOOKUP(Code!$U36&amp;ROW()-12,Calculations_APPURT[Model]&amp;ROW('Discrete Loads'!L24),Hazards_APPURT[Front CaAa],0,0,1),
    _xlpm.CaAa_Side,    _xlfn.XLOOKUP(Code!$U36&amp;ROW()-12,Calculations_APPURT[Model]&amp;ROW('Discrete Loads'!L24),Hazards_APPURT[Side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AH36" s="341" t="str" cm="1">
        <f t="array" ref="AH36">_xlfn.LET(
    _xlpm.model,        'Discrete Loads'!$B24,
    _xlpm.Shape,        'Discrete Loads'!$E24,
    _xlpm.Direction,    AH$15,
    _xlpm.Azimuth,      0,
    _xlpm.CaAa_Front,   _xlfn.XLOOKUP(Code!$U36&amp;ROW()-12,Calculations_APPURT[Model]&amp;ROW('Discrete Loads'!M24),Hazards_APPURT[Front CaAa],0,0,1),
    _xlpm.CaAa_Side,    _xlfn.XLOOKUP(Code!$U36&amp;ROW()-12,Calculations_APPURT[Model]&amp;ROW('Discrete Loads'!M24),Hazards_APPURT[Side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IF($U36="","",IF(_xlpm.Shape="CFD", _xlpm.CFD_val, _xlpm.CaAa_Front*COS(PI()/180*(_xlpm.Direction+_xlpm.Azimuth))^2 + _xlpm.CaAa_Side*SIN(PI()/180*(_xlpm.Direction+_xlpm.Azimuth))^2)))</f>
        <v/>
      </c>
      <c r="AI36" s="339" t="str" cm="1">
        <f t="array" ref="AI36">IF($U36="","",_xlfn.XLOOKUP($U36&amp;(ROW()-12),Calculations_APPURT[Model]&amp;ROW(Calculations_APPURT[Model]),IF(Calculations_APPURT[Shape]&lt;&gt;"CFD","TIA","Manufacturer*"),"",0,1))</f>
        <v/>
      </c>
      <c r="AJ36" s="363" t="str" cm="1">
        <f t="array" ref="AJ36">IF(U36="","",_xlfn.XLOOKUP($U36&amp;(ROW()-12),Calculations_APPURT[Model]&amp;ROW(Calculations_APPURT[Model]),Hazards_APPURT[qz],"",0,1))</f>
        <v/>
      </c>
      <c r="AK36" s="366" t="str" cm="1">
        <f t="array" ref="AK36">IF(U36="","",_xlfn.XLOOKUP($U36&amp;(ROW()-12),Calculations_APPURT[Model]&amp;ROW(Calculations_APPURT[Model]),Dimensions_APPURT[Weight (lbf)],"",0,1))</f>
        <v/>
      </c>
      <c r="AM36" s="449"/>
      <c r="AN36" s="449"/>
      <c r="AO36" s="449"/>
      <c r="AP36" s="449"/>
      <c r="AQ36" s="300"/>
      <c r="AR36" s="452"/>
      <c r="AS36" s="452"/>
      <c r="AT36" s="452"/>
      <c r="AU36" s="452"/>
      <c r="AW36" s="444" t="s">
        <v>198</v>
      </c>
      <c r="AX36" s="445"/>
      <c r="AY36" s="445"/>
      <c r="AZ36" s="445"/>
      <c r="BA36" s="445"/>
      <c r="BB36" s="445"/>
      <c r="BC36" s="445"/>
      <c r="BD36" s="446"/>
    </row>
    <row r="37" spans="1:69" ht="15" customHeight="1" thickBot="1" x14ac:dyDescent="0.25">
      <c r="A37" s="399" t="s">
        <v>197</v>
      </c>
      <c r="B37" s="399"/>
      <c r="C37" s="430" t="str">
        <f ca="1">IFERROR(Fv * S_1,"N/A")</f>
        <v>N/A</v>
      </c>
      <c r="D37" s="430"/>
      <c r="F37" s="390"/>
      <c r="G37" s="390"/>
      <c r="U37" s="386" t="str">
        <f>IF(ISBLANK('Discrete Loads'!B25),"",'Discrete Loads'!B25)</f>
        <v/>
      </c>
      <c r="V37" s="386"/>
      <c r="W37" s="342" t="str" cm="1">
        <f t="array" ref="W37">_xlfn.LET(
    _xlpm.model,        'Discrete Loads'!$B25,
    _xlpm.Shape,        'Discrete Loads'!$E25,
    _xlpm.Direction,    W$15,
    _xlpm.Azimuth,      0,
    _xlpm.CaAa_Front,   _xlfn.XLOOKUP(Code!$U37&amp;ROW()-12,Calculations_APPURT[Model]&amp;ROW('Discrete Loads'!B25),Hazards_APPURT[Front CaAa],0,0,1),
    _xlpm.CaAa_Side,    _xlfn.XLOOKUP(Code!$U37&amp;ROW()-12,Calculations_APPURT[Model]&amp;ROW('Discrete Loads'!B25),Hazards_APPURT[Side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X37" s="342" t="str" cm="1">
        <f t="array" ref="X37">_xlfn.LET(
    _xlpm.model,        'Discrete Loads'!$B25,
    _xlpm.Shape,        'Discrete Loads'!$E25,
    _xlpm.Direction,    X$15,
    _xlpm.Azimuth,      0,
    _xlpm.CaAa_Front,   _xlfn.XLOOKUP(Code!$U37&amp;ROW()-12,Calculations_APPURT[Model]&amp;ROW('Discrete Loads'!C25),Hazards_APPURT[Front CaAa],0,0,1),
    _xlpm.CaAa_Side,    _xlfn.XLOOKUP(Code!$U37&amp;ROW()-12,Calculations_APPURT[Model]&amp;ROW('Discrete Loads'!C25),Hazards_APPURT[Side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Y37" s="342" t="str" cm="1">
        <f t="array" ref="Y37">_xlfn.LET(
    _xlpm.model,        'Discrete Loads'!$B25,
    _xlpm.Shape,        'Discrete Loads'!$E25,
    _xlpm.Direction,    Y$15,
    _xlpm.Azimuth,      0,
    _xlpm.CaAa_Front,   _xlfn.XLOOKUP(Code!$U37&amp;ROW()-12,Calculations_APPURT[Model]&amp;ROW('Discrete Loads'!D25),Hazards_APPURT[Front CaAa],0,0,1),
    _xlpm.CaAa_Side,    _xlfn.XLOOKUP(Code!$U37&amp;ROW()-12,Calculations_APPURT[Model]&amp;ROW('Discrete Loads'!D25),Hazards_APPURT[Side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Z37" s="342" t="str" cm="1">
        <f t="array" ref="Z37">_xlfn.LET(
    _xlpm.model,        'Discrete Loads'!$B25,
    _xlpm.Shape,        'Discrete Loads'!$E25,
    _xlpm.Direction,    Z$15,
    _xlpm.Azimuth,      0,
    _xlpm.CaAa_Front,   _xlfn.XLOOKUP(Code!$U37&amp;ROW()-12,Calculations_APPURT[Model]&amp;ROW('Discrete Loads'!E25),Hazards_APPURT[Front CaAa],0,0,1),
    _xlpm.CaAa_Side,    _xlfn.XLOOKUP(Code!$U37&amp;ROW()-12,Calculations_APPURT[Model]&amp;ROW('Discrete Loads'!E25),Hazards_APPURT[Side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AA37" s="342" t="str" cm="1">
        <f t="array" ref="AA37">_xlfn.LET(
    _xlpm.model,        'Discrete Loads'!$B25,
    _xlpm.Shape,        'Discrete Loads'!$E25,
    _xlpm.Direction,    AA$15,
    _xlpm.Azimuth,      0,
    _xlpm.CaAa_Front,   _xlfn.XLOOKUP(Code!$U37&amp;ROW()-12,Calculations_APPURT[Model]&amp;ROW('Discrete Loads'!F25),Hazards_APPURT[Front CaAa],0,0,1),
    _xlpm.CaAa_Side,    _xlfn.XLOOKUP(Code!$U37&amp;ROW()-12,Calculations_APPURT[Model]&amp;ROW('Discrete Loads'!F25),Hazards_APPURT[Side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AB37" s="342" t="str" cm="1">
        <f t="array" ref="AB37">_xlfn.LET(
    _xlpm.model,        'Discrete Loads'!$B25,
    _xlpm.Shape,        'Discrete Loads'!$E25,
    _xlpm.Direction,    AB$15,
    _xlpm.Azimuth,      0,
    _xlpm.CaAa_Front,   _xlfn.XLOOKUP(Code!$U37&amp;ROW()-12,Calculations_APPURT[Model]&amp;ROW('Discrete Loads'!G25),Hazards_APPURT[Front CaAa],0,0,1),
    _xlpm.CaAa_Side,    _xlfn.XLOOKUP(Code!$U37&amp;ROW()-12,Calculations_APPURT[Model]&amp;ROW('Discrete Loads'!G25),Hazards_APPURT[Side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AC37" s="342" t="str" cm="1">
        <f t="array" ref="AC37">_xlfn.LET(
    _xlpm.model,        'Discrete Loads'!$B25,
    _xlpm.Shape,        'Discrete Loads'!$E25,
    _xlpm.Direction,    AC$15,
    _xlpm.Azimuth,      0,
    _xlpm.CaAa_Front,   _xlfn.XLOOKUP(Code!$U37&amp;ROW()-12,Calculations_APPURT[Model]&amp;ROW('Discrete Loads'!H25),Hazards_APPURT[Front CaAa],0,0,1),
    _xlpm.CaAa_Side,    _xlfn.XLOOKUP(Code!$U37&amp;ROW()-12,Calculations_APPURT[Model]&amp;ROW('Discrete Loads'!H25),Hazards_APPURT[Side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AD37" s="342" t="str" cm="1">
        <f t="array" ref="AD37">_xlfn.LET(
    _xlpm.model,        'Discrete Loads'!$B25,
    _xlpm.Shape,        'Discrete Loads'!$E25,
    _xlpm.Direction,    AD$15,
    _xlpm.Azimuth,      0,
    _xlpm.CaAa_Front,   _xlfn.XLOOKUP(Code!$U37&amp;ROW()-12,Calculations_APPURT[Model]&amp;ROW('Discrete Loads'!I25),Hazards_APPURT[Front CaAa],0,0,1),
    _xlpm.CaAa_Side,    _xlfn.XLOOKUP(Code!$U37&amp;ROW()-12,Calculations_APPURT[Model]&amp;ROW('Discrete Loads'!I25),Hazards_APPURT[Side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AE37" s="342" t="str" cm="1">
        <f t="array" ref="AE37">_xlfn.LET(
    _xlpm.model,        'Discrete Loads'!$B25,
    _xlpm.Shape,        'Discrete Loads'!$E25,
    _xlpm.Direction,    AE$15,
    _xlpm.Azimuth,      0,
    _xlpm.CaAa_Front,   _xlfn.XLOOKUP(Code!$U37&amp;ROW()-12,Calculations_APPURT[Model]&amp;ROW('Discrete Loads'!J25),Hazards_APPURT[Front CaAa],0,0,1),
    _xlpm.CaAa_Side,    _xlfn.XLOOKUP(Code!$U37&amp;ROW()-12,Calculations_APPURT[Model]&amp;ROW('Discrete Loads'!J25),Hazards_APPURT[Side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AF37" s="342" t="str" cm="1">
        <f t="array" ref="AF37">_xlfn.LET(
    _xlpm.model,        'Discrete Loads'!$B25,
    _xlpm.Shape,        'Discrete Loads'!$E25,
    _xlpm.Direction,    AF$15,
    _xlpm.Azimuth,      0,
    _xlpm.CaAa_Front,   _xlfn.XLOOKUP(Code!$U37&amp;ROW()-12,Calculations_APPURT[Model]&amp;ROW('Discrete Loads'!K25),Hazards_APPURT[Front CaAa],0,0,1),
    _xlpm.CaAa_Side,    _xlfn.XLOOKUP(Code!$U37&amp;ROW()-12,Calculations_APPURT[Model]&amp;ROW('Discrete Loads'!K25),Hazards_APPURT[Side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AG37" s="342" t="str" cm="1">
        <f t="array" ref="AG37">_xlfn.LET(
    _xlpm.model,        'Discrete Loads'!$B25,
    _xlpm.Shape,        'Discrete Loads'!$E25,
    _xlpm.Direction,    AG$15,
    _xlpm.Azimuth,      0,
    _xlpm.CaAa_Front,   _xlfn.XLOOKUP(Code!$U37&amp;ROW()-12,Calculations_APPURT[Model]&amp;ROW('Discrete Loads'!L25),Hazards_APPURT[Front CaAa],0,0,1),
    _xlpm.CaAa_Side,    _xlfn.XLOOKUP(Code!$U37&amp;ROW()-12,Calculations_APPURT[Model]&amp;ROW('Discrete Loads'!L25),Hazards_APPURT[Side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AH37" s="342" t="str" cm="1">
        <f t="array" ref="AH37">_xlfn.LET(
    _xlpm.model,        'Discrete Loads'!$B25,
    _xlpm.Shape,        'Discrete Loads'!$E25,
    _xlpm.Direction,    AH$15,
    _xlpm.Azimuth,      0,
    _xlpm.CaAa_Front,   _xlfn.XLOOKUP(Code!$U37&amp;ROW()-12,Calculations_APPURT[Model]&amp;ROW('Discrete Loads'!M25),Hazards_APPURT[Front CaAa],0,0,1),
    _xlpm.CaAa_Side,    _xlfn.XLOOKUP(Code!$U37&amp;ROW()-12,Calculations_APPURT[Model]&amp;ROW('Discrete Loads'!M25),Hazards_APPURT[Side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IF($U37="","",IF(_xlpm.Shape="CFD", _xlpm.CFD_val, _xlpm.CaAa_Front*COS(PI()/180*(_xlpm.Direction+_xlpm.Azimuth))^2 + _xlpm.CaAa_Side*SIN(PI()/180*(_xlpm.Direction+_xlpm.Azimuth))^2)))</f>
        <v/>
      </c>
      <c r="AI37" s="340" t="str" cm="1">
        <f t="array" ref="AI37">IF($U37="","",_xlfn.XLOOKUP($U37&amp;(ROW()-12),Calculations_APPURT[Model]&amp;ROW(Calculations_APPURT[Model]),IF(Calculations_APPURT[Shape]&lt;&gt;"CFD","TIA","Manufacturer*"),"",0,1))</f>
        <v/>
      </c>
      <c r="AJ37" s="364" t="str" cm="1">
        <f t="array" ref="AJ37">IF(U37="","",_xlfn.XLOOKUP($U37&amp;(ROW()-12),Calculations_APPURT[Model]&amp;ROW(Calculations_APPURT[Model]),Hazards_APPURT[qz],"",0,1))</f>
        <v/>
      </c>
      <c r="AK37" s="367" t="str" cm="1">
        <f t="array" ref="AK37">IF(U37="","",_xlfn.XLOOKUP($U37&amp;(ROW()-12),Calculations_APPURT[Model]&amp;ROW(Calculations_APPURT[Model]),Dimensions_APPURT[Weight (lbf)],"",0,1))</f>
        <v/>
      </c>
      <c r="AM37" s="450"/>
      <c r="AN37" s="450"/>
      <c r="AO37" s="450"/>
      <c r="AP37" s="450"/>
      <c r="AQ37" s="300"/>
      <c r="AR37" s="453"/>
      <c r="AS37" s="453"/>
      <c r="AT37" s="453"/>
      <c r="AU37" s="453"/>
      <c r="AW37" s="463" t="s">
        <v>1786</v>
      </c>
      <c r="AX37" s="463"/>
      <c r="AY37" s="463"/>
      <c r="AZ37" s="463"/>
      <c r="BA37" s="216" t="s">
        <v>227</v>
      </c>
      <c r="BB37" s="215" t="s">
        <v>228</v>
      </c>
      <c r="BC37" s="215" t="s">
        <v>229</v>
      </c>
      <c r="BD37" s="215" t="s">
        <v>230</v>
      </c>
    </row>
    <row r="38" spans="1:69" ht="15" customHeight="1" thickBot="1" x14ac:dyDescent="0.25">
      <c r="A38" s="404" t="s">
        <v>199</v>
      </c>
      <c r="B38" s="404"/>
      <c r="C38" s="426" t="str">
        <f ca="1">IFERROR(IF(RIGHT(TIA,1)="I",2/3 * S_MS,MAX(2/3 * Fa * S_S, S_D1)),"N/A")</f>
        <v>N/A</v>
      </c>
      <c r="D38" s="426"/>
      <c r="F38" s="397" t="s">
        <v>193</v>
      </c>
      <c r="G38" s="397"/>
      <c r="H38" s="397"/>
      <c r="I38" s="397"/>
      <c r="K38" s="390" t="s">
        <v>200</v>
      </c>
      <c r="L38" s="390"/>
      <c r="M38" s="390"/>
      <c r="Q38" s="441" t="str">
        <f>IFERROR(CONCATENATE("Structure Capacity = ",TEXT(MAX(P43:P71,R43:R71),"#,##0.0 %")," - ",IF(MAX(P43:P71,R43:R71)&gt;1.05,"Fail", "Pass")),"N/A")</f>
        <v>Structure Capacity = 0.0 % - Pass</v>
      </c>
      <c r="R38" s="441"/>
      <c r="S38" s="441"/>
      <c r="U38" s="474" t="str">
        <f>IF(ISBLANK('Discrete Loads'!B26),"",'Discrete Loads'!B26)</f>
        <v/>
      </c>
      <c r="V38" s="474"/>
      <c r="W38" s="341" t="str" cm="1">
        <f t="array" ref="W38">_xlfn.LET(
    _xlpm.model,        'Discrete Loads'!$B26,
    _xlpm.Shape,        'Discrete Loads'!$E26,
    _xlpm.Direction,    W$15,
    _xlpm.Azimuth,      0,
    _xlpm.CaAa_Front,   _xlfn.XLOOKUP(Code!$U38&amp;ROW()-12,Calculations_APPURT[Model]&amp;ROW('Discrete Loads'!B26),Hazards_APPURT[Front CaAa],0,0,1),
    _xlpm.CaAa_Side,    _xlfn.XLOOKUP(Code!$U38&amp;ROW()-12,Calculations_APPURT[Model]&amp;ROW('Discrete Loads'!B26),Hazards_APPURT[Side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X38" s="341" t="str" cm="1">
        <f t="array" ref="X38">_xlfn.LET(
    _xlpm.model,        'Discrete Loads'!$B26,
    _xlpm.Shape,        'Discrete Loads'!$E26,
    _xlpm.Direction,    X$15,
    _xlpm.Azimuth,      0,
    _xlpm.CaAa_Front,   _xlfn.XLOOKUP(Code!$U38&amp;ROW()-12,Calculations_APPURT[Model]&amp;ROW('Discrete Loads'!C26),Hazards_APPURT[Front CaAa],0,0,1),
    _xlpm.CaAa_Side,    _xlfn.XLOOKUP(Code!$U38&amp;ROW()-12,Calculations_APPURT[Model]&amp;ROW('Discrete Loads'!C26),Hazards_APPURT[Side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Y38" s="341" t="str" cm="1">
        <f t="array" ref="Y38">_xlfn.LET(
    _xlpm.model,        'Discrete Loads'!$B26,
    _xlpm.Shape,        'Discrete Loads'!$E26,
    _xlpm.Direction,    Y$15,
    _xlpm.Azimuth,      0,
    _xlpm.CaAa_Front,   _xlfn.XLOOKUP(Code!$U38&amp;ROW()-12,Calculations_APPURT[Model]&amp;ROW('Discrete Loads'!D26),Hazards_APPURT[Front CaAa],0,0,1),
    _xlpm.CaAa_Side,    _xlfn.XLOOKUP(Code!$U38&amp;ROW()-12,Calculations_APPURT[Model]&amp;ROW('Discrete Loads'!D26),Hazards_APPURT[Side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Z38" s="341" t="str" cm="1">
        <f t="array" ref="Z38">_xlfn.LET(
    _xlpm.model,        'Discrete Loads'!$B26,
    _xlpm.Shape,        'Discrete Loads'!$E26,
    _xlpm.Direction,    Z$15,
    _xlpm.Azimuth,      0,
    _xlpm.CaAa_Front,   _xlfn.XLOOKUP(Code!$U38&amp;ROW()-12,Calculations_APPURT[Model]&amp;ROW('Discrete Loads'!E26),Hazards_APPURT[Front CaAa],0,0,1),
    _xlpm.CaAa_Side,    _xlfn.XLOOKUP(Code!$U38&amp;ROW()-12,Calculations_APPURT[Model]&amp;ROW('Discrete Loads'!E26),Hazards_APPURT[Side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AA38" s="341" t="str" cm="1">
        <f t="array" ref="AA38">_xlfn.LET(
    _xlpm.model,        'Discrete Loads'!$B26,
    _xlpm.Shape,        'Discrete Loads'!$E26,
    _xlpm.Direction,    AA$15,
    _xlpm.Azimuth,      0,
    _xlpm.CaAa_Front,   _xlfn.XLOOKUP(Code!$U38&amp;ROW()-12,Calculations_APPURT[Model]&amp;ROW('Discrete Loads'!F26),Hazards_APPURT[Front CaAa],0,0,1),
    _xlpm.CaAa_Side,    _xlfn.XLOOKUP(Code!$U38&amp;ROW()-12,Calculations_APPURT[Model]&amp;ROW('Discrete Loads'!F26),Hazards_APPURT[Side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AB38" s="341" t="str" cm="1">
        <f t="array" ref="AB38">_xlfn.LET(
    _xlpm.model,        'Discrete Loads'!$B26,
    _xlpm.Shape,        'Discrete Loads'!$E26,
    _xlpm.Direction,    AB$15,
    _xlpm.Azimuth,      0,
    _xlpm.CaAa_Front,   _xlfn.XLOOKUP(Code!$U38&amp;ROW()-12,Calculations_APPURT[Model]&amp;ROW('Discrete Loads'!G26),Hazards_APPURT[Front CaAa],0,0,1),
    _xlpm.CaAa_Side,    _xlfn.XLOOKUP(Code!$U38&amp;ROW()-12,Calculations_APPURT[Model]&amp;ROW('Discrete Loads'!G26),Hazards_APPURT[Side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AC38" s="341" t="str" cm="1">
        <f t="array" ref="AC38">_xlfn.LET(
    _xlpm.model,        'Discrete Loads'!$B26,
    _xlpm.Shape,        'Discrete Loads'!$E26,
    _xlpm.Direction,    AC$15,
    _xlpm.Azimuth,      0,
    _xlpm.CaAa_Front,   _xlfn.XLOOKUP(Code!$U38&amp;ROW()-12,Calculations_APPURT[Model]&amp;ROW('Discrete Loads'!H26),Hazards_APPURT[Front CaAa],0,0,1),
    _xlpm.CaAa_Side,    _xlfn.XLOOKUP(Code!$U38&amp;ROW()-12,Calculations_APPURT[Model]&amp;ROW('Discrete Loads'!H26),Hazards_APPURT[Side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AD38" s="341" t="str" cm="1">
        <f t="array" ref="AD38">_xlfn.LET(
    _xlpm.model,        'Discrete Loads'!$B26,
    _xlpm.Shape,        'Discrete Loads'!$E26,
    _xlpm.Direction,    AD$15,
    _xlpm.Azimuth,      0,
    _xlpm.CaAa_Front,   _xlfn.XLOOKUP(Code!$U38&amp;ROW()-12,Calculations_APPURT[Model]&amp;ROW('Discrete Loads'!I26),Hazards_APPURT[Front CaAa],0,0,1),
    _xlpm.CaAa_Side,    _xlfn.XLOOKUP(Code!$U38&amp;ROW()-12,Calculations_APPURT[Model]&amp;ROW('Discrete Loads'!I26),Hazards_APPURT[Side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AE38" s="341" t="str" cm="1">
        <f t="array" ref="AE38">_xlfn.LET(
    _xlpm.model,        'Discrete Loads'!$B26,
    _xlpm.Shape,        'Discrete Loads'!$E26,
    _xlpm.Direction,    AE$15,
    _xlpm.Azimuth,      0,
    _xlpm.CaAa_Front,   _xlfn.XLOOKUP(Code!$U38&amp;ROW()-12,Calculations_APPURT[Model]&amp;ROW('Discrete Loads'!J26),Hazards_APPURT[Front CaAa],0,0,1),
    _xlpm.CaAa_Side,    _xlfn.XLOOKUP(Code!$U38&amp;ROW()-12,Calculations_APPURT[Model]&amp;ROW('Discrete Loads'!J26),Hazards_APPURT[Side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AF38" s="341" t="str" cm="1">
        <f t="array" ref="AF38">_xlfn.LET(
    _xlpm.model,        'Discrete Loads'!$B26,
    _xlpm.Shape,        'Discrete Loads'!$E26,
    _xlpm.Direction,    AF$15,
    _xlpm.Azimuth,      0,
    _xlpm.CaAa_Front,   _xlfn.XLOOKUP(Code!$U38&amp;ROW()-12,Calculations_APPURT[Model]&amp;ROW('Discrete Loads'!K26),Hazards_APPURT[Front CaAa],0,0,1),
    _xlpm.CaAa_Side,    _xlfn.XLOOKUP(Code!$U38&amp;ROW()-12,Calculations_APPURT[Model]&amp;ROW('Discrete Loads'!K26),Hazards_APPURT[Side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AG38" s="341" t="str" cm="1">
        <f t="array" ref="AG38">_xlfn.LET(
    _xlpm.model,        'Discrete Loads'!$B26,
    _xlpm.Shape,        'Discrete Loads'!$E26,
    _xlpm.Direction,    AG$15,
    _xlpm.Azimuth,      0,
    _xlpm.CaAa_Front,   _xlfn.XLOOKUP(Code!$U38&amp;ROW()-12,Calculations_APPURT[Model]&amp;ROW('Discrete Loads'!L26),Hazards_APPURT[Front CaAa],0,0,1),
    _xlpm.CaAa_Side,    _xlfn.XLOOKUP(Code!$U38&amp;ROW()-12,Calculations_APPURT[Model]&amp;ROW('Discrete Loads'!L26),Hazards_APPURT[Side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AH38" s="341" t="str" cm="1">
        <f t="array" ref="AH38">_xlfn.LET(
    _xlpm.model,        'Discrete Loads'!$B26,
    _xlpm.Shape,        'Discrete Loads'!$E26,
    _xlpm.Direction,    AH$15,
    _xlpm.Azimuth,      0,
    _xlpm.CaAa_Front,   _xlfn.XLOOKUP(Code!$U38&amp;ROW()-12,Calculations_APPURT[Model]&amp;ROW('Discrete Loads'!M26),Hazards_APPURT[Front CaAa],0,0,1),
    _xlpm.CaAa_Side,    _xlfn.XLOOKUP(Code!$U38&amp;ROW()-12,Calculations_APPURT[Model]&amp;ROW('Discrete Loads'!M26),Hazards_APPURT[Side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IF($U38="","",IF(_xlpm.Shape="CFD", _xlpm.CFD_val, _xlpm.CaAa_Front*COS(PI()/180*(_xlpm.Direction+_xlpm.Azimuth))^2 + _xlpm.CaAa_Side*SIN(PI()/180*(_xlpm.Direction+_xlpm.Azimuth))^2)))</f>
        <v/>
      </c>
      <c r="AI38" s="339" t="str" cm="1">
        <f t="array" ref="AI38">IF($U38="","",_xlfn.XLOOKUP($U38&amp;(ROW()-12),Calculations_APPURT[Model]&amp;ROW(Calculations_APPURT[Model]),IF(Calculations_APPURT[Shape]&lt;&gt;"CFD","TIA","Manufacturer*"),"",0,1))</f>
        <v/>
      </c>
      <c r="AJ38" s="363" t="str" cm="1">
        <f t="array" ref="AJ38">IF(U38="","",_xlfn.XLOOKUP($U38&amp;(ROW()-12),Calculations_APPURT[Model]&amp;ROW(Calculations_APPURT[Model]),Hazards_APPURT[qz],"",0,1))</f>
        <v/>
      </c>
      <c r="AK38" s="366" t="str" cm="1">
        <f t="array" ref="AK38">IF(U38="","",_xlfn.XLOOKUP($U38&amp;(ROW()-12),Calculations_APPURT[Model]&amp;ROW(Calculations_APPURT[Model]),Dimensions_APPURT[Weight (lbf)],"",0,1))</f>
        <v/>
      </c>
      <c r="AM38" s="223" t="s">
        <v>201</v>
      </c>
      <c r="AN38" s="1"/>
      <c r="AO38" s="1"/>
      <c r="AP38" s="1"/>
      <c r="AR38" s="223" t="s">
        <v>202</v>
      </c>
      <c r="AS38" s="1"/>
      <c r="AT38" s="1"/>
      <c r="AW38" s="455" t="s">
        <v>203</v>
      </c>
      <c r="AX38" s="455"/>
      <c r="AY38" s="455"/>
      <c r="AZ38" s="455"/>
      <c r="BA38" s="336"/>
      <c r="BB38" s="336"/>
      <c r="BC38" s="336"/>
      <c r="BD38" s="336"/>
    </row>
    <row r="39" spans="1:69" ht="15" customHeight="1" thickBot="1" x14ac:dyDescent="0.25">
      <c r="A39" s="392" t="s">
        <v>204</v>
      </c>
      <c r="B39" s="392"/>
      <c r="C39" s="406" t="str">
        <f ca="1">IFERROR(IF(RIGHT(TIA,1)="I",2/3 * S_M1, 2/3 * Fv * S_1),"N/A")</f>
        <v>N/A</v>
      </c>
      <c r="D39" s="406"/>
      <c r="F39" s="396" t="s">
        <v>205</v>
      </c>
      <c r="G39" s="396"/>
      <c r="H39" s="396"/>
      <c r="I39" s="396"/>
      <c r="K39" s="390"/>
      <c r="L39" s="390"/>
      <c r="M39" s="390"/>
      <c r="Q39" s="441"/>
      <c r="R39" s="441"/>
      <c r="S39" s="441"/>
      <c r="U39" s="386" t="str">
        <f>IF(ISBLANK('Discrete Loads'!B27),"",'Discrete Loads'!B27)</f>
        <v/>
      </c>
      <c r="V39" s="386"/>
      <c r="W39" s="342" t="str" cm="1">
        <f t="array" ref="W39">_xlfn.LET(
    _xlpm.model,        'Discrete Loads'!$B27,
    _xlpm.Shape,        'Discrete Loads'!$E27,
    _xlpm.Direction,    W$15,
    _xlpm.Azimuth,      0,
    _xlpm.CaAa_Front,   _xlfn.XLOOKUP(Code!$U39&amp;ROW()-12,Calculations_APPURT[Model]&amp;ROW('Discrete Loads'!B27),Hazards_APPURT[Front CaAa],0,0,1),
    _xlpm.CaAa_Side,    _xlfn.XLOOKUP(Code!$U39&amp;ROW()-12,Calculations_APPURT[Model]&amp;ROW('Discrete Loads'!B27),Hazards_APPURT[Side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X39" s="342" t="str" cm="1">
        <f t="array" ref="X39">_xlfn.LET(
    _xlpm.model,        'Discrete Loads'!$B27,
    _xlpm.Shape,        'Discrete Loads'!$E27,
    _xlpm.Direction,    X$15,
    _xlpm.Azimuth,      0,
    _xlpm.CaAa_Front,   _xlfn.XLOOKUP(Code!$U39&amp;ROW()-12,Calculations_APPURT[Model]&amp;ROW('Discrete Loads'!C27),Hazards_APPURT[Front CaAa],0,0,1),
    _xlpm.CaAa_Side,    _xlfn.XLOOKUP(Code!$U39&amp;ROW()-12,Calculations_APPURT[Model]&amp;ROW('Discrete Loads'!C27),Hazards_APPURT[Side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Y39" s="342" t="str" cm="1">
        <f t="array" ref="Y39">_xlfn.LET(
    _xlpm.model,        'Discrete Loads'!$B27,
    _xlpm.Shape,        'Discrete Loads'!$E27,
    _xlpm.Direction,    Y$15,
    _xlpm.Azimuth,      0,
    _xlpm.CaAa_Front,   _xlfn.XLOOKUP(Code!$U39&amp;ROW()-12,Calculations_APPURT[Model]&amp;ROW('Discrete Loads'!D27),Hazards_APPURT[Front CaAa],0,0,1),
    _xlpm.CaAa_Side,    _xlfn.XLOOKUP(Code!$U39&amp;ROW()-12,Calculations_APPURT[Model]&amp;ROW('Discrete Loads'!D27),Hazards_APPURT[Side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Z39" s="342" t="str" cm="1">
        <f t="array" ref="Z39">_xlfn.LET(
    _xlpm.model,        'Discrete Loads'!$B27,
    _xlpm.Shape,        'Discrete Loads'!$E27,
    _xlpm.Direction,    Z$15,
    _xlpm.Azimuth,      0,
    _xlpm.CaAa_Front,   _xlfn.XLOOKUP(Code!$U39&amp;ROW()-12,Calculations_APPURT[Model]&amp;ROW('Discrete Loads'!E27),Hazards_APPURT[Front CaAa],0,0,1),
    _xlpm.CaAa_Side,    _xlfn.XLOOKUP(Code!$U39&amp;ROW()-12,Calculations_APPURT[Model]&amp;ROW('Discrete Loads'!E27),Hazards_APPURT[Side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AA39" s="342" t="str" cm="1">
        <f t="array" ref="AA39">_xlfn.LET(
    _xlpm.model,        'Discrete Loads'!$B27,
    _xlpm.Shape,        'Discrete Loads'!$E27,
    _xlpm.Direction,    AA$15,
    _xlpm.Azimuth,      0,
    _xlpm.CaAa_Front,   _xlfn.XLOOKUP(Code!$U39&amp;ROW()-12,Calculations_APPURT[Model]&amp;ROW('Discrete Loads'!F27),Hazards_APPURT[Front CaAa],0,0,1),
    _xlpm.CaAa_Side,    _xlfn.XLOOKUP(Code!$U39&amp;ROW()-12,Calculations_APPURT[Model]&amp;ROW('Discrete Loads'!F27),Hazards_APPURT[Side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AB39" s="342" t="str" cm="1">
        <f t="array" ref="AB39">_xlfn.LET(
    _xlpm.model,        'Discrete Loads'!$B27,
    _xlpm.Shape,        'Discrete Loads'!$E27,
    _xlpm.Direction,    AB$15,
    _xlpm.Azimuth,      0,
    _xlpm.CaAa_Front,   _xlfn.XLOOKUP(Code!$U39&amp;ROW()-12,Calculations_APPURT[Model]&amp;ROW('Discrete Loads'!G27),Hazards_APPURT[Front CaAa],0,0,1),
    _xlpm.CaAa_Side,    _xlfn.XLOOKUP(Code!$U39&amp;ROW()-12,Calculations_APPURT[Model]&amp;ROW('Discrete Loads'!G27),Hazards_APPURT[Side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AC39" s="342" t="str" cm="1">
        <f t="array" ref="AC39">_xlfn.LET(
    _xlpm.model,        'Discrete Loads'!$B27,
    _xlpm.Shape,        'Discrete Loads'!$E27,
    _xlpm.Direction,    AC$15,
    _xlpm.Azimuth,      0,
    _xlpm.CaAa_Front,   _xlfn.XLOOKUP(Code!$U39&amp;ROW()-12,Calculations_APPURT[Model]&amp;ROW('Discrete Loads'!H27),Hazards_APPURT[Front CaAa],0,0,1),
    _xlpm.CaAa_Side,    _xlfn.XLOOKUP(Code!$U39&amp;ROW()-12,Calculations_APPURT[Model]&amp;ROW('Discrete Loads'!H27),Hazards_APPURT[Side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AD39" s="342" t="str" cm="1">
        <f t="array" ref="AD39">_xlfn.LET(
    _xlpm.model,        'Discrete Loads'!$B27,
    _xlpm.Shape,        'Discrete Loads'!$E27,
    _xlpm.Direction,    AD$15,
    _xlpm.Azimuth,      0,
    _xlpm.CaAa_Front,   _xlfn.XLOOKUP(Code!$U39&amp;ROW()-12,Calculations_APPURT[Model]&amp;ROW('Discrete Loads'!I27),Hazards_APPURT[Front CaAa],0,0,1),
    _xlpm.CaAa_Side,    _xlfn.XLOOKUP(Code!$U39&amp;ROW()-12,Calculations_APPURT[Model]&amp;ROW('Discrete Loads'!I27),Hazards_APPURT[Side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AE39" s="342" t="str" cm="1">
        <f t="array" ref="AE39">_xlfn.LET(
    _xlpm.model,        'Discrete Loads'!$B27,
    _xlpm.Shape,        'Discrete Loads'!$E27,
    _xlpm.Direction,    AE$15,
    _xlpm.Azimuth,      0,
    _xlpm.CaAa_Front,   _xlfn.XLOOKUP(Code!$U39&amp;ROW()-12,Calculations_APPURT[Model]&amp;ROW('Discrete Loads'!J27),Hazards_APPURT[Front CaAa],0,0,1),
    _xlpm.CaAa_Side,    _xlfn.XLOOKUP(Code!$U39&amp;ROW()-12,Calculations_APPURT[Model]&amp;ROW('Discrete Loads'!J27),Hazards_APPURT[Side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AF39" s="342" t="str" cm="1">
        <f t="array" ref="AF39">_xlfn.LET(
    _xlpm.model,        'Discrete Loads'!$B27,
    _xlpm.Shape,        'Discrete Loads'!$E27,
    _xlpm.Direction,    AF$15,
    _xlpm.Azimuth,      0,
    _xlpm.CaAa_Front,   _xlfn.XLOOKUP(Code!$U39&amp;ROW()-12,Calculations_APPURT[Model]&amp;ROW('Discrete Loads'!K27),Hazards_APPURT[Front CaAa],0,0,1),
    _xlpm.CaAa_Side,    _xlfn.XLOOKUP(Code!$U39&amp;ROW()-12,Calculations_APPURT[Model]&amp;ROW('Discrete Loads'!K27),Hazards_APPURT[Side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AG39" s="342" t="str" cm="1">
        <f t="array" ref="AG39">_xlfn.LET(
    _xlpm.model,        'Discrete Loads'!$B27,
    _xlpm.Shape,        'Discrete Loads'!$E27,
    _xlpm.Direction,    AG$15,
    _xlpm.Azimuth,      0,
    _xlpm.CaAa_Front,   _xlfn.XLOOKUP(Code!$U39&amp;ROW()-12,Calculations_APPURT[Model]&amp;ROW('Discrete Loads'!L27),Hazards_APPURT[Front CaAa],0,0,1),
    _xlpm.CaAa_Side,    _xlfn.XLOOKUP(Code!$U39&amp;ROW()-12,Calculations_APPURT[Model]&amp;ROW('Discrete Loads'!L27),Hazards_APPURT[Side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AH39" s="342" t="str" cm="1">
        <f t="array" ref="AH39">_xlfn.LET(
    _xlpm.model,        'Discrete Loads'!$B27,
    _xlpm.Shape,        'Discrete Loads'!$E27,
    _xlpm.Direction,    AH$15,
    _xlpm.Azimuth,      0,
    _xlpm.CaAa_Front,   _xlfn.XLOOKUP(Code!$U39&amp;ROW()-12,Calculations_APPURT[Model]&amp;ROW('Discrete Loads'!M27),Hazards_APPURT[Front CaAa],0,0,1),
    _xlpm.CaAa_Side,    _xlfn.XLOOKUP(Code!$U39&amp;ROW()-12,Calculations_APPURT[Model]&amp;ROW('Discrete Loads'!M27),Hazards_APPURT[Side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IF($U39="","",IF(_xlpm.Shape="CFD", _xlpm.CFD_val, _xlpm.CaAa_Front*COS(PI()/180*(_xlpm.Direction+_xlpm.Azimuth))^2 + _xlpm.CaAa_Side*SIN(PI()/180*(_xlpm.Direction+_xlpm.Azimuth))^2)))</f>
        <v/>
      </c>
      <c r="AI39" s="340" t="str" cm="1">
        <f t="array" ref="AI39">IF($U39="","",_xlfn.XLOOKUP($U39&amp;(ROW()-12),Calculations_APPURT[Model]&amp;ROW(Calculations_APPURT[Model]),IF(Calculations_APPURT[Shape]&lt;&gt;"CFD","TIA","Manufacturer*"),"",0,1))</f>
        <v/>
      </c>
      <c r="AJ39" s="364" t="str" cm="1">
        <f t="array" ref="AJ39">IF(U39="","",_xlfn.XLOOKUP($U39&amp;(ROW()-12),Calculations_APPURT[Model]&amp;ROW(Calculations_APPURT[Model]),Hazards_APPURT[qz],"",0,1))</f>
        <v/>
      </c>
      <c r="AK39" s="367" t="str" cm="1">
        <f t="array" ref="AK39">IF(U39="","",_xlfn.XLOOKUP($U39&amp;(ROW()-12),Calculations_APPURT[Model]&amp;ROW(Calculations_APPURT[Model]),Dimensions_APPURT[Weight (lbf)],"",0,1))</f>
        <v/>
      </c>
      <c r="AM39" s="223" t="s">
        <v>206</v>
      </c>
      <c r="AO39" s="1"/>
      <c r="AP39" s="1"/>
      <c r="AR39" s="223" t="s">
        <v>206</v>
      </c>
      <c r="AS39" s="1"/>
      <c r="AT39" s="1"/>
      <c r="AW39" s="455" t="s">
        <v>207</v>
      </c>
      <c r="AX39" s="455"/>
      <c r="AY39" s="455"/>
      <c r="AZ39" s="455"/>
      <c r="BA39" s="336"/>
      <c r="BB39" s="336"/>
      <c r="BC39" s="336"/>
      <c r="BD39" s="336"/>
      <c r="BG39" s="454" t="s">
        <v>208</v>
      </c>
      <c r="BH39" s="454"/>
      <c r="BI39" s="454"/>
      <c r="BJ39" s="454"/>
      <c r="BK39" s="454"/>
      <c r="BL39" s="454"/>
      <c r="BM39" s="454"/>
      <c r="BN39" s="454"/>
      <c r="BO39" s="454"/>
      <c r="BP39" s="454"/>
      <c r="BQ39" s="454"/>
    </row>
    <row r="40" spans="1:69" ht="15" customHeight="1" thickBot="1" x14ac:dyDescent="0.25">
      <c r="A40" s="396" t="s">
        <v>209</v>
      </c>
      <c r="B40" s="396"/>
      <c r="C40" s="396"/>
      <c r="D40" s="396"/>
      <c r="F40" s="424" t="s">
        <v>210</v>
      </c>
      <c r="G40" s="424"/>
      <c r="H40" s="429" t="str" cm="1">
        <f t="array" ref="H40">IFERROR(0.00256*Kz*Kzt*Ks*Kd*I.wind*Ke*V^2,"N/A")</f>
        <v>N/A</v>
      </c>
      <c r="I40" s="429"/>
      <c r="K40" s="397" t="s">
        <v>211</v>
      </c>
      <c r="L40" s="397"/>
      <c r="M40" s="397"/>
      <c r="N40" s="397"/>
      <c r="O40" s="397"/>
      <c r="P40" s="397"/>
      <c r="Q40" s="397"/>
      <c r="R40" s="397"/>
      <c r="S40" s="397"/>
      <c r="U40" s="477" t="str">
        <f>IF(ISBLANK('Discrete Loads'!B28),"",'Discrete Loads'!B28)</f>
        <v/>
      </c>
      <c r="V40" s="477"/>
      <c r="W40" s="362" t="str" cm="1">
        <f t="array" ref="W40">_xlfn.LET(
    _xlpm.model,        'Discrete Loads'!$B28,
    _xlpm.Shape,        'Discrete Loads'!$E28,
    _xlpm.Direction,    W$15,
    _xlpm.Azimuth,      0,
    _xlpm.CaAa_Front,   _xlfn.XLOOKUP(Code!$U40&amp;ROW()-12,Calculations_APPURT[Model]&amp;ROW('Discrete Loads'!B28),Hazards_APPURT[Front CaAa],0,0,1),
    _xlpm.CaAa_Side,    _xlfn.XLOOKUP(Code!$U40&amp;ROW()-12,Calculations_APPURT[Model]&amp;ROW('Discrete Loads'!B28),Hazards_APPURT[Side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X40" s="362" t="str" cm="1">
        <f t="array" ref="X40">_xlfn.LET(
    _xlpm.model,        'Discrete Loads'!$B28,
    _xlpm.Shape,        'Discrete Loads'!$E28,
    _xlpm.Direction,    X$15,
    _xlpm.Azimuth,      0,
    _xlpm.CaAa_Front,   _xlfn.XLOOKUP(Code!$U40&amp;ROW()-12,Calculations_APPURT[Model]&amp;ROW('Discrete Loads'!C28),Hazards_APPURT[Front CaAa],0,0,1),
    _xlpm.CaAa_Side,    _xlfn.XLOOKUP(Code!$U40&amp;ROW()-12,Calculations_APPURT[Model]&amp;ROW('Discrete Loads'!C28),Hazards_APPURT[Side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Y40" s="362" t="str" cm="1">
        <f t="array" ref="Y40">_xlfn.LET(
    _xlpm.model,        'Discrete Loads'!$B28,
    _xlpm.Shape,        'Discrete Loads'!$E28,
    _xlpm.Direction,    Y$15,
    _xlpm.Azimuth,      0,
    _xlpm.CaAa_Front,   _xlfn.XLOOKUP(Code!$U40&amp;ROW()-12,Calculations_APPURT[Model]&amp;ROW('Discrete Loads'!D28),Hazards_APPURT[Front CaAa],0,0,1),
    _xlpm.CaAa_Side,    _xlfn.XLOOKUP(Code!$U40&amp;ROW()-12,Calculations_APPURT[Model]&amp;ROW('Discrete Loads'!D28),Hazards_APPURT[Side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Z40" s="362" t="str" cm="1">
        <f t="array" ref="Z40">_xlfn.LET(
    _xlpm.model,        'Discrete Loads'!$B28,
    _xlpm.Shape,        'Discrete Loads'!$E28,
    _xlpm.Direction,    Z$15,
    _xlpm.Azimuth,      0,
    _xlpm.CaAa_Front,   _xlfn.XLOOKUP(Code!$U40&amp;ROW()-12,Calculations_APPURT[Model]&amp;ROW('Discrete Loads'!E28),Hazards_APPURT[Front CaAa],0,0,1),
    _xlpm.CaAa_Side,    _xlfn.XLOOKUP(Code!$U40&amp;ROW()-12,Calculations_APPURT[Model]&amp;ROW('Discrete Loads'!E28),Hazards_APPURT[Side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AA40" s="362" t="str" cm="1">
        <f t="array" ref="AA40">_xlfn.LET(
    _xlpm.model,        'Discrete Loads'!$B28,
    _xlpm.Shape,        'Discrete Loads'!$E28,
    _xlpm.Direction,    AA$15,
    _xlpm.Azimuth,      0,
    _xlpm.CaAa_Front,   _xlfn.XLOOKUP(Code!$U40&amp;ROW()-12,Calculations_APPURT[Model]&amp;ROW('Discrete Loads'!F28),Hazards_APPURT[Front CaAa],0,0,1),
    _xlpm.CaAa_Side,    _xlfn.XLOOKUP(Code!$U40&amp;ROW()-12,Calculations_APPURT[Model]&amp;ROW('Discrete Loads'!F28),Hazards_APPURT[Side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AB40" s="362" t="str" cm="1">
        <f t="array" ref="AB40">_xlfn.LET(
    _xlpm.model,        'Discrete Loads'!$B28,
    _xlpm.Shape,        'Discrete Loads'!$E28,
    _xlpm.Direction,    AB$15,
    _xlpm.Azimuth,      0,
    _xlpm.CaAa_Front,   _xlfn.XLOOKUP(Code!$U40&amp;ROW()-12,Calculations_APPURT[Model]&amp;ROW('Discrete Loads'!G28),Hazards_APPURT[Front CaAa],0,0,1),
    _xlpm.CaAa_Side,    _xlfn.XLOOKUP(Code!$U40&amp;ROW()-12,Calculations_APPURT[Model]&amp;ROW('Discrete Loads'!G28),Hazards_APPURT[Side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AC40" s="362" t="str" cm="1">
        <f t="array" ref="AC40">_xlfn.LET(
    _xlpm.model,        'Discrete Loads'!$B28,
    _xlpm.Shape,        'Discrete Loads'!$E28,
    _xlpm.Direction,    AC$15,
    _xlpm.Azimuth,      0,
    _xlpm.CaAa_Front,   _xlfn.XLOOKUP(Code!$U40&amp;ROW()-12,Calculations_APPURT[Model]&amp;ROW('Discrete Loads'!H28),Hazards_APPURT[Front CaAa],0,0,1),
    _xlpm.CaAa_Side,    _xlfn.XLOOKUP(Code!$U40&amp;ROW()-12,Calculations_APPURT[Model]&amp;ROW('Discrete Loads'!H28),Hazards_APPURT[Side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AD40" s="362" t="str" cm="1">
        <f t="array" ref="AD40">_xlfn.LET(
    _xlpm.model,        'Discrete Loads'!$B28,
    _xlpm.Shape,        'Discrete Loads'!$E28,
    _xlpm.Direction,    AD$15,
    _xlpm.Azimuth,      0,
    _xlpm.CaAa_Front,   _xlfn.XLOOKUP(Code!$U40&amp;ROW()-12,Calculations_APPURT[Model]&amp;ROW('Discrete Loads'!I28),Hazards_APPURT[Front CaAa],0,0,1),
    _xlpm.CaAa_Side,    _xlfn.XLOOKUP(Code!$U40&amp;ROW()-12,Calculations_APPURT[Model]&amp;ROW('Discrete Loads'!I28),Hazards_APPURT[Side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AE40" s="362" t="str" cm="1">
        <f t="array" ref="AE40">_xlfn.LET(
    _xlpm.model,        'Discrete Loads'!$B28,
    _xlpm.Shape,        'Discrete Loads'!$E28,
    _xlpm.Direction,    AE$15,
    _xlpm.Azimuth,      0,
    _xlpm.CaAa_Front,   _xlfn.XLOOKUP(Code!$U40&amp;ROW()-12,Calculations_APPURT[Model]&amp;ROW('Discrete Loads'!J28),Hazards_APPURT[Front CaAa],0,0,1),
    _xlpm.CaAa_Side,    _xlfn.XLOOKUP(Code!$U40&amp;ROW()-12,Calculations_APPURT[Model]&amp;ROW('Discrete Loads'!J28),Hazards_APPURT[Side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AF40" s="362" t="str" cm="1">
        <f t="array" ref="AF40">_xlfn.LET(
    _xlpm.model,        'Discrete Loads'!$B28,
    _xlpm.Shape,        'Discrete Loads'!$E28,
    _xlpm.Direction,    AF$15,
    _xlpm.Azimuth,      0,
    _xlpm.CaAa_Front,   _xlfn.XLOOKUP(Code!$U40&amp;ROW()-12,Calculations_APPURT[Model]&amp;ROW('Discrete Loads'!K28),Hazards_APPURT[Front CaAa],0,0,1),
    _xlpm.CaAa_Side,    _xlfn.XLOOKUP(Code!$U40&amp;ROW()-12,Calculations_APPURT[Model]&amp;ROW('Discrete Loads'!K28),Hazards_APPURT[Side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AG40" s="362" t="str" cm="1">
        <f t="array" ref="AG40">_xlfn.LET(
    _xlpm.model,        'Discrete Loads'!$B28,
    _xlpm.Shape,        'Discrete Loads'!$E28,
    _xlpm.Direction,    AG$15,
    _xlpm.Azimuth,      0,
    _xlpm.CaAa_Front,   _xlfn.XLOOKUP(Code!$U40&amp;ROW()-12,Calculations_APPURT[Model]&amp;ROW('Discrete Loads'!L28),Hazards_APPURT[Front CaAa],0,0,1),
    _xlpm.CaAa_Side,    _xlfn.XLOOKUP(Code!$U40&amp;ROW()-12,Calculations_APPURT[Model]&amp;ROW('Discrete Loads'!L28),Hazards_APPURT[Side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AH40" s="362" t="str" cm="1">
        <f t="array" ref="AH40">_xlfn.LET(
    _xlpm.model,        'Discrete Loads'!$B28,
    _xlpm.Shape,        'Discrete Loads'!$E28,
    _xlpm.Direction,    AH$15,
    _xlpm.Azimuth,      0,
    _xlpm.CaAa_Front,   _xlfn.XLOOKUP(Code!$U40&amp;ROW()-12,Calculations_APPURT[Model]&amp;ROW('Discrete Loads'!M28),Hazards_APPURT[Front CaAa],0,0,1),
    _xlpm.CaAa_Side,    _xlfn.XLOOKUP(Code!$U40&amp;ROW()-12,Calculations_APPURT[Model]&amp;ROW('Discrete Loads'!M28),Hazards_APPURT[Side CaAa],0,0,1),
    _xlpm.dbase_model,  [1]CFD!$B:$B,
    _xlpm.dbase_CFD,    [1]CFD!$C:$AK,
    _xlpm.offset_cnt,   (_xlpm.Direction+_xlpm.Azimuth)/10 - IF((_xlpm.Direction+_xlpm.Azimuth)/10 &lt; 35, 0, 36),
    _xlpm.CFD_col,      INDEX(_xlpm.dbase_CFD, 0, _xlpm.offset_cnt+1),
    _xlpm.CFD_val,      INDEX(_xlpm.CFD_col, MATCH(_xlpm.model, _xlpm.dbase_model, 0)),
    IF($U40="","",IF(_xlpm.Shape="CFD", _xlpm.CFD_val, _xlpm.CaAa_Front*COS(PI()/180*(_xlpm.Direction+_xlpm.Azimuth))^2 + _xlpm.CaAa_Side*SIN(PI()/180*(_xlpm.Direction+_xlpm.Azimuth))^2)))</f>
        <v/>
      </c>
      <c r="AI40" s="326" t="str" cm="1">
        <f t="array" ref="AI40">IF($U40="","",_xlfn.XLOOKUP($U40&amp;(ROW()-12),Calculations_APPURT[Model]&amp;ROW(Calculations_APPURT[Model]),IF(Calculations_APPURT[Shape]&lt;&gt;"CFD","TIA","Manufacturer*"),"",0,1))</f>
        <v/>
      </c>
      <c r="AJ40" s="365" t="str" cm="1">
        <f t="array" ref="AJ40">IF(U40="","",_xlfn.XLOOKUP($U40&amp;(ROW()-12),Calculations_APPURT[Model]&amp;ROW(Calculations_APPURT[Model]),Hazards_APPURT[qz],"",0,1))</f>
        <v/>
      </c>
      <c r="AK40" s="368" t="str" cm="1">
        <f t="array" ref="AK40">IF(U40="","",_xlfn.XLOOKUP($U40&amp;(ROW()-12),Calculations_APPURT[Model]&amp;ROW(Calculations_APPURT[Model]),Dimensions_APPURT[Weight (lbf)],"",0,1))</f>
        <v/>
      </c>
      <c r="AW40" s="455" t="s">
        <v>664</v>
      </c>
      <c r="AX40" s="455"/>
      <c r="AY40" s="455"/>
      <c r="AZ40" s="455"/>
      <c r="BA40" s="336" t="s">
        <v>1788</v>
      </c>
      <c r="BB40" s="336" t="s">
        <v>1788</v>
      </c>
      <c r="BC40" s="336" t="s">
        <v>1788</v>
      </c>
      <c r="BD40" s="336" t="s">
        <v>1788</v>
      </c>
      <c r="BG40" s="448" t="e" vm="4">
        <v>#VALUE!</v>
      </c>
      <c r="BH40" s="448"/>
      <c r="BI40" s="448"/>
      <c r="BJ40" s="448"/>
      <c r="BK40" s="448"/>
      <c r="BL40" s="448"/>
      <c r="BM40" s="448"/>
      <c r="BN40" s="448"/>
      <c r="BO40" s="448"/>
      <c r="BP40" s="448"/>
      <c r="BQ40" s="448"/>
    </row>
    <row r="41" spans="1:69" ht="15" customHeight="1" thickBot="1" x14ac:dyDescent="0.25">
      <c r="A41" s="391" t="s">
        <v>212</v>
      </c>
      <c r="B41" s="391"/>
      <c r="C41" s="395"/>
      <c r="D41" s="395"/>
      <c r="F41" s="402" t="s">
        <v>213</v>
      </c>
      <c r="G41" s="402"/>
      <c r="H41" s="403" t="str" cm="1">
        <f t="array" ref="H41">IFERROR(0.00256*Kz*Kzt*Ks*Kd*I.wind*Ke*Vm^2,"N/A")</f>
        <v>N/A</v>
      </c>
      <c r="I41" s="403"/>
      <c r="K41" s="400" t="s">
        <v>214</v>
      </c>
      <c r="L41" s="400"/>
      <c r="M41" s="400" t="s">
        <v>215</v>
      </c>
      <c r="N41" s="400"/>
      <c r="O41" s="400" t="s">
        <v>216</v>
      </c>
      <c r="P41" s="400" t="s">
        <v>217</v>
      </c>
      <c r="Q41" s="400" t="s">
        <v>218</v>
      </c>
      <c r="R41" s="400" t="s">
        <v>219</v>
      </c>
      <c r="S41" s="400" t="s">
        <v>220</v>
      </c>
      <c r="U41" s="223" t="str">
        <f>IF(COUNTIF(AI16:AI37,"Manufacturer")&gt;0,"* Appurtenance EPAs provided by manufacturer(s) for use in this analysis.","")</f>
        <v/>
      </c>
      <c r="AM41" s="390" t="s">
        <v>221</v>
      </c>
      <c r="AN41" s="390"/>
      <c r="AO41" s="1"/>
      <c r="AS41" s="1"/>
      <c r="AW41" s="455" t="str">
        <f>_xlfn.CONCAT("Total Face Width (",RISA3D.Unit.Length,")")</f>
        <v>Total Face Width ()</v>
      </c>
      <c r="AX41" s="455"/>
      <c r="AY41" s="455"/>
      <c r="AZ41" s="455"/>
      <c r="BA41" s="140" t="e">
        <f>_xlfn.XLOOKUP(BA38,Geometry!$B:$B,Geometry!$O:$O)</f>
        <v>#N/A</v>
      </c>
      <c r="BB41" s="140" t="e">
        <f>_xlfn.XLOOKUP(BB38,Geometry!$B:$B,Geometry!$O:$O)</f>
        <v>#N/A</v>
      </c>
      <c r="BC41" s="140" t="e">
        <f>_xlfn.XLOOKUP(BC38,Geometry!$B:$B,Geometry!$O:$O)</f>
        <v>#N/A</v>
      </c>
      <c r="BD41" s="140" t="e">
        <f>_xlfn.XLOOKUP(BD38,Geometry!$B:$B,Geometry!$O:$O)</f>
        <v>#N/A</v>
      </c>
      <c r="BG41" s="447"/>
      <c r="BH41" s="447"/>
      <c r="BI41" s="447"/>
      <c r="BJ41" s="447"/>
      <c r="BK41" s="447"/>
      <c r="BL41" s="447"/>
      <c r="BM41" s="447"/>
      <c r="BN41" s="447"/>
      <c r="BO41" s="447"/>
      <c r="BP41" s="447"/>
      <c r="BQ41" s="447"/>
    </row>
    <row r="42" spans="1:69" ht="15" customHeight="1" thickBot="1" x14ac:dyDescent="0.25">
      <c r="A42" s="393" t="s">
        <v>222</v>
      </c>
      <c r="B42" s="393"/>
      <c r="C42" s="394"/>
      <c r="D42" s="394"/>
      <c r="F42" s="396" t="s">
        <v>223</v>
      </c>
      <c r="G42" s="396"/>
      <c r="H42" s="396"/>
      <c r="I42" s="396"/>
      <c r="K42" s="401"/>
      <c r="L42" s="401"/>
      <c r="M42" s="401"/>
      <c r="N42" s="401"/>
      <c r="O42" s="401"/>
      <c r="P42" s="401"/>
      <c r="Q42" s="401"/>
      <c r="R42" s="401"/>
      <c r="S42" s="401"/>
      <c r="AM42" s="390"/>
      <c r="AN42" s="390"/>
      <c r="AO42" s="1"/>
      <c r="AP42" s="1"/>
      <c r="AR42" s="1"/>
      <c r="AS42" s="1"/>
      <c r="AT42" s="1"/>
      <c r="AW42" s="455" t="str">
        <f>_xlfn.CONCAT("Rail Spacing (",RISA3D.Unit.Length,")")</f>
        <v>Rail Spacing ()</v>
      </c>
      <c r="AX42" s="455"/>
      <c r="AY42" s="455"/>
      <c r="AZ42" s="455"/>
      <c r="BA42" s="140">
        <f>IF(BA39="",0,ABS(_xlfn.XLOOKUP(_xlfn.XLOOKUP(BA38,Geometry!$B:$B,Geometry!$M:$M),Geometry!$S:$S,Geometry!$U:$U))+ABS(_xlfn.XLOOKUP(_xlfn.XLOOKUP(BA39,Geometry!$B:$B,Geometry!$M:$M),Geometry!$S:$S,Geometry!$U:$U)))</f>
        <v>0</v>
      </c>
      <c r="BB42" s="140">
        <f>IF(BB39="",0,ABS(_xlfn.XLOOKUP(_xlfn.XLOOKUP(BB38,Geometry!$B:$B,Geometry!$M:$M),Geometry!$S:$S,Geometry!$U:$U))+ABS(_xlfn.XLOOKUP(_xlfn.XLOOKUP(BB39,Geometry!$B:$B,Geometry!$M:$M),Geometry!$S:$S,Geometry!$U:$U)))</f>
        <v>0</v>
      </c>
      <c r="BC42" s="140">
        <f>IF(BC39="",0,ABS(_xlfn.XLOOKUP(_xlfn.XLOOKUP(BC38,Geometry!$B:$B,Geometry!$M:$M),Geometry!$S:$S,Geometry!$U:$U))+ABS(_xlfn.XLOOKUP(_xlfn.XLOOKUP(BC39,Geometry!$B:$B,Geometry!$M:$M),Geometry!$S:$S,Geometry!$U:$U)))</f>
        <v>0</v>
      </c>
      <c r="BD42" s="140">
        <f>IF(BD39="",0,ABS(_xlfn.XLOOKUP(_xlfn.XLOOKUP(BD38,Geometry!$B:$B,Geometry!$M:$M),Geometry!$S:$S,Geometry!$U:$U))+ABS(_xlfn.XLOOKUP(_xlfn.XLOOKUP(BD39,Geometry!$B:$B,Geometry!$M:$M),Geometry!$S:$S,Geometry!$U:$U)))</f>
        <v>0</v>
      </c>
      <c r="BG42" s="447"/>
      <c r="BH42" s="447"/>
      <c r="BI42" s="447"/>
      <c r="BJ42" s="447"/>
      <c r="BK42" s="447"/>
      <c r="BL42" s="447"/>
      <c r="BM42" s="447"/>
      <c r="BN42" s="447"/>
      <c r="BO42" s="447"/>
      <c r="BP42" s="447"/>
      <c r="BQ42" s="447"/>
    </row>
    <row r="43" spans="1:69" ht="15" customHeight="1" thickBot="1" x14ac:dyDescent="0.25">
      <c r="A43" s="391" t="s">
        <v>224</v>
      </c>
      <c r="B43" s="391"/>
      <c r="C43" s="434"/>
      <c r="D43" s="434"/>
      <c r="F43" s="424" t="s">
        <v>225</v>
      </c>
      <c r="G43" s="424"/>
      <c r="H43" s="429" t="str" cm="1">
        <f t="array" ref="H43">IFERROR(0.00256*Kz*Kzt*Ks*Kd*I.ice*Ke*Vi^2,"N/A")</f>
        <v>N/A</v>
      </c>
      <c r="I43" s="429"/>
      <c r="K43" s="391" t="str">
        <f>IFERROR(IF(Results!U10="","",Results!U10),"N/A")</f>
        <v>N/A</v>
      </c>
      <c r="L43" s="391"/>
      <c r="M43" s="391" t="str">
        <f>IFERROR(VLOOKUP(K43,rngR3DSectionSets,2,0),"")</f>
        <v/>
      </c>
      <c r="N43" s="391"/>
      <c r="O43" s="318" t="str" cm="1">
        <f t="array" ref="O43">IFERROR(IF(K43="","",IF(ResultsOption="Results - Envelope Solution",_xlfn.XLOOKUP(K43&amp;P43,Results!$S$4:$S$99999&amp;Results!$C$4:$C$99999,Results!$A$4:$A$99999),_xlfn.XLOOKUP(K43&amp;P43,#REF!&amp;#REF!,#REF!))),"N/A")</f>
        <v>N/A</v>
      </c>
      <c r="P43" s="323">
        <f>IF(K43="","",IF(ResultsOption="Results - Envelope Solution",_xlfn.MAXIFS(Results!$C$3:$C$99999,Results!$S$3:$S$99999,K43),_xlfn.MAXIFS(#REF!,#REF!,K43)))</f>
        <v>0</v>
      </c>
      <c r="Q43" s="318" t="str" cm="1">
        <f t="array" ref="Q43">IFERROR(IF(K43="","",IF(ResultsOption="Results - Envelope Solution",_xlfn.XLOOKUP(K43&amp;R43,Results!$S$4:$S$99999&amp;Results!$F$4:$F$99999,Results!$A$4:$A$99999),_xlfn.XLOOKUP(K43&amp;R43,#REF!&amp;#REF!,#REF!))),"N/A")</f>
        <v>N/A</v>
      </c>
      <c r="R43" s="323">
        <f>IF(K43="","",IF(ResultsOption="Results - Envelope Solution",_xlfn.MAXIFS(Results!$F$3:$F$99999,Results!$S$3:$S$99999,K43),_xlfn.MAXIFS(#REF!,#REF!,K43)))</f>
        <v>0</v>
      </c>
      <c r="S43" s="318" t="str">
        <f>IF(K43="","",IF(OR(P43&gt;1.05,R43&gt;1.05),"Fail","Pass"))</f>
        <v>Pass</v>
      </c>
      <c r="U43" s="390" t="s">
        <v>684</v>
      </c>
      <c r="V43" s="390"/>
      <c r="W43" s="390"/>
      <c r="X43" s="390"/>
      <c r="Y43" s="390"/>
      <c r="Z43" s="390"/>
      <c r="AA43" s="390"/>
      <c r="AB43" s="390"/>
      <c r="AC43" s="390"/>
      <c r="AD43" s="390"/>
      <c r="AE43" s="390"/>
      <c r="AF43" s="390"/>
      <c r="AG43" s="390"/>
      <c r="AH43" s="390"/>
      <c r="AI43" s="390"/>
      <c r="AJ43" s="390"/>
      <c r="AK43" s="390"/>
      <c r="AM43" s="397" t="s">
        <v>226</v>
      </c>
      <c r="AN43" s="397"/>
      <c r="AO43" s="397"/>
      <c r="AP43" s="397"/>
      <c r="AQ43" s="397"/>
      <c r="AR43" s="397"/>
      <c r="AS43" s="397"/>
      <c r="AT43" s="397"/>
      <c r="AU43" s="397"/>
      <c r="AW43" s="444" t="s">
        <v>240</v>
      </c>
      <c r="AX43" s="445"/>
      <c r="AY43" s="445"/>
      <c r="AZ43" s="445"/>
      <c r="BA43" s="445"/>
      <c r="BB43" s="445"/>
      <c r="BC43" s="445"/>
      <c r="BD43" s="446"/>
      <c r="BE43" s="465" t="s">
        <v>665</v>
      </c>
      <c r="BF43" s="465"/>
      <c r="BG43" s="447"/>
      <c r="BH43" s="447"/>
      <c r="BI43" s="447"/>
      <c r="BJ43" s="447"/>
      <c r="BK43" s="447"/>
      <c r="BL43" s="447"/>
      <c r="BM43" s="447"/>
      <c r="BN43" s="447"/>
      <c r="BO43" s="447"/>
      <c r="BP43" s="447"/>
      <c r="BQ43" s="447"/>
    </row>
    <row r="44" spans="1:69" ht="15" customHeight="1" thickBot="1" x14ac:dyDescent="0.25">
      <c r="A44" s="405" t="s">
        <v>231</v>
      </c>
      <c r="B44" s="405"/>
      <c r="C44" s="436"/>
      <c r="D44" s="436"/>
      <c r="F44" s="402" t="s">
        <v>232</v>
      </c>
      <c r="G44" s="402"/>
      <c r="H44" s="440" cm="1">
        <f t="array" ref="H44">IFERROR(IF(Risk="I",0,IF(TIA="ANSI/TIA-222-G",2,1)*ti*I.ice*Kiz*(Kzt/Ks)^(0.35)),"N/A")</f>
        <v>0</v>
      </c>
      <c r="I44" s="440"/>
      <c r="K44" s="393" t="str">
        <f>IF(Results!U11="","",Results!U11)</f>
        <v/>
      </c>
      <c r="L44" s="393"/>
      <c r="M44" s="393" t="str">
        <f t="shared" ref="M44:M56" si="0">IFERROR(VLOOKUP(K44,rngR3DSectionSets,2,0),"")</f>
        <v/>
      </c>
      <c r="N44" s="393"/>
      <c r="O44" s="69" t="str" cm="1">
        <f t="array" ref="O44">IFERROR(IF(K44="","",IF(ResultsOption="Results - Envelope Solution",_xlfn.XLOOKUP(K44&amp;P44,Results!$S$4:$S$99999&amp;Results!$C$4:$C$99999,Results!$A$4:$A$99999),_xlfn.XLOOKUP(K44&amp;P44,#REF!&amp;#REF!,#REF!))),"N/A")</f>
        <v/>
      </c>
      <c r="P44" s="70" t="str">
        <f>IF(K44="","",IF(ResultsOption="Results - Envelope Solution",_xlfn.MAXIFS(Results!$C$3:$C$99999,Results!$S$3:$S$99999,K44),_xlfn.MAXIFS(#REF!,#REF!,K44)))</f>
        <v/>
      </c>
      <c r="Q44" s="69" t="str" cm="1">
        <f t="array" ref="Q44">IFERROR(IF(K44="","",IF(ResultsOption="Results - Envelope Solution",_xlfn.XLOOKUP(K44&amp;R44,Results!$S$4:$S$99999&amp;Results!$F$4:$F$99999,Results!$A$4:$A$99999),_xlfn.XLOOKUP(K44&amp;R44,#REF!&amp;#REF!,#REF!))),"N/A")</f>
        <v/>
      </c>
      <c r="R44" s="70" t="str">
        <f>IF(K44="","",IF(ResultsOption="Results - Envelope Solution",_xlfn.MAXIFS(Results!$F$3:$F$99999,Results!$S$3:$S$99999,K44),_xlfn.MAXIFS(#REF!,#REF!,K44)))</f>
        <v/>
      </c>
      <c r="S44" s="69" t="str">
        <f t="shared" ref="S44:S71" si="1">IF(K44="","",IF(OR(P44&gt;1.05,R44&gt;1.05),"Fail","Pass"))</f>
        <v/>
      </c>
      <c r="U44" s="390"/>
      <c r="V44" s="390"/>
      <c r="W44" s="390"/>
      <c r="X44" s="390"/>
      <c r="Y44" s="390"/>
      <c r="Z44" s="390"/>
      <c r="AA44" s="390"/>
      <c r="AB44" s="390"/>
      <c r="AC44" s="390"/>
      <c r="AD44" s="390"/>
      <c r="AE44" s="390"/>
      <c r="AF44" s="390"/>
      <c r="AG44" s="390"/>
      <c r="AH44" s="390"/>
      <c r="AI44" s="390"/>
      <c r="AJ44" s="390"/>
      <c r="AK44" s="390"/>
      <c r="AM44" s="466" t="s">
        <v>233</v>
      </c>
      <c r="AN44" s="466"/>
      <c r="AO44" s="466"/>
      <c r="AP44" s="316" t="s">
        <v>234</v>
      </c>
      <c r="AQ44" s="315" t="s">
        <v>235</v>
      </c>
      <c r="AR44" s="316" t="s">
        <v>236</v>
      </c>
      <c r="AS44" s="316" t="s">
        <v>237</v>
      </c>
      <c r="AT44" s="316" t="s">
        <v>238</v>
      </c>
      <c r="AU44" s="316" t="s">
        <v>239</v>
      </c>
      <c r="AW44" s="463" t="str">
        <f>_xlfn.CONCAT("Distance (",RISA3D.Unit.Length,")")</f>
        <v>Distance ()</v>
      </c>
      <c r="AX44" s="463"/>
      <c r="AY44" s="463"/>
      <c r="AZ44" s="463"/>
      <c r="BA44" s="216" t="s">
        <v>227</v>
      </c>
      <c r="BB44" s="215" t="s">
        <v>228</v>
      </c>
      <c r="BC44" s="215" t="s">
        <v>229</v>
      </c>
      <c r="BD44" s="215" t="s">
        <v>230</v>
      </c>
      <c r="BE44" s="262" t="s">
        <v>666</v>
      </c>
      <c r="BF44" s="262" t="s">
        <v>667</v>
      </c>
      <c r="BG44" s="447"/>
      <c r="BH44" s="447"/>
      <c r="BI44" s="447"/>
      <c r="BJ44" s="447"/>
      <c r="BK44" s="447"/>
      <c r="BL44" s="447"/>
      <c r="BM44" s="447"/>
      <c r="BN44" s="447"/>
      <c r="BO44" s="447"/>
      <c r="BP44" s="447"/>
      <c r="BQ44" s="447"/>
    </row>
    <row r="45" spans="1:69" ht="15" customHeight="1" thickBot="1" x14ac:dyDescent="0.25">
      <c r="A45" s="396" t="s">
        <v>241</v>
      </c>
      <c r="B45" s="396"/>
      <c r="C45" s="396"/>
      <c r="D45" s="396"/>
      <c r="F45" s="396" t="s">
        <v>242</v>
      </c>
      <c r="G45" s="396"/>
      <c r="H45" s="396"/>
      <c r="I45" s="396"/>
      <c r="K45" s="391" t="str">
        <f>IF(Results!U12="","",Results!U12)</f>
        <v/>
      </c>
      <c r="L45" s="391"/>
      <c r="M45" s="391" t="str">
        <f t="shared" si="0"/>
        <v/>
      </c>
      <c r="N45" s="391"/>
      <c r="O45" s="318" t="str" cm="1">
        <f t="array" ref="O45">IFERROR(IF(K45="","",IF(ResultsOption="Results - Envelope Solution",_xlfn.XLOOKUP(K45&amp;P45,Results!$S$4:$S$99999&amp;Results!$C$4:$C$99999,Results!$A$4:$A$99999),_xlfn.XLOOKUP(K45&amp;P45,#REF!&amp;#REF!,#REF!))),"N/A")</f>
        <v/>
      </c>
      <c r="P45" s="323" t="str">
        <f>IF(K45="","",IF(ResultsOption="Results - Envelope Solution",_xlfn.MAXIFS(Results!$C$3:$C$99999,Results!$S$3:$S$99999,K45),_xlfn.MAXIFS(#REF!,#REF!,K45)))</f>
        <v/>
      </c>
      <c r="Q45" s="318" t="str" cm="1">
        <f t="array" ref="Q45">IFERROR(IF(K45="","",IF(ResultsOption="Results - Envelope Solution",_xlfn.XLOOKUP(K45&amp;R45,Results!$S$4:$S$99999&amp;Results!$F$4:$F$99999,Results!$A$4:$A$99999),_xlfn.XLOOKUP(K45&amp;R45,#REF!&amp;#REF!,#REF!))),"N/A")</f>
        <v/>
      </c>
      <c r="R45" s="323" t="str">
        <f>IF(K45="","",IF(ResultsOption="Results - Envelope Solution",_xlfn.MAXIFS(Results!$F$3:$F$99999,Results!$S$3:$S$99999,K45),_xlfn.MAXIFS(#REF!,#REF!,K45)))</f>
        <v/>
      </c>
      <c r="S45" s="318" t="str">
        <f t="shared" si="1"/>
        <v/>
      </c>
      <c r="U45" s="397" t="s">
        <v>685</v>
      </c>
      <c r="V45" s="397"/>
      <c r="W45" s="397"/>
      <c r="X45" s="397"/>
      <c r="Y45" s="397"/>
      <c r="Z45" s="397"/>
      <c r="AA45" s="397"/>
      <c r="AB45" s="397"/>
      <c r="AC45" s="397"/>
      <c r="AD45" s="397"/>
      <c r="AE45" s="397"/>
      <c r="AF45" s="397"/>
      <c r="AG45" s="397"/>
      <c r="AH45" s="397"/>
      <c r="AI45" s="397"/>
      <c r="AJ45" s="397"/>
      <c r="AK45" s="397"/>
      <c r="AM45" s="462" t="str">
        <f>IFERROR(_xlfn.CONCAT("(",IF(Filter!AM4+Filter!AS4+Filter!AY4+Filter!BE4&gt;0,(Filter!AM4+Filter!AS4+Filter!AY4+Filter!BE4),""),") ",_xlfn._xlws.FILTER(Filter!AH4,Filter!AH4&lt;&gt;0)),"")</f>
        <v/>
      </c>
      <c r="AN45" s="462"/>
      <c r="AO45" s="462"/>
      <c r="AP45" s="327" t="str">
        <f>IF(AM45="","",z)</f>
        <v/>
      </c>
      <c r="AQ45" s="328" t="str">
        <f>_xlfn.TEXTJOIN(", ",TRUE,AW45:AZ45)</f>
        <v/>
      </c>
      <c r="AR45" s="328" t="str">
        <f>IF(AM45="","",TRIM(SUBSTITUTE(_xlfn.TEXTJOIN(", ",TRUE,Filter!AL4,Filter!AR4,Filter!AX4,Filter!BD4),", 0","")))</f>
        <v/>
      </c>
      <c r="AS45" s="328" t="str" cm="1">
        <f t="array" ref="AS45">IF(AM45="","",_xlfn.TEXTJOIN(", ",TRUE,IF(BA45="","",ROUND(BA45*ConvertLength,1)),IF(BB45="","",ROUND(BB45*ConvertLength,1)),IF(BC45="","",ROUND(BC45*ConvertLength,1)),IF(BD45="","",ROUND(BD45*ConvertLength,1))))</f>
        <v/>
      </c>
      <c r="AT45" s="327" t="str" cm="1">
        <f t="array" ref="AT45">IFERROR(_xlfn.LET(
_xlpm.CaAa,   _xlfn.XLOOKUP(RIGHT(AM45, LEN(AM45)-4)&amp;ROW()-41,Calculations_APPURT[Model]&amp;ROW(Calculations_APPURT[Model]),Hazards_APPURT[Front CaAa],"",0,1),
_xlpm.qz,     _xlfn.XLOOKUP(RIGHT(AM45, LEN(AM45)-4)&amp;ROW()-41,Calculations_APPURT[Model]&amp;ROW(Calculations_APPURT[Model]),Hazards_APPURT[qz],"",0,1),
_xlpm.Ka,     0.9,
_xlpm.Kd,     _xlfn.XLOOKUP(RIGHT(AM45, LEN(AM45)-4)&amp;ROW()-41,Calculations_APPURT[Model]&amp;ROW(Calculations_APPURT[Model]),Hazards_APPURT[Kd],"",0,1),
_xlpm.Kes,    Kes.w,
_xlpm.CaAa*_xlpm.qz*_xlpm.Ka*_xlpm.Kd),"")</f>
        <v/>
      </c>
      <c r="AU45" s="327" t="str" cm="1">
        <f t="array" ref="AU45">IFERROR(_xlfn.LET(
_xlpm.CaAa,   _xlfn.XLOOKUP(RIGHT(AM45, LEN(AM45)-4)&amp;ROW()-41,Calculations_APPURT[Model]&amp;ROW(Calculations_APPURT[Model]),Hazards_APPURT[Side CaAa],"",0,1),
_xlpm.qz,     _xlfn.XLOOKUP(RIGHT(AM45, LEN(AM45)-4)&amp;ROW()-41,Calculations_APPURT[Model]&amp;ROW(Calculations_APPURT[Model]),Hazards_APPURT[qz],"",0,1),
_xlpm.Ka,     0.9,
_xlpm.Kd,     _xlfn.XLOOKUP(RIGHT(AM45, LEN(AM45)-4)&amp;ROW()-41,Calculations_APPURT[Model]&amp;ROW(Calculations_APPURT[Model]),Hazards_APPURT[Kd],"",0,1),
_xlpm.Kes,    Kes.w,
_xlpm.CaAa*_xlpm.qz*_xlpm.Ka*_xlpm.Kd),"")</f>
        <v/>
      </c>
      <c r="AW45" s="217" t="str">
        <f>IF(Filter!AN4=0,"",Filter!AN4)</f>
        <v/>
      </c>
      <c r="AX45" s="217" t="str">
        <f>IF(Filter!AT4=0,"",Filter!AT4)</f>
        <v/>
      </c>
      <c r="AY45" s="217" t="str">
        <f>IF(Filter!AZ4=0,"",Filter!AZ4)</f>
        <v/>
      </c>
      <c r="AZ45" s="217" t="str">
        <f>IF(Filter!BF4=0,"",Filter!BF4)</f>
        <v/>
      </c>
      <c r="BA45"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_xlfn.XLOOKUP(AW45, Geometry!$B:$B, Geometry!$M:$M, "", 0, 1),
_xlpm.Pj, _xlfn.XLOOKUP(AW45,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45"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_xlfn.XLOOKUP(AX45, Geometry!$B:$B, Geometry!$M:$M, "", 0, 1),
_xlpm.Pj, _xlfn.XLOOKUP(AX45,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45"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_xlfn.XLOOKUP(AY45, Geometry!$B:$B, Geometry!$M:$M, "", 0, 1),
_xlpm.Pj, _xlfn.XLOOKUP(AY45,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45"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_xlfn.XLOOKUP(AZ45, Geometry!$B:$B, Geometry!$M:$M, "", 0, 1),
_xlpm.Pj, _xlfn.XLOOKUP(AZ45,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45" s="261" t="str">
        <f>IF(AM45="","",z + Filter!BN4/12 + Filter!BJ4/2/12)</f>
        <v/>
      </c>
      <c r="BF45" s="261" t="str">
        <f>IF(AM45="","",z + Filter!BN4/12 - Filter!BJ4/2/12)</f>
        <v/>
      </c>
      <c r="BG45" s="447"/>
      <c r="BH45" s="447"/>
      <c r="BI45" s="447"/>
      <c r="BJ45" s="447"/>
      <c r="BK45" s="447"/>
      <c r="BL45" s="447"/>
      <c r="BM45" s="447"/>
      <c r="BN45" s="447"/>
      <c r="BO45" s="447"/>
      <c r="BP45" s="447"/>
      <c r="BQ45" s="447"/>
    </row>
    <row r="46" spans="1:69" ht="15" customHeight="1" thickBot="1" x14ac:dyDescent="0.25">
      <c r="A46" s="399" t="s">
        <v>243</v>
      </c>
      <c r="B46" s="399"/>
      <c r="C46" s="433">
        <f>IF(OR(RIGHT(TIA,1)="H",RIGHT(TIA,1)="I"),IF($H$20="Proposed",1,IF(Risk="II",0.95,1)),1)</f>
        <v>0.95</v>
      </c>
      <c r="D46" s="433"/>
      <c r="F46" s="424" t="s">
        <v>244</v>
      </c>
      <c r="G46" s="424"/>
      <c r="H46" s="437" t="str">
        <f ca="1">IFERROR(0.2*S_DS*As,"N/A")</f>
        <v>N/A</v>
      </c>
      <c r="I46" s="437"/>
      <c r="K46" s="393" t="str">
        <f>IF(Results!U13="","",Results!U13)</f>
        <v/>
      </c>
      <c r="L46" s="393"/>
      <c r="M46" s="393" t="str">
        <f t="shared" si="0"/>
        <v/>
      </c>
      <c r="N46" s="393"/>
      <c r="O46" s="69" t="str" cm="1">
        <f t="array" ref="O46">IFERROR(IF(K46="","",IF(ResultsOption="Results - Envelope Solution",_xlfn.XLOOKUP(K46&amp;P46,Results!$S$4:$S$99999&amp;Results!$C$4:$C$99999,Results!$A$4:$A$99999),_xlfn.XLOOKUP(K46&amp;P46,#REF!&amp;#REF!,#REF!))),"N/A")</f>
        <v/>
      </c>
      <c r="P46" s="70" t="str">
        <f>IF(K46="","",IF(ResultsOption="Results - Envelope Solution",_xlfn.MAXIFS(Results!$C$3:$C$99999,Results!$S$3:$S$99999,K46),_xlfn.MAXIFS(#REF!,#REF!,K46)))</f>
        <v/>
      </c>
      <c r="Q46" s="69" t="str" cm="1">
        <f t="array" ref="Q46">IFERROR(IF(K46="","",IF(ResultsOption="Results - Envelope Solution",_xlfn.XLOOKUP(K46&amp;R46,Results!$S$4:$S$99999&amp;Results!$F$4:$F$99999,Results!$A$4:$A$99999),_xlfn.XLOOKUP(K46&amp;R46,#REF!&amp;#REF!,#REF!))),"N/A")</f>
        <v/>
      </c>
      <c r="R46" s="70" t="str">
        <f>IF(K46="","",IF(ResultsOption="Results - Envelope Solution",_xlfn.MAXIFS(Results!$F$3:$F$99999,Results!$S$3:$S$99999,K46),_xlfn.MAXIFS(#REF!,#REF!,K46)))</f>
        <v/>
      </c>
      <c r="S46" s="69" t="str">
        <f t="shared" si="1"/>
        <v/>
      </c>
      <c r="U46" s="401" t="s">
        <v>233</v>
      </c>
      <c r="V46" s="401"/>
      <c r="W46" s="317">
        <v>0</v>
      </c>
      <c r="X46" s="317">
        <v>30</v>
      </c>
      <c r="Y46" s="317">
        <v>60</v>
      </c>
      <c r="Z46" s="317">
        <v>90</v>
      </c>
      <c r="AA46" s="317">
        <v>120</v>
      </c>
      <c r="AB46" s="317">
        <v>150</v>
      </c>
      <c r="AC46" s="317">
        <v>180</v>
      </c>
      <c r="AD46" s="317">
        <v>210</v>
      </c>
      <c r="AE46" s="317">
        <v>240</v>
      </c>
      <c r="AF46" s="317">
        <v>270</v>
      </c>
      <c r="AG46" s="317">
        <v>300</v>
      </c>
      <c r="AH46" s="317">
        <v>330</v>
      </c>
      <c r="AI46" s="316" t="s">
        <v>683</v>
      </c>
      <c r="AJ46" s="315" t="s">
        <v>1802</v>
      </c>
      <c r="AK46" s="316" t="s">
        <v>180</v>
      </c>
      <c r="AM46" s="461" t="str">
        <f>IFERROR(_xlfn.CONCAT("(",IF(Filter!AM5+Filter!AS5+Filter!AY5+Filter!BE5&gt;0,(Filter!AM5+Filter!AS5+Filter!AY5+Filter!BE5),""),") ",_xlfn._xlws.FILTER(Filter!AH5,Filter!AH5&lt;&gt;0)),"")</f>
        <v/>
      </c>
      <c r="AN46" s="461"/>
      <c r="AO46" s="461"/>
      <c r="AP46" s="301" t="str">
        <f>IF(AM46="","",z)</f>
        <v/>
      </c>
      <c r="AQ46" s="69" t="str">
        <f t="shared" ref="AQ46:AQ71" si="2">_xlfn.TEXTJOIN(", ",TRUE,AW46:AZ46)</f>
        <v/>
      </c>
      <c r="AR46" s="69" t="str">
        <f>IF(AM46="","",TRIM(SUBSTITUTE(_xlfn.TEXTJOIN(", ",TRUE,Filter!AL5,Filter!AR5,Filter!AX5,Filter!BD5),", 0","")))</f>
        <v/>
      </c>
      <c r="AS46" s="69" t="str" cm="1">
        <f t="array" ref="AS46">IF(AM46="","",_xlfn.TEXTJOIN(", ",TRUE,IF(BA46="","",ROUND(BA46*ConvertLength,1)),IF(BB46="","",ROUND(BB46*ConvertLength,1)),IF(BC46="","",ROUND(BC46*ConvertLength,1)),IF(BD46="","",ROUND(BD46*ConvertLength,1))))</f>
        <v/>
      </c>
      <c r="AT46" s="301" t="str" cm="1">
        <f t="array" ref="AT46">IFERROR(_xlfn.LET(
_xlpm.CaAa,   _xlfn.XLOOKUP(RIGHT(AM46, LEN(AM46)-4)&amp;ROW()-41,Calculations_APPURT[Model]&amp;ROW(Calculations_APPURT[Model]),Hazards_APPURT[Front CaAa],"",0,1),
_xlpm.qz,     _xlfn.XLOOKUP(RIGHT(AM46, LEN(AM46)-4)&amp;ROW()-41,Calculations_APPURT[Model]&amp;ROW(Calculations_APPURT[Model]),Hazards_APPURT[qz],"",0,1),
_xlpm.Ka,     0.9,
_xlpm.Kd,     _xlfn.XLOOKUP(RIGHT(AM46, LEN(AM46)-4)&amp;ROW()-41,Calculations_APPURT[Model]&amp;ROW(Calculations_APPURT[Model]),Hazards_APPURT[Kd],"",0,1),
_xlpm.Kes,    Kes.w,
_xlpm.CaAa*_xlpm.qz*_xlpm.Ka*_xlpm.Kd),"")</f>
        <v/>
      </c>
      <c r="AU46" s="301" t="str" cm="1">
        <f t="array" ref="AU46">IFERROR(_xlfn.LET(
_xlpm.CaAa,   _xlfn.XLOOKUP(RIGHT(AM46, LEN(AM46)-4)&amp;ROW()-41,Calculations_APPURT[Model]&amp;ROW(Calculations_APPURT[Model]),Hazards_APPURT[Side CaAa],"",0,1),
_xlpm.qz,     _xlfn.XLOOKUP(RIGHT(AM46, LEN(AM46)-4)&amp;ROW()-41,Calculations_APPURT[Model]&amp;ROW(Calculations_APPURT[Model]),Hazards_APPURT[qz],"",0,1),
_xlpm.Ka,     0.9,
_xlpm.Kd,     _xlfn.XLOOKUP(RIGHT(AM46, LEN(AM46)-4)&amp;ROW()-41,Calculations_APPURT[Model]&amp;ROW(Calculations_APPURT[Model]),Hazards_APPURT[Kd],"",0,1),
_xlpm.Kes,    Kes.w,
_xlpm.CaAa*_xlpm.qz*_xlpm.Ka*_xlpm.Kd),"")</f>
        <v/>
      </c>
      <c r="AW46" s="217" t="str">
        <f>IF(Filter!AN5=0,"",Filter!AN5)</f>
        <v/>
      </c>
      <c r="AX46" s="217" t="str">
        <f>IF(Filter!AT5=0,"",Filter!AT5)</f>
        <v/>
      </c>
      <c r="AY46" s="217" t="str">
        <f>IF(Filter!AZ5=0,"",Filter!AZ5)</f>
        <v/>
      </c>
      <c r="AZ46" s="217" t="str">
        <f>IF(Filter!BF5=0,"",Filter!BF5)</f>
        <v/>
      </c>
      <c r="BA46"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_xlfn.XLOOKUP(AW46, Geometry!$B:$B, Geometry!$M:$M, "", 0, 1),
_xlpm.Pj, _xlfn.XLOOKUP(AW46,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46"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_xlfn.XLOOKUP(AX46, Geometry!$B:$B, Geometry!$M:$M, "", 0, 1),
_xlpm.Pj, _xlfn.XLOOKUP(AX46,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46"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_xlfn.XLOOKUP(AY46, Geometry!$B:$B, Geometry!$M:$M, "", 0, 1),
_xlpm.Pj, _xlfn.XLOOKUP(AY46,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46"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_xlfn.XLOOKUP(AZ46, Geometry!$B:$B, Geometry!$M:$M, "", 0, 1),
_xlpm.Pj, _xlfn.XLOOKUP(AZ46,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46" s="261" t="str">
        <f>IF(AM46="","",z + Filter!BN5/12 + Filter!BJ5/2/12)</f>
        <v/>
      </c>
      <c r="BF46" s="261" t="str">
        <f>IF(AM46="","",z + Filter!BN5/12 - Filter!BJ5/2/12)</f>
        <v/>
      </c>
      <c r="BG46" s="447"/>
      <c r="BH46" s="447"/>
      <c r="BI46" s="447"/>
      <c r="BJ46" s="447"/>
      <c r="BK46" s="447"/>
      <c r="BL46" s="447"/>
      <c r="BM46" s="447"/>
      <c r="BN46" s="447"/>
      <c r="BO46" s="447"/>
      <c r="BP46" s="447"/>
      <c r="BQ46" s="447"/>
    </row>
    <row r="47" spans="1:69" ht="15" customHeight="1" thickBot="1" x14ac:dyDescent="0.25">
      <c r="A47" s="413" t="s">
        <v>245</v>
      </c>
      <c r="B47" s="413"/>
      <c r="C47" s="439">
        <f>IF(OR(RIGHT(TIA,1)="H",RIGHT(TIA,1)="I"),IF($H$20="Proposed",1,IF(Risk="II",0.85,1)),1)</f>
        <v>0.85</v>
      </c>
      <c r="D47" s="439"/>
      <c r="F47" s="402" t="s">
        <v>246</v>
      </c>
      <c r="G47" s="402"/>
      <c r="H47" s="438" t="str" cm="1">
        <f t="array" aca="1" ref="H47" ca="1">IFERROR(IF(Supporting_Structure="Yes",MIN(MAX(rho*Cs*As,0.3*rho*S_DS*I.earthquake),2*rho*S_DS*I.earthquake),rho*Cs*As),"N/A")</f>
        <v>N/A</v>
      </c>
      <c r="I47" s="438"/>
      <c r="K47" s="391" t="str">
        <f>IF(Results!U14="","",Results!U14)</f>
        <v/>
      </c>
      <c r="L47" s="391"/>
      <c r="M47" s="391" t="str">
        <f t="shared" si="0"/>
        <v/>
      </c>
      <c r="N47" s="391"/>
      <c r="O47" s="318" t="str" cm="1">
        <f t="array" ref="O47">IFERROR(IF(K47="","",IF(ResultsOption="Results - Envelope Solution",_xlfn.XLOOKUP(K47&amp;P47,Results!$S$4:$S$99999&amp;Results!$C$4:$C$99999,Results!$A$4:$A$99999),_xlfn.XLOOKUP(K47&amp;P47,#REF!&amp;#REF!,#REF!))),"N/A")</f>
        <v/>
      </c>
      <c r="P47" s="323" t="str">
        <f>IF(K47="","",IF(ResultsOption="Results - Envelope Solution",_xlfn.MAXIFS(Results!$C$3:$C$99999,Results!$S$3:$S$99999,K47),_xlfn.MAXIFS(#REF!,#REF!,K47)))</f>
        <v/>
      </c>
      <c r="Q47" s="318" t="str" cm="1">
        <f t="array" ref="Q47">IFERROR(IF(K47="","",IF(ResultsOption="Results - Envelope Solution",_xlfn.XLOOKUP(K47&amp;R47,Results!$S$4:$S$99999&amp;Results!$F$4:$F$99999,Results!$A$4:$A$99999),_xlfn.XLOOKUP(K47&amp;R47,#REF!&amp;#REF!,#REF!))),"N/A")</f>
        <v/>
      </c>
      <c r="R47" s="323" t="str">
        <f>IF(K47="","",IF(ResultsOption="Results - Envelope Solution",_xlfn.MAXIFS(Results!$F$3:$F$99999,Results!$S$3:$S$99999,K47),_xlfn.MAXIFS(#REF!,#REF!,K47)))</f>
        <v/>
      </c>
      <c r="S47" s="318" t="str">
        <f t="shared" si="1"/>
        <v/>
      </c>
      <c r="U47" s="475" t="str">
        <f>IF(ISBLANK('Discrete Loads'!B4),"",'Discrete Loads'!B4)</f>
        <v/>
      </c>
      <c r="V47" s="475"/>
      <c r="W47" s="341" t="str" cm="1">
        <f t="array" ref="W47">_xlfn.LET(
    _xlpm.model,        'Discrete Loads'!$B4,
    _xlpm.Shape,        'Discrete Loads'!$E4,
    _xlpm.Direction,    W$46,
    _xlpm.Azimuth,      0,
    _xlpm.CaAa_Front,   _xlfn.XLOOKUP(Code!$U47&amp;ROW()-43,Calculations_APPURT[Model]&amp;ROW('Discrete Loads'!B4),Hazards_APPURT[Ice Front CaAa],0,0,1),
    _xlpm.CaAa_Side,    _xlfn.XLOOKUP(Code!$U47&amp;ROW()-43,Calculations_APPURT[Model]&amp;ROW('Discrete Loads'!B4),Hazards_APPURT[Ice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X47" s="341" t="str" cm="1">
        <f t="array" ref="X47">_xlfn.LET(
    _xlpm.model,        'Discrete Loads'!$B4,
    _xlpm.Shape,        'Discrete Loads'!$E4,
    _xlpm.Direction,    X$46,
    _xlpm.Azimuth,      0,
    _xlpm.CaAa_Front,   _xlfn.XLOOKUP(Code!$U47&amp;ROW()-43,Calculations_APPURT[Model]&amp;ROW('Discrete Loads'!C4),Hazards_APPURT[Ice Front CaAa],0,0,1),
    _xlpm.CaAa_Side,    _xlfn.XLOOKUP(Code!$U47&amp;ROW()-43,Calculations_APPURT[Model]&amp;ROW('Discrete Loads'!C4),Hazards_APPURT[Ice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Y47" s="341" t="str" cm="1">
        <f t="array" ref="Y47">_xlfn.LET(
    _xlpm.model,        'Discrete Loads'!$B4,
    _xlpm.Shape,        'Discrete Loads'!$E4,
    _xlpm.Direction,    Y$46,
    _xlpm.Azimuth,      0,
    _xlpm.CaAa_Front,   _xlfn.XLOOKUP(Code!$U47&amp;ROW()-43,Calculations_APPURT[Model]&amp;ROW('Discrete Loads'!D4),Hazards_APPURT[Ice Front CaAa],0,0,1),
    _xlpm.CaAa_Side,    _xlfn.XLOOKUP(Code!$U47&amp;ROW()-43,Calculations_APPURT[Model]&amp;ROW('Discrete Loads'!D4),Hazards_APPURT[Ice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Z47" s="341" t="str" cm="1">
        <f t="array" ref="Z47">_xlfn.LET(
    _xlpm.model,        'Discrete Loads'!$B4,
    _xlpm.Shape,        'Discrete Loads'!$E4,
    _xlpm.Direction,    Z$46,
    _xlpm.Azimuth,      0,
    _xlpm.CaAa_Front,   _xlfn.XLOOKUP(Code!$U47&amp;ROW()-43,Calculations_APPURT[Model]&amp;ROW('Discrete Loads'!E4),Hazards_APPURT[Ice Front CaAa],0,0,1),
    _xlpm.CaAa_Side,    _xlfn.XLOOKUP(Code!$U47&amp;ROW()-43,Calculations_APPURT[Model]&amp;ROW('Discrete Loads'!E4),Hazards_APPURT[Ice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AA47" s="341" t="str" cm="1">
        <f t="array" ref="AA47">_xlfn.LET(
    _xlpm.model,        'Discrete Loads'!$B4,
    _xlpm.Shape,        'Discrete Loads'!$E4,
    _xlpm.Direction,    AA$46,
    _xlpm.Azimuth,      0,
    _xlpm.CaAa_Front,   _xlfn.XLOOKUP(Code!$U47&amp;ROW()-43,Calculations_APPURT[Model]&amp;ROW('Discrete Loads'!F4),Hazards_APPURT[Ice Front CaAa],0,0,1),
    _xlpm.CaAa_Side,    _xlfn.XLOOKUP(Code!$U47&amp;ROW()-43,Calculations_APPURT[Model]&amp;ROW('Discrete Loads'!F4),Hazards_APPURT[Ice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AB47" s="341" t="str" cm="1">
        <f t="array" ref="AB47">_xlfn.LET(
    _xlpm.model,        'Discrete Loads'!$B4,
    _xlpm.Shape,        'Discrete Loads'!$E4,
    _xlpm.Direction,    AB$46,
    _xlpm.Azimuth,      0,
    _xlpm.CaAa_Front,   _xlfn.XLOOKUP(Code!$U47&amp;ROW()-43,Calculations_APPURT[Model]&amp;ROW('Discrete Loads'!G4),Hazards_APPURT[Ice Front CaAa],0,0,1),
    _xlpm.CaAa_Side,    _xlfn.XLOOKUP(Code!$U47&amp;ROW()-43,Calculations_APPURT[Model]&amp;ROW('Discrete Loads'!G4),Hazards_APPURT[Ice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AC47" s="341" t="str" cm="1">
        <f t="array" ref="AC47">_xlfn.LET(
    _xlpm.model,        'Discrete Loads'!$B4,
    _xlpm.Shape,        'Discrete Loads'!$E4,
    _xlpm.Direction,    AC$46,
    _xlpm.Azimuth,      0,
    _xlpm.CaAa_Front,   _xlfn.XLOOKUP(Code!$U47&amp;ROW()-43,Calculations_APPURT[Model]&amp;ROW('Discrete Loads'!H4),Hazards_APPURT[Ice Front CaAa],0,0,1),
    _xlpm.CaAa_Side,    _xlfn.XLOOKUP(Code!$U47&amp;ROW()-43,Calculations_APPURT[Model]&amp;ROW('Discrete Loads'!H4),Hazards_APPURT[Ice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AD47" s="341" t="str" cm="1">
        <f t="array" ref="AD47">_xlfn.LET(
    _xlpm.model,        'Discrete Loads'!$B4,
    _xlpm.Shape,        'Discrete Loads'!$E4,
    _xlpm.Direction,    AD$46,
    _xlpm.Azimuth,      0,
    _xlpm.CaAa_Front,   _xlfn.XLOOKUP(Code!$U47&amp;ROW()-43,Calculations_APPURT[Model]&amp;ROW('Discrete Loads'!I4),Hazards_APPURT[Ice Front CaAa],0,0,1),
    _xlpm.CaAa_Side,    _xlfn.XLOOKUP(Code!$U47&amp;ROW()-43,Calculations_APPURT[Model]&amp;ROW('Discrete Loads'!I4),Hazards_APPURT[Ice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AE47" s="341" t="str" cm="1">
        <f t="array" ref="AE47">_xlfn.LET(
    _xlpm.model,        'Discrete Loads'!$B4,
    _xlpm.Shape,        'Discrete Loads'!$E4,
    _xlpm.Direction,    AE$46,
    _xlpm.Azimuth,      0,
    _xlpm.CaAa_Front,   _xlfn.XLOOKUP(Code!$U47&amp;ROW()-43,Calculations_APPURT[Model]&amp;ROW('Discrete Loads'!J4),Hazards_APPURT[Ice Front CaAa],0,0,1),
    _xlpm.CaAa_Side,    _xlfn.XLOOKUP(Code!$U47&amp;ROW()-43,Calculations_APPURT[Model]&amp;ROW('Discrete Loads'!J4),Hazards_APPURT[Ice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AF47" s="341" t="str" cm="1">
        <f t="array" ref="AF47">_xlfn.LET(
    _xlpm.model,        'Discrete Loads'!$B4,
    _xlpm.Shape,        'Discrete Loads'!$E4,
    _xlpm.Direction,    AF$46,
    _xlpm.Azimuth,      0,
    _xlpm.CaAa_Front,   _xlfn.XLOOKUP(Code!$U47&amp;ROW()-43,Calculations_APPURT[Model]&amp;ROW('Discrete Loads'!K4),Hazards_APPURT[Ice Front CaAa],0,0,1),
    _xlpm.CaAa_Side,    _xlfn.XLOOKUP(Code!$U47&amp;ROW()-43,Calculations_APPURT[Model]&amp;ROW('Discrete Loads'!K4),Hazards_APPURT[Ice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AG47" s="341" t="str" cm="1">
        <f t="array" ref="AG47">_xlfn.LET(
    _xlpm.model,        'Discrete Loads'!$B4,
    _xlpm.Shape,        'Discrete Loads'!$E4,
    _xlpm.Direction,    AG$46,
    _xlpm.Azimuth,      0,
    _xlpm.CaAa_Front,   _xlfn.XLOOKUP(Code!$U47&amp;ROW()-43,Calculations_APPURT[Model]&amp;ROW('Discrete Loads'!L4),Hazards_APPURT[Ice Front CaAa],0,0,1),
    _xlpm.CaAa_Side,    _xlfn.XLOOKUP(Code!$U47&amp;ROW()-43,Calculations_APPURT[Model]&amp;ROW('Discrete Loads'!L4),Hazards_APPURT[Ice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AH47" s="341" t="str" cm="1">
        <f t="array" ref="AH47">_xlfn.LET(
    _xlpm.model,        'Discrete Loads'!$B4,
    _xlpm.Shape,        'Discrete Loads'!$E4,
    _xlpm.Direction,    AH$46,
    _xlpm.Azimuth,      0,
    _xlpm.CaAa_Front,   _xlfn.XLOOKUP(Code!$U47&amp;ROW()-43,Calculations_APPURT[Model]&amp;ROW('Discrete Loads'!M4),Hazards_APPURT[Ice Front CaAa],0,0,1),
    _xlpm.CaAa_Side,    _xlfn.XLOOKUP(Code!$U47&amp;ROW()-43,Calculations_APPURT[Model]&amp;ROW('Discrete Loads'!M4),Hazards_APPURT[Ice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IF($U47="","",IF(_xlpm.Shape="CFD", _xlpm.CFD_val, _xlpm.CaAa_Front*COS(PI()/180*(_xlpm.Direction+_xlpm.Azimuth))^2 + _xlpm.CaAa_Side*SIN(PI()/180*(_xlpm.Direction+_xlpm.Azimuth))^2)))</f>
        <v/>
      </c>
      <c r="AI47" s="339" t="str">
        <f>IF(U47="","","TIA")</f>
        <v/>
      </c>
      <c r="AJ47" s="363" t="str" cm="1">
        <f t="array" ref="AJ47">IF(U47="","",_xlfn.XLOOKUP($U47&amp;(ROW()-43),Calculations_APPURT[Model]&amp;ROW(Calculations_APPURT[Model]),Hazards_APPURT[qiz],"",0,1))</f>
        <v/>
      </c>
      <c r="AK47" s="366" t="str" cm="1">
        <f t="array" ref="AK47">IF(U47="","",_xlfn.XLOOKUP($U47&amp;(ROW()-43),Calculations_APPURT[Model]&amp;ROW(Calculations_APPURT[Model]),Hazards_APPURT[Ice Weight],"",0,1))</f>
        <v/>
      </c>
      <c r="AM47" s="462" t="str">
        <f>IFERROR(_xlfn.CONCAT("(",IF(Filter!AM6+Filter!AS6+Filter!AY6+Filter!BE6&gt;0,(Filter!AM6+Filter!AS6+Filter!AY6+Filter!BE6),""),") ",_xlfn._xlws.FILTER(Filter!AH6,Filter!AH6&lt;&gt;0)),"")</f>
        <v/>
      </c>
      <c r="AN47" s="462"/>
      <c r="AO47" s="462"/>
      <c r="AP47" s="327" t="str">
        <f>IF(AM47="","",z)</f>
        <v/>
      </c>
      <c r="AQ47" s="328" t="str">
        <f t="shared" si="2"/>
        <v/>
      </c>
      <c r="AR47" s="329" t="str">
        <f>IF(AM47="","",TRIM(SUBSTITUTE(_xlfn.TEXTJOIN(", ",TRUE,Filter!AL6,Filter!AR6,Filter!AX6,Filter!BD6),", 0","")))</f>
        <v/>
      </c>
      <c r="AS47" s="328" t="str" cm="1">
        <f t="array" ref="AS47">IF(AM47="","",_xlfn.TEXTJOIN(", ",TRUE,IF(BA47="","",ROUND(BA47*ConvertLength,1)),IF(BB47="","",ROUND(BB47*ConvertLength,1)),IF(BC47="","",ROUND(BC47*ConvertLength,1)),IF(BD47="","",ROUND(BD47*ConvertLength,1))))</f>
        <v/>
      </c>
      <c r="AT47" s="330" t="str" cm="1">
        <f t="array" ref="AT47">IFERROR(_xlfn.LET(
_xlpm.CaAa,   _xlfn.XLOOKUP(RIGHT(AM47, LEN(AM47)-4)&amp;ROW()-41,Calculations_APPURT[Model]&amp;ROW(Calculations_APPURT[Model]),Hazards_APPURT[Front CaAa],"",0,1),
_xlpm.qz,     _xlfn.XLOOKUP(RIGHT(AM47, LEN(AM47)-4)&amp;ROW()-41,Calculations_APPURT[Model]&amp;ROW(Calculations_APPURT[Model]),Hazards_APPURT[qz],"",0,1),
_xlpm.Ka,     0.9,
_xlpm.Kd,     _xlfn.XLOOKUP(RIGHT(AM47, LEN(AM47)-4)&amp;ROW()-41,Calculations_APPURT[Model]&amp;ROW(Calculations_APPURT[Model]),Hazards_APPURT[Kd],"",0,1),
_xlpm.Kes,    Kes.w,
_xlpm.CaAa*_xlpm.qz*_xlpm.Ka*_xlpm.Kd),"")</f>
        <v/>
      </c>
      <c r="AU47" s="330" t="str" cm="1">
        <f t="array" ref="AU47">IFERROR(_xlfn.LET(
_xlpm.CaAa,   _xlfn.XLOOKUP(RIGHT(AM47, LEN(AM47)-4)&amp;ROW()-41,Calculations_APPURT[Model]&amp;ROW(Calculations_APPURT[Model]),Hazards_APPURT[Side CaAa],"",0,1),
_xlpm.qz,     _xlfn.XLOOKUP(RIGHT(AM47, LEN(AM47)-4)&amp;ROW()-41,Calculations_APPURT[Model]&amp;ROW(Calculations_APPURT[Model]),Hazards_APPURT[qz],"",0,1),
_xlpm.Ka,     0.9,
_xlpm.Kd,     _xlfn.XLOOKUP(RIGHT(AM47, LEN(AM47)-4)&amp;ROW()-41,Calculations_APPURT[Model]&amp;ROW(Calculations_APPURT[Model]),Hazards_APPURT[Kd],"",0,1),
_xlpm.Kes,    Kes.w,
_xlpm.CaAa*_xlpm.qz*_xlpm.Ka*_xlpm.Kd),"")</f>
        <v/>
      </c>
      <c r="AW47" s="217" t="str">
        <f>IF(Filter!AN6=0,"",Filter!AN6)</f>
        <v/>
      </c>
      <c r="AX47" s="217" t="str">
        <f>IF(Filter!AT6=0,"",Filter!AT6)</f>
        <v/>
      </c>
      <c r="AY47" s="217" t="str">
        <f>IF(Filter!AZ6=0,"",Filter!AZ6)</f>
        <v/>
      </c>
      <c r="AZ47" s="217" t="str">
        <f>IF(Filter!BF6=0,"",Filter!BF6)</f>
        <v/>
      </c>
      <c r="BA47"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_xlfn.XLOOKUP(AW47, Geometry!$B:$B, Geometry!$M:$M, "", 0, 1),
_xlpm.Pj, _xlfn.XLOOKUP(AW47,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47"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_xlfn.XLOOKUP(AX47, Geometry!$B:$B, Geometry!$M:$M, "", 0, 1),
_xlpm.Pj, _xlfn.XLOOKUP(AX47,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47"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_xlfn.XLOOKUP(AY47, Geometry!$B:$B, Geometry!$M:$M, "", 0, 1),
_xlpm.Pj, _xlfn.XLOOKUP(AY47,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47"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_xlfn.XLOOKUP(AZ47, Geometry!$B:$B, Geometry!$M:$M, "", 0, 1),
_xlpm.Pj, _xlfn.XLOOKUP(AZ47,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47" s="261" t="str">
        <f>IF(AM47="","",z + Filter!BN6/12 + Filter!BJ6/2/12)</f>
        <v/>
      </c>
      <c r="BF47" s="261" t="str">
        <f>IF(AM47="","",z + Filter!BN6/12 - Filter!BJ6/2/12)</f>
        <v/>
      </c>
      <c r="BG47" s="447"/>
      <c r="BH47" s="447"/>
      <c r="BI47" s="447"/>
      <c r="BJ47" s="447"/>
      <c r="BK47" s="447"/>
      <c r="BL47" s="447"/>
      <c r="BM47" s="447"/>
      <c r="BN47" s="447"/>
      <c r="BO47" s="447"/>
      <c r="BP47" s="447"/>
      <c r="BQ47" s="447"/>
    </row>
    <row r="48" spans="1:69" ht="15" customHeight="1" x14ac:dyDescent="0.2">
      <c r="A48" s="188"/>
      <c r="K48" s="393" t="str">
        <f>IF(Results!U15="","",Results!U15)</f>
        <v/>
      </c>
      <c r="L48" s="393"/>
      <c r="M48" s="393" t="str">
        <f t="shared" si="0"/>
        <v/>
      </c>
      <c r="N48" s="393"/>
      <c r="O48" s="69" t="str" cm="1">
        <f t="array" ref="O48">IFERROR(IF(K48="","",IF(ResultsOption="Results - Envelope Solution",_xlfn.XLOOKUP(K48&amp;P48,Results!$S$4:$S$99999&amp;Results!$C$4:$C$99999,Results!$A$4:$A$99999),_xlfn.XLOOKUP(K48&amp;P48,#REF!&amp;#REF!,#REF!))),"N/A")</f>
        <v/>
      </c>
      <c r="P48" s="70" t="str">
        <f>IF(K48="","",IF(ResultsOption="Results - Envelope Solution",_xlfn.MAXIFS(Results!$C$3:$C$99999,Results!$S$3:$S$99999,K48),_xlfn.MAXIFS(#REF!,#REF!,K48)))</f>
        <v/>
      </c>
      <c r="Q48" s="69" t="str" cm="1">
        <f t="array" ref="Q48">IFERROR(IF(K48="","",IF(ResultsOption="Results - Envelope Solution",_xlfn.XLOOKUP(K48&amp;R48,Results!$S$4:$S$99999&amp;Results!$F$4:$F$99999,Results!$A$4:$A$99999),_xlfn.XLOOKUP(K48&amp;R48,#REF!&amp;#REF!,#REF!))),"N/A")</f>
        <v/>
      </c>
      <c r="R48" s="70" t="str">
        <f>IF(K48="","",IF(ResultsOption="Results - Envelope Solution",_xlfn.MAXIFS(Results!$F$3:$F$99999,Results!$S$3:$S$99999,K48),_xlfn.MAXIFS(#REF!,#REF!,K48)))</f>
        <v/>
      </c>
      <c r="S48" s="69" t="str">
        <f t="shared" si="1"/>
        <v/>
      </c>
      <c r="U48" s="386" t="str">
        <f>IF(ISBLANK('Discrete Loads'!B5),"",'Discrete Loads'!B5)</f>
        <v/>
      </c>
      <c r="V48" s="386"/>
      <c r="W48" s="342" t="str" cm="1">
        <f t="array" ref="W48">_xlfn.LET(
    _xlpm.model,        'Discrete Loads'!$B5,
    _xlpm.Shape,        'Discrete Loads'!$E5,
    _xlpm.Direction,    W$46,
    _xlpm.Azimuth,      0,
    _xlpm.CaAa_Front,   _xlfn.XLOOKUP(Code!$U48&amp;ROW()-43,Calculations_APPURT[Model]&amp;ROW('Discrete Loads'!B5),Hazards_APPURT[Ice Front CaAa],0,0,1),
    _xlpm.CaAa_Side,    _xlfn.XLOOKUP(Code!$U48&amp;ROW()-43,Calculations_APPURT[Model]&amp;ROW('Discrete Loads'!B5),Hazards_APPURT[Ice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X48" s="342" t="str" cm="1">
        <f t="array" ref="X48">_xlfn.LET(
    _xlpm.model,        'Discrete Loads'!$B5,
    _xlpm.Shape,        'Discrete Loads'!$E5,
    _xlpm.Direction,    X$46,
    _xlpm.Azimuth,      0,
    _xlpm.CaAa_Front,   _xlfn.XLOOKUP(Code!$U48&amp;ROW()-43,Calculations_APPURT[Model]&amp;ROW('Discrete Loads'!C5),Hazards_APPURT[Ice Front CaAa],0,0,1),
    _xlpm.CaAa_Side,    _xlfn.XLOOKUP(Code!$U48&amp;ROW()-43,Calculations_APPURT[Model]&amp;ROW('Discrete Loads'!C5),Hazards_APPURT[Ice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Y48" s="342" t="str" cm="1">
        <f t="array" ref="Y48">_xlfn.LET(
    _xlpm.model,        'Discrete Loads'!$B5,
    _xlpm.Shape,        'Discrete Loads'!$E5,
    _xlpm.Direction,    Y$46,
    _xlpm.Azimuth,      0,
    _xlpm.CaAa_Front,   _xlfn.XLOOKUP(Code!$U48&amp;ROW()-43,Calculations_APPURT[Model]&amp;ROW('Discrete Loads'!D5),Hazards_APPURT[Ice Front CaAa],0,0,1),
    _xlpm.CaAa_Side,    _xlfn.XLOOKUP(Code!$U48&amp;ROW()-43,Calculations_APPURT[Model]&amp;ROW('Discrete Loads'!D5),Hazards_APPURT[Ice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Z48" s="342" t="str" cm="1">
        <f t="array" ref="Z48">_xlfn.LET(
    _xlpm.model,        'Discrete Loads'!$B5,
    _xlpm.Shape,        'Discrete Loads'!$E5,
    _xlpm.Direction,    Z$46,
    _xlpm.Azimuth,      0,
    _xlpm.CaAa_Front,   _xlfn.XLOOKUP(Code!$U48&amp;ROW()-43,Calculations_APPURT[Model]&amp;ROW('Discrete Loads'!E5),Hazards_APPURT[Ice Front CaAa],0,0,1),
    _xlpm.CaAa_Side,    _xlfn.XLOOKUP(Code!$U48&amp;ROW()-43,Calculations_APPURT[Model]&amp;ROW('Discrete Loads'!E5),Hazards_APPURT[Ice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AA48" s="342" t="str" cm="1">
        <f t="array" ref="AA48">_xlfn.LET(
    _xlpm.model,        'Discrete Loads'!$B5,
    _xlpm.Shape,        'Discrete Loads'!$E5,
    _xlpm.Direction,    AA$46,
    _xlpm.Azimuth,      0,
    _xlpm.CaAa_Front,   _xlfn.XLOOKUP(Code!$U48&amp;ROW()-43,Calculations_APPURT[Model]&amp;ROW('Discrete Loads'!F5),Hazards_APPURT[Ice Front CaAa],0,0,1),
    _xlpm.CaAa_Side,    _xlfn.XLOOKUP(Code!$U48&amp;ROW()-43,Calculations_APPURT[Model]&amp;ROW('Discrete Loads'!F5),Hazards_APPURT[Ice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AB48" s="342" t="str" cm="1">
        <f t="array" ref="AB48">_xlfn.LET(
    _xlpm.model,        'Discrete Loads'!$B5,
    _xlpm.Shape,        'Discrete Loads'!$E5,
    _xlpm.Direction,    AB$46,
    _xlpm.Azimuth,      0,
    _xlpm.CaAa_Front,   _xlfn.XLOOKUP(Code!$U48&amp;ROW()-43,Calculations_APPURT[Model]&amp;ROW('Discrete Loads'!G5),Hazards_APPURT[Ice Front CaAa],0,0,1),
    _xlpm.CaAa_Side,    _xlfn.XLOOKUP(Code!$U48&amp;ROW()-43,Calculations_APPURT[Model]&amp;ROW('Discrete Loads'!G5),Hazards_APPURT[Ice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AC48" s="342" t="str" cm="1">
        <f t="array" ref="AC48">_xlfn.LET(
    _xlpm.model,        'Discrete Loads'!$B5,
    _xlpm.Shape,        'Discrete Loads'!$E5,
    _xlpm.Direction,    AC$46,
    _xlpm.Azimuth,      0,
    _xlpm.CaAa_Front,   _xlfn.XLOOKUP(Code!$U48&amp;ROW()-43,Calculations_APPURT[Model]&amp;ROW('Discrete Loads'!H5),Hazards_APPURT[Ice Front CaAa],0,0,1),
    _xlpm.CaAa_Side,    _xlfn.XLOOKUP(Code!$U48&amp;ROW()-43,Calculations_APPURT[Model]&amp;ROW('Discrete Loads'!H5),Hazards_APPURT[Ice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AD48" s="342" t="str" cm="1">
        <f t="array" ref="AD48">_xlfn.LET(
    _xlpm.model,        'Discrete Loads'!$B5,
    _xlpm.Shape,        'Discrete Loads'!$E5,
    _xlpm.Direction,    AD$46,
    _xlpm.Azimuth,      0,
    _xlpm.CaAa_Front,   _xlfn.XLOOKUP(Code!$U48&amp;ROW()-43,Calculations_APPURT[Model]&amp;ROW('Discrete Loads'!I5),Hazards_APPURT[Ice Front CaAa],0,0,1),
    _xlpm.CaAa_Side,    _xlfn.XLOOKUP(Code!$U48&amp;ROW()-43,Calculations_APPURT[Model]&amp;ROW('Discrete Loads'!I5),Hazards_APPURT[Ice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AE48" s="342" t="str" cm="1">
        <f t="array" ref="AE48">_xlfn.LET(
    _xlpm.model,        'Discrete Loads'!$B5,
    _xlpm.Shape,        'Discrete Loads'!$E5,
    _xlpm.Direction,    AE$46,
    _xlpm.Azimuth,      0,
    _xlpm.CaAa_Front,   _xlfn.XLOOKUP(Code!$U48&amp;ROW()-43,Calculations_APPURT[Model]&amp;ROW('Discrete Loads'!J5),Hazards_APPURT[Ice Front CaAa],0,0,1),
    _xlpm.CaAa_Side,    _xlfn.XLOOKUP(Code!$U48&amp;ROW()-43,Calculations_APPURT[Model]&amp;ROW('Discrete Loads'!J5),Hazards_APPURT[Ice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AF48" s="342" t="str" cm="1">
        <f t="array" ref="AF48">_xlfn.LET(
    _xlpm.model,        'Discrete Loads'!$B5,
    _xlpm.Shape,        'Discrete Loads'!$E5,
    _xlpm.Direction,    AF$46,
    _xlpm.Azimuth,      0,
    _xlpm.CaAa_Front,   _xlfn.XLOOKUP(Code!$U48&amp;ROW()-43,Calculations_APPURT[Model]&amp;ROW('Discrete Loads'!K5),Hazards_APPURT[Ice Front CaAa],0,0,1),
    _xlpm.CaAa_Side,    _xlfn.XLOOKUP(Code!$U48&amp;ROW()-43,Calculations_APPURT[Model]&amp;ROW('Discrete Loads'!K5),Hazards_APPURT[Ice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AG48" s="342" t="str" cm="1">
        <f t="array" ref="AG48">_xlfn.LET(
    _xlpm.model,        'Discrete Loads'!$B5,
    _xlpm.Shape,        'Discrete Loads'!$E5,
    _xlpm.Direction,    AG$46,
    _xlpm.Azimuth,      0,
    _xlpm.CaAa_Front,   _xlfn.XLOOKUP(Code!$U48&amp;ROW()-43,Calculations_APPURT[Model]&amp;ROW('Discrete Loads'!L5),Hazards_APPURT[Ice Front CaAa],0,0,1),
    _xlpm.CaAa_Side,    _xlfn.XLOOKUP(Code!$U48&amp;ROW()-43,Calculations_APPURT[Model]&amp;ROW('Discrete Loads'!L5),Hazards_APPURT[Ice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AH48" s="342" t="str" cm="1">
        <f t="array" ref="AH48">_xlfn.LET(
    _xlpm.model,        'Discrete Loads'!$B5,
    _xlpm.Shape,        'Discrete Loads'!$E5,
    _xlpm.Direction,    AH$46,
    _xlpm.Azimuth,      0,
    _xlpm.CaAa_Front,   _xlfn.XLOOKUP(Code!$U48&amp;ROW()-43,Calculations_APPURT[Model]&amp;ROW('Discrete Loads'!M5),Hazards_APPURT[Ice Front CaAa],0,0,1),
    _xlpm.CaAa_Side,    _xlfn.XLOOKUP(Code!$U48&amp;ROW()-43,Calculations_APPURT[Model]&amp;ROW('Discrete Loads'!M5),Hazards_APPURT[Ice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IF($U48="","",IF(_xlpm.Shape="CFD", _xlpm.CFD_val, _xlpm.CaAa_Front*COS(PI()/180*(_xlpm.Direction+_xlpm.Azimuth))^2 + _xlpm.CaAa_Side*SIN(PI()/180*(_xlpm.Direction+_xlpm.Azimuth))^2)))</f>
        <v/>
      </c>
      <c r="AI48" s="340" t="str">
        <f t="shared" ref="AI48:AI71" si="3">IF(U48="","","TIA")</f>
        <v/>
      </c>
      <c r="AJ48" s="364" t="str" cm="1">
        <f t="array" ref="AJ48">IF(U48="","",_xlfn.XLOOKUP($U48&amp;(ROW()-43),Calculations_APPURT[Model]&amp;ROW(Calculations_APPURT[Model]),Hazards_APPURT[qiz],"",0,1))</f>
        <v/>
      </c>
      <c r="AK48" s="367" t="str" cm="1">
        <f t="array" ref="AK48">IF(U48="","",_xlfn.XLOOKUP($U48&amp;(ROW()-43),Calculations_APPURT[Model]&amp;ROW(Calculations_APPURT[Model]),Hazards_APPURT[Ice Weight],"",0,1))</f>
        <v/>
      </c>
      <c r="AM48" s="461" t="str">
        <f>IFERROR(_xlfn.CONCAT("(",IF(Filter!AM7+Filter!AS7+Filter!AY7+Filter!BE7&gt;0,(Filter!AM7+Filter!AS7+Filter!AY7+Filter!BE7),""),") ",_xlfn._xlws.FILTER(Filter!AH7,Filter!AH7&lt;&gt;0)),"")</f>
        <v/>
      </c>
      <c r="AN48" s="461"/>
      <c r="AO48" s="461"/>
      <c r="AP48" s="301" t="str">
        <f>IF(AM48="","",z)</f>
        <v/>
      </c>
      <c r="AQ48" s="69" t="str">
        <f t="shared" si="2"/>
        <v/>
      </c>
      <c r="AR48" s="187" t="str">
        <f>IF(AM48="","",TRIM(SUBSTITUTE(_xlfn.TEXTJOIN(", ",TRUE,Filter!AL7,Filter!AR7,Filter!AX7,Filter!BD7),", 0","")))</f>
        <v/>
      </c>
      <c r="AS48" s="69" t="str" cm="1">
        <f t="array" ref="AS48">IF(AM48="","",_xlfn.TEXTJOIN(", ",TRUE,IF(BA48="","",ROUND(BA48*ConvertLength,1)),IF(BB48="","",ROUND(BB48*ConvertLength,1)),IF(BC48="","",ROUND(BC48*ConvertLength,1)),IF(BD48="","",ROUND(BD48*ConvertLength,1))))</f>
        <v/>
      </c>
      <c r="AT48" s="302" t="str" cm="1">
        <f t="array" ref="AT48">IFERROR(_xlfn.LET(
_xlpm.CaAa,   _xlfn.XLOOKUP(RIGHT(AM48, LEN(AM48)-4)&amp;ROW()-41,Calculations_APPURT[Model]&amp;ROW(Calculations_APPURT[Model]),Hazards_APPURT[Front CaAa],"",0,1),
_xlpm.qz,     _xlfn.XLOOKUP(RIGHT(AM48, LEN(AM48)-4)&amp;ROW()-41,Calculations_APPURT[Model]&amp;ROW(Calculations_APPURT[Model]),Hazards_APPURT[qz],"",0,1),
_xlpm.Ka,     0.9,
_xlpm.Kd,     _xlfn.XLOOKUP(RIGHT(AM48, LEN(AM48)-4)&amp;ROW()-41,Calculations_APPURT[Model]&amp;ROW(Calculations_APPURT[Model]),Hazards_APPURT[Kd],"",0,1),
_xlpm.Kes,    Kes.w,
_xlpm.CaAa*_xlpm.qz*_xlpm.Ka*_xlpm.Kd),"")</f>
        <v/>
      </c>
      <c r="AU48" s="302" t="str" cm="1">
        <f t="array" ref="AU48">IFERROR(_xlfn.LET(
_xlpm.CaAa,   _xlfn.XLOOKUP(RIGHT(AM48, LEN(AM48)-4)&amp;ROW()-41,Calculations_APPURT[Model]&amp;ROW(Calculations_APPURT[Model]),Hazards_APPURT[Side CaAa],"",0,1),
_xlpm.qz,     _xlfn.XLOOKUP(RIGHT(AM48, LEN(AM48)-4)&amp;ROW()-41,Calculations_APPURT[Model]&amp;ROW(Calculations_APPURT[Model]),Hazards_APPURT[qz],"",0,1),
_xlpm.Ka,     0.9,
_xlpm.Kd,     _xlfn.XLOOKUP(RIGHT(AM48, LEN(AM48)-4)&amp;ROW()-41,Calculations_APPURT[Model]&amp;ROW(Calculations_APPURT[Model]),Hazards_APPURT[Kd],"",0,1),
_xlpm.Kes,    Kes.w,
_xlpm.CaAa*_xlpm.qz*_xlpm.Ka*_xlpm.Kd),"")</f>
        <v/>
      </c>
      <c r="AW48" s="217" t="str">
        <f>IF(Filter!AN7=0,"",Filter!AN7)</f>
        <v/>
      </c>
      <c r="AX48" s="217" t="str">
        <f>IF(Filter!AT7=0,"",Filter!AT7)</f>
        <v/>
      </c>
      <c r="AY48" s="217" t="str">
        <f>IF(Filter!AZ7=0,"",Filter!AZ7)</f>
        <v/>
      </c>
      <c r="AZ48" s="217" t="str">
        <f>IF(Filter!BF7=0,"",Filter!BF7)</f>
        <v/>
      </c>
      <c r="BA48"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_xlfn.XLOOKUP(AW48, Geometry!$B:$B, Geometry!$M:$M, "", 0, 1),
_xlpm.Pj, _xlfn.XLOOKUP(AW48,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48"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_xlfn.XLOOKUP(AX48, Geometry!$B:$B, Geometry!$M:$M, "", 0, 1),
_xlpm.Pj, _xlfn.XLOOKUP(AX48,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48"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_xlfn.XLOOKUP(AY48, Geometry!$B:$B, Geometry!$M:$M, "", 0, 1),
_xlpm.Pj, _xlfn.XLOOKUP(AY48,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48"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_xlfn.XLOOKUP(AZ48, Geometry!$B:$B, Geometry!$M:$M, "", 0, 1),
_xlpm.Pj, _xlfn.XLOOKUP(AZ48,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48" s="261" t="str">
        <f>IF(AM48="","",z + Filter!BN7/12 + Filter!BJ7/2/12)</f>
        <v/>
      </c>
      <c r="BF48" s="261" t="str">
        <f>IF(AM48="","",z + Filter!BN7/12 - Filter!BJ7/2/12)</f>
        <v/>
      </c>
      <c r="BG48" s="447"/>
      <c r="BH48" s="447"/>
      <c r="BI48" s="447"/>
      <c r="BJ48" s="447"/>
      <c r="BK48" s="447"/>
      <c r="BL48" s="447"/>
      <c r="BM48" s="447"/>
      <c r="BN48" s="447"/>
      <c r="BO48" s="447"/>
      <c r="BP48" s="447"/>
      <c r="BQ48" s="447"/>
    </row>
    <row r="49" spans="1:69" ht="15" customHeight="1" x14ac:dyDescent="0.2">
      <c r="K49" s="391" t="str">
        <f>IF(Results!U16="","",Results!U16)</f>
        <v/>
      </c>
      <c r="L49" s="391"/>
      <c r="M49" s="391" t="str">
        <f t="shared" si="0"/>
        <v/>
      </c>
      <c r="N49" s="391"/>
      <c r="O49" s="318" t="str" cm="1">
        <f t="array" ref="O49">IFERROR(IF(K49="","",IF(ResultsOption="Results - Envelope Solution",_xlfn.XLOOKUP(K49&amp;P49,Results!$S$4:$S$99999&amp;Results!$C$4:$C$99999,Results!$A$4:$A$99999),_xlfn.XLOOKUP(K49&amp;P49,#REF!&amp;#REF!,#REF!))),"N/A")</f>
        <v/>
      </c>
      <c r="P49" s="323" t="str">
        <f>IF(K49="","",IF(ResultsOption="Results - Envelope Solution",_xlfn.MAXIFS(Results!$C$3:$C$99999,Results!$S$3:$S$99999,K49),_xlfn.MAXIFS(#REF!,#REF!,K49)))</f>
        <v/>
      </c>
      <c r="Q49" s="318" t="str" cm="1">
        <f t="array" ref="Q49">IFERROR(IF(K49="","",IF(ResultsOption="Results - Envelope Solution",_xlfn.XLOOKUP(K49&amp;R49,Results!$S$4:$S$99999&amp;Results!$F$4:$F$99999,Results!$A$4:$A$99999),_xlfn.XLOOKUP(K49&amp;R49,#REF!&amp;#REF!,#REF!))),"N/A")</f>
        <v/>
      </c>
      <c r="R49" s="323" t="str">
        <f>IF(K49="","",IF(ResultsOption="Results - Envelope Solution",_xlfn.MAXIFS(Results!$F$3:$F$99999,Results!$S$3:$S$99999,K49),_xlfn.MAXIFS(#REF!,#REF!,K49)))</f>
        <v/>
      </c>
      <c r="S49" s="318" t="str">
        <f t="shared" si="1"/>
        <v/>
      </c>
      <c r="U49" s="474" t="str">
        <f>IF(ISBLANK('Discrete Loads'!B6),"",'Discrete Loads'!B6)</f>
        <v/>
      </c>
      <c r="V49" s="474"/>
      <c r="W49" s="341" t="str" cm="1">
        <f t="array" ref="W49">_xlfn.LET(
    _xlpm.model,        'Discrete Loads'!$B6,
    _xlpm.Shape,        'Discrete Loads'!$E6,
    _xlpm.Direction,    W$46,
    _xlpm.Azimuth,      0,
    _xlpm.CaAa_Front,   _xlfn.XLOOKUP(Code!$U49&amp;ROW()-43,Calculations_APPURT[Model]&amp;ROW('Discrete Loads'!B6),Hazards_APPURT[Ice Front CaAa],0,0,1),
    _xlpm.CaAa_Side,    _xlfn.XLOOKUP(Code!$U49&amp;ROW()-43,Calculations_APPURT[Model]&amp;ROW('Discrete Loads'!B6),Hazards_APPURT[Ice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X49" s="341" t="str" cm="1">
        <f t="array" ref="X49">_xlfn.LET(
    _xlpm.model,        'Discrete Loads'!$B6,
    _xlpm.Shape,        'Discrete Loads'!$E6,
    _xlpm.Direction,    X$46,
    _xlpm.Azimuth,      0,
    _xlpm.CaAa_Front,   _xlfn.XLOOKUP(Code!$U49&amp;ROW()-43,Calculations_APPURT[Model]&amp;ROW('Discrete Loads'!C6),Hazards_APPURT[Ice Front CaAa],0,0,1),
    _xlpm.CaAa_Side,    _xlfn.XLOOKUP(Code!$U49&amp;ROW()-43,Calculations_APPURT[Model]&amp;ROW('Discrete Loads'!C6),Hazards_APPURT[Ice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Y49" s="341" t="str" cm="1">
        <f t="array" ref="Y49">_xlfn.LET(
    _xlpm.model,        'Discrete Loads'!$B6,
    _xlpm.Shape,        'Discrete Loads'!$E6,
    _xlpm.Direction,    Y$46,
    _xlpm.Azimuth,      0,
    _xlpm.CaAa_Front,   _xlfn.XLOOKUP(Code!$U49&amp;ROW()-43,Calculations_APPURT[Model]&amp;ROW('Discrete Loads'!D6),Hazards_APPURT[Ice Front CaAa],0,0,1),
    _xlpm.CaAa_Side,    _xlfn.XLOOKUP(Code!$U49&amp;ROW()-43,Calculations_APPURT[Model]&amp;ROW('Discrete Loads'!D6),Hazards_APPURT[Ice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Z49" s="341" t="str" cm="1">
        <f t="array" ref="Z49">_xlfn.LET(
    _xlpm.model,        'Discrete Loads'!$B6,
    _xlpm.Shape,        'Discrete Loads'!$E6,
    _xlpm.Direction,    Z$46,
    _xlpm.Azimuth,      0,
    _xlpm.CaAa_Front,   _xlfn.XLOOKUP(Code!$U49&amp;ROW()-43,Calculations_APPURT[Model]&amp;ROW('Discrete Loads'!E6),Hazards_APPURT[Ice Front CaAa],0,0,1),
    _xlpm.CaAa_Side,    _xlfn.XLOOKUP(Code!$U49&amp;ROW()-43,Calculations_APPURT[Model]&amp;ROW('Discrete Loads'!E6),Hazards_APPURT[Ice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AA49" s="341" t="str" cm="1">
        <f t="array" ref="AA49">_xlfn.LET(
    _xlpm.model,        'Discrete Loads'!$B6,
    _xlpm.Shape,        'Discrete Loads'!$E6,
    _xlpm.Direction,    AA$46,
    _xlpm.Azimuth,      0,
    _xlpm.CaAa_Front,   _xlfn.XLOOKUP(Code!$U49&amp;ROW()-43,Calculations_APPURT[Model]&amp;ROW('Discrete Loads'!F6),Hazards_APPURT[Ice Front CaAa],0,0,1),
    _xlpm.CaAa_Side,    _xlfn.XLOOKUP(Code!$U49&amp;ROW()-43,Calculations_APPURT[Model]&amp;ROW('Discrete Loads'!F6),Hazards_APPURT[Ice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AB49" s="341" t="str" cm="1">
        <f t="array" ref="AB49">_xlfn.LET(
    _xlpm.model,        'Discrete Loads'!$B6,
    _xlpm.Shape,        'Discrete Loads'!$E6,
    _xlpm.Direction,    AB$46,
    _xlpm.Azimuth,      0,
    _xlpm.CaAa_Front,   _xlfn.XLOOKUP(Code!$U49&amp;ROW()-43,Calculations_APPURT[Model]&amp;ROW('Discrete Loads'!G6),Hazards_APPURT[Ice Front CaAa],0,0,1),
    _xlpm.CaAa_Side,    _xlfn.XLOOKUP(Code!$U49&amp;ROW()-43,Calculations_APPURT[Model]&amp;ROW('Discrete Loads'!G6),Hazards_APPURT[Ice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AC49" s="341" t="str" cm="1">
        <f t="array" ref="AC49">_xlfn.LET(
    _xlpm.model,        'Discrete Loads'!$B6,
    _xlpm.Shape,        'Discrete Loads'!$E6,
    _xlpm.Direction,    AC$46,
    _xlpm.Azimuth,      0,
    _xlpm.CaAa_Front,   _xlfn.XLOOKUP(Code!$U49&amp;ROW()-43,Calculations_APPURT[Model]&amp;ROW('Discrete Loads'!H6),Hazards_APPURT[Ice Front CaAa],0,0,1),
    _xlpm.CaAa_Side,    _xlfn.XLOOKUP(Code!$U49&amp;ROW()-43,Calculations_APPURT[Model]&amp;ROW('Discrete Loads'!H6),Hazards_APPURT[Ice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AD49" s="341" t="str" cm="1">
        <f t="array" ref="AD49">_xlfn.LET(
    _xlpm.model,        'Discrete Loads'!$B6,
    _xlpm.Shape,        'Discrete Loads'!$E6,
    _xlpm.Direction,    AD$46,
    _xlpm.Azimuth,      0,
    _xlpm.CaAa_Front,   _xlfn.XLOOKUP(Code!$U49&amp;ROW()-43,Calculations_APPURT[Model]&amp;ROW('Discrete Loads'!I6),Hazards_APPURT[Ice Front CaAa],0,0,1),
    _xlpm.CaAa_Side,    _xlfn.XLOOKUP(Code!$U49&amp;ROW()-43,Calculations_APPURT[Model]&amp;ROW('Discrete Loads'!I6),Hazards_APPURT[Ice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AE49" s="341" t="str" cm="1">
        <f t="array" ref="AE49">_xlfn.LET(
    _xlpm.model,        'Discrete Loads'!$B6,
    _xlpm.Shape,        'Discrete Loads'!$E6,
    _xlpm.Direction,    AE$46,
    _xlpm.Azimuth,      0,
    _xlpm.CaAa_Front,   _xlfn.XLOOKUP(Code!$U49&amp;ROW()-43,Calculations_APPURT[Model]&amp;ROW('Discrete Loads'!J6),Hazards_APPURT[Ice Front CaAa],0,0,1),
    _xlpm.CaAa_Side,    _xlfn.XLOOKUP(Code!$U49&amp;ROW()-43,Calculations_APPURT[Model]&amp;ROW('Discrete Loads'!J6),Hazards_APPURT[Ice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AF49" s="341" t="str" cm="1">
        <f t="array" ref="AF49">_xlfn.LET(
    _xlpm.model,        'Discrete Loads'!$B6,
    _xlpm.Shape,        'Discrete Loads'!$E6,
    _xlpm.Direction,    AF$46,
    _xlpm.Azimuth,      0,
    _xlpm.CaAa_Front,   _xlfn.XLOOKUP(Code!$U49&amp;ROW()-43,Calculations_APPURT[Model]&amp;ROW('Discrete Loads'!K6),Hazards_APPURT[Ice Front CaAa],0,0,1),
    _xlpm.CaAa_Side,    _xlfn.XLOOKUP(Code!$U49&amp;ROW()-43,Calculations_APPURT[Model]&amp;ROW('Discrete Loads'!K6),Hazards_APPURT[Ice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AG49" s="341" t="str" cm="1">
        <f t="array" ref="AG49">_xlfn.LET(
    _xlpm.model,        'Discrete Loads'!$B6,
    _xlpm.Shape,        'Discrete Loads'!$E6,
    _xlpm.Direction,    AG$46,
    _xlpm.Azimuth,      0,
    _xlpm.CaAa_Front,   _xlfn.XLOOKUP(Code!$U49&amp;ROW()-43,Calculations_APPURT[Model]&amp;ROW('Discrete Loads'!L6),Hazards_APPURT[Ice Front CaAa],0,0,1),
    _xlpm.CaAa_Side,    _xlfn.XLOOKUP(Code!$U49&amp;ROW()-43,Calculations_APPURT[Model]&amp;ROW('Discrete Loads'!L6),Hazards_APPURT[Ice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AH49" s="341" t="str" cm="1">
        <f t="array" ref="AH49">_xlfn.LET(
    _xlpm.model,        'Discrete Loads'!$B6,
    _xlpm.Shape,        'Discrete Loads'!$E6,
    _xlpm.Direction,    AH$46,
    _xlpm.Azimuth,      0,
    _xlpm.CaAa_Front,   _xlfn.XLOOKUP(Code!$U49&amp;ROW()-43,Calculations_APPURT[Model]&amp;ROW('Discrete Loads'!M6),Hazards_APPURT[Ice Front CaAa],0,0,1),
    _xlpm.CaAa_Side,    _xlfn.XLOOKUP(Code!$U49&amp;ROW()-43,Calculations_APPURT[Model]&amp;ROW('Discrete Loads'!M6),Hazards_APPURT[Ice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IF($U49="","",IF(_xlpm.Shape="CFD", _xlpm.CFD_val, _xlpm.CaAa_Front*COS(PI()/180*(_xlpm.Direction+_xlpm.Azimuth))^2 + _xlpm.CaAa_Side*SIN(PI()/180*(_xlpm.Direction+_xlpm.Azimuth))^2)))</f>
        <v/>
      </c>
      <c r="AI49" s="339" t="str">
        <f t="shared" si="3"/>
        <v/>
      </c>
      <c r="AJ49" s="363" t="str" cm="1">
        <f t="array" ref="AJ49">IF(U49="","",_xlfn.XLOOKUP($U49&amp;(ROW()-43),Calculations_APPURT[Model]&amp;ROW(Calculations_APPURT[Model]),Hazards_APPURT[qiz],"",0,1))</f>
        <v/>
      </c>
      <c r="AK49" s="366" t="str" cm="1">
        <f t="array" ref="AK49">IF(U49="","",_xlfn.XLOOKUP($U49&amp;(ROW()-43),Calculations_APPURT[Model]&amp;ROW(Calculations_APPURT[Model]),Hazards_APPURT[Ice Weight],"",0,1))</f>
        <v/>
      </c>
      <c r="AM49" s="462" t="str">
        <f>IFERROR(_xlfn.CONCAT("(",IF(Filter!AM8+Filter!AS8+Filter!AY8+Filter!BE8&gt;0,(Filter!AM8+Filter!AS8+Filter!AY8+Filter!BE8),""),") ",_xlfn._xlws.FILTER(Filter!AH8,Filter!AH8&lt;&gt;0)),"")</f>
        <v/>
      </c>
      <c r="AN49" s="462"/>
      <c r="AO49" s="462"/>
      <c r="AP49" s="327" t="str">
        <f>IF(AM49="","",z)</f>
        <v/>
      </c>
      <c r="AQ49" s="328" t="str">
        <f t="shared" si="2"/>
        <v/>
      </c>
      <c r="AR49" s="329" t="str">
        <f>IF(AM49="","",TRIM(SUBSTITUTE(_xlfn.TEXTJOIN(", ",TRUE,Filter!AL8,Filter!AR8,Filter!AX8,Filter!BD8),", 0","")))</f>
        <v/>
      </c>
      <c r="AS49" s="328" t="str" cm="1">
        <f t="array" ref="AS49">IF(AM49="","",_xlfn.TEXTJOIN(", ",TRUE,IF(BA49="","",ROUND(BA49*ConvertLength,1)),IF(BB49="","",ROUND(BB49*ConvertLength,1)),IF(BC49="","",ROUND(BC49*ConvertLength,1)),IF(BD49="","",ROUND(BD49*ConvertLength,1))))</f>
        <v/>
      </c>
      <c r="AT49" s="330" t="str" cm="1">
        <f t="array" ref="AT49">IFERROR(_xlfn.LET(
_xlpm.CaAa,   _xlfn.XLOOKUP(RIGHT(AM49, LEN(AM49)-4)&amp;ROW()-41,Calculations_APPURT[Model]&amp;ROW(Calculations_APPURT[Model]),Hazards_APPURT[Front CaAa],"",0,1),
_xlpm.qz,     _xlfn.XLOOKUP(RIGHT(AM49, LEN(AM49)-4)&amp;ROW()-41,Calculations_APPURT[Model]&amp;ROW(Calculations_APPURT[Model]),Hazards_APPURT[qz],"",0,1),
_xlpm.Ka,     0.9,
_xlpm.Kd,     _xlfn.XLOOKUP(RIGHT(AM49, LEN(AM49)-4)&amp;ROW()-41,Calculations_APPURT[Model]&amp;ROW(Calculations_APPURT[Model]),Hazards_APPURT[Kd],"",0,1),
_xlpm.Kes,    Kes.w,
_xlpm.CaAa*_xlpm.qz*_xlpm.Ka*_xlpm.Kd),"")</f>
        <v/>
      </c>
      <c r="AU49" s="330" t="str" cm="1">
        <f t="array" ref="AU49">IFERROR(_xlfn.LET(
_xlpm.CaAa,   _xlfn.XLOOKUP(RIGHT(AM49, LEN(AM49)-4)&amp;ROW()-41,Calculations_APPURT[Model]&amp;ROW(Calculations_APPURT[Model]),Hazards_APPURT[Side CaAa],"",0,1),
_xlpm.qz,     _xlfn.XLOOKUP(RIGHT(AM49, LEN(AM49)-4)&amp;ROW()-41,Calculations_APPURT[Model]&amp;ROW(Calculations_APPURT[Model]),Hazards_APPURT[qz],"",0,1),
_xlpm.Ka,     0.9,
_xlpm.Kd,     _xlfn.XLOOKUP(RIGHT(AM49, LEN(AM49)-4)&amp;ROW()-41,Calculations_APPURT[Model]&amp;ROW(Calculations_APPURT[Model]),Hazards_APPURT[Kd],"",0,1),
_xlpm.Kes,    Kes.w,
_xlpm.CaAa*_xlpm.qz*_xlpm.Ka*_xlpm.Kd),"")</f>
        <v/>
      </c>
      <c r="AW49" s="217" t="str">
        <f>IF(Filter!AN8=0,"",Filter!AN8)</f>
        <v/>
      </c>
      <c r="AX49" s="217" t="str">
        <f>IF(Filter!AT8=0,"",Filter!AT8)</f>
        <v/>
      </c>
      <c r="AY49" s="217" t="str">
        <f>IF(Filter!AZ8=0,"",Filter!AZ8)</f>
        <v/>
      </c>
      <c r="AZ49" s="217" t="str">
        <f>IF(Filter!BF8=0,"",Filter!BF8)</f>
        <v/>
      </c>
      <c r="BA49"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_xlfn.XLOOKUP(AW49, Geometry!$B:$B, Geometry!$M:$M, "", 0, 1),
_xlpm.Pj, _xlfn.XLOOKUP(AW49,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49"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_xlfn.XLOOKUP(AX49, Geometry!$B:$B, Geometry!$M:$M, "", 0, 1),
_xlpm.Pj, _xlfn.XLOOKUP(AX49,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49"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_xlfn.XLOOKUP(AY49, Geometry!$B:$B, Geometry!$M:$M, "", 0, 1),
_xlpm.Pj, _xlfn.XLOOKUP(AY49,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49"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_xlfn.XLOOKUP(AZ49, Geometry!$B:$B, Geometry!$M:$M, "", 0, 1),
_xlpm.Pj, _xlfn.XLOOKUP(AZ49,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49" s="261" t="str">
        <f>IF(AM49="","",z + Filter!BN8/12 + Filter!BJ8/2/12)</f>
        <v/>
      </c>
      <c r="BF49" s="261" t="str">
        <f>IF(AM49="","",z + Filter!BN8/12 - Filter!BJ8/2/12)</f>
        <v/>
      </c>
      <c r="BG49" s="447"/>
      <c r="BH49" s="447"/>
      <c r="BI49" s="447"/>
      <c r="BJ49" s="447"/>
      <c r="BK49" s="447"/>
      <c r="BL49" s="447"/>
      <c r="BM49" s="447"/>
      <c r="BN49" s="447"/>
      <c r="BO49" s="447"/>
      <c r="BP49" s="447"/>
      <c r="BQ49" s="447"/>
    </row>
    <row r="50" spans="1:69" ht="15" customHeight="1" x14ac:dyDescent="0.2">
      <c r="K50" s="393" t="str">
        <f>IF(Results!U17="","",Results!U17)</f>
        <v/>
      </c>
      <c r="L50" s="393"/>
      <c r="M50" s="393" t="str">
        <f t="shared" si="0"/>
        <v/>
      </c>
      <c r="N50" s="393"/>
      <c r="O50" s="69" t="str" cm="1">
        <f t="array" ref="O50">IFERROR(IF(K50="","",IF(ResultsOption="Results - Envelope Solution",_xlfn.XLOOKUP(K50&amp;P50,Results!$S$4:$S$99999&amp;Results!$C$4:$C$99999,Results!$A$4:$A$99999),_xlfn.XLOOKUP(K50&amp;P50,#REF!&amp;#REF!,#REF!))),"N/A")</f>
        <v/>
      </c>
      <c r="P50" s="70" t="str">
        <f>IF(K50="","",IF(ResultsOption="Results - Envelope Solution",_xlfn.MAXIFS(Results!$C$3:$C$99999,Results!$S$3:$S$99999,K50),_xlfn.MAXIFS(#REF!,#REF!,K50)))</f>
        <v/>
      </c>
      <c r="Q50" s="69" t="str" cm="1">
        <f t="array" ref="Q50">IFERROR(IF(K50="","",IF(ResultsOption="Results - Envelope Solution",_xlfn.XLOOKUP(K50&amp;R50,Results!$S$4:$S$99999&amp;Results!$F$4:$F$99999,Results!$A$4:$A$99999),_xlfn.XLOOKUP(K50&amp;R50,#REF!&amp;#REF!,#REF!))),"N/A")</f>
        <v/>
      </c>
      <c r="R50" s="70" t="str">
        <f>IF(K50="","",IF(ResultsOption="Results - Envelope Solution",_xlfn.MAXIFS(Results!$F$3:$F$99999,Results!$S$3:$S$99999,K50),_xlfn.MAXIFS(#REF!,#REF!,K50)))</f>
        <v/>
      </c>
      <c r="S50" s="69" t="str">
        <f t="shared" si="1"/>
        <v/>
      </c>
      <c r="U50" s="386" t="str">
        <f>IF(ISBLANK('Discrete Loads'!B7),"",'Discrete Loads'!B7)</f>
        <v/>
      </c>
      <c r="V50" s="386"/>
      <c r="W50" s="342" t="str" cm="1">
        <f t="array" ref="W50">_xlfn.LET(
    _xlpm.model,        'Discrete Loads'!$B7,
    _xlpm.Shape,        'Discrete Loads'!$E7,
    _xlpm.Direction,    W$46,
    _xlpm.Azimuth,      0,
    _xlpm.CaAa_Front,   _xlfn.XLOOKUP(Code!$U50&amp;ROW()-43,Calculations_APPURT[Model]&amp;ROW('Discrete Loads'!B7),Hazards_APPURT[Ice Front CaAa],0,0,1),
    _xlpm.CaAa_Side,    _xlfn.XLOOKUP(Code!$U50&amp;ROW()-43,Calculations_APPURT[Model]&amp;ROW('Discrete Loads'!B7),Hazards_APPURT[Ice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X50" s="342" t="str" cm="1">
        <f t="array" ref="X50">_xlfn.LET(
    _xlpm.model,        'Discrete Loads'!$B7,
    _xlpm.Shape,        'Discrete Loads'!$E7,
    _xlpm.Direction,    X$46,
    _xlpm.Azimuth,      0,
    _xlpm.CaAa_Front,   _xlfn.XLOOKUP(Code!$U50&amp;ROW()-43,Calculations_APPURT[Model]&amp;ROW('Discrete Loads'!C7),Hazards_APPURT[Ice Front CaAa],0,0,1),
    _xlpm.CaAa_Side,    _xlfn.XLOOKUP(Code!$U50&amp;ROW()-43,Calculations_APPURT[Model]&amp;ROW('Discrete Loads'!C7),Hazards_APPURT[Ice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Y50" s="342" t="str" cm="1">
        <f t="array" ref="Y50">_xlfn.LET(
    _xlpm.model,        'Discrete Loads'!$B7,
    _xlpm.Shape,        'Discrete Loads'!$E7,
    _xlpm.Direction,    Y$46,
    _xlpm.Azimuth,      0,
    _xlpm.CaAa_Front,   _xlfn.XLOOKUP(Code!$U50&amp;ROW()-43,Calculations_APPURT[Model]&amp;ROW('Discrete Loads'!D7),Hazards_APPURT[Ice Front CaAa],0,0,1),
    _xlpm.CaAa_Side,    _xlfn.XLOOKUP(Code!$U50&amp;ROW()-43,Calculations_APPURT[Model]&amp;ROW('Discrete Loads'!D7),Hazards_APPURT[Ice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Z50" s="342" t="str" cm="1">
        <f t="array" ref="Z50">_xlfn.LET(
    _xlpm.model,        'Discrete Loads'!$B7,
    _xlpm.Shape,        'Discrete Loads'!$E7,
    _xlpm.Direction,    Z$46,
    _xlpm.Azimuth,      0,
    _xlpm.CaAa_Front,   _xlfn.XLOOKUP(Code!$U50&amp;ROW()-43,Calculations_APPURT[Model]&amp;ROW('Discrete Loads'!E7),Hazards_APPURT[Ice Front CaAa],0,0,1),
    _xlpm.CaAa_Side,    _xlfn.XLOOKUP(Code!$U50&amp;ROW()-43,Calculations_APPURT[Model]&amp;ROW('Discrete Loads'!E7),Hazards_APPURT[Ice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AA50" s="342" t="str" cm="1">
        <f t="array" ref="AA50">_xlfn.LET(
    _xlpm.model,        'Discrete Loads'!$B7,
    _xlpm.Shape,        'Discrete Loads'!$E7,
    _xlpm.Direction,    AA$46,
    _xlpm.Azimuth,      0,
    _xlpm.CaAa_Front,   _xlfn.XLOOKUP(Code!$U50&amp;ROW()-43,Calculations_APPURT[Model]&amp;ROW('Discrete Loads'!F7),Hazards_APPURT[Ice Front CaAa],0,0,1),
    _xlpm.CaAa_Side,    _xlfn.XLOOKUP(Code!$U50&amp;ROW()-43,Calculations_APPURT[Model]&amp;ROW('Discrete Loads'!F7),Hazards_APPURT[Ice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AB50" s="342" t="str" cm="1">
        <f t="array" ref="AB50">_xlfn.LET(
    _xlpm.model,        'Discrete Loads'!$B7,
    _xlpm.Shape,        'Discrete Loads'!$E7,
    _xlpm.Direction,    AB$46,
    _xlpm.Azimuth,      0,
    _xlpm.CaAa_Front,   _xlfn.XLOOKUP(Code!$U50&amp;ROW()-43,Calculations_APPURT[Model]&amp;ROW('Discrete Loads'!G7),Hazards_APPURT[Ice Front CaAa],0,0,1),
    _xlpm.CaAa_Side,    _xlfn.XLOOKUP(Code!$U50&amp;ROW()-43,Calculations_APPURT[Model]&amp;ROW('Discrete Loads'!G7),Hazards_APPURT[Ice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AC50" s="342" t="str" cm="1">
        <f t="array" ref="AC50">_xlfn.LET(
    _xlpm.model,        'Discrete Loads'!$B7,
    _xlpm.Shape,        'Discrete Loads'!$E7,
    _xlpm.Direction,    AC$46,
    _xlpm.Azimuth,      0,
    _xlpm.CaAa_Front,   _xlfn.XLOOKUP(Code!$U50&amp;ROW()-43,Calculations_APPURT[Model]&amp;ROW('Discrete Loads'!H7),Hazards_APPURT[Ice Front CaAa],0,0,1),
    _xlpm.CaAa_Side,    _xlfn.XLOOKUP(Code!$U50&amp;ROW()-43,Calculations_APPURT[Model]&amp;ROW('Discrete Loads'!H7),Hazards_APPURT[Ice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AD50" s="342" t="str" cm="1">
        <f t="array" ref="AD50">_xlfn.LET(
    _xlpm.model,        'Discrete Loads'!$B7,
    _xlpm.Shape,        'Discrete Loads'!$E7,
    _xlpm.Direction,    AD$46,
    _xlpm.Azimuth,      0,
    _xlpm.CaAa_Front,   _xlfn.XLOOKUP(Code!$U50&amp;ROW()-43,Calculations_APPURT[Model]&amp;ROW('Discrete Loads'!I7),Hazards_APPURT[Ice Front CaAa],0,0,1),
    _xlpm.CaAa_Side,    _xlfn.XLOOKUP(Code!$U50&amp;ROW()-43,Calculations_APPURT[Model]&amp;ROW('Discrete Loads'!I7),Hazards_APPURT[Ice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AE50" s="342" t="str" cm="1">
        <f t="array" ref="AE50">_xlfn.LET(
    _xlpm.model,        'Discrete Loads'!$B7,
    _xlpm.Shape,        'Discrete Loads'!$E7,
    _xlpm.Direction,    AE$46,
    _xlpm.Azimuth,      0,
    _xlpm.CaAa_Front,   _xlfn.XLOOKUP(Code!$U50&amp;ROW()-43,Calculations_APPURT[Model]&amp;ROW('Discrete Loads'!J7),Hazards_APPURT[Ice Front CaAa],0,0,1),
    _xlpm.CaAa_Side,    _xlfn.XLOOKUP(Code!$U50&amp;ROW()-43,Calculations_APPURT[Model]&amp;ROW('Discrete Loads'!J7),Hazards_APPURT[Ice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AF50" s="342" t="str" cm="1">
        <f t="array" ref="AF50">_xlfn.LET(
    _xlpm.model,        'Discrete Loads'!$B7,
    _xlpm.Shape,        'Discrete Loads'!$E7,
    _xlpm.Direction,    AF$46,
    _xlpm.Azimuth,      0,
    _xlpm.CaAa_Front,   _xlfn.XLOOKUP(Code!$U50&amp;ROW()-43,Calculations_APPURT[Model]&amp;ROW('Discrete Loads'!K7),Hazards_APPURT[Ice Front CaAa],0,0,1),
    _xlpm.CaAa_Side,    _xlfn.XLOOKUP(Code!$U50&amp;ROW()-43,Calculations_APPURT[Model]&amp;ROW('Discrete Loads'!K7),Hazards_APPURT[Ice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AG50" s="342" t="str" cm="1">
        <f t="array" ref="AG50">_xlfn.LET(
    _xlpm.model,        'Discrete Loads'!$B7,
    _xlpm.Shape,        'Discrete Loads'!$E7,
    _xlpm.Direction,    AG$46,
    _xlpm.Azimuth,      0,
    _xlpm.CaAa_Front,   _xlfn.XLOOKUP(Code!$U50&amp;ROW()-43,Calculations_APPURT[Model]&amp;ROW('Discrete Loads'!L7),Hazards_APPURT[Ice Front CaAa],0,0,1),
    _xlpm.CaAa_Side,    _xlfn.XLOOKUP(Code!$U50&amp;ROW()-43,Calculations_APPURT[Model]&amp;ROW('Discrete Loads'!L7),Hazards_APPURT[Ice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AH50" s="342" t="str" cm="1">
        <f t="array" ref="AH50">_xlfn.LET(
    _xlpm.model,        'Discrete Loads'!$B7,
    _xlpm.Shape,        'Discrete Loads'!$E7,
    _xlpm.Direction,    AH$46,
    _xlpm.Azimuth,      0,
    _xlpm.CaAa_Front,   _xlfn.XLOOKUP(Code!$U50&amp;ROW()-43,Calculations_APPURT[Model]&amp;ROW('Discrete Loads'!M7),Hazards_APPURT[Ice Front CaAa],0,0,1),
    _xlpm.CaAa_Side,    _xlfn.XLOOKUP(Code!$U50&amp;ROW()-43,Calculations_APPURT[Model]&amp;ROW('Discrete Loads'!M7),Hazards_APPURT[Ice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IF($U50="","",IF(_xlpm.Shape="CFD", _xlpm.CFD_val, _xlpm.CaAa_Front*COS(PI()/180*(_xlpm.Direction+_xlpm.Azimuth))^2 + _xlpm.CaAa_Side*SIN(PI()/180*(_xlpm.Direction+_xlpm.Azimuth))^2)))</f>
        <v/>
      </c>
      <c r="AI50" s="340" t="str">
        <f t="shared" si="3"/>
        <v/>
      </c>
      <c r="AJ50" s="364" t="str" cm="1">
        <f t="array" ref="AJ50">IF(U50="","",_xlfn.XLOOKUP($U50&amp;(ROW()-43),Calculations_APPURT[Model]&amp;ROW(Calculations_APPURT[Model]),Hazards_APPURT[qiz],"",0,1))</f>
        <v/>
      </c>
      <c r="AK50" s="367" t="str" cm="1">
        <f t="array" ref="AK50">IF(U50="","",_xlfn.XLOOKUP($U50&amp;(ROW()-43),Calculations_APPURT[Model]&amp;ROW(Calculations_APPURT[Model]),Hazards_APPURT[Ice Weight],"",0,1))</f>
        <v/>
      </c>
      <c r="AM50" s="461" t="str">
        <f>IFERROR(_xlfn.CONCAT("(",IF(Filter!AM9+Filter!AS9+Filter!AY9+Filter!BE9&gt;0,(Filter!AM9+Filter!AS9+Filter!AY9+Filter!BE9),""),") ",_xlfn._xlws.FILTER(Filter!AH9,Filter!AH9&lt;&gt;0)),"")</f>
        <v/>
      </c>
      <c r="AN50" s="461"/>
      <c r="AO50" s="461"/>
      <c r="AP50" s="301" t="str">
        <f>IF(AM50="","",z)</f>
        <v/>
      </c>
      <c r="AQ50" s="69" t="str">
        <f t="shared" si="2"/>
        <v/>
      </c>
      <c r="AR50" s="187" t="str">
        <f>IF(AM50="","",TRIM(SUBSTITUTE(_xlfn.TEXTJOIN(", ",TRUE,Filter!AL9,Filter!AR9,Filter!AX9,Filter!BD9),", 0","")))</f>
        <v/>
      </c>
      <c r="AS50" s="69" t="str" cm="1">
        <f t="array" ref="AS50">IF(AM50="","",_xlfn.TEXTJOIN(", ",TRUE,IF(BA50="","",ROUND(BA50*ConvertLength,1)),IF(BB50="","",ROUND(BB50*ConvertLength,1)),IF(BC50="","",ROUND(BC50*ConvertLength,1)),IF(BD50="","",ROUND(BD50*ConvertLength,1))))</f>
        <v/>
      </c>
      <c r="AT50" s="302" t="str" cm="1">
        <f t="array" ref="AT50">IFERROR(_xlfn.LET(
_xlpm.CaAa,   _xlfn.XLOOKUP(RIGHT(AM50, LEN(AM50)-4)&amp;ROW()-41,Calculations_APPURT[Model]&amp;ROW(Calculations_APPURT[Model]),Hazards_APPURT[Front CaAa],"",0,1),
_xlpm.qz,     _xlfn.XLOOKUP(RIGHT(AM50, LEN(AM50)-4)&amp;ROW()-41,Calculations_APPURT[Model]&amp;ROW(Calculations_APPURT[Model]),Hazards_APPURT[qz],"",0,1),
_xlpm.Ka,     0.9,
_xlpm.Kd,     _xlfn.XLOOKUP(RIGHT(AM50, LEN(AM50)-4)&amp;ROW()-41,Calculations_APPURT[Model]&amp;ROW(Calculations_APPURT[Model]),Hazards_APPURT[Kd],"",0,1),
_xlpm.Kes,    Kes.w,
_xlpm.CaAa*_xlpm.qz*_xlpm.Ka*_xlpm.Kd),"")</f>
        <v/>
      </c>
      <c r="AU50" s="302" t="str" cm="1">
        <f t="array" ref="AU50">IFERROR(_xlfn.LET(
_xlpm.CaAa,   _xlfn.XLOOKUP(RIGHT(AM50, LEN(AM50)-4)&amp;ROW()-41,Calculations_APPURT[Model]&amp;ROW(Calculations_APPURT[Model]),Hazards_APPURT[Side CaAa],"",0,1),
_xlpm.qz,     _xlfn.XLOOKUP(RIGHT(AM50, LEN(AM50)-4)&amp;ROW()-41,Calculations_APPURT[Model]&amp;ROW(Calculations_APPURT[Model]),Hazards_APPURT[qz],"",0,1),
_xlpm.Ka,     0.9,
_xlpm.Kd,     _xlfn.XLOOKUP(RIGHT(AM50, LEN(AM50)-4)&amp;ROW()-41,Calculations_APPURT[Model]&amp;ROW(Calculations_APPURT[Model]),Hazards_APPURT[Kd],"",0,1),
_xlpm.Kes,    Kes.w,
_xlpm.CaAa*_xlpm.qz*_xlpm.Ka*_xlpm.Kd),"")</f>
        <v/>
      </c>
      <c r="AW50" s="217" t="str">
        <f>IF(Filter!AN9=0,"",Filter!AN9)</f>
        <v/>
      </c>
      <c r="AX50" s="217" t="str">
        <f>IF(Filter!AT9=0,"",Filter!AT9)</f>
        <v/>
      </c>
      <c r="AY50" s="217" t="str">
        <f>IF(Filter!AZ9=0,"",Filter!AZ9)</f>
        <v/>
      </c>
      <c r="AZ50" s="217" t="str">
        <f>IF(Filter!BF9=0,"",Filter!BF9)</f>
        <v/>
      </c>
      <c r="BA50"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_xlfn.XLOOKUP(AW50, Geometry!$B:$B, Geometry!$M:$M, "", 0, 1),
_xlpm.Pj, _xlfn.XLOOKUP(AW50,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0"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_xlfn.XLOOKUP(AX50, Geometry!$B:$B, Geometry!$M:$M, "", 0, 1),
_xlpm.Pj, _xlfn.XLOOKUP(AX50,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0"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_xlfn.XLOOKUP(AY50, Geometry!$B:$B, Geometry!$M:$M, "", 0, 1),
_xlpm.Pj, _xlfn.XLOOKUP(AY50,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0"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_xlfn.XLOOKUP(AZ50, Geometry!$B:$B, Geometry!$M:$M, "", 0, 1),
_xlpm.Pj, _xlfn.XLOOKUP(AZ50,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0" s="261" t="str">
        <f>IF(AM50="","",z + Filter!BN9/12 + Filter!BJ9/2/12)</f>
        <v/>
      </c>
      <c r="BF50" s="261" t="str">
        <f>IF(AM50="","",z + Filter!BN9/12 - Filter!BJ9/2/12)</f>
        <v/>
      </c>
      <c r="BG50" s="447"/>
      <c r="BH50" s="447"/>
      <c r="BI50" s="447"/>
      <c r="BJ50" s="447"/>
      <c r="BK50" s="447"/>
      <c r="BL50" s="447"/>
      <c r="BM50" s="447"/>
      <c r="BN50" s="447"/>
      <c r="BO50" s="447"/>
      <c r="BP50" s="447"/>
      <c r="BQ50" s="447"/>
    </row>
    <row r="51" spans="1:69" ht="15" customHeight="1" x14ac:dyDescent="0.2">
      <c r="K51" s="391" t="str">
        <f>IF(Results!U18="","",Results!U18)</f>
        <v/>
      </c>
      <c r="L51" s="391"/>
      <c r="M51" s="391" t="str">
        <f t="shared" si="0"/>
        <v/>
      </c>
      <c r="N51" s="391"/>
      <c r="O51" s="318" t="str" cm="1">
        <f t="array" ref="O51">IFERROR(IF(K51="","",IF(ResultsOption="Results - Envelope Solution",_xlfn.XLOOKUP(K51&amp;P51,Results!$S$4:$S$99999&amp;Results!$C$4:$C$99999,Results!$A$4:$A$99999),_xlfn.XLOOKUP(K51&amp;P51,#REF!&amp;#REF!,#REF!))),"N/A")</f>
        <v/>
      </c>
      <c r="P51" s="323" t="str">
        <f>IF(K51="","",IF(ResultsOption="Results - Envelope Solution",_xlfn.MAXIFS(Results!$C$3:$C$99999,Results!$S$3:$S$99999,K51),_xlfn.MAXIFS(#REF!,#REF!,K51)))</f>
        <v/>
      </c>
      <c r="Q51" s="318" t="str" cm="1">
        <f t="array" ref="Q51">IFERROR(IF(K51="","",IF(ResultsOption="Results - Envelope Solution",_xlfn.XLOOKUP(K51&amp;R51,Results!$S$4:$S$99999&amp;Results!$F$4:$F$99999,Results!$A$4:$A$99999),_xlfn.XLOOKUP(K51&amp;R51,#REF!&amp;#REF!,#REF!))),"N/A")</f>
        <v/>
      </c>
      <c r="R51" s="323" t="str">
        <f>IF(K51="","",IF(ResultsOption="Results - Envelope Solution",_xlfn.MAXIFS(Results!$F$3:$F$99999,Results!$S$3:$S$99999,K51),_xlfn.MAXIFS(#REF!,#REF!,K51)))</f>
        <v/>
      </c>
      <c r="S51" s="318" t="str">
        <f t="shared" si="1"/>
        <v/>
      </c>
      <c r="U51" s="474" t="str">
        <f>IF(ISBLANK('Discrete Loads'!B8),"",'Discrete Loads'!B8)</f>
        <v/>
      </c>
      <c r="V51" s="474"/>
      <c r="W51" s="341" t="str" cm="1">
        <f t="array" ref="W51">_xlfn.LET(
    _xlpm.model,        'Discrete Loads'!$B8,
    _xlpm.Shape,        'Discrete Loads'!$E8,
    _xlpm.Direction,    W$46,
    _xlpm.Azimuth,      0,
    _xlpm.CaAa_Front,   _xlfn.XLOOKUP(Code!$U51&amp;ROW()-43,Calculations_APPURT[Model]&amp;ROW('Discrete Loads'!B8),Hazards_APPURT[Ice Front CaAa],0,0,1),
    _xlpm.CaAa_Side,    _xlfn.XLOOKUP(Code!$U51&amp;ROW()-43,Calculations_APPURT[Model]&amp;ROW('Discrete Loads'!B8),Hazards_APPURT[Ice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X51" s="341" t="str" cm="1">
        <f t="array" ref="X51">_xlfn.LET(
    _xlpm.model,        'Discrete Loads'!$B8,
    _xlpm.Shape,        'Discrete Loads'!$E8,
    _xlpm.Direction,    X$46,
    _xlpm.Azimuth,      0,
    _xlpm.CaAa_Front,   _xlfn.XLOOKUP(Code!$U51&amp;ROW()-43,Calculations_APPURT[Model]&amp;ROW('Discrete Loads'!C8),Hazards_APPURT[Ice Front CaAa],0,0,1),
    _xlpm.CaAa_Side,    _xlfn.XLOOKUP(Code!$U51&amp;ROW()-43,Calculations_APPURT[Model]&amp;ROW('Discrete Loads'!C8),Hazards_APPURT[Ice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Y51" s="341" t="str" cm="1">
        <f t="array" ref="Y51">_xlfn.LET(
    _xlpm.model,        'Discrete Loads'!$B8,
    _xlpm.Shape,        'Discrete Loads'!$E8,
    _xlpm.Direction,    Y$46,
    _xlpm.Azimuth,      0,
    _xlpm.CaAa_Front,   _xlfn.XLOOKUP(Code!$U51&amp;ROW()-43,Calculations_APPURT[Model]&amp;ROW('Discrete Loads'!D8),Hazards_APPURT[Ice Front CaAa],0,0,1),
    _xlpm.CaAa_Side,    _xlfn.XLOOKUP(Code!$U51&amp;ROW()-43,Calculations_APPURT[Model]&amp;ROW('Discrete Loads'!D8),Hazards_APPURT[Ice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Z51" s="341" t="str" cm="1">
        <f t="array" ref="Z51">_xlfn.LET(
    _xlpm.model,        'Discrete Loads'!$B8,
    _xlpm.Shape,        'Discrete Loads'!$E8,
    _xlpm.Direction,    Z$46,
    _xlpm.Azimuth,      0,
    _xlpm.CaAa_Front,   _xlfn.XLOOKUP(Code!$U51&amp;ROW()-43,Calculations_APPURT[Model]&amp;ROW('Discrete Loads'!E8),Hazards_APPURT[Ice Front CaAa],0,0,1),
    _xlpm.CaAa_Side,    _xlfn.XLOOKUP(Code!$U51&amp;ROW()-43,Calculations_APPURT[Model]&amp;ROW('Discrete Loads'!E8),Hazards_APPURT[Ice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AA51" s="341" t="str" cm="1">
        <f t="array" ref="AA51">_xlfn.LET(
    _xlpm.model,        'Discrete Loads'!$B8,
    _xlpm.Shape,        'Discrete Loads'!$E8,
    _xlpm.Direction,    AA$46,
    _xlpm.Azimuth,      0,
    _xlpm.CaAa_Front,   _xlfn.XLOOKUP(Code!$U51&amp;ROW()-43,Calculations_APPURT[Model]&amp;ROW('Discrete Loads'!F8),Hazards_APPURT[Ice Front CaAa],0,0,1),
    _xlpm.CaAa_Side,    _xlfn.XLOOKUP(Code!$U51&amp;ROW()-43,Calculations_APPURT[Model]&amp;ROW('Discrete Loads'!F8),Hazards_APPURT[Ice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AB51" s="341" t="str" cm="1">
        <f t="array" ref="AB51">_xlfn.LET(
    _xlpm.model,        'Discrete Loads'!$B8,
    _xlpm.Shape,        'Discrete Loads'!$E8,
    _xlpm.Direction,    AB$46,
    _xlpm.Azimuth,      0,
    _xlpm.CaAa_Front,   _xlfn.XLOOKUP(Code!$U51&amp;ROW()-43,Calculations_APPURT[Model]&amp;ROW('Discrete Loads'!G8),Hazards_APPURT[Ice Front CaAa],0,0,1),
    _xlpm.CaAa_Side,    _xlfn.XLOOKUP(Code!$U51&amp;ROW()-43,Calculations_APPURT[Model]&amp;ROW('Discrete Loads'!G8),Hazards_APPURT[Ice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AC51" s="341" t="str" cm="1">
        <f t="array" ref="AC51">_xlfn.LET(
    _xlpm.model,        'Discrete Loads'!$B8,
    _xlpm.Shape,        'Discrete Loads'!$E8,
    _xlpm.Direction,    AC$46,
    _xlpm.Azimuth,      0,
    _xlpm.CaAa_Front,   _xlfn.XLOOKUP(Code!$U51&amp;ROW()-43,Calculations_APPURT[Model]&amp;ROW('Discrete Loads'!H8),Hazards_APPURT[Ice Front CaAa],0,0,1),
    _xlpm.CaAa_Side,    _xlfn.XLOOKUP(Code!$U51&amp;ROW()-43,Calculations_APPURT[Model]&amp;ROW('Discrete Loads'!H8),Hazards_APPURT[Ice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AD51" s="341" t="str" cm="1">
        <f t="array" ref="AD51">_xlfn.LET(
    _xlpm.model,        'Discrete Loads'!$B8,
    _xlpm.Shape,        'Discrete Loads'!$E8,
    _xlpm.Direction,    AD$46,
    _xlpm.Azimuth,      0,
    _xlpm.CaAa_Front,   _xlfn.XLOOKUP(Code!$U51&amp;ROW()-43,Calculations_APPURT[Model]&amp;ROW('Discrete Loads'!I8),Hazards_APPURT[Ice Front CaAa],0,0,1),
    _xlpm.CaAa_Side,    _xlfn.XLOOKUP(Code!$U51&amp;ROW()-43,Calculations_APPURT[Model]&amp;ROW('Discrete Loads'!I8),Hazards_APPURT[Ice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AE51" s="341" t="str" cm="1">
        <f t="array" ref="AE51">_xlfn.LET(
    _xlpm.model,        'Discrete Loads'!$B8,
    _xlpm.Shape,        'Discrete Loads'!$E8,
    _xlpm.Direction,    AE$46,
    _xlpm.Azimuth,      0,
    _xlpm.CaAa_Front,   _xlfn.XLOOKUP(Code!$U51&amp;ROW()-43,Calculations_APPURT[Model]&amp;ROW('Discrete Loads'!J8),Hazards_APPURT[Ice Front CaAa],0,0,1),
    _xlpm.CaAa_Side,    _xlfn.XLOOKUP(Code!$U51&amp;ROW()-43,Calculations_APPURT[Model]&amp;ROW('Discrete Loads'!J8),Hazards_APPURT[Ice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AF51" s="341" t="str" cm="1">
        <f t="array" ref="AF51">_xlfn.LET(
    _xlpm.model,        'Discrete Loads'!$B8,
    _xlpm.Shape,        'Discrete Loads'!$E8,
    _xlpm.Direction,    AF$46,
    _xlpm.Azimuth,      0,
    _xlpm.CaAa_Front,   _xlfn.XLOOKUP(Code!$U51&amp;ROW()-43,Calculations_APPURT[Model]&amp;ROW('Discrete Loads'!K8),Hazards_APPURT[Ice Front CaAa],0,0,1),
    _xlpm.CaAa_Side,    _xlfn.XLOOKUP(Code!$U51&amp;ROW()-43,Calculations_APPURT[Model]&amp;ROW('Discrete Loads'!K8),Hazards_APPURT[Ice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AG51" s="341" t="str" cm="1">
        <f t="array" ref="AG51">_xlfn.LET(
    _xlpm.model,        'Discrete Loads'!$B8,
    _xlpm.Shape,        'Discrete Loads'!$E8,
    _xlpm.Direction,    AG$46,
    _xlpm.Azimuth,      0,
    _xlpm.CaAa_Front,   _xlfn.XLOOKUP(Code!$U51&amp;ROW()-43,Calculations_APPURT[Model]&amp;ROW('Discrete Loads'!L8),Hazards_APPURT[Ice Front CaAa],0,0,1),
    _xlpm.CaAa_Side,    _xlfn.XLOOKUP(Code!$U51&amp;ROW()-43,Calculations_APPURT[Model]&amp;ROW('Discrete Loads'!L8),Hazards_APPURT[Ice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AH51" s="341" t="str" cm="1">
        <f t="array" ref="AH51">_xlfn.LET(
    _xlpm.model,        'Discrete Loads'!$B8,
    _xlpm.Shape,        'Discrete Loads'!$E8,
    _xlpm.Direction,    AH$46,
    _xlpm.Azimuth,      0,
    _xlpm.CaAa_Front,   _xlfn.XLOOKUP(Code!$U51&amp;ROW()-43,Calculations_APPURT[Model]&amp;ROW('Discrete Loads'!M8),Hazards_APPURT[Ice Front CaAa],0,0,1),
    _xlpm.CaAa_Side,    _xlfn.XLOOKUP(Code!$U51&amp;ROW()-43,Calculations_APPURT[Model]&amp;ROW('Discrete Loads'!M8),Hazards_APPURT[Ice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IF($U51="","",IF(_xlpm.Shape="CFD", _xlpm.CFD_val, _xlpm.CaAa_Front*COS(PI()/180*(_xlpm.Direction+_xlpm.Azimuth))^2 + _xlpm.CaAa_Side*SIN(PI()/180*(_xlpm.Direction+_xlpm.Azimuth))^2)))</f>
        <v/>
      </c>
      <c r="AI51" s="339" t="str">
        <f t="shared" si="3"/>
        <v/>
      </c>
      <c r="AJ51" s="363" t="str" cm="1">
        <f t="array" ref="AJ51">IF(U51="","",_xlfn.XLOOKUP($U51&amp;(ROW()-43),Calculations_APPURT[Model]&amp;ROW(Calculations_APPURT[Model]),Hazards_APPURT[qiz],"",0,1))</f>
        <v/>
      </c>
      <c r="AK51" s="366" t="str" cm="1">
        <f t="array" ref="AK51">IF(U51="","",_xlfn.XLOOKUP($U51&amp;(ROW()-43),Calculations_APPURT[Model]&amp;ROW(Calculations_APPURT[Model]),Hazards_APPURT[Ice Weight],"",0,1))</f>
        <v/>
      </c>
      <c r="AM51" s="462" t="str">
        <f>IFERROR(_xlfn.CONCAT("(",IF(Filter!AM10+Filter!AS10+Filter!AY10+Filter!BE10&gt;0,(Filter!AM10+Filter!AS10+Filter!AY10+Filter!BE10),""),") ",_xlfn._xlws.FILTER(Filter!AH10,Filter!AH10&lt;&gt;0)),"")</f>
        <v/>
      </c>
      <c r="AN51" s="462"/>
      <c r="AO51" s="462"/>
      <c r="AP51" s="327" t="str">
        <f>IF(AM51="","",z)</f>
        <v/>
      </c>
      <c r="AQ51" s="328" t="str">
        <f t="shared" si="2"/>
        <v/>
      </c>
      <c r="AR51" s="329" t="str">
        <f>IF(AM51="","",TRIM(SUBSTITUTE(_xlfn.TEXTJOIN(", ",TRUE,Filter!AL10,Filter!AR10,Filter!AX10,Filter!BD10),", 0","")))</f>
        <v/>
      </c>
      <c r="AS51" s="328" t="str" cm="1">
        <f t="array" ref="AS51">IF(AM51="","",_xlfn.TEXTJOIN(", ",TRUE,IF(BA51="","",ROUND(BA51*ConvertLength,1)),IF(BB51="","",ROUND(BB51*ConvertLength,1)),IF(BC51="","",ROUND(BC51*ConvertLength,1)),IF(BD51="","",ROUND(BD51*ConvertLength,1))))</f>
        <v/>
      </c>
      <c r="AT51" s="330" t="str" cm="1">
        <f t="array" ref="AT51">IFERROR(_xlfn.LET(
_xlpm.CaAa,   _xlfn.XLOOKUP(RIGHT(AM51, LEN(AM51)-4)&amp;ROW()-41,Calculations_APPURT[Model]&amp;ROW(Calculations_APPURT[Model]),Hazards_APPURT[Front CaAa],"",0,1),
_xlpm.qz,     _xlfn.XLOOKUP(RIGHT(AM51, LEN(AM51)-4)&amp;ROW()-41,Calculations_APPURT[Model]&amp;ROW(Calculations_APPURT[Model]),Hazards_APPURT[qz],"",0,1),
_xlpm.Ka,     0.9,
_xlpm.Kd,     _xlfn.XLOOKUP(RIGHT(AM51, LEN(AM51)-4)&amp;ROW()-41,Calculations_APPURT[Model]&amp;ROW(Calculations_APPURT[Model]),Hazards_APPURT[Kd],"",0,1),
_xlpm.Kes,    Kes.w,
_xlpm.CaAa*_xlpm.qz*_xlpm.Ka*_xlpm.Kd),"")</f>
        <v/>
      </c>
      <c r="AU51" s="330" t="str" cm="1">
        <f t="array" ref="AU51">IFERROR(_xlfn.LET(
_xlpm.CaAa,   _xlfn.XLOOKUP(RIGHT(AM51, LEN(AM51)-4)&amp;ROW()-41,Calculations_APPURT[Model]&amp;ROW(Calculations_APPURT[Model]),Hazards_APPURT[Side CaAa],"",0,1),
_xlpm.qz,     _xlfn.XLOOKUP(RIGHT(AM51, LEN(AM51)-4)&amp;ROW()-41,Calculations_APPURT[Model]&amp;ROW(Calculations_APPURT[Model]),Hazards_APPURT[qz],"",0,1),
_xlpm.Ka,     0.9,
_xlpm.Kd,     _xlfn.XLOOKUP(RIGHT(AM51, LEN(AM51)-4)&amp;ROW()-41,Calculations_APPURT[Model]&amp;ROW(Calculations_APPURT[Model]),Hazards_APPURT[Kd],"",0,1),
_xlpm.Kes,    Kes.w,
_xlpm.CaAa*_xlpm.qz*_xlpm.Ka*_xlpm.Kd),"")</f>
        <v/>
      </c>
      <c r="AW51" s="217" t="str">
        <f>IF(Filter!AN10=0,"",Filter!AN10)</f>
        <v/>
      </c>
      <c r="AX51" s="217" t="str">
        <f>IF(Filter!AT10=0,"",Filter!AT10)</f>
        <v/>
      </c>
      <c r="AY51" s="217" t="str">
        <f>IF(Filter!AZ10=0,"",Filter!AZ10)</f>
        <v/>
      </c>
      <c r="AZ51" s="217" t="str">
        <f>IF(Filter!BF10=0,"",Filter!BF10)</f>
        <v/>
      </c>
      <c r="BA51"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_xlfn.XLOOKUP(AW51, Geometry!$B:$B, Geometry!$M:$M, "", 0, 1),
_xlpm.Pj, _xlfn.XLOOKUP(AW51,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1"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_xlfn.XLOOKUP(AX51, Geometry!$B:$B, Geometry!$M:$M, "", 0, 1),
_xlpm.Pj, _xlfn.XLOOKUP(AX51,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1"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_xlfn.XLOOKUP(AY51, Geometry!$B:$B, Geometry!$M:$M, "", 0, 1),
_xlpm.Pj, _xlfn.XLOOKUP(AY51,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1"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_xlfn.XLOOKUP(AZ51, Geometry!$B:$B, Geometry!$M:$M, "", 0, 1),
_xlpm.Pj, _xlfn.XLOOKUP(AZ51,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1" s="261" t="str">
        <f>IF(AM51="","",z + Filter!BN10/12 + Filter!BJ10/2/12)</f>
        <v/>
      </c>
      <c r="BF51" s="261" t="str">
        <f>IF(AM51="","",z + Filter!BN10/12 - Filter!BJ10/2/12)</f>
        <v/>
      </c>
      <c r="BG51" s="447"/>
      <c r="BH51" s="447"/>
      <c r="BI51" s="447"/>
      <c r="BJ51" s="447"/>
      <c r="BK51" s="447"/>
      <c r="BL51" s="447"/>
      <c r="BM51" s="447"/>
      <c r="BN51" s="447"/>
      <c r="BO51" s="447"/>
      <c r="BP51" s="447"/>
      <c r="BQ51" s="447"/>
    </row>
    <row r="52" spans="1:69" ht="15" customHeight="1" x14ac:dyDescent="0.2">
      <c r="A52" s="188"/>
      <c r="K52" s="393" t="str">
        <f>IF(Results!U19="","",Results!U19)</f>
        <v/>
      </c>
      <c r="L52" s="393"/>
      <c r="M52" s="393" t="str">
        <f t="shared" si="0"/>
        <v/>
      </c>
      <c r="N52" s="393"/>
      <c r="O52" s="69" t="str" cm="1">
        <f t="array" ref="O52">IFERROR(IF(K52="","",IF(ResultsOption="Results - Envelope Solution",_xlfn.XLOOKUP(K52&amp;P52,Results!$S$4:$S$99999&amp;Results!$C$4:$C$99999,Results!$A$4:$A$99999),_xlfn.XLOOKUP(K52&amp;P52,#REF!&amp;#REF!,#REF!))),"N/A")</f>
        <v/>
      </c>
      <c r="P52" s="70" t="str">
        <f>IF(K52="","",IF(ResultsOption="Results - Envelope Solution",_xlfn.MAXIFS(Results!$C$3:$C$99999,Results!$S$3:$S$99999,K52),_xlfn.MAXIFS(#REF!,#REF!,K52)))</f>
        <v/>
      </c>
      <c r="Q52" s="69" t="str" cm="1">
        <f t="array" ref="Q52">IFERROR(IF(K52="","",IF(ResultsOption="Results - Envelope Solution",_xlfn.XLOOKUP(K52&amp;R52,Results!$S$4:$S$99999&amp;Results!$F$4:$F$99999,Results!$A$4:$A$99999),_xlfn.XLOOKUP(K52&amp;R52,#REF!&amp;#REF!,#REF!))),"N/A")</f>
        <v/>
      </c>
      <c r="R52" s="70" t="str">
        <f>IF(K52="","",IF(ResultsOption="Results - Envelope Solution",_xlfn.MAXIFS(Results!$F$3:$F$99999,Results!$S$3:$S$99999,K52),_xlfn.MAXIFS(#REF!,#REF!,K52)))</f>
        <v/>
      </c>
      <c r="S52" s="69" t="str">
        <f t="shared" si="1"/>
        <v/>
      </c>
      <c r="U52" s="386" t="str">
        <f>IF(ISBLANK('Discrete Loads'!B9),"",'Discrete Loads'!B9)</f>
        <v/>
      </c>
      <c r="V52" s="386"/>
      <c r="W52" s="342" t="str" cm="1">
        <f t="array" ref="W52">_xlfn.LET(
    _xlpm.model,        'Discrete Loads'!$B9,
    _xlpm.Shape,        'Discrete Loads'!$E9,
    _xlpm.Direction,    W$46,
    _xlpm.Azimuth,      0,
    _xlpm.CaAa_Front,   _xlfn.XLOOKUP(Code!$U52&amp;ROW()-43,Calculations_APPURT[Model]&amp;ROW('Discrete Loads'!B9),Hazards_APPURT[Ice Front CaAa],0,0,1),
    _xlpm.CaAa_Side,    _xlfn.XLOOKUP(Code!$U52&amp;ROW()-43,Calculations_APPURT[Model]&amp;ROW('Discrete Loads'!B9),Hazards_APPURT[Ice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X52" s="342" t="str" cm="1">
        <f t="array" ref="X52">_xlfn.LET(
    _xlpm.model,        'Discrete Loads'!$B9,
    _xlpm.Shape,        'Discrete Loads'!$E9,
    _xlpm.Direction,    X$46,
    _xlpm.Azimuth,      0,
    _xlpm.CaAa_Front,   _xlfn.XLOOKUP(Code!$U52&amp;ROW()-43,Calculations_APPURT[Model]&amp;ROW('Discrete Loads'!C9),Hazards_APPURT[Ice Front CaAa],0,0,1),
    _xlpm.CaAa_Side,    _xlfn.XLOOKUP(Code!$U52&amp;ROW()-43,Calculations_APPURT[Model]&amp;ROW('Discrete Loads'!C9),Hazards_APPURT[Ice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Y52" s="342" t="str" cm="1">
        <f t="array" ref="Y52">_xlfn.LET(
    _xlpm.model,        'Discrete Loads'!$B9,
    _xlpm.Shape,        'Discrete Loads'!$E9,
    _xlpm.Direction,    Y$46,
    _xlpm.Azimuth,      0,
    _xlpm.CaAa_Front,   _xlfn.XLOOKUP(Code!$U52&amp;ROW()-43,Calculations_APPURT[Model]&amp;ROW('Discrete Loads'!D9),Hazards_APPURT[Ice Front CaAa],0,0,1),
    _xlpm.CaAa_Side,    _xlfn.XLOOKUP(Code!$U52&amp;ROW()-43,Calculations_APPURT[Model]&amp;ROW('Discrete Loads'!D9),Hazards_APPURT[Ice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Z52" s="342" t="str" cm="1">
        <f t="array" ref="Z52">_xlfn.LET(
    _xlpm.model,        'Discrete Loads'!$B9,
    _xlpm.Shape,        'Discrete Loads'!$E9,
    _xlpm.Direction,    Z$46,
    _xlpm.Azimuth,      0,
    _xlpm.CaAa_Front,   _xlfn.XLOOKUP(Code!$U52&amp;ROW()-43,Calculations_APPURT[Model]&amp;ROW('Discrete Loads'!E9),Hazards_APPURT[Ice Front CaAa],0,0,1),
    _xlpm.CaAa_Side,    _xlfn.XLOOKUP(Code!$U52&amp;ROW()-43,Calculations_APPURT[Model]&amp;ROW('Discrete Loads'!E9),Hazards_APPURT[Ice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AA52" s="342" t="str" cm="1">
        <f t="array" ref="AA52">_xlfn.LET(
    _xlpm.model,        'Discrete Loads'!$B9,
    _xlpm.Shape,        'Discrete Loads'!$E9,
    _xlpm.Direction,    AA$46,
    _xlpm.Azimuth,      0,
    _xlpm.CaAa_Front,   _xlfn.XLOOKUP(Code!$U52&amp;ROW()-43,Calculations_APPURT[Model]&amp;ROW('Discrete Loads'!F9),Hazards_APPURT[Ice Front CaAa],0,0,1),
    _xlpm.CaAa_Side,    _xlfn.XLOOKUP(Code!$U52&amp;ROW()-43,Calculations_APPURT[Model]&amp;ROW('Discrete Loads'!F9),Hazards_APPURT[Ice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AB52" s="342" t="str" cm="1">
        <f t="array" ref="AB52">_xlfn.LET(
    _xlpm.model,        'Discrete Loads'!$B9,
    _xlpm.Shape,        'Discrete Loads'!$E9,
    _xlpm.Direction,    AB$46,
    _xlpm.Azimuth,      0,
    _xlpm.CaAa_Front,   _xlfn.XLOOKUP(Code!$U52&amp;ROW()-43,Calculations_APPURT[Model]&amp;ROW('Discrete Loads'!G9),Hazards_APPURT[Ice Front CaAa],0,0,1),
    _xlpm.CaAa_Side,    _xlfn.XLOOKUP(Code!$U52&amp;ROW()-43,Calculations_APPURT[Model]&amp;ROW('Discrete Loads'!G9),Hazards_APPURT[Ice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AC52" s="342" t="str" cm="1">
        <f t="array" ref="AC52">_xlfn.LET(
    _xlpm.model,        'Discrete Loads'!$B9,
    _xlpm.Shape,        'Discrete Loads'!$E9,
    _xlpm.Direction,    AC$46,
    _xlpm.Azimuth,      0,
    _xlpm.CaAa_Front,   _xlfn.XLOOKUP(Code!$U52&amp;ROW()-43,Calculations_APPURT[Model]&amp;ROW('Discrete Loads'!H9),Hazards_APPURT[Ice Front CaAa],0,0,1),
    _xlpm.CaAa_Side,    _xlfn.XLOOKUP(Code!$U52&amp;ROW()-43,Calculations_APPURT[Model]&amp;ROW('Discrete Loads'!H9),Hazards_APPURT[Ice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AD52" s="342" t="str" cm="1">
        <f t="array" ref="AD52">_xlfn.LET(
    _xlpm.model,        'Discrete Loads'!$B9,
    _xlpm.Shape,        'Discrete Loads'!$E9,
    _xlpm.Direction,    AD$46,
    _xlpm.Azimuth,      0,
    _xlpm.CaAa_Front,   _xlfn.XLOOKUP(Code!$U52&amp;ROW()-43,Calculations_APPURT[Model]&amp;ROW('Discrete Loads'!I9),Hazards_APPURT[Ice Front CaAa],0,0,1),
    _xlpm.CaAa_Side,    _xlfn.XLOOKUP(Code!$U52&amp;ROW()-43,Calculations_APPURT[Model]&amp;ROW('Discrete Loads'!I9),Hazards_APPURT[Ice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AE52" s="342" t="str" cm="1">
        <f t="array" ref="AE52">_xlfn.LET(
    _xlpm.model,        'Discrete Loads'!$B9,
    _xlpm.Shape,        'Discrete Loads'!$E9,
    _xlpm.Direction,    AE$46,
    _xlpm.Azimuth,      0,
    _xlpm.CaAa_Front,   _xlfn.XLOOKUP(Code!$U52&amp;ROW()-43,Calculations_APPURT[Model]&amp;ROW('Discrete Loads'!J9),Hazards_APPURT[Ice Front CaAa],0,0,1),
    _xlpm.CaAa_Side,    _xlfn.XLOOKUP(Code!$U52&amp;ROW()-43,Calculations_APPURT[Model]&amp;ROW('Discrete Loads'!J9),Hazards_APPURT[Ice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AF52" s="342" t="str" cm="1">
        <f t="array" ref="AF52">_xlfn.LET(
    _xlpm.model,        'Discrete Loads'!$B9,
    _xlpm.Shape,        'Discrete Loads'!$E9,
    _xlpm.Direction,    AF$46,
    _xlpm.Azimuth,      0,
    _xlpm.CaAa_Front,   _xlfn.XLOOKUP(Code!$U52&amp;ROW()-43,Calculations_APPURT[Model]&amp;ROW('Discrete Loads'!K9),Hazards_APPURT[Ice Front CaAa],0,0,1),
    _xlpm.CaAa_Side,    _xlfn.XLOOKUP(Code!$U52&amp;ROW()-43,Calculations_APPURT[Model]&amp;ROW('Discrete Loads'!K9),Hazards_APPURT[Ice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AG52" s="342" t="str" cm="1">
        <f t="array" ref="AG52">_xlfn.LET(
    _xlpm.model,        'Discrete Loads'!$B9,
    _xlpm.Shape,        'Discrete Loads'!$E9,
    _xlpm.Direction,    AG$46,
    _xlpm.Azimuth,      0,
    _xlpm.CaAa_Front,   _xlfn.XLOOKUP(Code!$U52&amp;ROW()-43,Calculations_APPURT[Model]&amp;ROW('Discrete Loads'!L9),Hazards_APPURT[Ice Front CaAa],0,0,1),
    _xlpm.CaAa_Side,    _xlfn.XLOOKUP(Code!$U52&amp;ROW()-43,Calculations_APPURT[Model]&amp;ROW('Discrete Loads'!L9),Hazards_APPURT[Ice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AH52" s="342" t="str" cm="1">
        <f t="array" ref="AH52">_xlfn.LET(
    _xlpm.model,        'Discrete Loads'!$B9,
    _xlpm.Shape,        'Discrete Loads'!$E9,
    _xlpm.Direction,    AH$46,
    _xlpm.Azimuth,      0,
    _xlpm.CaAa_Front,   _xlfn.XLOOKUP(Code!$U52&amp;ROW()-43,Calculations_APPURT[Model]&amp;ROW('Discrete Loads'!M9),Hazards_APPURT[Ice Front CaAa],0,0,1),
    _xlpm.CaAa_Side,    _xlfn.XLOOKUP(Code!$U52&amp;ROW()-43,Calculations_APPURT[Model]&amp;ROW('Discrete Loads'!M9),Hazards_APPURT[Ice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IF($U52="","",IF(_xlpm.Shape="CFD", _xlpm.CFD_val, _xlpm.CaAa_Front*COS(PI()/180*(_xlpm.Direction+_xlpm.Azimuth))^2 + _xlpm.CaAa_Side*SIN(PI()/180*(_xlpm.Direction+_xlpm.Azimuth))^2)))</f>
        <v/>
      </c>
      <c r="AI52" s="340" t="str">
        <f t="shared" si="3"/>
        <v/>
      </c>
      <c r="AJ52" s="364" t="str" cm="1">
        <f t="array" ref="AJ52">IF(U52="","",_xlfn.XLOOKUP($U52&amp;(ROW()-43),Calculations_APPURT[Model]&amp;ROW(Calculations_APPURT[Model]),Hazards_APPURT[qiz],"",0,1))</f>
        <v/>
      </c>
      <c r="AK52" s="367" t="str" cm="1">
        <f t="array" ref="AK52">IF(U52="","",_xlfn.XLOOKUP($U52&amp;(ROW()-43),Calculations_APPURT[Model]&amp;ROW(Calculations_APPURT[Model]),Hazards_APPURT[Ice Weight],"",0,1))</f>
        <v/>
      </c>
      <c r="AM52" s="461" t="str">
        <f>IFERROR(_xlfn.CONCAT("(",IF(Filter!AM11+Filter!AS11+Filter!AY11+Filter!BE11&gt;0,(Filter!AM11+Filter!AS11+Filter!AY11+Filter!BE11),""),") ",_xlfn._xlws.FILTER(Filter!AH11,Filter!AH11&lt;&gt;0)),"")</f>
        <v/>
      </c>
      <c r="AN52" s="461"/>
      <c r="AO52" s="461"/>
      <c r="AP52" s="301" t="str">
        <f>IF(AM52="","",z)</f>
        <v/>
      </c>
      <c r="AQ52" s="69" t="str">
        <f t="shared" si="2"/>
        <v/>
      </c>
      <c r="AR52" s="187" t="str">
        <f>IF(AM52="","",TRIM(SUBSTITUTE(_xlfn.TEXTJOIN(", ",TRUE,Filter!AL11,Filter!AR11,Filter!AX11,Filter!BD11),", 0","")))</f>
        <v/>
      </c>
      <c r="AS52" s="69" t="str" cm="1">
        <f t="array" ref="AS52">IF(AM52="","",_xlfn.TEXTJOIN(", ",TRUE,IF(BA52="","",ROUND(BA52*ConvertLength,1)),IF(BB52="","",ROUND(BB52*ConvertLength,1)),IF(BC52="","",ROUND(BC52*ConvertLength,1)),IF(BD52="","",ROUND(BD52*ConvertLength,1))))</f>
        <v/>
      </c>
      <c r="AT52" s="302" t="str" cm="1">
        <f t="array" ref="AT52">IFERROR(_xlfn.LET(
_xlpm.CaAa,   _xlfn.XLOOKUP(RIGHT(AM52, LEN(AM52)-4)&amp;ROW()-41,Calculations_APPURT[Model]&amp;ROW(Calculations_APPURT[Model]),Hazards_APPURT[Front CaAa],"",0,1),
_xlpm.qz,     _xlfn.XLOOKUP(RIGHT(AM52, LEN(AM52)-4)&amp;ROW()-41,Calculations_APPURT[Model]&amp;ROW(Calculations_APPURT[Model]),Hazards_APPURT[qz],"",0,1),
_xlpm.Ka,     0.9,
_xlpm.Kd,     _xlfn.XLOOKUP(RIGHT(AM52, LEN(AM52)-4)&amp;ROW()-41,Calculations_APPURT[Model]&amp;ROW(Calculations_APPURT[Model]),Hazards_APPURT[Kd],"",0,1),
_xlpm.Kes,    Kes.w,
_xlpm.CaAa*_xlpm.qz*_xlpm.Ka*_xlpm.Kd),"")</f>
        <v/>
      </c>
      <c r="AU52" s="302" t="str" cm="1">
        <f t="array" ref="AU52">IFERROR(_xlfn.LET(
_xlpm.CaAa,   _xlfn.XLOOKUP(RIGHT(AM52, LEN(AM52)-4)&amp;ROW()-41,Calculations_APPURT[Model]&amp;ROW(Calculations_APPURT[Model]),Hazards_APPURT[Side CaAa],"",0,1),
_xlpm.qz,     _xlfn.XLOOKUP(RIGHT(AM52, LEN(AM52)-4)&amp;ROW()-41,Calculations_APPURT[Model]&amp;ROW(Calculations_APPURT[Model]),Hazards_APPURT[qz],"",0,1),
_xlpm.Ka,     0.9,
_xlpm.Kd,     _xlfn.XLOOKUP(RIGHT(AM52, LEN(AM52)-4)&amp;ROW()-41,Calculations_APPURT[Model]&amp;ROW(Calculations_APPURT[Model]),Hazards_APPURT[Kd],"",0,1),
_xlpm.Kes,    Kes.w,
_xlpm.CaAa*_xlpm.qz*_xlpm.Ka*_xlpm.Kd),"")</f>
        <v/>
      </c>
      <c r="AW52" s="217" t="str">
        <f>IF(Filter!AN11=0,"",Filter!AN11)</f>
        <v/>
      </c>
      <c r="AX52" s="217" t="str">
        <f>IF(Filter!AT11=0,"",Filter!AT11)</f>
        <v/>
      </c>
      <c r="AY52" s="217" t="str">
        <f>IF(Filter!AZ11=0,"",Filter!AZ11)</f>
        <v/>
      </c>
      <c r="AZ52" s="217" t="str">
        <f>IF(Filter!BF11=0,"",Filter!BF11)</f>
        <v/>
      </c>
      <c r="BA52"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_xlfn.XLOOKUP(AW52, Geometry!$B:$B, Geometry!$M:$M, "", 0, 1),
_xlpm.Pj, _xlfn.XLOOKUP(AW52,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2"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_xlfn.XLOOKUP(AX52, Geometry!$B:$B, Geometry!$M:$M, "", 0, 1),
_xlpm.Pj, _xlfn.XLOOKUP(AX52,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2"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_xlfn.XLOOKUP(AY52, Geometry!$B:$B, Geometry!$M:$M, "", 0, 1),
_xlpm.Pj, _xlfn.XLOOKUP(AY52,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2"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_xlfn.XLOOKUP(AZ52, Geometry!$B:$B, Geometry!$M:$M, "", 0, 1),
_xlpm.Pj, _xlfn.XLOOKUP(AZ52,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2" s="261" t="str">
        <f>IF(AM52="","",z + Filter!BN11/12 + Filter!BJ11/2/12)</f>
        <v/>
      </c>
      <c r="BF52" s="261" t="str">
        <f>IF(AM52="","",z + Filter!BN11/12 - Filter!BJ11/2/12)</f>
        <v/>
      </c>
      <c r="BG52" s="447"/>
      <c r="BH52" s="447"/>
      <c r="BI52" s="447"/>
      <c r="BJ52" s="447"/>
      <c r="BK52" s="447"/>
      <c r="BL52" s="447"/>
      <c r="BM52" s="447"/>
      <c r="BN52" s="447"/>
      <c r="BO52" s="447"/>
      <c r="BP52" s="447"/>
      <c r="BQ52" s="447"/>
    </row>
    <row r="53" spans="1:69" ht="15" customHeight="1" x14ac:dyDescent="0.2">
      <c r="K53" s="391" t="str">
        <f>IF(Results!U20="","",Results!U20)</f>
        <v/>
      </c>
      <c r="L53" s="391"/>
      <c r="M53" s="391" t="str">
        <f t="shared" si="0"/>
        <v/>
      </c>
      <c r="N53" s="391"/>
      <c r="O53" s="318" t="str" cm="1">
        <f t="array" ref="O53">IFERROR(IF(K53="","",IF(ResultsOption="Results - Envelope Solution",_xlfn.XLOOKUP(K53&amp;P53,Results!$S$4:$S$99999&amp;Results!$C$4:$C$99999,Results!$A$4:$A$99999),_xlfn.XLOOKUP(K53&amp;P53,#REF!&amp;#REF!,#REF!))),"N/A")</f>
        <v/>
      </c>
      <c r="P53" s="323" t="str">
        <f>IF(K53="","",IF(ResultsOption="Results - Envelope Solution",_xlfn.MAXIFS(Results!$C$3:$C$99999,Results!$S$3:$S$99999,K53),_xlfn.MAXIFS(#REF!,#REF!,K53)))</f>
        <v/>
      </c>
      <c r="Q53" s="318" t="str" cm="1">
        <f t="array" ref="Q53">IFERROR(IF(K53="","",IF(ResultsOption="Results - Envelope Solution",_xlfn.XLOOKUP(K53&amp;R53,Results!$S$4:$S$99999&amp;Results!$F$4:$F$99999,Results!$A$4:$A$99999),_xlfn.XLOOKUP(K53&amp;R53,#REF!&amp;#REF!,#REF!))),"N/A")</f>
        <v/>
      </c>
      <c r="R53" s="323" t="str">
        <f>IF(K53="","",IF(ResultsOption="Results - Envelope Solution",_xlfn.MAXIFS(Results!$F$3:$F$99999,Results!$S$3:$S$99999,K53),_xlfn.MAXIFS(#REF!,#REF!,K53)))</f>
        <v/>
      </c>
      <c r="S53" s="318" t="str">
        <f t="shared" si="1"/>
        <v/>
      </c>
      <c r="U53" s="474" t="str">
        <f>IF(ISBLANK('Discrete Loads'!B10),"",'Discrete Loads'!B10)</f>
        <v/>
      </c>
      <c r="V53" s="474"/>
      <c r="W53" s="341" t="str" cm="1">
        <f t="array" ref="W53">_xlfn.LET(
    _xlpm.model,        'Discrete Loads'!$B10,
    _xlpm.Shape,        'Discrete Loads'!$E10,
    _xlpm.Direction,    W$46,
    _xlpm.Azimuth,      0,
    _xlpm.CaAa_Front,   _xlfn.XLOOKUP(Code!$U53&amp;ROW()-43,Calculations_APPURT[Model]&amp;ROW('Discrete Loads'!B10),Hazards_APPURT[Ice Front CaAa],0,0,1),
    _xlpm.CaAa_Side,    _xlfn.XLOOKUP(Code!$U53&amp;ROW()-43,Calculations_APPURT[Model]&amp;ROW('Discrete Loads'!B10),Hazards_APPURT[Ice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X53" s="341" t="str" cm="1">
        <f t="array" ref="X53">_xlfn.LET(
    _xlpm.model,        'Discrete Loads'!$B10,
    _xlpm.Shape,        'Discrete Loads'!$E10,
    _xlpm.Direction,    X$46,
    _xlpm.Azimuth,      0,
    _xlpm.CaAa_Front,   _xlfn.XLOOKUP(Code!$U53&amp;ROW()-43,Calculations_APPURT[Model]&amp;ROW('Discrete Loads'!C10),Hazards_APPURT[Ice Front CaAa],0,0,1),
    _xlpm.CaAa_Side,    _xlfn.XLOOKUP(Code!$U53&amp;ROW()-43,Calculations_APPURT[Model]&amp;ROW('Discrete Loads'!C10),Hazards_APPURT[Ice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Y53" s="341" t="str" cm="1">
        <f t="array" ref="Y53">_xlfn.LET(
    _xlpm.model,        'Discrete Loads'!$B10,
    _xlpm.Shape,        'Discrete Loads'!$E10,
    _xlpm.Direction,    Y$46,
    _xlpm.Azimuth,      0,
    _xlpm.CaAa_Front,   _xlfn.XLOOKUP(Code!$U53&amp;ROW()-43,Calculations_APPURT[Model]&amp;ROW('Discrete Loads'!D10),Hazards_APPURT[Ice Front CaAa],0,0,1),
    _xlpm.CaAa_Side,    _xlfn.XLOOKUP(Code!$U53&amp;ROW()-43,Calculations_APPURT[Model]&amp;ROW('Discrete Loads'!D10),Hazards_APPURT[Ice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Z53" s="341" t="str" cm="1">
        <f t="array" ref="Z53">_xlfn.LET(
    _xlpm.model,        'Discrete Loads'!$B10,
    _xlpm.Shape,        'Discrete Loads'!$E10,
    _xlpm.Direction,    Z$46,
    _xlpm.Azimuth,      0,
    _xlpm.CaAa_Front,   _xlfn.XLOOKUP(Code!$U53&amp;ROW()-43,Calculations_APPURT[Model]&amp;ROW('Discrete Loads'!E10),Hazards_APPURT[Ice Front CaAa],0,0,1),
    _xlpm.CaAa_Side,    _xlfn.XLOOKUP(Code!$U53&amp;ROW()-43,Calculations_APPURT[Model]&amp;ROW('Discrete Loads'!E10),Hazards_APPURT[Ice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AA53" s="341" t="str" cm="1">
        <f t="array" ref="AA53">_xlfn.LET(
    _xlpm.model,        'Discrete Loads'!$B10,
    _xlpm.Shape,        'Discrete Loads'!$E10,
    _xlpm.Direction,    AA$46,
    _xlpm.Azimuth,      0,
    _xlpm.CaAa_Front,   _xlfn.XLOOKUP(Code!$U53&amp;ROW()-43,Calculations_APPURT[Model]&amp;ROW('Discrete Loads'!F10),Hazards_APPURT[Ice Front CaAa],0,0,1),
    _xlpm.CaAa_Side,    _xlfn.XLOOKUP(Code!$U53&amp;ROW()-43,Calculations_APPURT[Model]&amp;ROW('Discrete Loads'!F10),Hazards_APPURT[Ice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AB53" s="341" t="str" cm="1">
        <f t="array" ref="AB53">_xlfn.LET(
    _xlpm.model,        'Discrete Loads'!$B10,
    _xlpm.Shape,        'Discrete Loads'!$E10,
    _xlpm.Direction,    AB$46,
    _xlpm.Azimuth,      0,
    _xlpm.CaAa_Front,   _xlfn.XLOOKUP(Code!$U53&amp;ROW()-43,Calculations_APPURT[Model]&amp;ROW('Discrete Loads'!G10),Hazards_APPURT[Ice Front CaAa],0,0,1),
    _xlpm.CaAa_Side,    _xlfn.XLOOKUP(Code!$U53&amp;ROW()-43,Calculations_APPURT[Model]&amp;ROW('Discrete Loads'!G10),Hazards_APPURT[Ice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AC53" s="341" t="str" cm="1">
        <f t="array" ref="AC53">_xlfn.LET(
    _xlpm.model,        'Discrete Loads'!$B10,
    _xlpm.Shape,        'Discrete Loads'!$E10,
    _xlpm.Direction,    AC$46,
    _xlpm.Azimuth,      0,
    _xlpm.CaAa_Front,   _xlfn.XLOOKUP(Code!$U53&amp;ROW()-43,Calculations_APPURT[Model]&amp;ROW('Discrete Loads'!H10),Hazards_APPURT[Ice Front CaAa],0,0,1),
    _xlpm.CaAa_Side,    _xlfn.XLOOKUP(Code!$U53&amp;ROW()-43,Calculations_APPURT[Model]&amp;ROW('Discrete Loads'!H10),Hazards_APPURT[Ice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AD53" s="341" t="str" cm="1">
        <f t="array" ref="AD53">_xlfn.LET(
    _xlpm.model,        'Discrete Loads'!$B10,
    _xlpm.Shape,        'Discrete Loads'!$E10,
    _xlpm.Direction,    AD$46,
    _xlpm.Azimuth,      0,
    _xlpm.CaAa_Front,   _xlfn.XLOOKUP(Code!$U53&amp;ROW()-43,Calculations_APPURT[Model]&amp;ROW('Discrete Loads'!I10),Hazards_APPURT[Ice Front CaAa],0,0,1),
    _xlpm.CaAa_Side,    _xlfn.XLOOKUP(Code!$U53&amp;ROW()-43,Calculations_APPURT[Model]&amp;ROW('Discrete Loads'!I10),Hazards_APPURT[Ice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AE53" s="341" t="str" cm="1">
        <f t="array" ref="AE53">_xlfn.LET(
    _xlpm.model,        'Discrete Loads'!$B10,
    _xlpm.Shape,        'Discrete Loads'!$E10,
    _xlpm.Direction,    AE$46,
    _xlpm.Azimuth,      0,
    _xlpm.CaAa_Front,   _xlfn.XLOOKUP(Code!$U53&amp;ROW()-43,Calculations_APPURT[Model]&amp;ROW('Discrete Loads'!J10),Hazards_APPURT[Ice Front CaAa],0,0,1),
    _xlpm.CaAa_Side,    _xlfn.XLOOKUP(Code!$U53&amp;ROW()-43,Calculations_APPURT[Model]&amp;ROW('Discrete Loads'!J10),Hazards_APPURT[Ice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AF53" s="341" t="str" cm="1">
        <f t="array" ref="AF53">_xlfn.LET(
    _xlpm.model,        'Discrete Loads'!$B10,
    _xlpm.Shape,        'Discrete Loads'!$E10,
    _xlpm.Direction,    AF$46,
    _xlpm.Azimuth,      0,
    _xlpm.CaAa_Front,   _xlfn.XLOOKUP(Code!$U53&amp;ROW()-43,Calculations_APPURT[Model]&amp;ROW('Discrete Loads'!K10),Hazards_APPURT[Ice Front CaAa],0,0,1),
    _xlpm.CaAa_Side,    _xlfn.XLOOKUP(Code!$U53&amp;ROW()-43,Calculations_APPURT[Model]&amp;ROW('Discrete Loads'!K10),Hazards_APPURT[Ice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AG53" s="341" t="str" cm="1">
        <f t="array" ref="AG53">_xlfn.LET(
    _xlpm.model,        'Discrete Loads'!$B10,
    _xlpm.Shape,        'Discrete Loads'!$E10,
    _xlpm.Direction,    AG$46,
    _xlpm.Azimuth,      0,
    _xlpm.CaAa_Front,   _xlfn.XLOOKUP(Code!$U53&amp;ROW()-43,Calculations_APPURT[Model]&amp;ROW('Discrete Loads'!L10),Hazards_APPURT[Ice Front CaAa],0,0,1),
    _xlpm.CaAa_Side,    _xlfn.XLOOKUP(Code!$U53&amp;ROW()-43,Calculations_APPURT[Model]&amp;ROW('Discrete Loads'!L10),Hazards_APPURT[Ice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AH53" s="341" t="str" cm="1">
        <f t="array" ref="AH53">_xlfn.LET(
    _xlpm.model,        'Discrete Loads'!$B10,
    _xlpm.Shape,        'Discrete Loads'!$E10,
    _xlpm.Direction,    AH$46,
    _xlpm.Azimuth,      0,
    _xlpm.CaAa_Front,   _xlfn.XLOOKUP(Code!$U53&amp;ROW()-43,Calculations_APPURT[Model]&amp;ROW('Discrete Loads'!M10),Hazards_APPURT[Ice Front CaAa],0,0,1),
    _xlpm.CaAa_Side,    _xlfn.XLOOKUP(Code!$U53&amp;ROW()-43,Calculations_APPURT[Model]&amp;ROW('Discrete Loads'!M10),Hazards_APPURT[Ice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IF($U53="","",IF(_xlpm.Shape="CFD", _xlpm.CFD_val, _xlpm.CaAa_Front*COS(PI()/180*(_xlpm.Direction+_xlpm.Azimuth))^2 + _xlpm.CaAa_Side*SIN(PI()/180*(_xlpm.Direction+_xlpm.Azimuth))^2)))</f>
        <v/>
      </c>
      <c r="AI53" s="339" t="str">
        <f t="shared" si="3"/>
        <v/>
      </c>
      <c r="AJ53" s="363" t="str" cm="1">
        <f t="array" ref="AJ53">IF(U53="","",_xlfn.XLOOKUP($U53&amp;(ROW()-43),Calculations_APPURT[Model]&amp;ROW(Calculations_APPURT[Model]),Hazards_APPURT[qiz],"",0,1))</f>
        <v/>
      </c>
      <c r="AK53" s="366" t="str" cm="1">
        <f t="array" ref="AK53">IF(U53="","",_xlfn.XLOOKUP($U53&amp;(ROW()-43),Calculations_APPURT[Model]&amp;ROW(Calculations_APPURT[Model]),Hazards_APPURT[Ice Weight],"",0,1))</f>
        <v/>
      </c>
      <c r="AM53" s="462" t="str">
        <f>IFERROR(_xlfn.CONCAT("(",IF(Filter!AM12+Filter!AS12+Filter!AY12+Filter!BE12&gt;0,(Filter!AM12+Filter!AS12+Filter!AY12+Filter!BE12),""),") ",_xlfn._xlws.FILTER(Filter!AH12,Filter!AH12&lt;&gt;0)),"")</f>
        <v/>
      </c>
      <c r="AN53" s="462"/>
      <c r="AO53" s="462"/>
      <c r="AP53" s="327" t="str">
        <f>IF(AM53="","",z)</f>
        <v/>
      </c>
      <c r="AQ53" s="328" t="str">
        <f t="shared" si="2"/>
        <v/>
      </c>
      <c r="AR53" s="329" t="str">
        <f>IF(AM53="","",TRIM(SUBSTITUTE(_xlfn.TEXTJOIN(", ",TRUE,Filter!AL12,Filter!AR12,Filter!AX12,Filter!BD12),", 0","")))</f>
        <v/>
      </c>
      <c r="AS53" s="328" t="str" cm="1">
        <f t="array" ref="AS53">IF(AM53="","",_xlfn.TEXTJOIN(", ",TRUE,IF(BA53="","",ROUND(BA53*ConvertLength,1)),IF(BB53="","",ROUND(BB53*ConvertLength,1)),IF(BC53="","",ROUND(BC53*ConvertLength,1)),IF(BD53="","",ROUND(BD53*ConvertLength,1))))</f>
        <v/>
      </c>
      <c r="AT53" s="330" t="str" cm="1">
        <f t="array" ref="AT53">IFERROR(_xlfn.LET(
_xlpm.CaAa,   _xlfn.XLOOKUP(RIGHT(AM53, LEN(AM53)-4)&amp;ROW()-41,Calculations_APPURT[Model]&amp;ROW(Calculations_APPURT[Model]),Hazards_APPURT[Front CaAa],"",0,1),
_xlpm.qz,     _xlfn.XLOOKUP(RIGHT(AM53, LEN(AM53)-4)&amp;ROW()-41,Calculations_APPURT[Model]&amp;ROW(Calculations_APPURT[Model]),Hazards_APPURT[qz],"",0,1),
_xlpm.Ka,     0.9,
_xlpm.Kd,     _xlfn.XLOOKUP(RIGHT(AM53, LEN(AM53)-4)&amp;ROW()-41,Calculations_APPURT[Model]&amp;ROW(Calculations_APPURT[Model]),Hazards_APPURT[Kd],"",0,1),
_xlpm.Kes,    Kes.w,
_xlpm.CaAa*_xlpm.qz*_xlpm.Ka*_xlpm.Kd),"")</f>
        <v/>
      </c>
      <c r="AU53" s="330" t="str" cm="1">
        <f t="array" ref="AU53">IFERROR(_xlfn.LET(
_xlpm.CaAa,   _xlfn.XLOOKUP(RIGHT(AM53, LEN(AM53)-4)&amp;ROW()-41,Calculations_APPURT[Model]&amp;ROW(Calculations_APPURT[Model]),Hazards_APPURT[Side CaAa],"",0,1),
_xlpm.qz,     _xlfn.XLOOKUP(RIGHT(AM53, LEN(AM53)-4)&amp;ROW()-41,Calculations_APPURT[Model]&amp;ROW(Calculations_APPURT[Model]),Hazards_APPURT[qz],"",0,1),
_xlpm.Ka,     0.9,
_xlpm.Kd,     _xlfn.XLOOKUP(RIGHT(AM53, LEN(AM53)-4)&amp;ROW()-41,Calculations_APPURT[Model]&amp;ROW(Calculations_APPURT[Model]),Hazards_APPURT[Kd],"",0,1),
_xlpm.Kes,    Kes.w,
_xlpm.CaAa*_xlpm.qz*_xlpm.Ka*_xlpm.Kd),"")</f>
        <v/>
      </c>
      <c r="AW53" s="217" t="str">
        <f>IF(Filter!AN12=0,"",Filter!AN12)</f>
        <v/>
      </c>
      <c r="AX53" s="217" t="str">
        <f>IF(Filter!AT12=0,"",Filter!AT12)</f>
        <v/>
      </c>
      <c r="AY53" s="217" t="str">
        <f>IF(Filter!AZ12=0,"",Filter!AZ12)</f>
        <v/>
      </c>
      <c r="AZ53" s="217" t="str">
        <f>IF(Filter!BF12=0,"",Filter!BF12)</f>
        <v/>
      </c>
      <c r="BA53"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_xlfn.XLOOKUP(AW53, Geometry!$B:$B, Geometry!$M:$M, "", 0, 1),
_xlpm.Pj, _xlfn.XLOOKUP(AW53,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3"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_xlfn.XLOOKUP(AX53, Geometry!$B:$B, Geometry!$M:$M, "", 0, 1),
_xlpm.Pj, _xlfn.XLOOKUP(AX53,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3"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_xlfn.XLOOKUP(AY53, Geometry!$B:$B, Geometry!$M:$M, "", 0, 1),
_xlpm.Pj, _xlfn.XLOOKUP(AY53,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3"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_xlfn.XLOOKUP(AZ53, Geometry!$B:$B, Geometry!$M:$M, "", 0, 1),
_xlpm.Pj, _xlfn.XLOOKUP(AZ53,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3" s="261" t="str">
        <f>IF(AM53="","",z + Filter!BN12/12 + Filter!BJ12/2/12)</f>
        <v/>
      </c>
      <c r="BF53" s="261" t="str">
        <f>IF(AM53="","",z + Filter!BN12/12 - Filter!BJ12/2/12)</f>
        <v/>
      </c>
      <c r="BG53" s="447"/>
      <c r="BH53" s="447"/>
      <c r="BI53" s="447"/>
      <c r="BJ53" s="447"/>
      <c r="BK53" s="447"/>
      <c r="BL53" s="447"/>
      <c r="BM53" s="447"/>
      <c r="BN53" s="447"/>
      <c r="BO53" s="447"/>
      <c r="BP53" s="447"/>
      <c r="BQ53" s="447"/>
    </row>
    <row r="54" spans="1:69" ht="15" customHeight="1" x14ac:dyDescent="0.2">
      <c r="K54" s="393" t="str">
        <f>IF(Results!U21="","",Results!U21)</f>
        <v/>
      </c>
      <c r="L54" s="393"/>
      <c r="M54" s="393" t="str">
        <f t="shared" si="0"/>
        <v/>
      </c>
      <c r="N54" s="393"/>
      <c r="O54" s="69" t="str" cm="1">
        <f t="array" ref="O54">IFERROR(IF(K54="","",IF(ResultsOption="Results - Envelope Solution",_xlfn.XLOOKUP(K54&amp;P54,Results!$S$4:$S$99999&amp;Results!$C$4:$C$99999,Results!$A$4:$A$99999),_xlfn.XLOOKUP(K54&amp;P54,#REF!&amp;#REF!,#REF!))),"N/A")</f>
        <v/>
      </c>
      <c r="P54" s="70" t="str">
        <f>IF(K54="","",IF(ResultsOption="Results - Envelope Solution",_xlfn.MAXIFS(Results!$C$3:$C$99999,Results!$S$3:$S$99999,K54),_xlfn.MAXIFS(#REF!,#REF!,K54)))</f>
        <v/>
      </c>
      <c r="Q54" s="69" t="str" cm="1">
        <f t="array" ref="Q54">IFERROR(IF(K54="","",IF(ResultsOption="Results - Envelope Solution",_xlfn.XLOOKUP(K54&amp;R54,Results!$S$4:$S$99999&amp;Results!$F$4:$F$99999,Results!$A$4:$A$99999),_xlfn.XLOOKUP(K54&amp;R54,#REF!&amp;#REF!,#REF!))),"N/A")</f>
        <v/>
      </c>
      <c r="R54" s="70" t="str">
        <f>IF(K54="","",IF(ResultsOption="Results - Envelope Solution",_xlfn.MAXIFS(Results!$F$3:$F$99999,Results!$S$3:$S$99999,K54),_xlfn.MAXIFS(#REF!,#REF!,K54)))</f>
        <v/>
      </c>
      <c r="S54" s="69" t="str">
        <f t="shared" si="1"/>
        <v/>
      </c>
      <c r="U54" s="386" t="str">
        <f>IF(ISBLANK('Discrete Loads'!B11),"",'Discrete Loads'!B11)</f>
        <v/>
      </c>
      <c r="V54" s="386"/>
      <c r="W54" s="342" t="str" cm="1">
        <f t="array" ref="W54">_xlfn.LET(
    _xlpm.model,        'Discrete Loads'!$B11,
    _xlpm.Shape,        'Discrete Loads'!$E11,
    _xlpm.Direction,    W$46,
    _xlpm.Azimuth,      0,
    _xlpm.CaAa_Front,   _xlfn.XLOOKUP(Code!$U54&amp;ROW()-43,Calculations_APPURT[Model]&amp;ROW('Discrete Loads'!B11),Hazards_APPURT[Ice Front CaAa],0,0,1),
    _xlpm.CaAa_Side,    _xlfn.XLOOKUP(Code!$U54&amp;ROW()-43,Calculations_APPURT[Model]&amp;ROW('Discrete Loads'!B11),Hazards_APPURT[Ice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X54" s="342" t="str" cm="1">
        <f t="array" ref="X54">_xlfn.LET(
    _xlpm.model,        'Discrete Loads'!$B11,
    _xlpm.Shape,        'Discrete Loads'!$E11,
    _xlpm.Direction,    X$46,
    _xlpm.Azimuth,      0,
    _xlpm.CaAa_Front,   _xlfn.XLOOKUP(Code!$U54&amp;ROW()-43,Calculations_APPURT[Model]&amp;ROW('Discrete Loads'!C11),Hazards_APPURT[Ice Front CaAa],0,0,1),
    _xlpm.CaAa_Side,    _xlfn.XLOOKUP(Code!$U54&amp;ROW()-43,Calculations_APPURT[Model]&amp;ROW('Discrete Loads'!C11),Hazards_APPURT[Ice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Y54" s="342" t="str" cm="1">
        <f t="array" ref="Y54">_xlfn.LET(
    _xlpm.model,        'Discrete Loads'!$B11,
    _xlpm.Shape,        'Discrete Loads'!$E11,
    _xlpm.Direction,    Y$46,
    _xlpm.Azimuth,      0,
    _xlpm.CaAa_Front,   _xlfn.XLOOKUP(Code!$U54&amp;ROW()-43,Calculations_APPURT[Model]&amp;ROW('Discrete Loads'!D11),Hazards_APPURT[Ice Front CaAa],0,0,1),
    _xlpm.CaAa_Side,    _xlfn.XLOOKUP(Code!$U54&amp;ROW()-43,Calculations_APPURT[Model]&amp;ROW('Discrete Loads'!D11),Hazards_APPURT[Ice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Z54" s="342" t="str" cm="1">
        <f t="array" ref="Z54">_xlfn.LET(
    _xlpm.model,        'Discrete Loads'!$B11,
    _xlpm.Shape,        'Discrete Loads'!$E11,
    _xlpm.Direction,    Z$46,
    _xlpm.Azimuth,      0,
    _xlpm.CaAa_Front,   _xlfn.XLOOKUP(Code!$U54&amp;ROW()-43,Calculations_APPURT[Model]&amp;ROW('Discrete Loads'!E11),Hazards_APPURT[Ice Front CaAa],0,0,1),
    _xlpm.CaAa_Side,    _xlfn.XLOOKUP(Code!$U54&amp;ROW()-43,Calculations_APPURT[Model]&amp;ROW('Discrete Loads'!E11),Hazards_APPURT[Ice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AA54" s="342" t="str" cm="1">
        <f t="array" ref="AA54">_xlfn.LET(
    _xlpm.model,        'Discrete Loads'!$B11,
    _xlpm.Shape,        'Discrete Loads'!$E11,
    _xlpm.Direction,    AA$46,
    _xlpm.Azimuth,      0,
    _xlpm.CaAa_Front,   _xlfn.XLOOKUP(Code!$U54&amp;ROW()-43,Calculations_APPURT[Model]&amp;ROW('Discrete Loads'!F11),Hazards_APPURT[Ice Front CaAa],0,0,1),
    _xlpm.CaAa_Side,    _xlfn.XLOOKUP(Code!$U54&amp;ROW()-43,Calculations_APPURT[Model]&amp;ROW('Discrete Loads'!F11),Hazards_APPURT[Ice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AB54" s="342" t="str" cm="1">
        <f t="array" ref="AB54">_xlfn.LET(
    _xlpm.model,        'Discrete Loads'!$B11,
    _xlpm.Shape,        'Discrete Loads'!$E11,
    _xlpm.Direction,    AB$46,
    _xlpm.Azimuth,      0,
    _xlpm.CaAa_Front,   _xlfn.XLOOKUP(Code!$U54&amp;ROW()-43,Calculations_APPURT[Model]&amp;ROW('Discrete Loads'!G11),Hazards_APPURT[Ice Front CaAa],0,0,1),
    _xlpm.CaAa_Side,    _xlfn.XLOOKUP(Code!$U54&amp;ROW()-43,Calculations_APPURT[Model]&amp;ROW('Discrete Loads'!G11),Hazards_APPURT[Ice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AC54" s="342" t="str" cm="1">
        <f t="array" ref="AC54">_xlfn.LET(
    _xlpm.model,        'Discrete Loads'!$B11,
    _xlpm.Shape,        'Discrete Loads'!$E11,
    _xlpm.Direction,    AC$46,
    _xlpm.Azimuth,      0,
    _xlpm.CaAa_Front,   _xlfn.XLOOKUP(Code!$U54&amp;ROW()-43,Calculations_APPURT[Model]&amp;ROW('Discrete Loads'!H11),Hazards_APPURT[Ice Front CaAa],0,0,1),
    _xlpm.CaAa_Side,    _xlfn.XLOOKUP(Code!$U54&amp;ROW()-43,Calculations_APPURT[Model]&amp;ROW('Discrete Loads'!H11),Hazards_APPURT[Ice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AD54" s="342" t="str" cm="1">
        <f t="array" ref="AD54">_xlfn.LET(
    _xlpm.model,        'Discrete Loads'!$B11,
    _xlpm.Shape,        'Discrete Loads'!$E11,
    _xlpm.Direction,    AD$46,
    _xlpm.Azimuth,      0,
    _xlpm.CaAa_Front,   _xlfn.XLOOKUP(Code!$U54&amp;ROW()-43,Calculations_APPURT[Model]&amp;ROW('Discrete Loads'!I11),Hazards_APPURT[Ice Front CaAa],0,0,1),
    _xlpm.CaAa_Side,    _xlfn.XLOOKUP(Code!$U54&amp;ROW()-43,Calculations_APPURT[Model]&amp;ROW('Discrete Loads'!I11),Hazards_APPURT[Ice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AE54" s="342" t="str" cm="1">
        <f t="array" ref="AE54">_xlfn.LET(
    _xlpm.model,        'Discrete Loads'!$B11,
    _xlpm.Shape,        'Discrete Loads'!$E11,
    _xlpm.Direction,    AE$46,
    _xlpm.Azimuth,      0,
    _xlpm.CaAa_Front,   _xlfn.XLOOKUP(Code!$U54&amp;ROW()-43,Calculations_APPURT[Model]&amp;ROW('Discrete Loads'!J11),Hazards_APPURT[Ice Front CaAa],0,0,1),
    _xlpm.CaAa_Side,    _xlfn.XLOOKUP(Code!$U54&amp;ROW()-43,Calculations_APPURT[Model]&amp;ROW('Discrete Loads'!J11),Hazards_APPURT[Ice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AF54" s="342" t="str" cm="1">
        <f t="array" ref="AF54">_xlfn.LET(
    _xlpm.model,        'Discrete Loads'!$B11,
    _xlpm.Shape,        'Discrete Loads'!$E11,
    _xlpm.Direction,    AF$46,
    _xlpm.Azimuth,      0,
    _xlpm.CaAa_Front,   _xlfn.XLOOKUP(Code!$U54&amp;ROW()-43,Calculations_APPURT[Model]&amp;ROW('Discrete Loads'!K11),Hazards_APPURT[Ice Front CaAa],0,0,1),
    _xlpm.CaAa_Side,    _xlfn.XLOOKUP(Code!$U54&amp;ROW()-43,Calculations_APPURT[Model]&amp;ROW('Discrete Loads'!K11),Hazards_APPURT[Ice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AG54" s="342" t="str" cm="1">
        <f t="array" ref="AG54">_xlfn.LET(
    _xlpm.model,        'Discrete Loads'!$B11,
    _xlpm.Shape,        'Discrete Loads'!$E11,
    _xlpm.Direction,    AG$46,
    _xlpm.Azimuth,      0,
    _xlpm.CaAa_Front,   _xlfn.XLOOKUP(Code!$U54&amp;ROW()-43,Calculations_APPURT[Model]&amp;ROW('Discrete Loads'!L11),Hazards_APPURT[Ice Front CaAa],0,0,1),
    _xlpm.CaAa_Side,    _xlfn.XLOOKUP(Code!$U54&amp;ROW()-43,Calculations_APPURT[Model]&amp;ROW('Discrete Loads'!L11),Hazards_APPURT[Ice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AH54" s="342" t="str" cm="1">
        <f t="array" ref="AH54">_xlfn.LET(
    _xlpm.model,        'Discrete Loads'!$B11,
    _xlpm.Shape,        'Discrete Loads'!$E11,
    _xlpm.Direction,    AH$46,
    _xlpm.Azimuth,      0,
    _xlpm.CaAa_Front,   _xlfn.XLOOKUP(Code!$U54&amp;ROW()-43,Calculations_APPURT[Model]&amp;ROW('Discrete Loads'!M11),Hazards_APPURT[Ice Front CaAa],0,0,1),
    _xlpm.CaAa_Side,    _xlfn.XLOOKUP(Code!$U54&amp;ROW()-43,Calculations_APPURT[Model]&amp;ROW('Discrete Loads'!M11),Hazards_APPURT[Ice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IF($U54="","",IF(_xlpm.Shape="CFD", _xlpm.CFD_val, _xlpm.CaAa_Front*COS(PI()/180*(_xlpm.Direction+_xlpm.Azimuth))^2 + _xlpm.CaAa_Side*SIN(PI()/180*(_xlpm.Direction+_xlpm.Azimuth))^2)))</f>
        <v/>
      </c>
      <c r="AI54" s="340" t="str">
        <f t="shared" si="3"/>
        <v/>
      </c>
      <c r="AJ54" s="364" t="str" cm="1">
        <f t="array" ref="AJ54">IF(U54="","",_xlfn.XLOOKUP($U54&amp;(ROW()-43),Calculations_APPURT[Model]&amp;ROW(Calculations_APPURT[Model]),Hazards_APPURT[qiz],"",0,1))</f>
        <v/>
      </c>
      <c r="AK54" s="367" t="str" cm="1">
        <f t="array" ref="AK54">IF(U54="","",_xlfn.XLOOKUP($U54&amp;(ROW()-43),Calculations_APPURT[Model]&amp;ROW(Calculations_APPURT[Model]),Hazards_APPURT[Ice Weight],"",0,1))</f>
        <v/>
      </c>
      <c r="AM54" s="461" t="str">
        <f>IFERROR(_xlfn.CONCAT("(",IF(Filter!AM13+Filter!AS13+Filter!AY13+Filter!BE13&gt;0,(Filter!AM13+Filter!AS13+Filter!AY13+Filter!BE13),""),") ",_xlfn._xlws.FILTER(Filter!AH13,Filter!AH13&lt;&gt;0)),"")</f>
        <v/>
      </c>
      <c r="AN54" s="461"/>
      <c r="AO54" s="461"/>
      <c r="AP54" s="301" t="str">
        <f>IF(AM54="","",z)</f>
        <v/>
      </c>
      <c r="AQ54" s="69" t="str">
        <f t="shared" si="2"/>
        <v/>
      </c>
      <c r="AR54" s="187" t="str">
        <f>IF(AM54="","",TRIM(SUBSTITUTE(_xlfn.TEXTJOIN(", ",TRUE,Filter!AL13,Filter!AR13,Filter!AX13,Filter!BD13),", 0","")))</f>
        <v/>
      </c>
      <c r="AS54" s="69" t="str" cm="1">
        <f t="array" ref="AS54">IF(AM54="","",_xlfn.TEXTJOIN(", ",TRUE,IF(BA54="","",ROUND(BA54*ConvertLength,1)),IF(BB54="","",ROUND(BB54*ConvertLength,1)),IF(BC54="","",ROUND(BC54*ConvertLength,1)),IF(BD54="","",ROUND(BD54*ConvertLength,1))))</f>
        <v/>
      </c>
      <c r="AT54" s="302" t="str" cm="1">
        <f t="array" ref="AT54">IFERROR(_xlfn.LET(
_xlpm.CaAa,   _xlfn.XLOOKUP(RIGHT(AM54, LEN(AM54)-4)&amp;ROW()-41,Calculations_APPURT[Model]&amp;ROW(Calculations_APPURT[Model]),Hazards_APPURT[Front CaAa],"",0,1),
_xlpm.qz,     _xlfn.XLOOKUP(RIGHT(AM54, LEN(AM54)-4)&amp;ROW()-41,Calculations_APPURT[Model]&amp;ROW(Calculations_APPURT[Model]),Hazards_APPURT[qz],"",0,1),
_xlpm.Ka,     0.9,
_xlpm.Kd,     _xlfn.XLOOKUP(RIGHT(AM54, LEN(AM54)-4)&amp;ROW()-41,Calculations_APPURT[Model]&amp;ROW(Calculations_APPURT[Model]),Hazards_APPURT[Kd],"",0,1),
_xlpm.Kes,    Kes.w,
_xlpm.CaAa*_xlpm.qz*_xlpm.Ka*_xlpm.Kd),"")</f>
        <v/>
      </c>
      <c r="AU54" s="302" t="str" cm="1">
        <f t="array" ref="AU54">IFERROR(_xlfn.LET(
_xlpm.CaAa,   _xlfn.XLOOKUP(RIGHT(AM54, LEN(AM54)-4)&amp;ROW()-41,Calculations_APPURT[Model]&amp;ROW(Calculations_APPURT[Model]),Hazards_APPURT[Side CaAa],"",0,1),
_xlpm.qz,     _xlfn.XLOOKUP(RIGHT(AM54, LEN(AM54)-4)&amp;ROW()-41,Calculations_APPURT[Model]&amp;ROW(Calculations_APPURT[Model]),Hazards_APPURT[qz],"",0,1),
_xlpm.Ka,     0.9,
_xlpm.Kd,     _xlfn.XLOOKUP(RIGHT(AM54, LEN(AM54)-4)&amp;ROW()-41,Calculations_APPURT[Model]&amp;ROW(Calculations_APPURT[Model]),Hazards_APPURT[Kd],"",0,1),
_xlpm.Kes,    Kes.w,
_xlpm.CaAa*_xlpm.qz*_xlpm.Ka*_xlpm.Kd),"")</f>
        <v/>
      </c>
      <c r="AW54" s="217" t="str">
        <f>IF(Filter!AN13=0,"",Filter!AN13)</f>
        <v/>
      </c>
      <c r="AX54" s="217" t="str">
        <f>IF(Filter!AT13=0,"",Filter!AT13)</f>
        <v/>
      </c>
      <c r="AY54" s="217" t="str">
        <f>IF(Filter!AZ13=0,"",Filter!AZ13)</f>
        <v/>
      </c>
      <c r="AZ54" s="217" t="str">
        <f>IF(Filter!BF13=0,"",Filter!BF13)</f>
        <v/>
      </c>
      <c r="BA54"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_xlfn.XLOOKUP(AW54, Geometry!$B:$B, Geometry!$M:$M, "", 0, 1),
_xlpm.Pj, _xlfn.XLOOKUP(AW54,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4"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_xlfn.XLOOKUP(AX54, Geometry!$B:$B, Geometry!$M:$M, "", 0, 1),
_xlpm.Pj, _xlfn.XLOOKUP(AX54,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4"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_xlfn.XLOOKUP(AY54, Geometry!$B:$B, Geometry!$M:$M, "", 0, 1),
_xlpm.Pj, _xlfn.XLOOKUP(AY54,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4"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_xlfn.XLOOKUP(AZ54, Geometry!$B:$B, Geometry!$M:$M, "", 0, 1),
_xlpm.Pj, _xlfn.XLOOKUP(AZ54,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4" s="261" t="str">
        <f>IF(AM54="","",z + Filter!BN13/12 + Filter!BJ13/2/12)</f>
        <v/>
      </c>
      <c r="BF54" s="261" t="str">
        <f>IF(AM54="","",z + Filter!BN13/12 - Filter!BJ13/2/12)</f>
        <v/>
      </c>
      <c r="BG54" s="447"/>
      <c r="BH54" s="447"/>
      <c r="BI54" s="447"/>
      <c r="BJ54" s="447"/>
      <c r="BK54" s="447"/>
      <c r="BL54" s="447"/>
      <c r="BM54" s="447"/>
      <c r="BN54" s="447"/>
      <c r="BO54" s="447"/>
      <c r="BP54" s="447"/>
      <c r="BQ54" s="447"/>
    </row>
    <row r="55" spans="1:69" ht="15" customHeight="1" x14ac:dyDescent="0.2">
      <c r="K55" s="391" t="str">
        <f>IF(Results!U22="","",Results!U22)</f>
        <v/>
      </c>
      <c r="L55" s="391"/>
      <c r="M55" s="391" t="str">
        <f t="shared" si="0"/>
        <v/>
      </c>
      <c r="N55" s="391"/>
      <c r="O55" s="318" t="str" cm="1">
        <f t="array" ref="O55">IFERROR(IF(K55="","",IF(ResultsOption="Results - Envelope Solution",_xlfn.XLOOKUP(K55&amp;P55,Results!$S$4:$S$99999&amp;Results!$C$4:$C$99999,Results!$A$4:$A$99999),_xlfn.XLOOKUP(K55&amp;P55,#REF!&amp;#REF!,#REF!))),"N/A")</f>
        <v/>
      </c>
      <c r="P55" s="323" t="str">
        <f>IF(K55="","",IF(ResultsOption="Results - Envelope Solution",_xlfn.MAXIFS(Results!$C$3:$C$99999,Results!$S$3:$S$99999,K55),_xlfn.MAXIFS(#REF!,#REF!,K55)))</f>
        <v/>
      </c>
      <c r="Q55" s="318" t="str" cm="1">
        <f t="array" ref="Q55">IFERROR(IF(K55="","",IF(ResultsOption="Results - Envelope Solution",_xlfn.XLOOKUP(K55&amp;R55,Results!$S$4:$S$99999&amp;Results!$F$4:$F$99999,Results!$A$4:$A$99999),_xlfn.XLOOKUP(K55&amp;R55,#REF!&amp;#REF!,#REF!))),"N/A")</f>
        <v/>
      </c>
      <c r="R55" s="323" t="str">
        <f>IF(K55="","",IF(ResultsOption="Results - Envelope Solution",_xlfn.MAXIFS(Results!$F$3:$F$99999,Results!$S$3:$S$99999,K55),_xlfn.MAXIFS(#REF!,#REF!,K55)))</f>
        <v/>
      </c>
      <c r="S55" s="318" t="str">
        <f t="shared" si="1"/>
        <v/>
      </c>
      <c r="U55" s="474" t="str">
        <f>IF(ISBLANK('Discrete Loads'!B12),"",'Discrete Loads'!B12)</f>
        <v/>
      </c>
      <c r="V55" s="474"/>
      <c r="W55" s="341" t="str" cm="1">
        <f t="array" ref="W55">_xlfn.LET(
    _xlpm.model,        'Discrete Loads'!$B12,
    _xlpm.Shape,        'Discrete Loads'!$E12,
    _xlpm.Direction,    W$46,
    _xlpm.Azimuth,      0,
    _xlpm.CaAa_Front,   _xlfn.XLOOKUP(Code!$U55&amp;ROW()-43,Calculations_APPURT[Model]&amp;ROW('Discrete Loads'!B12),Hazards_APPURT[Ice Front CaAa],0,0,1),
    _xlpm.CaAa_Side,    _xlfn.XLOOKUP(Code!$U55&amp;ROW()-43,Calculations_APPURT[Model]&amp;ROW('Discrete Loads'!B12),Hazards_APPURT[Ice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X55" s="341" t="str" cm="1">
        <f t="array" ref="X55">_xlfn.LET(
    _xlpm.model,        'Discrete Loads'!$B12,
    _xlpm.Shape,        'Discrete Loads'!$E12,
    _xlpm.Direction,    X$46,
    _xlpm.Azimuth,      0,
    _xlpm.CaAa_Front,   _xlfn.XLOOKUP(Code!$U55&amp;ROW()-43,Calculations_APPURT[Model]&amp;ROW('Discrete Loads'!C12),Hazards_APPURT[Ice Front CaAa],0,0,1),
    _xlpm.CaAa_Side,    _xlfn.XLOOKUP(Code!$U55&amp;ROW()-43,Calculations_APPURT[Model]&amp;ROW('Discrete Loads'!C12),Hazards_APPURT[Ice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Y55" s="341" t="str" cm="1">
        <f t="array" ref="Y55">_xlfn.LET(
    _xlpm.model,        'Discrete Loads'!$B12,
    _xlpm.Shape,        'Discrete Loads'!$E12,
    _xlpm.Direction,    Y$46,
    _xlpm.Azimuth,      0,
    _xlpm.CaAa_Front,   _xlfn.XLOOKUP(Code!$U55&amp;ROW()-43,Calculations_APPURT[Model]&amp;ROW('Discrete Loads'!D12),Hazards_APPURT[Ice Front CaAa],0,0,1),
    _xlpm.CaAa_Side,    _xlfn.XLOOKUP(Code!$U55&amp;ROW()-43,Calculations_APPURT[Model]&amp;ROW('Discrete Loads'!D12),Hazards_APPURT[Ice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Z55" s="341" t="str" cm="1">
        <f t="array" ref="Z55">_xlfn.LET(
    _xlpm.model,        'Discrete Loads'!$B12,
    _xlpm.Shape,        'Discrete Loads'!$E12,
    _xlpm.Direction,    Z$46,
    _xlpm.Azimuth,      0,
    _xlpm.CaAa_Front,   _xlfn.XLOOKUP(Code!$U55&amp;ROW()-43,Calculations_APPURT[Model]&amp;ROW('Discrete Loads'!E12),Hazards_APPURT[Ice Front CaAa],0,0,1),
    _xlpm.CaAa_Side,    _xlfn.XLOOKUP(Code!$U55&amp;ROW()-43,Calculations_APPURT[Model]&amp;ROW('Discrete Loads'!E12),Hazards_APPURT[Ice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AA55" s="341" t="str" cm="1">
        <f t="array" ref="AA55">_xlfn.LET(
    _xlpm.model,        'Discrete Loads'!$B12,
    _xlpm.Shape,        'Discrete Loads'!$E12,
    _xlpm.Direction,    AA$46,
    _xlpm.Azimuth,      0,
    _xlpm.CaAa_Front,   _xlfn.XLOOKUP(Code!$U55&amp;ROW()-43,Calculations_APPURT[Model]&amp;ROW('Discrete Loads'!F12),Hazards_APPURT[Ice Front CaAa],0,0,1),
    _xlpm.CaAa_Side,    _xlfn.XLOOKUP(Code!$U55&amp;ROW()-43,Calculations_APPURT[Model]&amp;ROW('Discrete Loads'!F12),Hazards_APPURT[Ice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AB55" s="341" t="str" cm="1">
        <f t="array" ref="AB55">_xlfn.LET(
    _xlpm.model,        'Discrete Loads'!$B12,
    _xlpm.Shape,        'Discrete Loads'!$E12,
    _xlpm.Direction,    AB$46,
    _xlpm.Azimuth,      0,
    _xlpm.CaAa_Front,   _xlfn.XLOOKUP(Code!$U55&amp;ROW()-43,Calculations_APPURT[Model]&amp;ROW('Discrete Loads'!G12),Hazards_APPURT[Ice Front CaAa],0,0,1),
    _xlpm.CaAa_Side,    _xlfn.XLOOKUP(Code!$U55&amp;ROW()-43,Calculations_APPURT[Model]&amp;ROW('Discrete Loads'!G12),Hazards_APPURT[Ice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AC55" s="341" t="str" cm="1">
        <f t="array" ref="AC55">_xlfn.LET(
    _xlpm.model,        'Discrete Loads'!$B12,
    _xlpm.Shape,        'Discrete Loads'!$E12,
    _xlpm.Direction,    AC$46,
    _xlpm.Azimuth,      0,
    _xlpm.CaAa_Front,   _xlfn.XLOOKUP(Code!$U55&amp;ROW()-43,Calculations_APPURT[Model]&amp;ROW('Discrete Loads'!H12),Hazards_APPURT[Ice Front CaAa],0,0,1),
    _xlpm.CaAa_Side,    _xlfn.XLOOKUP(Code!$U55&amp;ROW()-43,Calculations_APPURT[Model]&amp;ROW('Discrete Loads'!H12),Hazards_APPURT[Ice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AD55" s="341" t="str" cm="1">
        <f t="array" ref="AD55">_xlfn.LET(
    _xlpm.model,        'Discrete Loads'!$B12,
    _xlpm.Shape,        'Discrete Loads'!$E12,
    _xlpm.Direction,    AD$46,
    _xlpm.Azimuth,      0,
    _xlpm.CaAa_Front,   _xlfn.XLOOKUP(Code!$U55&amp;ROW()-43,Calculations_APPURT[Model]&amp;ROW('Discrete Loads'!I12),Hazards_APPURT[Ice Front CaAa],0,0,1),
    _xlpm.CaAa_Side,    _xlfn.XLOOKUP(Code!$U55&amp;ROW()-43,Calculations_APPURT[Model]&amp;ROW('Discrete Loads'!I12),Hazards_APPURT[Ice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AE55" s="341" t="str" cm="1">
        <f t="array" ref="AE55">_xlfn.LET(
    _xlpm.model,        'Discrete Loads'!$B12,
    _xlpm.Shape,        'Discrete Loads'!$E12,
    _xlpm.Direction,    AE$46,
    _xlpm.Azimuth,      0,
    _xlpm.CaAa_Front,   _xlfn.XLOOKUP(Code!$U55&amp;ROW()-43,Calculations_APPURT[Model]&amp;ROW('Discrete Loads'!J12),Hazards_APPURT[Ice Front CaAa],0,0,1),
    _xlpm.CaAa_Side,    _xlfn.XLOOKUP(Code!$U55&amp;ROW()-43,Calculations_APPURT[Model]&amp;ROW('Discrete Loads'!J12),Hazards_APPURT[Ice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AF55" s="341" t="str" cm="1">
        <f t="array" ref="AF55">_xlfn.LET(
    _xlpm.model,        'Discrete Loads'!$B12,
    _xlpm.Shape,        'Discrete Loads'!$E12,
    _xlpm.Direction,    AF$46,
    _xlpm.Azimuth,      0,
    _xlpm.CaAa_Front,   _xlfn.XLOOKUP(Code!$U55&amp;ROW()-43,Calculations_APPURT[Model]&amp;ROW('Discrete Loads'!K12),Hazards_APPURT[Ice Front CaAa],0,0,1),
    _xlpm.CaAa_Side,    _xlfn.XLOOKUP(Code!$U55&amp;ROW()-43,Calculations_APPURT[Model]&amp;ROW('Discrete Loads'!K12),Hazards_APPURT[Ice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AG55" s="341" t="str" cm="1">
        <f t="array" ref="AG55">_xlfn.LET(
    _xlpm.model,        'Discrete Loads'!$B12,
    _xlpm.Shape,        'Discrete Loads'!$E12,
    _xlpm.Direction,    AG$46,
    _xlpm.Azimuth,      0,
    _xlpm.CaAa_Front,   _xlfn.XLOOKUP(Code!$U55&amp;ROW()-43,Calculations_APPURT[Model]&amp;ROW('Discrete Loads'!L12),Hazards_APPURT[Ice Front CaAa],0,0,1),
    _xlpm.CaAa_Side,    _xlfn.XLOOKUP(Code!$U55&amp;ROW()-43,Calculations_APPURT[Model]&amp;ROW('Discrete Loads'!L12),Hazards_APPURT[Ice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AH55" s="341" t="str" cm="1">
        <f t="array" ref="AH55">_xlfn.LET(
    _xlpm.model,        'Discrete Loads'!$B12,
    _xlpm.Shape,        'Discrete Loads'!$E12,
    _xlpm.Direction,    AH$46,
    _xlpm.Azimuth,      0,
    _xlpm.CaAa_Front,   _xlfn.XLOOKUP(Code!$U55&amp;ROW()-43,Calculations_APPURT[Model]&amp;ROW('Discrete Loads'!M12),Hazards_APPURT[Ice Front CaAa],0,0,1),
    _xlpm.CaAa_Side,    _xlfn.XLOOKUP(Code!$U55&amp;ROW()-43,Calculations_APPURT[Model]&amp;ROW('Discrete Loads'!M12),Hazards_APPURT[Ice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IF($U55="","",IF(_xlpm.Shape="CFD", _xlpm.CFD_val, _xlpm.CaAa_Front*COS(PI()/180*(_xlpm.Direction+_xlpm.Azimuth))^2 + _xlpm.CaAa_Side*SIN(PI()/180*(_xlpm.Direction+_xlpm.Azimuth))^2)))</f>
        <v/>
      </c>
      <c r="AI55" s="339" t="str">
        <f t="shared" si="3"/>
        <v/>
      </c>
      <c r="AJ55" s="363" t="str" cm="1">
        <f t="array" ref="AJ55">IF(U55="","",_xlfn.XLOOKUP($U55&amp;(ROW()-43),Calculations_APPURT[Model]&amp;ROW(Calculations_APPURT[Model]),Hazards_APPURT[qiz],"",0,1))</f>
        <v/>
      </c>
      <c r="AK55" s="366" t="str" cm="1">
        <f t="array" ref="AK55">IF(U55="","",_xlfn.XLOOKUP($U55&amp;(ROW()-43),Calculations_APPURT[Model]&amp;ROW(Calculations_APPURT[Model]),Hazards_APPURT[Ice Weight],"",0,1))</f>
        <v/>
      </c>
      <c r="AM55" s="462" t="str">
        <f>IFERROR(_xlfn.CONCAT("(",IF(Filter!AM14+Filter!AS14+Filter!AY14+Filter!BE14&gt;0,(Filter!AM14+Filter!AS14+Filter!AY14+Filter!BE14),""),") ",_xlfn._xlws.FILTER(Filter!AH14,Filter!AH14&lt;&gt;0)),"")</f>
        <v/>
      </c>
      <c r="AN55" s="462"/>
      <c r="AO55" s="462"/>
      <c r="AP55" s="327" t="str">
        <f>IF(AM55="","",z)</f>
        <v/>
      </c>
      <c r="AQ55" s="328" t="str">
        <f t="shared" si="2"/>
        <v/>
      </c>
      <c r="AR55" s="329" t="str">
        <f>IF(AM55="","",TRIM(SUBSTITUTE(_xlfn.TEXTJOIN(", ",TRUE,Filter!AL14,Filter!AR14,Filter!AX14,Filter!BD14),", 0","")))</f>
        <v/>
      </c>
      <c r="AS55" s="328" t="str" cm="1">
        <f t="array" ref="AS55">IF(AM55="","",_xlfn.TEXTJOIN(", ",TRUE,IF(BA55="","",ROUND(BA55*ConvertLength,1)),IF(BB55="","",ROUND(BB55*ConvertLength,1)),IF(BC55="","",ROUND(BC55*ConvertLength,1)),IF(BD55="","",ROUND(BD55*ConvertLength,1))))</f>
        <v/>
      </c>
      <c r="AT55" s="330" t="str" cm="1">
        <f t="array" ref="AT55">IFERROR(_xlfn.LET(
_xlpm.CaAa,   _xlfn.XLOOKUP(RIGHT(AM55, LEN(AM55)-4)&amp;ROW()-41,Calculations_APPURT[Model]&amp;ROW(Calculations_APPURT[Model]),Hazards_APPURT[Front CaAa],"",0,1),
_xlpm.qz,     _xlfn.XLOOKUP(RIGHT(AM55, LEN(AM55)-4)&amp;ROW()-41,Calculations_APPURT[Model]&amp;ROW(Calculations_APPURT[Model]),Hazards_APPURT[qz],"",0,1),
_xlpm.Ka,     0.9,
_xlpm.Kd,     _xlfn.XLOOKUP(RIGHT(AM55, LEN(AM55)-4)&amp;ROW()-41,Calculations_APPURT[Model]&amp;ROW(Calculations_APPURT[Model]),Hazards_APPURT[Kd],"",0,1),
_xlpm.Kes,    Kes.w,
_xlpm.CaAa*_xlpm.qz*_xlpm.Ka*_xlpm.Kd),"")</f>
        <v/>
      </c>
      <c r="AU55" s="330" t="str" cm="1">
        <f t="array" ref="AU55">IFERROR(_xlfn.LET(
_xlpm.CaAa,   _xlfn.XLOOKUP(RIGHT(AM55, LEN(AM55)-4)&amp;ROW()-41,Calculations_APPURT[Model]&amp;ROW(Calculations_APPURT[Model]),Hazards_APPURT[Side CaAa],"",0,1),
_xlpm.qz,     _xlfn.XLOOKUP(RIGHT(AM55, LEN(AM55)-4)&amp;ROW()-41,Calculations_APPURT[Model]&amp;ROW(Calculations_APPURT[Model]),Hazards_APPURT[qz],"",0,1),
_xlpm.Ka,     0.9,
_xlpm.Kd,     _xlfn.XLOOKUP(RIGHT(AM55, LEN(AM55)-4)&amp;ROW()-41,Calculations_APPURT[Model]&amp;ROW(Calculations_APPURT[Model]),Hazards_APPURT[Kd],"",0,1),
_xlpm.Kes,    Kes.w,
_xlpm.CaAa*_xlpm.qz*_xlpm.Ka*_xlpm.Kd),"")</f>
        <v/>
      </c>
      <c r="AW55" s="217" t="str">
        <f>IF(Filter!AN14=0,"",Filter!AN14)</f>
        <v/>
      </c>
      <c r="AX55" s="217" t="str">
        <f>IF(Filter!AT14=0,"",Filter!AT14)</f>
        <v/>
      </c>
      <c r="AY55" s="217" t="str">
        <f>IF(Filter!AZ14=0,"",Filter!AZ14)</f>
        <v/>
      </c>
      <c r="AZ55" s="217" t="str">
        <f>IF(Filter!BF14=0,"",Filter!BF14)</f>
        <v/>
      </c>
      <c r="BA55"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_xlfn.XLOOKUP(AW55, Geometry!$B:$B, Geometry!$M:$M, "", 0, 1),
_xlpm.Pj, _xlfn.XLOOKUP(AW55,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5"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_xlfn.XLOOKUP(AX55, Geometry!$B:$B, Geometry!$M:$M, "", 0, 1),
_xlpm.Pj, _xlfn.XLOOKUP(AX55,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5"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_xlfn.XLOOKUP(AY55, Geometry!$B:$B, Geometry!$M:$M, "", 0, 1),
_xlpm.Pj, _xlfn.XLOOKUP(AY55,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5"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_xlfn.XLOOKUP(AZ55, Geometry!$B:$B, Geometry!$M:$M, "", 0, 1),
_xlpm.Pj, _xlfn.XLOOKUP(AZ55,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5" s="261" t="str">
        <f>IF(AM55="","",z + Filter!BN14/12 + Filter!BJ14/2/12)</f>
        <v/>
      </c>
      <c r="BF55" s="261" t="str">
        <f>IF(AM55="","",z + Filter!BN14/12 - Filter!BJ14/2/12)</f>
        <v/>
      </c>
      <c r="BG55" s="447"/>
      <c r="BH55" s="447"/>
      <c r="BI55" s="447"/>
      <c r="BJ55" s="447"/>
      <c r="BK55" s="447"/>
      <c r="BL55" s="447"/>
      <c r="BM55" s="447"/>
      <c r="BN55" s="447"/>
      <c r="BO55" s="447"/>
      <c r="BP55" s="447"/>
      <c r="BQ55" s="447"/>
    </row>
    <row r="56" spans="1:69" ht="15" customHeight="1" x14ac:dyDescent="0.2">
      <c r="K56" s="393" t="str">
        <f>IF(Results!U23="","",Results!U23)</f>
        <v/>
      </c>
      <c r="L56" s="393"/>
      <c r="M56" s="393" t="str">
        <f t="shared" si="0"/>
        <v/>
      </c>
      <c r="N56" s="393"/>
      <c r="O56" s="69" t="str" cm="1">
        <f t="array" ref="O56">IFERROR(IF(K56="","",IF(ResultsOption="Results - Envelope Solution",_xlfn.XLOOKUP(K56&amp;P56,Results!$S$4:$S$99999&amp;Results!$C$4:$C$99999,Results!$A$4:$A$99999),_xlfn.XLOOKUP(K56&amp;P56,#REF!&amp;#REF!,#REF!))),"N/A")</f>
        <v/>
      </c>
      <c r="P56" s="70" t="str">
        <f>IF(K56="","",IF(ResultsOption="Results - Envelope Solution",_xlfn.MAXIFS(Results!$C$3:$C$99999,Results!$S$3:$S$99999,K56),_xlfn.MAXIFS(#REF!,#REF!,K56)))</f>
        <v/>
      </c>
      <c r="Q56" s="69" t="str" cm="1">
        <f t="array" ref="Q56">IFERROR(IF(K56="","",IF(ResultsOption="Results - Envelope Solution",_xlfn.XLOOKUP(K56&amp;R56,Results!$S$4:$S$99999&amp;Results!$F$4:$F$99999,Results!$A$4:$A$99999),_xlfn.XLOOKUP(K56&amp;R56,#REF!&amp;#REF!,#REF!))),"N/A")</f>
        <v/>
      </c>
      <c r="R56" s="70" t="str">
        <f>IF(K56="","",IF(ResultsOption="Results - Envelope Solution",_xlfn.MAXIFS(Results!$F$3:$F$99999,Results!$S$3:$S$99999,K56),_xlfn.MAXIFS(#REF!,#REF!,K56)))</f>
        <v/>
      </c>
      <c r="S56" s="69" t="str">
        <f t="shared" si="1"/>
        <v/>
      </c>
      <c r="U56" s="386" t="str">
        <f>IF(ISBLANK('Discrete Loads'!B13),"",'Discrete Loads'!B13)</f>
        <v/>
      </c>
      <c r="V56" s="386"/>
      <c r="W56" s="342" t="str" cm="1">
        <f t="array" ref="W56">_xlfn.LET(
    _xlpm.model,        'Discrete Loads'!$B13,
    _xlpm.Shape,        'Discrete Loads'!$E13,
    _xlpm.Direction,    W$46,
    _xlpm.Azimuth,      0,
    _xlpm.CaAa_Front,   _xlfn.XLOOKUP(Code!$U56&amp;ROW()-43,Calculations_APPURT[Model]&amp;ROW('Discrete Loads'!B13),Hazards_APPURT[Ice Front CaAa],0,0,1),
    _xlpm.CaAa_Side,    _xlfn.XLOOKUP(Code!$U56&amp;ROW()-43,Calculations_APPURT[Model]&amp;ROW('Discrete Loads'!B13),Hazards_APPURT[Ice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X56" s="342" t="str" cm="1">
        <f t="array" ref="X56">_xlfn.LET(
    _xlpm.model,        'Discrete Loads'!$B13,
    _xlpm.Shape,        'Discrete Loads'!$E13,
    _xlpm.Direction,    X$46,
    _xlpm.Azimuth,      0,
    _xlpm.CaAa_Front,   _xlfn.XLOOKUP(Code!$U56&amp;ROW()-43,Calculations_APPURT[Model]&amp;ROW('Discrete Loads'!C13),Hazards_APPURT[Ice Front CaAa],0,0,1),
    _xlpm.CaAa_Side,    _xlfn.XLOOKUP(Code!$U56&amp;ROW()-43,Calculations_APPURT[Model]&amp;ROW('Discrete Loads'!C13),Hazards_APPURT[Ice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Y56" s="342" t="str" cm="1">
        <f t="array" ref="Y56">_xlfn.LET(
    _xlpm.model,        'Discrete Loads'!$B13,
    _xlpm.Shape,        'Discrete Loads'!$E13,
    _xlpm.Direction,    Y$46,
    _xlpm.Azimuth,      0,
    _xlpm.CaAa_Front,   _xlfn.XLOOKUP(Code!$U56&amp;ROW()-43,Calculations_APPURT[Model]&amp;ROW('Discrete Loads'!D13),Hazards_APPURT[Ice Front CaAa],0,0,1),
    _xlpm.CaAa_Side,    _xlfn.XLOOKUP(Code!$U56&amp;ROW()-43,Calculations_APPURT[Model]&amp;ROW('Discrete Loads'!D13),Hazards_APPURT[Ice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Z56" s="342" t="str" cm="1">
        <f t="array" ref="Z56">_xlfn.LET(
    _xlpm.model,        'Discrete Loads'!$B13,
    _xlpm.Shape,        'Discrete Loads'!$E13,
    _xlpm.Direction,    Z$46,
    _xlpm.Azimuth,      0,
    _xlpm.CaAa_Front,   _xlfn.XLOOKUP(Code!$U56&amp;ROW()-43,Calculations_APPURT[Model]&amp;ROW('Discrete Loads'!E13),Hazards_APPURT[Ice Front CaAa],0,0,1),
    _xlpm.CaAa_Side,    _xlfn.XLOOKUP(Code!$U56&amp;ROW()-43,Calculations_APPURT[Model]&amp;ROW('Discrete Loads'!E13),Hazards_APPURT[Ice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AA56" s="342" t="str" cm="1">
        <f t="array" ref="AA56">_xlfn.LET(
    _xlpm.model,        'Discrete Loads'!$B13,
    _xlpm.Shape,        'Discrete Loads'!$E13,
    _xlpm.Direction,    AA$46,
    _xlpm.Azimuth,      0,
    _xlpm.CaAa_Front,   _xlfn.XLOOKUP(Code!$U56&amp;ROW()-43,Calculations_APPURT[Model]&amp;ROW('Discrete Loads'!F13),Hazards_APPURT[Ice Front CaAa],0,0,1),
    _xlpm.CaAa_Side,    _xlfn.XLOOKUP(Code!$U56&amp;ROW()-43,Calculations_APPURT[Model]&amp;ROW('Discrete Loads'!F13),Hazards_APPURT[Ice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AB56" s="342" t="str" cm="1">
        <f t="array" ref="AB56">_xlfn.LET(
    _xlpm.model,        'Discrete Loads'!$B13,
    _xlpm.Shape,        'Discrete Loads'!$E13,
    _xlpm.Direction,    AB$46,
    _xlpm.Azimuth,      0,
    _xlpm.CaAa_Front,   _xlfn.XLOOKUP(Code!$U56&amp;ROW()-43,Calculations_APPURT[Model]&amp;ROW('Discrete Loads'!G13),Hazards_APPURT[Ice Front CaAa],0,0,1),
    _xlpm.CaAa_Side,    _xlfn.XLOOKUP(Code!$U56&amp;ROW()-43,Calculations_APPURT[Model]&amp;ROW('Discrete Loads'!G13),Hazards_APPURT[Ice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AC56" s="342" t="str" cm="1">
        <f t="array" ref="AC56">_xlfn.LET(
    _xlpm.model,        'Discrete Loads'!$B13,
    _xlpm.Shape,        'Discrete Loads'!$E13,
    _xlpm.Direction,    AC$46,
    _xlpm.Azimuth,      0,
    _xlpm.CaAa_Front,   _xlfn.XLOOKUP(Code!$U56&amp;ROW()-43,Calculations_APPURT[Model]&amp;ROW('Discrete Loads'!H13),Hazards_APPURT[Ice Front CaAa],0,0,1),
    _xlpm.CaAa_Side,    _xlfn.XLOOKUP(Code!$U56&amp;ROW()-43,Calculations_APPURT[Model]&amp;ROW('Discrete Loads'!H13),Hazards_APPURT[Ice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AD56" s="342" t="str" cm="1">
        <f t="array" ref="AD56">_xlfn.LET(
    _xlpm.model,        'Discrete Loads'!$B13,
    _xlpm.Shape,        'Discrete Loads'!$E13,
    _xlpm.Direction,    AD$46,
    _xlpm.Azimuth,      0,
    _xlpm.CaAa_Front,   _xlfn.XLOOKUP(Code!$U56&amp;ROW()-43,Calculations_APPURT[Model]&amp;ROW('Discrete Loads'!I13),Hazards_APPURT[Ice Front CaAa],0,0,1),
    _xlpm.CaAa_Side,    _xlfn.XLOOKUP(Code!$U56&amp;ROW()-43,Calculations_APPURT[Model]&amp;ROW('Discrete Loads'!I13),Hazards_APPURT[Ice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AE56" s="342" t="str" cm="1">
        <f t="array" ref="AE56">_xlfn.LET(
    _xlpm.model,        'Discrete Loads'!$B13,
    _xlpm.Shape,        'Discrete Loads'!$E13,
    _xlpm.Direction,    AE$46,
    _xlpm.Azimuth,      0,
    _xlpm.CaAa_Front,   _xlfn.XLOOKUP(Code!$U56&amp;ROW()-43,Calculations_APPURT[Model]&amp;ROW('Discrete Loads'!J13),Hazards_APPURT[Ice Front CaAa],0,0,1),
    _xlpm.CaAa_Side,    _xlfn.XLOOKUP(Code!$U56&amp;ROW()-43,Calculations_APPURT[Model]&amp;ROW('Discrete Loads'!J13),Hazards_APPURT[Ice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AF56" s="342" t="str" cm="1">
        <f t="array" ref="AF56">_xlfn.LET(
    _xlpm.model,        'Discrete Loads'!$B13,
    _xlpm.Shape,        'Discrete Loads'!$E13,
    _xlpm.Direction,    AF$46,
    _xlpm.Azimuth,      0,
    _xlpm.CaAa_Front,   _xlfn.XLOOKUP(Code!$U56&amp;ROW()-43,Calculations_APPURT[Model]&amp;ROW('Discrete Loads'!K13),Hazards_APPURT[Ice Front CaAa],0,0,1),
    _xlpm.CaAa_Side,    _xlfn.XLOOKUP(Code!$U56&amp;ROW()-43,Calculations_APPURT[Model]&amp;ROW('Discrete Loads'!K13),Hazards_APPURT[Ice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AG56" s="342" t="str" cm="1">
        <f t="array" ref="AG56">_xlfn.LET(
    _xlpm.model,        'Discrete Loads'!$B13,
    _xlpm.Shape,        'Discrete Loads'!$E13,
    _xlpm.Direction,    AG$46,
    _xlpm.Azimuth,      0,
    _xlpm.CaAa_Front,   _xlfn.XLOOKUP(Code!$U56&amp;ROW()-43,Calculations_APPURT[Model]&amp;ROW('Discrete Loads'!L13),Hazards_APPURT[Ice Front CaAa],0,0,1),
    _xlpm.CaAa_Side,    _xlfn.XLOOKUP(Code!$U56&amp;ROW()-43,Calculations_APPURT[Model]&amp;ROW('Discrete Loads'!L13),Hazards_APPURT[Ice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AH56" s="342" t="str" cm="1">
        <f t="array" ref="AH56">_xlfn.LET(
    _xlpm.model,        'Discrete Loads'!$B13,
    _xlpm.Shape,        'Discrete Loads'!$E13,
    _xlpm.Direction,    AH$46,
    _xlpm.Azimuth,      0,
    _xlpm.CaAa_Front,   _xlfn.XLOOKUP(Code!$U56&amp;ROW()-43,Calculations_APPURT[Model]&amp;ROW('Discrete Loads'!M13),Hazards_APPURT[Ice Front CaAa],0,0,1),
    _xlpm.CaAa_Side,    _xlfn.XLOOKUP(Code!$U56&amp;ROW()-43,Calculations_APPURT[Model]&amp;ROW('Discrete Loads'!M13),Hazards_APPURT[Ice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IF($U56="","",IF(_xlpm.Shape="CFD", _xlpm.CFD_val, _xlpm.CaAa_Front*COS(PI()/180*(_xlpm.Direction+_xlpm.Azimuth))^2 + _xlpm.CaAa_Side*SIN(PI()/180*(_xlpm.Direction+_xlpm.Azimuth))^2)))</f>
        <v/>
      </c>
      <c r="AI56" s="340" t="str">
        <f t="shared" si="3"/>
        <v/>
      </c>
      <c r="AJ56" s="364" t="str" cm="1">
        <f t="array" ref="AJ56">IF(U56="","",_xlfn.XLOOKUP($U56&amp;(ROW()-43),Calculations_APPURT[Model]&amp;ROW(Calculations_APPURT[Model]),Hazards_APPURT[qiz],"",0,1))</f>
        <v/>
      </c>
      <c r="AK56" s="367" t="str" cm="1">
        <f t="array" ref="AK56">IF(U56="","",_xlfn.XLOOKUP($U56&amp;(ROW()-43),Calculations_APPURT[Model]&amp;ROW(Calculations_APPURT[Model]),Hazards_APPURT[Ice Weight],"",0,1))</f>
        <v/>
      </c>
      <c r="AM56" s="461" t="str">
        <f>IFERROR(_xlfn.CONCAT("(",IF(Filter!AM15+Filter!AS15+Filter!AY15+Filter!BE15&gt;0,(Filter!AM15+Filter!AS15+Filter!AY15+Filter!BE15),""),") ",_xlfn._xlws.FILTER(Filter!AH15,Filter!AH15&lt;&gt;0)),"")</f>
        <v/>
      </c>
      <c r="AN56" s="461"/>
      <c r="AO56" s="461"/>
      <c r="AP56" s="301" t="str">
        <f>IF(AM56="","",z)</f>
        <v/>
      </c>
      <c r="AQ56" s="69" t="str">
        <f t="shared" si="2"/>
        <v/>
      </c>
      <c r="AR56" s="187" t="str">
        <f>IF(AM56="","",TRIM(SUBSTITUTE(_xlfn.TEXTJOIN(", ",TRUE,Filter!AL15,Filter!AR15,Filter!AX15,Filter!BD15),", 0","")))</f>
        <v/>
      </c>
      <c r="AS56" s="69" t="str" cm="1">
        <f t="array" ref="AS56">IF(AM56="","",_xlfn.TEXTJOIN(", ",TRUE,IF(BA56="","",ROUND(BA56*ConvertLength,1)),IF(BB56="","",ROUND(BB56*ConvertLength,1)),IF(BC56="","",ROUND(BC56*ConvertLength,1)),IF(BD56="","",ROUND(BD56*ConvertLength,1))))</f>
        <v/>
      </c>
      <c r="AT56" s="302" t="str" cm="1">
        <f t="array" ref="AT56">IFERROR(_xlfn.LET(
_xlpm.CaAa,   _xlfn.XLOOKUP(RIGHT(AM56, LEN(AM56)-4)&amp;ROW()-41,Calculations_APPURT[Model]&amp;ROW(Calculations_APPURT[Model]),Hazards_APPURT[Front CaAa],"",0,1),
_xlpm.qz,     _xlfn.XLOOKUP(RIGHT(AM56, LEN(AM56)-4)&amp;ROW()-41,Calculations_APPURT[Model]&amp;ROW(Calculations_APPURT[Model]),Hazards_APPURT[qz],"",0,1),
_xlpm.Ka,     0.9,
_xlpm.Kd,     _xlfn.XLOOKUP(RIGHT(AM56, LEN(AM56)-4)&amp;ROW()-41,Calculations_APPURT[Model]&amp;ROW(Calculations_APPURT[Model]),Hazards_APPURT[Kd],"",0,1),
_xlpm.Kes,    Kes.w,
_xlpm.CaAa*_xlpm.qz*_xlpm.Ka*_xlpm.Kd),"")</f>
        <v/>
      </c>
      <c r="AU56" s="302" t="str" cm="1">
        <f t="array" ref="AU56">IFERROR(_xlfn.LET(
_xlpm.CaAa,   _xlfn.XLOOKUP(RIGHT(AM56, LEN(AM56)-4)&amp;ROW()-41,Calculations_APPURT[Model]&amp;ROW(Calculations_APPURT[Model]),Hazards_APPURT[Side CaAa],"",0,1),
_xlpm.qz,     _xlfn.XLOOKUP(RIGHT(AM56, LEN(AM56)-4)&amp;ROW()-41,Calculations_APPURT[Model]&amp;ROW(Calculations_APPURT[Model]),Hazards_APPURT[qz],"",0,1),
_xlpm.Ka,     0.9,
_xlpm.Kd,     _xlfn.XLOOKUP(RIGHT(AM56, LEN(AM56)-4)&amp;ROW()-41,Calculations_APPURT[Model]&amp;ROW(Calculations_APPURT[Model]),Hazards_APPURT[Kd],"",0,1),
_xlpm.Kes,    Kes.w,
_xlpm.CaAa*_xlpm.qz*_xlpm.Ka*_xlpm.Kd),"")</f>
        <v/>
      </c>
      <c r="AW56" s="217" t="str">
        <f>IF(Filter!AN15=0,"",Filter!AN15)</f>
        <v/>
      </c>
      <c r="AX56" s="217" t="str">
        <f>IF(Filter!AT15=0,"",Filter!AT15)</f>
        <v/>
      </c>
      <c r="AY56" s="217" t="str">
        <f>IF(Filter!AZ15=0,"",Filter!AZ15)</f>
        <v/>
      </c>
      <c r="AZ56" s="217" t="str">
        <f>IF(Filter!BF15=0,"",Filter!BF15)</f>
        <v/>
      </c>
      <c r="BA56"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_xlfn.XLOOKUP(AW56, Geometry!$B:$B, Geometry!$M:$M, "", 0, 1),
_xlpm.Pj, _xlfn.XLOOKUP(AW56,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6"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_xlfn.XLOOKUP(AX56, Geometry!$B:$B, Geometry!$M:$M, "", 0, 1),
_xlpm.Pj, _xlfn.XLOOKUP(AX56,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6"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_xlfn.XLOOKUP(AY56, Geometry!$B:$B, Geometry!$M:$M, "", 0, 1),
_xlpm.Pj, _xlfn.XLOOKUP(AY56,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6"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_xlfn.XLOOKUP(AZ56, Geometry!$B:$B, Geometry!$M:$M, "", 0, 1),
_xlpm.Pj, _xlfn.XLOOKUP(AZ56,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6" s="261" t="str">
        <f>IF(AM56="","",z + Filter!BN15/12 + Filter!BJ15/2/12)</f>
        <v/>
      </c>
      <c r="BF56" s="261" t="str">
        <f>IF(AM56="","",z + Filter!BN15/12 - Filter!BJ15/2/12)</f>
        <v/>
      </c>
      <c r="BG56" s="447"/>
      <c r="BH56" s="447"/>
      <c r="BI56" s="447"/>
      <c r="BJ56" s="447"/>
      <c r="BK56" s="447"/>
      <c r="BL56" s="447"/>
      <c r="BM56" s="447"/>
      <c r="BN56" s="447"/>
      <c r="BO56" s="447"/>
      <c r="BP56" s="447"/>
      <c r="BQ56" s="447"/>
    </row>
    <row r="57" spans="1:69" ht="15" customHeight="1" x14ac:dyDescent="0.2">
      <c r="K57" s="391" t="str">
        <f>IF(Results!U24="","",Results!U24)</f>
        <v/>
      </c>
      <c r="L57" s="391"/>
      <c r="M57" s="391" t="str">
        <f>IFERROR(IF(K57="Connection",Geometry!Y32,VLOOKUP(K57,rngR3DSectionSets,2,0)),"")</f>
        <v/>
      </c>
      <c r="N57" s="391"/>
      <c r="O57" s="318" t="str" cm="1">
        <f t="array" ref="O57">IFERROR(IF(K57="","",IF(ResultsOption="Results - Envelope Solution",_xlfn.XLOOKUP(K57&amp;P57,Results!$S$4:$S$99999&amp;Results!$C$4:$C$99999,Results!$A$4:$A$99999),_xlfn.XLOOKUP(K57&amp;P57,#REF!&amp;#REF!,#REF!))),"N/A")</f>
        <v/>
      </c>
      <c r="P57" s="323" t="str">
        <f>IF(K57="","",IF(ResultsOption="Results - Envelope Solution",_xlfn.MAXIFS(Results!$C$3:$C$99999,Results!$S$3:$S$99999,K57),_xlfn.MAXIFS(#REF!,#REF!,K57)))</f>
        <v/>
      </c>
      <c r="Q57" s="318" t="str" cm="1">
        <f t="array" ref="Q57">IFERROR(IF(K57="","",IF(ResultsOption="Results - Envelope Solution",_xlfn.XLOOKUP(K57&amp;R57,Results!$S$4:$S$99999&amp;Results!$F$4:$F$99999,Results!$A$4:$A$99999),_xlfn.XLOOKUP(K57&amp;R57,#REF!&amp;#REF!,#REF!))),"N/A")</f>
        <v/>
      </c>
      <c r="R57" s="323" t="str">
        <f>IF(K57="","",IF(ResultsOption="Results - Envelope Solution",_xlfn.MAXIFS(Results!$F$3:$F$99999,Results!$S$3:$S$99999,K57),_xlfn.MAXIFS(#REF!,#REF!,K57)))</f>
        <v/>
      </c>
      <c r="S57" s="318" t="str">
        <f t="shared" si="1"/>
        <v/>
      </c>
      <c r="U57" s="474" t="str">
        <f>IF(ISBLANK('Discrete Loads'!B14),"",'Discrete Loads'!B14)</f>
        <v/>
      </c>
      <c r="V57" s="474"/>
      <c r="W57" s="341" t="str" cm="1">
        <f t="array" ref="W57">_xlfn.LET(
    _xlpm.model,        'Discrete Loads'!$B14,
    _xlpm.Shape,        'Discrete Loads'!$E14,
    _xlpm.Direction,    W$46,
    _xlpm.Azimuth,      0,
    _xlpm.CaAa_Front,   _xlfn.XLOOKUP(Code!$U57&amp;ROW()-43,Calculations_APPURT[Model]&amp;ROW('Discrete Loads'!B14),Hazards_APPURT[Ice Front CaAa],0,0,1),
    _xlpm.CaAa_Side,    _xlfn.XLOOKUP(Code!$U57&amp;ROW()-43,Calculations_APPURT[Model]&amp;ROW('Discrete Loads'!B14),Hazards_APPURT[Ice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X57" s="341" t="str" cm="1">
        <f t="array" ref="X57">_xlfn.LET(
    _xlpm.model,        'Discrete Loads'!$B14,
    _xlpm.Shape,        'Discrete Loads'!$E14,
    _xlpm.Direction,    X$46,
    _xlpm.Azimuth,      0,
    _xlpm.CaAa_Front,   _xlfn.XLOOKUP(Code!$U57&amp;ROW()-43,Calculations_APPURT[Model]&amp;ROW('Discrete Loads'!C14),Hazards_APPURT[Ice Front CaAa],0,0,1),
    _xlpm.CaAa_Side,    _xlfn.XLOOKUP(Code!$U57&amp;ROW()-43,Calculations_APPURT[Model]&amp;ROW('Discrete Loads'!C14),Hazards_APPURT[Ice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Y57" s="341" t="str" cm="1">
        <f t="array" ref="Y57">_xlfn.LET(
    _xlpm.model,        'Discrete Loads'!$B14,
    _xlpm.Shape,        'Discrete Loads'!$E14,
    _xlpm.Direction,    Y$46,
    _xlpm.Azimuth,      0,
    _xlpm.CaAa_Front,   _xlfn.XLOOKUP(Code!$U57&amp;ROW()-43,Calculations_APPURT[Model]&amp;ROW('Discrete Loads'!D14),Hazards_APPURT[Ice Front CaAa],0,0,1),
    _xlpm.CaAa_Side,    _xlfn.XLOOKUP(Code!$U57&amp;ROW()-43,Calculations_APPURT[Model]&amp;ROW('Discrete Loads'!D14),Hazards_APPURT[Ice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Z57" s="341" t="str" cm="1">
        <f t="array" ref="Z57">_xlfn.LET(
    _xlpm.model,        'Discrete Loads'!$B14,
    _xlpm.Shape,        'Discrete Loads'!$E14,
    _xlpm.Direction,    Z$46,
    _xlpm.Azimuth,      0,
    _xlpm.CaAa_Front,   _xlfn.XLOOKUP(Code!$U57&amp;ROW()-43,Calculations_APPURT[Model]&amp;ROW('Discrete Loads'!E14),Hazards_APPURT[Ice Front CaAa],0,0,1),
    _xlpm.CaAa_Side,    _xlfn.XLOOKUP(Code!$U57&amp;ROW()-43,Calculations_APPURT[Model]&amp;ROW('Discrete Loads'!E14),Hazards_APPURT[Ice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AA57" s="341" t="str" cm="1">
        <f t="array" ref="AA57">_xlfn.LET(
    _xlpm.model,        'Discrete Loads'!$B14,
    _xlpm.Shape,        'Discrete Loads'!$E14,
    _xlpm.Direction,    AA$46,
    _xlpm.Azimuth,      0,
    _xlpm.CaAa_Front,   _xlfn.XLOOKUP(Code!$U57&amp;ROW()-43,Calculations_APPURT[Model]&amp;ROW('Discrete Loads'!F14),Hazards_APPURT[Ice Front CaAa],0,0,1),
    _xlpm.CaAa_Side,    _xlfn.XLOOKUP(Code!$U57&amp;ROW()-43,Calculations_APPURT[Model]&amp;ROW('Discrete Loads'!F14),Hazards_APPURT[Ice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AB57" s="341" t="str" cm="1">
        <f t="array" ref="AB57">_xlfn.LET(
    _xlpm.model,        'Discrete Loads'!$B14,
    _xlpm.Shape,        'Discrete Loads'!$E14,
    _xlpm.Direction,    AB$46,
    _xlpm.Azimuth,      0,
    _xlpm.CaAa_Front,   _xlfn.XLOOKUP(Code!$U57&amp;ROW()-43,Calculations_APPURT[Model]&amp;ROW('Discrete Loads'!G14),Hazards_APPURT[Ice Front CaAa],0,0,1),
    _xlpm.CaAa_Side,    _xlfn.XLOOKUP(Code!$U57&amp;ROW()-43,Calculations_APPURT[Model]&amp;ROW('Discrete Loads'!G14),Hazards_APPURT[Ice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AC57" s="341" t="str" cm="1">
        <f t="array" ref="AC57">_xlfn.LET(
    _xlpm.model,        'Discrete Loads'!$B14,
    _xlpm.Shape,        'Discrete Loads'!$E14,
    _xlpm.Direction,    AC$46,
    _xlpm.Azimuth,      0,
    _xlpm.CaAa_Front,   _xlfn.XLOOKUP(Code!$U57&amp;ROW()-43,Calculations_APPURT[Model]&amp;ROW('Discrete Loads'!H14),Hazards_APPURT[Ice Front CaAa],0,0,1),
    _xlpm.CaAa_Side,    _xlfn.XLOOKUP(Code!$U57&amp;ROW()-43,Calculations_APPURT[Model]&amp;ROW('Discrete Loads'!H14),Hazards_APPURT[Ice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AD57" s="341" t="str" cm="1">
        <f t="array" ref="AD57">_xlfn.LET(
    _xlpm.model,        'Discrete Loads'!$B14,
    _xlpm.Shape,        'Discrete Loads'!$E14,
    _xlpm.Direction,    AD$46,
    _xlpm.Azimuth,      0,
    _xlpm.CaAa_Front,   _xlfn.XLOOKUP(Code!$U57&amp;ROW()-43,Calculations_APPURT[Model]&amp;ROW('Discrete Loads'!I14),Hazards_APPURT[Ice Front CaAa],0,0,1),
    _xlpm.CaAa_Side,    _xlfn.XLOOKUP(Code!$U57&amp;ROW()-43,Calculations_APPURT[Model]&amp;ROW('Discrete Loads'!I14),Hazards_APPURT[Ice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AE57" s="341" t="str" cm="1">
        <f t="array" ref="AE57">_xlfn.LET(
    _xlpm.model,        'Discrete Loads'!$B14,
    _xlpm.Shape,        'Discrete Loads'!$E14,
    _xlpm.Direction,    AE$46,
    _xlpm.Azimuth,      0,
    _xlpm.CaAa_Front,   _xlfn.XLOOKUP(Code!$U57&amp;ROW()-43,Calculations_APPURT[Model]&amp;ROW('Discrete Loads'!J14),Hazards_APPURT[Ice Front CaAa],0,0,1),
    _xlpm.CaAa_Side,    _xlfn.XLOOKUP(Code!$U57&amp;ROW()-43,Calculations_APPURT[Model]&amp;ROW('Discrete Loads'!J14),Hazards_APPURT[Ice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AF57" s="341" t="str" cm="1">
        <f t="array" ref="AF57">_xlfn.LET(
    _xlpm.model,        'Discrete Loads'!$B14,
    _xlpm.Shape,        'Discrete Loads'!$E14,
    _xlpm.Direction,    AF$46,
    _xlpm.Azimuth,      0,
    _xlpm.CaAa_Front,   _xlfn.XLOOKUP(Code!$U57&amp;ROW()-43,Calculations_APPURT[Model]&amp;ROW('Discrete Loads'!K14),Hazards_APPURT[Ice Front CaAa],0,0,1),
    _xlpm.CaAa_Side,    _xlfn.XLOOKUP(Code!$U57&amp;ROW()-43,Calculations_APPURT[Model]&amp;ROW('Discrete Loads'!K14),Hazards_APPURT[Ice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AG57" s="341" t="str" cm="1">
        <f t="array" ref="AG57">_xlfn.LET(
    _xlpm.model,        'Discrete Loads'!$B14,
    _xlpm.Shape,        'Discrete Loads'!$E14,
    _xlpm.Direction,    AG$46,
    _xlpm.Azimuth,      0,
    _xlpm.CaAa_Front,   _xlfn.XLOOKUP(Code!$U57&amp;ROW()-43,Calculations_APPURT[Model]&amp;ROW('Discrete Loads'!L14),Hazards_APPURT[Ice Front CaAa],0,0,1),
    _xlpm.CaAa_Side,    _xlfn.XLOOKUP(Code!$U57&amp;ROW()-43,Calculations_APPURT[Model]&amp;ROW('Discrete Loads'!L14),Hazards_APPURT[Ice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AH57" s="341" t="str" cm="1">
        <f t="array" ref="AH57">_xlfn.LET(
    _xlpm.model,        'Discrete Loads'!$B14,
    _xlpm.Shape,        'Discrete Loads'!$E14,
    _xlpm.Direction,    AH$46,
    _xlpm.Azimuth,      0,
    _xlpm.CaAa_Front,   _xlfn.XLOOKUP(Code!$U57&amp;ROW()-43,Calculations_APPURT[Model]&amp;ROW('Discrete Loads'!M14),Hazards_APPURT[Ice Front CaAa],0,0,1),
    _xlpm.CaAa_Side,    _xlfn.XLOOKUP(Code!$U57&amp;ROW()-43,Calculations_APPURT[Model]&amp;ROW('Discrete Loads'!M14),Hazards_APPURT[Ice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IF($U57="","",IF(_xlpm.Shape="CFD", _xlpm.CFD_val, _xlpm.CaAa_Front*COS(PI()/180*(_xlpm.Direction+_xlpm.Azimuth))^2 + _xlpm.CaAa_Side*SIN(PI()/180*(_xlpm.Direction+_xlpm.Azimuth))^2)))</f>
        <v/>
      </c>
      <c r="AI57" s="339" t="str">
        <f t="shared" si="3"/>
        <v/>
      </c>
      <c r="AJ57" s="363" t="str" cm="1">
        <f t="array" ref="AJ57">IF(U57="","",_xlfn.XLOOKUP($U57&amp;(ROW()-43),Calculations_APPURT[Model]&amp;ROW(Calculations_APPURT[Model]),Hazards_APPURT[qiz],"",0,1))</f>
        <v/>
      </c>
      <c r="AK57" s="366" t="str" cm="1">
        <f t="array" ref="AK57">IF(U57="","",_xlfn.XLOOKUP($U57&amp;(ROW()-43),Calculations_APPURT[Model]&amp;ROW(Calculations_APPURT[Model]),Hazards_APPURT[Ice Weight],"",0,1))</f>
        <v/>
      </c>
      <c r="AM57" s="462" t="str">
        <f>IFERROR(_xlfn.CONCAT("(",IF(Filter!AM16+Filter!AS16+Filter!AY16+Filter!BE16&gt;0,(Filter!AM16+Filter!AS16+Filter!AY16+Filter!BE16),""),") ",_xlfn._xlws.FILTER(Filter!AH16,Filter!AH16&lt;&gt;0)),"")</f>
        <v/>
      </c>
      <c r="AN57" s="462"/>
      <c r="AO57" s="462"/>
      <c r="AP57" s="327" t="str">
        <f>IF(AM57="","",z)</f>
        <v/>
      </c>
      <c r="AQ57" s="328" t="str">
        <f t="shared" si="2"/>
        <v/>
      </c>
      <c r="AR57" s="329" t="str">
        <f>IF(AM57="","",TRIM(SUBSTITUTE(_xlfn.TEXTJOIN(", ",TRUE,Filter!AL16,Filter!AR16,Filter!AX16,Filter!BD16),", 0","")))</f>
        <v/>
      </c>
      <c r="AS57" s="328" t="str" cm="1">
        <f t="array" ref="AS57">IF(AM57="","",_xlfn.TEXTJOIN(", ",TRUE,IF(BA57="","",ROUND(BA57*ConvertLength,1)),IF(BB57="","",ROUND(BB57*ConvertLength,1)),IF(BC57="","",ROUND(BC57*ConvertLength,1)),IF(BD57="","",ROUND(BD57*ConvertLength,1))))</f>
        <v/>
      </c>
      <c r="AT57" s="330" t="str" cm="1">
        <f t="array" ref="AT57">IFERROR(_xlfn.LET(
_xlpm.CaAa,   _xlfn.XLOOKUP(RIGHT(AM57, LEN(AM57)-4)&amp;ROW()-41,Calculations_APPURT[Model]&amp;ROW(Calculations_APPURT[Model]),Hazards_APPURT[Front CaAa],"",0,1),
_xlpm.qz,     _xlfn.XLOOKUP(RIGHT(AM57, LEN(AM57)-4)&amp;ROW()-41,Calculations_APPURT[Model]&amp;ROW(Calculations_APPURT[Model]),Hazards_APPURT[qz],"",0,1),
_xlpm.Ka,     0.9,
_xlpm.Kd,     _xlfn.XLOOKUP(RIGHT(AM57, LEN(AM57)-4)&amp;ROW()-41,Calculations_APPURT[Model]&amp;ROW(Calculations_APPURT[Model]),Hazards_APPURT[Kd],"",0,1),
_xlpm.Kes,    Kes.w,
_xlpm.CaAa*_xlpm.qz*_xlpm.Ka*_xlpm.Kd),"")</f>
        <v/>
      </c>
      <c r="AU57" s="330" t="str" cm="1">
        <f t="array" ref="AU57">IFERROR(_xlfn.LET(
_xlpm.CaAa,   _xlfn.XLOOKUP(RIGHT(AM57, LEN(AM57)-4)&amp;ROW()-41,Calculations_APPURT[Model]&amp;ROW(Calculations_APPURT[Model]),Hazards_APPURT[Side CaAa],"",0,1),
_xlpm.qz,     _xlfn.XLOOKUP(RIGHT(AM57, LEN(AM57)-4)&amp;ROW()-41,Calculations_APPURT[Model]&amp;ROW(Calculations_APPURT[Model]),Hazards_APPURT[qz],"",0,1),
_xlpm.Ka,     0.9,
_xlpm.Kd,     _xlfn.XLOOKUP(RIGHT(AM57, LEN(AM57)-4)&amp;ROW()-41,Calculations_APPURT[Model]&amp;ROW(Calculations_APPURT[Model]),Hazards_APPURT[Kd],"",0,1),
_xlpm.Kes,    Kes.w,
_xlpm.CaAa*_xlpm.qz*_xlpm.Ka*_xlpm.Kd),"")</f>
        <v/>
      </c>
      <c r="AW57" s="217" t="str">
        <f>IF(Filter!AN16=0,"",Filter!AN16)</f>
        <v/>
      </c>
      <c r="AX57" s="217" t="str">
        <f>IF(Filter!AT16=0,"",Filter!AT16)</f>
        <v/>
      </c>
      <c r="AY57" s="217" t="str">
        <f>IF(Filter!AZ16=0,"",Filter!AZ16)</f>
        <v/>
      </c>
      <c r="AZ57" s="217" t="str">
        <f>IF(Filter!BF16=0,"",Filter!BF16)</f>
        <v/>
      </c>
      <c r="BA57"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_xlfn.XLOOKUP(AW57, Geometry!$B:$B, Geometry!$M:$M, "", 0, 1),
_xlpm.Pj, _xlfn.XLOOKUP(AW57,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7"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_xlfn.XLOOKUP(AX57, Geometry!$B:$B, Geometry!$M:$M, "", 0, 1),
_xlpm.Pj, _xlfn.XLOOKUP(AX57,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7"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_xlfn.XLOOKUP(AY57, Geometry!$B:$B, Geometry!$M:$M, "", 0, 1),
_xlpm.Pj, _xlfn.XLOOKUP(AY57,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7"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_xlfn.XLOOKUP(AZ57, Geometry!$B:$B, Geometry!$M:$M, "", 0, 1),
_xlpm.Pj, _xlfn.XLOOKUP(AZ57,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7" s="261" t="str">
        <f>IF(AM57="","",z + Filter!BN16/12 + Filter!BJ16/2/12)</f>
        <v/>
      </c>
      <c r="BF57" s="261" t="str">
        <f>IF(AM57="","",z + Filter!BN16/12 - Filter!BJ16/2/12)</f>
        <v/>
      </c>
      <c r="BG57" s="447"/>
      <c r="BH57" s="447"/>
      <c r="BI57" s="447"/>
      <c r="BJ57" s="447"/>
      <c r="BK57" s="447"/>
      <c r="BL57" s="447"/>
      <c r="BM57" s="447"/>
      <c r="BN57" s="447"/>
      <c r="BO57" s="447"/>
      <c r="BP57" s="447"/>
      <c r="BQ57" s="447"/>
    </row>
    <row r="58" spans="1:69" ht="15" customHeight="1" x14ac:dyDescent="0.2">
      <c r="K58" s="393" t="str">
        <f>IF(Results!U25="","",Results!U25)</f>
        <v/>
      </c>
      <c r="L58" s="393"/>
      <c r="M58" s="393" t="str">
        <f t="shared" ref="M58:M71" si="4">IFERROR(VLOOKUP(K58,rngR3DSectionSets,2,0),"")</f>
        <v/>
      </c>
      <c r="N58" s="393"/>
      <c r="O58" s="69" t="str" cm="1">
        <f t="array" ref="O58">IFERROR(IF(K58="","",IF(ResultsOption="Results - Envelope Solution",_xlfn.XLOOKUP(K58&amp;P58,Results!$S$4:$S$99999&amp;Results!$C$4:$C$99999,Results!$A$4:$A$99999),_xlfn.XLOOKUP(K58&amp;P58,#REF!&amp;#REF!,#REF!))),"N/A")</f>
        <v/>
      </c>
      <c r="P58" s="70" t="str">
        <f>IF(K58="","",IF(ResultsOption="Results - Envelope Solution",_xlfn.MAXIFS(Results!$C$3:$C$99999,Results!$S$3:$S$99999,K58),_xlfn.MAXIFS(#REF!,#REF!,K58)))</f>
        <v/>
      </c>
      <c r="Q58" s="69" t="str" cm="1">
        <f t="array" ref="Q58">IFERROR(IF(K58="","",IF(ResultsOption="Results - Envelope Solution",_xlfn.XLOOKUP(K58&amp;R58,Results!$S$4:$S$99999&amp;Results!$F$4:$F$99999,Results!$A$4:$A$99999),_xlfn.XLOOKUP(K58&amp;R58,#REF!&amp;#REF!,#REF!))),"N/A")</f>
        <v/>
      </c>
      <c r="R58" s="70" t="str">
        <f>IF(K58="","",IF(ResultsOption="Results - Envelope Solution",_xlfn.MAXIFS(Results!$F$3:$F$99999,Results!$S$3:$S$99999,K58),_xlfn.MAXIFS(#REF!,#REF!,K58)))</f>
        <v/>
      </c>
      <c r="S58" s="69" t="str">
        <f t="shared" si="1"/>
        <v/>
      </c>
      <c r="U58" s="386" t="str">
        <f>IF(ISBLANK('Discrete Loads'!B15),"",'Discrete Loads'!B15)</f>
        <v/>
      </c>
      <c r="V58" s="386"/>
      <c r="W58" s="342" t="str" cm="1">
        <f t="array" ref="W58">_xlfn.LET(
    _xlpm.model,        'Discrete Loads'!$B15,
    _xlpm.Shape,        'Discrete Loads'!$E15,
    _xlpm.Direction,    W$46,
    _xlpm.Azimuth,      0,
    _xlpm.CaAa_Front,   _xlfn.XLOOKUP(Code!$U58&amp;ROW()-43,Calculations_APPURT[Model]&amp;ROW('Discrete Loads'!B15),Hazards_APPURT[Ice Front CaAa],0,0,1),
    _xlpm.CaAa_Side,    _xlfn.XLOOKUP(Code!$U58&amp;ROW()-43,Calculations_APPURT[Model]&amp;ROW('Discrete Loads'!B15),Hazards_APPURT[Ice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X58" s="342" t="str" cm="1">
        <f t="array" ref="X58">_xlfn.LET(
    _xlpm.model,        'Discrete Loads'!$B15,
    _xlpm.Shape,        'Discrete Loads'!$E15,
    _xlpm.Direction,    X$46,
    _xlpm.Azimuth,      0,
    _xlpm.CaAa_Front,   _xlfn.XLOOKUP(Code!$U58&amp;ROW()-43,Calculations_APPURT[Model]&amp;ROW('Discrete Loads'!C15),Hazards_APPURT[Ice Front CaAa],0,0,1),
    _xlpm.CaAa_Side,    _xlfn.XLOOKUP(Code!$U58&amp;ROW()-43,Calculations_APPURT[Model]&amp;ROW('Discrete Loads'!C15),Hazards_APPURT[Ice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Y58" s="342" t="str" cm="1">
        <f t="array" ref="Y58">_xlfn.LET(
    _xlpm.model,        'Discrete Loads'!$B15,
    _xlpm.Shape,        'Discrete Loads'!$E15,
    _xlpm.Direction,    Y$46,
    _xlpm.Azimuth,      0,
    _xlpm.CaAa_Front,   _xlfn.XLOOKUP(Code!$U58&amp;ROW()-43,Calculations_APPURT[Model]&amp;ROW('Discrete Loads'!D15),Hazards_APPURT[Ice Front CaAa],0,0,1),
    _xlpm.CaAa_Side,    _xlfn.XLOOKUP(Code!$U58&amp;ROW()-43,Calculations_APPURT[Model]&amp;ROW('Discrete Loads'!D15),Hazards_APPURT[Ice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Z58" s="342" t="str" cm="1">
        <f t="array" ref="Z58">_xlfn.LET(
    _xlpm.model,        'Discrete Loads'!$B15,
    _xlpm.Shape,        'Discrete Loads'!$E15,
    _xlpm.Direction,    Z$46,
    _xlpm.Azimuth,      0,
    _xlpm.CaAa_Front,   _xlfn.XLOOKUP(Code!$U58&amp;ROW()-43,Calculations_APPURT[Model]&amp;ROW('Discrete Loads'!E15),Hazards_APPURT[Ice Front CaAa],0,0,1),
    _xlpm.CaAa_Side,    _xlfn.XLOOKUP(Code!$U58&amp;ROW()-43,Calculations_APPURT[Model]&amp;ROW('Discrete Loads'!E15),Hazards_APPURT[Ice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AA58" s="342" t="str" cm="1">
        <f t="array" ref="AA58">_xlfn.LET(
    _xlpm.model,        'Discrete Loads'!$B15,
    _xlpm.Shape,        'Discrete Loads'!$E15,
    _xlpm.Direction,    AA$46,
    _xlpm.Azimuth,      0,
    _xlpm.CaAa_Front,   _xlfn.XLOOKUP(Code!$U58&amp;ROW()-43,Calculations_APPURT[Model]&amp;ROW('Discrete Loads'!F15),Hazards_APPURT[Ice Front CaAa],0,0,1),
    _xlpm.CaAa_Side,    _xlfn.XLOOKUP(Code!$U58&amp;ROW()-43,Calculations_APPURT[Model]&amp;ROW('Discrete Loads'!F15),Hazards_APPURT[Ice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AB58" s="342" t="str" cm="1">
        <f t="array" ref="AB58">_xlfn.LET(
    _xlpm.model,        'Discrete Loads'!$B15,
    _xlpm.Shape,        'Discrete Loads'!$E15,
    _xlpm.Direction,    AB$46,
    _xlpm.Azimuth,      0,
    _xlpm.CaAa_Front,   _xlfn.XLOOKUP(Code!$U58&amp;ROW()-43,Calculations_APPURT[Model]&amp;ROW('Discrete Loads'!G15),Hazards_APPURT[Ice Front CaAa],0,0,1),
    _xlpm.CaAa_Side,    _xlfn.XLOOKUP(Code!$U58&amp;ROW()-43,Calculations_APPURT[Model]&amp;ROW('Discrete Loads'!G15),Hazards_APPURT[Ice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AC58" s="342" t="str" cm="1">
        <f t="array" ref="AC58">_xlfn.LET(
    _xlpm.model,        'Discrete Loads'!$B15,
    _xlpm.Shape,        'Discrete Loads'!$E15,
    _xlpm.Direction,    AC$46,
    _xlpm.Azimuth,      0,
    _xlpm.CaAa_Front,   _xlfn.XLOOKUP(Code!$U58&amp;ROW()-43,Calculations_APPURT[Model]&amp;ROW('Discrete Loads'!H15),Hazards_APPURT[Ice Front CaAa],0,0,1),
    _xlpm.CaAa_Side,    _xlfn.XLOOKUP(Code!$U58&amp;ROW()-43,Calculations_APPURT[Model]&amp;ROW('Discrete Loads'!H15),Hazards_APPURT[Ice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AD58" s="342" t="str" cm="1">
        <f t="array" ref="AD58">_xlfn.LET(
    _xlpm.model,        'Discrete Loads'!$B15,
    _xlpm.Shape,        'Discrete Loads'!$E15,
    _xlpm.Direction,    AD$46,
    _xlpm.Azimuth,      0,
    _xlpm.CaAa_Front,   _xlfn.XLOOKUP(Code!$U58&amp;ROW()-43,Calculations_APPURT[Model]&amp;ROW('Discrete Loads'!I15),Hazards_APPURT[Ice Front CaAa],0,0,1),
    _xlpm.CaAa_Side,    _xlfn.XLOOKUP(Code!$U58&amp;ROW()-43,Calculations_APPURT[Model]&amp;ROW('Discrete Loads'!I15),Hazards_APPURT[Ice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AE58" s="342" t="str" cm="1">
        <f t="array" ref="AE58">_xlfn.LET(
    _xlpm.model,        'Discrete Loads'!$B15,
    _xlpm.Shape,        'Discrete Loads'!$E15,
    _xlpm.Direction,    AE$46,
    _xlpm.Azimuth,      0,
    _xlpm.CaAa_Front,   _xlfn.XLOOKUP(Code!$U58&amp;ROW()-43,Calculations_APPURT[Model]&amp;ROW('Discrete Loads'!J15),Hazards_APPURT[Ice Front CaAa],0,0,1),
    _xlpm.CaAa_Side,    _xlfn.XLOOKUP(Code!$U58&amp;ROW()-43,Calculations_APPURT[Model]&amp;ROW('Discrete Loads'!J15),Hazards_APPURT[Ice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AF58" s="342" t="str" cm="1">
        <f t="array" ref="AF58">_xlfn.LET(
    _xlpm.model,        'Discrete Loads'!$B15,
    _xlpm.Shape,        'Discrete Loads'!$E15,
    _xlpm.Direction,    AF$46,
    _xlpm.Azimuth,      0,
    _xlpm.CaAa_Front,   _xlfn.XLOOKUP(Code!$U58&amp;ROW()-43,Calculations_APPURT[Model]&amp;ROW('Discrete Loads'!K15),Hazards_APPURT[Ice Front CaAa],0,0,1),
    _xlpm.CaAa_Side,    _xlfn.XLOOKUP(Code!$U58&amp;ROW()-43,Calculations_APPURT[Model]&amp;ROW('Discrete Loads'!K15),Hazards_APPURT[Ice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AG58" s="342" t="str" cm="1">
        <f t="array" ref="AG58">_xlfn.LET(
    _xlpm.model,        'Discrete Loads'!$B15,
    _xlpm.Shape,        'Discrete Loads'!$E15,
    _xlpm.Direction,    AG$46,
    _xlpm.Azimuth,      0,
    _xlpm.CaAa_Front,   _xlfn.XLOOKUP(Code!$U58&amp;ROW()-43,Calculations_APPURT[Model]&amp;ROW('Discrete Loads'!L15),Hazards_APPURT[Ice Front CaAa],0,0,1),
    _xlpm.CaAa_Side,    _xlfn.XLOOKUP(Code!$U58&amp;ROW()-43,Calculations_APPURT[Model]&amp;ROW('Discrete Loads'!L15),Hazards_APPURT[Ice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AH58" s="342" t="str" cm="1">
        <f t="array" ref="AH58">_xlfn.LET(
    _xlpm.model,        'Discrete Loads'!$B15,
    _xlpm.Shape,        'Discrete Loads'!$E15,
    _xlpm.Direction,    AH$46,
    _xlpm.Azimuth,      0,
    _xlpm.CaAa_Front,   _xlfn.XLOOKUP(Code!$U58&amp;ROW()-43,Calculations_APPURT[Model]&amp;ROW('Discrete Loads'!M15),Hazards_APPURT[Ice Front CaAa],0,0,1),
    _xlpm.CaAa_Side,    _xlfn.XLOOKUP(Code!$U58&amp;ROW()-43,Calculations_APPURT[Model]&amp;ROW('Discrete Loads'!M15),Hazards_APPURT[Ice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IF($U58="","",IF(_xlpm.Shape="CFD", _xlpm.CFD_val, _xlpm.CaAa_Front*COS(PI()/180*(_xlpm.Direction+_xlpm.Azimuth))^2 + _xlpm.CaAa_Side*SIN(PI()/180*(_xlpm.Direction+_xlpm.Azimuth))^2)))</f>
        <v/>
      </c>
      <c r="AI58" s="340" t="str">
        <f t="shared" si="3"/>
        <v/>
      </c>
      <c r="AJ58" s="364" t="str" cm="1">
        <f t="array" ref="AJ58">IF(U58="","",_xlfn.XLOOKUP($U58&amp;(ROW()-43),Calculations_APPURT[Model]&amp;ROW(Calculations_APPURT[Model]),Hazards_APPURT[qiz],"",0,1))</f>
        <v/>
      </c>
      <c r="AK58" s="367" t="str" cm="1">
        <f t="array" ref="AK58">IF(U58="","",_xlfn.XLOOKUP($U58&amp;(ROW()-43),Calculations_APPURT[Model]&amp;ROW(Calculations_APPURT[Model]),Hazards_APPURT[Ice Weight],"",0,1))</f>
        <v/>
      </c>
      <c r="AM58" s="461" t="str">
        <f>IFERROR(_xlfn.CONCAT("(",IF(Filter!AM17+Filter!AS17+Filter!AY17+Filter!BE17&gt;0,(Filter!AM17+Filter!AS17+Filter!AY17+Filter!BE17),""),") ",_xlfn._xlws.FILTER(Filter!AH17,Filter!AH17&lt;&gt;0)),"")</f>
        <v/>
      </c>
      <c r="AN58" s="461"/>
      <c r="AO58" s="461"/>
      <c r="AP58" s="301" t="str">
        <f>IF(AM58="","",z)</f>
        <v/>
      </c>
      <c r="AQ58" s="69" t="str">
        <f t="shared" si="2"/>
        <v/>
      </c>
      <c r="AR58" s="187" t="str">
        <f>IF(AM58="","",TRIM(SUBSTITUTE(_xlfn.TEXTJOIN(", ",TRUE,Filter!AL17,Filter!AR17,Filter!AX17,Filter!BD17),", 0","")))</f>
        <v/>
      </c>
      <c r="AS58" s="69" t="str" cm="1">
        <f t="array" ref="AS58">IF(AM58="","",_xlfn.TEXTJOIN(", ",TRUE,IF(BA58="","",ROUND(BA58*ConvertLength,1)),IF(BB58="","",ROUND(BB58*ConvertLength,1)),IF(BC58="","",ROUND(BC58*ConvertLength,1)),IF(BD58="","",ROUND(BD58*ConvertLength,1))))</f>
        <v/>
      </c>
      <c r="AT58" s="302" t="str" cm="1">
        <f t="array" ref="AT58">IFERROR(_xlfn.LET(
_xlpm.CaAa,   _xlfn.XLOOKUP(RIGHT(AM58, LEN(AM58)-4)&amp;ROW()-41,Calculations_APPURT[Model]&amp;ROW(Calculations_APPURT[Model]),Hazards_APPURT[Front CaAa],"",0,1),
_xlpm.qz,     _xlfn.XLOOKUP(RIGHT(AM58, LEN(AM58)-4)&amp;ROW()-41,Calculations_APPURT[Model]&amp;ROW(Calculations_APPURT[Model]),Hazards_APPURT[qz],"",0,1),
_xlpm.Ka,     0.9,
_xlpm.Kd,     _xlfn.XLOOKUP(RIGHT(AM58, LEN(AM58)-4)&amp;ROW()-41,Calculations_APPURT[Model]&amp;ROW(Calculations_APPURT[Model]),Hazards_APPURT[Kd],"",0,1),
_xlpm.Kes,    Kes.w,
_xlpm.CaAa*_xlpm.qz*_xlpm.Ka*_xlpm.Kd),"")</f>
        <v/>
      </c>
      <c r="AU58" s="302" t="str" cm="1">
        <f t="array" ref="AU58">IFERROR(_xlfn.LET(
_xlpm.CaAa,   _xlfn.XLOOKUP(RIGHT(AM58, LEN(AM58)-4)&amp;ROW()-41,Calculations_APPURT[Model]&amp;ROW(Calculations_APPURT[Model]),Hazards_APPURT[Side CaAa],"",0,1),
_xlpm.qz,     _xlfn.XLOOKUP(RIGHT(AM58, LEN(AM58)-4)&amp;ROW()-41,Calculations_APPURT[Model]&amp;ROW(Calculations_APPURT[Model]),Hazards_APPURT[qz],"",0,1),
_xlpm.Ka,     0.9,
_xlpm.Kd,     _xlfn.XLOOKUP(RIGHT(AM58, LEN(AM58)-4)&amp;ROW()-41,Calculations_APPURT[Model]&amp;ROW(Calculations_APPURT[Model]),Hazards_APPURT[Kd],"",0,1),
_xlpm.Kes,    Kes.w,
_xlpm.CaAa*_xlpm.qz*_xlpm.Ka*_xlpm.Kd),"")</f>
        <v/>
      </c>
      <c r="AW58" s="217" t="str">
        <f>IF(Filter!AN17=0,"",Filter!AN17)</f>
        <v/>
      </c>
      <c r="AX58" s="217" t="str">
        <f>IF(Filter!AT17=0,"",Filter!AT17)</f>
        <v/>
      </c>
      <c r="AY58" s="217" t="str">
        <f>IF(Filter!AZ17=0,"",Filter!AZ17)</f>
        <v/>
      </c>
      <c r="AZ58" s="217" t="str">
        <f>IF(Filter!BF17=0,"",Filter!BF17)</f>
        <v/>
      </c>
      <c r="BA58"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_xlfn.XLOOKUP(AW58, Geometry!$B:$B, Geometry!$M:$M, "", 0, 1),
_xlpm.Pj, _xlfn.XLOOKUP(AW58,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8"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_xlfn.XLOOKUP(AX58, Geometry!$B:$B, Geometry!$M:$M, "", 0, 1),
_xlpm.Pj, _xlfn.XLOOKUP(AX58,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8"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_xlfn.XLOOKUP(AY58, Geometry!$B:$B, Geometry!$M:$M, "", 0, 1),
_xlpm.Pj, _xlfn.XLOOKUP(AY58,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8"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_xlfn.XLOOKUP(AZ58, Geometry!$B:$B, Geometry!$M:$M, "", 0, 1),
_xlpm.Pj, _xlfn.XLOOKUP(AZ58,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8" s="261" t="str">
        <f>IF(AM58="","",z + Filter!BN17/12 + Filter!BJ17/2/12)</f>
        <v/>
      </c>
      <c r="BF58" s="261" t="str">
        <f>IF(AM58="","",z + Filter!BN17/12 - Filter!BJ17/2/12)</f>
        <v/>
      </c>
      <c r="BG58" s="447"/>
      <c r="BH58" s="447"/>
      <c r="BI58" s="447"/>
      <c r="BJ58" s="447"/>
      <c r="BK58" s="447"/>
      <c r="BL58" s="447"/>
      <c r="BM58" s="447"/>
      <c r="BN58" s="447"/>
      <c r="BO58" s="447"/>
      <c r="BP58" s="447"/>
      <c r="BQ58" s="447"/>
    </row>
    <row r="59" spans="1:69" ht="15" customHeight="1" x14ac:dyDescent="0.2">
      <c r="K59" s="391" t="str">
        <f>IF(Results!U26="","",Results!U26)</f>
        <v/>
      </c>
      <c r="L59" s="391"/>
      <c r="M59" s="391" t="str">
        <f t="shared" si="4"/>
        <v/>
      </c>
      <c r="N59" s="391"/>
      <c r="O59" s="318" t="str" cm="1">
        <f t="array" ref="O59">IFERROR(IF(K59="","",IF(ResultsOption="Results - Envelope Solution",_xlfn.XLOOKUP(K59&amp;P59,Results!$S$4:$S$99999&amp;Results!$C$4:$C$99999,Results!$A$4:$A$99999),_xlfn.XLOOKUP(K59&amp;P59,#REF!&amp;#REF!,#REF!))),"N/A")</f>
        <v/>
      </c>
      <c r="P59" s="323" t="str">
        <f>IF(K59="","",IF(ResultsOption="Results - Envelope Solution",_xlfn.MAXIFS(Results!$C$3:$C$99999,Results!$S$3:$S$99999,K59),_xlfn.MAXIFS(#REF!,#REF!,K59)))</f>
        <v/>
      </c>
      <c r="Q59" s="318" t="str" cm="1">
        <f t="array" ref="Q59">IFERROR(IF(K59="","",IF(ResultsOption="Results - Envelope Solution",_xlfn.XLOOKUP(K59&amp;R59,Results!$S$4:$S$99999&amp;Results!$F$4:$F$99999,Results!$A$4:$A$99999),_xlfn.XLOOKUP(K59&amp;R59,#REF!&amp;#REF!,#REF!))),"N/A")</f>
        <v/>
      </c>
      <c r="R59" s="323" t="str">
        <f>IF(K59="","",IF(ResultsOption="Results - Envelope Solution",_xlfn.MAXIFS(Results!$F$3:$F$99999,Results!$S$3:$S$99999,K59),_xlfn.MAXIFS(#REF!,#REF!,K59)))</f>
        <v/>
      </c>
      <c r="S59" s="318" t="str">
        <f t="shared" si="1"/>
        <v/>
      </c>
      <c r="U59" s="474" t="str">
        <f>IF(ISBLANK('Discrete Loads'!B16),"",'Discrete Loads'!B16)</f>
        <v/>
      </c>
      <c r="V59" s="474"/>
      <c r="W59" s="341" t="str" cm="1">
        <f t="array" ref="W59">_xlfn.LET(
    _xlpm.model,        'Discrete Loads'!$B16,
    _xlpm.Shape,        'Discrete Loads'!$E16,
    _xlpm.Direction,    W$46,
    _xlpm.Azimuth,      0,
    _xlpm.CaAa_Front,   _xlfn.XLOOKUP(Code!$U59&amp;ROW()-43,Calculations_APPURT[Model]&amp;ROW('Discrete Loads'!B16),Hazards_APPURT[Ice Front CaAa],0,0,1),
    _xlpm.CaAa_Side,    _xlfn.XLOOKUP(Code!$U59&amp;ROW()-43,Calculations_APPURT[Model]&amp;ROW('Discrete Loads'!B16),Hazards_APPURT[Ice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X59" s="341" t="str" cm="1">
        <f t="array" ref="X59">_xlfn.LET(
    _xlpm.model,        'Discrete Loads'!$B16,
    _xlpm.Shape,        'Discrete Loads'!$E16,
    _xlpm.Direction,    X$46,
    _xlpm.Azimuth,      0,
    _xlpm.CaAa_Front,   _xlfn.XLOOKUP(Code!$U59&amp;ROW()-43,Calculations_APPURT[Model]&amp;ROW('Discrete Loads'!C16),Hazards_APPURT[Ice Front CaAa],0,0,1),
    _xlpm.CaAa_Side,    _xlfn.XLOOKUP(Code!$U59&amp;ROW()-43,Calculations_APPURT[Model]&amp;ROW('Discrete Loads'!C16),Hazards_APPURT[Ice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Y59" s="341" t="str" cm="1">
        <f t="array" ref="Y59">_xlfn.LET(
    _xlpm.model,        'Discrete Loads'!$B16,
    _xlpm.Shape,        'Discrete Loads'!$E16,
    _xlpm.Direction,    Y$46,
    _xlpm.Azimuth,      0,
    _xlpm.CaAa_Front,   _xlfn.XLOOKUP(Code!$U59&amp;ROW()-43,Calculations_APPURT[Model]&amp;ROW('Discrete Loads'!D16),Hazards_APPURT[Ice Front CaAa],0,0,1),
    _xlpm.CaAa_Side,    _xlfn.XLOOKUP(Code!$U59&amp;ROW()-43,Calculations_APPURT[Model]&amp;ROW('Discrete Loads'!D16),Hazards_APPURT[Ice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Z59" s="341" t="str" cm="1">
        <f t="array" ref="Z59">_xlfn.LET(
    _xlpm.model,        'Discrete Loads'!$B16,
    _xlpm.Shape,        'Discrete Loads'!$E16,
    _xlpm.Direction,    Z$46,
    _xlpm.Azimuth,      0,
    _xlpm.CaAa_Front,   _xlfn.XLOOKUP(Code!$U59&amp;ROW()-43,Calculations_APPURT[Model]&amp;ROW('Discrete Loads'!E16),Hazards_APPURT[Ice Front CaAa],0,0,1),
    _xlpm.CaAa_Side,    _xlfn.XLOOKUP(Code!$U59&amp;ROW()-43,Calculations_APPURT[Model]&amp;ROW('Discrete Loads'!E16),Hazards_APPURT[Ice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AA59" s="341" t="str" cm="1">
        <f t="array" ref="AA59">_xlfn.LET(
    _xlpm.model,        'Discrete Loads'!$B16,
    _xlpm.Shape,        'Discrete Loads'!$E16,
    _xlpm.Direction,    AA$46,
    _xlpm.Azimuth,      0,
    _xlpm.CaAa_Front,   _xlfn.XLOOKUP(Code!$U59&amp;ROW()-43,Calculations_APPURT[Model]&amp;ROW('Discrete Loads'!F16),Hazards_APPURT[Ice Front CaAa],0,0,1),
    _xlpm.CaAa_Side,    _xlfn.XLOOKUP(Code!$U59&amp;ROW()-43,Calculations_APPURT[Model]&amp;ROW('Discrete Loads'!F16),Hazards_APPURT[Ice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AB59" s="341" t="str" cm="1">
        <f t="array" ref="AB59">_xlfn.LET(
    _xlpm.model,        'Discrete Loads'!$B16,
    _xlpm.Shape,        'Discrete Loads'!$E16,
    _xlpm.Direction,    AB$46,
    _xlpm.Azimuth,      0,
    _xlpm.CaAa_Front,   _xlfn.XLOOKUP(Code!$U59&amp;ROW()-43,Calculations_APPURT[Model]&amp;ROW('Discrete Loads'!G16),Hazards_APPURT[Ice Front CaAa],0,0,1),
    _xlpm.CaAa_Side,    _xlfn.XLOOKUP(Code!$U59&amp;ROW()-43,Calculations_APPURT[Model]&amp;ROW('Discrete Loads'!G16),Hazards_APPURT[Ice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AC59" s="341" t="str" cm="1">
        <f t="array" ref="AC59">_xlfn.LET(
    _xlpm.model,        'Discrete Loads'!$B16,
    _xlpm.Shape,        'Discrete Loads'!$E16,
    _xlpm.Direction,    AC$46,
    _xlpm.Azimuth,      0,
    _xlpm.CaAa_Front,   _xlfn.XLOOKUP(Code!$U59&amp;ROW()-43,Calculations_APPURT[Model]&amp;ROW('Discrete Loads'!H16),Hazards_APPURT[Ice Front CaAa],0,0,1),
    _xlpm.CaAa_Side,    _xlfn.XLOOKUP(Code!$U59&amp;ROW()-43,Calculations_APPURT[Model]&amp;ROW('Discrete Loads'!H16),Hazards_APPURT[Ice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AD59" s="341" t="str" cm="1">
        <f t="array" ref="AD59">_xlfn.LET(
    _xlpm.model,        'Discrete Loads'!$B16,
    _xlpm.Shape,        'Discrete Loads'!$E16,
    _xlpm.Direction,    AD$46,
    _xlpm.Azimuth,      0,
    _xlpm.CaAa_Front,   _xlfn.XLOOKUP(Code!$U59&amp;ROW()-43,Calculations_APPURT[Model]&amp;ROW('Discrete Loads'!I16),Hazards_APPURT[Ice Front CaAa],0,0,1),
    _xlpm.CaAa_Side,    _xlfn.XLOOKUP(Code!$U59&amp;ROW()-43,Calculations_APPURT[Model]&amp;ROW('Discrete Loads'!I16),Hazards_APPURT[Ice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AE59" s="341" t="str" cm="1">
        <f t="array" ref="AE59">_xlfn.LET(
    _xlpm.model,        'Discrete Loads'!$B16,
    _xlpm.Shape,        'Discrete Loads'!$E16,
    _xlpm.Direction,    AE$46,
    _xlpm.Azimuth,      0,
    _xlpm.CaAa_Front,   _xlfn.XLOOKUP(Code!$U59&amp;ROW()-43,Calculations_APPURT[Model]&amp;ROW('Discrete Loads'!J16),Hazards_APPURT[Ice Front CaAa],0,0,1),
    _xlpm.CaAa_Side,    _xlfn.XLOOKUP(Code!$U59&amp;ROW()-43,Calculations_APPURT[Model]&amp;ROW('Discrete Loads'!J16),Hazards_APPURT[Ice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AF59" s="341" t="str" cm="1">
        <f t="array" ref="AF59">_xlfn.LET(
    _xlpm.model,        'Discrete Loads'!$B16,
    _xlpm.Shape,        'Discrete Loads'!$E16,
    _xlpm.Direction,    AF$46,
    _xlpm.Azimuth,      0,
    _xlpm.CaAa_Front,   _xlfn.XLOOKUP(Code!$U59&amp;ROW()-43,Calculations_APPURT[Model]&amp;ROW('Discrete Loads'!K16),Hazards_APPURT[Ice Front CaAa],0,0,1),
    _xlpm.CaAa_Side,    _xlfn.XLOOKUP(Code!$U59&amp;ROW()-43,Calculations_APPURT[Model]&amp;ROW('Discrete Loads'!K16),Hazards_APPURT[Ice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AG59" s="341" t="str" cm="1">
        <f t="array" ref="AG59">_xlfn.LET(
    _xlpm.model,        'Discrete Loads'!$B16,
    _xlpm.Shape,        'Discrete Loads'!$E16,
    _xlpm.Direction,    AG$46,
    _xlpm.Azimuth,      0,
    _xlpm.CaAa_Front,   _xlfn.XLOOKUP(Code!$U59&amp;ROW()-43,Calculations_APPURT[Model]&amp;ROW('Discrete Loads'!L16),Hazards_APPURT[Ice Front CaAa],0,0,1),
    _xlpm.CaAa_Side,    _xlfn.XLOOKUP(Code!$U59&amp;ROW()-43,Calculations_APPURT[Model]&amp;ROW('Discrete Loads'!L16),Hazards_APPURT[Ice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AH59" s="341" t="str" cm="1">
        <f t="array" ref="AH59">_xlfn.LET(
    _xlpm.model,        'Discrete Loads'!$B16,
    _xlpm.Shape,        'Discrete Loads'!$E16,
    _xlpm.Direction,    AH$46,
    _xlpm.Azimuth,      0,
    _xlpm.CaAa_Front,   _xlfn.XLOOKUP(Code!$U59&amp;ROW()-43,Calculations_APPURT[Model]&amp;ROW('Discrete Loads'!M16),Hazards_APPURT[Ice Front CaAa],0,0,1),
    _xlpm.CaAa_Side,    _xlfn.XLOOKUP(Code!$U59&amp;ROW()-43,Calculations_APPURT[Model]&amp;ROW('Discrete Loads'!M16),Hazards_APPURT[Ice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IF($U59="","",IF(_xlpm.Shape="CFD", _xlpm.CFD_val, _xlpm.CaAa_Front*COS(PI()/180*(_xlpm.Direction+_xlpm.Azimuth))^2 + _xlpm.CaAa_Side*SIN(PI()/180*(_xlpm.Direction+_xlpm.Azimuth))^2)))</f>
        <v/>
      </c>
      <c r="AI59" s="339" t="str">
        <f t="shared" si="3"/>
        <v/>
      </c>
      <c r="AJ59" s="363" t="str" cm="1">
        <f t="array" ref="AJ59">IF(U59="","",_xlfn.XLOOKUP($U59&amp;(ROW()-43),Calculations_APPURT[Model]&amp;ROW(Calculations_APPURT[Model]),Hazards_APPURT[qiz],"",0,1))</f>
        <v/>
      </c>
      <c r="AK59" s="366" t="str" cm="1">
        <f t="array" ref="AK59">IF(U59="","",_xlfn.XLOOKUP($U59&amp;(ROW()-43),Calculations_APPURT[Model]&amp;ROW(Calculations_APPURT[Model]),Hazards_APPURT[Ice Weight],"",0,1))</f>
        <v/>
      </c>
      <c r="AM59" s="462" t="str">
        <f>IFERROR(_xlfn.CONCAT("(",IF(Filter!AM18+Filter!AS18+Filter!AY18+Filter!BE18&gt;0,(Filter!AM18+Filter!AS18+Filter!AY18+Filter!BE18),""),") ",_xlfn._xlws.FILTER(Filter!AH18,Filter!AH18&lt;&gt;0)),"")</f>
        <v/>
      </c>
      <c r="AN59" s="462"/>
      <c r="AO59" s="462"/>
      <c r="AP59" s="327" t="str">
        <f>IF(AM59="","",z)</f>
        <v/>
      </c>
      <c r="AQ59" s="328" t="str">
        <f t="shared" si="2"/>
        <v/>
      </c>
      <c r="AR59" s="329" t="str">
        <f>IF(AM59="","",TRIM(SUBSTITUTE(_xlfn.TEXTJOIN(", ",TRUE,Filter!AL18,Filter!AR18,Filter!AX18,Filter!BD18),", 0","")))</f>
        <v/>
      </c>
      <c r="AS59" s="328" t="str" cm="1">
        <f t="array" ref="AS59">IF(AM59="","",_xlfn.TEXTJOIN(", ",TRUE,IF(BA59="","",ROUND(BA59*ConvertLength,1)),IF(BB59="","",ROUND(BB59*ConvertLength,1)),IF(BC59="","",ROUND(BC59*ConvertLength,1)),IF(BD59="","",ROUND(BD59*ConvertLength,1))))</f>
        <v/>
      </c>
      <c r="AT59" s="330" t="str" cm="1">
        <f t="array" ref="AT59">IFERROR(_xlfn.LET(
_xlpm.CaAa,   _xlfn.XLOOKUP(RIGHT(AM59, LEN(AM59)-4)&amp;ROW()-41,Calculations_APPURT[Model]&amp;ROW(Calculations_APPURT[Model]),Hazards_APPURT[Front CaAa],"",0,1),
_xlpm.qz,     _xlfn.XLOOKUP(RIGHT(AM59, LEN(AM59)-4)&amp;ROW()-41,Calculations_APPURT[Model]&amp;ROW(Calculations_APPURT[Model]),Hazards_APPURT[qz],"",0,1),
_xlpm.Ka,     0.9,
_xlpm.Kd,     _xlfn.XLOOKUP(RIGHT(AM59, LEN(AM59)-4)&amp;ROW()-41,Calculations_APPURT[Model]&amp;ROW(Calculations_APPURT[Model]),Hazards_APPURT[Kd],"",0,1),
_xlpm.Kes,    Kes.w,
_xlpm.CaAa*_xlpm.qz*_xlpm.Ka*_xlpm.Kd),"")</f>
        <v/>
      </c>
      <c r="AU59" s="330" t="str" cm="1">
        <f t="array" ref="AU59">IFERROR(_xlfn.LET(
_xlpm.CaAa,   _xlfn.XLOOKUP(RIGHT(AM59, LEN(AM59)-4)&amp;ROW()-41,Calculations_APPURT[Model]&amp;ROW(Calculations_APPURT[Model]),Hazards_APPURT[Side CaAa],"",0,1),
_xlpm.qz,     _xlfn.XLOOKUP(RIGHT(AM59, LEN(AM59)-4)&amp;ROW()-41,Calculations_APPURT[Model]&amp;ROW(Calculations_APPURT[Model]),Hazards_APPURT[qz],"",0,1),
_xlpm.Ka,     0.9,
_xlpm.Kd,     _xlfn.XLOOKUP(RIGHT(AM59, LEN(AM59)-4)&amp;ROW()-41,Calculations_APPURT[Model]&amp;ROW(Calculations_APPURT[Model]),Hazards_APPURT[Kd],"",0,1),
_xlpm.Kes,    Kes.w,
_xlpm.CaAa*_xlpm.qz*_xlpm.Ka*_xlpm.Kd),"")</f>
        <v/>
      </c>
      <c r="AW59" s="217" t="str">
        <f>IF(Filter!AN18=0,"",Filter!AN18)</f>
        <v/>
      </c>
      <c r="AX59" s="217" t="str">
        <f>IF(Filter!AT18=0,"",Filter!AT18)</f>
        <v/>
      </c>
      <c r="AY59" s="217" t="str">
        <f>IF(Filter!AZ18=0,"",Filter!AZ18)</f>
        <v/>
      </c>
      <c r="AZ59" s="217" t="str">
        <f>IF(Filter!BF18=0,"",Filter!BF18)</f>
        <v/>
      </c>
      <c r="BA59"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_xlfn.XLOOKUP(AW59, Geometry!$B:$B, Geometry!$M:$M, "", 0, 1),
_xlpm.Pj, _xlfn.XLOOKUP(AW59,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59"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_xlfn.XLOOKUP(AX59, Geometry!$B:$B, Geometry!$M:$M, "", 0, 1),
_xlpm.Pj, _xlfn.XLOOKUP(AX59,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59"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_xlfn.XLOOKUP(AY59, Geometry!$B:$B, Geometry!$M:$M, "", 0, 1),
_xlpm.Pj, _xlfn.XLOOKUP(AY59,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59"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_xlfn.XLOOKUP(AZ59, Geometry!$B:$B, Geometry!$M:$M, "", 0, 1),
_xlpm.Pj, _xlfn.XLOOKUP(AZ59,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59" s="261" t="str">
        <f>IF(AM59="","",z + Filter!BN18/12 + Filter!BJ18/2/12)</f>
        <v/>
      </c>
      <c r="BF59" s="261" t="str">
        <f>IF(AM59="","",z + Filter!BN18/12 - Filter!BJ18/2/12)</f>
        <v/>
      </c>
      <c r="BG59" s="447"/>
      <c r="BH59" s="447"/>
      <c r="BI59" s="447"/>
      <c r="BJ59" s="447"/>
      <c r="BK59" s="447"/>
      <c r="BL59" s="447"/>
      <c r="BM59" s="447"/>
      <c r="BN59" s="447"/>
      <c r="BO59" s="447"/>
      <c r="BP59" s="447"/>
      <c r="BQ59" s="447"/>
    </row>
    <row r="60" spans="1:69" ht="15" customHeight="1" x14ac:dyDescent="0.2">
      <c r="K60" s="393" t="str">
        <f>IF(Results!U27="","",Results!U27)</f>
        <v/>
      </c>
      <c r="L60" s="393"/>
      <c r="M60" s="393" t="str">
        <f t="shared" si="4"/>
        <v/>
      </c>
      <c r="N60" s="393"/>
      <c r="O60" s="69" t="str" cm="1">
        <f t="array" ref="O60">IFERROR(IF(K60="","",IF(ResultsOption="Results - Envelope Solution",_xlfn.XLOOKUP(K60&amp;P60,Results!$S$4:$S$99999&amp;Results!$C$4:$C$99999,Results!$A$4:$A$99999),_xlfn.XLOOKUP(K60&amp;P60,#REF!&amp;#REF!,#REF!))),"N/A")</f>
        <v/>
      </c>
      <c r="P60" s="70" t="str">
        <f>IF(K60="","",IF(ResultsOption="Results - Envelope Solution",_xlfn.MAXIFS(Results!$C$3:$C$99999,Results!$S$3:$S$99999,K60),_xlfn.MAXIFS(#REF!,#REF!,K60)))</f>
        <v/>
      </c>
      <c r="Q60" s="69" t="str" cm="1">
        <f t="array" ref="Q60">IFERROR(IF(K60="","",IF(ResultsOption="Results - Envelope Solution",_xlfn.XLOOKUP(K60&amp;R60,Results!$S$4:$S$99999&amp;Results!$F$4:$F$99999,Results!$A$4:$A$99999),_xlfn.XLOOKUP(K60&amp;R60,#REF!&amp;#REF!,#REF!))),"N/A")</f>
        <v/>
      </c>
      <c r="R60" s="70" t="str">
        <f>IF(K60="","",IF(ResultsOption="Results - Envelope Solution",_xlfn.MAXIFS(Results!$F$3:$F$99999,Results!$S$3:$S$99999,K60),_xlfn.MAXIFS(#REF!,#REF!,K60)))</f>
        <v/>
      </c>
      <c r="S60" s="69" t="str">
        <f t="shared" si="1"/>
        <v/>
      </c>
      <c r="U60" s="386" t="str">
        <f>IF(ISBLANK('Discrete Loads'!B17),"",'Discrete Loads'!B17)</f>
        <v/>
      </c>
      <c r="V60" s="386"/>
      <c r="W60" s="342" t="str" cm="1">
        <f t="array" ref="W60">_xlfn.LET(
    _xlpm.model,        'Discrete Loads'!$B17,
    _xlpm.Shape,        'Discrete Loads'!$E17,
    _xlpm.Direction,    W$46,
    _xlpm.Azimuth,      0,
    _xlpm.CaAa_Front,   _xlfn.XLOOKUP(Code!$U60&amp;ROW()-43,Calculations_APPURT[Model]&amp;ROW('Discrete Loads'!B17),Hazards_APPURT[Ice Front CaAa],0,0,1),
    _xlpm.CaAa_Side,    _xlfn.XLOOKUP(Code!$U60&amp;ROW()-43,Calculations_APPURT[Model]&amp;ROW('Discrete Loads'!B17),Hazards_APPURT[Ice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X60" s="342" t="str" cm="1">
        <f t="array" ref="X60">_xlfn.LET(
    _xlpm.model,        'Discrete Loads'!$B17,
    _xlpm.Shape,        'Discrete Loads'!$E17,
    _xlpm.Direction,    X$46,
    _xlpm.Azimuth,      0,
    _xlpm.CaAa_Front,   _xlfn.XLOOKUP(Code!$U60&amp;ROW()-43,Calculations_APPURT[Model]&amp;ROW('Discrete Loads'!C17),Hazards_APPURT[Ice Front CaAa],0,0,1),
    _xlpm.CaAa_Side,    _xlfn.XLOOKUP(Code!$U60&amp;ROW()-43,Calculations_APPURT[Model]&amp;ROW('Discrete Loads'!C17),Hazards_APPURT[Ice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Y60" s="342" t="str" cm="1">
        <f t="array" ref="Y60">_xlfn.LET(
    _xlpm.model,        'Discrete Loads'!$B17,
    _xlpm.Shape,        'Discrete Loads'!$E17,
    _xlpm.Direction,    Y$46,
    _xlpm.Azimuth,      0,
    _xlpm.CaAa_Front,   _xlfn.XLOOKUP(Code!$U60&amp;ROW()-43,Calculations_APPURT[Model]&amp;ROW('Discrete Loads'!D17),Hazards_APPURT[Ice Front CaAa],0,0,1),
    _xlpm.CaAa_Side,    _xlfn.XLOOKUP(Code!$U60&amp;ROW()-43,Calculations_APPURT[Model]&amp;ROW('Discrete Loads'!D17),Hazards_APPURT[Ice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Z60" s="342" t="str" cm="1">
        <f t="array" ref="Z60">_xlfn.LET(
    _xlpm.model,        'Discrete Loads'!$B17,
    _xlpm.Shape,        'Discrete Loads'!$E17,
    _xlpm.Direction,    Z$46,
    _xlpm.Azimuth,      0,
    _xlpm.CaAa_Front,   _xlfn.XLOOKUP(Code!$U60&amp;ROW()-43,Calculations_APPURT[Model]&amp;ROW('Discrete Loads'!E17),Hazards_APPURT[Ice Front CaAa],0,0,1),
    _xlpm.CaAa_Side,    _xlfn.XLOOKUP(Code!$U60&amp;ROW()-43,Calculations_APPURT[Model]&amp;ROW('Discrete Loads'!E17),Hazards_APPURT[Ice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AA60" s="342" t="str" cm="1">
        <f t="array" ref="AA60">_xlfn.LET(
    _xlpm.model,        'Discrete Loads'!$B17,
    _xlpm.Shape,        'Discrete Loads'!$E17,
    _xlpm.Direction,    AA$46,
    _xlpm.Azimuth,      0,
    _xlpm.CaAa_Front,   _xlfn.XLOOKUP(Code!$U60&amp;ROW()-43,Calculations_APPURT[Model]&amp;ROW('Discrete Loads'!F17),Hazards_APPURT[Ice Front CaAa],0,0,1),
    _xlpm.CaAa_Side,    _xlfn.XLOOKUP(Code!$U60&amp;ROW()-43,Calculations_APPURT[Model]&amp;ROW('Discrete Loads'!F17),Hazards_APPURT[Ice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AB60" s="342" t="str" cm="1">
        <f t="array" ref="AB60">_xlfn.LET(
    _xlpm.model,        'Discrete Loads'!$B17,
    _xlpm.Shape,        'Discrete Loads'!$E17,
    _xlpm.Direction,    AB$46,
    _xlpm.Azimuth,      0,
    _xlpm.CaAa_Front,   _xlfn.XLOOKUP(Code!$U60&amp;ROW()-43,Calculations_APPURT[Model]&amp;ROW('Discrete Loads'!G17),Hazards_APPURT[Ice Front CaAa],0,0,1),
    _xlpm.CaAa_Side,    _xlfn.XLOOKUP(Code!$U60&amp;ROW()-43,Calculations_APPURT[Model]&amp;ROW('Discrete Loads'!G17),Hazards_APPURT[Ice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AC60" s="342" t="str" cm="1">
        <f t="array" ref="AC60">_xlfn.LET(
    _xlpm.model,        'Discrete Loads'!$B17,
    _xlpm.Shape,        'Discrete Loads'!$E17,
    _xlpm.Direction,    AC$46,
    _xlpm.Azimuth,      0,
    _xlpm.CaAa_Front,   _xlfn.XLOOKUP(Code!$U60&amp;ROW()-43,Calculations_APPURT[Model]&amp;ROW('Discrete Loads'!H17),Hazards_APPURT[Ice Front CaAa],0,0,1),
    _xlpm.CaAa_Side,    _xlfn.XLOOKUP(Code!$U60&amp;ROW()-43,Calculations_APPURT[Model]&amp;ROW('Discrete Loads'!H17),Hazards_APPURT[Ice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AD60" s="342" t="str" cm="1">
        <f t="array" ref="AD60">_xlfn.LET(
    _xlpm.model,        'Discrete Loads'!$B17,
    _xlpm.Shape,        'Discrete Loads'!$E17,
    _xlpm.Direction,    AD$46,
    _xlpm.Azimuth,      0,
    _xlpm.CaAa_Front,   _xlfn.XLOOKUP(Code!$U60&amp;ROW()-43,Calculations_APPURT[Model]&amp;ROW('Discrete Loads'!I17),Hazards_APPURT[Ice Front CaAa],0,0,1),
    _xlpm.CaAa_Side,    _xlfn.XLOOKUP(Code!$U60&amp;ROW()-43,Calculations_APPURT[Model]&amp;ROW('Discrete Loads'!I17),Hazards_APPURT[Ice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AE60" s="342" t="str" cm="1">
        <f t="array" ref="AE60">_xlfn.LET(
    _xlpm.model,        'Discrete Loads'!$B17,
    _xlpm.Shape,        'Discrete Loads'!$E17,
    _xlpm.Direction,    AE$46,
    _xlpm.Azimuth,      0,
    _xlpm.CaAa_Front,   _xlfn.XLOOKUP(Code!$U60&amp;ROW()-43,Calculations_APPURT[Model]&amp;ROW('Discrete Loads'!J17),Hazards_APPURT[Ice Front CaAa],0,0,1),
    _xlpm.CaAa_Side,    _xlfn.XLOOKUP(Code!$U60&amp;ROW()-43,Calculations_APPURT[Model]&amp;ROW('Discrete Loads'!J17),Hazards_APPURT[Ice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AF60" s="342" t="str" cm="1">
        <f t="array" ref="AF60">_xlfn.LET(
    _xlpm.model,        'Discrete Loads'!$B17,
    _xlpm.Shape,        'Discrete Loads'!$E17,
    _xlpm.Direction,    AF$46,
    _xlpm.Azimuth,      0,
    _xlpm.CaAa_Front,   _xlfn.XLOOKUP(Code!$U60&amp;ROW()-43,Calculations_APPURT[Model]&amp;ROW('Discrete Loads'!K17),Hazards_APPURT[Ice Front CaAa],0,0,1),
    _xlpm.CaAa_Side,    _xlfn.XLOOKUP(Code!$U60&amp;ROW()-43,Calculations_APPURT[Model]&amp;ROW('Discrete Loads'!K17),Hazards_APPURT[Ice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AG60" s="342" t="str" cm="1">
        <f t="array" ref="AG60">_xlfn.LET(
    _xlpm.model,        'Discrete Loads'!$B17,
    _xlpm.Shape,        'Discrete Loads'!$E17,
    _xlpm.Direction,    AG$46,
    _xlpm.Azimuth,      0,
    _xlpm.CaAa_Front,   _xlfn.XLOOKUP(Code!$U60&amp;ROW()-43,Calculations_APPURT[Model]&amp;ROW('Discrete Loads'!L17),Hazards_APPURT[Ice Front CaAa],0,0,1),
    _xlpm.CaAa_Side,    _xlfn.XLOOKUP(Code!$U60&amp;ROW()-43,Calculations_APPURT[Model]&amp;ROW('Discrete Loads'!L17),Hazards_APPURT[Ice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AH60" s="342" t="str" cm="1">
        <f t="array" ref="AH60">_xlfn.LET(
    _xlpm.model,        'Discrete Loads'!$B17,
    _xlpm.Shape,        'Discrete Loads'!$E17,
    _xlpm.Direction,    AH$46,
    _xlpm.Azimuth,      0,
    _xlpm.CaAa_Front,   _xlfn.XLOOKUP(Code!$U60&amp;ROW()-43,Calculations_APPURT[Model]&amp;ROW('Discrete Loads'!M17),Hazards_APPURT[Ice Front CaAa],0,0,1),
    _xlpm.CaAa_Side,    _xlfn.XLOOKUP(Code!$U60&amp;ROW()-43,Calculations_APPURT[Model]&amp;ROW('Discrete Loads'!M17),Hazards_APPURT[Ice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IF($U60="","",IF(_xlpm.Shape="CFD", _xlpm.CFD_val, _xlpm.CaAa_Front*COS(PI()/180*(_xlpm.Direction+_xlpm.Azimuth))^2 + _xlpm.CaAa_Side*SIN(PI()/180*(_xlpm.Direction+_xlpm.Azimuth))^2)))</f>
        <v/>
      </c>
      <c r="AI60" s="340" t="str">
        <f t="shared" si="3"/>
        <v/>
      </c>
      <c r="AJ60" s="364" t="str" cm="1">
        <f t="array" ref="AJ60">IF(U60="","",_xlfn.XLOOKUP($U60&amp;(ROW()-43),Calculations_APPURT[Model]&amp;ROW(Calculations_APPURT[Model]),Hazards_APPURT[qiz],"",0,1))</f>
        <v/>
      </c>
      <c r="AK60" s="367" t="str" cm="1">
        <f t="array" ref="AK60">IF(U60="","",_xlfn.XLOOKUP($U60&amp;(ROW()-43),Calculations_APPURT[Model]&amp;ROW(Calculations_APPURT[Model]),Hazards_APPURT[Ice Weight],"",0,1))</f>
        <v/>
      </c>
      <c r="AM60" s="461" t="str">
        <f>IFERROR(_xlfn.CONCAT("(",IF(Filter!AM19+Filter!AS19+Filter!AY19+Filter!BE19&gt;0,(Filter!AM19+Filter!AS19+Filter!AY19+Filter!BE19),""),") ",_xlfn._xlws.FILTER(Filter!AH19,Filter!AH19&lt;&gt;0)),"")</f>
        <v/>
      </c>
      <c r="AN60" s="461"/>
      <c r="AO60" s="461"/>
      <c r="AP60" s="301" t="str">
        <f>IF(AM60="","",z)</f>
        <v/>
      </c>
      <c r="AQ60" s="69" t="str">
        <f t="shared" si="2"/>
        <v/>
      </c>
      <c r="AR60" s="187" t="str">
        <f>IF(AM60="","",TRIM(SUBSTITUTE(_xlfn.TEXTJOIN(", ",TRUE,Filter!AL19,Filter!AR19,Filter!AX19,Filter!BD19),", 0","")))</f>
        <v/>
      </c>
      <c r="AS60" s="69" t="str" cm="1">
        <f t="array" ref="AS60">IF(AM60="","",_xlfn.TEXTJOIN(", ",TRUE,IF(BA60="","",ROUND(BA60*ConvertLength,1)),IF(BB60="","",ROUND(BB60*ConvertLength,1)),IF(BC60="","",ROUND(BC60*ConvertLength,1)),IF(BD60="","",ROUND(BD60*ConvertLength,1))))</f>
        <v/>
      </c>
      <c r="AT60" s="302" t="str" cm="1">
        <f t="array" ref="AT60">IFERROR(_xlfn.LET(
_xlpm.CaAa,   _xlfn.XLOOKUP(RIGHT(AM60, LEN(AM60)-4)&amp;ROW()-41,Calculations_APPURT[Model]&amp;ROW(Calculations_APPURT[Model]),Hazards_APPURT[Front CaAa],"",0,1),
_xlpm.qz,     _xlfn.XLOOKUP(RIGHT(AM60, LEN(AM60)-4)&amp;ROW()-41,Calculations_APPURT[Model]&amp;ROW(Calculations_APPURT[Model]),Hazards_APPURT[qz],"",0,1),
_xlpm.Ka,     0.9,
_xlpm.Kd,     _xlfn.XLOOKUP(RIGHT(AM60, LEN(AM60)-4)&amp;ROW()-41,Calculations_APPURT[Model]&amp;ROW(Calculations_APPURT[Model]),Hazards_APPURT[Kd],"",0,1),
_xlpm.Kes,    Kes.w,
_xlpm.CaAa*_xlpm.qz*_xlpm.Ka*_xlpm.Kd),"")</f>
        <v/>
      </c>
      <c r="AU60" s="302" t="str" cm="1">
        <f t="array" ref="AU60">IFERROR(_xlfn.LET(
_xlpm.CaAa,   _xlfn.XLOOKUP(RIGHT(AM60, LEN(AM60)-4)&amp;ROW()-41,Calculations_APPURT[Model]&amp;ROW(Calculations_APPURT[Model]),Hazards_APPURT[Side CaAa],"",0,1),
_xlpm.qz,     _xlfn.XLOOKUP(RIGHT(AM60, LEN(AM60)-4)&amp;ROW()-41,Calculations_APPURT[Model]&amp;ROW(Calculations_APPURT[Model]),Hazards_APPURT[qz],"",0,1),
_xlpm.Ka,     0.9,
_xlpm.Kd,     _xlfn.XLOOKUP(RIGHT(AM60, LEN(AM60)-4)&amp;ROW()-41,Calculations_APPURT[Model]&amp;ROW(Calculations_APPURT[Model]),Hazards_APPURT[Kd],"",0,1),
_xlpm.Kes,    Kes.w,
_xlpm.CaAa*_xlpm.qz*_xlpm.Ka*_xlpm.Kd),"")</f>
        <v/>
      </c>
      <c r="AW60" s="217" t="str">
        <f>IF(Filter!AN19=0,"",Filter!AN19)</f>
        <v/>
      </c>
      <c r="AX60" s="217" t="str">
        <f>IF(Filter!AT19=0,"",Filter!AT19)</f>
        <v/>
      </c>
      <c r="AY60" s="217" t="str">
        <f>IF(Filter!AZ19=0,"",Filter!AZ19)</f>
        <v/>
      </c>
      <c r="AZ60" s="217" t="str">
        <f>IF(Filter!BF19=0,"",Filter!BF19)</f>
        <v/>
      </c>
      <c r="BA60"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_xlfn.XLOOKUP(AW60, Geometry!$B:$B, Geometry!$M:$M, "", 0, 1),
_xlpm.Pj, _xlfn.XLOOKUP(AW60,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0"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_xlfn.XLOOKUP(AX60, Geometry!$B:$B, Geometry!$M:$M, "", 0, 1),
_xlpm.Pj, _xlfn.XLOOKUP(AX60,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0"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_xlfn.XLOOKUP(AY60, Geometry!$B:$B, Geometry!$M:$M, "", 0, 1),
_xlpm.Pj, _xlfn.XLOOKUP(AY60,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0"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_xlfn.XLOOKUP(AZ60, Geometry!$B:$B, Geometry!$M:$M, "", 0, 1),
_xlpm.Pj, _xlfn.XLOOKUP(AZ60,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0" s="261" t="str">
        <f>IF(AM60="","",z + Filter!BN19/12 + Filter!BJ19/2/12)</f>
        <v/>
      </c>
      <c r="BF60" s="261" t="str">
        <f>IF(AM60="","",z + Filter!BN19/12 - Filter!BJ19/2/12)</f>
        <v/>
      </c>
      <c r="BG60" s="447"/>
      <c r="BH60" s="447"/>
      <c r="BI60" s="447"/>
      <c r="BJ60" s="447"/>
      <c r="BK60" s="447"/>
      <c r="BL60" s="447"/>
      <c r="BM60" s="447"/>
      <c r="BN60" s="447"/>
      <c r="BO60" s="447"/>
      <c r="BP60" s="447"/>
      <c r="BQ60" s="447"/>
    </row>
    <row r="61" spans="1:69" ht="15" customHeight="1" x14ac:dyDescent="0.2">
      <c r="A61" s="435"/>
      <c r="B61" s="435"/>
      <c r="C61" s="435"/>
      <c r="D61" s="57"/>
      <c r="F61" s="57"/>
      <c r="G61" s="447"/>
      <c r="H61" s="447"/>
      <c r="I61" s="447"/>
      <c r="K61" s="391" t="str">
        <f>IF(Results!U28="","",Results!U28)</f>
        <v/>
      </c>
      <c r="L61" s="391"/>
      <c r="M61" s="391" t="str">
        <f t="shared" si="4"/>
        <v/>
      </c>
      <c r="N61" s="391"/>
      <c r="O61" s="318" t="str" cm="1">
        <f t="array" ref="O61">IFERROR(IF(K61="","",IF(ResultsOption="Results - Envelope Solution",_xlfn.XLOOKUP(K61&amp;P61,Results!$S$4:$S$99999&amp;Results!$C$4:$C$99999,Results!$A$4:$A$99999),_xlfn.XLOOKUP(K61&amp;P61,#REF!&amp;#REF!,#REF!))),"N/A")</f>
        <v/>
      </c>
      <c r="P61" s="323" t="str">
        <f>IF(K61="","",IF(ResultsOption="Results - Envelope Solution",_xlfn.MAXIFS(Results!$C$3:$C$99999,Results!$S$3:$S$99999,K61),_xlfn.MAXIFS(#REF!,#REF!,K61)))</f>
        <v/>
      </c>
      <c r="Q61" s="318" t="str" cm="1">
        <f t="array" ref="Q61">IFERROR(IF(K61="","",IF(ResultsOption="Results - Envelope Solution",_xlfn.XLOOKUP(K61&amp;R61,Results!$S$4:$S$99999&amp;Results!$F$4:$F$99999,Results!$A$4:$A$99999),_xlfn.XLOOKUP(K61&amp;R61,#REF!&amp;#REF!,#REF!))),"N/A")</f>
        <v/>
      </c>
      <c r="R61" s="323" t="str">
        <f>IF(K61="","",IF(ResultsOption="Results - Envelope Solution",_xlfn.MAXIFS(Results!$F$3:$F$99999,Results!$S$3:$S$99999,K61),_xlfn.MAXIFS(#REF!,#REF!,K61)))</f>
        <v/>
      </c>
      <c r="S61" s="318" t="str">
        <f t="shared" si="1"/>
        <v/>
      </c>
      <c r="U61" s="474" t="str">
        <f>IF(ISBLANK('Discrete Loads'!B18),"",'Discrete Loads'!B18)</f>
        <v/>
      </c>
      <c r="V61" s="474"/>
      <c r="W61" s="341" t="str" cm="1">
        <f t="array" ref="W61">_xlfn.LET(
    _xlpm.model,        'Discrete Loads'!$B18,
    _xlpm.Shape,        'Discrete Loads'!$E18,
    _xlpm.Direction,    W$46,
    _xlpm.Azimuth,      0,
    _xlpm.CaAa_Front,   _xlfn.XLOOKUP(Code!$U61&amp;ROW()-43,Calculations_APPURT[Model]&amp;ROW('Discrete Loads'!B18),Hazards_APPURT[Ice Front CaAa],0,0,1),
    _xlpm.CaAa_Side,    _xlfn.XLOOKUP(Code!$U61&amp;ROW()-43,Calculations_APPURT[Model]&amp;ROW('Discrete Loads'!B18),Hazards_APPURT[Ice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X61" s="341" t="str" cm="1">
        <f t="array" ref="X61">_xlfn.LET(
    _xlpm.model,        'Discrete Loads'!$B18,
    _xlpm.Shape,        'Discrete Loads'!$E18,
    _xlpm.Direction,    X$46,
    _xlpm.Azimuth,      0,
    _xlpm.CaAa_Front,   _xlfn.XLOOKUP(Code!$U61&amp;ROW()-43,Calculations_APPURT[Model]&amp;ROW('Discrete Loads'!C18),Hazards_APPURT[Ice Front CaAa],0,0,1),
    _xlpm.CaAa_Side,    _xlfn.XLOOKUP(Code!$U61&amp;ROW()-43,Calculations_APPURT[Model]&amp;ROW('Discrete Loads'!C18),Hazards_APPURT[Ice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Y61" s="341" t="str" cm="1">
        <f t="array" ref="Y61">_xlfn.LET(
    _xlpm.model,        'Discrete Loads'!$B18,
    _xlpm.Shape,        'Discrete Loads'!$E18,
    _xlpm.Direction,    Y$46,
    _xlpm.Azimuth,      0,
    _xlpm.CaAa_Front,   _xlfn.XLOOKUP(Code!$U61&amp;ROW()-43,Calculations_APPURT[Model]&amp;ROW('Discrete Loads'!D18),Hazards_APPURT[Ice Front CaAa],0,0,1),
    _xlpm.CaAa_Side,    _xlfn.XLOOKUP(Code!$U61&amp;ROW()-43,Calculations_APPURT[Model]&amp;ROW('Discrete Loads'!D18),Hazards_APPURT[Ice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Z61" s="341" t="str" cm="1">
        <f t="array" ref="Z61">_xlfn.LET(
    _xlpm.model,        'Discrete Loads'!$B18,
    _xlpm.Shape,        'Discrete Loads'!$E18,
    _xlpm.Direction,    Z$46,
    _xlpm.Azimuth,      0,
    _xlpm.CaAa_Front,   _xlfn.XLOOKUP(Code!$U61&amp;ROW()-43,Calculations_APPURT[Model]&amp;ROW('Discrete Loads'!E18),Hazards_APPURT[Ice Front CaAa],0,0,1),
    _xlpm.CaAa_Side,    _xlfn.XLOOKUP(Code!$U61&amp;ROW()-43,Calculations_APPURT[Model]&amp;ROW('Discrete Loads'!E18),Hazards_APPURT[Ice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AA61" s="341" t="str" cm="1">
        <f t="array" ref="AA61">_xlfn.LET(
    _xlpm.model,        'Discrete Loads'!$B18,
    _xlpm.Shape,        'Discrete Loads'!$E18,
    _xlpm.Direction,    AA$46,
    _xlpm.Azimuth,      0,
    _xlpm.CaAa_Front,   _xlfn.XLOOKUP(Code!$U61&amp;ROW()-43,Calculations_APPURT[Model]&amp;ROW('Discrete Loads'!F18),Hazards_APPURT[Ice Front CaAa],0,0,1),
    _xlpm.CaAa_Side,    _xlfn.XLOOKUP(Code!$U61&amp;ROW()-43,Calculations_APPURT[Model]&amp;ROW('Discrete Loads'!F18),Hazards_APPURT[Ice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AB61" s="341" t="str" cm="1">
        <f t="array" ref="AB61">_xlfn.LET(
    _xlpm.model,        'Discrete Loads'!$B18,
    _xlpm.Shape,        'Discrete Loads'!$E18,
    _xlpm.Direction,    AB$46,
    _xlpm.Azimuth,      0,
    _xlpm.CaAa_Front,   _xlfn.XLOOKUP(Code!$U61&amp;ROW()-43,Calculations_APPURT[Model]&amp;ROW('Discrete Loads'!G18),Hazards_APPURT[Ice Front CaAa],0,0,1),
    _xlpm.CaAa_Side,    _xlfn.XLOOKUP(Code!$U61&amp;ROW()-43,Calculations_APPURT[Model]&amp;ROW('Discrete Loads'!G18),Hazards_APPURT[Ice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AC61" s="341" t="str" cm="1">
        <f t="array" ref="AC61">_xlfn.LET(
    _xlpm.model,        'Discrete Loads'!$B18,
    _xlpm.Shape,        'Discrete Loads'!$E18,
    _xlpm.Direction,    AC$46,
    _xlpm.Azimuth,      0,
    _xlpm.CaAa_Front,   _xlfn.XLOOKUP(Code!$U61&amp;ROW()-43,Calculations_APPURT[Model]&amp;ROW('Discrete Loads'!H18),Hazards_APPURT[Ice Front CaAa],0,0,1),
    _xlpm.CaAa_Side,    _xlfn.XLOOKUP(Code!$U61&amp;ROW()-43,Calculations_APPURT[Model]&amp;ROW('Discrete Loads'!H18),Hazards_APPURT[Ice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AD61" s="341" t="str" cm="1">
        <f t="array" ref="AD61">_xlfn.LET(
    _xlpm.model,        'Discrete Loads'!$B18,
    _xlpm.Shape,        'Discrete Loads'!$E18,
    _xlpm.Direction,    AD$46,
    _xlpm.Azimuth,      0,
    _xlpm.CaAa_Front,   _xlfn.XLOOKUP(Code!$U61&amp;ROW()-43,Calculations_APPURT[Model]&amp;ROW('Discrete Loads'!I18),Hazards_APPURT[Ice Front CaAa],0,0,1),
    _xlpm.CaAa_Side,    _xlfn.XLOOKUP(Code!$U61&amp;ROW()-43,Calculations_APPURT[Model]&amp;ROW('Discrete Loads'!I18),Hazards_APPURT[Ice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AE61" s="341" t="str" cm="1">
        <f t="array" ref="AE61">_xlfn.LET(
    _xlpm.model,        'Discrete Loads'!$B18,
    _xlpm.Shape,        'Discrete Loads'!$E18,
    _xlpm.Direction,    AE$46,
    _xlpm.Azimuth,      0,
    _xlpm.CaAa_Front,   _xlfn.XLOOKUP(Code!$U61&amp;ROW()-43,Calculations_APPURT[Model]&amp;ROW('Discrete Loads'!J18),Hazards_APPURT[Ice Front CaAa],0,0,1),
    _xlpm.CaAa_Side,    _xlfn.XLOOKUP(Code!$U61&amp;ROW()-43,Calculations_APPURT[Model]&amp;ROW('Discrete Loads'!J18),Hazards_APPURT[Ice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AF61" s="341" t="str" cm="1">
        <f t="array" ref="AF61">_xlfn.LET(
    _xlpm.model,        'Discrete Loads'!$B18,
    _xlpm.Shape,        'Discrete Loads'!$E18,
    _xlpm.Direction,    AF$46,
    _xlpm.Azimuth,      0,
    _xlpm.CaAa_Front,   _xlfn.XLOOKUP(Code!$U61&amp;ROW()-43,Calculations_APPURT[Model]&amp;ROW('Discrete Loads'!K18),Hazards_APPURT[Ice Front CaAa],0,0,1),
    _xlpm.CaAa_Side,    _xlfn.XLOOKUP(Code!$U61&amp;ROW()-43,Calculations_APPURT[Model]&amp;ROW('Discrete Loads'!K18),Hazards_APPURT[Ice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AG61" s="341" t="str" cm="1">
        <f t="array" ref="AG61">_xlfn.LET(
    _xlpm.model,        'Discrete Loads'!$B18,
    _xlpm.Shape,        'Discrete Loads'!$E18,
    _xlpm.Direction,    AG$46,
    _xlpm.Azimuth,      0,
    _xlpm.CaAa_Front,   _xlfn.XLOOKUP(Code!$U61&amp;ROW()-43,Calculations_APPURT[Model]&amp;ROW('Discrete Loads'!L18),Hazards_APPURT[Ice Front CaAa],0,0,1),
    _xlpm.CaAa_Side,    _xlfn.XLOOKUP(Code!$U61&amp;ROW()-43,Calculations_APPURT[Model]&amp;ROW('Discrete Loads'!L18),Hazards_APPURT[Ice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AH61" s="341" t="str" cm="1">
        <f t="array" ref="AH61">_xlfn.LET(
    _xlpm.model,        'Discrete Loads'!$B18,
    _xlpm.Shape,        'Discrete Loads'!$E18,
    _xlpm.Direction,    AH$46,
    _xlpm.Azimuth,      0,
    _xlpm.CaAa_Front,   _xlfn.XLOOKUP(Code!$U61&amp;ROW()-43,Calculations_APPURT[Model]&amp;ROW('Discrete Loads'!M18),Hazards_APPURT[Ice Front CaAa],0,0,1),
    _xlpm.CaAa_Side,    _xlfn.XLOOKUP(Code!$U61&amp;ROW()-43,Calculations_APPURT[Model]&amp;ROW('Discrete Loads'!M18),Hazards_APPURT[Ice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IF($U61="","",IF(_xlpm.Shape="CFD", _xlpm.CFD_val, _xlpm.CaAa_Front*COS(PI()/180*(_xlpm.Direction+_xlpm.Azimuth))^2 + _xlpm.CaAa_Side*SIN(PI()/180*(_xlpm.Direction+_xlpm.Azimuth))^2)))</f>
        <v/>
      </c>
      <c r="AI61" s="339" t="str">
        <f t="shared" si="3"/>
        <v/>
      </c>
      <c r="AJ61" s="363" t="str" cm="1">
        <f t="array" ref="AJ61">IF(U61="","",_xlfn.XLOOKUP($U61&amp;(ROW()-43),Calculations_APPURT[Model]&amp;ROW(Calculations_APPURT[Model]),Hazards_APPURT[qiz],"",0,1))</f>
        <v/>
      </c>
      <c r="AK61" s="366" t="str" cm="1">
        <f t="array" ref="AK61">IF(U61="","",_xlfn.XLOOKUP($U61&amp;(ROW()-43),Calculations_APPURT[Model]&amp;ROW(Calculations_APPURT[Model]),Hazards_APPURT[Ice Weight],"",0,1))</f>
        <v/>
      </c>
      <c r="AM61" s="462" t="str">
        <f>IFERROR(_xlfn.CONCAT("(",IF(Filter!AM20+Filter!AS20+Filter!AY20+Filter!BE20&gt;0,(Filter!AM20+Filter!AS20+Filter!AY20+Filter!BE20),""),") ",_xlfn._xlws.FILTER(Filter!AH20,Filter!AH20&lt;&gt;0)),"")</f>
        <v/>
      </c>
      <c r="AN61" s="462"/>
      <c r="AO61" s="462"/>
      <c r="AP61" s="327" t="str">
        <f>IF(AM61="","",z)</f>
        <v/>
      </c>
      <c r="AQ61" s="328" t="str">
        <f t="shared" si="2"/>
        <v/>
      </c>
      <c r="AR61" s="329" t="str">
        <f>IF(AM61="","",TRIM(SUBSTITUTE(_xlfn.TEXTJOIN(", ",TRUE,Filter!AL20,Filter!AR20,Filter!AX20,Filter!BD20),", 0","")))</f>
        <v/>
      </c>
      <c r="AS61" s="328" t="str" cm="1">
        <f t="array" ref="AS61">IF(AM61="","",_xlfn.TEXTJOIN(", ",TRUE,IF(BA61="","",ROUND(BA61*ConvertLength,1)),IF(BB61="","",ROUND(BB61*ConvertLength,1)),IF(BC61="","",ROUND(BC61*ConvertLength,1)),IF(BD61="","",ROUND(BD61*ConvertLength,1))))</f>
        <v/>
      </c>
      <c r="AT61" s="330" t="str" cm="1">
        <f t="array" ref="AT61">IFERROR(_xlfn.LET(
_xlpm.CaAa,   _xlfn.XLOOKUP(RIGHT(AM61, LEN(AM61)-4)&amp;ROW()-41,Calculations_APPURT[Model]&amp;ROW(Calculations_APPURT[Model]),Hazards_APPURT[Front CaAa],"",0,1),
_xlpm.qz,     _xlfn.XLOOKUP(RIGHT(AM61, LEN(AM61)-4)&amp;ROW()-41,Calculations_APPURT[Model]&amp;ROW(Calculations_APPURT[Model]),Hazards_APPURT[qz],"",0,1),
_xlpm.Ka,     0.9,
_xlpm.Kd,     _xlfn.XLOOKUP(RIGHT(AM61, LEN(AM61)-4)&amp;ROW()-41,Calculations_APPURT[Model]&amp;ROW(Calculations_APPURT[Model]),Hazards_APPURT[Kd],"",0,1),
_xlpm.Kes,    Kes.w,
_xlpm.CaAa*_xlpm.qz*_xlpm.Ka*_xlpm.Kd),"")</f>
        <v/>
      </c>
      <c r="AU61" s="330" t="str" cm="1">
        <f t="array" ref="AU61">IFERROR(_xlfn.LET(
_xlpm.CaAa,   _xlfn.XLOOKUP(RIGHT(AM61, LEN(AM61)-4)&amp;ROW()-41,Calculations_APPURT[Model]&amp;ROW(Calculations_APPURT[Model]),Hazards_APPURT[Side CaAa],"",0,1),
_xlpm.qz,     _xlfn.XLOOKUP(RIGHT(AM61, LEN(AM61)-4)&amp;ROW()-41,Calculations_APPURT[Model]&amp;ROW(Calculations_APPURT[Model]),Hazards_APPURT[qz],"",0,1),
_xlpm.Ka,     0.9,
_xlpm.Kd,     _xlfn.XLOOKUP(RIGHT(AM61, LEN(AM61)-4)&amp;ROW()-41,Calculations_APPURT[Model]&amp;ROW(Calculations_APPURT[Model]),Hazards_APPURT[Kd],"",0,1),
_xlpm.Kes,    Kes.w,
_xlpm.CaAa*_xlpm.qz*_xlpm.Ka*_xlpm.Kd),"")</f>
        <v/>
      </c>
      <c r="AW61" s="217" t="str">
        <f>IF(Filter!AN20=0,"",Filter!AN20)</f>
        <v/>
      </c>
      <c r="AX61" s="217" t="str">
        <f>IF(Filter!AT20=0,"",Filter!AT20)</f>
        <v/>
      </c>
      <c r="AY61" s="217" t="str">
        <f>IF(Filter!AZ20=0,"",Filter!AZ20)</f>
        <v/>
      </c>
      <c r="AZ61" s="217" t="str">
        <f>IF(Filter!BF20=0,"",Filter!BF20)</f>
        <v/>
      </c>
      <c r="BA61"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_xlfn.XLOOKUP(AW61, Geometry!$B:$B, Geometry!$M:$M, "", 0, 1),
_xlpm.Pj, _xlfn.XLOOKUP(AW61,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1"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_xlfn.XLOOKUP(AX61, Geometry!$B:$B, Geometry!$M:$M, "", 0, 1),
_xlpm.Pj, _xlfn.XLOOKUP(AX61,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1"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_xlfn.XLOOKUP(AY61, Geometry!$B:$B, Geometry!$M:$M, "", 0, 1),
_xlpm.Pj, _xlfn.XLOOKUP(AY61,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1"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_xlfn.XLOOKUP(AZ61, Geometry!$B:$B, Geometry!$M:$M, "", 0, 1),
_xlpm.Pj, _xlfn.XLOOKUP(AZ61,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1" s="261" t="str">
        <f>IF(AM61="","",z + Filter!BN20/12 + Filter!BJ20/2/12)</f>
        <v/>
      </c>
      <c r="BF61" s="261" t="str">
        <f>IF(AM61="","",z + Filter!BN20/12 - Filter!BJ20/2/12)</f>
        <v/>
      </c>
      <c r="BG61" s="447"/>
      <c r="BH61" s="447"/>
      <c r="BI61" s="447"/>
      <c r="BJ61" s="447"/>
      <c r="BK61" s="447"/>
      <c r="BL61" s="447"/>
      <c r="BM61" s="447"/>
      <c r="BN61" s="447"/>
      <c r="BO61" s="447"/>
      <c r="BP61" s="447"/>
      <c r="BQ61" s="447"/>
    </row>
    <row r="62" spans="1:69" ht="15" customHeight="1" x14ac:dyDescent="0.2">
      <c r="A62" s="411"/>
      <c r="B62" s="411"/>
      <c r="C62" s="411"/>
      <c r="D62" s="57"/>
      <c r="E62" s="57"/>
      <c r="F62" s="57"/>
      <c r="G62" s="447"/>
      <c r="H62" s="447"/>
      <c r="I62" s="447"/>
      <c r="K62" s="393" t="str">
        <f>IF(Results!U29="","",Results!U29)</f>
        <v/>
      </c>
      <c r="L62" s="393"/>
      <c r="M62" s="393" t="str">
        <f t="shared" si="4"/>
        <v/>
      </c>
      <c r="N62" s="393"/>
      <c r="O62" s="69" t="str" cm="1">
        <f t="array" ref="O62">IFERROR(IF(K62="","",IF(ResultsOption="Results - Envelope Solution",_xlfn.XLOOKUP(K62&amp;P62,Results!$S$4:$S$99999&amp;Results!$C$4:$C$99999,Results!$A$4:$A$99999),_xlfn.XLOOKUP(K62&amp;P62,#REF!&amp;#REF!,#REF!))),"N/A")</f>
        <v/>
      </c>
      <c r="P62" s="70" t="str">
        <f>IF(K62="","",IF(ResultsOption="Results - Envelope Solution",_xlfn.MAXIFS(Results!$C$3:$C$99999,Results!$S$3:$S$99999,K62),_xlfn.MAXIFS(#REF!,#REF!,K62)))</f>
        <v/>
      </c>
      <c r="Q62" s="69" t="str" cm="1">
        <f t="array" ref="Q62">IFERROR(IF(K62="","",IF(ResultsOption="Results - Envelope Solution",_xlfn.XLOOKUP(K62&amp;R62,Results!$S$4:$S$99999&amp;Results!$F$4:$F$99999,Results!$A$4:$A$99999),_xlfn.XLOOKUP(K62&amp;R62,#REF!&amp;#REF!,#REF!))),"N/A")</f>
        <v/>
      </c>
      <c r="R62" s="70" t="str">
        <f>IF(K62="","",IF(ResultsOption="Results - Envelope Solution",_xlfn.MAXIFS(Results!$F$3:$F$99999,Results!$S$3:$S$99999,K62),_xlfn.MAXIFS(#REF!,#REF!,K62)))</f>
        <v/>
      </c>
      <c r="S62" s="69" t="str">
        <f t="shared" si="1"/>
        <v/>
      </c>
      <c r="U62" s="386" t="str">
        <f>IF(ISBLANK('Discrete Loads'!B19),"",'Discrete Loads'!B19)</f>
        <v/>
      </c>
      <c r="V62" s="386"/>
      <c r="W62" s="342" t="str" cm="1">
        <f t="array" ref="W62">_xlfn.LET(
    _xlpm.model,        'Discrete Loads'!$B19,
    _xlpm.Shape,        'Discrete Loads'!$E19,
    _xlpm.Direction,    W$46,
    _xlpm.Azimuth,      0,
    _xlpm.CaAa_Front,   _xlfn.XLOOKUP(Code!$U62&amp;ROW()-43,Calculations_APPURT[Model]&amp;ROW('Discrete Loads'!B19),Hazards_APPURT[Ice Front CaAa],0,0,1),
    _xlpm.CaAa_Side,    _xlfn.XLOOKUP(Code!$U62&amp;ROW()-43,Calculations_APPURT[Model]&amp;ROW('Discrete Loads'!B19),Hazards_APPURT[Ice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X62" s="342" t="str" cm="1">
        <f t="array" ref="X62">_xlfn.LET(
    _xlpm.model,        'Discrete Loads'!$B19,
    _xlpm.Shape,        'Discrete Loads'!$E19,
    _xlpm.Direction,    X$46,
    _xlpm.Azimuth,      0,
    _xlpm.CaAa_Front,   _xlfn.XLOOKUP(Code!$U62&amp;ROW()-43,Calculations_APPURT[Model]&amp;ROW('Discrete Loads'!C19),Hazards_APPURT[Ice Front CaAa],0,0,1),
    _xlpm.CaAa_Side,    _xlfn.XLOOKUP(Code!$U62&amp;ROW()-43,Calculations_APPURT[Model]&amp;ROW('Discrete Loads'!C19),Hazards_APPURT[Ice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Y62" s="342" t="str" cm="1">
        <f t="array" ref="Y62">_xlfn.LET(
    _xlpm.model,        'Discrete Loads'!$B19,
    _xlpm.Shape,        'Discrete Loads'!$E19,
    _xlpm.Direction,    Y$46,
    _xlpm.Azimuth,      0,
    _xlpm.CaAa_Front,   _xlfn.XLOOKUP(Code!$U62&amp;ROW()-43,Calculations_APPURT[Model]&amp;ROW('Discrete Loads'!D19),Hazards_APPURT[Ice Front CaAa],0,0,1),
    _xlpm.CaAa_Side,    _xlfn.XLOOKUP(Code!$U62&amp;ROW()-43,Calculations_APPURT[Model]&amp;ROW('Discrete Loads'!D19),Hazards_APPURT[Ice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Z62" s="342" t="str" cm="1">
        <f t="array" ref="Z62">_xlfn.LET(
    _xlpm.model,        'Discrete Loads'!$B19,
    _xlpm.Shape,        'Discrete Loads'!$E19,
    _xlpm.Direction,    Z$46,
    _xlpm.Azimuth,      0,
    _xlpm.CaAa_Front,   _xlfn.XLOOKUP(Code!$U62&amp;ROW()-43,Calculations_APPURT[Model]&amp;ROW('Discrete Loads'!E19),Hazards_APPURT[Ice Front CaAa],0,0,1),
    _xlpm.CaAa_Side,    _xlfn.XLOOKUP(Code!$U62&amp;ROW()-43,Calculations_APPURT[Model]&amp;ROW('Discrete Loads'!E19),Hazards_APPURT[Ice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AA62" s="342" t="str" cm="1">
        <f t="array" ref="AA62">_xlfn.LET(
    _xlpm.model,        'Discrete Loads'!$B19,
    _xlpm.Shape,        'Discrete Loads'!$E19,
    _xlpm.Direction,    AA$46,
    _xlpm.Azimuth,      0,
    _xlpm.CaAa_Front,   _xlfn.XLOOKUP(Code!$U62&amp;ROW()-43,Calculations_APPURT[Model]&amp;ROW('Discrete Loads'!F19),Hazards_APPURT[Ice Front CaAa],0,0,1),
    _xlpm.CaAa_Side,    _xlfn.XLOOKUP(Code!$U62&amp;ROW()-43,Calculations_APPURT[Model]&amp;ROW('Discrete Loads'!F19),Hazards_APPURT[Ice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AB62" s="342" t="str" cm="1">
        <f t="array" ref="AB62">_xlfn.LET(
    _xlpm.model,        'Discrete Loads'!$B19,
    _xlpm.Shape,        'Discrete Loads'!$E19,
    _xlpm.Direction,    AB$46,
    _xlpm.Azimuth,      0,
    _xlpm.CaAa_Front,   _xlfn.XLOOKUP(Code!$U62&amp;ROW()-43,Calculations_APPURT[Model]&amp;ROW('Discrete Loads'!G19),Hazards_APPURT[Ice Front CaAa],0,0,1),
    _xlpm.CaAa_Side,    _xlfn.XLOOKUP(Code!$U62&amp;ROW()-43,Calculations_APPURT[Model]&amp;ROW('Discrete Loads'!G19),Hazards_APPURT[Ice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AC62" s="342" t="str" cm="1">
        <f t="array" ref="AC62">_xlfn.LET(
    _xlpm.model,        'Discrete Loads'!$B19,
    _xlpm.Shape,        'Discrete Loads'!$E19,
    _xlpm.Direction,    AC$46,
    _xlpm.Azimuth,      0,
    _xlpm.CaAa_Front,   _xlfn.XLOOKUP(Code!$U62&amp;ROW()-43,Calculations_APPURT[Model]&amp;ROW('Discrete Loads'!H19),Hazards_APPURT[Ice Front CaAa],0,0,1),
    _xlpm.CaAa_Side,    _xlfn.XLOOKUP(Code!$U62&amp;ROW()-43,Calculations_APPURT[Model]&amp;ROW('Discrete Loads'!H19),Hazards_APPURT[Ice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AD62" s="342" t="str" cm="1">
        <f t="array" ref="AD62">_xlfn.LET(
    _xlpm.model,        'Discrete Loads'!$B19,
    _xlpm.Shape,        'Discrete Loads'!$E19,
    _xlpm.Direction,    AD$46,
    _xlpm.Azimuth,      0,
    _xlpm.CaAa_Front,   _xlfn.XLOOKUP(Code!$U62&amp;ROW()-43,Calculations_APPURT[Model]&amp;ROW('Discrete Loads'!I19),Hazards_APPURT[Ice Front CaAa],0,0,1),
    _xlpm.CaAa_Side,    _xlfn.XLOOKUP(Code!$U62&amp;ROW()-43,Calculations_APPURT[Model]&amp;ROW('Discrete Loads'!I19),Hazards_APPURT[Ice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AE62" s="342" t="str" cm="1">
        <f t="array" ref="AE62">_xlfn.LET(
    _xlpm.model,        'Discrete Loads'!$B19,
    _xlpm.Shape,        'Discrete Loads'!$E19,
    _xlpm.Direction,    AE$46,
    _xlpm.Azimuth,      0,
    _xlpm.CaAa_Front,   _xlfn.XLOOKUP(Code!$U62&amp;ROW()-43,Calculations_APPURT[Model]&amp;ROW('Discrete Loads'!J19),Hazards_APPURT[Ice Front CaAa],0,0,1),
    _xlpm.CaAa_Side,    _xlfn.XLOOKUP(Code!$U62&amp;ROW()-43,Calculations_APPURT[Model]&amp;ROW('Discrete Loads'!J19),Hazards_APPURT[Ice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AF62" s="342" t="str" cm="1">
        <f t="array" ref="AF62">_xlfn.LET(
    _xlpm.model,        'Discrete Loads'!$B19,
    _xlpm.Shape,        'Discrete Loads'!$E19,
    _xlpm.Direction,    AF$46,
    _xlpm.Azimuth,      0,
    _xlpm.CaAa_Front,   _xlfn.XLOOKUP(Code!$U62&amp;ROW()-43,Calculations_APPURT[Model]&amp;ROW('Discrete Loads'!K19),Hazards_APPURT[Ice Front CaAa],0,0,1),
    _xlpm.CaAa_Side,    _xlfn.XLOOKUP(Code!$U62&amp;ROW()-43,Calculations_APPURT[Model]&amp;ROW('Discrete Loads'!K19),Hazards_APPURT[Ice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AG62" s="342" t="str" cm="1">
        <f t="array" ref="AG62">_xlfn.LET(
    _xlpm.model,        'Discrete Loads'!$B19,
    _xlpm.Shape,        'Discrete Loads'!$E19,
    _xlpm.Direction,    AG$46,
    _xlpm.Azimuth,      0,
    _xlpm.CaAa_Front,   _xlfn.XLOOKUP(Code!$U62&amp;ROW()-43,Calculations_APPURT[Model]&amp;ROW('Discrete Loads'!L19),Hazards_APPURT[Ice Front CaAa],0,0,1),
    _xlpm.CaAa_Side,    _xlfn.XLOOKUP(Code!$U62&amp;ROW()-43,Calculations_APPURT[Model]&amp;ROW('Discrete Loads'!L19),Hazards_APPURT[Ice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AH62" s="342" t="str" cm="1">
        <f t="array" ref="AH62">_xlfn.LET(
    _xlpm.model,        'Discrete Loads'!$B19,
    _xlpm.Shape,        'Discrete Loads'!$E19,
    _xlpm.Direction,    AH$46,
    _xlpm.Azimuth,      0,
    _xlpm.CaAa_Front,   _xlfn.XLOOKUP(Code!$U62&amp;ROW()-43,Calculations_APPURT[Model]&amp;ROW('Discrete Loads'!M19),Hazards_APPURT[Ice Front CaAa],0,0,1),
    _xlpm.CaAa_Side,    _xlfn.XLOOKUP(Code!$U62&amp;ROW()-43,Calculations_APPURT[Model]&amp;ROW('Discrete Loads'!M19),Hazards_APPURT[Ice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IF($U62="","",IF(_xlpm.Shape="CFD", _xlpm.CFD_val, _xlpm.CaAa_Front*COS(PI()/180*(_xlpm.Direction+_xlpm.Azimuth))^2 + _xlpm.CaAa_Side*SIN(PI()/180*(_xlpm.Direction+_xlpm.Azimuth))^2)))</f>
        <v/>
      </c>
      <c r="AI62" s="340" t="str">
        <f t="shared" si="3"/>
        <v/>
      </c>
      <c r="AJ62" s="364" t="str" cm="1">
        <f t="array" ref="AJ62">IF(U62="","",_xlfn.XLOOKUP($U62&amp;(ROW()-43),Calculations_APPURT[Model]&amp;ROW(Calculations_APPURT[Model]),Hazards_APPURT[qiz],"",0,1))</f>
        <v/>
      </c>
      <c r="AK62" s="367" t="str" cm="1">
        <f t="array" ref="AK62">IF(U62="","",_xlfn.XLOOKUP($U62&amp;(ROW()-43),Calculations_APPURT[Model]&amp;ROW(Calculations_APPURT[Model]),Hazards_APPURT[Ice Weight],"",0,1))</f>
        <v/>
      </c>
      <c r="AM62" s="461" t="str">
        <f>IFERROR(_xlfn.CONCAT("(",IF(Filter!AM21+Filter!AS21+Filter!AY21+Filter!BE21&gt;0,(Filter!AM21+Filter!AS21+Filter!AY21+Filter!BE21),""),") ",_xlfn._xlws.FILTER(Filter!AH21,Filter!AH21&lt;&gt;0)),"")</f>
        <v/>
      </c>
      <c r="AN62" s="461"/>
      <c r="AO62" s="461"/>
      <c r="AP62" s="301" t="str">
        <f>IF(AM62="","",z)</f>
        <v/>
      </c>
      <c r="AQ62" s="69" t="str">
        <f t="shared" si="2"/>
        <v/>
      </c>
      <c r="AR62" s="187" t="str">
        <f>IF(AM62="","",TRIM(SUBSTITUTE(_xlfn.TEXTJOIN(", ",TRUE,Filter!AL21,Filter!AR21,Filter!AX21,Filter!BD21),", 0","")))</f>
        <v/>
      </c>
      <c r="AS62" s="69" t="str" cm="1">
        <f t="array" ref="AS62">IF(AM62="","",_xlfn.TEXTJOIN(", ",TRUE,IF(BA62="","",ROUND(BA62*ConvertLength,1)),IF(BB62="","",ROUND(BB62*ConvertLength,1)),IF(BC62="","",ROUND(BC62*ConvertLength,1)),IF(BD62="","",ROUND(BD62*ConvertLength,1))))</f>
        <v/>
      </c>
      <c r="AT62" s="302" t="str" cm="1">
        <f t="array" ref="AT62">IFERROR(_xlfn.LET(
_xlpm.CaAa,   _xlfn.XLOOKUP(RIGHT(AM62, LEN(AM62)-4)&amp;ROW()-41,Calculations_APPURT[Model]&amp;ROW(Calculations_APPURT[Model]),Hazards_APPURT[Front CaAa],"",0,1),
_xlpm.qz,     _xlfn.XLOOKUP(RIGHT(AM62, LEN(AM62)-4)&amp;ROW()-41,Calculations_APPURT[Model]&amp;ROW(Calculations_APPURT[Model]),Hazards_APPURT[qz],"",0,1),
_xlpm.Ka,     0.9,
_xlpm.Kd,     _xlfn.XLOOKUP(RIGHT(AM62, LEN(AM62)-4)&amp;ROW()-41,Calculations_APPURT[Model]&amp;ROW(Calculations_APPURT[Model]),Hazards_APPURT[Kd],"",0,1),
_xlpm.Kes,    Kes.w,
_xlpm.CaAa*_xlpm.qz*_xlpm.Ka*_xlpm.Kd),"")</f>
        <v/>
      </c>
      <c r="AU62" s="302" t="str" cm="1">
        <f t="array" ref="AU62">IFERROR(_xlfn.LET(
_xlpm.CaAa,   _xlfn.XLOOKUP(RIGHT(AM62, LEN(AM62)-4)&amp;ROW()-41,Calculations_APPURT[Model]&amp;ROW(Calculations_APPURT[Model]),Hazards_APPURT[Side CaAa],"",0,1),
_xlpm.qz,     _xlfn.XLOOKUP(RIGHT(AM62, LEN(AM62)-4)&amp;ROW()-41,Calculations_APPURT[Model]&amp;ROW(Calculations_APPURT[Model]),Hazards_APPURT[qz],"",0,1),
_xlpm.Ka,     0.9,
_xlpm.Kd,     _xlfn.XLOOKUP(RIGHT(AM62, LEN(AM62)-4)&amp;ROW()-41,Calculations_APPURT[Model]&amp;ROW(Calculations_APPURT[Model]),Hazards_APPURT[Kd],"",0,1),
_xlpm.Kes,    Kes.w,
_xlpm.CaAa*_xlpm.qz*_xlpm.Ka*_xlpm.Kd),"")</f>
        <v/>
      </c>
      <c r="AW62" s="217" t="str">
        <f>IF(Filter!AN21=0,"",Filter!AN21)</f>
        <v/>
      </c>
      <c r="AX62" s="217" t="str">
        <f>IF(Filter!AT21=0,"",Filter!AT21)</f>
        <v/>
      </c>
      <c r="AY62" s="217" t="str">
        <f>IF(Filter!AZ21=0,"",Filter!AZ21)</f>
        <v/>
      </c>
      <c r="AZ62" s="217" t="str">
        <f>IF(Filter!BF21=0,"",Filter!BF21)</f>
        <v/>
      </c>
      <c r="BA62"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_xlfn.XLOOKUP(AW62, Geometry!$B:$B, Geometry!$M:$M, "", 0, 1),
_xlpm.Pj, _xlfn.XLOOKUP(AW62,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2"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_xlfn.XLOOKUP(AX62, Geometry!$B:$B, Geometry!$M:$M, "", 0, 1),
_xlpm.Pj, _xlfn.XLOOKUP(AX62,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2"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_xlfn.XLOOKUP(AY62, Geometry!$B:$B, Geometry!$M:$M, "", 0, 1),
_xlpm.Pj, _xlfn.XLOOKUP(AY62,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2"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_xlfn.XLOOKUP(AZ62, Geometry!$B:$B, Geometry!$M:$M, "", 0, 1),
_xlpm.Pj, _xlfn.XLOOKUP(AZ62,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2" s="261" t="str">
        <f>IF(AM62="","",z + Filter!BN21/12 + Filter!BJ21/2/12)</f>
        <v/>
      </c>
      <c r="BF62" s="261" t="str">
        <f>IF(AM62="","",z + Filter!BN21/12 - Filter!BJ21/2/12)</f>
        <v/>
      </c>
    </row>
    <row r="63" spans="1:69" ht="15" customHeight="1" x14ac:dyDescent="0.2">
      <c r="A63" s="411"/>
      <c r="B63" s="411"/>
      <c r="C63" s="411"/>
      <c r="D63" s="57"/>
      <c r="E63" s="57"/>
      <c r="F63" s="57"/>
      <c r="G63" s="447"/>
      <c r="H63" s="447"/>
      <c r="I63" s="447"/>
      <c r="K63" s="391" t="str">
        <f>IF(Results!U30="","",Results!U30)</f>
        <v/>
      </c>
      <c r="L63" s="391"/>
      <c r="M63" s="391" t="str">
        <f t="shared" si="4"/>
        <v/>
      </c>
      <c r="N63" s="391"/>
      <c r="O63" s="318" t="str" cm="1">
        <f t="array" ref="O63">IFERROR(IF(K63="","",IF(ResultsOption="Results - Envelope Solution",_xlfn.XLOOKUP(K63&amp;P63,Results!$S$4:$S$99999&amp;Results!$C$4:$C$99999,Results!$A$4:$A$99999),_xlfn.XLOOKUP(K63&amp;P63,#REF!&amp;#REF!,#REF!))),"N/A")</f>
        <v/>
      </c>
      <c r="P63" s="323" t="str">
        <f>IF(K63="","",IF(ResultsOption="Results - Envelope Solution",_xlfn.MAXIFS(Results!$C$3:$C$99999,Results!$S$3:$S$99999,K63),_xlfn.MAXIFS(#REF!,#REF!,K63)))</f>
        <v/>
      </c>
      <c r="Q63" s="318" t="str" cm="1">
        <f t="array" ref="Q63">IFERROR(IF(K63="","",IF(ResultsOption="Results - Envelope Solution",_xlfn.XLOOKUP(K63&amp;R63,Results!$S$4:$S$99999&amp;Results!$F$4:$F$99999,Results!$A$4:$A$99999),_xlfn.XLOOKUP(K63&amp;R63,#REF!&amp;#REF!,#REF!))),"N/A")</f>
        <v/>
      </c>
      <c r="R63" s="323" t="str">
        <f>IF(K63="","",IF(ResultsOption="Results - Envelope Solution",_xlfn.MAXIFS(Results!$F$3:$F$99999,Results!$S$3:$S$99999,K63),_xlfn.MAXIFS(#REF!,#REF!,K63)))</f>
        <v/>
      </c>
      <c r="S63" s="318" t="str">
        <f t="shared" si="1"/>
        <v/>
      </c>
      <c r="U63" s="474" t="str">
        <f>IF(ISBLANK('Discrete Loads'!B20),"",'Discrete Loads'!B20)</f>
        <v/>
      </c>
      <c r="V63" s="474"/>
      <c r="W63" s="341" t="str" cm="1">
        <f t="array" ref="W63">_xlfn.LET(
    _xlpm.model,        'Discrete Loads'!$B20,
    _xlpm.Shape,        'Discrete Loads'!$E20,
    _xlpm.Direction,    W$46,
    _xlpm.Azimuth,      0,
    _xlpm.CaAa_Front,   _xlfn.XLOOKUP(Code!$U63&amp;ROW()-43,Calculations_APPURT[Model]&amp;ROW('Discrete Loads'!B20),Hazards_APPURT[Ice Front CaAa],0,0,1),
    _xlpm.CaAa_Side,    _xlfn.XLOOKUP(Code!$U63&amp;ROW()-43,Calculations_APPURT[Model]&amp;ROW('Discrete Loads'!B20),Hazards_APPURT[Ice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X63" s="341" t="str" cm="1">
        <f t="array" ref="X63">_xlfn.LET(
    _xlpm.model,        'Discrete Loads'!$B20,
    _xlpm.Shape,        'Discrete Loads'!$E20,
    _xlpm.Direction,    X$46,
    _xlpm.Azimuth,      0,
    _xlpm.CaAa_Front,   _xlfn.XLOOKUP(Code!$U63&amp;ROW()-43,Calculations_APPURT[Model]&amp;ROW('Discrete Loads'!C20),Hazards_APPURT[Ice Front CaAa],0,0,1),
    _xlpm.CaAa_Side,    _xlfn.XLOOKUP(Code!$U63&amp;ROW()-43,Calculations_APPURT[Model]&amp;ROW('Discrete Loads'!C20),Hazards_APPURT[Ice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Y63" s="341" t="str" cm="1">
        <f t="array" ref="Y63">_xlfn.LET(
    _xlpm.model,        'Discrete Loads'!$B20,
    _xlpm.Shape,        'Discrete Loads'!$E20,
    _xlpm.Direction,    Y$46,
    _xlpm.Azimuth,      0,
    _xlpm.CaAa_Front,   _xlfn.XLOOKUP(Code!$U63&amp;ROW()-43,Calculations_APPURT[Model]&amp;ROW('Discrete Loads'!D20),Hazards_APPURT[Ice Front CaAa],0,0,1),
    _xlpm.CaAa_Side,    _xlfn.XLOOKUP(Code!$U63&amp;ROW()-43,Calculations_APPURT[Model]&amp;ROW('Discrete Loads'!D20),Hazards_APPURT[Ice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Z63" s="341" t="str" cm="1">
        <f t="array" ref="Z63">_xlfn.LET(
    _xlpm.model,        'Discrete Loads'!$B20,
    _xlpm.Shape,        'Discrete Loads'!$E20,
    _xlpm.Direction,    Z$46,
    _xlpm.Azimuth,      0,
    _xlpm.CaAa_Front,   _xlfn.XLOOKUP(Code!$U63&amp;ROW()-43,Calculations_APPURT[Model]&amp;ROW('Discrete Loads'!E20),Hazards_APPURT[Ice Front CaAa],0,0,1),
    _xlpm.CaAa_Side,    _xlfn.XLOOKUP(Code!$U63&amp;ROW()-43,Calculations_APPURT[Model]&amp;ROW('Discrete Loads'!E20),Hazards_APPURT[Ice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AA63" s="341" t="str" cm="1">
        <f t="array" ref="AA63">_xlfn.LET(
    _xlpm.model,        'Discrete Loads'!$B20,
    _xlpm.Shape,        'Discrete Loads'!$E20,
    _xlpm.Direction,    AA$46,
    _xlpm.Azimuth,      0,
    _xlpm.CaAa_Front,   _xlfn.XLOOKUP(Code!$U63&amp;ROW()-43,Calculations_APPURT[Model]&amp;ROW('Discrete Loads'!F20),Hazards_APPURT[Ice Front CaAa],0,0,1),
    _xlpm.CaAa_Side,    _xlfn.XLOOKUP(Code!$U63&amp;ROW()-43,Calculations_APPURT[Model]&amp;ROW('Discrete Loads'!F20),Hazards_APPURT[Ice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AB63" s="341" t="str" cm="1">
        <f t="array" ref="AB63">_xlfn.LET(
    _xlpm.model,        'Discrete Loads'!$B20,
    _xlpm.Shape,        'Discrete Loads'!$E20,
    _xlpm.Direction,    AB$46,
    _xlpm.Azimuth,      0,
    _xlpm.CaAa_Front,   _xlfn.XLOOKUP(Code!$U63&amp;ROW()-43,Calculations_APPURT[Model]&amp;ROW('Discrete Loads'!G20),Hazards_APPURT[Ice Front CaAa],0,0,1),
    _xlpm.CaAa_Side,    _xlfn.XLOOKUP(Code!$U63&amp;ROW()-43,Calculations_APPURT[Model]&amp;ROW('Discrete Loads'!G20),Hazards_APPURT[Ice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AC63" s="341" t="str" cm="1">
        <f t="array" ref="AC63">_xlfn.LET(
    _xlpm.model,        'Discrete Loads'!$B20,
    _xlpm.Shape,        'Discrete Loads'!$E20,
    _xlpm.Direction,    AC$46,
    _xlpm.Azimuth,      0,
    _xlpm.CaAa_Front,   _xlfn.XLOOKUP(Code!$U63&amp;ROW()-43,Calculations_APPURT[Model]&amp;ROW('Discrete Loads'!H20),Hazards_APPURT[Ice Front CaAa],0,0,1),
    _xlpm.CaAa_Side,    _xlfn.XLOOKUP(Code!$U63&amp;ROW()-43,Calculations_APPURT[Model]&amp;ROW('Discrete Loads'!H20),Hazards_APPURT[Ice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AD63" s="341" t="str" cm="1">
        <f t="array" ref="AD63">_xlfn.LET(
    _xlpm.model,        'Discrete Loads'!$B20,
    _xlpm.Shape,        'Discrete Loads'!$E20,
    _xlpm.Direction,    AD$46,
    _xlpm.Azimuth,      0,
    _xlpm.CaAa_Front,   _xlfn.XLOOKUP(Code!$U63&amp;ROW()-43,Calculations_APPURT[Model]&amp;ROW('Discrete Loads'!I20),Hazards_APPURT[Ice Front CaAa],0,0,1),
    _xlpm.CaAa_Side,    _xlfn.XLOOKUP(Code!$U63&amp;ROW()-43,Calculations_APPURT[Model]&amp;ROW('Discrete Loads'!I20),Hazards_APPURT[Ice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AE63" s="341" t="str" cm="1">
        <f t="array" ref="AE63">_xlfn.LET(
    _xlpm.model,        'Discrete Loads'!$B20,
    _xlpm.Shape,        'Discrete Loads'!$E20,
    _xlpm.Direction,    AE$46,
    _xlpm.Azimuth,      0,
    _xlpm.CaAa_Front,   _xlfn.XLOOKUP(Code!$U63&amp;ROW()-43,Calculations_APPURT[Model]&amp;ROW('Discrete Loads'!J20),Hazards_APPURT[Ice Front CaAa],0,0,1),
    _xlpm.CaAa_Side,    _xlfn.XLOOKUP(Code!$U63&amp;ROW()-43,Calculations_APPURT[Model]&amp;ROW('Discrete Loads'!J20),Hazards_APPURT[Ice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AF63" s="341" t="str" cm="1">
        <f t="array" ref="AF63">_xlfn.LET(
    _xlpm.model,        'Discrete Loads'!$B20,
    _xlpm.Shape,        'Discrete Loads'!$E20,
    _xlpm.Direction,    AF$46,
    _xlpm.Azimuth,      0,
    _xlpm.CaAa_Front,   _xlfn.XLOOKUP(Code!$U63&amp;ROW()-43,Calculations_APPURT[Model]&amp;ROW('Discrete Loads'!K20),Hazards_APPURT[Ice Front CaAa],0,0,1),
    _xlpm.CaAa_Side,    _xlfn.XLOOKUP(Code!$U63&amp;ROW()-43,Calculations_APPURT[Model]&amp;ROW('Discrete Loads'!K20),Hazards_APPURT[Ice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AG63" s="341" t="str" cm="1">
        <f t="array" ref="AG63">_xlfn.LET(
    _xlpm.model,        'Discrete Loads'!$B20,
    _xlpm.Shape,        'Discrete Loads'!$E20,
    _xlpm.Direction,    AG$46,
    _xlpm.Azimuth,      0,
    _xlpm.CaAa_Front,   _xlfn.XLOOKUP(Code!$U63&amp;ROW()-43,Calculations_APPURT[Model]&amp;ROW('Discrete Loads'!L20),Hazards_APPURT[Ice Front CaAa],0,0,1),
    _xlpm.CaAa_Side,    _xlfn.XLOOKUP(Code!$U63&amp;ROW()-43,Calculations_APPURT[Model]&amp;ROW('Discrete Loads'!L20),Hazards_APPURT[Ice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AH63" s="341" t="str" cm="1">
        <f t="array" ref="AH63">_xlfn.LET(
    _xlpm.model,        'Discrete Loads'!$B20,
    _xlpm.Shape,        'Discrete Loads'!$E20,
    _xlpm.Direction,    AH$46,
    _xlpm.Azimuth,      0,
    _xlpm.CaAa_Front,   _xlfn.XLOOKUP(Code!$U63&amp;ROW()-43,Calculations_APPURT[Model]&amp;ROW('Discrete Loads'!M20),Hazards_APPURT[Ice Front CaAa],0,0,1),
    _xlpm.CaAa_Side,    _xlfn.XLOOKUP(Code!$U63&amp;ROW()-43,Calculations_APPURT[Model]&amp;ROW('Discrete Loads'!M20),Hazards_APPURT[Ice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IF($U63="","",IF(_xlpm.Shape="CFD", _xlpm.CFD_val, _xlpm.CaAa_Front*COS(PI()/180*(_xlpm.Direction+_xlpm.Azimuth))^2 + _xlpm.CaAa_Side*SIN(PI()/180*(_xlpm.Direction+_xlpm.Azimuth))^2)))</f>
        <v/>
      </c>
      <c r="AI63" s="339" t="str">
        <f t="shared" si="3"/>
        <v/>
      </c>
      <c r="AJ63" s="363" t="str" cm="1">
        <f t="array" ref="AJ63">IF(U63="","",_xlfn.XLOOKUP($U63&amp;(ROW()-43),Calculations_APPURT[Model]&amp;ROW(Calculations_APPURT[Model]),Hazards_APPURT[qiz],"",0,1))</f>
        <v/>
      </c>
      <c r="AK63" s="366" t="str" cm="1">
        <f t="array" ref="AK63">IF(U63="","",_xlfn.XLOOKUP($U63&amp;(ROW()-43),Calculations_APPURT[Model]&amp;ROW(Calculations_APPURT[Model]),Hazards_APPURT[Ice Weight],"",0,1))</f>
        <v/>
      </c>
      <c r="AM63" s="462" t="str">
        <f>IFERROR(_xlfn.CONCAT("(",IF(Filter!AM22+Filter!AS22+Filter!AY22+Filter!BE22&gt;0,(Filter!AM22+Filter!AS22+Filter!AY22+Filter!BE22),""),") ",_xlfn._xlws.FILTER(Filter!AH22,Filter!AH22&lt;&gt;0)),"")</f>
        <v/>
      </c>
      <c r="AN63" s="462"/>
      <c r="AO63" s="462"/>
      <c r="AP63" s="327" t="str">
        <f>IF(AM63="","",z)</f>
        <v/>
      </c>
      <c r="AQ63" s="328" t="str">
        <f t="shared" si="2"/>
        <v/>
      </c>
      <c r="AR63" s="329" t="str">
        <f>IF(AM63="","",TRIM(SUBSTITUTE(_xlfn.TEXTJOIN(", ",TRUE,Filter!AL22,Filter!AR22,Filter!AX22,Filter!BD22),", 0","")))</f>
        <v/>
      </c>
      <c r="AS63" s="328" t="str" cm="1">
        <f t="array" ref="AS63">IF(AM63="","",_xlfn.TEXTJOIN(", ",TRUE,IF(BA63="","",ROUND(BA63*ConvertLength,1)),IF(BB63="","",ROUND(BB63*ConvertLength,1)),IF(BC63="","",ROUND(BC63*ConvertLength,1)),IF(BD63="","",ROUND(BD63*ConvertLength,1))))</f>
        <v/>
      </c>
      <c r="AT63" s="330" t="str" cm="1">
        <f t="array" ref="AT63">IFERROR(_xlfn.LET(
_xlpm.CaAa,   _xlfn.XLOOKUP(RIGHT(AM63, LEN(AM63)-4)&amp;ROW()-41,Calculations_APPURT[Model]&amp;ROW(Calculations_APPURT[Model]),Hazards_APPURT[Front CaAa],"",0,1),
_xlpm.qz,     _xlfn.XLOOKUP(RIGHT(AM63, LEN(AM63)-4)&amp;ROW()-41,Calculations_APPURT[Model]&amp;ROW(Calculations_APPURT[Model]),Hazards_APPURT[qz],"",0,1),
_xlpm.Ka,     0.9,
_xlpm.Kd,     _xlfn.XLOOKUP(RIGHT(AM63, LEN(AM63)-4)&amp;ROW()-41,Calculations_APPURT[Model]&amp;ROW(Calculations_APPURT[Model]),Hazards_APPURT[Kd],"",0,1),
_xlpm.Kes,    Kes.w,
_xlpm.CaAa*_xlpm.qz*_xlpm.Ka*_xlpm.Kd),"")</f>
        <v/>
      </c>
      <c r="AU63" s="330" t="str" cm="1">
        <f t="array" ref="AU63">IFERROR(_xlfn.LET(
_xlpm.CaAa,   _xlfn.XLOOKUP(RIGHT(AM63, LEN(AM63)-4)&amp;ROW()-41,Calculations_APPURT[Model]&amp;ROW(Calculations_APPURT[Model]),Hazards_APPURT[Side CaAa],"",0,1),
_xlpm.qz,     _xlfn.XLOOKUP(RIGHT(AM63, LEN(AM63)-4)&amp;ROW()-41,Calculations_APPURT[Model]&amp;ROW(Calculations_APPURT[Model]),Hazards_APPURT[qz],"",0,1),
_xlpm.Ka,     0.9,
_xlpm.Kd,     _xlfn.XLOOKUP(RIGHT(AM63, LEN(AM63)-4)&amp;ROW()-41,Calculations_APPURT[Model]&amp;ROW(Calculations_APPURT[Model]),Hazards_APPURT[Kd],"",0,1),
_xlpm.Kes,    Kes.w,
_xlpm.CaAa*_xlpm.qz*_xlpm.Ka*_xlpm.Kd),"")</f>
        <v/>
      </c>
      <c r="AW63" s="217" t="str">
        <f>IF(Filter!AN22=0,"",Filter!AN22)</f>
        <v/>
      </c>
      <c r="AX63" s="217" t="str">
        <f>IF(Filter!AT22=0,"",Filter!AT22)</f>
        <v/>
      </c>
      <c r="AY63" s="217" t="str">
        <f>IF(Filter!AZ22=0,"",Filter!AZ22)</f>
        <v/>
      </c>
      <c r="AZ63" s="217" t="str">
        <f>IF(Filter!BF22=0,"",Filter!BF22)</f>
        <v/>
      </c>
      <c r="BA63"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_xlfn.XLOOKUP(AW63, Geometry!$B:$B, Geometry!$M:$M, "", 0, 1),
_xlpm.Pj, _xlfn.XLOOKUP(AW63,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3"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_xlfn.XLOOKUP(AX63, Geometry!$B:$B, Geometry!$M:$M, "", 0, 1),
_xlpm.Pj, _xlfn.XLOOKUP(AX63,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3"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_xlfn.XLOOKUP(AY63, Geometry!$B:$B, Geometry!$M:$M, "", 0, 1),
_xlpm.Pj, _xlfn.XLOOKUP(AY63,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3"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_xlfn.XLOOKUP(AZ63, Geometry!$B:$B, Geometry!$M:$M, "", 0, 1),
_xlpm.Pj, _xlfn.XLOOKUP(AZ63,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3" s="261" t="str">
        <f>IF(AM63="","",z + Filter!BN22/12 + Filter!BJ22/2/12)</f>
        <v/>
      </c>
      <c r="BF63" s="261" t="str">
        <f>IF(AM63="","",z + Filter!BN22/12 - Filter!BJ22/2/12)</f>
        <v/>
      </c>
    </row>
    <row r="64" spans="1:69" ht="15" customHeight="1" x14ac:dyDescent="0.2">
      <c r="A64" s="411"/>
      <c r="B64" s="411"/>
      <c r="C64" s="411"/>
      <c r="D64" s="57"/>
      <c r="E64" s="57"/>
      <c r="F64" s="57"/>
      <c r="G64" s="447"/>
      <c r="H64" s="447"/>
      <c r="I64" s="447"/>
      <c r="K64" s="393" t="str">
        <f>IF(Results!U31="","",Results!U31)</f>
        <v/>
      </c>
      <c r="L64" s="393"/>
      <c r="M64" s="393" t="str">
        <f t="shared" si="4"/>
        <v/>
      </c>
      <c r="N64" s="393"/>
      <c r="O64" s="69" t="str" cm="1">
        <f t="array" ref="O64">IFERROR(IF(K64="","",IF(ResultsOption="Results - Envelope Solution",_xlfn.XLOOKUP(K64&amp;P64,Results!$S$4:$S$99999&amp;Results!$C$4:$C$99999,Results!$A$4:$A$99999),_xlfn.XLOOKUP(K64&amp;P64,#REF!&amp;#REF!,#REF!))),"N/A")</f>
        <v/>
      </c>
      <c r="P64" s="70" t="str">
        <f>IF(K64="","",IF(ResultsOption="Results - Envelope Solution",_xlfn.MAXIFS(Results!$C$3:$C$99999,Results!$S$3:$S$99999,K64),_xlfn.MAXIFS(#REF!,#REF!,K64)))</f>
        <v/>
      </c>
      <c r="Q64" s="69" t="str" cm="1">
        <f t="array" ref="Q64">IFERROR(IF(K64="","",IF(ResultsOption="Results - Envelope Solution",_xlfn.XLOOKUP(K64&amp;R64,Results!$S$4:$S$99999&amp;Results!$F$4:$F$99999,Results!$A$4:$A$99999),_xlfn.XLOOKUP(K64&amp;R64,#REF!&amp;#REF!,#REF!))),"N/A")</f>
        <v/>
      </c>
      <c r="R64" s="70" t="str">
        <f>IF(K64="","",IF(ResultsOption="Results - Envelope Solution",_xlfn.MAXIFS(Results!$F$3:$F$99999,Results!$S$3:$S$99999,K64),_xlfn.MAXIFS(#REF!,#REF!,K64)))</f>
        <v/>
      </c>
      <c r="S64" s="69" t="str">
        <f t="shared" si="1"/>
        <v/>
      </c>
      <c r="U64" s="386" t="str">
        <f>IF(ISBLANK('Discrete Loads'!B21),"",'Discrete Loads'!B21)</f>
        <v/>
      </c>
      <c r="V64" s="386"/>
      <c r="W64" s="342" t="str" cm="1">
        <f t="array" ref="W64">_xlfn.LET(
    _xlpm.model,        'Discrete Loads'!$B21,
    _xlpm.Shape,        'Discrete Loads'!$E21,
    _xlpm.Direction,    W$46,
    _xlpm.Azimuth,      0,
    _xlpm.CaAa_Front,   _xlfn.XLOOKUP(Code!$U64&amp;ROW()-43,Calculations_APPURT[Model]&amp;ROW('Discrete Loads'!B21),Hazards_APPURT[Ice Front CaAa],0,0,1),
    _xlpm.CaAa_Side,    _xlfn.XLOOKUP(Code!$U64&amp;ROW()-43,Calculations_APPURT[Model]&amp;ROW('Discrete Loads'!B21),Hazards_APPURT[Ice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X64" s="342" t="str" cm="1">
        <f t="array" ref="X64">_xlfn.LET(
    _xlpm.model,        'Discrete Loads'!$B21,
    _xlpm.Shape,        'Discrete Loads'!$E21,
    _xlpm.Direction,    X$46,
    _xlpm.Azimuth,      0,
    _xlpm.CaAa_Front,   _xlfn.XLOOKUP(Code!$U64&amp;ROW()-43,Calculations_APPURT[Model]&amp;ROW('Discrete Loads'!C21),Hazards_APPURT[Ice Front CaAa],0,0,1),
    _xlpm.CaAa_Side,    _xlfn.XLOOKUP(Code!$U64&amp;ROW()-43,Calculations_APPURT[Model]&amp;ROW('Discrete Loads'!C21),Hazards_APPURT[Ice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Y64" s="342" t="str" cm="1">
        <f t="array" ref="Y64">_xlfn.LET(
    _xlpm.model,        'Discrete Loads'!$B21,
    _xlpm.Shape,        'Discrete Loads'!$E21,
    _xlpm.Direction,    Y$46,
    _xlpm.Azimuth,      0,
    _xlpm.CaAa_Front,   _xlfn.XLOOKUP(Code!$U64&amp;ROW()-43,Calculations_APPURT[Model]&amp;ROW('Discrete Loads'!D21),Hazards_APPURT[Ice Front CaAa],0,0,1),
    _xlpm.CaAa_Side,    _xlfn.XLOOKUP(Code!$U64&amp;ROW()-43,Calculations_APPURT[Model]&amp;ROW('Discrete Loads'!D21),Hazards_APPURT[Ice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Z64" s="342" t="str" cm="1">
        <f t="array" ref="Z64">_xlfn.LET(
    _xlpm.model,        'Discrete Loads'!$B21,
    _xlpm.Shape,        'Discrete Loads'!$E21,
    _xlpm.Direction,    Z$46,
    _xlpm.Azimuth,      0,
    _xlpm.CaAa_Front,   _xlfn.XLOOKUP(Code!$U64&amp;ROW()-43,Calculations_APPURT[Model]&amp;ROW('Discrete Loads'!E21),Hazards_APPURT[Ice Front CaAa],0,0,1),
    _xlpm.CaAa_Side,    _xlfn.XLOOKUP(Code!$U64&amp;ROW()-43,Calculations_APPURT[Model]&amp;ROW('Discrete Loads'!E21),Hazards_APPURT[Ice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AA64" s="342" t="str" cm="1">
        <f t="array" ref="AA64">_xlfn.LET(
    _xlpm.model,        'Discrete Loads'!$B21,
    _xlpm.Shape,        'Discrete Loads'!$E21,
    _xlpm.Direction,    AA$46,
    _xlpm.Azimuth,      0,
    _xlpm.CaAa_Front,   _xlfn.XLOOKUP(Code!$U64&amp;ROW()-43,Calculations_APPURT[Model]&amp;ROW('Discrete Loads'!F21),Hazards_APPURT[Ice Front CaAa],0,0,1),
    _xlpm.CaAa_Side,    _xlfn.XLOOKUP(Code!$U64&amp;ROW()-43,Calculations_APPURT[Model]&amp;ROW('Discrete Loads'!F21),Hazards_APPURT[Ice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AB64" s="342" t="str" cm="1">
        <f t="array" ref="AB64">_xlfn.LET(
    _xlpm.model,        'Discrete Loads'!$B21,
    _xlpm.Shape,        'Discrete Loads'!$E21,
    _xlpm.Direction,    AB$46,
    _xlpm.Azimuth,      0,
    _xlpm.CaAa_Front,   _xlfn.XLOOKUP(Code!$U64&amp;ROW()-43,Calculations_APPURT[Model]&amp;ROW('Discrete Loads'!G21),Hazards_APPURT[Ice Front CaAa],0,0,1),
    _xlpm.CaAa_Side,    _xlfn.XLOOKUP(Code!$U64&amp;ROW()-43,Calculations_APPURT[Model]&amp;ROW('Discrete Loads'!G21),Hazards_APPURT[Ice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AC64" s="342" t="str" cm="1">
        <f t="array" ref="AC64">_xlfn.LET(
    _xlpm.model,        'Discrete Loads'!$B21,
    _xlpm.Shape,        'Discrete Loads'!$E21,
    _xlpm.Direction,    AC$46,
    _xlpm.Azimuth,      0,
    _xlpm.CaAa_Front,   _xlfn.XLOOKUP(Code!$U64&amp;ROW()-43,Calculations_APPURT[Model]&amp;ROW('Discrete Loads'!H21),Hazards_APPURT[Ice Front CaAa],0,0,1),
    _xlpm.CaAa_Side,    _xlfn.XLOOKUP(Code!$U64&amp;ROW()-43,Calculations_APPURT[Model]&amp;ROW('Discrete Loads'!H21),Hazards_APPURT[Ice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AD64" s="342" t="str" cm="1">
        <f t="array" ref="AD64">_xlfn.LET(
    _xlpm.model,        'Discrete Loads'!$B21,
    _xlpm.Shape,        'Discrete Loads'!$E21,
    _xlpm.Direction,    AD$46,
    _xlpm.Azimuth,      0,
    _xlpm.CaAa_Front,   _xlfn.XLOOKUP(Code!$U64&amp;ROW()-43,Calculations_APPURT[Model]&amp;ROW('Discrete Loads'!I21),Hazards_APPURT[Ice Front CaAa],0,0,1),
    _xlpm.CaAa_Side,    _xlfn.XLOOKUP(Code!$U64&amp;ROW()-43,Calculations_APPURT[Model]&amp;ROW('Discrete Loads'!I21),Hazards_APPURT[Ice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AE64" s="342" t="str" cm="1">
        <f t="array" ref="AE64">_xlfn.LET(
    _xlpm.model,        'Discrete Loads'!$B21,
    _xlpm.Shape,        'Discrete Loads'!$E21,
    _xlpm.Direction,    AE$46,
    _xlpm.Azimuth,      0,
    _xlpm.CaAa_Front,   _xlfn.XLOOKUP(Code!$U64&amp;ROW()-43,Calculations_APPURT[Model]&amp;ROW('Discrete Loads'!J21),Hazards_APPURT[Ice Front CaAa],0,0,1),
    _xlpm.CaAa_Side,    _xlfn.XLOOKUP(Code!$U64&amp;ROW()-43,Calculations_APPURT[Model]&amp;ROW('Discrete Loads'!J21),Hazards_APPURT[Ice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AF64" s="342" t="str" cm="1">
        <f t="array" ref="AF64">_xlfn.LET(
    _xlpm.model,        'Discrete Loads'!$B21,
    _xlpm.Shape,        'Discrete Loads'!$E21,
    _xlpm.Direction,    AF$46,
    _xlpm.Azimuth,      0,
    _xlpm.CaAa_Front,   _xlfn.XLOOKUP(Code!$U64&amp;ROW()-43,Calculations_APPURT[Model]&amp;ROW('Discrete Loads'!K21),Hazards_APPURT[Ice Front CaAa],0,0,1),
    _xlpm.CaAa_Side,    _xlfn.XLOOKUP(Code!$U64&amp;ROW()-43,Calculations_APPURT[Model]&amp;ROW('Discrete Loads'!K21),Hazards_APPURT[Ice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AG64" s="342" t="str" cm="1">
        <f t="array" ref="AG64">_xlfn.LET(
    _xlpm.model,        'Discrete Loads'!$B21,
    _xlpm.Shape,        'Discrete Loads'!$E21,
    _xlpm.Direction,    AG$46,
    _xlpm.Azimuth,      0,
    _xlpm.CaAa_Front,   _xlfn.XLOOKUP(Code!$U64&amp;ROW()-43,Calculations_APPURT[Model]&amp;ROW('Discrete Loads'!L21),Hazards_APPURT[Ice Front CaAa],0,0,1),
    _xlpm.CaAa_Side,    _xlfn.XLOOKUP(Code!$U64&amp;ROW()-43,Calculations_APPURT[Model]&amp;ROW('Discrete Loads'!L21),Hazards_APPURT[Ice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AH64" s="342" t="str" cm="1">
        <f t="array" ref="AH64">_xlfn.LET(
    _xlpm.model,        'Discrete Loads'!$B21,
    _xlpm.Shape,        'Discrete Loads'!$E21,
    _xlpm.Direction,    AH$46,
    _xlpm.Azimuth,      0,
    _xlpm.CaAa_Front,   _xlfn.XLOOKUP(Code!$U64&amp;ROW()-43,Calculations_APPURT[Model]&amp;ROW('Discrete Loads'!M21),Hazards_APPURT[Ice Front CaAa],0,0,1),
    _xlpm.CaAa_Side,    _xlfn.XLOOKUP(Code!$U64&amp;ROW()-43,Calculations_APPURT[Model]&amp;ROW('Discrete Loads'!M21),Hazards_APPURT[Ice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IF($U64="","",IF(_xlpm.Shape="CFD", _xlpm.CFD_val, _xlpm.CaAa_Front*COS(PI()/180*(_xlpm.Direction+_xlpm.Azimuth))^2 + _xlpm.CaAa_Side*SIN(PI()/180*(_xlpm.Direction+_xlpm.Azimuth))^2)))</f>
        <v/>
      </c>
      <c r="AI64" s="340" t="str">
        <f t="shared" si="3"/>
        <v/>
      </c>
      <c r="AJ64" s="364" t="str" cm="1">
        <f t="array" ref="AJ64">IF(U64="","",_xlfn.XLOOKUP($U64&amp;(ROW()-43),Calculations_APPURT[Model]&amp;ROW(Calculations_APPURT[Model]),Hazards_APPURT[qiz],"",0,1))</f>
        <v/>
      </c>
      <c r="AK64" s="367" t="str" cm="1">
        <f t="array" ref="AK64">IF(U64="","",_xlfn.XLOOKUP($U64&amp;(ROW()-43),Calculations_APPURT[Model]&amp;ROW(Calculations_APPURT[Model]),Hazards_APPURT[Ice Weight],"",0,1))</f>
        <v/>
      </c>
      <c r="AM64" s="461" t="str">
        <f>IFERROR(_xlfn.CONCAT("(",IF(Filter!AM23+Filter!AS23+Filter!AY23+Filter!BE23&gt;0,(Filter!AM23+Filter!AS23+Filter!AY23+Filter!BE23),""),") ",_xlfn._xlws.FILTER(Filter!AH23,Filter!AH23&lt;&gt;0)),"")</f>
        <v/>
      </c>
      <c r="AN64" s="461"/>
      <c r="AO64" s="461"/>
      <c r="AP64" s="301" t="str">
        <f>IF(AM64="","",z)</f>
        <v/>
      </c>
      <c r="AQ64" s="69" t="str">
        <f t="shared" si="2"/>
        <v/>
      </c>
      <c r="AR64" s="187" t="str">
        <f>IF(AM64="","",TRIM(SUBSTITUTE(_xlfn.TEXTJOIN(", ",TRUE,Filter!AL23,Filter!AR23,Filter!AX23,Filter!BD23),", 0","")))</f>
        <v/>
      </c>
      <c r="AS64" s="69" t="str" cm="1">
        <f t="array" ref="AS64">IF(AM64="","",_xlfn.TEXTJOIN(", ",TRUE,IF(BA64="","",ROUND(BA64*ConvertLength,1)),IF(BB64="","",ROUND(BB64*ConvertLength,1)),IF(BC64="","",ROUND(BC64*ConvertLength,1)),IF(BD64="","",ROUND(BD64*ConvertLength,1))))</f>
        <v/>
      </c>
      <c r="AT64" s="302" t="str" cm="1">
        <f t="array" ref="AT64">IFERROR(_xlfn.LET(
_xlpm.CaAa,   _xlfn.XLOOKUP(RIGHT(AM64, LEN(AM64)-4)&amp;ROW()-41,Calculations_APPURT[Model]&amp;ROW(Calculations_APPURT[Model]),Hazards_APPURT[Front CaAa],"",0,1),
_xlpm.qz,     _xlfn.XLOOKUP(RIGHT(AM64, LEN(AM64)-4)&amp;ROW()-41,Calculations_APPURT[Model]&amp;ROW(Calculations_APPURT[Model]),Hazards_APPURT[qz],"",0,1),
_xlpm.Ka,     0.9,
_xlpm.Kd,     _xlfn.XLOOKUP(RIGHT(AM64, LEN(AM64)-4)&amp;ROW()-41,Calculations_APPURT[Model]&amp;ROW(Calculations_APPURT[Model]),Hazards_APPURT[Kd],"",0,1),
_xlpm.Kes,    Kes.w,
_xlpm.CaAa*_xlpm.qz*_xlpm.Ka*_xlpm.Kd),"")</f>
        <v/>
      </c>
      <c r="AU64" s="302" t="str" cm="1">
        <f t="array" ref="AU64">IFERROR(_xlfn.LET(
_xlpm.CaAa,   _xlfn.XLOOKUP(RIGHT(AM64, LEN(AM64)-4)&amp;ROW()-41,Calculations_APPURT[Model]&amp;ROW(Calculations_APPURT[Model]),Hazards_APPURT[Side CaAa],"",0,1),
_xlpm.qz,     _xlfn.XLOOKUP(RIGHT(AM64, LEN(AM64)-4)&amp;ROW()-41,Calculations_APPURT[Model]&amp;ROW(Calculations_APPURT[Model]),Hazards_APPURT[qz],"",0,1),
_xlpm.Ka,     0.9,
_xlpm.Kd,     _xlfn.XLOOKUP(RIGHT(AM64, LEN(AM64)-4)&amp;ROW()-41,Calculations_APPURT[Model]&amp;ROW(Calculations_APPURT[Model]),Hazards_APPURT[Kd],"",0,1),
_xlpm.Kes,    Kes.w,
_xlpm.CaAa*_xlpm.qz*_xlpm.Ka*_xlpm.Kd),"")</f>
        <v/>
      </c>
      <c r="AW64" s="217" t="str">
        <f>IF(Filter!AN23=0,"",Filter!AN23)</f>
        <v/>
      </c>
      <c r="AX64" s="217" t="str">
        <f>IF(Filter!AT23=0,"",Filter!AT23)</f>
        <v/>
      </c>
      <c r="AY64" s="217" t="str">
        <f>IF(Filter!AZ23=0,"",Filter!AZ23)</f>
        <v/>
      </c>
      <c r="AZ64" s="217" t="str">
        <f>IF(Filter!BF23=0,"",Filter!BF23)</f>
        <v/>
      </c>
      <c r="BA64"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_xlfn.XLOOKUP(AW64, Geometry!$B:$B, Geometry!$M:$M, "", 0, 1),
_xlpm.Pj, _xlfn.XLOOKUP(AW64,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4"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_xlfn.XLOOKUP(AX64, Geometry!$B:$B, Geometry!$M:$M, "", 0, 1),
_xlpm.Pj, _xlfn.XLOOKUP(AX64,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4"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_xlfn.XLOOKUP(AY64, Geometry!$B:$B, Geometry!$M:$M, "", 0, 1),
_xlpm.Pj, _xlfn.XLOOKUP(AY64,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4"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_xlfn.XLOOKUP(AZ64, Geometry!$B:$B, Geometry!$M:$M, "", 0, 1),
_xlpm.Pj, _xlfn.XLOOKUP(AZ64,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4" s="261" t="str">
        <f>IF(AM64="","",z + Filter!BN23/12 + Filter!BJ23/2/12)</f>
        <v/>
      </c>
      <c r="BF64" s="261" t="str">
        <f>IF(AM64="","",z + Filter!BN23/12 - Filter!BJ23/2/12)</f>
        <v/>
      </c>
    </row>
    <row r="65" spans="1:64" ht="15" customHeight="1" x14ac:dyDescent="0.2">
      <c r="A65" s="435"/>
      <c r="B65" s="435"/>
      <c r="C65" s="435"/>
      <c r="D65" s="57"/>
      <c r="E65" s="57"/>
      <c r="F65" s="57"/>
      <c r="G65" s="447"/>
      <c r="H65" s="447"/>
      <c r="I65" s="447"/>
      <c r="K65" s="391" t="str">
        <f>IF(Results!U32="","",Results!U32)</f>
        <v/>
      </c>
      <c r="L65" s="391"/>
      <c r="M65" s="391" t="str">
        <f t="shared" si="4"/>
        <v/>
      </c>
      <c r="N65" s="391"/>
      <c r="O65" s="318" t="str" cm="1">
        <f t="array" ref="O65">IFERROR(IF(K65="","",IF(ResultsOption="Results - Envelope Solution",_xlfn.XLOOKUP(K65&amp;P65,Results!$S$4:$S$99999&amp;Results!$C$4:$C$99999,Results!$A$4:$A$99999),_xlfn.XLOOKUP(K65&amp;P65,#REF!&amp;#REF!,#REF!))),"N/A")</f>
        <v/>
      </c>
      <c r="P65" s="323" t="str">
        <f>IF(K65="","",IF(ResultsOption="Results - Envelope Solution",_xlfn.MAXIFS(Results!$C$3:$C$99999,Results!$S$3:$S$99999,K65),_xlfn.MAXIFS(#REF!,#REF!,K65)))</f>
        <v/>
      </c>
      <c r="Q65" s="318" t="str" cm="1">
        <f t="array" ref="Q65">IFERROR(IF(K65="","",IF(ResultsOption="Results - Envelope Solution",_xlfn.XLOOKUP(K65&amp;R65,Results!$S$4:$S$99999&amp;Results!$F$4:$F$99999,Results!$A$4:$A$99999),_xlfn.XLOOKUP(K65&amp;R65,#REF!&amp;#REF!,#REF!))),"N/A")</f>
        <v/>
      </c>
      <c r="R65" s="323" t="str">
        <f>IF(K65="","",IF(ResultsOption="Results - Envelope Solution",_xlfn.MAXIFS(Results!$F$3:$F$99999,Results!$S$3:$S$99999,K65),_xlfn.MAXIFS(#REF!,#REF!,K65)))</f>
        <v/>
      </c>
      <c r="S65" s="318" t="str">
        <f t="shared" si="1"/>
        <v/>
      </c>
      <c r="U65" s="474" t="str">
        <f>IF(ISBLANK('Discrete Loads'!B22),"",'Discrete Loads'!B22)</f>
        <v/>
      </c>
      <c r="V65" s="474"/>
      <c r="W65" s="341" t="str" cm="1">
        <f t="array" ref="W65">_xlfn.LET(
    _xlpm.model,        'Discrete Loads'!$B22,
    _xlpm.Shape,        'Discrete Loads'!$E22,
    _xlpm.Direction,    W$46,
    _xlpm.Azimuth,      0,
    _xlpm.CaAa_Front,   _xlfn.XLOOKUP(Code!$U65&amp;ROW()-43,Calculations_APPURT[Model]&amp;ROW('Discrete Loads'!B22),Hazards_APPURT[Ice Front CaAa],0,0,1),
    _xlpm.CaAa_Side,    _xlfn.XLOOKUP(Code!$U65&amp;ROW()-43,Calculations_APPURT[Model]&amp;ROW('Discrete Loads'!B22),Hazards_APPURT[Ice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X65" s="341" t="str" cm="1">
        <f t="array" ref="X65">_xlfn.LET(
    _xlpm.model,        'Discrete Loads'!$B22,
    _xlpm.Shape,        'Discrete Loads'!$E22,
    _xlpm.Direction,    X$46,
    _xlpm.Azimuth,      0,
    _xlpm.CaAa_Front,   _xlfn.XLOOKUP(Code!$U65&amp;ROW()-43,Calculations_APPURT[Model]&amp;ROW('Discrete Loads'!C22),Hazards_APPURT[Ice Front CaAa],0,0,1),
    _xlpm.CaAa_Side,    _xlfn.XLOOKUP(Code!$U65&amp;ROW()-43,Calculations_APPURT[Model]&amp;ROW('Discrete Loads'!C22),Hazards_APPURT[Ice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Y65" s="341" t="str" cm="1">
        <f t="array" ref="Y65">_xlfn.LET(
    _xlpm.model,        'Discrete Loads'!$B22,
    _xlpm.Shape,        'Discrete Loads'!$E22,
    _xlpm.Direction,    Y$46,
    _xlpm.Azimuth,      0,
    _xlpm.CaAa_Front,   _xlfn.XLOOKUP(Code!$U65&amp;ROW()-43,Calculations_APPURT[Model]&amp;ROW('Discrete Loads'!D22),Hazards_APPURT[Ice Front CaAa],0,0,1),
    _xlpm.CaAa_Side,    _xlfn.XLOOKUP(Code!$U65&amp;ROW()-43,Calculations_APPURT[Model]&amp;ROW('Discrete Loads'!D22),Hazards_APPURT[Ice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Z65" s="341" t="str" cm="1">
        <f t="array" ref="Z65">_xlfn.LET(
    _xlpm.model,        'Discrete Loads'!$B22,
    _xlpm.Shape,        'Discrete Loads'!$E22,
    _xlpm.Direction,    Z$46,
    _xlpm.Azimuth,      0,
    _xlpm.CaAa_Front,   _xlfn.XLOOKUP(Code!$U65&amp;ROW()-43,Calculations_APPURT[Model]&amp;ROW('Discrete Loads'!E22),Hazards_APPURT[Ice Front CaAa],0,0,1),
    _xlpm.CaAa_Side,    _xlfn.XLOOKUP(Code!$U65&amp;ROW()-43,Calculations_APPURT[Model]&amp;ROW('Discrete Loads'!E22),Hazards_APPURT[Ice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AA65" s="341" t="str" cm="1">
        <f t="array" ref="AA65">_xlfn.LET(
    _xlpm.model,        'Discrete Loads'!$B22,
    _xlpm.Shape,        'Discrete Loads'!$E22,
    _xlpm.Direction,    AA$46,
    _xlpm.Azimuth,      0,
    _xlpm.CaAa_Front,   _xlfn.XLOOKUP(Code!$U65&amp;ROW()-43,Calculations_APPURT[Model]&amp;ROW('Discrete Loads'!F22),Hazards_APPURT[Ice Front CaAa],0,0,1),
    _xlpm.CaAa_Side,    _xlfn.XLOOKUP(Code!$U65&amp;ROW()-43,Calculations_APPURT[Model]&amp;ROW('Discrete Loads'!F22),Hazards_APPURT[Ice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AB65" s="341" t="str" cm="1">
        <f t="array" ref="AB65">_xlfn.LET(
    _xlpm.model,        'Discrete Loads'!$B22,
    _xlpm.Shape,        'Discrete Loads'!$E22,
    _xlpm.Direction,    AB$46,
    _xlpm.Azimuth,      0,
    _xlpm.CaAa_Front,   _xlfn.XLOOKUP(Code!$U65&amp;ROW()-43,Calculations_APPURT[Model]&amp;ROW('Discrete Loads'!G22),Hazards_APPURT[Ice Front CaAa],0,0,1),
    _xlpm.CaAa_Side,    _xlfn.XLOOKUP(Code!$U65&amp;ROW()-43,Calculations_APPURT[Model]&amp;ROW('Discrete Loads'!G22),Hazards_APPURT[Ice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AC65" s="341" t="str" cm="1">
        <f t="array" ref="AC65">_xlfn.LET(
    _xlpm.model,        'Discrete Loads'!$B22,
    _xlpm.Shape,        'Discrete Loads'!$E22,
    _xlpm.Direction,    AC$46,
    _xlpm.Azimuth,      0,
    _xlpm.CaAa_Front,   _xlfn.XLOOKUP(Code!$U65&amp;ROW()-43,Calculations_APPURT[Model]&amp;ROW('Discrete Loads'!H22),Hazards_APPURT[Ice Front CaAa],0,0,1),
    _xlpm.CaAa_Side,    _xlfn.XLOOKUP(Code!$U65&amp;ROW()-43,Calculations_APPURT[Model]&amp;ROW('Discrete Loads'!H22),Hazards_APPURT[Ice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AD65" s="341" t="str" cm="1">
        <f t="array" ref="AD65">_xlfn.LET(
    _xlpm.model,        'Discrete Loads'!$B22,
    _xlpm.Shape,        'Discrete Loads'!$E22,
    _xlpm.Direction,    AD$46,
    _xlpm.Azimuth,      0,
    _xlpm.CaAa_Front,   _xlfn.XLOOKUP(Code!$U65&amp;ROW()-43,Calculations_APPURT[Model]&amp;ROW('Discrete Loads'!I22),Hazards_APPURT[Ice Front CaAa],0,0,1),
    _xlpm.CaAa_Side,    _xlfn.XLOOKUP(Code!$U65&amp;ROW()-43,Calculations_APPURT[Model]&amp;ROW('Discrete Loads'!I22),Hazards_APPURT[Ice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AE65" s="341" t="str" cm="1">
        <f t="array" ref="AE65">_xlfn.LET(
    _xlpm.model,        'Discrete Loads'!$B22,
    _xlpm.Shape,        'Discrete Loads'!$E22,
    _xlpm.Direction,    AE$46,
    _xlpm.Azimuth,      0,
    _xlpm.CaAa_Front,   _xlfn.XLOOKUP(Code!$U65&amp;ROW()-43,Calculations_APPURT[Model]&amp;ROW('Discrete Loads'!J22),Hazards_APPURT[Ice Front CaAa],0,0,1),
    _xlpm.CaAa_Side,    _xlfn.XLOOKUP(Code!$U65&amp;ROW()-43,Calculations_APPURT[Model]&amp;ROW('Discrete Loads'!J22),Hazards_APPURT[Ice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AF65" s="341" t="str" cm="1">
        <f t="array" ref="AF65">_xlfn.LET(
    _xlpm.model,        'Discrete Loads'!$B22,
    _xlpm.Shape,        'Discrete Loads'!$E22,
    _xlpm.Direction,    AF$46,
    _xlpm.Azimuth,      0,
    _xlpm.CaAa_Front,   _xlfn.XLOOKUP(Code!$U65&amp;ROW()-43,Calculations_APPURT[Model]&amp;ROW('Discrete Loads'!K22),Hazards_APPURT[Ice Front CaAa],0,0,1),
    _xlpm.CaAa_Side,    _xlfn.XLOOKUP(Code!$U65&amp;ROW()-43,Calculations_APPURT[Model]&amp;ROW('Discrete Loads'!K22),Hazards_APPURT[Ice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AG65" s="341" t="str" cm="1">
        <f t="array" ref="AG65">_xlfn.LET(
    _xlpm.model,        'Discrete Loads'!$B22,
    _xlpm.Shape,        'Discrete Loads'!$E22,
    _xlpm.Direction,    AG$46,
    _xlpm.Azimuth,      0,
    _xlpm.CaAa_Front,   _xlfn.XLOOKUP(Code!$U65&amp;ROW()-43,Calculations_APPURT[Model]&amp;ROW('Discrete Loads'!L22),Hazards_APPURT[Ice Front CaAa],0,0,1),
    _xlpm.CaAa_Side,    _xlfn.XLOOKUP(Code!$U65&amp;ROW()-43,Calculations_APPURT[Model]&amp;ROW('Discrete Loads'!L22),Hazards_APPURT[Ice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AH65" s="341" t="str" cm="1">
        <f t="array" ref="AH65">_xlfn.LET(
    _xlpm.model,        'Discrete Loads'!$B22,
    _xlpm.Shape,        'Discrete Loads'!$E22,
    _xlpm.Direction,    AH$46,
    _xlpm.Azimuth,      0,
    _xlpm.CaAa_Front,   _xlfn.XLOOKUP(Code!$U65&amp;ROW()-43,Calculations_APPURT[Model]&amp;ROW('Discrete Loads'!M22),Hazards_APPURT[Ice Front CaAa],0,0,1),
    _xlpm.CaAa_Side,    _xlfn.XLOOKUP(Code!$U65&amp;ROW()-43,Calculations_APPURT[Model]&amp;ROW('Discrete Loads'!M22),Hazards_APPURT[Ice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IF($U65="","",IF(_xlpm.Shape="CFD", _xlpm.CFD_val, _xlpm.CaAa_Front*COS(PI()/180*(_xlpm.Direction+_xlpm.Azimuth))^2 + _xlpm.CaAa_Side*SIN(PI()/180*(_xlpm.Direction+_xlpm.Azimuth))^2)))</f>
        <v/>
      </c>
      <c r="AI65" s="339" t="str">
        <f t="shared" si="3"/>
        <v/>
      </c>
      <c r="AJ65" s="363" t="str" cm="1">
        <f t="array" ref="AJ65">IF(U65="","",_xlfn.XLOOKUP($U65&amp;(ROW()-43),Calculations_APPURT[Model]&amp;ROW(Calculations_APPURT[Model]),Hazards_APPURT[qiz],"",0,1))</f>
        <v/>
      </c>
      <c r="AK65" s="366" t="str" cm="1">
        <f t="array" ref="AK65">IF(U65="","",_xlfn.XLOOKUP($U65&amp;(ROW()-43),Calculations_APPURT[Model]&amp;ROW(Calculations_APPURT[Model]),Hazards_APPURT[Ice Weight],"",0,1))</f>
        <v/>
      </c>
      <c r="AM65" s="462" t="str">
        <f>IFERROR(_xlfn.CONCAT("(",IF(Filter!AM24+Filter!AS24+Filter!AY24+Filter!BE24&gt;0,(Filter!AM24+Filter!AS24+Filter!AY24+Filter!BE24),""),") ",_xlfn._xlws.FILTER(Filter!AH24,Filter!AH24&lt;&gt;0)),"")</f>
        <v/>
      </c>
      <c r="AN65" s="462"/>
      <c r="AO65" s="462"/>
      <c r="AP65" s="327" t="str">
        <f>IF(AM65="","",z)</f>
        <v/>
      </c>
      <c r="AQ65" s="328" t="str">
        <f t="shared" si="2"/>
        <v/>
      </c>
      <c r="AR65" s="329" t="str">
        <f>IF(AM65="","",TRIM(SUBSTITUTE(_xlfn.TEXTJOIN(", ",TRUE,Filter!AL24,Filter!AR24,Filter!AX24,Filter!BD24),", 0","")))</f>
        <v/>
      </c>
      <c r="AS65" s="328" t="str" cm="1">
        <f t="array" ref="AS65">IF(AM65="","",_xlfn.TEXTJOIN(", ",TRUE,IF(BA65="","",ROUND(BA65*ConvertLength,1)),IF(BB65="","",ROUND(BB65*ConvertLength,1)),IF(BC65="","",ROUND(BC65*ConvertLength,1)),IF(BD65="","",ROUND(BD65*ConvertLength,1))))</f>
        <v/>
      </c>
      <c r="AT65" s="330" t="str" cm="1">
        <f t="array" ref="AT65">IFERROR(_xlfn.LET(
_xlpm.CaAa,   _xlfn.XLOOKUP(RIGHT(AM65, LEN(AM65)-4)&amp;ROW()-41,Calculations_APPURT[Model]&amp;ROW(Calculations_APPURT[Model]),Hazards_APPURT[Front CaAa],"",0,1),
_xlpm.qz,     _xlfn.XLOOKUP(RIGHT(AM65, LEN(AM65)-4)&amp;ROW()-41,Calculations_APPURT[Model]&amp;ROW(Calculations_APPURT[Model]),Hazards_APPURT[qz],"",0,1),
_xlpm.Ka,     0.9,
_xlpm.Kd,     _xlfn.XLOOKUP(RIGHT(AM65, LEN(AM65)-4)&amp;ROW()-41,Calculations_APPURT[Model]&amp;ROW(Calculations_APPURT[Model]),Hazards_APPURT[Kd],"",0,1),
_xlpm.Kes,    Kes.w,
_xlpm.CaAa*_xlpm.qz*_xlpm.Ka*_xlpm.Kd),"")</f>
        <v/>
      </c>
      <c r="AU65" s="330" t="str" cm="1">
        <f t="array" ref="AU65">IFERROR(_xlfn.LET(
_xlpm.CaAa,   _xlfn.XLOOKUP(RIGHT(AM65, LEN(AM65)-4)&amp;ROW()-41,Calculations_APPURT[Model]&amp;ROW(Calculations_APPURT[Model]),Hazards_APPURT[Side CaAa],"",0,1),
_xlpm.qz,     _xlfn.XLOOKUP(RIGHT(AM65, LEN(AM65)-4)&amp;ROW()-41,Calculations_APPURT[Model]&amp;ROW(Calculations_APPURT[Model]),Hazards_APPURT[qz],"",0,1),
_xlpm.Ka,     0.9,
_xlpm.Kd,     _xlfn.XLOOKUP(RIGHT(AM65, LEN(AM65)-4)&amp;ROW()-41,Calculations_APPURT[Model]&amp;ROW(Calculations_APPURT[Model]),Hazards_APPURT[Kd],"",0,1),
_xlpm.Kes,    Kes.w,
_xlpm.CaAa*_xlpm.qz*_xlpm.Ka*_xlpm.Kd),"")</f>
        <v/>
      </c>
      <c r="AW65" s="217" t="str">
        <f>IF(Filter!AN24=0,"",Filter!AN24)</f>
        <v/>
      </c>
      <c r="AX65" s="217" t="str">
        <f>IF(Filter!AT24=0,"",Filter!AT24)</f>
        <v/>
      </c>
      <c r="AY65" s="217" t="str">
        <f>IF(Filter!AZ24=0,"",Filter!AZ24)</f>
        <v/>
      </c>
      <c r="AZ65" s="217" t="str">
        <f>IF(Filter!BF24=0,"",Filter!BF24)</f>
        <v/>
      </c>
      <c r="BA65"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_xlfn.XLOOKUP(AW65, Geometry!$B:$B, Geometry!$M:$M, "", 0, 1),
_xlpm.Pj, _xlfn.XLOOKUP(AW65,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5"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_xlfn.XLOOKUP(AX65, Geometry!$B:$B, Geometry!$M:$M, "", 0, 1),
_xlpm.Pj, _xlfn.XLOOKUP(AX65,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5"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_xlfn.XLOOKUP(AY65, Geometry!$B:$B, Geometry!$M:$M, "", 0, 1),
_xlpm.Pj, _xlfn.XLOOKUP(AY65,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5"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_xlfn.XLOOKUP(AZ65, Geometry!$B:$B, Geometry!$M:$M, "", 0, 1),
_xlpm.Pj, _xlfn.XLOOKUP(AZ65,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5" s="261" t="str">
        <f>IF(AM65="","",z + Filter!BN24/12 + Filter!BJ24/2/12)</f>
        <v/>
      </c>
      <c r="BF65" s="261" t="str">
        <f>IF(AM65="","",z + Filter!BN24/12 - Filter!BJ24/2/12)</f>
        <v/>
      </c>
    </row>
    <row r="66" spans="1:64" ht="15" customHeight="1" x14ac:dyDescent="0.2">
      <c r="A66" s="411"/>
      <c r="B66" s="411"/>
      <c r="C66" s="411"/>
      <c r="D66" s="57"/>
      <c r="E66" s="57"/>
      <c r="F66" s="57"/>
      <c r="G66" s="447"/>
      <c r="H66" s="447"/>
      <c r="I66" s="447"/>
      <c r="K66" s="393" t="str">
        <f>IF(Results!U33="","",Results!U33)</f>
        <v/>
      </c>
      <c r="L66" s="393"/>
      <c r="M66" s="393" t="str">
        <f t="shared" si="4"/>
        <v/>
      </c>
      <c r="N66" s="393"/>
      <c r="O66" s="69" t="str" cm="1">
        <f t="array" ref="O66">IFERROR(IF(K66="","",IF(ResultsOption="Results - Envelope Solution",_xlfn.XLOOKUP(K66&amp;P66,Results!$S$4:$S$99999&amp;Results!$C$4:$C$99999,Results!$A$4:$A$99999),_xlfn.XLOOKUP(K66&amp;P66,#REF!&amp;#REF!,#REF!))),"N/A")</f>
        <v/>
      </c>
      <c r="P66" s="70" t="str">
        <f>IF(K66="","",IF(ResultsOption="Results - Envelope Solution",_xlfn.MAXIFS(Results!$C$3:$C$99999,Results!$S$3:$S$99999,K66),_xlfn.MAXIFS(#REF!,#REF!,K66)))</f>
        <v/>
      </c>
      <c r="Q66" s="69" t="str" cm="1">
        <f t="array" ref="Q66">IFERROR(IF(K66="","",IF(ResultsOption="Results - Envelope Solution",_xlfn.XLOOKUP(K66&amp;R66,Results!$S$4:$S$99999&amp;Results!$F$4:$F$99999,Results!$A$4:$A$99999),_xlfn.XLOOKUP(K66&amp;R66,#REF!&amp;#REF!,#REF!))),"N/A")</f>
        <v/>
      </c>
      <c r="R66" s="70" t="str">
        <f>IF(K66="","",IF(ResultsOption="Results - Envelope Solution",_xlfn.MAXIFS(Results!$F$3:$F$99999,Results!$S$3:$S$99999,K66),_xlfn.MAXIFS(#REF!,#REF!,K66)))</f>
        <v/>
      </c>
      <c r="S66" s="69" t="str">
        <f t="shared" si="1"/>
        <v/>
      </c>
      <c r="U66" s="386" t="str">
        <f>IF(ISBLANK('Discrete Loads'!B23),"",'Discrete Loads'!B23)</f>
        <v/>
      </c>
      <c r="V66" s="386"/>
      <c r="W66" s="342" t="str" cm="1">
        <f t="array" ref="W66">_xlfn.LET(
    _xlpm.model,        'Discrete Loads'!$B23,
    _xlpm.Shape,        'Discrete Loads'!$E23,
    _xlpm.Direction,    W$46,
    _xlpm.Azimuth,      0,
    _xlpm.CaAa_Front,   _xlfn.XLOOKUP(Code!$U66&amp;ROW()-43,Calculations_APPURT[Model]&amp;ROW('Discrete Loads'!B23),Hazards_APPURT[Ice Front CaAa],0,0,1),
    _xlpm.CaAa_Side,    _xlfn.XLOOKUP(Code!$U66&amp;ROW()-43,Calculations_APPURT[Model]&amp;ROW('Discrete Loads'!B23),Hazards_APPURT[Ice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X66" s="342" t="str" cm="1">
        <f t="array" ref="X66">_xlfn.LET(
    _xlpm.model,        'Discrete Loads'!$B23,
    _xlpm.Shape,        'Discrete Loads'!$E23,
    _xlpm.Direction,    X$46,
    _xlpm.Azimuth,      0,
    _xlpm.CaAa_Front,   _xlfn.XLOOKUP(Code!$U66&amp;ROW()-43,Calculations_APPURT[Model]&amp;ROW('Discrete Loads'!C23),Hazards_APPURT[Ice Front CaAa],0,0,1),
    _xlpm.CaAa_Side,    _xlfn.XLOOKUP(Code!$U66&amp;ROW()-43,Calculations_APPURT[Model]&amp;ROW('Discrete Loads'!C23),Hazards_APPURT[Ice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Y66" s="342" t="str" cm="1">
        <f t="array" ref="Y66">_xlfn.LET(
    _xlpm.model,        'Discrete Loads'!$B23,
    _xlpm.Shape,        'Discrete Loads'!$E23,
    _xlpm.Direction,    Y$46,
    _xlpm.Azimuth,      0,
    _xlpm.CaAa_Front,   _xlfn.XLOOKUP(Code!$U66&amp;ROW()-43,Calculations_APPURT[Model]&amp;ROW('Discrete Loads'!D23),Hazards_APPURT[Ice Front CaAa],0,0,1),
    _xlpm.CaAa_Side,    _xlfn.XLOOKUP(Code!$U66&amp;ROW()-43,Calculations_APPURT[Model]&amp;ROW('Discrete Loads'!D23),Hazards_APPURT[Ice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Z66" s="342" t="str" cm="1">
        <f t="array" ref="Z66">_xlfn.LET(
    _xlpm.model,        'Discrete Loads'!$B23,
    _xlpm.Shape,        'Discrete Loads'!$E23,
    _xlpm.Direction,    Z$46,
    _xlpm.Azimuth,      0,
    _xlpm.CaAa_Front,   _xlfn.XLOOKUP(Code!$U66&amp;ROW()-43,Calculations_APPURT[Model]&amp;ROW('Discrete Loads'!E23),Hazards_APPURT[Ice Front CaAa],0,0,1),
    _xlpm.CaAa_Side,    _xlfn.XLOOKUP(Code!$U66&amp;ROW()-43,Calculations_APPURT[Model]&amp;ROW('Discrete Loads'!E23),Hazards_APPURT[Ice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AA66" s="342" t="str" cm="1">
        <f t="array" ref="AA66">_xlfn.LET(
    _xlpm.model,        'Discrete Loads'!$B23,
    _xlpm.Shape,        'Discrete Loads'!$E23,
    _xlpm.Direction,    AA$46,
    _xlpm.Azimuth,      0,
    _xlpm.CaAa_Front,   _xlfn.XLOOKUP(Code!$U66&amp;ROW()-43,Calculations_APPURT[Model]&amp;ROW('Discrete Loads'!F23),Hazards_APPURT[Ice Front CaAa],0,0,1),
    _xlpm.CaAa_Side,    _xlfn.XLOOKUP(Code!$U66&amp;ROW()-43,Calculations_APPURT[Model]&amp;ROW('Discrete Loads'!F23),Hazards_APPURT[Ice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AB66" s="342" t="str" cm="1">
        <f t="array" ref="AB66">_xlfn.LET(
    _xlpm.model,        'Discrete Loads'!$B23,
    _xlpm.Shape,        'Discrete Loads'!$E23,
    _xlpm.Direction,    AB$46,
    _xlpm.Azimuth,      0,
    _xlpm.CaAa_Front,   _xlfn.XLOOKUP(Code!$U66&amp;ROW()-43,Calculations_APPURT[Model]&amp;ROW('Discrete Loads'!G23),Hazards_APPURT[Ice Front CaAa],0,0,1),
    _xlpm.CaAa_Side,    _xlfn.XLOOKUP(Code!$U66&amp;ROW()-43,Calculations_APPURT[Model]&amp;ROW('Discrete Loads'!G23),Hazards_APPURT[Ice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AC66" s="342" t="str" cm="1">
        <f t="array" ref="AC66">_xlfn.LET(
    _xlpm.model,        'Discrete Loads'!$B23,
    _xlpm.Shape,        'Discrete Loads'!$E23,
    _xlpm.Direction,    AC$46,
    _xlpm.Azimuth,      0,
    _xlpm.CaAa_Front,   _xlfn.XLOOKUP(Code!$U66&amp;ROW()-43,Calculations_APPURT[Model]&amp;ROW('Discrete Loads'!H23),Hazards_APPURT[Ice Front CaAa],0,0,1),
    _xlpm.CaAa_Side,    _xlfn.XLOOKUP(Code!$U66&amp;ROW()-43,Calculations_APPURT[Model]&amp;ROW('Discrete Loads'!H23),Hazards_APPURT[Ice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AD66" s="342" t="str" cm="1">
        <f t="array" ref="AD66">_xlfn.LET(
    _xlpm.model,        'Discrete Loads'!$B23,
    _xlpm.Shape,        'Discrete Loads'!$E23,
    _xlpm.Direction,    AD$46,
    _xlpm.Azimuth,      0,
    _xlpm.CaAa_Front,   _xlfn.XLOOKUP(Code!$U66&amp;ROW()-43,Calculations_APPURT[Model]&amp;ROW('Discrete Loads'!I23),Hazards_APPURT[Ice Front CaAa],0,0,1),
    _xlpm.CaAa_Side,    _xlfn.XLOOKUP(Code!$U66&amp;ROW()-43,Calculations_APPURT[Model]&amp;ROW('Discrete Loads'!I23),Hazards_APPURT[Ice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AE66" s="342" t="str" cm="1">
        <f t="array" ref="AE66">_xlfn.LET(
    _xlpm.model,        'Discrete Loads'!$B23,
    _xlpm.Shape,        'Discrete Loads'!$E23,
    _xlpm.Direction,    AE$46,
    _xlpm.Azimuth,      0,
    _xlpm.CaAa_Front,   _xlfn.XLOOKUP(Code!$U66&amp;ROW()-43,Calculations_APPURT[Model]&amp;ROW('Discrete Loads'!J23),Hazards_APPURT[Ice Front CaAa],0,0,1),
    _xlpm.CaAa_Side,    _xlfn.XLOOKUP(Code!$U66&amp;ROW()-43,Calculations_APPURT[Model]&amp;ROW('Discrete Loads'!J23),Hazards_APPURT[Ice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AF66" s="342" t="str" cm="1">
        <f t="array" ref="AF66">_xlfn.LET(
    _xlpm.model,        'Discrete Loads'!$B23,
    _xlpm.Shape,        'Discrete Loads'!$E23,
    _xlpm.Direction,    AF$46,
    _xlpm.Azimuth,      0,
    _xlpm.CaAa_Front,   _xlfn.XLOOKUP(Code!$U66&amp;ROW()-43,Calculations_APPURT[Model]&amp;ROW('Discrete Loads'!K23),Hazards_APPURT[Ice Front CaAa],0,0,1),
    _xlpm.CaAa_Side,    _xlfn.XLOOKUP(Code!$U66&amp;ROW()-43,Calculations_APPURT[Model]&amp;ROW('Discrete Loads'!K23),Hazards_APPURT[Ice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AG66" s="342" t="str" cm="1">
        <f t="array" ref="AG66">_xlfn.LET(
    _xlpm.model,        'Discrete Loads'!$B23,
    _xlpm.Shape,        'Discrete Loads'!$E23,
    _xlpm.Direction,    AG$46,
    _xlpm.Azimuth,      0,
    _xlpm.CaAa_Front,   _xlfn.XLOOKUP(Code!$U66&amp;ROW()-43,Calculations_APPURT[Model]&amp;ROW('Discrete Loads'!L23),Hazards_APPURT[Ice Front CaAa],0,0,1),
    _xlpm.CaAa_Side,    _xlfn.XLOOKUP(Code!$U66&amp;ROW()-43,Calculations_APPURT[Model]&amp;ROW('Discrete Loads'!L23),Hazards_APPURT[Ice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AH66" s="342" t="str" cm="1">
        <f t="array" ref="AH66">_xlfn.LET(
    _xlpm.model,        'Discrete Loads'!$B23,
    _xlpm.Shape,        'Discrete Loads'!$E23,
    _xlpm.Direction,    AH$46,
    _xlpm.Azimuth,      0,
    _xlpm.CaAa_Front,   _xlfn.XLOOKUP(Code!$U66&amp;ROW()-43,Calculations_APPURT[Model]&amp;ROW('Discrete Loads'!M23),Hazards_APPURT[Ice Front CaAa],0,0,1),
    _xlpm.CaAa_Side,    _xlfn.XLOOKUP(Code!$U66&amp;ROW()-43,Calculations_APPURT[Model]&amp;ROW('Discrete Loads'!M23),Hazards_APPURT[Ice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IF($U66="","",IF(_xlpm.Shape="CFD", _xlpm.CFD_val, _xlpm.CaAa_Front*COS(PI()/180*(_xlpm.Direction+_xlpm.Azimuth))^2 + _xlpm.CaAa_Side*SIN(PI()/180*(_xlpm.Direction+_xlpm.Azimuth))^2)))</f>
        <v/>
      </c>
      <c r="AI66" s="340" t="str">
        <f t="shared" si="3"/>
        <v/>
      </c>
      <c r="AJ66" s="364" t="str" cm="1">
        <f t="array" ref="AJ66">IF(U66="","",_xlfn.XLOOKUP($U66&amp;(ROW()-43),Calculations_APPURT[Model]&amp;ROW(Calculations_APPURT[Model]),Hazards_APPURT[qiz],"",0,1))</f>
        <v/>
      </c>
      <c r="AK66" s="367" t="str" cm="1">
        <f t="array" ref="AK66">IF(U66="","",_xlfn.XLOOKUP($U66&amp;(ROW()-43),Calculations_APPURT[Model]&amp;ROW(Calculations_APPURT[Model]),Hazards_APPURT[Ice Weight],"",0,1))</f>
        <v/>
      </c>
      <c r="AM66" s="461" t="str">
        <f>IFERROR(_xlfn.CONCAT("(",IF(Filter!AM25+Filter!AS25+Filter!AY25+Filter!BE25&gt;0,(Filter!AM25+Filter!AS25+Filter!AY25+Filter!BE25),""),") ",_xlfn._xlws.FILTER(Filter!AH25,Filter!AH25&lt;&gt;0)),"")</f>
        <v/>
      </c>
      <c r="AN66" s="461"/>
      <c r="AO66" s="461"/>
      <c r="AP66" s="301" t="str">
        <f>IF(AM66="","",z)</f>
        <v/>
      </c>
      <c r="AQ66" s="69" t="str">
        <f t="shared" si="2"/>
        <v/>
      </c>
      <c r="AR66" s="187" t="str">
        <f>IF(AM66="","",TRIM(SUBSTITUTE(_xlfn.TEXTJOIN(", ",TRUE,Filter!AL25,Filter!AR25,Filter!AX25,Filter!BD25),", 0","")))</f>
        <v/>
      </c>
      <c r="AS66" s="69" t="str" cm="1">
        <f t="array" ref="AS66">IF(AM66="","",_xlfn.TEXTJOIN(", ",TRUE,IF(BA66="","",ROUND(BA66*ConvertLength,1)),IF(BB66="","",ROUND(BB66*ConvertLength,1)),IF(BC66="","",ROUND(BC66*ConvertLength,1)),IF(BD66="","",ROUND(BD66*ConvertLength,1))))</f>
        <v/>
      </c>
      <c r="AT66" s="302" t="str" cm="1">
        <f t="array" ref="AT66">IFERROR(_xlfn.LET(
_xlpm.CaAa,   _xlfn.XLOOKUP(RIGHT(AM66, LEN(AM66)-4)&amp;ROW()-41,Calculations_APPURT[Model]&amp;ROW(Calculations_APPURT[Model]),Hazards_APPURT[Front CaAa],"",0,1),
_xlpm.qz,     _xlfn.XLOOKUP(RIGHT(AM66, LEN(AM66)-4)&amp;ROW()-41,Calculations_APPURT[Model]&amp;ROW(Calculations_APPURT[Model]),Hazards_APPURT[qz],"",0,1),
_xlpm.Ka,     0.9,
_xlpm.Kd,     _xlfn.XLOOKUP(RIGHT(AM66, LEN(AM66)-4)&amp;ROW()-41,Calculations_APPURT[Model]&amp;ROW(Calculations_APPURT[Model]),Hazards_APPURT[Kd],"",0,1),
_xlpm.Kes,    Kes.w,
_xlpm.CaAa*_xlpm.qz*_xlpm.Ka*_xlpm.Kd),"")</f>
        <v/>
      </c>
      <c r="AU66" s="302" t="str" cm="1">
        <f t="array" ref="AU66">IFERROR(_xlfn.LET(
_xlpm.CaAa,   _xlfn.XLOOKUP(RIGHT(AM66, LEN(AM66)-4)&amp;ROW()-41,Calculations_APPURT[Model]&amp;ROW(Calculations_APPURT[Model]),Hazards_APPURT[Side CaAa],"",0,1),
_xlpm.qz,     _xlfn.XLOOKUP(RIGHT(AM66, LEN(AM66)-4)&amp;ROW()-41,Calculations_APPURT[Model]&amp;ROW(Calculations_APPURT[Model]),Hazards_APPURT[qz],"",0,1),
_xlpm.Ka,     0.9,
_xlpm.Kd,     _xlfn.XLOOKUP(RIGHT(AM66, LEN(AM66)-4)&amp;ROW()-41,Calculations_APPURT[Model]&amp;ROW(Calculations_APPURT[Model]),Hazards_APPURT[Kd],"",0,1),
_xlpm.Kes,    Kes.w,
_xlpm.CaAa*_xlpm.qz*_xlpm.Ka*_xlpm.Kd),"")</f>
        <v/>
      </c>
      <c r="AW66" s="217" t="str">
        <f>IF(Filter!AN25=0,"",Filter!AN25)</f>
        <v/>
      </c>
      <c r="AX66" s="217" t="str">
        <f>IF(Filter!AT25=0,"",Filter!AT25)</f>
        <v/>
      </c>
      <c r="AY66" s="217" t="str">
        <f>IF(Filter!AZ25=0,"",Filter!AZ25)</f>
        <v/>
      </c>
      <c r="AZ66" s="217" t="str">
        <f>IF(Filter!BF25=0,"",Filter!BF25)</f>
        <v/>
      </c>
      <c r="BA66"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_xlfn.XLOOKUP(AW66, Geometry!$B:$B, Geometry!$M:$M, "", 0, 1),
_xlpm.Pj, _xlfn.XLOOKUP(AW66,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6"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_xlfn.XLOOKUP(AX66, Geometry!$B:$B, Geometry!$M:$M, "", 0, 1),
_xlpm.Pj, _xlfn.XLOOKUP(AX66,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6"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_xlfn.XLOOKUP(AY66, Geometry!$B:$B, Geometry!$M:$M, "", 0, 1),
_xlpm.Pj, _xlfn.XLOOKUP(AY66,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6"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_xlfn.XLOOKUP(AZ66, Geometry!$B:$B, Geometry!$M:$M, "", 0, 1),
_xlpm.Pj, _xlfn.XLOOKUP(AZ66,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6" s="261" t="str">
        <f>IF(AM66="","",z + Filter!BN25/12 + Filter!BJ25/2/12)</f>
        <v/>
      </c>
      <c r="BF66" s="261" t="str">
        <f>IF(AM66="","",z + Filter!BN25/12 - Filter!BJ25/2/12)</f>
        <v/>
      </c>
    </row>
    <row r="67" spans="1:64" ht="15" customHeight="1" x14ac:dyDescent="0.2">
      <c r="A67" s="411"/>
      <c r="B67" s="411"/>
      <c r="C67" s="411"/>
      <c r="D67" s="57"/>
      <c r="E67" s="57"/>
      <c r="F67" s="57"/>
      <c r="G67" s="447"/>
      <c r="H67" s="447"/>
      <c r="I67" s="447"/>
      <c r="K67" s="391" t="str">
        <f>IF(Results!U34="","",Results!U34)</f>
        <v/>
      </c>
      <c r="L67" s="391"/>
      <c r="M67" s="391" t="str">
        <f t="shared" si="4"/>
        <v/>
      </c>
      <c r="N67" s="391"/>
      <c r="O67" s="318" t="str" cm="1">
        <f t="array" ref="O67">IFERROR(IF(K67="","",IF(ResultsOption="Results - Envelope Solution",_xlfn.XLOOKUP(K67&amp;P67,Results!$S$4:$S$99999&amp;Results!$C$4:$C$99999,Results!$A$4:$A$99999),_xlfn.XLOOKUP(K67&amp;P67,#REF!&amp;#REF!,#REF!))),"N/A")</f>
        <v/>
      </c>
      <c r="P67" s="323" t="str">
        <f>IF(K67="","",IF(ResultsOption="Results - Envelope Solution",_xlfn.MAXIFS(Results!$C$3:$C$99999,Results!$S$3:$S$99999,K67),_xlfn.MAXIFS(#REF!,#REF!,K67)))</f>
        <v/>
      </c>
      <c r="Q67" s="318" t="str" cm="1">
        <f t="array" ref="Q67">IFERROR(IF(K67="","",IF(ResultsOption="Results - Envelope Solution",_xlfn.XLOOKUP(K67&amp;R67,Results!$S$4:$S$99999&amp;Results!$F$4:$F$99999,Results!$A$4:$A$99999),_xlfn.XLOOKUP(K67&amp;R67,#REF!&amp;#REF!,#REF!))),"N/A")</f>
        <v/>
      </c>
      <c r="R67" s="323" t="str">
        <f>IF(K67="","",IF(ResultsOption="Results - Envelope Solution",_xlfn.MAXIFS(Results!$F$3:$F$99999,Results!$S$3:$S$99999,K67),_xlfn.MAXIFS(#REF!,#REF!,K67)))</f>
        <v/>
      </c>
      <c r="S67" s="318" t="str">
        <f t="shared" si="1"/>
        <v/>
      </c>
      <c r="U67" s="474" t="str">
        <f>IF(ISBLANK('Discrete Loads'!B24),"",'Discrete Loads'!B24)</f>
        <v/>
      </c>
      <c r="V67" s="474"/>
      <c r="W67" s="341" t="str" cm="1">
        <f t="array" ref="W67">_xlfn.LET(
    _xlpm.model,        'Discrete Loads'!$B24,
    _xlpm.Shape,        'Discrete Loads'!$E24,
    _xlpm.Direction,    W$46,
    _xlpm.Azimuth,      0,
    _xlpm.CaAa_Front,   _xlfn.XLOOKUP(Code!$U67&amp;ROW()-43,Calculations_APPURT[Model]&amp;ROW('Discrete Loads'!B24),Hazards_APPURT[Ice Front CaAa],0,0,1),
    _xlpm.CaAa_Side,    _xlfn.XLOOKUP(Code!$U67&amp;ROW()-43,Calculations_APPURT[Model]&amp;ROW('Discrete Loads'!B24),Hazards_APPURT[Ice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X67" s="341" t="str" cm="1">
        <f t="array" ref="X67">_xlfn.LET(
    _xlpm.model,        'Discrete Loads'!$B24,
    _xlpm.Shape,        'Discrete Loads'!$E24,
    _xlpm.Direction,    X$46,
    _xlpm.Azimuth,      0,
    _xlpm.CaAa_Front,   _xlfn.XLOOKUP(Code!$U67&amp;ROW()-43,Calculations_APPURT[Model]&amp;ROW('Discrete Loads'!C24),Hazards_APPURT[Ice Front CaAa],0,0,1),
    _xlpm.CaAa_Side,    _xlfn.XLOOKUP(Code!$U67&amp;ROW()-43,Calculations_APPURT[Model]&amp;ROW('Discrete Loads'!C24),Hazards_APPURT[Ice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Y67" s="341" t="str" cm="1">
        <f t="array" ref="Y67">_xlfn.LET(
    _xlpm.model,        'Discrete Loads'!$B24,
    _xlpm.Shape,        'Discrete Loads'!$E24,
    _xlpm.Direction,    Y$46,
    _xlpm.Azimuth,      0,
    _xlpm.CaAa_Front,   _xlfn.XLOOKUP(Code!$U67&amp;ROW()-43,Calculations_APPURT[Model]&amp;ROW('Discrete Loads'!D24),Hazards_APPURT[Ice Front CaAa],0,0,1),
    _xlpm.CaAa_Side,    _xlfn.XLOOKUP(Code!$U67&amp;ROW()-43,Calculations_APPURT[Model]&amp;ROW('Discrete Loads'!D24),Hazards_APPURT[Ice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Z67" s="341" t="str" cm="1">
        <f t="array" ref="Z67">_xlfn.LET(
    _xlpm.model,        'Discrete Loads'!$B24,
    _xlpm.Shape,        'Discrete Loads'!$E24,
    _xlpm.Direction,    Z$46,
    _xlpm.Azimuth,      0,
    _xlpm.CaAa_Front,   _xlfn.XLOOKUP(Code!$U67&amp;ROW()-43,Calculations_APPURT[Model]&amp;ROW('Discrete Loads'!E24),Hazards_APPURT[Ice Front CaAa],0,0,1),
    _xlpm.CaAa_Side,    _xlfn.XLOOKUP(Code!$U67&amp;ROW()-43,Calculations_APPURT[Model]&amp;ROW('Discrete Loads'!E24),Hazards_APPURT[Ice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AA67" s="341" t="str" cm="1">
        <f t="array" ref="AA67">_xlfn.LET(
    _xlpm.model,        'Discrete Loads'!$B24,
    _xlpm.Shape,        'Discrete Loads'!$E24,
    _xlpm.Direction,    AA$46,
    _xlpm.Azimuth,      0,
    _xlpm.CaAa_Front,   _xlfn.XLOOKUP(Code!$U67&amp;ROW()-43,Calculations_APPURT[Model]&amp;ROW('Discrete Loads'!F24),Hazards_APPURT[Ice Front CaAa],0,0,1),
    _xlpm.CaAa_Side,    _xlfn.XLOOKUP(Code!$U67&amp;ROW()-43,Calculations_APPURT[Model]&amp;ROW('Discrete Loads'!F24),Hazards_APPURT[Ice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AB67" s="341" t="str" cm="1">
        <f t="array" ref="AB67">_xlfn.LET(
    _xlpm.model,        'Discrete Loads'!$B24,
    _xlpm.Shape,        'Discrete Loads'!$E24,
    _xlpm.Direction,    AB$46,
    _xlpm.Azimuth,      0,
    _xlpm.CaAa_Front,   _xlfn.XLOOKUP(Code!$U67&amp;ROW()-43,Calculations_APPURT[Model]&amp;ROW('Discrete Loads'!G24),Hazards_APPURT[Ice Front CaAa],0,0,1),
    _xlpm.CaAa_Side,    _xlfn.XLOOKUP(Code!$U67&amp;ROW()-43,Calculations_APPURT[Model]&amp;ROW('Discrete Loads'!G24),Hazards_APPURT[Ice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AC67" s="341" t="str" cm="1">
        <f t="array" ref="AC67">_xlfn.LET(
    _xlpm.model,        'Discrete Loads'!$B24,
    _xlpm.Shape,        'Discrete Loads'!$E24,
    _xlpm.Direction,    AC$46,
    _xlpm.Azimuth,      0,
    _xlpm.CaAa_Front,   _xlfn.XLOOKUP(Code!$U67&amp;ROW()-43,Calculations_APPURT[Model]&amp;ROW('Discrete Loads'!H24),Hazards_APPURT[Ice Front CaAa],0,0,1),
    _xlpm.CaAa_Side,    _xlfn.XLOOKUP(Code!$U67&amp;ROW()-43,Calculations_APPURT[Model]&amp;ROW('Discrete Loads'!H24),Hazards_APPURT[Ice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AD67" s="341" t="str" cm="1">
        <f t="array" ref="AD67">_xlfn.LET(
    _xlpm.model,        'Discrete Loads'!$B24,
    _xlpm.Shape,        'Discrete Loads'!$E24,
    _xlpm.Direction,    AD$46,
    _xlpm.Azimuth,      0,
    _xlpm.CaAa_Front,   _xlfn.XLOOKUP(Code!$U67&amp;ROW()-43,Calculations_APPURT[Model]&amp;ROW('Discrete Loads'!I24),Hazards_APPURT[Ice Front CaAa],0,0,1),
    _xlpm.CaAa_Side,    _xlfn.XLOOKUP(Code!$U67&amp;ROW()-43,Calculations_APPURT[Model]&amp;ROW('Discrete Loads'!I24),Hazards_APPURT[Ice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AE67" s="341" t="str" cm="1">
        <f t="array" ref="AE67">_xlfn.LET(
    _xlpm.model,        'Discrete Loads'!$B24,
    _xlpm.Shape,        'Discrete Loads'!$E24,
    _xlpm.Direction,    AE$46,
    _xlpm.Azimuth,      0,
    _xlpm.CaAa_Front,   _xlfn.XLOOKUP(Code!$U67&amp;ROW()-43,Calculations_APPURT[Model]&amp;ROW('Discrete Loads'!J24),Hazards_APPURT[Ice Front CaAa],0,0,1),
    _xlpm.CaAa_Side,    _xlfn.XLOOKUP(Code!$U67&amp;ROW()-43,Calculations_APPURT[Model]&amp;ROW('Discrete Loads'!J24),Hazards_APPURT[Ice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AF67" s="341" t="str" cm="1">
        <f t="array" ref="AF67">_xlfn.LET(
    _xlpm.model,        'Discrete Loads'!$B24,
    _xlpm.Shape,        'Discrete Loads'!$E24,
    _xlpm.Direction,    AF$46,
    _xlpm.Azimuth,      0,
    _xlpm.CaAa_Front,   _xlfn.XLOOKUP(Code!$U67&amp;ROW()-43,Calculations_APPURT[Model]&amp;ROW('Discrete Loads'!K24),Hazards_APPURT[Ice Front CaAa],0,0,1),
    _xlpm.CaAa_Side,    _xlfn.XLOOKUP(Code!$U67&amp;ROW()-43,Calculations_APPURT[Model]&amp;ROW('Discrete Loads'!K24),Hazards_APPURT[Ice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AG67" s="341" t="str" cm="1">
        <f t="array" ref="AG67">_xlfn.LET(
    _xlpm.model,        'Discrete Loads'!$B24,
    _xlpm.Shape,        'Discrete Loads'!$E24,
    _xlpm.Direction,    AG$46,
    _xlpm.Azimuth,      0,
    _xlpm.CaAa_Front,   _xlfn.XLOOKUP(Code!$U67&amp;ROW()-43,Calculations_APPURT[Model]&amp;ROW('Discrete Loads'!L24),Hazards_APPURT[Ice Front CaAa],0,0,1),
    _xlpm.CaAa_Side,    _xlfn.XLOOKUP(Code!$U67&amp;ROW()-43,Calculations_APPURT[Model]&amp;ROW('Discrete Loads'!L24),Hazards_APPURT[Ice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AH67" s="341" t="str" cm="1">
        <f t="array" ref="AH67">_xlfn.LET(
    _xlpm.model,        'Discrete Loads'!$B24,
    _xlpm.Shape,        'Discrete Loads'!$E24,
    _xlpm.Direction,    AH$46,
    _xlpm.Azimuth,      0,
    _xlpm.CaAa_Front,   _xlfn.XLOOKUP(Code!$U67&amp;ROW()-43,Calculations_APPURT[Model]&amp;ROW('Discrete Loads'!M24),Hazards_APPURT[Ice Front CaAa],0,0,1),
    _xlpm.CaAa_Side,    _xlfn.XLOOKUP(Code!$U67&amp;ROW()-43,Calculations_APPURT[Model]&amp;ROW('Discrete Loads'!M24),Hazards_APPURT[Ice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IF($U67="","",IF(_xlpm.Shape="CFD", _xlpm.CFD_val, _xlpm.CaAa_Front*COS(PI()/180*(_xlpm.Direction+_xlpm.Azimuth))^2 + _xlpm.CaAa_Side*SIN(PI()/180*(_xlpm.Direction+_xlpm.Azimuth))^2)))</f>
        <v/>
      </c>
      <c r="AI67" s="339" t="str">
        <f t="shared" si="3"/>
        <v/>
      </c>
      <c r="AJ67" s="363" t="str" cm="1">
        <f t="array" ref="AJ67">IF(U67="","",_xlfn.XLOOKUP($U67&amp;(ROW()-43),Calculations_APPURT[Model]&amp;ROW(Calculations_APPURT[Model]),Hazards_APPURT[qiz],"",0,1))</f>
        <v/>
      </c>
      <c r="AK67" s="366" t="str" cm="1">
        <f t="array" ref="AK67">IF(U67="","",_xlfn.XLOOKUP($U67&amp;(ROW()-43),Calculations_APPURT[Model]&amp;ROW(Calculations_APPURT[Model]),Hazards_APPURT[Ice Weight],"",0,1))</f>
        <v/>
      </c>
      <c r="AM67" s="462" t="str">
        <f>IFERROR(_xlfn.CONCAT("(",IF(Filter!AM26+Filter!AS26+Filter!AY26+Filter!BE26&gt;0,(Filter!AM26+Filter!AS26+Filter!AY26+Filter!BE26),""),") ",_xlfn._xlws.FILTER(Filter!AH26,Filter!AH26&lt;&gt;0)),"")</f>
        <v/>
      </c>
      <c r="AN67" s="462"/>
      <c r="AO67" s="462"/>
      <c r="AP67" s="327" t="str">
        <f>IF(AM67="","",z)</f>
        <v/>
      </c>
      <c r="AQ67" s="328" t="str">
        <f t="shared" si="2"/>
        <v/>
      </c>
      <c r="AR67" s="329" t="str">
        <f>IF(AM67="","",TRIM(SUBSTITUTE(_xlfn.TEXTJOIN(", ",TRUE,Filter!AL26,Filter!AR26,Filter!AX26,Filter!BD26),", 0","")))</f>
        <v/>
      </c>
      <c r="AS67" s="328" t="str" cm="1">
        <f t="array" ref="AS67">IF(AM67="","",_xlfn.TEXTJOIN(", ",TRUE,IF(BA67="","",ROUND(BA67*ConvertLength,1)),IF(BB67="","",ROUND(BB67*ConvertLength,1)),IF(BC67="","",ROUND(BC67*ConvertLength,1)),IF(BD67="","",ROUND(BD67*ConvertLength,1))))</f>
        <v/>
      </c>
      <c r="AT67" s="330" t="str" cm="1">
        <f t="array" ref="AT67">IFERROR(_xlfn.LET(
_xlpm.CaAa,   _xlfn.XLOOKUP(RIGHT(AM67, LEN(AM67)-4)&amp;ROW()-41,Calculations_APPURT[Model]&amp;ROW(Calculations_APPURT[Model]),Hazards_APPURT[Front CaAa],"",0,1),
_xlpm.qz,     _xlfn.XLOOKUP(RIGHT(AM67, LEN(AM67)-4)&amp;ROW()-41,Calculations_APPURT[Model]&amp;ROW(Calculations_APPURT[Model]),Hazards_APPURT[qz],"",0,1),
_xlpm.Ka,     0.9,
_xlpm.Kd,     _xlfn.XLOOKUP(RIGHT(AM67, LEN(AM67)-4)&amp;ROW()-41,Calculations_APPURT[Model]&amp;ROW(Calculations_APPURT[Model]),Hazards_APPURT[Kd],"",0,1),
_xlpm.Kes,    Kes.w,
_xlpm.CaAa*_xlpm.qz*_xlpm.Ka*_xlpm.Kd),"")</f>
        <v/>
      </c>
      <c r="AU67" s="330" t="str" cm="1">
        <f t="array" ref="AU67">IFERROR(_xlfn.LET(
_xlpm.CaAa,   _xlfn.XLOOKUP(RIGHT(AM67, LEN(AM67)-4)&amp;ROW()-41,Calculations_APPURT[Model]&amp;ROW(Calculations_APPURT[Model]),Hazards_APPURT[Side CaAa],"",0,1),
_xlpm.qz,     _xlfn.XLOOKUP(RIGHT(AM67, LEN(AM67)-4)&amp;ROW()-41,Calculations_APPURT[Model]&amp;ROW(Calculations_APPURT[Model]),Hazards_APPURT[qz],"",0,1),
_xlpm.Ka,     0.9,
_xlpm.Kd,     _xlfn.XLOOKUP(RIGHT(AM67, LEN(AM67)-4)&amp;ROW()-41,Calculations_APPURT[Model]&amp;ROW(Calculations_APPURT[Model]),Hazards_APPURT[Kd],"",0,1),
_xlpm.Kes,    Kes.w,
_xlpm.CaAa*_xlpm.qz*_xlpm.Ka*_xlpm.Kd),"")</f>
        <v/>
      </c>
      <c r="AW67" s="217" t="str">
        <f>IF(Filter!AN26=0,"",Filter!AN26)</f>
        <v/>
      </c>
      <c r="AX67" s="217" t="str">
        <f>IF(Filter!AT26=0,"",Filter!AT26)</f>
        <v/>
      </c>
      <c r="AY67" s="217" t="str">
        <f>IF(Filter!AZ26=0,"",Filter!AZ26)</f>
        <v/>
      </c>
      <c r="AZ67" s="217" t="str">
        <f>IF(Filter!BF26=0,"",Filter!BF26)</f>
        <v/>
      </c>
      <c r="BA67"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_xlfn.XLOOKUP(AW67, Geometry!$B:$B, Geometry!$M:$M, "", 0, 1),
_xlpm.Pj, _xlfn.XLOOKUP(AW67,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7"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_xlfn.XLOOKUP(AX67, Geometry!$B:$B, Geometry!$M:$M, "", 0, 1),
_xlpm.Pj, _xlfn.XLOOKUP(AX67,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7"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_xlfn.XLOOKUP(AY67, Geometry!$B:$B, Geometry!$M:$M, "", 0, 1),
_xlpm.Pj, _xlfn.XLOOKUP(AY67,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7"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_xlfn.XLOOKUP(AZ67, Geometry!$B:$B, Geometry!$M:$M, "", 0, 1),
_xlpm.Pj, _xlfn.XLOOKUP(AZ67,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7" s="261" t="str">
        <f>IF(AM67="","",z + Filter!BN26/12 + Filter!BJ26/2/12)</f>
        <v/>
      </c>
      <c r="BF67" s="261" t="str">
        <f>IF(AM67="","",z + Filter!BN26/12 - Filter!BJ26/2/12)</f>
        <v/>
      </c>
    </row>
    <row r="68" spans="1:64" ht="15" customHeight="1" x14ac:dyDescent="0.2">
      <c r="A68" s="411"/>
      <c r="B68" s="411"/>
      <c r="C68" s="411"/>
      <c r="D68" s="57"/>
      <c r="E68" s="57"/>
      <c r="F68" s="57"/>
      <c r="G68" s="447"/>
      <c r="H68" s="447"/>
      <c r="I68" s="447"/>
      <c r="K68" s="393" t="str">
        <f>IF(Results!U35="","",Results!U35)</f>
        <v/>
      </c>
      <c r="L68" s="393"/>
      <c r="M68" s="393" t="str">
        <f t="shared" si="4"/>
        <v/>
      </c>
      <c r="N68" s="393"/>
      <c r="O68" s="69" t="str" cm="1">
        <f t="array" ref="O68">IFERROR(IF(K68="","",IF(ResultsOption="Results - Envelope Solution",_xlfn.XLOOKUP(K68&amp;P68,Results!$S$4:$S$99999&amp;Results!$C$4:$C$99999,Results!$A$4:$A$99999),_xlfn.XLOOKUP(K68&amp;P68,#REF!&amp;#REF!,#REF!))),"N/A")</f>
        <v/>
      </c>
      <c r="P68" s="70" t="str">
        <f>IF(K68="","",IF(ResultsOption="Results - Envelope Solution",_xlfn.MAXIFS(Results!$C$3:$C$99999,Results!$S$3:$S$99999,K68),_xlfn.MAXIFS(#REF!,#REF!,K68)))</f>
        <v/>
      </c>
      <c r="Q68" s="69" t="str" cm="1">
        <f t="array" ref="Q68">IFERROR(IF(K68="","",IF(ResultsOption="Results - Envelope Solution",_xlfn.XLOOKUP(K68&amp;R68,Results!$S$4:$S$99999&amp;Results!$F$4:$F$99999,Results!$A$4:$A$99999),_xlfn.XLOOKUP(K68&amp;R68,#REF!&amp;#REF!,#REF!))),"N/A")</f>
        <v/>
      </c>
      <c r="R68" s="70" t="str">
        <f>IF(K68="","",IF(ResultsOption="Results - Envelope Solution",_xlfn.MAXIFS(Results!$F$3:$F$99999,Results!$S$3:$S$99999,K68),_xlfn.MAXIFS(#REF!,#REF!,K68)))</f>
        <v/>
      </c>
      <c r="S68" s="69" t="str">
        <f t="shared" si="1"/>
        <v/>
      </c>
      <c r="U68" s="386" t="str">
        <f>IF(ISBLANK('Discrete Loads'!B25),"",'Discrete Loads'!B25)</f>
        <v/>
      </c>
      <c r="V68" s="386"/>
      <c r="W68" s="342" t="str" cm="1">
        <f t="array" ref="W68">_xlfn.LET(
    _xlpm.model,        'Discrete Loads'!$B25,
    _xlpm.Shape,        'Discrete Loads'!$E25,
    _xlpm.Direction,    W$46,
    _xlpm.Azimuth,      0,
    _xlpm.CaAa_Front,   _xlfn.XLOOKUP(Code!$U68&amp;ROW()-43,Calculations_APPURT[Model]&amp;ROW('Discrete Loads'!B25),Hazards_APPURT[Ice Front CaAa],0,0,1),
    _xlpm.CaAa_Side,    _xlfn.XLOOKUP(Code!$U68&amp;ROW()-43,Calculations_APPURT[Model]&amp;ROW('Discrete Loads'!B25),Hazards_APPURT[Ice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X68" s="342" t="str" cm="1">
        <f t="array" ref="X68">_xlfn.LET(
    _xlpm.model,        'Discrete Loads'!$B25,
    _xlpm.Shape,        'Discrete Loads'!$E25,
    _xlpm.Direction,    X$46,
    _xlpm.Azimuth,      0,
    _xlpm.CaAa_Front,   _xlfn.XLOOKUP(Code!$U68&amp;ROW()-43,Calculations_APPURT[Model]&amp;ROW('Discrete Loads'!C25),Hazards_APPURT[Ice Front CaAa],0,0,1),
    _xlpm.CaAa_Side,    _xlfn.XLOOKUP(Code!$U68&amp;ROW()-43,Calculations_APPURT[Model]&amp;ROW('Discrete Loads'!C25),Hazards_APPURT[Ice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Y68" s="342" t="str" cm="1">
        <f t="array" ref="Y68">_xlfn.LET(
    _xlpm.model,        'Discrete Loads'!$B25,
    _xlpm.Shape,        'Discrete Loads'!$E25,
    _xlpm.Direction,    Y$46,
    _xlpm.Azimuth,      0,
    _xlpm.CaAa_Front,   _xlfn.XLOOKUP(Code!$U68&amp;ROW()-43,Calculations_APPURT[Model]&amp;ROW('Discrete Loads'!D25),Hazards_APPURT[Ice Front CaAa],0,0,1),
    _xlpm.CaAa_Side,    _xlfn.XLOOKUP(Code!$U68&amp;ROW()-43,Calculations_APPURT[Model]&amp;ROW('Discrete Loads'!D25),Hazards_APPURT[Ice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Z68" s="342" t="str" cm="1">
        <f t="array" ref="Z68">_xlfn.LET(
    _xlpm.model,        'Discrete Loads'!$B25,
    _xlpm.Shape,        'Discrete Loads'!$E25,
    _xlpm.Direction,    Z$46,
    _xlpm.Azimuth,      0,
    _xlpm.CaAa_Front,   _xlfn.XLOOKUP(Code!$U68&amp;ROW()-43,Calculations_APPURT[Model]&amp;ROW('Discrete Loads'!E25),Hazards_APPURT[Ice Front CaAa],0,0,1),
    _xlpm.CaAa_Side,    _xlfn.XLOOKUP(Code!$U68&amp;ROW()-43,Calculations_APPURT[Model]&amp;ROW('Discrete Loads'!E25),Hazards_APPURT[Ice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AA68" s="342" t="str" cm="1">
        <f t="array" ref="AA68">_xlfn.LET(
    _xlpm.model,        'Discrete Loads'!$B25,
    _xlpm.Shape,        'Discrete Loads'!$E25,
    _xlpm.Direction,    AA$46,
    _xlpm.Azimuth,      0,
    _xlpm.CaAa_Front,   _xlfn.XLOOKUP(Code!$U68&amp;ROW()-43,Calculations_APPURT[Model]&amp;ROW('Discrete Loads'!F25),Hazards_APPURT[Ice Front CaAa],0,0,1),
    _xlpm.CaAa_Side,    _xlfn.XLOOKUP(Code!$U68&amp;ROW()-43,Calculations_APPURT[Model]&amp;ROW('Discrete Loads'!F25),Hazards_APPURT[Ice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AB68" s="342" t="str" cm="1">
        <f t="array" ref="AB68">_xlfn.LET(
    _xlpm.model,        'Discrete Loads'!$B25,
    _xlpm.Shape,        'Discrete Loads'!$E25,
    _xlpm.Direction,    AB$46,
    _xlpm.Azimuth,      0,
    _xlpm.CaAa_Front,   _xlfn.XLOOKUP(Code!$U68&amp;ROW()-43,Calculations_APPURT[Model]&amp;ROW('Discrete Loads'!G25),Hazards_APPURT[Ice Front CaAa],0,0,1),
    _xlpm.CaAa_Side,    _xlfn.XLOOKUP(Code!$U68&amp;ROW()-43,Calculations_APPURT[Model]&amp;ROW('Discrete Loads'!G25),Hazards_APPURT[Ice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AC68" s="342" t="str" cm="1">
        <f t="array" ref="AC68">_xlfn.LET(
    _xlpm.model,        'Discrete Loads'!$B25,
    _xlpm.Shape,        'Discrete Loads'!$E25,
    _xlpm.Direction,    AC$46,
    _xlpm.Azimuth,      0,
    _xlpm.CaAa_Front,   _xlfn.XLOOKUP(Code!$U68&amp;ROW()-43,Calculations_APPURT[Model]&amp;ROW('Discrete Loads'!H25),Hazards_APPURT[Ice Front CaAa],0,0,1),
    _xlpm.CaAa_Side,    _xlfn.XLOOKUP(Code!$U68&amp;ROW()-43,Calculations_APPURT[Model]&amp;ROW('Discrete Loads'!H25),Hazards_APPURT[Ice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AD68" s="342" t="str" cm="1">
        <f t="array" ref="AD68">_xlfn.LET(
    _xlpm.model,        'Discrete Loads'!$B25,
    _xlpm.Shape,        'Discrete Loads'!$E25,
    _xlpm.Direction,    AD$46,
    _xlpm.Azimuth,      0,
    _xlpm.CaAa_Front,   _xlfn.XLOOKUP(Code!$U68&amp;ROW()-43,Calculations_APPURT[Model]&amp;ROW('Discrete Loads'!I25),Hazards_APPURT[Ice Front CaAa],0,0,1),
    _xlpm.CaAa_Side,    _xlfn.XLOOKUP(Code!$U68&amp;ROW()-43,Calculations_APPURT[Model]&amp;ROW('Discrete Loads'!I25),Hazards_APPURT[Ice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AE68" s="342" t="str" cm="1">
        <f t="array" ref="AE68">_xlfn.LET(
    _xlpm.model,        'Discrete Loads'!$B25,
    _xlpm.Shape,        'Discrete Loads'!$E25,
    _xlpm.Direction,    AE$46,
    _xlpm.Azimuth,      0,
    _xlpm.CaAa_Front,   _xlfn.XLOOKUP(Code!$U68&amp;ROW()-43,Calculations_APPURT[Model]&amp;ROW('Discrete Loads'!J25),Hazards_APPURT[Ice Front CaAa],0,0,1),
    _xlpm.CaAa_Side,    _xlfn.XLOOKUP(Code!$U68&amp;ROW()-43,Calculations_APPURT[Model]&amp;ROW('Discrete Loads'!J25),Hazards_APPURT[Ice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AF68" s="342" t="str" cm="1">
        <f t="array" ref="AF68">_xlfn.LET(
    _xlpm.model,        'Discrete Loads'!$B25,
    _xlpm.Shape,        'Discrete Loads'!$E25,
    _xlpm.Direction,    AF$46,
    _xlpm.Azimuth,      0,
    _xlpm.CaAa_Front,   _xlfn.XLOOKUP(Code!$U68&amp;ROW()-43,Calculations_APPURT[Model]&amp;ROW('Discrete Loads'!K25),Hazards_APPURT[Ice Front CaAa],0,0,1),
    _xlpm.CaAa_Side,    _xlfn.XLOOKUP(Code!$U68&amp;ROW()-43,Calculations_APPURT[Model]&amp;ROW('Discrete Loads'!K25),Hazards_APPURT[Ice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AG68" s="342" t="str" cm="1">
        <f t="array" ref="AG68">_xlfn.LET(
    _xlpm.model,        'Discrete Loads'!$B25,
    _xlpm.Shape,        'Discrete Loads'!$E25,
    _xlpm.Direction,    AG$46,
    _xlpm.Azimuth,      0,
    _xlpm.CaAa_Front,   _xlfn.XLOOKUP(Code!$U68&amp;ROW()-43,Calculations_APPURT[Model]&amp;ROW('Discrete Loads'!L25),Hazards_APPURT[Ice Front CaAa],0,0,1),
    _xlpm.CaAa_Side,    _xlfn.XLOOKUP(Code!$U68&amp;ROW()-43,Calculations_APPURT[Model]&amp;ROW('Discrete Loads'!L25),Hazards_APPURT[Ice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AH68" s="342" t="str" cm="1">
        <f t="array" ref="AH68">_xlfn.LET(
    _xlpm.model,        'Discrete Loads'!$B25,
    _xlpm.Shape,        'Discrete Loads'!$E25,
    _xlpm.Direction,    AH$46,
    _xlpm.Azimuth,      0,
    _xlpm.CaAa_Front,   _xlfn.XLOOKUP(Code!$U68&amp;ROW()-43,Calculations_APPURT[Model]&amp;ROW('Discrete Loads'!M25),Hazards_APPURT[Ice Front CaAa],0,0,1),
    _xlpm.CaAa_Side,    _xlfn.XLOOKUP(Code!$U68&amp;ROW()-43,Calculations_APPURT[Model]&amp;ROW('Discrete Loads'!M25),Hazards_APPURT[Ice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IF($U68="","",IF(_xlpm.Shape="CFD", _xlpm.CFD_val, _xlpm.CaAa_Front*COS(PI()/180*(_xlpm.Direction+_xlpm.Azimuth))^2 + _xlpm.CaAa_Side*SIN(PI()/180*(_xlpm.Direction+_xlpm.Azimuth))^2)))</f>
        <v/>
      </c>
      <c r="AI68" s="340" t="str">
        <f t="shared" si="3"/>
        <v/>
      </c>
      <c r="AJ68" s="364" t="str" cm="1">
        <f t="array" ref="AJ68">IF(U68="","",_xlfn.XLOOKUP($U68&amp;(ROW()-43),Calculations_APPURT[Model]&amp;ROW(Calculations_APPURT[Model]),Hazards_APPURT[qiz],"",0,1))</f>
        <v/>
      </c>
      <c r="AK68" s="367" t="str" cm="1">
        <f t="array" ref="AK68">IF(U68="","",_xlfn.XLOOKUP($U68&amp;(ROW()-43),Calculations_APPURT[Model]&amp;ROW(Calculations_APPURT[Model]),Hazards_APPURT[Ice Weight],"",0,1))</f>
        <v/>
      </c>
      <c r="AM68" s="461" t="str">
        <f>IFERROR(_xlfn.CONCAT("(",IF(Filter!AM27+Filter!AS27+Filter!AY27+Filter!BE27&gt;0,(Filter!AM27+Filter!AS27+Filter!AY27+Filter!BE27),""),") ",_xlfn._xlws.FILTER(Filter!AH27,Filter!AH27&lt;&gt;0)),"")</f>
        <v/>
      </c>
      <c r="AN68" s="461"/>
      <c r="AO68" s="461"/>
      <c r="AP68" s="301" t="str">
        <f>IF(AM68="","",z)</f>
        <v/>
      </c>
      <c r="AQ68" s="69" t="str">
        <f t="shared" si="2"/>
        <v/>
      </c>
      <c r="AR68" s="187" t="str">
        <f>IF(AM68="","",TRIM(SUBSTITUTE(_xlfn.TEXTJOIN(", ",TRUE,Filter!AL27,Filter!AR27,Filter!AX27,Filter!BD27),", 0","")))</f>
        <v/>
      </c>
      <c r="AS68" s="69" t="str" cm="1">
        <f t="array" ref="AS68">IF(AM68="","",_xlfn.TEXTJOIN(", ",TRUE,IF(BA68="","",ROUND(BA68*ConvertLength,1)),IF(BB68="","",ROUND(BB68*ConvertLength,1)),IF(BC68="","",ROUND(BC68*ConvertLength,1)),IF(BD68="","",ROUND(BD68*ConvertLength,1))))</f>
        <v/>
      </c>
      <c r="AT68" s="302" t="str" cm="1">
        <f t="array" ref="AT68">IFERROR(_xlfn.LET(
_xlpm.CaAa,   _xlfn.XLOOKUP(RIGHT(AM68, LEN(AM68)-4)&amp;ROW()-41,Calculations_APPURT[Model]&amp;ROW(Calculations_APPURT[Model]),Hazards_APPURT[Front CaAa],"",0,1),
_xlpm.qz,     _xlfn.XLOOKUP(RIGHT(AM68, LEN(AM68)-4)&amp;ROW()-41,Calculations_APPURT[Model]&amp;ROW(Calculations_APPURT[Model]),Hazards_APPURT[qz],"",0,1),
_xlpm.Ka,     0.9,
_xlpm.Kd,     _xlfn.XLOOKUP(RIGHT(AM68, LEN(AM68)-4)&amp;ROW()-41,Calculations_APPURT[Model]&amp;ROW(Calculations_APPURT[Model]),Hazards_APPURT[Kd],"",0,1),
_xlpm.Kes,    Kes.w,
_xlpm.CaAa*_xlpm.qz*_xlpm.Ka*_xlpm.Kd),"")</f>
        <v/>
      </c>
      <c r="AU68" s="302" t="str" cm="1">
        <f t="array" ref="AU68">IFERROR(_xlfn.LET(
_xlpm.CaAa,   _xlfn.XLOOKUP(RIGHT(AM68, LEN(AM68)-4)&amp;ROW()-41,Calculations_APPURT[Model]&amp;ROW(Calculations_APPURT[Model]),Hazards_APPURT[Side CaAa],"",0,1),
_xlpm.qz,     _xlfn.XLOOKUP(RIGHT(AM68, LEN(AM68)-4)&amp;ROW()-41,Calculations_APPURT[Model]&amp;ROW(Calculations_APPURT[Model]),Hazards_APPURT[qz],"",0,1),
_xlpm.Ka,     0.9,
_xlpm.Kd,     _xlfn.XLOOKUP(RIGHT(AM68, LEN(AM68)-4)&amp;ROW()-41,Calculations_APPURT[Model]&amp;ROW(Calculations_APPURT[Model]),Hazards_APPURT[Kd],"",0,1),
_xlpm.Kes,    Kes.w,
_xlpm.CaAa*_xlpm.qz*_xlpm.Ka*_xlpm.Kd),"")</f>
        <v/>
      </c>
      <c r="AW68" s="217" t="str">
        <f>IF(Filter!AN27=0,"",Filter!AN27)</f>
        <v/>
      </c>
      <c r="AX68" s="217" t="str">
        <f>IF(Filter!AT27=0,"",Filter!AT27)</f>
        <v/>
      </c>
      <c r="AY68" s="217" t="str">
        <f>IF(Filter!AZ27=0,"",Filter!AZ27)</f>
        <v/>
      </c>
      <c r="AZ68" s="217" t="str">
        <f>IF(Filter!BF27=0,"",Filter!BF27)</f>
        <v/>
      </c>
      <c r="BA68"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_xlfn.XLOOKUP(AW68, Geometry!$B:$B, Geometry!$M:$M, "", 0, 1),
_xlpm.Pj, _xlfn.XLOOKUP(AW68,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8"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_xlfn.XLOOKUP(AX68, Geometry!$B:$B, Geometry!$M:$M, "", 0, 1),
_xlpm.Pj, _xlfn.XLOOKUP(AX68,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8"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_xlfn.XLOOKUP(AY68, Geometry!$B:$B, Geometry!$M:$M, "", 0, 1),
_xlpm.Pj, _xlfn.XLOOKUP(AY68,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8"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_xlfn.XLOOKUP(AZ68, Geometry!$B:$B, Geometry!$M:$M, "", 0, 1),
_xlpm.Pj, _xlfn.XLOOKUP(AZ68,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8" s="261" t="str">
        <f>IF(AM68="","",z + Filter!BN27/12 + Filter!BJ27/2/12)</f>
        <v/>
      </c>
      <c r="BF68" s="261" t="str">
        <f>IF(AM68="","",z + Filter!BN27/12 - Filter!BJ27/2/12)</f>
        <v/>
      </c>
    </row>
    <row r="69" spans="1:64" ht="15" customHeight="1" x14ac:dyDescent="0.2">
      <c r="A69" s="411"/>
      <c r="B69" s="411"/>
      <c r="C69" s="411"/>
      <c r="D69" s="57"/>
      <c r="E69" s="57"/>
      <c r="F69" s="57"/>
      <c r="G69" s="447"/>
      <c r="H69" s="447"/>
      <c r="I69" s="447"/>
      <c r="K69" s="391" t="str">
        <f>IF(Results!U36="","",Results!U36)</f>
        <v/>
      </c>
      <c r="L69" s="391"/>
      <c r="M69" s="391" t="str">
        <f t="shared" si="4"/>
        <v/>
      </c>
      <c r="N69" s="391"/>
      <c r="O69" s="318" t="str" cm="1">
        <f t="array" ref="O69">IFERROR(IF(K69="","",IF(ResultsOption="Results - Envelope Solution",_xlfn.XLOOKUP(K69&amp;P69,Results!$S$4:$S$99999&amp;Results!$C$4:$C$99999,Results!$A$4:$A$99999),_xlfn.XLOOKUP(K69&amp;P69,#REF!&amp;#REF!,#REF!))),"N/A")</f>
        <v/>
      </c>
      <c r="P69" s="323" t="str">
        <f>IF(K69="","",IF(ResultsOption="Results - Envelope Solution",_xlfn.MAXIFS(Results!$C$3:$C$99999,Results!$S$3:$S$99999,K69),_xlfn.MAXIFS(#REF!,#REF!,K69)))</f>
        <v/>
      </c>
      <c r="Q69" s="318" t="str" cm="1">
        <f t="array" ref="Q69">IFERROR(IF(K69="","",IF(ResultsOption="Results - Envelope Solution",_xlfn.XLOOKUP(K69&amp;R69,Results!$S$4:$S$99999&amp;Results!$F$4:$F$99999,Results!$A$4:$A$99999),_xlfn.XLOOKUP(K69&amp;R69,#REF!&amp;#REF!,#REF!))),"N/A")</f>
        <v/>
      </c>
      <c r="R69" s="323" t="str">
        <f>IF(K69="","",IF(ResultsOption="Results - Envelope Solution",_xlfn.MAXIFS(Results!$F$3:$F$99999,Results!$S$3:$S$99999,K69),_xlfn.MAXIFS(#REF!,#REF!,K69)))</f>
        <v/>
      </c>
      <c r="S69" s="318" t="str">
        <f t="shared" si="1"/>
        <v/>
      </c>
      <c r="U69" s="474" t="str">
        <f>IF(ISBLANK('Discrete Loads'!B26),"",'Discrete Loads'!B26)</f>
        <v/>
      </c>
      <c r="V69" s="474"/>
      <c r="W69" s="341" t="str" cm="1">
        <f t="array" ref="W69">_xlfn.LET(
    _xlpm.model,        'Discrete Loads'!$B26,
    _xlpm.Shape,        'Discrete Loads'!$E26,
    _xlpm.Direction,    W$46,
    _xlpm.Azimuth,      0,
    _xlpm.CaAa_Front,   _xlfn.XLOOKUP(Code!$U69&amp;ROW()-43,Calculations_APPURT[Model]&amp;ROW('Discrete Loads'!B26),Hazards_APPURT[Ice Front CaAa],0,0,1),
    _xlpm.CaAa_Side,    _xlfn.XLOOKUP(Code!$U69&amp;ROW()-43,Calculations_APPURT[Model]&amp;ROW('Discrete Loads'!B26),Hazards_APPURT[Ice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X69" s="341" t="str" cm="1">
        <f t="array" ref="X69">_xlfn.LET(
    _xlpm.model,        'Discrete Loads'!$B26,
    _xlpm.Shape,        'Discrete Loads'!$E26,
    _xlpm.Direction,    X$46,
    _xlpm.Azimuth,      0,
    _xlpm.CaAa_Front,   _xlfn.XLOOKUP(Code!$U69&amp;ROW()-43,Calculations_APPURT[Model]&amp;ROW('Discrete Loads'!C26),Hazards_APPURT[Ice Front CaAa],0,0,1),
    _xlpm.CaAa_Side,    _xlfn.XLOOKUP(Code!$U69&amp;ROW()-43,Calculations_APPURT[Model]&amp;ROW('Discrete Loads'!C26),Hazards_APPURT[Ice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Y69" s="341" t="str" cm="1">
        <f t="array" ref="Y69">_xlfn.LET(
    _xlpm.model,        'Discrete Loads'!$B26,
    _xlpm.Shape,        'Discrete Loads'!$E26,
    _xlpm.Direction,    Y$46,
    _xlpm.Azimuth,      0,
    _xlpm.CaAa_Front,   _xlfn.XLOOKUP(Code!$U69&amp;ROW()-43,Calculations_APPURT[Model]&amp;ROW('Discrete Loads'!D26),Hazards_APPURT[Ice Front CaAa],0,0,1),
    _xlpm.CaAa_Side,    _xlfn.XLOOKUP(Code!$U69&amp;ROW()-43,Calculations_APPURT[Model]&amp;ROW('Discrete Loads'!D26),Hazards_APPURT[Ice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Z69" s="341" t="str" cm="1">
        <f t="array" ref="Z69">_xlfn.LET(
    _xlpm.model,        'Discrete Loads'!$B26,
    _xlpm.Shape,        'Discrete Loads'!$E26,
    _xlpm.Direction,    Z$46,
    _xlpm.Azimuth,      0,
    _xlpm.CaAa_Front,   _xlfn.XLOOKUP(Code!$U69&amp;ROW()-43,Calculations_APPURT[Model]&amp;ROW('Discrete Loads'!E26),Hazards_APPURT[Ice Front CaAa],0,0,1),
    _xlpm.CaAa_Side,    _xlfn.XLOOKUP(Code!$U69&amp;ROW()-43,Calculations_APPURT[Model]&amp;ROW('Discrete Loads'!E26),Hazards_APPURT[Ice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AA69" s="341" t="str" cm="1">
        <f t="array" ref="AA69">_xlfn.LET(
    _xlpm.model,        'Discrete Loads'!$B26,
    _xlpm.Shape,        'Discrete Loads'!$E26,
    _xlpm.Direction,    AA$46,
    _xlpm.Azimuth,      0,
    _xlpm.CaAa_Front,   _xlfn.XLOOKUP(Code!$U69&amp;ROW()-43,Calculations_APPURT[Model]&amp;ROW('Discrete Loads'!F26),Hazards_APPURT[Ice Front CaAa],0,0,1),
    _xlpm.CaAa_Side,    _xlfn.XLOOKUP(Code!$U69&amp;ROW()-43,Calculations_APPURT[Model]&amp;ROW('Discrete Loads'!F26),Hazards_APPURT[Ice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AB69" s="341" t="str" cm="1">
        <f t="array" ref="AB69">_xlfn.LET(
    _xlpm.model,        'Discrete Loads'!$B26,
    _xlpm.Shape,        'Discrete Loads'!$E26,
    _xlpm.Direction,    AB$46,
    _xlpm.Azimuth,      0,
    _xlpm.CaAa_Front,   _xlfn.XLOOKUP(Code!$U69&amp;ROW()-43,Calculations_APPURT[Model]&amp;ROW('Discrete Loads'!G26),Hazards_APPURT[Ice Front CaAa],0,0,1),
    _xlpm.CaAa_Side,    _xlfn.XLOOKUP(Code!$U69&amp;ROW()-43,Calculations_APPURT[Model]&amp;ROW('Discrete Loads'!G26),Hazards_APPURT[Ice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AC69" s="341" t="str" cm="1">
        <f t="array" ref="AC69">_xlfn.LET(
    _xlpm.model,        'Discrete Loads'!$B26,
    _xlpm.Shape,        'Discrete Loads'!$E26,
    _xlpm.Direction,    AC$46,
    _xlpm.Azimuth,      0,
    _xlpm.CaAa_Front,   _xlfn.XLOOKUP(Code!$U69&amp;ROW()-43,Calculations_APPURT[Model]&amp;ROW('Discrete Loads'!H26),Hazards_APPURT[Ice Front CaAa],0,0,1),
    _xlpm.CaAa_Side,    _xlfn.XLOOKUP(Code!$U69&amp;ROW()-43,Calculations_APPURT[Model]&amp;ROW('Discrete Loads'!H26),Hazards_APPURT[Ice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AD69" s="341" t="str" cm="1">
        <f t="array" ref="AD69">_xlfn.LET(
    _xlpm.model,        'Discrete Loads'!$B26,
    _xlpm.Shape,        'Discrete Loads'!$E26,
    _xlpm.Direction,    AD$46,
    _xlpm.Azimuth,      0,
    _xlpm.CaAa_Front,   _xlfn.XLOOKUP(Code!$U69&amp;ROW()-43,Calculations_APPURT[Model]&amp;ROW('Discrete Loads'!I26),Hazards_APPURT[Ice Front CaAa],0,0,1),
    _xlpm.CaAa_Side,    _xlfn.XLOOKUP(Code!$U69&amp;ROW()-43,Calculations_APPURT[Model]&amp;ROW('Discrete Loads'!I26),Hazards_APPURT[Ice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AE69" s="341" t="str" cm="1">
        <f t="array" ref="AE69">_xlfn.LET(
    _xlpm.model,        'Discrete Loads'!$B26,
    _xlpm.Shape,        'Discrete Loads'!$E26,
    _xlpm.Direction,    AE$46,
    _xlpm.Azimuth,      0,
    _xlpm.CaAa_Front,   _xlfn.XLOOKUP(Code!$U69&amp;ROW()-43,Calculations_APPURT[Model]&amp;ROW('Discrete Loads'!J26),Hazards_APPURT[Ice Front CaAa],0,0,1),
    _xlpm.CaAa_Side,    _xlfn.XLOOKUP(Code!$U69&amp;ROW()-43,Calculations_APPURT[Model]&amp;ROW('Discrete Loads'!J26),Hazards_APPURT[Ice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AF69" s="341" t="str" cm="1">
        <f t="array" ref="AF69">_xlfn.LET(
    _xlpm.model,        'Discrete Loads'!$B26,
    _xlpm.Shape,        'Discrete Loads'!$E26,
    _xlpm.Direction,    AF$46,
    _xlpm.Azimuth,      0,
    _xlpm.CaAa_Front,   _xlfn.XLOOKUP(Code!$U69&amp;ROW()-43,Calculations_APPURT[Model]&amp;ROW('Discrete Loads'!K26),Hazards_APPURT[Ice Front CaAa],0,0,1),
    _xlpm.CaAa_Side,    _xlfn.XLOOKUP(Code!$U69&amp;ROW()-43,Calculations_APPURT[Model]&amp;ROW('Discrete Loads'!K26),Hazards_APPURT[Ice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AG69" s="341" t="str" cm="1">
        <f t="array" ref="AG69">_xlfn.LET(
    _xlpm.model,        'Discrete Loads'!$B26,
    _xlpm.Shape,        'Discrete Loads'!$E26,
    _xlpm.Direction,    AG$46,
    _xlpm.Azimuth,      0,
    _xlpm.CaAa_Front,   _xlfn.XLOOKUP(Code!$U69&amp;ROW()-43,Calculations_APPURT[Model]&amp;ROW('Discrete Loads'!L26),Hazards_APPURT[Ice Front CaAa],0,0,1),
    _xlpm.CaAa_Side,    _xlfn.XLOOKUP(Code!$U69&amp;ROW()-43,Calculations_APPURT[Model]&amp;ROW('Discrete Loads'!L26),Hazards_APPURT[Ice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AH69" s="341" t="str" cm="1">
        <f t="array" ref="AH69">_xlfn.LET(
    _xlpm.model,        'Discrete Loads'!$B26,
    _xlpm.Shape,        'Discrete Loads'!$E26,
    _xlpm.Direction,    AH$46,
    _xlpm.Azimuth,      0,
    _xlpm.CaAa_Front,   _xlfn.XLOOKUP(Code!$U69&amp;ROW()-43,Calculations_APPURT[Model]&amp;ROW('Discrete Loads'!M26),Hazards_APPURT[Ice Front CaAa],0,0,1),
    _xlpm.CaAa_Side,    _xlfn.XLOOKUP(Code!$U69&amp;ROW()-43,Calculations_APPURT[Model]&amp;ROW('Discrete Loads'!M26),Hazards_APPURT[Ice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IF($U69="","",IF(_xlpm.Shape="CFD", _xlpm.CFD_val, _xlpm.CaAa_Front*COS(PI()/180*(_xlpm.Direction+_xlpm.Azimuth))^2 + _xlpm.CaAa_Side*SIN(PI()/180*(_xlpm.Direction+_xlpm.Azimuth))^2)))</f>
        <v/>
      </c>
      <c r="AI69" s="339" t="str">
        <f t="shared" si="3"/>
        <v/>
      </c>
      <c r="AJ69" s="363" t="str" cm="1">
        <f t="array" ref="AJ69">IF(U69="","",_xlfn.XLOOKUP($U69&amp;(ROW()-43),Calculations_APPURT[Model]&amp;ROW(Calculations_APPURT[Model]),Hazards_APPURT[qiz],"",0,1))</f>
        <v/>
      </c>
      <c r="AK69" s="366" t="str" cm="1">
        <f t="array" ref="AK69">IF(U69="","",_xlfn.XLOOKUP($U69&amp;(ROW()-43),Calculations_APPURT[Model]&amp;ROW(Calculations_APPURT[Model]),Hazards_APPURT[Ice Weight],"",0,1))</f>
        <v/>
      </c>
      <c r="AM69" s="462" t="str">
        <f>IFERROR(_xlfn.CONCAT("(",IF(Filter!AM28+Filter!AS28+Filter!AY28+Filter!BE28&gt;0,(Filter!AM28+Filter!AS28+Filter!AY28+Filter!BE28),""),") ",_xlfn._xlws.FILTER(Filter!AH28,Filter!AH28&lt;&gt;0)),"")</f>
        <v/>
      </c>
      <c r="AN69" s="462"/>
      <c r="AO69" s="462"/>
      <c r="AP69" s="327" t="str">
        <f>IF(AM69="","",z)</f>
        <v/>
      </c>
      <c r="AQ69" s="328" t="str">
        <f t="shared" si="2"/>
        <v/>
      </c>
      <c r="AR69" s="329" t="str">
        <f>IF(AM69="","",TRIM(SUBSTITUTE(_xlfn.TEXTJOIN(", ",TRUE,Filter!AL28,Filter!AR28,Filter!AX28,Filter!BD28),", 0","")))</f>
        <v/>
      </c>
      <c r="AS69" s="328" t="str" cm="1">
        <f t="array" ref="AS69">IF(AM69="","",_xlfn.TEXTJOIN(", ",TRUE,IF(BA69="","",ROUND(BA69*ConvertLength,1)),IF(BB69="","",ROUND(BB69*ConvertLength,1)),IF(BC69="","",ROUND(BC69*ConvertLength,1)),IF(BD69="","",ROUND(BD69*ConvertLength,1))))</f>
        <v/>
      </c>
      <c r="AT69" s="330" t="str" cm="1">
        <f t="array" ref="AT69">IFERROR(_xlfn.LET(
_xlpm.CaAa,   _xlfn.XLOOKUP(RIGHT(AM69, LEN(AM69)-4)&amp;ROW()-41,Calculations_APPURT[Model]&amp;ROW(Calculations_APPURT[Model]),Hazards_APPURT[Front CaAa],"",0,1),
_xlpm.qz,     _xlfn.XLOOKUP(RIGHT(AM69, LEN(AM69)-4)&amp;ROW()-41,Calculations_APPURT[Model]&amp;ROW(Calculations_APPURT[Model]),Hazards_APPURT[qz],"",0,1),
_xlpm.Ka,     0.9,
_xlpm.Kd,     _xlfn.XLOOKUP(RIGHT(AM69, LEN(AM69)-4)&amp;ROW()-41,Calculations_APPURT[Model]&amp;ROW(Calculations_APPURT[Model]),Hazards_APPURT[Kd],"",0,1),
_xlpm.Kes,    Kes.w,
_xlpm.CaAa*_xlpm.qz*_xlpm.Ka*_xlpm.Kd),"")</f>
        <v/>
      </c>
      <c r="AU69" s="330" t="str" cm="1">
        <f t="array" ref="AU69">IFERROR(_xlfn.LET(
_xlpm.CaAa,   _xlfn.XLOOKUP(RIGHT(AM69, LEN(AM69)-4)&amp;ROW()-41,Calculations_APPURT[Model]&amp;ROW(Calculations_APPURT[Model]),Hazards_APPURT[Side CaAa],"",0,1),
_xlpm.qz,     _xlfn.XLOOKUP(RIGHT(AM69, LEN(AM69)-4)&amp;ROW()-41,Calculations_APPURT[Model]&amp;ROW(Calculations_APPURT[Model]),Hazards_APPURT[qz],"",0,1),
_xlpm.Ka,     0.9,
_xlpm.Kd,     _xlfn.XLOOKUP(RIGHT(AM69, LEN(AM69)-4)&amp;ROW()-41,Calculations_APPURT[Model]&amp;ROW(Calculations_APPURT[Model]),Hazards_APPURT[Kd],"",0,1),
_xlpm.Kes,    Kes.w,
_xlpm.CaAa*_xlpm.qz*_xlpm.Ka*_xlpm.Kd),"")</f>
        <v/>
      </c>
      <c r="AW69" s="217" t="str">
        <f>IF(Filter!AN28=0,"",Filter!AN28)</f>
        <v/>
      </c>
      <c r="AX69" s="217" t="str">
        <f>IF(Filter!AT28=0,"",Filter!AT28)</f>
        <v/>
      </c>
      <c r="AY69" s="217" t="str">
        <f>IF(Filter!AZ28=0,"",Filter!AZ28)</f>
        <v/>
      </c>
      <c r="AZ69" s="217" t="str">
        <f>IF(Filter!BF28=0,"",Filter!BF28)</f>
        <v/>
      </c>
      <c r="BA69"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_xlfn.XLOOKUP(AW69, Geometry!$B:$B, Geometry!$M:$M, "", 0, 1),
_xlpm.Pj, _xlfn.XLOOKUP(AW69,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69"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_xlfn.XLOOKUP(AX69, Geometry!$B:$B, Geometry!$M:$M, "", 0, 1),
_xlpm.Pj, _xlfn.XLOOKUP(AX69,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69"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_xlfn.XLOOKUP(AY69, Geometry!$B:$B, Geometry!$M:$M, "", 0, 1),
_xlpm.Pj, _xlfn.XLOOKUP(AY69,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69"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_xlfn.XLOOKUP(AZ69, Geometry!$B:$B, Geometry!$M:$M, "", 0, 1),
_xlpm.Pj, _xlfn.XLOOKUP(AZ69,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69" s="261" t="str">
        <f>IF(AM69="","",z + Filter!BN28/12 + Filter!BJ28/2/12)</f>
        <v/>
      </c>
      <c r="BF69" s="261" t="str">
        <f>IF(AM69="","",z + Filter!BN28/12 - Filter!BJ28/2/12)</f>
        <v/>
      </c>
    </row>
    <row r="70" spans="1:64" ht="15" customHeight="1" x14ac:dyDescent="0.2">
      <c r="E70" s="57"/>
      <c r="K70" s="393" t="str">
        <f>IF(Results!U37="","",Results!U37)</f>
        <v/>
      </c>
      <c r="L70" s="393"/>
      <c r="M70" s="393" t="str">
        <f t="shared" si="4"/>
        <v/>
      </c>
      <c r="N70" s="393"/>
      <c r="O70" s="69" t="str" cm="1">
        <f t="array" ref="O70">IFERROR(IF(K70="","",IF(ResultsOption="Results - Envelope Solution",_xlfn.XLOOKUP(K70&amp;P70,Results!$S$4:$S$99999&amp;Results!$C$4:$C$99999,Results!$A$4:$A$99999),_xlfn.XLOOKUP(K70&amp;P70,#REF!&amp;#REF!,#REF!))),"N/A")</f>
        <v/>
      </c>
      <c r="P70" s="70" t="str">
        <f>IF(K70="","",IF(ResultsOption="Results - Envelope Solution",_xlfn.MAXIFS(Results!$C$3:$C$99999,Results!$S$3:$S$99999,K70),_xlfn.MAXIFS(#REF!,#REF!,K70)))</f>
        <v/>
      </c>
      <c r="Q70" s="69" t="str" cm="1">
        <f t="array" ref="Q70">IFERROR(IF(K70="","",IF(ResultsOption="Results - Envelope Solution",_xlfn.XLOOKUP(K70&amp;R70,Results!$S$4:$S$99999&amp;Results!$F$4:$F$99999,Results!$A$4:$A$99999),_xlfn.XLOOKUP(K70&amp;R70,#REF!&amp;#REF!,#REF!))),"N/A")</f>
        <v/>
      </c>
      <c r="R70" s="70" t="str">
        <f>IF(K70="","",IF(ResultsOption="Results - Envelope Solution",_xlfn.MAXIFS(Results!$F$3:$F$99999,Results!$S$3:$S$99999,K70),_xlfn.MAXIFS(#REF!,#REF!,K70)))</f>
        <v/>
      </c>
      <c r="S70" s="69" t="str">
        <f t="shared" si="1"/>
        <v/>
      </c>
      <c r="U70" s="386" t="str">
        <f>IF(ISBLANK('Discrete Loads'!B27),"",'Discrete Loads'!B27)</f>
        <v/>
      </c>
      <c r="V70" s="386"/>
      <c r="W70" s="342" t="str" cm="1">
        <f t="array" ref="W70">_xlfn.LET(
    _xlpm.model,        'Discrete Loads'!$B27,
    _xlpm.Shape,        'Discrete Loads'!$E27,
    _xlpm.Direction,    W$46,
    _xlpm.Azimuth,      0,
    _xlpm.CaAa_Front,   _xlfn.XLOOKUP(Code!$U70&amp;ROW()-43,Calculations_APPURT[Model]&amp;ROW('Discrete Loads'!B27),Hazards_APPURT[Ice Front CaAa],0,0,1),
    _xlpm.CaAa_Side,    _xlfn.XLOOKUP(Code!$U70&amp;ROW()-43,Calculations_APPURT[Model]&amp;ROW('Discrete Loads'!B27),Hazards_APPURT[Ice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X70" s="342" t="str" cm="1">
        <f t="array" ref="X70">_xlfn.LET(
    _xlpm.model,        'Discrete Loads'!$B27,
    _xlpm.Shape,        'Discrete Loads'!$E27,
    _xlpm.Direction,    X$46,
    _xlpm.Azimuth,      0,
    _xlpm.CaAa_Front,   _xlfn.XLOOKUP(Code!$U70&amp;ROW()-43,Calculations_APPURT[Model]&amp;ROW('Discrete Loads'!C27),Hazards_APPURT[Ice Front CaAa],0,0,1),
    _xlpm.CaAa_Side,    _xlfn.XLOOKUP(Code!$U70&amp;ROW()-43,Calculations_APPURT[Model]&amp;ROW('Discrete Loads'!C27),Hazards_APPURT[Ice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Y70" s="342" t="str" cm="1">
        <f t="array" ref="Y70">_xlfn.LET(
    _xlpm.model,        'Discrete Loads'!$B27,
    _xlpm.Shape,        'Discrete Loads'!$E27,
    _xlpm.Direction,    Y$46,
    _xlpm.Azimuth,      0,
    _xlpm.CaAa_Front,   _xlfn.XLOOKUP(Code!$U70&amp;ROW()-43,Calculations_APPURT[Model]&amp;ROW('Discrete Loads'!D27),Hazards_APPURT[Ice Front CaAa],0,0,1),
    _xlpm.CaAa_Side,    _xlfn.XLOOKUP(Code!$U70&amp;ROW()-43,Calculations_APPURT[Model]&amp;ROW('Discrete Loads'!D27),Hazards_APPURT[Ice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Z70" s="342" t="str" cm="1">
        <f t="array" ref="Z70">_xlfn.LET(
    _xlpm.model,        'Discrete Loads'!$B27,
    _xlpm.Shape,        'Discrete Loads'!$E27,
    _xlpm.Direction,    Z$46,
    _xlpm.Azimuth,      0,
    _xlpm.CaAa_Front,   _xlfn.XLOOKUP(Code!$U70&amp;ROW()-43,Calculations_APPURT[Model]&amp;ROW('Discrete Loads'!E27),Hazards_APPURT[Ice Front CaAa],0,0,1),
    _xlpm.CaAa_Side,    _xlfn.XLOOKUP(Code!$U70&amp;ROW()-43,Calculations_APPURT[Model]&amp;ROW('Discrete Loads'!E27),Hazards_APPURT[Ice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AA70" s="342" t="str" cm="1">
        <f t="array" ref="AA70">_xlfn.LET(
    _xlpm.model,        'Discrete Loads'!$B27,
    _xlpm.Shape,        'Discrete Loads'!$E27,
    _xlpm.Direction,    AA$46,
    _xlpm.Azimuth,      0,
    _xlpm.CaAa_Front,   _xlfn.XLOOKUP(Code!$U70&amp;ROW()-43,Calculations_APPURT[Model]&amp;ROW('Discrete Loads'!F27),Hazards_APPURT[Ice Front CaAa],0,0,1),
    _xlpm.CaAa_Side,    _xlfn.XLOOKUP(Code!$U70&amp;ROW()-43,Calculations_APPURT[Model]&amp;ROW('Discrete Loads'!F27),Hazards_APPURT[Ice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AB70" s="342" t="str" cm="1">
        <f t="array" ref="AB70">_xlfn.LET(
    _xlpm.model,        'Discrete Loads'!$B27,
    _xlpm.Shape,        'Discrete Loads'!$E27,
    _xlpm.Direction,    AB$46,
    _xlpm.Azimuth,      0,
    _xlpm.CaAa_Front,   _xlfn.XLOOKUP(Code!$U70&amp;ROW()-43,Calculations_APPURT[Model]&amp;ROW('Discrete Loads'!G27),Hazards_APPURT[Ice Front CaAa],0,0,1),
    _xlpm.CaAa_Side,    _xlfn.XLOOKUP(Code!$U70&amp;ROW()-43,Calculations_APPURT[Model]&amp;ROW('Discrete Loads'!G27),Hazards_APPURT[Ice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AC70" s="342" t="str" cm="1">
        <f t="array" ref="AC70">_xlfn.LET(
    _xlpm.model,        'Discrete Loads'!$B27,
    _xlpm.Shape,        'Discrete Loads'!$E27,
    _xlpm.Direction,    AC$46,
    _xlpm.Azimuth,      0,
    _xlpm.CaAa_Front,   _xlfn.XLOOKUP(Code!$U70&amp;ROW()-43,Calculations_APPURT[Model]&amp;ROW('Discrete Loads'!H27),Hazards_APPURT[Ice Front CaAa],0,0,1),
    _xlpm.CaAa_Side,    _xlfn.XLOOKUP(Code!$U70&amp;ROW()-43,Calculations_APPURT[Model]&amp;ROW('Discrete Loads'!H27),Hazards_APPURT[Ice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AD70" s="342" t="str" cm="1">
        <f t="array" ref="AD70">_xlfn.LET(
    _xlpm.model,        'Discrete Loads'!$B27,
    _xlpm.Shape,        'Discrete Loads'!$E27,
    _xlpm.Direction,    AD$46,
    _xlpm.Azimuth,      0,
    _xlpm.CaAa_Front,   _xlfn.XLOOKUP(Code!$U70&amp;ROW()-43,Calculations_APPURT[Model]&amp;ROW('Discrete Loads'!I27),Hazards_APPURT[Ice Front CaAa],0,0,1),
    _xlpm.CaAa_Side,    _xlfn.XLOOKUP(Code!$U70&amp;ROW()-43,Calculations_APPURT[Model]&amp;ROW('Discrete Loads'!I27),Hazards_APPURT[Ice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AE70" s="342" t="str" cm="1">
        <f t="array" ref="AE70">_xlfn.LET(
    _xlpm.model,        'Discrete Loads'!$B27,
    _xlpm.Shape,        'Discrete Loads'!$E27,
    _xlpm.Direction,    AE$46,
    _xlpm.Azimuth,      0,
    _xlpm.CaAa_Front,   _xlfn.XLOOKUP(Code!$U70&amp;ROW()-43,Calculations_APPURT[Model]&amp;ROW('Discrete Loads'!J27),Hazards_APPURT[Ice Front CaAa],0,0,1),
    _xlpm.CaAa_Side,    _xlfn.XLOOKUP(Code!$U70&amp;ROW()-43,Calculations_APPURT[Model]&amp;ROW('Discrete Loads'!J27),Hazards_APPURT[Ice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AF70" s="342" t="str" cm="1">
        <f t="array" ref="AF70">_xlfn.LET(
    _xlpm.model,        'Discrete Loads'!$B27,
    _xlpm.Shape,        'Discrete Loads'!$E27,
    _xlpm.Direction,    AF$46,
    _xlpm.Azimuth,      0,
    _xlpm.CaAa_Front,   _xlfn.XLOOKUP(Code!$U70&amp;ROW()-43,Calculations_APPURT[Model]&amp;ROW('Discrete Loads'!K27),Hazards_APPURT[Ice Front CaAa],0,0,1),
    _xlpm.CaAa_Side,    _xlfn.XLOOKUP(Code!$U70&amp;ROW()-43,Calculations_APPURT[Model]&amp;ROW('Discrete Loads'!K27),Hazards_APPURT[Ice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AG70" s="342" t="str" cm="1">
        <f t="array" ref="AG70">_xlfn.LET(
    _xlpm.model,        'Discrete Loads'!$B27,
    _xlpm.Shape,        'Discrete Loads'!$E27,
    _xlpm.Direction,    AG$46,
    _xlpm.Azimuth,      0,
    _xlpm.CaAa_Front,   _xlfn.XLOOKUP(Code!$U70&amp;ROW()-43,Calculations_APPURT[Model]&amp;ROW('Discrete Loads'!L27),Hazards_APPURT[Ice Front CaAa],0,0,1),
    _xlpm.CaAa_Side,    _xlfn.XLOOKUP(Code!$U70&amp;ROW()-43,Calculations_APPURT[Model]&amp;ROW('Discrete Loads'!L27),Hazards_APPURT[Ice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AH70" s="342" t="str" cm="1">
        <f t="array" ref="AH70">_xlfn.LET(
    _xlpm.model,        'Discrete Loads'!$B27,
    _xlpm.Shape,        'Discrete Loads'!$E27,
    _xlpm.Direction,    AH$46,
    _xlpm.Azimuth,      0,
    _xlpm.CaAa_Front,   _xlfn.XLOOKUP(Code!$U70&amp;ROW()-43,Calculations_APPURT[Model]&amp;ROW('Discrete Loads'!M27),Hazards_APPURT[Ice Front CaAa],0,0,1),
    _xlpm.CaAa_Side,    _xlfn.XLOOKUP(Code!$U70&amp;ROW()-43,Calculations_APPURT[Model]&amp;ROW('Discrete Loads'!M27),Hazards_APPURT[Ice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IF($U70="","",IF(_xlpm.Shape="CFD", _xlpm.CFD_val, _xlpm.CaAa_Front*COS(PI()/180*(_xlpm.Direction+_xlpm.Azimuth))^2 + _xlpm.CaAa_Side*SIN(PI()/180*(_xlpm.Direction+_xlpm.Azimuth))^2)))</f>
        <v/>
      </c>
      <c r="AI70" s="340" t="str">
        <f t="shared" si="3"/>
        <v/>
      </c>
      <c r="AJ70" s="364" t="str" cm="1">
        <f t="array" ref="AJ70">IF(U70="","",_xlfn.XLOOKUP($U70&amp;(ROW()-43),Calculations_APPURT[Model]&amp;ROW(Calculations_APPURT[Model]),Hazards_APPURT[qiz],"",0,1))</f>
        <v/>
      </c>
      <c r="AK70" s="367" t="str" cm="1">
        <f t="array" ref="AK70">IF(U70="","",_xlfn.XLOOKUP($U70&amp;(ROW()-43),Calculations_APPURT[Model]&amp;ROW(Calculations_APPURT[Model]),Hazards_APPURT[Ice Weight],"",0,1))</f>
        <v/>
      </c>
      <c r="AM70" s="461" t="str">
        <f>IFERROR(_xlfn.CONCAT("(",IF(Filter!AM29+Filter!AS29+Filter!AY29+Filter!BE29&gt;0,(Filter!AM29+Filter!AS29+Filter!AY29+Filter!BE29),""),") ",_xlfn._xlws.FILTER(Filter!AH29,Filter!AH29&lt;&gt;0)),"")</f>
        <v/>
      </c>
      <c r="AN70" s="461"/>
      <c r="AO70" s="461"/>
      <c r="AP70" s="301" t="str">
        <f>IF(AM70="","",z)</f>
        <v/>
      </c>
      <c r="AQ70" s="69" t="str">
        <f t="shared" si="2"/>
        <v/>
      </c>
      <c r="AR70" s="187" t="str">
        <f>IF(AM70="","",TRIM(SUBSTITUTE(_xlfn.TEXTJOIN(", ",TRUE,Filter!AL29,Filter!AR29,Filter!AX29,Filter!BD29),", 0","")))</f>
        <v/>
      </c>
      <c r="AS70" s="69" t="str" cm="1">
        <f t="array" ref="AS70">IF(AM70="","",_xlfn.TEXTJOIN(", ",TRUE,IF(BA70="","",ROUND(BA70*ConvertLength,1)),IF(BB70="","",ROUND(BB70*ConvertLength,1)),IF(BC70="","",ROUND(BC70*ConvertLength,1)),IF(BD70="","",ROUND(BD70*ConvertLength,1))))</f>
        <v/>
      </c>
      <c r="AT70" s="302" t="str" cm="1">
        <f t="array" ref="AT70">IFERROR(_xlfn.LET(
_xlpm.CaAa,   _xlfn.XLOOKUP(RIGHT(AM70, LEN(AM70)-4)&amp;ROW()-41,Calculations_APPURT[Model]&amp;ROW(Calculations_APPURT[Model]),Hazards_APPURT[Front CaAa],"",0,1),
_xlpm.qz,     _xlfn.XLOOKUP(RIGHT(AM70, LEN(AM70)-4)&amp;ROW()-41,Calculations_APPURT[Model]&amp;ROW(Calculations_APPURT[Model]),Hazards_APPURT[qz],"",0,1),
_xlpm.Ka,     0.9,
_xlpm.Kd,     _xlfn.XLOOKUP(RIGHT(AM70, LEN(AM70)-4)&amp;ROW()-41,Calculations_APPURT[Model]&amp;ROW(Calculations_APPURT[Model]),Hazards_APPURT[Kd],"",0,1),
_xlpm.Kes,    Kes.w,
_xlpm.CaAa*_xlpm.qz*_xlpm.Ka*_xlpm.Kd),"")</f>
        <v/>
      </c>
      <c r="AU70" s="302" t="str" cm="1">
        <f t="array" ref="AU70">IFERROR(_xlfn.LET(
_xlpm.CaAa,   _xlfn.XLOOKUP(RIGHT(AM70, LEN(AM70)-4)&amp;ROW()-41,Calculations_APPURT[Model]&amp;ROW(Calculations_APPURT[Model]),Hazards_APPURT[Side CaAa],"",0,1),
_xlpm.qz,     _xlfn.XLOOKUP(RIGHT(AM70, LEN(AM70)-4)&amp;ROW()-41,Calculations_APPURT[Model]&amp;ROW(Calculations_APPURT[Model]),Hazards_APPURT[qz],"",0,1),
_xlpm.Ka,     0.9,
_xlpm.Kd,     _xlfn.XLOOKUP(RIGHT(AM70, LEN(AM70)-4)&amp;ROW()-41,Calculations_APPURT[Model]&amp;ROW(Calculations_APPURT[Model]),Hazards_APPURT[Kd],"",0,1),
_xlpm.Kes,    Kes.w,
_xlpm.CaAa*_xlpm.qz*_xlpm.Ka*_xlpm.Kd),"")</f>
        <v/>
      </c>
      <c r="AW70" s="217" t="str">
        <f>IF(Filter!AN29=0,"",Filter!AN29)</f>
        <v/>
      </c>
      <c r="AX70" s="217" t="str">
        <f>IF(Filter!AT29=0,"",Filter!AT29)</f>
        <v/>
      </c>
      <c r="AY70" s="217" t="str">
        <f>IF(Filter!AZ29=0,"",Filter!AZ29)</f>
        <v/>
      </c>
      <c r="AZ70" s="217" t="str">
        <f>IF(Filter!BF29=0,"",Filter!BF29)</f>
        <v/>
      </c>
      <c r="BA70"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_xlfn.XLOOKUP(AW70, Geometry!$B:$B, Geometry!$M:$M, "", 0, 1),
_xlpm.Pj, _xlfn.XLOOKUP(AW70,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70"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_xlfn.XLOOKUP(AX70, Geometry!$B:$B, Geometry!$M:$M, "", 0, 1),
_xlpm.Pj, _xlfn.XLOOKUP(AX70,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70"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_xlfn.XLOOKUP(AY70, Geometry!$B:$B, Geometry!$M:$M, "", 0, 1),
_xlpm.Pj, _xlfn.XLOOKUP(AY70,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70"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_xlfn.XLOOKUP(AZ70, Geometry!$B:$B, Geometry!$M:$M, "", 0, 1),
_xlpm.Pj, _xlfn.XLOOKUP(AZ70,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70" s="261" t="str">
        <f>IF(AM70="","",z + Filter!BN29/12 + Filter!BJ29/2/12)</f>
        <v/>
      </c>
      <c r="BF70" s="261" t="str">
        <f>IF(AM70="","",z + Filter!BN29/12 - Filter!BJ29/2/12)</f>
        <v/>
      </c>
    </row>
    <row r="71" spans="1:64" ht="15" customHeight="1" thickBot="1" x14ac:dyDescent="0.25">
      <c r="K71" s="410" t="str">
        <f>IF(Results!U38="","",Results!U38)</f>
        <v/>
      </c>
      <c r="L71" s="410"/>
      <c r="M71" s="410" t="str">
        <f t="shared" si="4"/>
        <v/>
      </c>
      <c r="N71" s="410"/>
      <c r="O71" s="324" t="str" cm="1">
        <f t="array" ref="O71">IFERROR(IF(K71="","",IF(ResultsOption="Results - Envelope Solution",_xlfn.XLOOKUP(K71&amp;P71,Results!$S$4:$S$99999&amp;Results!$C$4:$C$99999,Results!$A$4:$A$99999),_xlfn.XLOOKUP(K71&amp;P71,#REF!&amp;#REF!,#REF!))),"N/A")</f>
        <v/>
      </c>
      <c r="P71" s="325" t="str">
        <f>IF(K71="","",IF(ResultsOption="Results - Envelope Solution",_xlfn.MAXIFS(Results!$C$3:$C$99999,Results!$S$3:$S$99999,K71),_xlfn.MAXIFS(#REF!,#REF!,K71)))</f>
        <v/>
      </c>
      <c r="Q71" s="324" t="str" cm="1">
        <f t="array" ref="Q71">IFERROR(IF(K71="","",IF(ResultsOption="Results - Envelope Solution",_xlfn.XLOOKUP(K71&amp;R71,Results!$S$4:$S$99999&amp;Results!$F$4:$F$99999,Results!$A$4:$A$99999),_xlfn.XLOOKUP(K71&amp;R71,#REF!&amp;#REF!,#REF!))),"N/A")</f>
        <v/>
      </c>
      <c r="R71" s="325" t="str">
        <f>IF(K71="","",IF(ResultsOption="Results - Envelope Solution",_xlfn.MAXIFS(Results!$F$3:$F$99999,Results!$S$3:$S$99999,K71),_xlfn.MAXIFS(#REF!,#REF!,K71)))</f>
        <v/>
      </c>
      <c r="S71" s="324" t="str">
        <f t="shared" si="1"/>
        <v/>
      </c>
      <c r="U71" s="477" t="str">
        <f>IF(ISBLANK('Discrete Loads'!B28),"",'Discrete Loads'!B28)</f>
        <v/>
      </c>
      <c r="V71" s="477"/>
      <c r="W71" s="362" t="str" cm="1">
        <f t="array" ref="W71">_xlfn.LET(
    _xlpm.model,        'Discrete Loads'!$B28,
    _xlpm.Shape,        'Discrete Loads'!$E28,
    _xlpm.Direction,    W$46,
    _xlpm.Azimuth,      0,
    _xlpm.CaAa_Front,   _xlfn.XLOOKUP(Code!$U71&amp;ROW()-43,Calculations_APPURT[Model]&amp;ROW('Discrete Loads'!B28),Hazards_APPURT[Ice Front CaAa],0,0,1),
    _xlpm.CaAa_Side,    _xlfn.XLOOKUP(Code!$U71&amp;ROW()-43,Calculations_APPURT[Model]&amp;ROW('Discrete Loads'!B28),Hazards_APPURT[Ice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X71" s="362" t="str" cm="1">
        <f t="array" ref="X71">_xlfn.LET(
    _xlpm.model,        'Discrete Loads'!$B28,
    _xlpm.Shape,        'Discrete Loads'!$E28,
    _xlpm.Direction,    X$46,
    _xlpm.Azimuth,      0,
    _xlpm.CaAa_Front,   _xlfn.XLOOKUP(Code!$U71&amp;ROW()-43,Calculations_APPURT[Model]&amp;ROW('Discrete Loads'!C28),Hazards_APPURT[Ice Front CaAa],0,0,1),
    _xlpm.CaAa_Side,    _xlfn.XLOOKUP(Code!$U71&amp;ROW()-43,Calculations_APPURT[Model]&amp;ROW('Discrete Loads'!C28),Hazards_APPURT[Ice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Y71" s="362" t="str" cm="1">
        <f t="array" ref="Y71">_xlfn.LET(
    _xlpm.model,        'Discrete Loads'!$B28,
    _xlpm.Shape,        'Discrete Loads'!$E28,
    _xlpm.Direction,    Y$46,
    _xlpm.Azimuth,      0,
    _xlpm.CaAa_Front,   _xlfn.XLOOKUP(Code!$U71&amp;ROW()-43,Calculations_APPURT[Model]&amp;ROW('Discrete Loads'!D28),Hazards_APPURT[Ice Front CaAa],0,0,1),
    _xlpm.CaAa_Side,    _xlfn.XLOOKUP(Code!$U71&amp;ROW()-43,Calculations_APPURT[Model]&amp;ROW('Discrete Loads'!D28),Hazards_APPURT[Ice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Z71" s="362" t="str" cm="1">
        <f t="array" ref="Z71">_xlfn.LET(
    _xlpm.model,        'Discrete Loads'!$B28,
    _xlpm.Shape,        'Discrete Loads'!$E28,
    _xlpm.Direction,    Z$46,
    _xlpm.Azimuth,      0,
    _xlpm.CaAa_Front,   _xlfn.XLOOKUP(Code!$U71&amp;ROW()-43,Calculations_APPURT[Model]&amp;ROW('Discrete Loads'!E28),Hazards_APPURT[Ice Front CaAa],0,0,1),
    _xlpm.CaAa_Side,    _xlfn.XLOOKUP(Code!$U71&amp;ROW()-43,Calculations_APPURT[Model]&amp;ROW('Discrete Loads'!E28),Hazards_APPURT[Ice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AA71" s="362" t="str" cm="1">
        <f t="array" ref="AA71">_xlfn.LET(
    _xlpm.model,        'Discrete Loads'!$B28,
    _xlpm.Shape,        'Discrete Loads'!$E28,
    _xlpm.Direction,    AA$46,
    _xlpm.Azimuth,      0,
    _xlpm.CaAa_Front,   _xlfn.XLOOKUP(Code!$U71&amp;ROW()-43,Calculations_APPURT[Model]&amp;ROW('Discrete Loads'!F28),Hazards_APPURT[Ice Front CaAa],0,0,1),
    _xlpm.CaAa_Side,    _xlfn.XLOOKUP(Code!$U71&amp;ROW()-43,Calculations_APPURT[Model]&amp;ROW('Discrete Loads'!F28),Hazards_APPURT[Ice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AB71" s="362" t="str" cm="1">
        <f t="array" ref="AB71">_xlfn.LET(
    _xlpm.model,        'Discrete Loads'!$B28,
    _xlpm.Shape,        'Discrete Loads'!$E28,
    _xlpm.Direction,    AB$46,
    _xlpm.Azimuth,      0,
    _xlpm.CaAa_Front,   _xlfn.XLOOKUP(Code!$U71&amp;ROW()-43,Calculations_APPURT[Model]&amp;ROW('Discrete Loads'!G28),Hazards_APPURT[Ice Front CaAa],0,0,1),
    _xlpm.CaAa_Side,    _xlfn.XLOOKUP(Code!$U71&amp;ROW()-43,Calculations_APPURT[Model]&amp;ROW('Discrete Loads'!G28),Hazards_APPURT[Ice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AC71" s="362" t="str" cm="1">
        <f t="array" ref="AC71">_xlfn.LET(
    _xlpm.model,        'Discrete Loads'!$B28,
    _xlpm.Shape,        'Discrete Loads'!$E28,
    _xlpm.Direction,    AC$46,
    _xlpm.Azimuth,      0,
    _xlpm.CaAa_Front,   _xlfn.XLOOKUP(Code!$U71&amp;ROW()-43,Calculations_APPURT[Model]&amp;ROW('Discrete Loads'!H28),Hazards_APPURT[Ice Front CaAa],0,0,1),
    _xlpm.CaAa_Side,    _xlfn.XLOOKUP(Code!$U71&amp;ROW()-43,Calculations_APPURT[Model]&amp;ROW('Discrete Loads'!H28),Hazards_APPURT[Ice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AD71" s="362" t="str" cm="1">
        <f t="array" ref="AD71">_xlfn.LET(
    _xlpm.model,        'Discrete Loads'!$B28,
    _xlpm.Shape,        'Discrete Loads'!$E28,
    _xlpm.Direction,    AD$46,
    _xlpm.Azimuth,      0,
    _xlpm.CaAa_Front,   _xlfn.XLOOKUP(Code!$U71&amp;ROW()-43,Calculations_APPURT[Model]&amp;ROW('Discrete Loads'!I28),Hazards_APPURT[Ice Front CaAa],0,0,1),
    _xlpm.CaAa_Side,    _xlfn.XLOOKUP(Code!$U71&amp;ROW()-43,Calculations_APPURT[Model]&amp;ROW('Discrete Loads'!I28),Hazards_APPURT[Ice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AE71" s="362" t="str" cm="1">
        <f t="array" ref="AE71">_xlfn.LET(
    _xlpm.model,        'Discrete Loads'!$B28,
    _xlpm.Shape,        'Discrete Loads'!$E28,
    _xlpm.Direction,    AE$46,
    _xlpm.Azimuth,      0,
    _xlpm.CaAa_Front,   _xlfn.XLOOKUP(Code!$U71&amp;ROW()-43,Calculations_APPURT[Model]&amp;ROW('Discrete Loads'!J28),Hazards_APPURT[Ice Front CaAa],0,0,1),
    _xlpm.CaAa_Side,    _xlfn.XLOOKUP(Code!$U71&amp;ROW()-43,Calculations_APPURT[Model]&amp;ROW('Discrete Loads'!J28),Hazards_APPURT[Ice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AF71" s="362" t="str" cm="1">
        <f t="array" ref="AF71">_xlfn.LET(
    _xlpm.model,        'Discrete Loads'!$B28,
    _xlpm.Shape,        'Discrete Loads'!$E28,
    _xlpm.Direction,    AF$46,
    _xlpm.Azimuth,      0,
    _xlpm.CaAa_Front,   _xlfn.XLOOKUP(Code!$U71&amp;ROW()-43,Calculations_APPURT[Model]&amp;ROW('Discrete Loads'!K28),Hazards_APPURT[Ice Front CaAa],0,0,1),
    _xlpm.CaAa_Side,    _xlfn.XLOOKUP(Code!$U71&amp;ROW()-43,Calculations_APPURT[Model]&amp;ROW('Discrete Loads'!K28),Hazards_APPURT[Ice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AG71" s="362" t="str" cm="1">
        <f t="array" ref="AG71">_xlfn.LET(
    _xlpm.model,        'Discrete Loads'!$B28,
    _xlpm.Shape,        'Discrete Loads'!$E28,
    _xlpm.Direction,    AG$46,
    _xlpm.Azimuth,      0,
    _xlpm.CaAa_Front,   _xlfn.XLOOKUP(Code!$U71&amp;ROW()-43,Calculations_APPURT[Model]&amp;ROW('Discrete Loads'!L28),Hazards_APPURT[Ice Front CaAa],0,0,1),
    _xlpm.CaAa_Side,    _xlfn.XLOOKUP(Code!$U71&amp;ROW()-43,Calculations_APPURT[Model]&amp;ROW('Discrete Loads'!L28),Hazards_APPURT[Ice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AH71" s="362" t="str" cm="1">
        <f t="array" ref="AH71">_xlfn.LET(
    _xlpm.model,        'Discrete Loads'!$B28,
    _xlpm.Shape,        'Discrete Loads'!$E28,
    _xlpm.Direction,    AH$46,
    _xlpm.Azimuth,      0,
    _xlpm.CaAa_Front,   _xlfn.XLOOKUP(Code!$U71&amp;ROW()-43,Calculations_APPURT[Model]&amp;ROW('Discrete Loads'!M28),Hazards_APPURT[Ice Front CaAa],0,0,1),
    _xlpm.CaAa_Side,    _xlfn.XLOOKUP(Code!$U71&amp;ROW()-43,Calculations_APPURT[Model]&amp;ROW('Discrete Loads'!M28),Hazards_APPURT[Ice Side CaAa],0,0,1),
    _xlpm.dbase_model,  [1]CFD!$B:$B,
    _xlpm.dbase_CFD,    [1]CFD!$C:$AK,
    _xlpm.offset_cnt,   (_xlpm.Direction+_xlpm.Azimuth)/10 - IF((_xlpm.Direction+_xlpm.Azimuth)/10 &lt; 35, 0, 36),
    _xlpm.CFD_col,      INDEX(_xlpm.dbase_CFD, 0, _xlpm.offset_cnt+1),
    _xlpm.CFD_val,      INDEX(_xlpm.CFD_col, MATCH(_xlpm.model, _xlpm.dbase_model, 0)),
    IF($U71="","",IF(_xlpm.Shape="CFD", _xlpm.CFD_val, _xlpm.CaAa_Front*COS(PI()/180*(_xlpm.Direction+_xlpm.Azimuth))^2 + _xlpm.CaAa_Side*SIN(PI()/180*(_xlpm.Direction+_xlpm.Azimuth))^2)))</f>
        <v/>
      </c>
      <c r="AI71" s="326" t="str">
        <f t="shared" si="3"/>
        <v/>
      </c>
      <c r="AJ71" s="365" t="str" cm="1">
        <f t="array" ref="AJ71">IF(U71="","",_xlfn.XLOOKUP($U71&amp;(ROW()-43),Calculations_APPURT[Model]&amp;ROW(Calculations_APPURT[Model]),Hazards_APPURT[qiz],"",0,1))</f>
        <v/>
      </c>
      <c r="AK71" s="368" t="str" cm="1">
        <f t="array" ref="AK71">IF(U71="","",_xlfn.XLOOKUP($U71&amp;(ROW()-43),Calculations_APPURT[Model]&amp;ROW(Calculations_APPURT[Model]),Hazards_APPURT[Ice Weight],"",0,1))</f>
        <v/>
      </c>
      <c r="AM71" s="464" t="str">
        <f>IFERROR(_xlfn.CONCAT("(",IF(Filter!AM30+Filter!AS30+Filter!AY30+Filter!BE30&gt;0,(Filter!AM30+Filter!AS30+Filter!AY30+Filter!BE30),""),") ",_xlfn._xlws.FILTER(Filter!AH30,Filter!AH30&lt;&gt;0)),"")</f>
        <v/>
      </c>
      <c r="AN71" s="464"/>
      <c r="AO71" s="464"/>
      <c r="AP71" s="331" t="str">
        <f>IF(AM71="","",z)</f>
        <v/>
      </c>
      <c r="AQ71" s="332" t="str">
        <f t="shared" si="2"/>
        <v/>
      </c>
      <c r="AR71" s="333" t="str">
        <f>IF(AM71="","",TRIM(SUBSTITUTE(_xlfn.TEXTJOIN(", ",TRUE,Filter!AL30,Filter!AR30,Filter!AX30,Filter!BD30),", 0","")))</f>
        <v/>
      </c>
      <c r="AS71" s="332" t="str" cm="1">
        <f t="array" ref="AS71">IF(AM71="","",_xlfn.TEXTJOIN(", ",TRUE,IF(BA71="","",ROUND(BA71*ConvertLength,1)),IF(BB71="","",ROUND(BB71*ConvertLength,1)),IF(BC71="","",ROUND(BC71*ConvertLength,1)),IF(BD71="","",ROUND(BD71*ConvertLength,1))))</f>
        <v/>
      </c>
      <c r="AT71" s="334" t="str" cm="1">
        <f t="array" ref="AT71">IFERROR(_xlfn.LET(
_xlpm.CaAa,   _xlfn.XLOOKUP(RIGHT(AM71, LEN(AM71)-4)&amp;ROW()-41,Calculations_APPURT[Model]&amp;ROW(Calculations_APPURT[Model]),Hazards_APPURT[Front CaAa],"",0,1),
_xlpm.qz,     _xlfn.XLOOKUP(RIGHT(AM71, LEN(AM71)-4)&amp;ROW()-41,Calculations_APPURT[Model]&amp;ROW(Calculations_APPURT[Model]),Hazards_APPURT[qz],"",0,1),
_xlpm.Ka,     0.9,
_xlpm.Kd,     _xlfn.XLOOKUP(RIGHT(AM71, LEN(AM71)-4)&amp;ROW()-41,Calculations_APPURT[Model]&amp;ROW(Calculations_APPURT[Model]),Hazards_APPURT[Kd],"",0,1),
_xlpm.Kes,    Kes.w,
_xlpm.CaAa*_xlpm.qz*_xlpm.Ka*_xlpm.Kd),"")</f>
        <v/>
      </c>
      <c r="AU71" s="334" t="str" cm="1">
        <f t="array" ref="AU71">IFERROR(_xlfn.LET(
_xlpm.CaAa,   _xlfn.XLOOKUP(RIGHT(AM71, LEN(AM71)-4)&amp;ROW()-41,Calculations_APPURT[Model]&amp;ROW(Calculations_APPURT[Model]),Hazards_APPURT[Side CaAa],"",0,1),
_xlpm.qz,     _xlfn.XLOOKUP(RIGHT(AM71, LEN(AM71)-4)&amp;ROW()-41,Calculations_APPURT[Model]&amp;ROW(Calculations_APPURT[Model]),Hazards_APPURT[qz],"",0,1),
_xlpm.Ka,     0.9,
_xlpm.Kd,     _xlfn.XLOOKUP(RIGHT(AM71, LEN(AM71)-4)&amp;ROW()-41,Calculations_APPURT[Model]&amp;ROW(Calculations_APPURT[Model]),Hazards_APPURT[Kd],"",0,1),
_xlpm.Kes,    Kes.w,
_xlpm.CaAa*_xlpm.qz*_xlpm.Ka*_xlpm.Kd),"")</f>
        <v/>
      </c>
      <c r="AW71" s="217" t="str">
        <f>IF(Filter!AN30=0,"",Filter!AN30)</f>
        <v/>
      </c>
      <c r="AX71" s="217" t="str">
        <f>IF(Filter!AT30=0,"",Filter!AT30)</f>
        <v/>
      </c>
      <c r="AY71" s="217" t="str">
        <f>IF(Filter!AZ30=0,"",Filter!AZ30)</f>
        <v/>
      </c>
      <c r="AZ71" s="217" t="str">
        <f>IF(Filter!BF30=0,"",Filter!BF30)</f>
        <v/>
      </c>
      <c r="BA71" s="140" t="str">
        <f>_xlfn.LET(
_xlpm.member, BA$39,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_xlfn.XLOOKUP(AW71, Geometry!$B:$B, Geometry!$M:$M, "", 0, 1),
_xlpm.Pj, _xlfn.XLOOKUP(AW71,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IF(BA$40="i+",0,_xlpm.length),0),""))</f>
        <v/>
      </c>
      <c r="BB71" s="140" t="str">
        <f>_xlfn.LET(
_xlpm.member, BB$39,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_xlfn.XLOOKUP(AX71, Geometry!$B:$B, Geometry!$M:$M, "", 0, 1),
_xlpm.Pj, _xlfn.XLOOKUP(AX71,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IF(BB$40="i+",0,_xlpm.length),0),""))</f>
        <v/>
      </c>
      <c r="BC71" s="140" t="str">
        <f>_xlfn.LET(
_xlpm.member, BC$39,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_xlfn.XLOOKUP(AY71, Geometry!$B:$B, Geometry!$M:$M, "", 0, 1),
_xlpm.Pj, _xlfn.XLOOKUP(AY71,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(_xlpm.Pxj - _xlpm.Mxj),
_xlpm.dz, (_xlpm.Pzj - _xlpm.Mzj),
IFERROR(ROUND((_xlpm.dx*_xlpm.ux + _xlpm.dz*_xlpm.uz) + IF(BC$40="i+",0,_xlpm.length),0),""))</f>
        <v/>
      </c>
      <c r="BD71" s="140" t="str">
        <f>_xlfn.LET(
_xlpm.member, BD$39,
_xlpm.angle, _xlfn.XLOOKUP(_xlpm.member, Geometry!$B:$B, Geometry!$P:$P, "", 0, 1),
_xlpm.length, _xlfn.XLOOKUP(_xlpm.member, Geometry!$B:$B, Geometry!$O:$O, "", 0, 1),
_xlpm.Mi, _xlfn.XLOOKUP(_xlpm.member, Geometry!$B:$B, Geometry!$M:$M, "", 0, 1),
_xlpm.Mj, _xlfn.XLOOKUP(_xlpm.member, Geometry!$B:$B, Geometry!$N:$N, "", 0, 1),
_xlpm.Mxi, _xlfn.XLOOKUP(_xlpm.Mi, Geometry!$S:$S, Geometry!$T:$T, "", 0, 1),
_xlpm.Mxj, _xlfn.XLOOKUP(_xlpm.Mj, Geometry!$S:$S, Geometry!$T:$T, "", 0, 1),
_xlpm.Mzi, _xlfn.XLOOKUP(_xlpm.Mi, Geometry!$S:$S, Geometry!$V:$V, "", 0, 1),
_xlpm.Mzj, _xlfn.XLOOKUP(_xlpm.Mj, Geometry!$S:$S, Geometry!$V:$V, "", 0, 1),
_xlpm.Pi, _xlfn.XLOOKUP(AZ71, Geometry!$B:$B, Geometry!$M:$M, "", 0, 1),
_xlpm.Pj, _xlfn.XLOOKUP(AZ71, Geometry!$B:$B, Geometry!$N:$N, "", 0, 1),
_xlpm.Pxi, _xlfn.XLOOKUP(_xlpm.Pi, Geometry!$S:$S, Geometry!$T:$T, "", 0, 1),
_xlpm.Pxj, _xlfn.XLOOKUP(_xlpm.Pj, Geometry!$S:$S, Geometry!$T:$T, "", 0, 1),
_xlpm.Pzi, _xlfn.XLOOKUP(_xlpm.Pi, Geometry!$S:$S, Geometry!$V:$V, "", 0, 1),
_xlpm.Pzj, _xlfn.XLOOKUP(_xlpm.Pj, Geometry!$S:$S, Geometry!$V:$V, "", 0, 1),
_xlpm.theta, RADIANS(_xlpm.angle),
_xlpm.ux, COS(_xlpm.theta),
_xlpm.uz, -SIN(_xlpm.theta),
_xlpm.dx, (_xlpm.Pxi - _xlpm.Mxj),
_xlpm.dz, (_xlpm.Pzi - _xlpm.Mzj),
IFERROR(ROUND((_xlpm.dx*_xlpm.ux + _xlpm.dz*_xlpm.uz) + IF(BD$40="i+",0,_xlpm.length),0),""))</f>
        <v/>
      </c>
      <c r="BE71" s="261" t="str">
        <f>IF(AM71="","",z + Filter!BN30/12 + Filter!BJ30/2/12)</f>
        <v/>
      </c>
      <c r="BF71" s="261" t="str">
        <f>IF(AM71="","",z + Filter!BN30/12 - Filter!BJ30/2/12)</f>
        <v/>
      </c>
    </row>
    <row r="72" spans="1:64" ht="15" customHeight="1" x14ac:dyDescent="0.2">
      <c r="O72" s="57"/>
      <c r="P72" s="118"/>
      <c r="Q72" s="57"/>
      <c r="R72" s="118"/>
      <c r="S72" s="57"/>
    </row>
    <row r="74" spans="1:64" ht="15" customHeight="1" x14ac:dyDescent="0.2">
      <c r="BL74" s="245"/>
    </row>
    <row r="75" spans="1:64" ht="15" customHeight="1" x14ac:dyDescent="0.2">
      <c r="BL75" s="245"/>
    </row>
    <row r="76" spans="1:64" ht="15" customHeight="1" x14ac:dyDescent="0.2">
      <c r="BL76" s="245"/>
    </row>
    <row r="77" spans="1:64" ht="15" customHeight="1" x14ac:dyDescent="0.2">
      <c r="BL77" s="245"/>
    </row>
    <row r="78" spans="1:64" ht="15" customHeight="1" x14ac:dyDescent="0.2">
      <c r="BL78" s="245"/>
    </row>
    <row r="79" spans="1:64" ht="15" customHeight="1" x14ac:dyDescent="0.2">
      <c r="BL79" s="245"/>
    </row>
    <row r="80" spans="1:64" ht="12.75" x14ac:dyDescent="0.2"/>
    <row r="104" ht="12.75" x14ac:dyDescent="0.2"/>
  </sheetData>
  <mergeCells count="458">
    <mergeCell ref="U71:V71"/>
    <mergeCell ref="AG7:AK7"/>
    <mergeCell ref="AG2:AK5"/>
    <mergeCell ref="U15:V15"/>
    <mergeCell ref="U17:V17"/>
    <mergeCell ref="U46:V46"/>
    <mergeCell ref="U48:V48"/>
    <mergeCell ref="U18:V18"/>
    <mergeCell ref="U19:V19"/>
    <mergeCell ref="U20:V20"/>
    <mergeCell ref="U21:V21"/>
    <mergeCell ref="U25:V25"/>
    <mergeCell ref="U35:V35"/>
    <mergeCell ref="U36:V36"/>
    <mergeCell ref="U37:V37"/>
    <mergeCell ref="U26:V26"/>
    <mergeCell ref="U27:V27"/>
    <mergeCell ref="U28:V28"/>
    <mergeCell ref="U29:V29"/>
    <mergeCell ref="U30:V30"/>
    <mergeCell ref="U31:V31"/>
    <mergeCell ref="U32:V32"/>
    <mergeCell ref="U33:V33"/>
    <mergeCell ref="U66:V66"/>
    <mergeCell ref="U67:V67"/>
    <mergeCell ref="U68:V68"/>
    <mergeCell ref="U69:V69"/>
    <mergeCell ref="U38:V38"/>
    <mergeCell ref="U57:V57"/>
    <mergeCell ref="U58:V58"/>
    <mergeCell ref="U59:V59"/>
    <mergeCell ref="U60:V60"/>
    <mergeCell ref="U61:V61"/>
    <mergeCell ref="U62:V62"/>
    <mergeCell ref="U63:V63"/>
    <mergeCell ref="U64:V64"/>
    <mergeCell ref="U65:V65"/>
    <mergeCell ref="U47:V47"/>
    <mergeCell ref="U49:V49"/>
    <mergeCell ref="U50:V50"/>
    <mergeCell ref="U51:V51"/>
    <mergeCell ref="U52:V52"/>
    <mergeCell ref="U53:V53"/>
    <mergeCell ref="U54:V54"/>
    <mergeCell ref="U55:V55"/>
    <mergeCell ref="U56:V56"/>
    <mergeCell ref="U40:V40"/>
    <mergeCell ref="AW19:AZ19"/>
    <mergeCell ref="BA19:BD19"/>
    <mergeCell ref="AW21:AZ21"/>
    <mergeCell ref="BA21:BD21"/>
    <mergeCell ref="AW36:BD36"/>
    <mergeCell ref="AW37:AZ37"/>
    <mergeCell ref="BC29:BD29"/>
    <mergeCell ref="BA26:BB26"/>
    <mergeCell ref="BC26:BD26"/>
    <mergeCell ref="AW22:AX22"/>
    <mergeCell ref="AY22:AZ22"/>
    <mergeCell ref="AW24:AX24"/>
    <mergeCell ref="AY24:AZ24"/>
    <mergeCell ref="AW23:AX23"/>
    <mergeCell ref="AY23:AZ23"/>
    <mergeCell ref="AW25:AX25"/>
    <mergeCell ref="AY25:AZ25"/>
    <mergeCell ref="U14:AK14"/>
    <mergeCell ref="U45:AK45"/>
    <mergeCell ref="W2:AB2"/>
    <mergeCell ref="W3:AB3"/>
    <mergeCell ref="W4:AB4"/>
    <mergeCell ref="W5:AB5"/>
    <mergeCell ref="W6:AB6"/>
    <mergeCell ref="W7:AB7"/>
    <mergeCell ref="U10:AK10"/>
    <mergeCell ref="U12:AK13"/>
    <mergeCell ref="U43:AK44"/>
    <mergeCell ref="U39:V39"/>
    <mergeCell ref="U22:V22"/>
    <mergeCell ref="U23:V23"/>
    <mergeCell ref="U24:V24"/>
    <mergeCell ref="U16:V16"/>
    <mergeCell ref="U34:V34"/>
    <mergeCell ref="AX16:AZ16"/>
    <mergeCell ref="BB16:BD16"/>
    <mergeCell ref="AM53:AO53"/>
    <mergeCell ref="AM52:AO52"/>
    <mergeCell ref="BA27:BB27"/>
    <mergeCell ref="BC27:BD27"/>
    <mergeCell ref="AW26:AX26"/>
    <mergeCell ref="AY26:AZ26"/>
    <mergeCell ref="AW27:AX27"/>
    <mergeCell ref="AY27:AZ27"/>
    <mergeCell ref="AW42:AZ42"/>
    <mergeCell ref="BA34:BD34"/>
    <mergeCell ref="AY20:AZ20"/>
    <mergeCell ref="BC20:BD20"/>
    <mergeCell ref="BA20:BB20"/>
    <mergeCell ref="AW20:AX20"/>
    <mergeCell ref="AW38:AZ38"/>
    <mergeCell ref="AW39:AZ39"/>
    <mergeCell ref="AW41:AZ41"/>
    <mergeCell ref="AW40:AZ40"/>
    <mergeCell ref="AW28:BD28"/>
    <mergeCell ref="AW29:AX29"/>
    <mergeCell ref="BA29:BB29"/>
    <mergeCell ref="AY29:AZ29"/>
    <mergeCell ref="BE43:BF43"/>
    <mergeCell ref="AM51:AO51"/>
    <mergeCell ref="AM50:AO50"/>
    <mergeCell ref="AM49:AO49"/>
    <mergeCell ref="AM48:AO48"/>
    <mergeCell ref="AM47:AO47"/>
    <mergeCell ref="AM46:AO46"/>
    <mergeCell ref="AM45:AO45"/>
    <mergeCell ref="AM44:AO44"/>
    <mergeCell ref="AM43:AU43"/>
    <mergeCell ref="AM71:AO71"/>
    <mergeCell ref="AM70:AO70"/>
    <mergeCell ref="AM69:AO69"/>
    <mergeCell ref="AM68:AO68"/>
    <mergeCell ref="AM67:AO67"/>
    <mergeCell ref="AM66:AO66"/>
    <mergeCell ref="AM65:AO65"/>
    <mergeCell ref="AM64:AO64"/>
    <mergeCell ref="AM63:AO63"/>
    <mergeCell ref="AM62:AO62"/>
    <mergeCell ref="AM61:AO61"/>
    <mergeCell ref="AM60:AO60"/>
    <mergeCell ref="AM59:AO59"/>
    <mergeCell ref="AM58:AO58"/>
    <mergeCell ref="AM57:AO57"/>
    <mergeCell ref="AM56:AO56"/>
    <mergeCell ref="AM55:AO55"/>
    <mergeCell ref="AW44:AZ44"/>
    <mergeCell ref="AM54:AO54"/>
    <mergeCell ref="BG40:BQ61"/>
    <mergeCell ref="AW43:BD43"/>
    <mergeCell ref="AM18:AP37"/>
    <mergeCell ref="AR18:AU37"/>
    <mergeCell ref="AM41:AN42"/>
    <mergeCell ref="BG39:BQ39"/>
    <mergeCell ref="AW31:AZ31"/>
    <mergeCell ref="BA31:BD31"/>
    <mergeCell ref="AW32:AZ32"/>
    <mergeCell ref="BA32:BD32"/>
    <mergeCell ref="AW34:AZ34"/>
    <mergeCell ref="AW33:AZ33"/>
    <mergeCell ref="BA33:BD33"/>
    <mergeCell ref="AW30:BD30"/>
    <mergeCell ref="AW35:AZ35"/>
    <mergeCell ref="BA35:BD35"/>
    <mergeCell ref="BA22:BB22"/>
    <mergeCell ref="BC22:BD22"/>
    <mergeCell ref="BA24:BB24"/>
    <mergeCell ref="BC24:BD24"/>
    <mergeCell ref="BA23:BB23"/>
    <mergeCell ref="BC23:BD23"/>
    <mergeCell ref="BA25:BB25"/>
    <mergeCell ref="BC25:BD25"/>
    <mergeCell ref="AO3:AP3"/>
    <mergeCell ref="AO2:AP2"/>
    <mergeCell ref="AO4:AP4"/>
    <mergeCell ref="AO5:AP5"/>
    <mergeCell ref="AM10:AU10"/>
    <mergeCell ref="AO7:AP7"/>
    <mergeCell ref="AS7:AU7"/>
    <mergeCell ref="AO6:AP6"/>
    <mergeCell ref="AM15:AP15"/>
    <mergeCell ref="AR15:AU15"/>
    <mergeCell ref="AS2:AU5"/>
    <mergeCell ref="AR12:AS13"/>
    <mergeCell ref="AM12:AN13"/>
    <mergeCell ref="AM14:AP14"/>
    <mergeCell ref="AR14:AU14"/>
    <mergeCell ref="Q38:S39"/>
    <mergeCell ref="AW14:BD14"/>
    <mergeCell ref="AW15:BD15"/>
    <mergeCell ref="AW18:AZ18"/>
    <mergeCell ref="BA18:BD18"/>
    <mergeCell ref="G61:I69"/>
    <mergeCell ref="H33:I33"/>
    <mergeCell ref="F39:I39"/>
    <mergeCell ref="F38:I38"/>
    <mergeCell ref="H32:I32"/>
    <mergeCell ref="F27:G27"/>
    <mergeCell ref="F18:G18"/>
    <mergeCell ref="H18:I18"/>
    <mergeCell ref="F19:G19"/>
    <mergeCell ref="F25:G25"/>
    <mergeCell ref="H25:I25"/>
    <mergeCell ref="H27:I27"/>
    <mergeCell ref="F32:G32"/>
    <mergeCell ref="F29:G29"/>
    <mergeCell ref="P23:Q23"/>
    <mergeCell ref="F22:I22"/>
    <mergeCell ref="K23:L23"/>
    <mergeCell ref="R23:S23"/>
    <mergeCell ref="P24:Q24"/>
    <mergeCell ref="K40:S40"/>
    <mergeCell ref="S41:S42"/>
    <mergeCell ref="R41:R42"/>
    <mergeCell ref="Q41:Q42"/>
    <mergeCell ref="P41:P42"/>
    <mergeCell ref="M43:N43"/>
    <mergeCell ref="A47:B47"/>
    <mergeCell ref="C44:D44"/>
    <mergeCell ref="A46:B46"/>
    <mergeCell ref="O41:O42"/>
    <mergeCell ref="F44:G44"/>
    <mergeCell ref="H46:I46"/>
    <mergeCell ref="A45:D45"/>
    <mergeCell ref="A44:B44"/>
    <mergeCell ref="H47:I47"/>
    <mergeCell ref="C47:D47"/>
    <mergeCell ref="F47:G47"/>
    <mergeCell ref="F45:I45"/>
    <mergeCell ref="H44:I44"/>
    <mergeCell ref="M68:N68"/>
    <mergeCell ref="K59:L59"/>
    <mergeCell ref="M47:N47"/>
    <mergeCell ref="K48:L48"/>
    <mergeCell ref="M48:N48"/>
    <mergeCell ref="C46:D46"/>
    <mergeCell ref="F43:G43"/>
    <mergeCell ref="A43:B43"/>
    <mergeCell ref="C43:D43"/>
    <mergeCell ref="H43:I43"/>
    <mergeCell ref="A65:C65"/>
    <mergeCell ref="A64:C64"/>
    <mergeCell ref="A63:C63"/>
    <mergeCell ref="A62:C62"/>
    <mergeCell ref="K60:L60"/>
    <mergeCell ref="A61:C61"/>
    <mergeCell ref="M60:N60"/>
    <mergeCell ref="K56:L56"/>
    <mergeCell ref="M61:N61"/>
    <mergeCell ref="K61:L61"/>
    <mergeCell ref="M58:N58"/>
    <mergeCell ref="K49:L49"/>
    <mergeCell ref="K52:L52"/>
    <mergeCell ref="F46:G46"/>
    <mergeCell ref="R18:S18"/>
    <mergeCell ref="P15:S15"/>
    <mergeCell ref="K14:N14"/>
    <mergeCell ref="K21:N21"/>
    <mergeCell ref="K19:L19"/>
    <mergeCell ref="M19:N19"/>
    <mergeCell ref="K15:N15"/>
    <mergeCell ref="R20:S20"/>
    <mergeCell ref="K16:L16"/>
    <mergeCell ref="M16:N16"/>
    <mergeCell ref="P21:Q21"/>
    <mergeCell ref="R21:S21"/>
    <mergeCell ref="P16:Q16"/>
    <mergeCell ref="P17:Q17"/>
    <mergeCell ref="P19:Q19"/>
    <mergeCell ref="K26:L26"/>
    <mergeCell ref="M26:N26"/>
    <mergeCell ref="K27:L27"/>
    <mergeCell ref="M27:N27"/>
    <mergeCell ref="K25:N25"/>
    <mergeCell ref="K20:L20"/>
    <mergeCell ref="M20:N20"/>
    <mergeCell ref="K22:L22"/>
    <mergeCell ref="M22:N22"/>
    <mergeCell ref="M23:N23"/>
    <mergeCell ref="K24:L24"/>
    <mergeCell ref="M24:N24"/>
    <mergeCell ref="K29:L29"/>
    <mergeCell ref="C24:D24"/>
    <mergeCell ref="K18:L18"/>
    <mergeCell ref="M18:N18"/>
    <mergeCell ref="P22:Q22"/>
    <mergeCell ref="H24:I24"/>
    <mergeCell ref="H20:I20"/>
    <mergeCell ref="K17:L17"/>
    <mergeCell ref="H23:I23"/>
    <mergeCell ref="F23:G23"/>
    <mergeCell ref="F21:G21"/>
    <mergeCell ref="H21:I21"/>
    <mergeCell ref="F20:G20"/>
    <mergeCell ref="H19:I19"/>
    <mergeCell ref="F17:G17"/>
    <mergeCell ref="H17:I17"/>
    <mergeCell ref="P20:Q20"/>
    <mergeCell ref="M17:N17"/>
    <mergeCell ref="C27:D27"/>
    <mergeCell ref="P18:Q18"/>
    <mergeCell ref="M29:N29"/>
    <mergeCell ref="P29:S29"/>
    <mergeCell ref="R22:S22"/>
    <mergeCell ref="R19:S19"/>
    <mergeCell ref="F26:I26"/>
    <mergeCell ref="F30:G30"/>
    <mergeCell ref="H31:I31"/>
    <mergeCell ref="F31:G31"/>
    <mergeCell ref="F40:G40"/>
    <mergeCell ref="H28:I28"/>
    <mergeCell ref="H29:I29"/>
    <mergeCell ref="H30:I30"/>
    <mergeCell ref="A29:D29"/>
    <mergeCell ref="A35:B35"/>
    <mergeCell ref="A38:B38"/>
    <mergeCell ref="C38:D38"/>
    <mergeCell ref="F34:G34"/>
    <mergeCell ref="F33:G33"/>
    <mergeCell ref="A39:B39"/>
    <mergeCell ref="H34:I34"/>
    <mergeCell ref="C31:D31"/>
    <mergeCell ref="F28:G28"/>
    <mergeCell ref="C36:D36"/>
    <mergeCell ref="H40:I40"/>
    <mergeCell ref="A40:D40"/>
    <mergeCell ref="A36:B36"/>
    <mergeCell ref="A37:B37"/>
    <mergeCell ref="C37:D37"/>
    <mergeCell ref="F16:G16"/>
    <mergeCell ref="H16:I16"/>
    <mergeCell ref="F24:G24"/>
    <mergeCell ref="M2:N2"/>
    <mergeCell ref="M3:N3"/>
    <mergeCell ref="C7:D7"/>
    <mergeCell ref="C6:D6"/>
    <mergeCell ref="C5:D5"/>
    <mergeCell ref="C4:D4"/>
    <mergeCell ref="C3:D3"/>
    <mergeCell ref="K10:S10"/>
    <mergeCell ref="Q7:S7"/>
    <mergeCell ref="M4:N4"/>
    <mergeCell ref="M5:N5"/>
    <mergeCell ref="M6:N6"/>
    <mergeCell ref="M7:N7"/>
    <mergeCell ref="C2:D2"/>
    <mergeCell ref="G7:I7"/>
    <mergeCell ref="C10:G10"/>
    <mergeCell ref="G2:I5"/>
    <mergeCell ref="Q2:S5"/>
    <mergeCell ref="P14:S14"/>
    <mergeCell ref="R16:S16"/>
    <mergeCell ref="R17:S17"/>
    <mergeCell ref="A14:D14"/>
    <mergeCell ref="C22:D22"/>
    <mergeCell ref="A16:B16"/>
    <mergeCell ref="C16:D16"/>
    <mergeCell ref="C30:D30"/>
    <mergeCell ref="A18:B18"/>
    <mergeCell ref="C18:D18"/>
    <mergeCell ref="A19:B19"/>
    <mergeCell ref="A24:B24"/>
    <mergeCell ref="C28:D28"/>
    <mergeCell ref="A21:B21"/>
    <mergeCell ref="A27:B27"/>
    <mergeCell ref="A26:B26"/>
    <mergeCell ref="C26:D26"/>
    <mergeCell ref="A23:B23"/>
    <mergeCell ref="C23:D23"/>
    <mergeCell ref="A28:B28"/>
    <mergeCell ref="A25:B25"/>
    <mergeCell ref="C25:D25"/>
    <mergeCell ref="A22:B22"/>
    <mergeCell ref="C21:D21"/>
    <mergeCell ref="C17:D17"/>
    <mergeCell ref="A17:B17"/>
    <mergeCell ref="M34:N34"/>
    <mergeCell ref="K35:L35"/>
    <mergeCell ref="M35:N35"/>
    <mergeCell ref="K62:L62"/>
    <mergeCell ref="M62:N62"/>
    <mergeCell ref="K63:L63"/>
    <mergeCell ref="M63:N63"/>
    <mergeCell ref="K57:L57"/>
    <mergeCell ref="M56:N56"/>
    <mergeCell ref="M57:N57"/>
    <mergeCell ref="K58:L58"/>
    <mergeCell ref="K36:L36"/>
    <mergeCell ref="M36:N36"/>
    <mergeCell ref="M59:N59"/>
    <mergeCell ref="K44:L44"/>
    <mergeCell ref="M44:N44"/>
    <mergeCell ref="M51:N51"/>
    <mergeCell ref="M55:N55"/>
    <mergeCell ref="M52:N52"/>
    <mergeCell ref="K51:L51"/>
    <mergeCell ref="K50:L50"/>
    <mergeCell ref="K45:L45"/>
    <mergeCell ref="M50:N50"/>
    <mergeCell ref="K53:L53"/>
    <mergeCell ref="C35:D35"/>
    <mergeCell ref="M71:N71"/>
    <mergeCell ref="K71:L71"/>
    <mergeCell ref="K69:L69"/>
    <mergeCell ref="M69:N69"/>
    <mergeCell ref="K70:L70"/>
    <mergeCell ref="M70:N70"/>
    <mergeCell ref="K64:L64"/>
    <mergeCell ref="M64:N64"/>
    <mergeCell ref="K65:L65"/>
    <mergeCell ref="M65:N65"/>
    <mergeCell ref="K66:L66"/>
    <mergeCell ref="M66:N66"/>
    <mergeCell ref="K67:L67"/>
    <mergeCell ref="M67:N67"/>
    <mergeCell ref="K68:L68"/>
    <mergeCell ref="M53:N53"/>
    <mergeCell ref="K54:L54"/>
    <mergeCell ref="M54:N54"/>
    <mergeCell ref="K55:L55"/>
    <mergeCell ref="A69:C69"/>
    <mergeCell ref="A68:C68"/>
    <mergeCell ref="A67:C67"/>
    <mergeCell ref="A66:C66"/>
    <mergeCell ref="A32:D32"/>
    <mergeCell ref="M28:N28"/>
    <mergeCell ref="K30:N30"/>
    <mergeCell ref="K28:L28"/>
    <mergeCell ref="M41:N42"/>
    <mergeCell ref="K41:L42"/>
    <mergeCell ref="K33:L33"/>
    <mergeCell ref="F41:G41"/>
    <mergeCell ref="F42:I42"/>
    <mergeCell ref="H41:I41"/>
    <mergeCell ref="K31:L31"/>
    <mergeCell ref="M31:N31"/>
    <mergeCell ref="K32:L32"/>
    <mergeCell ref="M32:N32"/>
    <mergeCell ref="M33:N33"/>
    <mergeCell ref="K38:M39"/>
    <mergeCell ref="A31:B31"/>
    <mergeCell ref="A30:B30"/>
    <mergeCell ref="C39:D39"/>
    <mergeCell ref="A33:B33"/>
    <mergeCell ref="K34:L34"/>
    <mergeCell ref="A34:B34"/>
    <mergeCell ref="C33:D33"/>
    <mergeCell ref="C34:D34"/>
    <mergeCell ref="U70:V70"/>
    <mergeCell ref="AX17:AZ17"/>
    <mergeCell ref="BB17:BD17"/>
    <mergeCell ref="A12:B13"/>
    <mergeCell ref="F12:G13"/>
    <mergeCell ref="F36:G37"/>
    <mergeCell ref="K12:L13"/>
    <mergeCell ref="P27:Q28"/>
    <mergeCell ref="P12:R13"/>
    <mergeCell ref="K43:L43"/>
    <mergeCell ref="R24:S24"/>
    <mergeCell ref="A42:B42"/>
    <mergeCell ref="C42:D42"/>
    <mergeCell ref="A41:B41"/>
    <mergeCell ref="C41:D41"/>
    <mergeCell ref="A15:D15"/>
    <mergeCell ref="F14:I14"/>
    <mergeCell ref="F15:I15"/>
    <mergeCell ref="A20:D20"/>
    <mergeCell ref="M49:N49"/>
    <mergeCell ref="M45:N45"/>
    <mergeCell ref="K46:L46"/>
    <mergeCell ref="M46:N46"/>
    <mergeCell ref="K47:L47"/>
  </mergeCells>
  <phoneticPr fontId="6" type="noConversion"/>
  <conditionalFormatting sqref="A45:D47">
    <cfRule type="expression" dxfId="689" priority="56">
      <formula>IF(OR(TIA="ANSI/TIA-222-H",TIA="ANSI/TIA-222-I"),FALSE,TRUE)</formula>
    </cfRule>
  </conditionalFormatting>
  <conditionalFormatting sqref="F26:I34">
    <cfRule type="expression" dxfId="688" priority="26">
      <formula>IF(NOT($H$24="Rooftop"),TRUE,FALSE)</formula>
    </cfRule>
  </conditionalFormatting>
  <conditionalFormatting sqref="Q38">
    <cfRule type="expression" dxfId="687" priority="36">
      <formula>IF(MAX($P$43:$P$71,$R$43:$R$71)&gt;1.05,TRUE,FALSE)</formula>
    </cfRule>
  </conditionalFormatting>
  <conditionalFormatting sqref="K43:S71">
    <cfRule type="expression" dxfId="686" priority="60">
      <formula>IF($S43="Fail",TRUE,FALSE)</formula>
    </cfRule>
  </conditionalFormatting>
  <conditionalFormatting sqref="A28:D28">
    <cfRule type="expression" dxfId="685" priority="1">
      <formula>IF(RIGHT(TIA,1)&lt;&gt;"H",FALSE,TRUE)</formula>
    </cfRule>
  </conditionalFormatting>
  <conditionalFormatting sqref="C2:D7 G7:I7 C16:D19 C21:D22 C30:D31 C33:D39 C41:D44 H16:I21 H23:I25 H27:I32 AY20:AZ20 BC20:BD20 AW27:BD27 AY29:AZ29 BC29:BD29 BA38:BD40 C24:D28">
    <cfRule type="containsBlanks" dxfId="684" priority="61">
      <formula>LEN(TRIM(C2))=0</formula>
    </cfRule>
  </conditionalFormatting>
  <dataValidations xWindow="472" yWindow="588" count="24">
    <dataValidation type="list" allowBlank="1" showInputMessage="1" showErrorMessage="1" sqref="G7 Q7 AS7 AG7" xr:uid="{BB1BFA76-B01B-4D00-A0F8-2C9F7DEBB42A}">
      <formula1>Offices</formula1>
    </dataValidation>
    <dataValidation allowBlank="1" prompt="Select IBC Code (Overwrite if other code is used)" sqref="C22:C23 C33:C34 C25 C30:C31 C27:C28" xr:uid="{D9E87F54-7FBB-4697-95E0-4C2C851BB979}"/>
    <dataValidation type="list" allowBlank="1" prompt="Select IBC Code (Overwrite if other code is used)" sqref="C21" xr:uid="{11B093FD-D383-45EE-A9B0-649743E499C0}">
      <formula1>"I,II,III,IV"</formula1>
    </dataValidation>
    <dataValidation type="list" allowBlank="1" showInputMessage="1" sqref="H20:I20" xr:uid="{A7D63AA6-5F7F-4574-9013-F5680A28F382}">
      <formula1>"Existing,Proposed"</formula1>
    </dataValidation>
    <dataValidation type="list" allowBlank="1" showInputMessage="1" promptTitle="Required for Calculations" prompt="Input the total number of sectors currently modeled in RISA-3D." sqref="H19:I19" xr:uid="{1BC49F6D-561D-4F8E-9BCD-F08F6BEA35E8}">
      <formula1>"1,2,3,4"</formula1>
    </dataValidation>
    <dataValidation type="list" allowBlank="1" showInputMessage="1" sqref="H24:I24" xr:uid="{F36B2573-86DF-447D-9A69-B4DE45F502E4}">
      <formula1>"Monopole, Self-Support, Guyed, Water Tank, Rooftop, Concealment, Other (Overwrite)"</formula1>
    </dataValidation>
    <dataValidation type="list" allowBlank="1" showErrorMessage="1" prompt="Select IBC Code (Overwrite if other code is used)" sqref="C28:D28" xr:uid="{EFE39153-B022-40EE-BD86-CA40B121D823}">
      <formula1>"Yes,No"</formula1>
    </dataValidation>
    <dataValidation type="list" allowBlank="1" showInputMessage="1" showErrorMessage="1" sqref="K38" xr:uid="{E0E328E7-A817-42BD-8857-67CA6096E4F2}">
      <formula1>"Results, Results - Envelope Solution, Results - Batch Solution"</formula1>
    </dataValidation>
    <dataValidation type="list" allowBlank="1" showInputMessage="1" sqref="C26:D26" xr:uid="{4BBCD2C2-7CDE-4FEE-9864-E6A1E21B10EE}">
      <formula1>"Method 1, Method 2, Rigorous, N/A"</formula1>
    </dataValidation>
    <dataValidation type="list" allowBlank="1" showInputMessage="1" showErrorMessage="1" sqref="C35:D35" xr:uid="{A7D3B563-EB32-4876-B991-EC194BD757A5}">
      <formula1>SiteSoilClass</formula1>
    </dataValidation>
    <dataValidation allowBlank="1" showInputMessage="1" showErrorMessage="1" prompt="Update as needed._x000a__x000a_Default to:_x000a_Lm = 500 lbf" sqref="C41:D41" xr:uid="{55F9A4C7-7A16-4AC1-85F1-CD017C084D57}"/>
    <dataValidation allowBlank="1" showInputMessage="1" showErrorMessage="1" prompt="Update as needed._x000a__x000a_Default to:_x000a_Lv = 250 lbf" sqref="C42:D42" xr:uid="{07AADACD-7C4C-4117-BCD1-445A22589F97}"/>
    <dataValidation type="list" allowBlank="1" showInputMessage="1" promptTitle="For Reference Only" prompt="Input the total number of sectors that are or will be installed." sqref="H18:I18" xr:uid="{F8FF7268-BA68-43C8-86E4-656F67355200}">
      <formula1>"1,2,3,4"</formula1>
    </dataValidation>
    <dataValidation type="list" allowBlank="1" showInputMessage="1" showErrorMessage="1" prompt="Supporting structure refers to structures, such as a tower, water tank, etc., connected to another structure, such as a building. _x000a__x000a_If the structure is ground supported, select No. If the structure is bracketed or installed on a rooftop, select Yes." sqref="H25:I25" xr:uid="{FCC91ACE-E3B9-4291-A74E-B58449B4D2FA}">
      <formula1>"Yes,No"</formula1>
    </dataValidation>
    <dataValidation type="list" allowBlank="1" showInputMessage="1" sqref="H17:I17" xr:uid="{D6FFC0FB-196B-4B2B-A2AF-64D399DA9041}">
      <formula1>"Sector Frame,Platform,T-Frame,T-Arm,Standoff,Pipe Mount,Sled,Ballast Sled, Tripod, Wall Mount,Corral,Catwalk,Other,Other (Overwrite)"</formula1>
    </dataValidation>
    <dataValidation allowBlank="1" showInputMessage="1" sqref="AW45:AZ71" xr:uid="{3742D6DB-292A-42D7-AE6D-5D492DBB97CB}"/>
    <dataValidation type="list" allowBlank="1" showInputMessage="1" showErrorMessage="1" sqref="B2" xr:uid="{B870A132-5ECA-4343-A928-39914BD5C687}">
      <formula1>"NB+C Project Number:, TKK Project Number:"</formula1>
    </dataValidation>
    <dataValidation allowBlank="1" showInputMessage="1" showErrorMessage="1" prompt="Please use drop down to the left to select:_x000a_&quot;NB+C&quot; or &quot;TKK&quot;" sqref="C2:D2" xr:uid="{CBB7CDCE-DBE5-4A97-880A-CFFF0DF26E82}"/>
    <dataValidation type="list" allowBlank="1" showInputMessage="1" sqref="C4:D4" xr:uid="{0A41EDB3-5F0C-4E13-ABD3-E052DB5D113B}">
      <formula1>"AT&amp;T, Dish, Shentel, T-Mobile, Verizon, Ericsson, Motorola, Amazon, Other (Overwrite)"</formula1>
    </dataValidation>
    <dataValidation allowBlank="1" showInputMessage="1" showErrorMessage="1" promptTitle="Only for Platforms or Walkways" prompt="Update as needed." sqref="C43:D44" xr:uid="{DD877AAE-3F8F-4920-88A9-453BA27ABA79}"/>
    <dataValidation type="list" allowBlank="1" showInputMessage="1" showErrorMessage="1" promptTitle="Work In Progress" prompt="New load combinations (LC) will be added in the future for rooftop and water tank loading._x000a__x000a_Current LCs reflect tower mount analyses but with the option of using TIA MA &amp; SA (for tower analyses that require RISA-3D), ASCE LRFD &amp; ASD, or IBC LRFD &amp; ASD." sqref="C19" xr:uid="{5A01EC75-0D6A-45F6-9D36-09DD00D2ED3D}">
      <formula1>"TIA, ASCE 7, IBC"</formula1>
    </dataValidation>
    <dataValidation type="list" allowBlank="1" showInputMessage="1" showErrorMessage="1" prompt="Please refer to ANSI/TIA-222, Figure 2-2 for parameters required on rooftop mount analyses._x000a__x000a_For your convenience, you may refer to tab &quot;TIA-222, Fig. 2-2&quot; below." sqref="H27:I27" xr:uid="{275990A3-8F81-42B6-9ED1-E9207E59675F}">
      <formula1>"Yes,No"</formula1>
    </dataValidation>
    <dataValidation type="list" allowBlank="1" showInputMessage="1" showErrorMessage="1" promptTitle="Modeled Member Orientation" prompt="Positive direction is right to left / top to bottom._x000a__x000a_i+ = Member is drawn from right to left / top to bottom_x000a_        (from positive to negative)_x000a__x000a_i- = Member is drawn from left to right / bottom to top_x000a_       (from positive to negative)" sqref="BA40:BD40" xr:uid="{2A3360C8-85CA-4F41-9F55-60179F6F17F1}">
      <formula1>"i+, i-"</formula1>
    </dataValidation>
    <dataValidation type="list" allowBlank="1" showInputMessage="1" showErrorMessage="1" sqref="AI49:AI71 AI47" xr:uid="{ACA9C0E5-783F-45DF-9A39-3449C1EB75A5}">
      <formula1>"TIA, CFD"</formula1>
    </dataValidation>
  </dataValidations>
  <pageMargins left="0.25" right="0.25" top="0.25" bottom="0.25" header="0.125" footer="0.125"/>
  <pageSetup scale="72" fitToWidth="0" orientation="portrait" r:id="rId1"/>
  <headerFooter>
    <oddFooter xml:space="preserve">&amp;L&amp;"-,Regular"&amp;D&amp;R&amp;"-,Regular"&amp;F    </oddFooter>
  </headerFooter>
  <colBreaks count="2" manualBreakCount="2">
    <brk id="9" max="1048575" man="1"/>
    <brk id="10" max="69" man="1"/>
  </colBreaks>
  <drawing r:id="rId2"/>
  <legacyDrawing r:id="rId3"/>
  <controls>
    <mc:AlternateContent xmlns:mc="http://schemas.openxmlformats.org/markup-compatibility/2006">
      <mc:Choice Requires="x14">
        <control shapeId="2071" r:id="rId4" name="CommandButton1">
          <controlPr defaultSize="0" print="0" autoLine="0" autoPict="0" r:id="rId5">
            <anchor moveWithCells="1">
              <from>
                <xdr:col>45</xdr:col>
                <xdr:colOff>142875</xdr:colOff>
                <xdr:row>8</xdr:row>
                <xdr:rowOff>95250</xdr:rowOff>
              </from>
              <to>
                <xdr:col>47</xdr:col>
                <xdr:colOff>0</xdr:colOff>
                <xdr:row>9</xdr:row>
                <xdr:rowOff>295275</xdr:rowOff>
              </to>
            </anchor>
          </controlPr>
        </control>
      </mc:Choice>
      <mc:Fallback>
        <control shapeId="2071" r:id="rId4" name="CommandButton1"/>
      </mc:Fallback>
    </mc:AlternateContent>
    <mc:AlternateContent xmlns:mc="http://schemas.openxmlformats.org/markup-compatibility/2006">
      <mc:Choice Requires="x14">
        <control shapeId="2058" r:id="rId6" name="ButtonID">
          <controlPr defaultSize="0" print="0" autoFill="0" autoPict="0" macro="[0]!ButtonID_Click">
            <anchor moveWithCells="1" sizeWithCells="1">
              <from>
                <xdr:col>4</xdr:col>
                <xdr:colOff>485775</xdr:colOff>
                <xdr:row>0</xdr:row>
                <xdr:rowOff>180975</xdr:rowOff>
              </from>
              <to>
                <xdr:col>5</xdr:col>
                <xdr:colOff>885825</xdr:colOff>
                <xdr:row>3</xdr:row>
                <xdr:rowOff>0</xdr:rowOff>
              </to>
            </anchor>
          </controlPr>
        </control>
      </mc:Choice>
    </mc:AlternateContent>
  </controls>
  <extLst>
    <ext xmlns:x14="http://schemas.microsoft.com/office/spreadsheetml/2009/9/main" uri="{CCE6A557-97BC-4b89-ADB6-D9C93CAAB3DF}">
      <x14:dataValidations xmlns:xm="http://schemas.microsoft.com/office/excel/2006/main" xWindow="472" yWindow="588" count="10">
        <x14:dataValidation type="list" allowBlank="1" prompt="Custom options, such as state building codes, may be input." xr:uid="{262D496E-3D78-44DF-81AF-C03AB78D2846}">
          <x14:formula1>
            <xm:f>Meta!$B$1:$B$7</xm:f>
          </x14:formula1>
          <xm:sqref>C16:D16</xm:sqref>
        </x14:dataValidation>
        <x14:dataValidation type="list" allowBlank="1" showInputMessage="1" promptTitle="Exposure Category" prompt="Selecting exposure category &quot;BC&quot; only applies to ANSI/TIA-222-I and should not be used with previous editions of the ANSI/TIA-222 standard. Doing so will result in errors." xr:uid="{32578694-17D5-45F7-A6D2-A7739511424A}">
          <x14:formula1>
            <xm:f>Meta!$A$1:$A$4</xm:f>
          </x14:formula1>
          <xm:sqref>C24:D24</xm:sqref>
        </x14:dataValidation>
        <x14:dataValidation type="list" allowBlank="1" prompt="Select ASCE Code" xr:uid="{9A4C6D4E-623E-4737-B899-181ACA346CBA}">
          <x14:formula1>
            <xm:f>Meta!$C$1:$C$4</xm:f>
          </x14:formula1>
          <xm:sqref>C17:D17</xm:sqref>
        </x14:dataValidation>
        <x14:dataValidation type="list" allowBlank="1" showErrorMessage="1" prompt="Select TIA Code" xr:uid="{D180E29A-90AB-4549-9A4B-6504387C6150}">
          <x14:formula1>
            <xm:f>Meta!$D$1:$D$3</xm:f>
          </x14:formula1>
          <xm:sqref>C18:D18</xm:sqref>
        </x14:dataValidation>
        <x14:dataValidation type="list" allowBlank="1" showInputMessage="1" promptTitle="Required for Placement Diagrams" prompt="Please input a reference node or joint from the RISA-3D model. This will be used for all mount configurations._x000a__x000a_For best results, it is recommended to add a node with the coordinates of (0, 0, 0)." xr:uid="{648D5873-D1E9-41FB-AE01-732A4C8CF587}">
          <x14:formula1>
            <xm:f>Geometry!$S$6:$S$227</xm:f>
          </x14:formula1>
          <xm:sqref>H21:I21</xm:sqref>
        </x14:dataValidation>
        <x14:dataValidation type="list" allowBlank="1" showInputMessage="1" xr:uid="{5A373EA7-3A58-48B7-A5D0-8A45E7BB4925}">
          <x14:formula1>
            <xm:f>Meta!$F$1:$F$2</xm:f>
          </x14:formula1>
          <xm:sqref>C3:D3</xm:sqref>
        </x14:dataValidation>
        <x14:dataValidation type="list" allowBlank="1" showInputMessage="1" showErrorMessage="1" prompt="Use the Main Horizontal Bottom dropdown for position spacing and edge distance calculations." xr:uid="{41A9513F-F7EA-48F0-945E-2670AE53FA14}">
          <x14:formula1>
            <xm:f>Geometry!$B:$B</xm:f>
          </x14:formula1>
          <xm:sqref>BA38:BD40</xm:sqref>
        </x14:dataValidation>
        <x14:dataValidation type="list" allowBlank="1" showInputMessage="1" showErrorMessage="1" xr:uid="{AAABAAC6-BDAF-432E-BB68-A7398C107E15}">
          <x14:formula1>
            <xm:f>Geometry!$B$6:$B$227</xm:f>
          </x14:formula1>
          <xm:sqref>BO75:BO79</xm:sqref>
        </x14:dataValidation>
        <x14:dataValidation type="list" allowBlank="1" showInputMessage="1" showErrorMessage="1" promptTitle="Work In Progress" prompt="New load combinations (LC) will be added in the future for rooftop and water tank loading._x000a__x000a_Current LCs reflect tower mount analyses but with the option of using TIA MA &amp; SA (for tower analyses that require RISA-3D), ASCE LRFD &amp; ASD, or IBC LRFD &amp; ASD." xr:uid="{B726AD48-EF6A-48AE-A16B-2ED61475A1C2}">
          <x14:formula1>
            <xm:f>Meta!$O$4:$O$6</xm:f>
          </x14:formula1>
          <xm:sqref>D19</xm:sqref>
        </x14:dataValidation>
        <x14:dataValidation type="list" allowBlank="1" showInputMessage="1" showErrorMessage="1" xr:uid="{8FF7CAD9-38D9-45EF-A9CA-26F6AB4C03ED}">
          <x14:formula1>
            <xm:f>Meta!$O$7:$O$8</xm:f>
          </x14:formula1>
          <xm:sqref>A23:B23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BB644-B0ED-47C1-BB34-159034B3D98D}">
  <sheetPr codeName="shGeometry">
    <tabColor theme="4"/>
  </sheetPr>
  <dimension ref="A1:BG505"/>
  <sheetViews>
    <sheetView showGridLines="0" topLeftCell="B1" zoomScaleNormal="100" workbookViewId="0">
      <pane xSplit="2" ySplit="5" topLeftCell="D6" activePane="bottomRight" state="frozen"/>
      <selection sqref="A1:J52"/>
      <selection pane="topRight" sqref="A1:J52"/>
      <selection pane="bottomLeft" sqref="A1:J52"/>
      <selection pane="bottomRight" activeCell="B6" sqref="B6"/>
    </sheetView>
  </sheetViews>
  <sheetFormatPr defaultColWidth="9.140625" defaultRowHeight="15" customHeight="1" x14ac:dyDescent="0.2"/>
  <cols>
    <col min="1" max="1" width="0.140625" style="2" hidden="1" customWidth="1"/>
    <col min="2" max="2" width="10.7109375" style="2" customWidth="1"/>
    <col min="3" max="3" width="20.7109375" style="2" customWidth="1"/>
    <col min="4" max="4" width="2.7109375" style="2" customWidth="1"/>
    <col min="5" max="11" width="10.7109375" style="2" customWidth="1"/>
    <col min="12" max="12" width="2.7109375" style="2" customWidth="1"/>
    <col min="13" max="16" width="10.7109375" style="2" customWidth="1"/>
    <col min="17" max="17" width="2.7109375" style="2" customWidth="1"/>
    <col min="18" max="19" width="10.7109375" style="2" customWidth="1"/>
    <col min="20" max="22" width="10.7109375" style="209" customWidth="1"/>
    <col min="23" max="23" width="2.7109375" style="2" customWidth="1"/>
    <col min="24" max="26" width="20.7109375" style="2" customWidth="1"/>
    <col min="27" max="33" width="10.7109375" style="2" customWidth="1"/>
    <col min="34" max="34" width="2.7109375" style="2" customWidth="1"/>
    <col min="35" max="43" width="9.140625" style="2" customWidth="1"/>
    <col min="44" max="44" width="2.7109375" style="2" customWidth="1"/>
    <col min="45" max="16384" width="9.140625" style="2"/>
  </cols>
  <sheetData>
    <row r="1" spans="1:59" ht="35.1" customHeight="1" x14ac:dyDescent="0.2">
      <c r="A1" s="2" t="s">
        <v>676</v>
      </c>
      <c r="Q1"/>
      <c r="U1" s="2"/>
      <c r="V1" s="2"/>
    </row>
    <row r="2" spans="1:59" ht="15" customHeight="1" x14ac:dyDescent="0.2">
      <c r="B2" s="487" t="s">
        <v>247</v>
      </c>
      <c r="C2" s="487"/>
      <c r="D2" s="487"/>
      <c r="E2" s="487"/>
      <c r="F2" s="487"/>
      <c r="G2" s="487"/>
      <c r="H2" s="487"/>
      <c r="I2" s="487"/>
      <c r="J2" s="487"/>
      <c r="K2" s="487"/>
      <c r="L2" s="487"/>
      <c r="M2" s="487"/>
      <c r="N2" s="487"/>
      <c r="O2" s="487"/>
      <c r="P2" s="487"/>
      <c r="Q2" s="487"/>
      <c r="R2" s="487"/>
      <c r="S2" s="487"/>
      <c r="T2" s="487"/>
      <c r="U2" s="487"/>
      <c r="V2" s="487"/>
      <c r="W2" s="487"/>
      <c r="X2" s="487"/>
      <c r="Y2" s="487"/>
      <c r="Z2" s="487"/>
      <c r="AA2" s="487"/>
      <c r="AB2" s="487"/>
      <c r="AC2" s="487"/>
      <c r="AD2" s="487"/>
      <c r="AE2" s="487"/>
      <c r="AF2" s="487"/>
      <c r="AG2" s="487"/>
      <c r="AI2" s="208" t="b">
        <f>IF(OR(ISNUMBER(MATCH("User Input",$AC$6:$AC$31,0)),ISNUMBER(MATCH("User Input",$AD$6:$AD$31,0)),ISNUMBER(MATCH("User Input",$AE$6:$AE$31,0)),ISNUMBER(MATCH("User Input",$AB$6:$AB$31,0))),TRUE,FALSE)</f>
        <v>0</v>
      </c>
      <c r="AJ2" s="208" t="b">
        <f>IF(OR(ISNUMBER(MATCH(FALSE,$AC$6:$AC$31,0)),ISNUMBER(MATCH(FALSE,$AD$6:$AD$31,0)),ISNUMBER(MATCH(FALSE,$AE$6:$AE$31,0)),ISNUMBER(MATCH(FALSE,$AB$6:$AB$31,0))),TRUE,FALSE)</f>
        <v>0</v>
      </c>
    </row>
    <row r="3" spans="1:59" ht="15" customHeight="1" x14ac:dyDescent="0.2">
      <c r="T3" s="2"/>
      <c r="U3" s="2"/>
      <c r="V3" s="2"/>
      <c r="X3" s="486" t="str">
        <f>HYPERLINK("Z:\~Engineering Standards Library\STRUCTURAL\Analysis_Procedural\NB+C Database\AISC Database v16.0 + Custom.xlsx",_xlfn.CONCAT("FOR CUSTOM MEMBERS, please update the file located here: ",CHAR(34),"Z:\~Engineering Standards Library\STRUCTURAL\Analysis_Procedural\NB+C Database\AISC Database v16.0 + Custom.xlsx",CHAR(34)))</f>
        <v>FOR CUSTOM MEMBERS, please update the file located here: "Z:\~Engineering Standards Library\STRUCTURAL\Analysis_Procedural\NB+C Database\AISC Database v16.0 + Custom.xlsx"</v>
      </c>
      <c r="Y3" s="486"/>
      <c r="Z3" s="486"/>
      <c r="AA3" s="486"/>
      <c r="AB3" s="486"/>
      <c r="AC3" s="486"/>
      <c r="AD3" s="486"/>
      <c r="AE3" s="486"/>
      <c r="AF3" s="486"/>
      <c r="AG3" s="486"/>
    </row>
    <row r="4" spans="1:59" ht="15" customHeight="1" x14ac:dyDescent="0.2">
      <c r="B4" s="58" t="s">
        <v>248</v>
      </c>
      <c r="C4" s="59"/>
      <c r="E4" s="481" t="s">
        <v>249</v>
      </c>
      <c r="F4" s="482"/>
      <c r="G4" s="482"/>
      <c r="H4" s="482"/>
      <c r="I4" s="482"/>
      <c r="J4" s="482"/>
      <c r="K4" s="483"/>
      <c r="M4" s="55" t="s">
        <v>250</v>
      </c>
      <c r="N4" s="56"/>
      <c r="O4" s="56"/>
      <c r="P4" s="60"/>
      <c r="R4" s="55" t="s">
        <v>251</v>
      </c>
      <c r="S4" s="55"/>
      <c r="T4" s="56"/>
      <c r="U4" s="61"/>
      <c r="V4" s="62"/>
      <c r="X4" s="481" t="s">
        <v>252</v>
      </c>
      <c r="Y4" s="482"/>
      <c r="Z4" s="482"/>
      <c r="AA4" s="482"/>
      <c r="AB4" s="482"/>
      <c r="AC4" s="482"/>
      <c r="AD4" s="482"/>
      <c r="AE4" s="482"/>
      <c r="AF4" s="482"/>
      <c r="AG4" s="483"/>
      <c r="AI4" s="55" t="s">
        <v>253</v>
      </c>
      <c r="AJ4" s="56"/>
      <c r="AK4" s="61"/>
      <c r="AL4" s="61"/>
      <c r="AM4" s="61"/>
      <c r="AN4" s="484"/>
      <c r="AO4" s="484"/>
      <c r="AP4" s="484"/>
      <c r="AQ4" s="485"/>
      <c r="AS4" s="480" t="s">
        <v>254</v>
      </c>
      <c r="AT4" s="480"/>
      <c r="AU4" s="480"/>
      <c r="AV4" s="480"/>
      <c r="AW4" s="480"/>
      <c r="AX4" s="480"/>
      <c r="AY4" s="480"/>
      <c r="AZ4" s="480"/>
      <c r="BA4" s="480"/>
      <c r="BB4" s="480"/>
      <c r="BC4" s="480"/>
      <c r="BD4" s="480"/>
      <c r="BE4" s="480"/>
    </row>
    <row r="5" spans="1:59" ht="24.95" customHeight="1" x14ac:dyDescent="0.2">
      <c r="B5" s="63" t="s">
        <v>255</v>
      </c>
      <c r="C5" s="63" t="s">
        <v>214</v>
      </c>
      <c r="E5" s="63" t="s">
        <v>256</v>
      </c>
      <c r="F5" s="63" t="s">
        <v>257</v>
      </c>
      <c r="G5" s="63" t="s">
        <v>258</v>
      </c>
      <c r="H5" s="63" t="s">
        <v>259</v>
      </c>
      <c r="I5" s="63" t="s">
        <v>260</v>
      </c>
      <c r="J5" s="63" t="s">
        <v>261</v>
      </c>
      <c r="K5" s="64" t="s">
        <v>262</v>
      </c>
      <c r="M5" s="63" t="s">
        <v>263</v>
      </c>
      <c r="N5" s="63" t="s">
        <v>264</v>
      </c>
      <c r="O5" s="65" t="s">
        <v>265</v>
      </c>
      <c r="P5" s="65" t="s">
        <v>266</v>
      </c>
      <c r="R5" s="63" t="s">
        <v>267</v>
      </c>
      <c r="S5" s="63" t="s">
        <v>256</v>
      </c>
      <c r="T5" s="63" t="s">
        <v>153</v>
      </c>
      <c r="U5" s="63" t="s">
        <v>170</v>
      </c>
      <c r="V5" s="63" t="s">
        <v>154</v>
      </c>
      <c r="X5" s="66" t="s">
        <v>256</v>
      </c>
      <c r="Y5" s="66" t="s">
        <v>215</v>
      </c>
      <c r="Z5" s="64" t="s">
        <v>268</v>
      </c>
      <c r="AA5" s="64" t="s">
        <v>269</v>
      </c>
      <c r="AB5" s="66" t="s">
        <v>270</v>
      </c>
      <c r="AC5" s="66" t="s">
        <v>271</v>
      </c>
      <c r="AD5" s="66" t="s">
        <v>272</v>
      </c>
      <c r="AE5" s="66" t="s">
        <v>273</v>
      </c>
      <c r="AF5" s="64" t="s">
        <v>274</v>
      </c>
      <c r="AG5" s="64" t="s">
        <v>275</v>
      </c>
      <c r="AI5" s="66" t="s">
        <v>101</v>
      </c>
      <c r="AJ5" s="66" t="s">
        <v>215</v>
      </c>
      <c r="AK5" s="66" t="s">
        <v>268</v>
      </c>
      <c r="AL5" s="66" t="s">
        <v>269</v>
      </c>
      <c r="AM5" s="66" t="s">
        <v>270</v>
      </c>
      <c r="AN5" s="66" t="s">
        <v>271</v>
      </c>
      <c r="AO5" s="66" t="s">
        <v>272</v>
      </c>
      <c r="AP5" s="66" t="s">
        <v>273</v>
      </c>
      <c r="AQ5" s="66" t="s">
        <v>274</v>
      </c>
      <c r="AS5" s="65"/>
      <c r="AT5" s="65"/>
      <c r="AU5" s="65"/>
      <c r="AV5" s="65"/>
      <c r="AW5" s="65"/>
      <c r="AX5" s="65"/>
      <c r="AY5" s="65"/>
      <c r="AZ5" s="65"/>
      <c r="BA5" s="65"/>
      <c r="BB5" s="65"/>
      <c r="BC5" s="65"/>
      <c r="BD5" s="65"/>
      <c r="BE5" s="65"/>
    </row>
    <row r="6" spans="1:59" ht="15" customHeight="1" x14ac:dyDescent="0.2">
      <c r="B6" s="207"/>
      <c r="C6" s="207"/>
      <c r="D6" s="207"/>
      <c r="E6" s="207"/>
      <c r="F6" s="207"/>
      <c r="G6" s="207"/>
      <c r="H6" s="207"/>
      <c r="I6" s="207"/>
      <c r="J6" s="207"/>
      <c r="K6" s="207"/>
      <c r="L6" s="207"/>
      <c r="M6" s="207"/>
      <c r="N6" s="207"/>
      <c r="O6" s="207"/>
      <c r="P6" s="207"/>
      <c r="Q6" s="207"/>
      <c r="R6" s="207"/>
      <c r="S6" s="207"/>
      <c r="T6" s="228"/>
      <c r="U6" s="228"/>
      <c r="V6" s="228"/>
      <c r="X6" s="189"/>
      <c r="Y6" s="189"/>
      <c r="Z6" s="189"/>
      <c r="AA6" s="190"/>
      <c r="AB6" s="229" t="str">
        <f>IF(X6="","",
IF(OR(X6="RIGID",X6="GEN1A"), 0,
IFERROR(_xlfn.LET(
_xlpm.BAR,                      OR(ISNUMBER(SEARCH("BAR",Z6)),ISNUMBER(SEARCH("SR",Y6))),
_xlpm.HSS,                      OR(ISNUMBER(SEARCH("HSS",Y6)),ISNUMBER(SEARCH("SquareTube",Z6)),NOT(ISNUMBER(SEARCH("HSS Pipe",Z6)))),
_xlpm.HSSPipe,                  OR(ISNUMBER(SEARCH("HSS Pipe",Z6)),ISNUMBER(SEARCH("Pipe",Z6)),ISNUMBER(SEARCH("Pipe",Y6))),
_xlpm.Pipe,                     OR(ISNUMBER(SEARCH("Pipe",Z6)),ISNUMBER(SEARCH("Pipe",Y6))),
_xlpm.SingleAngle,              OR(ISNUMBER(SEARCH("Single Angle",Z6)),AND(ISNUMBER(SEARCH("Angle",Z6)),ISNUMBER(SEARCH("Single",Z6)))),
_xlpm.DoubleAngle,              AND(ISNUMBER(SEARCH("Angle",Z6)),ISNUMBER(SEARCH("Double",Z6))),
_xlpm.RECT,                     OR(ISNUMBER(SEARCH("RECT",Z6)),ISNUMBER(SEARCH("PL",Y6))),
_xlpm.WideFlange,               OR(ISNUMBER(SEARCH("Wide Flange",Z6)),ISNUMBER(SEARCH("Tee",Z6)),ISNUMBER(SEARCH("W",Y6))),
_xlpm.Channel,                  OR(ISNUMBER(SEARCH("Channel",Z6)),ISNUMBER(SEARCH("C",Y6))),
IF(OR(_xlpm.WideFlange, _xlpm.Channel, _xlpm.SingleAngle, _xlpm.DoubleAngle, _xlpm.RECT),
                          INDEX('[2]AISC Database v16.0'!$D:$D,
                          MATCH(Y6,'[2]AISC Database v16.0'!$B:$B,0)),
IF(AND(_xlpm.HSS,NOT(_xlpm.HSSPipe)), INDEX('[2]AISC Database v16.0'!$F:$F,
                          MATCH(Y6,'[2]AISC Database v16.0'!$B:$B,0)),
IF(OR(_xlpm.Pipe, _xlpm.HSSPipe, _xlpm.BAR),
                          INDEX('[2]AISC Database v16.0'!$H:$H,
                          MATCH(Y6,'[2]AISC Database v16.0'!$B:$B,0)),
0)))),0)))</f>
        <v/>
      </c>
      <c r="AC6" s="229" t="str">
        <f>IF(X6="","",
IF(OR(X6="RIGID",X6="GEN1A"), 0,
IFERROR(_xlfn.LET(
_xlpm.BAR,                      OR(ISNUMBER(SEARCH("BAR",Z6)),ISNUMBER(SEARCH("SR",Y6))),
_xlpm.HSS,                      OR(ISNUMBER(SEARCH("HSS",Y6)),ISNUMBER(SEARCH("SquareTube",Z6)),NOT(ISNUMBER(SEARCH("HSS Pipe",Z6)))),
_xlpm.HSSPipe,                  OR(ISNUMBER(SEARCH("HSS Pipe",Z6)),ISNUMBER(SEARCH("Pipe",Z6)),ISNUMBER(SEARCH("Pipe",Y6))),
_xlpm.Pipe,                     OR(ISNUMBER(SEARCH("Pipe",Z6)),ISNUMBER(SEARCH("Pipe",Y6))),
_xlpm.SingleAngle,              OR(ISNUMBER(SEARCH("Single Angle",Z6)),AND(ISNUMBER(SEARCH("Angle",Z6)),ISNUMBER(SEARCH("Single",Z6)))),
_xlpm.DoubleAngle,              AND(ISNUMBER(SEARCH("Angle",Z6)),ISNUMBER(SEARCH("Double",Z6))),
_xlpm.RECT,                     OR(ISNUMBER(SEARCH("RECT",Z6)),ISNUMBER(SEARCH("PL",Y6))),
_xlpm.WideFlange,               OR(ISNUMBER(SEARCH("Wide Flange",Z6)),ISNUMBER(SEARCH("Tee",Z6)),ISNUMBER(SEARCH("W",Y6))),
_xlpm.Channel,                  OR(ISNUMBER(SEARCH("Channel",Z6)),ISNUMBER(SEARCH("C",Y6))),
IF(OR(_xlpm.WideFlange, _xlpm.Channel),
                          INDEX('[2]AISC Database v16.0'!$I:$I,
                          MATCH(Y6,'[2]AISC Database v16.0'!$B:$B,0)),
IF(OR(_xlpm.SingleAngle, _xlpm.DoubleAngle, _xlpm.RECT),
                          INDEX('[2]AISC Database v16.0'!$L:$L,
                          MATCH(Y6,'[2]AISC Database v16.0'!$B:$B,0)),
IF(AND(_xlpm.HSS,NOT(_xlpm.HSSPipe)),
                          INDEX('[2]AISC Database v16.0'!$K:$K,
                          MATCH(Y6,'[2]AISC Database v16.0'!$B:$B,0)),
IF(OR(_xlpm.Pipe, _xlpm.HSSPipe, _xlpm.BAR),
                          INDEX('[2]AISC Database v16.0'!$H:$H,
                          MATCH(Y6,'[2]AISC Database v16.0'!$B:$B,0)),
0))))),0)))</f>
        <v/>
      </c>
      <c r="AD6" s="230" t="str">
        <f>IF(X6="","",
IF(OR(X6="RIGID",X6="GEN1A"), 0,
IFERROR(_xlfn.LET(
_xlpm.BAR,                      OR(ISNUMBER(SEARCH("BAR",Z6)),ISNUMBER(SEARCH("SR",Y6))),
_xlpm.HSS,                      OR(ISNUMBER(SEARCH("HSS",Y6)),ISNUMBER(SEARCH("SquareTube",Z6)),NOT(ISNUMBER(SEARCH("HSS Pipe",Z6)))),
_xlpm.HSSPipe,                  OR(ISNUMBER(SEARCH("HSS Pipe",Z6)),ISNUMBER(SEARCH("Pipe",Z6)),ISNUMBER(SEARCH("Pipe",Y6))),
_xlpm.Pipe,                     OR(ISNUMBER(SEARCH("Pipe",Z6)),ISNUMBER(SEARCH("Pipe",Y6))),
_xlpm.SingleAngle,              OR(ISNUMBER(SEARCH("Single Angle",Z6)),AND(ISNUMBER(SEARCH("Angle",Z6)),ISNUMBER(SEARCH("Single",Z6)))),
_xlpm.DoubleAngle,              AND(ISNUMBER(SEARCH("Angle",Z6)),ISNUMBER(SEARCH("Double",Z6))),
_xlpm.RECT,                     OR(ISNUMBER(SEARCH("RECT",Z6)),ISNUMBER(SEARCH("PL",Y6))),
_xlpm.WideFlange,               OR(ISNUMBER(SEARCH("Wide Flange",Z6)),ISNUMBER(SEARCH("Tee",Z6)),ISNUMBER(SEARCH("W",Y6))),
_xlpm.Channel,                  OR(ISNUMBER(SEARCH("Channel",Z6)),ISNUMBER(SEARCH("C",Y6))),
IF(_xlpm.WideFlange,            INDEX('[2]AISC Database v16.0'!$O:$O,
                          MATCH(Y6,'[2]AISC Database v16.0'!$B:$B,0)),
IF(_xlpm.Channel,               INDEX('[2]AISC Database v16.0'!$O:$O,
                          MATCH(Y6,'[2]AISC Database v16.0'!$B:$B,0)),
IF(_xlpm.BAR,                   INDEX('[2]AISC Database v16.0'!$T:$T,
                          MATCH(Y6,'[2]AISC Database v16.0'!$B:$B,0)),
IF(_xlpm.SingleAngle,           INDEX('[2]AISC Database v16.0'!$T:$T,
                          MATCH(Y6,'[2]AISC Database v16.0'!$B:$B,0)),
IF(_xlpm.DoubleAngle,           INDEX('[2]AISC Database v16.0'!$T:$T,
                          MATCH(Y6,'[2]AISC Database v16.0'!$B:$B,0)),
IF(_xlpm.RECT,                  INDEX('[2]AISC Database v16.0'!$T:$T,
                          MATCH(Y6,'[2]AISC Database v16.0'!$B:$B,0)),
IF(AND(_xlpm.HSS,NOT(_xlpm.HSSPipe)), INDEX('[2]AISC Database v16.0'!$U:$U,
                          MATCH(Y6,'[2]AISC Database v16.0'!$B:$B,0)),
IF(OR(_xlpm.Pipe, _xlpm.HSSPipe),     INDEX('[2]AISC Database v16.0'!$U:$U,
                          MATCH(Y6,'[2]AISC Database v16.0'!$B:$B,0)),
0))))))))),0)))</f>
        <v/>
      </c>
      <c r="AE6" s="230" t="str">
        <f t="shared" ref="AE6:AE49" si="0">IF(X6="","",IFERROR(IF(OR(LEFT(Y6,3)="HSS",LEFT(AA6,3)="HSS"),1.5*AD6/AB6,"N/A"),"User Input"))</f>
        <v/>
      </c>
      <c r="AF6" s="229" t="str">
        <f>IF(X6="","",
IF(OR(X6="RIGID",X6="GEN1A"), 0,
IFERROR(INDEX('[2]AISC Database v16.0'!$M:$M, MATCH(Y6,'[2]AISC Database v16.0'!$B:$B,0)), 0)))</f>
        <v/>
      </c>
      <c r="AG6" s="229" t="str">
        <f>IF(X6="","",
IF(OR(X6="RIGID",X6="GEN1A"), 0,
IFERROR(INDEX('[2]AISC Database v16.0'!$C:$C, MATCH(Y6,'[2]AISC Database v16.0'!$B:$B,0)), 0)))</f>
        <v/>
      </c>
      <c r="AI6" s="212" t="s">
        <v>276</v>
      </c>
      <c r="AJ6" s="212" t="s">
        <v>277</v>
      </c>
      <c r="AK6" s="212" t="s">
        <v>278</v>
      </c>
      <c r="AL6" s="213" t="s">
        <v>18</v>
      </c>
      <c r="AM6" s="214">
        <v>1.625</v>
      </c>
      <c r="AN6" s="214">
        <v>1.625</v>
      </c>
      <c r="AO6" s="214">
        <v>0.1046</v>
      </c>
      <c r="AP6" s="214" t="s">
        <v>146</v>
      </c>
      <c r="AQ6" s="213">
        <f>SQRT(AM6^2 + AN6^2)</f>
        <v>2.2980970388562794</v>
      </c>
      <c r="AR6" s="209"/>
      <c r="AS6" s="209">
        <f>+IFERROR(IF(VLOOKUP($B6,$E$6:$K203,6,0)=0,$O6/12*COS(PI()/180*($P6+0))^2,IF(AND(ABS(VLOOKUP($B6,$E$6:$K203,6,0))&gt;0,$P6=0),$O6/12*COS(PI()/180*($P6+0))^2,IF(AND(ABS(VLOOKUP($B6,$E$6:$K203,6,0))&gt;0,ABS($P6)&gt;0),$O6/12*COS(PI()/180*($P6+0))^2))),0)</f>
        <v>0</v>
      </c>
      <c r="AT6" s="209">
        <f>+IFERROR(IF(VLOOKUP($B6,$E$6:$K203,6,0)=0,0,IF(AND(ABS(VLOOKUP($B6,$E$6:$K203,6,0))&gt;0,$P6=0),ABS(VLOOKUP($B6,$E$6:$K203,6,0))*SIN(PI()/180*($P6+0))^2,IF(AND(ABS(VLOOKUP($B6,$E$6:$K203,6,0))&gt;0,ABS($P6)&gt;0),ABS(VLOOKUP($B6,$E$6:$K203,6,0))*SIN(PI()/180*($P6+0))^2))),0)*IF(RISA3D.Unit.Length="in",1/12,1)</f>
        <v>0</v>
      </c>
      <c r="AU6" s="209">
        <f t="shared" ref="AU6:AU37" si="1">+IFERROR((AS6+AT6)*(VLOOKUP($C6,rngR3DSectionSets,5,0)/12)*IF(VLOOKUP($C6,rngR3DSectionSets,4,0)="Flat",2,1.2),0)</f>
        <v>0</v>
      </c>
      <c r="AV6" s="209">
        <f>+IFERROR(+IF(VLOOKUP($M6,$S$6:$V203,3,0)=VLOOKUP($N6,$S$6:$V203,3,0), ((((($O6/12+(2*0.5/12))*((VLOOKUP($C6,rngR3DSectionSets,5,0)/12)+(2*0.5/12)))-($O6/12*(VLOOKUP($C6,rngR3DSectionSets,5,0)/12)))*1.2*COS(PI()/180*($P6))^2)) + AU6, (((((AS6+(2*0.5/12))*((VLOOKUP($C6,rngR3DSectionSets,5,0)/12)+(2*0.5/12)))-(AS6*(VLOOKUP($C6,rngR3DSectionSets,5,0)/12)))+(((AT6+(2*0.5/12))*((VLOOKUP($C6,rngR3DSectionSets,5,0)/12)+(2*0.5/12)))-(AT6*(VLOOKUP($C6,rngR3DSectionSets,5,0)/12))))*1.2) + AU6),0)</f>
        <v>0</v>
      </c>
      <c r="AW6" s="209">
        <f>+IFERROR(+IF(VLOOKUP($M6,$S$6:$V203,3,0)=VLOOKUP($N6,$S$6:$V203,3,0), ((((($O6/12+(2*1/12))*((VLOOKUP($C6,rngR3DSectionSets,5,0)/12)+(2*1/12)))-($O6/12*(VLOOKUP($C6,rngR3DSectionSets,5,0)/12)))*1.2*COS(PI()/180*($P6))^2)) + AU6, (((((AS6+(2*1/12))*((VLOOKUP($C6,rngR3DSectionSets,5,0)/12)+(2*1/12)))-(AS6*(VLOOKUP($C6,rngR3DSectionSets,5,0)/12)))+(((AT6+(2*1/12))*((VLOOKUP($C6,rngR3DSectionSets,5,0)/12)+(2*1/12)))-(AT6*(VLOOKUP($C6,rngR3DSectionSets,5,0)/12))))*1.2) + AU6),0)</f>
        <v>0</v>
      </c>
      <c r="AX6" s="209">
        <f>+IFERROR(IF(VLOOKUP($B6,$E$6:$K203,6,0)=0,$O6/12*COS(PI()/180*($P6+90))^2,IF(AND(ABS(VLOOKUP($B6,$E$6:$K203,6,0))&gt;0,$P6=0),$O6/12*COS(PI()/180*($P6+90))^2,IF(AND(ABS(VLOOKUP($B6,$E$6:$K203,6,0))&gt;0,ABS($P6)&gt;0),$O6/12*COS(PI()/180*($P6+90))^2))),0)</f>
        <v>0</v>
      </c>
      <c r="AY6" s="209">
        <f>+IFERROR(IF(VLOOKUP($B6,$E$6:$K203,6,0)=0,0,IF(AND(ABS(VLOOKUP($B6,$E$6:$K203,6,0))&gt;0,$P6=0),ABS(VLOOKUP($B6,$E$6:$K203,6,0))*SIN(PI()/180*($P6+90))^2,IF(AND(ABS(VLOOKUP($B6,$E$6:$K203,6,0))&gt;0,ABS($P6)&gt;0),ABS(VLOOKUP($B6,$E$6:$K203,6,0))*SIN(PI()/180*($P6+90))^2))),0)*IF(RISA3D.Unit.Length="in",1/12,1)</f>
        <v>0</v>
      </c>
      <c r="AZ6" s="209">
        <f t="shared" ref="AZ6:AZ37" si="2">+IFERROR((AX6+AY6)*(VLOOKUP($C6,rngR3DSectionSets,5,0)/12)*IF(VLOOKUP($C6,rngR3DSectionSets,4,0)="Flat",2,1.2),0)</f>
        <v>0</v>
      </c>
      <c r="BA6" s="209">
        <f>+IFERROR(+IF(VLOOKUP($M6,$S$6:$V203,3,0)=VLOOKUP($N6,$S$6:$V203,3,0), ((((($O6/12+(2*0.5/12))*((VLOOKUP($C6,rngR3DSectionSets,5,0)/12)+(2*0.5/12)))-($O6/12*(VLOOKUP($C6,rngR3DSectionSets,5,0)/12)))*1.2*COS(PI()/180*($P6))^2)) + AZ6, (((((AX6+(2*0.5/12))*((VLOOKUP($C6,rngR3DSectionSets,5,0)/12)+(2*0.5/12)))-(AX6*(VLOOKUP($C6,rngR3DSectionSets,5,0)/12)))+(((AY6+(2*0.5/12))*((VLOOKUP($C6,rngR3DSectionSets,5,0)/12)+(2*0.5/12)))-(AY6*(VLOOKUP($C6,rngR3DSectionSets,5,0)/12))))*1.2) + AZ6),0)</f>
        <v>0</v>
      </c>
      <c r="BB6" s="209">
        <f>+IFERROR(+IF(VLOOKUP($M6,$S$6:$V203,3,0)=VLOOKUP($N6,$S$6:$V203,3,0), ((((($O6/12+(2*1/12))*((VLOOKUP($C6,rngR3DSectionSets,5,0)/12)+(2*1/12)))-($O6/12*(VLOOKUP($C6,rngR3DSectionSets,5,0)/12)))*1.2*COS(PI()/180*($P6))^2)) + AZ6, (((((AX6+(2*1/12))*((VLOOKUP($C6,rngR3DSectionSets,5,0)/12)+(2*1/12)))-(AX6*(VLOOKUP($C6,rngR3DSectionSets,5,0)/12)))+(((AY6+(2*1/12))*((VLOOKUP($C6,rngR3DSectionSets,5,0)/12)+(2*1/12)))-(AY6*(VLOOKUP($C6,rngR3DSectionSets,5,0)/12))))*1.2) + AZ6),0)</f>
        <v>0</v>
      </c>
      <c r="BC6" s="209">
        <f t="shared" ref="BC6:BC37" si="3">_xlfn.LET(
_xlpm.ti, 0,
_xlpm.h,  _xlfn.XLOOKUP($C6,$X:$X,$AB:$AB,0,0,1),
_xlpm.d,  _xlfn.XLOOKUP($C6,$X:$X,$AC:$AC,0,0,1),
_xlpm.l,  $O6 / 12,
_xlpm.Ag, _xlfn.XLOOKUP($C6,$X:$X,$AG:$AG,0,0,1),
_xlpm.UW, 490,
_xlpm.Wt, _xlpm.UW*_xlpm.Ag/144*_xlpm.l,
_xlpm.Wi, IFERROR((((_xlpm.h+2*_xlpm.ti)*(_xlpm.d+2*_xlpm.ti)*(_xlpm.l*12+2*_xlpm.ti))-(_xlpm.h*_xlpm.d*_xlpm.l*12))*56/1728,0),
(_xlpm.Wi+_xlpm.Wt)*IF($B6="",0,1))</f>
        <v>0</v>
      </c>
      <c r="BD6" s="209">
        <f t="shared" ref="BD6:BD37" si="4">_xlfn.LET(
_xlpm.ti, 0.5,
_xlpm.h,  _xlfn.XLOOKUP($C6,$X:$X,$AB:$AB,0,0,1),
_xlpm.d,  _xlfn.XLOOKUP($C6,$X:$X,$AC:$AC,0,0,1),
_xlpm.l,  $O6 / 12,
_xlpm.Ag, _xlfn.XLOOKUP($C6,$X:$X,$AG:$AG,0,0,1),
_xlpm.UW, 490,
_xlpm.Wt, _xlpm.UW*_xlpm.Ag/144*_xlpm.l,
_xlpm.Wi, IFERROR((((_xlpm.h+2*_xlpm.ti)*(_xlpm.d+2*_xlpm.ti)*(_xlpm.l*12+2*_xlpm.ti))-(_xlpm.h*_xlpm.d*_xlpm.l*12))*56/1728,0),
(_xlpm.Wi+_xlpm.Wt)*IF($B6="",0,1))</f>
        <v>0</v>
      </c>
      <c r="BE6" s="209">
        <f t="shared" ref="BE6:BE37" si="5">_xlfn.LET(
_xlpm.ti, 1,
_xlpm.h,  _xlfn.XLOOKUP($C6,$X:$X,$AB:$AB,0,0,1),
_xlpm.d,  _xlfn.XLOOKUP($C6,$X:$X,$AC:$AC,0,0,1),
_xlpm.l,  $O6 / 12,
_xlpm.Ag, _xlfn.XLOOKUP($C6,$X:$X,$AG:$AG,0,0,1),
_xlpm.UW, 490,
_xlpm.Wt, _xlpm.UW*_xlpm.Ag/144*_xlpm.l,
_xlpm.Wi, IFERROR((((_xlpm.h+2*_xlpm.ti)*(_xlpm.d+2*_xlpm.ti)*(_xlpm.l*12+2*_xlpm.ti))-(_xlpm.h*_xlpm.d*_xlpm.l*12))*56/1728,0),
(_xlpm.Wi+_xlpm.Wt)*IF($B6="",0,1))</f>
        <v>0</v>
      </c>
      <c r="BF6" s="209"/>
      <c r="BG6" s="209"/>
    </row>
    <row r="7" spans="1:59" ht="15" customHeight="1" x14ac:dyDescent="0.2">
      <c r="B7" s="207"/>
      <c r="C7" s="207"/>
      <c r="D7" s="207"/>
      <c r="E7" s="207"/>
      <c r="F7" s="207"/>
      <c r="G7" s="207"/>
      <c r="H7" s="207"/>
      <c r="I7" s="207"/>
      <c r="J7" s="207"/>
      <c r="K7" s="207"/>
      <c r="L7" s="207"/>
      <c r="M7" s="207"/>
      <c r="N7" s="207"/>
      <c r="O7" s="207"/>
      <c r="P7" s="207"/>
      <c r="Q7" s="207"/>
      <c r="R7" s="207"/>
      <c r="S7" s="207"/>
      <c r="T7" s="228"/>
      <c r="U7" s="228"/>
      <c r="V7" s="228"/>
      <c r="X7" s="189"/>
      <c r="Y7" s="189"/>
      <c r="Z7" s="189"/>
      <c r="AA7" s="190"/>
      <c r="AB7" s="229" t="str">
        <f>IF(X7="","",
IF(OR(X7="RIGID",X7="GEN1A"), 0,
IFERROR(_xlfn.LET(
_xlpm.BAR,                      OR(ISNUMBER(SEARCH("BAR",Z7)),ISNUMBER(SEARCH("SR",Y7))),
_xlpm.HSS,                      OR(ISNUMBER(SEARCH("HSS",Y7)),ISNUMBER(SEARCH("SquareTube",Z7)),NOT(ISNUMBER(SEARCH("HSS Pipe",Z7)))),
_xlpm.HSSPipe,                  OR(ISNUMBER(SEARCH("HSS Pipe",Z7)),ISNUMBER(SEARCH("Pipe",Z7)),ISNUMBER(SEARCH("Pipe",Y7))),
_xlpm.Pipe,                     OR(ISNUMBER(SEARCH("Pipe",Z7)),ISNUMBER(SEARCH("Pipe",Y7))),
_xlpm.SingleAngle,              OR(ISNUMBER(SEARCH("Single Angle",Z7)),AND(ISNUMBER(SEARCH("Angle",Z7)),ISNUMBER(SEARCH("Single",Z7)))),
_xlpm.DoubleAngle,              AND(ISNUMBER(SEARCH("Angle",Z7)),ISNUMBER(SEARCH("Double",Z7))),
_xlpm.RECT,                     OR(ISNUMBER(SEARCH("RECT",Z7)),ISNUMBER(SEARCH("PL",Y7))),
_xlpm.WideFlange,               OR(ISNUMBER(SEARCH("Wide Flange",Z7)),ISNUMBER(SEARCH("Tee",Z7)),ISNUMBER(SEARCH("W",Y7))),
_xlpm.Channel,                  OR(ISNUMBER(SEARCH("Channel",Z7)),ISNUMBER(SEARCH("C",Y7))),
IF(OR(_xlpm.WideFlange, _xlpm.Channel, _xlpm.SingleAngle, _xlpm.DoubleAngle, _xlpm.RECT),
                          INDEX('[2]AISC Database v16.0'!$D:$D,
                          MATCH(Y7,'[2]AISC Database v16.0'!$B:$B,0)),
IF(AND(_xlpm.HSS,NOT(_xlpm.HSSPipe)), INDEX('[2]AISC Database v16.0'!$F:$F,
                          MATCH(Y7,'[2]AISC Database v16.0'!$B:$B,0)),
IF(OR(_xlpm.Pipe, _xlpm.HSSPipe, _xlpm.BAR),
                          INDEX('[2]AISC Database v16.0'!$H:$H,
                          MATCH(Y7,'[2]AISC Database v16.0'!$B:$B,0)),
0)))),0)))</f>
        <v/>
      </c>
      <c r="AC7" s="229" t="str">
        <f>IF(X7="","",
IF(OR(X7="RIGID",X7="GEN1A"), 0,
IFERROR(_xlfn.LET(
_xlpm.BAR,                      OR(ISNUMBER(SEARCH("BAR",Z7)),ISNUMBER(SEARCH("SR",Y7))),
_xlpm.HSS,                      OR(ISNUMBER(SEARCH("HSS",Y7)),ISNUMBER(SEARCH("SquareTube",Z7)),NOT(ISNUMBER(SEARCH("HSS Pipe",Z7)))),
_xlpm.HSSPipe,                  OR(ISNUMBER(SEARCH("HSS Pipe",Z7)),ISNUMBER(SEARCH("Pipe",Z7)),ISNUMBER(SEARCH("Pipe",Y7))),
_xlpm.Pipe,                     OR(ISNUMBER(SEARCH("Pipe",Z7)),ISNUMBER(SEARCH("Pipe",Y7))),
_xlpm.SingleAngle,              OR(ISNUMBER(SEARCH("Single Angle",Z7)),AND(ISNUMBER(SEARCH("Angle",Z7)),ISNUMBER(SEARCH("Single",Z7)))),
_xlpm.DoubleAngle,              AND(ISNUMBER(SEARCH("Angle",Z7)),ISNUMBER(SEARCH("Double",Z7))),
_xlpm.RECT,                     OR(ISNUMBER(SEARCH("RECT",Z7)),ISNUMBER(SEARCH("PL",Y7))),
_xlpm.WideFlange,               OR(ISNUMBER(SEARCH("Wide Flange",Z7)),ISNUMBER(SEARCH("Tee",Z7)),ISNUMBER(SEARCH("W",Y7))),
_xlpm.Channel,                  OR(ISNUMBER(SEARCH("Channel",Z7)),ISNUMBER(SEARCH("C",Y7))),
IF(OR(_xlpm.WideFlange, _xlpm.Channel),
                          INDEX('[2]AISC Database v16.0'!$I:$I,
                          MATCH(Y7,'[2]AISC Database v16.0'!$B:$B,0)),
IF(OR(_xlpm.SingleAngle, _xlpm.DoubleAngle, _xlpm.RECT),
                          INDEX('[2]AISC Database v16.0'!$L:$L,
                          MATCH(Y7,'[2]AISC Database v16.0'!$B:$B,0)),
IF(AND(_xlpm.HSS,NOT(_xlpm.HSSPipe)),
                          INDEX('[2]AISC Database v16.0'!$K:$K,
                          MATCH(Y7,'[2]AISC Database v16.0'!$B:$B,0)),
IF(OR(_xlpm.Pipe, _xlpm.HSSPipe, _xlpm.BAR),
                          INDEX('[2]AISC Database v16.0'!$H:$H,
                          MATCH(Y7,'[2]AISC Database v16.0'!$B:$B,0)),
0))))),0)))</f>
        <v/>
      </c>
      <c r="AD7" s="230" t="str">
        <f>IF(X7="","",
IF(OR(X7="RIGID",X7="GEN1A"), 0,
IFERROR(_xlfn.LET(
_xlpm.BAR,                      OR(ISNUMBER(SEARCH("BAR",Z7)),ISNUMBER(SEARCH("SR",Y7))),
_xlpm.HSS,                      OR(ISNUMBER(SEARCH("HSS",Y7)),ISNUMBER(SEARCH("SquareTube",Z7)),NOT(ISNUMBER(SEARCH("HSS Pipe",Z7)))),
_xlpm.HSSPipe,                  OR(ISNUMBER(SEARCH("HSS Pipe",Z7)),ISNUMBER(SEARCH("Pipe",Z7)),ISNUMBER(SEARCH("Pipe",Y7))),
_xlpm.Pipe,                     OR(ISNUMBER(SEARCH("Pipe",Z7)),ISNUMBER(SEARCH("Pipe",Y7))),
_xlpm.SingleAngle,              OR(ISNUMBER(SEARCH("Single Angle",Z7)),AND(ISNUMBER(SEARCH("Angle",Z7)),ISNUMBER(SEARCH("Single",Z7)))),
_xlpm.DoubleAngle,              AND(ISNUMBER(SEARCH("Angle",Z7)),ISNUMBER(SEARCH("Double",Z7))),
_xlpm.RECT,                     OR(ISNUMBER(SEARCH("RECT",Z7)),ISNUMBER(SEARCH("PL",Y7))),
_xlpm.WideFlange,               OR(ISNUMBER(SEARCH("Wide Flange",Z7)),ISNUMBER(SEARCH("Tee",Z7)),ISNUMBER(SEARCH("W",Y7))),
_xlpm.Channel,                  OR(ISNUMBER(SEARCH("Channel",Z7)),ISNUMBER(SEARCH("C",Y7))),
IF(_xlpm.WideFlange,            INDEX('[2]AISC Database v16.0'!$O:$O,
                          MATCH(Y7,'[2]AISC Database v16.0'!$B:$B,0)),
IF(_xlpm.Channel,               INDEX('[2]AISC Database v16.0'!$O:$O,
                          MATCH(Y7,'[2]AISC Database v16.0'!$B:$B,0)),
IF(_xlpm.BAR,                   INDEX('[2]AISC Database v16.0'!$T:$T,
                          MATCH(Y7,'[2]AISC Database v16.0'!$B:$B,0)),
IF(_xlpm.SingleAngle,           INDEX('[2]AISC Database v16.0'!$T:$T,
                          MATCH(Y7,'[2]AISC Database v16.0'!$B:$B,0)),
IF(_xlpm.DoubleAngle,           INDEX('[2]AISC Database v16.0'!$T:$T,
                          MATCH(Y7,'[2]AISC Database v16.0'!$B:$B,0)),
IF(_xlpm.RECT,                  INDEX('[2]AISC Database v16.0'!$T:$T,
                          MATCH(Y7,'[2]AISC Database v16.0'!$B:$B,0)),
IF(AND(_xlpm.HSS,NOT(_xlpm.HSSPipe)), INDEX('[2]AISC Database v16.0'!$U:$U,
                          MATCH(Y7,'[2]AISC Database v16.0'!$B:$B,0)),
IF(OR(_xlpm.Pipe, _xlpm.HSSPipe),     INDEX('[2]AISC Database v16.0'!$U:$U,
                          MATCH(Y7,'[2]AISC Database v16.0'!$B:$B,0)),
0))))))))),0)))</f>
        <v/>
      </c>
      <c r="AE7" s="230" t="str">
        <f t="shared" si="0"/>
        <v/>
      </c>
      <c r="AF7" s="229" t="str">
        <f>IF(X7="","",
IF(OR(X7="RIGID",X7="GEN1A"), 0,
IFERROR(INDEX('[2]AISC Database v16.0'!$M:$M, MATCH(Y7,'[2]AISC Database v16.0'!$B:$B,0)), 0)))</f>
        <v/>
      </c>
      <c r="AG7" s="229" t="str">
        <f>IF(X7="","",
IF(OR(X7="RIGID",X7="GEN1A"), 0,
IFERROR(INDEX('[2]AISC Database v16.0'!$C:$C, MATCH(Y7,'[2]AISC Database v16.0'!$B:$B,0)), 0)))</f>
        <v/>
      </c>
      <c r="AR7" s="209"/>
      <c r="AS7" s="209">
        <f>+IFERROR(IF(VLOOKUP($B7,$E$6:$K203,6,0)=0,$O7/12*COS(PI()/180*($P7+0))^2,IF(AND(ABS(VLOOKUP($B7,$E$6:$K203,6,0))&gt;0,$P7=0),$O7/12*COS(PI()/180*($P7+0))^2,IF(AND(ABS(VLOOKUP($B7,$E$6:$K203,6,0))&gt;0,ABS($P7)&gt;0),$O7/12*COS(PI()/180*($P7+0))^2))),0)</f>
        <v>0</v>
      </c>
      <c r="AT7" s="209">
        <f>+IFERROR(IF(VLOOKUP($B7,$E$6:$K203,6,0)=0,0,IF(AND(ABS(VLOOKUP($B7,$E$6:$K203,6,0))&gt;0,$P7=0),ABS(VLOOKUP($B7,$E$6:$K203,6,0))*SIN(PI()/180*($P7+0))^2,IF(AND(ABS(VLOOKUP($B7,$E$6:$K203,6,0))&gt;0,ABS($P7)&gt;0),ABS(VLOOKUP($B7,$E$6:$K203,6,0))*SIN(PI()/180*($P7+0))^2))),0)*IF(RISA3D.Unit.Length="in",1/12,1)</f>
        <v>0</v>
      </c>
      <c r="AU7" s="209">
        <f t="shared" si="1"/>
        <v>0</v>
      </c>
      <c r="AV7" s="209">
        <f>+IFERROR(+IF(VLOOKUP($M7,$S$6:$V203,3,0)=VLOOKUP($N7,$S$6:$V203,3,0), ((((($O7/12+(2*0.5/12))*((VLOOKUP($C7,rngR3DSectionSets,5,0)/12)+(2*0.5/12)))-($O7/12*(VLOOKUP($C7,rngR3DSectionSets,5,0)/12)))*1.2*COS(PI()/180*($P7))^2)) + AU7, (((((AS7+(2*0.5/12))*((VLOOKUP($C7,rngR3DSectionSets,5,0)/12)+(2*0.5/12)))-(AS7*(VLOOKUP($C7,rngR3DSectionSets,5,0)/12)))+(((AT7+(2*0.5/12))*((VLOOKUP($C7,rngR3DSectionSets,5,0)/12)+(2*0.5/12)))-(AT7*(VLOOKUP($C7,rngR3DSectionSets,5,0)/12))))*1.2) + AU7),0)</f>
        <v>0</v>
      </c>
      <c r="AW7" s="209">
        <f>+IFERROR(+IF(VLOOKUP($M7,$S$6:$V203,3,0)=VLOOKUP($N7,$S$6:$V203,3,0), ((((($O7/12+(2*1/12))*((VLOOKUP($C7,rngR3DSectionSets,5,0)/12)+(2*1/12)))-($O7/12*(VLOOKUP($C7,rngR3DSectionSets,5,0)/12)))*1.2*COS(PI()/180*($P7))^2)) + AU7, (((((AS7+(2*1/12))*((VLOOKUP($C7,rngR3DSectionSets,5,0)/12)+(2*1/12)))-(AS7*(VLOOKUP($C7,rngR3DSectionSets,5,0)/12)))+(((AT7+(2*1/12))*((VLOOKUP($C7,rngR3DSectionSets,5,0)/12)+(2*1/12)))-(AT7*(VLOOKUP($C7,rngR3DSectionSets,5,0)/12))))*1.2) + AU7),0)</f>
        <v>0</v>
      </c>
      <c r="AX7" s="209">
        <f>+IFERROR(IF(VLOOKUP($B7,$E$6:$K203,6,0)=0,$O7/12*COS(PI()/180*($P7+90))^2,IF(AND(ABS(VLOOKUP($B7,$E$6:$K203,6,0))&gt;0,$P7=0),$O7/12*COS(PI()/180*($P7+90))^2,IF(AND(ABS(VLOOKUP($B7,$E$6:$K203,6,0))&gt;0,ABS($P7)&gt;0),$O7/12*COS(PI()/180*($P7+90))^2))),0)</f>
        <v>0</v>
      </c>
      <c r="AY7" s="209">
        <f>+IFERROR(IF(VLOOKUP($B7,$E$6:$K203,6,0)=0,0,IF(AND(ABS(VLOOKUP($B7,$E$6:$K203,6,0))&gt;0,$P7=0),ABS(VLOOKUP($B7,$E$6:$K203,6,0))*SIN(PI()/180*($P7+90))^2,IF(AND(ABS(VLOOKUP($B7,$E$6:$K203,6,0))&gt;0,ABS($P7)&gt;0),ABS(VLOOKUP($B7,$E$6:$K203,6,0))*SIN(PI()/180*($P7+90))^2))),0)*IF(RISA3D.Unit.Length="in",1/12,1)</f>
        <v>0</v>
      </c>
      <c r="AZ7" s="209">
        <f t="shared" si="2"/>
        <v>0</v>
      </c>
      <c r="BA7" s="209">
        <f>+IFERROR(+IF(VLOOKUP($M7,$S$6:$V203,3,0)=VLOOKUP($N7,$S$6:$V203,3,0), ((((($O7/12+(2*0.5/12))*((VLOOKUP($C7,rngR3DSectionSets,5,0)/12)+(2*0.5/12)))-($O7/12*(VLOOKUP($C7,rngR3DSectionSets,5,0)/12)))*1.2*COS(PI()/180*($P7))^2)) + AZ7, (((((AX7+(2*0.5/12))*((VLOOKUP($C7,rngR3DSectionSets,5,0)/12)+(2*0.5/12)))-(AX7*(VLOOKUP($C7,rngR3DSectionSets,5,0)/12)))+(((AY7+(2*0.5/12))*((VLOOKUP($C7,rngR3DSectionSets,5,0)/12)+(2*0.5/12)))-(AY7*(VLOOKUP($C7,rngR3DSectionSets,5,0)/12))))*1.2) + AZ7),0)</f>
        <v>0</v>
      </c>
      <c r="BB7" s="209">
        <f>+IFERROR(+IF(VLOOKUP($M7,$S$6:$V203,3,0)=VLOOKUP($N7,$S$6:$V203,3,0), ((((($O7/12+(2*1/12))*((VLOOKUP($C7,rngR3DSectionSets,5,0)/12)+(2*1/12)))-($O7/12*(VLOOKUP($C7,rngR3DSectionSets,5,0)/12)))*1.2*COS(PI()/180*($P7))^2)) + AZ7, (((((AX7+(2*1/12))*((VLOOKUP($C7,rngR3DSectionSets,5,0)/12)+(2*1/12)))-(AX7*(VLOOKUP($C7,rngR3DSectionSets,5,0)/12)))+(((AY7+(2*1/12))*((VLOOKUP($C7,rngR3DSectionSets,5,0)/12)+(2*1/12)))-(AY7*(VLOOKUP($C7,rngR3DSectionSets,5,0)/12))))*1.2) + AZ7),0)</f>
        <v>0</v>
      </c>
      <c r="BC7" s="209">
        <f t="shared" si="3"/>
        <v>0</v>
      </c>
      <c r="BD7" s="209">
        <f t="shared" si="4"/>
        <v>0</v>
      </c>
      <c r="BE7" s="209">
        <f t="shared" si="5"/>
        <v>0</v>
      </c>
      <c r="BF7" s="209"/>
      <c r="BG7" s="209"/>
    </row>
    <row r="8" spans="1:59" ht="15" customHeight="1" x14ac:dyDescent="0.2">
      <c r="B8" s="207"/>
      <c r="C8" s="207"/>
      <c r="D8" s="207"/>
      <c r="E8" s="207"/>
      <c r="F8" s="207"/>
      <c r="G8" s="207"/>
      <c r="H8" s="207"/>
      <c r="I8" s="207"/>
      <c r="J8" s="207"/>
      <c r="K8" s="207"/>
      <c r="L8" s="207"/>
      <c r="M8" s="207"/>
      <c r="N8" s="207"/>
      <c r="O8" s="207"/>
      <c r="P8" s="207"/>
      <c r="Q8" s="207"/>
      <c r="R8" s="207"/>
      <c r="S8" s="207"/>
      <c r="T8" s="228"/>
      <c r="U8" s="228"/>
      <c r="V8" s="228"/>
      <c r="X8" s="189"/>
      <c r="Y8" s="189"/>
      <c r="Z8" s="189"/>
      <c r="AA8" s="190"/>
      <c r="AB8" s="229" t="str">
        <f>IF(X8="","",
IF(OR(X8="RIGID",X8="GEN1A"), 0,
IFERROR(_xlfn.LET(
_xlpm.BAR,                      OR(ISNUMBER(SEARCH("BAR",Z8)),ISNUMBER(SEARCH("SR",Y8))),
_xlpm.HSS,                      OR(ISNUMBER(SEARCH("HSS",Y8)),ISNUMBER(SEARCH("SquareTube",Z8)),NOT(ISNUMBER(SEARCH("HSS Pipe",Z8)))),
_xlpm.HSSPipe,                  OR(ISNUMBER(SEARCH("HSS Pipe",Z8)),ISNUMBER(SEARCH("Pipe",Z8)),ISNUMBER(SEARCH("Pipe",Y8))),
_xlpm.Pipe,                     OR(ISNUMBER(SEARCH("Pipe",Z8)),ISNUMBER(SEARCH("Pipe",Y8))),
_xlpm.SingleAngle,              OR(ISNUMBER(SEARCH("Single Angle",Z8)),AND(ISNUMBER(SEARCH("Angle",Z8)),ISNUMBER(SEARCH("Single",Z8)))),
_xlpm.DoubleAngle,              AND(ISNUMBER(SEARCH("Angle",Z8)),ISNUMBER(SEARCH("Double",Z8))),
_xlpm.RECT,                     OR(ISNUMBER(SEARCH("RECT",Z8)),ISNUMBER(SEARCH("PL",Y8))),
_xlpm.WideFlange,               OR(ISNUMBER(SEARCH("Wide Flange",Z8)),ISNUMBER(SEARCH("Tee",Z8)),ISNUMBER(SEARCH("W",Y8))),
_xlpm.Channel,                  OR(ISNUMBER(SEARCH("Channel",Z8)),ISNUMBER(SEARCH("C",Y8))),
IF(OR(_xlpm.WideFlange, _xlpm.Channel, _xlpm.SingleAngle, _xlpm.DoubleAngle, _xlpm.RECT),
                          INDEX('[2]AISC Database v16.0'!$D:$D,
                          MATCH(Y8,'[2]AISC Database v16.0'!$B:$B,0)),
IF(AND(_xlpm.HSS,NOT(_xlpm.HSSPipe)), INDEX('[2]AISC Database v16.0'!$F:$F,
                          MATCH(Y8,'[2]AISC Database v16.0'!$B:$B,0)),
IF(OR(_xlpm.Pipe, _xlpm.HSSPipe, _xlpm.BAR),
                          INDEX('[2]AISC Database v16.0'!$H:$H,
                          MATCH(Y8,'[2]AISC Database v16.0'!$B:$B,0)),
0)))),0)))</f>
        <v/>
      </c>
      <c r="AC8" s="229" t="str">
        <f>IF(X8="","",
IF(OR(X8="RIGID",X8="GEN1A"), 0,
IFERROR(_xlfn.LET(
_xlpm.BAR,                      OR(ISNUMBER(SEARCH("BAR",Z8)),ISNUMBER(SEARCH("SR",Y8))),
_xlpm.HSS,                      OR(ISNUMBER(SEARCH("HSS",Y8)),ISNUMBER(SEARCH("SquareTube",Z8)),NOT(ISNUMBER(SEARCH("HSS Pipe",Z8)))),
_xlpm.HSSPipe,                  OR(ISNUMBER(SEARCH("HSS Pipe",Z8)),ISNUMBER(SEARCH("Pipe",Z8)),ISNUMBER(SEARCH("Pipe",Y8))),
_xlpm.Pipe,                     OR(ISNUMBER(SEARCH("Pipe",Z8)),ISNUMBER(SEARCH("Pipe",Y8))),
_xlpm.SingleAngle,              OR(ISNUMBER(SEARCH("Single Angle",Z8)),AND(ISNUMBER(SEARCH("Angle",Z8)),ISNUMBER(SEARCH("Single",Z8)))),
_xlpm.DoubleAngle,              AND(ISNUMBER(SEARCH("Angle",Z8)),ISNUMBER(SEARCH("Double",Z8))),
_xlpm.RECT,                     OR(ISNUMBER(SEARCH("RECT",Z8)),ISNUMBER(SEARCH("PL",Y8))),
_xlpm.WideFlange,               OR(ISNUMBER(SEARCH("Wide Flange",Z8)),ISNUMBER(SEARCH("Tee",Z8)),ISNUMBER(SEARCH("W",Y8))),
_xlpm.Channel,                  OR(ISNUMBER(SEARCH("Channel",Z8)),ISNUMBER(SEARCH("C",Y8))),
IF(OR(_xlpm.WideFlange, _xlpm.Channel),
                          INDEX('[2]AISC Database v16.0'!$I:$I,
                          MATCH(Y8,'[2]AISC Database v16.0'!$B:$B,0)),
IF(OR(_xlpm.SingleAngle, _xlpm.DoubleAngle, _xlpm.RECT),
                          INDEX('[2]AISC Database v16.0'!$L:$L,
                          MATCH(Y8,'[2]AISC Database v16.0'!$B:$B,0)),
IF(AND(_xlpm.HSS,NOT(_xlpm.HSSPipe)),
                          INDEX('[2]AISC Database v16.0'!$K:$K,
                          MATCH(Y8,'[2]AISC Database v16.0'!$B:$B,0)),
IF(OR(_xlpm.Pipe, _xlpm.HSSPipe, _xlpm.BAR),
                          INDEX('[2]AISC Database v16.0'!$H:$H,
                          MATCH(Y8,'[2]AISC Database v16.0'!$B:$B,0)),
0))))),0)))</f>
        <v/>
      </c>
      <c r="AD8" s="230" t="str">
        <f>IF(X8="","",
IF(OR(X8="RIGID",X8="GEN1A"), 0,
IFERROR(_xlfn.LET(
_xlpm.BAR,                      OR(ISNUMBER(SEARCH("BAR",Z8)),ISNUMBER(SEARCH("SR",Y8))),
_xlpm.HSS,                      OR(ISNUMBER(SEARCH("HSS",Y8)),ISNUMBER(SEARCH("SquareTube",Z8)),NOT(ISNUMBER(SEARCH("HSS Pipe",Z8)))),
_xlpm.HSSPipe,                  OR(ISNUMBER(SEARCH("HSS Pipe",Z8)),ISNUMBER(SEARCH("Pipe",Z8)),ISNUMBER(SEARCH("Pipe",Y8))),
_xlpm.Pipe,                     OR(ISNUMBER(SEARCH("Pipe",Z8)),ISNUMBER(SEARCH("Pipe",Y8))),
_xlpm.SingleAngle,              OR(ISNUMBER(SEARCH("Single Angle",Z8)),AND(ISNUMBER(SEARCH("Angle",Z8)),ISNUMBER(SEARCH("Single",Z8)))),
_xlpm.DoubleAngle,              AND(ISNUMBER(SEARCH("Angle",Z8)),ISNUMBER(SEARCH("Double",Z8))),
_xlpm.RECT,                     OR(ISNUMBER(SEARCH("RECT",Z8)),ISNUMBER(SEARCH("PL",Y8))),
_xlpm.WideFlange,               OR(ISNUMBER(SEARCH("Wide Flange",Z8)),ISNUMBER(SEARCH("Tee",Z8)),ISNUMBER(SEARCH("W",Y8))),
_xlpm.Channel,                  OR(ISNUMBER(SEARCH("Channel",Z8)),ISNUMBER(SEARCH("C",Y8))),
IF(_xlpm.WideFlange,            INDEX('[2]AISC Database v16.0'!$O:$O,
                          MATCH(Y8,'[2]AISC Database v16.0'!$B:$B,0)),
IF(_xlpm.Channel,               INDEX('[2]AISC Database v16.0'!$O:$O,
                          MATCH(Y8,'[2]AISC Database v16.0'!$B:$B,0)),
IF(_xlpm.BAR,                   INDEX('[2]AISC Database v16.0'!$T:$T,
                          MATCH(Y8,'[2]AISC Database v16.0'!$B:$B,0)),
IF(_xlpm.SingleAngle,           INDEX('[2]AISC Database v16.0'!$T:$T,
                          MATCH(Y8,'[2]AISC Database v16.0'!$B:$B,0)),
IF(_xlpm.DoubleAngle,           INDEX('[2]AISC Database v16.0'!$T:$T,
                          MATCH(Y8,'[2]AISC Database v16.0'!$B:$B,0)),
IF(_xlpm.RECT,                  INDEX('[2]AISC Database v16.0'!$T:$T,
                          MATCH(Y8,'[2]AISC Database v16.0'!$B:$B,0)),
IF(AND(_xlpm.HSS,NOT(_xlpm.HSSPipe)), INDEX('[2]AISC Database v16.0'!$U:$U,
                          MATCH(Y8,'[2]AISC Database v16.0'!$B:$B,0)),
IF(OR(_xlpm.Pipe, _xlpm.HSSPipe),     INDEX('[2]AISC Database v16.0'!$U:$U,
                          MATCH(Y8,'[2]AISC Database v16.0'!$B:$B,0)),
0))))))))),0)))</f>
        <v/>
      </c>
      <c r="AE8" s="230" t="str">
        <f t="shared" si="0"/>
        <v/>
      </c>
      <c r="AF8" s="229" t="str">
        <f>IF(X8="","",
IF(OR(X8="RIGID",X8="GEN1A"), 0,
IFERROR(INDEX('[2]AISC Database v16.0'!$M:$M, MATCH(Y8,'[2]AISC Database v16.0'!$B:$B,0)), 0)))</f>
        <v/>
      </c>
      <c r="AG8" s="229" t="str">
        <f>IF(X8="","",
IF(OR(X8="RIGID",X8="GEN1A"), 0,
IFERROR(INDEX('[2]AISC Database v16.0'!$C:$C, MATCH(Y8,'[2]AISC Database v16.0'!$B:$B,0)), 0)))</f>
        <v/>
      </c>
      <c r="AR8" s="209"/>
      <c r="AS8" s="209">
        <f>+IFERROR(IF(VLOOKUP($B8,$E$6:$K203,6,0)=0,$O8/12*COS(PI()/180*($P8+0))^2,IF(AND(ABS(VLOOKUP($B8,$E$6:$K203,6,0))&gt;0,$P8=0),$O8/12*COS(PI()/180*($P8+0))^2,IF(AND(ABS(VLOOKUP($B8,$E$6:$K203,6,0))&gt;0,ABS($P8)&gt;0),$O8/12*COS(PI()/180*($P8+0))^2))),0)</f>
        <v>0</v>
      </c>
      <c r="AT8" s="209">
        <f>+IFERROR(IF(VLOOKUP($B8,$E$6:$K203,6,0)=0,0,IF(AND(ABS(VLOOKUP($B8,$E$6:$K203,6,0))&gt;0,$P8=0),ABS(VLOOKUP($B8,$E$6:$K203,6,0))*SIN(PI()/180*($P8+0))^2,IF(AND(ABS(VLOOKUP($B8,$E$6:$K203,6,0))&gt;0,ABS($P8)&gt;0),ABS(VLOOKUP($B8,$E$6:$K203,6,0))*SIN(PI()/180*($P8+0))^2))),0)*IF(RISA3D.Unit.Length="in",1/12,1)</f>
        <v>0</v>
      </c>
      <c r="AU8" s="209">
        <f t="shared" si="1"/>
        <v>0</v>
      </c>
      <c r="AV8" s="209">
        <f>+IFERROR(+IF(VLOOKUP($M8,$S$6:$V203,3,0)=VLOOKUP($N8,$S$6:$V203,3,0), ((((($O8/12+(2*0.5/12))*((VLOOKUP($C8,rngR3DSectionSets,5,0)/12)+(2*0.5/12)))-($O8/12*(VLOOKUP($C8,rngR3DSectionSets,5,0)/12)))*1.2*COS(PI()/180*($P8))^2)) + AU8, (((((AS8+(2*0.5/12))*((VLOOKUP($C8,rngR3DSectionSets,5,0)/12)+(2*0.5/12)))-(AS8*(VLOOKUP($C8,rngR3DSectionSets,5,0)/12)))+(((AT8+(2*0.5/12))*((VLOOKUP($C8,rngR3DSectionSets,5,0)/12)+(2*0.5/12)))-(AT8*(VLOOKUP($C8,rngR3DSectionSets,5,0)/12))))*1.2) + AU8),0)</f>
        <v>0</v>
      </c>
      <c r="AW8" s="209">
        <f>+IFERROR(+IF(VLOOKUP($M8,$S$6:$V203,3,0)=VLOOKUP($N8,$S$6:$V203,3,0), ((((($O8/12+(2*1/12))*((VLOOKUP($C8,rngR3DSectionSets,5,0)/12)+(2*1/12)))-($O8/12*(VLOOKUP($C8,rngR3DSectionSets,5,0)/12)))*1.2*COS(PI()/180*($P8))^2)) + AU8, (((((AS8+(2*1/12))*((VLOOKUP($C8,rngR3DSectionSets,5,0)/12)+(2*1/12)))-(AS8*(VLOOKUP($C8,rngR3DSectionSets,5,0)/12)))+(((AT8+(2*1/12))*((VLOOKUP($C8,rngR3DSectionSets,5,0)/12)+(2*1/12)))-(AT8*(VLOOKUP($C8,rngR3DSectionSets,5,0)/12))))*1.2) + AU8),0)</f>
        <v>0</v>
      </c>
      <c r="AX8" s="209">
        <f>+IFERROR(IF(VLOOKUP($B8,$E$6:$K203,6,0)=0,$O8/12*COS(PI()/180*($P8+90))^2,IF(AND(ABS(VLOOKUP($B8,$E$6:$K203,6,0))&gt;0,$P8=0),$O8/12*COS(PI()/180*($P8+90))^2,IF(AND(ABS(VLOOKUP($B8,$E$6:$K203,6,0))&gt;0,ABS($P8)&gt;0),$O8/12*COS(PI()/180*($P8+90))^2))),0)</f>
        <v>0</v>
      </c>
      <c r="AY8" s="209">
        <f>+IFERROR(IF(VLOOKUP($B8,$E$6:$K203,6,0)=0,0,IF(AND(ABS(VLOOKUP($B8,$E$6:$K203,6,0))&gt;0,$P8=0),ABS(VLOOKUP($B8,$E$6:$K203,6,0))*SIN(PI()/180*($P8+90))^2,IF(AND(ABS(VLOOKUP($B8,$E$6:$K203,6,0))&gt;0,ABS($P8)&gt;0),ABS(VLOOKUP($B8,$E$6:$K203,6,0))*SIN(PI()/180*($P8+90))^2))),0)*IF(RISA3D.Unit.Length="in",1/12,1)</f>
        <v>0</v>
      </c>
      <c r="AZ8" s="209">
        <f t="shared" si="2"/>
        <v>0</v>
      </c>
      <c r="BA8" s="209">
        <f>+IFERROR(+IF(VLOOKUP($M8,$S$6:$V203,3,0)=VLOOKUP($N8,$S$6:$V203,3,0), ((((($O8/12+(2*0.5/12))*((VLOOKUP($C8,rngR3DSectionSets,5,0)/12)+(2*0.5/12)))-($O8/12*(VLOOKUP($C8,rngR3DSectionSets,5,0)/12)))*1.2*COS(PI()/180*($P8))^2)) + AZ8, (((((AX8+(2*0.5/12))*((VLOOKUP($C8,rngR3DSectionSets,5,0)/12)+(2*0.5/12)))-(AX8*(VLOOKUP($C8,rngR3DSectionSets,5,0)/12)))+(((AY8+(2*0.5/12))*((VLOOKUP($C8,rngR3DSectionSets,5,0)/12)+(2*0.5/12)))-(AY8*(VLOOKUP($C8,rngR3DSectionSets,5,0)/12))))*1.2) + AZ8),0)</f>
        <v>0</v>
      </c>
      <c r="BB8" s="209">
        <f>+IFERROR(+IF(VLOOKUP($M8,$S$6:$V203,3,0)=VLOOKUP($N8,$S$6:$V203,3,0), ((((($O8/12+(2*1/12))*((VLOOKUP($C8,rngR3DSectionSets,5,0)/12)+(2*1/12)))-($O8/12*(VLOOKUP($C8,rngR3DSectionSets,5,0)/12)))*1.2*COS(PI()/180*($P8))^2)) + AZ8, (((((AX8+(2*1/12))*((VLOOKUP($C8,rngR3DSectionSets,5,0)/12)+(2*1/12)))-(AX8*(VLOOKUP($C8,rngR3DSectionSets,5,0)/12)))+(((AY8+(2*1/12))*((VLOOKUP($C8,rngR3DSectionSets,5,0)/12)+(2*1/12)))-(AY8*(VLOOKUP($C8,rngR3DSectionSets,5,0)/12))))*1.2) + AZ8),0)</f>
        <v>0</v>
      </c>
      <c r="BC8" s="209">
        <f t="shared" si="3"/>
        <v>0</v>
      </c>
      <c r="BD8" s="209">
        <f t="shared" si="4"/>
        <v>0</v>
      </c>
      <c r="BE8" s="209">
        <f t="shared" si="5"/>
        <v>0</v>
      </c>
      <c r="BF8" s="209"/>
      <c r="BG8" s="209"/>
    </row>
    <row r="9" spans="1:59" ht="15" customHeight="1" x14ac:dyDescent="0.2">
      <c r="B9" s="207"/>
      <c r="C9" s="207"/>
      <c r="D9" s="207"/>
      <c r="E9" s="207"/>
      <c r="F9" s="207"/>
      <c r="G9" s="207"/>
      <c r="H9" s="207"/>
      <c r="I9" s="207"/>
      <c r="J9" s="207"/>
      <c r="K9" s="207"/>
      <c r="L9" s="207"/>
      <c r="M9" s="207"/>
      <c r="N9" s="207"/>
      <c r="O9" s="207"/>
      <c r="P9" s="207"/>
      <c r="Q9" s="207"/>
      <c r="R9" s="207"/>
      <c r="S9" s="207"/>
      <c r="T9" s="228"/>
      <c r="U9" s="228"/>
      <c r="V9" s="228"/>
      <c r="X9" s="189"/>
      <c r="Y9" s="189"/>
      <c r="Z9" s="189"/>
      <c r="AA9" s="190"/>
      <c r="AB9" s="229" t="str">
        <f>IF(X9="","",
IF(OR(X9="RIGID",X9="GEN1A"), 0,
IFERROR(_xlfn.LET(
_xlpm.BAR,                      OR(ISNUMBER(SEARCH("BAR",Z9)),ISNUMBER(SEARCH("SR",Y9))),
_xlpm.HSS,                      OR(ISNUMBER(SEARCH("HSS",Y9)),ISNUMBER(SEARCH("SquareTube",Z9)),NOT(ISNUMBER(SEARCH("HSS Pipe",Z9)))),
_xlpm.HSSPipe,                  OR(ISNUMBER(SEARCH("HSS Pipe",Z9)),ISNUMBER(SEARCH("Pipe",Z9)),ISNUMBER(SEARCH("Pipe",Y9))),
_xlpm.Pipe,                     OR(ISNUMBER(SEARCH("Pipe",Z9)),ISNUMBER(SEARCH("Pipe",Y9))),
_xlpm.SingleAngle,              OR(ISNUMBER(SEARCH("Single Angle",Z9)),AND(ISNUMBER(SEARCH("Angle",Z9)),ISNUMBER(SEARCH("Single",Z9)))),
_xlpm.DoubleAngle,              AND(ISNUMBER(SEARCH("Angle",Z9)),ISNUMBER(SEARCH("Double",Z9))),
_xlpm.RECT,                     OR(ISNUMBER(SEARCH("RECT",Z9)),ISNUMBER(SEARCH("PL",Y9))),
_xlpm.WideFlange,               OR(ISNUMBER(SEARCH("Wide Flange",Z9)),ISNUMBER(SEARCH("Tee",Z9)),ISNUMBER(SEARCH("W",Y9))),
_xlpm.Channel,                  OR(ISNUMBER(SEARCH("Channel",Z9)),ISNUMBER(SEARCH("C",Y9))),
IF(OR(_xlpm.WideFlange, _xlpm.Channel, _xlpm.SingleAngle, _xlpm.DoubleAngle, _xlpm.RECT),
                          INDEX('[2]AISC Database v16.0'!$D:$D,
                          MATCH(Y9,'[2]AISC Database v16.0'!$B:$B,0)),
IF(AND(_xlpm.HSS,NOT(_xlpm.HSSPipe)), INDEX('[2]AISC Database v16.0'!$F:$F,
                          MATCH(Y9,'[2]AISC Database v16.0'!$B:$B,0)),
IF(OR(_xlpm.Pipe, _xlpm.HSSPipe, _xlpm.BAR),
                          INDEX('[2]AISC Database v16.0'!$H:$H,
                          MATCH(Y9,'[2]AISC Database v16.0'!$B:$B,0)),
0)))),0)))</f>
        <v/>
      </c>
      <c r="AC9" s="229" t="str">
        <f>IF(X9="","",
IF(OR(X9="RIGID",X9="GEN1A"), 0,
IFERROR(_xlfn.LET(
_xlpm.BAR,                      OR(ISNUMBER(SEARCH("BAR",Z9)),ISNUMBER(SEARCH("SR",Y9))),
_xlpm.HSS,                      OR(ISNUMBER(SEARCH("HSS",Y9)),ISNUMBER(SEARCH("SquareTube",Z9)),NOT(ISNUMBER(SEARCH("HSS Pipe",Z9)))),
_xlpm.HSSPipe,                  OR(ISNUMBER(SEARCH("HSS Pipe",Z9)),ISNUMBER(SEARCH("Pipe",Z9)),ISNUMBER(SEARCH("Pipe",Y9))),
_xlpm.Pipe,                     OR(ISNUMBER(SEARCH("Pipe",Z9)),ISNUMBER(SEARCH("Pipe",Y9))),
_xlpm.SingleAngle,              OR(ISNUMBER(SEARCH("Single Angle",Z9)),AND(ISNUMBER(SEARCH("Angle",Z9)),ISNUMBER(SEARCH("Single",Z9)))),
_xlpm.DoubleAngle,              AND(ISNUMBER(SEARCH("Angle",Z9)),ISNUMBER(SEARCH("Double",Z9))),
_xlpm.RECT,                     OR(ISNUMBER(SEARCH("RECT",Z9)),ISNUMBER(SEARCH("PL",Y9))),
_xlpm.WideFlange,               OR(ISNUMBER(SEARCH("Wide Flange",Z9)),ISNUMBER(SEARCH("Tee",Z9)),ISNUMBER(SEARCH("W",Y9))),
_xlpm.Channel,                  OR(ISNUMBER(SEARCH("Channel",Z9)),ISNUMBER(SEARCH("C",Y9))),
IF(OR(_xlpm.WideFlange, _xlpm.Channel),
                          INDEX('[2]AISC Database v16.0'!$I:$I,
                          MATCH(Y9,'[2]AISC Database v16.0'!$B:$B,0)),
IF(OR(_xlpm.SingleAngle, _xlpm.DoubleAngle, _xlpm.RECT),
                          INDEX('[2]AISC Database v16.0'!$L:$L,
                          MATCH(Y9,'[2]AISC Database v16.0'!$B:$B,0)),
IF(AND(_xlpm.HSS,NOT(_xlpm.HSSPipe)),
                          INDEX('[2]AISC Database v16.0'!$K:$K,
                          MATCH(Y9,'[2]AISC Database v16.0'!$B:$B,0)),
IF(OR(_xlpm.Pipe, _xlpm.HSSPipe, _xlpm.BAR),
                          INDEX('[2]AISC Database v16.0'!$H:$H,
                          MATCH(Y9,'[2]AISC Database v16.0'!$B:$B,0)),
0))))),0)))</f>
        <v/>
      </c>
      <c r="AD9" s="230" t="str">
        <f>IF(X9="","",
IF(OR(X9="RIGID",X9="GEN1A"), 0,
IFERROR(_xlfn.LET(
_xlpm.BAR,                      OR(ISNUMBER(SEARCH("BAR",Z9)),ISNUMBER(SEARCH("SR",Y9))),
_xlpm.HSS,                      OR(ISNUMBER(SEARCH("HSS",Y9)),ISNUMBER(SEARCH("SquareTube",Z9)),NOT(ISNUMBER(SEARCH("HSS Pipe",Z9)))),
_xlpm.HSSPipe,                  OR(ISNUMBER(SEARCH("HSS Pipe",Z9)),ISNUMBER(SEARCH("Pipe",Z9)),ISNUMBER(SEARCH("Pipe",Y9))),
_xlpm.Pipe,                     OR(ISNUMBER(SEARCH("Pipe",Z9)),ISNUMBER(SEARCH("Pipe",Y9))),
_xlpm.SingleAngle,              OR(ISNUMBER(SEARCH("Single Angle",Z9)),AND(ISNUMBER(SEARCH("Angle",Z9)),ISNUMBER(SEARCH("Single",Z9)))),
_xlpm.DoubleAngle,              AND(ISNUMBER(SEARCH("Angle",Z9)),ISNUMBER(SEARCH("Double",Z9))),
_xlpm.RECT,                     OR(ISNUMBER(SEARCH("RECT",Z9)),ISNUMBER(SEARCH("PL",Y9))),
_xlpm.WideFlange,               OR(ISNUMBER(SEARCH("Wide Flange",Z9)),ISNUMBER(SEARCH("Tee",Z9)),ISNUMBER(SEARCH("W",Y9))),
_xlpm.Channel,                  OR(ISNUMBER(SEARCH("Channel",Z9)),ISNUMBER(SEARCH("C",Y9))),
IF(_xlpm.WideFlange,            INDEX('[2]AISC Database v16.0'!$O:$O,
                          MATCH(Y9,'[2]AISC Database v16.0'!$B:$B,0)),
IF(_xlpm.Channel,               INDEX('[2]AISC Database v16.0'!$O:$O,
                          MATCH(Y9,'[2]AISC Database v16.0'!$B:$B,0)),
IF(_xlpm.BAR,                   INDEX('[2]AISC Database v16.0'!$T:$T,
                          MATCH(Y9,'[2]AISC Database v16.0'!$B:$B,0)),
IF(_xlpm.SingleAngle,           INDEX('[2]AISC Database v16.0'!$T:$T,
                          MATCH(Y9,'[2]AISC Database v16.0'!$B:$B,0)),
IF(_xlpm.DoubleAngle,           INDEX('[2]AISC Database v16.0'!$T:$T,
                          MATCH(Y9,'[2]AISC Database v16.0'!$B:$B,0)),
IF(_xlpm.RECT,                  INDEX('[2]AISC Database v16.0'!$T:$T,
                          MATCH(Y9,'[2]AISC Database v16.0'!$B:$B,0)),
IF(AND(_xlpm.HSS,NOT(_xlpm.HSSPipe)), INDEX('[2]AISC Database v16.0'!$U:$U,
                          MATCH(Y9,'[2]AISC Database v16.0'!$B:$B,0)),
IF(OR(_xlpm.Pipe, _xlpm.HSSPipe),     INDEX('[2]AISC Database v16.0'!$U:$U,
                          MATCH(Y9,'[2]AISC Database v16.0'!$B:$B,0)),
0))))))))),0)))</f>
        <v/>
      </c>
      <c r="AE9" s="230" t="str">
        <f t="shared" si="0"/>
        <v/>
      </c>
      <c r="AF9" s="229" t="str">
        <f>IF(X9="","",
IF(OR(X9="RIGID",X9="GEN1A"), 0,
IFERROR(INDEX('[2]AISC Database v16.0'!$M:$M, MATCH(Y9,'[2]AISC Database v16.0'!$B:$B,0)), 0)))</f>
        <v/>
      </c>
      <c r="AG9" s="229" t="str">
        <f>IF(X9="","",
IF(OR(X9="RIGID",X9="GEN1A"), 0,
IFERROR(INDEX('[2]AISC Database v16.0'!$C:$C, MATCH(Y9,'[2]AISC Database v16.0'!$B:$B,0)), 0)))</f>
        <v/>
      </c>
      <c r="AR9" s="209"/>
      <c r="AS9" s="209">
        <f>+IFERROR(IF(VLOOKUP($B9,$E$6:$K203,6,0)=0,$O9/12*COS(PI()/180*($P9+0))^2,IF(AND(ABS(VLOOKUP($B9,$E$6:$K203,6,0))&gt;0,$P9=0),$O9/12*COS(PI()/180*($P9+0))^2,IF(AND(ABS(VLOOKUP($B9,$E$6:$K203,6,0))&gt;0,ABS($P9)&gt;0),$O9/12*COS(PI()/180*($P9+0))^2))),0)</f>
        <v>0</v>
      </c>
      <c r="AT9" s="209">
        <f>+IFERROR(IF(VLOOKUP($B9,$E$6:$K203,6,0)=0,0,IF(AND(ABS(VLOOKUP($B9,$E$6:$K203,6,0))&gt;0,$P9=0),ABS(VLOOKUP($B9,$E$6:$K203,6,0))*SIN(PI()/180*($P9+0))^2,IF(AND(ABS(VLOOKUP($B9,$E$6:$K203,6,0))&gt;0,ABS($P9)&gt;0),ABS(VLOOKUP($B9,$E$6:$K203,6,0))*SIN(PI()/180*($P9+0))^2))),0)*IF(RISA3D.Unit.Length="in",1/12,1)</f>
        <v>0</v>
      </c>
      <c r="AU9" s="209">
        <f t="shared" si="1"/>
        <v>0</v>
      </c>
      <c r="AV9" s="209">
        <f>+IFERROR(+IF(VLOOKUP($M9,$S$6:$V203,3,0)=VLOOKUP($N9,$S$6:$V203,3,0), ((((($O9/12+(2*0.5/12))*((VLOOKUP($C9,rngR3DSectionSets,5,0)/12)+(2*0.5/12)))-($O9/12*(VLOOKUP($C9,rngR3DSectionSets,5,0)/12)))*1.2*COS(PI()/180*($P9))^2)) + AU9, (((((AS9+(2*0.5/12))*((VLOOKUP($C9,rngR3DSectionSets,5,0)/12)+(2*0.5/12)))-(AS9*(VLOOKUP($C9,rngR3DSectionSets,5,0)/12)))+(((AT9+(2*0.5/12))*((VLOOKUP($C9,rngR3DSectionSets,5,0)/12)+(2*0.5/12)))-(AT9*(VLOOKUP($C9,rngR3DSectionSets,5,0)/12))))*1.2) + AU9),0)</f>
        <v>0</v>
      </c>
      <c r="AW9" s="209">
        <f>+IFERROR(+IF(VLOOKUP($M9,$S$6:$V203,3,0)=VLOOKUP($N9,$S$6:$V203,3,0), ((((($O9/12+(2*1/12))*((VLOOKUP($C9,rngR3DSectionSets,5,0)/12)+(2*1/12)))-($O9/12*(VLOOKUP($C9,rngR3DSectionSets,5,0)/12)))*1.2*COS(PI()/180*($P9))^2)) + AU9, (((((AS9+(2*1/12))*((VLOOKUP($C9,rngR3DSectionSets,5,0)/12)+(2*1/12)))-(AS9*(VLOOKUP($C9,rngR3DSectionSets,5,0)/12)))+(((AT9+(2*1/12))*((VLOOKUP($C9,rngR3DSectionSets,5,0)/12)+(2*1/12)))-(AT9*(VLOOKUP($C9,rngR3DSectionSets,5,0)/12))))*1.2) + AU9),0)</f>
        <v>0</v>
      </c>
      <c r="AX9" s="209">
        <f>+IFERROR(IF(VLOOKUP($B9,$E$6:$K203,6,0)=0,$O9/12*COS(PI()/180*($P9+90))^2,IF(AND(ABS(VLOOKUP($B9,$E$6:$K203,6,0))&gt;0,$P9=0),$O9/12*COS(PI()/180*($P9+90))^2,IF(AND(ABS(VLOOKUP($B9,$E$6:$K203,6,0))&gt;0,ABS($P9)&gt;0),$O9/12*COS(PI()/180*($P9+90))^2))),0)</f>
        <v>0</v>
      </c>
      <c r="AY9" s="209">
        <f>+IFERROR(IF(VLOOKUP($B9,$E$6:$K203,6,0)=0,0,IF(AND(ABS(VLOOKUP($B9,$E$6:$K203,6,0))&gt;0,$P9=0),ABS(VLOOKUP($B9,$E$6:$K203,6,0))*SIN(PI()/180*($P9+90))^2,IF(AND(ABS(VLOOKUP($B9,$E$6:$K203,6,0))&gt;0,ABS($P9)&gt;0),ABS(VLOOKUP($B9,$E$6:$K203,6,0))*SIN(PI()/180*($P9+90))^2))),0)*IF(RISA3D.Unit.Length="in",1/12,1)</f>
        <v>0</v>
      </c>
      <c r="AZ9" s="209">
        <f t="shared" si="2"/>
        <v>0</v>
      </c>
      <c r="BA9" s="209">
        <f>+IFERROR(+IF(VLOOKUP($M9,$S$6:$V203,3,0)=VLOOKUP($N9,$S$6:$V203,3,0), ((((($O9/12+(2*0.5/12))*((VLOOKUP($C9,rngR3DSectionSets,5,0)/12)+(2*0.5/12)))-($O9/12*(VLOOKUP($C9,rngR3DSectionSets,5,0)/12)))*1.2*COS(PI()/180*($P9))^2)) + AZ9, (((((AX9+(2*0.5/12))*((VLOOKUP($C9,rngR3DSectionSets,5,0)/12)+(2*0.5/12)))-(AX9*(VLOOKUP($C9,rngR3DSectionSets,5,0)/12)))+(((AY9+(2*0.5/12))*((VLOOKUP($C9,rngR3DSectionSets,5,0)/12)+(2*0.5/12)))-(AY9*(VLOOKUP($C9,rngR3DSectionSets,5,0)/12))))*1.2) + AZ9),0)</f>
        <v>0</v>
      </c>
      <c r="BB9" s="209">
        <f>+IFERROR(+IF(VLOOKUP($M9,$S$6:$V203,3,0)=VLOOKUP($N9,$S$6:$V203,3,0), ((((($O9/12+(2*1/12))*((VLOOKUP($C9,rngR3DSectionSets,5,0)/12)+(2*1/12)))-($O9/12*(VLOOKUP($C9,rngR3DSectionSets,5,0)/12)))*1.2*COS(PI()/180*($P9))^2)) + AZ9, (((((AX9+(2*1/12))*((VLOOKUP($C9,rngR3DSectionSets,5,0)/12)+(2*1/12)))-(AX9*(VLOOKUP($C9,rngR3DSectionSets,5,0)/12)))+(((AY9+(2*1/12))*((VLOOKUP($C9,rngR3DSectionSets,5,0)/12)+(2*1/12)))-(AY9*(VLOOKUP($C9,rngR3DSectionSets,5,0)/12))))*1.2) + AZ9),0)</f>
        <v>0</v>
      </c>
      <c r="BC9" s="209">
        <f t="shared" si="3"/>
        <v>0</v>
      </c>
      <c r="BD9" s="209">
        <f t="shared" si="4"/>
        <v>0</v>
      </c>
      <c r="BE9" s="209">
        <f t="shared" si="5"/>
        <v>0</v>
      </c>
      <c r="BF9" s="209"/>
      <c r="BG9" s="209"/>
    </row>
    <row r="10" spans="1:59" ht="15" customHeight="1" x14ac:dyDescent="0.2">
      <c r="B10" s="207"/>
      <c r="C10" s="207"/>
      <c r="D10" s="207"/>
      <c r="E10" s="207"/>
      <c r="F10" s="207"/>
      <c r="G10" s="207"/>
      <c r="H10" s="207"/>
      <c r="I10" s="207"/>
      <c r="J10" s="207"/>
      <c r="K10" s="207"/>
      <c r="L10" s="207"/>
      <c r="M10" s="207"/>
      <c r="N10" s="207"/>
      <c r="O10" s="207"/>
      <c r="P10" s="207"/>
      <c r="Q10" s="207"/>
      <c r="R10" s="207"/>
      <c r="S10" s="207"/>
      <c r="T10" s="228"/>
      <c r="U10" s="228"/>
      <c r="V10" s="228"/>
      <c r="X10" s="189"/>
      <c r="Y10" s="189"/>
      <c r="Z10" s="189"/>
      <c r="AA10" s="190"/>
      <c r="AB10" s="229" t="str">
        <f>IF(X10="","",
IF(OR(X10="RIGID",X10="GEN1A"), 0,
IFERROR(_xlfn.LET(
_xlpm.BAR,                      OR(ISNUMBER(SEARCH("BAR",Z10)),ISNUMBER(SEARCH("SR",Y10))),
_xlpm.HSS,                      OR(ISNUMBER(SEARCH("HSS",Y10)),ISNUMBER(SEARCH("SquareTube",Z10)),NOT(ISNUMBER(SEARCH("HSS Pipe",Z10)))),
_xlpm.HSSPipe,                  OR(ISNUMBER(SEARCH("HSS Pipe",Z10)),ISNUMBER(SEARCH("Pipe",Z10)),ISNUMBER(SEARCH("Pipe",Y10))),
_xlpm.Pipe,                     OR(ISNUMBER(SEARCH("Pipe",Z10)),ISNUMBER(SEARCH("Pipe",Y10))),
_xlpm.SingleAngle,              OR(ISNUMBER(SEARCH("Single Angle",Z10)),AND(ISNUMBER(SEARCH("Angle",Z10)),ISNUMBER(SEARCH("Single",Z10)))),
_xlpm.DoubleAngle,              AND(ISNUMBER(SEARCH("Angle",Z10)),ISNUMBER(SEARCH("Double",Z10))),
_xlpm.RECT,                     OR(ISNUMBER(SEARCH("RECT",Z10)),ISNUMBER(SEARCH("PL",Y10))),
_xlpm.WideFlange,               OR(ISNUMBER(SEARCH("Wide Flange",Z10)),ISNUMBER(SEARCH("Tee",Z10)),ISNUMBER(SEARCH("W",Y10))),
_xlpm.Channel,                  OR(ISNUMBER(SEARCH("Channel",Z10)),ISNUMBER(SEARCH("C",Y10))),
IF(OR(_xlpm.WideFlange, _xlpm.Channel, _xlpm.SingleAngle, _xlpm.DoubleAngle, _xlpm.RECT),
                          INDEX('[2]AISC Database v16.0'!$D:$D,
                          MATCH(Y10,'[2]AISC Database v16.0'!$B:$B,0)),
IF(AND(_xlpm.HSS,NOT(_xlpm.HSSPipe)), INDEX('[2]AISC Database v16.0'!$F:$F,
                          MATCH(Y10,'[2]AISC Database v16.0'!$B:$B,0)),
IF(OR(_xlpm.Pipe, _xlpm.HSSPipe, _xlpm.BAR),
                          INDEX('[2]AISC Database v16.0'!$H:$H,
                          MATCH(Y10,'[2]AISC Database v16.0'!$B:$B,0)),
0)))),0)))</f>
        <v/>
      </c>
      <c r="AC10" s="229" t="str">
        <f>IF(X10="","",
IF(OR(X10="RIGID",X10="GEN1A"), 0,
IFERROR(_xlfn.LET(
_xlpm.BAR,                      OR(ISNUMBER(SEARCH("BAR",Z10)),ISNUMBER(SEARCH("SR",Y10))),
_xlpm.HSS,                      OR(ISNUMBER(SEARCH("HSS",Y10)),ISNUMBER(SEARCH("SquareTube",Z10)),NOT(ISNUMBER(SEARCH("HSS Pipe",Z10)))),
_xlpm.HSSPipe,                  OR(ISNUMBER(SEARCH("HSS Pipe",Z10)),ISNUMBER(SEARCH("Pipe",Z10)),ISNUMBER(SEARCH("Pipe",Y10))),
_xlpm.Pipe,                     OR(ISNUMBER(SEARCH("Pipe",Z10)),ISNUMBER(SEARCH("Pipe",Y10))),
_xlpm.SingleAngle,              OR(ISNUMBER(SEARCH("Single Angle",Z10)),AND(ISNUMBER(SEARCH("Angle",Z10)),ISNUMBER(SEARCH("Single",Z10)))),
_xlpm.DoubleAngle,              AND(ISNUMBER(SEARCH("Angle",Z10)),ISNUMBER(SEARCH("Double",Z10))),
_xlpm.RECT,                     OR(ISNUMBER(SEARCH("RECT",Z10)),ISNUMBER(SEARCH("PL",Y10))),
_xlpm.WideFlange,               OR(ISNUMBER(SEARCH("Wide Flange",Z10)),ISNUMBER(SEARCH("Tee",Z10)),ISNUMBER(SEARCH("W",Y10))),
_xlpm.Channel,                  OR(ISNUMBER(SEARCH("Channel",Z10)),ISNUMBER(SEARCH("C",Y10))),
IF(OR(_xlpm.WideFlange, _xlpm.Channel),
                          INDEX('[2]AISC Database v16.0'!$I:$I,
                          MATCH(Y10,'[2]AISC Database v16.0'!$B:$B,0)),
IF(OR(_xlpm.SingleAngle, _xlpm.DoubleAngle, _xlpm.RECT),
                          INDEX('[2]AISC Database v16.0'!$L:$L,
                          MATCH(Y10,'[2]AISC Database v16.0'!$B:$B,0)),
IF(AND(_xlpm.HSS,NOT(_xlpm.HSSPipe)),
                          INDEX('[2]AISC Database v16.0'!$K:$K,
                          MATCH(Y10,'[2]AISC Database v16.0'!$B:$B,0)),
IF(OR(_xlpm.Pipe, _xlpm.HSSPipe, _xlpm.BAR),
                          INDEX('[2]AISC Database v16.0'!$H:$H,
                          MATCH(Y10,'[2]AISC Database v16.0'!$B:$B,0)),
0))))),0)))</f>
        <v/>
      </c>
      <c r="AD10" s="230" t="str">
        <f>IF(X10="","",
IF(OR(X10="RIGID",X10="GEN1A"), 0,
IFERROR(_xlfn.LET(
_xlpm.BAR,                      OR(ISNUMBER(SEARCH("BAR",Z10)),ISNUMBER(SEARCH("SR",Y10))),
_xlpm.HSS,                      OR(ISNUMBER(SEARCH("HSS",Y10)),ISNUMBER(SEARCH("SquareTube",Z10)),NOT(ISNUMBER(SEARCH("HSS Pipe",Z10)))),
_xlpm.HSSPipe,                  OR(ISNUMBER(SEARCH("HSS Pipe",Z10)),ISNUMBER(SEARCH("Pipe",Z10)),ISNUMBER(SEARCH("Pipe",Y10))),
_xlpm.Pipe,                     OR(ISNUMBER(SEARCH("Pipe",Z10)),ISNUMBER(SEARCH("Pipe",Y10))),
_xlpm.SingleAngle,              OR(ISNUMBER(SEARCH("Single Angle",Z10)),AND(ISNUMBER(SEARCH("Angle",Z10)),ISNUMBER(SEARCH("Single",Z10)))),
_xlpm.DoubleAngle,              AND(ISNUMBER(SEARCH("Angle",Z10)),ISNUMBER(SEARCH("Double",Z10))),
_xlpm.RECT,                     OR(ISNUMBER(SEARCH("RECT",Z10)),ISNUMBER(SEARCH("PL",Y10))),
_xlpm.WideFlange,               OR(ISNUMBER(SEARCH("Wide Flange",Z10)),ISNUMBER(SEARCH("Tee",Z10)),ISNUMBER(SEARCH("W",Y10))),
_xlpm.Channel,                  OR(ISNUMBER(SEARCH("Channel",Z10)),ISNUMBER(SEARCH("C",Y10))),
IF(_xlpm.WideFlange,            INDEX('[2]AISC Database v16.0'!$O:$O,
                          MATCH(Y10,'[2]AISC Database v16.0'!$B:$B,0)),
IF(_xlpm.Channel,               INDEX('[2]AISC Database v16.0'!$O:$O,
                          MATCH(Y10,'[2]AISC Database v16.0'!$B:$B,0)),
IF(_xlpm.BAR,                   INDEX('[2]AISC Database v16.0'!$T:$T,
                          MATCH(Y10,'[2]AISC Database v16.0'!$B:$B,0)),
IF(_xlpm.SingleAngle,           INDEX('[2]AISC Database v16.0'!$T:$T,
                          MATCH(Y10,'[2]AISC Database v16.0'!$B:$B,0)),
IF(_xlpm.DoubleAngle,           INDEX('[2]AISC Database v16.0'!$T:$T,
                          MATCH(Y10,'[2]AISC Database v16.0'!$B:$B,0)),
IF(_xlpm.RECT,                  INDEX('[2]AISC Database v16.0'!$T:$T,
                          MATCH(Y10,'[2]AISC Database v16.0'!$B:$B,0)),
IF(AND(_xlpm.HSS,NOT(_xlpm.HSSPipe)), INDEX('[2]AISC Database v16.0'!$U:$U,
                          MATCH(Y10,'[2]AISC Database v16.0'!$B:$B,0)),
IF(OR(_xlpm.Pipe, _xlpm.HSSPipe),     INDEX('[2]AISC Database v16.0'!$U:$U,
                          MATCH(Y10,'[2]AISC Database v16.0'!$B:$B,0)),
0))))))))),0)))</f>
        <v/>
      </c>
      <c r="AE10" s="230" t="str">
        <f t="shared" si="0"/>
        <v/>
      </c>
      <c r="AF10" s="229" t="str">
        <f>IF(X10="","",
IF(OR(X10="RIGID",X10="GEN1A"), 0,
IFERROR(INDEX('[2]AISC Database v16.0'!$M:$M, MATCH(Y10,'[2]AISC Database v16.0'!$B:$B,0)), 0)))</f>
        <v/>
      </c>
      <c r="AG10" s="229" t="str">
        <f>IF(X10="","",
IF(OR(X10="RIGID",X10="GEN1A"), 0,
IFERROR(INDEX('[2]AISC Database v16.0'!$C:$C, MATCH(Y10,'[2]AISC Database v16.0'!$B:$B,0)), 0)))</f>
        <v/>
      </c>
      <c r="AR10" s="209"/>
      <c r="AS10" s="209">
        <f>+IFERROR(IF(VLOOKUP($B10,$E$6:$K203,6,0)=0,$O10/12*COS(PI()/180*($P10+0))^2,IF(AND(ABS(VLOOKUP($B10,$E$6:$K203,6,0))&gt;0,$P10=0),$O10/12*COS(PI()/180*($P10+0))^2,IF(AND(ABS(VLOOKUP($B10,$E$6:$K203,6,0))&gt;0,ABS($P10)&gt;0),$O10/12*COS(PI()/180*($P10+0))^2))),0)</f>
        <v>0</v>
      </c>
      <c r="AT10" s="209">
        <f>+IFERROR(IF(VLOOKUP($B10,$E$6:$K203,6,0)=0,0,IF(AND(ABS(VLOOKUP($B10,$E$6:$K203,6,0))&gt;0,$P10=0),ABS(VLOOKUP($B10,$E$6:$K203,6,0))*SIN(PI()/180*($P10+0))^2,IF(AND(ABS(VLOOKUP($B10,$E$6:$K203,6,0))&gt;0,ABS($P10)&gt;0),ABS(VLOOKUP($B10,$E$6:$K203,6,0))*SIN(PI()/180*($P10+0))^2))),0)*IF(RISA3D.Unit.Length="in",1/12,1)</f>
        <v>0</v>
      </c>
      <c r="AU10" s="209">
        <f t="shared" si="1"/>
        <v>0</v>
      </c>
      <c r="AV10" s="209">
        <f>+IFERROR(+IF(VLOOKUP($M10,$S$6:$V203,3,0)=VLOOKUP($N10,$S$6:$V203,3,0), ((((($O10/12+(2*0.5/12))*((VLOOKUP($C10,rngR3DSectionSets,5,0)/12)+(2*0.5/12)))-($O10/12*(VLOOKUP($C10,rngR3DSectionSets,5,0)/12)))*1.2*COS(PI()/180*($P10))^2)) + AU10, (((((AS10+(2*0.5/12))*((VLOOKUP($C10,rngR3DSectionSets,5,0)/12)+(2*0.5/12)))-(AS10*(VLOOKUP($C10,rngR3DSectionSets,5,0)/12)))+(((AT10+(2*0.5/12))*((VLOOKUP($C10,rngR3DSectionSets,5,0)/12)+(2*0.5/12)))-(AT10*(VLOOKUP($C10,rngR3DSectionSets,5,0)/12))))*1.2) + AU10),0)</f>
        <v>0</v>
      </c>
      <c r="AW10" s="209">
        <f>+IFERROR(+IF(VLOOKUP($M10,$S$6:$V203,3,0)=VLOOKUP($N10,$S$6:$V203,3,0), ((((($O10/12+(2*1/12))*((VLOOKUP($C10,rngR3DSectionSets,5,0)/12)+(2*1/12)))-($O10/12*(VLOOKUP($C10,rngR3DSectionSets,5,0)/12)))*1.2*COS(PI()/180*($P10))^2)) + AU10, (((((AS10+(2*1/12))*((VLOOKUP($C10,rngR3DSectionSets,5,0)/12)+(2*1/12)))-(AS10*(VLOOKUP($C10,rngR3DSectionSets,5,0)/12)))+(((AT10+(2*1/12))*((VLOOKUP($C10,rngR3DSectionSets,5,0)/12)+(2*1/12)))-(AT10*(VLOOKUP($C10,rngR3DSectionSets,5,0)/12))))*1.2) + AU10),0)</f>
        <v>0</v>
      </c>
      <c r="AX10" s="209">
        <f>+IFERROR(IF(VLOOKUP($B10,$E$6:$K203,6,0)=0,$O10/12*COS(PI()/180*($P10+90))^2,IF(AND(ABS(VLOOKUP($B10,$E$6:$K203,6,0))&gt;0,$P10=0),$O10/12*COS(PI()/180*($P10+90))^2,IF(AND(ABS(VLOOKUP($B10,$E$6:$K203,6,0))&gt;0,ABS($P10)&gt;0),$O10/12*COS(PI()/180*($P10+90))^2))),0)</f>
        <v>0</v>
      </c>
      <c r="AY10" s="209">
        <f>+IFERROR(IF(VLOOKUP($B10,$E$6:$K203,6,0)=0,0,IF(AND(ABS(VLOOKUP($B10,$E$6:$K203,6,0))&gt;0,$P10=0),ABS(VLOOKUP($B10,$E$6:$K203,6,0))*SIN(PI()/180*($P10+90))^2,IF(AND(ABS(VLOOKUP($B10,$E$6:$K203,6,0))&gt;0,ABS($P10)&gt;0),ABS(VLOOKUP($B10,$E$6:$K203,6,0))*SIN(PI()/180*($P10+90))^2))),0)*IF(RISA3D.Unit.Length="in",1/12,1)</f>
        <v>0</v>
      </c>
      <c r="AZ10" s="209">
        <f t="shared" si="2"/>
        <v>0</v>
      </c>
      <c r="BA10" s="209">
        <f>+IFERROR(+IF(VLOOKUP($M10,$S$6:$V203,3,0)=VLOOKUP($N10,$S$6:$V203,3,0), ((((($O10/12+(2*0.5/12))*((VLOOKUP($C10,rngR3DSectionSets,5,0)/12)+(2*0.5/12)))-($O10/12*(VLOOKUP($C10,rngR3DSectionSets,5,0)/12)))*1.2*COS(PI()/180*($P10))^2)) + AZ10, (((((AX10+(2*0.5/12))*((VLOOKUP($C10,rngR3DSectionSets,5,0)/12)+(2*0.5/12)))-(AX10*(VLOOKUP($C10,rngR3DSectionSets,5,0)/12)))+(((AY10+(2*0.5/12))*((VLOOKUP($C10,rngR3DSectionSets,5,0)/12)+(2*0.5/12)))-(AY10*(VLOOKUP($C10,rngR3DSectionSets,5,0)/12))))*1.2) + AZ10),0)</f>
        <v>0</v>
      </c>
      <c r="BB10" s="209">
        <f>+IFERROR(+IF(VLOOKUP($M10,$S$6:$V203,3,0)=VLOOKUP($N10,$S$6:$V203,3,0), ((((($O10/12+(2*1/12))*((VLOOKUP($C10,rngR3DSectionSets,5,0)/12)+(2*1/12)))-($O10/12*(VLOOKUP($C10,rngR3DSectionSets,5,0)/12)))*1.2*COS(PI()/180*($P10))^2)) + AZ10, (((((AX10+(2*1/12))*((VLOOKUP($C10,rngR3DSectionSets,5,0)/12)+(2*1/12)))-(AX10*(VLOOKUP($C10,rngR3DSectionSets,5,0)/12)))+(((AY10+(2*1/12))*((VLOOKUP($C10,rngR3DSectionSets,5,0)/12)+(2*1/12)))-(AY10*(VLOOKUP($C10,rngR3DSectionSets,5,0)/12))))*1.2) + AZ10),0)</f>
        <v>0</v>
      </c>
      <c r="BC10" s="209">
        <f t="shared" si="3"/>
        <v>0</v>
      </c>
      <c r="BD10" s="209">
        <f t="shared" si="4"/>
        <v>0</v>
      </c>
      <c r="BE10" s="209">
        <f t="shared" si="5"/>
        <v>0</v>
      </c>
      <c r="BF10" s="209"/>
      <c r="BG10" s="209"/>
    </row>
    <row r="11" spans="1:59" ht="15" customHeight="1" x14ac:dyDescent="0.2">
      <c r="B11" s="207"/>
      <c r="C11" s="207"/>
      <c r="D11" s="207"/>
      <c r="E11" s="207"/>
      <c r="F11" s="207"/>
      <c r="G11" s="207"/>
      <c r="H11" s="207"/>
      <c r="I11" s="207"/>
      <c r="J11" s="207"/>
      <c r="K11" s="207"/>
      <c r="L11" s="207"/>
      <c r="M11" s="207"/>
      <c r="N11" s="207"/>
      <c r="O11" s="207"/>
      <c r="P11" s="207"/>
      <c r="Q11" s="207"/>
      <c r="R11" s="207"/>
      <c r="S11" s="207"/>
      <c r="T11" s="228"/>
      <c r="U11" s="228"/>
      <c r="V11" s="228"/>
      <c r="X11" s="189"/>
      <c r="Y11" s="189"/>
      <c r="Z11" s="189"/>
      <c r="AA11" s="190"/>
      <c r="AB11" s="229" t="str">
        <f>IF(X11="","",
IF(OR(X11="RIGID",X11="GEN1A"), 0,
IFERROR(_xlfn.LET(
_xlpm.BAR,                      OR(ISNUMBER(SEARCH("BAR",Z11)),ISNUMBER(SEARCH("SR",Y11))),
_xlpm.HSS,                      OR(ISNUMBER(SEARCH("HSS",Y11)),ISNUMBER(SEARCH("SquareTube",Z11)),NOT(ISNUMBER(SEARCH("HSS Pipe",Z11)))),
_xlpm.HSSPipe,                  OR(ISNUMBER(SEARCH("HSS Pipe",Z11)),ISNUMBER(SEARCH("Pipe",Z11)),ISNUMBER(SEARCH("Pipe",Y11))),
_xlpm.Pipe,                     OR(ISNUMBER(SEARCH("Pipe",Z11)),ISNUMBER(SEARCH("Pipe",Y11))),
_xlpm.SingleAngle,              OR(ISNUMBER(SEARCH("Single Angle",Z11)),AND(ISNUMBER(SEARCH("Angle",Z11)),ISNUMBER(SEARCH("Single",Z11)))),
_xlpm.DoubleAngle,              AND(ISNUMBER(SEARCH("Angle",Z11)),ISNUMBER(SEARCH("Double",Z11))),
_xlpm.RECT,                     OR(ISNUMBER(SEARCH("RECT",Z11)),ISNUMBER(SEARCH("PL",Y11))),
_xlpm.WideFlange,               OR(ISNUMBER(SEARCH("Wide Flange",Z11)),ISNUMBER(SEARCH("Tee",Z11)),ISNUMBER(SEARCH("W",Y11))),
_xlpm.Channel,                  OR(ISNUMBER(SEARCH("Channel",Z11)),ISNUMBER(SEARCH("C",Y11))),
IF(OR(_xlpm.WideFlange, _xlpm.Channel, _xlpm.SingleAngle, _xlpm.DoubleAngle, _xlpm.RECT),
                          INDEX('[2]AISC Database v16.0'!$D:$D,
                          MATCH(Y11,'[2]AISC Database v16.0'!$B:$B,0)),
IF(AND(_xlpm.HSS,NOT(_xlpm.HSSPipe)), INDEX('[2]AISC Database v16.0'!$F:$F,
                          MATCH(Y11,'[2]AISC Database v16.0'!$B:$B,0)),
IF(OR(_xlpm.Pipe, _xlpm.HSSPipe, _xlpm.BAR),
                          INDEX('[2]AISC Database v16.0'!$H:$H,
                          MATCH(Y11,'[2]AISC Database v16.0'!$B:$B,0)),
0)))),0)))</f>
        <v/>
      </c>
      <c r="AC11" s="229" t="str">
        <f>IF(X11="","",
IF(OR(X11="RIGID",X11="GEN1A"), 0,
IFERROR(_xlfn.LET(
_xlpm.BAR,                      OR(ISNUMBER(SEARCH("BAR",Z11)),ISNUMBER(SEARCH("SR",Y11))),
_xlpm.HSS,                      OR(ISNUMBER(SEARCH("HSS",Y11)),ISNUMBER(SEARCH("SquareTube",Z11)),NOT(ISNUMBER(SEARCH("HSS Pipe",Z11)))),
_xlpm.HSSPipe,                  OR(ISNUMBER(SEARCH("HSS Pipe",Z11)),ISNUMBER(SEARCH("Pipe",Z11)),ISNUMBER(SEARCH("Pipe",Y11))),
_xlpm.Pipe,                     OR(ISNUMBER(SEARCH("Pipe",Z11)),ISNUMBER(SEARCH("Pipe",Y11))),
_xlpm.SingleAngle,              OR(ISNUMBER(SEARCH("Single Angle",Z11)),AND(ISNUMBER(SEARCH("Angle",Z11)),ISNUMBER(SEARCH("Single",Z11)))),
_xlpm.DoubleAngle,              AND(ISNUMBER(SEARCH("Angle",Z11)),ISNUMBER(SEARCH("Double",Z11))),
_xlpm.RECT,                     OR(ISNUMBER(SEARCH("RECT",Z11)),ISNUMBER(SEARCH("PL",Y11))),
_xlpm.WideFlange,               OR(ISNUMBER(SEARCH("Wide Flange",Z11)),ISNUMBER(SEARCH("Tee",Z11)),ISNUMBER(SEARCH("W",Y11))),
_xlpm.Channel,                  OR(ISNUMBER(SEARCH("Channel",Z11)),ISNUMBER(SEARCH("C",Y11))),
IF(OR(_xlpm.WideFlange, _xlpm.Channel),
                          INDEX('[2]AISC Database v16.0'!$I:$I,
                          MATCH(Y11,'[2]AISC Database v16.0'!$B:$B,0)),
IF(OR(_xlpm.SingleAngle, _xlpm.DoubleAngle, _xlpm.RECT),
                          INDEX('[2]AISC Database v16.0'!$L:$L,
                          MATCH(Y11,'[2]AISC Database v16.0'!$B:$B,0)),
IF(AND(_xlpm.HSS,NOT(_xlpm.HSSPipe)),
                          INDEX('[2]AISC Database v16.0'!$K:$K,
                          MATCH(Y11,'[2]AISC Database v16.0'!$B:$B,0)),
IF(OR(_xlpm.Pipe, _xlpm.HSSPipe, _xlpm.BAR),
                          INDEX('[2]AISC Database v16.0'!$H:$H,
                          MATCH(Y11,'[2]AISC Database v16.0'!$B:$B,0)),
0))))),0)))</f>
        <v/>
      </c>
      <c r="AD11" s="230" t="str">
        <f>IF(X11="","",
IF(OR(X11="RIGID",X11="GEN1A"), 0,
IFERROR(_xlfn.LET(
_xlpm.BAR,                      OR(ISNUMBER(SEARCH("BAR",Z11)),ISNUMBER(SEARCH("SR",Y11))),
_xlpm.HSS,                      OR(ISNUMBER(SEARCH("HSS",Y11)),ISNUMBER(SEARCH("SquareTube",Z11)),NOT(ISNUMBER(SEARCH("HSS Pipe",Z11)))),
_xlpm.HSSPipe,                  OR(ISNUMBER(SEARCH("HSS Pipe",Z11)),ISNUMBER(SEARCH("Pipe",Z11)),ISNUMBER(SEARCH("Pipe",Y11))),
_xlpm.Pipe,                     OR(ISNUMBER(SEARCH("Pipe",Z11)),ISNUMBER(SEARCH("Pipe",Y11))),
_xlpm.SingleAngle,              OR(ISNUMBER(SEARCH("Single Angle",Z11)),AND(ISNUMBER(SEARCH("Angle",Z11)),ISNUMBER(SEARCH("Single",Z11)))),
_xlpm.DoubleAngle,              AND(ISNUMBER(SEARCH("Angle",Z11)),ISNUMBER(SEARCH("Double",Z11))),
_xlpm.RECT,                     OR(ISNUMBER(SEARCH("RECT",Z11)),ISNUMBER(SEARCH("PL",Y11))),
_xlpm.WideFlange,               OR(ISNUMBER(SEARCH("Wide Flange",Z11)),ISNUMBER(SEARCH("Tee",Z11)),ISNUMBER(SEARCH("W",Y11))),
_xlpm.Channel,                  OR(ISNUMBER(SEARCH("Channel",Z11)),ISNUMBER(SEARCH("C",Y11))),
IF(_xlpm.WideFlange,            INDEX('[2]AISC Database v16.0'!$O:$O,
                          MATCH(Y11,'[2]AISC Database v16.0'!$B:$B,0)),
IF(_xlpm.Channel,               INDEX('[2]AISC Database v16.0'!$O:$O,
                          MATCH(Y11,'[2]AISC Database v16.0'!$B:$B,0)),
IF(_xlpm.BAR,                   INDEX('[2]AISC Database v16.0'!$T:$T,
                          MATCH(Y11,'[2]AISC Database v16.0'!$B:$B,0)),
IF(_xlpm.SingleAngle,           INDEX('[2]AISC Database v16.0'!$T:$T,
                          MATCH(Y11,'[2]AISC Database v16.0'!$B:$B,0)),
IF(_xlpm.DoubleAngle,           INDEX('[2]AISC Database v16.0'!$T:$T,
                          MATCH(Y11,'[2]AISC Database v16.0'!$B:$B,0)),
IF(_xlpm.RECT,                  INDEX('[2]AISC Database v16.0'!$T:$T,
                          MATCH(Y11,'[2]AISC Database v16.0'!$B:$B,0)),
IF(AND(_xlpm.HSS,NOT(_xlpm.HSSPipe)), INDEX('[2]AISC Database v16.0'!$U:$U,
                          MATCH(Y11,'[2]AISC Database v16.0'!$B:$B,0)),
IF(OR(_xlpm.Pipe, _xlpm.HSSPipe),     INDEX('[2]AISC Database v16.0'!$U:$U,
                          MATCH(Y11,'[2]AISC Database v16.0'!$B:$B,0)),
0))))))))),0)))</f>
        <v/>
      </c>
      <c r="AE11" s="230" t="str">
        <f t="shared" si="0"/>
        <v/>
      </c>
      <c r="AF11" s="229" t="str">
        <f>IF(X11="","",
IF(OR(X11="RIGID",X11="GEN1A"), 0,
IFERROR(INDEX('[2]AISC Database v16.0'!$M:$M, MATCH(Y11,'[2]AISC Database v16.0'!$B:$B,0)), 0)))</f>
        <v/>
      </c>
      <c r="AG11" s="229" t="str">
        <f>IF(X11="","",
IF(OR(X11="RIGID",X11="GEN1A"), 0,
IFERROR(INDEX('[2]AISC Database v16.0'!$C:$C, MATCH(Y11,'[2]AISC Database v16.0'!$B:$B,0)), 0)))</f>
        <v/>
      </c>
      <c r="AR11" s="209"/>
      <c r="AS11" s="209">
        <f>+IFERROR(IF(VLOOKUP($B11,$E$6:$K203,6,0)=0,$O11/12*COS(PI()/180*($P11+0))^2,IF(AND(ABS(VLOOKUP($B11,$E$6:$K203,6,0))&gt;0,$P11=0),$O11/12*COS(PI()/180*($P11+0))^2,IF(AND(ABS(VLOOKUP($B11,$E$6:$K203,6,0))&gt;0,ABS($P11)&gt;0),$O11/12*COS(PI()/180*($P11+0))^2))),0)</f>
        <v>0</v>
      </c>
      <c r="AT11" s="209">
        <f>+IFERROR(IF(VLOOKUP($B11,$E$6:$K203,6,0)=0,0,IF(AND(ABS(VLOOKUP($B11,$E$6:$K203,6,0))&gt;0,$P11=0),ABS(VLOOKUP($B11,$E$6:$K203,6,0))*SIN(PI()/180*($P11+0))^2,IF(AND(ABS(VLOOKUP($B11,$E$6:$K203,6,0))&gt;0,ABS($P11)&gt;0),ABS(VLOOKUP($B11,$E$6:$K203,6,0))*SIN(PI()/180*($P11+0))^2))),0)*IF(RISA3D.Unit.Length="in",1/12,1)</f>
        <v>0</v>
      </c>
      <c r="AU11" s="209">
        <f t="shared" si="1"/>
        <v>0</v>
      </c>
      <c r="AV11" s="209">
        <f>+IFERROR(+IF(VLOOKUP($M11,$S$6:$V203,3,0)=VLOOKUP($N11,$S$6:$V203,3,0), ((((($O11/12+(2*0.5/12))*((VLOOKUP($C11,rngR3DSectionSets,5,0)/12)+(2*0.5/12)))-($O11/12*(VLOOKUP($C11,rngR3DSectionSets,5,0)/12)))*1.2*COS(PI()/180*($P11))^2)) + AU11, (((((AS11+(2*0.5/12))*((VLOOKUP($C11,rngR3DSectionSets,5,0)/12)+(2*0.5/12)))-(AS11*(VLOOKUP($C11,rngR3DSectionSets,5,0)/12)))+(((AT11+(2*0.5/12))*((VLOOKUP($C11,rngR3DSectionSets,5,0)/12)+(2*0.5/12)))-(AT11*(VLOOKUP($C11,rngR3DSectionSets,5,0)/12))))*1.2) + AU11),0)</f>
        <v>0</v>
      </c>
      <c r="AW11" s="209">
        <f>+IFERROR(+IF(VLOOKUP($M11,$S$6:$V203,3,0)=VLOOKUP($N11,$S$6:$V203,3,0), ((((($O11/12+(2*1/12))*((VLOOKUP($C11,rngR3DSectionSets,5,0)/12)+(2*1/12)))-($O11/12*(VLOOKUP($C11,rngR3DSectionSets,5,0)/12)))*1.2*COS(PI()/180*($P11))^2)) + AU11, (((((AS11+(2*1/12))*((VLOOKUP($C11,rngR3DSectionSets,5,0)/12)+(2*1/12)))-(AS11*(VLOOKUP($C11,rngR3DSectionSets,5,0)/12)))+(((AT11+(2*1/12))*((VLOOKUP($C11,rngR3DSectionSets,5,0)/12)+(2*1/12)))-(AT11*(VLOOKUP($C11,rngR3DSectionSets,5,0)/12))))*1.2) + AU11),0)</f>
        <v>0</v>
      </c>
      <c r="AX11" s="209">
        <f>+IFERROR(IF(VLOOKUP($B11,$E$6:$K203,6,0)=0,$O11/12*COS(PI()/180*($P11+90))^2,IF(AND(ABS(VLOOKUP($B11,$E$6:$K203,6,0))&gt;0,$P11=0),$O11/12*COS(PI()/180*($P11+90))^2,IF(AND(ABS(VLOOKUP($B11,$E$6:$K203,6,0))&gt;0,ABS($P11)&gt;0),$O11/12*COS(PI()/180*($P11+90))^2))),0)</f>
        <v>0</v>
      </c>
      <c r="AY11" s="209">
        <f>+IFERROR(IF(VLOOKUP($B11,$E$6:$K203,6,0)=0,0,IF(AND(ABS(VLOOKUP($B11,$E$6:$K203,6,0))&gt;0,$P11=0),ABS(VLOOKUP($B11,$E$6:$K203,6,0))*SIN(PI()/180*($P11+90))^2,IF(AND(ABS(VLOOKUP($B11,$E$6:$K203,6,0))&gt;0,ABS($P11)&gt;0),ABS(VLOOKUP($B11,$E$6:$K203,6,0))*SIN(PI()/180*($P11+90))^2))),0)*IF(RISA3D.Unit.Length="in",1/12,1)</f>
        <v>0</v>
      </c>
      <c r="AZ11" s="209">
        <f t="shared" si="2"/>
        <v>0</v>
      </c>
      <c r="BA11" s="209">
        <f>+IFERROR(+IF(VLOOKUP($M11,$S$6:$V203,3,0)=VLOOKUP($N11,$S$6:$V203,3,0), ((((($O11/12+(2*0.5/12))*((VLOOKUP($C11,rngR3DSectionSets,5,0)/12)+(2*0.5/12)))-($O11/12*(VLOOKUP($C11,rngR3DSectionSets,5,0)/12)))*1.2*COS(PI()/180*($P11))^2)) + AZ11, (((((AX11+(2*0.5/12))*((VLOOKUP($C11,rngR3DSectionSets,5,0)/12)+(2*0.5/12)))-(AX11*(VLOOKUP($C11,rngR3DSectionSets,5,0)/12)))+(((AY11+(2*0.5/12))*((VLOOKUP($C11,rngR3DSectionSets,5,0)/12)+(2*0.5/12)))-(AY11*(VLOOKUP($C11,rngR3DSectionSets,5,0)/12))))*1.2) + AZ11),0)</f>
        <v>0</v>
      </c>
      <c r="BB11" s="209">
        <f>+IFERROR(+IF(VLOOKUP($M11,$S$6:$V203,3,0)=VLOOKUP($N11,$S$6:$V203,3,0), ((((($O11/12+(2*1/12))*((VLOOKUP($C11,rngR3DSectionSets,5,0)/12)+(2*1/12)))-($O11/12*(VLOOKUP($C11,rngR3DSectionSets,5,0)/12)))*1.2*COS(PI()/180*($P11))^2)) + AZ11, (((((AX11+(2*1/12))*((VLOOKUP($C11,rngR3DSectionSets,5,0)/12)+(2*1/12)))-(AX11*(VLOOKUP($C11,rngR3DSectionSets,5,0)/12)))+(((AY11+(2*1/12))*((VLOOKUP($C11,rngR3DSectionSets,5,0)/12)+(2*1/12)))-(AY11*(VLOOKUP($C11,rngR3DSectionSets,5,0)/12))))*1.2) + AZ11),0)</f>
        <v>0</v>
      </c>
      <c r="BC11" s="209">
        <f t="shared" si="3"/>
        <v>0</v>
      </c>
      <c r="BD11" s="209">
        <f t="shared" si="4"/>
        <v>0</v>
      </c>
      <c r="BE11" s="209">
        <f t="shared" si="5"/>
        <v>0</v>
      </c>
      <c r="BF11" s="209"/>
      <c r="BG11" s="209"/>
    </row>
    <row r="12" spans="1:59" ht="15" customHeight="1" x14ac:dyDescent="0.2">
      <c r="B12" s="207"/>
      <c r="C12" s="207"/>
      <c r="D12" s="207"/>
      <c r="E12" s="207"/>
      <c r="F12" s="207"/>
      <c r="G12" s="207"/>
      <c r="H12" s="207"/>
      <c r="I12" s="207"/>
      <c r="J12" s="207"/>
      <c r="K12" s="207"/>
      <c r="L12" s="207"/>
      <c r="M12" s="207"/>
      <c r="N12" s="207"/>
      <c r="O12" s="207"/>
      <c r="P12" s="207"/>
      <c r="Q12" s="207"/>
      <c r="R12" s="207"/>
      <c r="S12" s="207"/>
      <c r="T12" s="228"/>
      <c r="U12" s="228"/>
      <c r="V12" s="228"/>
      <c r="X12" s="189"/>
      <c r="Y12" s="189"/>
      <c r="Z12" s="189"/>
      <c r="AA12" s="190"/>
      <c r="AB12" s="229" t="str">
        <f>IF(X12="","",
IF(OR(X12="RIGID",X12="GEN1A"), 0,
IFERROR(_xlfn.LET(
_xlpm.BAR,                      OR(ISNUMBER(SEARCH("BAR",Z12)),ISNUMBER(SEARCH("SR",Y12))),
_xlpm.HSS,                      OR(ISNUMBER(SEARCH("HSS",Y12)),ISNUMBER(SEARCH("SquareTube",Z12)),NOT(ISNUMBER(SEARCH("HSS Pipe",Z12)))),
_xlpm.HSSPipe,                  OR(ISNUMBER(SEARCH("HSS Pipe",Z12)),ISNUMBER(SEARCH("Pipe",Z12)),ISNUMBER(SEARCH("Pipe",Y12))),
_xlpm.Pipe,                     OR(ISNUMBER(SEARCH("Pipe",Z12)),ISNUMBER(SEARCH("Pipe",Y12))),
_xlpm.SingleAngle,              OR(ISNUMBER(SEARCH("Single Angle",Z12)),AND(ISNUMBER(SEARCH("Angle",Z12)),ISNUMBER(SEARCH("Single",Z12)))),
_xlpm.DoubleAngle,              AND(ISNUMBER(SEARCH("Angle",Z12)),ISNUMBER(SEARCH("Double",Z12))),
_xlpm.RECT,                     OR(ISNUMBER(SEARCH("RECT",Z12)),ISNUMBER(SEARCH("PL",Y12))),
_xlpm.WideFlange,               OR(ISNUMBER(SEARCH("Wide Flange",Z12)),ISNUMBER(SEARCH("Tee",Z12)),ISNUMBER(SEARCH("W",Y12))),
_xlpm.Channel,                  OR(ISNUMBER(SEARCH("Channel",Z12)),ISNUMBER(SEARCH("C",Y12))),
IF(OR(_xlpm.WideFlange, _xlpm.Channel, _xlpm.SingleAngle, _xlpm.DoubleAngle, _xlpm.RECT),
                          INDEX('[2]AISC Database v16.0'!$D:$D,
                          MATCH(Y12,'[2]AISC Database v16.0'!$B:$B,0)),
IF(AND(_xlpm.HSS,NOT(_xlpm.HSSPipe)), INDEX('[2]AISC Database v16.0'!$F:$F,
                          MATCH(Y12,'[2]AISC Database v16.0'!$B:$B,0)),
IF(OR(_xlpm.Pipe, _xlpm.HSSPipe, _xlpm.BAR),
                          INDEX('[2]AISC Database v16.0'!$H:$H,
                          MATCH(Y12,'[2]AISC Database v16.0'!$B:$B,0)),
0)))),0)))</f>
        <v/>
      </c>
      <c r="AC12" s="229" t="str">
        <f>IF(X12="","",
IF(OR(X12="RIGID",X12="GEN1A"), 0,
IFERROR(_xlfn.LET(
_xlpm.BAR,                      OR(ISNUMBER(SEARCH("BAR",Z12)),ISNUMBER(SEARCH("SR",Y12))),
_xlpm.HSS,                      OR(ISNUMBER(SEARCH("HSS",Y12)),ISNUMBER(SEARCH("SquareTube",Z12)),NOT(ISNUMBER(SEARCH("HSS Pipe",Z12)))),
_xlpm.HSSPipe,                  OR(ISNUMBER(SEARCH("HSS Pipe",Z12)),ISNUMBER(SEARCH("Pipe",Z12)),ISNUMBER(SEARCH("Pipe",Y12))),
_xlpm.Pipe,                     OR(ISNUMBER(SEARCH("Pipe",Z12)),ISNUMBER(SEARCH("Pipe",Y12))),
_xlpm.SingleAngle,              OR(ISNUMBER(SEARCH("Single Angle",Z12)),AND(ISNUMBER(SEARCH("Angle",Z12)),ISNUMBER(SEARCH("Single",Z12)))),
_xlpm.DoubleAngle,              AND(ISNUMBER(SEARCH("Angle",Z12)),ISNUMBER(SEARCH("Double",Z12))),
_xlpm.RECT,                     OR(ISNUMBER(SEARCH("RECT",Z12)),ISNUMBER(SEARCH("PL",Y12))),
_xlpm.WideFlange,               OR(ISNUMBER(SEARCH("Wide Flange",Z12)),ISNUMBER(SEARCH("Tee",Z12)),ISNUMBER(SEARCH("W",Y12))),
_xlpm.Channel,                  OR(ISNUMBER(SEARCH("Channel",Z12)),ISNUMBER(SEARCH("C",Y12))),
IF(OR(_xlpm.WideFlange, _xlpm.Channel),
                          INDEX('[2]AISC Database v16.0'!$I:$I,
                          MATCH(Y12,'[2]AISC Database v16.0'!$B:$B,0)),
IF(OR(_xlpm.SingleAngle, _xlpm.DoubleAngle, _xlpm.RECT),
                          INDEX('[2]AISC Database v16.0'!$L:$L,
                          MATCH(Y12,'[2]AISC Database v16.0'!$B:$B,0)),
IF(AND(_xlpm.HSS,NOT(_xlpm.HSSPipe)),
                          INDEX('[2]AISC Database v16.0'!$K:$K,
                          MATCH(Y12,'[2]AISC Database v16.0'!$B:$B,0)),
IF(OR(_xlpm.Pipe, _xlpm.HSSPipe, _xlpm.BAR),
                          INDEX('[2]AISC Database v16.0'!$H:$H,
                          MATCH(Y12,'[2]AISC Database v16.0'!$B:$B,0)),
0))))),0)))</f>
        <v/>
      </c>
      <c r="AD12" s="230" t="str">
        <f>IF(X12="","",
IF(OR(X12="RIGID",X12="GEN1A"), 0,
IFERROR(_xlfn.LET(
_xlpm.BAR,                      OR(ISNUMBER(SEARCH("BAR",Z12)),ISNUMBER(SEARCH("SR",Y12))),
_xlpm.HSS,                      OR(ISNUMBER(SEARCH("HSS",Y12)),ISNUMBER(SEARCH("SquareTube",Z12)),NOT(ISNUMBER(SEARCH("HSS Pipe",Z12)))),
_xlpm.HSSPipe,                  OR(ISNUMBER(SEARCH("HSS Pipe",Z12)),ISNUMBER(SEARCH("Pipe",Z12)),ISNUMBER(SEARCH("Pipe",Y12))),
_xlpm.Pipe,                     OR(ISNUMBER(SEARCH("Pipe",Z12)),ISNUMBER(SEARCH("Pipe",Y12))),
_xlpm.SingleAngle,              OR(ISNUMBER(SEARCH("Single Angle",Z12)),AND(ISNUMBER(SEARCH("Angle",Z12)),ISNUMBER(SEARCH("Single",Z12)))),
_xlpm.DoubleAngle,              AND(ISNUMBER(SEARCH("Angle",Z12)),ISNUMBER(SEARCH("Double",Z12))),
_xlpm.RECT,                     OR(ISNUMBER(SEARCH("RECT",Z12)),ISNUMBER(SEARCH("PL",Y12))),
_xlpm.WideFlange,               OR(ISNUMBER(SEARCH("Wide Flange",Z12)),ISNUMBER(SEARCH("Tee",Z12)),ISNUMBER(SEARCH("W",Y12))),
_xlpm.Channel,                  OR(ISNUMBER(SEARCH("Channel",Z12)),ISNUMBER(SEARCH("C",Y12))),
IF(_xlpm.WideFlange,            INDEX('[2]AISC Database v16.0'!$O:$O,
                          MATCH(Y12,'[2]AISC Database v16.0'!$B:$B,0)),
IF(_xlpm.Channel,               INDEX('[2]AISC Database v16.0'!$O:$O,
                          MATCH(Y12,'[2]AISC Database v16.0'!$B:$B,0)),
IF(_xlpm.BAR,                   INDEX('[2]AISC Database v16.0'!$T:$T,
                          MATCH(Y12,'[2]AISC Database v16.0'!$B:$B,0)),
IF(_xlpm.SingleAngle,           INDEX('[2]AISC Database v16.0'!$T:$T,
                          MATCH(Y12,'[2]AISC Database v16.0'!$B:$B,0)),
IF(_xlpm.DoubleAngle,           INDEX('[2]AISC Database v16.0'!$T:$T,
                          MATCH(Y12,'[2]AISC Database v16.0'!$B:$B,0)),
IF(_xlpm.RECT,                  INDEX('[2]AISC Database v16.0'!$T:$T,
                          MATCH(Y12,'[2]AISC Database v16.0'!$B:$B,0)),
IF(AND(_xlpm.HSS,NOT(_xlpm.HSSPipe)), INDEX('[2]AISC Database v16.0'!$U:$U,
                          MATCH(Y12,'[2]AISC Database v16.0'!$B:$B,0)),
IF(OR(_xlpm.Pipe, _xlpm.HSSPipe),     INDEX('[2]AISC Database v16.0'!$U:$U,
                          MATCH(Y12,'[2]AISC Database v16.0'!$B:$B,0)),
0))))))))),0)))</f>
        <v/>
      </c>
      <c r="AE12" s="230" t="str">
        <f t="shared" si="0"/>
        <v/>
      </c>
      <c r="AF12" s="229" t="str">
        <f>IF(X12="","",
IF(OR(X12="RIGID",X12="GEN1A"), 0,
IFERROR(INDEX('[2]AISC Database v16.0'!$M:$M, MATCH(Y12,'[2]AISC Database v16.0'!$B:$B,0)), 0)))</f>
        <v/>
      </c>
      <c r="AG12" s="229" t="str">
        <f>IF(X12="","",
IF(OR(X12="RIGID",X12="GEN1A"), 0,
IFERROR(INDEX('[2]AISC Database v16.0'!$C:$C, MATCH(Y12,'[2]AISC Database v16.0'!$B:$B,0)), 0)))</f>
        <v/>
      </c>
      <c r="AR12" s="209"/>
      <c r="AS12" s="209">
        <f>+IFERROR(IF(VLOOKUP($B12,$E$6:$K203,6,0)=0,$O12/12*COS(PI()/180*($P12+0))^2,IF(AND(ABS(VLOOKUP($B12,$E$6:$K203,6,0))&gt;0,$P12=0),$O12/12*COS(PI()/180*($P12+0))^2,IF(AND(ABS(VLOOKUP($B12,$E$6:$K203,6,0))&gt;0,ABS($P12)&gt;0),$O12/12*COS(PI()/180*($P12+0))^2))),0)</f>
        <v>0</v>
      </c>
      <c r="AT12" s="209">
        <f>+IFERROR(IF(VLOOKUP($B12,$E$6:$K203,6,0)=0,0,IF(AND(ABS(VLOOKUP($B12,$E$6:$K203,6,0))&gt;0,$P12=0),ABS(VLOOKUP($B12,$E$6:$K203,6,0))*SIN(PI()/180*($P12+0))^2,IF(AND(ABS(VLOOKUP($B12,$E$6:$K203,6,0))&gt;0,ABS($P12)&gt;0),ABS(VLOOKUP($B12,$E$6:$K203,6,0))*SIN(PI()/180*($P12+0))^2))),0)*IF(RISA3D.Unit.Length="in",1/12,1)</f>
        <v>0</v>
      </c>
      <c r="AU12" s="209">
        <f t="shared" si="1"/>
        <v>0</v>
      </c>
      <c r="AV12" s="209">
        <f>+IFERROR(+IF(VLOOKUP($M12,$S$6:$V203,3,0)=VLOOKUP($N12,$S$6:$V203,3,0), ((((($O12/12+(2*0.5/12))*((VLOOKUP($C12,rngR3DSectionSets,5,0)/12)+(2*0.5/12)))-($O12/12*(VLOOKUP($C12,rngR3DSectionSets,5,0)/12)))*1.2*COS(PI()/180*($P12))^2)) + AU12, (((((AS12+(2*0.5/12))*((VLOOKUP($C12,rngR3DSectionSets,5,0)/12)+(2*0.5/12)))-(AS12*(VLOOKUP($C12,rngR3DSectionSets,5,0)/12)))+(((AT12+(2*0.5/12))*((VLOOKUP($C12,rngR3DSectionSets,5,0)/12)+(2*0.5/12)))-(AT12*(VLOOKUP($C12,rngR3DSectionSets,5,0)/12))))*1.2) + AU12),0)</f>
        <v>0</v>
      </c>
      <c r="AW12" s="209">
        <f>+IFERROR(+IF(VLOOKUP($M12,$S$6:$V203,3,0)=VLOOKUP($N12,$S$6:$V203,3,0), ((((($O12/12+(2*1/12))*((VLOOKUP($C12,rngR3DSectionSets,5,0)/12)+(2*1/12)))-($O12/12*(VLOOKUP($C12,rngR3DSectionSets,5,0)/12)))*1.2*COS(PI()/180*($P12))^2)) + AU12, (((((AS12+(2*1/12))*((VLOOKUP($C12,rngR3DSectionSets,5,0)/12)+(2*1/12)))-(AS12*(VLOOKUP($C12,rngR3DSectionSets,5,0)/12)))+(((AT12+(2*1/12))*((VLOOKUP($C12,rngR3DSectionSets,5,0)/12)+(2*1/12)))-(AT12*(VLOOKUP($C12,rngR3DSectionSets,5,0)/12))))*1.2) + AU12),0)</f>
        <v>0</v>
      </c>
      <c r="AX12" s="209">
        <f>+IFERROR(IF(VLOOKUP($B12,$E$6:$K203,6,0)=0,$O12/12*COS(PI()/180*($P12+90))^2,IF(AND(ABS(VLOOKUP($B12,$E$6:$K203,6,0))&gt;0,$P12=0),$O12/12*COS(PI()/180*($P12+90))^2,IF(AND(ABS(VLOOKUP($B12,$E$6:$K203,6,0))&gt;0,ABS($P12)&gt;0),$O12/12*COS(PI()/180*($P12+90))^2))),0)</f>
        <v>0</v>
      </c>
      <c r="AY12" s="209">
        <f>+IFERROR(IF(VLOOKUP($B12,$E$6:$K203,6,0)=0,0,IF(AND(ABS(VLOOKUP($B12,$E$6:$K203,6,0))&gt;0,$P12=0),ABS(VLOOKUP($B12,$E$6:$K203,6,0))*SIN(PI()/180*($P12+90))^2,IF(AND(ABS(VLOOKUP($B12,$E$6:$K203,6,0))&gt;0,ABS($P12)&gt;0),ABS(VLOOKUP($B12,$E$6:$K203,6,0))*SIN(PI()/180*($P12+90))^2))),0)*IF(RISA3D.Unit.Length="in",1/12,1)</f>
        <v>0</v>
      </c>
      <c r="AZ12" s="209">
        <f t="shared" si="2"/>
        <v>0</v>
      </c>
      <c r="BA12" s="209">
        <f>+IFERROR(+IF(VLOOKUP($M12,$S$6:$V203,3,0)=VLOOKUP($N12,$S$6:$V203,3,0), ((((($O12/12+(2*0.5/12))*((VLOOKUP($C12,rngR3DSectionSets,5,0)/12)+(2*0.5/12)))-($O12/12*(VLOOKUP($C12,rngR3DSectionSets,5,0)/12)))*1.2*COS(PI()/180*($P12))^2)) + AZ12, (((((AX12+(2*0.5/12))*((VLOOKUP($C12,rngR3DSectionSets,5,0)/12)+(2*0.5/12)))-(AX12*(VLOOKUP($C12,rngR3DSectionSets,5,0)/12)))+(((AY12+(2*0.5/12))*((VLOOKUP($C12,rngR3DSectionSets,5,0)/12)+(2*0.5/12)))-(AY12*(VLOOKUP($C12,rngR3DSectionSets,5,0)/12))))*1.2) + AZ12),0)</f>
        <v>0</v>
      </c>
      <c r="BB12" s="209">
        <f>+IFERROR(+IF(VLOOKUP($M12,$S$6:$V203,3,0)=VLOOKUP($N12,$S$6:$V203,3,0), ((((($O12/12+(2*1/12))*((VLOOKUP($C12,rngR3DSectionSets,5,0)/12)+(2*1/12)))-($O12/12*(VLOOKUP($C12,rngR3DSectionSets,5,0)/12)))*1.2*COS(PI()/180*($P12))^2)) + AZ12, (((((AX12+(2*1/12))*((VLOOKUP($C12,rngR3DSectionSets,5,0)/12)+(2*1/12)))-(AX12*(VLOOKUP($C12,rngR3DSectionSets,5,0)/12)))+(((AY12+(2*1/12))*((VLOOKUP($C12,rngR3DSectionSets,5,0)/12)+(2*1/12)))-(AY12*(VLOOKUP($C12,rngR3DSectionSets,5,0)/12))))*1.2) + AZ12),0)</f>
        <v>0</v>
      </c>
      <c r="BC12" s="209">
        <f t="shared" si="3"/>
        <v>0</v>
      </c>
      <c r="BD12" s="209">
        <f t="shared" si="4"/>
        <v>0</v>
      </c>
      <c r="BE12" s="209">
        <f t="shared" si="5"/>
        <v>0</v>
      </c>
      <c r="BF12" s="209"/>
      <c r="BG12" s="209"/>
    </row>
    <row r="13" spans="1:59" ht="15" customHeight="1" x14ac:dyDescent="0.2">
      <c r="B13" s="207"/>
      <c r="C13" s="207"/>
      <c r="D13" s="207"/>
      <c r="E13" s="207"/>
      <c r="F13" s="207"/>
      <c r="G13" s="207"/>
      <c r="H13" s="207"/>
      <c r="I13" s="207"/>
      <c r="J13" s="207"/>
      <c r="K13" s="207"/>
      <c r="L13" s="207"/>
      <c r="M13" s="207"/>
      <c r="N13" s="207"/>
      <c r="O13" s="207"/>
      <c r="P13" s="207"/>
      <c r="Q13" s="207"/>
      <c r="R13" s="207"/>
      <c r="S13" s="207"/>
      <c r="T13" s="228"/>
      <c r="U13" s="228"/>
      <c r="V13" s="228"/>
      <c r="X13" s="189"/>
      <c r="Y13" s="189"/>
      <c r="Z13" s="189"/>
      <c r="AA13" s="190"/>
      <c r="AB13" s="229" t="str">
        <f>IF(X13="","",
IF(OR(X13="RIGID",X13="GEN1A"), 0,
IFERROR(_xlfn.LET(
_xlpm.BAR,                      OR(ISNUMBER(SEARCH("BAR",Z13)),ISNUMBER(SEARCH("SR",Y13))),
_xlpm.HSS,                      OR(ISNUMBER(SEARCH("HSS",Y13)),ISNUMBER(SEARCH("SquareTube",Z13)),NOT(ISNUMBER(SEARCH("HSS Pipe",Z13)))),
_xlpm.HSSPipe,                  OR(ISNUMBER(SEARCH("HSS Pipe",Z13)),ISNUMBER(SEARCH("Pipe",Z13)),ISNUMBER(SEARCH("Pipe",Y13))),
_xlpm.Pipe,                     OR(ISNUMBER(SEARCH("Pipe",Z13)),ISNUMBER(SEARCH("Pipe",Y13))),
_xlpm.SingleAngle,              OR(ISNUMBER(SEARCH("Single Angle",Z13)),AND(ISNUMBER(SEARCH("Angle",Z13)),ISNUMBER(SEARCH("Single",Z13)))),
_xlpm.DoubleAngle,              AND(ISNUMBER(SEARCH("Angle",Z13)),ISNUMBER(SEARCH("Double",Z13))),
_xlpm.RECT,                     OR(ISNUMBER(SEARCH("RECT",Z13)),ISNUMBER(SEARCH("PL",Y13))),
_xlpm.WideFlange,               OR(ISNUMBER(SEARCH("Wide Flange",Z13)),ISNUMBER(SEARCH("Tee",Z13)),ISNUMBER(SEARCH("W",Y13))),
_xlpm.Channel,                  OR(ISNUMBER(SEARCH("Channel",Z13)),ISNUMBER(SEARCH("C",Y13))),
IF(OR(_xlpm.WideFlange, _xlpm.Channel, _xlpm.SingleAngle, _xlpm.DoubleAngle, _xlpm.RECT),
                          INDEX('[2]AISC Database v16.0'!$D:$D,
                          MATCH(Y13,'[2]AISC Database v16.0'!$B:$B,0)),
IF(AND(_xlpm.HSS,NOT(_xlpm.HSSPipe)), INDEX('[2]AISC Database v16.0'!$F:$F,
                          MATCH(Y13,'[2]AISC Database v16.0'!$B:$B,0)),
IF(OR(_xlpm.Pipe, _xlpm.HSSPipe, _xlpm.BAR),
                          INDEX('[2]AISC Database v16.0'!$H:$H,
                          MATCH(Y13,'[2]AISC Database v16.0'!$B:$B,0)),
0)))),0)))</f>
        <v/>
      </c>
      <c r="AC13" s="229" t="str">
        <f>IF(X13="","",
IF(OR(X13="RIGID",X13="GEN1A"), 0,
IFERROR(_xlfn.LET(
_xlpm.BAR,                      OR(ISNUMBER(SEARCH("BAR",Z13)),ISNUMBER(SEARCH("SR",Y13))),
_xlpm.HSS,                      OR(ISNUMBER(SEARCH("HSS",Y13)),ISNUMBER(SEARCH("SquareTube",Z13)),NOT(ISNUMBER(SEARCH("HSS Pipe",Z13)))),
_xlpm.HSSPipe,                  OR(ISNUMBER(SEARCH("HSS Pipe",Z13)),ISNUMBER(SEARCH("Pipe",Z13)),ISNUMBER(SEARCH("Pipe",Y13))),
_xlpm.Pipe,                     OR(ISNUMBER(SEARCH("Pipe",Z13)),ISNUMBER(SEARCH("Pipe",Y13))),
_xlpm.SingleAngle,              OR(ISNUMBER(SEARCH("Single Angle",Z13)),AND(ISNUMBER(SEARCH("Angle",Z13)),ISNUMBER(SEARCH("Single",Z13)))),
_xlpm.DoubleAngle,              AND(ISNUMBER(SEARCH("Angle",Z13)),ISNUMBER(SEARCH("Double",Z13))),
_xlpm.RECT,                     OR(ISNUMBER(SEARCH("RECT",Z13)),ISNUMBER(SEARCH("PL",Y13))),
_xlpm.WideFlange,               OR(ISNUMBER(SEARCH("Wide Flange",Z13)),ISNUMBER(SEARCH("Tee",Z13)),ISNUMBER(SEARCH("W",Y13))),
_xlpm.Channel,                  OR(ISNUMBER(SEARCH("Channel",Z13)),ISNUMBER(SEARCH("C",Y13))),
IF(OR(_xlpm.WideFlange, _xlpm.Channel),
                          INDEX('[2]AISC Database v16.0'!$I:$I,
                          MATCH(Y13,'[2]AISC Database v16.0'!$B:$B,0)),
IF(OR(_xlpm.SingleAngle, _xlpm.DoubleAngle, _xlpm.RECT),
                          INDEX('[2]AISC Database v16.0'!$L:$L,
                          MATCH(Y13,'[2]AISC Database v16.0'!$B:$B,0)),
IF(AND(_xlpm.HSS,NOT(_xlpm.HSSPipe)),
                          INDEX('[2]AISC Database v16.0'!$K:$K,
                          MATCH(Y13,'[2]AISC Database v16.0'!$B:$B,0)),
IF(OR(_xlpm.Pipe, _xlpm.HSSPipe, _xlpm.BAR),
                          INDEX('[2]AISC Database v16.0'!$H:$H,
                          MATCH(Y13,'[2]AISC Database v16.0'!$B:$B,0)),
0))))),0)))</f>
        <v/>
      </c>
      <c r="AD13" s="230" t="str">
        <f>IF(X13="","",
IF(OR(X13="RIGID",X13="GEN1A"), 0,
IFERROR(_xlfn.LET(
_xlpm.BAR,                      OR(ISNUMBER(SEARCH("BAR",Z13)),ISNUMBER(SEARCH("SR",Y13))),
_xlpm.HSS,                      OR(ISNUMBER(SEARCH("HSS",Y13)),ISNUMBER(SEARCH("SquareTube",Z13)),NOT(ISNUMBER(SEARCH("HSS Pipe",Z13)))),
_xlpm.HSSPipe,                  OR(ISNUMBER(SEARCH("HSS Pipe",Z13)),ISNUMBER(SEARCH("Pipe",Z13)),ISNUMBER(SEARCH("Pipe",Y13))),
_xlpm.Pipe,                     OR(ISNUMBER(SEARCH("Pipe",Z13)),ISNUMBER(SEARCH("Pipe",Y13))),
_xlpm.SingleAngle,              OR(ISNUMBER(SEARCH("Single Angle",Z13)),AND(ISNUMBER(SEARCH("Angle",Z13)),ISNUMBER(SEARCH("Single",Z13)))),
_xlpm.DoubleAngle,              AND(ISNUMBER(SEARCH("Angle",Z13)),ISNUMBER(SEARCH("Double",Z13))),
_xlpm.RECT,                     OR(ISNUMBER(SEARCH("RECT",Z13)),ISNUMBER(SEARCH("PL",Y13))),
_xlpm.WideFlange,               OR(ISNUMBER(SEARCH("Wide Flange",Z13)),ISNUMBER(SEARCH("Tee",Z13)),ISNUMBER(SEARCH("W",Y13))),
_xlpm.Channel,                  OR(ISNUMBER(SEARCH("Channel",Z13)),ISNUMBER(SEARCH("C",Y13))),
IF(_xlpm.WideFlange,            INDEX('[2]AISC Database v16.0'!$O:$O,
                          MATCH(Y13,'[2]AISC Database v16.0'!$B:$B,0)),
IF(_xlpm.Channel,               INDEX('[2]AISC Database v16.0'!$O:$O,
                          MATCH(Y13,'[2]AISC Database v16.0'!$B:$B,0)),
IF(_xlpm.BAR,                   INDEX('[2]AISC Database v16.0'!$T:$T,
                          MATCH(Y13,'[2]AISC Database v16.0'!$B:$B,0)),
IF(_xlpm.SingleAngle,           INDEX('[2]AISC Database v16.0'!$T:$T,
                          MATCH(Y13,'[2]AISC Database v16.0'!$B:$B,0)),
IF(_xlpm.DoubleAngle,           INDEX('[2]AISC Database v16.0'!$T:$T,
                          MATCH(Y13,'[2]AISC Database v16.0'!$B:$B,0)),
IF(_xlpm.RECT,                  INDEX('[2]AISC Database v16.0'!$T:$T,
                          MATCH(Y13,'[2]AISC Database v16.0'!$B:$B,0)),
IF(AND(_xlpm.HSS,NOT(_xlpm.HSSPipe)), INDEX('[2]AISC Database v16.0'!$U:$U,
                          MATCH(Y13,'[2]AISC Database v16.0'!$B:$B,0)),
IF(OR(_xlpm.Pipe, _xlpm.HSSPipe),     INDEX('[2]AISC Database v16.0'!$U:$U,
                          MATCH(Y13,'[2]AISC Database v16.0'!$B:$B,0)),
0))))))))),0)))</f>
        <v/>
      </c>
      <c r="AE13" s="230" t="str">
        <f t="shared" si="0"/>
        <v/>
      </c>
      <c r="AF13" s="229" t="str">
        <f>IF(X13="","",
IF(OR(X13="RIGID",X13="GEN1A"), 0,
IFERROR(INDEX('[2]AISC Database v16.0'!$M:$M, MATCH(Y13,'[2]AISC Database v16.0'!$B:$B,0)), 0)))</f>
        <v/>
      </c>
      <c r="AG13" s="229" t="str">
        <f>IF(X13="","",
IF(OR(X13="RIGID",X13="GEN1A"), 0,
IFERROR(INDEX('[2]AISC Database v16.0'!$C:$C, MATCH(Y13,'[2]AISC Database v16.0'!$B:$B,0)), 0)))</f>
        <v/>
      </c>
      <c r="AJ13" s="159"/>
      <c r="AR13" s="209"/>
      <c r="AS13" s="209">
        <f>+IFERROR(IF(VLOOKUP($B13,$E$6:$K203,6,0)=0,$O13/12*COS(PI()/180*($P13+0))^2,IF(AND(ABS(VLOOKUP($B13,$E$6:$K203,6,0))&gt;0,$P13=0),$O13/12*COS(PI()/180*($P13+0))^2,IF(AND(ABS(VLOOKUP($B13,$E$6:$K203,6,0))&gt;0,ABS($P13)&gt;0),$O13/12*COS(PI()/180*($P13+0))^2))),0)</f>
        <v>0</v>
      </c>
      <c r="AT13" s="209">
        <f>+IFERROR(IF(VLOOKUP($B13,$E$6:$K203,6,0)=0,0,IF(AND(ABS(VLOOKUP($B13,$E$6:$K203,6,0))&gt;0,$P13=0),ABS(VLOOKUP($B13,$E$6:$K203,6,0))*SIN(PI()/180*($P13+0))^2,IF(AND(ABS(VLOOKUP($B13,$E$6:$K203,6,0))&gt;0,ABS($P13)&gt;0),ABS(VLOOKUP($B13,$E$6:$K203,6,0))*SIN(PI()/180*($P13+0))^2))),0)*IF(RISA3D.Unit.Length="in",1/12,1)</f>
        <v>0</v>
      </c>
      <c r="AU13" s="209">
        <f t="shared" si="1"/>
        <v>0</v>
      </c>
      <c r="AV13" s="209">
        <f>+IFERROR(+IF(VLOOKUP($M13,$S$6:$V203,3,0)=VLOOKUP($N13,$S$6:$V203,3,0), ((((($O13/12+(2*0.5/12))*((VLOOKUP($C13,rngR3DSectionSets,5,0)/12)+(2*0.5/12)))-($O13/12*(VLOOKUP($C13,rngR3DSectionSets,5,0)/12)))*1.2*COS(PI()/180*($P13))^2)) + AU13, (((((AS13+(2*0.5/12))*((VLOOKUP($C13,rngR3DSectionSets,5,0)/12)+(2*0.5/12)))-(AS13*(VLOOKUP($C13,rngR3DSectionSets,5,0)/12)))+(((AT13+(2*0.5/12))*((VLOOKUP($C13,rngR3DSectionSets,5,0)/12)+(2*0.5/12)))-(AT13*(VLOOKUP($C13,rngR3DSectionSets,5,0)/12))))*1.2) + AU13),0)</f>
        <v>0</v>
      </c>
      <c r="AW13" s="209">
        <f>+IFERROR(+IF(VLOOKUP($M13,$S$6:$V203,3,0)=VLOOKUP($N13,$S$6:$V203,3,0), ((((($O13/12+(2*1/12))*((VLOOKUP($C13,rngR3DSectionSets,5,0)/12)+(2*1/12)))-($O13/12*(VLOOKUP($C13,rngR3DSectionSets,5,0)/12)))*1.2*COS(PI()/180*($P13))^2)) + AU13, (((((AS13+(2*1/12))*((VLOOKUP($C13,rngR3DSectionSets,5,0)/12)+(2*1/12)))-(AS13*(VLOOKUP($C13,rngR3DSectionSets,5,0)/12)))+(((AT13+(2*1/12))*((VLOOKUP($C13,rngR3DSectionSets,5,0)/12)+(2*1/12)))-(AT13*(VLOOKUP($C13,rngR3DSectionSets,5,0)/12))))*1.2) + AU13),0)</f>
        <v>0</v>
      </c>
      <c r="AX13" s="209">
        <f>+IFERROR(IF(VLOOKUP($B13,$E$6:$K203,6,0)=0,$O13/12*COS(PI()/180*($P13+90))^2,IF(AND(ABS(VLOOKUP($B13,$E$6:$K203,6,0))&gt;0,$P13=0),$O13/12*COS(PI()/180*($P13+90))^2,IF(AND(ABS(VLOOKUP($B13,$E$6:$K203,6,0))&gt;0,ABS($P13)&gt;0),$O13/12*COS(PI()/180*($P13+90))^2))),0)</f>
        <v>0</v>
      </c>
      <c r="AY13" s="209">
        <f>+IFERROR(IF(VLOOKUP($B13,$E$6:$K203,6,0)=0,0,IF(AND(ABS(VLOOKUP($B13,$E$6:$K203,6,0))&gt;0,$P13=0),ABS(VLOOKUP($B13,$E$6:$K203,6,0))*SIN(PI()/180*($P13+90))^2,IF(AND(ABS(VLOOKUP($B13,$E$6:$K203,6,0))&gt;0,ABS($P13)&gt;0),ABS(VLOOKUP($B13,$E$6:$K203,6,0))*SIN(PI()/180*($P13+90))^2))),0)*IF(RISA3D.Unit.Length="in",1/12,1)</f>
        <v>0</v>
      </c>
      <c r="AZ13" s="209">
        <f t="shared" si="2"/>
        <v>0</v>
      </c>
      <c r="BA13" s="209">
        <f>+IFERROR(+IF(VLOOKUP($M13,$S$6:$V203,3,0)=VLOOKUP($N13,$S$6:$V203,3,0), ((((($O13/12+(2*0.5/12))*((VLOOKUP($C13,rngR3DSectionSets,5,0)/12)+(2*0.5/12)))-($O13/12*(VLOOKUP($C13,rngR3DSectionSets,5,0)/12)))*1.2*COS(PI()/180*($P13))^2)) + AZ13, (((((AX13+(2*0.5/12))*((VLOOKUP($C13,rngR3DSectionSets,5,0)/12)+(2*0.5/12)))-(AX13*(VLOOKUP($C13,rngR3DSectionSets,5,0)/12)))+(((AY13+(2*0.5/12))*((VLOOKUP($C13,rngR3DSectionSets,5,0)/12)+(2*0.5/12)))-(AY13*(VLOOKUP($C13,rngR3DSectionSets,5,0)/12))))*1.2) + AZ13),0)</f>
        <v>0</v>
      </c>
      <c r="BB13" s="209">
        <f>+IFERROR(+IF(VLOOKUP($M13,$S$6:$V203,3,0)=VLOOKUP($N13,$S$6:$V203,3,0), ((((($O13/12+(2*1/12))*((VLOOKUP($C13,rngR3DSectionSets,5,0)/12)+(2*1/12)))-($O13/12*(VLOOKUP($C13,rngR3DSectionSets,5,0)/12)))*1.2*COS(PI()/180*($P13))^2)) + AZ13, (((((AX13+(2*1/12))*((VLOOKUP($C13,rngR3DSectionSets,5,0)/12)+(2*1/12)))-(AX13*(VLOOKUP($C13,rngR3DSectionSets,5,0)/12)))+(((AY13+(2*1/12))*((VLOOKUP($C13,rngR3DSectionSets,5,0)/12)+(2*1/12)))-(AY13*(VLOOKUP($C13,rngR3DSectionSets,5,0)/12))))*1.2) + AZ13),0)</f>
        <v>0</v>
      </c>
      <c r="BC13" s="209">
        <f t="shared" si="3"/>
        <v>0</v>
      </c>
      <c r="BD13" s="209">
        <f t="shared" si="4"/>
        <v>0</v>
      </c>
      <c r="BE13" s="209">
        <f t="shared" si="5"/>
        <v>0</v>
      </c>
      <c r="BF13" s="209"/>
      <c r="BG13" s="209"/>
    </row>
    <row r="14" spans="1:59" ht="15" customHeight="1" x14ac:dyDescent="0.2">
      <c r="B14" s="207"/>
      <c r="C14" s="207"/>
      <c r="D14" s="207"/>
      <c r="E14" s="207"/>
      <c r="F14" s="207"/>
      <c r="G14" s="207"/>
      <c r="H14" s="207"/>
      <c r="I14" s="207"/>
      <c r="J14" s="207"/>
      <c r="K14" s="207"/>
      <c r="L14" s="207"/>
      <c r="M14" s="207"/>
      <c r="N14" s="207"/>
      <c r="O14" s="207"/>
      <c r="P14" s="207"/>
      <c r="Q14" s="207"/>
      <c r="R14" s="207"/>
      <c r="S14" s="207"/>
      <c r="T14" s="228"/>
      <c r="U14" s="228"/>
      <c r="V14" s="228"/>
      <c r="X14" s="189"/>
      <c r="Y14" s="189"/>
      <c r="Z14" s="189"/>
      <c r="AA14" s="190"/>
      <c r="AB14" s="229" t="str">
        <f>IF(X14="","",
IF(OR(X14="RIGID",X14="GEN1A"), 0,
IFERROR(_xlfn.LET(
_xlpm.BAR,                      OR(ISNUMBER(SEARCH("BAR",Z14)),ISNUMBER(SEARCH("SR",Y14))),
_xlpm.HSS,                      OR(ISNUMBER(SEARCH("HSS",Y14)),ISNUMBER(SEARCH("SquareTube",Z14)),NOT(ISNUMBER(SEARCH("HSS Pipe",Z14)))),
_xlpm.HSSPipe,                  OR(ISNUMBER(SEARCH("HSS Pipe",Z14)),ISNUMBER(SEARCH("Pipe",Z14)),ISNUMBER(SEARCH("Pipe",Y14))),
_xlpm.Pipe,                     OR(ISNUMBER(SEARCH("Pipe",Z14)),ISNUMBER(SEARCH("Pipe",Y14))),
_xlpm.SingleAngle,              OR(ISNUMBER(SEARCH("Single Angle",Z14)),AND(ISNUMBER(SEARCH("Angle",Z14)),ISNUMBER(SEARCH("Single",Z14)))),
_xlpm.DoubleAngle,              AND(ISNUMBER(SEARCH("Angle",Z14)),ISNUMBER(SEARCH("Double",Z14))),
_xlpm.RECT,                     OR(ISNUMBER(SEARCH("RECT",Z14)),ISNUMBER(SEARCH("PL",Y14))),
_xlpm.WideFlange,               OR(ISNUMBER(SEARCH("Wide Flange",Z14)),ISNUMBER(SEARCH("Tee",Z14)),ISNUMBER(SEARCH("W",Y14))),
_xlpm.Channel,                  OR(ISNUMBER(SEARCH("Channel",Z14)),ISNUMBER(SEARCH("C",Y14))),
IF(OR(_xlpm.WideFlange, _xlpm.Channel, _xlpm.SingleAngle, _xlpm.DoubleAngle, _xlpm.RECT),
                          INDEX('[2]AISC Database v16.0'!$D:$D,
                          MATCH(Y14,'[2]AISC Database v16.0'!$B:$B,0)),
IF(AND(_xlpm.HSS,NOT(_xlpm.HSSPipe)), INDEX('[2]AISC Database v16.0'!$F:$F,
                          MATCH(Y14,'[2]AISC Database v16.0'!$B:$B,0)),
IF(OR(_xlpm.Pipe, _xlpm.HSSPipe, _xlpm.BAR),
                          INDEX('[2]AISC Database v16.0'!$H:$H,
                          MATCH(Y14,'[2]AISC Database v16.0'!$B:$B,0)),
0)))),0)))</f>
        <v/>
      </c>
      <c r="AC14" s="229" t="str">
        <f>IF(X14="","",
IF(OR(X14="RIGID",X14="GEN1A"), 0,
IFERROR(_xlfn.LET(
_xlpm.BAR,                      OR(ISNUMBER(SEARCH("BAR",Z14)),ISNUMBER(SEARCH("SR",Y14))),
_xlpm.HSS,                      OR(ISNUMBER(SEARCH("HSS",Y14)),ISNUMBER(SEARCH("SquareTube",Z14)),NOT(ISNUMBER(SEARCH("HSS Pipe",Z14)))),
_xlpm.HSSPipe,                  OR(ISNUMBER(SEARCH("HSS Pipe",Z14)),ISNUMBER(SEARCH("Pipe",Z14)),ISNUMBER(SEARCH("Pipe",Y14))),
_xlpm.Pipe,                     OR(ISNUMBER(SEARCH("Pipe",Z14)),ISNUMBER(SEARCH("Pipe",Y14))),
_xlpm.SingleAngle,              OR(ISNUMBER(SEARCH("Single Angle",Z14)),AND(ISNUMBER(SEARCH("Angle",Z14)),ISNUMBER(SEARCH("Single",Z14)))),
_xlpm.DoubleAngle,              AND(ISNUMBER(SEARCH("Angle",Z14)),ISNUMBER(SEARCH("Double",Z14))),
_xlpm.RECT,                     OR(ISNUMBER(SEARCH("RECT",Z14)),ISNUMBER(SEARCH("PL",Y14))),
_xlpm.WideFlange,               OR(ISNUMBER(SEARCH("Wide Flange",Z14)),ISNUMBER(SEARCH("Tee",Z14)),ISNUMBER(SEARCH("W",Y14))),
_xlpm.Channel,                  OR(ISNUMBER(SEARCH("Channel",Z14)),ISNUMBER(SEARCH("C",Y14))),
IF(OR(_xlpm.WideFlange, _xlpm.Channel),
                          INDEX('[2]AISC Database v16.0'!$I:$I,
                          MATCH(Y14,'[2]AISC Database v16.0'!$B:$B,0)),
IF(OR(_xlpm.SingleAngle, _xlpm.DoubleAngle, _xlpm.RECT),
                          INDEX('[2]AISC Database v16.0'!$L:$L,
                          MATCH(Y14,'[2]AISC Database v16.0'!$B:$B,0)),
IF(AND(_xlpm.HSS,NOT(_xlpm.HSSPipe)),
                          INDEX('[2]AISC Database v16.0'!$K:$K,
                          MATCH(Y14,'[2]AISC Database v16.0'!$B:$B,0)),
IF(OR(_xlpm.Pipe, _xlpm.HSSPipe, _xlpm.BAR),
                          INDEX('[2]AISC Database v16.0'!$H:$H,
                          MATCH(Y14,'[2]AISC Database v16.0'!$B:$B,0)),
0))))),0)))</f>
        <v/>
      </c>
      <c r="AD14" s="230" t="str">
        <f>IF(X14="","",
IF(OR(X14="RIGID",X14="GEN1A"), 0,
IFERROR(_xlfn.LET(
_xlpm.BAR,                      OR(ISNUMBER(SEARCH("BAR",Z14)),ISNUMBER(SEARCH("SR",Y14))),
_xlpm.HSS,                      OR(ISNUMBER(SEARCH("HSS",Y14)),ISNUMBER(SEARCH("SquareTube",Z14)),NOT(ISNUMBER(SEARCH("HSS Pipe",Z14)))),
_xlpm.HSSPipe,                  OR(ISNUMBER(SEARCH("HSS Pipe",Z14)),ISNUMBER(SEARCH("Pipe",Z14)),ISNUMBER(SEARCH("Pipe",Y14))),
_xlpm.Pipe,                     OR(ISNUMBER(SEARCH("Pipe",Z14)),ISNUMBER(SEARCH("Pipe",Y14))),
_xlpm.SingleAngle,              OR(ISNUMBER(SEARCH("Single Angle",Z14)),AND(ISNUMBER(SEARCH("Angle",Z14)),ISNUMBER(SEARCH("Single",Z14)))),
_xlpm.DoubleAngle,              AND(ISNUMBER(SEARCH("Angle",Z14)),ISNUMBER(SEARCH("Double",Z14))),
_xlpm.RECT,                     OR(ISNUMBER(SEARCH("RECT",Z14)),ISNUMBER(SEARCH("PL",Y14))),
_xlpm.WideFlange,               OR(ISNUMBER(SEARCH("Wide Flange",Z14)),ISNUMBER(SEARCH("Tee",Z14)),ISNUMBER(SEARCH("W",Y14))),
_xlpm.Channel,                  OR(ISNUMBER(SEARCH("Channel",Z14)),ISNUMBER(SEARCH("C",Y14))),
IF(_xlpm.WideFlange,            INDEX('[2]AISC Database v16.0'!$O:$O,
                          MATCH(Y14,'[2]AISC Database v16.0'!$B:$B,0)),
IF(_xlpm.Channel,               INDEX('[2]AISC Database v16.0'!$O:$O,
                          MATCH(Y14,'[2]AISC Database v16.0'!$B:$B,0)),
IF(_xlpm.BAR,                   INDEX('[2]AISC Database v16.0'!$T:$T,
                          MATCH(Y14,'[2]AISC Database v16.0'!$B:$B,0)),
IF(_xlpm.SingleAngle,           INDEX('[2]AISC Database v16.0'!$T:$T,
                          MATCH(Y14,'[2]AISC Database v16.0'!$B:$B,0)),
IF(_xlpm.DoubleAngle,           INDEX('[2]AISC Database v16.0'!$T:$T,
                          MATCH(Y14,'[2]AISC Database v16.0'!$B:$B,0)),
IF(_xlpm.RECT,                  INDEX('[2]AISC Database v16.0'!$T:$T,
                          MATCH(Y14,'[2]AISC Database v16.0'!$B:$B,0)),
IF(AND(_xlpm.HSS,NOT(_xlpm.HSSPipe)), INDEX('[2]AISC Database v16.0'!$U:$U,
                          MATCH(Y14,'[2]AISC Database v16.0'!$B:$B,0)),
IF(OR(_xlpm.Pipe, _xlpm.HSSPipe),     INDEX('[2]AISC Database v16.0'!$U:$U,
                          MATCH(Y14,'[2]AISC Database v16.0'!$B:$B,0)),
0))))))))),0)))</f>
        <v/>
      </c>
      <c r="AE14" s="230" t="str">
        <f t="shared" si="0"/>
        <v/>
      </c>
      <c r="AF14" s="229" t="str">
        <f>IF(X14="","",
IF(OR(X14="RIGID",X14="GEN1A"), 0,
IFERROR(INDEX('[2]AISC Database v16.0'!$M:$M, MATCH(Y14,'[2]AISC Database v16.0'!$B:$B,0)), 0)))</f>
        <v/>
      </c>
      <c r="AG14" s="229" t="str">
        <f>IF(X14="","",
IF(OR(X14="RIGID",X14="GEN1A"), 0,
IFERROR(INDEX('[2]AISC Database v16.0'!$C:$C, MATCH(Y14,'[2]AISC Database v16.0'!$B:$B,0)), 0)))</f>
        <v/>
      </c>
      <c r="AR14" s="209"/>
      <c r="AS14" s="209">
        <f>+IFERROR(IF(VLOOKUP($B14,$E$6:$K203,6,0)=0,$O14/12*COS(PI()/180*($P14+0))^2,IF(AND(ABS(VLOOKUP($B14,$E$6:$K203,6,0))&gt;0,$P14=0),$O14/12*COS(PI()/180*($P14+0))^2,IF(AND(ABS(VLOOKUP($B14,$E$6:$K203,6,0))&gt;0,ABS($P14)&gt;0),$O14/12*COS(PI()/180*($P14+0))^2))),0)</f>
        <v>0</v>
      </c>
      <c r="AT14" s="209">
        <f>+IFERROR(IF(VLOOKUP($B14,$E$6:$K203,6,0)=0,0,IF(AND(ABS(VLOOKUP($B14,$E$6:$K203,6,0))&gt;0,$P14=0),ABS(VLOOKUP($B14,$E$6:$K203,6,0))*SIN(PI()/180*($P14+0))^2,IF(AND(ABS(VLOOKUP($B14,$E$6:$K203,6,0))&gt;0,ABS($P14)&gt;0),ABS(VLOOKUP($B14,$E$6:$K203,6,0))*SIN(PI()/180*($P14+0))^2))),0)*IF(RISA3D.Unit.Length="in",1/12,1)</f>
        <v>0</v>
      </c>
      <c r="AU14" s="209">
        <f t="shared" si="1"/>
        <v>0</v>
      </c>
      <c r="AV14" s="209">
        <f>+IFERROR(+IF(VLOOKUP($M14,$S$6:$V203,3,0)=VLOOKUP($N14,$S$6:$V203,3,0), ((((($O14/12+(2*0.5/12))*((VLOOKUP($C14,rngR3DSectionSets,5,0)/12)+(2*0.5/12)))-($O14/12*(VLOOKUP($C14,rngR3DSectionSets,5,0)/12)))*1.2*COS(PI()/180*($P14))^2)) + AU14, (((((AS14+(2*0.5/12))*((VLOOKUP($C14,rngR3DSectionSets,5,0)/12)+(2*0.5/12)))-(AS14*(VLOOKUP($C14,rngR3DSectionSets,5,0)/12)))+(((AT14+(2*0.5/12))*((VLOOKUP($C14,rngR3DSectionSets,5,0)/12)+(2*0.5/12)))-(AT14*(VLOOKUP($C14,rngR3DSectionSets,5,0)/12))))*1.2) + AU14),0)</f>
        <v>0</v>
      </c>
      <c r="AW14" s="209">
        <f>+IFERROR(+IF(VLOOKUP($M14,$S$6:$V203,3,0)=VLOOKUP($N14,$S$6:$V203,3,0), ((((($O14/12+(2*1/12))*((VLOOKUP($C14,rngR3DSectionSets,5,0)/12)+(2*1/12)))-($O14/12*(VLOOKUP($C14,rngR3DSectionSets,5,0)/12)))*1.2*COS(PI()/180*($P14))^2)) + AU14, (((((AS14+(2*1/12))*((VLOOKUP($C14,rngR3DSectionSets,5,0)/12)+(2*1/12)))-(AS14*(VLOOKUP($C14,rngR3DSectionSets,5,0)/12)))+(((AT14+(2*1/12))*((VLOOKUP($C14,rngR3DSectionSets,5,0)/12)+(2*1/12)))-(AT14*(VLOOKUP($C14,rngR3DSectionSets,5,0)/12))))*1.2) + AU14),0)</f>
        <v>0</v>
      </c>
      <c r="AX14" s="209">
        <f>+IFERROR(IF(VLOOKUP($B14,$E$6:$K203,6,0)=0,$O14/12*COS(PI()/180*($P14+90))^2,IF(AND(ABS(VLOOKUP($B14,$E$6:$K203,6,0))&gt;0,$P14=0),$O14/12*COS(PI()/180*($P14+90))^2,IF(AND(ABS(VLOOKUP($B14,$E$6:$K203,6,0))&gt;0,ABS($P14)&gt;0),$O14/12*COS(PI()/180*($P14+90))^2))),0)</f>
        <v>0</v>
      </c>
      <c r="AY14" s="209">
        <f>+IFERROR(IF(VLOOKUP($B14,$E$6:$K203,6,0)=0,0,IF(AND(ABS(VLOOKUP($B14,$E$6:$K203,6,0))&gt;0,$P14=0),ABS(VLOOKUP($B14,$E$6:$K203,6,0))*SIN(PI()/180*($P14+90))^2,IF(AND(ABS(VLOOKUP($B14,$E$6:$K203,6,0))&gt;0,ABS($P14)&gt;0),ABS(VLOOKUP($B14,$E$6:$K203,6,0))*SIN(PI()/180*($P14+90))^2))),0)*IF(RISA3D.Unit.Length="in",1/12,1)</f>
        <v>0</v>
      </c>
      <c r="AZ14" s="209">
        <f t="shared" si="2"/>
        <v>0</v>
      </c>
      <c r="BA14" s="209">
        <f>+IFERROR(+IF(VLOOKUP($M14,$S$6:$V203,3,0)=VLOOKUP($N14,$S$6:$V203,3,0), ((((($O14/12+(2*0.5/12))*((VLOOKUP($C14,rngR3DSectionSets,5,0)/12)+(2*0.5/12)))-($O14/12*(VLOOKUP($C14,rngR3DSectionSets,5,0)/12)))*1.2*COS(PI()/180*($P14))^2)) + AZ14, (((((AX14+(2*0.5/12))*((VLOOKUP($C14,rngR3DSectionSets,5,0)/12)+(2*0.5/12)))-(AX14*(VLOOKUP($C14,rngR3DSectionSets,5,0)/12)))+(((AY14+(2*0.5/12))*((VLOOKUP($C14,rngR3DSectionSets,5,0)/12)+(2*0.5/12)))-(AY14*(VLOOKUP($C14,rngR3DSectionSets,5,0)/12))))*1.2) + AZ14),0)</f>
        <v>0</v>
      </c>
      <c r="BB14" s="209">
        <f>+IFERROR(+IF(VLOOKUP($M14,$S$6:$V203,3,0)=VLOOKUP($N14,$S$6:$V203,3,0), ((((($O14/12+(2*1/12))*((VLOOKUP($C14,rngR3DSectionSets,5,0)/12)+(2*1/12)))-($O14/12*(VLOOKUP($C14,rngR3DSectionSets,5,0)/12)))*1.2*COS(PI()/180*($P14))^2)) + AZ14, (((((AX14+(2*1/12))*((VLOOKUP($C14,rngR3DSectionSets,5,0)/12)+(2*1/12)))-(AX14*(VLOOKUP($C14,rngR3DSectionSets,5,0)/12)))+(((AY14+(2*1/12))*((VLOOKUP($C14,rngR3DSectionSets,5,0)/12)+(2*1/12)))-(AY14*(VLOOKUP($C14,rngR3DSectionSets,5,0)/12))))*1.2) + AZ14),0)</f>
        <v>0</v>
      </c>
      <c r="BC14" s="209">
        <f t="shared" si="3"/>
        <v>0</v>
      </c>
      <c r="BD14" s="209">
        <f t="shared" si="4"/>
        <v>0</v>
      </c>
      <c r="BE14" s="209">
        <f t="shared" si="5"/>
        <v>0</v>
      </c>
      <c r="BF14" s="209"/>
      <c r="BG14" s="209"/>
    </row>
    <row r="15" spans="1:59" ht="15" customHeight="1" x14ac:dyDescent="0.2">
      <c r="B15" s="207"/>
      <c r="C15" s="207"/>
      <c r="D15" s="207"/>
      <c r="E15" s="207"/>
      <c r="F15" s="207"/>
      <c r="G15" s="207"/>
      <c r="H15" s="207"/>
      <c r="I15" s="207"/>
      <c r="J15" s="207"/>
      <c r="K15" s="207"/>
      <c r="L15" s="207"/>
      <c r="M15" s="207"/>
      <c r="N15" s="207"/>
      <c r="O15" s="207"/>
      <c r="P15" s="207"/>
      <c r="Q15" s="207"/>
      <c r="R15" s="207"/>
      <c r="S15" s="207"/>
      <c r="T15" s="228"/>
      <c r="U15" s="228"/>
      <c r="V15" s="228"/>
      <c r="X15" s="189"/>
      <c r="Y15" s="189"/>
      <c r="Z15" s="189"/>
      <c r="AA15" s="190"/>
      <c r="AB15" s="229" t="str">
        <f>IF(X15="","",
IF(OR(X15="RIGID",X15="GEN1A"), 0,
IFERROR(_xlfn.LET(
_xlpm.BAR,                      OR(ISNUMBER(SEARCH("BAR",Z15)),ISNUMBER(SEARCH("SR",Y15))),
_xlpm.HSS,                      OR(ISNUMBER(SEARCH("HSS",Y15)),ISNUMBER(SEARCH("SquareTube",Z15)),NOT(ISNUMBER(SEARCH("HSS Pipe",Z15)))),
_xlpm.HSSPipe,                  OR(ISNUMBER(SEARCH("HSS Pipe",Z15)),ISNUMBER(SEARCH("Pipe",Z15)),ISNUMBER(SEARCH("Pipe",Y15))),
_xlpm.Pipe,                     OR(ISNUMBER(SEARCH("Pipe",Z15)),ISNUMBER(SEARCH("Pipe",Y15))),
_xlpm.SingleAngle,              OR(ISNUMBER(SEARCH("Single Angle",Z15)),AND(ISNUMBER(SEARCH("Angle",Z15)),ISNUMBER(SEARCH("Single",Z15)))),
_xlpm.DoubleAngle,              AND(ISNUMBER(SEARCH("Angle",Z15)),ISNUMBER(SEARCH("Double",Z15))),
_xlpm.RECT,                     OR(ISNUMBER(SEARCH("RECT",Z15)),ISNUMBER(SEARCH("PL",Y15))),
_xlpm.WideFlange,               OR(ISNUMBER(SEARCH("Wide Flange",Z15)),ISNUMBER(SEARCH("Tee",Z15)),ISNUMBER(SEARCH("W",Y15))),
_xlpm.Channel,                  OR(ISNUMBER(SEARCH("Channel",Z15)),ISNUMBER(SEARCH("C",Y15))),
IF(OR(_xlpm.WideFlange, _xlpm.Channel, _xlpm.SingleAngle, _xlpm.DoubleAngle, _xlpm.RECT),
                          INDEX('[2]AISC Database v16.0'!$D:$D,
                          MATCH(Y15,'[2]AISC Database v16.0'!$B:$B,0)),
IF(AND(_xlpm.HSS,NOT(_xlpm.HSSPipe)), INDEX('[2]AISC Database v16.0'!$F:$F,
                          MATCH(Y15,'[2]AISC Database v16.0'!$B:$B,0)),
IF(OR(_xlpm.Pipe, _xlpm.HSSPipe, _xlpm.BAR),
                          INDEX('[2]AISC Database v16.0'!$H:$H,
                          MATCH(Y15,'[2]AISC Database v16.0'!$B:$B,0)),
0)))),0)))</f>
        <v/>
      </c>
      <c r="AC15" s="229" t="str">
        <f>IF(X15="","",
IF(OR(X15="RIGID",X15="GEN1A"), 0,
IFERROR(_xlfn.LET(
_xlpm.BAR,                      OR(ISNUMBER(SEARCH("BAR",Z15)),ISNUMBER(SEARCH("SR",Y15))),
_xlpm.HSS,                      OR(ISNUMBER(SEARCH("HSS",Y15)),ISNUMBER(SEARCH("SquareTube",Z15)),NOT(ISNUMBER(SEARCH("HSS Pipe",Z15)))),
_xlpm.HSSPipe,                  OR(ISNUMBER(SEARCH("HSS Pipe",Z15)),ISNUMBER(SEARCH("Pipe",Z15)),ISNUMBER(SEARCH("Pipe",Y15))),
_xlpm.Pipe,                     OR(ISNUMBER(SEARCH("Pipe",Z15)),ISNUMBER(SEARCH("Pipe",Y15))),
_xlpm.SingleAngle,              OR(ISNUMBER(SEARCH("Single Angle",Z15)),AND(ISNUMBER(SEARCH("Angle",Z15)),ISNUMBER(SEARCH("Single",Z15)))),
_xlpm.DoubleAngle,              AND(ISNUMBER(SEARCH("Angle",Z15)),ISNUMBER(SEARCH("Double",Z15))),
_xlpm.RECT,                     OR(ISNUMBER(SEARCH("RECT",Z15)),ISNUMBER(SEARCH("PL",Y15))),
_xlpm.WideFlange,               OR(ISNUMBER(SEARCH("Wide Flange",Z15)),ISNUMBER(SEARCH("Tee",Z15)),ISNUMBER(SEARCH("W",Y15))),
_xlpm.Channel,                  OR(ISNUMBER(SEARCH("Channel",Z15)),ISNUMBER(SEARCH("C",Y15))),
IF(OR(_xlpm.WideFlange, _xlpm.Channel),
                          INDEX('[2]AISC Database v16.0'!$I:$I,
                          MATCH(Y15,'[2]AISC Database v16.0'!$B:$B,0)),
IF(OR(_xlpm.SingleAngle, _xlpm.DoubleAngle, _xlpm.RECT),
                          INDEX('[2]AISC Database v16.0'!$L:$L,
                          MATCH(Y15,'[2]AISC Database v16.0'!$B:$B,0)),
IF(AND(_xlpm.HSS,NOT(_xlpm.HSSPipe)),
                          INDEX('[2]AISC Database v16.0'!$K:$K,
                          MATCH(Y15,'[2]AISC Database v16.0'!$B:$B,0)),
IF(OR(_xlpm.Pipe, _xlpm.HSSPipe, _xlpm.BAR),
                          INDEX('[2]AISC Database v16.0'!$H:$H,
                          MATCH(Y15,'[2]AISC Database v16.0'!$B:$B,0)),
0))))),0)))</f>
        <v/>
      </c>
      <c r="AD15" s="230" t="str">
        <f>IF(X15="","",
IF(OR(X15="RIGID",X15="GEN1A"), 0,
IFERROR(_xlfn.LET(
_xlpm.BAR,                      OR(ISNUMBER(SEARCH("BAR",Z15)),ISNUMBER(SEARCH("SR",Y15))),
_xlpm.HSS,                      OR(ISNUMBER(SEARCH("HSS",Y15)),ISNUMBER(SEARCH("SquareTube",Z15)),NOT(ISNUMBER(SEARCH("HSS Pipe",Z15)))),
_xlpm.HSSPipe,                  OR(ISNUMBER(SEARCH("HSS Pipe",Z15)),ISNUMBER(SEARCH("Pipe",Z15)),ISNUMBER(SEARCH("Pipe",Y15))),
_xlpm.Pipe,                     OR(ISNUMBER(SEARCH("Pipe",Z15)),ISNUMBER(SEARCH("Pipe",Y15))),
_xlpm.SingleAngle,              OR(ISNUMBER(SEARCH("Single Angle",Z15)),AND(ISNUMBER(SEARCH("Angle",Z15)),ISNUMBER(SEARCH("Single",Z15)))),
_xlpm.DoubleAngle,              AND(ISNUMBER(SEARCH("Angle",Z15)),ISNUMBER(SEARCH("Double",Z15))),
_xlpm.RECT,                     OR(ISNUMBER(SEARCH("RECT",Z15)),ISNUMBER(SEARCH("PL",Y15))),
_xlpm.WideFlange,               OR(ISNUMBER(SEARCH("Wide Flange",Z15)),ISNUMBER(SEARCH("Tee",Z15)),ISNUMBER(SEARCH("W",Y15))),
_xlpm.Channel,                  OR(ISNUMBER(SEARCH("Channel",Z15)),ISNUMBER(SEARCH("C",Y15))),
IF(_xlpm.WideFlange,            INDEX('[2]AISC Database v16.0'!$O:$O,
                          MATCH(Y15,'[2]AISC Database v16.0'!$B:$B,0)),
IF(_xlpm.Channel,               INDEX('[2]AISC Database v16.0'!$O:$O,
                          MATCH(Y15,'[2]AISC Database v16.0'!$B:$B,0)),
IF(_xlpm.BAR,                   INDEX('[2]AISC Database v16.0'!$T:$T,
                          MATCH(Y15,'[2]AISC Database v16.0'!$B:$B,0)),
IF(_xlpm.SingleAngle,           INDEX('[2]AISC Database v16.0'!$T:$T,
                          MATCH(Y15,'[2]AISC Database v16.0'!$B:$B,0)),
IF(_xlpm.DoubleAngle,           INDEX('[2]AISC Database v16.0'!$T:$T,
                          MATCH(Y15,'[2]AISC Database v16.0'!$B:$B,0)),
IF(_xlpm.RECT,                  INDEX('[2]AISC Database v16.0'!$T:$T,
                          MATCH(Y15,'[2]AISC Database v16.0'!$B:$B,0)),
IF(AND(_xlpm.HSS,NOT(_xlpm.HSSPipe)), INDEX('[2]AISC Database v16.0'!$U:$U,
                          MATCH(Y15,'[2]AISC Database v16.0'!$B:$B,0)),
IF(OR(_xlpm.Pipe, _xlpm.HSSPipe),     INDEX('[2]AISC Database v16.0'!$U:$U,
                          MATCH(Y15,'[2]AISC Database v16.0'!$B:$B,0)),
0))))))))),0)))</f>
        <v/>
      </c>
      <c r="AE15" s="230" t="str">
        <f t="shared" si="0"/>
        <v/>
      </c>
      <c r="AF15" s="229" t="str">
        <f>IF(X15="","",
IF(OR(X15="RIGID",X15="GEN1A"), 0,
IFERROR(INDEX('[2]AISC Database v16.0'!$M:$M, MATCH(Y15,'[2]AISC Database v16.0'!$B:$B,0)), 0)))</f>
        <v/>
      </c>
      <c r="AG15" s="229" t="str">
        <f>IF(X15="","",
IF(OR(X15="RIGID",X15="GEN1A"), 0,
IFERROR(INDEX('[2]AISC Database v16.0'!$C:$C, MATCH(Y15,'[2]AISC Database v16.0'!$B:$B,0)), 0)))</f>
        <v/>
      </c>
      <c r="AR15" s="209"/>
      <c r="AS15" s="209">
        <f>+IFERROR(IF(VLOOKUP($B15,$E$6:$K203,6,0)=0,$O15/12*COS(PI()/180*($P15+0))^2,IF(AND(ABS(VLOOKUP($B15,$E$6:$K203,6,0))&gt;0,$P15=0),$O15/12*COS(PI()/180*($P15+0))^2,IF(AND(ABS(VLOOKUP($B15,$E$6:$K203,6,0))&gt;0,ABS($P15)&gt;0),$O15/12*COS(PI()/180*($P15+0))^2))),0)</f>
        <v>0</v>
      </c>
      <c r="AT15" s="209">
        <f>+IFERROR(IF(VLOOKUP($B15,$E$6:$K203,6,0)=0,0,IF(AND(ABS(VLOOKUP($B15,$E$6:$K203,6,0))&gt;0,$P15=0),ABS(VLOOKUP($B15,$E$6:$K203,6,0))*SIN(PI()/180*($P15+0))^2,IF(AND(ABS(VLOOKUP($B15,$E$6:$K203,6,0))&gt;0,ABS($P15)&gt;0),ABS(VLOOKUP($B15,$E$6:$K203,6,0))*SIN(PI()/180*($P15+0))^2))),0)*IF(RISA3D.Unit.Length="in",1/12,1)</f>
        <v>0</v>
      </c>
      <c r="AU15" s="209">
        <f t="shared" si="1"/>
        <v>0</v>
      </c>
      <c r="AV15" s="209">
        <f>+IFERROR(+IF(VLOOKUP($M15,$S$6:$V203,3,0)=VLOOKUP($N15,$S$6:$V203,3,0), ((((($O15/12+(2*0.5/12))*((VLOOKUP($C15,rngR3DSectionSets,5,0)/12)+(2*0.5/12)))-($O15/12*(VLOOKUP($C15,rngR3DSectionSets,5,0)/12)))*1.2*COS(PI()/180*($P15))^2)) + AU15, (((((AS15+(2*0.5/12))*((VLOOKUP($C15,rngR3DSectionSets,5,0)/12)+(2*0.5/12)))-(AS15*(VLOOKUP($C15,rngR3DSectionSets,5,0)/12)))+(((AT15+(2*0.5/12))*((VLOOKUP($C15,rngR3DSectionSets,5,0)/12)+(2*0.5/12)))-(AT15*(VLOOKUP($C15,rngR3DSectionSets,5,0)/12))))*1.2) + AU15),0)</f>
        <v>0</v>
      </c>
      <c r="AW15" s="209">
        <f>+IFERROR(+IF(VLOOKUP($M15,$S$6:$V203,3,0)=VLOOKUP($N15,$S$6:$V203,3,0), ((((($O15/12+(2*1/12))*((VLOOKUP($C15,rngR3DSectionSets,5,0)/12)+(2*1/12)))-($O15/12*(VLOOKUP($C15,rngR3DSectionSets,5,0)/12)))*1.2*COS(PI()/180*($P15))^2)) + AU15, (((((AS15+(2*1/12))*((VLOOKUP($C15,rngR3DSectionSets,5,0)/12)+(2*1/12)))-(AS15*(VLOOKUP($C15,rngR3DSectionSets,5,0)/12)))+(((AT15+(2*1/12))*((VLOOKUP($C15,rngR3DSectionSets,5,0)/12)+(2*1/12)))-(AT15*(VLOOKUP($C15,rngR3DSectionSets,5,0)/12))))*1.2) + AU15),0)</f>
        <v>0</v>
      </c>
      <c r="AX15" s="209">
        <f>+IFERROR(IF(VLOOKUP($B15,$E$6:$K203,6,0)=0,$O15/12*COS(PI()/180*($P15+90))^2,IF(AND(ABS(VLOOKUP($B15,$E$6:$K203,6,0))&gt;0,$P15=0),$O15/12*COS(PI()/180*($P15+90))^2,IF(AND(ABS(VLOOKUP($B15,$E$6:$K203,6,0))&gt;0,ABS($P15)&gt;0),$O15/12*COS(PI()/180*($P15+90))^2))),0)</f>
        <v>0</v>
      </c>
      <c r="AY15" s="209">
        <f>+IFERROR(IF(VLOOKUP($B15,$E$6:$K203,6,0)=0,0,IF(AND(ABS(VLOOKUP($B15,$E$6:$K203,6,0))&gt;0,$P15=0),ABS(VLOOKUP($B15,$E$6:$K203,6,0))*SIN(PI()/180*($P15+90))^2,IF(AND(ABS(VLOOKUP($B15,$E$6:$K203,6,0))&gt;0,ABS($P15)&gt;0),ABS(VLOOKUP($B15,$E$6:$K203,6,0))*SIN(PI()/180*($P15+90))^2))),0)*IF(RISA3D.Unit.Length="in",1/12,1)</f>
        <v>0</v>
      </c>
      <c r="AZ15" s="209">
        <f t="shared" si="2"/>
        <v>0</v>
      </c>
      <c r="BA15" s="209">
        <f>+IFERROR(+IF(VLOOKUP($M15,$S$6:$V203,3,0)=VLOOKUP($N15,$S$6:$V203,3,0), ((((($O15/12+(2*0.5/12))*((VLOOKUP($C15,rngR3DSectionSets,5,0)/12)+(2*0.5/12)))-($O15/12*(VLOOKUP($C15,rngR3DSectionSets,5,0)/12)))*1.2*COS(PI()/180*($P15))^2)) + AZ15, (((((AX15+(2*0.5/12))*((VLOOKUP($C15,rngR3DSectionSets,5,0)/12)+(2*0.5/12)))-(AX15*(VLOOKUP($C15,rngR3DSectionSets,5,0)/12)))+(((AY15+(2*0.5/12))*((VLOOKUP($C15,rngR3DSectionSets,5,0)/12)+(2*0.5/12)))-(AY15*(VLOOKUP($C15,rngR3DSectionSets,5,0)/12))))*1.2) + AZ15),0)</f>
        <v>0</v>
      </c>
      <c r="BB15" s="209">
        <f>+IFERROR(+IF(VLOOKUP($M15,$S$6:$V203,3,0)=VLOOKUP($N15,$S$6:$V203,3,0), ((((($O15/12+(2*1/12))*((VLOOKUP($C15,rngR3DSectionSets,5,0)/12)+(2*1/12)))-($O15/12*(VLOOKUP($C15,rngR3DSectionSets,5,0)/12)))*1.2*COS(PI()/180*($P15))^2)) + AZ15, (((((AX15+(2*1/12))*((VLOOKUP($C15,rngR3DSectionSets,5,0)/12)+(2*1/12)))-(AX15*(VLOOKUP($C15,rngR3DSectionSets,5,0)/12)))+(((AY15+(2*1/12))*((VLOOKUP($C15,rngR3DSectionSets,5,0)/12)+(2*1/12)))-(AY15*(VLOOKUP($C15,rngR3DSectionSets,5,0)/12))))*1.2) + AZ15),0)</f>
        <v>0</v>
      </c>
      <c r="BC15" s="209">
        <f t="shared" si="3"/>
        <v>0</v>
      </c>
      <c r="BD15" s="209">
        <f t="shared" si="4"/>
        <v>0</v>
      </c>
      <c r="BE15" s="209">
        <f t="shared" si="5"/>
        <v>0</v>
      </c>
      <c r="BF15" s="209"/>
      <c r="BG15" s="209"/>
    </row>
    <row r="16" spans="1:59" ht="15" customHeight="1" x14ac:dyDescent="0.2">
      <c r="B16" s="207"/>
      <c r="C16" s="207"/>
      <c r="D16" s="207"/>
      <c r="E16" s="207"/>
      <c r="F16" s="207"/>
      <c r="G16" s="207"/>
      <c r="H16" s="207"/>
      <c r="I16" s="207"/>
      <c r="J16" s="207"/>
      <c r="K16" s="207"/>
      <c r="L16" s="207"/>
      <c r="M16" s="207"/>
      <c r="N16" s="207"/>
      <c r="O16" s="207"/>
      <c r="P16" s="207"/>
      <c r="Q16" s="207"/>
      <c r="R16" s="207"/>
      <c r="S16" s="207"/>
      <c r="T16" s="228"/>
      <c r="U16" s="228"/>
      <c r="V16" s="228"/>
      <c r="X16" s="189"/>
      <c r="Y16" s="189"/>
      <c r="Z16" s="189"/>
      <c r="AA16" s="190"/>
      <c r="AB16" s="229" t="str">
        <f>IF(X16="","",
IF(OR(X16="RIGID",X16="GEN1A"), 0,
IFERROR(_xlfn.LET(
_xlpm.BAR,                      OR(ISNUMBER(SEARCH("BAR",Z16)),ISNUMBER(SEARCH("SR",Y16))),
_xlpm.HSS,                      OR(ISNUMBER(SEARCH("HSS",Y16)),ISNUMBER(SEARCH("SquareTube",Z16)),NOT(ISNUMBER(SEARCH("HSS Pipe",Z16)))),
_xlpm.HSSPipe,                  OR(ISNUMBER(SEARCH("HSS Pipe",Z16)),ISNUMBER(SEARCH("Pipe",Z16)),ISNUMBER(SEARCH("Pipe",Y16))),
_xlpm.Pipe,                     OR(ISNUMBER(SEARCH("Pipe",Z16)),ISNUMBER(SEARCH("Pipe",Y16))),
_xlpm.SingleAngle,              OR(ISNUMBER(SEARCH("Single Angle",Z16)),AND(ISNUMBER(SEARCH("Angle",Z16)),ISNUMBER(SEARCH("Single",Z16)))),
_xlpm.DoubleAngle,              AND(ISNUMBER(SEARCH("Angle",Z16)),ISNUMBER(SEARCH("Double",Z16))),
_xlpm.RECT,                     OR(ISNUMBER(SEARCH("RECT",Z16)),ISNUMBER(SEARCH("PL",Y16))),
_xlpm.WideFlange,               OR(ISNUMBER(SEARCH("Wide Flange",Z16)),ISNUMBER(SEARCH("Tee",Z16)),ISNUMBER(SEARCH("W",Y16))),
_xlpm.Channel,                  OR(ISNUMBER(SEARCH("Channel",Z16)),ISNUMBER(SEARCH("C",Y16))),
IF(OR(_xlpm.WideFlange, _xlpm.Channel, _xlpm.SingleAngle, _xlpm.DoubleAngle, _xlpm.RECT),
                          INDEX('[2]AISC Database v16.0'!$D:$D,
                          MATCH(Y16,'[2]AISC Database v16.0'!$B:$B,0)),
IF(AND(_xlpm.HSS,NOT(_xlpm.HSSPipe)), INDEX('[2]AISC Database v16.0'!$F:$F,
                          MATCH(Y16,'[2]AISC Database v16.0'!$B:$B,0)),
IF(OR(_xlpm.Pipe, _xlpm.HSSPipe, _xlpm.BAR),
                          INDEX('[2]AISC Database v16.0'!$H:$H,
                          MATCH(Y16,'[2]AISC Database v16.0'!$B:$B,0)),
0)))),0)))</f>
        <v/>
      </c>
      <c r="AC16" s="229" t="str">
        <f>IF(X16="","",
IF(OR(X16="RIGID",X16="GEN1A"), 0,
IFERROR(_xlfn.LET(
_xlpm.BAR,                      OR(ISNUMBER(SEARCH("BAR",Z16)),ISNUMBER(SEARCH("SR",Y16))),
_xlpm.HSS,                      OR(ISNUMBER(SEARCH("HSS",Y16)),ISNUMBER(SEARCH("SquareTube",Z16)),NOT(ISNUMBER(SEARCH("HSS Pipe",Z16)))),
_xlpm.HSSPipe,                  OR(ISNUMBER(SEARCH("HSS Pipe",Z16)),ISNUMBER(SEARCH("Pipe",Z16)),ISNUMBER(SEARCH("Pipe",Y16))),
_xlpm.Pipe,                     OR(ISNUMBER(SEARCH("Pipe",Z16)),ISNUMBER(SEARCH("Pipe",Y16))),
_xlpm.SingleAngle,              OR(ISNUMBER(SEARCH("Single Angle",Z16)),AND(ISNUMBER(SEARCH("Angle",Z16)),ISNUMBER(SEARCH("Single",Z16)))),
_xlpm.DoubleAngle,              AND(ISNUMBER(SEARCH("Angle",Z16)),ISNUMBER(SEARCH("Double",Z16))),
_xlpm.RECT,                     OR(ISNUMBER(SEARCH("RECT",Z16)),ISNUMBER(SEARCH("PL",Y16))),
_xlpm.WideFlange,               OR(ISNUMBER(SEARCH("Wide Flange",Z16)),ISNUMBER(SEARCH("Tee",Z16)),ISNUMBER(SEARCH("W",Y16))),
_xlpm.Channel,                  OR(ISNUMBER(SEARCH("Channel",Z16)),ISNUMBER(SEARCH("C",Y16))),
IF(OR(_xlpm.WideFlange, _xlpm.Channel),
                          INDEX('[2]AISC Database v16.0'!$I:$I,
                          MATCH(Y16,'[2]AISC Database v16.0'!$B:$B,0)),
IF(OR(_xlpm.SingleAngle, _xlpm.DoubleAngle, _xlpm.RECT),
                          INDEX('[2]AISC Database v16.0'!$L:$L,
                          MATCH(Y16,'[2]AISC Database v16.0'!$B:$B,0)),
IF(AND(_xlpm.HSS,NOT(_xlpm.HSSPipe)),
                          INDEX('[2]AISC Database v16.0'!$K:$K,
                          MATCH(Y16,'[2]AISC Database v16.0'!$B:$B,0)),
IF(OR(_xlpm.Pipe, _xlpm.HSSPipe, _xlpm.BAR),
                          INDEX('[2]AISC Database v16.0'!$H:$H,
                          MATCH(Y16,'[2]AISC Database v16.0'!$B:$B,0)),
0))))),0)))</f>
        <v/>
      </c>
      <c r="AD16" s="230" t="str">
        <f>IF(X16="","",
IF(OR(X16="RIGID",X16="GEN1A"), 0,
IFERROR(_xlfn.LET(
_xlpm.BAR,                      OR(ISNUMBER(SEARCH("BAR",Z16)),ISNUMBER(SEARCH("SR",Y16))),
_xlpm.HSS,                      OR(ISNUMBER(SEARCH("HSS",Y16)),ISNUMBER(SEARCH("SquareTube",Z16)),NOT(ISNUMBER(SEARCH("HSS Pipe",Z16)))),
_xlpm.HSSPipe,                  OR(ISNUMBER(SEARCH("HSS Pipe",Z16)),ISNUMBER(SEARCH("Pipe",Z16)),ISNUMBER(SEARCH("Pipe",Y16))),
_xlpm.Pipe,                     OR(ISNUMBER(SEARCH("Pipe",Z16)),ISNUMBER(SEARCH("Pipe",Y16))),
_xlpm.SingleAngle,              OR(ISNUMBER(SEARCH("Single Angle",Z16)),AND(ISNUMBER(SEARCH("Angle",Z16)),ISNUMBER(SEARCH("Single",Z16)))),
_xlpm.DoubleAngle,              AND(ISNUMBER(SEARCH("Angle",Z16)),ISNUMBER(SEARCH("Double",Z16))),
_xlpm.RECT,                     OR(ISNUMBER(SEARCH("RECT",Z16)),ISNUMBER(SEARCH("PL",Y16))),
_xlpm.WideFlange,               OR(ISNUMBER(SEARCH("Wide Flange",Z16)),ISNUMBER(SEARCH("Tee",Z16)),ISNUMBER(SEARCH("W",Y16))),
_xlpm.Channel,                  OR(ISNUMBER(SEARCH("Channel",Z16)),ISNUMBER(SEARCH("C",Y16))),
IF(_xlpm.WideFlange,            INDEX('[2]AISC Database v16.0'!$O:$O,
                          MATCH(Y16,'[2]AISC Database v16.0'!$B:$B,0)),
IF(_xlpm.Channel,               INDEX('[2]AISC Database v16.0'!$O:$O,
                          MATCH(Y16,'[2]AISC Database v16.0'!$B:$B,0)),
IF(_xlpm.BAR,                   INDEX('[2]AISC Database v16.0'!$T:$T,
                          MATCH(Y16,'[2]AISC Database v16.0'!$B:$B,0)),
IF(_xlpm.SingleAngle,           INDEX('[2]AISC Database v16.0'!$T:$T,
                          MATCH(Y16,'[2]AISC Database v16.0'!$B:$B,0)),
IF(_xlpm.DoubleAngle,           INDEX('[2]AISC Database v16.0'!$T:$T,
                          MATCH(Y16,'[2]AISC Database v16.0'!$B:$B,0)),
IF(_xlpm.RECT,                  INDEX('[2]AISC Database v16.0'!$T:$T,
                          MATCH(Y16,'[2]AISC Database v16.0'!$B:$B,0)),
IF(AND(_xlpm.HSS,NOT(_xlpm.HSSPipe)), INDEX('[2]AISC Database v16.0'!$U:$U,
                          MATCH(Y16,'[2]AISC Database v16.0'!$B:$B,0)),
IF(OR(_xlpm.Pipe, _xlpm.HSSPipe),     INDEX('[2]AISC Database v16.0'!$U:$U,
                          MATCH(Y16,'[2]AISC Database v16.0'!$B:$B,0)),
0))))))))),0)))</f>
        <v/>
      </c>
      <c r="AE16" s="230" t="str">
        <f t="shared" si="0"/>
        <v/>
      </c>
      <c r="AF16" s="229" t="str">
        <f>IF(X16="","",
IF(OR(X16="RIGID",X16="GEN1A"), 0,
IFERROR(INDEX('[2]AISC Database v16.0'!$M:$M, MATCH(Y16,'[2]AISC Database v16.0'!$B:$B,0)), 0)))</f>
        <v/>
      </c>
      <c r="AG16" s="229" t="str">
        <f>IF(X16="","",
IF(OR(X16="RIGID",X16="GEN1A"), 0,
IFERROR(INDEX('[2]AISC Database v16.0'!$C:$C, MATCH(Y16,'[2]AISC Database v16.0'!$B:$B,0)), 0)))</f>
        <v/>
      </c>
      <c r="AR16" s="209"/>
      <c r="AS16" s="209">
        <f>+IFERROR(IF(VLOOKUP($B16,$E$6:$K203,6,0)=0,$O16/12*COS(PI()/180*($P16+0))^2,IF(AND(ABS(VLOOKUP($B16,$E$6:$K203,6,0))&gt;0,$P16=0),$O16/12*COS(PI()/180*($P16+0))^2,IF(AND(ABS(VLOOKUP($B16,$E$6:$K203,6,0))&gt;0,ABS($P16)&gt;0),$O16/12*COS(PI()/180*($P16+0))^2))),0)</f>
        <v>0</v>
      </c>
      <c r="AT16" s="209">
        <f>+IFERROR(IF(VLOOKUP($B16,$E$6:$K203,6,0)=0,0,IF(AND(ABS(VLOOKUP($B16,$E$6:$K203,6,0))&gt;0,$P16=0),ABS(VLOOKUP($B16,$E$6:$K203,6,0))*SIN(PI()/180*($P16+0))^2,IF(AND(ABS(VLOOKUP($B16,$E$6:$K203,6,0))&gt;0,ABS($P16)&gt;0),ABS(VLOOKUP($B16,$E$6:$K203,6,0))*SIN(PI()/180*($P16+0))^2))),0)*IF(RISA3D.Unit.Length="in",1/12,1)</f>
        <v>0</v>
      </c>
      <c r="AU16" s="209">
        <f t="shared" si="1"/>
        <v>0</v>
      </c>
      <c r="AV16" s="209">
        <f>+IFERROR(+IF(VLOOKUP($M16,$S$6:$V203,3,0)=VLOOKUP($N16,$S$6:$V203,3,0), ((((($O16/12+(2*0.5/12))*((VLOOKUP($C16,rngR3DSectionSets,5,0)/12)+(2*0.5/12)))-($O16/12*(VLOOKUP($C16,rngR3DSectionSets,5,0)/12)))*1.2*COS(PI()/180*($P16))^2)) + AU16, (((((AS16+(2*0.5/12))*((VLOOKUP($C16,rngR3DSectionSets,5,0)/12)+(2*0.5/12)))-(AS16*(VLOOKUP($C16,rngR3DSectionSets,5,0)/12)))+(((AT16+(2*0.5/12))*((VLOOKUP($C16,rngR3DSectionSets,5,0)/12)+(2*0.5/12)))-(AT16*(VLOOKUP($C16,rngR3DSectionSets,5,0)/12))))*1.2) + AU16),0)</f>
        <v>0</v>
      </c>
      <c r="AW16" s="209">
        <f>+IFERROR(+IF(VLOOKUP($M16,$S$6:$V203,3,0)=VLOOKUP($N16,$S$6:$V203,3,0), ((((($O16/12+(2*1/12))*((VLOOKUP($C16,rngR3DSectionSets,5,0)/12)+(2*1/12)))-($O16/12*(VLOOKUP($C16,rngR3DSectionSets,5,0)/12)))*1.2*COS(PI()/180*($P16))^2)) + AU16, (((((AS16+(2*1/12))*((VLOOKUP($C16,rngR3DSectionSets,5,0)/12)+(2*1/12)))-(AS16*(VLOOKUP($C16,rngR3DSectionSets,5,0)/12)))+(((AT16+(2*1/12))*((VLOOKUP($C16,rngR3DSectionSets,5,0)/12)+(2*1/12)))-(AT16*(VLOOKUP($C16,rngR3DSectionSets,5,0)/12))))*1.2) + AU16),0)</f>
        <v>0</v>
      </c>
      <c r="AX16" s="209">
        <f>+IFERROR(IF(VLOOKUP($B16,$E$6:$K203,6,0)=0,$O16/12*COS(PI()/180*($P16+90))^2,IF(AND(ABS(VLOOKUP($B16,$E$6:$K203,6,0))&gt;0,$P16=0),$O16/12*COS(PI()/180*($P16+90))^2,IF(AND(ABS(VLOOKUP($B16,$E$6:$K203,6,0))&gt;0,ABS($P16)&gt;0),$O16/12*COS(PI()/180*($P16+90))^2))),0)</f>
        <v>0</v>
      </c>
      <c r="AY16" s="209">
        <f>+IFERROR(IF(VLOOKUP($B16,$E$6:$K203,6,0)=0,0,IF(AND(ABS(VLOOKUP($B16,$E$6:$K203,6,0))&gt;0,$P16=0),ABS(VLOOKUP($B16,$E$6:$K203,6,0))*SIN(PI()/180*($P16+90))^2,IF(AND(ABS(VLOOKUP($B16,$E$6:$K203,6,0))&gt;0,ABS($P16)&gt;0),ABS(VLOOKUP($B16,$E$6:$K203,6,0))*SIN(PI()/180*($P16+90))^2))),0)*IF(RISA3D.Unit.Length="in",1/12,1)</f>
        <v>0</v>
      </c>
      <c r="AZ16" s="209">
        <f t="shared" si="2"/>
        <v>0</v>
      </c>
      <c r="BA16" s="209">
        <f>+IFERROR(+IF(VLOOKUP($M16,$S$6:$V203,3,0)=VLOOKUP($N16,$S$6:$V203,3,0), ((((($O16/12+(2*0.5/12))*((VLOOKUP($C16,rngR3DSectionSets,5,0)/12)+(2*0.5/12)))-($O16/12*(VLOOKUP($C16,rngR3DSectionSets,5,0)/12)))*1.2*COS(PI()/180*($P16))^2)) + AZ16, (((((AX16+(2*0.5/12))*((VLOOKUP($C16,rngR3DSectionSets,5,0)/12)+(2*0.5/12)))-(AX16*(VLOOKUP($C16,rngR3DSectionSets,5,0)/12)))+(((AY16+(2*0.5/12))*((VLOOKUP($C16,rngR3DSectionSets,5,0)/12)+(2*0.5/12)))-(AY16*(VLOOKUP($C16,rngR3DSectionSets,5,0)/12))))*1.2) + AZ16),0)</f>
        <v>0</v>
      </c>
      <c r="BB16" s="209">
        <f>+IFERROR(+IF(VLOOKUP($M16,$S$6:$V203,3,0)=VLOOKUP($N16,$S$6:$V203,3,0), ((((($O16/12+(2*1/12))*((VLOOKUP($C16,rngR3DSectionSets,5,0)/12)+(2*1/12)))-($O16/12*(VLOOKUP($C16,rngR3DSectionSets,5,0)/12)))*1.2*COS(PI()/180*($P16))^2)) + AZ16, (((((AX16+(2*1/12))*((VLOOKUP($C16,rngR3DSectionSets,5,0)/12)+(2*1/12)))-(AX16*(VLOOKUP($C16,rngR3DSectionSets,5,0)/12)))+(((AY16+(2*1/12))*((VLOOKUP($C16,rngR3DSectionSets,5,0)/12)+(2*1/12)))-(AY16*(VLOOKUP($C16,rngR3DSectionSets,5,0)/12))))*1.2) + AZ16),0)</f>
        <v>0</v>
      </c>
      <c r="BC16" s="209">
        <f t="shared" si="3"/>
        <v>0</v>
      </c>
      <c r="BD16" s="209">
        <f t="shared" si="4"/>
        <v>0</v>
      </c>
      <c r="BE16" s="209">
        <f t="shared" si="5"/>
        <v>0</v>
      </c>
      <c r="BF16" s="209"/>
      <c r="BG16" s="209"/>
    </row>
    <row r="17" spans="2:59" ht="15" customHeight="1" x14ac:dyDescent="0.2">
      <c r="B17" s="207"/>
      <c r="C17" s="207"/>
      <c r="D17" s="207"/>
      <c r="E17" s="207"/>
      <c r="F17" s="207"/>
      <c r="G17" s="207"/>
      <c r="H17" s="207"/>
      <c r="I17" s="207"/>
      <c r="J17" s="207"/>
      <c r="K17" s="207"/>
      <c r="L17" s="207"/>
      <c r="M17" s="207"/>
      <c r="N17" s="207"/>
      <c r="O17" s="207"/>
      <c r="P17" s="207"/>
      <c r="Q17" s="207"/>
      <c r="R17" s="207"/>
      <c r="S17" s="207"/>
      <c r="T17" s="228"/>
      <c r="U17" s="228"/>
      <c r="V17" s="228"/>
      <c r="X17" s="189"/>
      <c r="Y17" s="189"/>
      <c r="Z17" s="189"/>
      <c r="AA17" s="190"/>
      <c r="AB17" s="229" t="str">
        <f>IF(X17="","",
IF(OR(X17="RIGID",X17="GEN1A"), 0,
IFERROR(_xlfn.LET(
_xlpm.BAR,                      OR(ISNUMBER(SEARCH("BAR",Z17)),ISNUMBER(SEARCH("SR",Y17))),
_xlpm.HSS,                      OR(ISNUMBER(SEARCH("HSS",Y17)),ISNUMBER(SEARCH("SquareTube",Z17)),NOT(ISNUMBER(SEARCH("HSS Pipe",Z17)))),
_xlpm.HSSPipe,                  OR(ISNUMBER(SEARCH("HSS Pipe",Z17)),ISNUMBER(SEARCH("Pipe",Z17)),ISNUMBER(SEARCH("Pipe",Y17))),
_xlpm.Pipe,                     OR(ISNUMBER(SEARCH("Pipe",Z17)),ISNUMBER(SEARCH("Pipe",Y17))),
_xlpm.SingleAngle,              OR(ISNUMBER(SEARCH("Single Angle",Z17)),AND(ISNUMBER(SEARCH("Angle",Z17)),ISNUMBER(SEARCH("Single",Z17)))),
_xlpm.DoubleAngle,              AND(ISNUMBER(SEARCH("Angle",Z17)),ISNUMBER(SEARCH("Double",Z17))),
_xlpm.RECT,                     OR(ISNUMBER(SEARCH("RECT",Z17)),ISNUMBER(SEARCH("PL",Y17))),
_xlpm.WideFlange,               OR(ISNUMBER(SEARCH("Wide Flange",Z17)),ISNUMBER(SEARCH("Tee",Z17)),ISNUMBER(SEARCH("W",Y17))),
_xlpm.Channel,                  OR(ISNUMBER(SEARCH("Channel",Z17)),ISNUMBER(SEARCH("C",Y17))),
IF(OR(_xlpm.WideFlange, _xlpm.Channel, _xlpm.SingleAngle, _xlpm.DoubleAngle, _xlpm.RECT),
                          INDEX('[2]AISC Database v16.0'!$D:$D,
                          MATCH(Y17,'[2]AISC Database v16.0'!$B:$B,0)),
IF(AND(_xlpm.HSS,NOT(_xlpm.HSSPipe)), INDEX('[2]AISC Database v16.0'!$F:$F,
                          MATCH(Y17,'[2]AISC Database v16.0'!$B:$B,0)),
IF(OR(_xlpm.Pipe, _xlpm.HSSPipe, _xlpm.BAR),
                          INDEX('[2]AISC Database v16.0'!$H:$H,
                          MATCH(Y17,'[2]AISC Database v16.0'!$B:$B,0)),
0)))),0)))</f>
        <v/>
      </c>
      <c r="AC17" s="229" t="str">
        <f>IF(X17="","",
IF(OR(X17="RIGID",X17="GEN1A"), 0,
IFERROR(_xlfn.LET(
_xlpm.BAR,                      OR(ISNUMBER(SEARCH("BAR",Z17)),ISNUMBER(SEARCH("SR",Y17))),
_xlpm.HSS,                      OR(ISNUMBER(SEARCH("HSS",Y17)),ISNUMBER(SEARCH("SquareTube",Z17)),NOT(ISNUMBER(SEARCH("HSS Pipe",Z17)))),
_xlpm.HSSPipe,                  OR(ISNUMBER(SEARCH("HSS Pipe",Z17)),ISNUMBER(SEARCH("Pipe",Z17)),ISNUMBER(SEARCH("Pipe",Y17))),
_xlpm.Pipe,                     OR(ISNUMBER(SEARCH("Pipe",Z17)),ISNUMBER(SEARCH("Pipe",Y17))),
_xlpm.SingleAngle,              OR(ISNUMBER(SEARCH("Single Angle",Z17)),AND(ISNUMBER(SEARCH("Angle",Z17)),ISNUMBER(SEARCH("Single",Z17)))),
_xlpm.DoubleAngle,              AND(ISNUMBER(SEARCH("Angle",Z17)),ISNUMBER(SEARCH("Double",Z17))),
_xlpm.RECT,                     OR(ISNUMBER(SEARCH("RECT",Z17)),ISNUMBER(SEARCH("PL",Y17))),
_xlpm.WideFlange,               OR(ISNUMBER(SEARCH("Wide Flange",Z17)),ISNUMBER(SEARCH("Tee",Z17)),ISNUMBER(SEARCH("W",Y17))),
_xlpm.Channel,                  OR(ISNUMBER(SEARCH("Channel",Z17)),ISNUMBER(SEARCH("C",Y17))),
IF(OR(_xlpm.WideFlange, _xlpm.Channel),
                          INDEX('[2]AISC Database v16.0'!$I:$I,
                          MATCH(Y17,'[2]AISC Database v16.0'!$B:$B,0)),
IF(OR(_xlpm.SingleAngle, _xlpm.DoubleAngle, _xlpm.RECT),
                          INDEX('[2]AISC Database v16.0'!$L:$L,
                          MATCH(Y17,'[2]AISC Database v16.0'!$B:$B,0)),
IF(AND(_xlpm.HSS,NOT(_xlpm.HSSPipe)),
                          INDEX('[2]AISC Database v16.0'!$K:$K,
                          MATCH(Y17,'[2]AISC Database v16.0'!$B:$B,0)),
IF(OR(_xlpm.Pipe, _xlpm.HSSPipe, _xlpm.BAR),
                          INDEX('[2]AISC Database v16.0'!$H:$H,
                          MATCH(Y17,'[2]AISC Database v16.0'!$B:$B,0)),
0))))),0)))</f>
        <v/>
      </c>
      <c r="AD17" s="230" t="str">
        <f>IF(X17="","",
IF(OR(X17="RIGID",X17="GEN1A"), 0,
IFERROR(_xlfn.LET(
_xlpm.BAR,                      OR(ISNUMBER(SEARCH("BAR",Z17)),ISNUMBER(SEARCH("SR",Y17))),
_xlpm.HSS,                      OR(ISNUMBER(SEARCH("HSS",Y17)),ISNUMBER(SEARCH("SquareTube",Z17)),NOT(ISNUMBER(SEARCH("HSS Pipe",Z17)))),
_xlpm.HSSPipe,                  OR(ISNUMBER(SEARCH("HSS Pipe",Z17)),ISNUMBER(SEARCH("Pipe",Z17)),ISNUMBER(SEARCH("Pipe",Y17))),
_xlpm.Pipe,                     OR(ISNUMBER(SEARCH("Pipe",Z17)),ISNUMBER(SEARCH("Pipe",Y17))),
_xlpm.SingleAngle,              OR(ISNUMBER(SEARCH("Single Angle",Z17)),AND(ISNUMBER(SEARCH("Angle",Z17)),ISNUMBER(SEARCH("Single",Z17)))),
_xlpm.DoubleAngle,              AND(ISNUMBER(SEARCH("Angle",Z17)),ISNUMBER(SEARCH("Double",Z17))),
_xlpm.RECT,                     OR(ISNUMBER(SEARCH("RECT",Z17)),ISNUMBER(SEARCH("PL",Y17))),
_xlpm.WideFlange,               OR(ISNUMBER(SEARCH("Wide Flange",Z17)),ISNUMBER(SEARCH("Tee",Z17)),ISNUMBER(SEARCH("W",Y17))),
_xlpm.Channel,                  OR(ISNUMBER(SEARCH("Channel",Z17)),ISNUMBER(SEARCH("C",Y17))),
IF(_xlpm.WideFlange,            INDEX('[2]AISC Database v16.0'!$O:$O,
                          MATCH(Y17,'[2]AISC Database v16.0'!$B:$B,0)),
IF(_xlpm.Channel,               INDEX('[2]AISC Database v16.0'!$O:$O,
                          MATCH(Y17,'[2]AISC Database v16.0'!$B:$B,0)),
IF(_xlpm.BAR,                   INDEX('[2]AISC Database v16.0'!$T:$T,
                          MATCH(Y17,'[2]AISC Database v16.0'!$B:$B,0)),
IF(_xlpm.SingleAngle,           INDEX('[2]AISC Database v16.0'!$T:$T,
                          MATCH(Y17,'[2]AISC Database v16.0'!$B:$B,0)),
IF(_xlpm.DoubleAngle,           INDEX('[2]AISC Database v16.0'!$T:$T,
                          MATCH(Y17,'[2]AISC Database v16.0'!$B:$B,0)),
IF(_xlpm.RECT,                  INDEX('[2]AISC Database v16.0'!$T:$T,
                          MATCH(Y17,'[2]AISC Database v16.0'!$B:$B,0)),
IF(AND(_xlpm.HSS,NOT(_xlpm.HSSPipe)), INDEX('[2]AISC Database v16.0'!$U:$U,
                          MATCH(Y17,'[2]AISC Database v16.0'!$B:$B,0)),
IF(OR(_xlpm.Pipe, _xlpm.HSSPipe),     INDEX('[2]AISC Database v16.0'!$U:$U,
                          MATCH(Y17,'[2]AISC Database v16.0'!$B:$B,0)),
0))))))))),0)))</f>
        <v/>
      </c>
      <c r="AE17" s="230" t="str">
        <f t="shared" si="0"/>
        <v/>
      </c>
      <c r="AF17" s="229" t="str">
        <f>IF(X17="","",
IF(OR(X17="RIGID",X17="GEN1A"), 0,
IFERROR(INDEX('[2]AISC Database v16.0'!$M:$M, MATCH(Y17,'[2]AISC Database v16.0'!$B:$B,0)), 0)))</f>
        <v/>
      </c>
      <c r="AG17" s="229" t="str">
        <f>IF(X17="","",
IF(OR(X17="RIGID",X17="GEN1A"), 0,
IFERROR(INDEX('[2]AISC Database v16.0'!$C:$C, MATCH(Y17,'[2]AISC Database v16.0'!$B:$B,0)), 0)))</f>
        <v/>
      </c>
      <c r="AR17" s="209"/>
      <c r="AS17" s="209">
        <f>+IFERROR(IF(VLOOKUP($B17,$E$6:$K203,6,0)=0,$O17/12*COS(PI()/180*($P17+0))^2,IF(AND(ABS(VLOOKUP($B17,$E$6:$K203,6,0))&gt;0,$P17=0),$O17/12*COS(PI()/180*($P17+0))^2,IF(AND(ABS(VLOOKUP($B17,$E$6:$K203,6,0))&gt;0,ABS($P17)&gt;0),$O17/12*COS(PI()/180*($P17+0))^2))),0)</f>
        <v>0</v>
      </c>
      <c r="AT17" s="209">
        <f>+IFERROR(IF(VLOOKUP($B17,$E$6:$K203,6,0)=0,0,IF(AND(ABS(VLOOKUP($B17,$E$6:$K203,6,0))&gt;0,$P17=0),ABS(VLOOKUP($B17,$E$6:$K203,6,0))*SIN(PI()/180*($P17+0))^2,IF(AND(ABS(VLOOKUP($B17,$E$6:$K203,6,0))&gt;0,ABS($P17)&gt;0),ABS(VLOOKUP($B17,$E$6:$K203,6,0))*SIN(PI()/180*($P17+0))^2))),0)*IF(RISA3D.Unit.Length="in",1/12,1)</f>
        <v>0</v>
      </c>
      <c r="AU17" s="209">
        <f t="shared" si="1"/>
        <v>0</v>
      </c>
      <c r="AV17" s="209">
        <f>+IFERROR(+IF(VLOOKUP($M17,$S$6:$V203,3,0)=VLOOKUP($N17,$S$6:$V203,3,0), ((((($O17/12+(2*0.5/12))*((VLOOKUP($C17,rngR3DSectionSets,5,0)/12)+(2*0.5/12)))-($O17/12*(VLOOKUP($C17,rngR3DSectionSets,5,0)/12)))*1.2*COS(PI()/180*($P17))^2)) + AU17, (((((AS17+(2*0.5/12))*((VLOOKUP($C17,rngR3DSectionSets,5,0)/12)+(2*0.5/12)))-(AS17*(VLOOKUP($C17,rngR3DSectionSets,5,0)/12)))+(((AT17+(2*0.5/12))*((VLOOKUP($C17,rngR3DSectionSets,5,0)/12)+(2*0.5/12)))-(AT17*(VLOOKUP($C17,rngR3DSectionSets,5,0)/12))))*1.2) + AU17),0)</f>
        <v>0</v>
      </c>
      <c r="AW17" s="209">
        <f>+IFERROR(+IF(VLOOKUP($M17,$S$6:$V203,3,0)=VLOOKUP($N17,$S$6:$V203,3,0), ((((($O17/12+(2*1/12))*((VLOOKUP($C17,rngR3DSectionSets,5,0)/12)+(2*1/12)))-($O17/12*(VLOOKUP($C17,rngR3DSectionSets,5,0)/12)))*1.2*COS(PI()/180*($P17))^2)) + AU17, (((((AS17+(2*1/12))*((VLOOKUP($C17,rngR3DSectionSets,5,0)/12)+(2*1/12)))-(AS17*(VLOOKUP($C17,rngR3DSectionSets,5,0)/12)))+(((AT17+(2*1/12))*((VLOOKUP($C17,rngR3DSectionSets,5,0)/12)+(2*1/12)))-(AT17*(VLOOKUP($C17,rngR3DSectionSets,5,0)/12))))*1.2) + AU17),0)</f>
        <v>0</v>
      </c>
      <c r="AX17" s="209">
        <f>+IFERROR(IF(VLOOKUP($B17,$E$6:$K203,6,0)=0,$O17/12*COS(PI()/180*($P17+90))^2,IF(AND(ABS(VLOOKUP($B17,$E$6:$K203,6,0))&gt;0,$P17=0),$O17/12*COS(PI()/180*($P17+90))^2,IF(AND(ABS(VLOOKUP($B17,$E$6:$K203,6,0))&gt;0,ABS($P17)&gt;0),$O17/12*COS(PI()/180*($P17+90))^2))),0)</f>
        <v>0</v>
      </c>
      <c r="AY17" s="209">
        <f>+IFERROR(IF(VLOOKUP($B17,$E$6:$K203,6,0)=0,0,IF(AND(ABS(VLOOKUP($B17,$E$6:$K203,6,0))&gt;0,$P17=0),ABS(VLOOKUP($B17,$E$6:$K203,6,0))*SIN(PI()/180*($P17+90))^2,IF(AND(ABS(VLOOKUP($B17,$E$6:$K203,6,0))&gt;0,ABS($P17)&gt;0),ABS(VLOOKUP($B17,$E$6:$K203,6,0))*SIN(PI()/180*($P17+90))^2))),0)*IF(RISA3D.Unit.Length="in",1/12,1)</f>
        <v>0</v>
      </c>
      <c r="AZ17" s="209">
        <f t="shared" si="2"/>
        <v>0</v>
      </c>
      <c r="BA17" s="209">
        <f>+IFERROR(+IF(VLOOKUP($M17,$S$6:$V203,3,0)=VLOOKUP($N17,$S$6:$V203,3,0), ((((($O17/12+(2*0.5/12))*((VLOOKUP($C17,rngR3DSectionSets,5,0)/12)+(2*0.5/12)))-($O17/12*(VLOOKUP($C17,rngR3DSectionSets,5,0)/12)))*1.2*COS(PI()/180*($P17))^2)) + AZ17, (((((AX17+(2*0.5/12))*((VLOOKUP($C17,rngR3DSectionSets,5,0)/12)+(2*0.5/12)))-(AX17*(VLOOKUP($C17,rngR3DSectionSets,5,0)/12)))+(((AY17+(2*0.5/12))*((VLOOKUP($C17,rngR3DSectionSets,5,0)/12)+(2*0.5/12)))-(AY17*(VLOOKUP($C17,rngR3DSectionSets,5,0)/12))))*1.2) + AZ17),0)</f>
        <v>0</v>
      </c>
      <c r="BB17" s="209">
        <f>+IFERROR(+IF(VLOOKUP($M17,$S$6:$V203,3,0)=VLOOKUP($N17,$S$6:$V203,3,0), ((((($O17/12+(2*1/12))*((VLOOKUP($C17,rngR3DSectionSets,5,0)/12)+(2*1/12)))-($O17/12*(VLOOKUP($C17,rngR3DSectionSets,5,0)/12)))*1.2*COS(PI()/180*($P17))^2)) + AZ17, (((((AX17+(2*1/12))*((VLOOKUP($C17,rngR3DSectionSets,5,0)/12)+(2*1/12)))-(AX17*(VLOOKUP($C17,rngR3DSectionSets,5,0)/12)))+(((AY17+(2*1/12))*((VLOOKUP($C17,rngR3DSectionSets,5,0)/12)+(2*1/12)))-(AY17*(VLOOKUP($C17,rngR3DSectionSets,5,0)/12))))*1.2) + AZ17),0)</f>
        <v>0</v>
      </c>
      <c r="BC17" s="209">
        <f t="shared" si="3"/>
        <v>0</v>
      </c>
      <c r="BD17" s="209">
        <f t="shared" si="4"/>
        <v>0</v>
      </c>
      <c r="BE17" s="209">
        <f t="shared" si="5"/>
        <v>0</v>
      </c>
      <c r="BF17" s="209"/>
      <c r="BG17" s="209"/>
    </row>
    <row r="18" spans="2:59" ht="15" customHeight="1" x14ac:dyDescent="0.2">
      <c r="B18" s="207"/>
      <c r="C18" s="207"/>
      <c r="D18" s="207"/>
      <c r="E18" s="207"/>
      <c r="F18" s="207"/>
      <c r="G18" s="207"/>
      <c r="H18" s="207"/>
      <c r="I18" s="207"/>
      <c r="J18" s="207"/>
      <c r="K18" s="207"/>
      <c r="L18" s="207"/>
      <c r="M18" s="207"/>
      <c r="N18" s="207"/>
      <c r="O18" s="207"/>
      <c r="P18" s="207"/>
      <c r="Q18" s="207"/>
      <c r="R18" s="207"/>
      <c r="S18" s="207"/>
      <c r="T18" s="228"/>
      <c r="U18" s="228"/>
      <c r="V18" s="228"/>
      <c r="X18" s="189"/>
      <c r="Y18" s="189"/>
      <c r="Z18" s="189"/>
      <c r="AA18" s="190"/>
      <c r="AB18" s="229" t="str">
        <f>IF(X18="","",
IF(OR(X18="RIGID",X18="GEN1A"), 0,
IFERROR(_xlfn.LET(
_xlpm.BAR,                      OR(ISNUMBER(SEARCH("BAR",Z18)),ISNUMBER(SEARCH("SR",Y18))),
_xlpm.HSS,                      OR(ISNUMBER(SEARCH("HSS",Y18)),ISNUMBER(SEARCH("SquareTube",Z18)),NOT(ISNUMBER(SEARCH("HSS Pipe",Z18)))),
_xlpm.HSSPipe,                  OR(ISNUMBER(SEARCH("HSS Pipe",Z18)),ISNUMBER(SEARCH("Pipe",Z18)),ISNUMBER(SEARCH("Pipe",Y18))),
_xlpm.Pipe,                     OR(ISNUMBER(SEARCH("Pipe",Z18)),ISNUMBER(SEARCH("Pipe",Y18))),
_xlpm.SingleAngle,              OR(ISNUMBER(SEARCH("Single Angle",Z18)),AND(ISNUMBER(SEARCH("Angle",Z18)),ISNUMBER(SEARCH("Single",Z18)))),
_xlpm.DoubleAngle,              AND(ISNUMBER(SEARCH("Angle",Z18)),ISNUMBER(SEARCH("Double",Z18))),
_xlpm.RECT,                     OR(ISNUMBER(SEARCH("RECT",Z18)),ISNUMBER(SEARCH("PL",Y18))),
_xlpm.WideFlange,               OR(ISNUMBER(SEARCH("Wide Flange",Z18)),ISNUMBER(SEARCH("Tee",Z18)),ISNUMBER(SEARCH("W",Y18))),
_xlpm.Channel,                  OR(ISNUMBER(SEARCH("Channel",Z18)),ISNUMBER(SEARCH("C",Y18))),
IF(OR(_xlpm.WideFlange, _xlpm.Channel, _xlpm.SingleAngle, _xlpm.DoubleAngle, _xlpm.RECT),
                          INDEX('[2]AISC Database v16.0'!$D:$D,
                          MATCH(Y18,'[2]AISC Database v16.0'!$B:$B,0)),
IF(AND(_xlpm.HSS,NOT(_xlpm.HSSPipe)), INDEX('[2]AISC Database v16.0'!$F:$F,
                          MATCH(Y18,'[2]AISC Database v16.0'!$B:$B,0)),
IF(OR(_xlpm.Pipe, _xlpm.HSSPipe, _xlpm.BAR),
                          INDEX('[2]AISC Database v16.0'!$H:$H,
                          MATCH(Y18,'[2]AISC Database v16.0'!$B:$B,0)),
0)))),0)))</f>
        <v/>
      </c>
      <c r="AC18" s="229" t="str">
        <f>IF(X18="","",
IF(OR(X18="RIGID",X18="GEN1A"), 0,
IFERROR(_xlfn.LET(
_xlpm.BAR,                      OR(ISNUMBER(SEARCH("BAR",Z18)),ISNUMBER(SEARCH("SR",Y18))),
_xlpm.HSS,                      OR(ISNUMBER(SEARCH("HSS",Y18)),ISNUMBER(SEARCH("SquareTube",Z18)),NOT(ISNUMBER(SEARCH("HSS Pipe",Z18)))),
_xlpm.HSSPipe,                  OR(ISNUMBER(SEARCH("HSS Pipe",Z18)),ISNUMBER(SEARCH("Pipe",Z18)),ISNUMBER(SEARCH("Pipe",Y18))),
_xlpm.Pipe,                     OR(ISNUMBER(SEARCH("Pipe",Z18)),ISNUMBER(SEARCH("Pipe",Y18))),
_xlpm.SingleAngle,              OR(ISNUMBER(SEARCH("Single Angle",Z18)),AND(ISNUMBER(SEARCH("Angle",Z18)),ISNUMBER(SEARCH("Single",Z18)))),
_xlpm.DoubleAngle,              AND(ISNUMBER(SEARCH("Angle",Z18)),ISNUMBER(SEARCH("Double",Z18))),
_xlpm.RECT,                     OR(ISNUMBER(SEARCH("RECT",Z18)),ISNUMBER(SEARCH("PL",Y18))),
_xlpm.WideFlange,               OR(ISNUMBER(SEARCH("Wide Flange",Z18)),ISNUMBER(SEARCH("Tee",Z18)),ISNUMBER(SEARCH("W",Y18))),
_xlpm.Channel,                  OR(ISNUMBER(SEARCH("Channel",Z18)),ISNUMBER(SEARCH("C",Y18))),
IF(OR(_xlpm.WideFlange, _xlpm.Channel),
                          INDEX('[2]AISC Database v16.0'!$I:$I,
                          MATCH(Y18,'[2]AISC Database v16.0'!$B:$B,0)),
IF(OR(_xlpm.SingleAngle, _xlpm.DoubleAngle, _xlpm.RECT),
                          INDEX('[2]AISC Database v16.0'!$L:$L,
                          MATCH(Y18,'[2]AISC Database v16.0'!$B:$B,0)),
IF(AND(_xlpm.HSS,NOT(_xlpm.HSSPipe)),
                          INDEX('[2]AISC Database v16.0'!$K:$K,
                          MATCH(Y18,'[2]AISC Database v16.0'!$B:$B,0)),
IF(OR(_xlpm.Pipe, _xlpm.HSSPipe, _xlpm.BAR),
                          INDEX('[2]AISC Database v16.0'!$H:$H,
                          MATCH(Y18,'[2]AISC Database v16.0'!$B:$B,0)),
0))))),0)))</f>
        <v/>
      </c>
      <c r="AD18" s="230" t="str">
        <f>IF(X18="","",
IF(OR(X18="RIGID",X18="GEN1A"), 0,
IFERROR(_xlfn.LET(
_xlpm.BAR,                      OR(ISNUMBER(SEARCH("BAR",Z18)),ISNUMBER(SEARCH("SR",Y18))),
_xlpm.HSS,                      OR(ISNUMBER(SEARCH("HSS",Y18)),ISNUMBER(SEARCH("SquareTube",Z18)),NOT(ISNUMBER(SEARCH("HSS Pipe",Z18)))),
_xlpm.HSSPipe,                  OR(ISNUMBER(SEARCH("HSS Pipe",Z18)),ISNUMBER(SEARCH("Pipe",Z18)),ISNUMBER(SEARCH("Pipe",Y18))),
_xlpm.Pipe,                     OR(ISNUMBER(SEARCH("Pipe",Z18)),ISNUMBER(SEARCH("Pipe",Y18))),
_xlpm.SingleAngle,              OR(ISNUMBER(SEARCH("Single Angle",Z18)),AND(ISNUMBER(SEARCH("Angle",Z18)),ISNUMBER(SEARCH("Single",Z18)))),
_xlpm.DoubleAngle,              AND(ISNUMBER(SEARCH("Angle",Z18)),ISNUMBER(SEARCH("Double",Z18))),
_xlpm.RECT,                     OR(ISNUMBER(SEARCH("RECT",Z18)),ISNUMBER(SEARCH("PL",Y18))),
_xlpm.WideFlange,               OR(ISNUMBER(SEARCH("Wide Flange",Z18)),ISNUMBER(SEARCH("Tee",Z18)),ISNUMBER(SEARCH("W",Y18))),
_xlpm.Channel,                  OR(ISNUMBER(SEARCH("Channel",Z18)),ISNUMBER(SEARCH("C",Y18))),
IF(_xlpm.WideFlange,            INDEX('[2]AISC Database v16.0'!$O:$O,
                          MATCH(Y18,'[2]AISC Database v16.0'!$B:$B,0)),
IF(_xlpm.Channel,               INDEX('[2]AISC Database v16.0'!$O:$O,
                          MATCH(Y18,'[2]AISC Database v16.0'!$B:$B,0)),
IF(_xlpm.BAR,                   INDEX('[2]AISC Database v16.0'!$T:$T,
                          MATCH(Y18,'[2]AISC Database v16.0'!$B:$B,0)),
IF(_xlpm.SingleAngle,           INDEX('[2]AISC Database v16.0'!$T:$T,
                          MATCH(Y18,'[2]AISC Database v16.0'!$B:$B,0)),
IF(_xlpm.DoubleAngle,           INDEX('[2]AISC Database v16.0'!$T:$T,
                          MATCH(Y18,'[2]AISC Database v16.0'!$B:$B,0)),
IF(_xlpm.RECT,                  INDEX('[2]AISC Database v16.0'!$T:$T,
                          MATCH(Y18,'[2]AISC Database v16.0'!$B:$B,0)),
IF(AND(_xlpm.HSS,NOT(_xlpm.HSSPipe)), INDEX('[2]AISC Database v16.0'!$U:$U,
                          MATCH(Y18,'[2]AISC Database v16.0'!$B:$B,0)),
IF(OR(_xlpm.Pipe, _xlpm.HSSPipe),     INDEX('[2]AISC Database v16.0'!$U:$U,
                          MATCH(Y18,'[2]AISC Database v16.0'!$B:$B,0)),
0))))))))),0)))</f>
        <v/>
      </c>
      <c r="AE18" s="230" t="str">
        <f t="shared" si="0"/>
        <v/>
      </c>
      <c r="AF18" s="229" t="str">
        <f>IF(X18="","",
IF(OR(X18="RIGID",X18="GEN1A"), 0,
IFERROR(INDEX('[2]AISC Database v16.0'!$M:$M, MATCH(Y18,'[2]AISC Database v16.0'!$B:$B,0)), 0)))</f>
        <v/>
      </c>
      <c r="AG18" s="229" t="str">
        <f>IF(X18="","",
IF(OR(X18="RIGID",X18="GEN1A"), 0,
IFERROR(INDEX('[2]AISC Database v16.0'!$C:$C, MATCH(Y18,'[2]AISC Database v16.0'!$B:$B,0)), 0)))</f>
        <v/>
      </c>
      <c r="AR18" s="209"/>
      <c r="AS18" s="209">
        <f>+IFERROR(IF(VLOOKUP($B18,$E$6:$K203,6,0)=0,$O18/12*COS(PI()/180*($P18+0))^2,IF(AND(ABS(VLOOKUP($B18,$E$6:$K203,6,0))&gt;0,$P18=0),$O18/12*COS(PI()/180*($P18+0))^2,IF(AND(ABS(VLOOKUP($B18,$E$6:$K203,6,0))&gt;0,ABS($P18)&gt;0),$O18/12*COS(PI()/180*($P18+0))^2))),0)</f>
        <v>0</v>
      </c>
      <c r="AT18" s="209">
        <f>+IFERROR(IF(VLOOKUP($B18,$E$6:$K203,6,0)=0,0,IF(AND(ABS(VLOOKUP($B18,$E$6:$K203,6,0))&gt;0,$P18=0),ABS(VLOOKUP($B18,$E$6:$K203,6,0))*SIN(PI()/180*($P18+0))^2,IF(AND(ABS(VLOOKUP($B18,$E$6:$K203,6,0))&gt;0,ABS($P18)&gt;0),ABS(VLOOKUP($B18,$E$6:$K203,6,0))*SIN(PI()/180*($P18+0))^2))),0)*IF(RISA3D.Unit.Length="in",1/12,1)</f>
        <v>0</v>
      </c>
      <c r="AU18" s="209">
        <f t="shared" si="1"/>
        <v>0</v>
      </c>
      <c r="AV18" s="209">
        <f>+IFERROR(+IF(VLOOKUP($M18,$S$6:$V203,3,0)=VLOOKUP($N18,$S$6:$V203,3,0), ((((($O18/12+(2*0.5/12))*((VLOOKUP($C18,rngR3DSectionSets,5,0)/12)+(2*0.5/12)))-($O18/12*(VLOOKUP($C18,rngR3DSectionSets,5,0)/12)))*1.2*COS(PI()/180*($P18))^2)) + AU18, (((((AS18+(2*0.5/12))*((VLOOKUP($C18,rngR3DSectionSets,5,0)/12)+(2*0.5/12)))-(AS18*(VLOOKUP($C18,rngR3DSectionSets,5,0)/12)))+(((AT18+(2*0.5/12))*((VLOOKUP($C18,rngR3DSectionSets,5,0)/12)+(2*0.5/12)))-(AT18*(VLOOKUP($C18,rngR3DSectionSets,5,0)/12))))*1.2) + AU18),0)</f>
        <v>0</v>
      </c>
      <c r="AW18" s="209">
        <f>+IFERROR(+IF(VLOOKUP($M18,$S$6:$V203,3,0)=VLOOKUP($N18,$S$6:$V203,3,0), ((((($O18/12+(2*1/12))*((VLOOKUP($C18,rngR3DSectionSets,5,0)/12)+(2*1/12)))-($O18/12*(VLOOKUP($C18,rngR3DSectionSets,5,0)/12)))*1.2*COS(PI()/180*($P18))^2)) + AU18, (((((AS18+(2*1/12))*((VLOOKUP($C18,rngR3DSectionSets,5,0)/12)+(2*1/12)))-(AS18*(VLOOKUP($C18,rngR3DSectionSets,5,0)/12)))+(((AT18+(2*1/12))*((VLOOKUP($C18,rngR3DSectionSets,5,0)/12)+(2*1/12)))-(AT18*(VLOOKUP($C18,rngR3DSectionSets,5,0)/12))))*1.2) + AU18),0)</f>
        <v>0</v>
      </c>
      <c r="AX18" s="209">
        <f>+IFERROR(IF(VLOOKUP($B18,$E$6:$K203,6,0)=0,$O18/12*COS(PI()/180*($P18+90))^2,IF(AND(ABS(VLOOKUP($B18,$E$6:$K203,6,0))&gt;0,$P18=0),$O18/12*COS(PI()/180*($P18+90))^2,IF(AND(ABS(VLOOKUP($B18,$E$6:$K203,6,0))&gt;0,ABS($P18)&gt;0),$O18/12*COS(PI()/180*($P18+90))^2))),0)</f>
        <v>0</v>
      </c>
      <c r="AY18" s="209">
        <f>+IFERROR(IF(VLOOKUP($B18,$E$6:$K203,6,0)=0,0,IF(AND(ABS(VLOOKUP($B18,$E$6:$K203,6,0))&gt;0,$P18=0),ABS(VLOOKUP($B18,$E$6:$K203,6,0))*SIN(PI()/180*($P18+90))^2,IF(AND(ABS(VLOOKUP($B18,$E$6:$K203,6,0))&gt;0,ABS($P18)&gt;0),ABS(VLOOKUP($B18,$E$6:$K203,6,0))*SIN(PI()/180*($P18+90))^2))),0)*IF(RISA3D.Unit.Length="in",1/12,1)</f>
        <v>0</v>
      </c>
      <c r="AZ18" s="209">
        <f t="shared" si="2"/>
        <v>0</v>
      </c>
      <c r="BA18" s="209">
        <f>+IFERROR(+IF(VLOOKUP($M18,$S$6:$V203,3,0)=VLOOKUP($N18,$S$6:$V203,3,0), ((((($O18/12+(2*0.5/12))*((VLOOKUP($C18,rngR3DSectionSets,5,0)/12)+(2*0.5/12)))-($O18/12*(VLOOKUP($C18,rngR3DSectionSets,5,0)/12)))*1.2*COS(PI()/180*($P18))^2)) + AZ18, (((((AX18+(2*0.5/12))*((VLOOKUP($C18,rngR3DSectionSets,5,0)/12)+(2*0.5/12)))-(AX18*(VLOOKUP($C18,rngR3DSectionSets,5,0)/12)))+(((AY18+(2*0.5/12))*((VLOOKUP($C18,rngR3DSectionSets,5,0)/12)+(2*0.5/12)))-(AY18*(VLOOKUP($C18,rngR3DSectionSets,5,0)/12))))*1.2) + AZ18),0)</f>
        <v>0</v>
      </c>
      <c r="BB18" s="209">
        <f>+IFERROR(+IF(VLOOKUP($M18,$S$6:$V203,3,0)=VLOOKUP($N18,$S$6:$V203,3,0), ((((($O18/12+(2*1/12))*((VLOOKUP($C18,rngR3DSectionSets,5,0)/12)+(2*1/12)))-($O18/12*(VLOOKUP($C18,rngR3DSectionSets,5,0)/12)))*1.2*COS(PI()/180*($P18))^2)) + AZ18, (((((AX18+(2*1/12))*((VLOOKUP($C18,rngR3DSectionSets,5,0)/12)+(2*1/12)))-(AX18*(VLOOKUP($C18,rngR3DSectionSets,5,0)/12)))+(((AY18+(2*1/12))*((VLOOKUP($C18,rngR3DSectionSets,5,0)/12)+(2*1/12)))-(AY18*(VLOOKUP($C18,rngR3DSectionSets,5,0)/12))))*1.2) + AZ18),0)</f>
        <v>0</v>
      </c>
      <c r="BC18" s="209">
        <f t="shared" si="3"/>
        <v>0</v>
      </c>
      <c r="BD18" s="209">
        <f t="shared" si="4"/>
        <v>0</v>
      </c>
      <c r="BE18" s="209">
        <f t="shared" si="5"/>
        <v>0</v>
      </c>
      <c r="BF18" s="209"/>
      <c r="BG18" s="209"/>
    </row>
    <row r="19" spans="2:59" ht="15" customHeight="1" x14ac:dyDescent="0.2">
      <c r="B19" s="207"/>
      <c r="C19" s="207"/>
      <c r="D19" s="207"/>
      <c r="E19" s="207"/>
      <c r="F19" s="207"/>
      <c r="G19" s="207"/>
      <c r="H19" s="207"/>
      <c r="I19" s="207"/>
      <c r="J19" s="207"/>
      <c r="K19" s="207"/>
      <c r="L19" s="207"/>
      <c r="M19" s="207"/>
      <c r="N19" s="207"/>
      <c r="O19" s="207"/>
      <c r="P19" s="207"/>
      <c r="Q19" s="207"/>
      <c r="R19" s="207"/>
      <c r="S19" s="207"/>
      <c r="T19" s="228"/>
      <c r="U19" s="228"/>
      <c r="V19" s="228"/>
      <c r="X19" s="189"/>
      <c r="Y19" s="189"/>
      <c r="Z19" s="189"/>
      <c r="AA19" s="190"/>
      <c r="AB19" s="229" t="str">
        <f>IF(X19="","",
IF(OR(X19="RIGID",X19="GEN1A"), 0,
IFERROR(_xlfn.LET(
_xlpm.BAR,                      OR(ISNUMBER(SEARCH("BAR",Z19)),ISNUMBER(SEARCH("SR",Y19))),
_xlpm.HSS,                      OR(ISNUMBER(SEARCH("HSS",Y19)),ISNUMBER(SEARCH("SquareTube",Z19)),NOT(ISNUMBER(SEARCH("HSS Pipe",Z19)))),
_xlpm.HSSPipe,                  OR(ISNUMBER(SEARCH("HSS Pipe",Z19)),ISNUMBER(SEARCH("Pipe",Z19)),ISNUMBER(SEARCH("Pipe",Y19))),
_xlpm.Pipe,                     OR(ISNUMBER(SEARCH("Pipe",Z19)),ISNUMBER(SEARCH("Pipe",Y19))),
_xlpm.SingleAngle,              OR(ISNUMBER(SEARCH("Single Angle",Z19)),AND(ISNUMBER(SEARCH("Angle",Z19)),ISNUMBER(SEARCH("Single",Z19)))),
_xlpm.DoubleAngle,              AND(ISNUMBER(SEARCH("Angle",Z19)),ISNUMBER(SEARCH("Double",Z19))),
_xlpm.RECT,                     OR(ISNUMBER(SEARCH("RECT",Z19)),ISNUMBER(SEARCH("PL",Y19))),
_xlpm.WideFlange,               OR(ISNUMBER(SEARCH("Wide Flange",Z19)),ISNUMBER(SEARCH("Tee",Z19)),ISNUMBER(SEARCH("W",Y19))),
_xlpm.Channel,                  OR(ISNUMBER(SEARCH("Channel",Z19)),ISNUMBER(SEARCH("C",Y19))),
IF(OR(_xlpm.WideFlange, _xlpm.Channel, _xlpm.SingleAngle, _xlpm.DoubleAngle, _xlpm.RECT),
                          INDEX('[2]AISC Database v16.0'!$D:$D,
                          MATCH(Y19,'[2]AISC Database v16.0'!$B:$B,0)),
IF(AND(_xlpm.HSS,NOT(_xlpm.HSSPipe)), INDEX('[2]AISC Database v16.0'!$F:$F,
                          MATCH(Y19,'[2]AISC Database v16.0'!$B:$B,0)),
IF(OR(_xlpm.Pipe, _xlpm.HSSPipe, _xlpm.BAR),
                          INDEX('[2]AISC Database v16.0'!$H:$H,
                          MATCH(Y19,'[2]AISC Database v16.0'!$B:$B,0)),
0)))),0)))</f>
        <v/>
      </c>
      <c r="AC19" s="229" t="str">
        <f>IF(X19="","",
IF(OR(X19="RIGID",X19="GEN1A"), 0,
IFERROR(_xlfn.LET(
_xlpm.BAR,                      OR(ISNUMBER(SEARCH("BAR",Z19)),ISNUMBER(SEARCH("SR",Y19))),
_xlpm.HSS,                      OR(ISNUMBER(SEARCH("HSS",Y19)),ISNUMBER(SEARCH("SquareTube",Z19)),NOT(ISNUMBER(SEARCH("HSS Pipe",Z19)))),
_xlpm.HSSPipe,                  OR(ISNUMBER(SEARCH("HSS Pipe",Z19)),ISNUMBER(SEARCH("Pipe",Z19)),ISNUMBER(SEARCH("Pipe",Y19))),
_xlpm.Pipe,                     OR(ISNUMBER(SEARCH("Pipe",Z19)),ISNUMBER(SEARCH("Pipe",Y19))),
_xlpm.SingleAngle,              OR(ISNUMBER(SEARCH("Single Angle",Z19)),AND(ISNUMBER(SEARCH("Angle",Z19)),ISNUMBER(SEARCH("Single",Z19)))),
_xlpm.DoubleAngle,              AND(ISNUMBER(SEARCH("Angle",Z19)),ISNUMBER(SEARCH("Double",Z19))),
_xlpm.RECT,                     OR(ISNUMBER(SEARCH("RECT",Z19)),ISNUMBER(SEARCH("PL",Y19))),
_xlpm.WideFlange,               OR(ISNUMBER(SEARCH("Wide Flange",Z19)),ISNUMBER(SEARCH("Tee",Z19)),ISNUMBER(SEARCH("W",Y19))),
_xlpm.Channel,                  OR(ISNUMBER(SEARCH("Channel",Z19)),ISNUMBER(SEARCH("C",Y19))),
IF(OR(_xlpm.WideFlange, _xlpm.Channel),
                          INDEX('[2]AISC Database v16.0'!$I:$I,
                          MATCH(Y19,'[2]AISC Database v16.0'!$B:$B,0)),
IF(OR(_xlpm.SingleAngle, _xlpm.DoubleAngle, _xlpm.RECT),
                          INDEX('[2]AISC Database v16.0'!$L:$L,
                          MATCH(Y19,'[2]AISC Database v16.0'!$B:$B,0)),
IF(AND(_xlpm.HSS,NOT(_xlpm.HSSPipe)),
                          INDEX('[2]AISC Database v16.0'!$K:$K,
                          MATCH(Y19,'[2]AISC Database v16.0'!$B:$B,0)),
IF(OR(_xlpm.Pipe, _xlpm.HSSPipe, _xlpm.BAR),
                          INDEX('[2]AISC Database v16.0'!$H:$H,
                          MATCH(Y19,'[2]AISC Database v16.0'!$B:$B,0)),
0))))),0)))</f>
        <v/>
      </c>
      <c r="AD19" s="230" t="str">
        <f>IF(X19="","",
IF(OR(X19="RIGID",X19="GEN1A"), 0,
IFERROR(_xlfn.LET(
_xlpm.BAR,                      OR(ISNUMBER(SEARCH("BAR",Z19)),ISNUMBER(SEARCH("SR",Y19))),
_xlpm.HSS,                      OR(ISNUMBER(SEARCH("HSS",Y19)),ISNUMBER(SEARCH("SquareTube",Z19)),NOT(ISNUMBER(SEARCH("HSS Pipe",Z19)))),
_xlpm.HSSPipe,                  OR(ISNUMBER(SEARCH("HSS Pipe",Z19)),ISNUMBER(SEARCH("Pipe",Z19)),ISNUMBER(SEARCH("Pipe",Y19))),
_xlpm.Pipe,                     OR(ISNUMBER(SEARCH("Pipe",Z19)),ISNUMBER(SEARCH("Pipe",Y19))),
_xlpm.SingleAngle,              OR(ISNUMBER(SEARCH("Single Angle",Z19)),AND(ISNUMBER(SEARCH("Angle",Z19)),ISNUMBER(SEARCH("Single",Z19)))),
_xlpm.DoubleAngle,              AND(ISNUMBER(SEARCH("Angle",Z19)),ISNUMBER(SEARCH("Double",Z19))),
_xlpm.RECT,                     OR(ISNUMBER(SEARCH("RECT",Z19)),ISNUMBER(SEARCH("PL",Y19))),
_xlpm.WideFlange,               OR(ISNUMBER(SEARCH("Wide Flange",Z19)),ISNUMBER(SEARCH("Tee",Z19)),ISNUMBER(SEARCH("W",Y19))),
_xlpm.Channel,                  OR(ISNUMBER(SEARCH("Channel",Z19)),ISNUMBER(SEARCH("C",Y19))),
IF(_xlpm.WideFlange,            INDEX('[2]AISC Database v16.0'!$O:$O,
                          MATCH(Y19,'[2]AISC Database v16.0'!$B:$B,0)),
IF(_xlpm.Channel,               INDEX('[2]AISC Database v16.0'!$O:$O,
                          MATCH(Y19,'[2]AISC Database v16.0'!$B:$B,0)),
IF(_xlpm.BAR,                   INDEX('[2]AISC Database v16.0'!$T:$T,
                          MATCH(Y19,'[2]AISC Database v16.0'!$B:$B,0)),
IF(_xlpm.SingleAngle,           INDEX('[2]AISC Database v16.0'!$T:$T,
                          MATCH(Y19,'[2]AISC Database v16.0'!$B:$B,0)),
IF(_xlpm.DoubleAngle,           INDEX('[2]AISC Database v16.0'!$T:$T,
                          MATCH(Y19,'[2]AISC Database v16.0'!$B:$B,0)),
IF(_xlpm.RECT,                  INDEX('[2]AISC Database v16.0'!$T:$T,
                          MATCH(Y19,'[2]AISC Database v16.0'!$B:$B,0)),
IF(AND(_xlpm.HSS,NOT(_xlpm.HSSPipe)), INDEX('[2]AISC Database v16.0'!$U:$U,
                          MATCH(Y19,'[2]AISC Database v16.0'!$B:$B,0)),
IF(OR(_xlpm.Pipe, _xlpm.HSSPipe),     INDEX('[2]AISC Database v16.0'!$U:$U,
                          MATCH(Y19,'[2]AISC Database v16.0'!$B:$B,0)),
0))))))))),0)))</f>
        <v/>
      </c>
      <c r="AE19" s="230" t="str">
        <f t="shared" si="0"/>
        <v/>
      </c>
      <c r="AF19" s="229" t="str">
        <f>IF(X19="","",
IF(OR(X19="RIGID",X19="GEN1A"), 0,
IFERROR(INDEX('[2]AISC Database v16.0'!$M:$M, MATCH(Y19,'[2]AISC Database v16.0'!$B:$B,0)), 0)))</f>
        <v/>
      </c>
      <c r="AG19" s="229" t="str">
        <f>IF(X19="","",
IF(OR(X19="RIGID",X19="GEN1A"), 0,
IFERROR(INDEX('[2]AISC Database v16.0'!$C:$C, MATCH(Y19,'[2]AISC Database v16.0'!$B:$B,0)), 0)))</f>
        <v/>
      </c>
      <c r="AR19" s="209"/>
      <c r="AS19" s="209">
        <f>+IFERROR(IF(VLOOKUP($B19,$E$6:$K203,6,0)=0,$O19/12*COS(PI()/180*($P19+0))^2,IF(AND(ABS(VLOOKUP($B19,$E$6:$K203,6,0))&gt;0,$P19=0),$O19/12*COS(PI()/180*($P19+0))^2,IF(AND(ABS(VLOOKUP($B19,$E$6:$K203,6,0))&gt;0,ABS($P19)&gt;0),$O19/12*COS(PI()/180*($P19+0))^2))),0)</f>
        <v>0</v>
      </c>
      <c r="AT19" s="209">
        <f>+IFERROR(IF(VLOOKUP($B19,$E$6:$K203,6,0)=0,0,IF(AND(ABS(VLOOKUP($B19,$E$6:$K203,6,0))&gt;0,$P19=0),ABS(VLOOKUP($B19,$E$6:$K203,6,0))*SIN(PI()/180*($P19+0))^2,IF(AND(ABS(VLOOKUP($B19,$E$6:$K203,6,0))&gt;0,ABS($P19)&gt;0),ABS(VLOOKUP($B19,$E$6:$K203,6,0))*SIN(PI()/180*($P19+0))^2))),0)*IF(RISA3D.Unit.Length="in",1/12,1)</f>
        <v>0</v>
      </c>
      <c r="AU19" s="209">
        <f t="shared" si="1"/>
        <v>0</v>
      </c>
      <c r="AV19" s="209">
        <f>+IFERROR(+IF(VLOOKUP($M19,$S$6:$V203,3,0)=VLOOKUP($N19,$S$6:$V203,3,0), ((((($O19/12+(2*0.5/12))*((VLOOKUP($C19,rngR3DSectionSets,5,0)/12)+(2*0.5/12)))-($O19/12*(VLOOKUP($C19,rngR3DSectionSets,5,0)/12)))*1.2*COS(PI()/180*($P19))^2)) + AU19, (((((AS19+(2*0.5/12))*((VLOOKUP($C19,rngR3DSectionSets,5,0)/12)+(2*0.5/12)))-(AS19*(VLOOKUP($C19,rngR3DSectionSets,5,0)/12)))+(((AT19+(2*0.5/12))*((VLOOKUP($C19,rngR3DSectionSets,5,0)/12)+(2*0.5/12)))-(AT19*(VLOOKUP($C19,rngR3DSectionSets,5,0)/12))))*1.2) + AU19),0)</f>
        <v>0</v>
      </c>
      <c r="AW19" s="209">
        <f>+IFERROR(+IF(VLOOKUP($M19,$S$6:$V203,3,0)=VLOOKUP($N19,$S$6:$V203,3,0), ((((($O19/12+(2*1/12))*((VLOOKUP($C19,rngR3DSectionSets,5,0)/12)+(2*1/12)))-($O19/12*(VLOOKUP($C19,rngR3DSectionSets,5,0)/12)))*1.2*COS(PI()/180*($P19))^2)) + AU19, (((((AS19+(2*1/12))*((VLOOKUP($C19,rngR3DSectionSets,5,0)/12)+(2*1/12)))-(AS19*(VLOOKUP($C19,rngR3DSectionSets,5,0)/12)))+(((AT19+(2*1/12))*((VLOOKUP($C19,rngR3DSectionSets,5,0)/12)+(2*1/12)))-(AT19*(VLOOKUP($C19,rngR3DSectionSets,5,0)/12))))*1.2) + AU19),0)</f>
        <v>0</v>
      </c>
      <c r="AX19" s="209">
        <f>+IFERROR(IF(VLOOKUP($B19,$E$6:$K203,6,0)=0,$O19/12*COS(PI()/180*($P19+90))^2,IF(AND(ABS(VLOOKUP($B19,$E$6:$K203,6,0))&gt;0,$P19=0),$O19/12*COS(PI()/180*($P19+90))^2,IF(AND(ABS(VLOOKUP($B19,$E$6:$K203,6,0))&gt;0,ABS($P19)&gt;0),$O19/12*COS(PI()/180*($P19+90))^2))),0)</f>
        <v>0</v>
      </c>
      <c r="AY19" s="209">
        <f>+IFERROR(IF(VLOOKUP($B19,$E$6:$K203,6,0)=0,0,IF(AND(ABS(VLOOKUP($B19,$E$6:$K203,6,0))&gt;0,$P19=0),ABS(VLOOKUP($B19,$E$6:$K203,6,0))*SIN(PI()/180*($P19+90))^2,IF(AND(ABS(VLOOKUP($B19,$E$6:$K203,6,0))&gt;0,ABS($P19)&gt;0),ABS(VLOOKUP($B19,$E$6:$K203,6,0))*SIN(PI()/180*($P19+90))^2))),0)*IF(RISA3D.Unit.Length="in",1/12,1)</f>
        <v>0</v>
      </c>
      <c r="AZ19" s="209">
        <f t="shared" si="2"/>
        <v>0</v>
      </c>
      <c r="BA19" s="209">
        <f>+IFERROR(+IF(VLOOKUP($M19,$S$6:$V203,3,0)=VLOOKUP($N19,$S$6:$V203,3,0), ((((($O19/12+(2*0.5/12))*((VLOOKUP($C19,rngR3DSectionSets,5,0)/12)+(2*0.5/12)))-($O19/12*(VLOOKUP($C19,rngR3DSectionSets,5,0)/12)))*1.2*COS(PI()/180*($P19))^2)) + AZ19, (((((AX19+(2*0.5/12))*((VLOOKUP($C19,rngR3DSectionSets,5,0)/12)+(2*0.5/12)))-(AX19*(VLOOKUP($C19,rngR3DSectionSets,5,0)/12)))+(((AY19+(2*0.5/12))*((VLOOKUP($C19,rngR3DSectionSets,5,0)/12)+(2*0.5/12)))-(AY19*(VLOOKUP($C19,rngR3DSectionSets,5,0)/12))))*1.2) + AZ19),0)</f>
        <v>0</v>
      </c>
      <c r="BB19" s="209">
        <f>+IFERROR(+IF(VLOOKUP($M19,$S$6:$V203,3,0)=VLOOKUP($N19,$S$6:$V203,3,0), ((((($O19/12+(2*1/12))*((VLOOKUP($C19,rngR3DSectionSets,5,0)/12)+(2*1/12)))-($O19/12*(VLOOKUP($C19,rngR3DSectionSets,5,0)/12)))*1.2*COS(PI()/180*($P19))^2)) + AZ19, (((((AX19+(2*1/12))*((VLOOKUP($C19,rngR3DSectionSets,5,0)/12)+(2*1/12)))-(AX19*(VLOOKUP($C19,rngR3DSectionSets,5,0)/12)))+(((AY19+(2*1/12))*((VLOOKUP($C19,rngR3DSectionSets,5,0)/12)+(2*1/12)))-(AY19*(VLOOKUP($C19,rngR3DSectionSets,5,0)/12))))*1.2) + AZ19),0)</f>
        <v>0</v>
      </c>
      <c r="BC19" s="209">
        <f t="shared" si="3"/>
        <v>0</v>
      </c>
      <c r="BD19" s="209">
        <f t="shared" si="4"/>
        <v>0</v>
      </c>
      <c r="BE19" s="209">
        <f t="shared" si="5"/>
        <v>0</v>
      </c>
      <c r="BF19" s="209"/>
      <c r="BG19" s="209"/>
    </row>
    <row r="20" spans="2:59" ht="15" customHeight="1" x14ac:dyDescent="0.2">
      <c r="B20" s="207"/>
      <c r="C20" s="207"/>
      <c r="D20" s="207"/>
      <c r="E20" s="207"/>
      <c r="F20" s="207"/>
      <c r="G20" s="207"/>
      <c r="H20" s="207"/>
      <c r="I20" s="207"/>
      <c r="J20" s="207"/>
      <c r="K20" s="207"/>
      <c r="L20" s="207"/>
      <c r="M20" s="207"/>
      <c r="N20" s="207"/>
      <c r="O20" s="207"/>
      <c r="P20" s="207"/>
      <c r="Q20" s="207"/>
      <c r="R20" s="207"/>
      <c r="S20" s="207"/>
      <c r="T20" s="228"/>
      <c r="U20" s="228"/>
      <c r="V20" s="228"/>
      <c r="X20" s="189"/>
      <c r="Y20" s="189"/>
      <c r="Z20" s="189"/>
      <c r="AA20" s="190"/>
      <c r="AB20" s="229" t="str">
        <f>IF(X20="","",
IF(OR(X20="RIGID",X20="GEN1A"), 0,
IFERROR(_xlfn.LET(
_xlpm.BAR,                      OR(ISNUMBER(SEARCH("BAR",Z20)),ISNUMBER(SEARCH("SR",Y20))),
_xlpm.HSS,                      OR(ISNUMBER(SEARCH("HSS",Y20)),ISNUMBER(SEARCH("SquareTube",Z20)),NOT(ISNUMBER(SEARCH("HSS Pipe",Z20)))),
_xlpm.HSSPipe,                  OR(ISNUMBER(SEARCH("HSS Pipe",Z20)),ISNUMBER(SEARCH("Pipe",Z20)),ISNUMBER(SEARCH("Pipe",Y20))),
_xlpm.Pipe,                     OR(ISNUMBER(SEARCH("Pipe",Z20)),ISNUMBER(SEARCH("Pipe",Y20))),
_xlpm.SingleAngle,              OR(ISNUMBER(SEARCH("Single Angle",Z20)),AND(ISNUMBER(SEARCH("Angle",Z20)),ISNUMBER(SEARCH("Single",Z20)))),
_xlpm.DoubleAngle,              AND(ISNUMBER(SEARCH("Angle",Z20)),ISNUMBER(SEARCH("Double",Z20))),
_xlpm.RECT,                     OR(ISNUMBER(SEARCH("RECT",Z20)),ISNUMBER(SEARCH("PL",Y20))),
_xlpm.WideFlange,               OR(ISNUMBER(SEARCH("Wide Flange",Z20)),ISNUMBER(SEARCH("Tee",Z20)),ISNUMBER(SEARCH("W",Y20))),
_xlpm.Channel,                  OR(ISNUMBER(SEARCH("Channel",Z20)),ISNUMBER(SEARCH("C",Y20))),
IF(OR(_xlpm.WideFlange, _xlpm.Channel, _xlpm.SingleAngle, _xlpm.DoubleAngle, _xlpm.RECT),
                          INDEX('[2]AISC Database v16.0'!$D:$D,
                          MATCH(Y20,'[2]AISC Database v16.0'!$B:$B,0)),
IF(AND(_xlpm.HSS,NOT(_xlpm.HSSPipe)), INDEX('[2]AISC Database v16.0'!$F:$F,
                          MATCH(Y20,'[2]AISC Database v16.0'!$B:$B,0)),
IF(OR(_xlpm.Pipe, _xlpm.HSSPipe, _xlpm.BAR),
                          INDEX('[2]AISC Database v16.0'!$H:$H,
                          MATCH(Y20,'[2]AISC Database v16.0'!$B:$B,0)),
0)))),0)))</f>
        <v/>
      </c>
      <c r="AC20" s="229" t="str">
        <f>IF(X20="","",
IF(OR(X20="RIGID",X20="GEN1A"), 0,
IFERROR(_xlfn.LET(
_xlpm.BAR,                      OR(ISNUMBER(SEARCH("BAR",Z20)),ISNUMBER(SEARCH("SR",Y20))),
_xlpm.HSS,                      OR(ISNUMBER(SEARCH("HSS",Y20)),ISNUMBER(SEARCH("SquareTube",Z20)),NOT(ISNUMBER(SEARCH("HSS Pipe",Z20)))),
_xlpm.HSSPipe,                  OR(ISNUMBER(SEARCH("HSS Pipe",Z20)),ISNUMBER(SEARCH("Pipe",Z20)),ISNUMBER(SEARCH("Pipe",Y20))),
_xlpm.Pipe,                     OR(ISNUMBER(SEARCH("Pipe",Z20)),ISNUMBER(SEARCH("Pipe",Y20))),
_xlpm.SingleAngle,              OR(ISNUMBER(SEARCH("Single Angle",Z20)),AND(ISNUMBER(SEARCH("Angle",Z20)),ISNUMBER(SEARCH("Single",Z20)))),
_xlpm.DoubleAngle,              AND(ISNUMBER(SEARCH("Angle",Z20)),ISNUMBER(SEARCH("Double",Z20))),
_xlpm.RECT,                     OR(ISNUMBER(SEARCH("RECT",Z20)),ISNUMBER(SEARCH("PL",Y20))),
_xlpm.WideFlange,               OR(ISNUMBER(SEARCH("Wide Flange",Z20)),ISNUMBER(SEARCH("Tee",Z20)),ISNUMBER(SEARCH("W",Y20))),
_xlpm.Channel,                  OR(ISNUMBER(SEARCH("Channel",Z20)),ISNUMBER(SEARCH("C",Y20))),
IF(OR(_xlpm.WideFlange, _xlpm.Channel),
                          INDEX('[2]AISC Database v16.0'!$I:$I,
                          MATCH(Y20,'[2]AISC Database v16.0'!$B:$B,0)),
IF(OR(_xlpm.SingleAngle, _xlpm.DoubleAngle, _xlpm.RECT),
                          INDEX('[2]AISC Database v16.0'!$L:$L,
                          MATCH(Y20,'[2]AISC Database v16.0'!$B:$B,0)),
IF(AND(_xlpm.HSS,NOT(_xlpm.HSSPipe)),
                          INDEX('[2]AISC Database v16.0'!$K:$K,
                          MATCH(Y20,'[2]AISC Database v16.0'!$B:$B,0)),
IF(OR(_xlpm.Pipe, _xlpm.HSSPipe, _xlpm.BAR),
                          INDEX('[2]AISC Database v16.0'!$H:$H,
                          MATCH(Y20,'[2]AISC Database v16.0'!$B:$B,0)),
0))))),0)))</f>
        <v/>
      </c>
      <c r="AD20" s="230" t="str">
        <f>IF(X20="","",
IF(OR(X20="RIGID",X20="GEN1A"), 0,
IFERROR(_xlfn.LET(
_xlpm.BAR,                      OR(ISNUMBER(SEARCH("BAR",Z20)),ISNUMBER(SEARCH("SR",Y20))),
_xlpm.HSS,                      OR(ISNUMBER(SEARCH("HSS",Y20)),ISNUMBER(SEARCH("SquareTube",Z20)),NOT(ISNUMBER(SEARCH("HSS Pipe",Z20)))),
_xlpm.HSSPipe,                  OR(ISNUMBER(SEARCH("HSS Pipe",Z20)),ISNUMBER(SEARCH("Pipe",Z20)),ISNUMBER(SEARCH("Pipe",Y20))),
_xlpm.Pipe,                     OR(ISNUMBER(SEARCH("Pipe",Z20)),ISNUMBER(SEARCH("Pipe",Y20))),
_xlpm.SingleAngle,              OR(ISNUMBER(SEARCH("Single Angle",Z20)),AND(ISNUMBER(SEARCH("Angle",Z20)),ISNUMBER(SEARCH("Single",Z20)))),
_xlpm.DoubleAngle,              AND(ISNUMBER(SEARCH("Angle",Z20)),ISNUMBER(SEARCH("Double",Z20))),
_xlpm.RECT,                     OR(ISNUMBER(SEARCH("RECT",Z20)),ISNUMBER(SEARCH("PL",Y20))),
_xlpm.WideFlange,               OR(ISNUMBER(SEARCH("Wide Flange",Z20)),ISNUMBER(SEARCH("Tee",Z20)),ISNUMBER(SEARCH("W",Y20))),
_xlpm.Channel,                  OR(ISNUMBER(SEARCH("Channel",Z20)),ISNUMBER(SEARCH("C",Y20))),
IF(_xlpm.WideFlange,            INDEX('[2]AISC Database v16.0'!$O:$O,
                          MATCH(Y20,'[2]AISC Database v16.0'!$B:$B,0)),
IF(_xlpm.Channel,               INDEX('[2]AISC Database v16.0'!$O:$O,
                          MATCH(Y20,'[2]AISC Database v16.0'!$B:$B,0)),
IF(_xlpm.BAR,                   INDEX('[2]AISC Database v16.0'!$T:$T,
                          MATCH(Y20,'[2]AISC Database v16.0'!$B:$B,0)),
IF(_xlpm.SingleAngle,           INDEX('[2]AISC Database v16.0'!$T:$T,
                          MATCH(Y20,'[2]AISC Database v16.0'!$B:$B,0)),
IF(_xlpm.DoubleAngle,           INDEX('[2]AISC Database v16.0'!$T:$T,
                          MATCH(Y20,'[2]AISC Database v16.0'!$B:$B,0)),
IF(_xlpm.RECT,                  INDEX('[2]AISC Database v16.0'!$T:$T,
                          MATCH(Y20,'[2]AISC Database v16.0'!$B:$B,0)),
IF(AND(_xlpm.HSS,NOT(_xlpm.HSSPipe)), INDEX('[2]AISC Database v16.0'!$U:$U,
                          MATCH(Y20,'[2]AISC Database v16.0'!$B:$B,0)),
IF(OR(_xlpm.Pipe, _xlpm.HSSPipe),     INDEX('[2]AISC Database v16.0'!$U:$U,
                          MATCH(Y20,'[2]AISC Database v16.0'!$B:$B,0)),
0))))))))),0)))</f>
        <v/>
      </c>
      <c r="AE20" s="230" t="str">
        <f t="shared" si="0"/>
        <v/>
      </c>
      <c r="AF20" s="229" t="str">
        <f>IF(X20="","",
IF(OR(X20="RIGID",X20="GEN1A"), 0,
IFERROR(INDEX('[2]AISC Database v16.0'!$M:$M, MATCH(Y20,'[2]AISC Database v16.0'!$B:$B,0)), 0)))</f>
        <v/>
      </c>
      <c r="AG20" s="229" t="str">
        <f>IF(X20="","",
IF(OR(X20="RIGID",X20="GEN1A"), 0,
IFERROR(INDEX('[2]AISC Database v16.0'!$C:$C, MATCH(Y20,'[2]AISC Database v16.0'!$B:$B,0)), 0)))</f>
        <v/>
      </c>
      <c r="AR20" s="209"/>
      <c r="AS20" s="209">
        <f>+IFERROR(IF(VLOOKUP($B20,$E$6:$K203,6,0)=0,$O20/12*COS(PI()/180*($P20+0))^2,IF(AND(ABS(VLOOKUP($B20,$E$6:$K203,6,0))&gt;0,$P20=0),$O20/12*COS(PI()/180*($P20+0))^2,IF(AND(ABS(VLOOKUP($B20,$E$6:$K203,6,0))&gt;0,ABS($P20)&gt;0),$O20/12*COS(PI()/180*($P20+0))^2))),0)</f>
        <v>0</v>
      </c>
      <c r="AT20" s="209">
        <f>+IFERROR(IF(VLOOKUP($B20,$E$6:$K203,6,0)=0,0,IF(AND(ABS(VLOOKUP($B20,$E$6:$K203,6,0))&gt;0,$P20=0),ABS(VLOOKUP($B20,$E$6:$K203,6,0))*SIN(PI()/180*($P20+0))^2,IF(AND(ABS(VLOOKUP($B20,$E$6:$K203,6,0))&gt;0,ABS($P20)&gt;0),ABS(VLOOKUP($B20,$E$6:$K203,6,0))*SIN(PI()/180*($P20+0))^2))),0)*IF(RISA3D.Unit.Length="in",1/12,1)</f>
        <v>0</v>
      </c>
      <c r="AU20" s="209">
        <f t="shared" si="1"/>
        <v>0</v>
      </c>
      <c r="AV20" s="209">
        <f>+IFERROR(+IF(VLOOKUP($M20,$S$6:$V203,3,0)=VLOOKUP($N20,$S$6:$V203,3,0), ((((($O20/12+(2*0.5/12))*((VLOOKUP($C20,rngR3DSectionSets,5,0)/12)+(2*0.5/12)))-($O20/12*(VLOOKUP($C20,rngR3DSectionSets,5,0)/12)))*1.2*COS(PI()/180*($P20))^2)) + AU20, (((((AS20+(2*0.5/12))*((VLOOKUP($C20,rngR3DSectionSets,5,0)/12)+(2*0.5/12)))-(AS20*(VLOOKUP($C20,rngR3DSectionSets,5,0)/12)))+(((AT20+(2*0.5/12))*((VLOOKUP($C20,rngR3DSectionSets,5,0)/12)+(2*0.5/12)))-(AT20*(VLOOKUP($C20,rngR3DSectionSets,5,0)/12))))*1.2) + AU20),0)</f>
        <v>0</v>
      </c>
      <c r="AW20" s="209">
        <f>+IFERROR(+IF(VLOOKUP($M20,$S$6:$V203,3,0)=VLOOKUP($N20,$S$6:$V203,3,0), ((((($O20/12+(2*1/12))*((VLOOKUP($C20,rngR3DSectionSets,5,0)/12)+(2*1/12)))-($O20/12*(VLOOKUP($C20,rngR3DSectionSets,5,0)/12)))*1.2*COS(PI()/180*($P20))^2)) + AU20, (((((AS20+(2*1/12))*((VLOOKUP($C20,rngR3DSectionSets,5,0)/12)+(2*1/12)))-(AS20*(VLOOKUP($C20,rngR3DSectionSets,5,0)/12)))+(((AT20+(2*1/12))*((VLOOKUP($C20,rngR3DSectionSets,5,0)/12)+(2*1/12)))-(AT20*(VLOOKUP($C20,rngR3DSectionSets,5,0)/12))))*1.2) + AU20),0)</f>
        <v>0</v>
      </c>
      <c r="AX20" s="209">
        <f>+IFERROR(IF(VLOOKUP($B20,$E$6:$K203,6,0)=0,$O20/12*COS(PI()/180*($P20+90))^2,IF(AND(ABS(VLOOKUP($B20,$E$6:$K203,6,0))&gt;0,$P20=0),$O20/12*COS(PI()/180*($P20+90))^2,IF(AND(ABS(VLOOKUP($B20,$E$6:$K203,6,0))&gt;0,ABS($P20)&gt;0),$O20/12*COS(PI()/180*($P20+90))^2))),0)</f>
        <v>0</v>
      </c>
      <c r="AY20" s="209">
        <f>+IFERROR(IF(VLOOKUP($B20,$E$6:$K203,6,0)=0,0,IF(AND(ABS(VLOOKUP($B20,$E$6:$K203,6,0))&gt;0,$P20=0),ABS(VLOOKUP($B20,$E$6:$K203,6,0))*SIN(PI()/180*($P20+90))^2,IF(AND(ABS(VLOOKUP($B20,$E$6:$K203,6,0))&gt;0,ABS($P20)&gt;0),ABS(VLOOKUP($B20,$E$6:$K203,6,0))*SIN(PI()/180*($P20+90))^2))),0)*IF(RISA3D.Unit.Length="in",1/12,1)</f>
        <v>0</v>
      </c>
      <c r="AZ20" s="209">
        <f t="shared" si="2"/>
        <v>0</v>
      </c>
      <c r="BA20" s="209">
        <f>+IFERROR(+IF(VLOOKUP($M20,$S$6:$V203,3,0)=VLOOKUP($N20,$S$6:$V203,3,0), ((((($O20/12+(2*0.5/12))*((VLOOKUP($C20,rngR3DSectionSets,5,0)/12)+(2*0.5/12)))-($O20/12*(VLOOKUP($C20,rngR3DSectionSets,5,0)/12)))*1.2*COS(PI()/180*($P20))^2)) + AZ20, (((((AX20+(2*0.5/12))*((VLOOKUP($C20,rngR3DSectionSets,5,0)/12)+(2*0.5/12)))-(AX20*(VLOOKUP($C20,rngR3DSectionSets,5,0)/12)))+(((AY20+(2*0.5/12))*((VLOOKUP($C20,rngR3DSectionSets,5,0)/12)+(2*0.5/12)))-(AY20*(VLOOKUP($C20,rngR3DSectionSets,5,0)/12))))*1.2) + AZ20),0)</f>
        <v>0</v>
      </c>
      <c r="BB20" s="209">
        <f>+IFERROR(+IF(VLOOKUP($M20,$S$6:$V203,3,0)=VLOOKUP($N20,$S$6:$V203,3,0), ((((($O20/12+(2*1/12))*((VLOOKUP($C20,rngR3DSectionSets,5,0)/12)+(2*1/12)))-($O20/12*(VLOOKUP($C20,rngR3DSectionSets,5,0)/12)))*1.2*COS(PI()/180*($P20))^2)) + AZ20, (((((AX20+(2*1/12))*((VLOOKUP($C20,rngR3DSectionSets,5,0)/12)+(2*1/12)))-(AX20*(VLOOKUP($C20,rngR3DSectionSets,5,0)/12)))+(((AY20+(2*1/12))*((VLOOKUP($C20,rngR3DSectionSets,5,0)/12)+(2*1/12)))-(AY20*(VLOOKUP($C20,rngR3DSectionSets,5,0)/12))))*1.2) + AZ20),0)</f>
        <v>0</v>
      </c>
      <c r="BC20" s="209">
        <f t="shared" si="3"/>
        <v>0</v>
      </c>
      <c r="BD20" s="209">
        <f t="shared" si="4"/>
        <v>0</v>
      </c>
      <c r="BE20" s="209">
        <f t="shared" si="5"/>
        <v>0</v>
      </c>
      <c r="BF20" s="209"/>
      <c r="BG20" s="209"/>
    </row>
    <row r="21" spans="2:59" ht="15" customHeight="1" x14ac:dyDescent="0.2">
      <c r="B21" s="207"/>
      <c r="C21" s="207"/>
      <c r="D21" s="207"/>
      <c r="E21" s="207"/>
      <c r="F21" s="207"/>
      <c r="G21" s="207"/>
      <c r="H21" s="207"/>
      <c r="I21" s="207"/>
      <c r="J21" s="207"/>
      <c r="K21" s="207"/>
      <c r="L21" s="207"/>
      <c r="M21" s="207"/>
      <c r="N21" s="207"/>
      <c r="O21" s="207"/>
      <c r="P21" s="207"/>
      <c r="Q21" s="207"/>
      <c r="R21" s="207"/>
      <c r="S21" s="207"/>
      <c r="T21" s="228"/>
      <c r="U21" s="228"/>
      <c r="V21" s="228"/>
      <c r="X21" s="189"/>
      <c r="Y21" s="189"/>
      <c r="Z21" s="189"/>
      <c r="AA21" s="190"/>
      <c r="AB21" s="229" t="str">
        <f>IF(X21="","",
IF(OR(X21="RIGID",X21="GEN1A"), 0,
IFERROR(_xlfn.LET(
_xlpm.BAR,                      OR(ISNUMBER(SEARCH("BAR",Z21)),ISNUMBER(SEARCH("SR",Y21))),
_xlpm.HSS,                      OR(ISNUMBER(SEARCH("HSS",Y21)),ISNUMBER(SEARCH("SquareTube",Z21)),NOT(ISNUMBER(SEARCH("HSS Pipe",Z21)))),
_xlpm.HSSPipe,                  OR(ISNUMBER(SEARCH("HSS Pipe",Z21)),ISNUMBER(SEARCH("Pipe",Z21)),ISNUMBER(SEARCH("Pipe",Y21))),
_xlpm.Pipe,                     OR(ISNUMBER(SEARCH("Pipe",Z21)),ISNUMBER(SEARCH("Pipe",Y21))),
_xlpm.SingleAngle,              OR(ISNUMBER(SEARCH("Single Angle",Z21)),AND(ISNUMBER(SEARCH("Angle",Z21)),ISNUMBER(SEARCH("Single",Z21)))),
_xlpm.DoubleAngle,              AND(ISNUMBER(SEARCH("Angle",Z21)),ISNUMBER(SEARCH("Double",Z21))),
_xlpm.RECT,                     OR(ISNUMBER(SEARCH("RECT",Z21)),ISNUMBER(SEARCH("PL",Y21))),
_xlpm.WideFlange,               OR(ISNUMBER(SEARCH("Wide Flange",Z21)),ISNUMBER(SEARCH("Tee",Z21)),ISNUMBER(SEARCH("W",Y21))),
_xlpm.Channel,                  OR(ISNUMBER(SEARCH("Channel",Z21)),ISNUMBER(SEARCH("C",Y21))),
IF(OR(_xlpm.WideFlange, _xlpm.Channel, _xlpm.SingleAngle, _xlpm.DoubleAngle, _xlpm.RECT),
                          INDEX('[2]AISC Database v16.0'!$D:$D,
                          MATCH(Y21,'[2]AISC Database v16.0'!$B:$B,0)),
IF(AND(_xlpm.HSS,NOT(_xlpm.HSSPipe)), INDEX('[2]AISC Database v16.0'!$F:$F,
                          MATCH(Y21,'[2]AISC Database v16.0'!$B:$B,0)),
IF(OR(_xlpm.Pipe, _xlpm.HSSPipe, _xlpm.BAR),
                          INDEX('[2]AISC Database v16.0'!$H:$H,
                          MATCH(Y21,'[2]AISC Database v16.0'!$B:$B,0)),
0)))),0)))</f>
        <v/>
      </c>
      <c r="AC21" s="229" t="str">
        <f>IF(X21="","",
IF(OR(X21="RIGID",X21="GEN1A"), 0,
IFERROR(_xlfn.LET(
_xlpm.BAR,                      OR(ISNUMBER(SEARCH("BAR",Z21)),ISNUMBER(SEARCH("SR",Y21))),
_xlpm.HSS,                      OR(ISNUMBER(SEARCH("HSS",Y21)),ISNUMBER(SEARCH("SquareTube",Z21)),NOT(ISNUMBER(SEARCH("HSS Pipe",Z21)))),
_xlpm.HSSPipe,                  OR(ISNUMBER(SEARCH("HSS Pipe",Z21)),ISNUMBER(SEARCH("Pipe",Z21)),ISNUMBER(SEARCH("Pipe",Y21))),
_xlpm.Pipe,                     OR(ISNUMBER(SEARCH("Pipe",Z21)),ISNUMBER(SEARCH("Pipe",Y21))),
_xlpm.SingleAngle,              OR(ISNUMBER(SEARCH("Single Angle",Z21)),AND(ISNUMBER(SEARCH("Angle",Z21)),ISNUMBER(SEARCH("Single",Z21)))),
_xlpm.DoubleAngle,              AND(ISNUMBER(SEARCH("Angle",Z21)),ISNUMBER(SEARCH("Double",Z21))),
_xlpm.RECT,                     OR(ISNUMBER(SEARCH("RECT",Z21)),ISNUMBER(SEARCH("PL",Y21))),
_xlpm.WideFlange,               OR(ISNUMBER(SEARCH("Wide Flange",Z21)),ISNUMBER(SEARCH("Tee",Z21)),ISNUMBER(SEARCH("W",Y21))),
_xlpm.Channel,                  OR(ISNUMBER(SEARCH("Channel",Z21)),ISNUMBER(SEARCH("C",Y21))),
IF(OR(_xlpm.WideFlange, _xlpm.Channel),
                          INDEX('[2]AISC Database v16.0'!$I:$I,
                          MATCH(Y21,'[2]AISC Database v16.0'!$B:$B,0)),
IF(OR(_xlpm.SingleAngle, _xlpm.DoubleAngle, _xlpm.RECT),
                          INDEX('[2]AISC Database v16.0'!$L:$L,
                          MATCH(Y21,'[2]AISC Database v16.0'!$B:$B,0)),
IF(AND(_xlpm.HSS,NOT(_xlpm.HSSPipe)),
                          INDEX('[2]AISC Database v16.0'!$K:$K,
                          MATCH(Y21,'[2]AISC Database v16.0'!$B:$B,0)),
IF(OR(_xlpm.Pipe, _xlpm.HSSPipe, _xlpm.BAR),
                          INDEX('[2]AISC Database v16.0'!$H:$H,
                          MATCH(Y21,'[2]AISC Database v16.0'!$B:$B,0)),
0))))),0)))</f>
        <v/>
      </c>
      <c r="AD21" s="230" t="str">
        <f>IF(X21="","",
IF(OR(X21="RIGID",X21="GEN1A"), 0,
IFERROR(_xlfn.LET(
_xlpm.BAR,                      OR(ISNUMBER(SEARCH("BAR",Z21)),ISNUMBER(SEARCH("SR",Y21))),
_xlpm.HSS,                      OR(ISNUMBER(SEARCH("HSS",Y21)),ISNUMBER(SEARCH("SquareTube",Z21)),NOT(ISNUMBER(SEARCH("HSS Pipe",Z21)))),
_xlpm.HSSPipe,                  OR(ISNUMBER(SEARCH("HSS Pipe",Z21)),ISNUMBER(SEARCH("Pipe",Z21)),ISNUMBER(SEARCH("Pipe",Y21))),
_xlpm.Pipe,                     OR(ISNUMBER(SEARCH("Pipe",Z21)),ISNUMBER(SEARCH("Pipe",Y21))),
_xlpm.SingleAngle,              OR(ISNUMBER(SEARCH("Single Angle",Z21)),AND(ISNUMBER(SEARCH("Angle",Z21)),ISNUMBER(SEARCH("Single",Z21)))),
_xlpm.DoubleAngle,              AND(ISNUMBER(SEARCH("Angle",Z21)),ISNUMBER(SEARCH("Double",Z21))),
_xlpm.RECT,                     OR(ISNUMBER(SEARCH("RECT",Z21)),ISNUMBER(SEARCH("PL",Y21))),
_xlpm.WideFlange,               OR(ISNUMBER(SEARCH("Wide Flange",Z21)),ISNUMBER(SEARCH("Tee",Z21)),ISNUMBER(SEARCH("W",Y21))),
_xlpm.Channel,                  OR(ISNUMBER(SEARCH("Channel",Z21)),ISNUMBER(SEARCH("C",Y21))),
IF(_xlpm.WideFlange,            INDEX('[2]AISC Database v16.0'!$O:$O,
                          MATCH(Y21,'[2]AISC Database v16.0'!$B:$B,0)),
IF(_xlpm.Channel,               INDEX('[2]AISC Database v16.0'!$O:$O,
                          MATCH(Y21,'[2]AISC Database v16.0'!$B:$B,0)),
IF(_xlpm.BAR,                   INDEX('[2]AISC Database v16.0'!$T:$T,
                          MATCH(Y21,'[2]AISC Database v16.0'!$B:$B,0)),
IF(_xlpm.SingleAngle,           INDEX('[2]AISC Database v16.0'!$T:$T,
                          MATCH(Y21,'[2]AISC Database v16.0'!$B:$B,0)),
IF(_xlpm.DoubleAngle,           INDEX('[2]AISC Database v16.0'!$T:$T,
                          MATCH(Y21,'[2]AISC Database v16.0'!$B:$B,0)),
IF(_xlpm.RECT,                  INDEX('[2]AISC Database v16.0'!$T:$T,
                          MATCH(Y21,'[2]AISC Database v16.0'!$B:$B,0)),
IF(AND(_xlpm.HSS,NOT(_xlpm.HSSPipe)), INDEX('[2]AISC Database v16.0'!$U:$U,
                          MATCH(Y21,'[2]AISC Database v16.0'!$B:$B,0)),
IF(OR(_xlpm.Pipe, _xlpm.HSSPipe),     INDEX('[2]AISC Database v16.0'!$U:$U,
                          MATCH(Y21,'[2]AISC Database v16.0'!$B:$B,0)),
0))))))))),0)))</f>
        <v/>
      </c>
      <c r="AE21" s="230" t="str">
        <f t="shared" si="0"/>
        <v/>
      </c>
      <c r="AF21" s="229" t="str">
        <f>IF(X21="","",
IF(OR(X21="RIGID",X21="GEN1A"), 0,
IFERROR(INDEX('[2]AISC Database v16.0'!$M:$M, MATCH(Y21,'[2]AISC Database v16.0'!$B:$B,0)), 0)))</f>
        <v/>
      </c>
      <c r="AG21" s="229" t="str">
        <f>IF(X21="","",
IF(OR(X21="RIGID",X21="GEN1A"), 0,
IFERROR(INDEX('[2]AISC Database v16.0'!$C:$C, MATCH(Y21,'[2]AISC Database v16.0'!$B:$B,0)), 0)))</f>
        <v/>
      </c>
      <c r="AR21" s="209"/>
      <c r="AS21" s="209">
        <f>+IFERROR(IF(VLOOKUP($B21,$E$6:$K203,6,0)=0,$O21/12*COS(PI()/180*($P21+0))^2,IF(AND(ABS(VLOOKUP($B21,$E$6:$K203,6,0))&gt;0,$P21=0),$O21/12*COS(PI()/180*($P21+0))^2,IF(AND(ABS(VLOOKUP($B21,$E$6:$K203,6,0))&gt;0,ABS($P21)&gt;0),$O21/12*COS(PI()/180*($P21+0))^2))),0)</f>
        <v>0</v>
      </c>
      <c r="AT21" s="209">
        <f>+IFERROR(IF(VLOOKUP($B21,$E$6:$K203,6,0)=0,0,IF(AND(ABS(VLOOKUP($B21,$E$6:$K203,6,0))&gt;0,$P21=0),ABS(VLOOKUP($B21,$E$6:$K203,6,0))*SIN(PI()/180*($P21+0))^2,IF(AND(ABS(VLOOKUP($B21,$E$6:$K203,6,0))&gt;0,ABS($P21)&gt;0),ABS(VLOOKUP($B21,$E$6:$K203,6,0))*SIN(PI()/180*($P21+0))^2))),0)*IF(RISA3D.Unit.Length="in",1/12,1)</f>
        <v>0</v>
      </c>
      <c r="AU21" s="209">
        <f t="shared" si="1"/>
        <v>0</v>
      </c>
      <c r="AV21" s="209">
        <f>+IFERROR(+IF(VLOOKUP($M21,$S$6:$V203,3,0)=VLOOKUP($N21,$S$6:$V203,3,0), ((((($O21/12+(2*0.5/12))*((VLOOKUP($C21,rngR3DSectionSets,5,0)/12)+(2*0.5/12)))-($O21/12*(VLOOKUP($C21,rngR3DSectionSets,5,0)/12)))*1.2*COS(PI()/180*($P21))^2)) + AU21, (((((AS21+(2*0.5/12))*((VLOOKUP($C21,rngR3DSectionSets,5,0)/12)+(2*0.5/12)))-(AS21*(VLOOKUP($C21,rngR3DSectionSets,5,0)/12)))+(((AT21+(2*0.5/12))*((VLOOKUP($C21,rngR3DSectionSets,5,0)/12)+(2*0.5/12)))-(AT21*(VLOOKUP($C21,rngR3DSectionSets,5,0)/12))))*1.2) + AU21),0)</f>
        <v>0</v>
      </c>
      <c r="AW21" s="209">
        <f>+IFERROR(+IF(VLOOKUP($M21,$S$6:$V203,3,0)=VLOOKUP($N21,$S$6:$V203,3,0), ((((($O21/12+(2*1/12))*((VLOOKUP($C21,rngR3DSectionSets,5,0)/12)+(2*1/12)))-($O21/12*(VLOOKUP($C21,rngR3DSectionSets,5,0)/12)))*1.2*COS(PI()/180*($P21))^2)) + AU21, (((((AS21+(2*1/12))*((VLOOKUP($C21,rngR3DSectionSets,5,0)/12)+(2*1/12)))-(AS21*(VLOOKUP($C21,rngR3DSectionSets,5,0)/12)))+(((AT21+(2*1/12))*((VLOOKUP($C21,rngR3DSectionSets,5,0)/12)+(2*1/12)))-(AT21*(VLOOKUP($C21,rngR3DSectionSets,5,0)/12))))*1.2) + AU21),0)</f>
        <v>0</v>
      </c>
      <c r="AX21" s="209">
        <f>+IFERROR(IF(VLOOKUP($B21,$E$6:$K203,6,0)=0,$O21/12*COS(PI()/180*($P21+90))^2,IF(AND(ABS(VLOOKUP($B21,$E$6:$K203,6,0))&gt;0,$P21=0),$O21/12*COS(PI()/180*($P21+90))^2,IF(AND(ABS(VLOOKUP($B21,$E$6:$K203,6,0))&gt;0,ABS($P21)&gt;0),$O21/12*COS(PI()/180*($P21+90))^2))),0)</f>
        <v>0</v>
      </c>
      <c r="AY21" s="209">
        <f>+IFERROR(IF(VLOOKUP($B21,$E$6:$K203,6,0)=0,0,IF(AND(ABS(VLOOKUP($B21,$E$6:$K203,6,0))&gt;0,$P21=0),ABS(VLOOKUP($B21,$E$6:$K203,6,0))*SIN(PI()/180*($P21+90))^2,IF(AND(ABS(VLOOKUP($B21,$E$6:$K203,6,0))&gt;0,ABS($P21)&gt;0),ABS(VLOOKUP($B21,$E$6:$K203,6,0))*SIN(PI()/180*($P21+90))^2))),0)*IF(RISA3D.Unit.Length="in",1/12,1)</f>
        <v>0</v>
      </c>
      <c r="AZ21" s="209">
        <f t="shared" si="2"/>
        <v>0</v>
      </c>
      <c r="BA21" s="209">
        <f>+IFERROR(+IF(VLOOKUP($M21,$S$6:$V203,3,0)=VLOOKUP($N21,$S$6:$V203,3,0), ((((($O21/12+(2*0.5/12))*((VLOOKUP($C21,rngR3DSectionSets,5,0)/12)+(2*0.5/12)))-($O21/12*(VLOOKUP($C21,rngR3DSectionSets,5,0)/12)))*1.2*COS(PI()/180*($P21))^2)) + AZ21, (((((AX21+(2*0.5/12))*((VLOOKUP($C21,rngR3DSectionSets,5,0)/12)+(2*0.5/12)))-(AX21*(VLOOKUP($C21,rngR3DSectionSets,5,0)/12)))+(((AY21+(2*0.5/12))*((VLOOKUP($C21,rngR3DSectionSets,5,0)/12)+(2*0.5/12)))-(AY21*(VLOOKUP($C21,rngR3DSectionSets,5,0)/12))))*1.2) + AZ21),0)</f>
        <v>0</v>
      </c>
      <c r="BB21" s="209">
        <f>+IFERROR(+IF(VLOOKUP($M21,$S$6:$V203,3,0)=VLOOKUP($N21,$S$6:$V203,3,0), ((((($O21/12+(2*1/12))*((VLOOKUP($C21,rngR3DSectionSets,5,0)/12)+(2*1/12)))-($O21/12*(VLOOKUP($C21,rngR3DSectionSets,5,0)/12)))*1.2*COS(PI()/180*($P21))^2)) + AZ21, (((((AX21+(2*1/12))*((VLOOKUP($C21,rngR3DSectionSets,5,0)/12)+(2*1/12)))-(AX21*(VLOOKUP($C21,rngR3DSectionSets,5,0)/12)))+(((AY21+(2*1/12))*((VLOOKUP($C21,rngR3DSectionSets,5,0)/12)+(2*1/12)))-(AY21*(VLOOKUP($C21,rngR3DSectionSets,5,0)/12))))*1.2) + AZ21),0)</f>
        <v>0</v>
      </c>
      <c r="BC21" s="209">
        <f t="shared" si="3"/>
        <v>0</v>
      </c>
      <c r="BD21" s="209">
        <f t="shared" si="4"/>
        <v>0</v>
      </c>
      <c r="BE21" s="209">
        <f t="shared" si="5"/>
        <v>0</v>
      </c>
      <c r="BF21" s="209"/>
      <c r="BG21" s="209"/>
    </row>
    <row r="22" spans="2:59" ht="15" customHeight="1" x14ac:dyDescent="0.2">
      <c r="B22" s="207"/>
      <c r="C22" s="207"/>
      <c r="D22" s="207"/>
      <c r="E22" s="207"/>
      <c r="F22" s="207"/>
      <c r="G22" s="207"/>
      <c r="H22" s="207"/>
      <c r="I22" s="207"/>
      <c r="J22" s="207"/>
      <c r="K22" s="207"/>
      <c r="L22" s="207"/>
      <c r="M22" s="207"/>
      <c r="N22" s="207"/>
      <c r="O22" s="207"/>
      <c r="P22" s="207"/>
      <c r="Q22" s="207"/>
      <c r="R22" s="207"/>
      <c r="S22" s="207"/>
      <c r="T22" s="228"/>
      <c r="U22" s="228"/>
      <c r="V22" s="228"/>
      <c r="X22" s="189"/>
      <c r="Y22" s="189"/>
      <c r="Z22" s="189"/>
      <c r="AA22" s="190"/>
      <c r="AB22" s="229" t="str">
        <f>IF(X22="","",
IF(OR(X22="RIGID",X22="GEN1A"), 0,
IFERROR(_xlfn.LET(
_xlpm.BAR,                      OR(ISNUMBER(SEARCH("BAR",Z22)),ISNUMBER(SEARCH("SR",Y22))),
_xlpm.HSS,                      OR(ISNUMBER(SEARCH("HSS",Y22)),ISNUMBER(SEARCH("SquareTube",Z22)),NOT(ISNUMBER(SEARCH("HSS Pipe",Z22)))),
_xlpm.HSSPipe,                  OR(ISNUMBER(SEARCH("HSS Pipe",Z22)),ISNUMBER(SEARCH("Pipe",Z22)),ISNUMBER(SEARCH("Pipe",Y22))),
_xlpm.Pipe,                     OR(ISNUMBER(SEARCH("Pipe",Z22)),ISNUMBER(SEARCH("Pipe",Y22))),
_xlpm.SingleAngle,              OR(ISNUMBER(SEARCH("Single Angle",Z22)),AND(ISNUMBER(SEARCH("Angle",Z22)),ISNUMBER(SEARCH("Single",Z22)))),
_xlpm.DoubleAngle,              AND(ISNUMBER(SEARCH("Angle",Z22)),ISNUMBER(SEARCH("Double",Z22))),
_xlpm.RECT,                     OR(ISNUMBER(SEARCH("RECT",Z22)),ISNUMBER(SEARCH("PL",Y22))),
_xlpm.WideFlange,               OR(ISNUMBER(SEARCH("Wide Flange",Z22)),ISNUMBER(SEARCH("Tee",Z22)),ISNUMBER(SEARCH("W",Y22))),
_xlpm.Channel,                  OR(ISNUMBER(SEARCH("Channel",Z22)),ISNUMBER(SEARCH("C",Y22))),
IF(OR(_xlpm.WideFlange, _xlpm.Channel, _xlpm.SingleAngle, _xlpm.DoubleAngle, _xlpm.RECT),
                          INDEX('[2]AISC Database v16.0'!$D:$D,
                          MATCH(Y22,'[2]AISC Database v16.0'!$B:$B,0)),
IF(AND(_xlpm.HSS,NOT(_xlpm.HSSPipe)), INDEX('[2]AISC Database v16.0'!$F:$F,
                          MATCH(Y22,'[2]AISC Database v16.0'!$B:$B,0)),
IF(OR(_xlpm.Pipe, _xlpm.HSSPipe, _xlpm.BAR),
                          INDEX('[2]AISC Database v16.0'!$H:$H,
                          MATCH(Y22,'[2]AISC Database v16.0'!$B:$B,0)),
0)))),0)))</f>
        <v/>
      </c>
      <c r="AC22" s="229" t="str">
        <f>IF(X22="","",
IF(OR(X22="RIGID",X22="GEN1A"), 0,
IFERROR(_xlfn.LET(
_xlpm.BAR,                      OR(ISNUMBER(SEARCH("BAR",Z22)),ISNUMBER(SEARCH("SR",Y22))),
_xlpm.HSS,                      OR(ISNUMBER(SEARCH("HSS",Y22)),ISNUMBER(SEARCH("SquareTube",Z22)),NOT(ISNUMBER(SEARCH("HSS Pipe",Z22)))),
_xlpm.HSSPipe,                  OR(ISNUMBER(SEARCH("HSS Pipe",Z22)),ISNUMBER(SEARCH("Pipe",Z22)),ISNUMBER(SEARCH("Pipe",Y22))),
_xlpm.Pipe,                     OR(ISNUMBER(SEARCH("Pipe",Z22)),ISNUMBER(SEARCH("Pipe",Y22))),
_xlpm.SingleAngle,              OR(ISNUMBER(SEARCH("Single Angle",Z22)),AND(ISNUMBER(SEARCH("Angle",Z22)),ISNUMBER(SEARCH("Single",Z22)))),
_xlpm.DoubleAngle,              AND(ISNUMBER(SEARCH("Angle",Z22)),ISNUMBER(SEARCH("Double",Z22))),
_xlpm.RECT,                     OR(ISNUMBER(SEARCH("RECT",Z22)),ISNUMBER(SEARCH("PL",Y22))),
_xlpm.WideFlange,               OR(ISNUMBER(SEARCH("Wide Flange",Z22)),ISNUMBER(SEARCH("Tee",Z22)),ISNUMBER(SEARCH("W",Y22))),
_xlpm.Channel,                  OR(ISNUMBER(SEARCH("Channel",Z22)),ISNUMBER(SEARCH("C",Y22))),
IF(OR(_xlpm.WideFlange, _xlpm.Channel),
                          INDEX('[2]AISC Database v16.0'!$I:$I,
                          MATCH(Y22,'[2]AISC Database v16.0'!$B:$B,0)),
IF(OR(_xlpm.SingleAngle, _xlpm.DoubleAngle, _xlpm.RECT),
                          INDEX('[2]AISC Database v16.0'!$L:$L,
                          MATCH(Y22,'[2]AISC Database v16.0'!$B:$B,0)),
IF(AND(_xlpm.HSS,NOT(_xlpm.HSSPipe)),
                          INDEX('[2]AISC Database v16.0'!$K:$K,
                          MATCH(Y22,'[2]AISC Database v16.0'!$B:$B,0)),
IF(OR(_xlpm.Pipe, _xlpm.HSSPipe, _xlpm.BAR),
                          INDEX('[2]AISC Database v16.0'!$H:$H,
                          MATCH(Y22,'[2]AISC Database v16.0'!$B:$B,0)),
0))))),0)))</f>
        <v/>
      </c>
      <c r="AD22" s="230" t="str">
        <f>IF(X22="","",
IF(OR(X22="RIGID",X22="GEN1A"), 0,
IFERROR(_xlfn.LET(
_xlpm.BAR,                      OR(ISNUMBER(SEARCH("BAR",Z22)),ISNUMBER(SEARCH("SR",Y22))),
_xlpm.HSS,                      OR(ISNUMBER(SEARCH("HSS",Y22)),ISNUMBER(SEARCH("SquareTube",Z22)),NOT(ISNUMBER(SEARCH("HSS Pipe",Z22)))),
_xlpm.HSSPipe,                  OR(ISNUMBER(SEARCH("HSS Pipe",Z22)),ISNUMBER(SEARCH("Pipe",Z22)),ISNUMBER(SEARCH("Pipe",Y22))),
_xlpm.Pipe,                     OR(ISNUMBER(SEARCH("Pipe",Z22)),ISNUMBER(SEARCH("Pipe",Y22))),
_xlpm.SingleAngle,              OR(ISNUMBER(SEARCH("Single Angle",Z22)),AND(ISNUMBER(SEARCH("Angle",Z22)),ISNUMBER(SEARCH("Single",Z22)))),
_xlpm.DoubleAngle,              AND(ISNUMBER(SEARCH("Angle",Z22)),ISNUMBER(SEARCH("Double",Z22))),
_xlpm.RECT,                     OR(ISNUMBER(SEARCH("RECT",Z22)),ISNUMBER(SEARCH("PL",Y22))),
_xlpm.WideFlange,               OR(ISNUMBER(SEARCH("Wide Flange",Z22)),ISNUMBER(SEARCH("Tee",Z22)),ISNUMBER(SEARCH("W",Y22))),
_xlpm.Channel,                  OR(ISNUMBER(SEARCH("Channel",Z22)),ISNUMBER(SEARCH("C",Y22))),
IF(_xlpm.WideFlange,            INDEX('[2]AISC Database v16.0'!$O:$O,
                          MATCH(Y22,'[2]AISC Database v16.0'!$B:$B,0)),
IF(_xlpm.Channel,               INDEX('[2]AISC Database v16.0'!$O:$O,
                          MATCH(Y22,'[2]AISC Database v16.0'!$B:$B,0)),
IF(_xlpm.BAR,                   INDEX('[2]AISC Database v16.0'!$T:$T,
                          MATCH(Y22,'[2]AISC Database v16.0'!$B:$B,0)),
IF(_xlpm.SingleAngle,           INDEX('[2]AISC Database v16.0'!$T:$T,
                          MATCH(Y22,'[2]AISC Database v16.0'!$B:$B,0)),
IF(_xlpm.DoubleAngle,           INDEX('[2]AISC Database v16.0'!$T:$T,
                          MATCH(Y22,'[2]AISC Database v16.0'!$B:$B,0)),
IF(_xlpm.RECT,                  INDEX('[2]AISC Database v16.0'!$T:$T,
                          MATCH(Y22,'[2]AISC Database v16.0'!$B:$B,0)),
IF(AND(_xlpm.HSS,NOT(_xlpm.HSSPipe)), INDEX('[2]AISC Database v16.0'!$U:$U,
                          MATCH(Y22,'[2]AISC Database v16.0'!$B:$B,0)),
IF(OR(_xlpm.Pipe, _xlpm.HSSPipe),     INDEX('[2]AISC Database v16.0'!$U:$U,
                          MATCH(Y22,'[2]AISC Database v16.0'!$B:$B,0)),
0))))))))),0)))</f>
        <v/>
      </c>
      <c r="AE22" s="230" t="str">
        <f t="shared" si="0"/>
        <v/>
      </c>
      <c r="AF22" s="229" t="str">
        <f>IF(X22="","",
IF(OR(X22="RIGID",X22="GEN1A"), 0,
IFERROR(INDEX('[2]AISC Database v16.0'!$M:$M, MATCH(Y22,'[2]AISC Database v16.0'!$B:$B,0)), 0)))</f>
        <v/>
      </c>
      <c r="AG22" s="229" t="str">
        <f>IF(X22="","",
IF(OR(X22="RIGID",X22="GEN1A"), 0,
IFERROR(INDEX('[2]AISC Database v16.0'!$C:$C, MATCH(Y22,'[2]AISC Database v16.0'!$B:$B,0)), 0)))</f>
        <v/>
      </c>
      <c r="AR22" s="209"/>
      <c r="AS22" s="209">
        <f>+IFERROR(IF(VLOOKUP($B22,$E$6:$K203,6,0)=0,$O22/12*COS(PI()/180*($P22+0))^2,IF(AND(ABS(VLOOKUP($B22,$E$6:$K203,6,0))&gt;0,$P22=0),$O22/12*COS(PI()/180*($P22+0))^2,IF(AND(ABS(VLOOKUP($B22,$E$6:$K203,6,0))&gt;0,ABS($P22)&gt;0),$O22/12*COS(PI()/180*($P22+0))^2))),0)</f>
        <v>0</v>
      </c>
      <c r="AT22" s="209">
        <f>+IFERROR(IF(VLOOKUP($B22,$E$6:$K203,6,0)=0,0,IF(AND(ABS(VLOOKUP($B22,$E$6:$K203,6,0))&gt;0,$P22=0),ABS(VLOOKUP($B22,$E$6:$K203,6,0))*SIN(PI()/180*($P22+0))^2,IF(AND(ABS(VLOOKUP($B22,$E$6:$K203,6,0))&gt;0,ABS($P22)&gt;0),ABS(VLOOKUP($B22,$E$6:$K203,6,0))*SIN(PI()/180*($P22+0))^2))),0)*IF(RISA3D.Unit.Length="in",1/12,1)</f>
        <v>0</v>
      </c>
      <c r="AU22" s="209">
        <f t="shared" si="1"/>
        <v>0</v>
      </c>
      <c r="AV22" s="209">
        <f>+IFERROR(+IF(VLOOKUP($M22,$S$6:$V203,3,0)=VLOOKUP($N22,$S$6:$V203,3,0), ((((($O22/12+(2*0.5/12))*((VLOOKUP($C22,rngR3DSectionSets,5,0)/12)+(2*0.5/12)))-($O22/12*(VLOOKUP($C22,rngR3DSectionSets,5,0)/12)))*1.2*COS(PI()/180*($P22))^2)) + AU22, (((((AS22+(2*0.5/12))*((VLOOKUP($C22,rngR3DSectionSets,5,0)/12)+(2*0.5/12)))-(AS22*(VLOOKUP($C22,rngR3DSectionSets,5,0)/12)))+(((AT22+(2*0.5/12))*((VLOOKUP($C22,rngR3DSectionSets,5,0)/12)+(2*0.5/12)))-(AT22*(VLOOKUP($C22,rngR3DSectionSets,5,0)/12))))*1.2) + AU22),0)</f>
        <v>0</v>
      </c>
      <c r="AW22" s="209">
        <f>+IFERROR(+IF(VLOOKUP($M22,$S$6:$V203,3,0)=VLOOKUP($N22,$S$6:$V203,3,0), ((((($O22/12+(2*1/12))*((VLOOKUP($C22,rngR3DSectionSets,5,0)/12)+(2*1/12)))-($O22/12*(VLOOKUP($C22,rngR3DSectionSets,5,0)/12)))*1.2*COS(PI()/180*($P22))^2)) + AU22, (((((AS22+(2*1/12))*((VLOOKUP($C22,rngR3DSectionSets,5,0)/12)+(2*1/12)))-(AS22*(VLOOKUP($C22,rngR3DSectionSets,5,0)/12)))+(((AT22+(2*1/12))*((VLOOKUP($C22,rngR3DSectionSets,5,0)/12)+(2*1/12)))-(AT22*(VLOOKUP($C22,rngR3DSectionSets,5,0)/12))))*1.2) + AU22),0)</f>
        <v>0</v>
      </c>
      <c r="AX22" s="209">
        <f>+IFERROR(IF(VLOOKUP($B22,$E$6:$K203,6,0)=0,$O22/12*COS(PI()/180*($P22+90))^2,IF(AND(ABS(VLOOKUP($B22,$E$6:$K203,6,0))&gt;0,$P22=0),$O22/12*COS(PI()/180*($P22+90))^2,IF(AND(ABS(VLOOKUP($B22,$E$6:$K203,6,0))&gt;0,ABS($P22)&gt;0),$O22/12*COS(PI()/180*($P22+90))^2))),0)</f>
        <v>0</v>
      </c>
      <c r="AY22" s="209">
        <f>+IFERROR(IF(VLOOKUP($B22,$E$6:$K203,6,0)=0,0,IF(AND(ABS(VLOOKUP($B22,$E$6:$K203,6,0))&gt;0,$P22=0),ABS(VLOOKUP($B22,$E$6:$K203,6,0))*SIN(PI()/180*($P22+90))^2,IF(AND(ABS(VLOOKUP($B22,$E$6:$K203,6,0))&gt;0,ABS($P22)&gt;0),ABS(VLOOKUP($B22,$E$6:$K203,6,0))*SIN(PI()/180*($P22+90))^2))),0)*IF(RISA3D.Unit.Length="in",1/12,1)</f>
        <v>0</v>
      </c>
      <c r="AZ22" s="209">
        <f t="shared" si="2"/>
        <v>0</v>
      </c>
      <c r="BA22" s="209">
        <f>+IFERROR(+IF(VLOOKUP($M22,$S$6:$V203,3,0)=VLOOKUP($N22,$S$6:$V203,3,0), ((((($O22/12+(2*0.5/12))*((VLOOKUP($C22,rngR3DSectionSets,5,0)/12)+(2*0.5/12)))-($O22/12*(VLOOKUP($C22,rngR3DSectionSets,5,0)/12)))*1.2*COS(PI()/180*($P22))^2)) + AZ22, (((((AX22+(2*0.5/12))*((VLOOKUP($C22,rngR3DSectionSets,5,0)/12)+(2*0.5/12)))-(AX22*(VLOOKUP($C22,rngR3DSectionSets,5,0)/12)))+(((AY22+(2*0.5/12))*((VLOOKUP($C22,rngR3DSectionSets,5,0)/12)+(2*0.5/12)))-(AY22*(VLOOKUP($C22,rngR3DSectionSets,5,0)/12))))*1.2) + AZ22),0)</f>
        <v>0</v>
      </c>
      <c r="BB22" s="209">
        <f>+IFERROR(+IF(VLOOKUP($M22,$S$6:$V203,3,0)=VLOOKUP($N22,$S$6:$V203,3,0), ((((($O22/12+(2*1/12))*((VLOOKUP($C22,rngR3DSectionSets,5,0)/12)+(2*1/12)))-($O22/12*(VLOOKUP($C22,rngR3DSectionSets,5,0)/12)))*1.2*COS(PI()/180*($P22))^2)) + AZ22, (((((AX22+(2*1/12))*((VLOOKUP($C22,rngR3DSectionSets,5,0)/12)+(2*1/12)))-(AX22*(VLOOKUP($C22,rngR3DSectionSets,5,0)/12)))+(((AY22+(2*1/12))*((VLOOKUP($C22,rngR3DSectionSets,5,0)/12)+(2*1/12)))-(AY22*(VLOOKUP($C22,rngR3DSectionSets,5,0)/12))))*1.2) + AZ22),0)</f>
        <v>0</v>
      </c>
      <c r="BC22" s="209">
        <f t="shared" si="3"/>
        <v>0</v>
      </c>
      <c r="BD22" s="209">
        <f t="shared" si="4"/>
        <v>0</v>
      </c>
      <c r="BE22" s="209">
        <f t="shared" si="5"/>
        <v>0</v>
      </c>
      <c r="BF22" s="209"/>
      <c r="BG22" s="209"/>
    </row>
    <row r="23" spans="2:59" ht="15" customHeight="1" x14ac:dyDescent="0.2">
      <c r="B23" s="207"/>
      <c r="C23" s="207"/>
      <c r="D23" s="207"/>
      <c r="E23" s="207"/>
      <c r="F23" s="207"/>
      <c r="G23" s="207"/>
      <c r="H23" s="207"/>
      <c r="I23" s="207"/>
      <c r="J23" s="207"/>
      <c r="K23" s="207"/>
      <c r="L23" s="207"/>
      <c r="M23" s="207"/>
      <c r="N23" s="207"/>
      <c r="O23" s="207"/>
      <c r="P23" s="207"/>
      <c r="Q23" s="207"/>
      <c r="R23" s="207"/>
      <c r="S23" s="207"/>
      <c r="T23" s="228"/>
      <c r="U23" s="228"/>
      <c r="V23" s="228"/>
      <c r="X23" s="189"/>
      <c r="Y23" s="189"/>
      <c r="Z23" s="189"/>
      <c r="AA23" s="190"/>
      <c r="AB23" s="229" t="str">
        <f>IF(X23="","",
IF(OR(X23="RIGID",X23="GEN1A"), 0,
IFERROR(_xlfn.LET(
_xlpm.BAR,                      OR(ISNUMBER(SEARCH("BAR",Z23)),ISNUMBER(SEARCH("SR",Y23))),
_xlpm.HSS,                      OR(ISNUMBER(SEARCH("HSS",Y23)),ISNUMBER(SEARCH("SquareTube",Z23)),NOT(ISNUMBER(SEARCH("HSS Pipe",Z23)))),
_xlpm.HSSPipe,                  OR(ISNUMBER(SEARCH("HSS Pipe",Z23)),ISNUMBER(SEARCH("Pipe",Z23)),ISNUMBER(SEARCH("Pipe",Y23))),
_xlpm.Pipe,                     OR(ISNUMBER(SEARCH("Pipe",Z23)),ISNUMBER(SEARCH("Pipe",Y23))),
_xlpm.SingleAngle,              OR(ISNUMBER(SEARCH("Single Angle",Z23)),AND(ISNUMBER(SEARCH("Angle",Z23)),ISNUMBER(SEARCH("Single",Z23)))),
_xlpm.DoubleAngle,              AND(ISNUMBER(SEARCH("Angle",Z23)),ISNUMBER(SEARCH("Double",Z23))),
_xlpm.RECT,                     OR(ISNUMBER(SEARCH("RECT",Z23)),ISNUMBER(SEARCH("PL",Y23))),
_xlpm.WideFlange,               OR(ISNUMBER(SEARCH("Wide Flange",Z23)),ISNUMBER(SEARCH("Tee",Z23)),ISNUMBER(SEARCH("W",Y23))),
_xlpm.Channel,                  OR(ISNUMBER(SEARCH("Channel",Z23)),ISNUMBER(SEARCH("C",Y23))),
IF(OR(_xlpm.WideFlange, _xlpm.Channel, _xlpm.SingleAngle, _xlpm.DoubleAngle, _xlpm.RECT),
                          INDEX('[2]AISC Database v16.0'!$D:$D,
                          MATCH(Y23,'[2]AISC Database v16.0'!$B:$B,0)),
IF(AND(_xlpm.HSS,NOT(_xlpm.HSSPipe)), INDEX('[2]AISC Database v16.0'!$F:$F,
                          MATCH(Y23,'[2]AISC Database v16.0'!$B:$B,0)),
IF(OR(_xlpm.Pipe, _xlpm.HSSPipe, _xlpm.BAR),
                          INDEX('[2]AISC Database v16.0'!$H:$H,
                          MATCH(Y23,'[2]AISC Database v16.0'!$B:$B,0)),
0)))),0)))</f>
        <v/>
      </c>
      <c r="AC23" s="229" t="str">
        <f>IF(X23="","",
IF(OR(X23="RIGID",X23="GEN1A"), 0,
IFERROR(_xlfn.LET(
_xlpm.BAR,                      OR(ISNUMBER(SEARCH("BAR",Z23)),ISNUMBER(SEARCH("SR",Y23))),
_xlpm.HSS,                      OR(ISNUMBER(SEARCH("HSS",Y23)),ISNUMBER(SEARCH("SquareTube",Z23)),NOT(ISNUMBER(SEARCH("HSS Pipe",Z23)))),
_xlpm.HSSPipe,                  OR(ISNUMBER(SEARCH("HSS Pipe",Z23)),ISNUMBER(SEARCH("Pipe",Z23)),ISNUMBER(SEARCH("Pipe",Y23))),
_xlpm.Pipe,                     OR(ISNUMBER(SEARCH("Pipe",Z23)),ISNUMBER(SEARCH("Pipe",Y23))),
_xlpm.SingleAngle,              OR(ISNUMBER(SEARCH("Single Angle",Z23)),AND(ISNUMBER(SEARCH("Angle",Z23)),ISNUMBER(SEARCH("Single",Z23)))),
_xlpm.DoubleAngle,              AND(ISNUMBER(SEARCH("Angle",Z23)),ISNUMBER(SEARCH("Double",Z23))),
_xlpm.RECT,                     OR(ISNUMBER(SEARCH("RECT",Z23)),ISNUMBER(SEARCH("PL",Y23))),
_xlpm.WideFlange,               OR(ISNUMBER(SEARCH("Wide Flange",Z23)),ISNUMBER(SEARCH("Tee",Z23)),ISNUMBER(SEARCH("W",Y23))),
_xlpm.Channel,                  OR(ISNUMBER(SEARCH("Channel",Z23)),ISNUMBER(SEARCH("C",Y23))),
IF(OR(_xlpm.WideFlange, _xlpm.Channel),
                          INDEX('[2]AISC Database v16.0'!$I:$I,
                          MATCH(Y23,'[2]AISC Database v16.0'!$B:$B,0)),
IF(OR(_xlpm.SingleAngle, _xlpm.DoubleAngle, _xlpm.RECT),
                          INDEX('[2]AISC Database v16.0'!$L:$L,
                          MATCH(Y23,'[2]AISC Database v16.0'!$B:$B,0)),
IF(AND(_xlpm.HSS,NOT(_xlpm.HSSPipe)),
                          INDEX('[2]AISC Database v16.0'!$K:$K,
                          MATCH(Y23,'[2]AISC Database v16.0'!$B:$B,0)),
IF(OR(_xlpm.Pipe, _xlpm.HSSPipe, _xlpm.BAR),
                          INDEX('[2]AISC Database v16.0'!$H:$H,
                          MATCH(Y23,'[2]AISC Database v16.0'!$B:$B,0)),
0))))),0)))</f>
        <v/>
      </c>
      <c r="AD23" s="230" t="str">
        <f>IF(X23="","",
IF(OR(X23="RIGID",X23="GEN1A"), 0,
IFERROR(_xlfn.LET(
_xlpm.BAR,                      OR(ISNUMBER(SEARCH("BAR",Z23)),ISNUMBER(SEARCH("SR",Y23))),
_xlpm.HSS,                      OR(ISNUMBER(SEARCH("HSS",Y23)),ISNUMBER(SEARCH("SquareTube",Z23)),NOT(ISNUMBER(SEARCH("HSS Pipe",Z23)))),
_xlpm.HSSPipe,                  OR(ISNUMBER(SEARCH("HSS Pipe",Z23)),ISNUMBER(SEARCH("Pipe",Z23)),ISNUMBER(SEARCH("Pipe",Y23))),
_xlpm.Pipe,                     OR(ISNUMBER(SEARCH("Pipe",Z23)),ISNUMBER(SEARCH("Pipe",Y23))),
_xlpm.SingleAngle,              OR(ISNUMBER(SEARCH("Single Angle",Z23)),AND(ISNUMBER(SEARCH("Angle",Z23)),ISNUMBER(SEARCH("Single",Z23)))),
_xlpm.DoubleAngle,              AND(ISNUMBER(SEARCH("Angle",Z23)),ISNUMBER(SEARCH("Double",Z23))),
_xlpm.RECT,                     OR(ISNUMBER(SEARCH("RECT",Z23)),ISNUMBER(SEARCH("PL",Y23))),
_xlpm.WideFlange,               OR(ISNUMBER(SEARCH("Wide Flange",Z23)),ISNUMBER(SEARCH("Tee",Z23)),ISNUMBER(SEARCH("W",Y23))),
_xlpm.Channel,                  OR(ISNUMBER(SEARCH("Channel",Z23)),ISNUMBER(SEARCH("C",Y23))),
IF(_xlpm.WideFlange,            INDEX('[2]AISC Database v16.0'!$O:$O,
                          MATCH(Y23,'[2]AISC Database v16.0'!$B:$B,0)),
IF(_xlpm.Channel,               INDEX('[2]AISC Database v16.0'!$O:$O,
                          MATCH(Y23,'[2]AISC Database v16.0'!$B:$B,0)),
IF(_xlpm.BAR,                   INDEX('[2]AISC Database v16.0'!$T:$T,
                          MATCH(Y23,'[2]AISC Database v16.0'!$B:$B,0)),
IF(_xlpm.SingleAngle,           INDEX('[2]AISC Database v16.0'!$T:$T,
                          MATCH(Y23,'[2]AISC Database v16.0'!$B:$B,0)),
IF(_xlpm.DoubleAngle,           INDEX('[2]AISC Database v16.0'!$T:$T,
                          MATCH(Y23,'[2]AISC Database v16.0'!$B:$B,0)),
IF(_xlpm.RECT,                  INDEX('[2]AISC Database v16.0'!$T:$T,
                          MATCH(Y23,'[2]AISC Database v16.0'!$B:$B,0)),
IF(AND(_xlpm.HSS,NOT(_xlpm.HSSPipe)), INDEX('[2]AISC Database v16.0'!$U:$U,
                          MATCH(Y23,'[2]AISC Database v16.0'!$B:$B,0)),
IF(OR(_xlpm.Pipe, _xlpm.HSSPipe),     INDEX('[2]AISC Database v16.0'!$U:$U,
                          MATCH(Y23,'[2]AISC Database v16.0'!$B:$B,0)),
0))))))))),0)))</f>
        <v/>
      </c>
      <c r="AE23" s="230" t="str">
        <f t="shared" si="0"/>
        <v/>
      </c>
      <c r="AF23" s="229" t="str">
        <f>IF(X23="","",
IF(OR(X23="RIGID",X23="GEN1A"), 0,
IFERROR(INDEX('[2]AISC Database v16.0'!$M:$M, MATCH(Y23,'[2]AISC Database v16.0'!$B:$B,0)), 0)))</f>
        <v/>
      </c>
      <c r="AG23" s="229" t="str">
        <f>IF(X23="","",
IF(OR(X23="RIGID",X23="GEN1A"), 0,
IFERROR(INDEX('[2]AISC Database v16.0'!$C:$C, MATCH(Y23,'[2]AISC Database v16.0'!$B:$B,0)), 0)))</f>
        <v/>
      </c>
      <c r="AR23" s="209"/>
      <c r="AS23" s="209">
        <f>+IFERROR(IF(VLOOKUP($B23,$E$6:$K203,6,0)=0,$O23/12*COS(PI()/180*($P23+0))^2,IF(AND(ABS(VLOOKUP($B23,$E$6:$K203,6,0))&gt;0,$P23=0),$O23/12*COS(PI()/180*($P23+0))^2,IF(AND(ABS(VLOOKUP($B23,$E$6:$K203,6,0))&gt;0,ABS($P23)&gt;0),$O23/12*COS(PI()/180*($P23+0))^2))),0)</f>
        <v>0</v>
      </c>
      <c r="AT23" s="209">
        <f>+IFERROR(IF(VLOOKUP($B23,$E$6:$K203,6,0)=0,0,IF(AND(ABS(VLOOKUP($B23,$E$6:$K203,6,0))&gt;0,$P23=0),ABS(VLOOKUP($B23,$E$6:$K203,6,0))*SIN(PI()/180*($P23+0))^2,IF(AND(ABS(VLOOKUP($B23,$E$6:$K203,6,0))&gt;0,ABS($P23)&gt;0),ABS(VLOOKUP($B23,$E$6:$K203,6,0))*SIN(PI()/180*($P23+0))^2))),0)*IF(RISA3D.Unit.Length="in",1/12,1)</f>
        <v>0</v>
      </c>
      <c r="AU23" s="209">
        <f t="shared" si="1"/>
        <v>0</v>
      </c>
      <c r="AV23" s="209">
        <f>+IFERROR(+IF(VLOOKUP($M23,$S$6:$V203,3,0)=VLOOKUP($N23,$S$6:$V203,3,0), ((((($O23/12+(2*0.5/12))*((VLOOKUP($C23,rngR3DSectionSets,5,0)/12)+(2*0.5/12)))-($O23/12*(VLOOKUP($C23,rngR3DSectionSets,5,0)/12)))*1.2*COS(PI()/180*($P23))^2)) + AU23, (((((AS23+(2*0.5/12))*((VLOOKUP($C23,rngR3DSectionSets,5,0)/12)+(2*0.5/12)))-(AS23*(VLOOKUP($C23,rngR3DSectionSets,5,0)/12)))+(((AT23+(2*0.5/12))*((VLOOKUP($C23,rngR3DSectionSets,5,0)/12)+(2*0.5/12)))-(AT23*(VLOOKUP($C23,rngR3DSectionSets,5,0)/12))))*1.2) + AU23),0)</f>
        <v>0</v>
      </c>
      <c r="AW23" s="209">
        <f>+IFERROR(+IF(VLOOKUP($M23,$S$6:$V203,3,0)=VLOOKUP($N23,$S$6:$V203,3,0), ((((($O23/12+(2*1/12))*((VLOOKUP($C23,rngR3DSectionSets,5,0)/12)+(2*1/12)))-($O23/12*(VLOOKUP($C23,rngR3DSectionSets,5,0)/12)))*1.2*COS(PI()/180*($P23))^2)) + AU23, (((((AS23+(2*1/12))*((VLOOKUP($C23,rngR3DSectionSets,5,0)/12)+(2*1/12)))-(AS23*(VLOOKUP($C23,rngR3DSectionSets,5,0)/12)))+(((AT23+(2*1/12))*((VLOOKUP($C23,rngR3DSectionSets,5,0)/12)+(2*1/12)))-(AT23*(VLOOKUP($C23,rngR3DSectionSets,5,0)/12))))*1.2) + AU23),0)</f>
        <v>0</v>
      </c>
      <c r="AX23" s="209">
        <f>+IFERROR(IF(VLOOKUP($B23,$E$6:$K203,6,0)=0,$O23/12*COS(PI()/180*($P23+90))^2,IF(AND(ABS(VLOOKUP($B23,$E$6:$K203,6,0))&gt;0,$P23=0),$O23/12*COS(PI()/180*($P23+90))^2,IF(AND(ABS(VLOOKUP($B23,$E$6:$K203,6,0))&gt;0,ABS($P23)&gt;0),$O23/12*COS(PI()/180*($P23+90))^2))),0)</f>
        <v>0</v>
      </c>
      <c r="AY23" s="209">
        <f>+IFERROR(IF(VLOOKUP($B23,$E$6:$K203,6,0)=0,0,IF(AND(ABS(VLOOKUP($B23,$E$6:$K203,6,0))&gt;0,$P23=0),ABS(VLOOKUP($B23,$E$6:$K203,6,0))*SIN(PI()/180*($P23+90))^2,IF(AND(ABS(VLOOKUP($B23,$E$6:$K203,6,0))&gt;0,ABS($P23)&gt;0),ABS(VLOOKUP($B23,$E$6:$K203,6,0))*SIN(PI()/180*($P23+90))^2))),0)*IF(RISA3D.Unit.Length="in",1/12,1)</f>
        <v>0</v>
      </c>
      <c r="AZ23" s="209">
        <f t="shared" si="2"/>
        <v>0</v>
      </c>
      <c r="BA23" s="209">
        <f>+IFERROR(+IF(VLOOKUP($M23,$S$6:$V203,3,0)=VLOOKUP($N23,$S$6:$V203,3,0), ((((($O23/12+(2*0.5/12))*((VLOOKUP($C23,rngR3DSectionSets,5,0)/12)+(2*0.5/12)))-($O23/12*(VLOOKUP($C23,rngR3DSectionSets,5,0)/12)))*1.2*COS(PI()/180*($P23))^2)) + AZ23, (((((AX23+(2*0.5/12))*((VLOOKUP($C23,rngR3DSectionSets,5,0)/12)+(2*0.5/12)))-(AX23*(VLOOKUP($C23,rngR3DSectionSets,5,0)/12)))+(((AY23+(2*0.5/12))*((VLOOKUP($C23,rngR3DSectionSets,5,0)/12)+(2*0.5/12)))-(AY23*(VLOOKUP($C23,rngR3DSectionSets,5,0)/12))))*1.2) + AZ23),0)</f>
        <v>0</v>
      </c>
      <c r="BB23" s="209">
        <f>+IFERROR(+IF(VLOOKUP($M23,$S$6:$V203,3,0)=VLOOKUP($N23,$S$6:$V203,3,0), ((((($O23/12+(2*1/12))*((VLOOKUP($C23,rngR3DSectionSets,5,0)/12)+(2*1/12)))-($O23/12*(VLOOKUP($C23,rngR3DSectionSets,5,0)/12)))*1.2*COS(PI()/180*($P23))^2)) + AZ23, (((((AX23+(2*1/12))*((VLOOKUP($C23,rngR3DSectionSets,5,0)/12)+(2*1/12)))-(AX23*(VLOOKUP($C23,rngR3DSectionSets,5,0)/12)))+(((AY23+(2*1/12))*((VLOOKUP($C23,rngR3DSectionSets,5,0)/12)+(2*1/12)))-(AY23*(VLOOKUP($C23,rngR3DSectionSets,5,0)/12))))*1.2) + AZ23),0)</f>
        <v>0</v>
      </c>
      <c r="BC23" s="209">
        <f t="shared" si="3"/>
        <v>0</v>
      </c>
      <c r="BD23" s="209">
        <f t="shared" si="4"/>
        <v>0</v>
      </c>
      <c r="BE23" s="209">
        <f t="shared" si="5"/>
        <v>0</v>
      </c>
      <c r="BF23" s="209"/>
      <c r="BG23" s="209"/>
    </row>
    <row r="24" spans="2:59" ht="15" customHeight="1" x14ac:dyDescent="0.2">
      <c r="B24" s="207"/>
      <c r="C24" s="207"/>
      <c r="D24" s="207"/>
      <c r="E24" s="207"/>
      <c r="F24" s="207"/>
      <c r="G24" s="207"/>
      <c r="H24" s="207"/>
      <c r="I24" s="207"/>
      <c r="J24" s="207"/>
      <c r="K24" s="207"/>
      <c r="L24" s="207"/>
      <c r="M24" s="207"/>
      <c r="N24" s="207"/>
      <c r="O24" s="207"/>
      <c r="P24" s="207"/>
      <c r="Q24" s="207"/>
      <c r="R24" s="207"/>
      <c r="S24" s="207"/>
      <c r="T24" s="228"/>
      <c r="U24" s="228"/>
      <c r="V24" s="228"/>
      <c r="X24" s="189"/>
      <c r="Y24" s="189"/>
      <c r="Z24" s="189"/>
      <c r="AA24" s="190"/>
      <c r="AB24" s="229" t="str">
        <f>IF(X24="","",
IF(OR(X24="RIGID",X24="GEN1A"), 0,
IFERROR(_xlfn.LET(
_xlpm.BAR,                      OR(ISNUMBER(SEARCH("BAR",Z24)),ISNUMBER(SEARCH("SR",Y24))),
_xlpm.HSS,                      OR(ISNUMBER(SEARCH("HSS",Y24)),ISNUMBER(SEARCH("SquareTube",Z24)),NOT(ISNUMBER(SEARCH("HSS Pipe",Z24)))),
_xlpm.HSSPipe,                  OR(ISNUMBER(SEARCH("HSS Pipe",Z24)),ISNUMBER(SEARCH("Pipe",Z24)),ISNUMBER(SEARCH("Pipe",Y24))),
_xlpm.Pipe,                     OR(ISNUMBER(SEARCH("Pipe",Z24)),ISNUMBER(SEARCH("Pipe",Y24))),
_xlpm.SingleAngle,              OR(ISNUMBER(SEARCH("Single Angle",Z24)),AND(ISNUMBER(SEARCH("Angle",Z24)),ISNUMBER(SEARCH("Single",Z24)))),
_xlpm.DoubleAngle,              AND(ISNUMBER(SEARCH("Angle",Z24)),ISNUMBER(SEARCH("Double",Z24))),
_xlpm.RECT,                     OR(ISNUMBER(SEARCH("RECT",Z24)),ISNUMBER(SEARCH("PL",Y24))),
_xlpm.WideFlange,               OR(ISNUMBER(SEARCH("Wide Flange",Z24)),ISNUMBER(SEARCH("Tee",Z24)),ISNUMBER(SEARCH("W",Y24))),
_xlpm.Channel,                  OR(ISNUMBER(SEARCH("Channel",Z24)),ISNUMBER(SEARCH("C",Y24))),
IF(OR(_xlpm.WideFlange, _xlpm.Channel, _xlpm.SingleAngle, _xlpm.DoubleAngle, _xlpm.RECT),
                          INDEX('[2]AISC Database v16.0'!$D:$D,
                          MATCH(Y24,'[2]AISC Database v16.0'!$B:$B,0)),
IF(AND(_xlpm.HSS,NOT(_xlpm.HSSPipe)), INDEX('[2]AISC Database v16.0'!$F:$F,
                          MATCH(Y24,'[2]AISC Database v16.0'!$B:$B,0)),
IF(OR(_xlpm.Pipe, _xlpm.HSSPipe, _xlpm.BAR),
                          INDEX('[2]AISC Database v16.0'!$H:$H,
                          MATCH(Y24,'[2]AISC Database v16.0'!$B:$B,0)),
0)))),0)))</f>
        <v/>
      </c>
      <c r="AC24" s="229" t="str">
        <f>IF(X24="","",
IF(OR(X24="RIGID",X24="GEN1A"), 0,
IFERROR(_xlfn.LET(
_xlpm.BAR,                      OR(ISNUMBER(SEARCH("BAR",Z24)),ISNUMBER(SEARCH("SR",Y24))),
_xlpm.HSS,                      OR(ISNUMBER(SEARCH("HSS",Y24)),ISNUMBER(SEARCH("SquareTube",Z24)),NOT(ISNUMBER(SEARCH("HSS Pipe",Z24)))),
_xlpm.HSSPipe,                  OR(ISNUMBER(SEARCH("HSS Pipe",Z24)),ISNUMBER(SEARCH("Pipe",Z24)),ISNUMBER(SEARCH("Pipe",Y24))),
_xlpm.Pipe,                     OR(ISNUMBER(SEARCH("Pipe",Z24)),ISNUMBER(SEARCH("Pipe",Y24))),
_xlpm.SingleAngle,              OR(ISNUMBER(SEARCH("Single Angle",Z24)),AND(ISNUMBER(SEARCH("Angle",Z24)),ISNUMBER(SEARCH("Single",Z24)))),
_xlpm.DoubleAngle,              AND(ISNUMBER(SEARCH("Angle",Z24)),ISNUMBER(SEARCH("Double",Z24))),
_xlpm.RECT,                     OR(ISNUMBER(SEARCH("RECT",Z24)),ISNUMBER(SEARCH("PL",Y24))),
_xlpm.WideFlange,               OR(ISNUMBER(SEARCH("Wide Flange",Z24)),ISNUMBER(SEARCH("Tee",Z24)),ISNUMBER(SEARCH("W",Y24))),
_xlpm.Channel,                  OR(ISNUMBER(SEARCH("Channel",Z24)),ISNUMBER(SEARCH("C",Y24))),
IF(OR(_xlpm.WideFlange, _xlpm.Channel),
                          INDEX('[2]AISC Database v16.0'!$I:$I,
                          MATCH(Y24,'[2]AISC Database v16.0'!$B:$B,0)),
IF(OR(_xlpm.SingleAngle, _xlpm.DoubleAngle, _xlpm.RECT),
                          INDEX('[2]AISC Database v16.0'!$L:$L,
                          MATCH(Y24,'[2]AISC Database v16.0'!$B:$B,0)),
IF(AND(_xlpm.HSS,NOT(_xlpm.HSSPipe)),
                          INDEX('[2]AISC Database v16.0'!$K:$K,
                          MATCH(Y24,'[2]AISC Database v16.0'!$B:$B,0)),
IF(OR(_xlpm.Pipe, _xlpm.HSSPipe, _xlpm.BAR),
                          INDEX('[2]AISC Database v16.0'!$H:$H,
                          MATCH(Y24,'[2]AISC Database v16.0'!$B:$B,0)),
0))))),0)))</f>
        <v/>
      </c>
      <c r="AD24" s="230" t="str">
        <f>IF(X24="","",
IF(OR(X24="RIGID",X24="GEN1A"), 0,
IFERROR(_xlfn.LET(
_xlpm.BAR,                      OR(ISNUMBER(SEARCH("BAR",Z24)),ISNUMBER(SEARCH("SR",Y24))),
_xlpm.HSS,                      OR(ISNUMBER(SEARCH("HSS",Y24)),ISNUMBER(SEARCH("SquareTube",Z24)),NOT(ISNUMBER(SEARCH("HSS Pipe",Z24)))),
_xlpm.HSSPipe,                  OR(ISNUMBER(SEARCH("HSS Pipe",Z24)),ISNUMBER(SEARCH("Pipe",Z24)),ISNUMBER(SEARCH("Pipe",Y24))),
_xlpm.Pipe,                     OR(ISNUMBER(SEARCH("Pipe",Z24)),ISNUMBER(SEARCH("Pipe",Y24))),
_xlpm.SingleAngle,              OR(ISNUMBER(SEARCH("Single Angle",Z24)),AND(ISNUMBER(SEARCH("Angle",Z24)),ISNUMBER(SEARCH("Single",Z24)))),
_xlpm.DoubleAngle,              AND(ISNUMBER(SEARCH("Angle",Z24)),ISNUMBER(SEARCH("Double",Z24))),
_xlpm.RECT,                     OR(ISNUMBER(SEARCH("RECT",Z24)),ISNUMBER(SEARCH("PL",Y24))),
_xlpm.WideFlange,               OR(ISNUMBER(SEARCH("Wide Flange",Z24)),ISNUMBER(SEARCH("Tee",Z24)),ISNUMBER(SEARCH("W",Y24))),
_xlpm.Channel,                  OR(ISNUMBER(SEARCH("Channel",Z24)),ISNUMBER(SEARCH("C",Y24))),
IF(_xlpm.WideFlange,            INDEX('[2]AISC Database v16.0'!$O:$O,
                          MATCH(Y24,'[2]AISC Database v16.0'!$B:$B,0)),
IF(_xlpm.Channel,               INDEX('[2]AISC Database v16.0'!$O:$O,
                          MATCH(Y24,'[2]AISC Database v16.0'!$B:$B,0)),
IF(_xlpm.BAR,                   INDEX('[2]AISC Database v16.0'!$T:$T,
                          MATCH(Y24,'[2]AISC Database v16.0'!$B:$B,0)),
IF(_xlpm.SingleAngle,           INDEX('[2]AISC Database v16.0'!$T:$T,
                          MATCH(Y24,'[2]AISC Database v16.0'!$B:$B,0)),
IF(_xlpm.DoubleAngle,           INDEX('[2]AISC Database v16.0'!$T:$T,
                          MATCH(Y24,'[2]AISC Database v16.0'!$B:$B,0)),
IF(_xlpm.RECT,                  INDEX('[2]AISC Database v16.0'!$T:$T,
                          MATCH(Y24,'[2]AISC Database v16.0'!$B:$B,0)),
IF(AND(_xlpm.HSS,NOT(_xlpm.HSSPipe)), INDEX('[2]AISC Database v16.0'!$U:$U,
                          MATCH(Y24,'[2]AISC Database v16.0'!$B:$B,0)),
IF(OR(_xlpm.Pipe, _xlpm.HSSPipe),     INDEX('[2]AISC Database v16.0'!$U:$U,
                          MATCH(Y24,'[2]AISC Database v16.0'!$B:$B,0)),
0))))))))),0)))</f>
        <v/>
      </c>
      <c r="AE24" s="230" t="str">
        <f t="shared" si="0"/>
        <v/>
      </c>
      <c r="AF24" s="229" t="str">
        <f>IF(X24="","",
IF(OR(X24="RIGID",X24="GEN1A"), 0,
IFERROR(INDEX('[2]AISC Database v16.0'!$M:$M, MATCH(Y24,'[2]AISC Database v16.0'!$B:$B,0)), 0)))</f>
        <v/>
      </c>
      <c r="AG24" s="229" t="str">
        <f>IF(X24="","",
IF(OR(X24="RIGID",X24="GEN1A"), 0,
IFERROR(INDEX('[2]AISC Database v16.0'!$C:$C, MATCH(Y24,'[2]AISC Database v16.0'!$B:$B,0)), 0)))</f>
        <v/>
      </c>
      <c r="AR24" s="209"/>
      <c r="AS24" s="209">
        <f>+IFERROR(IF(VLOOKUP($B24,$E$6:$K203,6,0)=0,$O24/12*COS(PI()/180*($P24+0))^2,IF(AND(ABS(VLOOKUP($B24,$E$6:$K203,6,0))&gt;0,$P24=0),$O24/12*COS(PI()/180*($P24+0))^2,IF(AND(ABS(VLOOKUP($B24,$E$6:$K203,6,0))&gt;0,ABS($P24)&gt;0),$O24/12*COS(PI()/180*($P24+0))^2))),0)</f>
        <v>0</v>
      </c>
      <c r="AT24" s="209">
        <f>+IFERROR(IF(VLOOKUP($B24,$E$6:$K203,6,0)=0,0,IF(AND(ABS(VLOOKUP($B24,$E$6:$K203,6,0))&gt;0,$P24=0),ABS(VLOOKUP($B24,$E$6:$K203,6,0))*SIN(PI()/180*($P24+0))^2,IF(AND(ABS(VLOOKUP($B24,$E$6:$K203,6,0))&gt;0,ABS($P24)&gt;0),ABS(VLOOKUP($B24,$E$6:$K203,6,0))*SIN(PI()/180*($P24+0))^2))),0)*IF(RISA3D.Unit.Length="in",1/12,1)</f>
        <v>0</v>
      </c>
      <c r="AU24" s="209">
        <f t="shared" si="1"/>
        <v>0</v>
      </c>
      <c r="AV24" s="209">
        <f>+IFERROR(+IF(VLOOKUP($M24,$S$6:$V203,3,0)=VLOOKUP($N24,$S$6:$V203,3,0), ((((($O24/12+(2*0.5/12))*((VLOOKUP($C24,rngR3DSectionSets,5,0)/12)+(2*0.5/12)))-($O24/12*(VLOOKUP($C24,rngR3DSectionSets,5,0)/12)))*1.2*COS(PI()/180*($P24))^2)) + AU24, (((((AS24+(2*0.5/12))*((VLOOKUP($C24,rngR3DSectionSets,5,0)/12)+(2*0.5/12)))-(AS24*(VLOOKUP($C24,rngR3DSectionSets,5,0)/12)))+(((AT24+(2*0.5/12))*((VLOOKUP($C24,rngR3DSectionSets,5,0)/12)+(2*0.5/12)))-(AT24*(VLOOKUP($C24,rngR3DSectionSets,5,0)/12))))*1.2) + AU24),0)</f>
        <v>0</v>
      </c>
      <c r="AW24" s="209">
        <f>+IFERROR(+IF(VLOOKUP($M24,$S$6:$V203,3,0)=VLOOKUP($N24,$S$6:$V203,3,0), ((((($O24/12+(2*1/12))*((VLOOKUP($C24,rngR3DSectionSets,5,0)/12)+(2*1/12)))-($O24/12*(VLOOKUP($C24,rngR3DSectionSets,5,0)/12)))*1.2*COS(PI()/180*($P24))^2)) + AU24, (((((AS24+(2*1/12))*((VLOOKUP($C24,rngR3DSectionSets,5,0)/12)+(2*1/12)))-(AS24*(VLOOKUP($C24,rngR3DSectionSets,5,0)/12)))+(((AT24+(2*1/12))*((VLOOKUP($C24,rngR3DSectionSets,5,0)/12)+(2*1/12)))-(AT24*(VLOOKUP($C24,rngR3DSectionSets,5,0)/12))))*1.2) + AU24),0)</f>
        <v>0</v>
      </c>
      <c r="AX24" s="209">
        <f>+IFERROR(IF(VLOOKUP($B24,$E$6:$K203,6,0)=0,$O24/12*COS(PI()/180*($P24+90))^2,IF(AND(ABS(VLOOKUP($B24,$E$6:$K203,6,0))&gt;0,$P24=0),$O24/12*COS(PI()/180*($P24+90))^2,IF(AND(ABS(VLOOKUP($B24,$E$6:$K203,6,0))&gt;0,ABS($P24)&gt;0),$O24/12*COS(PI()/180*($P24+90))^2))),0)</f>
        <v>0</v>
      </c>
      <c r="AY24" s="209">
        <f>+IFERROR(IF(VLOOKUP($B24,$E$6:$K203,6,0)=0,0,IF(AND(ABS(VLOOKUP($B24,$E$6:$K203,6,0))&gt;0,$P24=0),ABS(VLOOKUP($B24,$E$6:$K203,6,0))*SIN(PI()/180*($P24+90))^2,IF(AND(ABS(VLOOKUP($B24,$E$6:$K203,6,0))&gt;0,ABS($P24)&gt;0),ABS(VLOOKUP($B24,$E$6:$K203,6,0))*SIN(PI()/180*($P24+90))^2))),0)*IF(RISA3D.Unit.Length="in",1/12,1)</f>
        <v>0</v>
      </c>
      <c r="AZ24" s="209">
        <f t="shared" si="2"/>
        <v>0</v>
      </c>
      <c r="BA24" s="209">
        <f>+IFERROR(+IF(VLOOKUP($M24,$S$6:$V203,3,0)=VLOOKUP($N24,$S$6:$V203,3,0), ((((($O24/12+(2*0.5/12))*((VLOOKUP($C24,rngR3DSectionSets,5,0)/12)+(2*0.5/12)))-($O24/12*(VLOOKUP($C24,rngR3DSectionSets,5,0)/12)))*1.2*COS(PI()/180*($P24))^2)) + AZ24, (((((AX24+(2*0.5/12))*((VLOOKUP($C24,rngR3DSectionSets,5,0)/12)+(2*0.5/12)))-(AX24*(VLOOKUP($C24,rngR3DSectionSets,5,0)/12)))+(((AY24+(2*0.5/12))*((VLOOKUP($C24,rngR3DSectionSets,5,0)/12)+(2*0.5/12)))-(AY24*(VLOOKUP($C24,rngR3DSectionSets,5,0)/12))))*1.2) + AZ24),0)</f>
        <v>0</v>
      </c>
      <c r="BB24" s="209">
        <f>+IFERROR(+IF(VLOOKUP($M24,$S$6:$V203,3,0)=VLOOKUP($N24,$S$6:$V203,3,0), ((((($O24/12+(2*1/12))*((VLOOKUP($C24,rngR3DSectionSets,5,0)/12)+(2*1/12)))-($O24/12*(VLOOKUP($C24,rngR3DSectionSets,5,0)/12)))*1.2*COS(PI()/180*($P24))^2)) + AZ24, (((((AX24+(2*1/12))*((VLOOKUP($C24,rngR3DSectionSets,5,0)/12)+(2*1/12)))-(AX24*(VLOOKUP($C24,rngR3DSectionSets,5,0)/12)))+(((AY24+(2*1/12))*((VLOOKUP($C24,rngR3DSectionSets,5,0)/12)+(2*1/12)))-(AY24*(VLOOKUP($C24,rngR3DSectionSets,5,0)/12))))*1.2) + AZ24),0)</f>
        <v>0</v>
      </c>
      <c r="BC24" s="209">
        <f t="shared" si="3"/>
        <v>0</v>
      </c>
      <c r="BD24" s="209">
        <f t="shared" si="4"/>
        <v>0</v>
      </c>
      <c r="BE24" s="209">
        <f t="shared" si="5"/>
        <v>0</v>
      </c>
      <c r="BF24" s="209"/>
      <c r="BG24" s="209"/>
    </row>
    <row r="25" spans="2:59" ht="15" customHeight="1" x14ac:dyDescent="0.2">
      <c r="B25" s="207"/>
      <c r="C25" s="207"/>
      <c r="D25" s="207"/>
      <c r="E25" s="207"/>
      <c r="F25" s="207"/>
      <c r="G25" s="207"/>
      <c r="H25" s="207"/>
      <c r="I25" s="207"/>
      <c r="J25" s="207"/>
      <c r="K25" s="207"/>
      <c r="L25" s="207"/>
      <c r="M25" s="207"/>
      <c r="N25" s="207"/>
      <c r="O25" s="207"/>
      <c r="P25" s="207"/>
      <c r="Q25" s="207"/>
      <c r="R25" s="207"/>
      <c r="S25" s="207"/>
      <c r="T25" s="228"/>
      <c r="U25" s="228"/>
      <c r="V25" s="228"/>
      <c r="X25" s="189"/>
      <c r="Y25" s="189"/>
      <c r="Z25" s="189"/>
      <c r="AA25" s="190"/>
      <c r="AB25" s="229" t="str">
        <f>IF(X25="","",
IF(OR(X25="RIGID",X25="GEN1A"), 0,
IFERROR(_xlfn.LET(
_xlpm.BAR,                      OR(ISNUMBER(SEARCH("BAR",Z25)),ISNUMBER(SEARCH("SR",Y25))),
_xlpm.HSS,                      OR(ISNUMBER(SEARCH("HSS",Y25)),ISNUMBER(SEARCH("SquareTube",Z25)),NOT(ISNUMBER(SEARCH("HSS Pipe",Z25)))),
_xlpm.HSSPipe,                  OR(ISNUMBER(SEARCH("HSS Pipe",Z25)),ISNUMBER(SEARCH("Pipe",Z25)),ISNUMBER(SEARCH("Pipe",Y25))),
_xlpm.Pipe,                     OR(ISNUMBER(SEARCH("Pipe",Z25)),ISNUMBER(SEARCH("Pipe",Y25))),
_xlpm.SingleAngle,              OR(ISNUMBER(SEARCH("Single Angle",Z25)),AND(ISNUMBER(SEARCH("Angle",Z25)),ISNUMBER(SEARCH("Single",Z25)))),
_xlpm.DoubleAngle,              AND(ISNUMBER(SEARCH("Angle",Z25)),ISNUMBER(SEARCH("Double",Z25))),
_xlpm.RECT,                     OR(ISNUMBER(SEARCH("RECT",Z25)),ISNUMBER(SEARCH("PL",Y25))),
_xlpm.WideFlange,               OR(ISNUMBER(SEARCH("Wide Flange",Z25)),ISNUMBER(SEARCH("Tee",Z25)),ISNUMBER(SEARCH("W",Y25))),
_xlpm.Channel,                  OR(ISNUMBER(SEARCH("Channel",Z25)),ISNUMBER(SEARCH("C",Y25))),
IF(OR(_xlpm.WideFlange, _xlpm.Channel, _xlpm.SingleAngle, _xlpm.DoubleAngle, _xlpm.RECT),
                          INDEX('[2]AISC Database v16.0'!$D:$D,
                          MATCH(Y25,'[2]AISC Database v16.0'!$B:$B,0)),
IF(AND(_xlpm.HSS,NOT(_xlpm.HSSPipe)), INDEX('[2]AISC Database v16.0'!$F:$F,
                          MATCH(Y25,'[2]AISC Database v16.0'!$B:$B,0)),
IF(OR(_xlpm.Pipe, _xlpm.HSSPipe, _xlpm.BAR),
                          INDEX('[2]AISC Database v16.0'!$H:$H,
                          MATCH(Y25,'[2]AISC Database v16.0'!$B:$B,0)),
0)))),0)))</f>
        <v/>
      </c>
      <c r="AC25" s="229" t="str">
        <f>IF(X25="","",
IF(OR(X25="RIGID",X25="GEN1A"), 0,
IFERROR(_xlfn.LET(
_xlpm.BAR,                      OR(ISNUMBER(SEARCH("BAR",Z25)),ISNUMBER(SEARCH("SR",Y25))),
_xlpm.HSS,                      OR(ISNUMBER(SEARCH("HSS",Y25)),ISNUMBER(SEARCH("SquareTube",Z25)),NOT(ISNUMBER(SEARCH("HSS Pipe",Z25)))),
_xlpm.HSSPipe,                  OR(ISNUMBER(SEARCH("HSS Pipe",Z25)),ISNUMBER(SEARCH("Pipe",Z25)),ISNUMBER(SEARCH("Pipe",Y25))),
_xlpm.Pipe,                     OR(ISNUMBER(SEARCH("Pipe",Z25)),ISNUMBER(SEARCH("Pipe",Y25))),
_xlpm.SingleAngle,              OR(ISNUMBER(SEARCH("Single Angle",Z25)),AND(ISNUMBER(SEARCH("Angle",Z25)),ISNUMBER(SEARCH("Single",Z25)))),
_xlpm.DoubleAngle,              AND(ISNUMBER(SEARCH("Angle",Z25)),ISNUMBER(SEARCH("Double",Z25))),
_xlpm.RECT,                     OR(ISNUMBER(SEARCH("RECT",Z25)),ISNUMBER(SEARCH("PL",Y25))),
_xlpm.WideFlange,               OR(ISNUMBER(SEARCH("Wide Flange",Z25)),ISNUMBER(SEARCH("Tee",Z25)),ISNUMBER(SEARCH("W",Y25))),
_xlpm.Channel,                  OR(ISNUMBER(SEARCH("Channel",Z25)),ISNUMBER(SEARCH("C",Y25))),
IF(OR(_xlpm.WideFlange, _xlpm.Channel),
                          INDEX('[2]AISC Database v16.0'!$I:$I,
                          MATCH(Y25,'[2]AISC Database v16.0'!$B:$B,0)),
IF(OR(_xlpm.SingleAngle, _xlpm.DoubleAngle, _xlpm.RECT),
                          INDEX('[2]AISC Database v16.0'!$L:$L,
                          MATCH(Y25,'[2]AISC Database v16.0'!$B:$B,0)),
IF(AND(_xlpm.HSS,NOT(_xlpm.HSSPipe)),
                          INDEX('[2]AISC Database v16.0'!$K:$K,
                          MATCH(Y25,'[2]AISC Database v16.0'!$B:$B,0)),
IF(OR(_xlpm.Pipe, _xlpm.HSSPipe, _xlpm.BAR),
                          INDEX('[2]AISC Database v16.0'!$H:$H,
                          MATCH(Y25,'[2]AISC Database v16.0'!$B:$B,0)),
0))))),0)))</f>
        <v/>
      </c>
      <c r="AD25" s="230" t="str">
        <f>IF(X25="","",
IF(OR(X25="RIGID",X25="GEN1A"), 0,
IFERROR(_xlfn.LET(
_xlpm.BAR,                      OR(ISNUMBER(SEARCH("BAR",Z25)),ISNUMBER(SEARCH("SR",Y25))),
_xlpm.HSS,                      OR(ISNUMBER(SEARCH("HSS",Y25)),ISNUMBER(SEARCH("SquareTube",Z25)),NOT(ISNUMBER(SEARCH("HSS Pipe",Z25)))),
_xlpm.HSSPipe,                  OR(ISNUMBER(SEARCH("HSS Pipe",Z25)),ISNUMBER(SEARCH("Pipe",Z25)),ISNUMBER(SEARCH("Pipe",Y25))),
_xlpm.Pipe,                     OR(ISNUMBER(SEARCH("Pipe",Z25)),ISNUMBER(SEARCH("Pipe",Y25))),
_xlpm.SingleAngle,              OR(ISNUMBER(SEARCH("Single Angle",Z25)),AND(ISNUMBER(SEARCH("Angle",Z25)),ISNUMBER(SEARCH("Single",Z25)))),
_xlpm.DoubleAngle,              AND(ISNUMBER(SEARCH("Angle",Z25)),ISNUMBER(SEARCH("Double",Z25))),
_xlpm.RECT,                     OR(ISNUMBER(SEARCH("RECT",Z25)),ISNUMBER(SEARCH("PL",Y25))),
_xlpm.WideFlange,               OR(ISNUMBER(SEARCH("Wide Flange",Z25)),ISNUMBER(SEARCH("Tee",Z25)),ISNUMBER(SEARCH("W",Y25))),
_xlpm.Channel,                  OR(ISNUMBER(SEARCH("Channel",Z25)),ISNUMBER(SEARCH("C",Y25))),
IF(_xlpm.WideFlange,            INDEX('[2]AISC Database v16.0'!$O:$O,
                          MATCH(Y25,'[2]AISC Database v16.0'!$B:$B,0)),
IF(_xlpm.Channel,               INDEX('[2]AISC Database v16.0'!$O:$O,
                          MATCH(Y25,'[2]AISC Database v16.0'!$B:$B,0)),
IF(_xlpm.BAR,                   INDEX('[2]AISC Database v16.0'!$T:$T,
                          MATCH(Y25,'[2]AISC Database v16.0'!$B:$B,0)),
IF(_xlpm.SingleAngle,           INDEX('[2]AISC Database v16.0'!$T:$T,
                          MATCH(Y25,'[2]AISC Database v16.0'!$B:$B,0)),
IF(_xlpm.DoubleAngle,           INDEX('[2]AISC Database v16.0'!$T:$T,
                          MATCH(Y25,'[2]AISC Database v16.0'!$B:$B,0)),
IF(_xlpm.RECT,                  INDEX('[2]AISC Database v16.0'!$T:$T,
                          MATCH(Y25,'[2]AISC Database v16.0'!$B:$B,0)),
IF(AND(_xlpm.HSS,NOT(_xlpm.HSSPipe)), INDEX('[2]AISC Database v16.0'!$U:$U,
                          MATCH(Y25,'[2]AISC Database v16.0'!$B:$B,0)),
IF(OR(_xlpm.Pipe, _xlpm.HSSPipe),     INDEX('[2]AISC Database v16.0'!$U:$U,
                          MATCH(Y25,'[2]AISC Database v16.0'!$B:$B,0)),
0))))))))),0)))</f>
        <v/>
      </c>
      <c r="AE25" s="230" t="str">
        <f t="shared" si="0"/>
        <v/>
      </c>
      <c r="AF25" s="229" t="str">
        <f>IF(X25="","",
IF(OR(X25="RIGID",X25="GEN1A"), 0,
IFERROR(INDEX('[2]AISC Database v16.0'!$M:$M, MATCH(Y25,'[2]AISC Database v16.0'!$B:$B,0)), 0)))</f>
        <v/>
      </c>
      <c r="AG25" s="229" t="str">
        <f>IF(X25="","",
IF(OR(X25="RIGID",X25="GEN1A"), 0,
IFERROR(INDEX('[2]AISC Database v16.0'!$C:$C, MATCH(Y25,'[2]AISC Database v16.0'!$B:$B,0)), 0)))</f>
        <v/>
      </c>
      <c r="AR25" s="209"/>
      <c r="AS25" s="209">
        <f>+IFERROR(IF(VLOOKUP($B25,$E$6:$K203,6,0)=0,$O25/12*COS(PI()/180*($P25+0))^2,IF(AND(ABS(VLOOKUP($B25,$E$6:$K203,6,0))&gt;0,$P25=0),$O25/12*COS(PI()/180*($P25+0))^2,IF(AND(ABS(VLOOKUP($B25,$E$6:$K203,6,0))&gt;0,ABS($P25)&gt;0),$O25/12*COS(PI()/180*($P25+0))^2))),0)</f>
        <v>0</v>
      </c>
      <c r="AT25" s="209">
        <f>+IFERROR(IF(VLOOKUP($B25,$E$6:$K203,6,0)=0,0,IF(AND(ABS(VLOOKUP($B25,$E$6:$K203,6,0))&gt;0,$P25=0),ABS(VLOOKUP($B25,$E$6:$K203,6,0))*SIN(PI()/180*($P25+0))^2,IF(AND(ABS(VLOOKUP($B25,$E$6:$K203,6,0))&gt;0,ABS($P25)&gt;0),ABS(VLOOKUP($B25,$E$6:$K203,6,0))*SIN(PI()/180*($P25+0))^2))),0)*IF(RISA3D.Unit.Length="in",1/12,1)</f>
        <v>0</v>
      </c>
      <c r="AU25" s="209">
        <f t="shared" si="1"/>
        <v>0</v>
      </c>
      <c r="AV25" s="209">
        <f>+IFERROR(+IF(VLOOKUP($M25,$S$6:$V203,3,0)=VLOOKUP($N25,$S$6:$V203,3,0), ((((($O25/12+(2*0.5/12))*((VLOOKUP($C25,rngR3DSectionSets,5,0)/12)+(2*0.5/12)))-($O25/12*(VLOOKUP($C25,rngR3DSectionSets,5,0)/12)))*1.2*COS(PI()/180*($P25))^2)) + AU25, (((((AS25+(2*0.5/12))*((VLOOKUP($C25,rngR3DSectionSets,5,0)/12)+(2*0.5/12)))-(AS25*(VLOOKUP($C25,rngR3DSectionSets,5,0)/12)))+(((AT25+(2*0.5/12))*((VLOOKUP($C25,rngR3DSectionSets,5,0)/12)+(2*0.5/12)))-(AT25*(VLOOKUP($C25,rngR3DSectionSets,5,0)/12))))*1.2) + AU25),0)</f>
        <v>0</v>
      </c>
      <c r="AW25" s="209">
        <f>+IFERROR(+IF(VLOOKUP($M25,$S$6:$V203,3,0)=VLOOKUP($N25,$S$6:$V203,3,0), ((((($O25/12+(2*1/12))*((VLOOKUP($C25,rngR3DSectionSets,5,0)/12)+(2*1/12)))-($O25/12*(VLOOKUP($C25,rngR3DSectionSets,5,0)/12)))*1.2*COS(PI()/180*($P25))^2)) + AU25, (((((AS25+(2*1/12))*((VLOOKUP($C25,rngR3DSectionSets,5,0)/12)+(2*1/12)))-(AS25*(VLOOKUP($C25,rngR3DSectionSets,5,0)/12)))+(((AT25+(2*1/12))*((VLOOKUP($C25,rngR3DSectionSets,5,0)/12)+(2*1/12)))-(AT25*(VLOOKUP($C25,rngR3DSectionSets,5,0)/12))))*1.2) + AU25),0)</f>
        <v>0</v>
      </c>
      <c r="AX25" s="209">
        <f>+IFERROR(IF(VLOOKUP($B25,$E$6:$K203,6,0)=0,$O25/12*COS(PI()/180*($P25+90))^2,IF(AND(ABS(VLOOKUP($B25,$E$6:$K203,6,0))&gt;0,$P25=0),$O25/12*COS(PI()/180*($P25+90))^2,IF(AND(ABS(VLOOKUP($B25,$E$6:$K203,6,0))&gt;0,ABS($P25)&gt;0),$O25/12*COS(PI()/180*($P25+90))^2))),0)</f>
        <v>0</v>
      </c>
      <c r="AY25" s="209">
        <f>+IFERROR(IF(VLOOKUP($B25,$E$6:$K203,6,0)=0,0,IF(AND(ABS(VLOOKUP($B25,$E$6:$K203,6,0))&gt;0,$P25=0),ABS(VLOOKUP($B25,$E$6:$K203,6,0))*SIN(PI()/180*($P25+90))^2,IF(AND(ABS(VLOOKUP($B25,$E$6:$K203,6,0))&gt;0,ABS($P25)&gt;0),ABS(VLOOKUP($B25,$E$6:$K203,6,0))*SIN(PI()/180*($P25+90))^2))),0)*IF(RISA3D.Unit.Length="in",1/12,1)</f>
        <v>0</v>
      </c>
      <c r="AZ25" s="209">
        <f t="shared" si="2"/>
        <v>0</v>
      </c>
      <c r="BA25" s="209">
        <f>+IFERROR(+IF(VLOOKUP($M25,$S$6:$V203,3,0)=VLOOKUP($N25,$S$6:$V203,3,0), ((((($O25/12+(2*0.5/12))*((VLOOKUP($C25,rngR3DSectionSets,5,0)/12)+(2*0.5/12)))-($O25/12*(VLOOKUP($C25,rngR3DSectionSets,5,0)/12)))*1.2*COS(PI()/180*($P25))^2)) + AZ25, (((((AX25+(2*0.5/12))*((VLOOKUP($C25,rngR3DSectionSets,5,0)/12)+(2*0.5/12)))-(AX25*(VLOOKUP($C25,rngR3DSectionSets,5,0)/12)))+(((AY25+(2*0.5/12))*((VLOOKUP($C25,rngR3DSectionSets,5,0)/12)+(2*0.5/12)))-(AY25*(VLOOKUP($C25,rngR3DSectionSets,5,0)/12))))*1.2) + AZ25),0)</f>
        <v>0</v>
      </c>
      <c r="BB25" s="209">
        <f>+IFERROR(+IF(VLOOKUP($M25,$S$6:$V203,3,0)=VLOOKUP($N25,$S$6:$V203,3,0), ((((($O25/12+(2*1/12))*((VLOOKUP($C25,rngR3DSectionSets,5,0)/12)+(2*1/12)))-($O25/12*(VLOOKUP($C25,rngR3DSectionSets,5,0)/12)))*1.2*COS(PI()/180*($P25))^2)) + AZ25, (((((AX25+(2*1/12))*((VLOOKUP($C25,rngR3DSectionSets,5,0)/12)+(2*1/12)))-(AX25*(VLOOKUP($C25,rngR3DSectionSets,5,0)/12)))+(((AY25+(2*1/12))*((VLOOKUP($C25,rngR3DSectionSets,5,0)/12)+(2*1/12)))-(AY25*(VLOOKUP($C25,rngR3DSectionSets,5,0)/12))))*1.2) + AZ25),0)</f>
        <v>0</v>
      </c>
      <c r="BC25" s="209">
        <f t="shared" si="3"/>
        <v>0</v>
      </c>
      <c r="BD25" s="209">
        <f t="shared" si="4"/>
        <v>0</v>
      </c>
      <c r="BE25" s="209">
        <f t="shared" si="5"/>
        <v>0</v>
      </c>
      <c r="BF25" s="209"/>
      <c r="BG25" s="209"/>
    </row>
    <row r="26" spans="2:59" ht="15" customHeight="1" x14ac:dyDescent="0.2">
      <c r="B26" s="207"/>
      <c r="C26" s="207"/>
      <c r="D26" s="207"/>
      <c r="E26" s="207"/>
      <c r="F26" s="207"/>
      <c r="G26" s="207"/>
      <c r="H26" s="207"/>
      <c r="I26" s="207"/>
      <c r="J26" s="207"/>
      <c r="K26" s="207"/>
      <c r="L26" s="207"/>
      <c r="M26" s="207"/>
      <c r="N26" s="207"/>
      <c r="O26" s="207"/>
      <c r="P26" s="207"/>
      <c r="Q26" s="207"/>
      <c r="R26" s="207"/>
      <c r="S26" s="207"/>
      <c r="T26" s="228"/>
      <c r="U26" s="228"/>
      <c r="V26" s="228"/>
      <c r="X26" s="189"/>
      <c r="Y26" s="189"/>
      <c r="Z26" s="189"/>
      <c r="AA26" s="190"/>
      <c r="AB26" s="229" t="str">
        <f>IF(X26="","",
IF(OR(X26="RIGID",X26="GEN1A"), 0,
IFERROR(_xlfn.LET(
_xlpm.BAR,                      OR(ISNUMBER(SEARCH("BAR",Z26)),ISNUMBER(SEARCH("SR",Y26))),
_xlpm.HSS,                      OR(ISNUMBER(SEARCH("HSS",Y26)),ISNUMBER(SEARCH("SquareTube",Z26)),NOT(ISNUMBER(SEARCH("HSS Pipe",Z26)))),
_xlpm.HSSPipe,                  OR(ISNUMBER(SEARCH("HSS Pipe",Z26)),ISNUMBER(SEARCH("Pipe",Z26)),ISNUMBER(SEARCH("Pipe",Y26))),
_xlpm.Pipe,                     OR(ISNUMBER(SEARCH("Pipe",Z26)),ISNUMBER(SEARCH("Pipe",Y26))),
_xlpm.SingleAngle,              OR(ISNUMBER(SEARCH("Single Angle",Z26)),AND(ISNUMBER(SEARCH("Angle",Z26)),ISNUMBER(SEARCH("Single",Z26)))),
_xlpm.DoubleAngle,              AND(ISNUMBER(SEARCH("Angle",Z26)),ISNUMBER(SEARCH("Double",Z26))),
_xlpm.RECT,                     OR(ISNUMBER(SEARCH("RECT",Z26)),ISNUMBER(SEARCH("PL",Y26))),
_xlpm.WideFlange,               OR(ISNUMBER(SEARCH("Wide Flange",Z26)),ISNUMBER(SEARCH("Tee",Z26)),ISNUMBER(SEARCH("W",Y26))),
_xlpm.Channel,                  OR(ISNUMBER(SEARCH("Channel",Z26)),ISNUMBER(SEARCH("C",Y26))),
IF(OR(_xlpm.WideFlange, _xlpm.Channel, _xlpm.SingleAngle, _xlpm.DoubleAngle, _xlpm.RECT),
                          INDEX('[2]AISC Database v16.0'!$D:$D,
                          MATCH(Y26,'[2]AISC Database v16.0'!$B:$B,0)),
IF(AND(_xlpm.HSS,NOT(_xlpm.HSSPipe)), INDEX('[2]AISC Database v16.0'!$F:$F,
                          MATCH(Y26,'[2]AISC Database v16.0'!$B:$B,0)),
IF(OR(_xlpm.Pipe, _xlpm.HSSPipe, _xlpm.BAR),
                          INDEX('[2]AISC Database v16.0'!$H:$H,
                          MATCH(Y26,'[2]AISC Database v16.0'!$B:$B,0)),
0)))),0)))</f>
        <v/>
      </c>
      <c r="AC26" s="229" t="str">
        <f>IF(X26="","",
IF(OR(X26="RIGID",X26="GEN1A"), 0,
IFERROR(_xlfn.LET(
_xlpm.BAR,                      OR(ISNUMBER(SEARCH("BAR",Z26)),ISNUMBER(SEARCH("SR",Y26))),
_xlpm.HSS,                      OR(ISNUMBER(SEARCH("HSS",Y26)),ISNUMBER(SEARCH("SquareTube",Z26)),NOT(ISNUMBER(SEARCH("HSS Pipe",Z26)))),
_xlpm.HSSPipe,                  OR(ISNUMBER(SEARCH("HSS Pipe",Z26)),ISNUMBER(SEARCH("Pipe",Z26)),ISNUMBER(SEARCH("Pipe",Y26))),
_xlpm.Pipe,                     OR(ISNUMBER(SEARCH("Pipe",Z26)),ISNUMBER(SEARCH("Pipe",Y26))),
_xlpm.SingleAngle,              OR(ISNUMBER(SEARCH("Single Angle",Z26)),AND(ISNUMBER(SEARCH("Angle",Z26)),ISNUMBER(SEARCH("Single",Z26)))),
_xlpm.DoubleAngle,              AND(ISNUMBER(SEARCH("Angle",Z26)),ISNUMBER(SEARCH("Double",Z26))),
_xlpm.RECT,                     OR(ISNUMBER(SEARCH("RECT",Z26)),ISNUMBER(SEARCH("PL",Y26))),
_xlpm.WideFlange,               OR(ISNUMBER(SEARCH("Wide Flange",Z26)),ISNUMBER(SEARCH("Tee",Z26)),ISNUMBER(SEARCH("W",Y26))),
_xlpm.Channel,                  OR(ISNUMBER(SEARCH("Channel",Z26)),ISNUMBER(SEARCH("C",Y26))),
IF(OR(_xlpm.WideFlange, _xlpm.Channel),
                          INDEX('[2]AISC Database v16.0'!$I:$I,
                          MATCH(Y26,'[2]AISC Database v16.0'!$B:$B,0)),
IF(OR(_xlpm.SingleAngle, _xlpm.DoubleAngle, _xlpm.RECT),
                          INDEX('[2]AISC Database v16.0'!$L:$L,
                          MATCH(Y26,'[2]AISC Database v16.0'!$B:$B,0)),
IF(AND(_xlpm.HSS,NOT(_xlpm.HSSPipe)),
                          INDEX('[2]AISC Database v16.0'!$K:$K,
                          MATCH(Y26,'[2]AISC Database v16.0'!$B:$B,0)),
IF(OR(_xlpm.Pipe, _xlpm.HSSPipe, _xlpm.BAR),
                          INDEX('[2]AISC Database v16.0'!$H:$H,
                          MATCH(Y26,'[2]AISC Database v16.0'!$B:$B,0)),
0))))),0)))</f>
        <v/>
      </c>
      <c r="AD26" s="230" t="str">
        <f>IF(X26="","",
IF(OR(X26="RIGID",X26="GEN1A"), 0,
IFERROR(_xlfn.LET(
_xlpm.BAR,                      OR(ISNUMBER(SEARCH("BAR",Z26)),ISNUMBER(SEARCH("SR",Y26))),
_xlpm.HSS,                      OR(ISNUMBER(SEARCH("HSS",Y26)),ISNUMBER(SEARCH("SquareTube",Z26)),NOT(ISNUMBER(SEARCH("HSS Pipe",Z26)))),
_xlpm.HSSPipe,                  OR(ISNUMBER(SEARCH("HSS Pipe",Z26)),ISNUMBER(SEARCH("Pipe",Z26)),ISNUMBER(SEARCH("Pipe",Y26))),
_xlpm.Pipe,                     OR(ISNUMBER(SEARCH("Pipe",Z26)),ISNUMBER(SEARCH("Pipe",Y26))),
_xlpm.SingleAngle,              OR(ISNUMBER(SEARCH("Single Angle",Z26)),AND(ISNUMBER(SEARCH("Angle",Z26)),ISNUMBER(SEARCH("Single",Z26)))),
_xlpm.DoubleAngle,              AND(ISNUMBER(SEARCH("Angle",Z26)),ISNUMBER(SEARCH("Double",Z26))),
_xlpm.RECT,                     OR(ISNUMBER(SEARCH("RECT",Z26)),ISNUMBER(SEARCH("PL",Y26))),
_xlpm.WideFlange,               OR(ISNUMBER(SEARCH("Wide Flange",Z26)),ISNUMBER(SEARCH("Tee",Z26)),ISNUMBER(SEARCH("W",Y26))),
_xlpm.Channel,                  OR(ISNUMBER(SEARCH("Channel",Z26)),ISNUMBER(SEARCH("C",Y26))),
IF(_xlpm.WideFlange,            INDEX('[2]AISC Database v16.0'!$O:$O,
                          MATCH(Y26,'[2]AISC Database v16.0'!$B:$B,0)),
IF(_xlpm.Channel,               INDEX('[2]AISC Database v16.0'!$O:$O,
                          MATCH(Y26,'[2]AISC Database v16.0'!$B:$B,0)),
IF(_xlpm.BAR,                   INDEX('[2]AISC Database v16.0'!$T:$T,
                          MATCH(Y26,'[2]AISC Database v16.0'!$B:$B,0)),
IF(_xlpm.SingleAngle,           INDEX('[2]AISC Database v16.0'!$T:$T,
                          MATCH(Y26,'[2]AISC Database v16.0'!$B:$B,0)),
IF(_xlpm.DoubleAngle,           INDEX('[2]AISC Database v16.0'!$T:$T,
                          MATCH(Y26,'[2]AISC Database v16.0'!$B:$B,0)),
IF(_xlpm.RECT,                  INDEX('[2]AISC Database v16.0'!$T:$T,
                          MATCH(Y26,'[2]AISC Database v16.0'!$B:$B,0)),
IF(AND(_xlpm.HSS,NOT(_xlpm.HSSPipe)), INDEX('[2]AISC Database v16.0'!$U:$U,
                          MATCH(Y26,'[2]AISC Database v16.0'!$B:$B,0)),
IF(OR(_xlpm.Pipe, _xlpm.HSSPipe),     INDEX('[2]AISC Database v16.0'!$U:$U,
                          MATCH(Y26,'[2]AISC Database v16.0'!$B:$B,0)),
0))))))))),0)))</f>
        <v/>
      </c>
      <c r="AE26" s="230" t="str">
        <f t="shared" si="0"/>
        <v/>
      </c>
      <c r="AF26" s="229" t="str">
        <f>IF(X26="","",
IF(OR(X26="RIGID",X26="GEN1A"), 0,
IFERROR(INDEX('[2]AISC Database v16.0'!$M:$M, MATCH(Y26,'[2]AISC Database v16.0'!$B:$B,0)), 0)))</f>
        <v/>
      </c>
      <c r="AG26" s="229" t="str">
        <f>IF(X26="","",
IF(OR(X26="RIGID",X26="GEN1A"), 0,
IFERROR(INDEX('[2]AISC Database v16.0'!$C:$C, MATCH(Y26,'[2]AISC Database v16.0'!$B:$B,0)), 0)))</f>
        <v/>
      </c>
      <c r="AR26" s="209"/>
      <c r="AS26" s="209">
        <f>+IFERROR(IF(VLOOKUP($B26,$E$6:$K203,6,0)=0,$O26/12*COS(PI()/180*($P26+0))^2,IF(AND(ABS(VLOOKUP($B26,$E$6:$K203,6,0))&gt;0,$P26=0),$O26/12*COS(PI()/180*($P26+0))^2,IF(AND(ABS(VLOOKUP($B26,$E$6:$K203,6,0))&gt;0,ABS($P26)&gt;0),$O26/12*COS(PI()/180*($P26+0))^2))),0)</f>
        <v>0</v>
      </c>
      <c r="AT26" s="209">
        <f>+IFERROR(IF(VLOOKUP($B26,$E$6:$K203,6,0)=0,0,IF(AND(ABS(VLOOKUP($B26,$E$6:$K203,6,0))&gt;0,$P26=0),ABS(VLOOKUP($B26,$E$6:$K203,6,0))*SIN(PI()/180*($P26+0))^2,IF(AND(ABS(VLOOKUP($B26,$E$6:$K203,6,0))&gt;0,ABS($P26)&gt;0),ABS(VLOOKUP($B26,$E$6:$K203,6,0))*SIN(PI()/180*($P26+0))^2))),0)*IF(RISA3D.Unit.Length="in",1/12,1)</f>
        <v>0</v>
      </c>
      <c r="AU26" s="209">
        <f t="shared" si="1"/>
        <v>0</v>
      </c>
      <c r="AV26" s="209">
        <f>+IFERROR(+IF(VLOOKUP($M26,$S$6:$V203,3,0)=VLOOKUP($N26,$S$6:$V203,3,0), ((((($O26/12+(2*0.5/12))*((VLOOKUP($C26,rngR3DSectionSets,5,0)/12)+(2*0.5/12)))-($O26/12*(VLOOKUP($C26,rngR3DSectionSets,5,0)/12)))*1.2*COS(PI()/180*($P26))^2)) + AU26, (((((AS26+(2*0.5/12))*((VLOOKUP($C26,rngR3DSectionSets,5,0)/12)+(2*0.5/12)))-(AS26*(VLOOKUP($C26,rngR3DSectionSets,5,0)/12)))+(((AT26+(2*0.5/12))*((VLOOKUP($C26,rngR3DSectionSets,5,0)/12)+(2*0.5/12)))-(AT26*(VLOOKUP($C26,rngR3DSectionSets,5,0)/12))))*1.2) + AU26),0)</f>
        <v>0</v>
      </c>
      <c r="AW26" s="209">
        <f>+IFERROR(+IF(VLOOKUP($M26,$S$6:$V203,3,0)=VLOOKUP($N26,$S$6:$V203,3,0), ((((($O26/12+(2*1/12))*((VLOOKUP($C26,rngR3DSectionSets,5,0)/12)+(2*1/12)))-($O26/12*(VLOOKUP($C26,rngR3DSectionSets,5,0)/12)))*1.2*COS(PI()/180*($P26))^2)) + AU26, (((((AS26+(2*1/12))*((VLOOKUP($C26,rngR3DSectionSets,5,0)/12)+(2*1/12)))-(AS26*(VLOOKUP($C26,rngR3DSectionSets,5,0)/12)))+(((AT26+(2*1/12))*((VLOOKUP($C26,rngR3DSectionSets,5,0)/12)+(2*1/12)))-(AT26*(VLOOKUP($C26,rngR3DSectionSets,5,0)/12))))*1.2) + AU26),0)</f>
        <v>0</v>
      </c>
      <c r="AX26" s="209">
        <f>+IFERROR(IF(VLOOKUP($B26,$E$6:$K203,6,0)=0,$O26/12*COS(PI()/180*($P26+90))^2,IF(AND(ABS(VLOOKUP($B26,$E$6:$K203,6,0))&gt;0,$P26=0),$O26/12*COS(PI()/180*($P26+90))^2,IF(AND(ABS(VLOOKUP($B26,$E$6:$K203,6,0))&gt;0,ABS($P26)&gt;0),$O26/12*COS(PI()/180*($P26+90))^2))),0)</f>
        <v>0</v>
      </c>
      <c r="AY26" s="209">
        <f>+IFERROR(IF(VLOOKUP($B26,$E$6:$K203,6,0)=0,0,IF(AND(ABS(VLOOKUP($B26,$E$6:$K203,6,0))&gt;0,$P26=0),ABS(VLOOKUP($B26,$E$6:$K203,6,0))*SIN(PI()/180*($P26+90))^2,IF(AND(ABS(VLOOKUP($B26,$E$6:$K203,6,0))&gt;0,ABS($P26)&gt;0),ABS(VLOOKUP($B26,$E$6:$K203,6,0))*SIN(PI()/180*($P26+90))^2))),0)*IF(RISA3D.Unit.Length="in",1/12,1)</f>
        <v>0</v>
      </c>
      <c r="AZ26" s="209">
        <f t="shared" si="2"/>
        <v>0</v>
      </c>
      <c r="BA26" s="209">
        <f>+IFERROR(+IF(VLOOKUP($M26,$S$6:$V203,3,0)=VLOOKUP($N26,$S$6:$V203,3,0), ((((($O26/12+(2*0.5/12))*((VLOOKUP($C26,rngR3DSectionSets,5,0)/12)+(2*0.5/12)))-($O26/12*(VLOOKUP($C26,rngR3DSectionSets,5,0)/12)))*1.2*COS(PI()/180*($P26))^2)) + AZ26, (((((AX26+(2*0.5/12))*((VLOOKUP($C26,rngR3DSectionSets,5,0)/12)+(2*0.5/12)))-(AX26*(VLOOKUP($C26,rngR3DSectionSets,5,0)/12)))+(((AY26+(2*0.5/12))*((VLOOKUP($C26,rngR3DSectionSets,5,0)/12)+(2*0.5/12)))-(AY26*(VLOOKUP($C26,rngR3DSectionSets,5,0)/12))))*1.2) + AZ26),0)</f>
        <v>0</v>
      </c>
      <c r="BB26" s="209">
        <f>+IFERROR(+IF(VLOOKUP($M26,$S$6:$V203,3,0)=VLOOKUP($N26,$S$6:$V203,3,0), ((((($O26/12+(2*1/12))*((VLOOKUP($C26,rngR3DSectionSets,5,0)/12)+(2*1/12)))-($O26/12*(VLOOKUP($C26,rngR3DSectionSets,5,0)/12)))*1.2*COS(PI()/180*($P26))^2)) + AZ26, (((((AX26+(2*1/12))*((VLOOKUP($C26,rngR3DSectionSets,5,0)/12)+(2*1/12)))-(AX26*(VLOOKUP($C26,rngR3DSectionSets,5,0)/12)))+(((AY26+(2*1/12))*((VLOOKUP($C26,rngR3DSectionSets,5,0)/12)+(2*1/12)))-(AY26*(VLOOKUP($C26,rngR3DSectionSets,5,0)/12))))*1.2) + AZ26),0)</f>
        <v>0</v>
      </c>
      <c r="BC26" s="209">
        <f t="shared" si="3"/>
        <v>0</v>
      </c>
      <c r="BD26" s="209">
        <f t="shared" si="4"/>
        <v>0</v>
      </c>
      <c r="BE26" s="209">
        <f t="shared" si="5"/>
        <v>0</v>
      </c>
      <c r="BF26" s="209"/>
      <c r="BG26" s="209"/>
    </row>
    <row r="27" spans="2:59" ht="15" customHeight="1" x14ac:dyDescent="0.2">
      <c r="B27" s="207"/>
      <c r="C27" s="207"/>
      <c r="D27" s="207"/>
      <c r="E27" s="207"/>
      <c r="F27" s="207"/>
      <c r="G27" s="207"/>
      <c r="H27" s="207"/>
      <c r="I27" s="207"/>
      <c r="J27" s="207"/>
      <c r="K27" s="207"/>
      <c r="L27" s="207"/>
      <c r="M27" s="207"/>
      <c r="N27" s="207"/>
      <c r="O27" s="207"/>
      <c r="P27" s="207"/>
      <c r="Q27" s="207"/>
      <c r="R27" s="207"/>
      <c r="S27" s="207"/>
      <c r="T27" s="228"/>
      <c r="U27" s="228"/>
      <c r="V27" s="228"/>
      <c r="X27" s="189"/>
      <c r="Y27" s="189"/>
      <c r="Z27" s="189"/>
      <c r="AA27" s="190"/>
      <c r="AB27" s="229" t="str">
        <f>IF(X27="","",
IF(OR(X27="RIGID",X27="GEN1A"), 0,
IFERROR(_xlfn.LET(
_xlpm.BAR,                      OR(ISNUMBER(SEARCH("BAR",Z27)),ISNUMBER(SEARCH("SR",Y27))),
_xlpm.HSS,                      OR(ISNUMBER(SEARCH("HSS",Y27)),ISNUMBER(SEARCH("SquareTube",Z27)),NOT(ISNUMBER(SEARCH("HSS Pipe",Z27)))),
_xlpm.HSSPipe,                  OR(ISNUMBER(SEARCH("HSS Pipe",Z27)),ISNUMBER(SEARCH("Pipe",Z27)),ISNUMBER(SEARCH("Pipe",Y27))),
_xlpm.Pipe,                     OR(ISNUMBER(SEARCH("Pipe",Z27)),ISNUMBER(SEARCH("Pipe",Y27))),
_xlpm.SingleAngle,              OR(ISNUMBER(SEARCH("Single Angle",Z27)),AND(ISNUMBER(SEARCH("Angle",Z27)),ISNUMBER(SEARCH("Single",Z27)))),
_xlpm.DoubleAngle,              AND(ISNUMBER(SEARCH("Angle",Z27)),ISNUMBER(SEARCH("Double",Z27))),
_xlpm.RECT,                     OR(ISNUMBER(SEARCH("RECT",Z27)),ISNUMBER(SEARCH("PL",Y27))),
_xlpm.WideFlange,               OR(ISNUMBER(SEARCH("Wide Flange",Z27)),ISNUMBER(SEARCH("Tee",Z27)),ISNUMBER(SEARCH("W",Y27))),
_xlpm.Channel,                  OR(ISNUMBER(SEARCH("Channel",Z27)),ISNUMBER(SEARCH("C",Y27))),
IF(OR(_xlpm.WideFlange, _xlpm.Channel, _xlpm.SingleAngle, _xlpm.DoubleAngle, _xlpm.RECT),
                          INDEX('[2]AISC Database v16.0'!$D:$D,
                          MATCH(Y27,'[2]AISC Database v16.0'!$B:$B,0)),
IF(AND(_xlpm.HSS,NOT(_xlpm.HSSPipe)), INDEX('[2]AISC Database v16.0'!$F:$F,
                          MATCH(Y27,'[2]AISC Database v16.0'!$B:$B,0)),
IF(OR(_xlpm.Pipe, _xlpm.HSSPipe, _xlpm.BAR),
                          INDEX('[2]AISC Database v16.0'!$H:$H,
                          MATCH(Y27,'[2]AISC Database v16.0'!$B:$B,0)),
0)))),0)))</f>
        <v/>
      </c>
      <c r="AC27" s="229" t="str">
        <f>IF(X27="","",
IF(OR(X27="RIGID",X27="GEN1A"), 0,
IFERROR(_xlfn.LET(
_xlpm.BAR,                      OR(ISNUMBER(SEARCH("BAR",Z27)),ISNUMBER(SEARCH("SR",Y27))),
_xlpm.HSS,                      OR(ISNUMBER(SEARCH("HSS",Y27)),ISNUMBER(SEARCH("SquareTube",Z27)),NOT(ISNUMBER(SEARCH("HSS Pipe",Z27)))),
_xlpm.HSSPipe,                  OR(ISNUMBER(SEARCH("HSS Pipe",Z27)),ISNUMBER(SEARCH("Pipe",Z27)),ISNUMBER(SEARCH("Pipe",Y27))),
_xlpm.Pipe,                     OR(ISNUMBER(SEARCH("Pipe",Z27)),ISNUMBER(SEARCH("Pipe",Y27))),
_xlpm.SingleAngle,              OR(ISNUMBER(SEARCH("Single Angle",Z27)),AND(ISNUMBER(SEARCH("Angle",Z27)),ISNUMBER(SEARCH("Single",Z27)))),
_xlpm.DoubleAngle,              AND(ISNUMBER(SEARCH("Angle",Z27)),ISNUMBER(SEARCH("Double",Z27))),
_xlpm.RECT,                     OR(ISNUMBER(SEARCH("RECT",Z27)),ISNUMBER(SEARCH("PL",Y27))),
_xlpm.WideFlange,               OR(ISNUMBER(SEARCH("Wide Flange",Z27)),ISNUMBER(SEARCH("Tee",Z27)),ISNUMBER(SEARCH("W",Y27))),
_xlpm.Channel,                  OR(ISNUMBER(SEARCH("Channel",Z27)),ISNUMBER(SEARCH("C",Y27))),
IF(OR(_xlpm.WideFlange, _xlpm.Channel),
                          INDEX('[2]AISC Database v16.0'!$I:$I,
                          MATCH(Y27,'[2]AISC Database v16.0'!$B:$B,0)),
IF(OR(_xlpm.SingleAngle, _xlpm.DoubleAngle, _xlpm.RECT),
                          INDEX('[2]AISC Database v16.0'!$L:$L,
                          MATCH(Y27,'[2]AISC Database v16.0'!$B:$B,0)),
IF(AND(_xlpm.HSS,NOT(_xlpm.HSSPipe)),
                          INDEX('[2]AISC Database v16.0'!$K:$K,
                          MATCH(Y27,'[2]AISC Database v16.0'!$B:$B,0)),
IF(OR(_xlpm.Pipe, _xlpm.HSSPipe, _xlpm.BAR),
                          INDEX('[2]AISC Database v16.0'!$H:$H,
                          MATCH(Y27,'[2]AISC Database v16.0'!$B:$B,0)),
0))))),0)))</f>
        <v/>
      </c>
      <c r="AD27" s="230" t="str">
        <f>IF(X27="","",
IF(OR(X27="RIGID",X27="GEN1A"), 0,
IFERROR(_xlfn.LET(
_xlpm.BAR,                      OR(ISNUMBER(SEARCH("BAR",Z27)),ISNUMBER(SEARCH("SR",Y27))),
_xlpm.HSS,                      OR(ISNUMBER(SEARCH("HSS",Y27)),ISNUMBER(SEARCH("SquareTube",Z27)),NOT(ISNUMBER(SEARCH("HSS Pipe",Z27)))),
_xlpm.HSSPipe,                  OR(ISNUMBER(SEARCH("HSS Pipe",Z27)),ISNUMBER(SEARCH("Pipe",Z27)),ISNUMBER(SEARCH("Pipe",Y27))),
_xlpm.Pipe,                     OR(ISNUMBER(SEARCH("Pipe",Z27)),ISNUMBER(SEARCH("Pipe",Y27))),
_xlpm.SingleAngle,              OR(ISNUMBER(SEARCH("Single Angle",Z27)),AND(ISNUMBER(SEARCH("Angle",Z27)),ISNUMBER(SEARCH("Single",Z27)))),
_xlpm.DoubleAngle,              AND(ISNUMBER(SEARCH("Angle",Z27)),ISNUMBER(SEARCH("Double",Z27))),
_xlpm.RECT,                     OR(ISNUMBER(SEARCH("RECT",Z27)),ISNUMBER(SEARCH("PL",Y27))),
_xlpm.WideFlange,               OR(ISNUMBER(SEARCH("Wide Flange",Z27)),ISNUMBER(SEARCH("Tee",Z27)),ISNUMBER(SEARCH("W",Y27))),
_xlpm.Channel,                  OR(ISNUMBER(SEARCH("Channel",Z27)),ISNUMBER(SEARCH("C",Y27))),
IF(_xlpm.WideFlange,            INDEX('[2]AISC Database v16.0'!$O:$O,
                          MATCH(Y27,'[2]AISC Database v16.0'!$B:$B,0)),
IF(_xlpm.Channel,               INDEX('[2]AISC Database v16.0'!$O:$O,
                          MATCH(Y27,'[2]AISC Database v16.0'!$B:$B,0)),
IF(_xlpm.BAR,                   INDEX('[2]AISC Database v16.0'!$T:$T,
                          MATCH(Y27,'[2]AISC Database v16.0'!$B:$B,0)),
IF(_xlpm.SingleAngle,           INDEX('[2]AISC Database v16.0'!$T:$T,
                          MATCH(Y27,'[2]AISC Database v16.0'!$B:$B,0)),
IF(_xlpm.DoubleAngle,           INDEX('[2]AISC Database v16.0'!$T:$T,
                          MATCH(Y27,'[2]AISC Database v16.0'!$B:$B,0)),
IF(_xlpm.RECT,                  INDEX('[2]AISC Database v16.0'!$T:$T,
                          MATCH(Y27,'[2]AISC Database v16.0'!$B:$B,0)),
IF(AND(_xlpm.HSS,NOT(_xlpm.HSSPipe)), INDEX('[2]AISC Database v16.0'!$U:$U,
                          MATCH(Y27,'[2]AISC Database v16.0'!$B:$B,0)),
IF(OR(_xlpm.Pipe, _xlpm.HSSPipe),     INDEX('[2]AISC Database v16.0'!$U:$U,
                          MATCH(Y27,'[2]AISC Database v16.0'!$B:$B,0)),
0))))))))),0)))</f>
        <v/>
      </c>
      <c r="AE27" s="230" t="str">
        <f t="shared" si="0"/>
        <v/>
      </c>
      <c r="AF27" s="229" t="str">
        <f>IF(X27="","",
IF(OR(X27="RIGID",X27="GEN1A"), 0,
IFERROR(INDEX('[2]AISC Database v16.0'!$M:$M, MATCH(Y27,'[2]AISC Database v16.0'!$B:$B,0)), 0)))</f>
        <v/>
      </c>
      <c r="AG27" s="229" t="str">
        <f>IF(X27="","",
IF(OR(X27="RIGID",X27="GEN1A"), 0,
IFERROR(INDEX('[2]AISC Database v16.0'!$C:$C, MATCH(Y27,'[2]AISC Database v16.0'!$B:$B,0)), 0)))</f>
        <v/>
      </c>
      <c r="AR27" s="209"/>
      <c r="AS27" s="209">
        <f>+IFERROR(IF(VLOOKUP($B27,$E$6:$K203,6,0)=0,$O27/12*COS(PI()/180*($P27+0))^2,IF(AND(ABS(VLOOKUP($B27,$E$6:$K203,6,0))&gt;0,$P27=0),$O27/12*COS(PI()/180*($P27+0))^2,IF(AND(ABS(VLOOKUP($B27,$E$6:$K203,6,0))&gt;0,ABS($P27)&gt;0),$O27/12*COS(PI()/180*($P27+0))^2))),0)</f>
        <v>0</v>
      </c>
      <c r="AT27" s="209">
        <f>+IFERROR(IF(VLOOKUP($B27,$E$6:$K203,6,0)=0,0,IF(AND(ABS(VLOOKUP($B27,$E$6:$K203,6,0))&gt;0,$P27=0),ABS(VLOOKUP($B27,$E$6:$K203,6,0))*SIN(PI()/180*($P27+0))^2,IF(AND(ABS(VLOOKUP($B27,$E$6:$K203,6,0))&gt;0,ABS($P27)&gt;0),ABS(VLOOKUP($B27,$E$6:$K203,6,0))*SIN(PI()/180*($P27+0))^2))),0)*IF(RISA3D.Unit.Length="in",1/12,1)</f>
        <v>0</v>
      </c>
      <c r="AU27" s="209">
        <f t="shared" si="1"/>
        <v>0</v>
      </c>
      <c r="AV27" s="209">
        <f>+IFERROR(+IF(VLOOKUP($M27,$S$6:$V203,3,0)=VLOOKUP($N27,$S$6:$V203,3,0), ((((($O27/12+(2*0.5/12))*((VLOOKUP($C27,rngR3DSectionSets,5,0)/12)+(2*0.5/12)))-($O27/12*(VLOOKUP($C27,rngR3DSectionSets,5,0)/12)))*1.2*COS(PI()/180*($P27))^2)) + AU27, (((((AS27+(2*0.5/12))*((VLOOKUP($C27,rngR3DSectionSets,5,0)/12)+(2*0.5/12)))-(AS27*(VLOOKUP($C27,rngR3DSectionSets,5,0)/12)))+(((AT27+(2*0.5/12))*((VLOOKUP($C27,rngR3DSectionSets,5,0)/12)+(2*0.5/12)))-(AT27*(VLOOKUP($C27,rngR3DSectionSets,5,0)/12))))*1.2) + AU27),0)</f>
        <v>0</v>
      </c>
      <c r="AW27" s="209">
        <f>+IFERROR(+IF(VLOOKUP($M27,$S$6:$V203,3,0)=VLOOKUP($N27,$S$6:$V203,3,0), ((((($O27/12+(2*1/12))*((VLOOKUP($C27,rngR3DSectionSets,5,0)/12)+(2*1/12)))-($O27/12*(VLOOKUP($C27,rngR3DSectionSets,5,0)/12)))*1.2*COS(PI()/180*($P27))^2)) + AU27, (((((AS27+(2*1/12))*((VLOOKUP($C27,rngR3DSectionSets,5,0)/12)+(2*1/12)))-(AS27*(VLOOKUP($C27,rngR3DSectionSets,5,0)/12)))+(((AT27+(2*1/12))*((VLOOKUP($C27,rngR3DSectionSets,5,0)/12)+(2*1/12)))-(AT27*(VLOOKUP($C27,rngR3DSectionSets,5,0)/12))))*1.2) + AU27),0)</f>
        <v>0</v>
      </c>
      <c r="AX27" s="209">
        <f>+IFERROR(IF(VLOOKUP($B27,$E$6:$K203,6,0)=0,$O27/12*COS(PI()/180*($P27+90))^2,IF(AND(ABS(VLOOKUP($B27,$E$6:$K203,6,0))&gt;0,$P27=0),$O27/12*COS(PI()/180*($P27+90))^2,IF(AND(ABS(VLOOKUP($B27,$E$6:$K203,6,0))&gt;0,ABS($P27)&gt;0),$O27/12*COS(PI()/180*($P27+90))^2))),0)</f>
        <v>0</v>
      </c>
      <c r="AY27" s="209">
        <f>+IFERROR(IF(VLOOKUP($B27,$E$6:$K203,6,0)=0,0,IF(AND(ABS(VLOOKUP($B27,$E$6:$K203,6,0))&gt;0,$P27=0),ABS(VLOOKUP($B27,$E$6:$K203,6,0))*SIN(PI()/180*($P27+90))^2,IF(AND(ABS(VLOOKUP($B27,$E$6:$K203,6,0))&gt;0,ABS($P27)&gt;0),ABS(VLOOKUP($B27,$E$6:$K203,6,0))*SIN(PI()/180*($P27+90))^2))),0)*IF(RISA3D.Unit.Length="in",1/12,1)</f>
        <v>0</v>
      </c>
      <c r="AZ27" s="209">
        <f t="shared" si="2"/>
        <v>0</v>
      </c>
      <c r="BA27" s="209">
        <f>+IFERROR(+IF(VLOOKUP($M27,$S$6:$V203,3,0)=VLOOKUP($N27,$S$6:$V203,3,0), ((((($O27/12+(2*0.5/12))*((VLOOKUP($C27,rngR3DSectionSets,5,0)/12)+(2*0.5/12)))-($O27/12*(VLOOKUP($C27,rngR3DSectionSets,5,0)/12)))*1.2*COS(PI()/180*($P27))^2)) + AZ27, (((((AX27+(2*0.5/12))*((VLOOKUP($C27,rngR3DSectionSets,5,0)/12)+(2*0.5/12)))-(AX27*(VLOOKUP($C27,rngR3DSectionSets,5,0)/12)))+(((AY27+(2*0.5/12))*((VLOOKUP($C27,rngR3DSectionSets,5,0)/12)+(2*0.5/12)))-(AY27*(VLOOKUP($C27,rngR3DSectionSets,5,0)/12))))*1.2) + AZ27),0)</f>
        <v>0</v>
      </c>
      <c r="BB27" s="209">
        <f>+IFERROR(+IF(VLOOKUP($M27,$S$6:$V203,3,0)=VLOOKUP($N27,$S$6:$V203,3,0), ((((($O27/12+(2*1/12))*((VLOOKUP($C27,rngR3DSectionSets,5,0)/12)+(2*1/12)))-($O27/12*(VLOOKUP($C27,rngR3DSectionSets,5,0)/12)))*1.2*COS(PI()/180*($P27))^2)) + AZ27, (((((AX27+(2*1/12))*((VLOOKUP($C27,rngR3DSectionSets,5,0)/12)+(2*1/12)))-(AX27*(VLOOKUP($C27,rngR3DSectionSets,5,0)/12)))+(((AY27+(2*1/12))*((VLOOKUP($C27,rngR3DSectionSets,5,0)/12)+(2*1/12)))-(AY27*(VLOOKUP($C27,rngR3DSectionSets,5,0)/12))))*1.2) + AZ27),0)</f>
        <v>0</v>
      </c>
      <c r="BC27" s="209">
        <f t="shared" si="3"/>
        <v>0</v>
      </c>
      <c r="BD27" s="209">
        <f t="shared" si="4"/>
        <v>0</v>
      </c>
      <c r="BE27" s="209">
        <f t="shared" si="5"/>
        <v>0</v>
      </c>
      <c r="BF27" s="209"/>
      <c r="BG27" s="209"/>
    </row>
    <row r="28" spans="2:59" ht="15" customHeight="1" x14ac:dyDescent="0.2">
      <c r="B28" s="207"/>
      <c r="C28" s="207"/>
      <c r="D28" s="207"/>
      <c r="E28" s="207"/>
      <c r="F28" s="207"/>
      <c r="G28" s="207"/>
      <c r="H28" s="207"/>
      <c r="I28" s="207"/>
      <c r="J28" s="207"/>
      <c r="K28" s="207"/>
      <c r="L28" s="207"/>
      <c r="M28" s="207"/>
      <c r="N28" s="207"/>
      <c r="O28" s="207"/>
      <c r="P28" s="207"/>
      <c r="Q28" s="207"/>
      <c r="R28" s="207"/>
      <c r="S28" s="207"/>
      <c r="T28" s="228"/>
      <c r="U28" s="228"/>
      <c r="V28" s="228"/>
      <c r="X28" s="189"/>
      <c r="Y28" s="189"/>
      <c r="Z28" s="189"/>
      <c r="AA28" s="190"/>
      <c r="AB28" s="229" t="str">
        <f>IF(X28="","",
IF(OR(X28="RIGID",X28="GEN1A"), 0,
IFERROR(_xlfn.LET(
_xlpm.BAR,                      OR(ISNUMBER(SEARCH("BAR",Z28)),ISNUMBER(SEARCH("SR",Y28))),
_xlpm.HSS,                      OR(ISNUMBER(SEARCH("HSS",Y28)),ISNUMBER(SEARCH("SquareTube",Z28)),NOT(ISNUMBER(SEARCH("HSS Pipe",Z28)))),
_xlpm.HSSPipe,                  OR(ISNUMBER(SEARCH("HSS Pipe",Z28)),ISNUMBER(SEARCH("Pipe",Z28)),ISNUMBER(SEARCH("Pipe",Y28))),
_xlpm.Pipe,                     OR(ISNUMBER(SEARCH("Pipe",Z28)),ISNUMBER(SEARCH("Pipe",Y28))),
_xlpm.SingleAngle,              OR(ISNUMBER(SEARCH("Single Angle",Z28)),AND(ISNUMBER(SEARCH("Angle",Z28)),ISNUMBER(SEARCH("Single",Z28)))),
_xlpm.DoubleAngle,              AND(ISNUMBER(SEARCH("Angle",Z28)),ISNUMBER(SEARCH("Double",Z28))),
_xlpm.RECT,                     OR(ISNUMBER(SEARCH("RECT",Z28)),ISNUMBER(SEARCH("PL",Y28))),
_xlpm.WideFlange,               OR(ISNUMBER(SEARCH("Wide Flange",Z28)),ISNUMBER(SEARCH("Tee",Z28)),ISNUMBER(SEARCH("W",Y28))),
_xlpm.Channel,                  OR(ISNUMBER(SEARCH("Channel",Z28)),ISNUMBER(SEARCH("C",Y28))),
IF(OR(_xlpm.WideFlange, _xlpm.Channel, _xlpm.SingleAngle, _xlpm.DoubleAngle, _xlpm.RECT),
                          INDEX('[2]AISC Database v16.0'!$D:$D,
                          MATCH(Y28,'[2]AISC Database v16.0'!$B:$B,0)),
IF(AND(_xlpm.HSS,NOT(_xlpm.HSSPipe)), INDEX('[2]AISC Database v16.0'!$F:$F,
                          MATCH(Y28,'[2]AISC Database v16.0'!$B:$B,0)),
IF(OR(_xlpm.Pipe, _xlpm.HSSPipe, _xlpm.BAR),
                          INDEX('[2]AISC Database v16.0'!$H:$H,
                          MATCH(Y28,'[2]AISC Database v16.0'!$B:$B,0)),
0)))),0)))</f>
        <v/>
      </c>
      <c r="AC28" s="229" t="str">
        <f>IF(X28="","",
IF(OR(X28="RIGID",X28="GEN1A"), 0,
IFERROR(_xlfn.LET(
_xlpm.BAR,                      OR(ISNUMBER(SEARCH("BAR",Z28)),ISNUMBER(SEARCH("SR",Y28))),
_xlpm.HSS,                      OR(ISNUMBER(SEARCH("HSS",Y28)),ISNUMBER(SEARCH("SquareTube",Z28)),NOT(ISNUMBER(SEARCH("HSS Pipe",Z28)))),
_xlpm.HSSPipe,                  OR(ISNUMBER(SEARCH("HSS Pipe",Z28)),ISNUMBER(SEARCH("Pipe",Z28)),ISNUMBER(SEARCH("Pipe",Y28))),
_xlpm.Pipe,                     OR(ISNUMBER(SEARCH("Pipe",Z28)),ISNUMBER(SEARCH("Pipe",Y28))),
_xlpm.SingleAngle,              OR(ISNUMBER(SEARCH("Single Angle",Z28)),AND(ISNUMBER(SEARCH("Angle",Z28)),ISNUMBER(SEARCH("Single",Z28)))),
_xlpm.DoubleAngle,              AND(ISNUMBER(SEARCH("Angle",Z28)),ISNUMBER(SEARCH("Double",Z28))),
_xlpm.RECT,                     OR(ISNUMBER(SEARCH("RECT",Z28)),ISNUMBER(SEARCH("PL",Y28))),
_xlpm.WideFlange,               OR(ISNUMBER(SEARCH("Wide Flange",Z28)),ISNUMBER(SEARCH("Tee",Z28)),ISNUMBER(SEARCH("W",Y28))),
_xlpm.Channel,                  OR(ISNUMBER(SEARCH("Channel",Z28)),ISNUMBER(SEARCH("C",Y28))),
IF(OR(_xlpm.WideFlange, _xlpm.Channel),
                          INDEX('[2]AISC Database v16.0'!$I:$I,
                          MATCH(Y28,'[2]AISC Database v16.0'!$B:$B,0)),
IF(OR(_xlpm.SingleAngle, _xlpm.DoubleAngle, _xlpm.RECT),
                          INDEX('[2]AISC Database v16.0'!$L:$L,
                          MATCH(Y28,'[2]AISC Database v16.0'!$B:$B,0)),
IF(AND(_xlpm.HSS,NOT(_xlpm.HSSPipe)),
                          INDEX('[2]AISC Database v16.0'!$K:$K,
                          MATCH(Y28,'[2]AISC Database v16.0'!$B:$B,0)),
IF(OR(_xlpm.Pipe, _xlpm.HSSPipe, _xlpm.BAR),
                          INDEX('[2]AISC Database v16.0'!$H:$H,
                          MATCH(Y28,'[2]AISC Database v16.0'!$B:$B,0)),
0))))),0)))</f>
        <v/>
      </c>
      <c r="AD28" s="230" t="str">
        <f>IF(X28="","",
IF(OR(X28="RIGID",X28="GEN1A"), 0,
IFERROR(_xlfn.LET(
_xlpm.BAR,                      OR(ISNUMBER(SEARCH("BAR",Z28)),ISNUMBER(SEARCH("SR",Y28))),
_xlpm.HSS,                      OR(ISNUMBER(SEARCH("HSS",Y28)),ISNUMBER(SEARCH("SquareTube",Z28)),NOT(ISNUMBER(SEARCH("HSS Pipe",Z28)))),
_xlpm.HSSPipe,                  OR(ISNUMBER(SEARCH("HSS Pipe",Z28)),ISNUMBER(SEARCH("Pipe",Z28)),ISNUMBER(SEARCH("Pipe",Y28))),
_xlpm.Pipe,                     OR(ISNUMBER(SEARCH("Pipe",Z28)),ISNUMBER(SEARCH("Pipe",Y28))),
_xlpm.SingleAngle,              OR(ISNUMBER(SEARCH("Single Angle",Z28)),AND(ISNUMBER(SEARCH("Angle",Z28)),ISNUMBER(SEARCH("Single",Z28)))),
_xlpm.DoubleAngle,              AND(ISNUMBER(SEARCH("Angle",Z28)),ISNUMBER(SEARCH("Double",Z28))),
_xlpm.RECT,                     OR(ISNUMBER(SEARCH("RECT",Z28)),ISNUMBER(SEARCH("PL",Y28))),
_xlpm.WideFlange,               OR(ISNUMBER(SEARCH("Wide Flange",Z28)),ISNUMBER(SEARCH("Tee",Z28)),ISNUMBER(SEARCH("W",Y28))),
_xlpm.Channel,                  OR(ISNUMBER(SEARCH("Channel",Z28)),ISNUMBER(SEARCH("C",Y28))),
IF(_xlpm.WideFlange,            INDEX('[2]AISC Database v16.0'!$O:$O,
                          MATCH(Y28,'[2]AISC Database v16.0'!$B:$B,0)),
IF(_xlpm.Channel,               INDEX('[2]AISC Database v16.0'!$O:$O,
                          MATCH(Y28,'[2]AISC Database v16.0'!$B:$B,0)),
IF(_xlpm.BAR,                   INDEX('[2]AISC Database v16.0'!$T:$T,
                          MATCH(Y28,'[2]AISC Database v16.0'!$B:$B,0)),
IF(_xlpm.SingleAngle,           INDEX('[2]AISC Database v16.0'!$T:$T,
                          MATCH(Y28,'[2]AISC Database v16.0'!$B:$B,0)),
IF(_xlpm.DoubleAngle,           INDEX('[2]AISC Database v16.0'!$T:$T,
                          MATCH(Y28,'[2]AISC Database v16.0'!$B:$B,0)),
IF(_xlpm.RECT,                  INDEX('[2]AISC Database v16.0'!$T:$T,
                          MATCH(Y28,'[2]AISC Database v16.0'!$B:$B,0)),
IF(AND(_xlpm.HSS,NOT(_xlpm.HSSPipe)), INDEX('[2]AISC Database v16.0'!$U:$U,
                          MATCH(Y28,'[2]AISC Database v16.0'!$B:$B,0)),
IF(OR(_xlpm.Pipe, _xlpm.HSSPipe),     INDEX('[2]AISC Database v16.0'!$U:$U,
                          MATCH(Y28,'[2]AISC Database v16.0'!$B:$B,0)),
0))))))))),0)))</f>
        <v/>
      </c>
      <c r="AE28" s="230" t="str">
        <f t="shared" si="0"/>
        <v/>
      </c>
      <c r="AF28" s="229" t="str">
        <f>IF(X28="","",
IF(OR(X28="RIGID",X28="GEN1A"), 0,
IFERROR(INDEX('[2]AISC Database v16.0'!$M:$M, MATCH(Y28,'[2]AISC Database v16.0'!$B:$B,0)), 0)))</f>
        <v/>
      </c>
      <c r="AG28" s="229" t="str">
        <f>IF(X28="","",
IF(OR(X28="RIGID",X28="GEN1A"), 0,
IFERROR(INDEX('[2]AISC Database v16.0'!$C:$C, MATCH(Y28,'[2]AISC Database v16.0'!$B:$B,0)), 0)))</f>
        <v/>
      </c>
      <c r="AR28" s="209"/>
      <c r="AS28" s="209">
        <f>+IFERROR(IF(VLOOKUP($B28,$E$6:$K203,6,0)=0,$O28/12*COS(PI()/180*($P28+0))^2,IF(AND(ABS(VLOOKUP($B28,$E$6:$K203,6,0))&gt;0,$P28=0),$O28/12*COS(PI()/180*($P28+0))^2,IF(AND(ABS(VLOOKUP($B28,$E$6:$K203,6,0))&gt;0,ABS($P28)&gt;0),$O28/12*COS(PI()/180*($P28+0))^2))),0)</f>
        <v>0</v>
      </c>
      <c r="AT28" s="209">
        <f>+IFERROR(IF(VLOOKUP($B28,$E$6:$K203,6,0)=0,0,IF(AND(ABS(VLOOKUP($B28,$E$6:$K203,6,0))&gt;0,$P28=0),ABS(VLOOKUP($B28,$E$6:$K203,6,0))*SIN(PI()/180*($P28+0))^2,IF(AND(ABS(VLOOKUP($B28,$E$6:$K203,6,0))&gt;0,ABS($P28)&gt;0),ABS(VLOOKUP($B28,$E$6:$K203,6,0))*SIN(PI()/180*($P28+0))^2))),0)*IF(RISA3D.Unit.Length="in",1/12,1)</f>
        <v>0</v>
      </c>
      <c r="AU28" s="209">
        <f t="shared" si="1"/>
        <v>0</v>
      </c>
      <c r="AV28" s="209">
        <f>+IFERROR(+IF(VLOOKUP($M28,$S$6:$V203,3,0)=VLOOKUP($N28,$S$6:$V203,3,0), ((((($O28/12+(2*0.5/12))*((VLOOKUP($C28,rngR3DSectionSets,5,0)/12)+(2*0.5/12)))-($O28/12*(VLOOKUP($C28,rngR3DSectionSets,5,0)/12)))*1.2*COS(PI()/180*($P28))^2)) + AU28, (((((AS28+(2*0.5/12))*((VLOOKUP($C28,rngR3DSectionSets,5,0)/12)+(2*0.5/12)))-(AS28*(VLOOKUP($C28,rngR3DSectionSets,5,0)/12)))+(((AT28+(2*0.5/12))*((VLOOKUP($C28,rngR3DSectionSets,5,0)/12)+(2*0.5/12)))-(AT28*(VLOOKUP($C28,rngR3DSectionSets,5,0)/12))))*1.2) + AU28),0)</f>
        <v>0</v>
      </c>
      <c r="AW28" s="209">
        <f>+IFERROR(+IF(VLOOKUP($M28,$S$6:$V203,3,0)=VLOOKUP($N28,$S$6:$V203,3,0), ((((($O28/12+(2*1/12))*((VLOOKUP($C28,rngR3DSectionSets,5,0)/12)+(2*1/12)))-($O28/12*(VLOOKUP($C28,rngR3DSectionSets,5,0)/12)))*1.2*COS(PI()/180*($P28))^2)) + AU28, (((((AS28+(2*1/12))*((VLOOKUP($C28,rngR3DSectionSets,5,0)/12)+(2*1/12)))-(AS28*(VLOOKUP($C28,rngR3DSectionSets,5,0)/12)))+(((AT28+(2*1/12))*((VLOOKUP($C28,rngR3DSectionSets,5,0)/12)+(2*1/12)))-(AT28*(VLOOKUP($C28,rngR3DSectionSets,5,0)/12))))*1.2) + AU28),0)</f>
        <v>0</v>
      </c>
      <c r="AX28" s="209">
        <f>+IFERROR(IF(VLOOKUP($B28,$E$6:$K203,6,0)=0,$O28/12*COS(PI()/180*($P28+90))^2,IF(AND(ABS(VLOOKUP($B28,$E$6:$K203,6,0))&gt;0,$P28=0),$O28/12*COS(PI()/180*($P28+90))^2,IF(AND(ABS(VLOOKUP($B28,$E$6:$K203,6,0))&gt;0,ABS($P28)&gt;0),$O28/12*COS(PI()/180*($P28+90))^2))),0)</f>
        <v>0</v>
      </c>
      <c r="AY28" s="209">
        <f>+IFERROR(IF(VLOOKUP($B28,$E$6:$K203,6,0)=0,0,IF(AND(ABS(VLOOKUP($B28,$E$6:$K203,6,0))&gt;0,$P28=0),ABS(VLOOKUP($B28,$E$6:$K203,6,0))*SIN(PI()/180*($P28+90))^2,IF(AND(ABS(VLOOKUP($B28,$E$6:$K203,6,0))&gt;0,ABS($P28)&gt;0),ABS(VLOOKUP($B28,$E$6:$K203,6,0))*SIN(PI()/180*($P28+90))^2))),0)*IF(RISA3D.Unit.Length="in",1/12,1)</f>
        <v>0</v>
      </c>
      <c r="AZ28" s="209">
        <f t="shared" si="2"/>
        <v>0</v>
      </c>
      <c r="BA28" s="209">
        <f>+IFERROR(+IF(VLOOKUP($M28,$S$6:$V203,3,0)=VLOOKUP($N28,$S$6:$V203,3,0), ((((($O28/12+(2*0.5/12))*((VLOOKUP($C28,rngR3DSectionSets,5,0)/12)+(2*0.5/12)))-($O28/12*(VLOOKUP($C28,rngR3DSectionSets,5,0)/12)))*1.2*COS(PI()/180*($P28))^2)) + AZ28, (((((AX28+(2*0.5/12))*((VLOOKUP($C28,rngR3DSectionSets,5,0)/12)+(2*0.5/12)))-(AX28*(VLOOKUP($C28,rngR3DSectionSets,5,0)/12)))+(((AY28+(2*0.5/12))*((VLOOKUP($C28,rngR3DSectionSets,5,0)/12)+(2*0.5/12)))-(AY28*(VLOOKUP($C28,rngR3DSectionSets,5,0)/12))))*1.2) + AZ28),0)</f>
        <v>0</v>
      </c>
      <c r="BB28" s="209">
        <f>+IFERROR(+IF(VLOOKUP($M28,$S$6:$V203,3,0)=VLOOKUP($N28,$S$6:$V203,3,0), ((((($O28/12+(2*1/12))*((VLOOKUP($C28,rngR3DSectionSets,5,0)/12)+(2*1/12)))-($O28/12*(VLOOKUP($C28,rngR3DSectionSets,5,0)/12)))*1.2*COS(PI()/180*($P28))^2)) + AZ28, (((((AX28+(2*1/12))*((VLOOKUP($C28,rngR3DSectionSets,5,0)/12)+(2*1/12)))-(AX28*(VLOOKUP($C28,rngR3DSectionSets,5,0)/12)))+(((AY28+(2*1/12))*((VLOOKUP($C28,rngR3DSectionSets,5,0)/12)+(2*1/12)))-(AY28*(VLOOKUP($C28,rngR3DSectionSets,5,0)/12))))*1.2) + AZ28),0)</f>
        <v>0</v>
      </c>
      <c r="BC28" s="209">
        <f t="shared" si="3"/>
        <v>0</v>
      </c>
      <c r="BD28" s="209">
        <f t="shared" si="4"/>
        <v>0</v>
      </c>
      <c r="BE28" s="209">
        <f t="shared" si="5"/>
        <v>0</v>
      </c>
      <c r="BF28" s="209"/>
      <c r="BG28" s="209"/>
    </row>
    <row r="29" spans="2:59" ht="15" customHeight="1" x14ac:dyDescent="0.2">
      <c r="B29" s="207"/>
      <c r="C29" s="207"/>
      <c r="D29" s="207"/>
      <c r="E29" s="207"/>
      <c r="F29" s="207"/>
      <c r="G29" s="207"/>
      <c r="H29" s="207"/>
      <c r="I29" s="207"/>
      <c r="J29" s="207"/>
      <c r="K29" s="207"/>
      <c r="L29" s="207"/>
      <c r="M29" s="207"/>
      <c r="N29" s="207"/>
      <c r="O29" s="207"/>
      <c r="P29" s="207"/>
      <c r="Q29" s="207"/>
      <c r="R29" s="207"/>
      <c r="S29" s="207"/>
      <c r="T29" s="228"/>
      <c r="U29" s="228"/>
      <c r="V29" s="228"/>
      <c r="X29" s="189"/>
      <c r="Y29" s="189"/>
      <c r="Z29" s="189"/>
      <c r="AA29" s="190"/>
      <c r="AB29" s="229" t="str">
        <f>IF(X29="","",
IF(OR(X29="RIGID",X29="GEN1A"), 0,
IFERROR(_xlfn.LET(
_xlpm.BAR,                      OR(ISNUMBER(SEARCH("BAR",Z29)),ISNUMBER(SEARCH("SR",Y29))),
_xlpm.HSS,                      OR(ISNUMBER(SEARCH("HSS",Y29)),ISNUMBER(SEARCH("SquareTube",Z29)),NOT(ISNUMBER(SEARCH("HSS Pipe",Z29)))),
_xlpm.HSSPipe,                  OR(ISNUMBER(SEARCH("HSS Pipe",Z29)),ISNUMBER(SEARCH("Pipe",Z29)),ISNUMBER(SEARCH("Pipe",Y29))),
_xlpm.Pipe,                     OR(ISNUMBER(SEARCH("Pipe",Z29)),ISNUMBER(SEARCH("Pipe",Y29))),
_xlpm.SingleAngle,              OR(ISNUMBER(SEARCH("Single Angle",Z29)),AND(ISNUMBER(SEARCH("Angle",Z29)),ISNUMBER(SEARCH("Single",Z29)))),
_xlpm.DoubleAngle,              AND(ISNUMBER(SEARCH("Angle",Z29)),ISNUMBER(SEARCH("Double",Z29))),
_xlpm.RECT,                     OR(ISNUMBER(SEARCH("RECT",Z29)),ISNUMBER(SEARCH("PL",Y29))),
_xlpm.WideFlange,               OR(ISNUMBER(SEARCH("Wide Flange",Z29)),ISNUMBER(SEARCH("Tee",Z29)),ISNUMBER(SEARCH("W",Y29))),
_xlpm.Channel,                  OR(ISNUMBER(SEARCH("Channel",Z29)),ISNUMBER(SEARCH("C",Y29))),
IF(OR(_xlpm.WideFlange, _xlpm.Channel, _xlpm.SingleAngle, _xlpm.DoubleAngle, _xlpm.RECT),
                          INDEX('[2]AISC Database v16.0'!$D:$D,
                          MATCH(Y29,'[2]AISC Database v16.0'!$B:$B,0)),
IF(AND(_xlpm.HSS,NOT(_xlpm.HSSPipe)), INDEX('[2]AISC Database v16.0'!$F:$F,
                          MATCH(Y29,'[2]AISC Database v16.0'!$B:$B,0)),
IF(OR(_xlpm.Pipe, _xlpm.HSSPipe, _xlpm.BAR),
                          INDEX('[2]AISC Database v16.0'!$H:$H,
                          MATCH(Y29,'[2]AISC Database v16.0'!$B:$B,0)),
0)))),0)))</f>
        <v/>
      </c>
      <c r="AC29" s="229" t="str">
        <f>IF(X29="","",
IF(OR(X29="RIGID",X29="GEN1A"), 0,
IFERROR(_xlfn.LET(
_xlpm.BAR,                      OR(ISNUMBER(SEARCH("BAR",Z29)),ISNUMBER(SEARCH("SR",Y29))),
_xlpm.HSS,                      OR(ISNUMBER(SEARCH("HSS",Y29)),ISNUMBER(SEARCH("SquareTube",Z29)),NOT(ISNUMBER(SEARCH("HSS Pipe",Z29)))),
_xlpm.HSSPipe,                  OR(ISNUMBER(SEARCH("HSS Pipe",Z29)),ISNUMBER(SEARCH("Pipe",Z29)),ISNUMBER(SEARCH("Pipe",Y29))),
_xlpm.Pipe,                     OR(ISNUMBER(SEARCH("Pipe",Z29)),ISNUMBER(SEARCH("Pipe",Y29))),
_xlpm.SingleAngle,              OR(ISNUMBER(SEARCH("Single Angle",Z29)),AND(ISNUMBER(SEARCH("Angle",Z29)),ISNUMBER(SEARCH("Single",Z29)))),
_xlpm.DoubleAngle,              AND(ISNUMBER(SEARCH("Angle",Z29)),ISNUMBER(SEARCH("Double",Z29))),
_xlpm.RECT,                     OR(ISNUMBER(SEARCH("RECT",Z29)),ISNUMBER(SEARCH("PL",Y29))),
_xlpm.WideFlange,               OR(ISNUMBER(SEARCH("Wide Flange",Z29)),ISNUMBER(SEARCH("Tee",Z29)),ISNUMBER(SEARCH("W",Y29))),
_xlpm.Channel,                  OR(ISNUMBER(SEARCH("Channel",Z29)),ISNUMBER(SEARCH("C",Y29))),
IF(OR(_xlpm.WideFlange, _xlpm.Channel),
                          INDEX('[2]AISC Database v16.0'!$I:$I,
                          MATCH(Y29,'[2]AISC Database v16.0'!$B:$B,0)),
IF(OR(_xlpm.SingleAngle, _xlpm.DoubleAngle, _xlpm.RECT),
                          INDEX('[2]AISC Database v16.0'!$L:$L,
                          MATCH(Y29,'[2]AISC Database v16.0'!$B:$B,0)),
IF(AND(_xlpm.HSS,NOT(_xlpm.HSSPipe)),
                          INDEX('[2]AISC Database v16.0'!$K:$K,
                          MATCH(Y29,'[2]AISC Database v16.0'!$B:$B,0)),
IF(OR(_xlpm.Pipe, _xlpm.HSSPipe, _xlpm.BAR),
                          INDEX('[2]AISC Database v16.0'!$H:$H,
                          MATCH(Y29,'[2]AISC Database v16.0'!$B:$B,0)),
0))))),0)))</f>
        <v/>
      </c>
      <c r="AD29" s="230" t="str">
        <f>IF(X29="","",
IF(OR(X29="RIGID",X29="GEN1A"), 0,
IFERROR(_xlfn.LET(
_xlpm.BAR,                      OR(ISNUMBER(SEARCH("BAR",Z29)),ISNUMBER(SEARCH("SR",Y29))),
_xlpm.HSS,                      OR(ISNUMBER(SEARCH("HSS",Y29)),ISNUMBER(SEARCH("SquareTube",Z29)),NOT(ISNUMBER(SEARCH("HSS Pipe",Z29)))),
_xlpm.HSSPipe,                  OR(ISNUMBER(SEARCH("HSS Pipe",Z29)),ISNUMBER(SEARCH("Pipe",Z29)),ISNUMBER(SEARCH("Pipe",Y29))),
_xlpm.Pipe,                     OR(ISNUMBER(SEARCH("Pipe",Z29)),ISNUMBER(SEARCH("Pipe",Y29))),
_xlpm.SingleAngle,              OR(ISNUMBER(SEARCH("Single Angle",Z29)),AND(ISNUMBER(SEARCH("Angle",Z29)),ISNUMBER(SEARCH("Single",Z29)))),
_xlpm.DoubleAngle,              AND(ISNUMBER(SEARCH("Angle",Z29)),ISNUMBER(SEARCH("Double",Z29))),
_xlpm.RECT,                     OR(ISNUMBER(SEARCH("RECT",Z29)),ISNUMBER(SEARCH("PL",Y29))),
_xlpm.WideFlange,               OR(ISNUMBER(SEARCH("Wide Flange",Z29)),ISNUMBER(SEARCH("Tee",Z29)),ISNUMBER(SEARCH("W",Y29))),
_xlpm.Channel,                  OR(ISNUMBER(SEARCH("Channel",Z29)),ISNUMBER(SEARCH("C",Y29))),
IF(_xlpm.WideFlange,            INDEX('[2]AISC Database v16.0'!$O:$O,
                          MATCH(Y29,'[2]AISC Database v16.0'!$B:$B,0)),
IF(_xlpm.Channel,               INDEX('[2]AISC Database v16.0'!$O:$O,
                          MATCH(Y29,'[2]AISC Database v16.0'!$B:$B,0)),
IF(_xlpm.BAR,                   INDEX('[2]AISC Database v16.0'!$T:$T,
                          MATCH(Y29,'[2]AISC Database v16.0'!$B:$B,0)),
IF(_xlpm.SingleAngle,           INDEX('[2]AISC Database v16.0'!$T:$T,
                          MATCH(Y29,'[2]AISC Database v16.0'!$B:$B,0)),
IF(_xlpm.DoubleAngle,           INDEX('[2]AISC Database v16.0'!$T:$T,
                          MATCH(Y29,'[2]AISC Database v16.0'!$B:$B,0)),
IF(_xlpm.RECT,                  INDEX('[2]AISC Database v16.0'!$T:$T,
                          MATCH(Y29,'[2]AISC Database v16.0'!$B:$B,0)),
IF(AND(_xlpm.HSS,NOT(_xlpm.HSSPipe)), INDEX('[2]AISC Database v16.0'!$U:$U,
                          MATCH(Y29,'[2]AISC Database v16.0'!$B:$B,0)),
IF(OR(_xlpm.Pipe, _xlpm.HSSPipe),     INDEX('[2]AISC Database v16.0'!$U:$U,
                          MATCH(Y29,'[2]AISC Database v16.0'!$B:$B,0)),
0))))))))),0)))</f>
        <v/>
      </c>
      <c r="AE29" s="230" t="str">
        <f t="shared" si="0"/>
        <v/>
      </c>
      <c r="AF29" s="229" t="str">
        <f>IF(X29="","",
IF(OR(X29="RIGID",X29="GEN1A"), 0,
IFERROR(INDEX('[2]AISC Database v16.0'!$M:$M, MATCH(Y29,'[2]AISC Database v16.0'!$B:$B,0)), 0)))</f>
        <v/>
      </c>
      <c r="AG29" s="229" t="str">
        <f>IF(X29="","",
IF(OR(X29="RIGID",X29="GEN1A"), 0,
IFERROR(INDEX('[2]AISC Database v16.0'!$C:$C, MATCH(Y29,'[2]AISC Database v16.0'!$B:$B,0)), 0)))</f>
        <v/>
      </c>
      <c r="AR29" s="209"/>
      <c r="AS29" s="209">
        <f>+IFERROR(IF(VLOOKUP($B29,$E$6:$K203,6,0)=0,$O29/12*COS(PI()/180*($P29+0))^2,IF(AND(ABS(VLOOKUP($B29,$E$6:$K203,6,0))&gt;0,$P29=0),$O29/12*COS(PI()/180*($P29+0))^2,IF(AND(ABS(VLOOKUP($B29,$E$6:$K203,6,0))&gt;0,ABS($P29)&gt;0),$O29/12*COS(PI()/180*($P29+0))^2))),0)</f>
        <v>0</v>
      </c>
      <c r="AT29" s="209">
        <f>+IFERROR(IF(VLOOKUP($B29,$E$6:$K203,6,0)=0,0,IF(AND(ABS(VLOOKUP($B29,$E$6:$K203,6,0))&gt;0,$P29=0),ABS(VLOOKUP($B29,$E$6:$K203,6,0))*SIN(PI()/180*($P29+0))^2,IF(AND(ABS(VLOOKUP($B29,$E$6:$K203,6,0))&gt;0,ABS($P29)&gt;0),ABS(VLOOKUP($B29,$E$6:$K203,6,0))*SIN(PI()/180*($P29+0))^2))),0)*IF(RISA3D.Unit.Length="in",1/12,1)</f>
        <v>0</v>
      </c>
      <c r="AU29" s="209">
        <f t="shared" si="1"/>
        <v>0</v>
      </c>
      <c r="AV29" s="209">
        <f>+IFERROR(+IF(VLOOKUP($M29,$S$6:$V203,3,0)=VLOOKUP($N29,$S$6:$V203,3,0), ((((($O29/12+(2*0.5/12))*((VLOOKUP($C29,rngR3DSectionSets,5,0)/12)+(2*0.5/12)))-($O29/12*(VLOOKUP($C29,rngR3DSectionSets,5,0)/12)))*1.2*COS(PI()/180*($P29))^2)) + AU29, (((((AS29+(2*0.5/12))*((VLOOKUP($C29,rngR3DSectionSets,5,0)/12)+(2*0.5/12)))-(AS29*(VLOOKUP($C29,rngR3DSectionSets,5,0)/12)))+(((AT29+(2*0.5/12))*((VLOOKUP($C29,rngR3DSectionSets,5,0)/12)+(2*0.5/12)))-(AT29*(VLOOKUP($C29,rngR3DSectionSets,5,0)/12))))*1.2) + AU29),0)</f>
        <v>0</v>
      </c>
      <c r="AW29" s="209">
        <f>+IFERROR(+IF(VLOOKUP($M29,$S$6:$V203,3,0)=VLOOKUP($N29,$S$6:$V203,3,0), ((((($O29/12+(2*1/12))*((VLOOKUP($C29,rngR3DSectionSets,5,0)/12)+(2*1/12)))-($O29/12*(VLOOKUP($C29,rngR3DSectionSets,5,0)/12)))*1.2*COS(PI()/180*($P29))^2)) + AU29, (((((AS29+(2*1/12))*((VLOOKUP($C29,rngR3DSectionSets,5,0)/12)+(2*1/12)))-(AS29*(VLOOKUP($C29,rngR3DSectionSets,5,0)/12)))+(((AT29+(2*1/12))*((VLOOKUP($C29,rngR3DSectionSets,5,0)/12)+(2*1/12)))-(AT29*(VLOOKUP($C29,rngR3DSectionSets,5,0)/12))))*1.2) + AU29),0)</f>
        <v>0</v>
      </c>
      <c r="AX29" s="209">
        <f>+IFERROR(IF(VLOOKUP($B29,$E$6:$K203,6,0)=0,$O29/12*COS(PI()/180*($P29+90))^2,IF(AND(ABS(VLOOKUP($B29,$E$6:$K203,6,0))&gt;0,$P29=0),$O29/12*COS(PI()/180*($P29+90))^2,IF(AND(ABS(VLOOKUP($B29,$E$6:$K203,6,0))&gt;0,ABS($P29)&gt;0),$O29/12*COS(PI()/180*($P29+90))^2))),0)</f>
        <v>0</v>
      </c>
      <c r="AY29" s="209">
        <f>+IFERROR(IF(VLOOKUP($B29,$E$6:$K203,6,0)=0,0,IF(AND(ABS(VLOOKUP($B29,$E$6:$K203,6,0))&gt;0,$P29=0),ABS(VLOOKUP($B29,$E$6:$K203,6,0))*SIN(PI()/180*($P29+90))^2,IF(AND(ABS(VLOOKUP($B29,$E$6:$K203,6,0))&gt;0,ABS($P29)&gt;0),ABS(VLOOKUP($B29,$E$6:$K203,6,0))*SIN(PI()/180*($P29+90))^2))),0)*IF(RISA3D.Unit.Length="in",1/12,1)</f>
        <v>0</v>
      </c>
      <c r="AZ29" s="209">
        <f t="shared" si="2"/>
        <v>0</v>
      </c>
      <c r="BA29" s="209">
        <f>+IFERROR(+IF(VLOOKUP($M29,$S$6:$V203,3,0)=VLOOKUP($N29,$S$6:$V203,3,0), ((((($O29/12+(2*0.5/12))*((VLOOKUP($C29,rngR3DSectionSets,5,0)/12)+(2*0.5/12)))-($O29/12*(VLOOKUP($C29,rngR3DSectionSets,5,0)/12)))*1.2*COS(PI()/180*($P29))^2)) + AZ29, (((((AX29+(2*0.5/12))*((VLOOKUP($C29,rngR3DSectionSets,5,0)/12)+(2*0.5/12)))-(AX29*(VLOOKUP($C29,rngR3DSectionSets,5,0)/12)))+(((AY29+(2*0.5/12))*((VLOOKUP($C29,rngR3DSectionSets,5,0)/12)+(2*0.5/12)))-(AY29*(VLOOKUP($C29,rngR3DSectionSets,5,0)/12))))*1.2) + AZ29),0)</f>
        <v>0</v>
      </c>
      <c r="BB29" s="209">
        <f>+IFERROR(+IF(VLOOKUP($M29,$S$6:$V203,3,0)=VLOOKUP($N29,$S$6:$V203,3,0), ((((($O29/12+(2*1/12))*((VLOOKUP($C29,rngR3DSectionSets,5,0)/12)+(2*1/12)))-($O29/12*(VLOOKUP($C29,rngR3DSectionSets,5,0)/12)))*1.2*COS(PI()/180*($P29))^2)) + AZ29, (((((AX29+(2*1/12))*((VLOOKUP($C29,rngR3DSectionSets,5,0)/12)+(2*1/12)))-(AX29*(VLOOKUP($C29,rngR3DSectionSets,5,0)/12)))+(((AY29+(2*1/12))*((VLOOKUP($C29,rngR3DSectionSets,5,0)/12)+(2*1/12)))-(AY29*(VLOOKUP($C29,rngR3DSectionSets,5,0)/12))))*1.2) + AZ29),0)</f>
        <v>0</v>
      </c>
      <c r="BC29" s="209">
        <f t="shared" si="3"/>
        <v>0</v>
      </c>
      <c r="BD29" s="209">
        <f t="shared" si="4"/>
        <v>0</v>
      </c>
      <c r="BE29" s="209">
        <f t="shared" si="5"/>
        <v>0</v>
      </c>
      <c r="BF29" s="209"/>
      <c r="BG29" s="209"/>
    </row>
    <row r="30" spans="2:59" ht="15" customHeight="1" x14ac:dyDescent="0.2">
      <c r="B30" s="207"/>
      <c r="C30" s="207"/>
      <c r="D30" s="207"/>
      <c r="E30" s="207"/>
      <c r="F30" s="207"/>
      <c r="G30" s="207"/>
      <c r="H30" s="207"/>
      <c r="I30" s="207"/>
      <c r="J30" s="207"/>
      <c r="K30" s="207"/>
      <c r="L30" s="207"/>
      <c r="M30" s="207"/>
      <c r="N30" s="207"/>
      <c r="O30" s="207"/>
      <c r="P30" s="207"/>
      <c r="Q30" s="207"/>
      <c r="R30" s="207"/>
      <c r="S30" s="207"/>
      <c r="T30" s="228"/>
      <c r="U30" s="228"/>
      <c r="V30" s="228"/>
      <c r="X30" s="189"/>
      <c r="Y30" s="189"/>
      <c r="Z30" s="189"/>
      <c r="AA30" s="190"/>
      <c r="AB30" s="229" t="str">
        <f>IF(X30="","",
IF(OR(X30="RIGID",X30="GEN1A"), 0,
IFERROR(_xlfn.LET(
_xlpm.BAR,                      OR(ISNUMBER(SEARCH("BAR",Z30)),ISNUMBER(SEARCH("SR",Y30))),
_xlpm.HSS,                      OR(ISNUMBER(SEARCH("HSS",Y30)),ISNUMBER(SEARCH("SquareTube",Z30)),NOT(ISNUMBER(SEARCH("HSS Pipe",Z30)))),
_xlpm.HSSPipe,                  OR(ISNUMBER(SEARCH("HSS Pipe",Z30)),ISNUMBER(SEARCH("Pipe",Z30)),ISNUMBER(SEARCH("Pipe",Y30))),
_xlpm.Pipe,                     OR(ISNUMBER(SEARCH("Pipe",Z30)),ISNUMBER(SEARCH("Pipe",Y30))),
_xlpm.SingleAngle,              OR(ISNUMBER(SEARCH("Single Angle",Z30)),AND(ISNUMBER(SEARCH("Angle",Z30)),ISNUMBER(SEARCH("Single",Z30)))),
_xlpm.DoubleAngle,              AND(ISNUMBER(SEARCH("Angle",Z30)),ISNUMBER(SEARCH("Double",Z30))),
_xlpm.RECT,                     OR(ISNUMBER(SEARCH("RECT",Z30)),ISNUMBER(SEARCH("PL",Y30))),
_xlpm.WideFlange,               OR(ISNUMBER(SEARCH("Wide Flange",Z30)),ISNUMBER(SEARCH("Tee",Z30)),ISNUMBER(SEARCH("W",Y30))),
_xlpm.Channel,                  OR(ISNUMBER(SEARCH("Channel",Z30)),ISNUMBER(SEARCH("C",Y30))),
IF(OR(_xlpm.WideFlange, _xlpm.Channel, _xlpm.SingleAngle, _xlpm.DoubleAngle, _xlpm.RECT),
                          INDEX('[2]AISC Database v16.0'!$D:$D,
                          MATCH(Y30,'[2]AISC Database v16.0'!$B:$B,0)),
IF(AND(_xlpm.HSS,NOT(_xlpm.HSSPipe)), INDEX('[2]AISC Database v16.0'!$F:$F,
                          MATCH(Y30,'[2]AISC Database v16.0'!$B:$B,0)),
IF(OR(_xlpm.Pipe, _xlpm.HSSPipe, _xlpm.BAR),
                          INDEX('[2]AISC Database v16.0'!$H:$H,
                          MATCH(Y30,'[2]AISC Database v16.0'!$B:$B,0)),
0)))),0)))</f>
        <v/>
      </c>
      <c r="AC30" s="229" t="str">
        <f>IF(X30="","",
IF(OR(X30="RIGID",X30="GEN1A"), 0,
IFERROR(_xlfn.LET(
_xlpm.BAR,                      OR(ISNUMBER(SEARCH("BAR",Z30)),ISNUMBER(SEARCH("SR",Y30))),
_xlpm.HSS,                      OR(ISNUMBER(SEARCH("HSS",Y30)),ISNUMBER(SEARCH("SquareTube",Z30)),NOT(ISNUMBER(SEARCH("HSS Pipe",Z30)))),
_xlpm.HSSPipe,                  OR(ISNUMBER(SEARCH("HSS Pipe",Z30)),ISNUMBER(SEARCH("Pipe",Z30)),ISNUMBER(SEARCH("Pipe",Y30))),
_xlpm.Pipe,                     OR(ISNUMBER(SEARCH("Pipe",Z30)),ISNUMBER(SEARCH("Pipe",Y30))),
_xlpm.SingleAngle,              OR(ISNUMBER(SEARCH("Single Angle",Z30)),AND(ISNUMBER(SEARCH("Angle",Z30)),ISNUMBER(SEARCH("Single",Z30)))),
_xlpm.DoubleAngle,              AND(ISNUMBER(SEARCH("Angle",Z30)),ISNUMBER(SEARCH("Double",Z30))),
_xlpm.RECT,                     OR(ISNUMBER(SEARCH("RECT",Z30)),ISNUMBER(SEARCH("PL",Y30))),
_xlpm.WideFlange,               OR(ISNUMBER(SEARCH("Wide Flange",Z30)),ISNUMBER(SEARCH("Tee",Z30)),ISNUMBER(SEARCH("W",Y30))),
_xlpm.Channel,                  OR(ISNUMBER(SEARCH("Channel",Z30)),ISNUMBER(SEARCH("C",Y30))),
IF(OR(_xlpm.WideFlange, _xlpm.Channel),
                          INDEX('[2]AISC Database v16.0'!$I:$I,
                          MATCH(Y30,'[2]AISC Database v16.0'!$B:$B,0)),
IF(OR(_xlpm.SingleAngle, _xlpm.DoubleAngle, _xlpm.RECT),
                          INDEX('[2]AISC Database v16.0'!$L:$L,
                          MATCH(Y30,'[2]AISC Database v16.0'!$B:$B,0)),
IF(AND(_xlpm.HSS,NOT(_xlpm.HSSPipe)),
                          INDEX('[2]AISC Database v16.0'!$K:$K,
                          MATCH(Y30,'[2]AISC Database v16.0'!$B:$B,0)),
IF(OR(_xlpm.Pipe, _xlpm.HSSPipe, _xlpm.BAR),
                          INDEX('[2]AISC Database v16.0'!$H:$H,
                          MATCH(Y30,'[2]AISC Database v16.0'!$B:$B,0)),
0))))),0)))</f>
        <v/>
      </c>
      <c r="AD30" s="230" t="str">
        <f>IF(X30="","",
IF(OR(X30="RIGID",X30="GEN1A"), 0,
IFERROR(_xlfn.LET(
_xlpm.BAR,                      OR(ISNUMBER(SEARCH("BAR",Z30)),ISNUMBER(SEARCH("SR",Y30))),
_xlpm.HSS,                      OR(ISNUMBER(SEARCH("HSS",Y30)),ISNUMBER(SEARCH("SquareTube",Z30)),NOT(ISNUMBER(SEARCH("HSS Pipe",Z30)))),
_xlpm.HSSPipe,                  OR(ISNUMBER(SEARCH("HSS Pipe",Z30)),ISNUMBER(SEARCH("Pipe",Z30)),ISNUMBER(SEARCH("Pipe",Y30))),
_xlpm.Pipe,                     OR(ISNUMBER(SEARCH("Pipe",Z30)),ISNUMBER(SEARCH("Pipe",Y30))),
_xlpm.SingleAngle,              OR(ISNUMBER(SEARCH("Single Angle",Z30)),AND(ISNUMBER(SEARCH("Angle",Z30)),ISNUMBER(SEARCH("Single",Z30)))),
_xlpm.DoubleAngle,              AND(ISNUMBER(SEARCH("Angle",Z30)),ISNUMBER(SEARCH("Double",Z30))),
_xlpm.RECT,                     OR(ISNUMBER(SEARCH("RECT",Z30)),ISNUMBER(SEARCH("PL",Y30))),
_xlpm.WideFlange,               OR(ISNUMBER(SEARCH("Wide Flange",Z30)),ISNUMBER(SEARCH("Tee",Z30)),ISNUMBER(SEARCH("W",Y30))),
_xlpm.Channel,                  OR(ISNUMBER(SEARCH("Channel",Z30)),ISNUMBER(SEARCH("C",Y30))),
IF(_xlpm.WideFlange,            INDEX('[2]AISC Database v16.0'!$O:$O,
                          MATCH(Y30,'[2]AISC Database v16.0'!$B:$B,0)),
IF(_xlpm.Channel,               INDEX('[2]AISC Database v16.0'!$O:$O,
                          MATCH(Y30,'[2]AISC Database v16.0'!$B:$B,0)),
IF(_xlpm.BAR,                   INDEX('[2]AISC Database v16.0'!$T:$T,
                          MATCH(Y30,'[2]AISC Database v16.0'!$B:$B,0)),
IF(_xlpm.SingleAngle,           INDEX('[2]AISC Database v16.0'!$T:$T,
                          MATCH(Y30,'[2]AISC Database v16.0'!$B:$B,0)),
IF(_xlpm.DoubleAngle,           INDEX('[2]AISC Database v16.0'!$T:$T,
                          MATCH(Y30,'[2]AISC Database v16.0'!$B:$B,0)),
IF(_xlpm.RECT,                  INDEX('[2]AISC Database v16.0'!$T:$T,
                          MATCH(Y30,'[2]AISC Database v16.0'!$B:$B,0)),
IF(AND(_xlpm.HSS,NOT(_xlpm.HSSPipe)), INDEX('[2]AISC Database v16.0'!$U:$U,
                          MATCH(Y30,'[2]AISC Database v16.0'!$B:$B,0)),
IF(OR(_xlpm.Pipe, _xlpm.HSSPipe),     INDEX('[2]AISC Database v16.0'!$U:$U,
                          MATCH(Y30,'[2]AISC Database v16.0'!$B:$B,0)),
0))))))))),0)))</f>
        <v/>
      </c>
      <c r="AE30" s="230" t="str">
        <f t="shared" si="0"/>
        <v/>
      </c>
      <c r="AF30" s="229" t="str">
        <f>IF(X30="","",
IF(OR(X30="RIGID",X30="GEN1A"), 0,
IFERROR(INDEX('[2]AISC Database v16.0'!$M:$M, MATCH(Y30,'[2]AISC Database v16.0'!$B:$B,0)), 0)))</f>
        <v/>
      </c>
      <c r="AG30" s="229" t="str">
        <f>IF(X30="","",
IF(OR(X30="RIGID",X30="GEN1A"), 0,
IFERROR(INDEX('[2]AISC Database v16.0'!$C:$C, MATCH(Y30,'[2]AISC Database v16.0'!$B:$B,0)), 0)))</f>
        <v/>
      </c>
      <c r="AR30" s="209"/>
      <c r="AS30" s="209">
        <f>+IFERROR(IF(VLOOKUP($B30,$E$6:$K203,6,0)=0,$O30/12*COS(PI()/180*($P30+0))^2,IF(AND(ABS(VLOOKUP($B30,$E$6:$K203,6,0))&gt;0,$P30=0),$O30/12*COS(PI()/180*($P30+0))^2,IF(AND(ABS(VLOOKUP($B30,$E$6:$K203,6,0))&gt;0,ABS($P30)&gt;0),$O30/12*COS(PI()/180*($P30+0))^2))),0)</f>
        <v>0</v>
      </c>
      <c r="AT30" s="209">
        <f>+IFERROR(IF(VLOOKUP($B30,$E$6:$K203,6,0)=0,0,IF(AND(ABS(VLOOKUP($B30,$E$6:$K203,6,0))&gt;0,$P30=0),ABS(VLOOKUP($B30,$E$6:$K203,6,0))*SIN(PI()/180*($P30+0))^2,IF(AND(ABS(VLOOKUP($B30,$E$6:$K203,6,0))&gt;0,ABS($P30)&gt;0),ABS(VLOOKUP($B30,$E$6:$K203,6,0))*SIN(PI()/180*($P30+0))^2))),0)*IF(RISA3D.Unit.Length="in",1/12,1)</f>
        <v>0</v>
      </c>
      <c r="AU30" s="209">
        <f t="shared" si="1"/>
        <v>0</v>
      </c>
      <c r="AV30" s="209">
        <f>+IFERROR(+IF(VLOOKUP($M30,$S$6:$V203,3,0)=VLOOKUP($N30,$S$6:$V203,3,0), ((((($O30/12+(2*0.5/12))*((VLOOKUP($C30,rngR3DSectionSets,5,0)/12)+(2*0.5/12)))-($O30/12*(VLOOKUP($C30,rngR3DSectionSets,5,0)/12)))*1.2*COS(PI()/180*($P30))^2)) + AU30, (((((AS30+(2*0.5/12))*((VLOOKUP($C30,rngR3DSectionSets,5,0)/12)+(2*0.5/12)))-(AS30*(VLOOKUP($C30,rngR3DSectionSets,5,0)/12)))+(((AT30+(2*0.5/12))*((VLOOKUP($C30,rngR3DSectionSets,5,0)/12)+(2*0.5/12)))-(AT30*(VLOOKUP($C30,rngR3DSectionSets,5,0)/12))))*1.2) + AU30),0)</f>
        <v>0</v>
      </c>
      <c r="AW30" s="209">
        <f>+IFERROR(+IF(VLOOKUP($M30,$S$6:$V203,3,0)=VLOOKUP($N30,$S$6:$V203,3,0), ((((($O30/12+(2*1/12))*((VLOOKUP($C30,rngR3DSectionSets,5,0)/12)+(2*1/12)))-($O30/12*(VLOOKUP($C30,rngR3DSectionSets,5,0)/12)))*1.2*COS(PI()/180*($P30))^2)) + AU30, (((((AS30+(2*1/12))*((VLOOKUP($C30,rngR3DSectionSets,5,0)/12)+(2*1/12)))-(AS30*(VLOOKUP($C30,rngR3DSectionSets,5,0)/12)))+(((AT30+(2*1/12))*((VLOOKUP($C30,rngR3DSectionSets,5,0)/12)+(2*1/12)))-(AT30*(VLOOKUP($C30,rngR3DSectionSets,5,0)/12))))*1.2) + AU30),0)</f>
        <v>0</v>
      </c>
      <c r="AX30" s="209">
        <f>+IFERROR(IF(VLOOKUP($B30,$E$6:$K203,6,0)=0,$O30/12*COS(PI()/180*($P30+90))^2,IF(AND(ABS(VLOOKUP($B30,$E$6:$K203,6,0))&gt;0,$P30=0),$O30/12*COS(PI()/180*($P30+90))^2,IF(AND(ABS(VLOOKUP($B30,$E$6:$K203,6,0))&gt;0,ABS($P30)&gt;0),$O30/12*COS(PI()/180*($P30+90))^2))),0)</f>
        <v>0</v>
      </c>
      <c r="AY30" s="209">
        <f>+IFERROR(IF(VLOOKUP($B30,$E$6:$K203,6,0)=0,0,IF(AND(ABS(VLOOKUP($B30,$E$6:$K203,6,0))&gt;0,$P30=0),ABS(VLOOKUP($B30,$E$6:$K203,6,0))*SIN(PI()/180*($P30+90))^2,IF(AND(ABS(VLOOKUP($B30,$E$6:$K203,6,0))&gt;0,ABS($P30)&gt;0),ABS(VLOOKUP($B30,$E$6:$K203,6,0))*SIN(PI()/180*($P30+90))^2))),0)*IF(RISA3D.Unit.Length="in",1/12,1)</f>
        <v>0</v>
      </c>
      <c r="AZ30" s="209">
        <f t="shared" si="2"/>
        <v>0</v>
      </c>
      <c r="BA30" s="209">
        <f>+IFERROR(+IF(VLOOKUP($M30,$S$6:$V203,3,0)=VLOOKUP($N30,$S$6:$V203,3,0), ((((($O30/12+(2*0.5/12))*((VLOOKUP($C30,rngR3DSectionSets,5,0)/12)+(2*0.5/12)))-($O30/12*(VLOOKUP($C30,rngR3DSectionSets,5,0)/12)))*1.2*COS(PI()/180*($P30))^2)) + AZ30, (((((AX30+(2*0.5/12))*((VLOOKUP($C30,rngR3DSectionSets,5,0)/12)+(2*0.5/12)))-(AX30*(VLOOKUP($C30,rngR3DSectionSets,5,0)/12)))+(((AY30+(2*0.5/12))*((VLOOKUP($C30,rngR3DSectionSets,5,0)/12)+(2*0.5/12)))-(AY30*(VLOOKUP($C30,rngR3DSectionSets,5,0)/12))))*1.2) + AZ30),0)</f>
        <v>0</v>
      </c>
      <c r="BB30" s="209">
        <f>+IFERROR(+IF(VLOOKUP($M30,$S$6:$V203,3,0)=VLOOKUP($N30,$S$6:$V203,3,0), ((((($O30/12+(2*1/12))*((VLOOKUP($C30,rngR3DSectionSets,5,0)/12)+(2*1/12)))-($O30/12*(VLOOKUP($C30,rngR3DSectionSets,5,0)/12)))*1.2*COS(PI()/180*($P30))^2)) + AZ30, (((((AX30+(2*1/12))*((VLOOKUP($C30,rngR3DSectionSets,5,0)/12)+(2*1/12)))-(AX30*(VLOOKUP($C30,rngR3DSectionSets,5,0)/12)))+(((AY30+(2*1/12))*((VLOOKUP($C30,rngR3DSectionSets,5,0)/12)+(2*1/12)))-(AY30*(VLOOKUP($C30,rngR3DSectionSets,5,0)/12))))*1.2) + AZ30),0)</f>
        <v>0</v>
      </c>
      <c r="BC30" s="209">
        <f t="shared" si="3"/>
        <v>0</v>
      </c>
      <c r="BD30" s="209">
        <f t="shared" si="4"/>
        <v>0</v>
      </c>
      <c r="BE30" s="209">
        <f t="shared" si="5"/>
        <v>0</v>
      </c>
      <c r="BF30" s="209"/>
      <c r="BG30" s="209"/>
    </row>
    <row r="31" spans="2:59" ht="15" customHeight="1" x14ac:dyDescent="0.2">
      <c r="B31" s="207"/>
      <c r="C31" s="207"/>
      <c r="D31" s="207"/>
      <c r="E31" s="207"/>
      <c r="F31" s="207"/>
      <c r="G31" s="207"/>
      <c r="H31" s="207"/>
      <c r="I31" s="207"/>
      <c r="J31" s="207"/>
      <c r="K31" s="207"/>
      <c r="L31" s="207"/>
      <c r="M31" s="207"/>
      <c r="N31" s="207"/>
      <c r="O31" s="207"/>
      <c r="P31" s="207"/>
      <c r="Q31" s="207"/>
      <c r="R31" s="207"/>
      <c r="S31" s="207"/>
      <c r="T31" s="228"/>
      <c r="U31" s="228"/>
      <c r="V31" s="228"/>
      <c r="X31" s="189"/>
      <c r="Y31" s="189"/>
      <c r="Z31" s="189"/>
      <c r="AA31" s="190"/>
      <c r="AB31" s="229" t="str">
        <f>IF(X31="","",
IF(OR(X31="RIGID",X31="GEN1A"), 0,
IFERROR(_xlfn.LET(
_xlpm.BAR,                      OR(ISNUMBER(SEARCH("BAR",Z31)),ISNUMBER(SEARCH("SR",Y31))),
_xlpm.HSS,                      OR(ISNUMBER(SEARCH("HSS",Y31)),ISNUMBER(SEARCH("SquareTube",Z31)),NOT(ISNUMBER(SEARCH("HSS Pipe",Z31)))),
_xlpm.HSSPipe,                  OR(ISNUMBER(SEARCH("HSS Pipe",Z31)),ISNUMBER(SEARCH("Pipe",Z31)),ISNUMBER(SEARCH("Pipe",Y31))),
_xlpm.Pipe,                     OR(ISNUMBER(SEARCH("Pipe",Z31)),ISNUMBER(SEARCH("Pipe",Y31))),
_xlpm.SingleAngle,              OR(ISNUMBER(SEARCH("Single Angle",Z31)),AND(ISNUMBER(SEARCH("Angle",Z31)),ISNUMBER(SEARCH("Single",Z31)))),
_xlpm.DoubleAngle,              AND(ISNUMBER(SEARCH("Angle",Z31)),ISNUMBER(SEARCH("Double",Z31))),
_xlpm.RECT,                     OR(ISNUMBER(SEARCH("RECT",Z31)),ISNUMBER(SEARCH("PL",Y31))),
_xlpm.WideFlange,               OR(ISNUMBER(SEARCH("Wide Flange",Z31)),ISNUMBER(SEARCH("Tee",Z31)),ISNUMBER(SEARCH("W",Y31))),
_xlpm.Channel,                  OR(ISNUMBER(SEARCH("Channel",Z31)),ISNUMBER(SEARCH("C",Y31))),
IF(OR(_xlpm.WideFlange, _xlpm.Channel, _xlpm.SingleAngle, _xlpm.DoubleAngle, _xlpm.RECT),
                          INDEX('[2]AISC Database v16.0'!$D:$D,
                          MATCH(Y31,'[2]AISC Database v16.0'!$B:$B,0)),
IF(AND(_xlpm.HSS,NOT(_xlpm.HSSPipe)), INDEX('[2]AISC Database v16.0'!$F:$F,
                          MATCH(Y31,'[2]AISC Database v16.0'!$B:$B,0)),
IF(OR(_xlpm.Pipe, _xlpm.HSSPipe, _xlpm.BAR),
                          INDEX('[2]AISC Database v16.0'!$H:$H,
                          MATCH(Y31,'[2]AISC Database v16.0'!$B:$B,0)),
0)))),0)))</f>
        <v/>
      </c>
      <c r="AC31" s="229" t="str">
        <f>IF(X31="","",
IF(OR(X31="RIGID",X31="GEN1A"), 0,
IFERROR(_xlfn.LET(
_xlpm.BAR,                      OR(ISNUMBER(SEARCH("BAR",Z31)),ISNUMBER(SEARCH("SR",Y31))),
_xlpm.HSS,                      OR(ISNUMBER(SEARCH("HSS",Y31)),ISNUMBER(SEARCH("SquareTube",Z31)),NOT(ISNUMBER(SEARCH("HSS Pipe",Z31)))),
_xlpm.HSSPipe,                  OR(ISNUMBER(SEARCH("HSS Pipe",Z31)),ISNUMBER(SEARCH("Pipe",Z31)),ISNUMBER(SEARCH("Pipe",Y31))),
_xlpm.Pipe,                     OR(ISNUMBER(SEARCH("Pipe",Z31)),ISNUMBER(SEARCH("Pipe",Y31))),
_xlpm.SingleAngle,              OR(ISNUMBER(SEARCH("Single Angle",Z31)),AND(ISNUMBER(SEARCH("Angle",Z31)),ISNUMBER(SEARCH("Single",Z31)))),
_xlpm.DoubleAngle,              AND(ISNUMBER(SEARCH("Angle",Z31)),ISNUMBER(SEARCH("Double",Z31))),
_xlpm.RECT,                     OR(ISNUMBER(SEARCH("RECT",Z31)),ISNUMBER(SEARCH("PL",Y31))),
_xlpm.WideFlange,               OR(ISNUMBER(SEARCH("Wide Flange",Z31)),ISNUMBER(SEARCH("Tee",Z31)),ISNUMBER(SEARCH("W",Y31))),
_xlpm.Channel,                  OR(ISNUMBER(SEARCH("Channel",Z31)),ISNUMBER(SEARCH("C",Y31))),
IF(OR(_xlpm.WideFlange, _xlpm.Channel),
                          INDEX('[2]AISC Database v16.0'!$I:$I,
                          MATCH(Y31,'[2]AISC Database v16.0'!$B:$B,0)),
IF(OR(_xlpm.SingleAngle, _xlpm.DoubleAngle, _xlpm.RECT),
                          INDEX('[2]AISC Database v16.0'!$L:$L,
                          MATCH(Y31,'[2]AISC Database v16.0'!$B:$B,0)),
IF(AND(_xlpm.HSS,NOT(_xlpm.HSSPipe)),
                          INDEX('[2]AISC Database v16.0'!$K:$K,
                          MATCH(Y31,'[2]AISC Database v16.0'!$B:$B,0)),
IF(OR(_xlpm.Pipe, _xlpm.HSSPipe, _xlpm.BAR),
                          INDEX('[2]AISC Database v16.0'!$H:$H,
                          MATCH(Y31,'[2]AISC Database v16.0'!$B:$B,0)),
0))))),0)))</f>
        <v/>
      </c>
      <c r="AD31" s="230" t="str">
        <f>IF(X31="","",
IF(OR(X31="RIGID",X31="GEN1A"), 0,
IFERROR(_xlfn.LET(
_xlpm.BAR,                      OR(ISNUMBER(SEARCH("BAR",Z31)),ISNUMBER(SEARCH("SR",Y31))),
_xlpm.HSS,                      OR(ISNUMBER(SEARCH("HSS",Y31)),ISNUMBER(SEARCH("SquareTube",Z31)),NOT(ISNUMBER(SEARCH("HSS Pipe",Z31)))),
_xlpm.HSSPipe,                  OR(ISNUMBER(SEARCH("HSS Pipe",Z31)),ISNUMBER(SEARCH("Pipe",Z31)),ISNUMBER(SEARCH("Pipe",Y31))),
_xlpm.Pipe,                     OR(ISNUMBER(SEARCH("Pipe",Z31)),ISNUMBER(SEARCH("Pipe",Y31))),
_xlpm.SingleAngle,              OR(ISNUMBER(SEARCH("Single Angle",Z31)),AND(ISNUMBER(SEARCH("Angle",Z31)),ISNUMBER(SEARCH("Single",Z31)))),
_xlpm.DoubleAngle,              AND(ISNUMBER(SEARCH("Angle",Z31)),ISNUMBER(SEARCH("Double",Z31))),
_xlpm.RECT,                     OR(ISNUMBER(SEARCH("RECT",Z31)),ISNUMBER(SEARCH("PL",Y31))),
_xlpm.WideFlange,               OR(ISNUMBER(SEARCH("Wide Flange",Z31)),ISNUMBER(SEARCH("Tee",Z31)),ISNUMBER(SEARCH("W",Y31))),
_xlpm.Channel,                  OR(ISNUMBER(SEARCH("Channel",Z31)),ISNUMBER(SEARCH("C",Y31))),
IF(_xlpm.WideFlange,            INDEX('[2]AISC Database v16.0'!$O:$O,
                          MATCH(Y31,'[2]AISC Database v16.0'!$B:$B,0)),
IF(_xlpm.Channel,               INDEX('[2]AISC Database v16.0'!$O:$O,
                          MATCH(Y31,'[2]AISC Database v16.0'!$B:$B,0)),
IF(_xlpm.BAR,                   INDEX('[2]AISC Database v16.0'!$T:$T,
                          MATCH(Y31,'[2]AISC Database v16.0'!$B:$B,0)),
IF(_xlpm.SingleAngle,           INDEX('[2]AISC Database v16.0'!$T:$T,
                          MATCH(Y31,'[2]AISC Database v16.0'!$B:$B,0)),
IF(_xlpm.DoubleAngle,           INDEX('[2]AISC Database v16.0'!$T:$T,
                          MATCH(Y31,'[2]AISC Database v16.0'!$B:$B,0)),
IF(_xlpm.RECT,                  INDEX('[2]AISC Database v16.0'!$T:$T,
                          MATCH(Y31,'[2]AISC Database v16.0'!$B:$B,0)),
IF(AND(_xlpm.HSS,NOT(_xlpm.HSSPipe)), INDEX('[2]AISC Database v16.0'!$U:$U,
                          MATCH(Y31,'[2]AISC Database v16.0'!$B:$B,0)),
IF(OR(_xlpm.Pipe, _xlpm.HSSPipe),     INDEX('[2]AISC Database v16.0'!$U:$U,
                          MATCH(Y31,'[2]AISC Database v16.0'!$B:$B,0)),
0))))))))),0)))</f>
        <v/>
      </c>
      <c r="AE31" s="230" t="str">
        <f t="shared" si="0"/>
        <v/>
      </c>
      <c r="AF31" s="229" t="str">
        <f>IF(X31="","",
IF(OR(X31="RIGID",X31="GEN1A"), 0,
IFERROR(INDEX('[2]AISC Database v16.0'!$M:$M, MATCH(Y31,'[2]AISC Database v16.0'!$B:$B,0)), 0)))</f>
        <v/>
      </c>
      <c r="AG31" s="229" t="str">
        <f>IF(X31="","",
IF(OR(X31="RIGID",X31="GEN1A"), 0,
IFERROR(INDEX('[2]AISC Database v16.0'!$C:$C, MATCH(Y31,'[2]AISC Database v16.0'!$B:$B,0)), 0)))</f>
        <v/>
      </c>
      <c r="AR31" s="209"/>
      <c r="AS31" s="209">
        <f>+IFERROR(IF(VLOOKUP($B31,$E$6:$K203,6,0)=0,$O31/12*COS(PI()/180*($P31+0))^2,IF(AND(ABS(VLOOKUP($B31,$E$6:$K203,6,0))&gt;0,$P31=0),$O31/12*COS(PI()/180*($P31+0))^2,IF(AND(ABS(VLOOKUP($B31,$E$6:$K203,6,0))&gt;0,ABS($P31)&gt;0),$O31/12*COS(PI()/180*($P31+0))^2))),0)</f>
        <v>0</v>
      </c>
      <c r="AT31" s="209">
        <f>+IFERROR(IF(VLOOKUP($B31,$E$6:$K203,6,0)=0,0,IF(AND(ABS(VLOOKUP($B31,$E$6:$K203,6,0))&gt;0,$P31=0),ABS(VLOOKUP($B31,$E$6:$K203,6,0))*SIN(PI()/180*($P31+0))^2,IF(AND(ABS(VLOOKUP($B31,$E$6:$K203,6,0))&gt;0,ABS($P31)&gt;0),ABS(VLOOKUP($B31,$E$6:$K203,6,0))*SIN(PI()/180*($P31+0))^2))),0)*IF(RISA3D.Unit.Length="in",1/12,1)</f>
        <v>0</v>
      </c>
      <c r="AU31" s="209">
        <f t="shared" si="1"/>
        <v>0</v>
      </c>
      <c r="AV31" s="209">
        <f>+IFERROR(+IF(VLOOKUP($M31,$S$6:$V203,3,0)=VLOOKUP($N31,$S$6:$V203,3,0), ((((($O31/12+(2*0.5/12))*((VLOOKUP($C31,rngR3DSectionSets,5,0)/12)+(2*0.5/12)))-($O31/12*(VLOOKUP($C31,rngR3DSectionSets,5,0)/12)))*1.2*COS(PI()/180*($P31))^2)) + AU31, (((((AS31+(2*0.5/12))*((VLOOKUP($C31,rngR3DSectionSets,5,0)/12)+(2*0.5/12)))-(AS31*(VLOOKUP($C31,rngR3DSectionSets,5,0)/12)))+(((AT31+(2*0.5/12))*((VLOOKUP($C31,rngR3DSectionSets,5,0)/12)+(2*0.5/12)))-(AT31*(VLOOKUP($C31,rngR3DSectionSets,5,0)/12))))*1.2) + AU31),0)</f>
        <v>0</v>
      </c>
      <c r="AW31" s="209">
        <f>+IFERROR(+IF(VLOOKUP($M31,$S$6:$V203,3,0)=VLOOKUP($N31,$S$6:$V203,3,0), ((((($O31/12+(2*1/12))*((VLOOKUP($C31,rngR3DSectionSets,5,0)/12)+(2*1/12)))-($O31/12*(VLOOKUP($C31,rngR3DSectionSets,5,0)/12)))*1.2*COS(PI()/180*($P31))^2)) + AU31, (((((AS31+(2*1/12))*((VLOOKUP($C31,rngR3DSectionSets,5,0)/12)+(2*1/12)))-(AS31*(VLOOKUP($C31,rngR3DSectionSets,5,0)/12)))+(((AT31+(2*1/12))*((VLOOKUP($C31,rngR3DSectionSets,5,0)/12)+(2*1/12)))-(AT31*(VLOOKUP($C31,rngR3DSectionSets,5,0)/12))))*1.2) + AU31),0)</f>
        <v>0</v>
      </c>
      <c r="AX31" s="209">
        <f>+IFERROR(IF(VLOOKUP($B31,$E$6:$K203,6,0)=0,$O31/12*COS(PI()/180*($P31+90))^2,IF(AND(ABS(VLOOKUP($B31,$E$6:$K203,6,0))&gt;0,$P31=0),$O31/12*COS(PI()/180*($P31+90))^2,IF(AND(ABS(VLOOKUP($B31,$E$6:$K203,6,0))&gt;0,ABS($P31)&gt;0),$O31/12*COS(PI()/180*($P31+90))^2))),0)</f>
        <v>0</v>
      </c>
      <c r="AY31" s="209">
        <f>+IFERROR(IF(VLOOKUP($B31,$E$6:$K203,6,0)=0,0,IF(AND(ABS(VLOOKUP($B31,$E$6:$K203,6,0))&gt;0,$P31=0),ABS(VLOOKUP($B31,$E$6:$K203,6,0))*SIN(PI()/180*($P31+90))^2,IF(AND(ABS(VLOOKUP($B31,$E$6:$K203,6,0))&gt;0,ABS($P31)&gt;0),ABS(VLOOKUP($B31,$E$6:$K203,6,0))*SIN(PI()/180*($P31+90))^2))),0)*IF(RISA3D.Unit.Length="in",1/12,1)</f>
        <v>0</v>
      </c>
      <c r="AZ31" s="209">
        <f t="shared" si="2"/>
        <v>0</v>
      </c>
      <c r="BA31" s="209">
        <f>+IFERROR(+IF(VLOOKUP($M31,$S$6:$V203,3,0)=VLOOKUP($N31,$S$6:$V203,3,0), ((((($O31/12+(2*0.5/12))*((VLOOKUP($C31,rngR3DSectionSets,5,0)/12)+(2*0.5/12)))-($O31/12*(VLOOKUP($C31,rngR3DSectionSets,5,0)/12)))*1.2*COS(PI()/180*($P31))^2)) + AZ31, (((((AX31+(2*0.5/12))*((VLOOKUP($C31,rngR3DSectionSets,5,0)/12)+(2*0.5/12)))-(AX31*(VLOOKUP($C31,rngR3DSectionSets,5,0)/12)))+(((AY31+(2*0.5/12))*((VLOOKUP($C31,rngR3DSectionSets,5,0)/12)+(2*0.5/12)))-(AY31*(VLOOKUP($C31,rngR3DSectionSets,5,0)/12))))*1.2) + AZ31),0)</f>
        <v>0</v>
      </c>
      <c r="BB31" s="209">
        <f>+IFERROR(+IF(VLOOKUP($M31,$S$6:$V203,3,0)=VLOOKUP($N31,$S$6:$V203,3,0), ((((($O31/12+(2*1/12))*((VLOOKUP($C31,rngR3DSectionSets,5,0)/12)+(2*1/12)))-($O31/12*(VLOOKUP($C31,rngR3DSectionSets,5,0)/12)))*1.2*COS(PI()/180*($P31))^2)) + AZ31, (((((AX31+(2*1/12))*((VLOOKUP($C31,rngR3DSectionSets,5,0)/12)+(2*1/12)))-(AX31*(VLOOKUP($C31,rngR3DSectionSets,5,0)/12)))+(((AY31+(2*1/12))*((VLOOKUP($C31,rngR3DSectionSets,5,0)/12)+(2*1/12)))-(AY31*(VLOOKUP($C31,rngR3DSectionSets,5,0)/12))))*1.2) + AZ31),0)</f>
        <v>0</v>
      </c>
      <c r="BC31" s="209">
        <f t="shared" si="3"/>
        <v>0</v>
      </c>
      <c r="BD31" s="209">
        <f t="shared" si="4"/>
        <v>0</v>
      </c>
      <c r="BE31" s="209">
        <f t="shared" si="5"/>
        <v>0</v>
      </c>
      <c r="BF31" s="209"/>
      <c r="BG31" s="209"/>
    </row>
    <row r="32" spans="2:59" ht="15" customHeight="1" x14ac:dyDescent="0.2">
      <c r="B32" s="207"/>
      <c r="C32" s="207"/>
      <c r="D32" s="207"/>
      <c r="E32" s="207"/>
      <c r="F32" s="207"/>
      <c r="G32" s="207"/>
      <c r="H32" s="207"/>
      <c r="I32" s="207"/>
      <c r="J32" s="207"/>
      <c r="K32" s="207"/>
      <c r="L32" s="207"/>
      <c r="M32" s="207"/>
      <c r="N32" s="207"/>
      <c r="O32" s="207"/>
      <c r="P32" s="207"/>
      <c r="Q32" s="207"/>
      <c r="R32" s="207"/>
      <c r="S32" s="207"/>
      <c r="T32" s="228"/>
      <c r="U32" s="228"/>
      <c r="V32" s="228"/>
      <c r="X32" s="207"/>
      <c r="AB32" s="229" t="str">
        <f>IF(X32="","",
IF(OR(X32="RIGID",X32="GEN1A"), 0,
IFERROR(_xlfn.LET(
_xlpm.BAR,                      OR(ISNUMBER(SEARCH("BAR",Z32)),ISNUMBER(SEARCH("SR",Y32))),
_xlpm.HSS,                      OR(ISNUMBER(SEARCH("HSS",Y32)),ISNUMBER(SEARCH("SquareTube",Z32)),NOT(ISNUMBER(SEARCH("HSS Pipe",Z32)))),
_xlpm.HSSPipe,                  OR(ISNUMBER(SEARCH("HSS Pipe",Z32)),ISNUMBER(SEARCH("Pipe",Z32)),ISNUMBER(SEARCH("Pipe",Y32))),
_xlpm.Pipe,                     OR(ISNUMBER(SEARCH("Pipe",Z32)),ISNUMBER(SEARCH("Pipe",Y32))),
_xlpm.SingleAngle,              OR(ISNUMBER(SEARCH("Single Angle",Z32)),AND(ISNUMBER(SEARCH("Angle",Z32)),ISNUMBER(SEARCH("Single",Z32)))),
_xlpm.DoubleAngle,              AND(ISNUMBER(SEARCH("Angle",Z32)),ISNUMBER(SEARCH("Double",Z32))),
_xlpm.RECT,                     OR(ISNUMBER(SEARCH("RECT",Z32)),ISNUMBER(SEARCH("PL",Y32))),
_xlpm.WideFlange,               OR(ISNUMBER(SEARCH("Wide Flange",Z32)),ISNUMBER(SEARCH("Tee",Z32)),ISNUMBER(SEARCH("W",Y32))),
_xlpm.Channel,                  OR(ISNUMBER(SEARCH("Channel",Z32)),ISNUMBER(SEARCH("C",Y32))),
IF(OR(_xlpm.WideFlange, _xlpm.Channel, _xlpm.SingleAngle, _xlpm.DoubleAngle, _xlpm.RECT),
                          INDEX('[2]AISC Database v16.0'!$D:$D,
                          MATCH(Y32,'[2]AISC Database v16.0'!$B:$B,0)),
IF(AND(_xlpm.HSS,NOT(_xlpm.HSSPipe)), INDEX('[2]AISC Database v16.0'!$F:$F,
                          MATCH(Y32,'[2]AISC Database v16.0'!$B:$B,0)),
IF(OR(_xlpm.Pipe, _xlpm.HSSPipe, _xlpm.BAR),
                          INDEX('[2]AISC Database v16.0'!$H:$H,
                          MATCH(Y32,'[2]AISC Database v16.0'!$B:$B,0)),
0)))),0)))</f>
        <v/>
      </c>
      <c r="AC32" s="229" t="str">
        <f>IF(X32="","",
IF(OR(X32="RIGID",X32="GEN1A"), 0,
IFERROR(_xlfn.LET(
_xlpm.BAR,                      OR(ISNUMBER(SEARCH("BAR",Z32)),ISNUMBER(SEARCH("SR",Y32))),
_xlpm.HSS,                      OR(ISNUMBER(SEARCH("HSS",Y32)),ISNUMBER(SEARCH("SquareTube",Z32)),NOT(ISNUMBER(SEARCH("HSS Pipe",Z32)))),
_xlpm.HSSPipe,                  OR(ISNUMBER(SEARCH("HSS Pipe",Z32)),ISNUMBER(SEARCH("Pipe",Z32)),ISNUMBER(SEARCH("Pipe",Y32))),
_xlpm.Pipe,                     OR(ISNUMBER(SEARCH("Pipe",Z32)),ISNUMBER(SEARCH("Pipe",Y32))),
_xlpm.SingleAngle,              OR(ISNUMBER(SEARCH("Single Angle",Z32)),AND(ISNUMBER(SEARCH("Angle",Z32)),ISNUMBER(SEARCH("Single",Z32)))),
_xlpm.DoubleAngle,              AND(ISNUMBER(SEARCH("Angle",Z32)),ISNUMBER(SEARCH("Double",Z32))),
_xlpm.RECT,                     OR(ISNUMBER(SEARCH("RECT",Z32)),ISNUMBER(SEARCH("PL",Y32))),
_xlpm.WideFlange,               OR(ISNUMBER(SEARCH("Wide Flange",Z32)),ISNUMBER(SEARCH("Tee",Z32)),ISNUMBER(SEARCH("W",Y32))),
_xlpm.Channel,                  OR(ISNUMBER(SEARCH("Channel",Z32)),ISNUMBER(SEARCH("C",Y32))),
IF(OR(_xlpm.WideFlange, _xlpm.Channel),
                          INDEX('[2]AISC Database v16.0'!$I:$I,
                          MATCH(Y32,'[2]AISC Database v16.0'!$B:$B,0)),
IF(OR(_xlpm.SingleAngle, _xlpm.DoubleAngle, _xlpm.RECT),
                          INDEX('[2]AISC Database v16.0'!$L:$L,
                          MATCH(Y32,'[2]AISC Database v16.0'!$B:$B,0)),
IF(AND(_xlpm.HSS,NOT(_xlpm.HSSPipe)),
                          INDEX('[2]AISC Database v16.0'!$K:$K,
                          MATCH(Y32,'[2]AISC Database v16.0'!$B:$B,0)),
IF(OR(_xlpm.Pipe, _xlpm.HSSPipe, _xlpm.BAR),
                          INDEX('[2]AISC Database v16.0'!$H:$H,
                          MATCH(Y32,'[2]AISC Database v16.0'!$B:$B,0)),
0))))),0)))</f>
        <v/>
      </c>
      <c r="AD32" s="230" t="str">
        <f>IF(X32="","",
IF(OR(X32="RIGID",X32="GEN1A"), 0,
IFERROR(_xlfn.LET(
_xlpm.BAR,                      OR(ISNUMBER(SEARCH("BAR",Z32)),ISNUMBER(SEARCH("SR",Y32))),
_xlpm.HSS,                      OR(ISNUMBER(SEARCH("HSS",Y32)),ISNUMBER(SEARCH("SquareTube",Z32)),NOT(ISNUMBER(SEARCH("HSS Pipe",Z32)))),
_xlpm.HSSPipe,                  OR(ISNUMBER(SEARCH("HSS Pipe",Z32)),ISNUMBER(SEARCH("Pipe",Z32)),ISNUMBER(SEARCH("Pipe",Y32))),
_xlpm.Pipe,                     OR(ISNUMBER(SEARCH("Pipe",Z32)),ISNUMBER(SEARCH("Pipe",Y32))),
_xlpm.SingleAngle,              OR(ISNUMBER(SEARCH("Single Angle",Z32)),AND(ISNUMBER(SEARCH("Angle",Z32)),ISNUMBER(SEARCH("Single",Z32)))),
_xlpm.DoubleAngle,              AND(ISNUMBER(SEARCH("Angle",Z32)),ISNUMBER(SEARCH("Double",Z32))),
_xlpm.RECT,                     OR(ISNUMBER(SEARCH("RECT",Z32)),ISNUMBER(SEARCH("PL",Y32))),
_xlpm.WideFlange,               OR(ISNUMBER(SEARCH("Wide Flange",Z32)),ISNUMBER(SEARCH("Tee",Z32)),ISNUMBER(SEARCH("W",Y32))),
_xlpm.Channel,                  OR(ISNUMBER(SEARCH("Channel",Z32)),ISNUMBER(SEARCH("C",Y32))),
IF(_xlpm.WideFlange,            INDEX('[2]AISC Database v16.0'!$O:$O,
                          MATCH(Y32,'[2]AISC Database v16.0'!$B:$B,0)),
IF(_xlpm.Channel,               INDEX('[2]AISC Database v16.0'!$O:$O,
                          MATCH(Y32,'[2]AISC Database v16.0'!$B:$B,0)),
IF(_xlpm.BAR,                   INDEX('[2]AISC Database v16.0'!$T:$T,
                          MATCH(Y32,'[2]AISC Database v16.0'!$B:$B,0)),
IF(_xlpm.SingleAngle,           INDEX('[2]AISC Database v16.0'!$T:$T,
                          MATCH(Y32,'[2]AISC Database v16.0'!$B:$B,0)),
IF(_xlpm.DoubleAngle,           INDEX('[2]AISC Database v16.0'!$T:$T,
                          MATCH(Y32,'[2]AISC Database v16.0'!$B:$B,0)),
IF(_xlpm.RECT,                  INDEX('[2]AISC Database v16.0'!$T:$T,
                          MATCH(Y32,'[2]AISC Database v16.0'!$B:$B,0)),
IF(AND(_xlpm.HSS,NOT(_xlpm.HSSPipe)), INDEX('[2]AISC Database v16.0'!$U:$U,
                          MATCH(Y32,'[2]AISC Database v16.0'!$B:$B,0)),
IF(OR(_xlpm.Pipe, _xlpm.HSSPipe),     INDEX('[2]AISC Database v16.0'!$U:$U,
                          MATCH(Y32,'[2]AISC Database v16.0'!$B:$B,0)),
0))))))))),0)))</f>
        <v/>
      </c>
      <c r="AE32" s="230" t="str">
        <f t="shared" si="0"/>
        <v/>
      </c>
      <c r="AF32" s="229" t="str">
        <f>IF(X32="","",
IF(OR(X32="RIGID",X32="GEN1A"), 0,
IFERROR(INDEX('[2]AISC Database v16.0'!$M:$M, MATCH(Y32,'[2]AISC Database v16.0'!$B:$B,0)), 0)))</f>
        <v/>
      </c>
      <c r="AG32" s="229" t="str">
        <f>IF(X32="","",
IF(OR(X32="RIGID",X32="GEN1A"), 0,
IFERROR(INDEX('[2]AISC Database v16.0'!$C:$C, MATCH(Y32,'[2]AISC Database v16.0'!$B:$B,0)), 0)))</f>
        <v/>
      </c>
      <c r="AR32" s="209"/>
      <c r="AS32" s="209">
        <f>+IFERROR(IF(VLOOKUP($B32,$E$6:$K203,6,0)=0,$O32/12*COS(PI()/180*($P32+0))^2,IF(AND(ABS(VLOOKUP($B32,$E$6:$K203,6,0))&gt;0,$P32=0),$O32/12*COS(PI()/180*($P32+0))^2,IF(AND(ABS(VLOOKUP($B32,$E$6:$K203,6,0))&gt;0,ABS($P32)&gt;0),$O32/12*COS(PI()/180*($P32+0))^2))),0)</f>
        <v>0</v>
      </c>
      <c r="AT32" s="209">
        <f>+IFERROR(IF(VLOOKUP($B32,$E$6:$K203,6,0)=0,0,IF(AND(ABS(VLOOKUP($B32,$E$6:$K203,6,0))&gt;0,$P32=0),ABS(VLOOKUP($B32,$E$6:$K203,6,0))*SIN(PI()/180*($P32+0))^2,IF(AND(ABS(VLOOKUP($B32,$E$6:$K203,6,0))&gt;0,ABS($P32)&gt;0),ABS(VLOOKUP($B32,$E$6:$K203,6,0))*SIN(PI()/180*($P32+0))^2))),0)*IF(RISA3D.Unit.Length="in",1/12,1)</f>
        <v>0</v>
      </c>
      <c r="AU32" s="209">
        <f t="shared" si="1"/>
        <v>0</v>
      </c>
      <c r="AV32" s="209">
        <f>+IFERROR(+IF(VLOOKUP($M32,$S$6:$V203,3,0)=VLOOKUP($N32,$S$6:$V203,3,0), ((((($O32/12+(2*0.5/12))*((VLOOKUP($C32,rngR3DSectionSets,5,0)/12)+(2*0.5/12)))-($O32/12*(VLOOKUP($C32,rngR3DSectionSets,5,0)/12)))*1.2*COS(PI()/180*($P32))^2)) + AU32, (((((AS32+(2*0.5/12))*((VLOOKUP($C32,rngR3DSectionSets,5,0)/12)+(2*0.5/12)))-(AS32*(VLOOKUP($C32,rngR3DSectionSets,5,0)/12)))+(((AT32+(2*0.5/12))*((VLOOKUP($C32,rngR3DSectionSets,5,0)/12)+(2*0.5/12)))-(AT32*(VLOOKUP($C32,rngR3DSectionSets,5,0)/12))))*1.2) + AU32),0)</f>
        <v>0</v>
      </c>
      <c r="AW32" s="209">
        <f>+IFERROR(+IF(VLOOKUP($M32,$S$6:$V203,3,0)=VLOOKUP($N32,$S$6:$V203,3,0), ((((($O32/12+(2*1/12))*((VLOOKUP($C32,rngR3DSectionSets,5,0)/12)+(2*1/12)))-($O32/12*(VLOOKUP($C32,rngR3DSectionSets,5,0)/12)))*1.2*COS(PI()/180*($P32))^2)) + AU32, (((((AS32+(2*1/12))*((VLOOKUP($C32,rngR3DSectionSets,5,0)/12)+(2*1/12)))-(AS32*(VLOOKUP($C32,rngR3DSectionSets,5,0)/12)))+(((AT32+(2*1/12))*((VLOOKUP($C32,rngR3DSectionSets,5,0)/12)+(2*1/12)))-(AT32*(VLOOKUP($C32,rngR3DSectionSets,5,0)/12))))*1.2) + AU32),0)</f>
        <v>0</v>
      </c>
      <c r="AX32" s="209">
        <f>+IFERROR(IF(VLOOKUP($B32,$E$6:$K203,6,0)=0,$O32/12*COS(PI()/180*($P32+90))^2,IF(AND(ABS(VLOOKUP($B32,$E$6:$K203,6,0))&gt;0,$P32=0),$O32/12*COS(PI()/180*($P32+90))^2,IF(AND(ABS(VLOOKUP($B32,$E$6:$K203,6,0))&gt;0,ABS($P32)&gt;0),$O32/12*COS(PI()/180*($P32+90))^2))),0)</f>
        <v>0</v>
      </c>
      <c r="AY32" s="209">
        <f>+IFERROR(IF(VLOOKUP($B32,$E$6:$K203,6,0)=0,0,IF(AND(ABS(VLOOKUP($B32,$E$6:$K203,6,0))&gt;0,$P32=0),ABS(VLOOKUP($B32,$E$6:$K203,6,0))*SIN(PI()/180*($P32+90))^2,IF(AND(ABS(VLOOKUP($B32,$E$6:$K203,6,0))&gt;0,ABS($P32)&gt;0),ABS(VLOOKUP($B32,$E$6:$K203,6,0))*SIN(PI()/180*($P32+90))^2))),0)*IF(RISA3D.Unit.Length="in",1/12,1)</f>
        <v>0</v>
      </c>
      <c r="AZ32" s="209">
        <f t="shared" si="2"/>
        <v>0</v>
      </c>
      <c r="BA32" s="209">
        <f>+IFERROR(+IF(VLOOKUP($M32,$S$6:$V203,3,0)=VLOOKUP($N32,$S$6:$V203,3,0), ((((($O32/12+(2*0.5/12))*((VLOOKUP($C32,rngR3DSectionSets,5,0)/12)+(2*0.5/12)))-($O32/12*(VLOOKUP($C32,rngR3DSectionSets,5,0)/12)))*1.2*COS(PI()/180*($P32))^2)) + AZ32, (((((AX32+(2*0.5/12))*((VLOOKUP($C32,rngR3DSectionSets,5,0)/12)+(2*0.5/12)))-(AX32*(VLOOKUP($C32,rngR3DSectionSets,5,0)/12)))+(((AY32+(2*0.5/12))*((VLOOKUP($C32,rngR3DSectionSets,5,0)/12)+(2*0.5/12)))-(AY32*(VLOOKUP($C32,rngR3DSectionSets,5,0)/12))))*1.2) + AZ32),0)</f>
        <v>0</v>
      </c>
      <c r="BB32" s="209">
        <f>+IFERROR(+IF(VLOOKUP($M32,$S$6:$V203,3,0)=VLOOKUP($N32,$S$6:$V203,3,0), ((((($O32/12+(2*1/12))*((VLOOKUP($C32,rngR3DSectionSets,5,0)/12)+(2*1/12)))-($O32/12*(VLOOKUP($C32,rngR3DSectionSets,5,0)/12)))*1.2*COS(PI()/180*($P32))^2)) + AZ32, (((((AX32+(2*1/12))*((VLOOKUP($C32,rngR3DSectionSets,5,0)/12)+(2*1/12)))-(AX32*(VLOOKUP($C32,rngR3DSectionSets,5,0)/12)))+(((AY32+(2*1/12))*((VLOOKUP($C32,rngR3DSectionSets,5,0)/12)+(2*1/12)))-(AY32*(VLOOKUP($C32,rngR3DSectionSets,5,0)/12))))*1.2) + AZ32),0)</f>
        <v>0</v>
      </c>
      <c r="BC32" s="209">
        <f t="shared" si="3"/>
        <v>0</v>
      </c>
      <c r="BD32" s="209">
        <f t="shared" si="4"/>
        <v>0</v>
      </c>
      <c r="BE32" s="209">
        <f t="shared" si="5"/>
        <v>0</v>
      </c>
      <c r="BF32" s="209"/>
      <c r="BG32" s="209"/>
    </row>
    <row r="33" spans="2:59" ht="15" customHeight="1" x14ac:dyDescent="0.2">
      <c r="B33" s="207"/>
      <c r="C33" s="207"/>
      <c r="D33" s="207"/>
      <c r="E33" s="207"/>
      <c r="F33" s="207"/>
      <c r="G33" s="207"/>
      <c r="H33" s="207"/>
      <c r="I33" s="207"/>
      <c r="J33" s="207"/>
      <c r="K33" s="207"/>
      <c r="L33" s="207"/>
      <c r="M33" s="207"/>
      <c r="N33" s="207"/>
      <c r="O33" s="207"/>
      <c r="P33" s="207"/>
      <c r="Q33" s="207"/>
      <c r="R33" s="207"/>
      <c r="S33" s="207"/>
      <c r="T33" s="228"/>
      <c r="U33" s="228"/>
      <c r="V33" s="228"/>
      <c r="AB33" s="229" t="str">
        <f>IF(X33="","",
IF(OR(X33="RIGID",X33="GEN1A"), 0,
IFERROR(_xlfn.LET(
_xlpm.BAR,                      OR(ISNUMBER(SEARCH("BAR",Z33)),ISNUMBER(SEARCH("SR",Y33))),
_xlpm.HSS,                      OR(ISNUMBER(SEARCH("HSS",Y33)),ISNUMBER(SEARCH("SquareTube",Z33)),NOT(ISNUMBER(SEARCH("HSS Pipe",Z33)))),
_xlpm.HSSPipe,                  OR(ISNUMBER(SEARCH("HSS Pipe",Z33)),ISNUMBER(SEARCH("Pipe",Z33)),ISNUMBER(SEARCH("Pipe",Y33))),
_xlpm.Pipe,                     OR(ISNUMBER(SEARCH("Pipe",Z33)),ISNUMBER(SEARCH("Pipe",Y33))),
_xlpm.SingleAngle,              OR(ISNUMBER(SEARCH("Single Angle",Z33)),AND(ISNUMBER(SEARCH("Angle",Z33)),ISNUMBER(SEARCH("Single",Z33)))),
_xlpm.DoubleAngle,              AND(ISNUMBER(SEARCH("Angle",Z33)),ISNUMBER(SEARCH("Double",Z33))),
_xlpm.RECT,                     OR(ISNUMBER(SEARCH("RECT",Z33)),ISNUMBER(SEARCH("PL",Y33))),
_xlpm.WideFlange,               OR(ISNUMBER(SEARCH("Wide Flange",Z33)),ISNUMBER(SEARCH("Tee",Z33)),ISNUMBER(SEARCH("W",Y33))),
_xlpm.Channel,                  OR(ISNUMBER(SEARCH("Channel",Z33)),ISNUMBER(SEARCH("C",Y33))),
IF(OR(_xlpm.WideFlange, _xlpm.Channel, _xlpm.SingleAngle, _xlpm.DoubleAngle, _xlpm.RECT),
                          INDEX('[2]AISC Database v16.0'!$D:$D,
                          MATCH(Y33,'[2]AISC Database v16.0'!$B:$B,0)),
IF(AND(_xlpm.HSS,NOT(_xlpm.HSSPipe)), INDEX('[2]AISC Database v16.0'!$F:$F,
                          MATCH(Y33,'[2]AISC Database v16.0'!$B:$B,0)),
IF(OR(_xlpm.Pipe, _xlpm.HSSPipe, _xlpm.BAR),
                          INDEX('[2]AISC Database v16.0'!$H:$H,
                          MATCH(Y33,'[2]AISC Database v16.0'!$B:$B,0)),
0)))),0)))</f>
        <v/>
      </c>
      <c r="AC33" s="229" t="str">
        <f>IF(X33="","",
IF(OR(X33="RIGID",X33="GEN1A"), 0,
IFERROR(_xlfn.LET(
_xlpm.BAR,                      OR(ISNUMBER(SEARCH("BAR",Z33)),ISNUMBER(SEARCH("SR",Y33))),
_xlpm.HSS,                      OR(ISNUMBER(SEARCH("HSS",Y33)),ISNUMBER(SEARCH("SquareTube",Z33)),NOT(ISNUMBER(SEARCH("HSS Pipe",Z33)))),
_xlpm.HSSPipe,                  OR(ISNUMBER(SEARCH("HSS Pipe",Z33)),ISNUMBER(SEARCH("Pipe",Z33)),ISNUMBER(SEARCH("Pipe",Y33))),
_xlpm.Pipe,                     OR(ISNUMBER(SEARCH("Pipe",Z33)),ISNUMBER(SEARCH("Pipe",Y33))),
_xlpm.SingleAngle,              OR(ISNUMBER(SEARCH("Single Angle",Z33)),AND(ISNUMBER(SEARCH("Angle",Z33)),ISNUMBER(SEARCH("Single",Z33)))),
_xlpm.DoubleAngle,              AND(ISNUMBER(SEARCH("Angle",Z33)),ISNUMBER(SEARCH("Double",Z33))),
_xlpm.RECT,                     OR(ISNUMBER(SEARCH("RECT",Z33)),ISNUMBER(SEARCH("PL",Y33))),
_xlpm.WideFlange,               OR(ISNUMBER(SEARCH("Wide Flange",Z33)),ISNUMBER(SEARCH("Tee",Z33)),ISNUMBER(SEARCH("W",Y33))),
_xlpm.Channel,                  OR(ISNUMBER(SEARCH("Channel",Z33)),ISNUMBER(SEARCH("C",Y33))),
IF(OR(_xlpm.WideFlange, _xlpm.Channel),
                          INDEX('[2]AISC Database v16.0'!$I:$I,
                          MATCH(Y33,'[2]AISC Database v16.0'!$B:$B,0)),
IF(OR(_xlpm.SingleAngle, _xlpm.DoubleAngle, _xlpm.RECT),
                          INDEX('[2]AISC Database v16.0'!$L:$L,
                          MATCH(Y33,'[2]AISC Database v16.0'!$B:$B,0)),
IF(AND(_xlpm.HSS,NOT(_xlpm.HSSPipe)),
                          INDEX('[2]AISC Database v16.0'!$K:$K,
                          MATCH(Y33,'[2]AISC Database v16.0'!$B:$B,0)),
IF(OR(_xlpm.Pipe, _xlpm.HSSPipe, _xlpm.BAR),
                          INDEX('[2]AISC Database v16.0'!$H:$H,
                          MATCH(Y33,'[2]AISC Database v16.0'!$B:$B,0)),
0))))),0)))</f>
        <v/>
      </c>
      <c r="AD33" s="230" t="str">
        <f>IF(X33="","",
IF(OR(X33="RIGID",X33="GEN1A"), 0,
IFERROR(_xlfn.LET(
_xlpm.BAR,                      OR(ISNUMBER(SEARCH("BAR",Z33)),ISNUMBER(SEARCH("SR",Y33))),
_xlpm.HSS,                      OR(ISNUMBER(SEARCH("HSS",Y33)),ISNUMBER(SEARCH("SquareTube",Z33)),NOT(ISNUMBER(SEARCH("HSS Pipe",Z33)))),
_xlpm.HSSPipe,                  OR(ISNUMBER(SEARCH("HSS Pipe",Z33)),ISNUMBER(SEARCH("Pipe",Z33)),ISNUMBER(SEARCH("Pipe",Y33))),
_xlpm.Pipe,                     OR(ISNUMBER(SEARCH("Pipe",Z33)),ISNUMBER(SEARCH("Pipe",Y33))),
_xlpm.SingleAngle,              OR(ISNUMBER(SEARCH("Single Angle",Z33)),AND(ISNUMBER(SEARCH("Angle",Z33)),ISNUMBER(SEARCH("Single",Z33)))),
_xlpm.DoubleAngle,              AND(ISNUMBER(SEARCH("Angle",Z33)),ISNUMBER(SEARCH("Double",Z33))),
_xlpm.RECT,                     OR(ISNUMBER(SEARCH("RECT",Z33)),ISNUMBER(SEARCH("PL",Y33))),
_xlpm.WideFlange,               OR(ISNUMBER(SEARCH("Wide Flange",Z33)),ISNUMBER(SEARCH("Tee",Z33)),ISNUMBER(SEARCH("W",Y33))),
_xlpm.Channel,                  OR(ISNUMBER(SEARCH("Channel",Z33)),ISNUMBER(SEARCH("C",Y33))),
IF(_xlpm.WideFlange,            INDEX('[2]AISC Database v16.0'!$O:$O,
                          MATCH(Y33,'[2]AISC Database v16.0'!$B:$B,0)),
IF(_xlpm.Channel,               INDEX('[2]AISC Database v16.0'!$O:$O,
                          MATCH(Y33,'[2]AISC Database v16.0'!$B:$B,0)),
IF(_xlpm.BAR,                   INDEX('[2]AISC Database v16.0'!$T:$T,
                          MATCH(Y33,'[2]AISC Database v16.0'!$B:$B,0)),
IF(_xlpm.SingleAngle,           INDEX('[2]AISC Database v16.0'!$T:$T,
                          MATCH(Y33,'[2]AISC Database v16.0'!$B:$B,0)),
IF(_xlpm.DoubleAngle,           INDEX('[2]AISC Database v16.0'!$T:$T,
                          MATCH(Y33,'[2]AISC Database v16.0'!$B:$B,0)),
IF(_xlpm.RECT,                  INDEX('[2]AISC Database v16.0'!$T:$T,
                          MATCH(Y33,'[2]AISC Database v16.0'!$B:$B,0)),
IF(AND(_xlpm.HSS,NOT(_xlpm.HSSPipe)), INDEX('[2]AISC Database v16.0'!$U:$U,
                          MATCH(Y33,'[2]AISC Database v16.0'!$B:$B,0)),
IF(OR(_xlpm.Pipe, _xlpm.HSSPipe),     INDEX('[2]AISC Database v16.0'!$U:$U,
                          MATCH(Y33,'[2]AISC Database v16.0'!$B:$B,0)),
0))))))))),0)))</f>
        <v/>
      </c>
      <c r="AE33" s="230" t="str">
        <f t="shared" si="0"/>
        <v/>
      </c>
      <c r="AF33" s="229" t="str">
        <f>IF(X33="","",
IF(OR(X33="RIGID",X33="GEN1A"), 0,
IFERROR(INDEX('[2]AISC Database v16.0'!$M:$M, MATCH(Y33,'[2]AISC Database v16.0'!$B:$B,0)), 0)))</f>
        <v/>
      </c>
      <c r="AG33" s="229" t="str">
        <f>IF(X33="","",
IF(OR(X33="RIGID",X33="GEN1A"), 0,
IFERROR(INDEX('[2]AISC Database v16.0'!$C:$C, MATCH(Y33,'[2]AISC Database v16.0'!$B:$B,0)), 0)))</f>
        <v/>
      </c>
      <c r="AR33" s="209"/>
      <c r="AS33" s="209">
        <f>+IFERROR(IF(VLOOKUP($B33,$E$6:$K203,6,0)=0,$O33/12*COS(PI()/180*($P33+0))^2,IF(AND(ABS(VLOOKUP($B33,$E$6:$K203,6,0))&gt;0,$P33=0),$O33/12*COS(PI()/180*($P33+0))^2,IF(AND(ABS(VLOOKUP($B33,$E$6:$K203,6,0))&gt;0,ABS($P33)&gt;0),$O33/12*COS(PI()/180*($P33+0))^2))),0)</f>
        <v>0</v>
      </c>
      <c r="AT33" s="209">
        <f>+IFERROR(IF(VLOOKUP($B33,$E$6:$K203,6,0)=0,0,IF(AND(ABS(VLOOKUP($B33,$E$6:$K203,6,0))&gt;0,$P33=0),ABS(VLOOKUP($B33,$E$6:$K203,6,0))*SIN(PI()/180*($P33+0))^2,IF(AND(ABS(VLOOKUP($B33,$E$6:$K203,6,0))&gt;0,ABS($P33)&gt;0),ABS(VLOOKUP($B33,$E$6:$K203,6,0))*SIN(PI()/180*($P33+0))^2))),0)*IF(RISA3D.Unit.Length="in",1/12,1)</f>
        <v>0</v>
      </c>
      <c r="AU33" s="209">
        <f t="shared" si="1"/>
        <v>0</v>
      </c>
      <c r="AV33" s="209">
        <f>+IFERROR(+IF(VLOOKUP($M33,$S$6:$V203,3,0)=VLOOKUP($N33,$S$6:$V203,3,0), ((((($O33/12+(2*0.5/12))*((VLOOKUP($C33,rngR3DSectionSets,5,0)/12)+(2*0.5/12)))-($O33/12*(VLOOKUP($C33,rngR3DSectionSets,5,0)/12)))*1.2*COS(PI()/180*($P33))^2)) + AU33, (((((AS33+(2*0.5/12))*((VLOOKUP($C33,rngR3DSectionSets,5,0)/12)+(2*0.5/12)))-(AS33*(VLOOKUP($C33,rngR3DSectionSets,5,0)/12)))+(((AT33+(2*0.5/12))*((VLOOKUP($C33,rngR3DSectionSets,5,0)/12)+(2*0.5/12)))-(AT33*(VLOOKUP($C33,rngR3DSectionSets,5,0)/12))))*1.2) + AU33),0)</f>
        <v>0</v>
      </c>
      <c r="AW33" s="209">
        <f>+IFERROR(+IF(VLOOKUP($M33,$S$6:$V203,3,0)=VLOOKUP($N33,$S$6:$V203,3,0), ((((($O33/12+(2*1/12))*((VLOOKUP($C33,rngR3DSectionSets,5,0)/12)+(2*1/12)))-($O33/12*(VLOOKUP($C33,rngR3DSectionSets,5,0)/12)))*1.2*COS(PI()/180*($P33))^2)) + AU33, (((((AS33+(2*1/12))*((VLOOKUP($C33,rngR3DSectionSets,5,0)/12)+(2*1/12)))-(AS33*(VLOOKUP($C33,rngR3DSectionSets,5,0)/12)))+(((AT33+(2*1/12))*((VLOOKUP($C33,rngR3DSectionSets,5,0)/12)+(2*1/12)))-(AT33*(VLOOKUP($C33,rngR3DSectionSets,5,0)/12))))*1.2) + AU33),0)</f>
        <v>0</v>
      </c>
      <c r="AX33" s="209">
        <f>+IFERROR(IF(VLOOKUP($B33,$E$6:$K203,6,0)=0,$O33/12*COS(PI()/180*($P33+90))^2,IF(AND(ABS(VLOOKUP($B33,$E$6:$K203,6,0))&gt;0,$P33=0),$O33/12*COS(PI()/180*($P33+90))^2,IF(AND(ABS(VLOOKUP($B33,$E$6:$K203,6,0))&gt;0,ABS($P33)&gt;0),$O33/12*COS(PI()/180*($P33+90))^2))),0)</f>
        <v>0</v>
      </c>
      <c r="AY33" s="209">
        <f>+IFERROR(IF(VLOOKUP($B33,$E$6:$K203,6,0)=0,0,IF(AND(ABS(VLOOKUP($B33,$E$6:$K203,6,0))&gt;0,$P33=0),ABS(VLOOKUP($B33,$E$6:$K203,6,0))*SIN(PI()/180*($P33+90))^2,IF(AND(ABS(VLOOKUP($B33,$E$6:$K203,6,0))&gt;0,ABS($P33)&gt;0),ABS(VLOOKUP($B33,$E$6:$K203,6,0))*SIN(PI()/180*($P33+90))^2))),0)*IF(RISA3D.Unit.Length="in",1/12,1)</f>
        <v>0</v>
      </c>
      <c r="AZ33" s="209">
        <f t="shared" si="2"/>
        <v>0</v>
      </c>
      <c r="BA33" s="209">
        <f>+IFERROR(+IF(VLOOKUP($M33,$S$6:$V203,3,0)=VLOOKUP($N33,$S$6:$V203,3,0), ((((($O33/12+(2*0.5/12))*((VLOOKUP($C33,rngR3DSectionSets,5,0)/12)+(2*0.5/12)))-($O33/12*(VLOOKUP($C33,rngR3DSectionSets,5,0)/12)))*1.2*COS(PI()/180*($P33))^2)) + AZ33, (((((AX33+(2*0.5/12))*((VLOOKUP($C33,rngR3DSectionSets,5,0)/12)+(2*0.5/12)))-(AX33*(VLOOKUP($C33,rngR3DSectionSets,5,0)/12)))+(((AY33+(2*0.5/12))*((VLOOKUP($C33,rngR3DSectionSets,5,0)/12)+(2*0.5/12)))-(AY33*(VLOOKUP($C33,rngR3DSectionSets,5,0)/12))))*1.2) + AZ33),0)</f>
        <v>0</v>
      </c>
      <c r="BB33" s="209">
        <f>+IFERROR(+IF(VLOOKUP($M33,$S$6:$V203,3,0)=VLOOKUP($N33,$S$6:$V203,3,0), ((((($O33/12+(2*1/12))*((VLOOKUP($C33,rngR3DSectionSets,5,0)/12)+(2*1/12)))-($O33/12*(VLOOKUP($C33,rngR3DSectionSets,5,0)/12)))*1.2*COS(PI()/180*($P33))^2)) + AZ33, (((((AX33+(2*1/12))*((VLOOKUP($C33,rngR3DSectionSets,5,0)/12)+(2*1/12)))-(AX33*(VLOOKUP($C33,rngR3DSectionSets,5,0)/12)))+(((AY33+(2*1/12))*((VLOOKUP($C33,rngR3DSectionSets,5,0)/12)+(2*1/12)))-(AY33*(VLOOKUP($C33,rngR3DSectionSets,5,0)/12))))*1.2) + AZ33),0)</f>
        <v>0</v>
      </c>
      <c r="BC33" s="209">
        <f t="shared" si="3"/>
        <v>0</v>
      </c>
      <c r="BD33" s="209">
        <f t="shared" si="4"/>
        <v>0</v>
      </c>
      <c r="BE33" s="209">
        <f t="shared" si="5"/>
        <v>0</v>
      </c>
      <c r="BF33" s="209"/>
      <c r="BG33" s="209"/>
    </row>
    <row r="34" spans="2:59" ht="15" customHeight="1" x14ac:dyDescent="0.2">
      <c r="B34" s="207"/>
      <c r="C34" s="207"/>
      <c r="D34" s="207"/>
      <c r="E34" s="207"/>
      <c r="F34" s="207"/>
      <c r="G34" s="207"/>
      <c r="H34" s="207"/>
      <c r="I34" s="207"/>
      <c r="J34" s="207"/>
      <c r="K34" s="207"/>
      <c r="L34" s="207"/>
      <c r="M34" s="207"/>
      <c r="N34" s="207"/>
      <c r="O34" s="207"/>
      <c r="P34" s="207"/>
      <c r="Q34" s="207"/>
      <c r="R34" s="207"/>
      <c r="S34" s="207"/>
      <c r="T34" s="228"/>
      <c r="U34" s="228"/>
      <c r="V34" s="228"/>
      <c r="AB34" s="229" t="str">
        <f>IF(X34="","",
IF(OR(X34="RIGID",X34="GEN1A"), 0,
IFERROR(_xlfn.LET(
_xlpm.BAR,                      OR(ISNUMBER(SEARCH("BAR",Z34)),ISNUMBER(SEARCH("SR",Y34))),
_xlpm.HSS,                      OR(ISNUMBER(SEARCH("HSS",Y34)),ISNUMBER(SEARCH("SquareTube",Z34)),NOT(ISNUMBER(SEARCH("HSS Pipe",Z34)))),
_xlpm.HSSPipe,                  OR(ISNUMBER(SEARCH("HSS Pipe",Z34)),ISNUMBER(SEARCH("Pipe",Z34)),ISNUMBER(SEARCH("Pipe",Y34))),
_xlpm.Pipe,                     OR(ISNUMBER(SEARCH("Pipe",Z34)),ISNUMBER(SEARCH("Pipe",Y34))),
_xlpm.SingleAngle,              OR(ISNUMBER(SEARCH("Single Angle",Z34)),AND(ISNUMBER(SEARCH("Angle",Z34)),ISNUMBER(SEARCH("Single",Z34)))),
_xlpm.DoubleAngle,              AND(ISNUMBER(SEARCH("Angle",Z34)),ISNUMBER(SEARCH("Double",Z34))),
_xlpm.RECT,                     OR(ISNUMBER(SEARCH("RECT",Z34)),ISNUMBER(SEARCH("PL",Y34))),
_xlpm.WideFlange,               OR(ISNUMBER(SEARCH("Wide Flange",Z34)),ISNUMBER(SEARCH("Tee",Z34)),ISNUMBER(SEARCH("W",Y34))),
_xlpm.Channel,                  OR(ISNUMBER(SEARCH("Channel",Z34)),ISNUMBER(SEARCH("C",Y34))),
IF(OR(_xlpm.WideFlange, _xlpm.Channel, _xlpm.SingleAngle, _xlpm.DoubleAngle, _xlpm.RECT),
                          INDEX('[2]AISC Database v16.0'!$D:$D,
                          MATCH(Y34,'[2]AISC Database v16.0'!$B:$B,0)),
IF(AND(_xlpm.HSS,NOT(_xlpm.HSSPipe)), INDEX('[2]AISC Database v16.0'!$F:$F,
                          MATCH(Y34,'[2]AISC Database v16.0'!$B:$B,0)),
IF(OR(_xlpm.Pipe, _xlpm.HSSPipe, _xlpm.BAR),
                          INDEX('[2]AISC Database v16.0'!$H:$H,
                          MATCH(Y34,'[2]AISC Database v16.0'!$B:$B,0)),
0)))),0)))</f>
        <v/>
      </c>
      <c r="AC34" s="229" t="str">
        <f>IF(X34="","",
IF(OR(X34="RIGID",X34="GEN1A"), 0,
IFERROR(_xlfn.LET(
_xlpm.BAR,                      OR(ISNUMBER(SEARCH("BAR",Z34)),ISNUMBER(SEARCH("SR",Y34))),
_xlpm.HSS,                      OR(ISNUMBER(SEARCH("HSS",Y34)),ISNUMBER(SEARCH("SquareTube",Z34)),NOT(ISNUMBER(SEARCH("HSS Pipe",Z34)))),
_xlpm.HSSPipe,                  OR(ISNUMBER(SEARCH("HSS Pipe",Z34)),ISNUMBER(SEARCH("Pipe",Z34)),ISNUMBER(SEARCH("Pipe",Y34))),
_xlpm.Pipe,                     OR(ISNUMBER(SEARCH("Pipe",Z34)),ISNUMBER(SEARCH("Pipe",Y34))),
_xlpm.SingleAngle,              OR(ISNUMBER(SEARCH("Single Angle",Z34)),AND(ISNUMBER(SEARCH("Angle",Z34)),ISNUMBER(SEARCH("Single",Z34)))),
_xlpm.DoubleAngle,              AND(ISNUMBER(SEARCH("Angle",Z34)),ISNUMBER(SEARCH("Double",Z34))),
_xlpm.RECT,                     OR(ISNUMBER(SEARCH("RECT",Z34)),ISNUMBER(SEARCH("PL",Y34))),
_xlpm.WideFlange,               OR(ISNUMBER(SEARCH("Wide Flange",Z34)),ISNUMBER(SEARCH("Tee",Z34)),ISNUMBER(SEARCH("W",Y34))),
_xlpm.Channel,                  OR(ISNUMBER(SEARCH("Channel",Z34)),ISNUMBER(SEARCH("C",Y34))),
IF(OR(_xlpm.WideFlange, _xlpm.Channel),
                          INDEX('[2]AISC Database v16.0'!$I:$I,
                          MATCH(Y34,'[2]AISC Database v16.0'!$B:$B,0)),
IF(OR(_xlpm.SingleAngle, _xlpm.DoubleAngle, _xlpm.RECT),
                          INDEX('[2]AISC Database v16.0'!$L:$L,
                          MATCH(Y34,'[2]AISC Database v16.0'!$B:$B,0)),
IF(AND(_xlpm.HSS,NOT(_xlpm.HSSPipe)),
                          INDEX('[2]AISC Database v16.0'!$K:$K,
                          MATCH(Y34,'[2]AISC Database v16.0'!$B:$B,0)),
IF(OR(_xlpm.Pipe, _xlpm.HSSPipe, _xlpm.BAR),
                          INDEX('[2]AISC Database v16.0'!$H:$H,
                          MATCH(Y34,'[2]AISC Database v16.0'!$B:$B,0)),
0))))),0)))</f>
        <v/>
      </c>
      <c r="AD34" s="230" t="str">
        <f>IF(X34="","",
IF(OR(X34="RIGID",X34="GEN1A"), 0,
IFERROR(_xlfn.LET(
_xlpm.BAR,                      OR(ISNUMBER(SEARCH("BAR",Z34)),ISNUMBER(SEARCH("SR",Y34))),
_xlpm.HSS,                      OR(ISNUMBER(SEARCH("HSS",Y34)),ISNUMBER(SEARCH("SquareTube",Z34)),NOT(ISNUMBER(SEARCH("HSS Pipe",Z34)))),
_xlpm.HSSPipe,                  OR(ISNUMBER(SEARCH("HSS Pipe",Z34)),ISNUMBER(SEARCH("Pipe",Z34)),ISNUMBER(SEARCH("Pipe",Y34))),
_xlpm.Pipe,                     OR(ISNUMBER(SEARCH("Pipe",Z34)),ISNUMBER(SEARCH("Pipe",Y34))),
_xlpm.SingleAngle,              OR(ISNUMBER(SEARCH("Single Angle",Z34)),AND(ISNUMBER(SEARCH("Angle",Z34)),ISNUMBER(SEARCH("Single",Z34)))),
_xlpm.DoubleAngle,              AND(ISNUMBER(SEARCH("Angle",Z34)),ISNUMBER(SEARCH("Double",Z34))),
_xlpm.RECT,                     OR(ISNUMBER(SEARCH("RECT",Z34)),ISNUMBER(SEARCH("PL",Y34))),
_xlpm.WideFlange,               OR(ISNUMBER(SEARCH("Wide Flange",Z34)),ISNUMBER(SEARCH("Tee",Z34)),ISNUMBER(SEARCH("W",Y34))),
_xlpm.Channel,                  OR(ISNUMBER(SEARCH("Channel",Z34)),ISNUMBER(SEARCH("C",Y34))),
IF(_xlpm.WideFlange,            INDEX('[2]AISC Database v16.0'!$O:$O,
                          MATCH(Y34,'[2]AISC Database v16.0'!$B:$B,0)),
IF(_xlpm.Channel,               INDEX('[2]AISC Database v16.0'!$O:$O,
                          MATCH(Y34,'[2]AISC Database v16.0'!$B:$B,0)),
IF(_xlpm.BAR,                   INDEX('[2]AISC Database v16.0'!$T:$T,
                          MATCH(Y34,'[2]AISC Database v16.0'!$B:$B,0)),
IF(_xlpm.SingleAngle,           INDEX('[2]AISC Database v16.0'!$T:$T,
                          MATCH(Y34,'[2]AISC Database v16.0'!$B:$B,0)),
IF(_xlpm.DoubleAngle,           INDEX('[2]AISC Database v16.0'!$T:$T,
                          MATCH(Y34,'[2]AISC Database v16.0'!$B:$B,0)),
IF(_xlpm.RECT,                  INDEX('[2]AISC Database v16.0'!$T:$T,
                          MATCH(Y34,'[2]AISC Database v16.0'!$B:$B,0)),
IF(AND(_xlpm.HSS,NOT(_xlpm.HSSPipe)), INDEX('[2]AISC Database v16.0'!$U:$U,
                          MATCH(Y34,'[2]AISC Database v16.0'!$B:$B,0)),
IF(OR(_xlpm.Pipe, _xlpm.HSSPipe),     INDEX('[2]AISC Database v16.0'!$U:$U,
                          MATCH(Y34,'[2]AISC Database v16.0'!$B:$B,0)),
0))))))))),0)))</f>
        <v/>
      </c>
      <c r="AE34" s="230" t="str">
        <f t="shared" si="0"/>
        <v/>
      </c>
      <c r="AF34" s="229" t="str">
        <f>IF(X34="","",
IF(OR(X34="RIGID",X34="GEN1A"), 0,
IFERROR(INDEX('[2]AISC Database v16.0'!$M:$M, MATCH(Y34,'[2]AISC Database v16.0'!$B:$B,0)), 0)))</f>
        <v/>
      </c>
      <c r="AG34" s="229" t="str">
        <f>IF(X34="","",
IF(OR(X34="RIGID",X34="GEN1A"), 0,
IFERROR(INDEX('[2]AISC Database v16.0'!$C:$C, MATCH(Y34,'[2]AISC Database v16.0'!$B:$B,0)), 0)))</f>
        <v/>
      </c>
      <c r="AR34" s="209"/>
      <c r="AS34" s="209">
        <f>+IFERROR(IF(VLOOKUP($B34,$E$6:$K203,6,0)=0,$O34/12*COS(PI()/180*($P34+0))^2,IF(AND(ABS(VLOOKUP($B34,$E$6:$K203,6,0))&gt;0,$P34=0),$O34/12*COS(PI()/180*($P34+0))^2,IF(AND(ABS(VLOOKUP($B34,$E$6:$K203,6,0))&gt;0,ABS($P34)&gt;0),$O34/12*COS(PI()/180*($P34+0))^2))),0)</f>
        <v>0</v>
      </c>
      <c r="AT34" s="209">
        <f>+IFERROR(IF(VLOOKUP($B34,$E$6:$K203,6,0)=0,0,IF(AND(ABS(VLOOKUP($B34,$E$6:$K203,6,0))&gt;0,$P34=0),ABS(VLOOKUP($B34,$E$6:$K203,6,0))*SIN(PI()/180*($P34+0))^2,IF(AND(ABS(VLOOKUP($B34,$E$6:$K203,6,0))&gt;0,ABS($P34)&gt;0),ABS(VLOOKUP($B34,$E$6:$K203,6,0))*SIN(PI()/180*($P34+0))^2))),0)*IF(RISA3D.Unit.Length="in",1/12,1)</f>
        <v>0</v>
      </c>
      <c r="AU34" s="209">
        <f t="shared" si="1"/>
        <v>0</v>
      </c>
      <c r="AV34" s="209">
        <f>+IFERROR(+IF(VLOOKUP($M34,$S$6:$V203,3,0)=VLOOKUP($N34,$S$6:$V203,3,0), ((((($O34/12+(2*0.5/12))*((VLOOKUP($C34,rngR3DSectionSets,5,0)/12)+(2*0.5/12)))-($O34/12*(VLOOKUP($C34,rngR3DSectionSets,5,0)/12)))*1.2*COS(PI()/180*($P34))^2)) + AU34, (((((AS34+(2*0.5/12))*((VLOOKUP($C34,rngR3DSectionSets,5,0)/12)+(2*0.5/12)))-(AS34*(VLOOKUP($C34,rngR3DSectionSets,5,0)/12)))+(((AT34+(2*0.5/12))*((VLOOKUP($C34,rngR3DSectionSets,5,0)/12)+(2*0.5/12)))-(AT34*(VLOOKUP($C34,rngR3DSectionSets,5,0)/12))))*1.2) + AU34),0)</f>
        <v>0</v>
      </c>
      <c r="AW34" s="209">
        <f>+IFERROR(+IF(VLOOKUP($M34,$S$6:$V203,3,0)=VLOOKUP($N34,$S$6:$V203,3,0), ((((($O34/12+(2*1/12))*((VLOOKUP($C34,rngR3DSectionSets,5,0)/12)+(2*1/12)))-($O34/12*(VLOOKUP($C34,rngR3DSectionSets,5,0)/12)))*1.2*COS(PI()/180*($P34))^2)) + AU34, (((((AS34+(2*1/12))*((VLOOKUP($C34,rngR3DSectionSets,5,0)/12)+(2*1/12)))-(AS34*(VLOOKUP($C34,rngR3DSectionSets,5,0)/12)))+(((AT34+(2*1/12))*((VLOOKUP($C34,rngR3DSectionSets,5,0)/12)+(2*1/12)))-(AT34*(VLOOKUP($C34,rngR3DSectionSets,5,0)/12))))*1.2) + AU34),0)</f>
        <v>0</v>
      </c>
      <c r="AX34" s="209">
        <f>+IFERROR(IF(VLOOKUP($B34,$E$6:$K203,6,0)=0,$O34/12*COS(PI()/180*($P34+90))^2,IF(AND(ABS(VLOOKUP($B34,$E$6:$K203,6,0))&gt;0,$P34=0),$O34/12*COS(PI()/180*($P34+90))^2,IF(AND(ABS(VLOOKUP($B34,$E$6:$K203,6,0))&gt;0,ABS($P34)&gt;0),$O34/12*COS(PI()/180*($P34+90))^2))),0)</f>
        <v>0</v>
      </c>
      <c r="AY34" s="209">
        <f>+IFERROR(IF(VLOOKUP($B34,$E$6:$K203,6,0)=0,0,IF(AND(ABS(VLOOKUP($B34,$E$6:$K203,6,0))&gt;0,$P34=0),ABS(VLOOKUP($B34,$E$6:$K203,6,0))*SIN(PI()/180*($P34+90))^2,IF(AND(ABS(VLOOKUP($B34,$E$6:$K203,6,0))&gt;0,ABS($P34)&gt;0),ABS(VLOOKUP($B34,$E$6:$K203,6,0))*SIN(PI()/180*($P34+90))^2))),0)*IF(RISA3D.Unit.Length="in",1/12,1)</f>
        <v>0</v>
      </c>
      <c r="AZ34" s="209">
        <f t="shared" si="2"/>
        <v>0</v>
      </c>
      <c r="BA34" s="209">
        <f>+IFERROR(+IF(VLOOKUP($M34,$S$6:$V203,3,0)=VLOOKUP($N34,$S$6:$V203,3,0), ((((($O34/12+(2*0.5/12))*((VLOOKUP($C34,rngR3DSectionSets,5,0)/12)+(2*0.5/12)))-($O34/12*(VLOOKUP($C34,rngR3DSectionSets,5,0)/12)))*1.2*COS(PI()/180*($P34))^2)) + AZ34, (((((AX34+(2*0.5/12))*((VLOOKUP($C34,rngR3DSectionSets,5,0)/12)+(2*0.5/12)))-(AX34*(VLOOKUP($C34,rngR3DSectionSets,5,0)/12)))+(((AY34+(2*0.5/12))*((VLOOKUP($C34,rngR3DSectionSets,5,0)/12)+(2*0.5/12)))-(AY34*(VLOOKUP($C34,rngR3DSectionSets,5,0)/12))))*1.2) + AZ34),0)</f>
        <v>0</v>
      </c>
      <c r="BB34" s="209">
        <f>+IFERROR(+IF(VLOOKUP($M34,$S$6:$V203,3,0)=VLOOKUP($N34,$S$6:$V203,3,0), ((((($O34/12+(2*1/12))*((VLOOKUP($C34,rngR3DSectionSets,5,0)/12)+(2*1/12)))-($O34/12*(VLOOKUP($C34,rngR3DSectionSets,5,0)/12)))*1.2*COS(PI()/180*($P34))^2)) + AZ34, (((((AX34+(2*1/12))*((VLOOKUP($C34,rngR3DSectionSets,5,0)/12)+(2*1/12)))-(AX34*(VLOOKUP($C34,rngR3DSectionSets,5,0)/12)))+(((AY34+(2*1/12))*((VLOOKUP($C34,rngR3DSectionSets,5,0)/12)+(2*1/12)))-(AY34*(VLOOKUP($C34,rngR3DSectionSets,5,0)/12))))*1.2) + AZ34),0)</f>
        <v>0</v>
      </c>
      <c r="BC34" s="209">
        <f t="shared" si="3"/>
        <v>0</v>
      </c>
      <c r="BD34" s="209">
        <f t="shared" si="4"/>
        <v>0</v>
      </c>
      <c r="BE34" s="209">
        <f t="shared" si="5"/>
        <v>0</v>
      </c>
      <c r="BF34" s="209"/>
      <c r="BG34" s="209"/>
    </row>
    <row r="35" spans="2:59" ht="15" customHeight="1" x14ac:dyDescent="0.2">
      <c r="B35" s="207"/>
      <c r="C35" s="207"/>
      <c r="D35" s="207"/>
      <c r="E35" s="207"/>
      <c r="F35" s="207"/>
      <c r="G35" s="207"/>
      <c r="H35" s="207"/>
      <c r="I35" s="207"/>
      <c r="J35" s="207"/>
      <c r="K35" s="207"/>
      <c r="L35" s="207"/>
      <c r="M35" s="207"/>
      <c r="N35" s="207"/>
      <c r="O35" s="207"/>
      <c r="P35" s="207"/>
      <c r="Q35" s="207"/>
      <c r="R35" s="207"/>
      <c r="S35" s="207"/>
      <c r="T35" s="228"/>
      <c r="U35" s="228"/>
      <c r="V35" s="228"/>
      <c r="AB35" s="229" t="str">
        <f>IF(X35="","",
IF(OR(X35="RIGID",X35="GEN1A"), 0,
IFERROR(_xlfn.LET(
_xlpm.BAR,                      OR(ISNUMBER(SEARCH("BAR",Z35)),ISNUMBER(SEARCH("SR",Y35))),
_xlpm.HSS,                      OR(ISNUMBER(SEARCH("HSS",Y35)),ISNUMBER(SEARCH("SquareTube",Z35)),NOT(ISNUMBER(SEARCH("HSS Pipe",Z35)))),
_xlpm.HSSPipe,                  OR(ISNUMBER(SEARCH("HSS Pipe",Z35)),ISNUMBER(SEARCH("Pipe",Z35)),ISNUMBER(SEARCH("Pipe",Y35))),
_xlpm.Pipe,                     OR(ISNUMBER(SEARCH("Pipe",Z35)),ISNUMBER(SEARCH("Pipe",Y35))),
_xlpm.SingleAngle,              OR(ISNUMBER(SEARCH("Single Angle",Z35)),AND(ISNUMBER(SEARCH("Angle",Z35)),ISNUMBER(SEARCH("Single",Z35)))),
_xlpm.DoubleAngle,              AND(ISNUMBER(SEARCH("Angle",Z35)),ISNUMBER(SEARCH("Double",Z35))),
_xlpm.RECT,                     OR(ISNUMBER(SEARCH("RECT",Z35)),ISNUMBER(SEARCH("PL",Y35))),
_xlpm.WideFlange,               OR(ISNUMBER(SEARCH("Wide Flange",Z35)),ISNUMBER(SEARCH("Tee",Z35)),ISNUMBER(SEARCH("W",Y35))),
_xlpm.Channel,                  OR(ISNUMBER(SEARCH("Channel",Z35)),ISNUMBER(SEARCH("C",Y35))),
IF(OR(_xlpm.WideFlange, _xlpm.Channel, _xlpm.SingleAngle, _xlpm.DoubleAngle, _xlpm.RECT),
                          INDEX('[2]AISC Database v16.0'!$D:$D,
                          MATCH(Y35,'[2]AISC Database v16.0'!$B:$B,0)),
IF(AND(_xlpm.HSS,NOT(_xlpm.HSSPipe)), INDEX('[2]AISC Database v16.0'!$F:$F,
                          MATCH(Y35,'[2]AISC Database v16.0'!$B:$B,0)),
IF(OR(_xlpm.Pipe, _xlpm.HSSPipe, _xlpm.BAR),
                          INDEX('[2]AISC Database v16.0'!$H:$H,
                          MATCH(Y35,'[2]AISC Database v16.0'!$B:$B,0)),
0)))),0)))</f>
        <v/>
      </c>
      <c r="AC35" s="229" t="str">
        <f>IF(X35="","",
IF(OR(X35="RIGID",X35="GEN1A"), 0,
IFERROR(_xlfn.LET(
_xlpm.BAR,                      OR(ISNUMBER(SEARCH("BAR",Z35)),ISNUMBER(SEARCH("SR",Y35))),
_xlpm.HSS,                      OR(ISNUMBER(SEARCH("HSS",Y35)),ISNUMBER(SEARCH("SquareTube",Z35)),NOT(ISNUMBER(SEARCH("HSS Pipe",Z35)))),
_xlpm.HSSPipe,                  OR(ISNUMBER(SEARCH("HSS Pipe",Z35)),ISNUMBER(SEARCH("Pipe",Z35)),ISNUMBER(SEARCH("Pipe",Y35))),
_xlpm.Pipe,                     OR(ISNUMBER(SEARCH("Pipe",Z35)),ISNUMBER(SEARCH("Pipe",Y35))),
_xlpm.SingleAngle,              OR(ISNUMBER(SEARCH("Single Angle",Z35)),AND(ISNUMBER(SEARCH("Angle",Z35)),ISNUMBER(SEARCH("Single",Z35)))),
_xlpm.DoubleAngle,              AND(ISNUMBER(SEARCH("Angle",Z35)),ISNUMBER(SEARCH("Double",Z35))),
_xlpm.RECT,                     OR(ISNUMBER(SEARCH("RECT",Z35)),ISNUMBER(SEARCH("PL",Y35))),
_xlpm.WideFlange,               OR(ISNUMBER(SEARCH("Wide Flange",Z35)),ISNUMBER(SEARCH("Tee",Z35)),ISNUMBER(SEARCH("W",Y35))),
_xlpm.Channel,                  OR(ISNUMBER(SEARCH("Channel",Z35)),ISNUMBER(SEARCH("C",Y35))),
IF(OR(_xlpm.WideFlange, _xlpm.Channel),
                          INDEX('[2]AISC Database v16.0'!$I:$I,
                          MATCH(Y35,'[2]AISC Database v16.0'!$B:$B,0)),
IF(OR(_xlpm.SingleAngle, _xlpm.DoubleAngle, _xlpm.RECT),
                          INDEX('[2]AISC Database v16.0'!$L:$L,
                          MATCH(Y35,'[2]AISC Database v16.0'!$B:$B,0)),
IF(AND(_xlpm.HSS,NOT(_xlpm.HSSPipe)),
                          INDEX('[2]AISC Database v16.0'!$K:$K,
                          MATCH(Y35,'[2]AISC Database v16.0'!$B:$B,0)),
IF(OR(_xlpm.Pipe, _xlpm.HSSPipe, _xlpm.BAR),
                          INDEX('[2]AISC Database v16.0'!$H:$H,
                          MATCH(Y35,'[2]AISC Database v16.0'!$B:$B,0)),
0))))),0)))</f>
        <v/>
      </c>
      <c r="AD35" s="230" t="str">
        <f>IF(X35="","",
IF(OR(X35="RIGID",X35="GEN1A"), 0,
IFERROR(_xlfn.LET(
_xlpm.BAR,                      OR(ISNUMBER(SEARCH("BAR",Z35)),ISNUMBER(SEARCH("SR",Y35))),
_xlpm.HSS,                      OR(ISNUMBER(SEARCH("HSS",Y35)),ISNUMBER(SEARCH("SquareTube",Z35)),NOT(ISNUMBER(SEARCH("HSS Pipe",Z35)))),
_xlpm.HSSPipe,                  OR(ISNUMBER(SEARCH("HSS Pipe",Z35)),ISNUMBER(SEARCH("Pipe",Z35)),ISNUMBER(SEARCH("Pipe",Y35))),
_xlpm.Pipe,                     OR(ISNUMBER(SEARCH("Pipe",Z35)),ISNUMBER(SEARCH("Pipe",Y35))),
_xlpm.SingleAngle,              OR(ISNUMBER(SEARCH("Single Angle",Z35)),AND(ISNUMBER(SEARCH("Angle",Z35)),ISNUMBER(SEARCH("Single",Z35)))),
_xlpm.DoubleAngle,              AND(ISNUMBER(SEARCH("Angle",Z35)),ISNUMBER(SEARCH("Double",Z35))),
_xlpm.RECT,                     OR(ISNUMBER(SEARCH("RECT",Z35)),ISNUMBER(SEARCH("PL",Y35))),
_xlpm.WideFlange,               OR(ISNUMBER(SEARCH("Wide Flange",Z35)),ISNUMBER(SEARCH("Tee",Z35)),ISNUMBER(SEARCH("W",Y35))),
_xlpm.Channel,                  OR(ISNUMBER(SEARCH("Channel",Z35)),ISNUMBER(SEARCH("C",Y35))),
IF(_xlpm.WideFlange,            INDEX('[2]AISC Database v16.0'!$O:$O,
                          MATCH(Y35,'[2]AISC Database v16.0'!$B:$B,0)),
IF(_xlpm.Channel,               INDEX('[2]AISC Database v16.0'!$O:$O,
                          MATCH(Y35,'[2]AISC Database v16.0'!$B:$B,0)),
IF(_xlpm.BAR,                   INDEX('[2]AISC Database v16.0'!$T:$T,
                          MATCH(Y35,'[2]AISC Database v16.0'!$B:$B,0)),
IF(_xlpm.SingleAngle,           INDEX('[2]AISC Database v16.0'!$T:$T,
                          MATCH(Y35,'[2]AISC Database v16.0'!$B:$B,0)),
IF(_xlpm.DoubleAngle,           INDEX('[2]AISC Database v16.0'!$T:$T,
                          MATCH(Y35,'[2]AISC Database v16.0'!$B:$B,0)),
IF(_xlpm.RECT,                  INDEX('[2]AISC Database v16.0'!$T:$T,
                          MATCH(Y35,'[2]AISC Database v16.0'!$B:$B,0)),
IF(AND(_xlpm.HSS,NOT(_xlpm.HSSPipe)), INDEX('[2]AISC Database v16.0'!$U:$U,
                          MATCH(Y35,'[2]AISC Database v16.0'!$B:$B,0)),
IF(OR(_xlpm.Pipe, _xlpm.HSSPipe),     INDEX('[2]AISC Database v16.0'!$U:$U,
                          MATCH(Y35,'[2]AISC Database v16.0'!$B:$B,0)),
0))))))))),0)))</f>
        <v/>
      </c>
      <c r="AE35" s="230" t="str">
        <f t="shared" si="0"/>
        <v/>
      </c>
      <c r="AF35" s="229" t="str">
        <f>IF(X35="","",
IF(OR(X35="RIGID",X35="GEN1A"), 0,
IFERROR(INDEX('[2]AISC Database v16.0'!$M:$M, MATCH(Y35,'[2]AISC Database v16.0'!$B:$B,0)), 0)))</f>
        <v/>
      </c>
      <c r="AG35" s="229" t="str">
        <f>IF(X35="","",
IF(OR(X35="RIGID",X35="GEN1A"), 0,
IFERROR(INDEX('[2]AISC Database v16.0'!$C:$C, MATCH(Y35,'[2]AISC Database v16.0'!$B:$B,0)), 0)))</f>
        <v/>
      </c>
      <c r="AR35" s="209"/>
      <c r="AS35" s="209">
        <f>+IFERROR(IF(VLOOKUP($B35,$E$6:$K203,6,0)=0,$O35/12*COS(PI()/180*($P35+0))^2,IF(AND(ABS(VLOOKUP($B35,$E$6:$K203,6,0))&gt;0,$P35=0),$O35/12*COS(PI()/180*($P35+0))^2,IF(AND(ABS(VLOOKUP($B35,$E$6:$K203,6,0))&gt;0,ABS($P35)&gt;0),$O35/12*COS(PI()/180*($P35+0))^2))),0)</f>
        <v>0</v>
      </c>
      <c r="AT35" s="209">
        <f>+IFERROR(IF(VLOOKUP($B35,$E$6:$K203,6,0)=0,0,IF(AND(ABS(VLOOKUP($B35,$E$6:$K203,6,0))&gt;0,$P35=0),ABS(VLOOKUP($B35,$E$6:$K203,6,0))*SIN(PI()/180*($P35+0))^2,IF(AND(ABS(VLOOKUP($B35,$E$6:$K203,6,0))&gt;0,ABS($P35)&gt;0),ABS(VLOOKUP($B35,$E$6:$K203,6,0))*SIN(PI()/180*($P35+0))^2))),0)*IF(RISA3D.Unit.Length="in",1/12,1)</f>
        <v>0</v>
      </c>
      <c r="AU35" s="209">
        <f t="shared" si="1"/>
        <v>0</v>
      </c>
      <c r="AV35" s="209">
        <f>+IFERROR(+IF(VLOOKUP($M35,$S$6:$V203,3,0)=VLOOKUP($N35,$S$6:$V203,3,0), ((((($O35/12+(2*0.5/12))*((VLOOKUP($C35,rngR3DSectionSets,5,0)/12)+(2*0.5/12)))-($O35/12*(VLOOKUP($C35,rngR3DSectionSets,5,0)/12)))*1.2*COS(PI()/180*($P35))^2)) + AU35, (((((AS35+(2*0.5/12))*((VLOOKUP($C35,rngR3DSectionSets,5,0)/12)+(2*0.5/12)))-(AS35*(VLOOKUP($C35,rngR3DSectionSets,5,0)/12)))+(((AT35+(2*0.5/12))*((VLOOKUP($C35,rngR3DSectionSets,5,0)/12)+(2*0.5/12)))-(AT35*(VLOOKUP($C35,rngR3DSectionSets,5,0)/12))))*1.2) + AU35),0)</f>
        <v>0</v>
      </c>
      <c r="AW35" s="209">
        <f>+IFERROR(+IF(VLOOKUP($M35,$S$6:$V203,3,0)=VLOOKUP($N35,$S$6:$V203,3,0), ((((($O35/12+(2*1/12))*((VLOOKUP($C35,rngR3DSectionSets,5,0)/12)+(2*1/12)))-($O35/12*(VLOOKUP($C35,rngR3DSectionSets,5,0)/12)))*1.2*COS(PI()/180*($P35))^2)) + AU35, (((((AS35+(2*1/12))*((VLOOKUP($C35,rngR3DSectionSets,5,0)/12)+(2*1/12)))-(AS35*(VLOOKUP($C35,rngR3DSectionSets,5,0)/12)))+(((AT35+(2*1/12))*((VLOOKUP($C35,rngR3DSectionSets,5,0)/12)+(2*1/12)))-(AT35*(VLOOKUP($C35,rngR3DSectionSets,5,0)/12))))*1.2) + AU35),0)</f>
        <v>0</v>
      </c>
      <c r="AX35" s="209">
        <f>+IFERROR(IF(VLOOKUP($B35,$E$6:$K203,6,0)=0,$O35/12*COS(PI()/180*($P35+90))^2,IF(AND(ABS(VLOOKUP($B35,$E$6:$K203,6,0))&gt;0,$P35=0),$O35/12*COS(PI()/180*($P35+90))^2,IF(AND(ABS(VLOOKUP($B35,$E$6:$K203,6,0))&gt;0,ABS($P35)&gt;0),$O35/12*COS(PI()/180*($P35+90))^2))),0)</f>
        <v>0</v>
      </c>
      <c r="AY35" s="209">
        <f>+IFERROR(IF(VLOOKUP($B35,$E$6:$K203,6,0)=0,0,IF(AND(ABS(VLOOKUP($B35,$E$6:$K203,6,0))&gt;0,$P35=0),ABS(VLOOKUP($B35,$E$6:$K203,6,0))*SIN(PI()/180*($P35+90))^2,IF(AND(ABS(VLOOKUP($B35,$E$6:$K203,6,0))&gt;0,ABS($P35)&gt;0),ABS(VLOOKUP($B35,$E$6:$K203,6,0))*SIN(PI()/180*($P35+90))^2))),0)*IF(RISA3D.Unit.Length="in",1/12,1)</f>
        <v>0</v>
      </c>
      <c r="AZ35" s="209">
        <f t="shared" si="2"/>
        <v>0</v>
      </c>
      <c r="BA35" s="209">
        <f>+IFERROR(+IF(VLOOKUP($M35,$S$6:$V203,3,0)=VLOOKUP($N35,$S$6:$V203,3,0), ((((($O35/12+(2*0.5/12))*((VLOOKUP($C35,rngR3DSectionSets,5,0)/12)+(2*0.5/12)))-($O35/12*(VLOOKUP($C35,rngR3DSectionSets,5,0)/12)))*1.2*COS(PI()/180*($P35))^2)) + AZ35, (((((AX35+(2*0.5/12))*((VLOOKUP($C35,rngR3DSectionSets,5,0)/12)+(2*0.5/12)))-(AX35*(VLOOKUP($C35,rngR3DSectionSets,5,0)/12)))+(((AY35+(2*0.5/12))*((VLOOKUP($C35,rngR3DSectionSets,5,0)/12)+(2*0.5/12)))-(AY35*(VLOOKUP($C35,rngR3DSectionSets,5,0)/12))))*1.2) + AZ35),0)</f>
        <v>0</v>
      </c>
      <c r="BB35" s="209">
        <f>+IFERROR(+IF(VLOOKUP($M35,$S$6:$V203,3,0)=VLOOKUP($N35,$S$6:$V203,3,0), ((((($O35/12+(2*1/12))*((VLOOKUP($C35,rngR3DSectionSets,5,0)/12)+(2*1/12)))-($O35/12*(VLOOKUP($C35,rngR3DSectionSets,5,0)/12)))*1.2*COS(PI()/180*($P35))^2)) + AZ35, (((((AX35+(2*1/12))*((VLOOKUP($C35,rngR3DSectionSets,5,0)/12)+(2*1/12)))-(AX35*(VLOOKUP($C35,rngR3DSectionSets,5,0)/12)))+(((AY35+(2*1/12))*((VLOOKUP($C35,rngR3DSectionSets,5,0)/12)+(2*1/12)))-(AY35*(VLOOKUP($C35,rngR3DSectionSets,5,0)/12))))*1.2) + AZ35),0)</f>
        <v>0</v>
      </c>
      <c r="BC35" s="209">
        <f t="shared" si="3"/>
        <v>0</v>
      </c>
      <c r="BD35" s="209">
        <f t="shared" si="4"/>
        <v>0</v>
      </c>
      <c r="BE35" s="209">
        <f t="shared" si="5"/>
        <v>0</v>
      </c>
      <c r="BF35" s="209"/>
      <c r="BG35" s="209"/>
    </row>
    <row r="36" spans="2:59" ht="15" customHeight="1" x14ac:dyDescent="0.2">
      <c r="B36" s="207"/>
      <c r="C36" s="207"/>
      <c r="D36" s="207"/>
      <c r="E36" s="207"/>
      <c r="F36" s="207"/>
      <c r="G36" s="207"/>
      <c r="H36" s="207"/>
      <c r="I36" s="207"/>
      <c r="J36" s="207"/>
      <c r="K36" s="207"/>
      <c r="L36" s="207"/>
      <c r="M36" s="207"/>
      <c r="N36" s="207"/>
      <c r="O36" s="207"/>
      <c r="P36" s="207"/>
      <c r="Q36" s="207"/>
      <c r="R36" s="207"/>
      <c r="S36" s="207"/>
      <c r="T36" s="228"/>
      <c r="U36" s="228"/>
      <c r="V36" s="228"/>
      <c r="AB36" s="229" t="str">
        <f>IF(X36="","",
IF(OR(X36="RIGID",X36="GEN1A"), 0,
IFERROR(_xlfn.LET(
_xlpm.BAR,                      OR(ISNUMBER(SEARCH("BAR",Z36)),ISNUMBER(SEARCH("SR",Y36))),
_xlpm.HSS,                      OR(ISNUMBER(SEARCH("HSS",Y36)),ISNUMBER(SEARCH("SquareTube",Z36)),NOT(ISNUMBER(SEARCH("HSS Pipe",Z36)))),
_xlpm.HSSPipe,                  OR(ISNUMBER(SEARCH("HSS Pipe",Z36)),ISNUMBER(SEARCH("Pipe",Z36)),ISNUMBER(SEARCH("Pipe",Y36))),
_xlpm.Pipe,                     OR(ISNUMBER(SEARCH("Pipe",Z36)),ISNUMBER(SEARCH("Pipe",Y36))),
_xlpm.SingleAngle,              OR(ISNUMBER(SEARCH("Single Angle",Z36)),AND(ISNUMBER(SEARCH("Angle",Z36)),ISNUMBER(SEARCH("Single",Z36)))),
_xlpm.DoubleAngle,              AND(ISNUMBER(SEARCH("Angle",Z36)),ISNUMBER(SEARCH("Double",Z36))),
_xlpm.RECT,                     OR(ISNUMBER(SEARCH("RECT",Z36)),ISNUMBER(SEARCH("PL",Y36))),
_xlpm.WideFlange,               OR(ISNUMBER(SEARCH("Wide Flange",Z36)),ISNUMBER(SEARCH("Tee",Z36)),ISNUMBER(SEARCH("W",Y36))),
_xlpm.Channel,                  OR(ISNUMBER(SEARCH("Channel",Z36)),ISNUMBER(SEARCH("C",Y36))),
IF(OR(_xlpm.WideFlange, _xlpm.Channel, _xlpm.SingleAngle, _xlpm.DoubleAngle, _xlpm.RECT),
                          INDEX('[2]AISC Database v16.0'!$D:$D,
                          MATCH(Y36,'[2]AISC Database v16.0'!$B:$B,0)),
IF(AND(_xlpm.HSS,NOT(_xlpm.HSSPipe)), INDEX('[2]AISC Database v16.0'!$F:$F,
                          MATCH(Y36,'[2]AISC Database v16.0'!$B:$B,0)),
IF(OR(_xlpm.Pipe, _xlpm.HSSPipe, _xlpm.BAR),
                          INDEX('[2]AISC Database v16.0'!$H:$H,
                          MATCH(Y36,'[2]AISC Database v16.0'!$B:$B,0)),
0)))),0)))</f>
        <v/>
      </c>
      <c r="AC36" s="229" t="str">
        <f>IF(X36="","",
IF(OR(X36="RIGID",X36="GEN1A"), 0,
IFERROR(_xlfn.LET(
_xlpm.BAR,                      OR(ISNUMBER(SEARCH("BAR",Z36)),ISNUMBER(SEARCH("SR",Y36))),
_xlpm.HSS,                      OR(ISNUMBER(SEARCH("HSS",Y36)),ISNUMBER(SEARCH("SquareTube",Z36)),NOT(ISNUMBER(SEARCH("HSS Pipe",Z36)))),
_xlpm.HSSPipe,                  OR(ISNUMBER(SEARCH("HSS Pipe",Z36)),ISNUMBER(SEARCH("Pipe",Z36)),ISNUMBER(SEARCH("Pipe",Y36))),
_xlpm.Pipe,                     OR(ISNUMBER(SEARCH("Pipe",Z36)),ISNUMBER(SEARCH("Pipe",Y36))),
_xlpm.SingleAngle,              OR(ISNUMBER(SEARCH("Single Angle",Z36)),AND(ISNUMBER(SEARCH("Angle",Z36)),ISNUMBER(SEARCH("Single",Z36)))),
_xlpm.DoubleAngle,              AND(ISNUMBER(SEARCH("Angle",Z36)),ISNUMBER(SEARCH("Double",Z36))),
_xlpm.RECT,                     OR(ISNUMBER(SEARCH("RECT",Z36)),ISNUMBER(SEARCH("PL",Y36))),
_xlpm.WideFlange,               OR(ISNUMBER(SEARCH("Wide Flange",Z36)),ISNUMBER(SEARCH("Tee",Z36)),ISNUMBER(SEARCH("W",Y36))),
_xlpm.Channel,                  OR(ISNUMBER(SEARCH("Channel",Z36)),ISNUMBER(SEARCH("C",Y36))),
IF(OR(_xlpm.WideFlange, _xlpm.Channel),
                          INDEX('[2]AISC Database v16.0'!$I:$I,
                          MATCH(Y36,'[2]AISC Database v16.0'!$B:$B,0)),
IF(OR(_xlpm.SingleAngle, _xlpm.DoubleAngle, _xlpm.RECT),
                          INDEX('[2]AISC Database v16.0'!$L:$L,
                          MATCH(Y36,'[2]AISC Database v16.0'!$B:$B,0)),
IF(AND(_xlpm.HSS,NOT(_xlpm.HSSPipe)),
                          INDEX('[2]AISC Database v16.0'!$K:$K,
                          MATCH(Y36,'[2]AISC Database v16.0'!$B:$B,0)),
IF(OR(_xlpm.Pipe, _xlpm.HSSPipe, _xlpm.BAR),
                          INDEX('[2]AISC Database v16.0'!$H:$H,
                          MATCH(Y36,'[2]AISC Database v16.0'!$B:$B,0)),
0))))),0)))</f>
        <v/>
      </c>
      <c r="AD36" s="230" t="str">
        <f>IF(X36="","",
IF(OR(X36="RIGID",X36="GEN1A"), 0,
IFERROR(_xlfn.LET(
_xlpm.BAR,                      OR(ISNUMBER(SEARCH("BAR",Z36)),ISNUMBER(SEARCH("SR",Y36))),
_xlpm.HSS,                      OR(ISNUMBER(SEARCH("HSS",Y36)),ISNUMBER(SEARCH("SquareTube",Z36)),NOT(ISNUMBER(SEARCH("HSS Pipe",Z36)))),
_xlpm.HSSPipe,                  OR(ISNUMBER(SEARCH("HSS Pipe",Z36)),ISNUMBER(SEARCH("Pipe",Z36)),ISNUMBER(SEARCH("Pipe",Y36))),
_xlpm.Pipe,                     OR(ISNUMBER(SEARCH("Pipe",Z36)),ISNUMBER(SEARCH("Pipe",Y36))),
_xlpm.SingleAngle,              OR(ISNUMBER(SEARCH("Single Angle",Z36)),AND(ISNUMBER(SEARCH("Angle",Z36)),ISNUMBER(SEARCH("Single",Z36)))),
_xlpm.DoubleAngle,              AND(ISNUMBER(SEARCH("Angle",Z36)),ISNUMBER(SEARCH("Double",Z36))),
_xlpm.RECT,                     OR(ISNUMBER(SEARCH("RECT",Z36)),ISNUMBER(SEARCH("PL",Y36))),
_xlpm.WideFlange,               OR(ISNUMBER(SEARCH("Wide Flange",Z36)),ISNUMBER(SEARCH("Tee",Z36)),ISNUMBER(SEARCH("W",Y36))),
_xlpm.Channel,                  OR(ISNUMBER(SEARCH("Channel",Z36)),ISNUMBER(SEARCH("C",Y36))),
IF(_xlpm.WideFlange,            INDEX('[2]AISC Database v16.0'!$O:$O,
                          MATCH(Y36,'[2]AISC Database v16.0'!$B:$B,0)),
IF(_xlpm.Channel,               INDEX('[2]AISC Database v16.0'!$O:$O,
                          MATCH(Y36,'[2]AISC Database v16.0'!$B:$B,0)),
IF(_xlpm.BAR,                   INDEX('[2]AISC Database v16.0'!$T:$T,
                          MATCH(Y36,'[2]AISC Database v16.0'!$B:$B,0)),
IF(_xlpm.SingleAngle,           INDEX('[2]AISC Database v16.0'!$T:$T,
                          MATCH(Y36,'[2]AISC Database v16.0'!$B:$B,0)),
IF(_xlpm.DoubleAngle,           INDEX('[2]AISC Database v16.0'!$T:$T,
                          MATCH(Y36,'[2]AISC Database v16.0'!$B:$B,0)),
IF(_xlpm.RECT,                  INDEX('[2]AISC Database v16.0'!$T:$T,
                          MATCH(Y36,'[2]AISC Database v16.0'!$B:$B,0)),
IF(AND(_xlpm.HSS,NOT(_xlpm.HSSPipe)), INDEX('[2]AISC Database v16.0'!$U:$U,
                          MATCH(Y36,'[2]AISC Database v16.0'!$B:$B,0)),
IF(OR(_xlpm.Pipe, _xlpm.HSSPipe),     INDEX('[2]AISC Database v16.0'!$U:$U,
                          MATCH(Y36,'[2]AISC Database v16.0'!$B:$B,0)),
0))))))))),0)))</f>
        <v/>
      </c>
      <c r="AE36" s="230" t="str">
        <f t="shared" si="0"/>
        <v/>
      </c>
      <c r="AF36" s="229" t="str">
        <f>IF(X36="","",
IF(OR(X36="RIGID",X36="GEN1A"), 0,
IFERROR(INDEX('[2]AISC Database v16.0'!$M:$M, MATCH(Y36,'[2]AISC Database v16.0'!$B:$B,0)), 0)))</f>
        <v/>
      </c>
      <c r="AG36" s="229" t="str">
        <f>IF(X36="","",
IF(OR(X36="RIGID",X36="GEN1A"), 0,
IFERROR(INDEX('[2]AISC Database v16.0'!$C:$C, MATCH(Y36,'[2]AISC Database v16.0'!$B:$B,0)), 0)))</f>
        <v/>
      </c>
      <c r="AR36" s="209"/>
      <c r="AS36" s="209">
        <f>+IFERROR(IF(VLOOKUP($B36,$E$6:$K203,6,0)=0,$O36/12*COS(PI()/180*($P36+0))^2,IF(AND(ABS(VLOOKUP($B36,$E$6:$K203,6,0))&gt;0,$P36=0),$O36/12*COS(PI()/180*($P36+0))^2,IF(AND(ABS(VLOOKUP($B36,$E$6:$K203,6,0))&gt;0,ABS($P36)&gt;0),$O36/12*COS(PI()/180*($P36+0))^2))),0)</f>
        <v>0</v>
      </c>
      <c r="AT36" s="209">
        <f>+IFERROR(IF(VLOOKUP($B36,$E$6:$K203,6,0)=0,0,IF(AND(ABS(VLOOKUP($B36,$E$6:$K203,6,0))&gt;0,$P36=0),ABS(VLOOKUP($B36,$E$6:$K203,6,0))*SIN(PI()/180*($P36+0))^2,IF(AND(ABS(VLOOKUP($B36,$E$6:$K203,6,0))&gt;0,ABS($P36)&gt;0),ABS(VLOOKUP($B36,$E$6:$K203,6,0))*SIN(PI()/180*($P36+0))^2))),0)*IF(RISA3D.Unit.Length="in",1/12,1)</f>
        <v>0</v>
      </c>
      <c r="AU36" s="209">
        <f t="shared" si="1"/>
        <v>0</v>
      </c>
      <c r="AV36" s="209">
        <f>+IFERROR(+IF(VLOOKUP($M36,$S$6:$V203,3,0)=VLOOKUP($N36,$S$6:$V203,3,0), ((((($O36/12+(2*0.5/12))*((VLOOKUP($C36,rngR3DSectionSets,5,0)/12)+(2*0.5/12)))-($O36/12*(VLOOKUP($C36,rngR3DSectionSets,5,0)/12)))*1.2*COS(PI()/180*($P36))^2)) + AU36, (((((AS36+(2*0.5/12))*((VLOOKUP($C36,rngR3DSectionSets,5,0)/12)+(2*0.5/12)))-(AS36*(VLOOKUP($C36,rngR3DSectionSets,5,0)/12)))+(((AT36+(2*0.5/12))*((VLOOKUP($C36,rngR3DSectionSets,5,0)/12)+(2*0.5/12)))-(AT36*(VLOOKUP($C36,rngR3DSectionSets,5,0)/12))))*1.2) + AU36),0)</f>
        <v>0</v>
      </c>
      <c r="AW36" s="209">
        <f>+IFERROR(+IF(VLOOKUP($M36,$S$6:$V203,3,0)=VLOOKUP($N36,$S$6:$V203,3,0), ((((($O36/12+(2*1/12))*((VLOOKUP($C36,rngR3DSectionSets,5,0)/12)+(2*1/12)))-($O36/12*(VLOOKUP($C36,rngR3DSectionSets,5,0)/12)))*1.2*COS(PI()/180*($P36))^2)) + AU36, (((((AS36+(2*1/12))*((VLOOKUP($C36,rngR3DSectionSets,5,0)/12)+(2*1/12)))-(AS36*(VLOOKUP($C36,rngR3DSectionSets,5,0)/12)))+(((AT36+(2*1/12))*((VLOOKUP($C36,rngR3DSectionSets,5,0)/12)+(2*1/12)))-(AT36*(VLOOKUP($C36,rngR3DSectionSets,5,0)/12))))*1.2) + AU36),0)</f>
        <v>0</v>
      </c>
      <c r="AX36" s="209">
        <f>+IFERROR(IF(VLOOKUP($B36,$E$6:$K203,6,0)=0,$O36/12*COS(PI()/180*($P36+90))^2,IF(AND(ABS(VLOOKUP($B36,$E$6:$K203,6,0))&gt;0,$P36=0),$O36/12*COS(PI()/180*($P36+90))^2,IF(AND(ABS(VLOOKUP($B36,$E$6:$K203,6,0))&gt;0,ABS($P36)&gt;0),$O36/12*COS(PI()/180*($P36+90))^2))),0)</f>
        <v>0</v>
      </c>
      <c r="AY36" s="209">
        <f>+IFERROR(IF(VLOOKUP($B36,$E$6:$K203,6,0)=0,0,IF(AND(ABS(VLOOKUP($B36,$E$6:$K203,6,0))&gt;0,$P36=0),ABS(VLOOKUP($B36,$E$6:$K203,6,0))*SIN(PI()/180*($P36+90))^2,IF(AND(ABS(VLOOKUP($B36,$E$6:$K203,6,0))&gt;0,ABS($P36)&gt;0),ABS(VLOOKUP($B36,$E$6:$K203,6,0))*SIN(PI()/180*($P36+90))^2))),0)*IF(RISA3D.Unit.Length="in",1/12,1)</f>
        <v>0</v>
      </c>
      <c r="AZ36" s="209">
        <f t="shared" si="2"/>
        <v>0</v>
      </c>
      <c r="BA36" s="209">
        <f>+IFERROR(+IF(VLOOKUP($M36,$S$6:$V203,3,0)=VLOOKUP($N36,$S$6:$V203,3,0), ((((($O36/12+(2*0.5/12))*((VLOOKUP($C36,rngR3DSectionSets,5,0)/12)+(2*0.5/12)))-($O36/12*(VLOOKUP($C36,rngR3DSectionSets,5,0)/12)))*1.2*COS(PI()/180*($P36))^2)) + AZ36, (((((AX36+(2*0.5/12))*((VLOOKUP($C36,rngR3DSectionSets,5,0)/12)+(2*0.5/12)))-(AX36*(VLOOKUP($C36,rngR3DSectionSets,5,0)/12)))+(((AY36+(2*0.5/12))*((VLOOKUP($C36,rngR3DSectionSets,5,0)/12)+(2*0.5/12)))-(AY36*(VLOOKUP($C36,rngR3DSectionSets,5,0)/12))))*1.2) + AZ36),0)</f>
        <v>0</v>
      </c>
      <c r="BB36" s="209">
        <f>+IFERROR(+IF(VLOOKUP($M36,$S$6:$V203,3,0)=VLOOKUP($N36,$S$6:$V203,3,0), ((((($O36/12+(2*1/12))*((VLOOKUP($C36,rngR3DSectionSets,5,0)/12)+(2*1/12)))-($O36/12*(VLOOKUP($C36,rngR3DSectionSets,5,0)/12)))*1.2*COS(PI()/180*($P36))^2)) + AZ36, (((((AX36+(2*1/12))*((VLOOKUP($C36,rngR3DSectionSets,5,0)/12)+(2*1/12)))-(AX36*(VLOOKUP($C36,rngR3DSectionSets,5,0)/12)))+(((AY36+(2*1/12))*((VLOOKUP($C36,rngR3DSectionSets,5,0)/12)+(2*1/12)))-(AY36*(VLOOKUP($C36,rngR3DSectionSets,5,0)/12))))*1.2) + AZ36),0)</f>
        <v>0</v>
      </c>
      <c r="BC36" s="209">
        <f t="shared" si="3"/>
        <v>0</v>
      </c>
      <c r="BD36" s="209">
        <f t="shared" si="4"/>
        <v>0</v>
      </c>
      <c r="BE36" s="209">
        <f t="shared" si="5"/>
        <v>0</v>
      </c>
      <c r="BF36" s="209"/>
      <c r="BG36" s="209"/>
    </row>
    <row r="37" spans="2:59" ht="15" customHeight="1" x14ac:dyDescent="0.2">
      <c r="B37" s="207"/>
      <c r="C37" s="207"/>
      <c r="D37" s="207"/>
      <c r="E37" s="207"/>
      <c r="F37" s="207"/>
      <c r="G37" s="207"/>
      <c r="H37" s="207"/>
      <c r="I37" s="207"/>
      <c r="J37" s="207"/>
      <c r="K37" s="207"/>
      <c r="L37" s="207"/>
      <c r="M37" s="207"/>
      <c r="N37" s="207"/>
      <c r="O37" s="207"/>
      <c r="P37" s="207"/>
      <c r="Q37" s="207"/>
      <c r="R37" s="207"/>
      <c r="S37" s="207"/>
      <c r="T37" s="228"/>
      <c r="U37" s="228"/>
      <c r="V37" s="228"/>
      <c r="AB37" s="229" t="str">
        <f>IF(X37="","",
IF(OR(X37="RIGID",X37="GEN1A"), 0,
IFERROR(_xlfn.LET(
_xlpm.BAR,                      OR(ISNUMBER(SEARCH("BAR",Z37)),ISNUMBER(SEARCH("SR",Y37))),
_xlpm.HSS,                      OR(ISNUMBER(SEARCH("HSS",Y37)),ISNUMBER(SEARCH("SquareTube",Z37)),NOT(ISNUMBER(SEARCH("HSS Pipe",Z37)))),
_xlpm.HSSPipe,                  OR(ISNUMBER(SEARCH("HSS Pipe",Z37)),ISNUMBER(SEARCH("Pipe",Z37)),ISNUMBER(SEARCH("Pipe",Y37))),
_xlpm.Pipe,                     OR(ISNUMBER(SEARCH("Pipe",Z37)),ISNUMBER(SEARCH("Pipe",Y37))),
_xlpm.SingleAngle,              OR(ISNUMBER(SEARCH("Single Angle",Z37)),AND(ISNUMBER(SEARCH("Angle",Z37)),ISNUMBER(SEARCH("Single",Z37)))),
_xlpm.DoubleAngle,              AND(ISNUMBER(SEARCH("Angle",Z37)),ISNUMBER(SEARCH("Double",Z37))),
_xlpm.RECT,                     OR(ISNUMBER(SEARCH("RECT",Z37)),ISNUMBER(SEARCH("PL",Y37))),
_xlpm.WideFlange,               OR(ISNUMBER(SEARCH("Wide Flange",Z37)),ISNUMBER(SEARCH("Tee",Z37)),ISNUMBER(SEARCH("W",Y37))),
_xlpm.Channel,                  OR(ISNUMBER(SEARCH("Channel",Z37)),ISNUMBER(SEARCH("C",Y37))),
IF(OR(_xlpm.WideFlange, _xlpm.Channel, _xlpm.SingleAngle, _xlpm.DoubleAngle, _xlpm.RECT),
                          INDEX('[2]AISC Database v16.0'!$D:$D,
                          MATCH(Y37,'[2]AISC Database v16.0'!$B:$B,0)),
IF(AND(_xlpm.HSS,NOT(_xlpm.HSSPipe)), INDEX('[2]AISC Database v16.0'!$F:$F,
                          MATCH(Y37,'[2]AISC Database v16.0'!$B:$B,0)),
IF(OR(_xlpm.Pipe, _xlpm.HSSPipe, _xlpm.BAR),
                          INDEX('[2]AISC Database v16.0'!$H:$H,
                          MATCH(Y37,'[2]AISC Database v16.0'!$B:$B,0)),
0)))),0)))</f>
        <v/>
      </c>
      <c r="AC37" s="229" t="str">
        <f>IF(X37="","",
IF(OR(X37="RIGID",X37="GEN1A"), 0,
IFERROR(_xlfn.LET(
_xlpm.BAR,                      OR(ISNUMBER(SEARCH("BAR",Z37)),ISNUMBER(SEARCH("SR",Y37))),
_xlpm.HSS,                      OR(ISNUMBER(SEARCH("HSS",Y37)),ISNUMBER(SEARCH("SquareTube",Z37)),NOT(ISNUMBER(SEARCH("HSS Pipe",Z37)))),
_xlpm.HSSPipe,                  OR(ISNUMBER(SEARCH("HSS Pipe",Z37)),ISNUMBER(SEARCH("Pipe",Z37)),ISNUMBER(SEARCH("Pipe",Y37))),
_xlpm.Pipe,                     OR(ISNUMBER(SEARCH("Pipe",Z37)),ISNUMBER(SEARCH("Pipe",Y37))),
_xlpm.SingleAngle,              OR(ISNUMBER(SEARCH("Single Angle",Z37)),AND(ISNUMBER(SEARCH("Angle",Z37)),ISNUMBER(SEARCH("Single",Z37)))),
_xlpm.DoubleAngle,              AND(ISNUMBER(SEARCH("Angle",Z37)),ISNUMBER(SEARCH("Double",Z37))),
_xlpm.RECT,                     OR(ISNUMBER(SEARCH("RECT",Z37)),ISNUMBER(SEARCH("PL",Y37))),
_xlpm.WideFlange,               OR(ISNUMBER(SEARCH("Wide Flange",Z37)),ISNUMBER(SEARCH("Tee",Z37)),ISNUMBER(SEARCH("W",Y37))),
_xlpm.Channel,                  OR(ISNUMBER(SEARCH("Channel",Z37)),ISNUMBER(SEARCH("C",Y37))),
IF(OR(_xlpm.WideFlange, _xlpm.Channel),
                          INDEX('[2]AISC Database v16.0'!$I:$I,
                          MATCH(Y37,'[2]AISC Database v16.0'!$B:$B,0)),
IF(OR(_xlpm.SingleAngle, _xlpm.DoubleAngle, _xlpm.RECT),
                          INDEX('[2]AISC Database v16.0'!$L:$L,
                          MATCH(Y37,'[2]AISC Database v16.0'!$B:$B,0)),
IF(AND(_xlpm.HSS,NOT(_xlpm.HSSPipe)),
                          INDEX('[2]AISC Database v16.0'!$K:$K,
                          MATCH(Y37,'[2]AISC Database v16.0'!$B:$B,0)),
IF(OR(_xlpm.Pipe, _xlpm.HSSPipe, _xlpm.BAR),
                          INDEX('[2]AISC Database v16.0'!$H:$H,
                          MATCH(Y37,'[2]AISC Database v16.0'!$B:$B,0)),
0))))),0)))</f>
        <v/>
      </c>
      <c r="AD37" s="230" t="str">
        <f>IF(X37="","",
IF(OR(X37="RIGID",X37="GEN1A"), 0,
IFERROR(_xlfn.LET(
_xlpm.BAR,                      OR(ISNUMBER(SEARCH("BAR",Z37)),ISNUMBER(SEARCH("SR",Y37))),
_xlpm.HSS,                      OR(ISNUMBER(SEARCH("HSS",Y37)),ISNUMBER(SEARCH("SquareTube",Z37)),NOT(ISNUMBER(SEARCH("HSS Pipe",Z37)))),
_xlpm.HSSPipe,                  OR(ISNUMBER(SEARCH("HSS Pipe",Z37)),ISNUMBER(SEARCH("Pipe",Z37)),ISNUMBER(SEARCH("Pipe",Y37))),
_xlpm.Pipe,                     OR(ISNUMBER(SEARCH("Pipe",Z37)),ISNUMBER(SEARCH("Pipe",Y37))),
_xlpm.SingleAngle,              OR(ISNUMBER(SEARCH("Single Angle",Z37)),AND(ISNUMBER(SEARCH("Angle",Z37)),ISNUMBER(SEARCH("Single",Z37)))),
_xlpm.DoubleAngle,              AND(ISNUMBER(SEARCH("Angle",Z37)),ISNUMBER(SEARCH("Double",Z37))),
_xlpm.RECT,                     OR(ISNUMBER(SEARCH("RECT",Z37)),ISNUMBER(SEARCH("PL",Y37))),
_xlpm.WideFlange,               OR(ISNUMBER(SEARCH("Wide Flange",Z37)),ISNUMBER(SEARCH("Tee",Z37)),ISNUMBER(SEARCH("W",Y37))),
_xlpm.Channel,                  OR(ISNUMBER(SEARCH("Channel",Z37)),ISNUMBER(SEARCH("C",Y37))),
IF(_xlpm.WideFlange,            INDEX('[2]AISC Database v16.0'!$O:$O,
                          MATCH(Y37,'[2]AISC Database v16.0'!$B:$B,0)),
IF(_xlpm.Channel,               INDEX('[2]AISC Database v16.0'!$O:$O,
                          MATCH(Y37,'[2]AISC Database v16.0'!$B:$B,0)),
IF(_xlpm.BAR,                   INDEX('[2]AISC Database v16.0'!$T:$T,
                          MATCH(Y37,'[2]AISC Database v16.0'!$B:$B,0)),
IF(_xlpm.SingleAngle,           INDEX('[2]AISC Database v16.0'!$T:$T,
                          MATCH(Y37,'[2]AISC Database v16.0'!$B:$B,0)),
IF(_xlpm.DoubleAngle,           INDEX('[2]AISC Database v16.0'!$T:$T,
                          MATCH(Y37,'[2]AISC Database v16.0'!$B:$B,0)),
IF(_xlpm.RECT,                  INDEX('[2]AISC Database v16.0'!$T:$T,
                          MATCH(Y37,'[2]AISC Database v16.0'!$B:$B,0)),
IF(AND(_xlpm.HSS,NOT(_xlpm.HSSPipe)), INDEX('[2]AISC Database v16.0'!$U:$U,
                          MATCH(Y37,'[2]AISC Database v16.0'!$B:$B,0)),
IF(OR(_xlpm.Pipe, _xlpm.HSSPipe),     INDEX('[2]AISC Database v16.0'!$U:$U,
                          MATCH(Y37,'[2]AISC Database v16.0'!$B:$B,0)),
0))))))))),0)))</f>
        <v/>
      </c>
      <c r="AE37" s="230" t="str">
        <f t="shared" si="0"/>
        <v/>
      </c>
      <c r="AF37" s="229" t="str">
        <f>IF(X37="","",
IF(OR(X37="RIGID",X37="GEN1A"), 0,
IFERROR(INDEX('[2]AISC Database v16.0'!$M:$M, MATCH(Y37,'[2]AISC Database v16.0'!$B:$B,0)), 0)))</f>
        <v/>
      </c>
      <c r="AG37" s="229" t="str">
        <f>IF(X37="","",
IF(OR(X37="RIGID",X37="GEN1A"), 0,
IFERROR(INDEX('[2]AISC Database v16.0'!$C:$C, MATCH(Y37,'[2]AISC Database v16.0'!$B:$B,0)), 0)))</f>
        <v/>
      </c>
      <c r="AR37" s="209"/>
      <c r="AS37" s="209">
        <f>+IFERROR(IF(VLOOKUP($B37,$E$6:$K203,6,0)=0,$O37/12*COS(PI()/180*($P37+0))^2,IF(AND(ABS(VLOOKUP($B37,$E$6:$K203,6,0))&gt;0,$P37=0),$O37/12*COS(PI()/180*($P37+0))^2,IF(AND(ABS(VLOOKUP($B37,$E$6:$K203,6,0))&gt;0,ABS($P37)&gt;0),$O37/12*COS(PI()/180*($P37+0))^2))),0)</f>
        <v>0</v>
      </c>
      <c r="AT37" s="209">
        <f>+IFERROR(IF(VLOOKUP($B37,$E$6:$K203,6,0)=0,0,IF(AND(ABS(VLOOKUP($B37,$E$6:$K203,6,0))&gt;0,$P37=0),ABS(VLOOKUP($B37,$E$6:$K203,6,0))*SIN(PI()/180*($P37+0))^2,IF(AND(ABS(VLOOKUP($B37,$E$6:$K203,6,0))&gt;0,ABS($P37)&gt;0),ABS(VLOOKUP($B37,$E$6:$K203,6,0))*SIN(PI()/180*($P37+0))^2))),0)*IF(RISA3D.Unit.Length="in",1/12,1)</f>
        <v>0</v>
      </c>
      <c r="AU37" s="209">
        <f t="shared" si="1"/>
        <v>0</v>
      </c>
      <c r="AV37" s="209">
        <f>+IFERROR(+IF(VLOOKUP($M37,$S$6:$V203,3,0)=VLOOKUP($N37,$S$6:$V203,3,0), ((((($O37/12+(2*0.5/12))*((VLOOKUP($C37,rngR3DSectionSets,5,0)/12)+(2*0.5/12)))-($O37/12*(VLOOKUP($C37,rngR3DSectionSets,5,0)/12)))*1.2*COS(PI()/180*($P37))^2)) + AU37, (((((AS37+(2*0.5/12))*((VLOOKUP($C37,rngR3DSectionSets,5,0)/12)+(2*0.5/12)))-(AS37*(VLOOKUP($C37,rngR3DSectionSets,5,0)/12)))+(((AT37+(2*0.5/12))*((VLOOKUP($C37,rngR3DSectionSets,5,0)/12)+(2*0.5/12)))-(AT37*(VLOOKUP($C37,rngR3DSectionSets,5,0)/12))))*1.2) + AU37),0)</f>
        <v>0</v>
      </c>
      <c r="AW37" s="209">
        <f>+IFERROR(+IF(VLOOKUP($M37,$S$6:$V203,3,0)=VLOOKUP($N37,$S$6:$V203,3,0), ((((($O37/12+(2*1/12))*((VLOOKUP($C37,rngR3DSectionSets,5,0)/12)+(2*1/12)))-($O37/12*(VLOOKUP($C37,rngR3DSectionSets,5,0)/12)))*1.2*COS(PI()/180*($P37))^2)) + AU37, (((((AS37+(2*1/12))*((VLOOKUP($C37,rngR3DSectionSets,5,0)/12)+(2*1/12)))-(AS37*(VLOOKUP($C37,rngR3DSectionSets,5,0)/12)))+(((AT37+(2*1/12))*((VLOOKUP($C37,rngR3DSectionSets,5,0)/12)+(2*1/12)))-(AT37*(VLOOKUP($C37,rngR3DSectionSets,5,0)/12))))*1.2) + AU37),0)</f>
        <v>0</v>
      </c>
      <c r="AX37" s="209">
        <f>+IFERROR(IF(VLOOKUP($B37,$E$6:$K203,6,0)=0,$O37/12*COS(PI()/180*($P37+90))^2,IF(AND(ABS(VLOOKUP($B37,$E$6:$K203,6,0))&gt;0,$P37=0),$O37/12*COS(PI()/180*($P37+90))^2,IF(AND(ABS(VLOOKUP($B37,$E$6:$K203,6,0))&gt;0,ABS($P37)&gt;0),$O37/12*COS(PI()/180*($P37+90))^2))),0)</f>
        <v>0</v>
      </c>
      <c r="AY37" s="209">
        <f>+IFERROR(IF(VLOOKUP($B37,$E$6:$K203,6,0)=0,0,IF(AND(ABS(VLOOKUP($B37,$E$6:$K203,6,0))&gt;0,$P37=0),ABS(VLOOKUP($B37,$E$6:$K203,6,0))*SIN(PI()/180*($P37+90))^2,IF(AND(ABS(VLOOKUP($B37,$E$6:$K203,6,0))&gt;0,ABS($P37)&gt;0),ABS(VLOOKUP($B37,$E$6:$K203,6,0))*SIN(PI()/180*($P37+90))^2))),0)*IF(RISA3D.Unit.Length="in",1/12,1)</f>
        <v>0</v>
      </c>
      <c r="AZ37" s="209">
        <f t="shared" si="2"/>
        <v>0</v>
      </c>
      <c r="BA37" s="209">
        <f>+IFERROR(+IF(VLOOKUP($M37,$S$6:$V203,3,0)=VLOOKUP($N37,$S$6:$V203,3,0), ((((($O37/12+(2*0.5/12))*((VLOOKUP($C37,rngR3DSectionSets,5,0)/12)+(2*0.5/12)))-($O37/12*(VLOOKUP($C37,rngR3DSectionSets,5,0)/12)))*1.2*COS(PI()/180*($P37))^2)) + AZ37, (((((AX37+(2*0.5/12))*((VLOOKUP($C37,rngR3DSectionSets,5,0)/12)+(2*0.5/12)))-(AX37*(VLOOKUP($C37,rngR3DSectionSets,5,0)/12)))+(((AY37+(2*0.5/12))*((VLOOKUP($C37,rngR3DSectionSets,5,0)/12)+(2*0.5/12)))-(AY37*(VLOOKUP($C37,rngR3DSectionSets,5,0)/12))))*1.2) + AZ37),0)</f>
        <v>0</v>
      </c>
      <c r="BB37" s="209">
        <f>+IFERROR(+IF(VLOOKUP($M37,$S$6:$V203,3,0)=VLOOKUP($N37,$S$6:$V203,3,0), ((((($O37/12+(2*1/12))*((VLOOKUP($C37,rngR3DSectionSets,5,0)/12)+(2*1/12)))-($O37/12*(VLOOKUP($C37,rngR3DSectionSets,5,0)/12)))*1.2*COS(PI()/180*($P37))^2)) + AZ37, (((((AX37+(2*1/12))*((VLOOKUP($C37,rngR3DSectionSets,5,0)/12)+(2*1/12)))-(AX37*(VLOOKUP($C37,rngR3DSectionSets,5,0)/12)))+(((AY37+(2*1/12))*((VLOOKUP($C37,rngR3DSectionSets,5,0)/12)+(2*1/12)))-(AY37*(VLOOKUP($C37,rngR3DSectionSets,5,0)/12))))*1.2) + AZ37),0)</f>
        <v>0</v>
      </c>
      <c r="BC37" s="209">
        <f t="shared" si="3"/>
        <v>0</v>
      </c>
      <c r="BD37" s="209">
        <f t="shared" si="4"/>
        <v>0</v>
      </c>
      <c r="BE37" s="209">
        <f t="shared" si="5"/>
        <v>0</v>
      </c>
      <c r="BF37" s="209"/>
      <c r="BG37" s="209"/>
    </row>
    <row r="38" spans="2:59" ht="15" customHeight="1" x14ac:dyDescent="0.2">
      <c r="B38" s="207"/>
      <c r="C38" s="207"/>
      <c r="D38" s="207"/>
      <c r="E38" s="207"/>
      <c r="F38" s="207"/>
      <c r="G38" s="207"/>
      <c r="H38" s="207"/>
      <c r="I38" s="207"/>
      <c r="J38" s="207"/>
      <c r="K38" s="207"/>
      <c r="L38" s="207"/>
      <c r="M38" s="207"/>
      <c r="N38" s="207"/>
      <c r="O38" s="207"/>
      <c r="P38" s="207"/>
      <c r="Q38" s="207"/>
      <c r="R38" s="207"/>
      <c r="S38" s="207"/>
      <c r="T38" s="228"/>
      <c r="U38" s="228"/>
      <c r="V38" s="228"/>
      <c r="AB38" s="229" t="str">
        <f>IF(X38="","",
IF(OR(X38="RIGID",X38="GEN1A"), 0,
IFERROR(_xlfn.LET(
_xlpm.BAR,                      OR(ISNUMBER(SEARCH("BAR",Z38)),ISNUMBER(SEARCH("SR",Y38))),
_xlpm.HSS,                      OR(ISNUMBER(SEARCH("HSS",Y38)),ISNUMBER(SEARCH("SquareTube",Z38)),NOT(ISNUMBER(SEARCH("HSS Pipe",Z38)))),
_xlpm.HSSPipe,                  OR(ISNUMBER(SEARCH("HSS Pipe",Z38)),ISNUMBER(SEARCH("Pipe",Z38)),ISNUMBER(SEARCH("Pipe",Y38))),
_xlpm.Pipe,                     OR(ISNUMBER(SEARCH("Pipe",Z38)),ISNUMBER(SEARCH("Pipe",Y38))),
_xlpm.SingleAngle,              OR(ISNUMBER(SEARCH("Single Angle",Z38)),AND(ISNUMBER(SEARCH("Angle",Z38)),ISNUMBER(SEARCH("Single",Z38)))),
_xlpm.DoubleAngle,              AND(ISNUMBER(SEARCH("Angle",Z38)),ISNUMBER(SEARCH("Double",Z38))),
_xlpm.RECT,                     OR(ISNUMBER(SEARCH("RECT",Z38)),ISNUMBER(SEARCH("PL",Y38))),
_xlpm.WideFlange,               OR(ISNUMBER(SEARCH("Wide Flange",Z38)),ISNUMBER(SEARCH("Tee",Z38)),ISNUMBER(SEARCH("W",Y38))),
_xlpm.Channel,                  OR(ISNUMBER(SEARCH("Channel",Z38)),ISNUMBER(SEARCH("C",Y38))),
IF(OR(_xlpm.WideFlange, _xlpm.Channel, _xlpm.SingleAngle, _xlpm.DoubleAngle, _xlpm.RECT),
                          INDEX('[2]AISC Database v16.0'!$D:$D,
                          MATCH(Y38,'[2]AISC Database v16.0'!$B:$B,0)),
IF(AND(_xlpm.HSS,NOT(_xlpm.HSSPipe)), INDEX('[2]AISC Database v16.0'!$F:$F,
                          MATCH(Y38,'[2]AISC Database v16.0'!$B:$B,0)),
IF(OR(_xlpm.Pipe, _xlpm.HSSPipe, _xlpm.BAR),
                          INDEX('[2]AISC Database v16.0'!$H:$H,
                          MATCH(Y38,'[2]AISC Database v16.0'!$B:$B,0)),
0)))),0)))</f>
        <v/>
      </c>
      <c r="AC38" s="229" t="str">
        <f>IF(X38="","",
IF(OR(X38="RIGID",X38="GEN1A"), 0,
IFERROR(_xlfn.LET(
_xlpm.BAR,                      OR(ISNUMBER(SEARCH("BAR",Z38)),ISNUMBER(SEARCH("SR",Y38))),
_xlpm.HSS,                      OR(ISNUMBER(SEARCH("HSS",Y38)),ISNUMBER(SEARCH("SquareTube",Z38)),NOT(ISNUMBER(SEARCH("HSS Pipe",Z38)))),
_xlpm.HSSPipe,                  OR(ISNUMBER(SEARCH("HSS Pipe",Z38)),ISNUMBER(SEARCH("Pipe",Z38)),ISNUMBER(SEARCH("Pipe",Y38))),
_xlpm.Pipe,                     OR(ISNUMBER(SEARCH("Pipe",Z38)),ISNUMBER(SEARCH("Pipe",Y38))),
_xlpm.SingleAngle,              OR(ISNUMBER(SEARCH("Single Angle",Z38)),AND(ISNUMBER(SEARCH("Angle",Z38)),ISNUMBER(SEARCH("Single",Z38)))),
_xlpm.DoubleAngle,              AND(ISNUMBER(SEARCH("Angle",Z38)),ISNUMBER(SEARCH("Double",Z38))),
_xlpm.RECT,                     OR(ISNUMBER(SEARCH("RECT",Z38)),ISNUMBER(SEARCH("PL",Y38))),
_xlpm.WideFlange,               OR(ISNUMBER(SEARCH("Wide Flange",Z38)),ISNUMBER(SEARCH("Tee",Z38)),ISNUMBER(SEARCH("W",Y38))),
_xlpm.Channel,                  OR(ISNUMBER(SEARCH("Channel",Z38)),ISNUMBER(SEARCH("C",Y38))),
IF(OR(_xlpm.WideFlange, _xlpm.Channel),
                          INDEX('[2]AISC Database v16.0'!$I:$I,
                          MATCH(Y38,'[2]AISC Database v16.0'!$B:$B,0)),
IF(OR(_xlpm.SingleAngle, _xlpm.DoubleAngle, _xlpm.RECT),
                          INDEX('[2]AISC Database v16.0'!$L:$L,
                          MATCH(Y38,'[2]AISC Database v16.0'!$B:$B,0)),
IF(AND(_xlpm.HSS,NOT(_xlpm.HSSPipe)),
                          INDEX('[2]AISC Database v16.0'!$K:$K,
                          MATCH(Y38,'[2]AISC Database v16.0'!$B:$B,0)),
IF(OR(_xlpm.Pipe, _xlpm.HSSPipe, _xlpm.BAR),
                          INDEX('[2]AISC Database v16.0'!$H:$H,
                          MATCH(Y38,'[2]AISC Database v16.0'!$B:$B,0)),
0))))),0)))</f>
        <v/>
      </c>
      <c r="AD38" s="230" t="str">
        <f>IF(X38="","",
IF(OR(X38="RIGID",X38="GEN1A"), 0,
IFERROR(_xlfn.LET(
_xlpm.BAR,                      OR(ISNUMBER(SEARCH("BAR",Z38)),ISNUMBER(SEARCH("SR",Y38))),
_xlpm.HSS,                      OR(ISNUMBER(SEARCH("HSS",Y38)),ISNUMBER(SEARCH("SquareTube",Z38)),NOT(ISNUMBER(SEARCH("HSS Pipe",Z38)))),
_xlpm.HSSPipe,                  OR(ISNUMBER(SEARCH("HSS Pipe",Z38)),ISNUMBER(SEARCH("Pipe",Z38)),ISNUMBER(SEARCH("Pipe",Y38))),
_xlpm.Pipe,                     OR(ISNUMBER(SEARCH("Pipe",Z38)),ISNUMBER(SEARCH("Pipe",Y38))),
_xlpm.SingleAngle,              OR(ISNUMBER(SEARCH("Single Angle",Z38)),AND(ISNUMBER(SEARCH("Angle",Z38)),ISNUMBER(SEARCH("Single",Z38)))),
_xlpm.DoubleAngle,              AND(ISNUMBER(SEARCH("Angle",Z38)),ISNUMBER(SEARCH("Double",Z38))),
_xlpm.RECT,                     OR(ISNUMBER(SEARCH("RECT",Z38)),ISNUMBER(SEARCH("PL",Y38))),
_xlpm.WideFlange,               OR(ISNUMBER(SEARCH("Wide Flange",Z38)),ISNUMBER(SEARCH("Tee",Z38)),ISNUMBER(SEARCH("W",Y38))),
_xlpm.Channel,                  OR(ISNUMBER(SEARCH("Channel",Z38)),ISNUMBER(SEARCH("C",Y38))),
IF(_xlpm.WideFlange,            INDEX('[2]AISC Database v16.0'!$O:$O,
                          MATCH(Y38,'[2]AISC Database v16.0'!$B:$B,0)),
IF(_xlpm.Channel,               INDEX('[2]AISC Database v16.0'!$O:$O,
                          MATCH(Y38,'[2]AISC Database v16.0'!$B:$B,0)),
IF(_xlpm.BAR,                   INDEX('[2]AISC Database v16.0'!$T:$T,
                          MATCH(Y38,'[2]AISC Database v16.0'!$B:$B,0)),
IF(_xlpm.SingleAngle,           INDEX('[2]AISC Database v16.0'!$T:$T,
                          MATCH(Y38,'[2]AISC Database v16.0'!$B:$B,0)),
IF(_xlpm.DoubleAngle,           INDEX('[2]AISC Database v16.0'!$T:$T,
                          MATCH(Y38,'[2]AISC Database v16.0'!$B:$B,0)),
IF(_xlpm.RECT,                  INDEX('[2]AISC Database v16.0'!$T:$T,
                          MATCH(Y38,'[2]AISC Database v16.0'!$B:$B,0)),
IF(AND(_xlpm.HSS,NOT(_xlpm.HSSPipe)), INDEX('[2]AISC Database v16.0'!$U:$U,
                          MATCH(Y38,'[2]AISC Database v16.0'!$B:$B,0)),
IF(OR(_xlpm.Pipe, _xlpm.HSSPipe),     INDEX('[2]AISC Database v16.0'!$U:$U,
                          MATCH(Y38,'[2]AISC Database v16.0'!$B:$B,0)),
0))))))))),0)))</f>
        <v/>
      </c>
      <c r="AE38" s="230" t="str">
        <f t="shared" si="0"/>
        <v/>
      </c>
      <c r="AF38" s="229" t="str">
        <f>IF(X38="","",
IF(OR(X38="RIGID",X38="GEN1A"), 0,
IFERROR(INDEX('[2]AISC Database v16.0'!$M:$M, MATCH(Y38,'[2]AISC Database v16.0'!$B:$B,0)), 0)))</f>
        <v/>
      </c>
      <c r="AG38" s="229" t="str">
        <f>IF(X38="","",
IF(OR(X38="RIGID",X38="GEN1A"), 0,
IFERROR(INDEX('[2]AISC Database v16.0'!$C:$C, MATCH(Y38,'[2]AISC Database v16.0'!$B:$B,0)), 0)))</f>
        <v/>
      </c>
      <c r="AR38" s="209"/>
      <c r="AS38" s="209">
        <f>+IFERROR(IF(VLOOKUP($B38,$E$6:$K203,6,0)=0,$O38/12*COS(PI()/180*($P38+0))^2,IF(AND(ABS(VLOOKUP($B38,$E$6:$K203,6,0))&gt;0,$P38=0),$O38/12*COS(PI()/180*($P38+0))^2,IF(AND(ABS(VLOOKUP($B38,$E$6:$K203,6,0))&gt;0,ABS($P38)&gt;0),$O38/12*COS(PI()/180*($P38+0))^2))),0)</f>
        <v>0</v>
      </c>
      <c r="AT38" s="209">
        <f>+IFERROR(IF(VLOOKUP($B38,$E$6:$K203,6,0)=0,0,IF(AND(ABS(VLOOKUP($B38,$E$6:$K203,6,0))&gt;0,$P38=0),ABS(VLOOKUP($B38,$E$6:$K203,6,0))*SIN(PI()/180*($P38+0))^2,IF(AND(ABS(VLOOKUP($B38,$E$6:$K203,6,0))&gt;0,ABS($P38)&gt;0),ABS(VLOOKUP($B38,$E$6:$K203,6,0))*SIN(PI()/180*($P38+0))^2))),0)*IF(RISA3D.Unit.Length="in",1/12,1)</f>
        <v>0</v>
      </c>
      <c r="AU38" s="209">
        <f t="shared" ref="AU38:AU69" si="6">+IFERROR((AS38+AT38)*(VLOOKUP($C38,rngR3DSectionSets,5,0)/12)*IF(VLOOKUP($C38,rngR3DSectionSets,4,0)="Flat",2,1.2),0)</f>
        <v>0</v>
      </c>
      <c r="AV38" s="209">
        <f>+IFERROR(+IF(VLOOKUP($M38,$S$6:$V203,3,0)=VLOOKUP($N38,$S$6:$V203,3,0), ((((($O38/12+(2*0.5/12))*((VLOOKUP($C38,rngR3DSectionSets,5,0)/12)+(2*0.5/12)))-($O38/12*(VLOOKUP($C38,rngR3DSectionSets,5,0)/12)))*1.2*COS(PI()/180*($P38))^2)) + AU38, (((((AS38+(2*0.5/12))*((VLOOKUP($C38,rngR3DSectionSets,5,0)/12)+(2*0.5/12)))-(AS38*(VLOOKUP($C38,rngR3DSectionSets,5,0)/12)))+(((AT38+(2*0.5/12))*((VLOOKUP($C38,rngR3DSectionSets,5,0)/12)+(2*0.5/12)))-(AT38*(VLOOKUP($C38,rngR3DSectionSets,5,0)/12))))*1.2) + AU38),0)</f>
        <v>0</v>
      </c>
      <c r="AW38" s="209">
        <f>+IFERROR(+IF(VLOOKUP($M38,$S$6:$V203,3,0)=VLOOKUP($N38,$S$6:$V203,3,0), ((((($O38/12+(2*1/12))*((VLOOKUP($C38,rngR3DSectionSets,5,0)/12)+(2*1/12)))-($O38/12*(VLOOKUP($C38,rngR3DSectionSets,5,0)/12)))*1.2*COS(PI()/180*($P38))^2)) + AU38, (((((AS38+(2*1/12))*((VLOOKUP($C38,rngR3DSectionSets,5,0)/12)+(2*1/12)))-(AS38*(VLOOKUP($C38,rngR3DSectionSets,5,0)/12)))+(((AT38+(2*1/12))*((VLOOKUP($C38,rngR3DSectionSets,5,0)/12)+(2*1/12)))-(AT38*(VLOOKUP($C38,rngR3DSectionSets,5,0)/12))))*1.2) + AU38),0)</f>
        <v>0</v>
      </c>
      <c r="AX38" s="209">
        <f>+IFERROR(IF(VLOOKUP($B38,$E$6:$K203,6,0)=0,$O38/12*COS(PI()/180*($P38+90))^2,IF(AND(ABS(VLOOKUP($B38,$E$6:$K203,6,0))&gt;0,$P38=0),$O38/12*COS(PI()/180*($P38+90))^2,IF(AND(ABS(VLOOKUP($B38,$E$6:$K203,6,0))&gt;0,ABS($P38)&gt;0),$O38/12*COS(PI()/180*($P38+90))^2))),0)</f>
        <v>0</v>
      </c>
      <c r="AY38" s="209">
        <f>+IFERROR(IF(VLOOKUP($B38,$E$6:$K203,6,0)=0,0,IF(AND(ABS(VLOOKUP($B38,$E$6:$K203,6,0))&gt;0,$P38=0),ABS(VLOOKUP($B38,$E$6:$K203,6,0))*SIN(PI()/180*($P38+90))^2,IF(AND(ABS(VLOOKUP($B38,$E$6:$K203,6,0))&gt;0,ABS($P38)&gt;0),ABS(VLOOKUP($B38,$E$6:$K203,6,0))*SIN(PI()/180*($P38+90))^2))),0)*IF(RISA3D.Unit.Length="in",1/12,1)</f>
        <v>0</v>
      </c>
      <c r="AZ38" s="209">
        <f t="shared" ref="AZ38:AZ69" si="7">+IFERROR((AX38+AY38)*(VLOOKUP($C38,rngR3DSectionSets,5,0)/12)*IF(VLOOKUP($C38,rngR3DSectionSets,4,0)="Flat",2,1.2),0)</f>
        <v>0</v>
      </c>
      <c r="BA38" s="209">
        <f>+IFERROR(+IF(VLOOKUP($M38,$S$6:$V203,3,0)=VLOOKUP($N38,$S$6:$V203,3,0), ((((($O38/12+(2*0.5/12))*((VLOOKUP($C38,rngR3DSectionSets,5,0)/12)+(2*0.5/12)))-($O38/12*(VLOOKUP($C38,rngR3DSectionSets,5,0)/12)))*1.2*COS(PI()/180*($P38))^2)) + AZ38, (((((AX38+(2*0.5/12))*((VLOOKUP($C38,rngR3DSectionSets,5,0)/12)+(2*0.5/12)))-(AX38*(VLOOKUP($C38,rngR3DSectionSets,5,0)/12)))+(((AY38+(2*0.5/12))*((VLOOKUP($C38,rngR3DSectionSets,5,0)/12)+(2*0.5/12)))-(AY38*(VLOOKUP($C38,rngR3DSectionSets,5,0)/12))))*1.2) + AZ38),0)</f>
        <v>0</v>
      </c>
      <c r="BB38" s="209">
        <f>+IFERROR(+IF(VLOOKUP($M38,$S$6:$V203,3,0)=VLOOKUP($N38,$S$6:$V203,3,0), ((((($O38/12+(2*1/12))*((VLOOKUP($C38,rngR3DSectionSets,5,0)/12)+(2*1/12)))-($O38/12*(VLOOKUP($C38,rngR3DSectionSets,5,0)/12)))*1.2*COS(PI()/180*($P38))^2)) + AZ38, (((((AX38+(2*1/12))*((VLOOKUP($C38,rngR3DSectionSets,5,0)/12)+(2*1/12)))-(AX38*(VLOOKUP($C38,rngR3DSectionSets,5,0)/12)))+(((AY38+(2*1/12))*((VLOOKUP($C38,rngR3DSectionSets,5,0)/12)+(2*1/12)))-(AY38*(VLOOKUP($C38,rngR3DSectionSets,5,0)/12))))*1.2) + AZ38),0)</f>
        <v>0</v>
      </c>
      <c r="BC38" s="209">
        <f t="shared" ref="BC38:BC70" si="8">_xlfn.LET(
_xlpm.ti, 0,
_xlpm.h,  _xlfn.XLOOKUP($C38,$X:$X,$AB:$AB,0,0,1),
_xlpm.d,  _xlfn.XLOOKUP($C38,$X:$X,$AC:$AC,0,0,1),
_xlpm.l,  $O38 / 12,
_xlpm.Ag, _xlfn.XLOOKUP($C38,$X:$X,$AG:$AG,0,0,1),
_xlpm.UW, 490,
_xlpm.Wt, _xlpm.UW*_xlpm.Ag/144*_xlpm.l,
_xlpm.Wi, IFERROR((((_xlpm.h+2*_xlpm.ti)*(_xlpm.d+2*_xlpm.ti)*(_xlpm.l*12+2*_xlpm.ti))-(_xlpm.h*_xlpm.d*_xlpm.l*12))*56/1728,0),
(_xlpm.Wi+_xlpm.Wt)*IF($B38="",0,1))</f>
        <v>0</v>
      </c>
      <c r="BD38" s="209">
        <f t="shared" ref="BD38:BD70" si="9">_xlfn.LET(
_xlpm.ti, 0.5,
_xlpm.h,  _xlfn.XLOOKUP($C38,$X:$X,$AB:$AB,0,0,1),
_xlpm.d,  _xlfn.XLOOKUP($C38,$X:$X,$AC:$AC,0,0,1),
_xlpm.l,  $O38 / 12,
_xlpm.Ag, _xlfn.XLOOKUP($C38,$X:$X,$AG:$AG,0,0,1),
_xlpm.UW, 490,
_xlpm.Wt, _xlpm.UW*_xlpm.Ag/144*_xlpm.l,
_xlpm.Wi, IFERROR((((_xlpm.h+2*_xlpm.ti)*(_xlpm.d+2*_xlpm.ti)*(_xlpm.l*12+2*_xlpm.ti))-(_xlpm.h*_xlpm.d*_xlpm.l*12))*56/1728,0),
(_xlpm.Wi+_xlpm.Wt)*IF($B38="",0,1))</f>
        <v>0</v>
      </c>
      <c r="BE38" s="209">
        <f t="shared" ref="BE38:BE70" si="10">_xlfn.LET(
_xlpm.ti, 1,
_xlpm.h,  _xlfn.XLOOKUP($C38,$X:$X,$AB:$AB,0,0,1),
_xlpm.d,  _xlfn.XLOOKUP($C38,$X:$X,$AC:$AC,0,0,1),
_xlpm.l,  $O38 / 12,
_xlpm.Ag, _xlfn.XLOOKUP($C38,$X:$X,$AG:$AG,0,0,1),
_xlpm.UW, 490,
_xlpm.Wt, _xlpm.UW*_xlpm.Ag/144*_xlpm.l,
_xlpm.Wi, IFERROR((((_xlpm.h+2*_xlpm.ti)*(_xlpm.d+2*_xlpm.ti)*(_xlpm.l*12+2*_xlpm.ti))-(_xlpm.h*_xlpm.d*_xlpm.l*12))*56/1728,0),
(_xlpm.Wi+_xlpm.Wt)*IF($B38="",0,1))</f>
        <v>0</v>
      </c>
      <c r="BF38" s="209"/>
      <c r="BG38" s="209"/>
    </row>
    <row r="39" spans="2:59" ht="15" customHeight="1" x14ac:dyDescent="0.2">
      <c r="B39" s="207"/>
      <c r="C39" s="207"/>
      <c r="D39" s="207"/>
      <c r="E39" s="207"/>
      <c r="F39" s="207"/>
      <c r="G39" s="207"/>
      <c r="H39" s="207"/>
      <c r="I39" s="207"/>
      <c r="J39" s="207"/>
      <c r="K39" s="207"/>
      <c r="L39" s="207"/>
      <c r="M39" s="207"/>
      <c r="N39" s="207"/>
      <c r="O39" s="207"/>
      <c r="P39" s="207"/>
      <c r="Q39" s="207"/>
      <c r="R39" s="207"/>
      <c r="S39" s="207"/>
      <c r="T39" s="228"/>
      <c r="U39" s="228"/>
      <c r="V39" s="228"/>
      <c r="AB39" s="229" t="str">
        <f>IF(X39="","",
IF(OR(X39="RIGID",X39="GEN1A"), 0,
IFERROR(_xlfn.LET(
_xlpm.BAR,                      OR(ISNUMBER(SEARCH("BAR",Z39)),ISNUMBER(SEARCH("SR",Y39))),
_xlpm.HSS,                      OR(ISNUMBER(SEARCH("HSS",Y39)),ISNUMBER(SEARCH("SquareTube",Z39)),NOT(ISNUMBER(SEARCH("HSS Pipe",Z39)))),
_xlpm.HSSPipe,                  OR(ISNUMBER(SEARCH("HSS Pipe",Z39)),ISNUMBER(SEARCH("Pipe",Z39)),ISNUMBER(SEARCH("Pipe",Y39))),
_xlpm.Pipe,                     OR(ISNUMBER(SEARCH("Pipe",Z39)),ISNUMBER(SEARCH("Pipe",Y39))),
_xlpm.SingleAngle,              OR(ISNUMBER(SEARCH("Single Angle",Z39)),AND(ISNUMBER(SEARCH("Angle",Z39)),ISNUMBER(SEARCH("Single",Z39)))),
_xlpm.DoubleAngle,              AND(ISNUMBER(SEARCH("Angle",Z39)),ISNUMBER(SEARCH("Double",Z39))),
_xlpm.RECT,                     OR(ISNUMBER(SEARCH("RECT",Z39)),ISNUMBER(SEARCH("PL",Y39))),
_xlpm.WideFlange,               OR(ISNUMBER(SEARCH("Wide Flange",Z39)),ISNUMBER(SEARCH("Tee",Z39)),ISNUMBER(SEARCH("W",Y39))),
_xlpm.Channel,                  OR(ISNUMBER(SEARCH("Channel",Z39)),ISNUMBER(SEARCH("C",Y39))),
IF(OR(_xlpm.WideFlange, _xlpm.Channel, _xlpm.SingleAngle, _xlpm.DoubleAngle, _xlpm.RECT),
                          INDEX('[2]AISC Database v16.0'!$D:$D,
                          MATCH(Y39,'[2]AISC Database v16.0'!$B:$B,0)),
IF(AND(_xlpm.HSS,NOT(_xlpm.HSSPipe)), INDEX('[2]AISC Database v16.0'!$F:$F,
                          MATCH(Y39,'[2]AISC Database v16.0'!$B:$B,0)),
IF(OR(_xlpm.Pipe, _xlpm.HSSPipe, _xlpm.BAR),
                          INDEX('[2]AISC Database v16.0'!$H:$H,
                          MATCH(Y39,'[2]AISC Database v16.0'!$B:$B,0)),
0)))),0)))</f>
        <v/>
      </c>
      <c r="AC39" s="229" t="str">
        <f>IF(X39="","",
IF(OR(X39="RIGID",X39="GEN1A"), 0,
IFERROR(_xlfn.LET(
_xlpm.BAR,                      OR(ISNUMBER(SEARCH("BAR",Z39)),ISNUMBER(SEARCH("SR",Y39))),
_xlpm.HSS,                      OR(ISNUMBER(SEARCH("HSS",Y39)),ISNUMBER(SEARCH("SquareTube",Z39)),NOT(ISNUMBER(SEARCH("HSS Pipe",Z39)))),
_xlpm.HSSPipe,                  OR(ISNUMBER(SEARCH("HSS Pipe",Z39)),ISNUMBER(SEARCH("Pipe",Z39)),ISNUMBER(SEARCH("Pipe",Y39))),
_xlpm.Pipe,                     OR(ISNUMBER(SEARCH("Pipe",Z39)),ISNUMBER(SEARCH("Pipe",Y39))),
_xlpm.SingleAngle,              OR(ISNUMBER(SEARCH("Single Angle",Z39)),AND(ISNUMBER(SEARCH("Angle",Z39)),ISNUMBER(SEARCH("Single",Z39)))),
_xlpm.DoubleAngle,              AND(ISNUMBER(SEARCH("Angle",Z39)),ISNUMBER(SEARCH("Double",Z39))),
_xlpm.RECT,                     OR(ISNUMBER(SEARCH("RECT",Z39)),ISNUMBER(SEARCH("PL",Y39))),
_xlpm.WideFlange,               OR(ISNUMBER(SEARCH("Wide Flange",Z39)),ISNUMBER(SEARCH("Tee",Z39)),ISNUMBER(SEARCH("W",Y39))),
_xlpm.Channel,                  OR(ISNUMBER(SEARCH("Channel",Z39)),ISNUMBER(SEARCH("C",Y39))),
IF(OR(_xlpm.WideFlange, _xlpm.Channel),
                          INDEX('[2]AISC Database v16.0'!$I:$I,
                          MATCH(Y39,'[2]AISC Database v16.0'!$B:$B,0)),
IF(OR(_xlpm.SingleAngle, _xlpm.DoubleAngle, _xlpm.RECT),
                          INDEX('[2]AISC Database v16.0'!$L:$L,
                          MATCH(Y39,'[2]AISC Database v16.0'!$B:$B,0)),
IF(AND(_xlpm.HSS,NOT(_xlpm.HSSPipe)),
                          INDEX('[2]AISC Database v16.0'!$K:$K,
                          MATCH(Y39,'[2]AISC Database v16.0'!$B:$B,0)),
IF(OR(_xlpm.Pipe, _xlpm.HSSPipe, _xlpm.BAR),
                          INDEX('[2]AISC Database v16.0'!$H:$H,
                          MATCH(Y39,'[2]AISC Database v16.0'!$B:$B,0)),
0))))),0)))</f>
        <v/>
      </c>
      <c r="AD39" s="230" t="str">
        <f>IF(X39="","",
IF(OR(X39="RIGID",X39="GEN1A"), 0,
IFERROR(_xlfn.LET(
_xlpm.BAR,                      OR(ISNUMBER(SEARCH("BAR",Z39)),ISNUMBER(SEARCH("SR",Y39))),
_xlpm.HSS,                      OR(ISNUMBER(SEARCH("HSS",Y39)),ISNUMBER(SEARCH("SquareTube",Z39)),NOT(ISNUMBER(SEARCH("HSS Pipe",Z39)))),
_xlpm.HSSPipe,                  OR(ISNUMBER(SEARCH("HSS Pipe",Z39)),ISNUMBER(SEARCH("Pipe",Z39)),ISNUMBER(SEARCH("Pipe",Y39))),
_xlpm.Pipe,                     OR(ISNUMBER(SEARCH("Pipe",Z39)),ISNUMBER(SEARCH("Pipe",Y39))),
_xlpm.SingleAngle,              OR(ISNUMBER(SEARCH("Single Angle",Z39)),AND(ISNUMBER(SEARCH("Angle",Z39)),ISNUMBER(SEARCH("Single",Z39)))),
_xlpm.DoubleAngle,              AND(ISNUMBER(SEARCH("Angle",Z39)),ISNUMBER(SEARCH("Double",Z39))),
_xlpm.RECT,                     OR(ISNUMBER(SEARCH("RECT",Z39)),ISNUMBER(SEARCH("PL",Y39))),
_xlpm.WideFlange,               OR(ISNUMBER(SEARCH("Wide Flange",Z39)),ISNUMBER(SEARCH("Tee",Z39)),ISNUMBER(SEARCH("W",Y39))),
_xlpm.Channel,                  OR(ISNUMBER(SEARCH("Channel",Z39)),ISNUMBER(SEARCH("C",Y39))),
IF(_xlpm.WideFlange,            INDEX('[2]AISC Database v16.0'!$O:$O,
                          MATCH(Y39,'[2]AISC Database v16.0'!$B:$B,0)),
IF(_xlpm.Channel,               INDEX('[2]AISC Database v16.0'!$O:$O,
                          MATCH(Y39,'[2]AISC Database v16.0'!$B:$B,0)),
IF(_xlpm.BAR,                   INDEX('[2]AISC Database v16.0'!$T:$T,
                          MATCH(Y39,'[2]AISC Database v16.0'!$B:$B,0)),
IF(_xlpm.SingleAngle,           INDEX('[2]AISC Database v16.0'!$T:$T,
                          MATCH(Y39,'[2]AISC Database v16.0'!$B:$B,0)),
IF(_xlpm.DoubleAngle,           INDEX('[2]AISC Database v16.0'!$T:$T,
                          MATCH(Y39,'[2]AISC Database v16.0'!$B:$B,0)),
IF(_xlpm.RECT,                  INDEX('[2]AISC Database v16.0'!$T:$T,
                          MATCH(Y39,'[2]AISC Database v16.0'!$B:$B,0)),
IF(AND(_xlpm.HSS,NOT(_xlpm.HSSPipe)), INDEX('[2]AISC Database v16.0'!$U:$U,
                          MATCH(Y39,'[2]AISC Database v16.0'!$B:$B,0)),
IF(OR(_xlpm.Pipe, _xlpm.HSSPipe),     INDEX('[2]AISC Database v16.0'!$U:$U,
                          MATCH(Y39,'[2]AISC Database v16.0'!$B:$B,0)),
0))))))))),0)))</f>
        <v/>
      </c>
      <c r="AE39" s="230" t="str">
        <f t="shared" si="0"/>
        <v/>
      </c>
      <c r="AF39" s="229" t="str">
        <f>IF(X39="","",
IF(OR(X39="RIGID",X39="GEN1A"), 0,
IFERROR(INDEX('[2]AISC Database v16.0'!$M:$M, MATCH(Y39,'[2]AISC Database v16.0'!$B:$B,0)), 0)))</f>
        <v/>
      </c>
      <c r="AG39" s="229" t="str">
        <f>IF(X39="","",
IF(OR(X39="RIGID",X39="GEN1A"), 0,
IFERROR(INDEX('[2]AISC Database v16.0'!$C:$C, MATCH(Y39,'[2]AISC Database v16.0'!$B:$B,0)), 0)))</f>
        <v/>
      </c>
      <c r="AR39" s="209"/>
      <c r="AS39" s="209">
        <f>+IFERROR(IF(VLOOKUP($B39,$E$6:$K203,6,0)=0,$O39/12*COS(PI()/180*($P39+0))^2,IF(AND(ABS(VLOOKUP($B39,$E$6:$K203,6,0))&gt;0,$P39=0),$O39/12*COS(PI()/180*($P39+0))^2,IF(AND(ABS(VLOOKUP($B39,$E$6:$K203,6,0))&gt;0,ABS($P39)&gt;0),$O39/12*COS(PI()/180*($P39+0))^2))),0)</f>
        <v>0</v>
      </c>
      <c r="AT39" s="209">
        <f>+IFERROR(IF(VLOOKUP($B39,$E$6:$K203,6,0)=0,0,IF(AND(ABS(VLOOKUP($B39,$E$6:$K203,6,0))&gt;0,$P39=0),ABS(VLOOKUP($B39,$E$6:$K203,6,0))*SIN(PI()/180*($P39+0))^2,IF(AND(ABS(VLOOKUP($B39,$E$6:$K203,6,0))&gt;0,ABS($P39)&gt;0),ABS(VLOOKUP($B39,$E$6:$K203,6,0))*SIN(PI()/180*($P39+0))^2))),0)*IF(RISA3D.Unit.Length="in",1/12,1)</f>
        <v>0</v>
      </c>
      <c r="AU39" s="209">
        <f t="shared" si="6"/>
        <v>0</v>
      </c>
      <c r="AV39" s="209">
        <f>+IFERROR(+IF(VLOOKUP($M39,$S$6:$V203,3,0)=VLOOKUP($N39,$S$6:$V203,3,0), ((((($O39/12+(2*0.5/12))*((VLOOKUP($C39,rngR3DSectionSets,5,0)/12)+(2*0.5/12)))-($O39/12*(VLOOKUP($C39,rngR3DSectionSets,5,0)/12)))*1.2*COS(PI()/180*($P39))^2)) + AU39, (((((AS39+(2*0.5/12))*((VLOOKUP($C39,rngR3DSectionSets,5,0)/12)+(2*0.5/12)))-(AS39*(VLOOKUP($C39,rngR3DSectionSets,5,0)/12)))+(((AT39+(2*0.5/12))*((VLOOKUP($C39,rngR3DSectionSets,5,0)/12)+(2*0.5/12)))-(AT39*(VLOOKUP($C39,rngR3DSectionSets,5,0)/12))))*1.2) + AU39),0)</f>
        <v>0</v>
      </c>
      <c r="AW39" s="209">
        <f>+IFERROR(+IF(VLOOKUP($M39,$S$6:$V203,3,0)=VLOOKUP($N39,$S$6:$V203,3,0), ((((($O39/12+(2*1/12))*((VLOOKUP($C39,rngR3DSectionSets,5,0)/12)+(2*1/12)))-($O39/12*(VLOOKUP($C39,rngR3DSectionSets,5,0)/12)))*1.2*COS(PI()/180*($P39))^2)) + AU39, (((((AS39+(2*1/12))*((VLOOKUP($C39,rngR3DSectionSets,5,0)/12)+(2*1/12)))-(AS39*(VLOOKUP($C39,rngR3DSectionSets,5,0)/12)))+(((AT39+(2*1/12))*((VLOOKUP($C39,rngR3DSectionSets,5,0)/12)+(2*1/12)))-(AT39*(VLOOKUP($C39,rngR3DSectionSets,5,0)/12))))*1.2) + AU39),0)</f>
        <v>0</v>
      </c>
      <c r="AX39" s="209">
        <f>+IFERROR(IF(VLOOKUP($B39,$E$6:$K203,6,0)=0,$O39/12*COS(PI()/180*($P39+90))^2,IF(AND(ABS(VLOOKUP($B39,$E$6:$K203,6,0))&gt;0,$P39=0),$O39/12*COS(PI()/180*($P39+90))^2,IF(AND(ABS(VLOOKUP($B39,$E$6:$K203,6,0))&gt;0,ABS($P39)&gt;0),$O39/12*COS(PI()/180*($P39+90))^2))),0)</f>
        <v>0</v>
      </c>
      <c r="AY39" s="209">
        <f>+IFERROR(IF(VLOOKUP($B39,$E$6:$K203,6,0)=0,0,IF(AND(ABS(VLOOKUP($B39,$E$6:$K203,6,0))&gt;0,$P39=0),ABS(VLOOKUP($B39,$E$6:$K203,6,0))*SIN(PI()/180*($P39+90))^2,IF(AND(ABS(VLOOKUP($B39,$E$6:$K203,6,0))&gt;0,ABS($P39)&gt;0),ABS(VLOOKUP($B39,$E$6:$K203,6,0))*SIN(PI()/180*($P39+90))^2))),0)*IF(RISA3D.Unit.Length="in",1/12,1)</f>
        <v>0</v>
      </c>
      <c r="AZ39" s="209">
        <f t="shared" si="7"/>
        <v>0</v>
      </c>
      <c r="BA39" s="209">
        <f>+IFERROR(+IF(VLOOKUP($M39,$S$6:$V203,3,0)=VLOOKUP($N39,$S$6:$V203,3,0), ((((($O39/12+(2*0.5/12))*((VLOOKUP($C39,rngR3DSectionSets,5,0)/12)+(2*0.5/12)))-($O39/12*(VLOOKUP($C39,rngR3DSectionSets,5,0)/12)))*1.2*COS(PI()/180*($P39))^2)) + AZ39, (((((AX39+(2*0.5/12))*((VLOOKUP($C39,rngR3DSectionSets,5,0)/12)+(2*0.5/12)))-(AX39*(VLOOKUP($C39,rngR3DSectionSets,5,0)/12)))+(((AY39+(2*0.5/12))*((VLOOKUP($C39,rngR3DSectionSets,5,0)/12)+(2*0.5/12)))-(AY39*(VLOOKUP($C39,rngR3DSectionSets,5,0)/12))))*1.2) + AZ39),0)</f>
        <v>0</v>
      </c>
      <c r="BB39" s="209">
        <f>+IFERROR(+IF(VLOOKUP($M39,$S$6:$V203,3,0)=VLOOKUP($N39,$S$6:$V203,3,0), ((((($O39/12+(2*1/12))*((VLOOKUP($C39,rngR3DSectionSets,5,0)/12)+(2*1/12)))-($O39/12*(VLOOKUP($C39,rngR3DSectionSets,5,0)/12)))*1.2*COS(PI()/180*($P39))^2)) + AZ39, (((((AX39+(2*1/12))*((VLOOKUP($C39,rngR3DSectionSets,5,0)/12)+(2*1/12)))-(AX39*(VLOOKUP($C39,rngR3DSectionSets,5,0)/12)))+(((AY39+(2*1/12))*((VLOOKUP($C39,rngR3DSectionSets,5,0)/12)+(2*1/12)))-(AY39*(VLOOKUP($C39,rngR3DSectionSets,5,0)/12))))*1.2) + AZ39),0)</f>
        <v>0</v>
      </c>
      <c r="BC39" s="209">
        <f t="shared" si="8"/>
        <v>0</v>
      </c>
      <c r="BD39" s="209">
        <f t="shared" si="9"/>
        <v>0</v>
      </c>
      <c r="BE39" s="209">
        <f t="shared" si="10"/>
        <v>0</v>
      </c>
      <c r="BF39" s="209"/>
      <c r="BG39" s="209"/>
    </row>
    <row r="40" spans="2:59" ht="15" customHeight="1" x14ac:dyDescent="0.2">
      <c r="B40" s="207"/>
      <c r="C40" s="207"/>
      <c r="D40" s="207"/>
      <c r="E40" s="207"/>
      <c r="F40" s="207"/>
      <c r="G40" s="207"/>
      <c r="H40" s="207"/>
      <c r="I40" s="207"/>
      <c r="J40" s="207"/>
      <c r="K40" s="207"/>
      <c r="L40" s="207"/>
      <c r="M40" s="207"/>
      <c r="N40" s="207"/>
      <c r="O40" s="207"/>
      <c r="P40" s="207"/>
      <c r="Q40" s="207"/>
      <c r="R40" s="207"/>
      <c r="S40" s="207"/>
      <c r="T40" s="228"/>
      <c r="U40" s="228"/>
      <c r="V40" s="228"/>
      <c r="AB40" s="229" t="str">
        <f>IF(X40="","",
IF(OR(X40="RIGID",X40="GEN1A"), 0,
IFERROR(_xlfn.LET(
_xlpm.BAR,                      OR(ISNUMBER(SEARCH("BAR",Z40)),ISNUMBER(SEARCH("SR",Y40))),
_xlpm.HSS,                      OR(ISNUMBER(SEARCH("HSS",Y40)),ISNUMBER(SEARCH("SquareTube",Z40)),NOT(ISNUMBER(SEARCH("HSS Pipe",Z40)))),
_xlpm.HSSPipe,                  OR(ISNUMBER(SEARCH("HSS Pipe",Z40)),ISNUMBER(SEARCH("Pipe",Z40)),ISNUMBER(SEARCH("Pipe",Y40))),
_xlpm.Pipe,                     OR(ISNUMBER(SEARCH("Pipe",Z40)),ISNUMBER(SEARCH("Pipe",Y40))),
_xlpm.SingleAngle,              OR(ISNUMBER(SEARCH("Single Angle",Z40)),AND(ISNUMBER(SEARCH("Angle",Z40)),ISNUMBER(SEARCH("Single",Z40)))),
_xlpm.DoubleAngle,              AND(ISNUMBER(SEARCH("Angle",Z40)),ISNUMBER(SEARCH("Double",Z40))),
_xlpm.RECT,                     OR(ISNUMBER(SEARCH("RECT",Z40)),ISNUMBER(SEARCH("PL",Y40))),
_xlpm.WideFlange,               OR(ISNUMBER(SEARCH("Wide Flange",Z40)),ISNUMBER(SEARCH("Tee",Z40)),ISNUMBER(SEARCH("W",Y40))),
_xlpm.Channel,                  OR(ISNUMBER(SEARCH("Channel",Z40)),ISNUMBER(SEARCH("C",Y40))),
IF(OR(_xlpm.WideFlange, _xlpm.Channel, _xlpm.SingleAngle, _xlpm.DoubleAngle, _xlpm.RECT),
                          INDEX('[2]AISC Database v16.0'!$D:$D,
                          MATCH(Y40,'[2]AISC Database v16.0'!$B:$B,0)),
IF(AND(_xlpm.HSS,NOT(_xlpm.HSSPipe)), INDEX('[2]AISC Database v16.0'!$F:$F,
                          MATCH(Y40,'[2]AISC Database v16.0'!$B:$B,0)),
IF(OR(_xlpm.Pipe, _xlpm.HSSPipe, _xlpm.BAR),
                          INDEX('[2]AISC Database v16.0'!$H:$H,
                          MATCH(Y40,'[2]AISC Database v16.0'!$B:$B,0)),
0)))),0)))</f>
        <v/>
      </c>
      <c r="AC40" s="229" t="str">
        <f>IF(X40="","",
IF(OR(X40="RIGID",X40="GEN1A"), 0,
IFERROR(_xlfn.LET(
_xlpm.BAR,                      OR(ISNUMBER(SEARCH("BAR",Z40)),ISNUMBER(SEARCH("SR",Y40))),
_xlpm.HSS,                      OR(ISNUMBER(SEARCH("HSS",Y40)),ISNUMBER(SEARCH("SquareTube",Z40)),NOT(ISNUMBER(SEARCH("HSS Pipe",Z40)))),
_xlpm.HSSPipe,                  OR(ISNUMBER(SEARCH("HSS Pipe",Z40)),ISNUMBER(SEARCH("Pipe",Z40)),ISNUMBER(SEARCH("Pipe",Y40))),
_xlpm.Pipe,                     OR(ISNUMBER(SEARCH("Pipe",Z40)),ISNUMBER(SEARCH("Pipe",Y40))),
_xlpm.SingleAngle,              OR(ISNUMBER(SEARCH("Single Angle",Z40)),AND(ISNUMBER(SEARCH("Angle",Z40)),ISNUMBER(SEARCH("Single",Z40)))),
_xlpm.DoubleAngle,              AND(ISNUMBER(SEARCH("Angle",Z40)),ISNUMBER(SEARCH("Double",Z40))),
_xlpm.RECT,                     OR(ISNUMBER(SEARCH("RECT",Z40)),ISNUMBER(SEARCH("PL",Y40))),
_xlpm.WideFlange,               OR(ISNUMBER(SEARCH("Wide Flange",Z40)),ISNUMBER(SEARCH("Tee",Z40)),ISNUMBER(SEARCH("W",Y40))),
_xlpm.Channel,                  OR(ISNUMBER(SEARCH("Channel",Z40)),ISNUMBER(SEARCH("C",Y40))),
IF(OR(_xlpm.WideFlange, _xlpm.Channel),
                          INDEX('[2]AISC Database v16.0'!$I:$I,
                          MATCH(Y40,'[2]AISC Database v16.0'!$B:$B,0)),
IF(OR(_xlpm.SingleAngle, _xlpm.DoubleAngle, _xlpm.RECT),
                          INDEX('[2]AISC Database v16.0'!$L:$L,
                          MATCH(Y40,'[2]AISC Database v16.0'!$B:$B,0)),
IF(AND(_xlpm.HSS,NOT(_xlpm.HSSPipe)),
                          INDEX('[2]AISC Database v16.0'!$K:$K,
                          MATCH(Y40,'[2]AISC Database v16.0'!$B:$B,0)),
IF(OR(_xlpm.Pipe, _xlpm.HSSPipe, _xlpm.BAR),
                          INDEX('[2]AISC Database v16.0'!$H:$H,
                          MATCH(Y40,'[2]AISC Database v16.0'!$B:$B,0)),
0))))),0)))</f>
        <v/>
      </c>
      <c r="AD40" s="230" t="str">
        <f>IF(X40="","",
IF(OR(X40="RIGID",X40="GEN1A"), 0,
IFERROR(_xlfn.LET(
_xlpm.BAR,                      OR(ISNUMBER(SEARCH("BAR",Z40)),ISNUMBER(SEARCH("SR",Y40))),
_xlpm.HSS,                      OR(ISNUMBER(SEARCH("HSS",Y40)),ISNUMBER(SEARCH("SquareTube",Z40)),NOT(ISNUMBER(SEARCH("HSS Pipe",Z40)))),
_xlpm.HSSPipe,                  OR(ISNUMBER(SEARCH("HSS Pipe",Z40)),ISNUMBER(SEARCH("Pipe",Z40)),ISNUMBER(SEARCH("Pipe",Y40))),
_xlpm.Pipe,                     OR(ISNUMBER(SEARCH("Pipe",Z40)),ISNUMBER(SEARCH("Pipe",Y40))),
_xlpm.SingleAngle,              OR(ISNUMBER(SEARCH("Single Angle",Z40)),AND(ISNUMBER(SEARCH("Angle",Z40)),ISNUMBER(SEARCH("Single",Z40)))),
_xlpm.DoubleAngle,              AND(ISNUMBER(SEARCH("Angle",Z40)),ISNUMBER(SEARCH("Double",Z40))),
_xlpm.RECT,                     OR(ISNUMBER(SEARCH("RECT",Z40)),ISNUMBER(SEARCH("PL",Y40))),
_xlpm.WideFlange,               OR(ISNUMBER(SEARCH("Wide Flange",Z40)),ISNUMBER(SEARCH("Tee",Z40)),ISNUMBER(SEARCH("W",Y40))),
_xlpm.Channel,                  OR(ISNUMBER(SEARCH("Channel",Z40)),ISNUMBER(SEARCH("C",Y40))),
IF(_xlpm.WideFlange,            INDEX('[2]AISC Database v16.0'!$O:$O,
                          MATCH(Y40,'[2]AISC Database v16.0'!$B:$B,0)),
IF(_xlpm.Channel,               INDEX('[2]AISC Database v16.0'!$O:$O,
                          MATCH(Y40,'[2]AISC Database v16.0'!$B:$B,0)),
IF(_xlpm.BAR,                   INDEX('[2]AISC Database v16.0'!$T:$T,
                          MATCH(Y40,'[2]AISC Database v16.0'!$B:$B,0)),
IF(_xlpm.SingleAngle,           INDEX('[2]AISC Database v16.0'!$T:$T,
                          MATCH(Y40,'[2]AISC Database v16.0'!$B:$B,0)),
IF(_xlpm.DoubleAngle,           INDEX('[2]AISC Database v16.0'!$T:$T,
                          MATCH(Y40,'[2]AISC Database v16.0'!$B:$B,0)),
IF(_xlpm.RECT,                  INDEX('[2]AISC Database v16.0'!$T:$T,
                          MATCH(Y40,'[2]AISC Database v16.0'!$B:$B,0)),
IF(AND(_xlpm.HSS,NOT(_xlpm.HSSPipe)), INDEX('[2]AISC Database v16.0'!$U:$U,
                          MATCH(Y40,'[2]AISC Database v16.0'!$B:$B,0)),
IF(OR(_xlpm.Pipe, _xlpm.HSSPipe),     INDEX('[2]AISC Database v16.0'!$U:$U,
                          MATCH(Y40,'[2]AISC Database v16.0'!$B:$B,0)),
0))))))))),0)))</f>
        <v/>
      </c>
      <c r="AE40" s="230" t="str">
        <f t="shared" si="0"/>
        <v/>
      </c>
      <c r="AF40" s="229" t="str">
        <f>IF(X40="","",
IF(OR(X40="RIGID",X40="GEN1A"), 0,
IFERROR(INDEX('[2]AISC Database v16.0'!$M:$M, MATCH(Y40,'[2]AISC Database v16.0'!$B:$B,0)), 0)))</f>
        <v/>
      </c>
      <c r="AG40" s="229" t="str">
        <f>IF(X40="","",
IF(OR(X40="RIGID",X40="GEN1A"), 0,
IFERROR(INDEX('[2]AISC Database v16.0'!$C:$C, MATCH(Y40,'[2]AISC Database v16.0'!$B:$B,0)), 0)))</f>
        <v/>
      </c>
      <c r="AR40" s="209"/>
      <c r="AS40" s="209">
        <f>+IFERROR(IF(VLOOKUP($B40,$E$6:$K203,6,0)=0,$O40/12*COS(PI()/180*($P40+0))^2,IF(AND(ABS(VLOOKUP($B40,$E$6:$K203,6,0))&gt;0,$P40=0),$O40/12*COS(PI()/180*($P40+0))^2,IF(AND(ABS(VLOOKUP($B40,$E$6:$K203,6,0))&gt;0,ABS($P40)&gt;0),$O40/12*COS(PI()/180*($P40+0))^2))),0)</f>
        <v>0</v>
      </c>
      <c r="AT40" s="209">
        <f>+IFERROR(IF(VLOOKUP($B40,$E$6:$K203,6,0)=0,0,IF(AND(ABS(VLOOKUP($B40,$E$6:$K203,6,0))&gt;0,$P40=0),ABS(VLOOKUP($B40,$E$6:$K203,6,0))*SIN(PI()/180*($P40+0))^2,IF(AND(ABS(VLOOKUP($B40,$E$6:$K203,6,0))&gt;0,ABS($P40)&gt;0),ABS(VLOOKUP($B40,$E$6:$K203,6,0))*SIN(PI()/180*($P40+0))^2))),0)*IF(RISA3D.Unit.Length="in",1/12,1)</f>
        <v>0</v>
      </c>
      <c r="AU40" s="209">
        <f t="shared" si="6"/>
        <v>0</v>
      </c>
      <c r="AV40" s="209">
        <f>+IFERROR(+IF(VLOOKUP($M40,$S$6:$V203,3,0)=VLOOKUP($N40,$S$6:$V203,3,0), ((((($O40/12+(2*0.5/12))*((VLOOKUP($C40,rngR3DSectionSets,5,0)/12)+(2*0.5/12)))-($O40/12*(VLOOKUP($C40,rngR3DSectionSets,5,0)/12)))*1.2*COS(PI()/180*($P40))^2)) + AU40, (((((AS40+(2*0.5/12))*((VLOOKUP($C40,rngR3DSectionSets,5,0)/12)+(2*0.5/12)))-(AS40*(VLOOKUP($C40,rngR3DSectionSets,5,0)/12)))+(((AT40+(2*0.5/12))*((VLOOKUP($C40,rngR3DSectionSets,5,0)/12)+(2*0.5/12)))-(AT40*(VLOOKUP($C40,rngR3DSectionSets,5,0)/12))))*1.2) + AU40),0)</f>
        <v>0</v>
      </c>
      <c r="AW40" s="209">
        <f>+IFERROR(+IF(VLOOKUP($M40,$S$6:$V203,3,0)=VLOOKUP($N40,$S$6:$V203,3,0), ((((($O40/12+(2*1/12))*((VLOOKUP($C40,rngR3DSectionSets,5,0)/12)+(2*1/12)))-($O40/12*(VLOOKUP($C40,rngR3DSectionSets,5,0)/12)))*1.2*COS(PI()/180*($P40))^2)) + AU40, (((((AS40+(2*1/12))*((VLOOKUP($C40,rngR3DSectionSets,5,0)/12)+(2*1/12)))-(AS40*(VLOOKUP($C40,rngR3DSectionSets,5,0)/12)))+(((AT40+(2*1/12))*((VLOOKUP($C40,rngR3DSectionSets,5,0)/12)+(2*1/12)))-(AT40*(VLOOKUP($C40,rngR3DSectionSets,5,0)/12))))*1.2) + AU40),0)</f>
        <v>0</v>
      </c>
      <c r="AX40" s="209">
        <f>+IFERROR(IF(VLOOKUP($B40,$E$6:$K203,6,0)=0,$O40/12*COS(PI()/180*($P40+90))^2,IF(AND(ABS(VLOOKUP($B40,$E$6:$K203,6,0))&gt;0,$P40=0),$O40/12*COS(PI()/180*($P40+90))^2,IF(AND(ABS(VLOOKUP($B40,$E$6:$K203,6,0))&gt;0,ABS($P40)&gt;0),$O40/12*COS(PI()/180*($P40+90))^2))),0)</f>
        <v>0</v>
      </c>
      <c r="AY40" s="209">
        <f>+IFERROR(IF(VLOOKUP($B40,$E$6:$K203,6,0)=0,0,IF(AND(ABS(VLOOKUP($B40,$E$6:$K203,6,0))&gt;0,$P40=0),ABS(VLOOKUP($B40,$E$6:$K203,6,0))*SIN(PI()/180*($P40+90))^2,IF(AND(ABS(VLOOKUP($B40,$E$6:$K203,6,0))&gt;0,ABS($P40)&gt;0),ABS(VLOOKUP($B40,$E$6:$K203,6,0))*SIN(PI()/180*($P40+90))^2))),0)*IF(RISA3D.Unit.Length="in",1/12,1)</f>
        <v>0</v>
      </c>
      <c r="AZ40" s="209">
        <f t="shared" si="7"/>
        <v>0</v>
      </c>
      <c r="BA40" s="209">
        <f>+IFERROR(+IF(VLOOKUP($M40,$S$6:$V203,3,0)=VLOOKUP($N40,$S$6:$V203,3,0), ((((($O40/12+(2*0.5/12))*((VLOOKUP($C40,rngR3DSectionSets,5,0)/12)+(2*0.5/12)))-($O40/12*(VLOOKUP($C40,rngR3DSectionSets,5,0)/12)))*1.2*COS(PI()/180*($P40))^2)) + AZ40, (((((AX40+(2*0.5/12))*((VLOOKUP($C40,rngR3DSectionSets,5,0)/12)+(2*0.5/12)))-(AX40*(VLOOKUP($C40,rngR3DSectionSets,5,0)/12)))+(((AY40+(2*0.5/12))*((VLOOKUP($C40,rngR3DSectionSets,5,0)/12)+(2*0.5/12)))-(AY40*(VLOOKUP($C40,rngR3DSectionSets,5,0)/12))))*1.2) + AZ40),0)</f>
        <v>0</v>
      </c>
      <c r="BB40" s="209">
        <f>+IFERROR(+IF(VLOOKUP($M40,$S$6:$V203,3,0)=VLOOKUP($N40,$S$6:$V203,3,0), ((((($O40/12+(2*1/12))*((VLOOKUP($C40,rngR3DSectionSets,5,0)/12)+(2*1/12)))-($O40/12*(VLOOKUP($C40,rngR3DSectionSets,5,0)/12)))*1.2*COS(PI()/180*($P40))^2)) + AZ40, (((((AX40+(2*1/12))*((VLOOKUP($C40,rngR3DSectionSets,5,0)/12)+(2*1/12)))-(AX40*(VLOOKUP($C40,rngR3DSectionSets,5,0)/12)))+(((AY40+(2*1/12))*((VLOOKUP($C40,rngR3DSectionSets,5,0)/12)+(2*1/12)))-(AY40*(VLOOKUP($C40,rngR3DSectionSets,5,0)/12))))*1.2) + AZ40),0)</f>
        <v>0</v>
      </c>
      <c r="BC40" s="209">
        <f t="shared" si="8"/>
        <v>0</v>
      </c>
      <c r="BD40" s="209">
        <f t="shared" si="9"/>
        <v>0</v>
      </c>
      <c r="BE40" s="209">
        <f t="shared" si="10"/>
        <v>0</v>
      </c>
      <c r="BF40" s="209"/>
      <c r="BG40" s="209"/>
    </row>
    <row r="41" spans="2:59" ht="15" customHeight="1" x14ac:dyDescent="0.2">
      <c r="B41" s="207"/>
      <c r="C41" s="207"/>
      <c r="D41" s="207"/>
      <c r="E41" s="207"/>
      <c r="F41" s="207"/>
      <c r="G41" s="207"/>
      <c r="H41" s="207"/>
      <c r="I41" s="207"/>
      <c r="J41" s="207"/>
      <c r="K41" s="207"/>
      <c r="L41" s="207"/>
      <c r="M41" s="207"/>
      <c r="N41" s="207"/>
      <c r="O41" s="207"/>
      <c r="P41" s="207"/>
      <c r="Q41" s="207"/>
      <c r="R41" s="207"/>
      <c r="S41" s="207"/>
      <c r="T41" s="228"/>
      <c r="U41" s="228"/>
      <c r="V41" s="228"/>
      <c r="AB41" s="229" t="str">
        <f>IF(X41="","",
IF(OR(X41="RIGID",X41="GEN1A"), 0,
IFERROR(_xlfn.LET(
_xlpm.BAR,                      OR(ISNUMBER(SEARCH("BAR",Z41)),ISNUMBER(SEARCH("SR",Y41))),
_xlpm.HSS,                      OR(ISNUMBER(SEARCH("HSS",Y41)),ISNUMBER(SEARCH("SquareTube",Z41)),NOT(ISNUMBER(SEARCH("HSS Pipe",Z41)))),
_xlpm.HSSPipe,                  OR(ISNUMBER(SEARCH("HSS Pipe",Z41)),ISNUMBER(SEARCH("Pipe",Z41)),ISNUMBER(SEARCH("Pipe",Y41))),
_xlpm.Pipe,                     OR(ISNUMBER(SEARCH("Pipe",Z41)),ISNUMBER(SEARCH("Pipe",Y41))),
_xlpm.SingleAngle,              OR(ISNUMBER(SEARCH("Single Angle",Z41)),AND(ISNUMBER(SEARCH("Angle",Z41)),ISNUMBER(SEARCH("Single",Z41)))),
_xlpm.DoubleAngle,              AND(ISNUMBER(SEARCH("Angle",Z41)),ISNUMBER(SEARCH("Double",Z41))),
_xlpm.RECT,                     OR(ISNUMBER(SEARCH("RECT",Z41)),ISNUMBER(SEARCH("PL",Y41))),
_xlpm.WideFlange,               OR(ISNUMBER(SEARCH("Wide Flange",Z41)),ISNUMBER(SEARCH("Tee",Z41)),ISNUMBER(SEARCH("W",Y41))),
_xlpm.Channel,                  OR(ISNUMBER(SEARCH("Channel",Z41)),ISNUMBER(SEARCH("C",Y41))),
IF(OR(_xlpm.WideFlange, _xlpm.Channel, _xlpm.SingleAngle, _xlpm.DoubleAngle, _xlpm.RECT),
                          INDEX('[2]AISC Database v16.0'!$D:$D,
                          MATCH(Y41,'[2]AISC Database v16.0'!$B:$B,0)),
IF(AND(_xlpm.HSS,NOT(_xlpm.HSSPipe)), INDEX('[2]AISC Database v16.0'!$F:$F,
                          MATCH(Y41,'[2]AISC Database v16.0'!$B:$B,0)),
IF(OR(_xlpm.Pipe, _xlpm.HSSPipe, _xlpm.BAR),
                          INDEX('[2]AISC Database v16.0'!$H:$H,
                          MATCH(Y41,'[2]AISC Database v16.0'!$B:$B,0)),
0)))),0)))</f>
        <v/>
      </c>
      <c r="AC41" s="229" t="str">
        <f>IF(X41="","",
IF(OR(X41="RIGID",X41="GEN1A"), 0,
IFERROR(_xlfn.LET(
_xlpm.BAR,                      OR(ISNUMBER(SEARCH("BAR",Z41)),ISNUMBER(SEARCH("SR",Y41))),
_xlpm.HSS,                      OR(ISNUMBER(SEARCH("HSS",Y41)),ISNUMBER(SEARCH("SquareTube",Z41)),NOT(ISNUMBER(SEARCH("HSS Pipe",Z41)))),
_xlpm.HSSPipe,                  OR(ISNUMBER(SEARCH("HSS Pipe",Z41)),ISNUMBER(SEARCH("Pipe",Z41)),ISNUMBER(SEARCH("Pipe",Y41))),
_xlpm.Pipe,                     OR(ISNUMBER(SEARCH("Pipe",Z41)),ISNUMBER(SEARCH("Pipe",Y41))),
_xlpm.SingleAngle,              OR(ISNUMBER(SEARCH("Single Angle",Z41)),AND(ISNUMBER(SEARCH("Angle",Z41)),ISNUMBER(SEARCH("Single",Z41)))),
_xlpm.DoubleAngle,              AND(ISNUMBER(SEARCH("Angle",Z41)),ISNUMBER(SEARCH("Double",Z41))),
_xlpm.RECT,                     OR(ISNUMBER(SEARCH("RECT",Z41)),ISNUMBER(SEARCH("PL",Y41))),
_xlpm.WideFlange,               OR(ISNUMBER(SEARCH("Wide Flange",Z41)),ISNUMBER(SEARCH("Tee",Z41)),ISNUMBER(SEARCH("W",Y41))),
_xlpm.Channel,                  OR(ISNUMBER(SEARCH("Channel",Z41)),ISNUMBER(SEARCH("C",Y41))),
IF(OR(_xlpm.WideFlange, _xlpm.Channel),
                          INDEX('[2]AISC Database v16.0'!$I:$I,
                          MATCH(Y41,'[2]AISC Database v16.0'!$B:$B,0)),
IF(OR(_xlpm.SingleAngle, _xlpm.DoubleAngle, _xlpm.RECT),
                          INDEX('[2]AISC Database v16.0'!$L:$L,
                          MATCH(Y41,'[2]AISC Database v16.0'!$B:$B,0)),
IF(AND(_xlpm.HSS,NOT(_xlpm.HSSPipe)),
                          INDEX('[2]AISC Database v16.0'!$K:$K,
                          MATCH(Y41,'[2]AISC Database v16.0'!$B:$B,0)),
IF(OR(_xlpm.Pipe, _xlpm.HSSPipe, _xlpm.BAR),
                          INDEX('[2]AISC Database v16.0'!$H:$H,
                          MATCH(Y41,'[2]AISC Database v16.0'!$B:$B,0)),
0))))),0)))</f>
        <v/>
      </c>
      <c r="AD41" s="230" t="str">
        <f>IF(X41="","",
IF(OR(X41="RIGID",X41="GEN1A"), 0,
IFERROR(_xlfn.LET(
_xlpm.BAR,                      OR(ISNUMBER(SEARCH("BAR",Z41)),ISNUMBER(SEARCH("SR",Y41))),
_xlpm.HSS,                      OR(ISNUMBER(SEARCH("HSS",Y41)),ISNUMBER(SEARCH("SquareTube",Z41)),NOT(ISNUMBER(SEARCH("HSS Pipe",Z41)))),
_xlpm.HSSPipe,                  OR(ISNUMBER(SEARCH("HSS Pipe",Z41)),ISNUMBER(SEARCH("Pipe",Z41)),ISNUMBER(SEARCH("Pipe",Y41))),
_xlpm.Pipe,                     OR(ISNUMBER(SEARCH("Pipe",Z41)),ISNUMBER(SEARCH("Pipe",Y41))),
_xlpm.SingleAngle,              OR(ISNUMBER(SEARCH("Single Angle",Z41)),AND(ISNUMBER(SEARCH("Angle",Z41)),ISNUMBER(SEARCH("Single",Z41)))),
_xlpm.DoubleAngle,              AND(ISNUMBER(SEARCH("Angle",Z41)),ISNUMBER(SEARCH("Double",Z41))),
_xlpm.RECT,                     OR(ISNUMBER(SEARCH("RECT",Z41)),ISNUMBER(SEARCH("PL",Y41))),
_xlpm.WideFlange,               OR(ISNUMBER(SEARCH("Wide Flange",Z41)),ISNUMBER(SEARCH("Tee",Z41)),ISNUMBER(SEARCH("W",Y41))),
_xlpm.Channel,                  OR(ISNUMBER(SEARCH("Channel",Z41)),ISNUMBER(SEARCH("C",Y41))),
IF(_xlpm.WideFlange,            INDEX('[2]AISC Database v16.0'!$O:$O,
                          MATCH(Y41,'[2]AISC Database v16.0'!$B:$B,0)),
IF(_xlpm.Channel,               INDEX('[2]AISC Database v16.0'!$O:$O,
                          MATCH(Y41,'[2]AISC Database v16.0'!$B:$B,0)),
IF(_xlpm.BAR,                   INDEX('[2]AISC Database v16.0'!$T:$T,
                          MATCH(Y41,'[2]AISC Database v16.0'!$B:$B,0)),
IF(_xlpm.SingleAngle,           INDEX('[2]AISC Database v16.0'!$T:$T,
                          MATCH(Y41,'[2]AISC Database v16.0'!$B:$B,0)),
IF(_xlpm.DoubleAngle,           INDEX('[2]AISC Database v16.0'!$T:$T,
                          MATCH(Y41,'[2]AISC Database v16.0'!$B:$B,0)),
IF(_xlpm.RECT,                  INDEX('[2]AISC Database v16.0'!$T:$T,
                          MATCH(Y41,'[2]AISC Database v16.0'!$B:$B,0)),
IF(AND(_xlpm.HSS,NOT(_xlpm.HSSPipe)), INDEX('[2]AISC Database v16.0'!$U:$U,
                          MATCH(Y41,'[2]AISC Database v16.0'!$B:$B,0)),
IF(OR(_xlpm.Pipe, _xlpm.HSSPipe),     INDEX('[2]AISC Database v16.0'!$U:$U,
                          MATCH(Y41,'[2]AISC Database v16.0'!$B:$B,0)),
0))))))))),0)))</f>
        <v/>
      </c>
      <c r="AE41" s="230" t="str">
        <f t="shared" si="0"/>
        <v/>
      </c>
      <c r="AF41" s="229" t="str">
        <f>IF(X41="","",
IF(OR(X41="RIGID",X41="GEN1A"), 0,
IFERROR(INDEX('[2]AISC Database v16.0'!$M:$M, MATCH(Y41,'[2]AISC Database v16.0'!$B:$B,0)), 0)))</f>
        <v/>
      </c>
      <c r="AG41" s="229" t="str">
        <f>IF(X41="","",
IF(OR(X41="RIGID",X41="GEN1A"), 0,
IFERROR(INDEX('[2]AISC Database v16.0'!$C:$C, MATCH(Y41,'[2]AISC Database v16.0'!$B:$B,0)), 0)))</f>
        <v/>
      </c>
      <c r="AR41" s="209"/>
      <c r="AS41" s="209">
        <f>+IFERROR(IF(VLOOKUP($B41,$E$6:$K203,6,0)=0,$O41/12*COS(PI()/180*($P41+0))^2,IF(AND(ABS(VLOOKUP($B41,$E$6:$K203,6,0))&gt;0,$P41=0),$O41/12*COS(PI()/180*($P41+0))^2,IF(AND(ABS(VLOOKUP($B41,$E$6:$K203,6,0))&gt;0,ABS($P41)&gt;0),$O41/12*COS(PI()/180*($P41+0))^2))),0)</f>
        <v>0</v>
      </c>
      <c r="AT41" s="209">
        <f>+IFERROR(IF(VLOOKUP($B41,$E$6:$K203,6,0)=0,0,IF(AND(ABS(VLOOKUP($B41,$E$6:$K203,6,0))&gt;0,$P41=0),ABS(VLOOKUP($B41,$E$6:$K203,6,0))*SIN(PI()/180*($P41+0))^2,IF(AND(ABS(VLOOKUP($B41,$E$6:$K203,6,0))&gt;0,ABS($P41)&gt;0),ABS(VLOOKUP($B41,$E$6:$K203,6,0))*SIN(PI()/180*($P41+0))^2))),0)*IF(RISA3D.Unit.Length="in",1/12,1)</f>
        <v>0</v>
      </c>
      <c r="AU41" s="209">
        <f t="shared" si="6"/>
        <v>0</v>
      </c>
      <c r="AV41" s="209">
        <f>+IFERROR(+IF(VLOOKUP($M41,$S$6:$V203,3,0)=VLOOKUP($N41,$S$6:$V203,3,0), ((((($O41/12+(2*0.5/12))*((VLOOKUP($C41,rngR3DSectionSets,5,0)/12)+(2*0.5/12)))-($O41/12*(VLOOKUP($C41,rngR3DSectionSets,5,0)/12)))*1.2*COS(PI()/180*($P41))^2)) + AU41, (((((AS41+(2*0.5/12))*((VLOOKUP($C41,rngR3DSectionSets,5,0)/12)+(2*0.5/12)))-(AS41*(VLOOKUP($C41,rngR3DSectionSets,5,0)/12)))+(((AT41+(2*0.5/12))*((VLOOKUP($C41,rngR3DSectionSets,5,0)/12)+(2*0.5/12)))-(AT41*(VLOOKUP($C41,rngR3DSectionSets,5,0)/12))))*1.2) + AU41),0)</f>
        <v>0</v>
      </c>
      <c r="AW41" s="209">
        <f>+IFERROR(+IF(VLOOKUP($M41,$S$6:$V203,3,0)=VLOOKUP($N41,$S$6:$V203,3,0), ((((($O41/12+(2*1/12))*((VLOOKUP($C41,rngR3DSectionSets,5,0)/12)+(2*1/12)))-($O41/12*(VLOOKUP($C41,rngR3DSectionSets,5,0)/12)))*1.2*COS(PI()/180*($P41))^2)) + AU41, (((((AS41+(2*1/12))*((VLOOKUP($C41,rngR3DSectionSets,5,0)/12)+(2*1/12)))-(AS41*(VLOOKUP($C41,rngR3DSectionSets,5,0)/12)))+(((AT41+(2*1/12))*((VLOOKUP($C41,rngR3DSectionSets,5,0)/12)+(2*1/12)))-(AT41*(VLOOKUP($C41,rngR3DSectionSets,5,0)/12))))*1.2) + AU41),0)</f>
        <v>0</v>
      </c>
      <c r="AX41" s="209">
        <f>+IFERROR(IF(VLOOKUP($B41,$E$6:$K203,6,0)=0,$O41/12*COS(PI()/180*($P41+90))^2,IF(AND(ABS(VLOOKUP($B41,$E$6:$K203,6,0))&gt;0,$P41=0),$O41/12*COS(PI()/180*($P41+90))^2,IF(AND(ABS(VLOOKUP($B41,$E$6:$K203,6,0))&gt;0,ABS($P41)&gt;0),$O41/12*COS(PI()/180*($P41+90))^2))),0)</f>
        <v>0</v>
      </c>
      <c r="AY41" s="209">
        <f>+IFERROR(IF(VLOOKUP($B41,$E$6:$K203,6,0)=0,0,IF(AND(ABS(VLOOKUP($B41,$E$6:$K203,6,0))&gt;0,$P41=0),ABS(VLOOKUP($B41,$E$6:$K203,6,0))*SIN(PI()/180*($P41+90))^2,IF(AND(ABS(VLOOKUP($B41,$E$6:$K203,6,0))&gt;0,ABS($P41)&gt;0),ABS(VLOOKUP($B41,$E$6:$K203,6,0))*SIN(PI()/180*($P41+90))^2))),0)*IF(RISA3D.Unit.Length="in",1/12,1)</f>
        <v>0</v>
      </c>
      <c r="AZ41" s="209">
        <f t="shared" si="7"/>
        <v>0</v>
      </c>
      <c r="BA41" s="209">
        <f>+IFERROR(+IF(VLOOKUP($M41,$S$6:$V203,3,0)=VLOOKUP($N41,$S$6:$V203,3,0), ((((($O41/12+(2*0.5/12))*((VLOOKUP($C41,rngR3DSectionSets,5,0)/12)+(2*0.5/12)))-($O41/12*(VLOOKUP($C41,rngR3DSectionSets,5,0)/12)))*1.2*COS(PI()/180*($P41))^2)) + AZ41, (((((AX41+(2*0.5/12))*((VLOOKUP($C41,rngR3DSectionSets,5,0)/12)+(2*0.5/12)))-(AX41*(VLOOKUP($C41,rngR3DSectionSets,5,0)/12)))+(((AY41+(2*0.5/12))*((VLOOKUP($C41,rngR3DSectionSets,5,0)/12)+(2*0.5/12)))-(AY41*(VLOOKUP($C41,rngR3DSectionSets,5,0)/12))))*1.2) + AZ41),0)</f>
        <v>0</v>
      </c>
      <c r="BB41" s="209">
        <f>+IFERROR(+IF(VLOOKUP($M41,$S$6:$V203,3,0)=VLOOKUP($N41,$S$6:$V203,3,0), ((((($O41/12+(2*1/12))*((VLOOKUP($C41,rngR3DSectionSets,5,0)/12)+(2*1/12)))-($O41/12*(VLOOKUP($C41,rngR3DSectionSets,5,0)/12)))*1.2*COS(PI()/180*($P41))^2)) + AZ41, (((((AX41+(2*1/12))*((VLOOKUP($C41,rngR3DSectionSets,5,0)/12)+(2*1/12)))-(AX41*(VLOOKUP($C41,rngR3DSectionSets,5,0)/12)))+(((AY41+(2*1/12))*((VLOOKUP($C41,rngR3DSectionSets,5,0)/12)+(2*1/12)))-(AY41*(VLOOKUP($C41,rngR3DSectionSets,5,0)/12))))*1.2) + AZ41),0)</f>
        <v>0</v>
      </c>
      <c r="BC41" s="209">
        <f t="shared" si="8"/>
        <v>0</v>
      </c>
      <c r="BD41" s="209">
        <f t="shared" si="9"/>
        <v>0</v>
      </c>
      <c r="BE41" s="209">
        <f t="shared" si="10"/>
        <v>0</v>
      </c>
      <c r="BF41" s="209"/>
      <c r="BG41" s="209"/>
    </row>
    <row r="42" spans="2:59" ht="15" customHeight="1" x14ac:dyDescent="0.2">
      <c r="B42" s="207"/>
      <c r="C42" s="207"/>
      <c r="D42" s="207"/>
      <c r="E42" s="207"/>
      <c r="F42" s="207"/>
      <c r="G42" s="207"/>
      <c r="H42" s="207"/>
      <c r="I42" s="207"/>
      <c r="J42" s="207"/>
      <c r="K42" s="207"/>
      <c r="L42" s="207"/>
      <c r="M42" s="207"/>
      <c r="N42" s="207"/>
      <c r="O42" s="207"/>
      <c r="P42" s="207"/>
      <c r="Q42" s="207"/>
      <c r="R42" s="207"/>
      <c r="S42" s="207"/>
      <c r="T42" s="228"/>
      <c r="U42" s="228"/>
      <c r="V42" s="228"/>
      <c r="AB42" s="229" t="str">
        <f>IF(X42="","",
IF(OR(X42="RIGID",X42="GEN1A"), 0,
IFERROR(_xlfn.LET(
_xlpm.BAR,                      OR(ISNUMBER(SEARCH("BAR",Z42)),ISNUMBER(SEARCH("SR",Y42))),
_xlpm.HSS,                      OR(ISNUMBER(SEARCH("HSS",Y42)),ISNUMBER(SEARCH("SquareTube",Z42)),NOT(ISNUMBER(SEARCH("HSS Pipe",Z42)))),
_xlpm.HSSPipe,                  OR(ISNUMBER(SEARCH("HSS Pipe",Z42)),ISNUMBER(SEARCH("Pipe",Z42)),ISNUMBER(SEARCH("Pipe",Y42))),
_xlpm.Pipe,                     OR(ISNUMBER(SEARCH("Pipe",Z42)),ISNUMBER(SEARCH("Pipe",Y42))),
_xlpm.SingleAngle,              OR(ISNUMBER(SEARCH("Single Angle",Z42)),AND(ISNUMBER(SEARCH("Angle",Z42)),ISNUMBER(SEARCH("Single",Z42)))),
_xlpm.DoubleAngle,              AND(ISNUMBER(SEARCH("Angle",Z42)),ISNUMBER(SEARCH("Double",Z42))),
_xlpm.RECT,                     OR(ISNUMBER(SEARCH("RECT",Z42)),ISNUMBER(SEARCH("PL",Y42))),
_xlpm.WideFlange,               OR(ISNUMBER(SEARCH("Wide Flange",Z42)),ISNUMBER(SEARCH("Tee",Z42)),ISNUMBER(SEARCH("W",Y42))),
_xlpm.Channel,                  OR(ISNUMBER(SEARCH("Channel",Z42)),ISNUMBER(SEARCH("C",Y42))),
IF(OR(_xlpm.WideFlange, _xlpm.Channel, _xlpm.SingleAngle, _xlpm.DoubleAngle, _xlpm.RECT),
                          INDEX('[2]AISC Database v16.0'!$D:$D,
                          MATCH(Y42,'[2]AISC Database v16.0'!$B:$B,0)),
IF(AND(_xlpm.HSS,NOT(_xlpm.HSSPipe)), INDEX('[2]AISC Database v16.0'!$F:$F,
                          MATCH(Y42,'[2]AISC Database v16.0'!$B:$B,0)),
IF(OR(_xlpm.Pipe, _xlpm.HSSPipe, _xlpm.BAR),
                          INDEX('[2]AISC Database v16.0'!$H:$H,
                          MATCH(Y42,'[2]AISC Database v16.0'!$B:$B,0)),
0)))),0)))</f>
        <v/>
      </c>
      <c r="AC42" s="229" t="str">
        <f>IF(X42="","",
IF(OR(X42="RIGID",X42="GEN1A"), 0,
IFERROR(_xlfn.LET(
_xlpm.BAR,                      OR(ISNUMBER(SEARCH("BAR",Z42)),ISNUMBER(SEARCH("SR",Y42))),
_xlpm.HSS,                      OR(ISNUMBER(SEARCH("HSS",Y42)),ISNUMBER(SEARCH("SquareTube",Z42)),NOT(ISNUMBER(SEARCH("HSS Pipe",Z42)))),
_xlpm.HSSPipe,                  OR(ISNUMBER(SEARCH("HSS Pipe",Z42)),ISNUMBER(SEARCH("Pipe",Z42)),ISNUMBER(SEARCH("Pipe",Y42))),
_xlpm.Pipe,                     OR(ISNUMBER(SEARCH("Pipe",Z42)),ISNUMBER(SEARCH("Pipe",Y42))),
_xlpm.SingleAngle,              OR(ISNUMBER(SEARCH("Single Angle",Z42)),AND(ISNUMBER(SEARCH("Angle",Z42)),ISNUMBER(SEARCH("Single",Z42)))),
_xlpm.DoubleAngle,              AND(ISNUMBER(SEARCH("Angle",Z42)),ISNUMBER(SEARCH("Double",Z42))),
_xlpm.RECT,                     OR(ISNUMBER(SEARCH("RECT",Z42)),ISNUMBER(SEARCH("PL",Y42))),
_xlpm.WideFlange,               OR(ISNUMBER(SEARCH("Wide Flange",Z42)),ISNUMBER(SEARCH("Tee",Z42)),ISNUMBER(SEARCH("W",Y42))),
_xlpm.Channel,                  OR(ISNUMBER(SEARCH("Channel",Z42)),ISNUMBER(SEARCH("C",Y42))),
IF(OR(_xlpm.WideFlange, _xlpm.Channel),
                          INDEX('[2]AISC Database v16.0'!$I:$I,
                          MATCH(Y42,'[2]AISC Database v16.0'!$B:$B,0)),
IF(OR(_xlpm.SingleAngle, _xlpm.DoubleAngle, _xlpm.RECT),
                          INDEX('[2]AISC Database v16.0'!$L:$L,
                          MATCH(Y42,'[2]AISC Database v16.0'!$B:$B,0)),
IF(AND(_xlpm.HSS,NOT(_xlpm.HSSPipe)),
                          INDEX('[2]AISC Database v16.0'!$K:$K,
                          MATCH(Y42,'[2]AISC Database v16.0'!$B:$B,0)),
IF(OR(_xlpm.Pipe, _xlpm.HSSPipe, _xlpm.BAR),
                          INDEX('[2]AISC Database v16.0'!$H:$H,
                          MATCH(Y42,'[2]AISC Database v16.0'!$B:$B,0)),
0))))),0)))</f>
        <v/>
      </c>
      <c r="AD42" s="230" t="str">
        <f>IF(X42="","",
IF(OR(X42="RIGID",X42="GEN1A"), 0,
IFERROR(_xlfn.LET(
_xlpm.BAR,                      OR(ISNUMBER(SEARCH("BAR",Z42)),ISNUMBER(SEARCH("SR",Y42))),
_xlpm.HSS,                      OR(ISNUMBER(SEARCH("HSS",Y42)),ISNUMBER(SEARCH("SquareTube",Z42)),NOT(ISNUMBER(SEARCH("HSS Pipe",Z42)))),
_xlpm.HSSPipe,                  OR(ISNUMBER(SEARCH("HSS Pipe",Z42)),ISNUMBER(SEARCH("Pipe",Z42)),ISNUMBER(SEARCH("Pipe",Y42))),
_xlpm.Pipe,                     OR(ISNUMBER(SEARCH("Pipe",Z42)),ISNUMBER(SEARCH("Pipe",Y42))),
_xlpm.SingleAngle,              OR(ISNUMBER(SEARCH("Single Angle",Z42)),AND(ISNUMBER(SEARCH("Angle",Z42)),ISNUMBER(SEARCH("Single",Z42)))),
_xlpm.DoubleAngle,              AND(ISNUMBER(SEARCH("Angle",Z42)),ISNUMBER(SEARCH("Double",Z42))),
_xlpm.RECT,                     OR(ISNUMBER(SEARCH("RECT",Z42)),ISNUMBER(SEARCH("PL",Y42))),
_xlpm.WideFlange,               OR(ISNUMBER(SEARCH("Wide Flange",Z42)),ISNUMBER(SEARCH("Tee",Z42)),ISNUMBER(SEARCH("W",Y42))),
_xlpm.Channel,                  OR(ISNUMBER(SEARCH("Channel",Z42)),ISNUMBER(SEARCH("C",Y42))),
IF(_xlpm.WideFlange,            INDEX('[2]AISC Database v16.0'!$O:$O,
                          MATCH(Y42,'[2]AISC Database v16.0'!$B:$B,0)),
IF(_xlpm.Channel,               INDEX('[2]AISC Database v16.0'!$O:$O,
                          MATCH(Y42,'[2]AISC Database v16.0'!$B:$B,0)),
IF(_xlpm.BAR,                   INDEX('[2]AISC Database v16.0'!$T:$T,
                          MATCH(Y42,'[2]AISC Database v16.0'!$B:$B,0)),
IF(_xlpm.SingleAngle,           INDEX('[2]AISC Database v16.0'!$T:$T,
                          MATCH(Y42,'[2]AISC Database v16.0'!$B:$B,0)),
IF(_xlpm.DoubleAngle,           INDEX('[2]AISC Database v16.0'!$T:$T,
                          MATCH(Y42,'[2]AISC Database v16.0'!$B:$B,0)),
IF(_xlpm.RECT,                  INDEX('[2]AISC Database v16.0'!$T:$T,
                          MATCH(Y42,'[2]AISC Database v16.0'!$B:$B,0)),
IF(AND(_xlpm.HSS,NOT(_xlpm.HSSPipe)), INDEX('[2]AISC Database v16.0'!$U:$U,
                          MATCH(Y42,'[2]AISC Database v16.0'!$B:$B,0)),
IF(OR(_xlpm.Pipe, _xlpm.HSSPipe),     INDEX('[2]AISC Database v16.0'!$U:$U,
                          MATCH(Y42,'[2]AISC Database v16.0'!$B:$B,0)),
0))))))))),0)))</f>
        <v/>
      </c>
      <c r="AE42" s="230" t="str">
        <f t="shared" si="0"/>
        <v/>
      </c>
      <c r="AF42" s="229" t="str">
        <f>IF(X42="","",
IF(OR(X42="RIGID",X42="GEN1A"), 0,
IFERROR(INDEX('[2]AISC Database v16.0'!$M:$M, MATCH(Y42,'[2]AISC Database v16.0'!$B:$B,0)), 0)))</f>
        <v/>
      </c>
      <c r="AG42" s="229" t="str">
        <f>IF(X42="","",
IF(OR(X42="RIGID",X42="GEN1A"), 0,
IFERROR(INDEX('[2]AISC Database v16.0'!$C:$C, MATCH(Y42,'[2]AISC Database v16.0'!$B:$B,0)), 0)))</f>
        <v/>
      </c>
      <c r="AR42" s="209"/>
      <c r="AS42" s="209">
        <f>+IFERROR(IF(VLOOKUP($B42,$E$6:$K203,6,0)=0,$O42/12*COS(PI()/180*($P42+0))^2,IF(AND(ABS(VLOOKUP($B42,$E$6:$K203,6,0))&gt;0,$P42=0),$O42/12*COS(PI()/180*($P42+0))^2,IF(AND(ABS(VLOOKUP($B42,$E$6:$K203,6,0))&gt;0,ABS($P42)&gt;0),$O42/12*COS(PI()/180*($P42+0))^2))),0)</f>
        <v>0</v>
      </c>
      <c r="AT42" s="209">
        <f>+IFERROR(IF(VLOOKUP($B42,$E$6:$K203,6,0)=0,0,IF(AND(ABS(VLOOKUP($B42,$E$6:$K203,6,0))&gt;0,$P42=0),ABS(VLOOKUP($B42,$E$6:$K203,6,0))*SIN(PI()/180*($P42+0))^2,IF(AND(ABS(VLOOKUP($B42,$E$6:$K203,6,0))&gt;0,ABS($P42)&gt;0),ABS(VLOOKUP($B42,$E$6:$K203,6,0))*SIN(PI()/180*($P42+0))^2))),0)*IF(RISA3D.Unit.Length="in",1/12,1)</f>
        <v>0</v>
      </c>
      <c r="AU42" s="209">
        <f t="shared" si="6"/>
        <v>0</v>
      </c>
      <c r="AV42" s="209">
        <f>+IFERROR(+IF(VLOOKUP($M42,$S$6:$V203,3,0)=VLOOKUP($N42,$S$6:$V203,3,0), ((((($O42/12+(2*0.5/12))*((VLOOKUP($C42,rngR3DSectionSets,5,0)/12)+(2*0.5/12)))-($O42/12*(VLOOKUP($C42,rngR3DSectionSets,5,0)/12)))*1.2*COS(PI()/180*($P42))^2)) + AU42, (((((AS42+(2*0.5/12))*((VLOOKUP($C42,rngR3DSectionSets,5,0)/12)+(2*0.5/12)))-(AS42*(VLOOKUP($C42,rngR3DSectionSets,5,0)/12)))+(((AT42+(2*0.5/12))*((VLOOKUP($C42,rngR3DSectionSets,5,0)/12)+(2*0.5/12)))-(AT42*(VLOOKUP($C42,rngR3DSectionSets,5,0)/12))))*1.2) + AU42),0)</f>
        <v>0</v>
      </c>
      <c r="AW42" s="209">
        <f>+IFERROR(+IF(VLOOKUP($M42,$S$6:$V203,3,0)=VLOOKUP($N42,$S$6:$V203,3,0), ((((($O42/12+(2*1/12))*((VLOOKUP($C42,rngR3DSectionSets,5,0)/12)+(2*1/12)))-($O42/12*(VLOOKUP($C42,rngR3DSectionSets,5,0)/12)))*1.2*COS(PI()/180*($P42))^2)) + AU42, (((((AS42+(2*1/12))*((VLOOKUP($C42,rngR3DSectionSets,5,0)/12)+(2*1/12)))-(AS42*(VLOOKUP($C42,rngR3DSectionSets,5,0)/12)))+(((AT42+(2*1/12))*((VLOOKUP($C42,rngR3DSectionSets,5,0)/12)+(2*1/12)))-(AT42*(VLOOKUP($C42,rngR3DSectionSets,5,0)/12))))*1.2) + AU42),0)</f>
        <v>0</v>
      </c>
      <c r="AX42" s="209">
        <f>+IFERROR(IF(VLOOKUP($B42,$E$6:$K203,6,0)=0,$O42/12*COS(PI()/180*($P42+90))^2,IF(AND(ABS(VLOOKUP($B42,$E$6:$K203,6,0))&gt;0,$P42=0),$O42/12*COS(PI()/180*($P42+90))^2,IF(AND(ABS(VLOOKUP($B42,$E$6:$K203,6,0))&gt;0,ABS($P42)&gt;0),$O42/12*COS(PI()/180*($P42+90))^2))),0)</f>
        <v>0</v>
      </c>
      <c r="AY42" s="209">
        <f>+IFERROR(IF(VLOOKUP($B42,$E$6:$K203,6,0)=0,0,IF(AND(ABS(VLOOKUP($B42,$E$6:$K203,6,0))&gt;0,$P42=0),ABS(VLOOKUP($B42,$E$6:$K203,6,0))*SIN(PI()/180*($P42+90))^2,IF(AND(ABS(VLOOKUP($B42,$E$6:$K203,6,0))&gt;0,ABS($P42)&gt;0),ABS(VLOOKUP($B42,$E$6:$K203,6,0))*SIN(PI()/180*($P42+90))^2))),0)*IF(RISA3D.Unit.Length="in",1/12,1)</f>
        <v>0</v>
      </c>
      <c r="AZ42" s="209">
        <f t="shared" si="7"/>
        <v>0</v>
      </c>
      <c r="BA42" s="209">
        <f>+IFERROR(+IF(VLOOKUP($M42,$S$6:$V203,3,0)=VLOOKUP($N42,$S$6:$V203,3,0), ((((($O42/12+(2*0.5/12))*((VLOOKUP($C42,rngR3DSectionSets,5,0)/12)+(2*0.5/12)))-($O42/12*(VLOOKUP($C42,rngR3DSectionSets,5,0)/12)))*1.2*COS(PI()/180*($P42))^2)) + AZ42, (((((AX42+(2*0.5/12))*((VLOOKUP($C42,rngR3DSectionSets,5,0)/12)+(2*0.5/12)))-(AX42*(VLOOKUP($C42,rngR3DSectionSets,5,0)/12)))+(((AY42+(2*0.5/12))*((VLOOKUP($C42,rngR3DSectionSets,5,0)/12)+(2*0.5/12)))-(AY42*(VLOOKUP($C42,rngR3DSectionSets,5,0)/12))))*1.2) + AZ42),0)</f>
        <v>0</v>
      </c>
      <c r="BB42" s="209">
        <f>+IFERROR(+IF(VLOOKUP($M42,$S$6:$V203,3,0)=VLOOKUP($N42,$S$6:$V203,3,0), ((((($O42/12+(2*1/12))*((VLOOKUP($C42,rngR3DSectionSets,5,0)/12)+(2*1/12)))-($O42/12*(VLOOKUP($C42,rngR3DSectionSets,5,0)/12)))*1.2*COS(PI()/180*($P42))^2)) + AZ42, (((((AX42+(2*1/12))*((VLOOKUP($C42,rngR3DSectionSets,5,0)/12)+(2*1/12)))-(AX42*(VLOOKUP($C42,rngR3DSectionSets,5,0)/12)))+(((AY42+(2*1/12))*((VLOOKUP($C42,rngR3DSectionSets,5,0)/12)+(2*1/12)))-(AY42*(VLOOKUP($C42,rngR3DSectionSets,5,0)/12))))*1.2) + AZ42),0)</f>
        <v>0</v>
      </c>
      <c r="BC42" s="209">
        <f t="shared" si="8"/>
        <v>0</v>
      </c>
      <c r="BD42" s="209">
        <f t="shared" si="9"/>
        <v>0</v>
      </c>
      <c r="BE42" s="209">
        <f t="shared" si="10"/>
        <v>0</v>
      </c>
      <c r="BF42" s="209"/>
      <c r="BG42" s="209"/>
    </row>
    <row r="43" spans="2:59" ht="15" customHeight="1" x14ac:dyDescent="0.2">
      <c r="B43" s="207"/>
      <c r="C43" s="207"/>
      <c r="D43" s="207"/>
      <c r="E43" s="207"/>
      <c r="F43" s="207"/>
      <c r="G43" s="207"/>
      <c r="H43" s="207"/>
      <c r="I43" s="207"/>
      <c r="J43" s="207"/>
      <c r="K43" s="207"/>
      <c r="L43" s="207"/>
      <c r="M43" s="207"/>
      <c r="N43" s="207"/>
      <c r="O43" s="207"/>
      <c r="P43" s="207"/>
      <c r="Q43" s="207"/>
      <c r="R43" s="207"/>
      <c r="S43" s="207"/>
      <c r="T43" s="228"/>
      <c r="U43" s="228"/>
      <c r="V43" s="228"/>
      <c r="AB43" s="229" t="str">
        <f>IF(X43="","",
IF(OR(X43="RIGID",X43="GEN1A"), 0,
IFERROR(_xlfn.LET(
_xlpm.BAR,                      OR(ISNUMBER(SEARCH("BAR",Z43)),ISNUMBER(SEARCH("SR",Y43))),
_xlpm.HSS,                      OR(ISNUMBER(SEARCH("HSS",Y43)),ISNUMBER(SEARCH("SquareTube",Z43)),NOT(ISNUMBER(SEARCH("HSS Pipe",Z43)))),
_xlpm.HSSPipe,                  OR(ISNUMBER(SEARCH("HSS Pipe",Z43)),ISNUMBER(SEARCH("Pipe",Z43)),ISNUMBER(SEARCH("Pipe",Y43))),
_xlpm.Pipe,                     OR(ISNUMBER(SEARCH("Pipe",Z43)),ISNUMBER(SEARCH("Pipe",Y43))),
_xlpm.SingleAngle,              OR(ISNUMBER(SEARCH("Single Angle",Z43)),AND(ISNUMBER(SEARCH("Angle",Z43)),ISNUMBER(SEARCH("Single",Z43)))),
_xlpm.DoubleAngle,              AND(ISNUMBER(SEARCH("Angle",Z43)),ISNUMBER(SEARCH("Double",Z43))),
_xlpm.RECT,                     OR(ISNUMBER(SEARCH("RECT",Z43)),ISNUMBER(SEARCH("PL",Y43))),
_xlpm.WideFlange,               OR(ISNUMBER(SEARCH("Wide Flange",Z43)),ISNUMBER(SEARCH("Tee",Z43)),ISNUMBER(SEARCH("W",Y43))),
_xlpm.Channel,                  OR(ISNUMBER(SEARCH("Channel",Z43)),ISNUMBER(SEARCH("C",Y43))),
IF(OR(_xlpm.WideFlange, _xlpm.Channel, _xlpm.SingleAngle, _xlpm.DoubleAngle, _xlpm.RECT),
                          INDEX('[2]AISC Database v16.0'!$D:$D,
                          MATCH(Y43,'[2]AISC Database v16.0'!$B:$B,0)),
IF(AND(_xlpm.HSS,NOT(_xlpm.HSSPipe)), INDEX('[2]AISC Database v16.0'!$F:$F,
                          MATCH(Y43,'[2]AISC Database v16.0'!$B:$B,0)),
IF(OR(_xlpm.Pipe, _xlpm.HSSPipe, _xlpm.BAR),
                          INDEX('[2]AISC Database v16.0'!$H:$H,
                          MATCH(Y43,'[2]AISC Database v16.0'!$B:$B,0)),
0)))),0)))</f>
        <v/>
      </c>
      <c r="AC43" s="229" t="str">
        <f>IF(X43="","",
IF(OR(X43="RIGID",X43="GEN1A"), 0,
IFERROR(_xlfn.LET(
_xlpm.BAR,                      OR(ISNUMBER(SEARCH("BAR",Z43)),ISNUMBER(SEARCH("SR",Y43))),
_xlpm.HSS,                      OR(ISNUMBER(SEARCH("HSS",Y43)),ISNUMBER(SEARCH("SquareTube",Z43)),NOT(ISNUMBER(SEARCH("HSS Pipe",Z43)))),
_xlpm.HSSPipe,                  OR(ISNUMBER(SEARCH("HSS Pipe",Z43)),ISNUMBER(SEARCH("Pipe",Z43)),ISNUMBER(SEARCH("Pipe",Y43))),
_xlpm.Pipe,                     OR(ISNUMBER(SEARCH("Pipe",Z43)),ISNUMBER(SEARCH("Pipe",Y43))),
_xlpm.SingleAngle,              OR(ISNUMBER(SEARCH("Single Angle",Z43)),AND(ISNUMBER(SEARCH("Angle",Z43)),ISNUMBER(SEARCH("Single",Z43)))),
_xlpm.DoubleAngle,              AND(ISNUMBER(SEARCH("Angle",Z43)),ISNUMBER(SEARCH("Double",Z43))),
_xlpm.RECT,                     OR(ISNUMBER(SEARCH("RECT",Z43)),ISNUMBER(SEARCH("PL",Y43))),
_xlpm.WideFlange,               OR(ISNUMBER(SEARCH("Wide Flange",Z43)),ISNUMBER(SEARCH("Tee",Z43)),ISNUMBER(SEARCH("W",Y43))),
_xlpm.Channel,                  OR(ISNUMBER(SEARCH("Channel",Z43)),ISNUMBER(SEARCH("C",Y43))),
IF(OR(_xlpm.WideFlange, _xlpm.Channel),
                          INDEX('[2]AISC Database v16.0'!$I:$I,
                          MATCH(Y43,'[2]AISC Database v16.0'!$B:$B,0)),
IF(OR(_xlpm.SingleAngle, _xlpm.DoubleAngle, _xlpm.RECT),
                          INDEX('[2]AISC Database v16.0'!$L:$L,
                          MATCH(Y43,'[2]AISC Database v16.0'!$B:$B,0)),
IF(AND(_xlpm.HSS,NOT(_xlpm.HSSPipe)),
                          INDEX('[2]AISC Database v16.0'!$K:$K,
                          MATCH(Y43,'[2]AISC Database v16.0'!$B:$B,0)),
IF(OR(_xlpm.Pipe, _xlpm.HSSPipe, _xlpm.BAR),
                          INDEX('[2]AISC Database v16.0'!$H:$H,
                          MATCH(Y43,'[2]AISC Database v16.0'!$B:$B,0)),
0))))),0)))</f>
        <v/>
      </c>
      <c r="AD43" s="230" t="str">
        <f>IF(X43="","",
IF(OR(X43="RIGID",X43="GEN1A"), 0,
IFERROR(_xlfn.LET(
_xlpm.BAR,                      OR(ISNUMBER(SEARCH("BAR",Z43)),ISNUMBER(SEARCH("SR",Y43))),
_xlpm.HSS,                      OR(ISNUMBER(SEARCH("HSS",Y43)),ISNUMBER(SEARCH("SquareTube",Z43)),NOT(ISNUMBER(SEARCH("HSS Pipe",Z43)))),
_xlpm.HSSPipe,                  OR(ISNUMBER(SEARCH("HSS Pipe",Z43)),ISNUMBER(SEARCH("Pipe",Z43)),ISNUMBER(SEARCH("Pipe",Y43))),
_xlpm.Pipe,                     OR(ISNUMBER(SEARCH("Pipe",Z43)),ISNUMBER(SEARCH("Pipe",Y43))),
_xlpm.SingleAngle,              OR(ISNUMBER(SEARCH("Single Angle",Z43)),AND(ISNUMBER(SEARCH("Angle",Z43)),ISNUMBER(SEARCH("Single",Z43)))),
_xlpm.DoubleAngle,              AND(ISNUMBER(SEARCH("Angle",Z43)),ISNUMBER(SEARCH("Double",Z43))),
_xlpm.RECT,                     OR(ISNUMBER(SEARCH("RECT",Z43)),ISNUMBER(SEARCH("PL",Y43))),
_xlpm.WideFlange,               OR(ISNUMBER(SEARCH("Wide Flange",Z43)),ISNUMBER(SEARCH("Tee",Z43)),ISNUMBER(SEARCH("W",Y43))),
_xlpm.Channel,                  OR(ISNUMBER(SEARCH("Channel",Z43)),ISNUMBER(SEARCH("C",Y43))),
IF(_xlpm.WideFlange,            INDEX('[2]AISC Database v16.0'!$O:$O,
                          MATCH(Y43,'[2]AISC Database v16.0'!$B:$B,0)),
IF(_xlpm.Channel,               INDEX('[2]AISC Database v16.0'!$O:$O,
                          MATCH(Y43,'[2]AISC Database v16.0'!$B:$B,0)),
IF(_xlpm.BAR,                   INDEX('[2]AISC Database v16.0'!$T:$T,
                          MATCH(Y43,'[2]AISC Database v16.0'!$B:$B,0)),
IF(_xlpm.SingleAngle,           INDEX('[2]AISC Database v16.0'!$T:$T,
                          MATCH(Y43,'[2]AISC Database v16.0'!$B:$B,0)),
IF(_xlpm.DoubleAngle,           INDEX('[2]AISC Database v16.0'!$T:$T,
                          MATCH(Y43,'[2]AISC Database v16.0'!$B:$B,0)),
IF(_xlpm.RECT,                  INDEX('[2]AISC Database v16.0'!$T:$T,
                          MATCH(Y43,'[2]AISC Database v16.0'!$B:$B,0)),
IF(AND(_xlpm.HSS,NOT(_xlpm.HSSPipe)), INDEX('[2]AISC Database v16.0'!$U:$U,
                          MATCH(Y43,'[2]AISC Database v16.0'!$B:$B,0)),
IF(OR(_xlpm.Pipe, _xlpm.HSSPipe),     INDEX('[2]AISC Database v16.0'!$U:$U,
                          MATCH(Y43,'[2]AISC Database v16.0'!$B:$B,0)),
0))))))))),0)))</f>
        <v/>
      </c>
      <c r="AE43" s="230" t="str">
        <f t="shared" si="0"/>
        <v/>
      </c>
      <c r="AF43" s="229" t="str">
        <f>IF(X43="","",
IF(OR(X43="RIGID",X43="GEN1A"), 0,
IFERROR(INDEX('[2]AISC Database v16.0'!$M:$M, MATCH(Y43,'[2]AISC Database v16.0'!$B:$B,0)), 0)))</f>
        <v/>
      </c>
      <c r="AG43" s="229" t="str">
        <f>IF(X43="","",
IF(OR(X43="RIGID",X43="GEN1A"), 0,
IFERROR(INDEX('[2]AISC Database v16.0'!$C:$C, MATCH(Y43,'[2]AISC Database v16.0'!$B:$B,0)), 0)))</f>
        <v/>
      </c>
      <c r="AR43" s="209"/>
      <c r="AS43" s="209">
        <f>+IFERROR(IF(VLOOKUP($B43,$E$6:$K203,6,0)=0,$O43/12*COS(PI()/180*($P43+0))^2,IF(AND(ABS(VLOOKUP($B43,$E$6:$K203,6,0))&gt;0,$P43=0),$O43/12*COS(PI()/180*($P43+0))^2,IF(AND(ABS(VLOOKUP($B43,$E$6:$K203,6,0))&gt;0,ABS($P43)&gt;0),$O43/12*COS(PI()/180*($P43+0))^2))),0)</f>
        <v>0</v>
      </c>
      <c r="AT43" s="209">
        <f>+IFERROR(IF(VLOOKUP($B43,$E$6:$K203,6,0)=0,0,IF(AND(ABS(VLOOKUP($B43,$E$6:$K203,6,0))&gt;0,$P43=0),ABS(VLOOKUP($B43,$E$6:$K203,6,0))*SIN(PI()/180*($P43+0))^2,IF(AND(ABS(VLOOKUP($B43,$E$6:$K203,6,0))&gt;0,ABS($P43)&gt;0),ABS(VLOOKUP($B43,$E$6:$K203,6,0))*SIN(PI()/180*($P43+0))^2))),0)*IF(RISA3D.Unit.Length="in",1/12,1)</f>
        <v>0</v>
      </c>
      <c r="AU43" s="209">
        <f t="shared" si="6"/>
        <v>0</v>
      </c>
      <c r="AV43" s="209">
        <f>+IFERROR(+IF(VLOOKUP($M43,$S$6:$V203,3,0)=VLOOKUP($N43,$S$6:$V203,3,0), ((((($O43/12+(2*0.5/12))*((VLOOKUP($C43,rngR3DSectionSets,5,0)/12)+(2*0.5/12)))-($O43/12*(VLOOKUP($C43,rngR3DSectionSets,5,0)/12)))*1.2*COS(PI()/180*($P43))^2)) + AU43, (((((AS43+(2*0.5/12))*((VLOOKUP($C43,rngR3DSectionSets,5,0)/12)+(2*0.5/12)))-(AS43*(VLOOKUP($C43,rngR3DSectionSets,5,0)/12)))+(((AT43+(2*0.5/12))*((VLOOKUP($C43,rngR3DSectionSets,5,0)/12)+(2*0.5/12)))-(AT43*(VLOOKUP($C43,rngR3DSectionSets,5,0)/12))))*1.2) + AU43),0)</f>
        <v>0</v>
      </c>
      <c r="AW43" s="209">
        <f>+IFERROR(+IF(VLOOKUP($M43,$S$6:$V203,3,0)=VLOOKUP($N43,$S$6:$V203,3,0), ((((($O43/12+(2*1/12))*((VLOOKUP($C43,rngR3DSectionSets,5,0)/12)+(2*1/12)))-($O43/12*(VLOOKUP($C43,rngR3DSectionSets,5,0)/12)))*1.2*COS(PI()/180*($P43))^2)) + AU43, (((((AS43+(2*1/12))*((VLOOKUP($C43,rngR3DSectionSets,5,0)/12)+(2*1/12)))-(AS43*(VLOOKUP($C43,rngR3DSectionSets,5,0)/12)))+(((AT43+(2*1/12))*((VLOOKUP($C43,rngR3DSectionSets,5,0)/12)+(2*1/12)))-(AT43*(VLOOKUP($C43,rngR3DSectionSets,5,0)/12))))*1.2) + AU43),0)</f>
        <v>0</v>
      </c>
      <c r="AX43" s="209">
        <f>+IFERROR(IF(VLOOKUP($B43,$E$6:$K203,6,0)=0,$O43/12*COS(PI()/180*($P43+90))^2,IF(AND(ABS(VLOOKUP($B43,$E$6:$K203,6,0))&gt;0,$P43=0),$O43/12*COS(PI()/180*($P43+90))^2,IF(AND(ABS(VLOOKUP($B43,$E$6:$K203,6,0))&gt;0,ABS($P43)&gt;0),$O43/12*COS(PI()/180*($P43+90))^2))),0)</f>
        <v>0</v>
      </c>
      <c r="AY43" s="209">
        <f>+IFERROR(IF(VLOOKUP($B43,$E$6:$K203,6,0)=0,0,IF(AND(ABS(VLOOKUP($B43,$E$6:$K203,6,0))&gt;0,$P43=0),ABS(VLOOKUP($B43,$E$6:$K203,6,0))*SIN(PI()/180*($P43+90))^2,IF(AND(ABS(VLOOKUP($B43,$E$6:$K203,6,0))&gt;0,ABS($P43)&gt;0),ABS(VLOOKUP($B43,$E$6:$K203,6,0))*SIN(PI()/180*($P43+90))^2))),0)*IF(RISA3D.Unit.Length="in",1/12,1)</f>
        <v>0</v>
      </c>
      <c r="AZ43" s="209">
        <f t="shared" si="7"/>
        <v>0</v>
      </c>
      <c r="BA43" s="209">
        <f>+IFERROR(+IF(VLOOKUP($M43,$S$6:$V203,3,0)=VLOOKUP($N43,$S$6:$V203,3,0), ((((($O43/12+(2*0.5/12))*((VLOOKUP($C43,rngR3DSectionSets,5,0)/12)+(2*0.5/12)))-($O43/12*(VLOOKUP($C43,rngR3DSectionSets,5,0)/12)))*1.2*COS(PI()/180*($P43))^2)) + AZ43, (((((AX43+(2*0.5/12))*((VLOOKUP($C43,rngR3DSectionSets,5,0)/12)+(2*0.5/12)))-(AX43*(VLOOKUP($C43,rngR3DSectionSets,5,0)/12)))+(((AY43+(2*0.5/12))*((VLOOKUP($C43,rngR3DSectionSets,5,0)/12)+(2*0.5/12)))-(AY43*(VLOOKUP($C43,rngR3DSectionSets,5,0)/12))))*1.2) + AZ43),0)</f>
        <v>0</v>
      </c>
      <c r="BB43" s="209">
        <f>+IFERROR(+IF(VLOOKUP($M43,$S$6:$V203,3,0)=VLOOKUP($N43,$S$6:$V203,3,0), ((((($O43/12+(2*1/12))*((VLOOKUP($C43,rngR3DSectionSets,5,0)/12)+(2*1/12)))-($O43/12*(VLOOKUP($C43,rngR3DSectionSets,5,0)/12)))*1.2*COS(PI()/180*($P43))^2)) + AZ43, (((((AX43+(2*1/12))*((VLOOKUP($C43,rngR3DSectionSets,5,0)/12)+(2*1/12)))-(AX43*(VLOOKUP($C43,rngR3DSectionSets,5,0)/12)))+(((AY43+(2*1/12))*((VLOOKUP($C43,rngR3DSectionSets,5,0)/12)+(2*1/12)))-(AY43*(VLOOKUP($C43,rngR3DSectionSets,5,0)/12))))*1.2) + AZ43),0)</f>
        <v>0</v>
      </c>
      <c r="BC43" s="209">
        <f t="shared" si="8"/>
        <v>0</v>
      </c>
      <c r="BD43" s="209">
        <f t="shared" si="9"/>
        <v>0</v>
      </c>
      <c r="BE43" s="209">
        <f t="shared" si="10"/>
        <v>0</v>
      </c>
      <c r="BF43" s="209"/>
      <c r="BG43" s="209"/>
    </row>
    <row r="44" spans="2:59" ht="15" customHeight="1" x14ac:dyDescent="0.2">
      <c r="B44" s="207"/>
      <c r="C44" s="207"/>
      <c r="D44" s="207"/>
      <c r="E44" s="207"/>
      <c r="F44" s="207"/>
      <c r="G44" s="207"/>
      <c r="H44" s="207"/>
      <c r="I44" s="207"/>
      <c r="J44" s="207"/>
      <c r="K44" s="207"/>
      <c r="L44" s="207"/>
      <c r="M44" s="207"/>
      <c r="N44" s="207"/>
      <c r="O44" s="207"/>
      <c r="P44" s="207"/>
      <c r="Q44" s="207"/>
      <c r="R44" s="207"/>
      <c r="S44" s="207"/>
      <c r="T44" s="228"/>
      <c r="U44" s="228"/>
      <c r="V44" s="228"/>
      <c r="AB44" s="229" t="str">
        <f>IF(X44="","",
IF(OR(X44="RIGID",X44="GEN1A"), 0,
IFERROR(_xlfn.LET(
_xlpm.BAR,                      OR(ISNUMBER(SEARCH("BAR",Z44)),ISNUMBER(SEARCH("SR",Y44))),
_xlpm.HSS,                      OR(ISNUMBER(SEARCH("HSS",Y44)),ISNUMBER(SEARCH("SquareTube",Z44)),NOT(ISNUMBER(SEARCH("HSS Pipe",Z44)))),
_xlpm.HSSPipe,                  OR(ISNUMBER(SEARCH("HSS Pipe",Z44)),ISNUMBER(SEARCH("Pipe",Z44)),ISNUMBER(SEARCH("Pipe",Y44))),
_xlpm.Pipe,                     OR(ISNUMBER(SEARCH("Pipe",Z44)),ISNUMBER(SEARCH("Pipe",Y44))),
_xlpm.SingleAngle,              OR(ISNUMBER(SEARCH("Single Angle",Z44)),AND(ISNUMBER(SEARCH("Angle",Z44)),ISNUMBER(SEARCH("Single",Z44)))),
_xlpm.DoubleAngle,              AND(ISNUMBER(SEARCH("Angle",Z44)),ISNUMBER(SEARCH("Double",Z44))),
_xlpm.RECT,                     OR(ISNUMBER(SEARCH("RECT",Z44)),ISNUMBER(SEARCH("PL",Y44))),
_xlpm.WideFlange,               OR(ISNUMBER(SEARCH("Wide Flange",Z44)),ISNUMBER(SEARCH("Tee",Z44)),ISNUMBER(SEARCH("W",Y44))),
_xlpm.Channel,                  OR(ISNUMBER(SEARCH("Channel",Z44)),ISNUMBER(SEARCH("C",Y44))),
IF(OR(_xlpm.WideFlange, _xlpm.Channel, _xlpm.SingleAngle, _xlpm.DoubleAngle, _xlpm.RECT),
                          INDEX('[2]AISC Database v16.0'!$D:$D,
                          MATCH(Y44,'[2]AISC Database v16.0'!$B:$B,0)),
IF(AND(_xlpm.HSS,NOT(_xlpm.HSSPipe)), INDEX('[2]AISC Database v16.0'!$F:$F,
                          MATCH(Y44,'[2]AISC Database v16.0'!$B:$B,0)),
IF(OR(_xlpm.Pipe, _xlpm.HSSPipe, _xlpm.BAR),
                          INDEX('[2]AISC Database v16.0'!$H:$H,
                          MATCH(Y44,'[2]AISC Database v16.0'!$B:$B,0)),
0)))),0)))</f>
        <v/>
      </c>
      <c r="AC44" s="229" t="str">
        <f>IF(X44="","",
IF(OR(X44="RIGID",X44="GEN1A"), 0,
IFERROR(_xlfn.LET(
_xlpm.BAR,                      OR(ISNUMBER(SEARCH("BAR",Z44)),ISNUMBER(SEARCH("SR",Y44))),
_xlpm.HSS,                      OR(ISNUMBER(SEARCH("HSS",Y44)),ISNUMBER(SEARCH("SquareTube",Z44)),NOT(ISNUMBER(SEARCH("HSS Pipe",Z44)))),
_xlpm.HSSPipe,                  OR(ISNUMBER(SEARCH("HSS Pipe",Z44)),ISNUMBER(SEARCH("Pipe",Z44)),ISNUMBER(SEARCH("Pipe",Y44))),
_xlpm.Pipe,                     OR(ISNUMBER(SEARCH("Pipe",Z44)),ISNUMBER(SEARCH("Pipe",Y44))),
_xlpm.SingleAngle,              OR(ISNUMBER(SEARCH("Single Angle",Z44)),AND(ISNUMBER(SEARCH("Angle",Z44)),ISNUMBER(SEARCH("Single",Z44)))),
_xlpm.DoubleAngle,              AND(ISNUMBER(SEARCH("Angle",Z44)),ISNUMBER(SEARCH("Double",Z44))),
_xlpm.RECT,                     OR(ISNUMBER(SEARCH("RECT",Z44)),ISNUMBER(SEARCH("PL",Y44))),
_xlpm.WideFlange,               OR(ISNUMBER(SEARCH("Wide Flange",Z44)),ISNUMBER(SEARCH("Tee",Z44)),ISNUMBER(SEARCH("W",Y44))),
_xlpm.Channel,                  OR(ISNUMBER(SEARCH("Channel",Z44)),ISNUMBER(SEARCH("C",Y44))),
IF(OR(_xlpm.WideFlange, _xlpm.Channel),
                          INDEX('[2]AISC Database v16.0'!$I:$I,
                          MATCH(Y44,'[2]AISC Database v16.0'!$B:$B,0)),
IF(OR(_xlpm.SingleAngle, _xlpm.DoubleAngle, _xlpm.RECT),
                          INDEX('[2]AISC Database v16.0'!$L:$L,
                          MATCH(Y44,'[2]AISC Database v16.0'!$B:$B,0)),
IF(AND(_xlpm.HSS,NOT(_xlpm.HSSPipe)),
                          INDEX('[2]AISC Database v16.0'!$K:$K,
                          MATCH(Y44,'[2]AISC Database v16.0'!$B:$B,0)),
IF(OR(_xlpm.Pipe, _xlpm.HSSPipe, _xlpm.BAR),
                          INDEX('[2]AISC Database v16.0'!$H:$H,
                          MATCH(Y44,'[2]AISC Database v16.0'!$B:$B,0)),
0))))),0)))</f>
        <v/>
      </c>
      <c r="AD44" s="230" t="str">
        <f>IF(X44="","",
IF(OR(X44="RIGID",X44="GEN1A"), 0,
IFERROR(_xlfn.LET(
_xlpm.BAR,                      OR(ISNUMBER(SEARCH("BAR",Z44)),ISNUMBER(SEARCH("SR",Y44))),
_xlpm.HSS,                      OR(ISNUMBER(SEARCH("HSS",Y44)),ISNUMBER(SEARCH("SquareTube",Z44)),NOT(ISNUMBER(SEARCH("HSS Pipe",Z44)))),
_xlpm.HSSPipe,                  OR(ISNUMBER(SEARCH("HSS Pipe",Z44)),ISNUMBER(SEARCH("Pipe",Z44)),ISNUMBER(SEARCH("Pipe",Y44))),
_xlpm.Pipe,                     OR(ISNUMBER(SEARCH("Pipe",Z44)),ISNUMBER(SEARCH("Pipe",Y44))),
_xlpm.SingleAngle,              OR(ISNUMBER(SEARCH("Single Angle",Z44)),AND(ISNUMBER(SEARCH("Angle",Z44)),ISNUMBER(SEARCH("Single",Z44)))),
_xlpm.DoubleAngle,              AND(ISNUMBER(SEARCH("Angle",Z44)),ISNUMBER(SEARCH("Double",Z44))),
_xlpm.RECT,                     OR(ISNUMBER(SEARCH("RECT",Z44)),ISNUMBER(SEARCH("PL",Y44))),
_xlpm.WideFlange,               OR(ISNUMBER(SEARCH("Wide Flange",Z44)),ISNUMBER(SEARCH("Tee",Z44)),ISNUMBER(SEARCH("W",Y44))),
_xlpm.Channel,                  OR(ISNUMBER(SEARCH("Channel",Z44)),ISNUMBER(SEARCH("C",Y44))),
IF(_xlpm.WideFlange,            INDEX('[2]AISC Database v16.0'!$O:$O,
                          MATCH(Y44,'[2]AISC Database v16.0'!$B:$B,0)),
IF(_xlpm.Channel,               INDEX('[2]AISC Database v16.0'!$O:$O,
                          MATCH(Y44,'[2]AISC Database v16.0'!$B:$B,0)),
IF(_xlpm.BAR,                   INDEX('[2]AISC Database v16.0'!$T:$T,
                          MATCH(Y44,'[2]AISC Database v16.0'!$B:$B,0)),
IF(_xlpm.SingleAngle,           INDEX('[2]AISC Database v16.0'!$T:$T,
                          MATCH(Y44,'[2]AISC Database v16.0'!$B:$B,0)),
IF(_xlpm.DoubleAngle,           INDEX('[2]AISC Database v16.0'!$T:$T,
                          MATCH(Y44,'[2]AISC Database v16.0'!$B:$B,0)),
IF(_xlpm.RECT,                  INDEX('[2]AISC Database v16.0'!$T:$T,
                          MATCH(Y44,'[2]AISC Database v16.0'!$B:$B,0)),
IF(AND(_xlpm.HSS,NOT(_xlpm.HSSPipe)), INDEX('[2]AISC Database v16.0'!$U:$U,
                          MATCH(Y44,'[2]AISC Database v16.0'!$B:$B,0)),
IF(OR(_xlpm.Pipe, _xlpm.HSSPipe),     INDEX('[2]AISC Database v16.0'!$U:$U,
                          MATCH(Y44,'[2]AISC Database v16.0'!$B:$B,0)),
0))))))))),0)))</f>
        <v/>
      </c>
      <c r="AE44" s="230" t="str">
        <f t="shared" si="0"/>
        <v/>
      </c>
      <c r="AF44" s="229" t="str">
        <f>IF(X44="","",
IF(OR(X44="RIGID",X44="GEN1A"), 0,
IFERROR(INDEX('[2]AISC Database v16.0'!$M:$M, MATCH(Y44,'[2]AISC Database v16.0'!$B:$B,0)), 0)))</f>
        <v/>
      </c>
      <c r="AG44" s="229" t="str">
        <f>IF(X44="","",
IF(OR(X44="RIGID",X44="GEN1A"), 0,
IFERROR(INDEX('[2]AISC Database v16.0'!$C:$C, MATCH(Y44,'[2]AISC Database v16.0'!$B:$B,0)), 0)))</f>
        <v/>
      </c>
      <c r="AR44" s="209"/>
      <c r="AS44" s="209">
        <f>+IFERROR(IF(VLOOKUP($B44,$E$6:$K203,6,0)=0,$O44/12*COS(PI()/180*($P44+0))^2,IF(AND(ABS(VLOOKUP($B44,$E$6:$K203,6,0))&gt;0,$P44=0),$O44/12*COS(PI()/180*($P44+0))^2,IF(AND(ABS(VLOOKUP($B44,$E$6:$K203,6,0))&gt;0,ABS($P44)&gt;0),$O44/12*COS(PI()/180*($P44+0))^2))),0)</f>
        <v>0</v>
      </c>
      <c r="AT44" s="209">
        <f>+IFERROR(IF(VLOOKUP($B44,$E$6:$K203,6,0)=0,0,IF(AND(ABS(VLOOKUP($B44,$E$6:$K203,6,0))&gt;0,$P44=0),ABS(VLOOKUP($B44,$E$6:$K203,6,0))*SIN(PI()/180*($P44+0))^2,IF(AND(ABS(VLOOKUP($B44,$E$6:$K203,6,0))&gt;0,ABS($P44)&gt;0),ABS(VLOOKUP($B44,$E$6:$K203,6,0))*SIN(PI()/180*($P44+0))^2))),0)*IF(RISA3D.Unit.Length="in",1/12,1)</f>
        <v>0</v>
      </c>
      <c r="AU44" s="209">
        <f t="shared" si="6"/>
        <v>0</v>
      </c>
      <c r="AV44" s="209">
        <f>+IFERROR(+IF(VLOOKUP($M44,$S$6:$V203,3,0)=VLOOKUP($N44,$S$6:$V203,3,0), ((((($O44/12+(2*0.5/12))*((VLOOKUP($C44,rngR3DSectionSets,5,0)/12)+(2*0.5/12)))-($O44/12*(VLOOKUP($C44,rngR3DSectionSets,5,0)/12)))*1.2*COS(PI()/180*($P44))^2)) + AU44, (((((AS44+(2*0.5/12))*((VLOOKUP($C44,rngR3DSectionSets,5,0)/12)+(2*0.5/12)))-(AS44*(VLOOKUP($C44,rngR3DSectionSets,5,0)/12)))+(((AT44+(2*0.5/12))*((VLOOKUP($C44,rngR3DSectionSets,5,0)/12)+(2*0.5/12)))-(AT44*(VLOOKUP($C44,rngR3DSectionSets,5,0)/12))))*1.2) + AU44),0)</f>
        <v>0</v>
      </c>
      <c r="AW44" s="209">
        <f>+IFERROR(+IF(VLOOKUP($M44,$S$6:$V203,3,0)=VLOOKUP($N44,$S$6:$V203,3,0), ((((($O44/12+(2*1/12))*((VLOOKUP($C44,rngR3DSectionSets,5,0)/12)+(2*1/12)))-($O44/12*(VLOOKUP($C44,rngR3DSectionSets,5,0)/12)))*1.2*COS(PI()/180*($P44))^2)) + AU44, (((((AS44+(2*1/12))*((VLOOKUP($C44,rngR3DSectionSets,5,0)/12)+(2*1/12)))-(AS44*(VLOOKUP($C44,rngR3DSectionSets,5,0)/12)))+(((AT44+(2*1/12))*((VLOOKUP($C44,rngR3DSectionSets,5,0)/12)+(2*1/12)))-(AT44*(VLOOKUP($C44,rngR3DSectionSets,5,0)/12))))*1.2) + AU44),0)</f>
        <v>0</v>
      </c>
      <c r="AX44" s="209">
        <f>+IFERROR(IF(VLOOKUP($B44,$E$6:$K203,6,0)=0,$O44/12*COS(PI()/180*($P44+90))^2,IF(AND(ABS(VLOOKUP($B44,$E$6:$K203,6,0))&gt;0,$P44=0),$O44/12*COS(PI()/180*($P44+90))^2,IF(AND(ABS(VLOOKUP($B44,$E$6:$K203,6,0))&gt;0,ABS($P44)&gt;0),$O44/12*COS(PI()/180*($P44+90))^2))),0)</f>
        <v>0</v>
      </c>
      <c r="AY44" s="209">
        <f>+IFERROR(IF(VLOOKUP($B44,$E$6:$K203,6,0)=0,0,IF(AND(ABS(VLOOKUP($B44,$E$6:$K203,6,0))&gt;0,$P44=0),ABS(VLOOKUP($B44,$E$6:$K203,6,0))*SIN(PI()/180*($P44+90))^2,IF(AND(ABS(VLOOKUP($B44,$E$6:$K203,6,0))&gt;0,ABS($P44)&gt;0),ABS(VLOOKUP($B44,$E$6:$K203,6,0))*SIN(PI()/180*($P44+90))^2))),0)*IF(RISA3D.Unit.Length="in",1/12,1)</f>
        <v>0</v>
      </c>
      <c r="AZ44" s="209">
        <f t="shared" si="7"/>
        <v>0</v>
      </c>
      <c r="BA44" s="209">
        <f>+IFERROR(+IF(VLOOKUP($M44,$S$6:$V203,3,0)=VLOOKUP($N44,$S$6:$V203,3,0), ((((($O44/12+(2*0.5/12))*((VLOOKUP($C44,rngR3DSectionSets,5,0)/12)+(2*0.5/12)))-($O44/12*(VLOOKUP($C44,rngR3DSectionSets,5,0)/12)))*1.2*COS(PI()/180*($P44))^2)) + AZ44, (((((AX44+(2*0.5/12))*((VLOOKUP($C44,rngR3DSectionSets,5,0)/12)+(2*0.5/12)))-(AX44*(VLOOKUP($C44,rngR3DSectionSets,5,0)/12)))+(((AY44+(2*0.5/12))*((VLOOKUP($C44,rngR3DSectionSets,5,0)/12)+(2*0.5/12)))-(AY44*(VLOOKUP($C44,rngR3DSectionSets,5,0)/12))))*1.2) + AZ44),0)</f>
        <v>0</v>
      </c>
      <c r="BB44" s="209">
        <f>+IFERROR(+IF(VLOOKUP($M44,$S$6:$V203,3,0)=VLOOKUP($N44,$S$6:$V203,3,0), ((((($O44/12+(2*1/12))*((VLOOKUP($C44,rngR3DSectionSets,5,0)/12)+(2*1/12)))-($O44/12*(VLOOKUP($C44,rngR3DSectionSets,5,0)/12)))*1.2*COS(PI()/180*($P44))^2)) + AZ44, (((((AX44+(2*1/12))*((VLOOKUP($C44,rngR3DSectionSets,5,0)/12)+(2*1/12)))-(AX44*(VLOOKUP($C44,rngR3DSectionSets,5,0)/12)))+(((AY44+(2*1/12))*((VLOOKUP($C44,rngR3DSectionSets,5,0)/12)+(2*1/12)))-(AY44*(VLOOKUP($C44,rngR3DSectionSets,5,0)/12))))*1.2) + AZ44),0)</f>
        <v>0</v>
      </c>
      <c r="BC44" s="209">
        <f t="shared" si="8"/>
        <v>0</v>
      </c>
      <c r="BD44" s="209">
        <f t="shared" si="9"/>
        <v>0</v>
      </c>
      <c r="BE44" s="209">
        <f t="shared" si="10"/>
        <v>0</v>
      </c>
      <c r="BF44" s="209"/>
      <c r="BG44" s="209"/>
    </row>
    <row r="45" spans="2:59" ht="15" customHeight="1" x14ac:dyDescent="0.2">
      <c r="B45" s="207"/>
      <c r="C45" s="207"/>
      <c r="D45" s="207"/>
      <c r="E45" s="207"/>
      <c r="F45" s="207"/>
      <c r="G45" s="207"/>
      <c r="H45" s="207"/>
      <c r="I45" s="207"/>
      <c r="J45" s="207"/>
      <c r="K45" s="207"/>
      <c r="L45" s="207"/>
      <c r="M45" s="207"/>
      <c r="N45" s="207"/>
      <c r="O45" s="207"/>
      <c r="P45" s="207"/>
      <c r="Q45" s="207"/>
      <c r="R45" s="207"/>
      <c r="S45" s="207"/>
      <c r="T45" s="228"/>
      <c r="U45" s="228"/>
      <c r="V45" s="228"/>
      <c r="AB45" s="229" t="str">
        <f>IF(X45="","",
IF(OR(X45="RIGID",X45="GEN1A"), 0,
IFERROR(_xlfn.LET(
_xlpm.BAR,                      OR(ISNUMBER(SEARCH("BAR",Z45)),ISNUMBER(SEARCH("SR",Y45))),
_xlpm.HSS,                      OR(ISNUMBER(SEARCH("HSS",Y45)),ISNUMBER(SEARCH("SquareTube",Z45)),NOT(ISNUMBER(SEARCH("HSS Pipe",Z45)))),
_xlpm.HSSPipe,                  OR(ISNUMBER(SEARCH("HSS Pipe",Z45)),ISNUMBER(SEARCH("Pipe",Z45)),ISNUMBER(SEARCH("Pipe",Y45))),
_xlpm.Pipe,                     OR(ISNUMBER(SEARCH("Pipe",Z45)),ISNUMBER(SEARCH("Pipe",Y45))),
_xlpm.SingleAngle,              OR(ISNUMBER(SEARCH("Single Angle",Z45)),AND(ISNUMBER(SEARCH("Angle",Z45)),ISNUMBER(SEARCH("Single",Z45)))),
_xlpm.DoubleAngle,              AND(ISNUMBER(SEARCH("Angle",Z45)),ISNUMBER(SEARCH("Double",Z45))),
_xlpm.RECT,                     OR(ISNUMBER(SEARCH("RECT",Z45)),ISNUMBER(SEARCH("PL",Y45))),
_xlpm.WideFlange,               OR(ISNUMBER(SEARCH("Wide Flange",Z45)),ISNUMBER(SEARCH("Tee",Z45)),ISNUMBER(SEARCH("W",Y45))),
_xlpm.Channel,                  OR(ISNUMBER(SEARCH("Channel",Z45)),ISNUMBER(SEARCH("C",Y45))),
IF(OR(_xlpm.WideFlange, _xlpm.Channel, _xlpm.SingleAngle, _xlpm.DoubleAngle, _xlpm.RECT),
                          INDEX('[2]AISC Database v16.0'!$D:$D,
                          MATCH(Y45,'[2]AISC Database v16.0'!$B:$B,0)),
IF(AND(_xlpm.HSS,NOT(_xlpm.HSSPipe)), INDEX('[2]AISC Database v16.0'!$F:$F,
                          MATCH(Y45,'[2]AISC Database v16.0'!$B:$B,0)),
IF(OR(_xlpm.Pipe, _xlpm.HSSPipe, _xlpm.BAR),
                          INDEX('[2]AISC Database v16.0'!$H:$H,
                          MATCH(Y45,'[2]AISC Database v16.0'!$B:$B,0)),
0)))),0)))</f>
        <v/>
      </c>
      <c r="AC45" s="229" t="str">
        <f>IF(X45="","",
IF(OR(X45="RIGID",X45="GEN1A"), 0,
IFERROR(_xlfn.LET(
_xlpm.BAR,                      OR(ISNUMBER(SEARCH("BAR",Z45)),ISNUMBER(SEARCH("SR",Y45))),
_xlpm.HSS,                      OR(ISNUMBER(SEARCH("HSS",Y45)),ISNUMBER(SEARCH("SquareTube",Z45)),NOT(ISNUMBER(SEARCH("HSS Pipe",Z45)))),
_xlpm.HSSPipe,                  OR(ISNUMBER(SEARCH("HSS Pipe",Z45)),ISNUMBER(SEARCH("Pipe",Z45)),ISNUMBER(SEARCH("Pipe",Y45))),
_xlpm.Pipe,                     OR(ISNUMBER(SEARCH("Pipe",Z45)),ISNUMBER(SEARCH("Pipe",Y45))),
_xlpm.SingleAngle,              OR(ISNUMBER(SEARCH("Single Angle",Z45)),AND(ISNUMBER(SEARCH("Angle",Z45)),ISNUMBER(SEARCH("Single",Z45)))),
_xlpm.DoubleAngle,              AND(ISNUMBER(SEARCH("Angle",Z45)),ISNUMBER(SEARCH("Double",Z45))),
_xlpm.RECT,                     OR(ISNUMBER(SEARCH("RECT",Z45)),ISNUMBER(SEARCH("PL",Y45))),
_xlpm.WideFlange,               OR(ISNUMBER(SEARCH("Wide Flange",Z45)),ISNUMBER(SEARCH("Tee",Z45)),ISNUMBER(SEARCH("W",Y45))),
_xlpm.Channel,                  OR(ISNUMBER(SEARCH("Channel",Z45)),ISNUMBER(SEARCH("C",Y45))),
IF(OR(_xlpm.WideFlange, _xlpm.Channel),
                          INDEX('[2]AISC Database v16.0'!$I:$I,
                          MATCH(Y45,'[2]AISC Database v16.0'!$B:$B,0)),
IF(OR(_xlpm.SingleAngle, _xlpm.DoubleAngle, _xlpm.RECT),
                          INDEX('[2]AISC Database v16.0'!$L:$L,
                          MATCH(Y45,'[2]AISC Database v16.0'!$B:$B,0)),
IF(AND(_xlpm.HSS,NOT(_xlpm.HSSPipe)),
                          INDEX('[2]AISC Database v16.0'!$K:$K,
                          MATCH(Y45,'[2]AISC Database v16.0'!$B:$B,0)),
IF(OR(_xlpm.Pipe, _xlpm.HSSPipe, _xlpm.BAR),
                          INDEX('[2]AISC Database v16.0'!$H:$H,
                          MATCH(Y45,'[2]AISC Database v16.0'!$B:$B,0)),
0))))),0)))</f>
        <v/>
      </c>
      <c r="AD45" s="230" t="str">
        <f>IF(X45="","",
IF(OR(X45="RIGID",X45="GEN1A"), 0,
IFERROR(_xlfn.LET(
_xlpm.BAR,                      OR(ISNUMBER(SEARCH("BAR",Z45)),ISNUMBER(SEARCH("SR",Y45))),
_xlpm.HSS,                      OR(ISNUMBER(SEARCH("HSS",Y45)),ISNUMBER(SEARCH("SquareTube",Z45)),NOT(ISNUMBER(SEARCH("HSS Pipe",Z45)))),
_xlpm.HSSPipe,                  OR(ISNUMBER(SEARCH("HSS Pipe",Z45)),ISNUMBER(SEARCH("Pipe",Z45)),ISNUMBER(SEARCH("Pipe",Y45))),
_xlpm.Pipe,                     OR(ISNUMBER(SEARCH("Pipe",Z45)),ISNUMBER(SEARCH("Pipe",Y45))),
_xlpm.SingleAngle,              OR(ISNUMBER(SEARCH("Single Angle",Z45)),AND(ISNUMBER(SEARCH("Angle",Z45)),ISNUMBER(SEARCH("Single",Z45)))),
_xlpm.DoubleAngle,              AND(ISNUMBER(SEARCH("Angle",Z45)),ISNUMBER(SEARCH("Double",Z45))),
_xlpm.RECT,                     OR(ISNUMBER(SEARCH("RECT",Z45)),ISNUMBER(SEARCH("PL",Y45))),
_xlpm.WideFlange,               OR(ISNUMBER(SEARCH("Wide Flange",Z45)),ISNUMBER(SEARCH("Tee",Z45)),ISNUMBER(SEARCH("W",Y45))),
_xlpm.Channel,                  OR(ISNUMBER(SEARCH("Channel",Z45)),ISNUMBER(SEARCH("C",Y45))),
IF(_xlpm.WideFlange,            INDEX('[2]AISC Database v16.0'!$O:$O,
                          MATCH(Y45,'[2]AISC Database v16.0'!$B:$B,0)),
IF(_xlpm.Channel,               INDEX('[2]AISC Database v16.0'!$O:$O,
                          MATCH(Y45,'[2]AISC Database v16.0'!$B:$B,0)),
IF(_xlpm.BAR,                   INDEX('[2]AISC Database v16.0'!$T:$T,
                          MATCH(Y45,'[2]AISC Database v16.0'!$B:$B,0)),
IF(_xlpm.SingleAngle,           INDEX('[2]AISC Database v16.0'!$T:$T,
                          MATCH(Y45,'[2]AISC Database v16.0'!$B:$B,0)),
IF(_xlpm.DoubleAngle,           INDEX('[2]AISC Database v16.0'!$T:$T,
                          MATCH(Y45,'[2]AISC Database v16.0'!$B:$B,0)),
IF(_xlpm.RECT,                  INDEX('[2]AISC Database v16.0'!$T:$T,
                          MATCH(Y45,'[2]AISC Database v16.0'!$B:$B,0)),
IF(AND(_xlpm.HSS,NOT(_xlpm.HSSPipe)), INDEX('[2]AISC Database v16.0'!$U:$U,
                          MATCH(Y45,'[2]AISC Database v16.0'!$B:$B,0)),
IF(OR(_xlpm.Pipe, _xlpm.HSSPipe),     INDEX('[2]AISC Database v16.0'!$U:$U,
                          MATCH(Y45,'[2]AISC Database v16.0'!$B:$B,0)),
0))))))))),0)))</f>
        <v/>
      </c>
      <c r="AE45" s="230" t="str">
        <f t="shared" si="0"/>
        <v/>
      </c>
      <c r="AF45" s="229" t="str">
        <f>IF(X45="","",
IF(OR(X45="RIGID",X45="GEN1A"), 0,
IFERROR(INDEX('[2]AISC Database v16.0'!$M:$M, MATCH(Y45,'[2]AISC Database v16.0'!$B:$B,0)), 0)))</f>
        <v/>
      </c>
      <c r="AG45" s="229" t="str">
        <f>IF(X45="","",
IF(OR(X45="RIGID",X45="GEN1A"), 0,
IFERROR(INDEX('[2]AISC Database v16.0'!$C:$C, MATCH(Y45,'[2]AISC Database v16.0'!$B:$B,0)), 0)))</f>
        <v/>
      </c>
      <c r="AR45" s="209"/>
      <c r="AS45" s="209">
        <f>+IFERROR(IF(VLOOKUP($B45,$E$6:$K203,6,0)=0,$O45/12*COS(PI()/180*($P45+0))^2,IF(AND(ABS(VLOOKUP($B45,$E$6:$K203,6,0))&gt;0,$P45=0),$O45/12*COS(PI()/180*($P45+0))^2,IF(AND(ABS(VLOOKUP($B45,$E$6:$K203,6,0))&gt;0,ABS($P45)&gt;0),$O45/12*COS(PI()/180*($P45+0))^2))),0)</f>
        <v>0</v>
      </c>
      <c r="AT45" s="209">
        <f>+IFERROR(IF(VLOOKUP($B45,$E$6:$K203,6,0)=0,0,IF(AND(ABS(VLOOKUP($B45,$E$6:$K203,6,0))&gt;0,$P45=0),ABS(VLOOKUP($B45,$E$6:$K203,6,0))*SIN(PI()/180*($P45+0))^2,IF(AND(ABS(VLOOKUP($B45,$E$6:$K203,6,0))&gt;0,ABS($P45)&gt;0),ABS(VLOOKUP($B45,$E$6:$K203,6,0))*SIN(PI()/180*($P45+0))^2))),0)*IF(RISA3D.Unit.Length="in",1/12,1)</f>
        <v>0</v>
      </c>
      <c r="AU45" s="209">
        <f t="shared" si="6"/>
        <v>0</v>
      </c>
      <c r="AV45" s="209">
        <f>+IFERROR(+IF(VLOOKUP($M45,$S$6:$V203,3,0)=VLOOKUP($N45,$S$6:$V203,3,0), ((((($O45/12+(2*0.5/12))*((VLOOKUP($C45,rngR3DSectionSets,5,0)/12)+(2*0.5/12)))-($O45/12*(VLOOKUP($C45,rngR3DSectionSets,5,0)/12)))*1.2*COS(PI()/180*($P45))^2)) + AU45, (((((AS45+(2*0.5/12))*((VLOOKUP($C45,rngR3DSectionSets,5,0)/12)+(2*0.5/12)))-(AS45*(VLOOKUP($C45,rngR3DSectionSets,5,0)/12)))+(((AT45+(2*0.5/12))*((VLOOKUP($C45,rngR3DSectionSets,5,0)/12)+(2*0.5/12)))-(AT45*(VLOOKUP($C45,rngR3DSectionSets,5,0)/12))))*1.2) + AU45),0)</f>
        <v>0</v>
      </c>
      <c r="AW45" s="209">
        <f>+IFERROR(+IF(VLOOKUP($M45,$S$6:$V203,3,0)=VLOOKUP($N45,$S$6:$V203,3,0), ((((($O45/12+(2*1/12))*((VLOOKUP($C45,rngR3DSectionSets,5,0)/12)+(2*1/12)))-($O45/12*(VLOOKUP($C45,rngR3DSectionSets,5,0)/12)))*1.2*COS(PI()/180*($P45))^2)) + AU45, (((((AS45+(2*1/12))*((VLOOKUP($C45,rngR3DSectionSets,5,0)/12)+(2*1/12)))-(AS45*(VLOOKUP($C45,rngR3DSectionSets,5,0)/12)))+(((AT45+(2*1/12))*((VLOOKUP($C45,rngR3DSectionSets,5,0)/12)+(2*1/12)))-(AT45*(VLOOKUP($C45,rngR3DSectionSets,5,0)/12))))*1.2) + AU45),0)</f>
        <v>0</v>
      </c>
      <c r="AX45" s="209">
        <f>+IFERROR(IF(VLOOKUP($B45,$E$6:$K203,6,0)=0,$O45/12*COS(PI()/180*($P45+90))^2,IF(AND(ABS(VLOOKUP($B45,$E$6:$K203,6,0))&gt;0,$P45=0),$O45/12*COS(PI()/180*($P45+90))^2,IF(AND(ABS(VLOOKUP($B45,$E$6:$K203,6,0))&gt;0,ABS($P45)&gt;0),$O45/12*COS(PI()/180*($P45+90))^2))),0)</f>
        <v>0</v>
      </c>
      <c r="AY45" s="209">
        <f>+IFERROR(IF(VLOOKUP($B45,$E$6:$K203,6,0)=0,0,IF(AND(ABS(VLOOKUP($B45,$E$6:$K203,6,0))&gt;0,$P45=0),ABS(VLOOKUP($B45,$E$6:$K203,6,0))*SIN(PI()/180*($P45+90))^2,IF(AND(ABS(VLOOKUP($B45,$E$6:$K203,6,0))&gt;0,ABS($P45)&gt;0),ABS(VLOOKUP($B45,$E$6:$K203,6,0))*SIN(PI()/180*($P45+90))^2))),0)*IF(RISA3D.Unit.Length="in",1/12,1)</f>
        <v>0</v>
      </c>
      <c r="AZ45" s="209">
        <f t="shared" si="7"/>
        <v>0</v>
      </c>
      <c r="BA45" s="209">
        <f>+IFERROR(+IF(VLOOKUP($M45,$S$6:$V203,3,0)=VLOOKUP($N45,$S$6:$V203,3,0), ((((($O45/12+(2*0.5/12))*((VLOOKUP($C45,rngR3DSectionSets,5,0)/12)+(2*0.5/12)))-($O45/12*(VLOOKUP($C45,rngR3DSectionSets,5,0)/12)))*1.2*COS(PI()/180*($P45))^2)) + AZ45, (((((AX45+(2*0.5/12))*((VLOOKUP($C45,rngR3DSectionSets,5,0)/12)+(2*0.5/12)))-(AX45*(VLOOKUP($C45,rngR3DSectionSets,5,0)/12)))+(((AY45+(2*0.5/12))*((VLOOKUP($C45,rngR3DSectionSets,5,0)/12)+(2*0.5/12)))-(AY45*(VLOOKUP($C45,rngR3DSectionSets,5,0)/12))))*1.2) + AZ45),0)</f>
        <v>0</v>
      </c>
      <c r="BB45" s="209">
        <f>+IFERROR(+IF(VLOOKUP($M45,$S$6:$V203,3,0)=VLOOKUP($N45,$S$6:$V203,3,0), ((((($O45/12+(2*1/12))*((VLOOKUP($C45,rngR3DSectionSets,5,0)/12)+(2*1/12)))-($O45/12*(VLOOKUP($C45,rngR3DSectionSets,5,0)/12)))*1.2*COS(PI()/180*($P45))^2)) + AZ45, (((((AX45+(2*1/12))*((VLOOKUP($C45,rngR3DSectionSets,5,0)/12)+(2*1/12)))-(AX45*(VLOOKUP($C45,rngR3DSectionSets,5,0)/12)))+(((AY45+(2*1/12))*((VLOOKUP($C45,rngR3DSectionSets,5,0)/12)+(2*1/12)))-(AY45*(VLOOKUP($C45,rngR3DSectionSets,5,0)/12))))*1.2) + AZ45),0)</f>
        <v>0</v>
      </c>
      <c r="BC45" s="209">
        <f t="shared" si="8"/>
        <v>0</v>
      </c>
      <c r="BD45" s="209">
        <f t="shared" si="9"/>
        <v>0</v>
      </c>
      <c r="BE45" s="209">
        <f t="shared" si="10"/>
        <v>0</v>
      </c>
      <c r="BF45" s="209"/>
      <c r="BG45" s="209"/>
    </row>
    <row r="46" spans="2:59" ht="15" customHeight="1" x14ac:dyDescent="0.2">
      <c r="B46" s="207"/>
      <c r="C46" s="207"/>
      <c r="D46" s="207"/>
      <c r="E46" s="207"/>
      <c r="F46" s="207"/>
      <c r="G46" s="207"/>
      <c r="H46" s="207"/>
      <c r="I46" s="207"/>
      <c r="J46" s="207"/>
      <c r="K46" s="207"/>
      <c r="L46" s="207"/>
      <c r="M46" s="207"/>
      <c r="N46" s="207"/>
      <c r="O46" s="207"/>
      <c r="P46" s="207"/>
      <c r="Q46" s="207"/>
      <c r="R46" s="207"/>
      <c r="S46" s="207"/>
      <c r="T46" s="228"/>
      <c r="U46" s="228"/>
      <c r="V46" s="228"/>
      <c r="AB46" s="229" t="str">
        <f>IF(X46="","",
IF(OR(X46="RIGID",X46="GEN1A"), 0,
IFERROR(_xlfn.LET(
_xlpm.BAR,                      OR(ISNUMBER(SEARCH("BAR",Z46)),ISNUMBER(SEARCH("SR",Y46))),
_xlpm.HSS,                      OR(ISNUMBER(SEARCH("HSS",Y46)),ISNUMBER(SEARCH("SquareTube",Z46)),NOT(ISNUMBER(SEARCH("HSS Pipe",Z46)))),
_xlpm.HSSPipe,                  OR(ISNUMBER(SEARCH("HSS Pipe",Z46)),ISNUMBER(SEARCH("Pipe",Z46)),ISNUMBER(SEARCH("Pipe",Y46))),
_xlpm.Pipe,                     OR(ISNUMBER(SEARCH("Pipe",Z46)),ISNUMBER(SEARCH("Pipe",Y46))),
_xlpm.SingleAngle,              OR(ISNUMBER(SEARCH("Single Angle",Z46)),AND(ISNUMBER(SEARCH("Angle",Z46)),ISNUMBER(SEARCH("Single",Z46)))),
_xlpm.DoubleAngle,              AND(ISNUMBER(SEARCH("Angle",Z46)),ISNUMBER(SEARCH("Double",Z46))),
_xlpm.RECT,                     OR(ISNUMBER(SEARCH("RECT",Z46)),ISNUMBER(SEARCH("PL",Y46))),
_xlpm.WideFlange,               OR(ISNUMBER(SEARCH("Wide Flange",Z46)),ISNUMBER(SEARCH("Tee",Z46)),ISNUMBER(SEARCH("W",Y46))),
_xlpm.Channel,                  OR(ISNUMBER(SEARCH("Channel",Z46)),ISNUMBER(SEARCH("C",Y46))),
IF(OR(_xlpm.WideFlange, _xlpm.Channel, _xlpm.SingleAngle, _xlpm.DoubleAngle, _xlpm.RECT),
                          INDEX('[2]AISC Database v16.0'!$D:$D,
                          MATCH(Y46,'[2]AISC Database v16.0'!$B:$B,0)),
IF(AND(_xlpm.HSS,NOT(_xlpm.HSSPipe)), INDEX('[2]AISC Database v16.0'!$F:$F,
                          MATCH(Y46,'[2]AISC Database v16.0'!$B:$B,0)),
IF(OR(_xlpm.Pipe, _xlpm.HSSPipe, _xlpm.BAR),
                          INDEX('[2]AISC Database v16.0'!$H:$H,
                          MATCH(Y46,'[2]AISC Database v16.0'!$B:$B,0)),
0)))),0)))</f>
        <v/>
      </c>
      <c r="AC46" s="229" t="str">
        <f>IF(X46="","",
IF(OR(X46="RIGID",X46="GEN1A"), 0,
IFERROR(_xlfn.LET(
_xlpm.BAR,                      OR(ISNUMBER(SEARCH("BAR",Z46)),ISNUMBER(SEARCH("SR",Y46))),
_xlpm.HSS,                      OR(ISNUMBER(SEARCH("HSS",Y46)),ISNUMBER(SEARCH("SquareTube",Z46)),NOT(ISNUMBER(SEARCH("HSS Pipe",Z46)))),
_xlpm.HSSPipe,                  OR(ISNUMBER(SEARCH("HSS Pipe",Z46)),ISNUMBER(SEARCH("Pipe",Z46)),ISNUMBER(SEARCH("Pipe",Y46))),
_xlpm.Pipe,                     OR(ISNUMBER(SEARCH("Pipe",Z46)),ISNUMBER(SEARCH("Pipe",Y46))),
_xlpm.SingleAngle,              OR(ISNUMBER(SEARCH("Single Angle",Z46)),AND(ISNUMBER(SEARCH("Angle",Z46)),ISNUMBER(SEARCH("Single",Z46)))),
_xlpm.DoubleAngle,              AND(ISNUMBER(SEARCH("Angle",Z46)),ISNUMBER(SEARCH("Double",Z46))),
_xlpm.RECT,                     OR(ISNUMBER(SEARCH("RECT",Z46)),ISNUMBER(SEARCH("PL",Y46))),
_xlpm.WideFlange,               OR(ISNUMBER(SEARCH("Wide Flange",Z46)),ISNUMBER(SEARCH("Tee",Z46)),ISNUMBER(SEARCH("W",Y46))),
_xlpm.Channel,                  OR(ISNUMBER(SEARCH("Channel",Z46)),ISNUMBER(SEARCH("C",Y46))),
IF(OR(_xlpm.WideFlange, _xlpm.Channel),
                          INDEX('[2]AISC Database v16.0'!$I:$I,
                          MATCH(Y46,'[2]AISC Database v16.0'!$B:$B,0)),
IF(OR(_xlpm.SingleAngle, _xlpm.DoubleAngle, _xlpm.RECT),
                          INDEX('[2]AISC Database v16.0'!$L:$L,
                          MATCH(Y46,'[2]AISC Database v16.0'!$B:$B,0)),
IF(AND(_xlpm.HSS,NOT(_xlpm.HSSPipe)),
                          INDEX('[2]AISC Database v16.0'!$K:$K,
                          MATCH(Y46,'[2]AISC Database v16.0'!$B:$B,0)),
IF(OR(_xlpm.Pipe, _xlpm.HSSPipe, _xlpm.BAR),
                          INDEX('[2]AISC Database v16.0'!$H:$H,
                          MATCH(Y46,'[2]AISC Database v16.0'!$B:$B,0)),
0))))),0)))</f>
        <v/>
      </c>
      <c r="AD46" s="230" t="str">
        <f>IF(X46="","",
IF(OR(X46="RIGID",X46="GEN1A"), 0,
IFERROR(_xlfn.LET(
_xlpm.BAR,                      OR(ISNUMBER(SEARCH("BAR",Z46)),ISNUMBER(SEARCH("SR",Y46))),
_xlpm.HSS,                      OR(ISNUMBER(SEARCH("HSS",Y46)),ISNUMBER(SEARCH("SquareTube",Z46)),NOT(ISNUMBER(SEARCH("HSS Pipe",Z46)))),
_xlpm.HSSPipe,                  OR(ISNUMBER(SEARCH("HSS Pipe",Z46)),ISNUMBER(SEARCH("Pipe",Z46)),ISNUMBER(SEARCH("Pipe",Y46))),
_xlpm.Pipe,                     OR(ISNUMBER(SEARCH("Pipe",Z46)),ISNUMBER(SEARCH("Pipe",Y46))),
_xlpm.SingleAngle,              OR(ISNUMBER(SEARCH("Single Angle",Z46)),AND(ISNUMBER(SEARCH("Angle",Z46)),ISNUMBER(SEARCH("Single",Z46)))),
_xlpm.DoubleAngle,              AND(ISNUMBER(SEARCH("Angle",Z46)),ISNUMBER(SEARCH("Double",Z46))),
_xlpm.RECT,                     OR(ISNUMBER(SEARCH("RECT",Z46)),ISNUMBER(SEARCH("PL",Y46))),
_xlpm.WideFlange,               OR(ISNUMBER(SEARCH("Wide Flange",Z46)),ISNUMBER(SEARCH("Tee",Z46)),ISNUMBER(SEARCH("W",Y46))),
_xlpm.Channel,                  OR(ISNUMBER(SEARCH("Channel",Z46)),ISNUMBER(SEARCH("C",Y46))),
IF(_xlpm.WideFlange,            INDEX('[2]AISC Database v16.0'!$O:$O,
                          MATCH(Y46,'[2]AISC Database v16.0'!$B:$B,0)),
IF(_xlpm.Channel,               INDEX('[2]AISC Database v16.0'!$O:$O,
                          MATCH(Y46,'[2]AISC Database v16.0'!$B:$B,0)),
IF(_xlpm.BAR,                   INDEX('[2]AISC Database v16.0'!$T:$T,
                          MATCH(Y46,'[2]AISC Database v16.0'!$B:$B,0)),
IF(_xlpm.SingleAngle,           INDEX('[2]AISC Database v16.0'!$T:$T,
                          MATCH(Y46,'[2]AISC Database v16.0'!$B:$B,0)),
IF(_xlpm.DoubleAngle,           INDEX('[2]AISC Database v16.0'!$T:$T,
                          MATCH(Y46,'[2]AISC Database v16.0'!$B:$B,0)),
IF(_xlpm.RECT,                  INDEX('[2]AISC Database v16.0'!$T:$T,
                          MATCH(Y46,'[2]AISC Database v16.0'!$B:$B,0)),
IF(AND(_xlpm.HSS,NOT(_xlpm.HSSPipe)), INDEX('[2]AISC Database v16.0'!$U:$U,
                          MATCH(Y46,'[2]AISC Database v16.0'!$B:$B,0)),
IF(OR(_xlpm.Pipe, _xlpm.HSSPipe),     INDEX('[2]AISC Database v16.0'!$U:$U,
                          MATCH(Y46,'[2]AISC Database v16.0'!$B:$B,0)),
0))))))))),0)))</f>
        <v/>
      </c>
      <c r="AE46" s="230" t="str">
        <f t="shared" si="0"/>
        <v/>
      </c>
      <c r="AF46" s="229" t="str">
        <f>IF(X46="","",
IF(OR(X46="RIGID",X46="GEN1A"), 0,
IFERROR(INDEX('[2]AISC Database v16.0'!$M:$M, MATCH(Y46,'[2]AISC Database v16.0'!$B:$B,0)), 0)))</f>
        <v/>
      </c>
      <c r="AG46" s="229" t="str">
        <f>IF(X46="","",
IF(OR(X46="RIGID",X46="GEN1A"), 0,
IFERROR(INDEX('[2]AISC Database v16.0'!$C:$C, MATCH(Y46,'[2]AISC Database v16.0'!$B:$B,0)), 0)))</f>
        <v/>
      </c>
      <c r="AR46" s="209"/>
      <c r="AS46" s="209">
        <f>+IFERROR(IF(VLOOKUP($B46,$E$6:$K203,6,0)=0,$O46/12*COS(PI()/180*($P46+0))^2,IF(AND(ABS(VLOOKUP($B46,$E$6:$K203,6,0))&gt;0,$P46=0),$O46/12*COS(PI()/180*($P46+0))^2,IF(AND(ABS(VLOOKUP($B46,$E$6:$K203,6,0))&gt;0,ABS($P46)&gt;0),$O46/12*COS(PI()/180*($P46+0))^2))),0)</f>
        <v>0</v>
      </c>
      <c r="AT46" s="209">
        <f>+IFERROR(IF(VLOOKUP($B46,$E$6:$K203,6,0)=0,0,IF(AND(ABS(VLOOKUP($B46,$E$6:$K203,6,0))&gt;0,$P46=0),ABS(VLOOKUP($B46,$E$6:$K203,6,0))*SIN(PI()/180*($P46+0))^2,IF(AND(ABS(VLOOKUP($B46,$E$6:$K203,6,0))&gt;0,ABS($P46)&gt;0),ABS(VLOOKUP($B46,$E$6:$K203,6,0))*SIN(PI()/180*($P46+0))^2))),0)*IF(RISA3D.Unit.Length="in",1/12,1)</f>
        <v>0</v>
      </c>
      <c r="AU46" s="209">
        <f t="shared" si="6"/>
        <v>0</v>
      </c>
      <c r="AV46" s="209">
        <f>+IFERROR(+IF(VLOOKUP($M46,$S$6:$V203,3,0)=VLOOKUP($N46,$S$6:$V203,3,0), ((((($O46/12+(2*0.5/12))*((VLOOKUP($C46,rngR3DSectionSets,5,0)/12)+(2*0.5/12)))-($O46/12*(VLOOKUP($C46,rngR3DSectionSets,5,0)/12)))*1.2*COS(PI()/180*($P46))^2)) + AU46, (((((AS46+(2*0.5/12))*((VLOOKUP($C46,rngR3DSectionSets,5,0)/12)+(2*0.5/12)))-(AS46*(VLOOKUP($C46,rngR3DSectionSets,5,0)/12)))+(((AT46+(2*0.5/12))*((VLOOKUP($C46,rngR3DSectionSets,5,0)/12)+(2*0.5/12)))-(AT46*(VLOOKUP($C46,rngR3DSectionSets,5,0)/12))))*1.2) + AU46),0)</f>
        <v>0</v>
      </c>
      <c r="AW46" s="209">
        <f>+IFERROR(+IF(VLOOKUP($M46,$S$6:$V203,3,0)=VLOOKUP($N46,$S$6:$V203,3,0), ((((($O46/12+(2*1/12))*((VLOOKUP($C46,rngR3DSectionSets,5,0)/12)+(2*1/12)))-($O46/12*(VLOOKUP($C46,rngR3DSectionSets,5,0)/12)))*1.2*COS(PI()/180*($P46))^2)) + AU46, (((((AS46+(2*1/12))*((VLOOKUP($C46,rngR3DSectionSets,5,0)/12)+(2*1/12)))-(AS46*(VLOOKUP($C46,rngR3DSectionSets,5,0)/12)))+(((AT46+(2*1/12))*((VLOOKUP($C46,rngR3DSectionSets,5,0)/12)+(2*1/12)))-(AT46*(VLOOKUP($C46,rngR3DSectionSets,5,0)/12))))*1.2) + AU46),0)</f>
        <v>0</v>
      </c>
      <c r="AX46" s="209">
        <f>+IFERROR(IF(VLOOKUP($B46,$E$6:$K203,6,0)=0,$O46/12*COS(PI()/180*($P46+90))^2,IF(AND(ABS(VLOOKUP($B46,$E$6:$K203,6,0))&gt;0,$P46=0),$O46/12*COS(PI()/180*($P46+90))^2,IF(AND(ABS(VLOOKUP($B46,$E$6:$K203,6,0))&gt;0,ABS($P46)&gt;0),$O46/12*COS(PI()/180*($P46+90))^2))),0)</f>
        <v>0</v>
      </c>
      <c r="AY46" s="209">
        <f>+IFERROR(IF(VLOOKUP($B46,$E$6:$K203,6,0)=0,0,IF(AND(ABS(VLOOKUP($B46,$E$6:$K203,6,0))&gt;0,$P46=0),ABS(VLOOKUP($B46,$E$6:$K203,6,0))*SIN(PI()/180*($P46+90))^2,IF(AND(ABS(VLOOKUP($B46,$E$6:$K203,6,0))&gt;0,ABS($P46)&gt;0),ABS(VLOOKUP($B46,$E$6:$K203,6,0))*SIN(PI()/180*($P46+90))^2))),0)*IF(RISA3D.Unit.Length="in",1/12,1)</f>
        <v>0</v>
      </c>
      <c r="AZ46" s="209">
        <f t="shared" si="7"/>
        <v>0</v>
      </c>
      <c r="BA46" s="209">
        <f>+IFERROR(+IF(VLOOKUP($M46,$S$6:$V203,3,0)=VLOOKUP($N46,$S$6:$V203,3,0), ((((($O46/12+(2*0.5/12))*((VLOOKUP($C46,rngR3DSectionSets,5,0)/12)+(2*0.5/12)))-($O46/12*(VLOOKUP($C46,rngR3DSectionSets,5,0)/12)))*1.2*COS(PI()/180*($P46))^2)) + AZ46, (((((AX46+(2*0.5/12))*((VLOOKUP($C46,rngR3DSectionSets,5,0)/12)+(2*0.5/12)))-(AX46*(VLOOKUP($C46,rngR3DSectionSets,5,0)/12)))+(((AY46+(2*0.5/12))*((VLOOKUP($C46,rngR3DSectionSets,5,0)/12)+(2*0.5/12)))-(AY46*(VLOOKUP($C46,rngR3DSectionSets,5,0)/12))))*1.2) + AZ46),0)</f>
        <v>0</v>
      </c>
      <c r="BB46" s="209">
        <f>+IFERROR(+IF(VLOOKUP($M46,$S$6:$V203,3,0)=VLOOKUP($N46,$S$6:$V203,3,0), ((((($O46/12+(2*1/12))*((VLOOKUP($C46,rngR3DSectionSets,5,0)/12)+(2*1/12)))-($O46/12*(VLOOKUP($C46,rngR3DSectionSets,5,0)/12)))*1.2*COS(PI()/180*($P46))^2)) + AZ46, (((((AX46+(2*1/12))*((VLOOKUP($C46,rngR3DSectionSets,5,0)/12)+(2*1/12)))-(AX46*(VLOOKUP($C46,rngR3DSectionSets,5,0)/12)))+(((AY46+(2*1/12))*((VLOOKUP($C46,rngR3DSectionSets,5,0)/12)+(2*1/12)))-(AY46*(VLOOKUP($C46,rngR3DSectionSets,5,0)/12))))*1.2) + AZ46),0)</f>
        <v>0</v>
      </c>
      <c r="BC46" s="209">
        <f t="shared" si="8"/>
        <v>0</v>
      </c>
      <c r="BD46" s="209">
        <f t="shared" si="9"/>
        <v>0</v>
      </c>
      <c r="BE46" s="209">
        <f t="shared" si="10"/>
        <v>0</v>
      </c>
      <c r="BF46" s="209"/>
      <c r="BG46" s="209"/>
    </row>
    <row r="47" spans="2:59" ht="15" customHeight="1" x14ac:dyDescent="0.2">
      <c r="B47" s="207"/>
      <c r="C47" s="207"/>
      <c r="D47" s="207"/>
      <c r="E47" s="207"/>
      <c r="F47" s="207"/>
      <c r="G47" s="207"/>
      <c r="H47" s="207"/>
      <c r="I47" s="207"/>
      <c r="J47" s="207"/>
      <c r="K47" s="207"/>
      <c r="L47" s="207"/>
      <c r="M47" s="207"/>
      <c r="N47" s="207"/>
      <c r="O47" s="207"/>
      <c r="P47" s="207"/>
      <c r="Q47" s="207"/>
      <c r="R47" s="207"/>
      <c r="S47" s="207"/>
      <c r="T47" s="228"/>
      <c r="U47" s="228"/>
      <c r="V47" s="228"/>
      <c r="AB47" s="229" t="str">
        <f>IF(X47="","",
IF(OR(X47="RIGID",X47="GEN1A"), 0,
IFERROR(_xlfn.LET(
_xlpm.BAR,                      OR(ISNUMBER(SEARCH("BAR",Z47)),ISNUMBER(SEARCH("SR",Y47))),
_xlpm.HSS,                      OR(ISNUMBER(SEARCH("HSS",Y47)),ISNUMBER(SEARCH("SquareTube",Z47)),NOT(ISNUMBER(SEARCH("HSS Pipe",Z47)))),
_xlpm.HSSPipe,                  OR(ISNUMBER(SEARCH("HSS Pipe",Z47)),ISNUMBER(SEARCH("Pipe",Z47)),ISNUMBER(SEARCH("Pipe",Y47))),
_xlpm.Pipe,                     OR(ISNUMBER(SEARCH("Pipe",Z47)),ISNUMBER(SEARCH("Pipe",Y47))),
_xlpm.SingleAngle,              OR(ISNUMBER(SEARCH("Single Angle",Z47)),AND(ISNUMBER(SEARCH("Angle",Z47)),ISNUMBER(SEARCH("Single",Z47)))),
_xlpm.DoubleAngle,              AND(ISNUMBER(SEARCH("Angle",Z47)),ISNUMBER(SEARCH("Double",Z47))),
_xlpm.RECT,                     OR(ISNUMBER(SEARCH("RECT",Z47)),ISNUMBER(SEARCH("PL",Y47))),
_xlpm.WideFlange,               OR(ISNUMBER(SEARCH("Wide Flange",Z47)),ISNUMBER(SEARCH("Tee",Z47)),ISNUMBER(SEARCH("W",Y47))),
_xlpm.Channel,                  OR(ISNUMBER(SEARCH("Channel",Z47)),ISNUMBER(SEARCH("C",Y47))),
IF(OR(_xlpm.WideFlange, _xlpm.Channel, _xlpm.SingleAngle, _xlpm.DoubleAngle, _xlpm.RECT),
                          INDEX('[2]AISC Database v16.0'!$D:$D,
                          MATCH(Y47,'[2]AISC Database v16.0'!$B:$B,0)),
IF(AND(_xlpm.HSS,NOT(_xlpm.HSSPipe)), INDEX('[2]AISC Database v16.0'!$F:$F,
                          MATCH(Y47,'[2]AISC Database v16.0'!$B:$B,0)),
IF(OR(_xlpm.Pipe, _xlpm.HSSPipe, _xlpm.BAR),
                          INDEX('[2]AISC Database v16.0'!$H:$H,
                          MATCH(Y47,'[2]AISC Database v16.0'!$B:$B,0)),
0)))),0)))</f>
        <v/>
      </c>
      <c r="AC47" s="229" t="str">
        <f>IF(X47="","",
IF(OR(X47="RIGID",X47="GEN1A"), 0,
IFERROR(_xlfn.LET(
_xlpm.BAR,                      OR(ISNUMBER(SEARCH("BAR",Z47)),ISNUMBER(SEARCH("SR",Y47))),
_xlpm.HSS,                      OR(ISNUMBER(SEARCH("HSS",Y47)),ISNUMBER(SEARCH("SquareTube",Z47)),NOT(ISNUMBER(SEARCH("HSS Pipe",Z47)))),
_xlpm.HSSPipe,                  OR(ISNUMBER(SEARCH("HSS Pipe",Z47)),ISNUMBER(SEARCH("Pipe",Z47)),ISNUMBER(SEARCH("Pipe",Y47))),
_xlpm.Pipe,                     OR(ISNUMBER(SEARCH("Pipe",Z47)),ISNUMBER(SEARCH("Pipe",Y47))),
_xlpm.SingleAngle,              OR(ISNUMBER(SEARCH("Single Angle",Z47)),AND(ISNUMBER(SEARCH("Angle",Z47)),ISNUMBER(SEARCH("Single",Z47)))),
_xlpm.DoubleAngle,              AND(ISNUMBER(SEARCH("Angle",Z47)),ISNUMBER(SEARCH("Double",Z47))),
_xlpm.RECT,                     OR(ISNUMBER(SEARCH("RECT",Z47)),ISNUMBER(SEARCH("PL",Y47))),
_xlpm.WideFlange,               OR(ISNUMBER(SEARCH("Wide Flange",Z47)),ISNUMBER(SEARCH("Tee",Z47)),ISNUMBER(SEARCH("W",Y47))),
_xlpm.Channel,                  OR(ISNUMBER(SEARCH("Channel",Z47)),ISNUMBER(SEARCH("C",Y47))),
IF(OR(_xlpm.WideFlange, _xlpm.Channel),
                          INDEX('[2]AISC Database v16.0'!$I:$I,
                          MATCH(Y47,'[2]AISC Database v16.0'!$B:$B,0)),
IF(OR(_xlpm.SingleAngle, _xlpm.DoubleAngle, _xlpm.RECT),
                          INDEX('[2]AISC Database v16.0'!$L:$L,
                          MATCH(Y47,'[2]AISC Database v16.0'!$B:$B,0)),
IF(AND(_xlpm.HSS,NOT(_xlpm.HSSPipe)),
                          INDEX('[2]AISC Database v16.0'!$K:$K,
                          MATCH(Y47,'[2]AISC Database v16.0'!$B:$B,0)),
IF(OR(_xlpm.Pipe, _xlpm.HSSPipe, _xlpm.BAR),
                          INDEX('[2]AISC Database v16.0'!$H:$H,
                          MATCH(Y47,'[2]AISC Database v16.0'!$B:$B,0)),
0))))),0)))</f>
        <v/>
      </c>
      <c r="AD47" s="230" t="str">
        <f>IF(X47="","",
IF(OR(X47="RIGID",X47="GEN1A"), 0,
IFERROR(_xlfn.LET(
_xlpm.BAR,                      OR(ISNUMBER(SEARCH("BAR",Z47)),ISNUMBER(SEARCH("SR",Y47))),
_xlpm.HSS,                      OR(ISNUMBER(SEARCH("HSS",Y47)),ISNUMBER(SEARCH("SquareTube",Z47)),NOT(ISNUMBER(SEARCH("HSS Pipe",Z47)))),
_xlpm.HSSPipe,                  OR(ISNUMBER(SEARCH("HSS Pipe",Z47)),ISNUMBER(SEARCH("Pipe",Z47)),ISNUMBER(SEARCH("Pipe",Y47))),
_xlpm.Pipe,                     OR(ISNUMBER(SEARCH("Pipe",Z47)),ISNUMBER(SEARCH("Pipe",Y47))),
_xlpm.SingleAngle,              OR(ISNUMBER(SEARCH("Single Angle",Z47)),AND(ISNUMBER(SEARCH("Angle",Z47)),ISNUMBER(SEARCH("Single",Z47)))),
_xlpm.DoubleAngle,              AND(ISNUMBER(SEARCH("Angle",Z47)),ISNUMBER(SEARCH("Double",Z47))),
_xlpm.RECT,                     OR(ISNUMBER(SEARCH("RECT",Z47)),ISNUMBER(SEARCH("PL",Y47))),
_xlpm.WideFlange,               OR(ISNUMBER(SEARCH("Wide Flange",Z47)),ISNUMBER(SEARCH("Tee",Z47)),ISNUMBER(SEARCH("W",Y47))),
_xlpm.Channel,                  OR(ISNUMBER(SEARCH("Channel",Z47)),ISNUMBER(SEARCH("C",Y47))),
IF(_xlpm.WideFlange,            INDEX('[2]AISC Database v16.0'!$O:$O,
                          MATCH(Y47,'[2]AISC Database v16.0'!$B:$B,0)),
IF(_xlpm.Channel,               INDEX('[2]AISC Database v16.0'!$O:$O,
                          MATCH(Y47,'[2]AISC Database v16.0'!$B:$B,0)),
IF(_xlpm.BAR,                   INDEX('[2]AISC Database v16.0'!$T:$T,
                          MATCH(Y47,'[2]AISC Database v16.0'!$B:$B,0)),
IF(_xlpm.SingleAngle,           INDEX('[2]AISC Database v16.0'!$T:$T,
                          MATCH(Y47,'[2]AISC Database v16.0'!$B:$B,0)),
IF(_xlpm.DoubleAngle,           INDEX('[2]AISC Database v16.0'!$T:$T,
                          MATCH(Y47,'[2]AISC Database v16.0'!$B:$B,0)),
IF(_xlpm.RECT,                  INDEX('[2]AISC Database v16.0'!$T:$T,
                          MATCH(Y47,'[2]AISC Database v16.0'!$B:$B,0)),
IF(AND(_xlpm.HSS,NOT(_xlpm.HSSPipe)), INDEX('[2]AISC Database v16.0'!$U:$U,
                          MATCH(Y47,'[2]AISC Database v16.0'!$B:$B,0)),
IF(OR(_xlpm.Pipe, _xlpm.HSSPipe),     INDEX('[2]AISC Database v16.0'!$U:$U,
                          MATCH(Y47,'[2]AISC Database v16.0'!$B:$B,0)),
0))))))))),0)))</f>
        <v/>
      </c>
      <c r="AE47" s="230" t="str">
        <f t="shared" si="0"/>
        <v/>
      </c>
      <c r="AF47" s="229" t="str">
        <f>IF(X47="","",
IF(OR(X47="RIGID",X47="GEN1A"), 0,
IFERROR(INDEX('[2]AISC Database v16.0'!$M:$M, MATCH(Y47,'[2]AISC Database v16.0'!$B:$B,0)), 0)))</f>
        <v/>
      </c>
      <c r="AG47" s="229" t="str">
        <f>IF(X47="","",
IF(OR(X47="RIGID",X47="GEN1A"), 0,
IFERROR(INDEX('[2]AISC Database v16.0'!$C:$C, MATCH(Y47,'[2]AISC Database v16.0'!$B:$B,0)), 0)))</f>
        <v/>
      </c>
      <c r="AR47" s="209"/>
      <c r="AS47" s="209">
        <f>+IFERROR(IF(VLOOKUP($B47,$E$6:$K203,6,0)=0,$O47/12*COS(PI()/180*($P47+0))^2,IF(AND(ABS(VLOOKUP($B47,$E$6:$K203,6,0))&gt;0,$P47=0),$O47/12*COS(PI()/180*($P47+0))^2,IF(AND(ABS(VLOOKUP($B47,$E$6:$K203,6,0))&gt;0,ABS($P47)&gt;0),$O47/12*COS(PI()/180*($P47+0))^2))),0)</f>
        <v>0</v>
      </c>
      <c r="AT47" s="209">
        <f>+IFERROR(IF(VLOOKUP($B47,$E$6:$K203,6,0)=0,0,IF(AND(ABS(VLOOKUP($B47,$E$6:$K203,6,0))&gt;0,$P47=0),ABS(VLOOKUP($B47,$E$6:$K203,6,0))*SIN(PI()/180*($P47+0))^2,IF(AND(ABS(VLOOKUP($B47,$E$6:$K203,6,0))&gt;0,ABS($P47)&gt;0),ABS(VLOOKUP($B47,$E$6:$K203,6,0))*SIN(PI()/180*($P47+0))^2))),0)*IF(RISA3D.Unit.Length="in",1/12,1)</f>
        <v>0</v>
      </c>
      <c r="AU47" s="209">
        <f t="shared" si="6"/>
        <v>0</v>
      </c>
      <c r="AV47" s="209">
        <f>+IFERROR(+IF(VLOOKUP($M47,$S$6:$V203,3,0)=VLOOKUP($N47,$S$6:$V203,3,0), ((((($O47/12+(2*0.5/12))*((VLOOKUP($C47,rngR3DSectionSets,5,0)/12)+(2*0.5/12)))-($O47/12*(VLOOKUP($C47,rngR3DSectionSets,5,0)/12)))*1.2*COS(PI()/180*($P47))^2)) + AU47, (((((AS47+(2*0.5/12))*((VLOOKUP($C47,rngR3DSectionSets,5,0)/12)+(2*0.5/12)))-(AS47*(VLOOKUP($C47,rngR3DSectionSets,5,0)/12)))+(((AT47+(2*0.5/12))*((VLOOKUP($C47,rngR3DSectionSets,5,0)/12)+(2*0.5/12)))-(AT47*(VLOOKUP($C47,rngR3DSectionSets,5,0)/12))))*1.2) + AU47),0)</f>
        <v>0</v>
      </c>
      <c r="AW47" s="209">
        <f>+IFERROR(+IF(VLOOKUP($M47,$S$6:$V203,3,0)=VLOOKUP($N47,$S$6:$V203,3,0), ((((($O47/12+(2*1/12))*((VLOOKUP($C47,rngR3DSectionSets,5,0)/12)+(2*1/12)))-($O47/12*(VLOOKUP($C47,rngR3DSectionSets,5,0)/12)))*1.2*COS(PI()/180*($P47))^2)) + AU47, (((((AS47+(2*1/12))*((VLOOKUP($C47,rngR3DSectionSets,5,0)/12)+(2*1/12)))-(AS47*(VLOOKUP($C47,rngR3DSectionSets,5,0)/12)))+(((AT47+(2*1/12))*((VLOOKUP($C47,rngR3DSectionSets,5,0)/12)+(2*1/12)))-(AT47*(VLOOKUP($C47,rngR3DSectionSets,5,0)/12))))*1.2) + AU47),0)</f>
        <v>0</v>
      </c>
      <c r="AX47" s="209">
        <f>+IFERROR(IF(VLOOKUP($B47,$E$6:$K203,6,0)=0,$O47/12*COS(PI()/180*($P47+90))^2,IF(AND(ABS(VLOOKUP($B47,$E$6:$K203,6,0))&gt;0,$P47=0),$O47/12*COS(PI()/180*($P47+90))^2,IF(AND(ABS(VLOOKUP($B47,$E$6:$K203,6,0))&gt;0,ABS($P47)&gt;0),$O47/12*COS(PI()/180*($P47+90))^2))),0)</f>
        <v>0</v>
      </c>
      <c r="AY47" s="209">
        <f>+IFERROR(IF(VLOOKUP($B47,$E$6:$K203,6,0)=0,0,IF(AND(ABS(VLOOKUP($B47,$E$6:$K203,6,0))&gt;0,$P47=0),ABS(VLOOKUP($B47,$E$6:$K203,6,0))*SIN(PI()/180*($P47+90))^2,IF(AND(ABS(VLOOKUP($B47,$E$6:$K203,6,0))&gt;0,ABS($P47)&gt;0),ABS(VLOOKUP($B47,$E$6:$K203,6,0))*SIN(PI()/180*($P47+90))^2))),0)*IF(RISA3D.Unit.Length="in",1/12,1)</f>
        <v>0</v>
      </c>
      <c r="AZ47" s="209">
        <f t="shared" si="7"/>
        <v>0</v>
      </c>
      <c r="BA47" s="209">
        <f>+IFERROR(+IF(VLOOKUP($M47,$S$6:$V203,3,0)=VLOOKUP($N47,$S$6:$V203,3,0), ((((($O47/12+(2*0.5/12))*((VLOOKUP($C47,rngR3DSectionSets,5,0)/12)+(2*0.5/12)))-($O47/12*(VLOOKUP($C47,rngR3DSectionSets,5,0)/12)))*1.2*COS(PI()/180*($P47))^2)) + AZ47, (((((AX47+(2*0.5/12))*((VLOOKUP($C47,rngR3DSectionSets,5,0)/12)+(2*0.5/12)))-(AX47*(VLOOKUP($C47,rngR3DSectionSets,5,0)/12)))+(((AY47+(2*0.5/12))*((VLOOKUP($C47,rngR3DSectionSets,5,0)/12)+(2*0.5/12)))-(AY47*(VLOOKUP($C47,rngR3DSectionSets,5,0)/12))))*1.2) + AZ47),0)</f>
        <v>0</v>
      </c>
      <c r="BB47" s="209">
        <f>+IFERROR(+IF(VLOOKUP($M47,$S$6:$V203,3,0)=VLOOKUP($N47,$S$6:$V203,3,0), ((((($O47/12+(2*1/12))*((VLOOKUP($C47,rngR3DSectionSets,5,0)/12)+(2*1/12)))-($O47/12*(VLOOKUP($C47,rngR3DSectionSets,5,0)/12)))*1.2*COS(PI()/180*($P47))^2)) + AZ47, (((((AX47+(2*1/12))*((VLOOKUP($C47,rngR3DSectionSets,5,0)/12)+(2*1/12)))-(AX47*(VLOOKUP($C47,rngR3DSectionSets,5,0)/12)))+(((AY47+(2*1/12))*((VLOOKUP($C47,rngR3DSectionSets,5,0)/12)+(2*1/12)))-(AY47*(VLOOKUP($C47,rngR3DSectionSets,5,0)/12))))*1.2) + AZ47),0)</f>
        <v>0</v>
      </c>
      <c r="BC47" s="209">
        <f t="shared" si="8"/>
        <v>0</v>
      </c>
      <c r="BD47" s="209">
        <f t="shared" si="9"/>
        <v>0</v>
      </c>
      <c r="BE47" s="209">
        <f t="shared" si="10"/>
        <v>0</v>
      </c>
      <c r="BF47" s="209"/>
      <c r="BG47" s="209"/>
    </row>
    <row r="48" spans="2:59" ht="15" customHeight="1" x14ac:dyDescent="0.2">
      <c r="B48" s="207"/>
      <c r="C48" s="207"/>
      <c r="D48" s="207"/>
      <c r="E48" s="207"/>
      <c r="F48" s="207"/>
      <c r="G48" s="207"/>
      <c r="H48" s="207"/>
      <c r="I48" s="207"/>
      <c r="J48" s="207"/>
      <c r="K48" s="207"/>
      <c r="L48" s="207"/>
      <c r="M48" s="207"/>
      <c r="N48" s="207"/>
      <c r="O48" s="207"/>
      <c r="P48" s="207"/>
      <c r="Q48" s="207"/>
      <c r="R48" s="207"/>
      <c r="S48" s="207"/>
      <c r="T48" s="228"/>
      <c r="U48" s="228"/>
      <c r="V48" s="228"/>
      <c r="AB48" s="229" t="str">
        <f>IF(X48="","",
IF(OR(X48="RIGID",X48="GEN1A"), 0,
IFERROR(_xlfn.LET(
_xlpm.BAR,                      OR(ISNUMBER(SEARCH("BAR",Z48)),ISNUMBER(SEARCH("SR",Y48))),
_xlpm.HSS,                      OR(ISNUMBER(SEARCH("HSS",Y48)),ISNUMBER(SEARCH("SquareTube",Z48)),NOT(ISNUMBER(SEARCH("HSS Pipe",Z48)))),
_xlpm.HSSPipe,                  OR(ISNUMBER(SEARCH("HSS Pipe",Z48)),ISNUMBER(SEARCH("Pipe",Z48)),ISNUMBER(SEARCH("Pipe",Y48))),
_xlpm.Pipe,                     OR(ISNUMBER(SEARCH("Pipe",Z48)),ISNUMBER(SEARCH("Pipe",Y48))),
_xlpm.SingleAngle,              OR(ISNUMBER(SEARCH("Single Angle",Z48)),AND(ISNUMBER(SEARCH("Angle",Z48)),ISNUMBER(SEARCH("Single",Z48)))),
_xlpm.DoubleAngle,              AND(ISNUMBER(SEARCH("Angle",Z48)),ISNUMBER(SEARCH("Double",Z48))),
_xlpm.RECT,                     OR(ISNUMBER(SEARCH("RECT",Z48)),ISNUMBER(SEARCH("PL",Y48))),
_xlpm.WideFlange,               OR(ISNUMBER(SEARCH("Wide Flange",Z48)),ISNUMBER(SEARCH("Tee",Z48)),ISNUMBER(SEARCH("W",Y48))),
_xlpm.Channel,                  OR(ISNUMBER(SEARCH("Channel",Z48)),ISNUMBER(SEARCH("C",Y48))),
IF(OR(_xlpm.WideFlange, _xlpm.Channel, _xlpm.SingleAngle, _xlpm.DoubleAngle, _xlpm.RECT),
                          INDEX('[2]AISC Database v16.0'!$D:$D,
                          MATCH(Y48,'[2]AISC Database v16.0'!$B:$B,0)),
IF(AND(_xlpm.HSS,NOT(_xlpm.HSSPipe)), INDEX('[2]AISC Database v16.0'!$F:$F,
                          MATCH(Y48,'[2]AISC Database v16.0'!$B:$B,0)),
IF(OR(_xlpm.Pipe, _xlpm.HSSPipe, _xlpm.BAR),
                          INDEX('[2]AISC Database v16.0'!$H:$H,
                          MATCH(Y48,'[2]AISC Database v16.0'!$B:$B,0)),
0)))),0)))</f>
        <v/>
      </c>
      <c r="AC48" s="229" t="str">
        <f>IF(X48="","",
IF(OR(X48="RIGID",X48="GEN1A"), 0,
IFERROR(_xlfn.LET(
_xlpm.BAR,                      OR(ISNUMBER(SEARCH("BAR",Z48)),ISNUMBER(SEARCH("SR",Y48))),
_xlpm.HSS,                      OR(ISNUMBER(SEARCH("HSS",Y48)),ISNUMBER(SEARCH("SquareTube",Z48)),NOT(ISNUMBER(SEARCH("HSS Pipe",Z48)))),
_xlpm.HSSPipe,                  OR(ISNUMBER(SEARCH("HSS Pipe",Z48)),ISNUMBER(SEARCH("Pipe",Z48)),ISNUMBER(SEARCH("Pipe",Y48))),
_xlpm.Pipe,                     OR(ISNUMBER(SEARCH("Pipe",Z48)),ISNUMBER(SEARCH("Pipe",Y48))),
_xlpm.SingleAngle,              OR(ISNUMBER(SEARCH("Single Angle",Z48)),AND(ISNUMBER(SEARCH("Angle",Z48)),ISNUMBER(SEARCH("Single",Z48)))),
_xlpm.DoubleAngle,              AND(ISNUMBER(SEARCH("Angle",Z48)),ISNUMBER(SEARCH("Double",Z48))),
_xlpm.RECT,                     OR(ISNUMBER(SEARCH("RECT",Z48)),ISNUMBER(SEARCH("PL",Y48))),
_xlpm.WideFlange,               OR(ISNUMBER(SEARCH("Wide Flange",Z48)),ISNUMBER(SEARCH("Tee",Z48)),ISNUMBER(SEARCH("W",Y48))),
_xlpm.Channel,                  OR(ISNUMBER(SEARCH("Channel",Z48)),ISNUMBER(SEARCH("C",Y48))),
IF(OR(_xlpm.WideFlange, _xlpm.Channel),
                          INDEX('[2]AISC Database v16.0'!$I:$I,
                          MATCH(Y48,'[2]AISC Database v16.0'!$B:$B,0)),
IF(OR(_xlpm.SingleAngle, _xlpm.DoubleAngle, _xlpm.RECT),
                          INDEX('[2]AISC Database v16.0'!$L:$L,
                          MATCH(Y48,'[2]AISC Database v16.0'!$B:$B,0)),
IF(AND(_xlpm.HSS,NOT(_xlpm.HSSPipe)),
                          INDEX('[2]AISC Database v16.0'!$K:$K,
                          MATCH(Y48,'[2]AISC Database v16.0'!$B:$B,0)),
IF(OR(_xlpm.Pipe, _xlpm.HSSPipe, _xlpm.BAR),
                          INDEX('[2]AISC Database v16.0'!$H:$H,
                          MATCH(Y48,'[2]AISC Database v16.0'!$B:$B,0)),
0))))),0)))</f>
        <v/>
      </c>
      <c r="AD48" s="230" t="str">
        <f>IF(X48="","",
IF(OR(X48="RIGID",X48="GEN1A"), 0,
IFERROR(_xlfn.LET(
_xlpm.BAR,                      OR(ISNUMBER(SEARCH("BAR",Z48)),ISNUMBER(SEARCH("SR",Y48))),
_xlpm.HSS,                      OR(ISNUMBER(SEARCH("HSS",Y48)),ISNUMBER(SEARCH("SquareTube",Z48)),NOT(ISNUMBER(SEARCH("HSS Pipe",Z48)))),
_xlpm.HSSPipe,                  OR(ISNUMBER(SEARCH("HSS Pipe",Z48)),ISNUMBER(SEARCH("Pipe",Z48)),ISNUMBER(SEARCH("Pipe",Y48))),
_xlpm.Pipe,                     OR(ISNUMBER(SEARCH("Pipe",Z48)),ISNUMBER(SEARCH("Pipe",Y48))),
_xlpm.SingleAngle,              OR(ISNUMBER(SEARCH("Single Angle",Z48)),AND(ISNUMBER(SEARCH("Angle",Z48)),ISNUMBER(SEARCH("Single",Z48)))),
_xlpm.DoubleAngle,              AND(ISNUMBER(SEARCH("Angle",Z48)),ISNUMBER(SEARCH("Double",Z48))),
_xlpm.RECT,                     OR(ISNUMBER(SEARCH("RECT",Z48)),ISNUMBER(SEARCH("PL",Y48))),
_xlpm.WideFlange,               OR(ISNUMBER(SEARCH("Wide Flange",Z48)),ISNUMBER(SEARCH("Tee",Z48)),ISNUMBER(SEARCH("W",Y48))),
_xlpm.Channel,                  OR(ISNUMBER(SEARCH("Channel",Z48)),ISNUMBER(SEARCH("C",Y48))),
IF(_xlpm.WideFlange,            INDEX('[2]AISC Database v16.0'!$O:$O,
                          MATCH(Y48,'[2]AISC Database v16.0'!$B:$B,0)),
IF(_xlpm.Channel,               INDEX('[2]AISC Database v16.0'!$O:$O,
                          MATCH(Y48,'[2]AISC Database v16.0'!$B:$B,0)),
IF(_xlpm.BAR,                   INDEX('[2]AISC Database v16.0'!$T:$T,
                          MATCH(Y48,'[2]AISC Database v16.0'!$B:$B,0)),
IF(_xlpm.SingleAngle,           INDEX('[2]AISC Database v16.0'!$T:$T,
                          MATCH(Y48,'[2]AISC Database v16.0'!$B:$B,0)),
IF(_xlpm.DoubleAngle,           INDEX('[2]AISC Database v16.0'!$T:$T,
                          MATCH(Y48,'[2]AISC Database v16.0'!$B:$B,0)),
IF(_xlpm.RECT,                  INDEX('[2]AISC Database v16.0'!$T:$T,
                          MATCH(Y48,'[2]AISC Database v16.0'!$B:$B,0)),
IF(AND(_xlpm.HSS,NOT(_xlpm.HSSPipe)), INDEX('[2]AISC Database v16.0'!$U:$U,
                          MATCH(Y48,'[2]AISC Database v16.0'!$B:$B,0)),
IF(OR(_xlpm.Pipe, _xlpm.HSSPipe),     INDEX('[2]AISC Database v16.0'!$U:$U,
                          MATCH(Y48,'[2]AISC Database v16.0'!$B:$B,0)),
0))))))))),0)))</f>
        <v/>
      </c>
      <c r="AE48" s="230" t="str">
        <f t="shared" si="0"/>
        <v/>
      </c>
      <c r="AF48" s="229" t="str">
        <f>IF(X48="","",
IF(OR(X48="RIGID",X48="GEN1A"), 0,
IFERROR(INDEX('[2]AISC Database v16.0'!$M:$M, MATCH(Y48,'[2]AISC Database v16.0'!$B:$B,0)), 0)))</f>
        <v/>
      </c>
      <c r="AG48" s="229" t="str">
        <f>IF(X48="","",
IF(OR(X48="RIGID",X48="GEN1A"), 0,
IFERROR(INDEX('[2]AISC Database v16.0'!$C:$C, MATCH(Y48,'[2]AISC Database v16.0'!$B:$B,0)), 0)))</f>
        <v/>
      </c>
      <c r="AR48" s="209"/>
      <c r="AS48" s="209">
        <f>+IFERROR(IF(VLOOKUP($B48,$E$6:$K203,6,0)=0,$O48/12*COS(PI()/180*($P48+0))^2,IF(AND(ABS(VLOOKUP($B48,$E$6:$K203,6,0))&gt;0,$P48=0),$O48/12*COS(PI()/180*($P48+0))^2,IF(AND(ABS(VLOOKUP($B48,$E$6:$K203,6,0))&gt;0,ABS($P48)&gt;0),$O48/12*COS(PI()/180*($P48+0))^2))),0)</f>
        <v>0</v>
      </c>
      <c r="AT48" s="209">
        <f>+IFERROR(IF(VLOOKUP($B48,$E$6:$K203,6,0)=0,0,IF(AND(ABS(VLOOKUP($B48,$E$6:$K203,6,0))&gt;0,$P48=0),ABS(VLOOKUP($B48,$E$6:$K203,6,0))*SIN(PI()/180*($P48+0))^2,IF(AND(ABS(VLOOKUP($B48,$E$6:$K203,6,0))&gt;0,ABS($P48)&gt;0),ABS(VLOOKUP($B48,$E$6:$K203,6,0))*SIN(PI()/180*($P48+0))^2))),0)*IF(RISA3D.Unit.Length="in",1/12,1)</f>
        <v>0</v>
      </c>
      <c r="AU48" s="209">
        <f t="shared" si="6"/>
        <v>0</v>
      </c>
      <c r="AV48" s="209">
        <f>+IFERROR(+IF(VLOOKUP($M48,$S$6:$V203,3,0)=VLOOKUP($N48,$S$6:$V203,3,0), ((((($O48/12+(2*0.5/12))*((VLOOKUP($C48,rngR3DSectionSets,5,0)/12)+(2*0.5/12)))-($O48/12*(VLOOKUP($C48,rngR3DSectionSets,5,0)/12)))*1.2*COS(PI()/180*($P48))^2)) + AU48, (((((AS48+(2*0.5/12))*((VLOOKUP($C48,rngR3DSectionSets,5,0)/12)+(2*0.5/12)))-(AS48*(VLOOKUP($C48,rngR3DSectionSets,5,0)/12)))+(((AT48+(2*0.5/12))*((VLOOKUP($C48,rngR3DSectionSets,5,0)/12)+(2*0.5/12)))-(AT48*(VLOOKUP($C48,rngR3DSectionSets,5,0)/12))))*1.2) + AU48),0)</f>
        <v>0</v>
      </c>
      <c r="AW48" s="209">
        <f>+IFERROR(+IF(VLOOKUP($M48,$S$6:$V203,3,0)=VLOOKUP($N48,$S$6:$V203,3,0), ((((($O48/12+(2*1/12))*((VLOOKUP($C48,rngR3DSectionSets,5,0)/12)+(2*1/12)))-($O48/12*(VLOOKUP($C48,rngR3DSectionSets,5,0)/12)))*1.2*COS(PI()/180*($P48))^2)) + AU48, (((((AS48+(2*1/12))*((VLOOKUP($C48,rngR3DSectionSets,5,0)/12)+(2*1/12)))-(AS48*(VLOOKUP($C48,rngR3DSectionSets,5,0)/12)))+(((AT48+(2*1/12))*((VLOOKUP($C48,rngR3DSectionSets,5,0)/12)+(2*1/12)))-(AT48*(VLOOKUP($C48,rngR3DSectionSets,5,0)/12))))*1.2) + AU48),0)</f>
        <v>0</v>
      </c>
      <c r="AX48" s="209">
        <f>+IFERROR(IF(VLOOKUP($B48,$E$6:$K203,6,0)=0,$O48/12*COS(PI()/180*($P48+90))^2,IF(AND(ABS(VLOOKUP($B48,$E$6:$K203,6,0))&gt;0,$P48=0),$O48/12*COS(PI()/180*($P48+90))^2,IF(AND(ABS(VLOOKUP($B48,$E$6:$K203,6,0))&gt;0,ABS($P48)&gt;0),$O48/12*COS(PI()/180*($P48+90))^2))),0)</f>
        <v>0</v>
      </c>
      <c r="AY48" s="209">
        <f>+IFERROR(IF(VLOOKUP($B48,$E$6:$K203,6,0)=0,0,IF(AND(ABS(VLOOKUP($B48,$E$6:$K203,6,0))&gt;0,$P48=0),ABS(VLOOKUP($B48,$E$6:$K203,6,0))*SIN(PI()/180*($P48+90))^2,IF(AND(ABS(VLOOKUP($B48,$E$6:$K203,6,0))&gt;0,ABS($P48)&gt;0),ABS(VLOOKUP($B48,$E$6:$K203,6,0))*SIN(PI()/180*($P48+90))^2))),0)*IF(RISA3D.Unit.Length="in",1/12,1)</f>
        <v>0</v>
      </c>
      <c r="AZ48" s="209">
        <f t="shared" si="7"/>
        <v>0</v>
      </c>
      <c r="BA48" s="209">
        <f>+IFERROR(+IF(VLOOKUP($M48,$S$6:$V203,3,0)=VLOOKUP($N48,$S$6:$V203,3,0), ((((($O48/12+(2*0.5/12))*((VLOOKUP($C48,rngR3DSectionSets,5,0)/12)+(2*0.5/12)))-($O48/12*(VLOOKUP($C48,rngR3DSectionSets,5,0)/12)))*1.2*COS(PI()/180*($P48))^2)) + AZ48, (((((AX48+(2*0.5/12))*((VLOOKUP($C48,rngR3DSectionSets,5,0)/12)+(2*0.5/12)))-(AX48*(VLOOKUP($C48,rngR3DSectionSets,5,0)/12)))+(((AY48+(2*0.5/12))*((VLOOKUP($C48,rngR3DSectionSets,5,0)/12)+(2*0.5/12)))-(AY48*(VLOOKUP($C48,rngR3DSectionSets,5,0)/12))))*1.2) + AZ48),0)</f>
        <v>0</v>
      </c>
      <c r="BB48" s="209">
        <f>+IFERROR(+IF(VLOOKUP($M48,$S$6:$V203,3,0)=VLOOKUP($N48,$S$6:$V203,3,0), ((((($O48/12+(2*1/12))*((VLOOKUP($C48,rngR3DSectionSets,5,0)/12)+(2*1/12)))-($O48/12*(VLOOKUP($C48,rngR3DSectionSets,5,0)/12)))*1.2*COS(PI()/180*($P48))^2)) + AZ48, (((((AX48+(2*1/12))*((VLOOKUP($C48,rngR3DSectionSets,5,0)/12)+(2*1/12)))-(AX48*(VLOOKUP($C48,rngR3DSectionSets,5,0)/12)))+(((AY48+(2*1/12))*((VLOOKUP($C48,rngR3DSectionSets,5,0)/12)+(2*1/12)))-(AY48*(VLOOKUP($C48,rngR3DSectionSets,5,0)/12))))*1.2) + AZ48),0)</f>
        <v>0</v>
      </c>
      <c r="BC48" s="209">
        <f t="shared" si="8"/>
        <v>0</v>
      </c>
      <c r="BD48" s="209">
        <f t="shared" si="9"/>
        <v>0</v>
      </c>
      <c r="BE48" s="209">
        <f t="shared" si="10"/>
        <v>0</v>
      </c>
      <c r="BF48" s="209"/>
      <c r="BG48" s="209"/>
    </row>
    <row r="49" spans="2:59" ht="15" customHeight="1" x14ac:dyDescent="0.2">
      <c r="B49" s="207"/>
      <c r="C49" s="207"/>
      <c r="D49" s="207"/>
      <c r="E49" s="207"/>
      <c r="F49" s="207"/>
      <c r="G49" s="207"/>
      <c r="H49" s="207"/>
      <c r="I49" s="207"/>
      <c r="J49" s="207"/>
      <c r="K49" s="207"/>
      <c r="L49" s="207"/>
      <c r="M49" s="207"/>
      <c r="N49" s="207"/>
      <c r="O49" s="207"/>
      <c r="P49" s="207"/>
      <c r="Q49" s="207"/>
      <c r="R49" s="207"/>
      <c r="S49" s="207"/>
      <c r="T49" s="228"/>
      <c r="U49" s="228"/>
      <c r="V49" s="228"/>
      <c r="AB49" s="229" t="str">
        <f>IF(X49="","",
IF(OR(X49="RIGID",X49="GEN1A"), 0,
IFERROR(_xlfn.LET(
_xlpm.BAR,                      OR(ISNUMBER(SEARCH("BAR",Z49)),ISNUMBER(SEARCH("SR",Y49))),
_xlpm.HSS,                      OR(ISNUMBER(SEARCH("HSS",Y49)),ISNUMBER(SEARCH("SquareTube",Z49)),NOT(ISNUMBER(SEARCH("HSS Pipe",Z49)))),
_xlpm.HSSPipe,                  OR(ISNUMBER(SEARCH("HSS Pipe",Z49)),ISNUMBER(SEARCH("Pipe",Z49)),ISNUMBER(SEARCH("Pipe",Y49))),
_xlpm.Pipe,                     OR(ISNUMBER(SEARCH("Pipe",Z49)),ISNUMBER(SEARCH("Pipe",Y49))),
_xlpm.SingleAngle,              OR(ISNUMBER(SEARCH("Single Angle",Z49)),AND(ISNUMBER(SEARCH("Angle",Z49)),ISNUMBER(SEARCH("Single",Z49)))),
_xlpm.DoubleAngle,              AND(ISNUMBER(SEARCH("Angle",Z49)),ISNUMBER(SEARCH("Double",Z49))),
_xlpm.RECT,                     OR(ISNUMBER(SEARCH("RECT",Z49)),ISNUMBER(SEARCH("PL",Y49))),
_xlpm.WideFlange,               OR(ISNUMBER(SEARCH("Wide Flange",Z49)),ISNUMBER(SEARCH("Tee",Z49)),ISNUMBER(SEARCH("W",Y49))),
_xlpm.Channel,                  OR(ISNUMBER(SEARCH("Channel",Z49)),ISNUMBER(SEARCH("C",Y49))),
IF(OR(_xlpm.WideFlange, _xlpm.Channel, _xlpm.SingleAngle, _xlpm.DoubleAngle, _xlpm.RECT),
                          INDEX('[2]AISC Database v16.0'!$D:$D,
                          MATCH(Y49,'[2]AISC Database v16.0'!$B:$B,0)),
IF(AND(_xlpm.HSS,NOT(_xlpm.HSSPipe)), INDEX('[2]AISC Database v16.0'!$F:$F,
                          MATCH(Y49,'[2]AISC Database v16.0'!$B:$B,0)),
IF(OR(_xlpm.Pipe, _xlpm.HSSPipe, _xlpm.BAR),
                          INDEX('[2]AISC Database v16.0'!$H:$H,
                          MATCH(Y49,'[2]AISC Database v16.0'!$B:$B,0)),
0)))),0)))</f>
        <v/>
      </c>
      <c r="AC49" s="229" t="str">
        <f>IF(X49="","",
IF(OR(X49="RIGID",X49="GEN1A"), 0,
IFERROR(_xlfn.LET(
_xlpm.BAR,                      OR(ISNUMBER(SEARCH("BAR",Z49)),ISNUMBER(SEARCH("SR",Y49))),
_xlpm.HSS,                      OR(ISNUMBER(SEARCH("HSS",Y49)),ISNUMBER(SEARCH("SquareTube",Z49)),NOT(ISNUMBER(SEARCH("HSS Pipe",Z49)))),
_xlpm.HSSPipe,                  OR(ISNUMBER(SEARCH("HSS Pipe",Z49)),ISNUMBER(SEARCH("Pipe",Z49)),ISNUMBER(SEARCH("Pipe",Y49))),
_xlpm.Pipe,                     OR(ISNUMBER(SEARCH("Pipe",Z49)),ISNUMBER(SEARCH("Pipe",Y49))),
_xlpm.SingleAngle,              OR(ISNUMBER(SEARCH("Single Angle",Z49)),AND(ISNUMBER(SEARCH("Angle",Z49)),ISNUMBER(SEARCH("Single",Z49)))),
_xlpm.DoubleAngle,              AND(ISNUMBER(SEARCH("Angle",Z49)),ISNUMBER(SEARCH("Double",Z49))),
_xlpm.RECT,                     OR(ISNUMBER(SEARCH("RECT",Z49)),ISNUMBER(SEARCH("PL",Y49))),
_xlpm.WideFlange,               OR(ISNUMBER(SEARCH("Wide Flange",Z49)),ISNUMBER(SEARCH("Tee",Z49)),ISNUMBER(SEARCH("W",Y49))),
_xlpm.Channel,                  OR(ISNUMBER(SEARCH("Channel",Z49)),ISNUMBER(SEARCH("C",Y49))),
IF(OR(_xlpm.WideFlange, _xlpm.Channel),
                          INDEX('[2]AISC Database v16.0'!$I:$I,
                          MATCH(Y49,'[2]AISC Database v16.0'!$B:$B,0)),
IF(OR(_xlpm.SingleAngle, _xlpm.DoubleAngle, _xlpm.RECT),
                          INDEX('[2]AISC Database v16.0'!$L:$L,
                          MATCH(Y49,'[2]AISC Database v16.0'!$B:$B,0)),
IF(AND(_xlpm.HSS,NOT(_xlpm.HSSPipe)),
                          INDEX('[2]AISC Database v16.0'!$K:$K,
                          MATCH(Y49,'[2]AISC Database v16.0'!$B:$B,0)),
IF(OR(_xlpm.Pipe, _xlpm.HSSPipe, _xlpm.BAR),
                          INDEX('[2]AISC Database v16.0'!$H:$H,
                          MATCH(Y49,'[2]AISC Database v16.0'!$B:$B,0)),
0))))),0)))</f>
        <v/>
      </c>
      <c r="AD49" s="230" t="str">
        <f>IF(X49="","",
IF(OR(X49="RIGID",X49="GEN1A"), 0,
IFERROR(_xlfn.LET(
_xlpm.BAR,                      OR(ISNUMBER(SEARCH("BAR",Z49)),ISNUMBER(SEARCH("SR",Y49))),
_xlpm.HSS,                      OR(ISNUMBER(SEARCH("HSS",Y49)),ISNUMBER(SEARCH("SquareTube",Z49)),NOT(ISNUMBER(SEARCH("HSS Pipe",Z49)))),
_xlpm.HSSPipe,                  OR(ISNUMBER(SEARCH("HSS Pipe",Z49)),ISNUMBER(SEARCH("Pipe",Z49)),ISNUMBER(SEARCH("Pipe",Y49))),
_xlpm.Pipe,                     OR(ISNUMBER(SEARCH("Pipe",Z49)),ISNUMBER(SEARCH("Pipe",Y49))),
_xlpm.SingleAngle,              OR(ISNUMBER(SEARCH("Single Angle",Z49)),AND(ISNUMBER(SEARCH("Angle",Z49)),ISNUMBER(SEARCH("Single",Z49)))),
_xlpm.DoubleAngle,              AND(ISNUMBER(SEARCH("Angle",Z49)),ISNUMBER(SEARCH("Double",Z49))),
_xlpm.RECT,                     OR(ISNUMBER(SEARCH("RECT",Z49)),ISNUMBER(SEARCH("PL",Y49))),
_xlpm.WideFlange,               OR(ISNUMBER(SEARCH("Wide Flange",Z49)),ISNUMBER(SEARCH("Tee",Z49)),ISNUMBER(SEARCH("W",Y49))),
_xlpm.Channel,                  OR(ISNUMBER(SEARCH("Channel",Z49)),ISNUMBER(SEARCH("C",Y49))),
IF(_xlpm.WideFlange,            INDEX('[2]AISC Database v16.0'!$O:$O,
                          MATCH(Y49,'[2]AISC Database v16.0'!$B:$B,0)),
IF(_xlpm.Channel,               INDEX('[2]AISC Database v16.0'!$O:$O,
                          MATCH(Y49,'[2]AISC Database v16.0'!$B:$B,0)),
IF(_xlpm.BAR,                   INDEX('[2]AISC Database v16.0'!$T:$T,
                          MATCH(Y49,'[2]AISC Database v16.0'!$B:$B,0)),
IF(_xlpm.SingleAngle,           INDEX('[2]AISC Database v16.0'!$T:$T,
                          MATCH(Y49,'[2]AISC Database v16.0'!$B:$B,0)),
IF(_xlpm.DoubleAngle,           INDEX('[2]AISC Database v16.0'!$T:$T,
                          MATCH(Y49,'[2]AISC Database v16.0'!$B:$B,0)),
IF(_xlpm.RECT,                  INDEX('[2]AISC Database v16.0'!$T:$T,
                          MATCH(Y49,'[2]AISC Database v16.0'!$B:$B,0)),
IF(AND(_xlpm.HSS,NOT(_xlpm.HSSPipe)), INDEX('[2]AISC Database v16.0'!$U:$U,
                          MATCH(Y49,'[2]AISC Database v16.0'!$B:$B,0)),
IF(OR(_xlpm.Pipe, _xlpm.HSSPipe),     INDEX('[2]AISC Database v16.0'!$U:$U,
                          MATCH(Y49,'[2]AISC Database v16.0'!$B:$B,0)),
0))))))))),0)))</f>
        <v/>
      </c>
      <c r="AE49" s="230" t="str">
        <f t="shared" si="0"/>
        <v/>
      </c>
      <c r="AF49" s="229" t="str">
        <f>IF(X49="","",
IF(OR(X49="RIGID",X49="GEN1A"), 0,
IFERROR(INDEX('[2]AISC Database v16.0'!$M:$M, MATCH(Y49,'[2]AISC Database v16.0'!$B:$B,0)), 0)))</f>
        <v/>
      </c>
      <c r="AG49" s="229" t="str">
        <f>IF(X49="","",
IF(OR(X49="RIGID",X49="GEN1A"), 0,
IFERROR(INDEX('[2]AISC Database v16.0'!$C:$C, MATCH(Y49,'[2]AISC Database v16.0'!$B:$B,0)), 0)))</f>
        <v/>
      </c>
      <c r="AR49" s="209"/>
      <c r="AS49" s="209">
        <f>+IFERROR(IF(VLOOKUP($B49,$E$6:$K203,6,0)=0,$O49/12*COS(PI()/180*($P49+0))^2,IF(AND(ABS(VLOOKUP($B49,$E$6:$K203,6,0))&gt;0,$P49=0),$O49/12*COS(PI()/180*($P49+0))^2,IF(AND(ABS(VLOOKUP($B49,$E$6:$K203,6,0))&gt;0,ABS($P49)&gt;0),$O49/12*COS(PI()/180*($P49+0))^2))),0)</f>
        <v>0</v>
      </c>
      <c r="AT49" s="209">
        <f>+IFERROR(IF(VLOOKUP($B49,$E$6:$K203,6,0)=0,0,IF(AND(ABS(VLOOKUP($B49,$E$6:$K203,6,0))&gt;0,$P49=0),ABS(VLOOKUP($B49,$E$6:$K203,6,0))*SIN(PI()/180*($P49+0))^2,IF(AND(ABS(VLOOKUP($B49,$E$6:$K203,6,0))&gt;0,ABS($P49)&gt;0),ABS(VLOOKUP($B49,$E$6:$K203,6,0))*SIN(PI()/180*($P49+0))^2))),0)*IF(RISA3D.Unit.Length="in",1/12,1)</f>
        <v>0</v>
      </c>
      <c r="AU49" s="209">
        <f t="shared" si="6"/>
        <v>0</v>
      </c>
      <c r="AV49" s="209">
        <f>+IFERROR(+IF(VLOOKUP($M49,$S$6:$V203,3,0)=VLOOKUP($N49,$S$6:$V203,3,0), ((((($O49/12+(2*0.5/12))*((VLOOKUP($C49,rngR3DSectionSets,5,0)/12)+(2*0.5/12)))-($O49/12*(VLOOKUP($C49,rngR3DSectionSets,5,0)/12)))*1.2*COS(PI()/180*($P49))^2)) + AU49, (((((AS49+(2*0.5/12))*((VLOOKUP($C49,rngR3DSectionSets,5,0)/12)+(2*0.5/12)))-(AS49*(VLOOKUP($C49,rngR3DSectionSets,5,0)/12)))+(((AT49+(2*0.5/12))*((VLOOKUP($C49,rngR3DSectionSets,5,0)/12)+(2*0.5/12)))-(AT49*(VLOOKUP($C49,rngR3DSectionSets,5,0)/12))))*1.2) + AU49),0)</f>
        <v>0</v>
      </c>
      <c r="AW49" s="209">
        <f>+IFERROR(+IF(VLOOKUP($M49,$S$6:$V203,3,0)=VLOOKUP($N49,$S$6:$V203,3,0), ((((($O49/12+(2*1/12))*((VLOOKUP($C49,rngR3DSectionSets,5,0)/12)+(2*1/12)))-($O49/12*(VLOOKUP($C49,rngR3DSectionSets,5,0)/12)))*1.2*COS(PI()/180*($P49))^2)) + AU49, (((((AS49+(2*1/12))*((VLOOKUP($C49,rngR3DSectionSets,5,0)/12)+(2*1/12)))-(AS49*(VLOOKUP($C49,rngR3DSectionSets,5,0)/12)))+(((AT49+(2*1/12))*((VLOOKUP($C49,rngR3DSectionSets,5,0)/12)+(2*1/12)))-(AT49*(VLOOKUP($C49,rngR3DSectionSets,5,0)/12))))*1.2) + AU49),0)</f>
        <v>0</v>
      </c>
      <c r="AX49" s="209">
        <f>+IFERROR(IF(VLOOKUP($B49,$E$6:$K203,6,0)=0,$O49/12*COS(PI()/180*($P49+90))^2,IF(AND(ABS(VLOOKUP($B49,$E$6:$K203,6,0))&gt;0,$P49=0),$O49/12*COS(PI()/180*($P49+90))^2,IF(AND(ABS(VLOOKUP($B49,$E$6:$K203,6,0))&gt;0,ABS($P49)&gt;0),$O49/12*COS(PI()/180*($P49+90))^2))),0)</f>
        <v>0</v>
      </c>
      <c r="AY49" s="209">
        <f>+IFERROR(IF(VLOOKUP($B49,$E$6:$K203,6,0)=0,0,IF(AND(ABS(VLOOKUP($B49,$E$6:$K203,6,0))&gt;0,$P49=0),ABS(VLOOKUP($B49,$E$6:$K203,6,0))*SIN(PI()/180*($P49+90))^2,IF(AND(ABS(VLOOKUP($B49,$E$6:$K203,6,0))&gt;0,ABS($P49)&gt;0),ABS(VLOOKUP($B49,$E$6:$K203,6,0))*SIN(PI()/180*($P49+90))^2))),0)*IF(RISA3D.Unit.Length="in",1/12,1)</f>
        <v>0</v>
      </c>
      <c r="AZ49" s="209">
        <f t="shared" si="7"/>
        <v>0</v>
      </c>
      <c r="BA49" s="209">
        <f>+IFERROR(+IF(VLOOKUP($M49,$S$6:$V203,3,0)=VLOOKUP($N49,$S$6:$V203,3,0), ((((($O49/12+(2*0.5/12))*((VLOOKUP($C49,rngR3DSectionSets,5,0)/12)+(2*0.5/12)))-($O49/12*(VLOOKUP($C49,rngR3DSectionSets,5,0)/12)))*1.2*COS(PI()/180*($P49))^2)) + AZ49, (((((AX49+(2*0.5/12))*((VLOOKUP($C49,rngR3DSectionSets,5,0)/12)+(2*0.5/12)))-(AX49*(VLOOKUP($C49,rngR3DSectionSets,5,0)/12)))+(((AY49+(2*0.5/12))*((VLOOKUP($C49,rngR3DSectionSets,5,0)/12)+(2*0.5/12)))-(AY49*(VLOOKUP($C49,rngR3DSectionSets,5,0)/12))))*1.2) + AZ49),0)</f>
        <v>0</v>
      </c>
      <c r="BB49" s="209">
        <f>+IFERROR(+IF(VLOOKUP($M49,$S$6:$V203,3,0)=VLOOKUP($N49,$S$6:$V203,3,0), ((((($O49/12+(2*1/12))*((VLOOKUP($C49,rngR3DSectionSets,5,0)/12)+(2*1/12)))-($O49/12*(VLOOKUP($C49,rngR3DSectionSets,5,0)/12)))*1.2*COS(PI()/180*($P49))^2)) + AZ49, (((((AX49+(2*1/12))*((VLOOKUP($C49,rngR3DSectionSets,5,0)/12)+(2*1/12)))-(AX49*(VLOOKUP($C49,rngR3DSectionSets,5,0)/12)))+(((AY49+(2*1/12))*((VLOOKUP($C49,rngR3DSectionSets,5,0)/12)+(2*1/12)))-(AY49*(VLOOKUP($C49,rngR3DSectionSets,5,0)/12))))*1.2) + AZ49),0)</f>
        <v>0</v>
      </c>
      <c r="BC49" s="209">
        <f t="shared" si="8"/>
        <v>0</v>
      </c>
      <c r="BD49" s="209">
        <f t="shared" si="9"/>
        <v>0</v>
      </c>
      <c r="BE49" s="209">
        <f t="shared" si="10"/>
        <v>0</v>
      </c>
      <c r="BF49" s="209"/>
      <c r="BG49" s="209"/>
    </row>
    <row r="50" spans="2:59" ht="15" customHeight="1" x14ac:dyDescent="0.2">
      <c r="B50" s="207"/>
      <c r="C50" s="207"/>
      <c r="D50" s="207"/>
      <c r="E50" s="207"/>
      <c r="F50" s="207"/>
      <c r="G50" s="207"/>
      <c r="H50" s="207"/>
      <c r="I50" s="207"/>
      <c r="J50" s="207"/>
      <c r="K50" s="207"/>
      <c r="L50" s="207"/>
      <c r="M50" s="207"/>
      <c r="N50" s="207"/>
      <c r="O50" s="207"/>
      <c r="P50" s="207"/>
      <c r="Q50" s="207"/>
      <c r="R50" s="207"/>
      <c r="S50" s="207"/>
      <c r="T50" s="228"/>
      <c r="U50" s="228"/>
      <c r="V50" s="228"/>
      <c r="AR50" s="209"/>
      <c r="AS50" s="209">
        <f>+IFERROR(IF(VLOOKUP($B50,$E$6:$K203,6,0)=0,$O50/12*COS(PI()/180*($P50+0))^2,IF(AND(ABS(VLOOKUP($B50,$E$6:$K203,6,0))&gt;0,$P50=0),$O50/12*COS(PI()/180*($P50+0))^2,IF(AND(ABS(VLOOKUP($B50,$E$6:$K203,6,0))&gt;0,ABS($P50)&gt;0),$O50/12*COS(PI()/180*($P50+0))^2))),0)</f>
        <v>0</v>
      </c>
      <c r="AT50" s="209">
        <f>+IFERROR(IF(VLOOKUP($B50,$E$6:$K203,6,0)=0,0,IF(AND(ABS(VLOOKUP($B50,$E$6:$K203,6,0))&gt;0,$P50=0),ABS(VLOOKUP($B50,$E$6:$K203,6,0))*SIN(PI()/180*($P50+0))^2,IF(AND(ABS(VLOOKUP($B50,$E$6:$K203,6,0))&gt;0,ABS($P50)&gt;0),ABS(VLOOKUP($B50,$E$6:$K203,6,0))*SIN(PI()/180*($P50+0))^2))),0)*IF(RISA3D.Unit.Length="in",1/12,1)</f>
        <v>0</v>
      </c>
      <c r="AU50" s="209">
        <f t="shared" si="6"/>
        <v>0</v>
      </c>
      <c r="AV50" s="209">
        <f>+IFERROR(+IF(VLOOKUP($M50,$S$6:$V203,3,0)=VLOOKUP($N50,$S$6:$V203,3,0), ((((($O50/12+(2*0.5/12))*((VLOOKUP($C50,rngR3DSectionSets,5,0)/12)+(2*0.5/12)))-($O50/12*(VLOOKUP($C50,rngR3DSectionSets,5,0)/12)))*1.2*COS(PI()/180*($P50))^2)) + AU50, (((((AS50+(2*0.5/12))*((VLOOKUP($C50,rngR3DSectionSets,5,0)/12)+(2*0.5/12)))-(AS50*(VLOOKUP($C50,rngR3DSectionSets,5,0)/12)))+(((AT50+(2*0.5/12))*((VLOOKUP($C50,rngR3DSectionSets,5,0)/12)+(2*0.5/12)))-(AT50*(VLOOKUP($C50,rngR3DSectionSets,5,0)/12))))*1.2) + AU50),0)</f>
        <v>0</v>
      </c>
      <c r="AW50" s="209">
        <f>+IFERROR(+IF(VLOOKUP($M50,$S$6:$V203,3,0)=VLOOKUP($N50,$S$6:$V203,3,0), ((((($O50/12+(2*1/12))*((VLOOKUP($C50,rngR3DSectionSets,5,0)/12)+(2*1/12)))-($O50/12*(VLOOKUP($C50,rngR3DSectionSets,5,0)/12)))*1.2*COS(PI()/180*($P50))^2)) + AU50, (((((AS50+(2*1/12))*((VLOOKUP($C50,rngR3DSectionSets,5,0)/12)+(2*1/12)))-(AS50*(VLOOKUP($C50,rngR3DSectionSets,5,0)/12)))+(((AT50+(2*1/12))*((VLOOKUP($C50,rngR3DSectionSets,5,0)/12)+(2*1/12)))-(AT50*(VLOOKUP($C50,rngR3DSectionSets,5,0)/12))))*1.2) + AU50),0)</f>
        <v>0</v>
      </c>
      <c r="AX50" s="209">
        <f>+IFERROR(IF(VLOOKUP($B50,$E$6:$K203,6,0)=0,$O50/12*COS(PI()/180*($P50+90))^2,IF(AND(ABS(VLOOKUP($B50,$E$6:$K203,6,0))&gt;0,$P50=0),$O50/12*COS(PI()/180*($P50+90))^2,IF(AND(ABS(VLOOKUP($B50,$E$6:$K203,6,0))&gt;0,ABS($P50)&gt;0),$O50/12*COS(PI()/180*($P50+90))^2))),0)</f>
        <v>0</v>
      </c>
      <c r="AY50" s="209">
        <f>+IFERROR(IF(VLOOKUP($B50,$E$6:$K203,6,0)=0,0,IF(AND(ABS(VLOOKUP($B50,$E$6:$K203,6,0))&gt;0,$P50=0),ABS(VLOOKUP($B50,$E$6:$K203,6,0))*SIN(PI()/180*($P50+90))^2,IF(AND(ABS(VLOOKUP($B50,$E$6:$K203,6,0))&gt;0,ABS($P50)&gt;0),ABS(VLOOKUP($B50,$E$6:$K203,6,0))*SIN(PI()/180*($P50+90))^2))),0)*IF(RISA3D.Unit.Length="in",1/12,1)</f>
        <v>0</v>
      </c>
      <c r="AZ50" s="209">
        <f t="shared" si="7"/>
        <v>0</v>
      </c>
      <c r="BA50" s="209">
        <f>+IFERROR(+IF(VLOOKUP($M50,$S$6:$V203,3,0)=VLOOKUP($N50,$S$6:$V203,3,0), ((((($O50/12+(2*0.5/12))*((VLOOKUP($C50,rngR3DSectionSets,5,0)/12)+(2*0.5/12)))-($O50/12*(VLOOKUP($C50,rngR3DSectionSets,5,0)/12)))*1.2*COS(PI()/180*($P50))^2)) + AZ50, (((((AX50+(2*0.5/12))*((VLOOKUP($C50,rngR3DSectionSets,5,0)/12)+(2*0.5/12)))-(AX50*(VLOOKUP($C50,rngR3DSectionSets,5,0)/12)))+(((AY50+(2*0.5/12))*((VLOOKUP($C50,rngR3DSectionSets,5,0)/12)+(2*0.5/12)))-(AY50*(VLOOKUP($C50,rngR3DSectionSets,5,0)/12))))*1.2) + AZ50),0)</f>
        <v>0</v>
      </c>
      <c r="BB50" s="209">
        <f>+IFERROR(+IF(VLOOKUP($M50,$S$6:$V203,3,0)=VLOOKUP($N50,$S$6:$V203,3,0), ((((($O50/12+(2*1/12))*((VLOOKUP($C50,rngR3DSectionSets,5,0)/12)+(2*1/12)))-($O50/12*(VLOOKUP($C50,rngR3DSectionSets,5,0)/12)))*1.2*COS(PI()/180*($P50))^2)) + AZ50, (((((AX50+(2*1/12))*((VLOOKUP($C50,rngR3DSectionSets,5,0)/12)+(2*1/12)))-(AX50*(VLOOKUP($C50,rngR3DSectionSets,5,0)/12)))+(((AY50+(2*1/12))*((VLOOKUP($C50,rngR3DSectionSets,5,0)/12)+(2*1/12)))-(AY50*(VLOOKUP($C50,rngR3DSectionSets,5,0)/12))))*1.2) + AZ50),0)</f>
        <v>0</v>
      </c>
      <c r="BC50" s="209">
        <f t="shared" si="8"/>
        <v>0</v>
      </c>
      <c r="BD50" s="209">
        <f t="shared" si="9"/>
        <v>0</v>
      </c>
      <c r="BE50" s="209">
        <f t="shared" si="10"/>
        <v>0</v>
      </c>
      <c r="BF50" s="209"/>
      <c r="BG50" s="209"/>
    </row>
    <row r="51" spans="2:59" ht="15" customHeight="1" x14ac:dyDescent="0.2">
      <c r="B51" s="207"/>
      <c r="C51" s="207"/>
      <c r="D51" s="207"/>
      <c r="E51" s="207"/>
      <c r="F51" s="207"/>
      <c r="G51" s="207"/>
      <c r="H51" s="207"/>
      <c r="I51" s="207"/>
      <c r="J51" s="207"/>
      <c r="K51" s="207"/>
      <c r="L51" s="207"/>
      <c r="M51" s="207"/>
      <c r="N51" s="207"/>
      <c r="O51" s="207"/>
      <c r="P51" s="207"/>
      <c r="Q51" s="207"/>
      <c r="R51" s="207"/>
      <c r="S51" s="207"/>
      <c r="T51" s="228"/>
      <c r="U51" s="228"/>
      <c r="V51" s="228"/>
      <c r="AR51" s="209"/>
      <c r="AS51" s="209">
        <f>+IFERROR(IF(VLOOKUP($B51,$E$6:$K203,6,0)=0,$O51/12*COS(PI()/180*($P51+0))^2,IF(AND(ABS(VLOOKUP($B51,$E$6:$K203,6,0))&gt;0,$P51=0),$O51/12*COS(PI()/180*($P51+0))^2,IF(AND(ABS(VLOOKUP($B51,$E$6:$K203,6,0))&gt;0,ABS($P51)&gt;0),$O51/12*COS(PI()/180*($P51+0))^2))),0)</f>
        <v>0</v>
      </c>
      <c r="AT51" s="209">
        <f>+IFERROR(IF(VLOOKUP($B51,$E$6:$K203,6,0)=0,0,IF(AND(ABS(VLOOKUP($B51,$E$6:$K203,6,0))&gt;0,$P51=0),ABS(VLOOKUP($B51,$E$6:$K203,6,0))*SIN(PI()/180*($P51+0))^2,IF(AND(ABS(VLOOKUP($B51,$E$6:$K203,6,0))&gt;0,ABS($P51)&gt;0),ABS(VLOOKUP($B51,$E$6:$K203,6,0))*SIN(PI()/180*($P51+0))^2))),0)*IF(RISA3D.Unit.Length="in",1/12,1)</f>
        <v>0</v>
      </c>
      <c r="AU51" s="209">
        <f t="shared" si="6"/>
        <v>0</v>
      </c>
      <c r="AV51" s="209">
        <f>+IFERROR(+IF(VLOOKUP($M51,$S$6:$V203,3,0)=VLOOKUP($N51,$S$6:$V203,3,0), ((((($O51/12+(2*0.5/12))*((VLOOKUP($C51,rngR3DSectionSets,5,0)/12)+(2*0.5/12)))-($O51/12*(VLOOKUP($C51,rngR3DSectionSets,5,0)/12)))*1.2*COS(PI()/180*($P51))^2)) + AU51, (((((AS51+(2*0.5/12))*((VLOOKUP($C51,rngR3DSectionSets,5,0)/12)+(2*0.5/12)))-(AS51*(VLOOKUP($C51,rngR3DSectionSets,5,0)/12)))+(((AT51+(2*0.5/12))*((VLOOKUP($C51,rngR3DSectionSets,5,0)/12)+(2*0.5/12)))-(AT51*(VLOOKUP($C51,rngR3DSectionSets,5,0)/12))))*1.2) + AU51),0)</f>
        <v>0</v>
      </c>
      <c r="AW51" s="209">
        <f>+IFERROR(+IF(VLOOKUP($M51,$S$6:$V203,3,0)=VLOOKUP($N51,$S$6:$V203,3,0), ((((($O51/12+(2*1/12))*((VLOOKUP($C51,rngR3DSectionSets,5,0)/12)+(2*1/12)))-($O51/12*(VLOOKUP($C51,rngR3DSectionSets,5,0)/12)))*1.2*COS(PI()/180*($P51))^2)) + AU51, (((((AS51+(2*1/12))*((VLOOKUP($C51,rngR3DSectionSets,5,0)/12)+(2*1/12)))-(AS51*(VLOOKUP($C51,rngR3DSectionSets,5,0)/12)))+(((AT51+(2*1/12))*((VLOOKUP($C51,rngR3DSectionSets,5,0)/12)+(2*1/12)))-(AT51*(VLOOKUP($C51,rngR3DSectionSets,5,0)/12))))*1.2) + AU51),0)</f>
        <v>0</v>
      </c>
      <c r="AX51" s="209">
        <f>+IFERROR(IF(VLOOKUP($B51,$E$6:$K203,6,0)=0,$O51/12*COS(PI()/180*($P51+90))^2,IF(AND(ABS(VLOOKUP($B51,$E$6:$K203,6,0))&gt;0,$P51=0),$O51/12*COS(PI()/180*($P51+90))^2,IF(AND(ABS(VLOOKUP($B51,$E$6:$K203,6,0))&gt;0,ABS($P51)&gt;0),$O51/12*COS(PI()/180*($P51+90))^2))),0)</f>
        <v>0</v>
      </c>
      <c r="AY51" s="209">
        <f>+IFERROR(IF(VLOOKUP($B51,$E$6:$K203,6,0)=0,0,IF(AND(ABS(VLOOKUP($B51,$E$6:$K203,6,0))&gt;0,$P51=0),ABS(VLOOKUP($B51,$E$6:$K203,6,0))*SIN(PI()/180*($P51+90))^2,IF(AND(ABS(VLOOKUP($B51,$E$6:$K203,6,0))&gt;0,ABS($P51)&gt;0),ABS(VLOOKUP($B51,$E$6:$K203,6,0))*SIN(PI()/180*($P51+90))^2))),0)*IF(RISA3D.Unit.Length="in",1/12,1)</f>
        <v>0</v>
      </c>
      <c r="AZ51" s="209">
        <f t="shared" si="7"/>
        <v>0</v>
      </c>
      <c r="BA51" s="209">
        <f>+IFERROR(+IF(VLOOKUP($M51,$S$6:$V203,3,0)=VLOOKUP($N51,$S$6:$V203,3,0), ((((($O51/12+(2*0.5/12))*((VLOOKUP($C51,rngR3DSectionSets,5,0)/12)+(2*0.5/12)))-($O51/12*(VLOOKUP($C51,rngR3DSectionSets,5,0)/12)))*1.2*COS(PI()/180*($P51))^2)) + AZ51, (((((AX51+(2*0.5/12))*((VLOOKUP($C51,rngR3DSectionSets,5,0)/12)+(2*0.5/12)))-(AX51*(VLOOKUP($C51,rngR3DSectionSets,5,0)/12)))+(((AY51+(2*0.5/12))*((VLOOKUP($C51,rngR3DSectionSets,5,0)/12)+(2*0.5/12)))-(AY51*(VLOOKUP($C51,rngR3DSectionSets,5,0)/12))))*1.2) + AZ51),0)</f>
        <v>0</v>
      </c>
      <c r="BB51" s="209">
        <f>+IFERROR(+IF(VLOOKUP($M51,$S$6:$V203,3,0)=VLOOKUP($N51,$S$6:$V203,3,0), ((((($O51/12+(2*1/12))*((VLOOKUP($C51,rngR3DSectionSets,5,0)/12)+(2*1/12)))-($O51/12*(VLOOKUP($C51,rngR3DSectionSets,5,0)/12)))*1.2*COS(PI()/180*($P51))^2)) + AZ51, (((((AX51+(2*1/12))*((VLOOKUP($C51,rngR3DSectionSets,5,0)/12)+(2*1/12)))-(AX51*(VLOOKUP($C51,rngR3DSectionSets,5,0)/12)))+(((AY51+(2*1/12))*((VLOOKUP($C51,rngR3DSectionSets,5,0)/12)+(2*1/12)))-(AY51*(VLOOKUP($C51,rngR3DSectionSets,5,0)/12))))*1.2) + AZ51),0)</f>
        <v>0</v>
      </c>
      <c r="BC51" s="209">
        <f t="shared" si="8"/>
        <v>0</v>
      </c>
      <c r="BD51" s="209">
        <f t="shared" si="9"/>
        <v>0</v>
      </c>
      <c r="BE51" s="209">
        <f t="shared" si="10"/>
        <v>0</v>
      </c>
      <c r="BF51" s="209"/>
      <c r="BG51" s="209"/>
    </row>
    <row r="52" spans="2:59" ht="15" customHeight="1" x14ac:dyDescent="0.2">
      <c r="B52" s="207"/>
      <c r="C52" s="207"/>
      <c r="D52" s="207"/>
      <c r="E52" s="207"/>
      <c r="F52" s="207"/>
      <c r="G52" s="207"/>
      <c r="H52" s="207"/>
      <c r="I52" s="207"/>
      <c r="J52" s="207"/>
      <c r="K52" s="207"/>
      <c r="L52" s="207"/>
      <c r="M52" s="207"/>
      <c r="N52" s="207"/>
      <c r="O52" s="207"/>
      <c r="P52" s="207"/>
      <c r="Q52" s="207"/>
      <c r="R52" s="207"/>
      <c r="S52" s="207"/>
      <c r="T52" s="228"/>
      <c r="U52" s="228"/>
      <c r="V52" s="228"/>
      <c r="AR52" s="209"/>
      <c r="AS52" s="209">
        <f>+IFERROR(IF(VLOOKUP($B52,$E$6:$K203,6,0)=0,$O52/12*COS(PI()/180*($P52+0))^2,IF(AND(ABS(VLOOKUP($B52,$E$6:$K203,6,0))&gt;0,$P52=0),$O52/12*COS(PI()/180*($P52+0))^2,IF(AND(ABS(VLOOKUP($B52,$E$6:$K203,6,0))&gt;0,ABS($P52)&gt;0),$O52/12*COS(PI()/180*($P52+0))^2))),0)</f>
        <v>0</v>
      </c>
      <c r="AT52" s="209">
        <f>+IFERROR(IF(VLOOKUP($B52,$E$6:$K203,6,0)=0,0,IF(AND(ABS(VLOOKUP($B52,$E$6:$K203,6,0))&gt;0,$P52=0),ABS(VLOOKUP($B52,$E$6:$K203,6,0))*SIN(PI()/180*($P52+0))^2,IF(AND(ABS(VLOOKUP($B52,$E$6:$K203,6,0))&gt;0,ABS($P52)&gt;0),ABS(VLOOKUP($B52,$E$6:$K203,6,0))*SIN(PI()/180*($P52+0))^2))),0)*IF(RISA3D.Unit.Length="in",1/12,1)</f>
        <v>0</v>
      </c>
      <c r="AU52" s="209">
        <f t="shared" si="6"/>
        <v>0</v>
      </c>
      <c r="AV52" s="209">
        <f>+IFERROR(+IF(VLOOKUP($M52,$S$6:$V203,3,0)=VLOOKUP($N52,$S$6:$V203,3,0), ((((($O52/12+(2*0.5/12))*((VLOOKUP($C52,rngR3DSectionSets,5,0)/12)+(2*0.5/12)))-($O52/12*(VLOOKUP($C52,rngR3DSectionSets,5,0)/12)))*1.2*COS(PI()/180*($P52))^2)) + AU52, (((((AS52+(2*0.5/12))*((VLOOKUP($C52,rngR3DSectionSets,5,0)/12)+(2*0.5/12)))-(AS52*(VLOOKUP($C52,rngR3DSectionSets,5,0)/12)))+(((AT52+(2*0.5/12))*((VLOOKUP($C52,rngR3DSectionSets,5,0)/12)+(2*0.5/12)))-(AT52*(VLOOKUP($C52,rngR3DSectionSets,5,0)/12))))*1.2) + AU52),0)</f>
        <v>0</v>
      </c>
      <c r="AW52" s="209">
        <f>+IFERROR(+IF(VLOOKUP($M52,$S$6:$V203,3,0)=VLOOKUP($N52,$S$6:$V203,3,0), ((((($O52/12+(2*1/12))*((VLOOKUP($C52,rngR3DSectionSets,5,0)/12)+(2*1/12)))-($O52/12*(VLOOKUP($C52,rngR3DSectionSets,5,0)/12)))*1.2*COS(PI()/180*($P52))^2)) + AU52, (((((AS52+(2*1/12))*((VLOOKUP($C52,rngR3DSectionSets,5,0)/12)+(2*1/12)))-(AS52*(VLOOKUP($C52,rngR3DSectionSets,5,0)/12)))+(((AT52+(2*1/12))*((VLOOKUP($C52,rngR3DSectionSets,5,0)/12)+(2*1/12)))-(AT52*(VLOOKUP($C52,rngR3DSectionSets,5,0)/12))))*1.2) + AU52),0)</f>
        <v>0</v>
      </c>
      <c r="AX52" s="209">
        <f>+IFERROR(IF(VLOOKUP($B52,$E$6:$K203,6,0)=0,$O52/12*COS(PI()/180*($P52+90))^2,IF(AND(ABS(VLOOKUP($B52,$E$6:$K203,6,0))&gt;0,$P52=0),$O52/12*COS(PI()/180*($P52+90))^2,IF(AND(ABS(VLOOKUP($B52,$E$6:$K203,6,0))&gt;0,ABS($P52)&gt;0),$O52/12*COS(PI()/180*($P52+90))^2))),0)</f>
        <v>0</v>
      </c>
      <c r="AY52" s="209">
        <f>+IFERROR(IF(VLOOKUP($B52,$E$6:$K203,6,0)=0,0,IF(AND(ABS(VLOOKUP($B52,$E$6:$K203,6,0))&gt;0,$P52=0),ABS(VLOOKUP($B52,$E$6:$K203,6,0))*SIN(PI()/180*($P52+90))^2,IF(AND(ABS(VLOOKUP($B52,$E$6:$K203,6,0))&gt;0,ABS($P52)&gt;0),ABS(VLOOKUP($B52,$E$6:$K203,6,0))*SIN(PI()/180*($P52+90))^2))),0)*IF(RISA3D.Unit.Length="in",1/12,1)</f>
        <v>0</v>
      </c>
      <c r="AZ52" s="209">
        <f t="shared" si="7"/>
        <v>0</v>
      </c>
      <c r="BA52" s="209">
        <f>+IFERROR(+IF(VLOOKUP($M52,$S$6:$V203,3,0)=VLOOKUP($N52,$S$6:$V203,3,0), ((((($O52/12+(2*0.5/12))*((VLOOKUP($C52,rngR3DSectionSets,5,0)/12)+(2*0.5/12)))-($O52/12*(VLOOKUP($C52,rngR3DSectionSets,5,0)/12)))*1.2*COS(PI()/180*($P52))^2)) + AZ52, (((((AX52+(2*0.5/12))*((VLOOKUP($C52,rngR3DSectionSets,5,0)/12)+(2*0.5/12)))-(AX52*(VLOOKUP($C52,rngR3DSectionSets,5,0)/12)))+(((AY52+(2*0.5/12))*((VLOOKUP($C52,rngR3DSectionSets,5,0)/12)+(2*0.5/12)))-(AY52*(VLOOKUP($C52,rngR3DSectionSets,5,0)/12))))*1.2) + AZ52),0)</f>
        <v>0</v>
      </c>
      <c r="BB52" s="209">
        <f>+IFERROR(+IF(VLOOKUP($M52,$S$6:$V203,3,0)=VLOOKUP($N52,$S$6:$V203,3,0), ((((($O52/12+(2*1/12))*((VLOOKUP($C52,rngR3DSectionSets,5,0)/12)+(2*1/12)))-($O52/12*(VLOOKUP($C52,rngR3DSectionSets,5,0)/12)))*1.2*COS(PI()/180*($P52))^2)) + AZ52, (((((AX52+(2*1/12))*((VLOOKUP($C52,rngR3DSectionSets,5,0)/12)+(2*1/12)))-(AX52*(VLOOKUP($C52,rngR3DSectionSets,5,0)/12)))+(((AY52+(2*1/12))*((VLOOKUP($C52,rngR3DSectionSets,5,0)/12)+(2*1/12)))-(AY52*(VLOOKUP($C52,rngR3DSectionSets,5,0)/12))))*1.2) + AZ52),0)</f>
        <v>0</v>
      </c>
      <c r="BC52" s="209">
        <f t="shared" si="8"/>
        <v>0</v>
      </c>
      <c r="BD52" s="209">
        <f t="shared" si="9"/>
        <v>0</v>
      </c>
      <c r="BE52" s="209">
        <f t="shared" si="10"/>
        <v>0</v>
      </c>
      <c r="BF52" s="209"/>
      <c r="BG52" s="209"/>
    </row>
    <row r="53" spans="2:59" ht="15" customHeight="1" x14ac:dyDescent="0.2">
      <c r="B53" s="207"/>
      <c r="C53" s="207"/>
      <c r="D53" s="207"/>
      <c r="E53" s="207"/>
      <c r="F53" s="207"/>
      <c r="G53" s="207"/>
      <c r="H53" s="207"/>
      <c r="I53" s="207"/>
      <c r="J53" s="207"/>
      <c r="K53" s="207"/>
      <c r="L53" s="207"/>
      <c r="M53" s="207"/>
      <c r="N53" s="207"/>
      <c r="O53" s="207"/>
      <c r="P53" s="207"/>
      <c r="Q53" s="207"/>
      <c r="R53" s="207"/>
      <c r="S53" s="207"/>
      <c r="T53" s="228"/>
      <c r="U53" s="228"/>
      <c r="V53" s="228"/>
      <c r="AR53" s="209"/>
      <c r="AS53" s="209">
        <f>+IFERROR(IF(VLOOKUP($B53,$E$6:$K203,6,0)=0,$O53/12*COS(PI()/180*($P53+0))^2,IF(AND(ABS(VLOOKUP($B53,$E$6:$K203,6,0))&gt;0,$P53=0),$O53/12*COS(PI()/180*($P53+0))^2,IF(AND(ABS(VLOOKUP($B53,$E$6:$K203,6,0))&gt;0,ABS($P53)&gt;0),$O53/12*COS(PI()/180*($P53+0))^2))),0)</f>
        <v>0</v>
      </c>
      <c r="AT53" s="209">
        <f>+IFERROR(IF(VLOOKUP($B53,$E$6:$K203,6,0)=0,0,IF(AND(ABS(VLOOKUP($B53,$E$6:$K203,6,0))&gt;0,$P53=0),ABS(VLOOKUP($B53,$E$6:$K203,6,0))*SIN(PI()/180*($P53+0))^2,IF(AND(ABS(VLOOKUP($B53,$E$6:$K203,6,0))&gt;0,ABS($P53)&gt;0),ABS(VLOOKUP($B53,$E$6:$K203,6,0))*SIN(PI()/180*($P53+0))^2))),0)*IF(RISA3D.Unit.Length="in",1/12,1)</f>
        <v>0</v>
      </c>
      <c r="AU53" s="209">
        <f t="shared" si="6"/>
        <v>0</v>
      </c>
      <c r="AV53" s="209">
        <f>+IFERROR(+IF(VLOOKUP($M53,$S$6:$V203,3,0)=VLOOKUP($N53,$S$6:$V203,3,0), ((((($O53/12+(2*0.5/12))*((VLOOKUP($C53,rngR3DSectionSets,5,0)/12)+(2*0.5/12)))-($O53/12*(VLOOKUP($C53,rngR3DSectionSets,5,0)/12)))*1.2*COS(PI()/180*($P53))^2)) + AU53, (((((AS53+(2*0.5/12))*((VLOOKUP($C53,rngR3DSectionSets,5,0)/12)+(2*0.5/12)))-(AS53*(VLOOKUP($C53,rngR3DSectionSets,5,0)/12)))+(((AT53+(2*0.5/12))*((VLOOKUP($C53,rngR3DSectionSets,5,0)/12)+(2*0.5/12)))-(AT53*(VLOOKUP($C53,rngR3DSectionSets,5,0)/12))))*1.2) + AU53),0)</f>
        <v>0</v>
      </c>
      <c r="AW53" s="209">
        <f>+IFERROR(+IF(VLOOKUP($M53,$S$6:$V203,3,0)=VLOOKUP($N53,$S$6:$V203,3,0), ((((($O53/12+(2*1/12))*((VLOOKUP($C53,rngR3DSectionSets,5,0)/12)+(2*1/12)))-($O53/12*(VLOOKUP($C53,rngR3DSectionSets,5,0)/12)))*1.2*COS(PI()/180*($P53))^2)) + AU53, (((((AS53+(2*1/12))*((VLOOKUP($C53,rngR3DSectionSets,5,0)/12)+(2*1/12)))-(AS53*(VLOOKUP($C53,rngR3DSectionSets,5,0)/12)))+(((AT53+(2*1/12))*((VLOOKUP($C53,rngR3DSectionSets,5,0)/12)+(2*1/12)))-(AT53*(VLOOKUP($C53,rngR3DSectionSets,5,0)/12))))*1.2) + AU53),0)</f>
        <v>0</v>
      </c>
      <c r="AX53" s="209">
        <f>+IFERROR(IF(VLOOKUP($B53,$E$6:$K203,6,0)=0,$O53/12*COS(PI()/180*($P53+90))^2,IF(AND(ABS(VLOOKUP($B53,$E$6:$K203,6,0))&gt;0,$P53=0),$O53/12*COS(PI()/180*($P53+90))^2,IF(AND(ABS(VLOOKUP($B53,$E$6:$K203,6,0))&gt;0,ABS($P53)&gt;0),$O53/12*COS(PI()/180*($P53+90))^2))),0)</f>
        <v>0</v>
      </c>
      <c r="AY53" s="209">
        <f>+IFERROR(IF(VLOOKUP($B53,$E$6:$K203,6,0)=0,0,IF(AND(ABS(VLOOKUP($B53,$E$6:$K203,6,0))&gt;0,$P53=0),ABS(VLOOKUP($B53,$E$6:$K203,6,0))*SIN(PI()/180*($P53+90))^2,IF(AND(ABS(VLOOKUP($B53,$E$6:$K203,6,0))&gt;0,ABS($P53)&gt;0),ABS(VLOOKUP($B53,$E$6:$K203,6,0))*SIN(PI()/180*($P53+90))^2))),0)*IF(RISA3D.Unit.Length="in",1/12,1)</f>
        <v>0</v>
      </c>
      <c r="AZ53" s="209">
        <f t="shared" si="7"/>
        <v>0</v>
      </c>
      <c r="BA53" s="209">
        <f>+IFERROR(+IF(VLOOKUP($M53,$S$6:$V203,3,0)=VLOOKUP($N53,$S$6:$V203,3,0), ((((($O53/12+(2*0.5/12))*((VLOOKUP($C53,rngR3DSectionSets,5,0)/12)+(2*0.5/12)))-($O53/12*(VLOOKUP($C53,rngR3DSectionSets,5,0)/12)))*1.2*COS(PI()/180*($P53))^2)) + AZ53, (((((AX53+(2*0.5/12))*((VLOOKUP($C53,rngR3DSectionSets,5,0)/12)+(2*0.5/12)))-(AX53*(VLOOKUP($C53,rngR3DSectionSets,5,0)/12)))+(((AY53+(2*0.5/12))*((VLOOKUP($C53,rngR3DSectionSets,5,0)/12)+(2*0.5/12)))-(AY53*(VLOOKUP($C53,rngR3DSectionSets,5,0)/12))))*1.2) + AZ53),0)</f>
        <v>0</v>
      </c>
      <c r="BB53" s="209">
        <f>+IFERROR(+IF(VLOOKUP($M53,$S$6:$V203,3,0)=VLOOKUP($N53,$S$6:$V203,3,0), ((((($O53/12+(2*1/12))*((VLOOKUP($C53,rngR3DSectionSets,5,0)/12)+(2*1/12)))-($O53/12*(VLOOKUP($C53,rngR3DSectionSets,5,0)/12)))*1.2*COS(PI()/180*($P53))^2)) + AZ53, (((((AX53+(2*1/12))*((VLOOKUP($C53,rngR3DSectionSets,5,0)/12)+(2*1/12)))-(AX53*(VLOOKUP($C53,rngR3DSectionSets,5,0)/12)))+(((AY53+(2*1/12))*((VLOOKUP($C53,rngR3DSectionSets,5,0)/12)+(2*1/12)))-(AY53*(VLOOKUP($C53,rngR3DSectionSets,5,0)/12))))*1.2) + AZ53),0)</f>
        <v>0</v>
      </c>
      <c r="BC53" s="209">
        <f t="shared" si="8"/>
        <v>0</v>
      </c>
      <c r="BD53" s="209">
        <f t="shared" si="9"/>
        <v>0</v>
      </c>
      <c r="BE53" s="209">
        <f t="shared" si="10"/>
        <v>0</v>
      </c>
      <c r="BF53" s="209"/>
      <c r="BG53" s="209"/>
    </row>
    <row r="54" spans="2:59" ht="15" customHeight="1" x14ac:dyDescent="0.2">
      <c r="B54" s="207"/>
      <c r="C54" s="207"/>
      <c r="D54" s="207"/>
      <c r="E54" s="207"/>
      <c r="F54" s="207"/>
      <c r="G54" s="207"/>
      <c r="H54" s="207"/>
      <c r="I54" s="207"/>
      <c r="J54" s="207"/>
      <c r="K54" s="207"/>
      <c r="L54" s="207"/>
      <c r="M54" s="207"/>
      <c r="N54" s="207"/>
      <c r="O54" s="207"/>
      <c r="P54" s="207"/>
      <c r="Q54" s="207"/>
      <c r="R54" s="207"/>
      <c r="S54" s="207"/>
      <c r="T54" s="228"/>
      <c r="U54" s="228"/>
      <c r="V54" s="228"/>
      <c r="AR54" s="209"/>
      <c r="AS54" s="209">
        <f>+IFERROR(IF(VLOOKUP($B54,$E$6:$K203,6,0)=0,$O54/12*COS(PI()/180*($P54+0))^2,IF(AND(ABS(VLOOKUP($B54,$E$6:$K203,6,0))&gt;0,$P54=0),$O54/12*COS(PI()/180*($P54+0))^2,IF(AND(ABS(VLOOKUP($B54,$E$6:$K203,6,0))&gt;0,ABS($P54)&gt;0),$O54/12*COS(PI()/180*($P54+0))^2))),0)</f>
        <v>0</v>
      </c>
      <c r="AT54" s="209">
        <f>+IFERROR(IF(VLOOKUP($B54,$E$6:$K203,6,0)=0,0,IF(AND(ABS(VLOOKUP($B54,$E$6:$K203,6,0))&gt;0,$P54=0),ABS(VLOOKUP($B54,$E$6:$K203,6,0))*SIN(PI()/180*($P54+0))^2,IF(AND(ABS(VLOOKUP($B54,$E$6:$K203,6,0))&gt;0,ABS($P54)&gt;0),ABS(VLOOKUP($B54,$E$6:$K203,6,0))*SIN(PI()/180*($P54+0))^2))),0)*IF(RISA3D.Unit.Length="in",1/12,1)</f>
        <v>0</v>
      </c>
      <c r="AU54" s="209">
        <f t="shared" si="6"/>
        <v>0</v>
      </c>
      <c r="AV54" s="209">
        <f>+IFERROR(+IF(VLOOKUP($M54,$S$6:$V203,3,0)=VLOOKUP($N54,$S$6:$V203,3,0), ((((($O54/12+(2*0.5/12))*((VLOOKUP($C54,rngR3DSectionSets,5,0)/12)+(2*0.5/12)))-($O54/12*(VLOOKUP($C54,rngR3DSectionSets,5,0)/12)))*1.2*COS(PI()/180*($P54))^2)) + AU54, (((((AS54+(2*0.5/12))*((VLOOKUP($C54,rngR3DSectionSets,5,0)/12)+(2*0.5/12)))-(AS54*(VLOOKUP($C54,rngR3DSectionSets,5,0)/12)))+(((AT54+(2*0.5/12))*((VLOOKUP($C54,rngR3DSectionSets,5,0)/12)+(2*0.5/12)))-(AT54*(VLOOKUP($C54,rngR3DSectionSets,5,0)/12))))*1.2) + AU54),0)</f>
        <v>0</v>
      </c>
      <c r="AW54" s="209">
        <f>+IFERROR(+IF(VLOOKUP($M54,$S$6:$V203,3,0)=VLOOKUP($N54,$S$6:$V203,3,0), ((((($O54/12+(2*1/12))*((VLOOKUP($C54,rngR3DSectionSets,5,0)/12)+(2*1/12)))-($O54/12*(VLOOKUP($C54,rngR3DSectionSets,5,0)/12)))*1.2*COS(PI()/180*($P54))^2)) + AU54, (((((AS54+(2*1/12))*((VLOOKUP($C54,rngR3DSectionSets,5,0)/12)+(2*1/12)))-(AS54*(VLOOKUP($C54,rngR3DSectionSets,5,0)/12)))+(((AT54+(2*1/12))*((VLOOKUP($C54,rngR3DSectionSets,5,0)/12)+(2*1/12)))-(AT54*(VLOOKUP($C54,rngR3DSectionSets,5,0)/12))))*1.2) + AU54),0)</f>
        <v>0</v>
      </c>
      <c r="AX54" s="209">
        <f>+IFERROR(IF(VLOOKUP($B54,$E$6:$K203,6,0)=0,$O54/12*COS(PI()/180*($P54+90))^2,IF(AND(ABS(VLOOKUP($B54,$E$6:$K203,6,0))&gt;0,$P54=0),$O54/12*COS(PI()/180*($P54+90))^2,IF(AND(ABS(VLOOKUP($B54,$E$6:$K203,6,0))&gt;0,ABS($P54)&gt;0),$O54/12*COS(PI()/180*($P54+90))^2))),0)</f>
        <v>0</v>
      </c>
      <c r="AY54" s="209">
        <f>+IFERROR(IF(VLOOKUP($B54,$E$6:$K203,6,0)=0,0,IF(AND(ABS(VLOOKUP($B54,$E$6:$K203,6,0))&gt;0,$P54=0),ABS(VLOOKUP($B54,$E$6:$K203,6,0))*SIN(PI()/180*($P54+90))^2,IF(AND(ABS(VLOOKUP($B54,$E$6:$K203,6,0))&gt;0,ABS($P54)&gt;0),ABS(VLOOKUP($B54,$E$6:$K203,6,0))*SIN(PI()/180*($P54+90))^2))),0)*IF(RISA3D.Unit.Length="in",1/12,1)</f>
        <v>0</v>
      </c>
      <c r="AZ54" s="209">
        <f t="shared" si="7"/>
        <v>0</v>
      </c>
      <c r="BA54" s="209">
        <f>+IFERROR(+IF(VLOOKUP($M54,$S$6:$V203,3,0)=VLOOKUP($N54,$S$6:$V203,3,0), ((((($O54/12+(2*0.5/12))*((VLOOKUP($C54,rngR3DSectionSets,5,0)/12)+(2*0.5/12)))-($O54/12*(VLOOKUP($C54,rngR3DSectionSets,5,0)/12)))*1.2*COS(PI()/180*($P54))^2)) + AZ54, (((((AX54+(2*0.5/12))*((VLOOKUP($C54,rngR3DSectionSets,5,0)/12)+(2*0.5/12)))-(AX54*(VLOOKUP($C54,rngR3DSectionSets,5,0)/12)))+(((AY54+(2*0.5/12))*((VLOOKUP($C54,rngR3DSectionSets,5,0)/12)+(2*0.5/12)))-(AY54*(VLOOKUP($C54,rngR3DSectionSets,5,0)/12))))*1.2) + AZ54),0)</f>
        <v>0</v>
      </c>
      <c r="BB54" s="209">
        <f>+IFERROR(+IF(VLOOKUP($M54,$S$6:$V203,3,0)=VLOOKUP($N54,$S$6:$V203,3,0), ((((($O54/12+(2*1/12))*((VLOOKUP($C54,rngR3DSectionSets,5,0)/12)+(2*1/12)))-($O54/12*(VLOOKUP($C54,rngR3DSectionSets,5,0)/12)))*1.2*COS(PI()/180*($P54))^2)) + AZ54, (((((AX54+(2*1/12))*((VLOOKUP($C54,rngR3DSectionSets,5,0)/12)+(2*1/12)))-(AX54*(VLOOKUP($C54,rngR3DSectionSets,5,0)/12)))+(((AY54+(2*1/12))*((VLOOKUP($C54,rngR3DSectionSets,5,0)/12)+(2*1/12)))-(AY54*(VLOOKUP($C54,rngR3DSectionSets,5,0)/12))))*1.2) + AZ54),0)</f>
        <v>0</v>
      </c>
      <c r="BC54" s="209">
        <f t="shared" si="8"/>
        <v>0</v>
      </c>
      <c r="BD54" s="209">
        <f t="shared" si="9"/>
        <v>0</v>
      </c>
      <c r="BE54" s="209">
        <f t="shared" si="10"/>
        <v>0</v>
      </c>
      <c r="BF54" s="209"/>
      <c r="BG54" s="209"/>
    </row>
    <row r="55" spans="2:59" ht="15" customHeight="1" x14ac:dyDescent="0.2">
      <c r="B55" s="207"/>
      <c r="C55" s="207"/>
      <c r="D55" s="207"/>
      <c r="E55" s="207"/>
      <c r="F55" s="207"/>
      <c r="G55" s="207"/>
      <c r="H55" s="207"/>
      <c r="I55" s="207"/>
      <c r="J55" s="207"/>
      <c r="K55" s="207"/>
      <c r="L55" s="207"/>
      <c r="M55" s="207"/>
      <c r="N55" s="207"/>
      <c r="O55" s="207"/>
      <c r="P55" s="207"/>
      <c r="Q55" s="207"/>
      <c r="R55" s="207"/>
      <c r="S55" s="207"/>
      <c r="T55" s="228"/>
      <c r="U55" s="228"/>
      <c r="V55" s="228"/>
      <c r="AR55" s="209"/>
      <c r="AS55" s="209">
        <f>+IFERROR(IF(VLOOKUP($B55,$E$6:$K203,6,0)=0,$O55/12*COS(PI()/180*($P55+0))^2,IF(AND(ABS(VLOOKUP($B55,$E$6:$K203,6,0))&gt;0,$P55=0),$O55/12*COS(PI()/180*($P55+0))^2,IF(AND(ABS(VLOOKUP($B55,$E$6:$K203,6,0))&gt;0,ABS($P55)&gt;0),$O55/12*COS(PI()/180*($P55+0))^2))),0)</f>
        <v>0</v>
      </c>
      <c r="AT55" s="209">
        <f>+IFERROR(IF(VLOOKUP($B55,$E$6:$K203,6,0)=0,0,IF(AND(ABS(VLOOKUP($B55,$E$6:$K203,6,0))&gt;0,$P55=0),ABS(VLOOKUP($B55,$E$6:$K203,6,0))*SIN(PI()/180*($P55+0))^2,IF(AND(ABS(VLOOKUP($B55,$E$6:$K203,6,0))&gt;0,ABS($P55)&gt;0),ABS(VLOOKUP($B55,$E$6:$K203,6,0))*SIN(PI()/180*($P55+0))^2))),0)*IF(RISA3D.Unit.Length="in",1/12,1)</f>
        <v>0</v>
      </c>
      <c r="AU55" s="209">
        <f t="shared" si="6"/>
        <v>0</v>
      </c>
      <c r="AV55" s="209">
        <f>+IFERROR(+IF(VLOOKUP($M55,$S$6:$V203,3,0)=VLOOKUP($N55,$S$6:$V203,3,0), ((((($O55/12+(2*0.5/12))*((VLOOKUP($C55,rngR3DSectionSets,5,0)/12)+(2*0.5/12)))-($O55/12*(VLOOKUP($C55,rngR3DSectionSets,5,0)/12)))*1.2*COS(PI()/180*($P55))^2)) + AU55, (((((AS55+(2*0.5/12))*((VLOOKUP($C55,rngR3DSectionSets,5,0)/12)+(2*0.5/12)))-(AS55*(VLOOKUP($C55,rngR3DSectionSets,5,0)/12)))+(((AT55+(2*0.5/12))*((VLOOKUP($C55,rngR3DSectionSets,5,0)/12)+(2*0.5/12)))-(AT55*(VLOOKUP($C55,rngR3DSectionSets,5,0)/12))))*1.2) + AU55),0)</f>
        <v>0</v>
      </c>
      <c r="AW55" s="209">
        <f>+IFERROR(+IF(VLOOKUP($M55,$S$6:$V203,3,0)=VLOOKUP($N55,$S$6:$V203,3,0), ((((($O55/12+(2*1/12))*((VLOOKUP($C55,rngR3DSectionSets,5,0)/12)+(2*1/12)))-($O55/12*(VLOOKUP($C55,rngR3DSectionSets,5,0)/12)))*1.2*COS(PI()/180*($P55))^2)) + AU55, (((((AS55+(2*1/12))*((VLOOKUP($C55,rngR3DSectionSets,5,0)/12)+(2*1/12)))-(AS55*(VLOOKUP($C55,rngR3DSectionSets,5,0)/12)))+(((AT55+(2*1/12))*((VLOOKUP($C55,rngR3DSectionSets,5,0)/12)+(2*1/12)))-(AT55*(VLOOKUP($C55,rngR3DSectionSets,5,0)/12))))*1.2) + AU55),0)</f>
        <v>0</v>
      </c>
      <c r="AX55" s="209">
        <f>+IFERROR(IF(VLOOKUP($B55,$E$6:$K203,6,0)=0,$O55/12*COS(PI()/180*($P55+90))^2,IF(AND(ABS(VLOOKUP($B55,$E$6:$K203,6,0))&gt;0,$P55=0),$O55/12*COS(PI()/180*($P55+90))^2,IF(AND(ABS(VLOOKUP($B55,$E$6:$K203,6,0))&gt;0,ABS($P55)&gt;0),$O55/12*COS(PI()/180*($P55+90))^2))),0)</f>
        <v>0</v>
      </c>
      <c r="AY55" s="209">
        <f>+IFERROR(IF(VLOOKUP($B55,$E$6:$K203,6,0)=0,0,IF(AND(ABS(VLOOKUP($B55,$E$6:$K203,6,0))&gt;0,$P55=0),ABS(VLOOKUP($B55,$E$6:$K203,6,0))*SIN(PI()/180*($P55+90))^2,IF(AND(ABS(VLOOKUP($B55,$E$6:$K203,6,0))&gt;0,ABS($P55)&gt;0),ABS(VLOOKUP($B55,$E$6:$K203,6,0))*SIN(PI()/180*($P55+90))^2))),0)*IF(RISA3D.Unit.Length="in",1/12,1)</f>
        <v>0</v>
      </c>
      <c r="AZ55" s="209">
        <f t="shared" si="7"/>
        <v>0</v>
      </c>
      <c r="BA55" s="209">
        <f>+IFERROR(+IF(VLOOKUP($M55,$S$6:$V203,3,0)=VLOOKUP($N55,$S$6:$V203,3,0), ((((($O55/12+(2*0.5/12))*((VLOOKUP($C55,rngR3DSectionSets,5,0)/12)+(2*0.5/12)))-($O55/12*(VLOOKUP($C55,rngR3DSectionSets,5,0)/12)))*1.2*COS(PI()/180*($P55))^2)) + AZ55, (((((AX55+(2*0.5/12))*((VLOOKUP($C55,rngR3DSectionSets,5,0)/12)+(2*0.5/12)))-(AX55*(VLOOKUP($C55,rngR3DSectionSets,5,0)/12)))+(((AY55+(2*0.5/12))*((VLOOKUP($C55,rngR3DSectionSets,5,0)/12)+(2*0.5/12)))-(AY55*(VLOOKUP($C55,rngR3DSectionSets,5,0)/12))))*1.2) + AZ55),0)</f>
        <v>0</v>
      </c>
      <c r="BB55" s="209">
        <f>+IFERROR(+IF(VLOOKUP($M55,$S$6:$V203,3,0)=VLOOKUP($N55,$S$6:$V203,3,0), ((((($O55/12+(2*1/12))*((VLOOKUP($C55,rngR3DSectionSets,5,0)/12)+(2*1/12)))-($O55/12*(VLOOKUP($C55,rngR3DSectionSets,5,0)/12)))*1.2*COS(PI()/180*($P55))^2)) + AZ55, (((((AX55+(2*1/12))*((VLOOKUP($C55,rngR3DSectionSets,5,0)/12)+(2*1/12)))-(AX55*(VLOOKUP($C55,rngR3DSectionSets,5,0)/12)))+(((AY55+(2*1/12))*((VLOOKUP($C55,rngR3DSectionSets,5,0)/12)+(2*1/12)))-(AY55*(VLOOKUP($C55,rngR3DSectionSets,5,0)/12))))*1.2) + AZ55),0)</f>
        <v>0</v>
      </c>
      <c r="BC55" s="209">
        <f t="shared" si="8"/>
        <v>0</v>
      </c>
      <c r="BD55" s="209">
        <f t="shared" si="9"/>
        <v>0</v>
      </c>
      <c r="BE55" s="209">
        <f t="shared" si="10"/>
        <v>0</v>
      </c>
      <c r="BF55" s="209"/>
      <c r="BG55" s="209"/>
    </row>
    <row r="56" spans="2:59" ht="15" customHeight="1" x14ac:dyDescent="0.2">
      <c r="B56" s="207"/>
      <c r="C56" s="207"/>
      <c r="D56" s="207"/>
      <c r="E56" s="207"/>
      <c r="F56" s="207"/>
      <c r="G56" s="207"/>
      <c r="H56" s="207"/>
      <c r="I56" s="207"/>
      <c r="J56" s="207"/>
      <c r="K56" s="207"/>
      <c r="L56" s="207"/>
      <c r="M56" s="207"/>
      <c r="N56" s="207"/>
      <c r="O56" s="207"/>
      <c r="P56" s="207"/>
      <c r="Q56" s="207"/>
      <c r="R56" s="207"/>
      <c r="S56" s="207"/>
      <c r="T56" s="228"/>
      <c r="U56" s="228"/>
      <c r="V56" s="228"/>
      <c r="AR56" s="209"/>
      <c r="AS56" s="209">
        <f>+IFERROR(IF(VLOOKUP($B56,$E$6:$K203,6,0)=0,$O56/12*COS(PI()/180*($P56+0))^2,IF(AND(ABS(VLOOKUP($B56,$E$6:$K203,6,0))&gt;0,$P56=0),$O56/12*COS(PI()/180*($P56+0))^2,IF(AND(ABS(VLOOKUP($B56,$E$6:$K203,6,0))&gt;0,ABS($P56)&gt;0),$O56/12*COS(PI()/180*($P56+0))^2))),0)</f>
        <v>0</v>
      </c>
      <c r="AT56" s="209">
        <f>+IFERROR(IF(VLOOKUP($B56,$E$6:$K203,6,0)=0,0,IF(AND(ABS(VLOOKUP($B56,$E$6:$K203,6,0))&gt;0,$P56=0),ABS(VLOOKUP($B56,$E$6:$K203,6,0))*SIN(PI()/180*($P56+0))^2,IF(AND(ABS(VLOOKUP($B56,$E$6:$K203,6,0))&gt;0,ABS($P56)&gt;0),ABS(VLOOKUP($B56,$E$6:$K203,6,0))*SIN(PI()/180*($P56+0))^2))),0)*IF(RISA3D.Unit.Length="in",1/12,1)</f>
        <v>0</v>
      </c>
      <c r="AU56" s="209">
        <f t="shared" si="6"/>
        <v>0</v>
      </c>
      <c r="AV56" s="209">
        <f>+IFERROR(+IF(VLOOKUP($M56,$S$6:$V203,3,0)=VLOOKUP($N56,$S$6:$V203,3,0), ((((($O56/12+(2*0.5/12))*((VLOOKUP($C56,rngR3DSectionSets,5,0)/12)+(2*0.5/12)))-($O56/12*(VLOOKUP($C56,rngR3DSectionSets,5,0)/12)))*1.2*COS(PI()/180*($P56))^2)) + AU56, (((((AS56+(2*0.5/12))*((VLOOKUP($C56,rngR3DSectionSets,5,0)/12)+(2*0.5/12)))-(AS56*(VLOOKUP($C56,rngR3DSectionSets,5,0)/12)))+(((AT56+(2*0.5/12))*((VLOOKUP($C56,rngR3DSectionSets,5,0)/12)+(2*0.5/12)))-(AT56*(VLOOKUP($C56,rngR3DSectionSets,5,0)/12))))*1.2) + AU56),0)</f>
        <v>0</v>
      </c>
      <c r="AW56" s="209">
        <f>+IFERROR(+IF(VLOOKUP($M56,$S$6:$V203,3,0)=VLOOKUP($N56,$S$6:$V203,3,0), ((((($O56/12+(2*1/12))*((VLOOKUP($C56,rngR3DSectionSets,5,0)/12)+(2*1/12)))-($O56/12*(VLOOKUP($C56,rngR3DSectionSets,5,0)/12)))*1.2*COS(PI()/180*($P56))^2)) + AU56, (((((AS56+(2*1/12))*((VLOOKUP($C56,rngR3DSectionSets,5,0)/12)+(2*1/12)))-(AS56*(VLOOKUP($C56,rngR3DSectionSets,5,0)/12)))+(((AT56+(2*1/12))*((VLOOKUP($C56,rngR3DSectionSets,5,0)/12)+(2*1/12)))-(AT56*(VLOOKUP($C56,rngR3DSectionSets,5,0)/12))))*1.2) + AU56),0)</f>
        <v>0</v>
      </c>
      <c r="AX56" s="209">
        <f>+IFERROR(IF(VLOOKUP($B56,$E$6:$K203,6,0)=0,$O56/12*COS(PI()/180*($P56+90))^2,IF(AND(ABS(VLOOKUP($B56,$E$6:$K203,6,0))&gt;0,$P56=0),$O56/12*COS(PI()/180*($P56+90))^2,IF(AND(ABS(VLOOKUP($B56,$E$6:$K203,6,0))&gt;0,ABS($P56)&gt;0),$O56/12*COS(PI()/180*($P56+90))^2))),0)</f>
        <v>0</v>
      </c>
      <c r="AY56" s="209">
        <f>+IFERROR(IF(VLOOKUP($B56,$E$6:$K203,6,0)=0,0,IF(AND(ABS(VLOOKUP($B56,$E$6:$K203,6,0))&gt;0,$P56=0),ABS(VLOOKUP($B56,$E$6:$K203,6,0))*SIN(PI()/180*($P56+90))^2,IF(AND(ABS(VLOOKUP($B56,$E$6:$K203,6,0))&gt;0,ABS($P56)&gt;0),ABS(VLOOKUP($B56,$E$6:$K203,6,0))*SIN(PI()/180*($P56+90))^2))),0)*IF(RISA3D.Unit.Length="in",1/12,1)</f>
        <v>0</v>
      </c>
      <c r="AZ56" s="209">
        <f t="shared" si="7"/>
        <v>0</v>
      </c>
      <c r="BA56" s="209">
        <f>+IFERROR(+IF(VLOOKUP($M56,$S$6:$V203,3,0)=VLOOKUP($N56,$S$6:$V203,3,0), ((((($O56/12+(2*0.5/12))*((VLOOKUP($C56,rngR3DSectionSets,5,0)/12)+(2*0.5/12)))-($O56/12*(VLOOKUP($C56,rngR3DSectionSets,5,0)/12)))*1.2*COS(PI()/180*($P56))^2)) + AZ56, (((((AX56+(2*0.5/12))*((VLOOKUP($C56,rngR3DSectionSets,5,0)/12)+(2*0.5/12)))-(AX56*(VLOOKUP($C56,rngR3DSectionSets,5,0)/12)))+(((AY56+(2*0.5/12))*((VLOOKUP($C56,rngR3DSectionSets,5,0)/12)+(2*0.5/12)))-(AY56*(VLOOKUP($C56,rngR3DSectionSets,5,0)/12))))*1.2) + AZ56),0)</f>
        <v>0</v>
      </c>
      <c r="BB56" s="209">
        <f>+IFERROR(+IF(VLOOKUP($M56,$S$6:$V203,3,0)=VLOOKUP($N56,$S$6:$V203,3,0), ((((($O56/12+(2*1/12))*((VLOOKUP($C56,rngR3DSectionSets,5,0)/12)+(2*1/12)))-($O56/12*(VLOOKUP($C56,rngR3DSectionSets,5,0)/12)))*1.2*COS(PI()/180*($P56))^2)) + AZ56, (((((AX56+(2*1/12))*((VLOOKUP($C56,rngR3DSectionSets,5,0)/12)+(2*1/12)))-(AX56*(VLOOKUP($C56,rngR3DSectionSets,5,0)/12)))+(((AY56+(2*1/12))*((VLOOKUP($C56,rngR3DSectionSets,5,0)/12)+(2*1/12)))-(AY56*(VLOOKUP($C56,rngR3DSectionSets,5,0)/12))))*1.2) + AZ56),0)</f>
        <v>0</v>
      </c>
      <c r="BC56" s="209">
        <f t="shared" si="8"/>
        <v>0</v>
      </c>
      <c r="BD56" s="209">
        <f t="shared" si="9"/>
        <v>0</v>
      </c>
      <c r="BE56" s="209">
        <f t="shared" si="10"/>
        <v>0</v>
      </c>
      <c r="BF56" s="209"/>
      <c r="BG56" s="209"/>
    </row>
    <row r="57" spans="2:59" ht="15" customHeight="1" x14ac:dyDescent="0.2">
      <c r="B57" s="207"/>
      <c r="C57" s="207"/>
      <c r="D57" s="207"/>
      <c r="E57" s="207"/>
      <c r="F57" s="207"/>
      <c r="G57" s="207"/>
      <c r="H57" s="207"/>
      <c r="I57" s="207"/>
      <c r="J57" s="207"/>
      <c r="K57" s="207"/>
      <c r="L57" s="207"/>
      <c r="M57" s="207"/>
      <c r="N57" s="207"/>
      <c r="O57" s="207"/>
      <c r="P57" s="207"/>
      <c r="Q57" s="207"/>
      <c r="R57" s="207"/>
      <c r="S57" s="207"/>
      <c r="T57" s="228"/>
      <c r="U57" s="228"/>
      <c r="V57" s="228"/>
      <c r="AR57" s="209"/>
      <c r="AS57" s="209">
        <f>+IFERROR(IF(VLOOKUP($B57,$E$6:$K203,6,0)=0,$O57/12*COS(PI()/180*($P57+0))^2,IF(AND(ABS(VLOOKUP($B57,$E$6:$K203,6,0))&gt;0,$P57=0),$O57/12*COS(PI()/180*($P57+0))^2,IF(AND(ABS(VLOOKUP($B57,$E$6:$K203,6,0))&gt;0,ABS($P57)&gt;0),$O57/12*COS(PI()/180*($P57+0))^2))),0)</f>
        <v>0</v>
      </c>
      <c r="AT57" s="209">
        <f>+IFERROR(IF(VLOOKUP($B57,$E$6:$K203,6,0)=0,0,IF(AND(ABS(VLOOKUP($B57,$E$6:$K203,6,0))&gt;0,$P57=0),ABS(VLOOKUP($B57,$E$6:$K203,6,0))*SIN(PI()/180*($P57+0))^2,IF(AND(ABS(VLOOKUP($B57,$E$6:$K203,6,0))&gt;0,ABS($P57)&gt;0),ABS(VLOOKUP($B57,$E$6:$K203,6,0))*SIN(PI()/180*($P57+0))^2))),0)*IF(RISA3D.Unit.Length="in",1/12,1)</f>
        <v>0</v>
      </c>
      <c r="AU57" s="209">
        <f t="shared" si="6"/>
        <v>0</v>
      </c>
      <c r="AV57" s="209">
        <f>+IFERROR(+IF(VLOOKUP($M57,$S$6:$V203,3,0)=VLOOKUP($N57,$S$6:$V203,3,0), ((((($O57/12+(2*0.5/12))*((VLOOKUP($C57,rngR3DSectionSets,5,0)/12)+(2*0.5/12)))-($O57/12*(VLOOKUP($C57,rngR3DSectionSets,5,0)/12)))*1.2*COS(PI()/180*($P57))^2)) + AU57, (((((AS57+(2*0.5/12))*((VLOOKUP($C57,rngR3DSectionSets,5,0)/12)+(2*0.5/12)))-(AS57*(VLOOKUP($C57,rngR3DSectionSets,5,0)/12)))+(((AT57+(2*0.5/12))*((VLOOKUP($C57,rngR3DSectionSets,5,0)/12)+(2*0.5/12)))-(AT57*(VLOOKUP($C57,rngR3DSectionSets,5,0)/12))))*1.2) + AU57),0)</f>
        <v>0</v>
      </c>
      <c r="AW57" s="209">
        <f>+IFERROR(+IF(VLOOKUP($M57,$S$6:$V203,3,0)=VLOOKUP($N57,$S$6:$V203,3,0), ((((($O57/12+(2*1/12))*((VLOOKUP($C57,rngR3DSectionSets,5,0)/12)+(2*1/12)))-($O57/12*(VLOOKUP($C57,rngR3DSectionSets,5,0)/12)))*1.2*COS(PI()/180*($P57))^2)) + AU57, (((((AS57+(2*1/12))*((VLOOKUP($C57,rngR3DSectionSets,5,0)/12)+(2*1/12)))-(AS57*(VLOOKUP($C57,rngR3DSectionSets,5,0)/12)))+(((AT57+(2*1/12))*((VLOOKUP($C57,rngR3DSectionSets,5,0)/12)+(2*1/12)))-(AT57*(VLOOKUP($C57,rngR3DSectionSets,5,0)/12))))*1.2) + AU57),0)</f>
        <v>0</v>
      </c>
      <c r="AX57" s="209">
        <f>+IFERROR(IF(VLOOKUP($B57,$E$6:$K203,6,0)=0,$O57/12*COS(PI()/180*($P57+90))^2,IF(AND(ABS(VLOOKUP($B57,$E$6:$K203,6,0))&gt;0,$P57=0),$O57/12*COS(PI()/180*($P57+90))^2,IF(AND(ABS(VLOOKUP($B57,$E$6:$K203,6,0))&gt;0,ABS($P57)&gt;0),$O57/12*COS(PI()/180*($P57+90))^2))),0)</f>
        <v>0</v>
      </c>
      <c r="AY57" s="209">
        <f>+IFERROR(IF(VLOOKUP($B57,$E$6:$K203,6,0)=0,0,IF(AND(ABS(VLOOKUP($B57,$E$6:$K203,6,0))&gt;0,$P57=0),ABS(VLOOKUP($B57,$E$6:$K203,6,0))*SIN(PI()/180*($P57+90))^2,IF(AND(ABS(VLOOKUP($B57,$E$6:$K203,6,0))&gt;0,ABS($P57)&gt;0),ABS(VLOOKUP($B57,$E$6:$K203,6,0))*SIN(PI()/180*($P57+90))^2))),0)*IF(RISA3D.Unit.Length="in",1/12,1)</f>
        <v>0</v>
      </c>
      <c r="AZ57" s="209">
        <f t="shared" si="7"/>
        <v>0</v>
      </c>
      <c r="BA57" s="209">
        <f>+IFERROR(+IF(VLOOKUP($M57,$S$6:$V203,3,0)=VLOOKUP($N57,$S$6:$V203,3,0), ((((($O57/12+(2*0.5/12))*((VLOOKUP($C57,rngR3DSectionSets,5,0)/12)+(2*0.5/12)))-($O57/12*(VLOOKUP($C57,rngR3DSectionSets,5,0)/12)))*1.2*COS(PI()/180*($P57))^2)) + AZ57, (((((AX57+(2*0.5/12))*((VLOOKUP($C57,rngR3DSectionSets,5,0)/12)+(2*0.5/12)))-(AX57*(VLOOKUP($C57,rngR3DSectionSets,5,0)/12)))+(((AY57+(2*0.5/12))*((VLOOKUP($C57,rngR3DSectionSets,5,0)/12)+(2*0.5/12)))-(AY57*(VLOOKUP($C57,rngR3DSectionSets,5,0)/12))))*1.2) + AZ57),0)</f>
        <v>0</v>
      </c>
      <c r="BB57" s="209">
        <f>+IFERROR(+IF(VLOOKUP($M57,$S$6:$V203,3,0)=VLOOKUP($N57,$S$6:$V203,3,0), ((((($O57/12+(2*1/12))*((VLOOKUP($C57,rngR3DSectionSets,5,0)/12)+(2*1/12)))-($O57/12*(VLOOKUP($C57,rngR3DSectionSets,5,0)/12)))*1.2*COS(PI()/180*($P57))^2)) + AZ57, (((((AX57+(2*1/12))*((VLOOKUP($C57,rngR3DSectionSets,5,0)/12)+(2*1/12)))-(AX57*(VLOOKUP($C57,rngR3DSectionSets,5,0)/12)))+(((AY57+(2*1/12))*((VLOOKUP($C57,rngR3DSectionSets,5,0)/12)+(2*1/12)))-(AY57*(VLOOKUP($C57,rngR3DSectionSets,5,0)/12))))*1.2) + AZ57),0)</f>
        <v>0</v>
      </c>
      <c r="BC57" s="209">
        <f t="shared" si="8"/>
        <v>0</v>
      </c>
      <c r="BD57" s="209">
        <f t="shared" si="9"/>
        <v>0</v>
      </c>
      <c r="BE57" s="209">
        <f t="shared" si="10"/>
        <v>0</v>
      </c>
      <c r="BF57" s="209"/>
      <c r="BG57" s="209"/>
    </row>
    <row r="58" spans="2:59" ht="15" customHeight="1" x14ac:dyDescent="0.2">
      <c r="B58" s="207"/>
      <c r="C58" s="207"/>
      <c r="D58" s="207"/>
      <c r="E58" s="207"/>
      <c r="F58" s="207"/>
      <c r="G58" s="207"/>
      <c r="H58" s="207"/>
      <c r="I58" s="207"/>
      <c r="J58" s="207"/>
      <c r="K58" s="207"/>
      <c r="L58" s="207"/>
      <c r="M58" s="207"/>
      <c r="N58" s="207"/>
      <c r="O58" s="207"/>
      <c r="P58" s="207"/>
      <c r="Q58" s="207"/>
      <c r="R58" s="207"/>
      <c r="S58" s="207"/>
      <c r="T58" s="228"/>
      <c r="U58" s="228"/>
      <c r="V58" s="228"/>
      <c r="AR58" s="209"/>
      <c r="AS58" s="209">
        <f>+IFERROR(IF(VLOOKUP($B58,$E$6:$K203,6,0)=0,$O58/12*COS(PI()/180*($P58+0))^2,IF(AND(ABS(VLOOKUP($B58,$E$6:$K203,6,0))&gt;0,$P58=0),$O58/12*COS(PI()/180*($P58+0))^2,IF(AND(ABS(VLOOKUP($B58,$E$6:$K203,6,0))&gt;0,ABS($P58)&gt;0),$O58/12*COS(PI()/180*($P58+0))^2))),0)</f>
        <v>0</v>
      </c>
      <c r="AT58" s="209">
        <f>+IFERROR(IF(VLOOKUP($B58,$E$6:$K203,6,0)=0,0,IF(AND(ABS(VLOOKUP($B58,$E$6:$K203,6,0))&gt;0,$P58=0),ABS(VLOOKUP($B58,$E$6:$K203,6,0))*SIN(PI()/180*($P58+0))^2,IF(AND(ABS(VLOOKUP($B58,$E$6:$K203,6,0))&gt;0,ABS($P58)&gt;0),ABS(VLOOKUP($B58,$E$6:$K203,6,0))*SIN(PI()/180*($P58+0))^2))),0)*IF(RISA3D.Unit.Length="in",1/12,1)</f>
        <v>0</v>
      </c>
      <c r="AU58" s="209">
        <f t="shared" si="6"/>
        <v>0</v>
      </c>
      <c r="AV58" s="209">
        <f>+IFERROR(+IF(VLOOKUP($M58,$S$6:$V203,3,0)=VLOOKUP($N58,$S$6:$V203,3,0), ((((($O58/12+(2*0.5/12))*((VLOOKUP($C58,rngR3DSectionSets,5,0)/12)+(2*0.5/12)))-($O58/12*(VLOOKUP($C58,rngR3DSectionSets,5,0)/12)))*1.2*COS(PI()/180*($P58))^2)) + AU58, (((((AS58+(2*0.5/12))*((VLOOKUP($C58,rngR3DSectionSets,5,0)/12)+(2*0.5/12)))-(AS58*(VLOOKUP($C58,rngR3DSectionSets,5,0)/12)))+(((AT58+(2*0.5/12))*((VLOOKUP($C58,rngR3DSectionSets,5,0)/12)+(2*0.5/12)))-(AT58*(VLOOKUP($C58,rngR3DSectionSets,5,0)/12))))*1.2) + AU58),0)</f>
        <v>0</v>
      </c>
      <c r="AW58" s="209">
        <f>+IFERROR(+IF(VLOOKUP($M58,$S$6:$V203,3,0)=VLOOKUP($N58,$S$6:$V203,3,0), ((((($O58/12+(2*1/12))*((VLOOKUP($C58,rngR3DSectionSets,5,0)/12)+(2*1/12)))-($O58/12*(VLOOKUP($C58,rngR3DSectionSets,5,0)/12)))*1.2*COS(PI()/180*($P58))^2)) + AU58, (((((AS58+(2*1/12))*((VLOOKUP($C58,rngR3DSectionSets,5,0)/12)+(2*1/12)))-(AS58*(VLOOKUP($C58,rngR3DSectionSets,5,0)/12)))+(((AT58+(2*1/12))*((VLOOKUP($C58,rngR3DSectionSets,5,0)/12)+(2*1/12)))-(AT58*(VLOOKUP($C58,rngR3DSectionSets,5,0)/12))))*1.2) + AU58),0)</f>
        <v>0</v>
      </c>
      <c r="AX58" s="209">
        <f>+IFERROR(IF(VLOOKUP($B58,$E$6:$K203,6,0)=0,$O58/12*COS(PI()/180*($P58+90))^2,IF(AND(ABS(VLOOKUP($B58,$E$6:$K203,6,0))&gt;0,$P58=0),$O58/12*COS(PI()/180*($P58+90))^2,IF(AND(ABS(VLOOKUP($B58,$E$6:$K203,6,0))&gt;0,ABS($P58)&gt;0),$O58/12*COS(PI()/180*($P58+90))^2))),0)</f>
        <v>0</v>
      </c>
      <c r="AY58" s="209">
        <f>+IFERROR(IF(VLOOKUP($B58,$E$6:$K203,6,0)=0,0,IF(AND(ABS(VLOOKUP($B58,$E$6:$K203,6,0))&gt;0,$P58=0),ABS(VLOOKUP($B58,$E$6:$K203,6,0))*SIN(PI()/180*($P58+90))^2,IF(AND(ABS(VLOOKUP($B58,$E$6:$K203,6,0))&gt;0,ABS($P58)&gt;0),ABS(VLOOKUP($B58,$E$6:$K203,6,0))*SIN(PI()/180*($P58+90))^2))),0)*IF(RISA3D.Unit.Length="in",1/12,1)</f>
        <v>0</v>
      </c>
      <c r="AZ58" s="209">
        <f t="shared" si="7"/>
        <v>0</v>
      </c>
      <c r="BA58" s="209">
        <f>+IFERROR(+IF(VLOOKUP($M58,$S$6:$V203,3,0)=VLOOKUP($N58,$S$6:$V203,3,0), ((((($O58/12+(2*0.5/12))*((VLOOKUP($C58,rngR3DSectionSets,5,0)/12)+(2*0.5/12)))-($O58/12*(VLOOKUP($C58,rngR3DSectionSets,5,0)/12)))*1.2*COS(PI()/180*($P58))^2)) + AZ58, (((((AX58+(2*0.5/12))*((VLOOKUP($C58,rngR3DSectionSets,5,0)/12)+(2*0.5/12)))-(AX58*(VLOOKUP($C58,rngR3DSectionSets,5,0)/12)))+(((AY58+(2*0.5/12))*((VLOOKUP($C58,rngR3DSectionSets,5,0)/12)+(2*0.5/12)))-(AY58*(VLOOKUP($C58,rngR3DSectionSets,5,0)/12))))*1.2) + AZ58),0)</f>
        <v>0</v>
      </c>
      <c r="BB58" s="209">
        <f>+IFERROR(+IF(VLOOKUP($M58,$S$6:$V203,3,0)=VLOOKUP($N58,$S$6:$V203,3,0), ((((($O58/12+(2*1/12))*((VLOOKUP($C58,rngR3DSectionSets,5,0)/12)+(2*1/12)))-($O58/12*(VLOOKUP($C58,rngR3DSectionSets,5,0)/12)))*1.2*COS(PI()/180*($P58))^2)) + AZ58, (((((AX58+(2*1/12))*((VLOOKUP($C58,rngR3DSectionSets,5,0)/12)+(2*1/12)))-(AX58*(VLOOKUP($C58,rngR3DSectionSets,5,0)/12)))+(((AY58+(2*1/12))*((VLOOKUP($C58,rngR3DSectionSets,5,0)/12)+(2*1/12)))-(AY58*(VLOOKUP($C58,rngR3DSectionSets,5,0)/12))))*1.2) + AZ58),0)</f>
        <v>0</v>
      </c>
      <c r="BC58" s="209">
        <f t="shared" si="8"/>
        <v>0</v>
      </c>
      <c r="BD58" s="209">
        <f t="shared" si="9"/>
        <v>0</v>
      </c>
      <c r="BE58" s="209">
        <f t="shared" si="10"/>
        <v>0</v>
      </c>
      <c r="BF58" s="209"/>
      <c r="BG58" s="209"/>
    </row>
    <row r="59" spans="2:59" ht="15" customHeight="1" x14ac:dyDescent="0.2">
      <c r="B59" s="207"/>
      <c r="C59" s="207"/>
      <c r="D59" s="207"/>
      <c r="E59" s="207"/>
      <c r="F59" s="207"/>
      <c r="G59" s="207"/>
      <c r="H59" s="207"/>
      <c r="I59" s="207"/>
      <c r="J59" s="207"/>
      <c r="K59" s="207"/>
      <c r="L59" s="207"/>
      <c r="M59" s="207"/>
      <c r="N59" s="207"/>
      <c r="O59" s="207"/>
      <c r="P59" s="207"/>
      <c r="Q59" s="207"/>
      <c r="R59" s="207"/>
      <c r="S59" s="207"/>
      <c r="T59" s="228"/>
      <c r="U59" s="228"/>
      <c r="V59" s="228"/>
      <c r="AR59" s="209"/>
      <c r="AS59" s="209">
        <f>+IFERROR(IF(VLOOKUP($B59,$E$6:$K203,6,0)=0,$O59/12*COS(PI()/180*($P59+0))^2,IF(AND(ABS(VLOOKUP($B59,$E$6:$K203,6,0))&gt;0,$P59=0),$O59/12*COS(PI()/180*($P59+0))^2,IF(AND(ABS(VLOOKUP($B59,$E$6:$K203,6,0))&gt;0,ABS($P59)&gt;0),$O59/12*COS(PI()/180*($P59+0))^2))),0)</f>
        <v>0</v>
      </c>
      <c r="AT59" s="209">
        <f>+IFERROR(IF(VLOOKUP($B59,$E$6:$K203,6,0)=0,0,IF(AND(ABS(VLOOKUP($B59,$E$6:$K203,6,0))&gt;0,$P59=0),ABS(VLOOKUP($B59,$E$6:$K203,6,0))*SIN(PI()/180*($P59+0))^2,IF(AND(ABS(VLOOKUP($B59,$E$6:$K203,6,0))&gt;0,ABS($P59)&gt;0),ABS(VLOOKUP($B59,$E$6:$K203,6,0))*SIN(PI()/180*($P59+0))^2))),0)*IF(RISA3D.Unit.Length="in",1/12,1)</f>
        <v>0</v>
      </c>
      <c r="AU59" s="209">
        <f t="shared" si="6"/>
        <v>0</v>
      </c>
      <c r="AV59" s="209">
        <f>+IFERROR(+IF(VLOOKUP($M59,$S$6:$V203,3,0)=VLOOKUP($N59,$S$6:$V203,3,0), ((((($O59/12+(2*0.5/12))*((VLOOKUP($C59,rngR3DSectionSets,5,0)/12)+(2*0.5/12)))-($O59/12*(VLOOKUP($C59,rngR3DSectionSets,5,0)/12)))*1.2*COS(PI()/180*($P59))^2)) + AU59, (((((AS59+(2*0.5/12))*((VLOOKUP($C59,rngR3DSectionSets,5,0)/12)+(2*0.5/12)))-(AS59*(VLOOKUP($C59,rngR3DSectionSets,5,0)/12)))+(((AT59+(2*0.5/12))*((VLOOKUP($C59,rngR3DSectionSets,5,0)/12)+(2*0.5/12)))-(AT59*(VLOOKUP($C59,rngR3DSectionSets,5,0)/12))))*1.2) + AU59),0)</f>
        <v>0</v>
      </c>
      <c r="AW59" s="209">
        <f>+IFERROR(+IF(VLOOKUP($M59,$S$6:$V203,3,0)=VLOOKUP($N59,$S$6:$V203,3,0), ((((($O59/12+(2*1/12))*((VLOOKUP($C59,rngR3DSectionSets,5,0)/12)+(2*1/12)))-($O59/12*(VLOOKUP($C59,rngR3DSectionSets,5,0)/12)))*1.2*COS(PI()/180*($P59))^2)) + AU59, (((((AS59+(2*1/12))*((VLOOKUP($C59,rngR3DSectionSets,5,0)/12)+(2*1/12)))-(AS59*(VLOOKUP($C59,rngR3DSectionSets,5,0)/12)))+(((AT59+(2*1/12))*((VLOOKUP($C59,rngR3DSectionSets,5,0)/12)+(2*1/12)))-(AT59*(VLOOKUP($C59,rngR3DSectionSets,5,0)/12))))*1.2) + AU59),0)</f>
        <v>0</v>
      </c>
      <c r="AX59" s="209">
        <f>+IFERROR(IF(VLOOKUP($B59,$E$6:$K203,6,0)=0,$O59/12*COS(PI()/180*($P59+90))^2,IF(AND(ABS(VLOOKUP($B59,$E$6:$K203,6,0))&gt;0,$P59=0),$O59/12*COS(PI()/180*($P59+90))^2,IF(AND(ABS(VLOOKUP($B59,$E$6:$K203,6,0))&gt;0,ABS($P59)&gt;0),$O59/12*COS(PI()/180*($P59+90))^2))),0)</f>
        <v>0</v>
      </c>
      <c r="AY59" s="209">
        <f>+IFERROR(IF(VLOOKUP($B59,$E$6:$K203,6,0)=0,0,IF(AND(ABS(VLOOKUP($B59,$E$6:$K203,6,0))&gt;0,$P59=0),ABS(VLOOKUP($B59,$E$6:$K203,6,0))*SIN(PI()/180*($P59+90))^2,IF(AND(ABS(VLOOKUP($B59,$E$6:$K203,6,0))&gt;0,ABS($P59)&gt;0),ABS(VLOOKUP($B59,$E$6:$K203,6,0))*SIN(PI()/180*($P59+90))^2))),0)*IF(RISA3D.Unit.Length="in",1/12,1)</f>
        <v>0</v>
      </c>
      <c r="AZ59" s="209">
        <f t="shared" si="7"/>
        <v>0</v>
      </c>
      <c r="BA59" s="209">
        <f>+IFERROR(+IF(VLOOKUP($M59,$S$6:$V203,3,0)=VLOOKUP($N59,$S$6:$V203,3,0), ((((($O59/12+(2*0.5/12))*((VLOOKUP($C59,rngR3DSectionSets,5,0)/12)+(2*0.5/12)))-($O59/12*(VLOOKUP($C59,rngR3DSectionSets,5,0)/12)))*1.2*COS(PI()/180*($P59))^2)) + AZ59, (((((AX59+(2*0.5/12))*((VLOOKUP($C59,rngR3DSectionSets,5,0)/12)+(2*0.5/12)))-(AX59*(VLOOKUP($C59,rngR3DSectionSets,5,0)/12)))+(((AY59+(2*0.5/12))*((VLOOKUP($C59,rngR3DSectionSets,5,0)/12)+(2*0.5/12)))-(AY59*(VLOOKUP($C59,rngR3DSectionSets,5,0)/12))))*1.2) + AZ59),0)</f>
        <v>0</v>
      </c>
      <c r="BB59" s="209">
        <f>+IFERROR(+IF(VLOOKUP($M59,$S$6:$V203,3,0)=VLOOKUP($N59,$S$6:$V203,3,0), ((((($O59/12+(2*1/12))*((VLOOKUP($C59,rngR3DSectionSets,5,0)/12)+(2*1/12)))-($O59/12*(VLOOKUP($C59,rngR3DSectionSets,5,0)/12)))*1.2*COS(PI()/180*($P59))^2)) + AZ59, (((((AX59+(2*1/12))*((VLOOKUP($C59,rngR3DSectionSets,5,0)/12)+(2*1/12)))-(AX59*(VLOOKUP($C59,rngR3DSectionSets,5,0)/12)))+(((AY59+(2*1/12))*((VLOOKUP($C59,rngR3DSectionSets,5,0)/12)+(2*1/12)))-(AY59*(VLOOKUP($C59,rngR3DSectionSets,5,0)/12))))*1.2) + AZ59),0)</f>
        <v>0</v>
      </c>
      <c r="BC59" s="209">
        <f t="shared" si="8"/>
        <v>0</v>
      </c>
      <c r="BD59" s="209">
        <f t="shared" si="9"/>
        <v>0</v>
      </c>
      <c r="BE59" s="209">
        <f t="shared" si="10"/>
        <v>0</v>
      </c>
      <c r="BF59" s="209"/>
      <c r="BG59" s="209"/>
    </row>
    <row r="60" spans="2:59" ht="15" customHeight="1" x14ac:dyDescent="0.2">
      <c r="B60" s="207"/>
      <c r="C60" s="207"/>
      <c r="D60" s="207"/>
      <c r="E60" s="207"/>
      <c r="F60" s="207"/>
      <c r="G60" s="207"/>
      <c r="H60" s="207"/>
      <c r="I60" s="207"/>
      <c r="J60" s="207"/>
      <c r="K60" s="207"/>
      <c r="L60" s="207"/>
      <c r="M60" s="207"/>
      <c r="N60" s="207"/>
      <c r="O60" s="207"/>
      <c r="P60" s="207"/>
      <c r="Q60" s="207"/>
      <c r="R60" s="207"/>
      <c r="S60" s="207"/>
      <c r="T60" s="228"/>
      <c r="U60" s="228"/>
      <c r="V60" s="228"/>
      <c r="AR60" s="209"/>
      <c r="AS60" s="209">
        <f>+IFERROR(IF(VLOOKUP($B60,$E$6:$K203,6,0)=0,$O60/12*COS(PI()/180*($P60+0))^2,IF(AND(ABS(VLOOKUP($B60,$E$6:$K203,6,0))&gt;0,$P60=0),$O60/12*COS(PI()/180*($P60+0))^2,IF(AND(ABS(VLOOKUP($B60,$E$6:$K203,6,0))&gt;0,ABS($P60)&gt;0),$O60/12*COS(PI()/180*($P60+0))^2))),0)</f>
        <v>0</v>
      </c>
      <c r="AT60" s="209">
        <f>+IFERROR(IF(VLOOKUP($B60,$E$6:$K203,6,0)=0,0,IF(AND(ABS(VLOOKUP($B60,$E$6:$K203,6,0))&gt;0,$P60=0),ABS(VLOOKUP($B60,$E$6:$K203,6,0))*SIN(PI()/180*($P60+0))^2,IF(AND(ABS(VLOOKUP($B60,$E$6:$K203,6,0))&gt;0,ABS($P60)&gt;0),ABS(VLOOKUP($B60,$E$6:$K203,6,0))*SIN(PI()/180*($P60+0))^2))),0)*IF(RISA3D.Unit.Length="in",1/12,1)</f>
        <v>0</v>
      </c>
      <c r="AU60" s="209">
        <f t="shared" si="6"/>
        <v>0</v>
      </c>
      <c r="AV60" s="209">
        <f>+IFERROR(+IF(VLOOKUP($M60,$S$6:$V203,3,0)=VLOOKUP($N60,$S$6:$V203,3,0), ((((($O60/12+(2*0.5/12))*((VLOOKUP($C60,rngR3DSectionSets,5,0)/12)+(2*0.5/12)))-($O60/12*(VLOOKUP($C60,rngR3DSectionSets,5,0)/12)))*1.2*COS(PI()/180*($P60))^2)) + AU60, (((((AS60+(2*0.5/12))*((VLOOKUP($C60,rngR3DSectionSets,5,0)/12)+(2*0.5/12)))-(AS60*(VLOOKUP($C60,rngR3DSectionSets,5,0)/12)))+(((AT60+(2*0.5/12))*((VLOOKUP($C60,rngR3DSectionSets,5,0)/12)+(2*0.5/12)))-(AT60*(VLOOKUP($C60,rngR3DSectionSets,5,0)/12))))*1.2) + AU60),0)</f>
        <v>0</v>
      </c>
      <c r="AW60" s="209">
        <f>+IFERROR(+IF(VLOOKUP($M60,$S$6:$V203,3,0)=VLOOKUP($N60,$S$6:$V203,3,0), ((((($O60/12+(2*1/12))*((VLOOKUP($C60,rngR3DSectionSets,5,0)/12)+(2*1/12)))-($O60/12*(VLOOKUP($C60,rngR3DSectionSets,5,0)/12)))*1.2*COS(PI()/180*($P60))^2)) + AU60, (((((AS60+(2*1/12))*((VLOOKUP($C60,rngR3DSectionSets,5,0)/12)+(2*1/12)))-(AS60*(VLOOKUP($C60,rngR3DSectionSets,5,0)/12)))+(((AT60+(2*1/12))*((VLOOKUP($C60,rngR3DSectionSets,5,0)/12)+(2*1/12)))-(AT60*(VLOOKUP($C60,rngR3DSectionSets,5,0)/12))))*1.2) + AU60),0)</f>
        <v>0</v>
      </c>
      <c r="AX60" s="209">
        <f>+IFERROR(IF(VLOOKUP($B60,$E$6:$K203,6,0)=0,$O60/12*COS(PI()/180*($P60+90))^2,IF(AND(ABS(VLOOKUP($B60,$E$6:$K203,6,0))&gt;0,$P60=0),$O60/12*COS(PI()/180*($P60+90))^2,IF(AND(ABS(VLOOKUP($B60,$E$6:$K203,6,0))&gt;0,ABS($P60)&gt;0),$O60/12*COS(PI()/180*($P60+90))^2))),0)</f>
        <v>0</v>
      </c>
      <c r="AY60" s="209">
        <f>+IFERROR(IF(VLOOKUP($B60,$E$6:$K203,6,0)=0,0,IF(AND(ABS(VLOOKUP($B60,$E$6:$K203,6,0))&gt;0,$P60=0),ABS(VLOOKUP($B60,$E$6:$K203,6,0))*SIN(PI()/180*($P60+90))^2,IF(AND(ABS(VLOOKUP($B60,$E$6:$K203,6,0))&gt;0,ABS($P60)&gt;0),ABS(VLOOKUP($B60,$E$6:$K203,6,0))*SIN(PI()/180*($P60+90))^2))),0)*IF(RISA3D.Unit.Length="in",1/12,1)</f>
        <v>0</v>
      </c>
      <c r="AZ60" s="209">
        <f t="shared" si="7"/>
        <v>0</v>
      </c>
      <c r="BA60" s="209">
        <f>+IFERROR(+IF(VLOOKUP($M60,$S$6:$V203,3,0)=VLOOKUP($N60,$S$6:$V203,3,0), ((((($O60/12+(2*0.5/12))*((VLOOKUP($C60,rngR3DSectionSets,5,0)/12)+(2*0.5/12)))-($O60/12*(VLOOKUP($C60,rngR3DSectionSets,5,0)/12)))*1.2*COS(PI()/180*($P60))^2)) + AZ60, (((((AX60+(2*0.5/12))*((VLOOKUP($C60,rngR3DSectionSets,5,0)/12)+(2*0.5/12)))-(AX60*(VLOOKUP($C60,rngR3DSectionSets,5,0)/12)))+(((AY60+(2*0.5/12))*((VLOOKUP($C60,rngR3DSectionSets,5,0)/12)+(2*0.5/12)))-(AY60*(VLOOKUP($C60,rngR3DSectionSets,5,0)/12))))*1.2) + AZ60),0)</f>
        <v>0</v>
      </c>
      <c r="BB60" s="209">
        <f>+IFERROR(+IF(VLOOKUP($M60,$S$6:$V203,3,0)=VLOOKUP($N60,$S$6:$V203,3,0), ((((($O60/12+(2*1/12))*((VLOOKUP($C60,rngR3DSectionSets,5,0)/12)+(2*1/12)))-($O60/12*(VLOOKUP($C60,rngR3DSectionSets,5,0)/12)))*1.2*COS(PI()/180*($P60))^2)) + AZ60, (((((AX60+(2*1/12))*((VLOOKUP($C60,rngR3DSectionSets,5,0)/12)+(2*1/12)))-(AX60*(VLOOKUP($C60,rngR3DSectionSets,5,0)/12)))+(((AY60+(2*1/12))*((VLOOKUP($C60,rngR3DSectionSets,5,0)/12)+(2*1/12)))-(AY60*(VLOOKUP($C60,rngR3DSectionSets,5,0)/12))))*1.2) + AZ60),0)</f>
        <v>0</v>
      </c>
      <c r="BC60" s="209">
        <f t="shared" si="8"/>
        <v>0</v>
      </c>
      <c r="BD60" s="209">
        <f t="shared" si="9"/>
        <v>0</v>
      </c>
      <c r="BE60" s="209">
        <f t="shared" si="10"/>
        <v>0</v>
      </c>
      <c r="BF60" s="209"/>
      <c r="BG60" s="209"/>
    </row>
    <row r="61" spans="2:59" ht="15" customHeight="1" x14ac:dyDescent="0.2">
      <c r="B61" s="207"/>
      <c r="C61" s="207"/>
      <c r="D61" s="207"/>
      <c r="E61" s="207"/>
      <c r="F61" s="207"/>
      <c r="G61" s="207"/>
      <c r="H61" s="207"/>
      <c r="I61" s="207"/>
      <c r="J61" s="207"/>
      <c r="K61" s="207"/>
      <c r="L61" s="207"/>
      <c r="M61" s="207"/>
      <c r="N61" s="207"/>
      <c r="O61" s="207"/>
      <c r="P61" s="207"/>
      <c r="Q61" s="207"/>
      <c r="R61" s="207"/>
      <c r="S61" s="207"/>
      <c r="T61" s="228"/>
      <c r="U61" s="228"/>
      <c r="V61" s="228"/>
      <c r="AR61" s="209"/>
      <c r="AS61" s="209">
        <f>+IFERROR(IF(VLOOKUP($B61,$E$6:$K203,6,0)=0,$O61/12*COS(PI()/180*($P61+0))^2,IF(AND(ABS(VLOOKUP($B61,$E$6:$K203,6,0))&gt;0,$P61=0),$O61/12*COS(PI()/180*($P61+0))^2,IF(AND(ABS(VLOOKUP($B61,$E$6:$K203,6,0))&gt;0,ABS($P61)&gt;0),$O61/12*COS(PI()/180*($P61+0))^2))),0)</f>
        <v>0</v>
      </c>
      <c r="AT61" s="209">
        <f>+IFERROR(IF(VLOOKUP($B61,$E$6:$K203,6,0)=0,0,IF(AND(ABS(VLOOKUP($B61,$E$6:$K203,6,0))&gt;0,$P61=0),ABS(VLOOKUP($B61,$E$6:$K203,6,0))*SIN(PI()/180*($P61+0))^2,IF(AND(ABS(VLOOKUP($B61,$E$6:$K203,6,0))&gt;0,ABS($P61)&gt;0),ABS(VLOOKUP($B61,$E$6:$K203,6,0))*SIN(PI()/180*($P61+0))^2))),0)*IF(RISA3D.Unit.Length="in",1/12,1)</f>
        <v>0</v>
      </c>
      <c r="AU61" s="209">
        <f t="shared" si="6"/>
        <v>0</v>
      </c>
      <c r="AV61" s="209">
        <f>+IFERROR(+IF(VLOOKUP($M61,$S$6:$V203,3,0)=VLOOKUP($N61,$S$6:$V203,3,0), ((((($O61/12+(2*0.5/12))*((VLOOKUP($C61,rngR3DSectionSets,5,0)/12)+(2*0.5/12)))-($O61/12*(VLOOKUP($C61,rngR3DSectionSets,5,0)/12)))*1.2*COS(PI()/180*($P61))^2)) + AU61, (((((AS61+(2*0.5/12))*((VLOOKUP($C61,rngR3DSectionSets,5,0)/12)+(2*0.5/12)))-(AS61*(VLOOKUP($C61,rngR3DSectionSets,5,0)/12)))+(((AT61+(2*0.5/12))*((VLOOKUP($C61,rngR3DSectionSets,5,0)/12)+(2*0.5/12)))-(AT61*(VLOOKUP($C61,rngR3DSectionSets,5,0)/12))))*1.2) + AU61),0)</f>
        <v>0</v>
      </c>
      <c r="AW61" s="209">
        <f>+IFERROR(+IF(VLOOKUP($M61,$S$6:$V203,3,0)=VLOOKUP($N61,$S$6:$V203,3,0), ((((($O61/12+(2*1/12))*((VLOOKUP($C61,rngR3DSectionSets,5,0)/12)+(2*1/12)))-($O61/12*(VLOOKUP($C61,rngR3DSectionSets,5,0)/12)))*1.2*COS(PI()/180*($P61))^2)) + AU61, (((((AS61+(2*1/12))*((VLOOKUP($C61,rngR3DSectionSets,5,0)/12)+(2*1/12)))-(AS61*(VLOOKUP($C61,rngR3DSectionSets,5,0)/12)))+(((AT61+(2*1/12))*((VLOOKUP($C61,rngR3DSectionSets,5,0)/12)+(2*1/12)))-(AT61*(VLOOKUP($C61,rngR3DSectionSets,5,0)/12))))*1.2) + AU61),0)</f>
        <v>0</v>
      </c>
      <c r="AX61" s="209">
        <f>+IFERROR(IF(VLOOKUP($B61,$E$6:$K203,6,0)=0,$O61/12*COS(PI()/180*($P61+90))^2,IF(AND(ABS(VLOOKUP($B61,$E$6:$K203,6,0))&gt;0,$P61=0),$O61/12*COS(PI()/180*($P61+90))^2,IF(AND(ABS(VLOOKUP($B61,$E$6:$K203,6,0))&gt;0,ABS($P61)&gt;0),$O61/12*COS(PI()/180*($P61+90))^2))),0)</f>
        <v>0</v>
      </c>
      <c r="AY61" s="209">
        <f>+IFERROR(IF(VLOOKUP($B61,$E$6:$K203,6,0)=0,0,IF(AND(ABS(VLOOKUP($B61,$E$6:$K203,6,0))&gt;0,$P61=0),ABS(VLOOKUP($B61,$E$6:$K203,6,0))*SIN(PI()/180*($P61+90))^2,IF(AND(ABS(VLOOKUP($B61,$E$6:$K203,6,0))&gt;0,ABS($P61)&gt;0),ABS(VLOOKUP($B61,$E$6:$K203,6,0))*SIN(PI()/180*($P61+90))^2))),0)*IF(RISA3D.Unit.Length="in",1/12,1)</f>
        <v>0</v>
      </c>
      <c r="AZ61" s="209">
        <f t="shared" si="7"/>
        <v>0</v>
      </c>
      <c r="BA61" s="209">
        <f>+IFERROR(+IF(VLOOKUP($M61,$S$6:$V203,3,0)=VLOOKUP($N61,$S$6:$V203,3,0), ((((($O61/12+(2*0.5/12))*((VLOOKUP($C61,rngR3DSectionSets,5,0)/12)+(2*0.5/12)))-($O61/12*(VLOOKUP($C61,rngR3DSectionSets,5,0)/12)))*1.2*COS(PI()/180*($P61))^2)) + AZ61, (((((AX61+(2*0.5/12))*((VLOOKUP($C61,rngR3DSectionSets,5,0)/12)+(2*0.5/12)))-(AX61*(VLOOKUP($C61,rngR3DSectionSets,5,0)/12)))+(((AY61+(2*0.5/12))*((VLOOKUP($C61,rngR3DSectionSets,5,0)/12)+(2*0.5/12)))-(AY61*(VLOOKUP($C61,rngR3DSectionSets,5,0)/12))))*1.2) + AZ61),0)</f>
        <v>0</v>
      </c>
      <c r="BB61" s="209">
        <f>+IFERROR(+IF(VLOOKUP($M61,$S$6:$V203,3,0)=VLOOKUP($N61,$S$6:$V203,3,0), ((((($O61/12+(2*1/12))*((VLOOKUP($C61,rngR3DSectionSets,5,0)/12)+(2*1/12)))-($O61/12*(VLOOKUP($C61,rngR3DSectionSets,5,0)/12)))*1.2*COS(PI()/180*($P61))^2)) + AZ61, (((((AX61+(2*1/12))*((VLOOKUP($C61,rngR3DSectionSets,5,0)/12)+(2*1/12)))-(AX61*(VLOOKUP($C61,rngR3DSectionSets,5,0)/12)))+(((AY61+(2*1/12))*((VLOOKUP($C61,rngR3DSectionSets,5,0)/12)+(2*1/12)))-(AY61*(VLOOKUP($C61,rngR3DSectionSets,5,0)/12))))*1.2) + AZ61),0)</f>
        <v>0</v>
      </c>
      <c r="BC61" s="209">
        <f t="shared" si="8"/>
        <v>0</v>
      </c>
      <c r="BD61" s="209">
        <f t="shared" si="9"/>
        <v>0</v>
      </c>
      <c r="BE61" s="209">
        <f t="shared" si="10"/>
        <v>0</v>
      </c>
      <c r="BF61" s="209"/>
      <c r="BG61" s="209"/>
    </row>
    <row r="62" spans="2:59" ht="15" customHeight="1" x14ac:dyDescent="0.2">
      <c r="B62" s="207"/>
      <c r="C62" s="207"/>
      <c r="D62" s="207"/>
      <c r="E62" s="207"/>
      <c r="F62" s="207"/>
      <c r="G62" s="207"/>
      <c r="H62" s="207"/>
      <c r="I62" s="207"/>
      <c r="J62" s="207"/>
      <c r="K62" s="207"/>
      <c r="L62" s="207"/>
      <c r="M62" s="207"/>
      <c r="N62" s="207"/>
      <c r="O62" s="207"/>
      <c r="P62" s="207"/>
      <c r="Q62" s="207"/>
      <c r="R62" s="207"/>
      <c r="S62" s="207"/>
      <c r="T62" s="228"/>
      <c r="U62" s="228"/>
      <c r="V62" s="228"/>
      <c r="AR62" s="209"/>
      <c r="AS62" s="209">
        <f>+IFERROR(IF(VLOOKUP($B62,$E$6:$K203,6,0)=0,$O62/12*COS(PI()/180*($P62+0))^2,IF(AND(ABS(VLOOKUP($B62,$E$6:$K203,6,0))&gt;0,$P62=0),$O62/12*COS(PI()/180*($P62+0))^2,IF(AND(ABS(VLOOKUP($B62,$E$6:$K203,6,0))&gt;0,ABS($P62)&gt;0),$O62/12*COS(PI()/180*($P62+0))^2))),0)</f>
        <v>0</v>
      </c>
      <c r="AT62" s="209">
        <f>+IFERROR(IF(VLOOKUP($B62,$E$6:$K203,6,0)=0,0,IF(AND(ABS(VLOOKUP($B62,$E$6:$K203,6,0))&gt;0,$P62=0),ABS(VLOOKUP($B62,$E$6:$K203,6,0))*SIN(PI()/180*($P62+0))^2,IF(AND(ABS(VLOOKUP($B62,$E$6:$K203,6,0))&gt;0,ABS($P62)&gt;0),ABS(VLOOKUP($B62,$E$6:$K203,6,0))*SIN(PI()/180*($P62+0))^2))),0)*IF(RISA3D.Unit.Length="in",1/12,1)</f>
        <v>0</v>
      </c>
      <c r="AU62" s="209">
        <f t="shared" si="6"/>
        <v>0</v>
      </c>
      <c r="AV62" s="209">
        <f>+IFERROR(+IF(VLOOKUP($M62,$S$6:$V203,3,0)=VLOOKUP($N62,$S$6:$V203,3,0), ((((($O62/12+(2*0.5/12))*((VLOOKUP($C62,rngR3DSectionSets,5,0)/12)+(2*0.5/12)))-($O62/12*(VLOOKUP($C62,rngR3DSectionSets,5,0)/12)))*1.2*COS(PI()/180*($P62))^2)) + AU62, (((((AS62+(2*0.5/12))*((VLOOKUP($C62,rngR3DSectionSets,5,0)/12)+(2*0.5/12)))-(AS62*(VLOOKUP($C62,rngR3DSectionSets,5,0)/12)))+(((AT62+(2*0.5/12))*((VLOOKUP($C62,rngR3DSectionSets,5,0)/12)+(2*0.5/12)))-(AT62*(VLOOKUP($C62,rngR3DSectionSets,5,0)/12))))*1.2) + AU62),0)</f>
        <v>0</v>
      </c>
      <c r="AW62" s="209">
        <f>+IFERROR(+IF(VLOOKUP($M62,$S$6:$V203,3,0)=VLOOKUP($N62,$S$6:$V203,3,0), ((((($O62/12+(2*1/12))*((VLOOKUP($C62,rngR3DSectionSets,5,0)/12)+(2*1/12)))-($O62/12*(VLOOKUP($C62,rngR3DSectionSets,5,0)/12)))*1.2*COS(PI()/180*($P62))^2)) + AU62, (((((AS62+(2*1/12))*((VLOOKUP($C62,rngR3DSectionSets,5,0)/12)+(2*1/12)))-(AS62*(VLOOKUP($C62,rngR3DSectionSets,5,0)/12)))+(((AT62+(2*1/12))*((VLOOKUP($C62,rngR3DSectionSets,5,0)/12)+(2*1/12)))-(AT62*(VLOOKUP($C62,rngR3DSectionSets,5,0)/12))))*1.2) + AU62),0)</f>
        <v>0</v>
      </c>
      <c r="AX62" s="209">
        <f>+IFERROR(IF(VLOOKUP($B62,$E$6:$K203,6,0)=0,$O62/12*COS(PI()/180*($P62+90))^2,IF(AND(ABS(VLOOKUP($B62,$E$6:$K203,6,0))&gt;0,$P62=0),$O62/12*COS(PI()/180*($P62+90))^2,IF(AND(ABS(VLOOKUP($B62,$E$6:$K203,6,0))&gt;0,ABS($P62)&gt;0),$O62/12*COS(PI()/180*($P62+90))^2))),0)</f>
        <v>0</v>
      </c>
      <c r="AY62" s="209">
        <f>+IFERROR(IF(VLOOKUP($B62,$E$6:$K203,6,0)=0,0,IF(AND(ABS(VLOOKUP($B62,$E$6:$K203,6,0))&gt;0,$P62=0),ABS(VLOOKUP($B62,$E$6:$K203,6,0))*SIN(PI()/180*($P62+90))^2,IF(AND(ABS(VLOOKUP($B62,$E$6:$K203,6,0))&gt;0,ABS($P62)&gt;0),ABS(VLOOKUP($B62,$E$6:$K203,6,0))*SIN(PI()/180*($P62+90))^2))),0)*IF(RISA3D.Unit.Length="in",1/12,1)</f>
        <v>0</v>
      </c>
      <c r="AZ62" s="209">
        <f t="shared" si="7"/>
        <v>0</v>
      </c>
      <c r="BA62" s="209">
        <f>+IFERROR(+IF(VLOOKUP($M62,$S$6:$V203,3,0)=VLOOKUP($N62,$S$6:$V203,3,0), ((((($O62/12+(2*0.5/12))*((VLOOKUP($C62,rngR3DSectionSets,5,0)/12)+(2*0.5/12)))-($O62/12*(VLOOKUP($C62,rngR3DSectionSets,5,0)/12)))*1.2*COS(PI()/180*($P62))^2)) + AZ62, (((((AX62+(2*0.5/12))*((VLOOKUP($C62,rngR3DSectionSets,5,0)/12)+(2*0.5/12)))-(AX62*(VLOOKUP($C62,rngR3DSectionSets,5,0)/12)))+(((AY62+(2*0.5/12))*((VLOOKUP($C62,rngR3DSectionSets,5,0)/12)+(2*0.5/12)))-(AY62*(VLOOKUP($C62,rngR3DSectionSets,5,0)/12))))*1.2) + AZ62),0)</f>
        <v>0</v>
      </c>
      <c r="BB62" s="209">
        <f>+IFERROR(+IF(VLOOKUP($M62,$S$6:$V203,3,0)=VLOOKUP($N62,$S$6:$V203,3,0), ((((($O62/12+(2*1/12))*((VLOOKUP($C62,rngR3DSectionSets,5,0)/12)+(2*1/12)))-($O62/12*(VLOOKUP($C62,rngR3DSectionSets,5,0)/12)))*1.2*COS(PI()/180*($P62))^2)) + AZ62, (((((AX62+(2*1/12))*((VLOOKUP($C62,rngR3DSectionSets,5,0)/12)+(2*1/12)))-(AX62*(VLOOKUP($C62,rngR3DSectionSets,5,0)/12)))+(((AY62+(2*1/12))*((VLOOKUP($C62,rngR3DSectionSets,5,0)/12)+(2*1/12)))-(AY62*(VLOOKUP($C62,rngR3DSectionSets,5,0)/12))))*1.2) + AZ62),0)</f>
        <v>0</v>
      </c>
      <c r="BC62" s="209">
        <f t="shared" si="8"/>
        <v>0</v>
      </c>
      <c r="BD62" s="209">
        <f t="shared" si="9"/>
        <v>0</v>
      </c>
      <c r="BE62" s="209">
        <f t="shared" si="10"/>
        <v>0</v>
      </c>
      <c r="BF62" s="209"/>
      <c r="BG62" s="209"/>
    </row>
    <row r="63" spans="2:59" ht="15" customHeight="1" x14ac:dyDescent="0.2">
      <c r="B63" s="207"/>
      <c r="C63" s="207"/>
      <c r="D63" s="207"/>
      <c r="E63" s="207"/>
      <c r="F63" s="207"/>
      <c r="G63" s="207"/>
      <c r="H63" s="207"/>
      <c r="I63" s="207"/>
      <c r="J63" s="207"/>
      <c r="K63" s="207"/>
      <c r="L63" s="207"/>
      <c r="M63" s="207"/>
      <c r="N63" s="207"/>
      <c r="O63" s="207"/>
      <c r="P63" s="207"/>
      <c r="Q63" s="207"/>
      <c r="R63" s="207"/>
      <c r="S63" s="207"/>
      <c r="T63" s="228"/>
      <c r="U63" s="228"/>
      <c r="V63" s="228"/>
      <c r="AR63" s="209"/>
      <c r="AS63" s="209">
        <f>+IFERROR(IF(VLOOKUP($B63,$E$6:$K203,6,0)=0,$O63/12*COS(PI()/180*($P63+0))^2,IF(AND(ABS(VLOOKUP($B63,$E$6:$K203,6,0))&gt;0,$P63=0),$O63/12*COS(PI()/180*($P63+0))^2,IF(AND(ABS(VLOOKUP($B63,$E$6:$K203,6,0))&gt;0,ABS($P63)&gt;0),$O63/12*COS(PI()/180*($P63+0))^2))),0)</f>
        <v>0</v>
      </c>
      <c r="AT63" s="209">
        <f>+IFERROR(IF(VLOOKUP($B63,$E$6:$K203,6,0)=0,0,IF(AND(ABS(VLOOKUP($B63,$E$6:$K203,6,0))&gt;0,$P63=0),ABS(VLOOKUP($B63,$E$6:$K203,6,0))*SIN(PI()/180*($P63+0))^2,IF(AND(ABS(VLOOKUP($B63,$E$6:$K203,6,0))&gt;0,ABS($P63)&gt;0),ABS(VLOOKUP($B63,$E$6:$K203,6,0))*SIN(PI()/180*($P63+0))^2))),0)*IF(RISA3D.Unit.Length="in",1/12,1)</f>
        <v>0</v>
      </c>
      <c r="AU63" s="209">
        <f t="shared" si="6"/>
        <v>0</v>
      </c>
      <c r="AV63" s="209">
        <f>+IFERROR(+IF(VLOOKUP($M63,$S$6:$V203,3,0)=VLOOKUP($N63,$S$6:$V203,3,0), ((((($O63/12+(2*0.5/12))*((VLOOKUP($C63,rngR3DSectionSets,5,0)/12)+(2*0.5/12)))-($O63/12*(VLOOKUP($C63,rngR3DSectionSets,5,0)/12)))*1.2*COS(PI()/180*($P63))^2)) + AU63, (((((AS63+(2*0.5/12))*((VLOOKUP($C63,rngR3DSectionSets,5,0)/12)+(2*0.5/12)))-(AS63*(VLOOKUP($C63,rngR3DSectionSets,5,0)/12)))+(((AT63+(2*0.5/12))*((VLOOKUP($C63,rngR3DSectionSets,5,0)/12)+(2*0.5/12)))-(AT63*(VLOOKUP($C63,rngR3DSectionSets,5,0)/12))))*1.2) + AU63),0)</f>
        <v>0</v>
      </c>
      <c r="AW63" s="209">
        <f>+IFERROR(+IF(VLOOKUP($M63,$S$6:$V203,3,0)=VLOOKUP($N63,$S$6:$V203,3,0), ((((($O63/12+(2*1/12))*((VLOOKUP($C63,rngR3DSectionSets,5,0)/12)+(2*1/12)))-($O63/12*(VLOOKUP($C63,rngR3DSectionSets,5,0)/12)))*1.2*COS(PI()/180*($P63))^2)) + AU63, (((((AS63+(2*1/12))*((VLOOKUP($C63,rngR3DSectionSets,5,0)/12)+(2*1/12)))-(AS63*(VLOOKUP($C63,rngR3DSectionSets,5,0)/12)))+(((AT63+(2*1/12))*((VLOOKUP($C63,rngR3DSectionSets,5,0)/12)+(2*1/12)))-(AT63*(VLOOKUP($C63,rngR3DSectionSets,5,0)/12))))*1.2) + AU63),0)</f>
        <v>0</v>
      </c>
      <c r="AX63" s="209">
        <f>+IFERROR(IF(VLOOKUP($B63,$E$6:$K203,6,0)=0,$O63/12*COS(PI()/180*($P63+90))^2,IF(AND(ABS(VLOOKUP($B63,$E$6:$K203,6,0))&gt;0,$P63=0),$O63/12*COS(PI()/180*($P63+90))^2,IF(AND(ABS(VLOOKUP($B63,$E$6:$K203,6,0))&gt;0,ABS($P63)&gt;0),$O63/12*COS(PI()/180*($P63+90))^2))),0)</f>
        <v>0</v>
      </c>
      <c r="AY63" s="209">
        <f>+IFERROR(IF(VLOOKUP($B63,$E$6:$K203,6,0)=0,0,IF(AND(ABS(VLOOKUP($B63,$E$6:$K203,6,0))&gt;0,$P63=0),ABS(VLOOKUP($B63,$E$6:$K203,6,0))*SIN(PI()/180*($P63+90))^2,IF(AND(ABS(VLOOKUP($B63,$E$6:$K203,6,0))&gt;0,ABS($P63)&gt;0),ABS(VLOOKUP($B63,$E$6:$K203,6,0))*SIN(PI()/180*($P63+90))^2))),0)*IF(RISA3D.Unit.Length="in",1/12,1)</f>
        <v>0</v>
      </c>
      <c r="AZ63" s="209">
        <f t="shared" si="7"/>
        <v>0</v>
      </c>
      <c r="BA63" s="209">
        <f>+IFERROR(+IF(VLOOKUP($M63,$S$6:$V203,3,0)=VLOOKUP($N63,$S$6:$V203,3,0), ((((($O63/12+(2*0.5/12))*((VLOOKUP($C63,rngR3DSectionSets,5,0)/12)+(2*0.5/12)))-($O63/12*(VLOOKUP($C63,rngR3DSectionSets,5,0)/12)))*1.2*COS(PI()/180*($P63))^2)) + AZ63, (((((AX63+(2*0.5/12))*((VLOOKUP($C63,rngR3DSectionSets,5,0)/12)+(2*0.5/12)))-(AX63*(VLOOKUP($C63,rngR3DSectionSets,5,0)/12)))+(((AY63+(2*0.5/12))*((VLOOKUP($C63,rngR3DSectionSets,5,0)/12)+(2*0.5/12)))-(AY63*(VLOOKUP($C63,rngR3DSectionSets,5,0)/12))))*1.2) + AZ63),0)</f>
        <v>0</v>
      </c>
      <c r="BB63" s="209">
        <f>+IFERROR(+IF(VLOOKUP($M63,$S$6:$V203,3,0)=VLOOKUP($N63,$S$6:$V203,3,0), ((((($O63/12+(2*1/12))*((VLOOKUP($C63,rngR3DSectionSets,5,0)/12)+(2*1/12)))-($O63/12*(VLOOKUP($C63,rngR3DSectionSets,5,0)/12)))*1.2*COS(PI()/180*($P63))^2)) + AZ63, (((((AX63+(2*1/12))*((VLOOKUP($C63,rngR3DSectionSets,5,0)/12)+(2*1/12)))-(AX63*(VLOOKUP($C63,rngR3DSectionSets,5,0)/12)))+(((AY63+(2*1/12))*((VLOOKUP($C63,rngR3DSectionSets,5,0)/12)+(2*1/12)))-(AY63*(VLOOKUP($C63,rngR3DSectionSets,5,0)/12))))*1.2) + AZ63),0)</f>
        <v>0</v>
      </c>
      <c r="BC63" s="209">
        <f t="shared" si="8"/>
        <v>0</v>
      </c>
      <c r="BD63" s="209">
        <f t="shared" si="9"/>
        <v>0</v>
      </c>
      <c r="BE63" s="209">
        <f t="shared" si="10"/>
        <v>0</v>
      </c>
      <c r="BF63" s="209"/>
      <c r="BG63" s="209"/>
    </row>
    <row r="64" spans="2:59" ht="15" customHeight="1" x14ac:dyDescent="0.2">
      <c r="B64" s="207"/>
      <c r="C64" s="207"/>
      <c r="D64" s="207"/>
      <c r="E64" s="207"/>
      <c r="F64" s="207"/>
      <c r="G64" s="207"/>
      <c r="H64" s="207"/>
      <c r="I64" s="207"/>
      <c r="J64" s="207"/>
      <c r="K64" s="207"/>
      <c r="L64" s="207"/>
      <c r="M64" s="207"/>
      <c r="N64" s="207"/>
      <c r="O64" s="207"/>
      <c r="P64" s="207"/>
      <c r="Q64" s="207"/>
      <c r="R64" s="207"/>
      <c r="S64" s="207"/>
      <c r="T64" s="228"/>
      <c r="U64" s="228"/>
      <c r="V64" s="228"/>
      <c r="AR64" s="209"/>
      <c r="AS64" s="209">
        <f>+IFERROR(IF(VLOOKUP($B64,$E$6:$K203,6,0)=0,$O64/12*COS(PI()/180*($P64+0))^2,IF(AND(ABS(VLOOKUP($B64,$E$6:$K203,6,0))&gt;0,$P64=0),$O64/12*COS(PI()/180*($P64+0))^2,IF(AND(ABS(VLOOKUP($B64,$E$6:$K203,6,0))&gt;0,ABS($P64)&gt;0),$O64/12*COS(PI()/180*($P64+0))^2))),0)</f>
        <v>0</v>
      </c>
      <c r="AT64" s="209">
        <f>+IFERROR(IF(VLOOKUP($B64,$E$6:$K203,6,0)=0,0,IF(AND(ABS(VLOOKUP($B64,$E$6:$K203,6,0))&gt;0,$P64=0),ABS(VLOOKUP($B64,$E$6:$K203,6,0))*SIN(PI()/180*($P64+0))^2,IF(AND(ABS(VLOOKUP($B64,$E$6:$K203,6,0))&gt;0,ABS($P64)&gt;0),ABS(VLOOKUP($B64,$E$6:$K203,6,0))*SIN(PI()/180*($P64+0))^2))),0)*IF(RISA3D.Unit.Length="in",1/12,1)</f>
        <v>0</v>
      </c>
      <c r="AU64" s="209">
        <f t="shared" si="6"/>
        <v>0</v>
      </c>
      <c r="AV64" s="209">
        <f>+IFERROR(+IF(VLOOKUP($M64,$S$6:$V203,3,0)=VLOOKUP($N64,$S$6:$V203,3,0), ((((($O64/12+(2*0.5/12))*((VLOOKUP($C64,rngR3DSectionSets,5,0)/12)+(2*0.5/12)))-($O64/12*(VLOOKUP($C64,rngR3DSectionSets,5,0)/12)))*1.2*COS(PI()/180*($P64))^2)) + AU64, (((((AS64+(2*0.5/12))*((VLOOKUP($C64,rngR3DSectionSets,5,0)/12)+(2*0.5/12)))-(AS64*(VLOOKUP($C64,rngR3DSectionSets,5,0)/12)))+(((AT64+(2*0.5/12))*((VLOOKUP($C64,rngR3DSectionSets,5,0)/12)+(2*0.5/12)))-(AT64*(VLOOKUP($C64,rngR3DSectionSets,5,0)/12))))*1.2) + AU64),0)</f>
        <v>0</v>
      </c>
      <c r="AW64" s="209">
        <f>+IFERROR(+IF(VLOOKUP($M64,$S$6:$V203,3,0)=VLOOKUP($N64,$S$6:$V203,3,0), ((((($O64/12+(2*1/12))*((VLOOKUP($C64,rngR3DSectionSets,5,0)/12)+(2*1/12)))-($O64/12*(VLOOKUP($C64,rngR3DSectionSets,5,0)/12)))*1.2*COS(PI()/180*($P64))^2)) + AU64, (((((AS64+(2*1/12))*((VLOOKUP($C64,rngR3DSectionSets,5,0)/12)+(2*1/12)))-(AS64*(VLOOKUP($C64,rngR3DSectionSets,5,0)/12)))+(((AT64+(2*1/12))*((VLOOKUP($C64,rngR3DSectionSets,5,0)/12)+(2*1/12)))-(AT64*(VLOOKUP($C64,rngR3DSectionSets,5,0)/12))))*1.2) + AU64),0)</f>
        <v>0</v>
      </c>
      <c r="AX64" s="209">
        <f>+IFERROR(IF(VLOOKUP($B64,$E$6:$K203,6,0)=0,$O64/12*COS(PI()/180*($P64+90))^2,IF(AND(ABS(VLOOKUP($B64,$E$6:$K203,6,0))&gt;0,$P64=0),$O64/12*COS(PI()/180*($P64+90))^2,IF(AND(ABS(VLOOKUP($B64,$E$6:$K203,6,0))&gt;0,ABS($P64)&gt;0),$O64/12*COS(PI()/180*($P64+90))^2))),0)</f>
        <v>0</v>
      </c>
      <c r="AY64" s="209">
        <f>+IFERROR(IF(VLOOKUP($B64,$E$6:$K203,6,0)=0,0,IF(AND(ABS(VLOOKUP($B64,$E$6:$K203,6,0))&gt;0,$P64=0),ABS(VLOOKUP($B64,$E$6:$K203,6,0))*SIN(PI()/180*($P64+90))^2,IF(AND(ABS(VLOOKUP($B64,$E$6:$K203,6,0))&gt;0,ABS($P64)&gt;0),ABS(VLOOKUP($B64,$E$6:$K203,6,0))*SIN(PI()/180*($P64+90))^2))),0)*IF(RISA3D.Unit.Length="in",1/12,1)</f>
        <v>0</v>
      </c>
      <c r="AZ64" s="209">
        <f t="shared" si="7"/>
        <v>0</v>
      </c>
      <c r="BA64" s="209">
        <f>+IFERROR(+IF(VLOOKUP($M64,$S$6:$V203,3,0)=VLOOKUP($N64,$S$6:$V203,3,0), ((((($O64/12+(2*0.5/12))*((VLOOKUP($C64,rngR3DSectionSets,5,0)/12)+(2*0.5/12)))-($O64/12*(VLOOKUP($C64,rngR3DSectionSets,5,0)/12)))*1.2*COS(PI()/180*($P64))^2)) + AZ64, (((((AX64+(2*0.5/12))*((VLOOKUP($C64,rngR3DSectionSets,5,0)/12)+(2*0.5/12)))-(AX64*(VLOOKUP($C64,rngR3DSectionSets,5,0)/12)))+(((AY64+(2*0.5/12))*((VLOOKUP($C64,rngR3DSectionSets,5,0)/12)+(2*0.5/12)))-(AY64*(VLOOKUP($C64,rngR3DSectionSets,5,0)/12))))*1.2) + AZ64),0)</f>
        <v>0</v>
      </c>
      <c r="BB64" s="209">
        <f>+IFERROR(+IF(VLOOKUP($M64,$S$6:$V203,3,0)=VLOOKUP($N64,$S$6:$V203,3,0), ((((($O64/12+(2*1/12))*((VLOOKUP($C64,rngR3DSectionSets,5,0)/12)+(2*1/12)))-($O64/12*(VLOOKUP($C64,rngR3DSectionSets,5,0)/12)))*1.2*COS(PI()/180*($P64))^2)) + AZ64, (((((AX64+(2*1/12))*((VLOOKUP($C64,rngR3DSectionSets,5,0)/12)+(2*1/12)))-(AX64*(VLOOKUP($C64,rngR3DSectionSets,5,0)/12)))+(((AY64+(2*1/12))*((VLOOKUP($C64,rngR3DSectionSets,5,0)/12)+(2*1/12)))-(AY64*(VLOOKUP($C64,rngR3DSectionSets,5,0)/12))))*1.2) + AZ64),0)</f>
        <v>0</v>
      </c>
      <c r="BC64" s="209">
        <f t="shared" si="8"/>
        <v>0</v>
      </c>
      <c r="BD64" s="209">
        <f t="shared" si="9"/>
        <v>0</v>
      </c>
      <c r="BE64" s="209">
        <f t="shared" si="10"/>
        <v>0</v>
      </c>
      <c r="BF64" s="209"/>
      <c r="BG64" s="209"/>
    </row>
    <row r="65" spans="2:59" ht="15" customHeight="1" x14ac:dyDescent="0.2">
      <c r="B65" s="207"/>
      <c r="C65" s="207"/>
      <c r="D65" s="207"/>
      <c r="E65" s="207"/>
      <c r="F65" s="207"/>
      <c r="G65" s="207"/>
      <c r="H65" s="207"/>
      <c r="I65" s="207"/>
      <c r="J65" s="207"/>
      <c r="K65" s="207"/>
      <c r="L65" s="207"/>
      <c r="M65" s="207"/>
      <c r="N65" s="207"/>
      <c r="O65" s="207"/>
      <c r="P65" s="207"/>
      <c r="Q65" s="207"/>
      <c r="R65" s="207"/>
      <c r="S65" s="207"/>
      <c r="T65" s="228"/>
      <c r="U65" s="228"/>
      <c r="V65" s="228"/>
      <c r="AR65" s="209"/>
      <c r="AS65" s="209">
        <f>+IFERROR(IF(VLOOKUP($B65,$E$6:$K203,6,0)=0,$O65/12*COS(PI()/180*($P65+0))^2,IF(AND(ABS(VLOOKUP($B65,$E$6:$K203,6,0))&gt;0,$P65=0),$O65/12*COS(PI()/180*($P65+0))^2,IF(AND(ABS(VLOOKUP($B65,$E$6:$K203,6,0))&gt;0,ABS($P65)&gt;0),$O65/12*COS(PI()/180*($P65+0))^2))),0)</f>
        <v>0</v>
      </c>
      <c r="AT65" s="209">
        <f>+IFERROR(IF(VLOOKUP($B65,$E$6:$K203,6,0)=0,0,IF(AND(ABS(VLOOKUP($B65,$E$6:$K203,6,0))&gt;0,$P65=0),ABS(VLOOKUP($B65,$E$6:$K203,6,0))*SIN(PI()/180*($P65+0))^2,IF(AND(ABS(VLOOKUP($B65,$E$6:$K203,6,0))&gt;0,ABS($P65)&gt;0),ABS(VLOOKUP($B65,$E$6:$K203,6,0))*SIN(PI()/180*($P65+0))^2))),0)*IF(RISA3D.Unit.Length="in",1/12,1)</f>
        <v>0</v>
      </c>
      <c r="AU65" s="209">
        <f t="shared" si="6"/>
        <v>0</v>
      </c>
      <c r="AV65" s="209">
        <f>+IFERROR(+IF(VLOOKUP($M65,$S$6:$V203,3,0)=VLOOKUP($N65,$S$6:$V203,3,0), ((((($O65/12+(2*0.5/12))*((VLOOKUP($C65,rngR3DSectionSets,5,0)/12)+(2*0.5/12)))-($O65/12*(VLOOKUP($C65,rngR3DSectionSets,5,0)/12)))*1.2*COS(PI()/180*($P65))^2)) + AU65, (((((AS65+(2*0.5/12))*((VLOOKUP($C65,rngR3DSectionSets,5,0)/12)+(2*0.5/12)))-(AS65*(VLOOKUP($C65,rngR3DSectionSets,5,0)/12)))+(((AT65+(2*0.5/12))*((VLOOKUP($C65,rngR3DSectionSets,5,0)/12)+(2*0.5/12)))-(AT65*(VLOOKUP($C65,rngR3DSectionSets,5,0)/12))))*1.2) + AU65),0)</f>
        <v>0</v>
      </c>
      <c r="AW65" s="209">
        <f>+IFERROR(+IF(VLOOKUP($M65,$S$6:$V203,3,0)=VLOOKUP($N65,$S$6:$V203,3,0), ((((($O65/12+(2*1/12))*((VLOOKUP($C65,rngR3DSectionSets,5,0)/12)+(2*1/12)))-($O65/12*(VLOOKUP($C65,rngR3DSectionSets,5,0)/12)))*1.2*COS(PI()/180*($P65))^2)) + AU65, (((((AS65+(2*1/12))*((VLOOKUP($C65,rngR3DSectionSets,5,0)/12)+(2*1/12)))-(AS65*(VLOOKUP($C65,rngR3DSectionSets,5,0)/12)))+(((AT65+(2*1/12))*((VLOOKUP($C65,rngR3DSectionSets,5,0)/12)+(2*1/12)))-(AT65*(VLOOKUP($C65,rngR3DSectionSets,5,0)/12))))*1.2) + AU65),0)</f>
        <v>0</v>
      </c>
      <c r="AX65" s="209">
        <f>+IFERROR(IF(VLOOKUP($B65,$E$6:$K203,6,0)=0,$O65/12*COS(PI()/180*($P65+90))^2,IF(AND(ABS(VLOOKUP($B65,$E$6:$K203,6,0))&gt;0,$P65=0),$O65/12*COS(PI()/180*($P65+90))^2,IF(AND(ABS(VLOOKUP($B65,$E$6:$K203,6,0))&gt;0,ABS($P65)&gt;0),$O65/12*COS(PI()/180*($P65+90))^2))),0)</f>
        <v>0</v>
      </c>
      <c r="AY65" s="209">
        <f>+IFERROR(IF(VLOOKUP($B65,$E$6:$K203,6,0)=0,0,IF(AND(ABS(VLOOKUP($B65,$E$6:$K203,6,0))&gt;0,$P65=0),ABS(VLOOKUP($B65,$E$6:$K203,6,0))*SIN(PI()/180*($P65+90))^2,IF(AND(ABS(VLOOKUP($B65,$E$6:$K203,6,0))&gt;0,ABS($P65)&gt;0),ABS(VLOOKUP($B65,$E$6:$K203,6,0))*SIN(PI()/180*($P65+90))^2))),0)*IF(RISA3D.Unit.Length="in",1/12,1)</f>
        <v>0</v>
      </c>
      <c r="AZ65" s="209">
        <f t="shared" si="7"/>
        <v>0</v>
      </c>
      <c r="BA65" s="209">
        <f>+IFERROR(+IF(VLOOKUP($M65,$S$6:$V203,3,0)=VLOOKUP($N65,$S$6:$V203,3,0), ((((($O65/12+(2*0.5/12))*((VLOOKUP($C65,rngR3DSectionSets,5,0)/12)+(2*0.5/12)))-($O65/12*(VLOOKUP($C65,rngR3DSectionSets,5,0)/12)))*1.2*COS(PI()/180*($P65))^2)) + AZ65, (((((AX65+(2*0.5/12))*((VLOOKUP($C65,rngR3DSectionSets,5,0)/12)+(2*0.5/12)))-(AX65*(VLOOKUP($C65,rngR3DSectionSets,5,0)/12)))+(((AY65+(2*0.5/12))*((VLOOKUP($C65,rngR3DSectionSets,5,0)/12)+(2*0.5/12)))-(AY65*(VLOOKUP($C65,rngR3DSectionSets,5,0)/12))))*1.2) + AZ65),0)</f>
        <v>0</v>
      </c>
      <c r="BB65" s="209">
        <f>+IFERROR(+IF(VLOOKUP($M65,$S$6:$V203,3,0)=VLOOKUP($N65,$S$6:$V203,3,0), ((((($O65/12+(2*1/12))*((VLOOKUP($C65,rngR3DSectionSets,5,0)/12)+(2*1/12)))-($O65/12*(VLOOKUP($C65,rngR3DSectionSets,5,0)/12)))*1.2*COS(PI()/180*($P65))^2)) + AZ65, (((((AX65+(2*1/12))*((VLOOKUP($C65,rngR3DSectionSets,5,0)/12)+(2*1/12)))-(AX65*(VLOOKUP($C65,rngR3DSectionSets,5,0)/12)))+(((AY65+(2*1/12))*((VLOOKUP($C65,rngR3DSectionSets,5,0)/12)+(2*1/12)))-(AY65*(VLOOKUP($C65,rngR3DSectionSets,5,0)/12))))*1.2) + AZ65),0)</f>
        <v>0</v>
      </c>
      <c r="BC65" s="209">
        <f t="shared" si="8"/>
        <v>0</v>
      </c>
      <c r="BD65" s="209">
        <f t="shared" si="9"/>
        <v>0</v>
      </c>
      <c r="BE65" s="209">
        <f t="shared" si="10"/>
        <v>0</v>
      </c>
      <c r="BF65" s="209"/>
      <c r="BG65" s="209"/>
    </row>
    <row r="66" spans="2:59" ht="15" customHeight="1" x14ac:dyDescent="0.2">
      <c r="B66" s="207"/>
      <c r="C66" s="207"/>
      <c r="D66" s="207"/>
      <c r="E66" s="207"/>
      <c r="F66" s="207"/>
      <c r="G66" s="207"/>
      <c r="H66" s="207"/>
      <c r="I66" s="207"/>
      <c r="J66" s="207"/>
      <c r="K66" s="207"/>
      <c r="L66" s="207"/>
      <c r="M66" s="207"/>
      <c r="N66" s="207"/>
      <c r="O66" s="207"/>
      <c r="P66" s="207"/>
      <c r="Q66" s="207"/>
      <c r="R66" s="207"/>
      <c r="S66" s="207"/>
      <c r="T66" s="228"/>
      <c r="U66" s="228"/>
      <c r="V66" s="228"/>
      <c r="AR66" s="209"/>
      <c r="AS66" s="209">
        <f>+IFERROR(IF(VLOOKUP($B66,$E$6:$K203,6,0)=0,$O66/12*COS(PI()/180*($P66+0))^2,IF(AND(ABS(VLOOKUP($B66,$E$6:$K203,6,0))&gt;0,$P66=0),$O66/12*COS(PI()/180*($P66+0))^2,IF(AND(ABS(VLOOKUP($B66,$E$6:$K203,6,0))&gt;0,ABS($P66)&gt;0),$O66/12*COS(PI()/180*($P66+0))^2))),0)</f>
        <v>0</v>
      </c>
      <c r="AT66" s="209">
        <f>+IFERROR(IF(VLOOKUP($B66,$E$6:$K203,6,0)=0,0,IF(AND(ABS(VLOOKUP($B66,$E$6:$K203,6,0))&gt;0,$P66=0),ABS(VLOOKUP($B66,$E$6:$K203,6,0))*SIN(PI()/180*($P66+0))^2,IF(AND(ABS(VLOOKUP($B66,$E$6:$K203,6,0))&gt;0,ABS($P66)&gt;0),ABS(VLOOKUP($B66,$E$6:$K203,6,0))*SIN(PI()/180*($P66+0))^2))),0)*IF(RISA3D.Unit.Length="in",1/12,1)</f>
        <v>0</v>
      </c>
      <c r="AU66" s="209">
        <f t="shared" si="6"/>
        <v>0</v>
      </c>
      <c r="AV66" s="209">
        <f>+IFERROR(+IF(VLOOKUP($M66,$S$6:$V203,3,0)=VLOOKUP($N66,$S$6:$V203,3,0), ((((($O66/12+(2*0.5/12))*((VLOOKUP($C66,rngR3DSectionSets,5,0)/12)+(2*0.5/12)))-($O66/12*(VLOOKUP($C66,rngR3DSectionSets,5,0)/12)))*1.2*COS(PI()/180*($P66))^2)) + AU66, (((((AS66+(2*0.5/12))*((VLOOKUP($C66,rngR3DSectionSets,5,0)/12)+(2*0.5/12)))-(AS66*(VLOOKUP($C66,rngR3DSectionSets,5,0)/12)))+(((AT66+(2*0.5/12))*((VLOOKUP($C66,rngR3DSectionSets,5,0)/12)+(2*0.5/12)))-(AT66*(VLOOKUP($C66,rngR3DSectionSets,5,0)/12))))*1.2) + AU66),0)</f>
        <v>0</v>
      </c>
      <c r="AW66" s="209">
        <f>+IFERROR(+IF(VLOOKUP($M66,$S$6:$V203,3,0)=VLOOKUP($N66,$S$6:$V203,3,0), ((((($O66/12+(2*1/12))*((VLOOKUP($C66,rngR3DSectionSets,5,0)/12)+(2*1/12)))-($O66/12*(VLOOKUP($C66,rngR3DSectionSets,5,0)/12)))*1.2*COS(PI()/180*($P66))^2)) + AU66, (((((AS66+(2*1/12))*((VLOOKUP($C66,rngR3DSectionSets,5,0)/12)+(2*1/12)))-(AS66*(VLOOKUP($C66,rngR3DSectionSets,5,0)/12)))+(((AT66+(2*1/12))*((VLOOKUP($C66,rngR3DSectionSets,5,0)/12)+(2*1/12)))-(AT66*(VLOOKUP($C66,rngR3DSectionSets,5,0)/12))))*1.2) + AU66),0)</f>
        <v>0</v>
      </c>
      <c r="AX66" s="209">
        <f>+IFERROR(IF(VLOOKUP($B66,$E$6:$K203,6,0)=0,$O66/12*COS(PI()/180*($P66+90))^2,IF(AND(ABS(VLOOKUP($B66,$E$6:$K203,6,0))&gt;0,$P66=0),$O66/12*COS(PI()/180*($P66+90))^2,IF(AND(ABS(VLOOKUP($B66,$E$6:$K203,6,0))&gt;0,ABS($P66)&gt;0),$O66/12*COS(PI()/180*($P66+90))^2))),0)</f>
        <v>0</v>
      </c>
      <c r="AY66" s="209">
        <f>+IFERROR(IF(VLOOKUP($B66,$E$6:$K203,6,0)=0,0,IF(AND(ABS(VLOOKUP($B66,$E$6:$K203,6,0))&gt;0,$P66=0),ABS(VLOOKUP($B66,$E$6:$K203,6,0))*SIN(PI()/180*($P66+90))^2,IF(AND(ABS(VLOOKUP($B66,$E$6:$K203,6,0))&gt;0,ABS($P66)&gt;0),ABS(VLOOKUP($B66,$E$6:$K203,6,0))*SIN(PI()/180*($P66+90))^2))),0)*IF(RISA3D.Unit.Length="in",1/12,1)</f>
        <v>0</v>
      </c>
      <c r="AZ66" s="209">
        <f t="shared" si="7"/>
        <v>0</v>
      </c>
      <c r="BA66" s="209">
        <f>+IFERROR(+IF(VLOOKUP($M66,$S$6:$V203,3,0)=VLOOKUP($N66,$S$6:$V203,3,0), ((((($O66/12+(2*0.5/12))*((VLOOKUP($C66,rngR3DSectionSets,5,0)/12)+(2*0.5/12)))-($O66/12*(VLOOKUP($C66,rngR3DSectionSets,5,0)/12)))*1.2*COS(PI()/180*($P66))^2)) + AZ66, (((((AX66+(2*0.5/12))*((VLOOKUP($C66,rngR3DSectionSets,5,0)/12)+(2*0.5/12)))-(AX66*(VLOOKUP($C66,rngR3DSectionSets,5,0)/12)))+(((AY66+(2*0.5/12))*((VLOOKUP($C66,rngR3DSectionSets,5,0)/12)+(2*0.5/12)))-(AY66*(VLOOKUP($C66,rngR3DSectionSets,5,0)/12))))*1.2) + AZ66),0)</f>
        <v>0</v>
      </c>
      <c r="BB66" s="209">
        <f>+IFERROR(+IF(VLOOKUP($M66,$S$6:$V203,3,0)=VLOOKUP($N66,$S$6:$V203,3,0), ((((($O66/12+(2*1/12))*((VLOOKUP($C66,rngR3DSectionSets,5,0)/12)+(2*1/12)))-($O66/12*(VLOOKUP($C66,rngR3DSectionSets,5,0)/12)))*1.2*COS(PI()/180*($P66))^2)) + AZ66, (((((AX66+(2*1/12))*((VLOOKUP($C66,rngR3DSectionSets,5,0)/12)+(2*1/12)))-(AX66*(VLOOKUP($C66,rngR3DSectionSets,5,0)/12)))+(((AY66+(2*1/12))*((VLOOKUP($C66,rngR3DSectionSets,5,0)/12)+(2*1/12)))-(AY66*(VLOOKUP($C66,rngR3DSectionSets,5,0)/12))))*1.2) + AZ66),0)</f>
        <v>0</v>
      </c>
      <c r="BC66" s="209">
        <f t="shared" si="8"/>
        <v>0</v>
      </c>
      <c r="BD66" s="209">
        <f t="shared" si="9"/>
        <v>0</v>
      </c>
      <c r="BE66" s="209">
        <f t="shared" si="10"/>
        <v>0</v>
      </c>
      <c r="BF66" s="209"/>
      <c r="BG66" s="209"/>
    </row>
    <row r="67" spans="2:59" ht="15" customHeight="1" x14ac:dyDescent="0.2">
      <c r="B67" s="207"/>
      <c r="C67" s="207"/>
      <c r="D67" s="207"/>
      <c r="E67" s="207"/>
      <c r="F67" s="207"/>
      <c r="G67" s="207"/>
      <c r="H67" s="207"/>
      <c r="I67" s="207"/>
      <c r="J67" s="207"/>
      <c r="K67" s="207"/>
      <c r="L67" s="207"/>
      <c r="M67" s="207"/>
      <c r="N67" s="207"/>
      <c r="O67" s="207"/>
      <c r="P67" s="207"/>
      <c r="Q67" s="207"/>
      <c r="R67" s="207"/>
      <c r="S67" s="207"/>
      <c r="T67" s="228"/>
      <c r="U67" s="228"/>
      <c r="V67" s="228"/>
      <c r="AR67" s="209"/>
      <c r="AS67" s="209">
        <f>+IFERROR(IF(VLOOKUP($B67,$E$6:$K203,6,0)=0,$O67/12*COS(PI()/180*($P67+0))^2,IF(AND(ABS(VLOOKUP($B67,$E$6:$K203,6,0))&gt;0,$P67=0),$O67/12*COS(PI()/180*($P67+0))^2,IF(AND(ABS(VLOOKUP($B67,$E$6:$K203,6,0))&gt;0,ABS($P67)&gt;0),$O67/12*COS(PI()/180*($P67+0))^2))),0)</f>
        <v>0</v>
      </c>
      <c r="AT67" s="209">
        <f>+IFERROR(IF(VLOOKUP($B67,$E$6:$K203,6,0)=0,0,IF(AND(ABS(VLOOKUP($B67,$E$6:$K203,6,0))&gt;0,$P67=0),ABS(VLOOKUP($B67,$E$6:$K203,6,0))*SIN(PI()/180*($P67+0))^2,IF(AND(ABS(VLOOKUP($B67,$E$6:$K203,6,0))&gt;0,ABS($P67)&gt;0),ABS(VLOOKUP($B67,$E$6:$K203,6,0))*SIN(PI()/180*($P67+0))^2))),0)*IF(RISA3D.Unit.Length="in",1/12,1)</f>
        <v>0</v>
      </c>
      <c r="AU67" s="209">
        <f t="shared" si="6"/>
        <v>0</v>
      </c>
      <c r="AV67" s="209">
        <f>+IFERROR(+IF(VLOOKUP($M67,$S$6:$V203,3,0)=VLOOKUP($N67,$S$6:$V203,3,0), ((((($O67/12+(2*0.5/12))*((VLOOKUP($C67,rngR3DSectionSets,5,0)/12)+(2*0.5/12)))-($O67/12*(VLOOKUP($C67,rngR3DSectionSets,5,0)/12)))*1.2*COS(PI()/180*($P67))^2)) + AU67, (((((AS67+(2*0.5/12))*((VLOOKUP($C67,rngR3DSectionSets,5,0)/12)+(2*0.5/12)))-(AS67*(VLOOKUP($C67,rngR3DSectionSets,5,0)/12)))+(((AT67+(2*0.5/12))*((VLOOKUP($C67,rngR3DSectionSets,5,0)/12)+(2*0.5/12)))-(AT67*(VLOOKUP($C67,rngR3DSectionSets,5,0)/12))))*1.2) + AU67),0)</f>
        <v>0</v>
      </c>
      <c r="AW67" s="209">
        <f>+IFERROR(+IF(VLOOKUP($M67,$S$6:$V203,3,0)=VLOOKUP($N67,$S$6:$V203,3,0), ((((($O67/12+(2*1/12))*((VLOOKUP($C67,rngR3DSectionSets,5,0)/12)+(2*1/12)))-($O67/12*(VLOOKUP($C67,rngR3DSectionSets,5,0)/12)))*1.2*COS(PI()/180*($P67))^2)) + AU67, (((((AS67+(2*1/12))*((VLOOKUP($C67,rngR3DSectionSets,5,0)/12)+(2*1/12)))-(AS67*(VLOOKUP($C67,rngR3DSectionSets,5,0)/12)))+(((AT67+(2*1/12))*((VLOOKUP($C67,rngR3DSectionSets,5,0)/12)+(2*1/12)))-(AT67*(VLOOKUP($C67,rngR3DSectionSets,5,0)/12))))*1.2) + AU67),0)</f>
        <v>0</v>
      </c>
      <c r="AX67" s="209">
        <f>+IFERROR(IF(VLOOKUP($B67,$E$6:$K203,6,0)=0,$O67/12*COS(PI()/180*($P67+90))^2,IF(AND(ABS(VLOOKUP($B67,$E$6:$K203,6,0))&gt;0,$P67=0),$O67/12*COS(PI()/180*($P67+90))^2,IF(AND(ABS(VLOOKUP($B67,$E$6:$K203,6,0))&gt;0,ABS($P67)&gt;0),$O67/12*COS(PI()/180*($P67+90))^2))),0)</f>
        <v>0</v>
      </c>
      <c r="AY67" s="209">
        <f>+IFERROR(IF(VLOOKUP($B67,$E$6:$K203,6,0)=0,0,IF(AND(ABS(VLOOKUP($B67,$E$6:$K203,6,0))&gt;0,$P67=0),ABS(VLOOKUP($B67,$E$6:$K203,6,0))*SIN(PI()/180*($P67+90))^2,IF(AND(ABS(VLOOKUP($B67,$E$6:$K203,6,0))&gt;0,ABS($P67)&gt;0),ABS(VLOOKUP($B67,$E$6:$K203,6,0))*SIN(PI()/180*($P67+90))^2))),0)*IF(RISA3D.Unit.Length="in",1/12,1)</f>
        <v>0</v>
      </c>
      <c r="AZ67" s="209">
        <f t="shared" si="7"/>
        <v>0</v>
      </c>
      <c r="BA67" s="209">
        <f>+IFERROR(+IF(VLOOKUP($M67,$S$6:$V203,3,0)=VLOOKUP($N67,$S$6:$V203,3,0), ((((($O67/12+(2*0.5/12))*((VLOOKUP($C67,rngR3DSectionSets,5,0)/12)+(2*0.5/12)))-($O67/12*(VLOOKUP($C67,rngR3DSectionSets,5,0)/12)))*1.2*COS(PI()/180*($P67))^2)) + AZ67, (((((AX67+(2*0.5/12))*((VLOOKUP($C67,rngR3DSectionSets,5,0)/12)+(2*0.5/12)))-(AX67*(VLOOKUP($C67,rngR3DSectionSets,5,0)/12)))+(((AY67+(2*0.5/12))*((VLOOKUP($C67,rngR3DSectionSets,5,0)/12)+(2*0.5/12)))-(AY67*(VLOOKUP($C67,rngR3DSectionSets,5,0)/12))))*1.2) + AZ67),0)</f>
        <v>0</v>
      </c>
      <c r="BB67" s="209">
        <f>+IFERROR(+IF(VLOOKUP($M67,$S$6:$V203,3,0)=VLOOKUP($N67,$S$6:$V203,3,0), ((((($O67/12+(2*1/12))*((VLOOKUP($C67,rngR3DSectionSets,5,0)/12)+(2*1/12)))-($O67/12*(VLOOKUP($C67,rngR3DSectionSets,5,0)/12)))*1.2*COS(PI()/180*($P67))^2)) + AZ67, (((((AX67+(2*1/12))*((VLOOKUP($C67,rngR3DSectionSets,5,0)/12)+(2*1/12)))-(AX67*(VLOOKUP($C67,rngR3DSectionSets,5,0)/12)))+(((AY67+(2*1/12))*((VLOOKUP($C67,rngR3DSectionSets,5,0)/12)+(2*1/12)))-(AY67*(VLOOKUP($C67,rngR3DSectionSets,5,0)/12))))*1.2) + AZ67),0)</f>
        <v>0</v>
      </c>
      <c r="BC67" s="209">
        <f t="shared" si="8"/>
        <v>0</v>
      </c>
      <c r="BD67" s="209">
        <f t="shared" si="9"/>
        <v>0</v>
      </c>
      <c r="BE67" s="209">
        <f t="shared" si="10"/>
        <v>0</v>
      </c>
      <c r="BF67" s="209"/>
      <c r="BG67" s="209"/>
    </row>
    <row r="68" spans="2:59" ht="15" customHeight="1" x14ac:dyDescent="0.2">
      <c r="B68" s="207"/>
      <c r="C68" s="207"/>
      <c r="D68" s="207"/>
      <c r="E68" s="207"/>
      <c r="F68" s="207"/>
      <c r="G68" s="207"/>
      <c r="H68" s="207"/>
      <c r="I68" s="207"/>
      <c r="J68" s="207"/>
      <c r="K68" s="207"/>
      <c r="L68" s="207"/>
      <c r="M68" s="207"/>
      <c r="N68" s="207"/>
      <c r="O68" s="207"/>
      <c r="P68" s="207"/>
      <c r="Q68" s="207"/>
      <c r="R68" s="207"/>
      <c r="S68" s="207"/>
      <c r="T68" s="228"/>
      <c r="U68" s="228"/>
      <c r="V68" s="228"/>
      <c r="AR68" s="209"/>
      <c r="AS68" s="209">
        <f>+IFERROR(IF(VLOOKUP($B68,$E$6:$K203,6,0)=0,$O68/12*COS(PI()/180*($P68+0))^2,IF(AND(ABS(VLOOKUP($B68,$E$6:$K203,6,0))&gt;0,$P68=0),$O68/12*COS(PI()/180*($P68+0))^2,IF(AND(ABS(VLOOKUP($B68,$E$6:$K203,6,0))&gt;0,ABS($P68)&gt;0),$O68/12*COS(PI()/180*($P68+0))^2))),0)</f>
        <v>0</v>
      </c>
      <c r="AT68" s="209">
        <f>+IFERROR(IF(VLOOKUP($B68,$E$6:$K203,6,0)=0,0,IF(AND(ABS(VLOOKUP($B68,$E$6:$K203,6,0))&gt;0,$P68=0),ABS(VLOOKUP($B68,$E$6:$K203,6,0))*SIN(PI()/180*($P68+0))^2,IF(AND(ABS(VLOOKUP($B68,$E$6:$K203,6,0))&gt;0,ABS($P68)&gt;0),ABS(VLOOKUP($B68,$E$6:$K203,6,0))*SIN(PI()/180*($P68+0))^2))),0)*IF(RISA3D.Unit.Length="in",1/12,1)</f>
        <v>0</v>
      </c>
      <c r="AU68" s="209">
        <f t="shared" si="6"/>
        <v>0</v>
      </c>
      <c r="AV68" s="209">
        <f>+IFERROR(+IF(VLOOKUP($M68,$S$6:$V203,3,0)=VLOOKUP($N68,$S$6:$V203,3,0), ((((($O68/12+(2*0.5/12))*((VLOOKUP($C68,rngR3DSectionSets,5,0)/12)+(2*0.5/12)))-($O68/12*(VLOOKUP($C68,rngR3DSectionSets,5,0)/12)))*1.2*COS(PI()/180*($P68))^2)) + AU68, (((((AS68+(2*0.5/12))*((VLOOKUP($C68,rngR3DSectionSets,5,0)/12)+(2*0.5/12)))-(AS68*(VLOOKUP($C68,rngR3DSectionSets,5,0)/12)))+(((AT68+(2*0.5/12))*((VLOOKUP($C68,rngR3DSectionSets,5,0)/12)+(2*0.5/12)))-(AT68*(VLOOKUP($C68,rngR3DSectionSets,5,0)/12))))*1.2) + AU68),0)</f>
        <v>0</v>
      </c>
      <c r="AW68" s="209">
        <f>+IFERROR(+IF(VLOOKUP($M68,$S$6:$V203,3,0)=VLOOKUP($N68,$S$6:$V203,3,0), ((((($O68/12+(2*1/12))*((VLOOKUP($C68,rngR3DSectionSets,5,0)/12)+(2*1/12)))-($O68/12*(VLOOKUP($C68,rngR3DSectionSets,5,0)/12)))*1.2*COS(PI()/180*($P68))^2)) + AU68, (((((AS68+(2*1/12))*((VLOOKUP($C68,rngR3DSectionSets,5,0)/12)+(2*1/12)))-(AS68*(VLOOKUP($C68,rngR3DSectionSets,5,0)/12)))+(((AT68+(2*1/12))*((VLOOKUP($C68,rngR3DSectionSets,5,0)/12)+(2*1/12)))-(AT68*(VLOOKUP($C68,rngR3DSectionSets,5,0)/12))))*1.2) + AU68),0)</f>
        <v>0</v>
      </c>
      <c r="AX68" s="209">
        <f>+IFERROR(IF(VLOOKUP($B68,$E$6:$K203,6,0)=0,$O68/12*COS(PI()/180*($P68+90))^2,IF(AND(ABS(VLOOKUP($B68,$E$6:$K203,6,0))&gt;0,$P68=0),$O68/12*COS(PI()/180*($P68+90))^2,IF(AND(ABS(VLOOKUP($B68,$E$6:$K203,6,0))&gt;0,ABS($P68)&gt;0),$O68/12*COS(PI()/180*($P68+90))^2))),0)</f>
        <v>0</v>
      </c>
      <c r="AY68" s="209">
        <f>+IFERROR(IF(VLOOKUP($B68,$E$6:$K203,6,0)=0,0,IF(AND(ABS(VLOOKUP($B68,$E$6:$K203,6,0))&gt;0,$P68=0),ABS(VLOOKUP($B68,$E$6:$K203,6,0))*SIN(PI()/180*($P68+90))^2,IF(AND(ABS(VLOOKUP($B68,$E$6:$K203,6,0))&gt;0,ABS($P68)&gt;0),ABS(VLOOKUP($B68,$E$6:$K203,6,0))*SIN(PI()/180*($P68+90))^2))),0)*IF(RISA3D.Unit.Length="in",1/12,1)</f>
        <v>0</v>
      </c>
      <c r="AZ68" s="209">
        <f t="shared" si="7"/>
        <v>0</v>
      </c>
      <c r="BA68" s="209">
        <f>+IFERROR(+IF(VLOOKUP($M68,$S$6:$V203,3,0)=VLOOKUP($N68,$S$6:$V203,3,0), ((((($O68/12+(2*0.5/12))*((VLOOKUP($C68,rngR3DSectionSets,5,0)/12)+(2*0.5/12)))-($O68/12*(VLOOKUP($C68,rngR3DSectionSets,5,0)/12)))*1.2*COS(PI()/180*($P68))^2)) + AZ68, (((((AX68+(2*0.5/12))*((VLOOKUP($C68,rngR3DSectionSets,5,0)/12)+(2*0.5/12)))-(AX68*(VLOOKUP($C68,rngR3DSectionSets,5,0)/12)))+(((AY68+(2*0.5/12))*((VLOOKUP($C68,rngR3DSectionSets,5,0)/12)+(2*0.5/12)))-(AY68*(VLOOKUP($C68,rngR3DSectionSets,5,0)/12))))*1.2) + AZ68),0)</f>
        <v>0</v>
      </c>
      <c r="BB68" s="209">
        <f>+IFERROR(+IF(VLOOKUP($M68,$S$6:$V203,3,0)=VLOOKUP($N68,$S$6:$V203,3,0), ((((($O68/12+(2*1/12))*((VLOOKUP($C68,rngR3DSectionSets,5,0)/12)+(2*1/12)))-($O68/12*(VLOOKUP($C68,rngR3DSectionSets,5,0)/12)))*1.2*COS(PI()/180*($P68))^2)) + AZ68, (((((AX68+(2*1/12))*((VLOOKUP($C68,rngR3DSectionSets,5,0)/12)+(2*1/12)))-(AX68*(VLOOKUP($C68,rngR3DSectionSets,5,0)/12)))+(((AY68+(2*1/12))*((VLOOKUP($C68,rngR3DSectionSets,5,0)/12)+(2*1/12)))-(AY68*(VLOOKUP($C68,rngR3DSectionSets,5,0)/12))))*1.2) + AZ68),0)</f>
        <v>0</v>
      </c>
      <c r="BC68" s="209">
        <f t="shared" si="8"/>
        <v>0</v>
      </c>
      <c r="BD68" s="209">
        <f t="shared" si="9"/>
        <v>0</v>
      </c>
      <c r="BE68" s="209">
        <f t="shared" si="10"/>
        <v>0</v>
      </c>
      <c r="BF68" s="209"/>
      <c r="BG68" s="209"/>
    </row>
    <row r="69" spans="2:59" ht="15" customHeight="1" x14ac:dyDescent="0.2">
      <c r="B69" s="207"/>
      <c r="C69" s="207"/>
      <c r="D69" s="207"/>
      <c r="E69" s="207"/>
      <c r="F69" s="207"/>
      <c r="G69" s="207"/>
      <c r="H69" s="207"/>
      <c r="I69" s="207"/>
      <c r="J69" s="207"/>
      <c r="K69" s="207"/>
      <c r="L69" s="207"/>
      <c r="M69" s="207"/>
      <c r="N69" s="207"/>
      <c r="O69" s="207"/>
      <c r="P69" s="207"/>
      <c r="Q69" s="207"/>
      <c r="R69" s="207"/>
      <c r="S69" s="207"/>
      <c r="T69" s="228"/>
      <c r="U69" s="228"/>
      <c r="V69" s="228"/>
      <c r="AR69" s="209"/>
      <c r="AS69" s="209">
        <f>+IFERROR(IF(VLOOKUP($B69,$E$6:$K203,6,0)=0,$O69/12*COS(PI()/180*($P69+0))^2,IF(AND(ABS(VLOOKUP($B69,$E$6:$K203,6,0))&gt;0,$P69=0),$O69/12*COS(PI()/180*($P69+0))^2,IF(AND(ABS(VLOOKUP($B69,$E$6:$K203,6,0))&gt;0,ABS($P69)&gt;0),$O69/12*COS(PI()/180*($P69+0))^2))),0)</f>
        <v>0</v>
      </c>
      <c r="AT69" s="209">
        <f>+IFERROR(IF(VLOOKUP($B69,$E$6:$K203,6,0)=0,0,IF(AND(ABS(VLOOKUP($B69,$E$6:$K203,6,0))&gt;0,$P69=0),ABS(VLOOKUP($B69,$E$6:$K203,6,0))*SIN(PI()/180*($P69+0))^2,IF(AND(ABS(VLOOKUP($B69,$E$6:$K203,6,0))&gt;0,ABS($P69)&gt;0),ABS(VLOOKUP($B69,$E$6:$K203,6,0))*SIN(PI()/180*($P69+0))^2))),0)*IF(RISA3D.Unit.Length="in",1/12,1)</f>
        <v>0</v>
      </c>
      <c r="AU69" s="209">
        <f t="shared" si="6"/>
        <v>0</v>
      </c>
      <c r="AV69" s="209">
        <f>+IFERROR(+IF(VLOOKUP($M69,$S$6:$V203,3,0)=VLOOKUP($N69,$S$6:$V203,3,0), ((((($O69/12+(2*0.5/12))*((VLOOKUP($C69,rngR3DSectionSets,5,0)/12)+(2*0.5/12)))-($O69/12*(VLOOKUP($C69,rngR3DSectionSets,5,0)/12)))*1.2*COS(PI()/180*($P69))^2)) + AU69, (((((AS69+(2*0.5/12))*((VLOOKUP($C69,rngR3DSectionSets,5,0)/12)+(2*0.5/12)))-(AS69*(VLOOKUP($C69,rngR3DSectionSets,5,0)/12)))+(((AT69+(2*0.5/12))*((VLOOKUP($C69,rngR3DSectionSets,5,0)/12)+(2*0.5/12)))-(AT69*(VLOOKUP($C69,rngR3DSectionSets,5,0)/12))))*1.2) + AU69),0)</f>
        <v>0</v>
      </c>
      <c r="AW69" s="209">
        <f>+IFERROR(+IF(VLOOKUP($M69,$S$6:$V203,3,0)=VLOOKUP($N69,$S$6:$V203,3,0), ((((($O69/12+(2*1/12))*((VLOOKUP($C69,rngR3DSectionSets,5,0)/12)+(2*1/12)))-($O69/12*(VLOOKUP($C69,rngR3DSectionSets,5,0)/12)))*1.2*COS(PI()/180*($P69))^2)) + AU69, (((((AS69+(2*1/12))*((VLOOKUP($C69,rngR3DSectionSets,5,0)/12)+(2*1/12)))-(AS69*(VLOOKUP($C69,rngR3DSectionSets,5,0)/12)))+(((AT69+(2*1/12))*((VLOOKUP($C69,rngR3DSectionSets,5,0)/12)+(2*1/12)))-(AT69*(VLOOKUP($C69,rngR3DSectionSets,5,0)/12))))*1.2) + AU69),0)</f>
        <v>0</v>
      </c>
      <c r="AX69" s="209">
        <f>+IFERROR(IF(VLOOKUP($B69,$E$6:$K203,6,0)=0,$O69/12*COS(PI()/180*($P69+90))^2,IF(AND(ABS(VLOOKUP($B69,$E$6:$K203,6,0))&gt;0,$P69=0),$O69/12*COS(PI()/180*($P69+90))^2,IF(AND(ABS(VLOOKUP($B69,$E$6:$K203,6,0))&gt;0,ABS($P69)&gt;0),$O69/12*COS(PI()/180*($P69+90))^2))),0)</f>
        <v>0</v>
      </c>
      <c r="AY69" s="209">
        <f>+IFERROR(IF(VLOOKUP($B69,$E$6:$K203,6,0)=0,0,IF(AND(ABS(VLOOKUP($B69,$E$6:$K203,6,0))&gt;0,$P69=0),ABS(VLOOKUP($B69,$E$6:$K203,6,0))*SIN(PI()/180*($P69+90))^2,IF(AND(ABS(VLOOKUP($B69,$E$6:$K203,6,0))&gt;0,ABS($P69)&gt;0),ABS(VLOOKUP($B69,$E$6:$K203,6,0))*SIN(PI()/180*($P69+90))^2))),0)*IF(RISA3D.Unit.Length="in",1/12,1)</f>
        <v>0</v>
      </c>
      <c r="AZ69" s="209">
        <f t="shared" si="7"/>
        <v>0</v>
      </c>
      <c r="BA69" s="209">
        <f>+IFERROR(+IF(VLOOKUP($M69,$S$6:$V203,3,0)=VLOOKUP($N69,$S$6:$V203,3,0), ((((($O69/12+(2*0.5/12))*((VLOOKUP($C69,rngR3DSectionSets,5,0)/12)+(2*0.5/12)))-($O69/12*(VLOOKUP($C69,rngR3DSectionSets,5,0)/12)))*1.2*COS(PI()/180*($P69))^2)) + AZ69, (((((AX69+(2*0.5/12))*((VLOOKUP($C69,rngR3DSectionSets,5,0)/12)+(2*0.5/12)))-(AX69*(VLOOKUP($C69,rngR3DSectionSets,5,0)/12)))+(((AY69+(2*0.5/12))*((VLOOKUP($C69,rngR3DSectionSets,5,0)/12)+(2*0.5/12)))-(AY69*(VLOOKUP($C69,rngR3DSectionSets,5,0)/12))))*1.2) + AZ69),0)</f>
        <v>0</v>
      </c>
      <c r="BB69" s="209">
        <f>+IFERROR(+IF(VLOOKUP($M69,$S$6:$V203,3,0)=VLOOKUP($N69,$S$6:$V203,3,0), ((((($O69/12+(2*1/12))*((VLOOKUP($C69,rngR3DSectionSets,5,0)/12)+(2*1/12)))-($O69/12*(VLOOKUP($C69,rngR3DSectionSets,5,0)/12)))*1.2*COS(PI()/180*($P69))^2)) + AZ69, (((((AX69+(2*1/12))*((VLOOKUP($C69,rngR3DSectionSets,5,0)/12)+(2*1/12)))-(AX69*(VLOOKUP($C69,rngR3DSectionSets,5,0)/12)))+(((AY69+(2*1/12))*((VLOOKUP($C69,rngR3DSectionSets,5,0)/12)+(2*1/12)))-(AY69*(VLOOKUP($C69,rngR3DSectionSets,5,0)/12))))*1.2) + AZ69),0)</f>
        <v>0</v>
      </c>
      <c r="BC69" s="209">
        <f t="shared" si="8"/>
        <v>0</v>
      </c>
      <c r="BD69" s="209">
        <f t="shared" si="9"/>
        <v>0</v>
      </c>
      <c r="BE69" s="209">
        <f t="shared" si="10"/>
        <v>0</v>
      </c>
      <c r="BF69" s="209"/>
      <c r="BG69" s="209"/>
    </row>
    <row r="70" spans="2:59" ht="15" customHeight="1" x14ac:dyDescent="0.2">
      <c r="B70" s="207"/>
      <c r="C70" s="207"/>
      <c r="D70" s="207"/>
      <c r="E70" s="207"/>
      <c r="F70" s="207"/>
      <c r="G70" s="207"/>
      <c r="H70" s="207"/>
      <c r="I70" s="207"/>
      <c r="J70" s="207"/>
      <c r="K70" s="207"/>
      <c r="L70" s="207"/>
      <c r="M70" s="207"/>
      <c r="N70" s="207"/>
      <c r="O70" s="207"/>
      <c r="P70" s="207"/>
      <c r="Q70" s="207"/>
      <c r="R70" s="207"/>
      <c r="S70" s="207"/>
      <c r="T70" s="228"/>
      <c r="U70" s="228"/>
      <c r="V70" s="228"/>
      <c r="AR70" s="209"/>
      <c r="AS70" s="209">
        <f>+IFERROR(IF(VLOOKUP($B70,$E$6:$K203,6,0)=0,$O70/12*COS(PI()/180*($P70+0))^2,IF(AND(ABS(VLOOKUP($B70,$E$6:$K203,6,0))&gt;0,$P70=0),$O70/12*COS(PI()/180*($P70+0))^2,IF(AND(ABS(VLOOKUP($B70,$E$6:$K203,6,0))&gt;0,ABS($P70)&gt;0),$O70/12*COS(PI()/180*($P70+0))^2))),0)</f>
        <v>0</v>
      </c>
      <c r="AT70" s="209">
        <f>+IFERROR(IF(VLOOKUP($B70,$E$6:$K203,6,0)=0,0,IF(AND(ABS(VLOOKUP($B70,$E$6:$K203,6,0))&gt;0,$P70=0),ABS(VLOOKUP($B70,$E$6:$K203,6,0))*SIN(PI()/180*($P70+0))^2,IF(AND(ABS(VLOOKUP($B70,$E$6:$K203,6,0))&gt;0,ABS($P70)&gt;0),ABS(VLOOKUP($B70,$E$6:$K203,6,0))*SIN(PI()/180*($P70+0))^2))),0)*IF(RISA3D.Unit.Length="in",1/12,1)</f>
        <v>0</v>
      </c>
      <c r="AU70" s="209">
        <f t="shared" ref="AU70" si="11">+IFERROR((AS70+AT70)*(VLOOKUP($C70,rngR3DSectionSets,5,0)/12)*IF(VLOOKUP($C70,rngR3DSectionSets,4,0)="Flat",2,1.2),0)</f>
        <v>0</v>
      </c>
      <c r="AV70" s="209">
        <f>+IFERROR(+IF(VLOOKUP($M70,$S$6:$V203,3,0)=VLOOKUP($N70,$S$6:$V203,3,0), ((((($O70/12+(2*0.5/12))*((VLOOKUP($C70,rngR3DSectionSets,5,0)/12)+(2*0.5/12)))-($O70/12*(VLOOKUP($C70,rngR3DSectionSets,5,0)/12)))*1.2*COS(PI()/180*($P70))^2)) + AU70, (((((AS70+(2*0.5/12))*((VLOOKUP($C70,rngR3DSectionSets,5,0)/12)+(2*0.5/12)))-(AS70*(VLOOKUP($C70,rngR3DSectionSets,5,0)/12)))+(((AT70+(2*0.5/12))*((VLOOKUP($C70,rngR3DSectionSets,5,0)/12)+(2*0.5/12)))-(AT70*(VLOOKUP($C70,rngR3DSectionSets,5,0)/12))))*1.2) + AU70),0)</f>
        <v>0</v>
      </c>
      <c r="AW70" s="209">
        <f>+IFERROR(+IF(VLOOKUP($M70,$S$6:$V203,3,0)=VLOOKUP($N70,$S$6:$V203,3,0), ((((($O70/12+(2*1/12))*((VLOOKUP($C70,rngR3DSectionSets,5,0)/12)+(2*1/12)))-($O70/12*(VLOOKUP($C70,rngR3DSectionSets,5,0)/12)))*1.2*COS(PI()/180*($P70))^2)) + AU70, (((((AS70+(2*1/12))*((VLOOKUP($C70,rngR3DSectionSets,5,0)/12)+(2*1/12)))-(AS70*(VLOOKUP($C70,rngR3DSectionSets,5,0)/12)))+(((AT70+(2*1/12))*((VLOOKUP($C70,rngR3DSectionSets,5,0)/12)+(2*1/12)))-(AT70*(VLOOKUP($C70,rngR3DSectionSets,5,0)/12))))*1.2) + AU70),0)</f>
        <v>0</v>
      </c>
      <c r="AX70" s="209">
        <f>+IFERROR(IF(VLOOKUP($B70,$E$6:$K203,6,0)=0,$O70/12*COS(PI()/180*($P70+90))^2,IF(AND(ABS(VLOOKUP($B70,$E$6:$K203,6,0))&gt;0,$P70=0),$O70/12*COS(PI()/180*($P70+90))^2,IF(AND(ABS(VLOOKUP($B70,$E$6:$K203,6,0))&gt;0,ABS($P70)&gt;0),$O70/12*COS(PI()/180*($P70+90))^2))),0)</f>
        <v>0</v>
      </c>
      <c r="AY70" s="209">
        <f>+IFERROR(IF(VLOOKUP($B70,$E$6:$K203,6,0)=0,0,IF(AND(ABS(VLOOKUP($B70,$E$6:$K203,6,0))&gt;0,$P70=0),ABS(VLOOKUP($B70,$E$6:$K203,6,0))*SIN(PI()/180*($P70+90))^2,IF(AND(ABS(VLOOKUP($B70,$E$6:$K203,6,0))&gt;0,ABS($P70)&gt;0),ABS(VLOOKUP($B70,$E$6:$K203,6,0))*SIN(PI()/180*($P70+90))^2))),0)*IF(RISA3D.Unit.Length="in",1/12,1)</f>
        <v>0</v>
      </c>
      <c r="AZ70" s="209">
        <f t="shared" ref="AZ70" si="12">+IFERROR((AX70+AY70)*(VLOOKUP($C70,rngR3DSectionSets,5,0)/12)*IF(VLOOKUP($C70,rngR3DSectionSets,4,0)="Flat",2,1.2),0)</f>
        <v>0</v>
      </c>
      <c r="BA70" s="209">
        <f>+IFERROR(+IF(VLOOKUP($M70,$S$6:$V203,3,0)=VLOOKUP($N70,$S$6:$V203,3,0), ((((($O70/12+(2*0.5/12))*((VLOOKUP($C70,rngR3DSectionSets,5,0)/12)+(2*0.5/12)))-($O70/12*(VLOOKUP($C70,rngR3DSectionSets,5,0)/12)))*1.2*COS(PI()/180*($P70))^2)) + AZ70, (((((AX70+(2*0.5/12))*((VLOOKUP($C70,rngR3DSectionSets,5,0)/12)+(2*0.5/12)))-(AX70*(VLOOKUP($C70,rngR3DSectionSets,5,0)/12)))+(((AY70+(2*0.5/12))*((VLOOKUP($C70,rngR3DSectionSets,5,0)/12)+(2*0.5/12)))-(AY70*(VLOOKUP($C70,rngR3DSectionSets,5,0)/12))))*1.2) + AZ70),0)</f>
        <v>0</v>
      </c>
      <c r="BB70" s="209">
        <f>+IFERROR(+IF(VLOOKUP($M70,$S$6:$V203,3,0)=VLOOKUP($N70,$S$6:$V203,3,0), ((((($O70/12+(2*1/12))*((VLOOKUP($C70,rngR3DSectionSets,5,0)/12)+(2*1/12)))-($O70/12*(VLOOKUP($C70,rngR3DSectionSets,5,0)/12)))*1.2*COS(PI()/180*($P70))^2)) + AZ70, (((((AX70+(2*1/12))*((VLOOKUP($C70,rngR3DSectionSets,5,0)/12)+(2*1/12)))-(AX70*(VLOOKUP($C70,rngR3DSectionSets,5,0)/12)))+(((AY70+(2*1/12))*((VLOOKUP($C70,rngR3DSectionSets,5,0)/12)+(2*1/12)))-(AY70*(VLOOKUP($C70,rngR3DSectionSets,5,0)/12))))*1.2) + AZ70),0)</f>
        <v>0</v>
      </c>
      <c r="BC70" s="209">
        <f t="shared" si="8"/>
        <v>0</v>
      </c>
      <c r="BD70" s="209">
        <f t="shared" si="9"/>
        <v>0</v>
      </c>
      <c r="BE70" s="209">
        <f t="shared" si="10"/>
        <v>0</v>
      </c>
      <c r="BF70" s="209"/>
      <c r="BG70" s="209"/>
    </row>
    <row r="71" spans="2:59" ht="15" customHeight="1" x14ac:dyDescent="0.2">
      <c r="B71" s="207"/>
      <c r="C71" s="207"/>
      <c r="D71" s="207"/>
      <c r="E71" s="207"/>
      <c r="F71" s="207"/>
      <c r="G71" s="207"/>
      <c r="H71" s="207"/>
      <c r="I71" s="207"/>
      <c r="J71" s="207"/>
      <c r="K71" s="207"/>
      <c r="L71" s="207"/>
      <c r="M71" s="207"/>
      <c r="N71" s="207"/>
      <c r="O71" s="207"/>
      <c r="P71" s="207"/>
      <c r="Q71" s="207"/>
      <c r="R71" s="207"/>
      <c r="S71" s="207"/>
      <c r="T71" s="228"/>
      <c r="U71" s="228"/>
      <c r="V71" s="228"/>
      <c r="AR71" s="209"/>
      <c r="AS71" s="209"/>
      <c r="AT71" s="209"/>
      <c r="AU71" s="209"/>
      <c r="AV71" s="209"/>
      <c r="AW71" s="209"/>
      <c r="AX71" s="209"/>
      <c r="AY71" s="209"/>
      <c r="AZ71" s="209"/>
      <c r="BA71" s="209"/>
      <c r="BB71" s="209"/>
      <c r="BC71" s="209"/>
      <c r="BD71" s="209"/>
      <c r="BE71" s="209"/>
      <c r="BF71" s="209"/>
      <c r="BG71" s="209"/>
    </row>
    <row r="72" spans="2:59" ht="15" customHeight="1" x14ac:dyDescent="0.2">
      <c r="B72" s="207"/>
      <c r="C72" s="207"/>
      <c r="D72" s="207"/>
      <c r="E72" s="207"/>
      <c r="F72" s="207"/>
      <c r="G72" s="207"/>
      <c r="H72" s="207"/>
      <c r="I72" s="207"/>
      <c r="J72" s="207"/>
      <c r="K72" s="207"/>
      <c r="L72" s="207"/>
      <c r="M72" s="207"/>
      <c r="N72" s="207"/>
      <c r="O72" s="207"/>
      <c r="P72" s="207"/>
      <c r="Q72" s="207"/>
      <c r="R72" s="207"/>
      <c r="S72" s="207"/>
      <c r="T72" s="228"/>
      <c r="U72" s="228"/>
      <c r="V72" s="228"/>
      <c r="AR72" s="209"/>
      <c r="AS72" s="209"/>
      <c r="AT72" s="209"/>
      <c r="AU72" s="209"/>
      <c r="AV72" s="209"/>
      <c r="AW72" s="209"/>
      <c r="AX72" s="209"/>
      <c r="AY72" s="209"/>
      <c r="AZ72" s="209"/>
      <c r="BA72" s="209"/>
      <c r="BB72" s="209"/>
      <c r="BC72" s="209"/>
      <c r="BD72" s="209"/>
      <c r="BE72" s="209"/>
      <c r="BF72" s="209"/>
      <c r="BG72" s="209"/>
    </row>
    <row r="73" spans="2:59" ht="15" customHeight="1" x14ac:dyDescent="0.2">
      <c r="B73" s="207"/>
      <c r="C73" s="207"/>
      <c r="D73" s="207"/>
      <c r="E73" s="207"/>
      <c r="F73" s="207"/>
      <c r="G73" s="207"/>
      <c r="H73" s="207"/>
      <c r="I73" s="207"/>
      <c r="J73" s="207"/>
      <c r="K73" s="207"/>
      <c r="L73" s="207"/>
      <c r="M73" s="207"/>
      <c r="N73" s="207"/>
      <c r="O73" s="207"/>
      <c r="P73" s="207"/>
      <c r="Q73" s="207"/>
      <c r="R73" s="207"/>
      <c r="S73" s="207"/>
      <c r="T73" s="228"/>
      <c r="U73" s="228"/>
      <c r="V73" s="228"/>
      <c r="AR73" s="209"/>
      <c r="AS73" s="209"/>
      <c r="AT73" s="209"/>
      <c r="AU73" s="209"/>
      <c r="AV73" s="209"/>
      <c r="AW73" s="209"/>
      <c r="AX73" s="209"/>
      <c r="AY73" s="209"/>
      <c r="AZ73" s="209"/>
      <c r="BA73" s="209"/>
      <c r="BB73" s="209"/>
      <c r="BC73" s="209"/>
      <c r="BD73" s="209"/>
      <c r="BE73" s="209"/>
      <c r="BF73" s="209"/>
      <c r="BG73" s="209"/>
    </row>
    <row r="74" spans="2:59" ht="15" customHeight="1" x14ac:dyDescent="0.2">
      <c r="B74" s="207"/>
      <c r="C74" s="207"/>
      <c r="D74" s="207"/>
      <c r="E74" s="207"/>
      <c r="F74" s="207"/>
      <c r="G74" s="207"/>
      <c r="H74" s="207"/>
      <c r="I74" s="207"/>
      <c r="J74" s="207"/>
      <c r="K74" s="207"/>
      <c r="L74" s="207"/>
      <c r="M74" s="207"/>
      <c r="N74" s="207"/>
      <c r="O74" s="207"/>
      <c r="P74" s="207"/>
      <c r="Q74" s="207"/>
      <c r="R74" s="207"/>
      <c r="S74" s="207"/>
      <c r="T74" s="228"/>
      <c r="U74" s="228"/>
      <c r="V74" s="228"/>
      <c r="AR74" s="209"/>
      <c r="AS74" s="209"/>
      <c r="AT74" s="209"/>
      <c r="AU74" s="209"/>
      <c r="AV74" s="209"/>
      <c r="AW74" s="209"/>
      <c r="AX74" s="209"/>
      <c r="AY74" s="209"/>
      <c r="AZ74" s="209"/>
      <c r="BA74" s="209"/>
      <c r="BB74" s="209"/>
      <c r="BC74" s="209"/>
      <c r="BD74" s="209"/>
      <c r="BE74" s="209"/>
      <c r="BF74" s="209"/>
      <c r="BG74" s="209"/>
    </row>
    <row r="75" spans="2:59" ht="15" customHeight="1" x14ac:dyDescent="0.2">
      <c r="B75" s="207"/>
      <c r="C75" s="207"/>
      <c r="D75" s="207"/>
      <c r="E75" s="207"/>
      <c r="F75" s="207"/>
      <c r="G75" s="207"/>
      <c r="H75" s="207"/>
      <c r="I75" s="207"/>
      <c r="J75" s="207"/>
      <c r="K75" s="207"/>
      <c r="L75" s="207"/>
      <c r="M75" s="207"/>
      <c r="N75" s="207"/>
      <c r="O75" s="207"/>
      <c r="P75" s="207"/>
      <c r="Q75" s="207"/>
      <c r="R75" s="207"/>
      <c r="S75" s="207"/>
      <c r="T75" s="228"/>
      <c r="U75" s="228"/>
      <c r="V75" s="228"/>
      <c r="AR75" s="209"/>
      <c r="AS75" s="209"/>
      <c r="AT75" s="209"/>
      <c r="AU75" s="209"/>
      <c r="AV75" s="209"/>
      <c r="AW75" s="209"/>
      <c r="AX75" s="209"/>
      <c r="AY75" s="209"/>
      <c r="AZ75" s="209"/>
      <c r="BA75" s="209"/>
      <c r="BB75" s="209"/>
      <c r="BC75" s="209"/>
      <c r="BD75" s="209"/>
      <c r="BE75" s="209"/>
      <c r="BF75" s="209"/>
      <c r="BG75" s="209"/>
    </row>
    <row r="76" spans="2:59" ht="15" customHeight="1" x14ac:dyDescent="0.2">
      <c r="B76" s="207"/>
      <c r="C76" s="207"/>
      <c r="D76" s="207"/>
      <c r="E76" s="207"/>
      <c r="F76" s="207"/>
      <c r="G76" s="207"/>
      <c r="H76" s="207"/>
      <c r="I76" s="207"/>
      <c r="J76" s="207"/>
      <c r="K76" s="207"/>
      <c r="L76" s="207"/>
      <c r="M76" s="207"/>
      <c r="N76" s="207"/>
      <c r="O76" s="207"/>
      <c r="P76" s="207"/>
      <c r="Q76" s="207"/>
      <c r="R76" s="207"/>
      <c r="S76" s="207"/>
      <c r="T76" s="228"/>
      <c r="U76" s="228"/>
      <c r="V76" s="228"/>
      <c r="AR76" s="209"/>
      <c r="AS76" s="209"/>
      <c r="AT76" s="209"/>
      <c r="AU76" s="209"/>
      <c r="AV76" s="209"/>
      <c r="AW76" s="209"/>
      <c r="AX76" s="209"/>
      <c r="AY76" s="209"/>
      <c r="AZ76" s="209"/>
      <c r="BA76" s="209"/>
      <c r="BB76" s="209"/>
      <c r="BC76" s="209"/>
      <c r="BD76" s="209"/>
      <c r="BE76" s="209"/>
      <c r="BF76" s="209"/>
      <c r="BG76" s="209"/>
    </row>
    <row r="77" spans="2:59" ht="15" customHeight="1" x14ac:dyDescent="0.2">
      <c r="B77" s="207"/>
      <c r="C77" s="207"/>
      <c r="D77" s="207"/>
      <c r="E77" s="207"/>
      <c r="F77" s="207"/>
      <c r="G77" s="207"/>
      <c r="H77" s="207"/>
      <c r="I77" s="207"/>
      <c r="J77" s="207"/>
      <c r="K77" s="207"/>
      <c r="L77" s="207"/>
      <c r="M77" s="207"/>
      <c r="N77" s="207"/>
      <c r="O77" s="207"/>
      <c r="P77" s="207"/>
      <c r="Q77" s="207"/>
      <c r="R77" s="207"/>
      <c r="S77" s="207"/>
      <c r="T77" s="228"/>
      <c r="U77" s="228"/>
      <c r="V77" s="228"/>
      <c r="AR77" s="209"/>
      <c r="AS77" s="209"/>
      <c r="AT77" s="209"/>
      <c r="AU77" s="209"/>
      <c r="AV77" s="209"/>
      <c r="AW77" s="209"/>
      <c r="AX77" s="209"/>
      <c r="AY77" s="209"/>
      <c r="AZ77" s="209"/>
      <c r="BA77" s="209"/>
      <c r="BB77" s="209"/>
      <c r="BC77" s="209"/>
      <c r="BD77" s="209"/>
      <c r="BE77" s="209"/>
      <c r="BF77" s="209"/>
      <c r="BG77" s="209"/>
    </row>
    <row r="78" spans="2:59" ht="15" customHeight="1" x14ac:dyDescent="0.2">
      <c r="B78" s="207"/>
      <c r="C78" s="207"/>
      <c r="D78" s="207"/>
      <c r="E78" s="207"/>
      <c r="F78" s="207"/>
      <c r="G78" s="207"/>
      <c r="H78" s="207"/>
      <c r="I78" s="207"/>
      <c r="J78" s="207"/>
      <c r="K78" s="207"/>
      <c r="L78" s="207"/>
      <c r="M78" s="207"/>
      <c r="N78" s="207"/>
      <c r="O78" s="207"/>
      <c r="P78" s="207"/>
      <c r="Q78" s="207"/>
      <c r="R78" s="207"/>
      <c r="S78" s="207"/>
      <c r="T78" s="228"/>
      <c r="U78" s="228"/>
      <c r="V78" s="228"/>
      <c r="AR78" s="209"/>
      <c r="AS78" s="209"/>
      <c r="AT78" s="209"/>
      <c r="AU78" s="209"/>
      <c r="AV78" s="209"/>
      <c r="AW78" s="209"/>
      <c r="AX78" s="209"/>
      <c r="AY78" s="209"/>
      <c r="AZ78" s="209"/>
      <c r="BA78" s="209"/>
      <c r="BB78" s="209"/>
      <c r="BC78" s="209"/>
      <c r="BD78" s="209"/>
      <c r="BE78" s="209"/>
      <c r="BF78" s="209"/>
      <c r="BG78" s="209"/>
    </row>
    <row r="79" spans="2:59" ht="15" customHeight="1" x14ac:dyDescent="0.2">
      <c r="B79" s="207"/>
      <c r="C79" s="207"/>
      <c r="D79" s="207"/>
      <c r="E79" s="207"/>
      <c r="F79" s="207"/>
      <c r="G79" s="207"/>
      <c r="H79" s="207"/>
      <c r="I79" s="207"/>
      <c r="J79" s="207"/>
      <c r="K79" s="207"/>
      <c r="L79" s="207"/>
      <c r="M79" s="207"/>
      <c r="N79" s="207"/>
      <c r="O79" s="207"/>
      <c r="P79" s="207"/>
      <c r="Q79" s="207"/>
      <c r="R79" s="207"/>
      <c r="S79" s="207"/>
      <c r="T79" s="228"/>
      <c r="U79" s="228"/>
      <c r="V79" s="228"/>
      <c r="AR79" s="209"/>
      <c r="AS79" s="209"/>
      <c r="AT79" s="209"/>
      <c r="AU79" s="209"/>
      <c r="AV79" s="209"/>
      <c r="AW79" s="209"/>
      <c r="AX79" s="209"/>
      <c r="AY79" s="209"/>
      <c r="AZ79" s="209"/>
      <c r="BA79" s="209"/>
      <c r="BB79" s="209"/>
      <c r="BC79" s="209"/>
      <c r="BD79" s="209"/>
      <c r="BE79" s="209"/>
      <c r="BF79" s="209"/>
      <c r="BG79" s="209"/>
    </row>
    <row r="80" spans="2:59" ht="15" customHeight="1" x14ac:dyDescent="0.2">
      <c r="B80" s="207"/>
      <c r="C80" s="207"/>
      <c r="D80" s="207"/>
      <c r="E80" s="207"/>
      <c r="F80" s="207"/>
      <c r="G80" s="207"/>
      <c r="H80" s="207"/>
      <c r="I80" s="207"/>
      <c r="J80" s="207"/>
      <c r="K80" s="207"/>
      <c r="L80" s="207"/>
      <c r="M80" s="207"/>
      <c r="N80" s="207"/>
      <c r="O80" s="207"/>
      <c r="P80" s="207"/>
      <c r="Q80" s="207"/>
      <c r="R80" s="207"/>
      <c r="S80" s="207"/>
      <c r="T80" s="228"/>
      <c r="U80" s="228"/>
      <c r="V80" s="228"/>
      <c r="AR80" s="209"/>
      <c r="AS80" s="209"/>
      <c r="AT80" s="209"/>
      <c r="AU80" s="209"/>
      <c r="AV80" s="209"/>
      <c r="AW80" s="209"/>
      <c r="AX80" s="209"/>
      <c r="AY80" s="209"/>
      <c r="AZ80" s="209"/>
      <c r="BA80" s="209"/>
      <c r="BB80" s="209"/>
      <c r="BC80" s="209"/>
      <c r="BD80" s="209"/>
      <c r="BE80" s="209"/>
      <c r="BF80" s="209"/>
      <c r="BG80" s="209"/>
    </row>
    <row r="81" spans="2:59" ht="15" customHeight="1" x14ac:dyDescent="0.2">
      <c r="B81" s="207"/>
      <c r="C81" s="207"/>
      <c r="D81" s="207"/>
      <c r="E81" s="207"/>
      <c r="F81" s="207"/>
      <c r="G81" s="207"/>
      <c r="H81" s="207"/>
      <c r="I81" s="207"/>
      <c r="J81" s="207"/>
      <c r="K81" s="207"/>
      <c r="L81" s="207"/>
      <c r="M81" s="207"/>
      <c r="N81" s="207"/>
      <c r="O81" s="207"/>
      <c r="P81" s="207"/>
      <c r="Q81" s="207"/>
      <c r="R81" s="207"/>
      <c r="S81" s="207"/>
      <c r="T81" s="228"/>
      <c r="U81" s="228"/>
      <c r="V81" s="228"/>
      <c r="AR81" s="209"/>
      <c r="AS81" s="209"/>
      <c r="AT81" s="209"/>
      <c r="AU81" s="209"/>
      <c r="AV81" s="209"/>
      <c r="AW81" s="209"/>
      <c r="AX81" s="209"/>
      <c r="AY81" s="209"/>
      <c r="AZ81" s="209"/>
      <c r="BA81" s="209"/>
      <c r="BB81" s="209"/>
      <c r="BC81" s="209"/>
      <c r="BD81" s="209"/>
      <c r="BE81" s="209"/>
      <c r="BF81" s="209"/>
      <c r="BG81" s="209"/>
    </row>
    <row r="82" spans="2:59" ht="15" customHeight="1" x14ac:dyDescent="0.2">
      <c r="B82" s="207"/>
      <c r="C82" s="207"/>
      <c r="D82" s="207"/>
      <c r="E82" s="207"/>
      <c r="F82" s="207"/>
      <c r="G82" s="207"/>
      <c r="H82" s="207"/>
      <c r="I82" s="207"/>
      <c r="J82" s="207"/>
      <c r="K82" s="207"/>
      <c r="L82" s="207"/>
      <c r="M82" s="207"/>
      <c r="N82" s="207"/>
      <c r="O82" s="207"/>
      <c r="P82" s="207"/>
      <c r="Q82" s="207"/>
      <c r="R82" s="207"/>
      <c r="S82" s="207"/>
      <c r="T82" s="228"/>
      <c r="U82" s="228"/>
      <c r="V82" s="228"/>
      <c r="AR82" s="209"/>
      <c r="AS82" s="209"/>
      <c r="AT82" s="209"/>
      <c r="AU82" s="209"/>
      <c r="AV82" s="209"/>
      <c r="AW82" s="209"/>
      <c r="AX82" s="209"/>
      <c r="AY82" s="209"/>
      <c r="AZ82" s="209"/>
      <c r="BA82" s="209"/>
      <c r="BB82" s="209"/>
      <c r="BC82" s="209"/>
      <c r="BD82" s="209"/>
      <c r="BE82" s="209"/>
      <c r="BF82" s="209"/>
      <c r="BG82" s="209"/>
    </row>
    <row r="83" spans="2:59" ht="15" customHeight="1" x14ac:dyDescent="0.2">
      <c r="B83" s="207"/>
      <c r="C83" s="207"/>
      <c r="D83" s="207"/>
      <c r="E83" s="207"/>
      <c r="F83" s="207"/>
      <c r="G83" s="207"/>
      <c r="H83" s="207"/>
      <c r="I83" s="207"/>
      <c r="J83" s="207"/>
      <c r="K83" s="207"/>
      <c r="L83" s="207"/>
      <c r="M83" s="207"/>
      <c r="N83" s="207"/>
      <c r="O83" s="207"/>
      <c r="P83" s="207"/>
      <c r="Q83" s="207"/>
      <c r="R83" s="207"/>
      <c r="S83" s="207"/>
      <c r="T83" s="228"/>
      <c r="U83" s="228"/>
      <c r="V83" s="228"/>
      <c r="AR83" s="209"/>
      <c r="AS83" s="209"/>
      <c r="AT83" s="209"/>
      <c r="AU83" s="209"/>
      <c r="AV83" s="209"/>
      <c r="AW83" s="209"/>
      <c r="AX83" s="209"/>
      <c r="AY83" s="209"/>
      <c r="AZ83" s="209"/>
      <c r="BA83" s="209"/>
      <c r="BB83" s="209"/>
      <c r="BC83" s="209"/>
      <c r="BD83" s="209"/>
      <c r="BE83" s="209"/>
      <c r="BF83" s="209"/>
      <c r="BG83" s="209"/>
    </row>
    <row r="84" spans="2:59" ht="15" customHeight="1" x14ac:dyDescent="0.2">
      <c r="B84" s="207"/>
      <c r="C84" s="207"/>
      <c r="D84" s="207"/>
      <c r="E84" s="207"/>
      <c r="F84" s="207"/>
      <c r="G84" s="207"/>
      <c r="H84" s="207"/>
      <c r="I84" s="207"/>
      <c r="J84" s="207"/>
      <c r="K84" s="207"/>
      <c r="L84" s="207"/>
      <c r="M84" s="207"/>
      <c r="N84" s="207"/>
      <c r="O84" s="207"/>
      <c r="P84" s="207"/>
      <c r="Q84" s="207"/>
      <c r="R84" s="207"/>
      <c r="S84" s="207"/>
      <c r="T84" s="228"/>
      <c r="U84" s="228"/>
      <c r="V84" s="228"/>
      <c r="AR84" s="209"/>
      <c r="AS84" s="209"/>
      <c r="AT84" s="209"/>
      <c r="AU84" s="209"/>
      <c r="AV84" s="209"/>
      <c r="AW84" s="209"/>
      <c r="AX84" s="209"/>
      <c r="AY84" s="209"/>
      <c r="AZ84" s="209"/>
      <c r="BA84" s="209"/>
      <c r="BB84" s="209"/>
      <c r="BC84" s="209"/>
      <c r="BD84" s="209"/>
      <c r="BE84" s="209"/>
      <c r="BF84" s="209"/>
      <c r="BG84" s="209"/>
    </row>
    <row r="85" spans="2:59" ht="15" customHeight="1" x14ac:dyDescent="0.2">
      <c r="B85" s="207"/>
      <c r="C85" s="207"/>
      <c r="D85" s="207"/>
      <c r="E85" s="207"/>
      <c r="F85" s="207"/>
      <c r="G85" s="207"/>
      <c r="H85" s="207"/>
      <c r="I85" s="207"/>
      <c r="J85" s="207"/>
      <c r="K85" s="207"/>
      <c r="L85" s="207"/>
      <c r="M85" s="207"/>
      <c r="N85" s="207"/>
      <c r="O85" s="207"/>
      <c r="P85" s="207"/>
      <c r="Q85" s="207"/>
      <c r="R85" s="207"/>
      <c r="S85" s="207"/>
      <c r="T85" s="228"/>
      <c r="U85" s="228"/>
      <c r="V85" s="228"/>
      <c r="AR85" s="209"/>
      <c r="AS85" s="209"/>
      <c r="AT85" s="209"/>
      <c r="AU85" s="209"/>
      <c r="AV85" s="209"/>
      <c r="AW85" s="209"/>
      <c r="AX85" s="209"/>
      <c r="AY85" s="209"/>
      <c r="AZ85" s="209"/>
      <c r="BA85" s="209"/>
      <c r="BB85" s="209"/>
      <c r="BC85" s="209"/>
      <c r="BD85" s="209"/>
      <c r="BE85" s="209"/>
      <c r="BF85" s="209"/>
      <c r="BG85" s="209"/>
    </row>
    <row r="86" spans="2:59" ht="15" customHeight="1" x14ac:dyDescent="0.2">
      <c r="B86" s="207"/>
      <c r="C86" s="207"/>
      <c r="D86" s="207"/>
      <c r="E86" s="207"/>
      <c r="F86" s="207"/>
      <c r="G86" s="207"/>
      <c r="H86" s="207"/>
      <c r="I86" s="207"/>
      <c r="J86" s="207"/>
      <c r="K86" s="207"/>
      <c r="L86" s="207"/>
      <c r="M86" s="207"/>
      <c r="N86" s="207"/>
      <c r="O86" s="207"/>
      <c r="P86" s="207"/>
      <c r="Q86" s="207"/>
      <c r="R86" s="207"/>
      <c r="S86" s="207"/>
      <c r="T86" s="228"/>
      <c r="U86" s="228"/>
      <c r="V86" s="228"/>
      <c r="AR86" s="209"/>
      <c r="AS86" s="209"/>
      <c r="AT86" s="209"/>
      <c r="AU86" s="209"/>
      <c r="AV86" s="209"/>
      <c r="AW86" s="209"/>
      <c r="AX86" s="209"/>
      <c r="AY86" s="209"/>
      <c r="AZ86" s="209"/>
      <c r="BA86" s="209"/>
      <c r="BB86" s="209"/>
      <c r="BC86" s="209"/>
      <c r="BD86" s="209"/>
      <c r="BE86" s="209"/>
      <c r="BF86" s="209"/>
      <c r="BG86" s="209"/>
    </row>
    <row r="87" spans="2:59" ht="15" customHeight="1" x14ac:dyDescent="0.2">
      <c r="B87" s="207"/>
      <c r="C87" s="207"/>
      <c r="D87" s="207"/>
      <c r="E87" s="207"/>
      <c r="F87" s="207"/>
      <c r="G87" s="207"/>
      <c r="H87" s="207"/>
      <c r="I87" s="207"/>
      <c r="J87" s="207"/>
      <c r="K87" s="207"/>
      <c r="L87" s="207"/>
      <c r="M87" s="207"/>
      <c r="N87" s="207"/>
      <c r="O87" s="207"/>
      <c r="P87" s="207"/>
      <c r="Q87" s="207"/>
      <c r="R87" s="207"/>
      <c r="S87" s="207"/>
      <c r="T87" s="228"/>
      <c r="U87" s="228"/>
      <c r="V87" s="228"/>
      <c r="AS87" s="209"/>
      <c r="AT87" s="209"/>
      <c r="AU87" s="209"/>
      <c r="AV87" s="209"/>
      <c r="AW87" s="209"/>
      <c r="AX87" s="209"/>
      <c r="AY87" s="209"/>
      <c r="AZ87" s="209"/>
      <c r="BA87" s="209"/>
      <c r="BB87" s="209"/>
      <c r="BC87" s="209"/>
      <c r="BD87" s="209"/>
      <c r="BE87" s="209"/>
      <c r="BF87" s="209"/>
      <c r="BG87" s="209"/>
    </row>
    <row r="88" spans="2:59" ht="15" customHeight="1" x14ac:dyDescent="0.2">
      <c r="B88" s="207"/>
      <c r="C88" s="207"/>
      <c r="D88" s="207"/>
      <c r="E88" s="207"/>
      <c r="F88" s="207"/>
      <c r="G88" s="207"/>
      <c r="H88" s="207"/>
      <c r="I88" s="207"/>
      <c r="J88" s="207"/>
      <c r="K88" s="207"/>
      <c r="L88" s="207"/>
      <c r="M88" s="207"/>
      <c r="N88" s="207"/>
      <c r="O88" s="207"/>
      <c r="P88" s="207"/>
      <c r="Q88" s="207"/>
      <c r="R88" s="207"/>
      <c r="S88" s="207"/>
      <c r="T88" s="228"/>
      <c r="U88" s="228"/>
      <c r="V88" s="228"/>
      <c r="AS88" s="209"/>
      <c r="AT88" s="209"/>
      <c r="AU88" s="209"/>
      <c r="AV88" s="209"/>
      <c r="AW88" s="209"/>
      <c r="AX88" s="209"/>
      <c r="AY88" s="209"/>
      <c r="AZ88" s="209"/>
      <c r="BA88" s="209"/>
      <c r="BB88" s="209"/>
      <c r="BC88" s="209"/>
      <c r="BD88" s="209"/>
      <c r="BE88" s="209"/>
      <c r="BF88" s="209"/>
      <c r="BG88" s="209"/>
    </row>
    <row r="89" spans="2:59" ht="15" customHeight="1" x14ac:dyDescent="0.2">
      <c r="B89" s="207"/>
      <c r="C89" s="207"/>
      <c r="D89" s="207"/>
      <c r="E89" s="207"/>
      <c r="F89" s="207"/>
      <c r="G89" s="207"/>
      <c r="H89" s="207"/>
      <c r="I89" s="207"/>
      <c r="J89" s="207"/>
      <c r="K89" s="207"/>
      <c r="L89" s="207"/>
      <c r="M89" s="207"/>
      <c r="N89" s="207"/>
      <c r="O89" s="207"/>
      <c r="P89" s="207"/>
      <c r="Q89" s="207"/>
      <c r="R89" s="207"/>
      <c r="S89" s="207"/>
      <c r="T89" s="228"/>
      <c r="U89" s="228"/>
      <c r="V89" s="228"/>
      <c r="AS89" s="209"/>
      <c r="AT89" s="209"/>
      <c r="AU89" s="209"/>
      <c r="AV89" s="209"/>
      <c r="AW89" s="209"/>
      <c r="AX89" s="209"/>
      <c r="AY89" s="209"/>
      <c r="AZ89" s="209"/>
      <c r="BA89" s="209"/>
      <c r="BB89" s="209"/>
      <c r="BC89" s="209"/>
      <c r="BD89" s="209"/>
      <c r="BE89" s="209"/>
      <c r="BF89" s="209"/>
      <c r="BG89" s="209"/>
    </row>
    <row r="90" spans="2:59" ht="15" customHeight="1" x14ac:dyDescent="0.2">
      <c r="B90" s="207"/>
      <c r="C90" s="207"/>
      <c r="D90" s="207"/>
      <c r="E90" s="207"/>
      <c r="F90" s="207"/>
      <c r="G90" s="207"/>
      <c r="H90" s="207"/>
      <c r="I90" s="207"/>
      <c r="J90" s="207"/>
      <c r="K90" s="207"/>
      <c r="L90" s="207"/>
      <c r="M90" s="207"/>
      <c r="N90" s="207"/>
      <c r="O90" s="207"/>
      <c r="P90" s="207"/>
      <c r="Q90" s="207"/>
      <c r="R90" s="207"/>
      <c r="S90" s="207"/>
      <c r="T90" s="228"/>
      <c r="U90" s="228"/>
      <c r="V90" s="228"/>
      <c r="AS90" s="209"/>
      <c r="AT90" s="209"/>
      <c r="AU90" s="209"/>
      <c r="AV90" s="209"/>
      <c r="AW90" s="209"/>
      <c r="AX90" s="209"/>
      <c r="AY90" s="209"/>
      <c r="AZ90" s="209"/>
      <c r="BA90" s="209"/>
      <c r="BB90" s="209"/>
      <c r="BC90" s="209"/>
      <c r="BD90" s="209"/>
      <c r="BE90" s="209"/>
      <c r="BF90" s="209"/>
      <c r="BG90" s="209"/>
    </row>
    <row r="91" spans="2:59" ht="15" customHeight="1" x14ac:dyDescent="0.2">
      <c r="B91" s="207"/>
      <c r="C91" s="207"/>
      <c r="D91" s="207"/>
      <c r="E91" s="207"/>
      <c r="F91" s="207"/>
      <c r="G91" s="207"/>
      <c r="H91" s="207"/>
      <c r="I91" s="207"/>
      <c r="J91" s="207"/>
      <c r="K91" s="207"/>
      <c r="L91" s="207"/>
      <c r="M91" s="207"/>
      <c r="N91" s="207"/>
      <c r="O91" s="207"/>
      <c r="P91" s="207"/>
      <c r="Q91" s="207"/>
      <c r="R91" s="207"/>
      <c r="S91" s="207"/>
      <c r="T91" s="228"/>
      <c r="U91" s="228"/>
      <c r="V91" s="228"/>
      <c r="AS91" s="209"/>
      <c r="AT91" s="209"/>
      <c r="AU91" s="209"/>
      <c r="AV91" s="209"/>
      <c r="AW91" s="209"/>
      <c r="AX91" s="209"/>
      <c r="AY91" s="209"/>
      <c r="AZ91" s="209"/>
      <c r="BA91" s="209"/>
      <c r="BB91" s="209"/>
      <c r="BC91" s="209"/>
      <c r="BD91" s="209"/>
      <c r="BE91" s="209"/>
      <c r="BF91" s="209"/>
      <c r="BG91" s="209"/>
    </row>
    <row r="92" spans="2:59" ht="15" customHeight="1" x14ac:dyDescent="0.2">
      <c r="B92" s="207"/>
      <c r="C92" s="207"/>
      <c r="D92" s="207"/>
      <c r="E92" s="207"/>
      <c r="F92" s="207"/>
      <c r="G92" s="207"/>
      <c r="H92" s="207"/>
      <c r="I92" s="207"/>
      <c r="J92" s="207"/>
      <c r="K92" s="207"/>
      <c r="L92" s="207"/>
      <c r="M92" s="207"/>
      <c r="N92" s="207"/>
      <c r="O92" s="207"/>
      <c r="P92" s="207"/>
      <c r="Q92" s="207"/>
      <c r="R92" s="207"/>
      <c r="S92" s="207"/>
      <c r="T92" s="228"/>
      <c r="U92" s="228"/>
      <c r="V92" s="228"/>
      <c r="AS92" s="209"/>
      <c r="AT92" s="209"/>
      <c r="AU92" s="209"/>
      <c r="AV92" s="209"/>
      <c r="AW92" s="209"/>
      <c r="AX92" s="209"/>
      <c r="AY92" s="209"/>
      <c r="AZ92" s="209"/>
      <c r="BA92" s="209"/>
      <c r="BB92" s="209"/>
      <c r="BC92" s="209"/>
      <c r="BD92" s="209"/>
      <c r="BE92" s="209"/>
      <c r="BF92" s="209"/>
      <c r="BG92" s="209"/>
    </row>
    <row r="93" spans="2:59" ht="15" customHeight="1" x14ac:dyDescent="0.2">
      <c r="B93" s="207"/>
      <c r="C93" s="207"/>
      <c r="D93" s="207"/>
      <c r="E93" s="207"/>
      <c r="F93" s="207"/>
      <c r="G93" s="207"/>
      <c r="H93" s="207"/>
      <c r="I93" s="207"/>
      <c r="J93" s="207"/>
      <c r="K93" s="207"/>
      <c r="L93" s="207"/>
      <c r="M93" s="207"/>
      <c r="N93" s="207"/>
      <c r="O93" s="207"/>
      <c r="P93" s="207"/>
      <c r="Q93" s="207"/>
      <c r="R93" s="207"/>
      <c r="S93" s="207"/>
      <c r="T93" s="228"/>
      <c r="U93" s="228"/>
      <c r="V93" s="228"/>
      <c r="AS93" s="209"/>
      <c r="AT93" s="209"/>
      <c r="AU93" s="209"/>
      <c r="AV93" s="209"/>
      <c r="AW93" s="209"/>
      <c r="AX93" s="209"/>
      <c r="AY93" s="209"/>
      <c r="AZ93" s="209"/>
      <c r="BA93" s="209"/>
      <c r="BB93" s="209"/>
      <c r="BC93" s="209"/>
      <c r="BD93" s="209"/>
      <c r="BE93" s="209"/>
      <c r="BF93" s="209"/>
      <c r="BG93" s="209"/>
    </row>
    <row r="94" spans="2:59" ht="15" customHeight="1" x14ac:dyDescent="0.2">
      <c r="B94" s="207"/>
      <c r="C94" s="207"/>
      <c r="D94" s="207"/>
      <c r="E94" s="207"/>
      <c r="F94" s="207"/>
      <c r="G94" s="207"/>
      <c r="H94" s="207"/>
      <c r="I94" s="207"/>
      <c r="J94" s="207"/>
      <c r="K94" s="207"/>
      <c r="L94" s="207"/>
      <c r="M94" s="207"/>
      <c r="N94" s="207"/>
      <c r="O94" s="207"/>
      <c r="P94" s="207"/>
      <c r="Q94" s="207"/>
      <c r="R94" s="207"/>
      <c r="S94" s="207"/>
      <c r="T94" s="228"/>
      <c r="U94" s="228"/>
      <c r="V94" s="228"/>
      <c r="AS94" s="209"/>
      <c r="AT94" s="209"/>
      <c r="AU94" s="209"/>
      <c r="AV94" s="209"/>
      <c r="AW94" s="209"/>
      <c r="AX94" s="209"/>
      <c r="AY94" s="209"/>
      <c r="AZ94" s="209"/>
      <c r="BA94" s="209"/>
      <c r="BB94" s="209"/>
      <c r="BC94" s="209"/>
      <c r="BD94" s="209"/>
      <c r="BE94" s="209"/>
      <c r="BF94" s="209"/>
      <c r="BG94" s="209"/>
    </row>
    <row r="95" spans="2:59" ht="15" customHeight="1" x14ac:dyDescent="0.2">
      <c r="B95" s="207"/>
      <c r="C95" s="207"/>
      <c r="D95" s="207"/>
      <c r="E95" s="207"/>
      <c r="F95" s="207"/>
      <c r="G95" s="207"/>
      <c r="H95" s="207"/>
      <c r="I95" s="207"/>
      <c r="J95" s="207"/>
      <c r="K95" s="207"/>
      <c r="L95" s="207"/>
      <c r="M95" s="207"/>
      <c r="N95" s="207"/>
      <c r="O95" s="207"/>
      <c r="P95" s="207"/>
      <c r="Q95" s="207"/>
      <c r="R95" s="207"/>
      <c r="S95" s="207"/>
      <c r="T95" s="228"/>
      <c r="U95" s="228"/>
      <c r="V95" s="228"/>
      <c r="AS95" s="209"/>
      <c r="AT95" s="209"/>
      <c r="AU95" s="209"/>
      <c r="AV95" s="209"/>
      <c r="AW95" s="209"/>
      <c r="AX95" s="209"/>
      <c r="AY95" s="209"/>
      <c r="AZ95" s="209"/>
      <c r="BA95" s="209"/>
      <c r="BB95" s="209"/>
      <c r="BC95" s="209"/>
      <c r="BD95" s="209"/>
      <c r="BE95" s="209"/>
      <c r="BF95" s="209"/>
      <c r="BG95" s="209"/>
    </row>
    <row r="96" spans="2:59" ht="15" customHeight="1" x14ac:dyDescent="0.2">
      <c r="B96" s="207"/>
      <c r="C96" s="207"/>
      <c r="D96" s="207"/>
      <c r="E96" s="207"/>
      <c r="F96" s="207"/>
      <c r="G96" s="207"/>
      <c r="H96" s="207"/>
      <c r="I96" s="207"/>
      <c r="J96" s="207"/>
      <c r="K96" s="207"/>
      <c r="L96" s="207"/>
      <c r="M96" s="207"/>
      <c r="N96" s="207"/>
      <c r="O96" s="207"/>
      <c r="P96" s="207"/>
      <c r="Q96" s="207"/>
      <c r="R96" s="207"/>
      <c r="S96" s="207"/>
      <c r="T96" s="228"/>
      <c r="U96" s="228"/>
      <c r="V96" s="228"/>
      <c r="AS96" s="209"/>
      <c r="AT96" s="209"/>
      <c r="AU96" s="209"/>
      <c r="AV96" s="209"/>
      <c r="AW96" s="209"/>
      <c r="AX96" s="209"/>
      <c r="AY96" s="209"/>
      <c r="AZ96" s="209"/>
      <c r="BA96" s="209"/>
      <c r="BB96" s="209"/>
      <c r="BC96" s="209"/>
      <c r="BD96" s="209"/>
      <c r="BE96" s="209"/>
      <c r="BF96" s="209"/>
      <c r="BG96" s="209"/>
    </row>
    <row r="97" spans="2:59" ht="15" customHeight="1" x14ac:dyDescent="0.2">
      <c r="B97" s="207"/>
      <c r="C97" s="207"/>
      <c r="D97" s="207"/>
      <c r="E97" s="207"/>
      <c r="F97" s="207"/>
      <c r="G97" s="207"/>
      <c r="H97" s="207"/>
      <c r="I97" s="207"/>
      <c r="J97" s="207"/>
      <c r="K97" s="207"/>
      <c r="L97" s="207"/>
      <c r="M97" s="207"/>
      <c r="N97" s="207"/>
      <c r="O97" s="207"/>
      <c r="P97" s="207"/>
      <c r="Q97" s="207"/>
      <c r="R97" s="207"/>
      <c r="S97" s="207"/>
      <c r="T97" s="228"/>
      <c r="U97" s="228"/>
      <c r="V97" s="228"/>
      <c r="AS97" s="209"/>
      <c r="AT97" s="209"/>
      <c r="AU97" s="209"/>
      <c r="AV97" s="209"/>
      <c r="AW97" s="209"/>
      <c r="AX97" s="209"/>
      <c r="AY97" s="209"/>
      <c r="AZ97" s="209"/>
      <c r="BA97" s="209"/>
      <c r="BB97" s="209"/>
      <c r="BC97" s="209"/>
      <c r="BD97" s="209"/>
      <c r="BE97" s="209"/>
      <c r="BF97" s="209"/>
      <c r="BG97" s="209"/>
    </row>
    <row r="98" spans="2:59" ht="15" customHeight="1" x14ac:dyDescent="0.2">
      <c r="B98" s="207"/>
      <c r="C98" s="207"/>
      <c r="D98" s="207"/>
      <c r="E98" s="207"/>
      <c r="F98" s="207"/>
      <c r="G98" s="207"/>
      <c r="H98" s="207"/>
      <c r="I98" s="207"/>
      <c r="J98" s="207"/>
      <c r="K98" s="207"/>
      <c r="L98" s="207"/>
      <c r="M98" s="207"/>
      <c r="N98" s="207"/>
      <c r="O98" s="207"/>
      <c r="P98" s="207"/>
      <c r="Q98" s="207"/>
      <c r="R98" s="207"/>
      <c r="S98" s="207"/>
      <c r="T98" s="228"/>
      <c r="U98" s="228"/>
      <c r="V98" s="228"/>
      <c r="AS98" s="209"/>
      <c r="AT98" s="209"/>
      <c r="AU98" s="209"/>
      <c r="AV98" s="209"/>
      <c r="AW98" s="209"/>
      <c r="AX98" s="209"/>
      <c r="AY98" s="209"/>
      <c r="AZ98" s="209"/>
      <c r="BA98" s="209"/>
      <c r="BB98" s="209"/>
      <c r="BC98" s="209"/>
      <c r="BD98" s="209"/>
      <c r="BE98" s="209"/>
      <c r="BF98" s="209"/>
      <c r="BG98" s="209"/>
    </row>
    <row r="99" spans="2:59" ht="15" customHeight="1" x14ac:dyDescent="0.2">
      <c r="B99" s="207"/>
      <c r="C99" s="207"/>
      <c r="D99" s="207"/>
      <c r="E99" s="207"/>
      <c r="F99" s="207"/>
      <c r="G99" s="207"/>
      <c r="H99" s="207"/>
      <c r="I99" s="207"/>
      <c r="J99" s="207"/>
      <c r="K99" s="207"/>
      <c r="L99" s="207"/>
      <c r="M99" s="207"/>
      <c r="N99" s="207"/>
      <c r="O99" s="207"/>
      <c r="P99" s="207"/>
      <c r="Q99" s="207"/>
      <c r="R99" s="207"/>
      <c r="S99" s="207"/>
      <c r="T99" s="228"/>
      <c r="U99" s="228"/>
      <c r="V99" s="228"/>
      <c r="AS99" s="209"/>
      <c r="AT99" s="209"/>
      <c r="AU99" s="209"/>
      <c r="AV99" s="209"/>
      <c r="AW99" s="209"/>
      <c r="AX99" s="209"/>
      <c r="AY99" s="209"/>
      <c r="AZ99" s="209"/>
      <c r="BA99" s="209"/>
      <c r="BB99" s="209"/>
      <c r="BC99" s="209"/>
      <c r="BD99" s="209"/>
      <c r="BE99" s="209"/>
      <c r="BF99" s="209"/>
      <c r="BG99" s="209"/>
    </row>
    <row r="100" spans="2:59" ht="15" customHeight="1" x14ac:dyDescent="0.2">
      <c r="B100" s="207"/>
      <c r="C100" s="207"/>
      <c r="D100" s="207"/>
      <c r="E100" s="207"/>
      <c r="F100" s="207"/>
      <c r="G100" s="207"/>
      <c r="H100" s="207"/>
      <c r="I100" s="207"/>
      <c r="J100" s="207"/>
      <c r="K100" s="207"/>
      <c r="L100" s="207"/>
      <c r="M100" s="207"/>
      <c r="N100" s="207"/>
      <c r="O100" s="207"/>
      <c r="P100" s="207"/>
      <c r="Q100" s="207"/>
      <c r="R100" s="207"/>
      <c r="S100" s="207"/>
      <c r="T100" s="228"/>
      <c r="U100" s="228"/>
      <c r="V100" s="228"/>
      <c r="AS100" s="209"/>
      <c r="AT100" s="209"/>
      <c r="AU100" s="209"/>
      <c r="AV100" s="209"/>
      <c r="AW100" s="209"/>
      <c r="AX100" s="209"/>
      <c r="AY100" s="209"/>
      <c r="AZ100" s="209"/>
      <c r="BA100" s="209"/>
      <c r="BB100" s="209"/>
      <c r="BC100" s="209"/>
      <c r="BD100" s="209"/>
      <c r="BE100" s="209"/>
      <c r="BF100" s="209"/>
      <c r="BG100" s="209"/>
    </row>
    <row r="101" spans="2:59" ht="15" customHeight="1" x14ac:dyDescent="0.2">
      <c r="B101" s="207"/>
      <c r="C101" s="207"/>
      <c r="D101" s="207"/>
      <c r="E101" s="207"/>
      <c r="F101" s="207"/>
      <c r="G101" s="207"/>
      <c r="H101" s="207"/>
      <c r="I101" s="207"/>
      <c r="J101" s="207"/>
      <c r="K101" s="207"/>
      <c r="L101" s="207"/>
      <c r="M101" s="207"/>
      <c r="N101" s="207"/>
      <c r="O101" s="207"/>
      <c r="P101" s="207"/>
      <c r="Q101" s="207"/>
      <c r="R101" s="207"/>
      <c r="S101" s="207"/>
      <c r="T101" s="228"/>
      <c r="U101" s="228"/>
      <c r="V101" s="228"/>
      <c r="AS101" s="209"/>
      <c r="AT101" s="209"/>
      <c r="AU101" s="209"/>
      <c r="AV101" s="209"/>
      <c r="AW101" s="209"/>
      <c r="AX101" s="209"/>
      <c r="AY101" s="209"/>
      <c r="AZ101" s="209"/>
      <c r="BA101" s="209"/>
      <c r="BB101" s="209"/>
      <c r="BC101" s="209"/>
      <c r="BD101" s="209"/>
      <c r="BE101" s="209"/>
      <c r="BF101" s="209"/>
      <c r="BG101" s="209"/>
    </row>
    <row r="102" spans="2:59" ht="15" customHeight="1" x14ac:dyDescent="0.2">
      <c r="B102" s="207"/>
      <c r="C102" s="207"/>
      <c r="D102" s="207"/>
      <c r="E102" s="207"/>
      <c r="F102" s="207"/>
      <c r="G102" s="207"/>
      <c r="H102" s="207"/>
      <c r="I102" s="207"/>
      <c r="J102" s="207"/>
      <c r="K102" s="207"/>
      <c r="L102" s="207"/>
      <c r="M102" s="207"/>
      <c r="N102" s="207"/>
      <c r="O102" s="207"/>
      <c r="P102" s="207"/>
      <c r="Q102" s="207"/>
      <c r="R102" s="207"/>
      <c r="S102" s="207"/>
      <c r="T102" s="228"/>
      <c r="U102" s="228"/>
      <c r="V102" s="228"/>
      <c r="AS102" s="209"/>
      <c r="AT102" s="209"/>
      <c r="AU102" s="209"/>
      <c r="AV102" s="209"/>
      <c r="AW102" s="209"/>
      <c r="AX102" s="209"/>
      <c r="AY102" s="209"/>
      <c r="AZ102" s="209"/>
      <c r="BA102" s="209"/>
      <c r="BB102" s="209"/>
      <c r="BC102" s="209"/>
      <c r="BD102" s="209"/>
      <c r="BE102" s="209"/>
      <c r="BF102" s="209"/>
      <c r="BG102" s="209"/>
    </row>
    <row r="103" spans="2:59" ht="15" customHeight="1" x14ac:dyDescent="0.2">
      <c r="B103" s="207"/>
      <c r="C103" s="207"/>
      <c r="D103" s="207"/>
      <c r="E103" s="207"/>
      <c r="F103" s="207"/>
      <c r="G103" s="207"/>
      <c r="H103" s="207"/>
      <c r="I103" s="207"/>
      <c r="J103" s="207"/>
      <c r="K103" s="207"/>
      <c r="L103" s="207"/>
      <c r="M103" s="207"/>
      <c r="N103" s="207"/>
      <c r="O103" s="207"/>
      <c r="P103" s="207"/>
      <c r="Q103" s="207"/>
      <c r="R103" s="207"/>
      <c r="S103" s="207"/>
      <c r="T103" s="228"/>
      <c r="U103" s="228"/>
      <c r="V103" s="228"/>
      <c r="AS103" s="209"/>
      <c r="AT103" s="209"/>
      <c r="AU103" s="209"/>
      <c r="AV103" s="209"/>
      <c r="AW103" s="209"/>
      <c r="AX103" s="209"/>
      <c r="AY103" s="209"/>
      <c r="AZ103" s="209"/>
      <c r="BA103" s="209"/>
      <c r="BB103" s="209"/>
      <c r="BC103" s="209"/>
      <c r="BD103" s="209"/>
      <c r="BE103" s="209"/>
      <c r="BF103" s="209"/>
      <c r="BG103" s="209"/>
    </row>
    <row r="104" spans="2:59" ht="15" customHeight="1" x14ac:dyDescent="0.2">
      <c r="B104" s="207"/>
      <c r="C104" s="207"/>
      <c r="D104" s="207"/>
      <c r="E104" s="207"/>
      <c r="F104" s="207"/>
      <c r="G104" s="207"/>
      <c r="H104" s="207"/>
      <c r="I104" s="207"/>
      <c r="J104" s="207"/>
      <c r="K104" s="207"/>
      <c r="L104" s="207"/>
      <c r="M104" s="207"/>
      <c r="N104" s="207"/>
      <c r="O104" s="207"/>
      <c r="P104" s="207"/>
      <c r="Q104" s="207"/>
      <c r="R104" s="207"/>
      <c r="S104" s="207"/>
      <c r="T104" s="228"/>
      <c r="U104" s="228"/>
      <c r="V104" s="228"/>
      <c r="AS104" s="209"/>
      <c r="AT104" s="209"/>
      <c r="AU104" s="209"/>
      <c r="AV104" s="209"/>
      <c r="AW104" s="209"/>
      <c r="AX104" s="209"/>
      <c r="AY104" s="209"/>
      <c r="AZ104" s="209"/>
      <c r="BA104" s="209"/>
      <c r="BB104" s="209"/>
      <c r="BC104" s="209"/>
      <c r="BD104" s="209"/>
      <c r="BE104" s="209"/>
      <c r="BF104" s="209"/>
      <c r="BG104" s="209"/>
    </row>
    <row r="105" spans="2:59" ht="15" customHeight="1" x14ac:dyDescent="0.2">
      <c r="B105" s="207"/>
      <c r="C105" s="207"/>
      <c r="D105" s="207"/>
      <c r="E105" s="207"/>
      <c r="F105" s="207"/>
      <c r="G105" s="207"/>
      <c r="H105" s="207"/>
      <c r="I105" s="207"/>
      <c r="J105" s="207"/>
      <c r="K105" s="207"/>
      <c r="L105" s="207"/>
      <c r="M105" s="207"/>
      <c r="N105" s="207"/>
      <c r="O105" s="207"/>
      <c r="P105" s="207"/>
      <c r="Q105" s="207"/>
      <c r="R105" s="207"/>
      <c r="S105" s="207"/>
      <c r="T105" s="228"/>
      <c r="U105" s="228"/>
      <c r="V105" s="228"/>
      <c r="AS105" s="209"/>
      <c r="AT105" s="209"/>
      <c r="AU105" s="209"/>
      <c r="AV105" s="209"/>
      <c r="AW105" s="209"/>
      <c r="AX105" s="209"/>
      <c r="AY105" s="209"/>
      <c r="AZ105" s="209"/>
      <c r="BA105" s="209"/>
      <c r="BB105" s="209"/>
      <c r="BC105" s="209"/>
      <c r="BD105" s="209"/>
      <c r="BE105" s="209"/>
      <c r="BF105" s="209"/>
      <c r="BG105" s="209"/>
    </row>
    <row r="106" spans="2:59" ht="15" customHeight="1" x14ac:dyDescent="0.2">
      <c r="B106" s="207"/>
      <c r="C106" s="207"/>
      <c r="D106" s="207"/>
      <c r="E106" s="207"/>
      <c r="F106" s="207"/>
      <c r="G106" s="207"/>
      <c r="H106" s="207"/>
      <c r="I106" s="207"/>
      <c r="J106" s="207"/>
      <c r="K106" s="207"/>
      <c r="L106" s="207"/>
      <c r="M106" s="207"/>
      <c r="N106" s="207"/>
      <c r="O106" s="207"/>
      <c r="P106" s="207"/>
      <c r="Q106" s="207"/>
      <c r="R106" s="207"/>
      <c r="S106" s="207"/>
      <c r="T106" s="228"/>
      <c r="U106" s="228"/>
      <c r="V106" s="228"/>
      <c r="AS106" s="209"/>
      <c r="AT106" s="209"/>
      <c r="AU106" s="209"/>
      <c r="AV106" s="209"/>
      <c r="AW106" s="209"/>
      <c r="AX106" s="209"/>
      <c r="AY106" s="209"/>
      <c r="AZ106" s="209"/>
      <c r="BA106" s="209"/>
      <c r="BB106" s="209"/>
      <c r="BC106" s="209"/>
      <c r="BD106" s="209"/>
      <c r="BE106" s="209"/>
      <c r="BF106" s="209"/>
      <c r="BG106" s="209"/>
    </row>
    <row r="107" spans="2:59" ht="15" customHeight="1" x14ac:dyDescent="0.2">
      <c r="B107" s="207"/>
      <c r="C107" s="207"/>
      <c r="D107" s="207"/>
      <c r="E107" s="207"/>
      <c r="F107" s="207"/>
      <c r="G107" s="207"/>
      <c r="H107" s="207"/>
      <c r="I107" s="207"/>
      <c r="J107" s="207"/>
      <c r="K107" s="207"/>
      <c r="L107" s="207"/>
      <c r="M107" s="207"/>
      <c r="N107" s="207"/>
      <c r="O107" s="207"/>
      <c r="P107" s="207"/>
      <c r="Q107" s="207"/>
      <c r="R107" s="207"/>
      <c r="S107" s="207"/>
      <c r="T107" s="228"/>
      <c r="U107" s="228"/>
      <c r="V107" s="228"/>
      <c r="AS107" s="209"/>
      <c r="AT107" s="209"/>
      <c r="AU107" s="209"/>
      <c r="AV107" s="209"/>
      <c r="AW107" s="209"/>
      <c r="AX107" s="209"/>
      <c r="AY107" s="209"/>
      <c r="AZ107" s="209"/>
      <c r="BA107" s="209"/>
      <c r="BB107" s="209"/>
      <c r="BC107" s="209"/>
      <c r="BD107" s="209"/>
      <c r="BE107" s="209"/>
      <c r="BF107" s="209"/>
      <c r="BG107" s="209"/>
    </row>
    <row r="108" spans="2:59" ht="15" customHeight="1" x14ac:dyDescent="0.2">
      <c r="B108" s="207"/>
      <c r="C108" s="207"/>
      <c r="D108" s="207"/>
      <c r="E108" s="207"/>
      <c r="F108" s="207"/>
      <c r="G108" s="207"/>
      <c r="H108" s="207"/>
      <c r="I108" s="207"/>
      <c r="J108" s="207"/>
      <c r="K108" s="207"/>
      <c r="L108" s="207"/>
      <c r="M108" s="207"/>
      <c r="N108" s="207"/>
      <c r="O108" s="207"/>
      <c r="P108" s="207"/>
      <c r="Q108" s="207"/>
      <c r="R108" s="207"/>
      <c r="S108" s="207"/>
      <c r="T108" s="228"/>
      <c r="U108" s="228"/>
      <c r="V108" s="228"/>
      <c r="AS108" s="209"/>
      <c r="AT108" s="209"/>
      <c r="AU108" s="209"/>
      <c r="AV108" s="209"/>
      <c r="AW108" s="209"/>
      <c r="AX108" s="209"/>
      <c r="AY108" s="209"/>
      <c r="AZ108" s="209"/>
      <c r="BA108" s="209"/>
      <c r="BB108" s="209"/>
      <c r="BC108" s="209"/>
      <c r="BD108" s="209"/>
      <c r="BE108" s="209"/>
      <c r="BF108" s="209"/>
      <c r="BG108" s="209"/>
    </row>
    <row r="109" spans="2:59" ht="15" customHeight="1" x14ac:dyDescent="0.2">
      <c r="B109" s="207"/>
      <c r="C109" s="207"/>
      <c r="D109" s="207"/>
      <c r="E109" s="207"/>
      <c r="F109" s="207"/>
      <c r="G109" s="207"/>
      <c r="H109" s="207"/>
      <c r="I109" s="207"/>
      <c r="J109" s="207"/>
      <c r="K109" s="207"/>
      <c r="L109" s="207"/>
      <c r="M109" s="207"/>
      <c r="N109" s="207"/>
      <c r="O109" s="207"/>
      <c r="P109" s="207"/>
      <c r="Q109" s="207"/>
      <c r="R109" s="207"/>
      <c r="S109" s="207"/>
      <c r="T109" s="228"/>
      <c r="U109" s="228"/>
      <c r="V109" s="228"/>
      <c r="AS109" s="209"/>
      <c r="AT109" s="209"/>
      <c r="AU109" s="209"/>
      <c r="AV109" s="209"/>
      <c r="AW109" s="209"/>
      <c r="AX109" s="209"/>
      <c r="AY109" s="209"/>
      <c r="AZ109" s="209"/>
      <c r="BA109" s="209"/>
      <c r="BB109" s="209"/>
      <c r="BC109" s="209"/>
      <c r="BD109" s="209"/>
      <c r="BE109" s="209"/>
      <c r="BF109" s="209"/>
      <c r="BG109" s="209"/>
    </row>
    <row r="110" spans="2:59" ht="15" customHeight="1" x14ac:dyDescent="0.2">
      <c r="B110" s="207"/>
      <c r="C110" s="207"/>
      <c r="D110" s="207"/>
      <c r="E110" s="207"/>
      <c r="F110" s="207"/>
      <c r="G110" s="207"/>
      <c r="H110" s="207"/>
      <c r="I110" s="207"/>
      <c r="J110" s="207"/>
      <c r="K110" s="207"/>
      <c r="L110" s="207"/>
      <c r="M110" s="207"/>
      <c r="N110" s="207"/>
      <c r="O110" s="207"/>
      <c r="P110" s="207"/>
      <c r="Q110" s="207"/>
      <c r="R110" s="207"/>
      <c r="S110" s="207"/>
      <c r="T110" s="228"/>
      <c r="U110" s="228"/>
      <c r="V110" s="228"/>
      <c r="AS110" s="209"/>
      <c r="AT110" s="209"/>
      <c r="AU110" s="209"/>
      <c r="AV110" s="209"/>
      <c r="AW110" s="209"/>
      <c r="AX110" s="209"/>
      <c r="AY110" s="209"/>
      <c r="AZ110" s="209"/>
      <c r="BA110" s="209"/>
      <c r="BB110" s="209"/>
      <c r="BC110" s="209"/>
      <c r="BD110" s="209"/>
      <c r="BE110" s="209"/>
      <c r="BF110" s="209"/>
      <c r="BG110" s="209"/>
    </row>
    <row r="111" spans="2:59" ht="15" customHeight="1" x14ac:dyDescent="0.2">
      <c r="B111" s="207"/>
      <c r="C111" s="207"/>
      <c r="D111" s="207"/>
      <c r="E111" s="207"/>
      <c r="F111" s="207"/>
      <c r="G111" s="207"/>
      <c r="H111" s="207"/>
      <c r="I111" s="207"/>
      <c r="J111" s="207"/>
      <c r="K111" s="207"/>
      <c r="L111" s="207"/>
      <c r="M111" s="207"/>
      <c r="N111" s="207"/>
      <c r="O111" s="207"/>
      <c r="P111" s="207"/>
      <c r="Q111" s="207"/>
      <c r="R111" s="207"/>
      <c r="S111" s="207"/>
      <c r="T111" s="228"/>
      <c r="U111" s="228"/>
      <c r="V111" s="228"/>
      <c r="AS111" s="209"/>
      <c r="AT111" s="209"/>
      <c r="AU111" s="209"/>
      <c r="AV111" s="209"/>
      <c r="AW111" s="209"/>
      <c r="AX111" s="209"/>
      <c r="AY111" s="209"/>
      <c r="AZ111" s="209"/>
      <c r="BA111" s="209"/>
      <c r="BB111" s="209"/>
      <c r="BC111" s="209"/>
      <c r="BD111" s="209"/>
      <c r="BE111" s="209"/>
      <c r="BF111" s="209"/>
      <c r="BG111" s="209"/>
    </row>
    <row r="112" spans="2:59" ht="15" customHeight="1" x14ac:dyDescent="0.2">
      <c r="B112" s="207"/>
      <c r="C112" s="207"/>
      <c r="D112" s="207"/>
      <c r="E112" s="207"/>
      <c r="F112" s="207"/>
      <c r="G112" s="207"/>
      <c r="H112" s="207"/>
      <c r="I112" s="207"/>
      <c r="J112" s="207"/>
      <c r="K112" s="207"/>
      <c r="L112" s="207"/>
      <c r="M112" s="207"/>
      <c r="N112" s="207"/>
      <c r="O112" s="207"/>
      <c r="P112" s="207"/>
      <c r="Q112" s="207"/>
      <c r="R112" s="207"/>
      <c r="S112" s="207"/>
      <c r="T112" s="228"/>
      <c r="U112" s="228"/>
      <c r="V112" s="228"/>
      <c r="AS112" s="209"/>
      <c r="AT112" s="209"/>
      <c r="AU112" s="209"/>
      <c r="AV112" s="209"/>
      <c r="AW112" s="209"/>
      <c r="AX112" s="209"/>
      <c r="AY112" s="209"/>
      <c r="AZ112" s="209"/>
      <c r="BA112" s="209"/>
      <c r="BB112" s="209"/>
      <c r="BC112" s="209"/>
      <c r="BD112" s="209"/>
      <c r="BE112" s="209"/>
      <c r="BF112" s="209"/>
      <c r="BG112" s="209"/>
    </row>
    <row r="113" spans="2:59" ht="15" customHeight="1" x14ac:dyDescent="0.2">
      <c r="B113" s="207"/>
      <c r="C113" s="207"/>
      <c r="D113" s="207"/>
      <c r="E113" s="207"/>
      <c r="F113" s="207"/>
      <c r="G113" s="207"/>
      <c r="H113" s="207"/>
      <c r="I113" s="207"/>
      <c r="J113" s="207"/>
      <c r="K113" s="207"/>
      <c r="L113" s="207"/>
      <c r="M113" s="207"/>
      <c r="N113" s="207"/>
      <c r="O113" s="207"/>
      <c r="P113" s="207"/>
      <c r="Q113" s="207"/>
      <c r="R113" s="207"/>
      <c r="S113" s="207"/>
      <c r="T113" s="228"/>
      <c r="U113" s="228"/>
      <c r="V113" s="228"/>
      <c r="AS113" s="209"/>
      <c r="AT113" s="209"/>
      <c r="AU113" s="209"/>
      <c r="AV113" s="209"/>
      <c r="AW113" s="209"/>
      <c r="AX113" s="209"/>
      <c r="AY113" s="209"/>
      <c r="AZ113" s="209"/>
      <c r="BA113" s="209"/>
      <c r="BB113" s="209"/>
      <c r="BC113" s="209"/>
      <c r="BD113" s="209"/>
      <c r="BE113" s="209"/>
      <c r="BF113" s="209"/>
      <c r="BG113" s="209"/>
    </row>
    <row r="114" spans="2:59" ht="15" customHeight="1" x14ac:dyDescent="0.2">
      <c r="B114" s="207"/>
      <c r="C114" s="207"/>
      <c r="D114" s="207"/>
      <c r="E114" s="207"/>
      <c r="F114" s="207"/>
      <c r="G114" s="207"/>
      <c r="H114" s="207"/>
      <c r="I114" s="207"/>
      <c r="J114" s="207"/>
      <c r="K114" s="207"/>
      <c r="L114" s="207"/>
      <c r="M114" s="207"/>
      <c r="N114" s="207"/>
      <c r="O114" s="207"/>
      <c r="P114" s="207"/>
      <c r="Q114" s="207"/>
      <c r="R114" s="207"/>
      <c r="S114" s="207"/>
      <c r="T114" s="228"/>
      <c r="U114" s="228"/>
      <c r="V114" s="228"/>
      <c r="AS114" s="209"/>
      <c r="AT114" s="209"/>
      <c r="AU114" s="209"/>
      <c r="AV114" s="209"/>
      <c r="AW114" s="209"/>
      <c r="AX114" s="209"/>
      <c r="AY114" s="209"/>
      <c r="AZ114" s="209"/>
      <c r="BA114" s="209"/>
      <c r="BB114" s="209"/>
      <c r="BC114" s="209"/>
      <c r="BD114" s="209"/>
      <c r="BE114" s="209"/>
      <c r="BF114" s="209"/>
      <c r="BG114" s="209"/>
    </row>
    <row r="115" spans="2:59" ht="15" customHeight="1" x14ac:dyDescent="0.2">
      <c r="B115" s="207"/>
      <c r="C115" s="207"/>
      <c r="D115" s="207"/>
      <c r="E115" s="207"/>
      <c r="F115" s="207"/>
      <c r="G115" s="207"/>
      <c r="H115" s="207"/>
      <c r="I115" s="207"/>
      <c r="J115" s="207"/>
      <c r="K115" s="207"/>
      <c r="L115" s="207"/>
      <c r="M115" s="207"/>
      <c r="N115" s="207"/>
      <c r="O115" s="207"/>
      <c r="P115" s="207"/>
      <c r="Q115" s="207"/>
      <c r="R115" s="207"/>
      <c r="S115" s="207"/>
      <c r="T115" s="228"/>
      <c r="U115" s="228"/>
      <c r="V115" s="228"/>
      <c r="AS115" s="209"/>
      <c r="AT115" s="209"/>
      <c r="AU115" s="209"/>
      <c r="AV115" s="209"/>
      <c r="AW115" s="209"/>
      <c r="AX115" s="209"/>
      <c r="AY115" s="209"/>
      <c r="AZ115" s="209"/>
      <c r="BA115" s="209"/>
      <c r="BB115" s="209"/>
      <c r="BC115" s="209"/>
      <c r="BD115" s="209"/>
      <c r="BE115" s="209"/>
      <c r="BF115" s="209"/>
      <c r="BG115" s="209"/>
    </row>
    <row r="116" spans="2:59" ht="15" customHeight="1" x14ac:dyDescent="0.2">
      <c r="B116" s="207"/>
      <c r="C116" s="207"/>
      <c r="D116" s="207"/>
      <c r="E116" s="207"/>
      <c r="F116" s="207"/>
      <c r="G116" s="207"/>
      <c r="H116" s="207"/>
      <c r="I116" s="207"/>
      <c r="J116" s="207"/>
      <c r="K116" s="207"/>
      <c r="L116" s="207"/>
      <c r="M116" s="207"/>
      <c r="N116" s="207"/>
      <c r="O116" s="207"/>
      <c r="P116" s="207"/>
      <c r="Q116" s="207"/>
      <c r="R116" s="207"/>
      <c r="S116" s="207"/>
      <c r="T116" s="228"/>
      <c r="U116" s="228"/>
      <c r="V116" s="228"/>
      <c r="AS116" s="209"/>
      <c r="AT116" s="209"/>
      <c r="AU116" s="209"/>
      <c r="AV116" s="209"/>
      <c r="AW116" s="209"/>
      <c r="AX116" s="209"/>
      <c r="AY116" s="209"/>
      <c r="AZ116" s="209"/>
      <c r="BA116" s="209"/>
      <c r="BB116" s="209"/>
      <c r="BC116" s="209"/>
      <c r="BD116" s="209"/>
      <c r="BE116" s="209"/>
      <c r="BF116" s="209"/>
      <c r="BG116" s="209"/>
    </row>
    <row r="117" spans="2:59" ht="15" customHeight="1" x14ac:dyDescent="0.2">
      <c r="B117" s="207"/>
      <c r="C117" s="207"/>
      <c r="D117" s="207"/>
      <c r="E117" s="207"/>
      <c r="F117" s="207"/>
      <c r="G117" s="207"/>
      <c r="H117" s="207"/>
      <c r="I117" s="207"/>
      <c r="J117" s="207"/>
      <c r="K117" s="207"/>
      <c r="L117" s="207"/>
      <c r="M117" s="207"/>
      <c r="N117" s="207"/>
      <c r="O117" s="207"/>
      <c r="P117" s="207"/>
      <c r="Q117" s="207"/>
      <c r="R117" s="207"/>
      <c r="S117" s="207"/>
      <c r="T117" s="228"/>
      <c r="U117" s="228"/>
      <c r="V117" s="228"/>
      <c r="AS117" s="209"/>
      <c r="AT117" s="209"/>
      <c r="AU117" s="209"/>
      <c r="AV117" s="209"/>
      <c r="AW117" s="209"/>
      <c r="AX117" s="209"/>
      <c r="AY117" s="209"/>
      <c r="AZ117" s="209"/>
      <c r="BA117" s="209"/>
      <c r="BB117" s="209"/>
      <c r="BC117" s="209"/>
      <c r="BD117" s="209"/>
      <c r="BE117" s="209"/>
      <c r="BF117" s="209"/>
      <c r="BG117" s="209"/>
    </row>
    <row r="118" spans="2:59" ht="15" customHeight="1" x14ac:dyDescent="0.2">
      <c r="B118" s="207"/>
      <c r="C118" s="207"/>
      <c r="D118" s="207"/>
      <c r="E118" s="207"/>
      <c r="F118" s="207"/>
      <c r="G118" s="207"/>
      <c r="H118" s="207"/>
      <c r="I118" s="207"/>
      <c r="J118" s="207"/>
      <c r="K118" s="207"/>
      <c r="L118" s="207"/>
      <c r="M118" s="207"/>
      <c r="N118" s="207"/>
      <c r="O118" s="207"/>
      <c r="P118" s="207"/>
      <c r="Q118" s="207"/>
      <c r="R118" s="207"/>
      <c r="S118" s="207"/>
      <c r="T118" s="228"/>
      <c r="U118" s="228"/>
      <c r="V118" s="228"/>
      <c r="AS118" s="209"/>
      <c r="AT118" s="209"/>
      <c r="AU118" s="209"/>
      <c r="AV118" s="209"/>
      <c r="AW118" s="209"/>
      <c r="AX118" s="209"/>
      <c r="AY118" s="209"/>
      <c r="AZ118" s="209"/>
      <c r="BA118" s="209"/>
      <c r="BB118" s="209"/>
      <c r="BC118" s="209"/>
      <c r="BD118" s="209"/>
      <c r="BE118" s="209"/>
      <c r="BF118" s="209"/>
      <c r="BG118" s="209"/>
    </row>
    <row r="119" spans="2:59" ht="15" customHeight="1" x14ac:dyDescent="0.2">
      <c r="B119" s="207"/>
      <c r="C119" s="207"/>
      <c r="D119" s="207"/>
      <c r="E119" s="207"/>
      <c r="F119" s="207"/>
      <c r="G119" s="207"/>
      <c r="H119" s="207"/>
      <c r="I119" s="207"/>
      <c r="J119" s="207"/>
      <c r="K119" s="207"/>
      <c r="L119" s="207"/>
      <c r="M119" s="207"/>
      <c r="N119" s="207"/>
      <c r="O119" s="207"/>
      <c r="P119" s="207"/>
      <c r="Q119" s="207"/>
      <c r="R119" s="207"/>
      <c r="S119" s="207"/>
      <c r="T119" s="228"/>
      <c r="U119" s="228"/>
      <c r="V119" s="228"/>
      <c r="AS119" s="209"/>
      <c r="AT119" s="209"/>
      <c r="AU119" s="209"/>
      <c r="AV119" s="209"/>
      <c r="AW119" s="209"/>
      <c r="AX119" s="209"/>
      <c r="AY119" s="209"/>
      <c r="AZ119" s="209"/>
      <c r="BA119" s="209"/>
      <c r="BB119" s="209"/>
      <c r="BC119" s="209"/>
      <c r="BD119" s="209"/>
      <c r="BE119" s="209"/>
      <c r="BF119" s="209"/>
      <c r="BG119" s="209"/>
    </row>
    <row r="120" spans="2:59" ht="15" customHeight="1" x14ac:dyDescent="0.2">
      <c r="B120" s="207"/>
      <c r="C120" s="207"/>
      <c r="D120" s="207"/>
      <c r="E120" s="207"/>
      <c r="F120" s="207"/>
      <c r="G120" s="207"/>
      <c r="H120" s="207"/>
      <c r="I120" s="207"/>
      <c r="J120" s="207"/>
      <c r="K120" s="207"/>
      <c r="L120" s="207"/>
      <c r="M120" s="207"/>
      <c r="N120" s="207"/>
      <c r="O120" s="207"/>
      <c r="P120" s="207"/>
      <c r="Q120" s="207"/>
      <c r="R120" s="207"/>
      <c r="S120" s="207"/>
      <c r="T120" s="228"/>
      <c r="U120" s="228"/>
      <c r="V120" s="228"/>
      <c r="AS120" s="209"/>
      <c r="AT120" s="209"/>
      <c r="AU120" s="209"/>
      <c r="AV120" s="209"/>
      <c r="AW120" s="209"/>
      <c r="AX120" s="209"/>
      <c r="AY120" s="209"/>
      <c r="AZ120" s="209"/>
      <c r="BA120" s="209"/>
      <c r="BB120" s="209"/>
      <c r="BC120" s="209"/>
      <c r="BD120" s="209"/>
      <c r="BE120" s="209"/>
      <c r="BF120" s="209"/>
      <c r="BG120" s="209"/>
    </row>
    <row r="121" spans="2:59" ht="15" customHeight="1" x14ac:dyDescent="0.2">
      <c r="B121" s="207"/>
      <c r="C121" s="207"/>
      <c r="D121" s="207"/>
      <c r="E121" s="207"/>
      <c r="F121" s="207"/>
      <c r="G121" s="207"/>
      <c r="H121" s="207"/>
      <c r="I121" s="207"/>
      <c r="J121" s="207"/>
      <c r="K121" s="207"/>
      <c r="L121" s="207"/>
      <c r="M121" s="207"/>
      <c r="N121" s="207"/>
      <c r="O121" s="207"/>
      <c r="P121" s="207"/>
      <c r="Q121" s="207"/>
      <c r="R121" s="207"/>
      <c r="S121" s="207"/>
      <c r="T121" s="228"/>
      <c r="U121" s="228"/>
      <c r="V121" s="228"/>
      <c r="AS121" s="209"/>
      <c r="AT121" s="209"/>
      <c r="AU121" s="209"/>
      <c r="AV121" s="209"/>
      <c r="AW121" s="209"/>
      <c r="AX121" s="209"/>
      <c r="AY121" s="209"/>
      <c r="AZ121" s="209"/>
      <c r="BA121" s="209"/>
      <c r="BB121" s="209"/>
      <c r="BC121" s="209"/>
      <c r="BD121" s="209"/>
      <c r="BE121" s="209"/>
      <c r="BF121" s="209"/>
      <c r="BG121" s="209"/>
    </row>
    <row r="122" spans="2:59" ht="15" customHeight="1" x14ac:dyDescent="0.2">
      <c r="B122" s="207"/>
      <c r="C122" s="207"/>
      <c r="D122" s="207"/>
      <c r="E122" s="207"/>
      <c r="F122" s="207"/>
      <c r="G122" s="207"/>
      <c r="H122" s="207"/>
      <c r="I122" s="207"/>
      <c r="J122" s="207"/>
      <c r="K122" s="207"/>
      <c r="L122" s="207"/>
      <c r="M122" s="207"/>
      <c r="N122" s="207"/>
      <c r="O122" s="207"/>
      <c r="P122" s="207"/>
      <c r="Q122" s="207"/>
      <c r="R122" s="207"/>
      <c r="S122" s="207"/>
      <c r="T122" s="228"/>
      <c r="U122" s="228"/>
      <c r="V122" s="228"/>
      <c r="AS122" s="209"/>
      <c r="AT122" s="209"/>
      <c r="AU122" s="209"/>
      <c r="AV122" s="209"/>
      <c r="AW122" s="209"/>
      <c r="AX122" s="209"/>
      <c r="AY122" s="209"/>
      <c r="AZ122" s="209"/>
      <c r="BA122" s="209"/>
      <c r="BB122" s="209"/>
      <c r="BC122" s="209"/>
      <c r="BD122" s="209"/>
      <c r="BE122" s="209"/>
      <c r="BF122" s="209"/>
      <c r="BG122" s="209"/>
    </row>
    <row r="123" spans="2:59" ht="15" customHeight="1" x14ac:dyDescent="0.2">
      <c r="B123" s="207"/>
      <c r="C123" s="207"/>
      <c r="D123" s="207"/>
      <c r="E123" s="207"/>
      <c r="F123" s="207"/>
      <c r="G123" s="207"/>
      <c r="H123" s="207"/>
      <c r="I123" s="207"/>
      <c r="J123" s="207"/>
      <c r="K123" s="207"/>
      <c r="L123" s="207"/>
      <c r="M123" s="207"/>
      <c r="N123" s="207"/>
      <c r="O123" s="207"/>
      <c r="P123" s="207"/>
      <c r="Q123" s="207"/>
      <c r="R123" s="207"/>
      <c r="S123" s="207"/>
      <c r="T123" s="228"/>
      <c r="U123" s="228"/>
      <c r="V123" s="228"/>
      <c r="AS123" s="209"/>
      <c r="AT123" s="209"/>
      <c r="AU123" s="209"/>
      <c r="AV123" s="209"/>
      <c r="AW123" s="209"/>
      <c r="AX123" s="209"/>
      <c r="AY123" s="209"/>
      <c r="AZ123" s="209"/>
      <c r="BA123" s="209"/>
      <c r="BB123" s="209"/>
      <c r="BC123" s="209"/>
      <c r="BD123" s="209"/>
      <c r="BE123" s="209"/>
      <c r="BF123" s="209"/>
      <c r="BG123" s="209"/>
    </row>
    <row r="124" spans="2:59" ht="15" customHeight="1" x14ac:dyDescent="0.2">
      <c r="B124" s="207"/>
      <c r="C124" s="207"/>
      <c r="D124" s="207"/>
      <c r="E124" s="207"/>
      <c r="F124" s="207"/>
      <c r="G124" s="207"/>
      <c r="H124" s="207"/>
      <c r="I124" s="207"/>
      <c r="J124" s="207"/>
      <c r="K124" s="207"/>
      <c r="L124" s="207"/>
      <c r="M124" s="207"/>
      <c r="N124" s="207"/>
      <c r="O124" s="207"/>
      <c r="P124" s="207"/>
      <c r="Q124" s="207"/>
      <c r="R124" s="207"/>
      <c r="S124" s="207"/>
      <c r="T124" s="228"/>
      <c r="U124" s="228"/>
      <c r="V124" s="228"/>
      <c r="AS124" s="209"/>
      <c r="AT124" s="209"/>
      <c r="AU124" s="209"/>
      <c r="AV124" s="209"/>
      <c r="AW124" s="209"/>
      <c r="AX124" s="209"/>
      <c r="AY124" s="209"/>
      <c r="AZ124" s="209"/>
      <c r="BA124" s="209"/>
      <c r="BB124" s="209"/>
      <c r="BC124" s="209"/>
      <c r="BD124" s="209"/>
      <c r="BE124" s="209"/>
      <c r="BF124" s="209"/>
      <c r="BG124" s="209"/>
    </row>
    <row r="125" spans="2:59" ht="15" customHeight="1" x14ac:dyDescent="0.2">
      <c r="B125" s="207"/>
      <c r="C125" s="207"/>
      <c r="D125" s="207"/>
      <c r="E125" s="207"/>
      <c r="F125" s="207"/>
      <c r="G125" s="207"/>
      <c r="H125" s="207"/>
      <c r="I125" s="207"/>
      <c r="J125" s="207"/>
      <c r="K125" s="207"/>
      <c r="L125" s="207"/>
      <c r="M125" s="207"/>
      <c r="N125" s="207"/>
      <c r="O125" s="207"/>
      <c r="P125" s="207"/>
      <c r="Q125" s="207"/>
      <c r="R125" s="207"/>
      <c r="S125" s="207"/>
      <c r="T125" s="228"/>
      <c r="U125" s="228"/>
      <c r="V125" s="228"/>
      <c r="AS125" s="209"/>
      <c r="AT125" s="209"/>
      <c r="AU125" s="209"/>
      <c r="AV125" s="209"/>
      <c r="AW125" s="209"/>
      <c r="AX125" s="209"/>
      <c r="AY125" s="209"/>
      <c r="AZ125" s="209"/>
      <c r="BA125" s="209"/>
      <c r="BB125" s="209"/>
      <c r="BC125" s="209"/>
      <c r="BD125" s="209"/>
      <c r="BE125" s="209"/>
      <c r="BF125" s="209"/>
      <c r="BG125" s="209"/>
    </row>
    <row r="126" spans="2:59" ht="15" customHeight="1" x14ac:dyDescent="0.2">
      <c r="B126" s="207"/>
      <c r="C126" s="207"/>
      <c r="D126" s="207"/>
      <c r="E126" s="207"/>
      <c r="F126" s="207"/>
      <c r="G126" s="207"/>
      <c r="H126" s="207"/>
      <c r="I126" s="207"/>
      <c r="J126" s="207"/>
      <c r="K126" s="207"/>
      <c r="L126" s="207"/>
      <c r="M126" s="207"/>
      <c r="N126" s="207"/>
      <c r="O126" s="207"/>
      <c r="P126" s="207"/>
      <c r="Q126" s="207"/>
      <c r="R126" s="207"/>
      <c r="S126" s="207"/>
      <c r="T126" s="228"/>
      <c r="U126" s="228"/>
      <c r="V126" s="228"/>
      <c r="AS126" s="209"/>
      <c r="AT126" s="209"/>
      <c r="AU126" s="209"/>
      <c r="AV126" s="209"/>
      <c r="AW126" s="209"/>
      <c r="AX126" s="209"/>
      <c r="AY126" s="209"/>
      <c r="AZ126" s="209"/>
      <c r="BA126" s="209"/>
      <c r="BB126" s="209"/>
      <c r="BC126" s="209"/>
      <c r="BD126" s="209"/>
      <c r="BE126" s="209"/>
      <c r="BF126" s="209"/>
      <c r="BG126" s="209"/>
    </row>
    <row r="127" spans="2:59" ht="15" customHeight="1" x14ac:dyDescent="0.2">
      <c r="B127" s="207"/>
      <c r="C127" s="207"/>
      <c r="D127" s="207"/>
      <c r="E127" s="207"/>
      <c r="F127" s="207"/>
      <c r="G127" s="207"/>
      <c r="H127" s="207"/>
      <c r="I127" s="207"/>
      <c r="J127" s="207"/>
      <c r="K127" s="207"/>
      <c r="L127" s="207"/>
      <c r="M127" s="207"/>
      <c r="N127" s="207"/>
      <c r="O127" s="207"/>
      <c r="P127" s="207"/>
      <c r="Q127" s="207"/>
      <c r="R127" s="207"/>
      <c r="S127" s="207"/>
      <c r="T127" s="228"/>
      <c r="U127" s="228"/>
      <c r="V127" s="228"/>
      <c r="AS127" s="209"/>
      <c r="AT127" s="209"/>
      <c r="AU127" s="209"/>
      <c r="AV127" s="209"/>
      <c r="AW127" s="209"/>
      <c r="AX127" s="209"/>
      <c r="AY127" s="209"/>
      <c r="AZ127" s="209"/>
      <c r="BA127" s="209"/>
      <c r="BB127" s="209"/>
      <c r="BC127" s="209"/>
      <c r="BD127" s="209"/>
      <c r="BE127" s="209"/>
      <c r="BF127" s="209"/>
      <c r="BG127" s="209"/>
    </row>
    <row r="128" spans="2:59" ht="15" customHeight="1" x14ac:dyDescent="0.2">
      <c r="B128" s="207"/>
      <c r="C128" s="207"/>
      <c r="D128" s="207"/>
      <c r="E128" s="207"/>
      <c r="F128" s="207"/>
      <c r="G128" s="207"/>
      <c r="H128" s="207"/>
      <c r="I128" s="207"/>
      <c r="J128" s="207"/>
      <c r="K128" s="207"/>
      <c r="L128" s="207"/>
      <c r="M128" s="207"/>
      <c r="N128" s="207"/>
      <c r="O128" s="207"/>
      <c r="P128" s="207"/>
      <c r="Q128" s="207"/>
      <c r="R128" s="207"/>
      <c r="S128" s="207"/>
      <c r="T128" s="228"/>
      <c r="U128" s="228"/>
      <c r="V128" s="228"/>
      <c r="AS128" s="209"/>
      <c r="AT128" s="209"/>
      <c r="AU128" s="209"/>
      <c r="AV128" s="209"/>
      <c r="AW128" s="209"/>
      <c r="AX128" s="209"/>
      <c r="AY128" s="209"/>
      <c r="AZ128" s="209"/>
      <c r="BA128" s="209"/>
      <c r="BB128" s="209"/>
      <c r="BC128" s="209"/>
      <c r="BD128" s="209"/>
      <c r="BE128" s="209"/>
      <c r="BF128" s="209"/>
      <c r="BG128" s="209"/>
    </row>
    <row r="129" spans="2:59" ht="15" customHeight="1" x14ac:dyDescent="0.2">
      <c r="B129" s="207"/>
      <c r="C129" s="207"/>
      <c r="D129" s="207"/>
      <c r="E129" s="207"/>
      <c r="F129" s="207"/>
      <c r="G129" s="207"/>
      <c r="H129" s="207"/>
      <c r="I129" s="207"/>
      <c r="J129" s="207"/>
      <c r="K129" s="207"/>
      <c r="L129" s="207"/>
      <c r="M129" s="207"/>
      <c r="N129" s="207"/>
      <c r="O129" s="207"/>
      <c r="P129" s="207"/>
      <c r="Q129" s="207"/>
      <c r="R129" s="207"/>
      <c r="S129" s="207"/>
      <c r="T129" s="228"/>
      <c r="U129" s="228"/>
      <c r="V129" s="228"/>
      <c r="AS129" s="209"/>
      <c r="AT129" s="209"/>
      <c r="AU129" s="209"/>
      <c r="AV129" s="209"/>
      <c r="AW129" s="209"/>
      <c r="AX129" s="209"/>
      <c r="AY129" s="209"/>
      <c r="AZ129" s="209"/>
      <c r="BA129" s="209"/>
      <c r="BB129" s="209"/>
      <c r="BC129" s="209"/>
      <c r="BD129" s="209"/>
      <c r="BE129" s="209"/>
      <c r="BF129" s="209"/>
      <c r="BG129" s="209"/>
    </row>
    <row r="130" spans="2:59" ht="15" customHeight="1" x14ac:dyDescent="0.2">
      <c r="B130" s="207"/>
      <c r="C130" s="207"/>
      <c r="D130" s="207"/>
      <c r="E130" s="207"/>
      <c r="F130" s="207"/>
      <c r="G130" s="207"/>
      <c r="H130" s="207"/>
      <c r="I130" s="207"/>
      <c r="J130" s="207"/>
      <c r="K130" s="207"/>
      <c r="L130" s="207"/>
      <c r="M130" s="207"/>
      <c r="N130" s="207"/>
      <c r="O130" s="207"/>
      <c r="P130" s="207"/>
      <c r="Q130" s="207"/>
      <c r="R130" s="207"/>
      <c r="S130" s="207"/>
      <c r="T130" s="228"/>
      <c r="U130" s="228"/>
      <c r="V130" s="228"/>
      <c r="AS130" s="209"/>
      <c r="AT130" s="209"/>
      <c r="AU130" s="209"/>
      <c r="AV130" s="209"/>
      <c r="AW130" s="209"/>
      <c r="AX130" s="209"/>
      <c r="AY130" s="209"/>
      <c r="AZ130" s="209"/>
      <c r="BA130" s="209"/>
      <c r="BB130" s="209"/>
      <c r="BC130" s="209"/>
      <c r="BD130" s="209"/>
      <c r="BE130" s="209"/>
      <c r="BF130" s="209"/>
      <c r="BG130" s="209"/>
    </row>
    <row r="131" spans="2:59" ht="15" customHeight="1" x14ac:dyDescent="0.2">
      <c r="B131" s="207"/>
      <c r="C131" s="207"/>
      <c r="D131" s="207"/>
      <c r="E131" s="207"/>
      <c r="F131" s="207"/>
      <c r="G131" s="207"/>
      <c r="H131" s="207"/>
      <c r="I131" s="207"/>
      <c r="J131" s="207"/>
      <c r="K131" s="207"/>
      <c r="L131" s="207"/>
      <c r="M131" s="207"/>
      <c r="N131" s="207"/>
      <c r="O131" s="207"/>
      <c r="P131" s="207"/>
      <c r="Q131" s="207"/>
      <c r="R131" s="207"/>
      <c r="S131" s="207"/>
      <c r="T131" s="228"/>
      <c r="U131" s="228"/>
      <c r="V131" s="228"/>
      <c r="AS131" s="209"/>
      <c r="AT131" s="209"/>
      <c r="AU131" s="209"/>
      <c r="AV131" s="209"/>
      <c r="AW131" s="209"/>
      <c r="AX131" s="209"/>
      <c r="AY131" s="209"/>
      <c r="AZ131" s="209"/>
      <c r="BA131" s="209"/>
      <c r="BB131" s="209"/>
      <c r="BC131" s="209"/>
      <c r="BD131" s="209"/>
      <c r="BE131" s="209"/>
      <c r="BF131" s="209"/>
      <c r="BG131" s="209"/>
    </row>
    <row r="132" spans="2:59" ht="15" customHeight="1" x14ac:dyDescent="0.2">
      <c r="B132" s="207"/>
      <c r="C132" s="207"/>
      <c r="D132" s="207"/>
      <c r="E132" s="207"/>
      <c r="F132" s="207"/>
      <c r="G132" s="207"/>
      <c r="H132" s="207"/>
      <c r="I132" s="207"/>
      <c r="J132" s="207"/>
      <c r="K132" s="207"/>
      <c r="L132" s="207"/>
      <c r="M132" s="207"/>
      <c r="N132" s="207"/>
      <c r="O132" s="207"/>
      <c r="P132" s="207"/>
      <c r="Q132" s="207"/>
      <c r="R132" s="207"/>
      <c r="S132" s="207"/>
      <c r="T132" s="228"/>
      <c r="U132" s="228"/>
      <c r="V132" s="228"/>
      <c r="AS132" s="209"/>
      <c r="AT132" s="209"/>
      <c r="AU132" s="209"/>
      <c r="AV132" s="209"/>
      <c r="AW132" s="209"/>
      <c r="AX132" s="209"/>
      <c r="AY132" s="209"/>
      <c r="AZ132" s="209"/>
      <c r="BA132" s="209"/>
      <c r="BB132" s="209"/>
      <c r="BC132" s="209"/>
      <c r="BD132" s="209"/>
      <c r="BE132" s="209"/>
      <c r="BF132" s="209"/>
      <c r="BG132" s="209"/>
    </row>
    <row r="133" spans="2:59" ht="15" customHeight="1" x14ac:dyDescent="0.2">
      <c r="B133" s="207"/>
      <c r="C133" s="207"/>
      <c r="D133" s="207"/>
      <c r="E133" s="207"/>
      <c r="F133" s="207"/>
      <c r="G133" s="207"/>
      <c r="H133" s="207"/>
      <c r="I133" s="207"/>
      <c r="J133" s="207"/>
      <c r="K133" s="207"/>
      <c r="L133" s="207"/>
      <c r="M133" s="207"/>
      <c r="N133" s="207"/>
      <c r="O133" s="207"/>
      <c r="P133" s="207"/>
      <c r="Q133" s="207"/>
      <c r="R133" s="207"/>
      <c r="S133" s="207"/>
      <c r="T133" s="228"/>
      <c r="U133" s="228"/>
      <c r="V133" s="228"/>
      <c r="AS133" s="209"/>
      <c r="AT133" s="209"/>
      <c r="AU133" s="209"/>
      <c r="AV133" s="209"/>
      <c r="AW133" s="209"/>
      <c r="AX133" s="209"/>
      <c r="AY133" s="209"/>
      <c r="AZ133" s="209"/>
      <c r="BA133" s="209"/>
      <c r="BB133" s="209"/>
      <c r="BC133" s="209"/>
      <c r="BD133" s="209"/>
      <c r="BE133" s="209"/>
      <c r="BF133" s="209"/>
      <c r="BG133" s="209"/>
    </row>
    <row r="134" spans="2:59" ht="15" customHeight="1" x14ac:dyDescent="0.2">
      <c r="B134" s="207"/>
      <c r="C134" s="207"/>
      <c r="D134" s="207"/>
      <c r="E134" s="207"/>
      <c r="F134" s="207"/>
      <c r="G134" s="207"/>
      <c r="H134" s="207"/>
      <c r="I134" s="207"/>
      <c r="J134" s="207"/>
      <c r="K134" s="207"/>
      <c r="L134" s="207"/>
      <c r="M134" s="207"/>
      <c r="N134" s="207"/>
      <c r="O134" s="207"/>
      <c r="P134" s="207"/>
      <c r="Q134" s="207"/>
      <c r="R134" s="207"/>
      <c r="S134" s="207"/>
      <c r="T134" s="228"/>
      <c r="U134" s="228"/>
      <c r="V134" s="228"/>
      <c r="AS134" s="209"/>
      <c r="AT134" s="209"/>
      <c r="AU134" s="209"/>
      <c r="AV134" s="209"/>
      <c r="AW134" s="209"/>
      <c r="AX134" s="209"/>
      <c r="AY134" s="209"/>
      <c r="AZ134" s="209"/>
      <c r="BA134" s="209"/>
      <c r="BB134" s="209"/>
      <c r="BC134" s="209"/>
      <c r="BD134" s="209"/>
      <c r="BE134" s="209"/>
      <c r="BF134" s="209"/>
      <c r="BG134" s="209"/>
    </row>
    <row r="135" spans="2:59" ht="15" customHeight="1" x14ac:dyDescent="0.2">
      <c r="B135" s="207"/>
      <c r="C135" s="207"/>
      <c r="D135" s="207"/>
      <c r="E135" s="207"/>
      <c r="F135" s="207"/>
      <c r="G135" s="207"/>
      <c r="H135" s="207"/>
      <c r="I135" s="207"/>
      <c r="J135" s="207"/>
      <c r="K135" s="207"/>
      <c r="L135" s="207"/>
      <c r="M135" s="207"/>
      <c r="N135" s="207"/>
      <c r="O135" s="207"/>
      <c r="P135" s="207"/>
      <c r="Q135" s="207"/>
      <c r="R135" s="207"/>
      <c r="S135" s="207"/>
      <c r="T135" s="228"/>
      <c r="U135" s="228"/>
      <c r="V135" s="228"/>
      <c r="AS135" s="209"/>
      <c r="AT135" s="209"/>
      <c r="AU135" s="209"/>
      <c r="AV135" s="209"/>
      <c r="AW135" s="209"/>
      <c r="AX135" s="209"/>
      <c r="AY135" s="209"/>
      <c r="AZ135" s="209"/>
      <c r="BA135" s="209"/>
      <c r="BB135" s="209"/>
      <c r="BC135" s="209"/>
      <c r="BD135" s="209"/>
      <c r="BE135" s="209"/>
      <c r="BF135" s="209"/>
      <c r="BG135" s="209"/>
    </row>
    <row r="136" spans="2:59" ht="15" customHeight="1" x14ac:dyDescent="0.2">
      <c r="B136" s="207"/>
      <c r="C136" s="207"/>
      <c r="D136" s="207"/>
      <c r="E136" s="207"/>
      <c r="F136" s="207"/>
      <c r="G136" s="207"/>
      <c r="H136" s="207"/>
      <c r="I136" s="207"/>
      <c r="J136" s="207"/>
      <c r="K136" s="207"/>
      <c r="L136" s="207"/>
      <c r="M136" s="207"/>
      <c r="N136" s="207"/>
      <c r="O136" s="207"/>
      <c r="P136" s="207"/>
      <c r="Q136" s="207"/>
      <c r="R136" s="207"/>
      <c r="S136" s="207"/>
      <c r="T136" s="228"/>
      <c r="U136" s="228"/>
      <c r="V136" s="228"/>
      <c r="AS136" s="209"/>
      <c r="AT136" s="209"/>
      <c r="AU136" s="209"/>
      <c r="AV136" s="209"/>
      <c r="AW136" s="209"/>
      <c r="AX136" s="209"/>
      <c r="AY136" s="209"/>
      <c r="AZ136" s="209"/>
      <c r="BA136" s="209"/>
      <c r="BB136" s="209"/>
      <c r="BC136" s="209"/>
      <c r="BD136" s="209"/>
      <c r="BE136" s="209"/>
      <c r="BF136" s="209"/>
      <c r="BG136" s="209"/>
    </row>
    <row r="137" spans="2:59" ht="15" customHeight="1" x14ac:dyDescent="0.2">
      <c r="B137" s="207"/>
      <c r="C137" s="207"/>
      <c r="D137" s="207"/>
      <c r="E137" s="207"/>
      <c r="F137" s="207"/>
      <c r="G137" s="207"/>
      <c r="H137" s="207"/>
      <c r="I137" s="207"/>
      <c r="J137" s="207"/>
      <c r="K137" s="207"/>
      <c r="L137" s="207"/>
      <c r="M137" s="207"/>
      <c r="N137" s="207"/>
      <c r="O137" s="207"/>
      <c r="P137" s="207"/>
      <c r="Q137" s="207"/>
      <c r="R137" s="207"/>
      <c r="S137" s="207"/>
      <c r="T137" s="228"/>
      <c r="U137" s="228"/>
      <c r="V137" s="228"/>
      <c r="AS137" s="209"/>
      <c r="AT137" s="209"/>
      <c r="AU137" s="209"/>
      <c r="AV137" s="209"/>
      <c r="AW137" s="209"/>
      <c r="AX137" s="209"/>
      <c r="AY137" s="209"/>
      <c r="AZ137" s="209"/>
      <c r="BA137" s="209"/>
      <c r="BB137" s="209"/>
      <c r="BC137" s="209"/>
      <c r="BD137" s="209"/>
      <c r="BE137" s="209"/>
      <c r="BF137" s="209"/>
      <c r="BG137" s="209"/>
    </row>
    <row r="138" spans="2:59" ht="15" customHeight="1" x14ac:dyDescent="0.2">
      <c r="B138" s="207"/>
      <c r="C138" s="207"/>
      <c r="D138" s="207"/>
      <c r="E138" s="207"/>
      <c r="F138" s="207"/>
      <c r="G138" s="207"/>
      <c r="H138" s="207"/>
      <c r="I138" s="207"/>
      <c r="J138" s="207"/>
      <c r="K138" s="207"/>
      <c r="L138" s="207"/>
      <c r="M138" s="207"/>
      <c r="N138" s="207"/>
      <c r="O138" s="207"/>
      <c r="P138" s="207"/>
      <c r="Q138" s="207"/>
      <c r="R138" s="207"/>
      <c r="S138" s="207"/>
      <c r="T138" s="228"/>
      <c r="U138" s="228"/>
      <c r="V138" s="228"/>
      <c r="AS138" s="209"/>
      <c r="AT138" s="209"/>
      <c r="AU138" s="209"/>
      <c r="AV138" s="209"/>
      <c r="AW138" s="209"/>
      <c r="AX138" s="209"/>
      <c r="AY138" s="209"/>
      <c r="AZ138" s="209"/>
      <c r="BA138" s="209"/>
      <c r="BB138" s="209"/>
      <c r="BC138" s="209"/>
      <c r="BD138" s="209"/>
      <c r="BE138" s="209"/>
      <c r="BF138" s="209"/>
      <c r="BG138" s="209"/>
    </row>
    <row r="139" spans="2:59" ht="15" customHeight="1" x14ac:dyDescent="0.2">
      <c r="B139" s="207"/>
      <c r="C139" s="207"/>
      <c r="D139" s="207"/>
      <c r="E139" s="207"/>
      <c r="F139" s="207"/>
      <c r="G139" s="207"/>
      <c r="H139" s="207"/>
      <c r="I139" s="207"/>
      <c r="J139" s="207"/>
      <c r="K139" s="207"/>
      <c r="L139" s="207"/>
      <c r="M139" s="207"/>
      <c r="N139" s="207"/>
      <c r="O139" s="207"/>
      <c r="P139" s="207"/>
      <c r="Q139" s="207"/>
      <c r="R139" s="207"/>
      <c r="S139" s="207"/>
      <c r="T139" s="228"/>
      <c r="U139" s="228"/>
      <c r="V139" s="228"/>
      <c r="AS139" s="209"/>
      <c r="AT139" s="209"/>
      <c r="AU139" s="209"/>
      <c r="AV139" s="209"/>
      <c r="AW139" s="209"/>
      <c r="AX139" s="209"/>
      <c r="AY139" s="209"/>
      <c r="AZ139" s="209"/>
      <c r="BA139" s="209"/>
      <c r="BB139" s="209"/>
      <c r="BC139" s="209"/>
      <c r="BD139" s="209"/>
      <c r="BE139" s="209"/>
      <c r="BF139" s="209"/>
      <c r="BG139" s="209"/>
    </row>
    <row r="140" spans="2:59" ht="15" customHeight="1" x14ac:dyDescent="0.2">
      <c r="B140" s="207"/>
      <c r="C140" s="207"/>
      <c r="D140" s="207"/>
      <c r="E140" s="207"/>
      <c r="F140" s="207"/>
      <c r="G140" s="207"/>
      <c r="H140" s="207"/>
      <c r="I140" s="207"/>
      <c r="J140" s="207"/>
      <c r="K140" s="207"/>
      <c r="L140" s="207"/>
      <c r="M140" s="207"/>
      <c r="N140" s="207"/>
      <c r="O140" s="207"/>
      <c r="P140" s="207"/>
      <c r="Q140" s="207"/>
      <c r="R140" s="207"/>
      <c r="S140" s="207"/>
      <c r="T140" s="228"/>
      <c r="U140" s="228"/>
      <c r="V140" s="228"/>
      <c r="AS140" s="209"/>
      <c r="AT140" s="209"/>
      <c r="AU140" s="209"/>
      <c r="AV140" s="209"/>
      <c r="AW140" s="209"/>
      <c r="AX140" s="209"/>
      <c r="AY140" s="209"/>
      <c r="AZ140" s="209"/>
      <c r="BA140" s="209"/>
      <c r="BB140" s="209"/>
      <c r="BC140" s="209"/>
      <c r="BD140" s="209"/>
      <c r="BE140" s="209"/>
      <c r="BF140" s="209"/>
      <c r="BG140" s="209"/>
    </row>
    <row r="141" spans="2:59" ht="15" customHeight="1" x14ac:dyDescent="0.2">
      <c r="B141" s="207"/>
      <c r="C141" s="207"/>
      <c r="D141" s="207"/>
      <c r="E141" s="207"/>
      <c r="F141" s="207"/>
      <c r="G141" s="207"/>
      <c r="H141" s="207"/>
      <c r="I141" s="207"/>
      <c r="J141" s="207"/>
      <c r="K141" s="207"/>
      <c r="L141" s="207"/>
      <c r="M141" s="207"/>
      <c r="N141" s="207"/>
      <c r="O141" s="207"/>
      <c r="P141" s="207"/>
      <c r="Q141" s="207"/>
      <c r="R141" s="207"/>
      <c r="S141" s="207"/>
      <c r="T141" s="228"/>
      <c r="U141" s="228"/>
      <c r="V141" s="228"/>
      <c r="AS141" s="209"/>
      <c r="AT141" s="209"/>
      <c r="AU141" s="209"/>
      <c r="AV141" s="209"/>
      <c r="AW141" s="209"/>
      <c r="AX141" s="209"/>
      <c r="AY141" s="209"/>
      <c r="AZ141" s="209"/>
      <c r="BA141" s="209"/>
      <c r="BB141" s="209"/>
      <c r="BC141" s="209"/>
      <c r="BD141" s="209"/>
      <c r="BE141" s="209"/>
      <c r="BF141" s="209"/>
      <c r="BG141" s="209"/>
    </row>
    <row r="142" spans="2:59" ht="15" customHeight="1" x14ac:dyDescent="0.2">
      <c r="B142" s="207"/>
      <c r="C142" s="207"/>
      <c r="D142" s="207"/>
      <c r="E142" s="207"/>
      <c r="F142" s="207"/>
      <c r="G142" s="207"/>
      <c r="H142" s="207"/>
      <c r="I142" s="207"/>
      <c r="J142" s="207"/>
      <c r="K142" s="207"/>
      <c r="L142" s="207"/>
      <c r="M142" s="207"/>
      <c r="N142" s="207"/>
      <c r="O142" s="207"/>
      <c r="P142" s="207"/>
      <c r="Q142" s="207"/>
      <c r="R142" s="207"/>
      <c r="S142" s="207"/>
      <c r="T142" s="228"/>
      <c r="U142" s="228"/>
      <c r="V142" s="228"/>
      <c r="AS142" s="209"/>
      <c r="AT142" s="209"/>
      <c r="AU142" s="209"/>
      <c r="AV142" s="209"/>
      <c r="AW142" s="209"/>
      <c r="AX142" s="209"/>
      <c r="AY142" s="209"/>
      <c r="AZ142" s="209"/>
      <c r="BA142" s="209"/>
      <c r="BB142" s="209"/>
      <c r="BC142" s="209"/>
      <c r="BD142" s="209"/>
      <c r="BE142" s="209"/>
      <c r="BF142" s="209"/>
      <c r="BG142" s="209"/>
    </row>
    <row r="143" spans="2:59" ht="15" customHeight="1" x14ac:dyDescent="0.2">
      <c r="B143" s="207"/>
      <c r="C143" s="207"/>
      <c r="D143" s="207"/>
      <c r="E143" s="207"/>
      <c r="F143" s="207"/>
      <c r="G143" s="207"/>
      <c r="H143" s="207"/>
      <c r="I143" s="207"/>
      <c r="J143" s="207"/>
      <c r="K143" s="207"/>
      <c r="L143" s="207"/>
      <c r="M143" s="207"/>
      <c r="N143" s="207"/>
      <c r="O143" s="207"/>
      <c r="P143" s="207"/>
      <c r="Q143" s="207"/>
      <c r="R143" s="207"/>
      <c r="S143" s="207"/>
      <c r="T143" s="228"/>
      <c r="U143" s="228"/>
      <c r="V143" s="228"/>
      <c r="AS143" s="209"/>
      <c r="AT143" s="209"/>
      <c r="AU143" s="209"/>
      <c r="AV143" s="209"/>
      <c r="AW143" s="209"/>
      <c r="AX143" s="209"/>
      <c r="AY143" s="209"/>
      <c r="AZ143" s="209"/>
      <c r="BA143" s="209"/>
      <c r="BB143" s="209"/>
      <c r="BC143" s="209"/>
      <c r="BD143" s="209"/>
      <c r="BE143" s="209"/>
      <c r="BF143" s="209"/>
      <c r="BG143" s="209"/>
    </row>
    <row r="144" spans="2:59" ht="15" customHeight="1" x14ac:dyDescent="0.2">
      <c r="B144" s="207"/>
      <c r="C144" s="207"/>
      <c r="D144" s="207"/>
      <c r="E144" s="207"/>
      <c r="F144" s="207"/>
      <c r="G144" s="207"/>
      <c r="H144" s="207"/>
      <c r="I144" s="207"/>
      <c r="J144" s="207"/>
      <c r="K144" s="207"/>
      <c r="L144" s="207"/>
      <c r="M144" s="207"/>
      <c r="N144" s="207"/>
      <c r="O144" s="207"/>
      <c r="P144" s="207"/>
      <c r="Q144" s="207"/>
      <c r="R144" s="207"/>
      <c r="S144" s="207"/>
      <c r="T144" s="228"/>
      <c r="U144" s="228"/>
      <c r="V144" s="228"/>
      <c r="AS144" s="209"/>
      <c r="AT144" s="209"/>
      <c r="AU144" s="209"/>
      <c r="AV144" s="209"/>
      <c r="AW144" s="209"/>
      <c r="AX144" s="209"/>
      <c r="AY144" s="209"/>
      <c r="AZ144" s="209"/>
      <c r="BA144" s="209"/>
      <c r="BB144" s="209"/>
      <c r="BC144" s="209"/>
      <c r="BD144" s="209"/>
      <c r="BE144" s="209"/>
      <c r="BF144" s="209"/>
      <c r="BG144" s="209"/>
    </row>
    <row r="145" spans="2:59" ht="15" customHeight="1" x14ac:dyDescent="0.2">
      <c r="B145" s="207"/>
      <c r="C145" s="207"/>
      <c r="D145" s="207"/>
      <c r="E145" s="207"/>
      <c r="F145" s="207"/>
      <c r="G145" s="207"/>
      <c r="H145" s="207"/>
      <c r="I145" s="207"/>
      <c r="J145" s="207"/>
      <c r="K145" s="207"/>
      <c r="L145" s="207"/>
      <c r="M145" s="207"/>
      <c r="N145" s="207"/>
      <c r="O145" s="207"/>
      <c r="P145" s="207"/>
      <c r="Q145" s="207"/>
      <c r="R145" s="207"/>
      <c r="S145" s="207"/>
      <c r="T145" s="228"/>
      <c r="U145" s="228"/>
      <c r="V145" s="228"/>
      <c r="AS145" s="209"/>
      <c r="AT145" s="209"/>
      <c r="AU145" s="209"/>
      <c r="AV145" s="209"/>
      <c r="AW145" s="209"/>
      <c r="AX145" s="209"/>
      <c r="AY145" s="209"/>
      <c r="AZ145" s="209"/>
      <c r="BA145" s="209"/>
      <c r="BB145" s="209"/>
      <c r="BC145" s="209"/>
      <c r="BD145" s="209"/>
      <c r="BE145" s="209"/>
      <c r="BF145" s="209"/>
      <c r="BG145" s="209"/>
    </row>
    <row r="146" spans="2:59" ht="15" customHeight="1" x14ac:dyDescent="0.2">
      <c r="B146" s="207"/>
      <c r="C146" s="207"/>
      <c r="D146" s="207"/>
      <c r="E146" s="207"/>
      <c r="F146" s="207"/>
      <c r="G146" s="207"/>
      <c r="H146" s="207"/>
      <c r="I146" s="207"/>
      <c r="J146" s="207"/>
      <c r="K146" s="207"/>
      <c r="L146" s="207"/>
      <c r="M146" s="207"/>
      <c r="N146" s="207"/>
      <c r="O146" s="207"/>
      <c r="P146" s="207"/>
      <c r="Q146" s="207"/>
      <c r="R146" s="207"/>
      <c r="S146" s="207"/>
      <c r="T146" s="228"/>
      <c r="U146" s="228"/>
      <c r="V146" s="228"/>
      <c r="AS146" s="209"/>
      <c r="AT146" s="209"/>
      <c r="AU146" s="209"/>
      <c r="AV146" s="209"/>
      <c r="AW146" s="209"/>
      <c r="AX146" s="209"/>
      <c r="AY146" s="209"/>
      <c r="AZ146" s="209"/>
      <c r="BA146" s="209"/>
      <c r="BB146" s="209"/>
      <c r="BC146" s="209"/>
      <c r="BD146" s="209"/>
      <c r="BE146" s="209"/>
      <c r="BF146" s="209"/>
      <c r="BG146" s="209"/>
    </row>
    <row r="147" spans="2:59" ht="15" customHeight="1" x14ac:dyDescent="0.2">
      <c r="B147" s="207"/>
      <c r="C147" s="207"/>
      <c r="D147" s="207"/>
      <c r="E147" s="207"/>
      <c r="F147" s="207"/>
      <c r="G147" s="207"/>
      <c r="H147" s="207"/>
      <c r="I147" s="207"/>
      <c r="J147" s="207"/>
      <c r="K147" s="207"/>
      <c r="L147" s="207"/>
      <c r="M147" s="207"/>
      <c r="N147" s="207"/>
      <c r="O147" s="207"/>
      <c r="P147" s="207"/>
      <c r="Q147" s="207"/>
      <c r="R147" s="207"/>
      <c r="S147" s="207"/>
      <c r="T147" s="228"/>
      <c r="U147" s="228"/>
      <c r="V147" s="228"/>
      <c r="AS147" s="209"/>
      <c r="AT147" s="209"/>
      <c r="AU147" s="209"/>
      <c r="AV147" s="209"/>
      <c r="AW147" s="209"/>
      <c r="AX147" s="209"/>
      <c r="AY147" s="209"/>
      <c r="AZ147" s="209"/>
      <c r="BA147" s="209"/>
      <c r="BB147" s="209"/>
      <c r="BC147" s="209"/>
      <c r="BD147" s="209"/>
      <c r="BE147" s="209"/>
      <c r="BF147" s="209"/>
      <c r="BG147" s="209"/>
    </row>
    <row r="148" spans="2:59" ht="15" customHeight="1" x14ac:dyDescent="0.2">
      <c r="B148" s="207"/>
      <c r="C148" s="207"/>
      <c r="D148" s="207"/>
      <c r="E148" s="207"/>
      <c r="F148" s="207"/>
      <c r="G148" s="207"/>
      <c r="H148" s="207"/>
      <c r="I148" s="207"/>
      <c r="J148" s="207"/>
      <c r="K148" s="207"/>
      <c r="L148" s="207"/>
      <c r="M148" s="207"/>
      <c r="N148" s="207"/>
      <c r="O148" s="207"/>
      <c r="P148" s="207"/>
      <c r="Q148" s="207"/>
      <c r="R148" s="207"/>
      <c r="S148" s="207"/>
      <c r="T148" s="228"/>
      <c r="U148" s="228"/>
      <c r="V148" s="228"/>
      <c r="AS148" s="209"/>
      <c r="AT148" s="209"/>
      <c r="AU148" s="209"/>
      <c r="AV148" s="209"/>
      <c r="AW148" s="209"/>
      <c r="AX148" s="209"/>
      <c r="AY148" s="209"/>
      <c r="AZ148" s="209"/>
      <c r="BA148" s="209"/>
      <c r="BB148" s="209"/>
      <c r="BC148" s="209"/>
      <c r="BD148" s="209"/>
      <c r="BE148" s="209"/>
      <c r="BF148" s="209"/>
      <c r="BG148" s="209"/>
    </row>
    <row r="149" spans="2:59" ht="15" customHeight="1" x14ac:dyDescent="0.2">
      <c r="B149" s="207"/>
      <c r="C149" s="207"/>
      <c r="D149" s="207"/>
      <c r="E149" s="207"/>
      <c r="F149" s="207"/>
      <c r="G149" s="207"/>
      <c r="H149" s="207"/>
      <c r="I149" s="207"/>
      <c r="J149" s="207"/>
      <c r="K149" s="207"/>
      <c r="L149" s="207"/>
      <c r="M149" s="207"/>
      <c r="N149" s="207"/>
      <c r="O149" s="207"/>
      <c r="P149" s="207"/>
      <c r="Q149" s="207"/>
      <c r="R149" s="207"/>
      <c r="S149" s="207"/>
      <c r="T149" s="228"/>
      <c r="U149" s="228"/>
      <c r="V149" s="228"/>
      <c r="AS149" s="209"/>
      <c r="AT149" s="209"/>
      <c r="AU149" s="209"/>
      <c r="AV149" s="209"/>
      <c r="AW149" s="209"/>
      <c r="AX149" s="209"/>
      <c r="AY149" s="209"/>
      <c r="AZ149" s="209"/>
      <c r="BA149" s="209"/>
      <c r="BB149" s="209"/>
      <c r="BC149" s="209"/>
      <c r="BD149" s="209"/>
      <c r="BE149" s="209"/>
      <c r="BF149" s="209"/>
      <c r="BG149" s="209"/>
    </row>
    <row r="150" spans="2:59" ht="15" customHeight="1" x14ac:dyDescent="0.2">
      <c r="B150" s="207"/>
      <c r="C150" s="207"/>
      <c r="D150" s="207"/>
      <c r="E150" s="207"/>
      <c r="F150" s="207"/>
      <c r="G150" s="207"/>
      <c r="H150" s="207"/>
      <c r="I150" s="207"/>
      <c r="J150" s="207"/>
      <c r="K150" s="207"/>
      <c r="L150" s="207"/>
      <c r="M150" s="207"/>
      <c r="N150" s="207"/>
      <c r="O150" s="207"/>
      <c r="P150" s="207"/>
      <c r="Q150" s="207"/>
      <c r="R150" s="207"/>
      <c r="S150" s="207"/>
      <c r="T150" s="228"/>
      <c r="U150" s="228"/>
      <c r="V150" s="228"/>
      <c r="AS150" s="209"/>
      <c r="AT150" s="209"/>
      <c r="AU150" s="209"/>
      <c r="AV150" s="209"/>
      <c r="AW150" s="209"/>
      <c r="AX150" s="209"/>
      <c r="AY150" s="209"/>
      <c r="AZ150" s="209"/>
      <c r="BA150" s="209"/>
      <c r="BB150" s="209"/>
      <c r="BC150" s="209"/>
      <c r="BD150" s="209"/>
      <c r="BE150" s="209"/>
      <c r="BF150" s="209"/>
      <c r="BG150" s="209"/>
    </row>
    <row r="151" spans="2:59" ht="15" customHeight="1" x14ac:dyDescent="0.2">
      <c r="B151" s="207"/>
      <c r="C151" s="207"/>
      <c r="D151" s="207"/>
      <c r="E151" s="207"/>
      <c r="F151" s="207"/>
      <c r="G151" s="207"/>
      <c r="H151" s="207"/>
      <c r="I151" s="207"/>
      <c r="J151" s="207"/>
      <c r="K151" s="207"/>
      <c r="L151" s="207"/>
      <c r="M151" s="207"/>
      <c r="N151" s="207"/>
      <c r="O151" s="207"/>
      <c r="P151" s="207"/>
      <c r="Q151" s="207"/>
      <c r="R151" s="207"/>
      <c r="S151" s="207"/>
      <c r="T151" s="228"/>
      <c r="U151" s="228"/>
      <c r="V151" s="228"/>
      <c r="AS151" s="209"/>
      <c r="AT151" s="209"/>
      <c r="AU151" s="209"/>
      <c r="AV151" s="209"/>
      <c r="AW151" s="209"/>
      <c r="AX151" s="209"/>
      <c r="AY151" s="209"/>
      <c r="AZ151" s="209"/>
      <c r="BA151" s="209"/>
      <c r="BB151" s="209"/>
      <c r="BC151" s="209"/>
      <c r="BD151" s="209"/>
      <c r="BE151" s="209"/>
      <c r="BF151" s="209"/>
      <c r="BG151" s="209"/>
    </row>
    <row r="152" spans="2:59" ht="15" customHeight="1" x14ac:dyDescent="0.2">
      <c r="B152" s="207"/>
      <c r="C152" s="207"/>
      <c r="D152" s="207"/>
      <c r="E152" s="207"/>
      <c r="F152" s="207"/>
      <c r="G152" s="207"/>
      <c r="H152" s="207"/>
      <c r="I152" s="207"/>
      <c r="J152" s="207"/>
      <c r="K152" s="207"/>
      <c r="L152" s="207"/>
      <c r="M152" s="207"/>
      <c r="N152" s="207"/>
      <c r="O152" s="207"/>
      <c r="P152" s="207"/>
      <c r="Q152" s="207"/>
      <c r="R152" s="207"/>
      <c r="S152" s="207"/>
      <c r="T152" s="228"/>
      <c r="U152" s="228"/>
      <c r="V152" s="228"/>
      <c r="AS152" s="209"/>
      <c r="AT152" s="209"/>
      <c r="AU152" s="209"/>
      <c r="AV152" s="209"/>
      <c r="AW152" s="209"/>
      <c r="AX152" s="209"/>
      <c r="AY152" s="209"/>
      <c r="AZ152" s="209"/>
      <c r="BA152" s="209"/>
      <c r="BB152" s="209"/>
      <c r="BC152" s="209"/>
      <c r="BD152" s="209"/>
      <c r="BE152" s="209"/>
      <c r="BF152" s="209"/>
      <c r="BG152" s="209"/>
    </row>
    <row r="153" spans="2:59" ht="15" customHeight="1" x14ac:dyDescent="0.2">
      <c r="B153" s="207"/>
      <c r="C153" s="207"/>
      <c r="D153" s="207"/>
      <c r="E153" s="207"/>
      <c r="F153" s="207"/>
      <c r="G153" s="207"/>
      <c r="H153" s="207"/>
      <c r="I153" s="207"/>
      <c r="J153" s="207"/>
      <c r="K153" s="207"/>
      <c r="L153" s="207"/>
      <c r="M153" s="207"/>
      <c r="N153" s="207"/>
      <c r="O153" s="207"/>
      <c r="P153" s="207"/>
      <c r="Q153" s="207"/>
      <c r="R153" s="207"/>
      <c r="S153" s="207"/>
      <c r="T153" s="228"/>
      <c r="U153" s="228"/>
      <c r="V153" s="228"/>
      <c r="AS153" s="209"/>
      <c r="AT153" s="209"/>
      <c r="AU153" s="209"/>
      <c r="AV153" s="209"/>
      <c r="AW153" s="209"/>
      <c r="AX153" s="209"/>
      <c r="AY153" s="209"/>
      <c r="AZ153" s="209"/>
      <c r="BA153" s="209"/>
      <c r="BB153" s="209"/>
      <c r="BC153" s="209"/>
      <c r="BD153" s="209"/>
      <c r="BE153" s="209"/>
      <c r="BF153" s="209"/>
      <c r="BG153" s="209"/>
    </row>
    <row r="154" spans="2:59" ht="15" customHeight="1" x14ac:dyDescent="0.2">
      <c r="B154" s="207"/>
      <c r="C154" s="207"/>
      <c r="D154" s="207"/>
      <c r="E154" s="207"/>
      <c r="F154" s="207"/>
      <c r="G154" s="207"/>
      <c r="H154" s="207"/>
      <c r="I154" s="207"/>
      <c r="J154" s="207"/>
      <c r="K154" s="207"/>
      <c r="L154" s="207"/>
      <c r="M154" s="207"/>
      <c r="N154" s="207"/>
      <c r="O154" s="207"/>
      <c r="P154" s="207"/>
      <c r="Q154" s="207"/>
      <c r="R154" s="207"/>
      <c r="S154" s="207"/>
      <c r="T154" s="228"/>
      <c r="U154" s="228"/>
      <c r="V154" s="228"/>
      <c r="AS154" s="209"/>
      <c r="AT154" s="209"/>
      <c r="AU154" s="209"/>
      <c r="AV154" s="209"/>
      <c r="AW154" s="209"/>
      <c r="AX154" s="209"/>
      <c r="AY154" s="209"/>
      <c r="AZ154" s="209"/>
      <c r="BA154" s="209"/>
      <c r="BB154" s="209"/>
      <c r="BC154" s="209"/>
      <c r="BD154" s="209"/>
      <c r="BE154" s="209"/>
      <c r="BF154" s="209"/>
      <c r="BG154" s="209"/>
    </row>
    <row r="155" spans="2:59" ht="15" customHeight="1" x14ac:dyDescent="0.2">
      <c r="B155" s="207"/>
      <c r="C155" s="207"/>
      <c r="D155" s="207"/>
      <c r="E155" s="207"/>
      <c r="F155" s="207"/>
      <c r="G155" s="207"/>
      <c r="H155" s="207"/>
      <c r="I155" s="207"/>
      <c r="J155" s="207"/>
      <c r="K155" s="207"/>
      <c r="L155" s="207"/>
      <c r="M155" s="207"/>
      <c r="N155" s="207"/>
      <c r="O155" s="207"/>
      <c r="P155" s="207"/>
      <c r="Q155" s="207"/>
      <c r="R155" s="207"/>
      <c r="S155" s="207"/>
      <c r="T155" s="228"/>
      <c r="U155" s="228"/>
      <c r="V155" s="228"/>
      <c r="AS155" s="209"/>
      <c r="AT155" s="209"/>
      <c r="AU155" s="209"/>
      <c r="AV155" s="209"/>
      <c r="AW155" s="209"/>
      <c r="AX155" s="209"/>
      <c r="AY155" s="209"/>
      <c r="AZ155" s="209"/>
      <c r="BA155" s="209"/>
      <c r="BB155" s="209"/>
      <c r="BC155" s="209"/>
      <c r="BD155" s="209"/>
      <c r="BE155" s="209"/>
      <c r="BF155" s="209"/>
      <c r="BG155" s="209"/>
    </row>
    <row r="156" spans="2:59" ht="15" customHeight="1" x14ac:dyDescent="0.2">
      <c r="B156" s="207"/>
      <c r="C156" s="207"/>
      <c r="D156" s="207"/>
      <c r="E156" s="207"/>
      <c r="F156" s="207"/>
      <c r="G156" s="207"/>
      <c r="H156" s="207"/>
      <c r="I156" s="207"/>
      <c r="J156" s="207"/>
      <c r="K156" s="207"/>
      <c r="L156" s="207"/>
      <c r="M156" s="207"/>
      <c r="N156" s="207"/>
      <c r="O156" s="207"/>
      <c r="P156" s="207"/>
      <c r="Q156" s="207"/>
      <c r="R156" s="207"/>
      <c r="S156" s="207"/>
      <c r="T156" s="228"/>
      <c r="U156" s="228"/>
      <c r="V156" s="228"/>
      <c r="AS156" s="209"/>
      <c r="AT156" s="209"/>
      <c r="AU156" s="209"/>
      <c r="AV156" s="209"/>
      <c r="AW156" s="209"/>
      <c r="AX156" s="209"/>
      <c r="AY156" s="209"/>
      <c r="AZ156" s="209"/>
      <c r="BA156" s="209"/>
      <c r="BB156" s="209"/>
      <c r="BC156" s="209"/>
      <c r="BD156" s="209"/>
      <c r="BE156" s="209"/>
      <c r="BF156" s="209"/>
      <c r="BG156" s="209"/>
    </row>
    <row r="157" spans="2:59" ht="15" customHeight="1" x14ac:dyDescent="0.2">
      <c r="B157" s="207"/>
      <c r="C157" s="207"/>
      <c r="D157" s="207"/>
      <c r="E157" s="207"/>
      <c r="F157" s="207"/>
      <c r="G157" s="207"/>
      <c r="H157" s="207"/>
      <c r="I157" s="207"/>
      <c r="J157" s="207"/>
      <c r="K157" s="207"/>
      <c r="L157" s="207"/>
      <c r="M157" s="207"/>
      <c r="N157" s="207"/>
      <c r="O157" s="207"/>
      <c r="P157" s="207"/>
      <c r="Q157" s="207"/>
      <c r="R157" s="207"/>
      <c r="S157" s="207"/>
      <c r="T157" s="228"/>
      <c r="U157" s="228"/>
      <c r="V157" s="228"/>
      <c r="AS157" s="209"/>
      <c r="AT157" s="209"/>
      <c r="AU157" s="209"/>
      <c r="AV157" s="209"/>
      <c r="AW157" s="209"/>
      <c r="AX157" s="209"/>
      <c r="AY157" s="209"/>
      <c r="AZ157" s="209"/>
      <c r="BA157" s="209"/>
      <c r="BB157" s="209"/>
      <c r="BC157" s="209"/>
      <c r="BD157" s="209"/>
      <c r="BE157" s="209"/>
      <c r="BF157" s="209"/>
      <c r="BG157" s="209"/>
    </row>
    <row r="158" spans="2:59" ht="15" customHeight="1" x14ac:dyDescent="0.2">
      <c r="B158" s="207"/>
      <c r="C158" s="207"/>
      <c r="D158" s="207"/>
      <c r="E158" s="207"/>
      <c r="F158" s="207"/>
      <c r="G158" s="207"/>
      <c r="H158" s="207"/>
      <c r="I158" s="207"/>
      <c r="J158" s="207"/>
      <c r="K158" s="207"/>
      <c r="L158" s="207"/>
      <c r="M158" s="207"/>
      <c r="N158" s="207"/>
      <c r="O158" s="207"/>
      <c r="P158" s="207"/>
      <c r="Q158" s="207"/>
      <c r="R158" s="207"/>
      <c r="S158" s="207"/>
      <c r="T158" s="228"/>
      <c r="U158" s="228"/>
      <c r="V158" s="228"/>
      <c r="AS158" s="209"/>
      <c r="AT158" s="209"/>
      <c r="AU158" s="209"/>
      <c r="AV158" s="209"/>
      <c r="AW158" s="209"/>
      <c r="AX158" s="209"/>
      <c r="AY158" s="209"/>
      <c r="AZ158" s="209"/>
      <c r="BA158" s="209"/>
      <c r="BB158" s="209"/>
      <c r="BC158" s="209"/>
      <c r="BD158" s="209"/>
      <c r="BE158" s="209"/>
      <c r="BF158" s="209"/>
      <c r="BG158" s="209"/>
    </row>
    <row r="159" spans="2:59" ht="15" customHeight="1" x14ac:dyDescent="0.2">
      <c r="B159" s="207"/>
      <c r="C159" s="207"/>
      <c r="D159" s="207"/>
      <c r="E159" s="207"/>
      <c r="F159" s="207"/>
      <c r="G159" s="207"/>
      <c r="H159" s="207"/>
      <c r="I159" s="207"/>
      <c r="J159" s="207"/>
      <c r="K159" s="207"/>
      <c r="L159" s="207"/>
      <c r="M159" s="207"/>
      <c r="N159" s="207"/>
      <c r="O159" s="207"/>
      <c r="P159" s="207"/>
      <c r="Q159" s="207"/>
      <c r="R159" s="207"/>
      <c r="S159" s="207"/>
      <c r="T159" s="228"/>
      <c r="U159" s="228"/>
      <c r="V159" s="228"/>
      <c r="AS159" s="209"/>
      <c r="AT159" s="209"/>
      <c r="AU159" s="209"/>
      <c r="AV159" s="209"/>
      <c r="AW159" s="209"/>
      <c r="AX159" s="209"/>
      <c r="AY159" s="209"/>
      <c r="AZ159" s="209"/>
      <c r="BA159" s="209"/>
      <c r="BB159" s="209"/>
      <c r="BC159" s="209"/>
      <c r="BD159" s="209"/>
      <c r="BE159" s="209"/>
      <c r="BF159" s="209"/>
      <c r="BG159" s="209"/>
    </row>
    <row r="160" spans="2:59" ht="15" customHeight="1" x14ac:dyDescent="0.2">
      <c r="B160" s="207"/>
      <c r="C160" s="207"/>
      <c r="D160" s="207"/>
      <c r="E160" s="207"/>
      <c r="F160" s="207"/>
      <c r="G160" s="207"/>
      <c r="H160" s="207"/>
      <c r="I160" s="207"/>
      <c r="J160" s="207"/>
      <c r="K160" s="207"/>
      <c r="L160" s="207"/>
      <c r="M160" s="207"/>
      <c r="N160" s="207"/>
      <c r="O160" s="207"/>
      <c r="P160" s="207"/>
      <c r="Q160" s="207"/>
      <c r="R160" s="207"/>
      <c r="S160" s="207"/>
      <c r="T160" s="228"/>
      <c r="U160" s="228"/>
      <c r="V160" s="228"/>
      <c r="AS160" s="209"/>
      <c r="AT160" s="209"/>
      <c r="AU160" s="209"/>
      <c r="AV160" s="209"/>
      <c r="AW160" s="209"/>
      <c r="AX160" s="209"/>
      <c r="AY160" s="209"/>
      <c r="AZ160" s="209"/>
      <c r="BA160" s="209"/>
      <c r="BB160" s="209"/>
      <c r="BC160" s="209"/>
      <c r="BD160" s="209"/>
      <c r="BE160" s="209"/>
      <c r="BF160" s="209"/>
      <c r="BG160" s="209"/>
    </row>
    <row r="161" spans="2:59" ht="15" customHeight="1" x14ac:dyDescent="0.2">
      <c r="B161" s="207"/>
      <c r="C161" s="207"/>
      <c r="D161" s="207"/>
      <c r="E161" s="207"/>
      <c r="F161" s="207"/>
      <c r="G161" s="207"/>
      <c r="H161" s="207"/>
      <c r="I161" s="207"/>
      <c r="J161" s="207"/>
      <c r="K161" s="207"/>
      <c r="L161" s="207"/>
      <c r="M161" s="207"/>
      <c r="N161" s="207"/>
      <c r="O161" s="207"/>
      <c r="P161" s="207"/>
      <c r="Q161" s="207"/>
      <c r="R161" s="207"/>
      <c r="S161" s="207"/>
      <c r="T161" s="228"/>
      <c r="U161" s="228"/>
      <c r="V161" s="228"/>
      <c r="AS161" s="209"/>
      <c r="AT161" s="209"/>
      <c r="AU161" s="209"/>
      <c r="AV161" s="209"/>
      <c r="AW161" s="209"/>
      <c r="AX161" s="209"/>
      <c r="AY161" s="209"/>
      <c r="AZ161" s="209"/>
      <c r="BA161" s="209"/>
      <c r="BB161" s="209"/>
      <c r="BC161" s="209"/>
      <c r="BD161" s="209"/>
      <c r="BE161" s="209"/>
      <c r="BF161" s="209"/>
      <c r="BG161" s="209"/>
    </row>
    <row r="162" spans="2:59" ht="15" customHeight="1" x14ac:dyDescent="0.2">
      <c r="B162" s="207"/>
      <c r="C162" s="207"/>
      <c r="D162" s="207"/>
      <c r="E162" s="207"/>
      <c r="F162" s="207"/>
      <c r="G162" s="207"/>
      <c r="H162" s="207"/>
      <c r="I162" s="207"/>
      <c r="J162" s="207"/>
      <c r="K162" s="207"/>
      <c r="L162" s="207"/>
      <c r="M162" s="207"/>
      <c r="N162" s="207"/>
      <c r="O162" s="207"/>
      <c r="P162" s="207"/>
      <c r="Q162" s="207"/>
      <c r="R162" s="207"/>
      <c r="S162" s="207"/>
      <c r="T162" s="228"/>
      <c r="U162" s="228"/>
      <c r="V162" s="228"/>
      <c r="AS162" s="209"/>
      <c r="AT162" s="209"/>
      <c r="AU162" s="209"/>
      <c r="AV162" s="209"/>
      <c r="AW162" s="209"/>
      <c r="AX162" s="209"/>
      <c r="AY162" s="209"/>
      <c r="AZ162" s="209"/>
      <c r="BA162" s="209"/>
      <c r="BB162" s="209"/>
      <c r="BC162" s="209"/>
      <c r="BD162" s="209"/>
      <c r="BE162" s="209"/>
      <c r="BF162" s="209"/>
      <c r="BG162" s="209"/>
    </row>
    <row r="163" spans="2:59" ht="15" customHeight="1" x14ac:dyDescent="0.2">
      <c r="B163" s="207"/>
      <c r="C163" s="207"/>
      <c r="D163" s="207"/>
      <c r="E163" s="207"/>
      <c r="F163" s="207"/>
      <c r="G163" s="207"/>
      <c r="H163" s="207"/>
      <c r="I163" s="207"/>
      <c r="J163" s="207"/>
      <c r="K163" s="207"/>
      <c r="L163" s="207"/>
      <c r="M163" s="207"/>
      <c r="N163" s="207"/>
      <c r="O163" s="207"/>
      <c r="P163" s="207"/>
      <c r="Q163" s="207"/>
      <c r="R163" s="207"/>
      <c r="S163" s="207"/>
      <c r="T163" s="228"/>
      <c r="U163" s="228"/>
      <c r="V163" s="228"/>
      <c r="AS163" s="209"/>
      <c r="AT163" s="209"/>
      <c r="AU163" s="209"/>
      <c r="AV163" s="209"/>
      <c r="AW163" s="209"/>
      <c r="AX163" s="209"/>
      <c r="AY163" s="209"/>
      <c r="AZ163" s="209"/>
      <c r="BA163" s="209"/>
      <c r="BB163" s="209"/>
      <c r="BC163" s="209"/>
      <c r="BD163" s="209"/>
      <c r="BE163" s="209"/>
      <c r="BF163" s="209"/>
      <c r="BG163" s="209"/>
    </row>
    <row r="164" spans="2:59" ht="15" customHeight="1" x14ac:dyDescent="0.2">
      <c r="B164" s="207"/>
      <c r="C164" s="207"/>
      <c r="D164" s="207"/>
      <c r="E164" s="207"/>
      <c r="F164" s="207"/>
      <c r="G164" s="207"/>
      <c r="H164" s="207"/>
      <c r="I164" s="207"/>
      <c r="J164" s="207"/>
      <c r="K164" s="207"/>
      <c r="L164" s="207"/>
      <c r="M164" s="207"/>
      <c r="N164" s="207"/>
      <c r="O164" s="207"/>
      <c r="P164" s="207"/>
      <c r="Q164" s="207"/>
      <c r="R164" s="207"/>
      <c r="S164" s="207"/>
      <c r="T164" s="228"/>
      <c r="U164" s="228"/>
      <c r="V164" s="228"/>
      <c r="AS164" s="209"/>
      <c r="AT164" s="209"/>
      <c r="AU164" s="209"/>
      <c r="AV164" s="209"/>
      <c r="AW164" s="209"/>
      <c r="AX164" s="209"/>
      <c r="AY164" s="209"/>
      <c r="AZ164" s="209"/>
      <c r="BA164" s="209"/>
      <c r="BB164" s="209"/>
      <c r="BC164" s="209"/>
      <c r="BD164" s="209"/>
      <c r="BE164" s="209"/>
      <c r="BF164" s="209"/>
      <c r="BG164" s="209"/>
    </row>
    <row r="165" spans="2:59" ht="15" customHeight="1" x14ac:dyDescent="0.2">
      <c r="B165" s="207"/>
      <c r="C165" s="207"/>
      <c r="D165" s="207"/>
      <c r="E165" s="207"/>
      <c r="F165" s="207"/>
      <c r="G165" s="207"/>
      <c r="H165" s="207"/>
      <c r="I165" s="207"/>
      <c r="J165" s="207"/>
      <c r="K165" s="207"/>
      <c r="L165" s="207"/>
      <c r="M165" s="207"/>
      <c r="N165" s="207"/>
      <c r="O165" s="207"/>
      <c r="P165" s="207"/>
      <c r="Q165" s="207"/>
      <c r="R165" s="207"/>
      <c r="S165" s="207"/>
      <c r="T165" s="228"/>
      <c r="U165" s="228"/>
      <c r="V165" s="228"/>
      <c r="AS165" s="209"/>
      <c r="AT165" s="209"/>
      <c r="AU165" s="209"/>
      <c r="AV165" s="209"/>
      <c r="AW165" s="209"/>
      <c r="AX165" s="209"/>
      <c r="AY165" s="209"/>
      <c r="AZ165" s="209"/>
      <c r="BA165" s="209"/>
      <c r="BB165" s="209"/>
      <c r="BC165" s="209"/>
      <c r="BD165" s="209"/>
      <c r="BE165" s="209"/>
      <c r="BF165" s="209"/>
      <c r="BG165" s="209"/>
    </row>
    <row r="166" spans="2:59" ht="15" customHeight="1" x14ac:dyDescent="0.2">
      <c r="B166" s="207"/>
      <c r="C166" s="207"/>
      <c r="D166" s="207"/>
      <c r="E166" s="207"/>
      <c r="F166" s="207"/>
      <c r="G166" s="207"/>
      <c r="H166" s="207"/>
      <c r="I166" s="207"/>
      <c r="J166" s="207"/>
      <c r="K166" s="207"/>
      <c r="L166" s="207"/>
      <c r="M166" s="207"/>
      <c r="N166" s="207"/>
      <c r="O166" s="207"/>
      <c r="P166" s="207"/>
      <c r="Q166" s="207"/>
      <c r="R166" s="207"/>
      <c r="S166" s="207"/>
      <c r="T166" s="228"/>
      <c r="U166" s="228"/>
      <c r="V166" s="228"/>
      <c r="AS166" s="209"/>
      <c r="AT166" s="209"/>
      <c r="AU166" s="209"/>
      <c r="AV166" s="209"/>
      <c r="AW166" s="209"/>
      <c r="AX166" s="209"/>
      <c r="AY166" s="209"/>
      <c r="AZ166" s="209"/>
      <c r="BA166" s="209"/>
      <c r="BB166" s="209"/>
      <c r="BC166" s="209"/>
      <c r="BD166" s="209"/>
      <c r="BE166" s="209"/>
      <c r="BF166" s="209"/>
      <c r="BG166" s="209"/>
    </row>
    <row r="167" spans="2:59" ht="15" customHeight="1" x14ac:dyDescent="0.2">
      <c r="B167" s="207"/>
      <c r="C167" s="207"/>
      <c r="D167" s="207"/>
      <c r="E167" s="207"/>
      <c r="F167" s="207"/>
      <c r="G167" s="207"/>
      <c r="H167" s="207"/>
      <c r="I167" s="207"/>
      <c r="J167" s="207"/>
      <c r="K167" s="207"/>
      <c r="L167" s="207"/>
      <c r="M167" s="207"/>
      <c r="N167" s="207"/>
      <c r="O167" s="207"/>
      <c r="P167" s="207"/>
      <c r="Q167" s="207"/>
      <c r="R167" s="207"/>
      <c r="S167" s="207"/>
      <c r="T167" s="228"/>
      <c r="U167" s="228"/>
      <c r="V167" s="228"/>
      <c r="AS167" s="209"/>
      <c r="AT167" s="209"/>
      <c r="AU167" s="209"/>
      <c r="AV167" s="209"/>
      <c r="AW167" s="209"/>
      <c r="AX167" s="209"/>
      <c r="AY167" s="209"/>
      <c r="AZ167" s="209"/>
      <c r="BA167" s="209"/>
      <c r="BB167" s="209"/>
      <c r="BC167" s="209"/>
      <c r="BD167" s="209"/>
      <c r="BE167" s="209"/>
      <c r="BF167" s="209"/>
      <c r="BG167" s="209"/>
    </row>
    <row r="168" spans="2:59" ht="15" customHeight="1" x14ac:dyDescent="0.2">
      <c r="B168" s="207"/>
      <c r="C168" s="207"/>
      <c r="D168" s="207"/>
      <c r="E168" s="207"/>
      <c r="F168" s="207"/>
      <c r="G168" s="207"/>
      <c r="H168" s="207"/>
      <c r="I168" s="207"/>
      <c r="J168" s="207"/>
      <c r="K168" s="207"/>
      <c r="L168" s="207"/>
      <c r="M168" s="207"/>
      <c r="N168" s="207"/>
      <c r="O168" s="207"/>
      <c r="P168" s="207"/>
      <c r="Q168" s="207"/>
      <c r="R168" s="207"/>
      <c r="S168" s="207"/>
      <c r="T168" s="228"/>
      <c r="U168" s="228"/>
      <c r="V168" s="228"/>
      <c r="AS168" s="209"/>
      <c r="AT168" s="209"/>
      <c r="AU168" s="209"/>
      <c r="AV168" s="209"/>
      <c r="AW168" s="209"/>
      <c r="AX168" s="209"/>
      <c r="AY168" s="209"/>
      <c r="AZ168" s="209"/>
      <c r="BA168" s="209"/>
      <c r="BB168" s="209"/>
      <c r="BC168" s="209"/>
      <c r="BD168" s="209"/>
      <c r="BE168" s="209"/>
      <c r="BF168" s="209"/>
      <c r="BG168" s="209"/>
    </row>
    <row r="169" spans="2:59" ht="15" customHeight="1" x14ac:dyDescent="0.2">
      <c r="B169" s="207"/>
      <c r="C169" s="207"/>
      <c r="D169" s="207"/>
      <c r="E169" s="207"/>
      <c r="F169" s="207"/>
      <c r="G169" s="207"/>
      <c r="H169" s="207"/>
      <c r="I169" s="207"/>
      <c r="J169" s="207"/>
      <c r="K169" s="207"/>
      <c r="L169" s="207"/>
      <c r="M169" s="207"/>
      <c r="N169" s="207"/>
      <c r="O169" s="207"/>
      <c r="P169" s="207"/>
      <c r="Q169" s="207"/>
      <c r="R169" s="207"/>
      <c r="S169" s="207"/>
      <c r="T169" s="228"/>
      <c r="U169" s="228"/>
      <c r="V169" s="228"/>
      <c r="AS169" s="209"/>
      <c r="AT169" s="209"/>
      <c r="AU169" s="209"/>
      <c r="AV169" s="209"/>
      <c r="AW169" s="209"/>
      <c r="AX169" s="209"/>
      <c r="AY169" s="209"/>
      <c r="AZ169" s="209"/>
      <c r="BA169" s="209"/>
      <c r="BB169" s="209"/>
      <c r="BC169" s="209"/>
      <c r="BD169" s="209"/>
      <c r="BE169" s="209"/>
      <c r="BF169" s="209"/>
      <c r="BG169" s="209"/>
    </row>
    <row r="170" spans="2:59" ht="15" customHeight="1" x14ac:dyDescent="0.2">
      <c r="B170" s="207"/>
      <c r="C170" s="207"/>
      <c r="D170" s="207"/>
      <c r="E170" s="207"/>
      <c r="F170" s="207"/>
      <c r="G170" s="207"/>
      <c r="H170" s="207"/>
      <c r="I170" s="207"/>
      <c r="J170" s="207"/>
      <c r="K170" s="207"/>
      <c r="L170" s="207"/>
      <c r="M170" s="207"/>
      <c r="N170" s="207"/>
      <c r="O170" s="207"/>
      <c r="P170" s="207"/>
      <c r="Q170" s="207"/>
      <c r="R170" s="207"/>
      <c r="S170" s="207"/>
      <c r="T170" s="228"/>
      <c r="U170" s="228"/>
      <c r="V170" s="228"/>
      <c r="AS170" s="209"/>
      <c r="AT170" s="209"/>
      <c r="AU170" s="209"/>
      <c r="AV170" s="209"/>
      <c r="AW170" s="209"/>
      <c r="AX170" s="209"/>
      <c r="AY170" s="209"/>
      <c r="AZ170" s="209"/>
      <c r="BA170" s="209"/>
      <c r="BB170" s="209"/>
      <c r="BC170" s="209"/>
      <c r="BD170" s="209"/>
      <c r="BE170" s="209"/>
      <c r="BF170" s="209"/>
      <c r="BG170" s="209"/>
    </row>
    <row r="171" spans="2:59" ht="15" customHeight="1" x14ac:dyDescent="0.2">
      <c r="B171" s="207"/>
      <c r="C171" s="207"/>
      <c r="D171" s="207"/>
      <c r="E171" s="207"/>
      <c r="F171" s="207"/>
      <c r="G171" s="207"/>
      <c r="H171" s="207"/>
      <c r="I171" s="207"/>
      <c r="J171" s="207"/>
      <c r="K171" s="207"/>
      <c r="L171" s="207"/>
      <c r="M171" s="207"/>
      <c r="N171" s="207"/>
      <c r="O171" s="207"/>
      <c r="P171" s="207"/>
      <c r="Q171" s="207"/>
      <c r="R171" s="207"/>
      <c r="S171" s="207"/>
      <c r="T171" s="228"/>
      <c r="U171" s="228"/>
      <c r="V171" s="228"/>
      <c r="AS171" s="209"/>
      <c r="AT171" s="209"/>
      <c r="AU171" s="209"/>
      <c r="AV171" s="209"/>
      <c r="AW171" s="209"/>
      <c r="AX171" s="209"/>
      <c r="AY171" s="209"/>
      <c r="AZ171" s="209"/>
      <c r="BA171" s="209"/>
      <c r="BB171" s="209"/>
      <c r="BC171" s="209"/>
      <c r="BD171" s="209"/>
      <c r="BE171" s="209"/>
      <c r="BF171" s="209"/>
      <c r="BG171" s="209"/>
    </row>
    <row r="172" spans="2:59" ht="15" customHeight="1" x14ac:dyDescent="0.2">
      <c r="B172" s="207"/>
      <c r="C172" s="207"/>
      <c r="D172" s="207"/>
      <c r="E172" s="207"/>
      <c r="F172" s="207"/>
      <c r="G172" s="207"/>
      <c r="H172" s="207"/>
      <c r="I172" s="207"/>
      <c r="J172" s="207"/>
      <c r="K172" s="207"/>
      <c r="L172" s="207"/>
      <c r="M172" s="207"/>
      <c r="N172" s="207"/>
      <c r="O172" s="207"/>
      <c r="P172" s="207"/>
      <c r="Q172" s="207"/>
      <c r="R172" s="207"/>
      <c r="S172" s="207"/>
      <c r="T172" s="228"/>
      <c r="U172" s="228"/>
      <c r="V172" s="228"/>
      <c r="AS172" s="209"/>
      <c r="AT172" s="209"/>
      <c r="AU172" s="209"/>
      <c r="AV172" s="209"/>
      <c r="AW172" s="209"/>
      <c r="AX172" s="209"/>
      <c r="AY172" s="209"/>
      <c r="AZ172" s="209"/>
      <c r="BA172" s="209"/>
      <c r="BB172" s="209"/>
      <c r="BC172" s="209"/>
      <c r="BD172" s="209"/>
      <c r="BE172" s="209"/>
      <c r="BF172" s="209"/>
      <c r="BG172" s="209"/>
    </row>
    <row r="173" spans="2:59" ht="15" customHeight="1" x14ac:dyDescent="0.2">
      <c r="B173" s="207"/>
      <c r="C173" s="207"/>
      <c r="D173" s="207"/>
      <c r="E173" s="207"/>
      <c r="F173" s="207"/>
      <c r="G173" s="207"/>
      <c r="H173" s="207"/>
      <c r="I173" s="207"/>
      <c r="J173" s="207"/>
      <c r="K173" s="207"/>
      <c r="L173" s="207"/>
      <c r="M173" s="207"/>
      <c r="N173" s="207"/>
      <c r="O173" s="207"/>
      <c r="P173" s="207"/>
      <c r="Q173" s="207"/>
      <c r="R173" s="207"/>
      <c r="S173" s="207"/>
      <c r="T173" s="228"/>
      <c r="U173" s="228"/>
      <c r="V173" s="228"/>
      <c r="AS173" s="209"/>
      <c r="AT173" s="209"/>
      <c r="AU173" s="209"/>
      <c r="AV173" s="209"/>
      <c r="AW173" s="209"/>
      <c r="AX173" s="209"/>
      <c r="AY173" s="209"/>
      <c r="AZ173" s="209"/>
      <c r="BA173" s="209"/>
      <c r="BB173" s="209"/>
      <c r="BC173" s="209"/>
      <c r="BD173" s="209"/>
      <c r="BE173" s="209"/>
      <c r="BF173" s="209"/>
      <c r="BG173" s="209"/>
    </row>
    <row r="174" spans="2:59" ht="15" customHeight="1" x14ac:dyDescent="0.2">
      <c r="B174" s="207"/>
      <c r="C174" s="207"/>
      <c r="D174" s="207"/>
      <c r="E174" s="207"/>
      <c r="F174" s="207"/>
      <c r="G174" s="207"/>
      <c r="H174" s="207"/>
      <c r="I174" s="207"/>
      <c r="J174" s="207"/>
      <c r="K174" s="207"/>
      <c r="L174" s="207"/>
      <c r="M174" s="207"/>
      <c r="N174" s="207"/>
      <c r="O174" s="207"/>
      <c r="P174" s="207"/>
      <c r="Q174" s="207"/>
      <c r="R174" s="207"/>
      <c r="S174" s="207"/>
      <c r="T174" s="228"/>
      <c r="U174" s="228"/>
      <c r="V174" s="228"/>
      <c r="AS174" s="209"/>
      <c r="AT174" s="209"/>
      <c r="AU174" s="209"/>
      <c r="AV174" s="209"/>
      <c r="AW174" s="209"/>
      <c r="AX174" s="209"/>
      <c r="AY174" s="209"/>
      <c r="AZ174" s="209"/>
      <c r="BA174" s="209"/>
      <c r="BB174" s="209"/>
      <c r="BC174" s="209"/>
      <c r="BD174" s="209"/>
      <c r="BE174" s="209"/>
      <c r="BF174" s="209"/>
      <c r="BG174" s="209"/>
    </row>
    <row r="175" spans="2:59" ht="15" customHeight="1" x14ac:dyDescent="0.2">
      <c r="B175" s="207"/>
      <c r="C175" s="207"/>
      <c r="D175" s="207"/>
      <c r="E175" s="207"/>
      <c r="F175" s="207"/>
      <c r="G175" s="207"/>
      <c r="H175" s="207"/>
      <c r="I175" s="207"/>
      <c r="J175" s="207"/>
      <c r="K175" s="207"/>
      <c r="L175" s="207"/>
      <c r="M175" s="207"/>
      <c r="N175" s="207"/>
      <c r="O175" s="207"/>
      <c r="P175" s="207"/>
      <c r="Q175" s="207"/>
      <c r="R175" s="207"/>
      <c r="S175" s="207"/>
      <c r="T175" s="228"/>
      <c r="U175" s="228"/>
      <c r="V175" s="228"/>
      <c r="AS175" s="209"/>
      <c r="AT175" s="209"/>
      <c r="AU175" s="209"/>
      <c r="AV175" s="209"/>
      <c r="AW175" s="209"/>
      <c r="AX175" s="209"/>
      <c r="AY175" s="209"/>
      <c r="AZ175" s="209"/>
      <c r="BA175" s="209"/>
      <c r="BB175" s="209"/>
      <c r="BC175" s="209"/>
      <c r="BD175" s="209"/>
      <c r="BE175" s="209"/>
      <c r="BF175" s="209"/>
      <c r="BG175" s="209"/>
    </row>
    <row r="176" spans="2:59" ht="15" customHeight="1" x14ac:dyDescent="0.2">
      <c r="B176" s="207"/>
      <c r="C176" s="207"/>
      <c r="D176" s="207"/>
      <c r="E176" s="207"/>
      <c r="F176" s="207"/>
      <c r="G176" s="207"/>
      <c r="H176" s="207"/>
      <c r="I176" s="207"/>
      <c r="J176" s="207"/>
      <c r="K176" s="207"/>
      <c r="L176" s="207"/>
      <c r="M176" s="207"/>
      <c r="N176" s="207"/>
      <c r="O176" s="207"/>
      <c r="P176" s="207"/>
      <c r="Q176" s="207"/>
      <c r="R176" s="207"/>
      <c r="S176" s="207"/>
      <c r="T176" s="228"/>
      <c r="U176" s="228"/>
      <c r="V176" s="228"/>
      <c r="AS176" s="209"/>
      <c r="AT176" s="209"/>
      <c r="AU176" s="209"/>
      <c r="AV176" s="209"/>
      <c r="AW176" s="209"/>
      <c r="AX176" s="209"/>
      <c r="AY176" s="209"/>
      <c r="AZ176" s="209"/>
      <c r="BA176" s="209"/>
      <c r="BB176" s="209"/>
      <c r="BC176" s="209"/>
      <c r="BD176" s="209"/>
      <c r="BE176" s="209"/>
      <c r="BF176" s="209"/>
      <c r="BG176" s="209"/>
    </row>
    <row r="177" spans="2:59" ht="15" customHeight="1" x14ac:dyDescent="0.2">
      <c r="B177" s="207"/>
      <c r="C177" s="207"/>
      <c r="D177" s="207"/>
      <c r="E177" s="207"/>
      <c r="F177" s="207"/>
      <c r="G177" s="207"/>
      <c r="H177" s="207"/>
      <c r="I177" s="207"/>
      <c r="J177" s="207"/>
      <c r="K177" s="207"/>
      <c r="L177" s="207"/>
      <c r="M177" s="207"/>
      <c r="N177" s="207"/>
      <c r="O177" s="207"/>
      <c r="P177" s="207"/>
      <c r="Q177" s="207"/>
      <c r="R177" s="207"/>
      <c r="S177" s="207"/>
      <c r="T177" s="228"/>
      <c r="U177" s="228"/>
      <c r="V177" s="228"/>
      <c r="AS177" s="209"/>
      <c r="AT177" s="209"/>
      <c r="AU177" s="209"/>
      <c r="AV177" s="209"/>
      <c r="AW177" s="209"/>
      <c r="AX177" s="209"/>
      <c r="AY177" s="209"/>
      <c r="AZ177" s="209"/>
      <c r="BA177" s="209"/>
      <c r="BB177" s="209"/>
      <c r="BC177" s="209"/>
      <c r="BD177" s="209"/>
      <c r="BE177" s="209"/>
      <c r="BF177" s="209"/>
      <c r="BG177" s="209"/>
    </row>
    <row r="178" spans="2:59" ht="15" customHeight="1" x14ac:dyDescent="0.2">
      <c r="B178" s="207"/>
      <c r="C178" s="207"/>
      <c r="D178" s="207"/>
      <c r="E178" s="207"/>
      <c r="F178" s="207"/>
      <c r="G178" s="207"/>
      <c r="H178" s="207"/>
      <c r="I178" s="207"/>
      <c r="J178" s="207"/>
      <c r="K178" s="207"/>
      <c r="L178" s="207"/>
      <c r="M178" s="207"/>
      <c r="N178" s="207"/>
      <c r="O178" s="207"/>
      <c r="P178" s="207"/>
      <c r="Q178" s="207"/>
      <c r="R178" s="207"/>
      <c r="S178" s="207"/>
      <c r="T178" s="228"/>
      <c r="U178" s="228"/>
      <c r="V178" s="228"/>
      <c r="AS178" s="209"/>
      <c r="AT178" s="209"/>
      <c r="AU178" s="209"/>
      <c r="AV178" s="209"/>
      <c r="AW178" s="209"/>
      <c r="AX178" s="209"/>
      <c r="AY178" s="209"/>
      <c r="AZ178" s="209"/>
      <c r="BA178" s="209"/>
      <c r="BB178" s="209"/>
      <c r="BC178" s="209"/>
      <c r="BD178" s="209"/>
      <c r="BE178" s="209"/>
      <c r="BF178" s="209"/>
      <c r="BG178" s="209"/>
    </row>
    <row r="179" spans="2:59" ht="15" customHeight="1" x14ac:dyDescent="0.2">
      <c r="B179" s="207"/>
      <c r="C179" s="207"/>
      <c r="D179" s="207"/>
      <c r="E179" s="207"/>
      <c r="F179" s="207"/>
      <c r="G179" s="207"/>
      <c r="H179" s="207"/>
      <c r="I179" s="207"/>
      <c r="J179" s="207"/>
      <c r="K179" s="207"/>
      <c r="L179" s="207"/>
      <c r="M179" s="207"/>
      <c r="N179" s="207"/>
      <c r="O179" s="207"/>
      <c r="P179" s="207"/>
      <c r="Q179" s="207"/>
      <c r="R179" s="207"/>
      <c r="S179" s="207"/>
      <c r="T179" s="228"/>
      <c r="U179" s="228"/>
      <c r="V179" s="228"/>
      <c r="AS179" s="209"/>
      <c r="AT179" s="209"/>
      <c r="AU179" s="209"/>
      <c r="AV179" s="209"/>
      <c r="AW179" s="209"/>
      <c r="AX179" s="209"/>
      <c r="AY179" s="209"/>
      <c r="AZ179" s="209"/>
      <c r="BA179" s="209"/>
      <c r="BB179" s="209"/>
      <c r="BC179" s="209"/>
      <c r="BD179" s="209"/>
      <c r="BE179" s="209"/>
      <c r="BF179" s="209"/>
      <c r="BG179" s="209"/>
    </row>
    <row r="180" spans="2:59" ht="15" customHeight="1" x14ac:dyDescent="0.2">
      <c r="B180" s="207"/>
      <c r="C180" s="207"/>
      <c r="D180" s="207"/>
      <c r="E180" s="207"/>
      <c r="F180" s="207"/>
      <c r="G180" s="207"/>
      <c r="H180" s="207"/>
      <c r="I180" s="207"/>
      <c r="J180" s="207"/>
      <c r="K180" s="207"/>
      <c r="L180" s="207"/>
      <c r="M180" s="207"/>
      <c r="N180" s="207"/>
      <c r="O180" s="207"/>
      <c r="P180" s="207"/>
      <c r="Q180" s="207"/>
      <c r="R180" s="207"/>
      <c r="S180" s="207"/>
      <c r="T180" s="228"/>
      <c r="U180" s="228"/>
      <c r="V180" s="228"/>
      <c r="AS180" s="209"/>
      <c r="AT180" s="209"/>
      <c r="AU180" s="209"/>
      <c r="AV180" s="209"/>
      <c r="AW180" s="209"/>
      <c r="AX180" s="209"/>
      <c r="AY180" s="209"/>
      <c r="AZ180" s="209"/>
      <c r="BA180" s="209"/>
      <c r="BB180" s="209"/>
      <c r="BC180" s="209"/>
      <c r="BD180" s="209"/>
      <c r="BE180" s="209"/>
      <c r="BF180" s="209"/>
      <c r="BG180" s="209"/>
    </row>
    <row r="181" spans="2:59" ht="15" customHeight="1" x14ac:dyDescent="0.2">
      <c r="B181" s="207"/>
      <c r="C181" s="207"/>
      <c r="D181" s="207"/>
      <c r="E181" s="207"/>
      <c r="F181" s="207"/>
      <c r="G181" s="207"/>
      <c r="H181" s="207"/>
      <c r="I181" s="207"/>
      <c r="J181" s="207"/>
      <c r="K181" s="207"/>
      <c r="L181" s="207"/>
      <c r="M181" s="207"/>
      <c r="N181" s="207"/>
      <c r="O181" s="207"/>
      <c r="P181" s="207"/>
      <c r="Q181" s="207"/>
      <c r="R181" s="207"/>
      <c r="S181" s="207"/>
      <c r="T181" s="228"/>
      <c r="U181" s="228"/>
      <c r="V181" s="228"/>
      <c r="AS181" s="209"/>
      <c r="AT181" s="209"/>
      <c r="AU181" s="209"/>
      <c r="AV181" s="209"/>
      <c r="AW181" s="209"/>
      <c r="AX181" s="209"/>
      <c r="AY181" s="209"/>
      <c r="AZ181" s="209"/>
      <c r="BA181" s="209"/>
      <c r="BB181" s="209"/>
      <c r="BC181" s="209"/>
      <c r="BD181" s="209"/>
      <c r="BE181" s="209"/>
      <c r="BF181" s="209"/>
      <c r="BG181" s="209"/>
    </row>
    <row r="182" spans="2:59" ht="15" customHeight="1" x14ac:dyDescent="0.2">
      <c r="B182" s="207"/>
      <c r="C182" s="207"/>
      <c r="D182" s="207"/>
      <c r="E182" s="207"/>
      <c r="F182" s="207"/>
      <c r="G182" s="207"/>
      <c r="H182" s="207"/>
      <c r="I182" s="207"/>
      <c r="J182" s="207"/>
      <c r="K182" s="207"/>
      <c r="L182" s="207"/>
      <c r="M182" s="207"/>
      <c r="N182" s="207"/>
      <c r="O182" s="207"/>
      <c r="P182" s="207"/>
      <c r="Q182" s="207"/>
      <c r="R182" s="207"/>
      <c r="S182" s="207"/>
      <c r="T182" s="228"/>
      <c r="U182" s="228"/>
      <c r="V182" s="228"/>
      <c r="AS182" s="209"/>
      <c r="AT182" s="209"/>
      <c r="AU182" s="209"/>
      <c r="AV182" s="209"/>
      <c r="AW182" s="209"/>
      <c r="AX182" s="209"/>
      <c r="AY182" s="209"/>
      <c r="AZ182" s="209"/>
      <c r="BA182" s="209"/>
      <c r="BB182" s="209"/>
      <c r="BC182" s="209"/>
      <c r="BD182" s="209"/>
      <c r="BE182" s="209"/>
      <c r="BF182" s="209"/>
      <c r="BG182" s="209"/>
    </row>
    <row r="183" spans="2:59" ht="15" customHeight="1" x14ac:dyDescent="0.2">
      <c r="B183" s="207"/>
      <c r="C183" s="207"/>
      <c r="D183" s="207"/>
      <c r="E183" s="207"/>
      <c r="F183" s="207"/>
      <c r="G183" s="207"/>
      <c r="H183" s="207"/>
      <c r="I183" s="207"/>
      <c r="J183" s="207"/>
      <c r="K183" s="207"/>
      <c r="L183" s="207"/>
      <c r="M183" s="207"/>
      <c r="N183" s="207"/>
      <c r="O183" s="207"/>
      <c r="P183" s="207"/>
      <c r="Q183" s="207"/>
      <c r="R183" s="207"/>
      <c r="S183" s="207"/>
      <c r="T183" s="228"/>
      <c r="U183" s="228"/>
      <c r="V183" s="228"/>
      <c r="AS183" s="209"/>
      <c r="AT183" s="209"/>
      <c r="AU183" s="209"/>
      <c r="AV183" s="209"/>
      <c r="AW183" s="209"/>
      <c r="AX183" s="209"/>
      <c r="AY183" s="209"/>
      <c r="AZ183" s="209"/>
      <c r="BA183" s="209"/>
      <c r="BB183" s="209"/>
      <c r="BC183" s="209"/>
      <c r="BD183" s="209"/>
      <c r="BE183" s="209"/>
      <c r="BF183" s="209"/>
      <c r="BG183" s="209"/>
    </row>
    <row r="184" spans="2:59" ht="15" customHeight="1" x14ac:dyDescent="0.2">
      <c r="B184" s="207"/>
      <c r="C184" s="207"/>
      <c r="D184" s="207"/>
      <c r="E184" s="207"/>
      <c r="F184" s="207"/>
      <c r="G184" s="207"/>
      <c r="H184" s="207"/>
      <c r="I184" s="207"/>
      <c r="J184" s="207"/>
      <c r="K184" s="207"/>
      <c r="L184" s="207"/>
      <c r="M184" s="207"/>
      <c r="N184" s="207"/>
      <c r="O184" s="207"/>
      <c r="P184" s="207"/>
      <c r="Q184" s="207"/>
      <c r="R184" s="207"/>
      <c r="S184" s="207"/>
      <c r="T184" s="228"/>
      <c r="U184" s="228"/>
      <c r="V184" s="228"/>
      <c r="AS184" s="209"/>
      <c r="AT184" s="209"/>
      <c r="AU184" s="209"/>
      <c r="AV184" s="209"/>
      <c r="AW184" s="209"/>
      <c r="AX184" s="209"/>
      <c r="AY184" s="209"/>
      <c r="AZ184" s="209"/>
      <c r="BA184" s="209"/>
      <c r="BB184" s="209"/>
      <c r="BC184" s="209"/>
      <c r="BD184" s="209"/>
      <c r="BE184" s="209"/>
      <c r="BF184" s="209"/>
      <c r="BG184" s="209"/>
    </row>
    <row r="185" spans="2:59" ht="15" customHeight="1" x14ac:dyDescent="0.2">
      <c r="B185" s="207"/>
      <c r="C185" s="207"/>
      <c r="D185" s="207"/>
      <c r="E185" s="207"/>
      <c r="F185" s="207"/>
      <c r="G185" s="207"/>
      <c r="H185" s="207"/>
      <c r="I185" s="207"/>
      <c r="J185" s="207"/>
      <c r="K185" s="207"/>
      <c r="L185" s="207"/>
      <c r="M185" s="207"/>
      <c r="N185" s="207"/>
      <c r="O185" s="207"/>
      <c r="P185" s="207"/>
      <c r="Q185" s="207"/>
      <c r="R185" s="207"/>
      <c r="S185" s="207"/>
      <c r="T185" s="228"/>
      <c r="U185" s="228"/>
      <c r="V185" s="228"/>
      <c r="AS185" s="209"/>
      <c r="AT185" s="209"/>
      <c r="AU185" s="209"/>
      <c r="AV185" s="209"/>
      <c r="AW185" s="209"/>
      <c r="AX185" s="209"/>
      <c r="AY185" s="209"/>
      <c r="AZ185" s="209"/>
      <c r="BA185" s="209"/>
      <c r="BB185" s="209"/>
      <c r="BC185" s="209"/>
      <c r="BD185" s="209"/>
      <c r="BE185" s="209"/>
      <c r="BF185" s="209"/>
      <c r="BG185" s="209"/>
    </row>
    <row r="186" spans="2:59" ht="15" customHeight="1" x14ac:dyDescent="0.2">
      <c r="B186" s="207"/>
      <c r="C186" s="207"/>
      <c r="D186" s="207"/>
      <c r="E186" s="207"/>
      <c r="F186" s="207"/>
      <c r="G186" s="207"/>
      <c r="H186" s="207"/>
      <c r="I186" s="207"/>
      <c r="J186" s="207"/>
      <c r="K186" s="207"/>
      <c r="L186" s="207"/>
      <c r="M186" s="207"/>
      <c r="N186" s="207"/>
      <c r="O186" s="207"/>
      <c r="P186" s="207"/>
      <c r="Q186" s="207"/>
      <c r="R186" s="207"/>
      <c r="S186" s="207"/>
      <c r="T186" s="228"/>
      <c r="U186" s="228"/>
      <c r="V186" s="228"/>
      <c r="AS186" s="209"/>
      <c r="AT186" s="209"/>
      <c r="AU186" s="209"/>
      <c r="AV186" s="209"/>
      <c r="AW186" s="209"/>
      <c r="AX186" s="209"/>
      <c r="AY186" s="209"/>
      <c r="AZ186" s="209"/>
      <c r="BA186" s="209"/>
      <c r="BB186" s="209"/>
      <c r="BC186" s="209"/>
      <c r="BD186" s="209"/>
      <c r="BE186" s="209"/>
      <c r="BF186" s="209"/>
      <c r="BG186" s="209"/>
    </row>
    <row r="187" spans="2:59" ht="15" customHeight="1" x14ac:dyDescent="0.2">
      <c r="B187" s="207"/>
      <c r="C187" s="207"/>
      <c r="D187" s="207"/>
      <c r="E187" s="207"/>
      <c r="F187" s="207"/>
      <c r="G187" s="207"/>
      <c r="H187" s="207"/>
      <c r="I187" s="207"/>
      <c r="J187" s="207"/>
      <c r="K187" s="207"/>
      <c r="L187" s="207"/>
      <c r="M187" s="207"/>
      <c r="N187" s="207"/>
      <c r="O187" s="207"/>
      <c r="P187" s="207"/>
      <c r="Q187" s="207"/>
      <c r="R187" s="207"/>
      <c r="S187" s="207"/>
      <c r="T187" s="228"/>
      <c r="U187" s="228"/>
      <c r="V187" s="228"/>
      <c r="AS187" s="209"/>
      <c r="AT187" s="209"/>
      <c r="AU187" s="209"/>
      <c r="AV187" s="209"/>
      <c r="AW187" s="209"/>
      <c r="AX187" s="209"/>
      <c r="AY187" s="209"/>
      <c r="AZ187" s="209"/>
      <c r="BA187" s="209"/>
      <c r="BB187" s="209"/>
      <c r="BC187" s="209"/>
      <c r="BD187" s="209"/>
      <c r="BE187" s="209"/>
      <c r="BF187" s="209"/>
      <c r="BG187" s="209"/>
    </row>
    <row r="188" spans="2:59" ht="15" customHeight="1" x14ac:dyDescent="0.2">
      <c r="B188" s="207"/>
      <c r="C188" s="207"/>
      <c r="D188" s="207"/>
      <c r="E188" s="207"/>
      <c r="F188" s="207"/>
      <c r="G188" s="207"/>
      <c r="H188" s="207"/>
      <c r="I188" s="207"/>
      <c r="J188" s="207"/>
      <c r="K188" s="207"/>
      <c r="L188" s="207"/>
      <c r="M188" s="207"/>
      <c r="N188" s="207"/>
      <c r="O188" s="207"/>
      <c r="P188" s="207"/>
      <c r="Q188" s="207"/>
      <c r="R188" s="207"/>
      <c r="S188" s="207"/>
      <c r="T188" s="228"/>
      <c r="U188" s="228"/>
      <c r="V188" s="228"/>
      <c r="AS188" s="209"/>
      <c r="AT188" s="209"/>
      <c r="AU188" s="209"/>
      <c r="AV188" s="209"/>
      <c r="AW188" s="209"/>
      <c r="AX188" s="209"/>
      <c r="AY188" s="209"/>
      <c r="AZ188" s="209"/>
      <c r="BA188" s="209"/>
      <c r="BB188" s="209"/>
      <c r="BC188" s="209"/>
      <c r="BD188" s="209"/>
      <c r="BE188" s="209"/>
      <c r="BF188" s="209"/>
      <c r="BG188" s="209"/>
    </row>
    <row r="189" spans="2:59" ht="15" customHeight="1" x14ac:dyDescent="0.2">
      <c r="B189" s="207"/>
      <c r="C189" s="207"/>
      <c r="D189" s="207"/>
      <c r="E189" s="207"/>
      <c r="F189" s="207"/>
      <c r="G189" s="207"/>
      <c r="H189" s="207"/>
      <c r="I189" s="207"/>
      <c r="J189" s="207"/>
      <c r="K189" s="207"/>
      <c r="L189" s="207"/>
      <c r="M189" s="207"/>
      <c r="N189" s="207"/>
      <c r="O189" s="207"/>
      <c r="P189" s="207"/>
      <c r="Q189" s="207"/>
      <c r="R189" s="207"/>
      <c r="S189" s="207"/>
      <c r="T189" s="228"/>
      <c r="U189" s="228"/>
      <c r="V189" s="228"/>
      <c r="AS189" s="209"/>
      <c r="AT189" s="209"/>
      <c r="AU189" s="209"/>
      <c r="AV189" s="209"/>
      <c r="AW189" s="209"/>
      <c r="AX189" s="209"/>
      <c r="AY189" s="209"/>
      <c r="AZ189" s="209"/>
      <c r="BA189" s="209"/>
      <c r="BB189" s="209"/>
      <c r="BC189" s="209"/>
      <c r="BD189" s="209"/>
      <c r="BE189" s="209"/>
      <c r="BF189" s="209"/>
      <c r="BG189" s="209"/>
    </row>
    <row r="190" spans="2:59" ht="15" customHeight="1" x14ac:dyDescent="0.2">
      <c r="B190" s="207"/>
      <c r="C190" s="207"/>
      <c r="D190" s="207"/>
      <c r="E190" s="207"/>
      <c r="F190" s="207"/>
      <c r="G190" s="207"/>
      <c r="H190" s="207"/>
      <c r="I190" s="207"/>
      <c r="J190" s="207"/>
      <c r="K190" s="207"/>
      <c r="L190" s="207"/>
      <c r="M190" s="207"/>
      <c r="N190" s="207"/>
      <c r="O190" s="207"/>
      <c r="P190" s="207"/>
      <c r="Q190" s="207"/>
      <c r="R190" s="207"/>
      <c r="S190" s="207"/>
      <c r="T190" s="228"/>
      <c r="U190" s="228"/>
      <c r="V190" s="228"/>
      <c r="AS190" s="209"/>
      <c r="AT190" s="209"/>
      <c r="AU190" s="209"/>
      <c r="AV190" s="209"/>
      <c r="AW190" s="209"/>
      <c r="AX190" s="209"/>
      <c r="AY190" s="209"/>
      <c r="AZ190" s="209"/>
      <c r="BA190" s="209"/>
      <c r="BB190" s="209"/>
      <c r="BC190" s="209"/>
      <c r="BD190" s="209"/>
      <c r="BE190" s="209"/>
      <c r="BF190" s="209"/>
      <c r="BG190" s="209"/>
    </row>
    <row r="191" spans="2:59" ht="15" customHeight="1" x14ac:dyDescent="0.2">
      <c r="B191" s="207"/>
      <c r="C191" s="207"/>
      <c r="D191" s="207"/>
      <c r="E191" s="207"/>
      <c r="F191" s="207"/>
      <c r="G191" s="207"/>
      <c r="H191" s="207"/>
      <c r="I191" s="207"/>
      <c r="J191" s="207"/>
      <c r="K191" s="207"/>
      <c r="L191" s="207"/>
      <c r="M191" s="207"/>
      <c r="N191" s="207"/>
      <c r="O191" s="207"/>
      <c r="P191" s="207"/>
      <c r="Q191" s="207"/>
      <c r="R191" s="207"/>
      <c r="S191" s="207"/>
      <c r="T191" s="228"/>
      <c r="U191" s="228"/>
      <c r="V191" s="228"/>
      <c r="AS191" s="209"/>
      <c r="AT191" s="209"/>
      <c r="AU191" s="209"/>
      <c r="AV191" s="209"/>
      <c r="AW191" s="209"/>
      <c r="AX191" s="209"/>
      <c r="AY191" s="209"/>
      <c r="AZ191" s="209"/>
      <c r="BA191" s="209"/>
      <c r="BB191" s="209"/>
      <c r="BC191" s="209"/>
      <c r="BD191" s="209"/>
      <c r="BE191" s="209"/>
      <c r="BF191" s="209"/>
      <c r="BG191" s="209"/>
    </row>
    <row r="192" spans="2:59" ht="15" customHeight="1" x14ac:dyDescent="0.2">
      <c r="B192" s="207"/>
      <c r="C192" s="207"/>
      <c r="D192" s="207"/>
      <c r="E192" s="207"/>
      <c r="F192" s="207"/>
      <c r="G192" s="207"/>
      <c r="H192" s="207"/>
      <c r="I192" s="207"/>
      <c r="J192" s="207"/>
      <c r="K192" s="207"/>
      <c r="L192" s="207"/>
      <c r="M192" s="207"/>
      <c r="N192" s="207"/>
      <c r="O192" s="207"/>
      <c r="P192" s="207"/>
      <c r="Q192" s="207"/>
      <c r="R192" s="207"/>
      <c r="S192" s="207"/>
      <c r="T192" s="228"/>
      <c r="U192" s="228"/>
      <c r="V192" s="228"/>
      <c r="AS192" s="209"/>
      <c r="AT192" s="209"/>
      <c r="AU192" s="209"/>
      <c r="AV192" s="209"/>
      <c r="AW192" s="209"/>
      <c r="AX192" s="209"/>
      <c r="AY192" s="209"/>
      <c r="AZ192" s="209"/>
      <c r="BA192" s="209"/>
      <c r="BB192" s="209"/>
      <c r="BC192" s="209"/>
      <c r="BD192" s="209"/>
      <c r="BE192" s="209"/>
      <c r="BF192" s="209"/>
      <c r="BG192" s="209"/>
    </row>
    <row r="193" spans="2:59" ht="15" customHeight="1" x14ac:dyDescent="0.2">
      <c r="B193" s="207"/>
      <c r="C193" s="207"/>
      <c r="D193" s="207"/>
      <c r="E193" s="207"/>
      <c r="F193" s="207"/>
      <c r="G193" s="207"/>
      <c r="H193" s="207"/>
      <c r="I193" s="207"/>
      <c r="J193" s="207"/>
      <c r="K193" s="207"/>
      <c r="L193" s="207"/>
      <c r="M193" s="207"/>
      <c r="N193" s="207"/>
      <c r="O193" s="207"/>
      <c r="P193" s="207"/>
      <c r="Q193" s="207"/>
      <c r="R193" s="207"/>
      <c r="S193" s="207"/>
      <c r="T193" s="228"/>
      <c r="U193" s="228"/>
      <c r="V193" s="228"/>
      <c r="AS193" s="209"/>
      <c r="AT193" s="209"/>
      <c r="AU193" s="209"/>
      <c r="AV193" s="209"/>
      <c r="AW193" s="209"/>
      <c r="AX193" s="209"/>
      <c r="AY193" s="209"/>
      <c r="AZ193" s="209"/>
      <c r="BA193" s="209"/>
      <c r="BB193" s="209"/>
      <c r="BC193" s="209"/>
      <c r="BD193" s="209"/>
      <c r="BE193" s="209"/>
      <c r="BF193" s="209"/>
      <c r="BG193" s="209"/>
    </row>
    <row r="194" spans="2:59" ht="15" customHeight="1" x14ac:dyDescent="0.2">
      <c r="B194" s="207"/>
      <c r="C194" s="207"/>
      <c r="D194" s="207"/>
      <c r="E194" s="207"/>
      <c r="F194" s="207"/>
      <c r="G194" s="207"/>
      <c r="H194" s="207"/>
      <c r="I194" s="207"/>
      <c r="J194" s="207"/>
      <c r="K194" s="207"/>
      <c r="L194" s="207"/>
      <c r="M194" s="207"/>
      <c r="N194" s="207"/>
      <c r="O194" s="207"/>
      <c r="P194" s="207"/>
      <c r="Q194" s="207"/>
      <c r="R194" s="207"/>
      <c r="S194" s="207"/>
      <c r="T194" s="228"/>
      <c r="U194" s="228"/>
      <c r="V194" s="228"/>
      <c r="AS194" s="209"/>
      <c r="AT194" s="209"/>
      <c r="AU194" s="209"/>
      <c r="AV194" s="209"/>
      <c r="AW194" s="209"/>
      <c r="AX194" s="209"/>
      <c r="AY194" s="209"/>
      <c r="AZ194" s="209"/>
      <c r="BA194" s="209"/>
      <c r="BB194" s="209"/>
      <c r="BC194" s="209"/>
      <c r="BD194" s="209"/>
      <c r="BE194" s="209"/>
      <c r="BF194" s="209"/>
      <c r="BG194" s="209"/>
    </row>
    <row r="195" spans="2:59" ht="15" customHeight="1" x14ac:dyDescent="0.2">
      <c r="B195" s="207"/>
      <c r="C195" s="207"/>
      <c r="D195" s="207"/>
      <c r="E195" s="207"/>
      <c r="F195" s="207"/>
      <c r="G195" s="207"/>
      <c r="H195" s="207"/>
      <c r="I195" s="207"/>
      <c r="J195" s="207"/>
      <c r="K195" s="207"/>
      <c r="L195" s="207"/>
      <c r="M195" s="207"/>
      <c r="N195" s="207"/>
      <c r="O195" s="207"/>
      <c r="P195" s="207"/>
      <c r="Q195" s="207"/>
      <c r="R195" s="207"/>
      <c r="S195" s="207"/>
      <c r="T195" s="228"/>
      <c r="U195" s="228"/>
      <c r="V195" s="228"/>
      <c r="AS195" s="209"/>
      <c r="AT195" s="209"/>
      <c r="AU195" s="209"/>
      <c r="AV195" s="209"/>
      <c r="AW195" s="209"/>
      <c r="AX195" s="209"/>
      <c r="AY195" s="209"/>
      <c r="AZ195" s="209"/>
      <c r="BA195" s="209"/>
      <c r="BB195" s="209"/>
      <c r="BC195" s="209"/>
      <c r="BD195" s="209"/>
      <c r="BE195" s="209"/>
      <c r="BF195" s="209"/>
      <c r="BG195" s="209"/>
    </row>
    <row r="196" spans="2:59" ht="15" customHeight="1" x14ac:dyDescent="0.2">
      <c r="B196" s="207"/>
      <c r="C196" s="207"/>
      <c r="D196" s="207"/>
      <c r="E196" s="207"/>
      <c r="F196" s="207"/>
      <c r="G196" s="207"/>
      <c r="H196" s="207"/>
      <c r="I196" s="207"/>
      <c r="J196" s="207"/>
      <c r="K196" s="207"/>
      <c r="L196" s="207"/>
      <c r="M196" s="207"/>
      <c r="N196" s="207"/>
      <c r="O196" s="207"/>
      <c r="P196" s="207"/>
      <c r="Q196" s="207"/>
      <c r="R196" s="207"/>
      <c r="S196" s="207"/>
      <c r="T196" s="228"/>
      <c r="U196" s="228"/>
      <c r="V196" s="228"/>
      <c r="AS196" s="209"/>
      <c r="AT196" s="209"/>
      <c r="AU196" s="209"/>
      <c r="AV196" s="209"/>
      <c r="AW196" s="209"/>
      <c r="AX196" s="209"/>
      <c r="AY196" s="209"/>
      <c r="AZ196" s="209"/>
      <c r="BA196" s="209"/>
      <c r="BB196" s="209"/>
      <c r="BC196" s="209"/>
      <c r="BD196" s="209"/>
      <c r="BE196" s="209"/>
      <c r="BF196" s="209"/>
      <c r="BG196" s="209"/>
    </row>
    <row r="197" spans="2:59" ht="15" customHeight="1" x14ac:dyDescent="0.2">
      <c r="B197" s="207"/>
      <c r="C197" s="207"/>
      <c r="D197" s="207"/>
      <c r="E197" s="207"/>
      <c r="F197" s="207"/>
      <c r="G197" s="207"/>
      <c r="H197" s="207"/>
      <c r="I197" s="207"/>
      <c r="J197" s="207"/>
      <c r="K197" s="207"/>
      <c r="L197" s="207"/>
      <c r="M197" s="207"/>
      <c r="N197" s="207"/>
      <c r="O197" s="207"/>
      <c r="P197" s="207"/>
      <c r="Q197" s="207"/>
      <c r="R197" s="207"/>
      <c r="S197" s="207"/>
      <c r="T197" s="228"/>
      <c r="U197" s="228"/>
      <c r="V197" s="228"/>
      <c r="AS197" s="209"/>
      <c r="AT197" s="209"/>
      <c r="AU197" s="209"/>
      <c r="AV197" s="209"/>
      <c r="AW197" s="209"/>
      <c r="AX197" s="209"/>
      <c r="AY197" s="209"/>
      <c r="AZ197" s="209"/>
      <c r="BA197" s="209"/>
      <c r="BB197" s="209"/>
      <c r="BC197" s="209"/>
      <c r="BD197" s="209"/>
      <c r="BE197" s="209"/>
      <c r="BF197" s="209"/>
      <c r="BG197" s="209"/>
    </row>
    <row r="198" spans="2:59" ht="15" customHeight="1" x14ac:dyDescent="0.2">
      <c r="B198" s="207"/>
      <c r="C198" s="207"/>
      <c r="D198" s="207"/>
      <c r="E198" s="207"/>
      <c r="F198" s="207"/>
      <c r="G198" s="207"/>
      <c r="H198" s="207"/>
      <c r="I198" s="207"/>
      <c r="J198" s="207"/>
      <c r="K198" s="207"/>
      <c r="L198" s="207"/>
      <c r="M198" s="207"/>
      <c r="N198" s="207"/>
      <c r="O198" s="207"/>
      <c r="P198" s="207"/>
      <c r="Q198" s="207"/>
      <c r="R198" s="207"/>
      <c r="S198" s="207"/>
      <c r="T198" s="228"/>
      <c r="U198" s="228"/>
      <c r="V198" s="228"/>
      <c r="AS198" s="209"/>
      <c r="AT198" s="209"/>
      <c r="AU198" s="209"/>
      <c r="AV198" s="209"/>
      <c r="AW198" s="209"/>
      <c r="AX198" s="209"/>
      <c r="AY198" s="209"/>
      <c r="AZ198" s="209"/>
      <c r="BA198" s="209"/>
      <c r="BB198" s="209"/>
      <c r="BC198" s="209"/>
      <c r="BD198" s="209"/>
      <c r="BE198" s="209"/>
      <c r="BF198" s="209"/>
      <c r="BG198" s="209"/>
    </row>
    <row r="199" spans="2:59" ht="15" customHeight="1" x14ac:dyDescent="0.2">
      <c r="B199" s="207"/>
      <c r="C199" s="207"/>
      <c r="D199" s="207"/>
      <c r="E199" s="207"/>
      <c r="F199" s="207"/>
      <c r="G199" s="207"/>
      <c r="H199" s="207"/>
      <c r="I199" s="207"/>
      <c r="J199" s="207"/>
      <c r="K199" s="207"/>
      <c r="L199" s="207"/>
      <c r="M199" s="207"/>
      <c r="N199" s="207"/>
      <c r="O199" s="207"/>
      <c r="P199" s="207"/>
      <c r="Q199" s="207"/>
      <c r="R199" s="207"/>
      <c r="S199" s="207"/>
      <c r="T199" s="228"/>
      <c r="U199" s="228"/>
      <c r="V199" s="228"/>
      <c r="AS199" s="209"/>
      <c r="AT199" s="209"/>
      <c r="AU199" s="209"/>
      <c r="AV199" s="209"/>
      <c r="AW199" s="209"/>
      <c r="AX199" s="209"/>
      <c r="AY199" s="209"/>
      <c r="AZ199" s="209"/>
      <c r="BA199" s="209"/>
      <c r="BB199" s="209"/>
      <c r="BC199" s="209"/>
      <c r="BD199" s="209"/>
      <c r="BE199" s="209"/>
      <c r="BF199" s="209"/>
      <c r="BG199" s="209"/>
    </row>
    <row r="200" spans="2:59" ht="15" customHeight="1" x14ac:dyDescent="0.2">
      <c r="B200" s="207"/>
      <c r="C200" s="207"/>
      <c r="D200" s="207"/>
      <c r="E200" s="207"/>
      <c r="F200" s="207"/>
      <c r="G200" s="207"/>
      <c r="H200" s="207"/>
      <c r="I200" s="207"/>
      <c r="J200" s="207"/>
      <c r="K200" s="207"/>
      <c r="L200" s="207"/>
      <c r="M200" s="207"/>
      <c r="N200" s="207"/>
      <c r="O200" s="207"/>
      <c r="P200" s="207"/>
      <c r="Q200" s="207"/>
      <c r="R200" s="207"/>
      <c r="S200" s="207"/>
      <c r="T200" s="228"/>
      <c r="U200" s="228"/>
      <c r="V200" s="228"/>
      <c r="AS200" s="209"/>
      <c r="AT200" s="209"/>
      <c r="AU200" s="209"/>
      <c r="AV200" s="209"/>
      <c r="AW200" s="209"/>
      <c r="AX200" s="209"/>
      <c r="AY200" s="209"/>
      <c r="AZ200" s="209"/>
      <c r="BA200" s="209"/>
      <c r="BB200" s="209"/>
      <c r="BC200" s="209"/>
      <c r="BD200" s="209"/>
      <c r="BE200" s="209"/>
      <c r="BF200" s="209"/>
      <c r="BG200" s="209"/>
    </row>
    <row r="201" spans="2:59" ht="15" customHeight="1" x14ac:dyDescent="0.2">
      <c r="B201" s="207"/>
      <c r="C201" s="207"/>
      <c r="D201" s="207"/>
      <c r="E201" s="207"/>
      <c r="F201" s="207"/>
      <c r="G201" s="207"/>
      <c r="H201" s="207"/>
      <c r="I201" s="207"/>
      <c r="J201" s="207"/>
      <c r="K201" s="207"/>
      <c r="L201" s="207"/>
      <c r="M201" s="207"/>
      <c r="N201" s="207"/>
      <c r="O201" s="207"/>
      <c r="P201" s="207"/>
      <c r="Q201" s="207"/>
      <c r="R201" s="207"/>
      <c r="S201" s="207"/>
      <c r="T201" s="228"/>
      <c r="U201" s="228"/>
      <c r="V201" s="228"/>
      <c r="AS201" s="209"/>
      <c r="AT201" s="209"/>
      <c r="AU201" s="209"/>
      <c r="AV201" s="209"/>
      <c r="AW201" s="209"/>
      <c r="AX201" s="209"/>
      <c r="AY201" s="209"/>
      <c r="AZ201" s="209"/>
      <c r="BA201" s="209"/>
      <c r="BB201" s="209"/>
      <c r="BC201" s="209"/>
      <c r="BD201" s="209"/>
      <c r="BE201" s="209"/>
      <c r="BF201" s="209"/>
      <c r="BG201" s="209"/>
    </row>
    <row r="202" spans="2:59" ht="15" customHeight="1" x14ac:dyDescent="0.2">
      <c r="B202" s="207"/>
      <c r="C202" s="207"/>
      <c r="D202" s="207"/>
      <c r="E202" s="207"/>
      <c r="F202" s="207"/>
      <c r="G202" s="207"/>
      <c r="H202" s="207"/>
      <c r="I202" s="207"/>
      <c r="J202" s="207"/>
      <c r="K202" s="207"/>
      <c r="L202" s="207"/>
      <c r="M202" s="207"/>
      <c r="N202" s="207"/>
      <c r="O202" s="207"/>
      <c r="P202" s="207"/>
      <c r="Q202" s="207"/>
      <c r="R202" s="207"/>
      <c r="S202" s="207"/>
      <c r="T202" s="228"/>
      <c r="U202" s="228"/>
      <c r="V202" s="228"/>
      <c r="AS202" s="209"/>
      <c r="AT202" s="209"/>
      <c r="AU202" s="209"/>
      <c r="AV202" s="209"/>
      <c r="AW202" s="209"/>
      <c r="AX202" s="209"/>
      <c r="AY202" s="209"/>
      <c r="AZ202" s="209"/>
      <c r="BA202" s="209"/>
      <c r="BB202" s="209"/>
      <c r="BC202" s="209"/>
      <c r="BD202" s="209"/>
      <c r="BE202" s="209"/>
      <c r="BF202" s="209"/>
      <c r="BG202" s="209"/>
    </row>
    <row r="203" spans="2:59" ht="15" customHeight="1" x14ac:dyDescent="0.2">
      <c r="B203" s="207"/>
      <c r="C203" s="207"/>
      <c r="D203" s="207"/>
      <c r="E203" s="207"/>
      <c r="F203" s="207"/>
      <c r="G203" s="207"/>
      <c r="H203" s="207"/>
      <c r="I203" s="207"/>
      <c r="J203" s="207"/>
      <c r="K203" s="207"/>
      <c r="L203" s="207"/>
      <c r="M203" s="207"/>
      <c r="N203" s="207"/>
      <c r="O203" s="207"/>
      <c r="P203" s="207"/>
      <c r="Q203" s="207"/>
      <c r="R203" s="207"/>
      <c r="S203" s="207"/>
      <c r="T203" s="228"/>
      <c r="U203" s="228"/>
      <c r="V203" s="228"/>
      <c r="AS203" s="209"/>
      <c r="AT203" s="209"/>
      <c r="AU203" s="209"/>
      <c r="AV203" s="209"/>
      <c r="AW203" s="209"/>
      <c r="AX203" s="209"/>
      <c r="AY203" s="209"/>
      <c r="AZ203" s="209"/>
      <c r="BA203" s="209"/>
      <c r="BB203" s="209"/>
      <c r="BC203" s="209"/>
      <c r="BD203" s="209"/>
      <c r="BE203" s="209"/>
      <c r="BF203" s="209"/>
      <c r="BG203" s="209"/>
    </row>
    <row r="204" spans="2:59" ht="15" customHeight="1" x14ac:dyDescent="0.2">
      <c r="B204" s="207"/>
      <c r="C204" s="207"/>
      <c r="D204" s="207"/>
      <c r="E204" s="207"/>
      <c r="F204" s="207"/>
      <c r="G204" s="207"/>
      <c r="H204" s="207"/>
      <c r="I204" s="207"/>
      <c r="J204" s="207"/>
      <c r="K204" s="207"/>
      <c r="L204" s="207"/>
      <c r="M204" s="207"/>
      <c r="N204" s="207"/>
      <c r="O204" s="207"/>
      <c r="P204" s="207"/>
      <c r="Q204" s="207"/>
      <c r="R204" s="207"/>
      <c r="S204" s="207"/>
      <c r="T204" s="228"/>
      <c r="U204" s="228"/>
      <c r="V204" s="228"/>
      <c r="AS204" s="209"/>
      <c r="AT204" s="209"/>
      <c r="AU204" s="209"/>
      <c r="AV204" s="209"/>
      <c r="AW204" s="209"/>
      <c r="AX204" s="209"/>
      <c r="AY204" s="209"/>
      <c r="AZ204" s="209"/>
      <c r="BA204" s="209"/>
      <c r="BB204" s="209"/>
      <c r="BC204" s="209"/>
      <c r="BD204" s="209"/>
      <c r="BE204" s="209"/>
      <c r="BF204" s="209"/>
      <c r="BG204" s="209"/>
    </row>
    <row r="205" spans="2:59" ht="15" customHeight="1" x14ac:dyDescent="0.2">
      <c r="B205" s="207"/>
      <c r="C205" s="207"/>
      <c r="D205" s="207"/>
      <c r="E205" s="207"/>
      <c r="F205" s="207"/>
      <c r="G205" s="207"/>
      <c r="H205" s="207"/>
      <c r="I205" s="207"/>
      <c r="J205" s="207"/>
      <c r="K205" s="207"/>
      <c r="L205" s="207"/>
      <c r="M205" s="207"/>
      <c r="N205" s="207"/>
      <c r="O205" s="207"/>
      <c r="P205" s="207"/>
      <c r="Q205" s="207"/>
      <c r="R205" s="207"/>
      <c r="S205" s="207"/>
      <c r="T205" s="228"/>
      <c r="U205" s="228"/>
      <c r="V205" s="228"/>
      <c r="AS205" s="209"/>
      <c r="AT205" s="209"/>
      <c r="AU205" s="209"/>
      <c r="AV205" s="209"/>
      <c r="AW205" s="209"/>
      <c r="AX205" s="209"/>
      <c r="AY205" s="209"/>
      <c r="AZ205" s="209"/>
      <c r="BA205" s="209"/>
      <c r="BB205" s="209"/>
      <c r="BC205" s="209"/>
      <c r="BD205" s="209"/>
      <c r="BE205" s="209"/>
      <c r="BF205" s="209"/>
      <c r="BG205" s="209"/>
    </row>
    <row r="206" spans="2:59" ht="15" customHeight="1" x14ac:dyDescent="0.2">
      <c r="B206" s="207"/>
      <c r="C206" s="207"/>
      <c r="D206" s="207"/>
      <c r="E206" s="207"/>
      <c r="F206" s="207"/>
      <c r="G206" s="207"/>
      <c r="H206" s="207"/>
      <c r="I206" s="207"/>
      <c r="J206" s="207"/>
      <c r="K206" s="207"/>
      <c r="L206" s="207"/>
      <c r="M206" s="207"/>
      <c r="N206" s="207"/>
      <c r="O206" s="207"/>
      <c r="P206" s="207"/>
      <c r="Q206" s="207"/>
      <c r="R206" s="207"/>
      <c r="S206" s="207"/>
      <c r="T206" s="228"/>
      <c r="U206" s="228"/>
      <c r="V206" s="228"/>
      <c r="AS206" s="209"/>
      <c r="AT206" s="209"/>
      <c r="AU206" s="209"/>
      <c r="AV206" s="209"/>
      <c r="AW206" s="209"/>
      <c r="AX206" s="209"/>
      <c r="AY206" s="209"/>
      <c r="AZ206" s="209"/>
      <c r="BA206" s="209"/>
      <c r="BB206" s="209"/>
      <c r="BC206" s="209"/>
      <c r="BD206" s="209"/>
      <c r="BE206" s="209"/>
      <c r="BF206" s="209"/>
      <c r="BG206" s="209"/>
    </row>
    <row r="207" spans="2:59" ht="15" customHeight="1" x14ac:dyDescent="0.2">
      <c r="B207" s="207"/>
      <c r="C207" s="207"/>
      <c r="D207" s="207"/>
      <c r="E207" s="207"/>
      <c r="F207" s="207"/>
      <c r="G207" s="207"/>
      <c r="H207" s="207"/>
      <c r="I207" s="207"/>
      <c r="J207" s="207"/>
      <c r="K207" s="207"/>
      <c r="L207" s="207"/>
      <c r="M207" s="207"/>
      <c r="N207" s="207"/>
      <c r="O207" s="207"/>
      <c r="P207" s="207"/>
      <c r="Q207" s="207"/>
      <c r="R207" s="207"/>
      <c r="S207" s="207"/>
      <c r="T207" s="228"/>
      <c r="U207" s="228"/>
      <c r="V207" s="228"/>
      <c r="AS207" s="209"/>
      <c r="AT207" s="209"/>
      <c r="AU207" s="209"/>
      <c r="AV207" s="209"/>
      <c r="AW207" s="209"/>
      <c r="AX207" s="209"/>
      <c r="AY207" s="209"/>
      <c r="AZ207" s="209"/>
      <c r="BA207" s="209"/>
      <c r="BB207" s="209"/>
      <c r="BC207" s="209"/>
      <c r="BD207" s="209"/>
      <c r="BE207" s="209"/>
      <c r="BF207" s="209"/>
      <c r="BG207" s="209"/>
    </row>
    <row r="208" spans="2:59" ht="15" customHeight="1" x14ac:dyDescent="0.2">
      <c r="B208" s="207"/>
      <c r="C208" s="207"/>
      <c r="D208" s="207"/>
      <c r="E208" s="207"/>
      <c r="F208" s="207"/>
      <c r="G208" s="207"/>
      <c r="H208" s="207"/>
      <c r="I208" s="207"/>
      <c r="J208" s="207"/>
      <c r="K208" s="207"/>
      <c r="L208" s="207"/>
      <c r="M208" s="207"/>
      <c r="N208" s="207"/>
      <c r="O208" s="207"/>
      <c r="P208" s="207"/>
      <c r="Q208" s="207"/>
      <c r="R208" s="207"/>
      <c r="S208" s="207"/>
      <c r="T208" s="228"/>
      <c r="U208" s="228"/>
      <c r="V208" s="228"/>
      <c r="AS208" s="209"/>
      <c r="AT208" s="209"/>
      <c r="AU208" s="209"/>
      <c r="AV208" s="209"/>
      <c r="AW208" s="209"/>
      <c r="AX208" s="209"/>
      <c r="AY208" s="209"/>
      <c r="AZ208" s="209"/>
      <c r="BA208" s="209"/>
      <c r="BB208" s="209"/>
      <c r="BC208" s="209"/>
      <c r="BD208" s="209"/>
      <c r="BE208" s="209"/>
      <c r="BF208" s="209"/>
      <c r="BG208" s="209"/>
    </row>
    <row r="209" spans="2:59" ht="15" customHeight="1" x14ac:dyDescent="0.2">
      <c r="B209" s="207"/>
      <c r="C209" s="207"/>
      <c r="D209" s="207"/>
      <c r="E209" s="207"/>
      <c r="F209" s="207"/>
      <c r="G209" s="207"/>
      <c r="H209" s="207"/>
      <c r="I209" s="207"/>
      <c r="J209" s="207"/>
      <c r="K209" s="207"/>
      <c r="L209" s="207"/>
      <c r="M209" s="207"/>
      <c r="N209" s="207"/>
      <c r="O209" s="207"/>
      <c r="P209" s="207"/>
      <c r="Q209" s="207"/>
      <c r="R209" s="207"/>
      <c r="S209" s="207"/>
      <c r="T209" s="228"/>
      <c r="U209" s="228"/>
      <c r="V209" s="228"/>
      <c r="AS209" s="209"/>
      <c r="AT209" s="209"/>
      <c r="AU209" s="209"/>
      <c r="AV209" s="209"/>
      <c r="AW209" s="209"/>
      <c r="AX209" s="209"/>
      <c r="AY209" s="209"/>
      <c r="AZ209" s="209"/>
      <c r="BA209" s="209"/>
      <c r="BB209" s="209"/>
      <c r="BC209" s="209"/>
      <c r="BD209" s="209"/>
      <c r="BE209" s="209"/>
      <c r="BF209" s="209"/>
      <c r="BG209" s="209"/>
    </row>
    <row r="210" spans="2:59" ht="15" customHeight="1" x14ac:dyDescent="0.2">
      <c r="B210" s="207"/>
      <c r="C210" s="207"/>
      <c r="D210" s="207"/>
      <c r="E210" s="207"/>
      <c r="F210" s="207"/>
      <c r="G210" s="207"/>
      <c r="H210" s="207"/>
      <c r="I210" s="207"/>
      <c r="J210" s="207"/>
      <c r="K210" s="207"/>
      <c r="L210" s="207"/>
      <c r="M210" s="207"/>
      <c r="N210" s="207"/>
      <c r="O210" s="207"/>
      <c r="P210" s="207"/>
      <c r="Q210" s="207"/>
      <c r="R210" s="207"/>
      <c r="S210" s="207"/>
      <c r="T210" s="228"/>
      <c r="U210" s="228"/>
      <c r="V210" s="228"/>
      <c r="AS210" s="209"/>
      <c r="AT210" s="209"/>
      <c r="AU210" s="209"/>
      <c r="AV210" s="209"/>
      <c r="AW210" s="209"/>
      <c r="AX210" s="209"/>
      <c r="AY210" s="209"/>
      <c r="AZ210" s="209"/>
      <c r="BA210" s="209"/>
      <c r="BB210" s="209"/>
      <c r="BC210" s="209"/>
      <c r="BD210" s="209"/>
      <c r="BE210" s="209"/>
      <c r="BF210" s="209"/>
      <c r="BG210" s="209"/>
    </row>
    <row r="211" spans="2:59" ht="15" customHeight="1" x14ac:dyDescent="0.2">
      <c r="B211" s="207"/>
      <c r="C211" s="207"/>
      <c r="D211" s="207"/>
      <c r="E211" s="207"/>
      <c r="F211" s="207"/>
      <c r="G211" s="207"/>
      <c r="H211" s="207"/>
      <c r="I211" s="207"/>
      <c r="J211" s="207"/>
      <c r="K211" s="207"/>
      <c r="L211" s="207"/>
      <c r="M211" s="207"/>
      <c r="N211" s="207"/>
      <c r="O211" s="207"/>
      <c r="P211" s="207"/>
      <c r="Q211" s="207"/>
      <c r="R211" s="207"/>
      <c r="S211" s="207"/>
      <c r="T211" s="228"/>
      <c r="U211" s="228"/>
      <c r="V211" s="228"/>
      <c r="AS211" s="209"/>
      <c r="AT211" s="209"/>
      <c r="AU211" s="209"/>
      <c r="AV211" s="209"/>
      <c r="AW211" s="209"/>
      <c r="AX211" s="209"/>
      <c r="AY211" s="209"/>
      <c r="AZ211" s="209"/>
      <c r="BA211" s="209"/>
      <c r="BB211" s="209"/>
      <c r="BC211" s="209"/>
      <c r="BD211" s="209"/>
      <c r="BE211" s="209"/>
      <c r="BF211" s="209"/>
      <c r="BG211" s="209"/>
    </row>
    <row r="212" spans="2:59" ht="15" customHeight="1" x14ac:dyDescent="0.2">
      <c r="B212" s="207"/>
      <c r="C212" s="207"/>
      <c r="D212" s="207"/>
      <c r="E212" s="207"/>
      <c r="F212" s="207"/>
      <c r="G212" s="207"/>
      <c r="H212" s="207"/>
      <c r="I212" s="207"/>
      <c r="J212" s="207"/>
      <c r="K212" s="207"/>
      <c r="L212" s="207"/>
      <c r="M212" s="207"/>
      <c r="N212" s="207"/>
      <c r="O212" s="207"/>
      <c r="P212" s="207"/>
      <c r="Q212" s="207"/>
      <c r="R212" s="207"/>
      <c r="S212" s="207"/>
      <c r="T212" s="228"/>
      <c r="U212" s="228"/>
      <c r="V212" s="228"/>
      <c r="AS212" s="209"/>
      <c r="AT212" s="209"/>
      <c r="AU212" s="209"/>
      <c r="AV212" s="209"/>
      <c r="AW212" s="209"/>
      <c r="AX212" s="209"/>
      <c r="AY212" s="209"/>
      <c r="AZ212" s="209"/>
      <c r="BA212" s="209"/>
      <c r="BB212" s="209"/>
      <c r="BC212" s="209"/>
      <c r="BD212" s="209"/>
      <c r="BE212" s="209"/>
      <c r="BF212" s="209"/>
      <c r="BG212" s="209"/>
    </row>
    <row r="213" spans="2:59" ht="15" customHeight="1" x14ac:dyDescent="0.2">
      <c r="B213" s="207"/>
      <c r="C213" s="207"/>
      <c r="D213" s="207"/>
      <c r="E213" s="207"/>
      <c r="F213" s="207"/>
      <c r="G213" s="207"/>
      <c r="H213" s="207"/>
      <c r="I213" s="207"/>
      <c r="J213" s="207"/>
      <c r="K213" s="207"/>
      <c r="L213" s="207"/>
      <c r="M213" s="207"/>
      <c r="N213" s="207"/>
      <c r="O213" s="207"/>
      <c r="P213" s="207"/>
      <c r="Q213" s="207"/>
      <c r="R213" s="207"/>
      <c r="S213" s="207"/>
      <c r="T213" s="228"/>
      <c r="U213" s="228"/>
      <c r="V213" s="228"/>
      <c r="AS213" s="209"/>
      <c r="AT213" s="209"/>
      <c r="AU213" s="209"/>
      <c r="AV213" s="209"/>
      <c r="AW213" s="209"/>
      <c r="AX213" s="209"/>
      <c r="AY213" s="209"/>
      <c r="AZ213" s="209"/>
      <c r="BA213" s="209"/>
      <c r="BB213" s="209"/>
      <c r="BC213" s="209"/>
      <c r="BD213" s="209"/>
      <c r="BE213" s="209"/>
      <c r="BF213" s="209"/>
      <c r="BG213" s="209"/>
    </row>
    <row r="214" spans="2:59" ht="15" customHeight="1" x14ac:dyDescent="0.2">
      <c r="B214" s="207"/>
      <c r="C214" s="207"/>
      <c r="D214" s="207"/>
      <c r="E214" s="207"/>
      <c r="F214" s="207"/>
      <c r="G214" s="207"/>
      <c r="H214" s="207"/>
      <c r="I214" s="207"/>
      <c r="J214" s="207"/>
      <c r="K214" s="207"/>
      <c r="L214" s="207"/>
      <c r="M214" s="207"/>
      <c r="N214" s="207"/>
      <c r="O214" s="207"/>
      <c r="P214" s="207"/>
      <c r="Q214" s="207"/>
      <c r="R214" s="207"/>
      <c r="S214" s="207"/>
      <c r="T214" s="228"/>
      <c r="U214" s="228"/>
      <c r="V214" s="228"/>
      <c r="AS214" s="209"/>
      <c r="AT214" s="209"/>
      <c r="AU214" s="209"/>
      <c r="AV214" s="209"/>
      <c r="AW214" s="209"/>
      <c r="AX214" s="209"/>
      <c r="AY214" s="209"/>
      <c r="AZ214" s="209"/>
      <c r="BA214" s="209"/>
      <c r="BB214" s="209"/>
      <c r="BC214" s="209"/>
      <c r="BD214" s="209"/>
      <c r="BE214" s="209"/>
      <c r="BF214" s="209"/>
      <c r="BG214" s="209"/>
    </row>
    <row r="215" spans="2:59" ht="15" customHeight="1" x14ac:dyDescent="0.2">
      <c r="B215" s="207"/>
      <c r="C215" s="207"/>
      <c r="D215" s="207"/>
      <c r="E215" s="207"/>
      <c r="F215" s="207"/>
      <c r="G215" s="207"/>
      <c r="H215" s="207"/>
      <c r="I215" s="207"/>
      <c r="J215" s="207"/>
      <c r="K215" s="207"/>
      <c r="L215" s="207"/>
      <c r="M215" s="207"/>
      <c r="N215" s="207"/>
      <c r="O215" s="207"/>
      <c r="P215" s="207"/>
      <c r="Q215" s="207"/>
      <c r="R215" s="207"/>
      <c r="S215" s="207"/>
      <c r="T215" s="228"/>
      <c r="U215" s="228"/>
      <c r="V215" s="228"/>
      <c r="AS215" s="209"/>
      <c r="AT215" s="209"/>
      <c r="AU215" s="209"/>
      <c r="AV215" s="209"/>
      <c r="AW215" s="209"/>
      <c r="AX215" s="209"/>
      <c r="AY215" s="209"/>
      <c r="AZ215" s="209"/>
      <c r="BA215" s="209"/>
      <c r="BB215" s="209"/>
      <c r="BC215" s="209"/>
      <c r="BD215" s="209"/>
      <c r="BE215" s="209"/>
      <c r="BF215" s="209"/>
      <c r="BG215" s="209"/>
    </row>
    <row r="216" spans="2:59" ht="15" customHeight="1" x14ac:dyDescent="0.2">
      <c r="B216" s="207"/>
      <c r="C216" s="207"/>
      <c r="D216" s="207"/>
      <c r="E216" s="207"/>
      <c r="F216" s="207"/>
      <c r="G216" s="207"/>
      <c r="H216" s="207"/>
      <c r="I216" s="207"/>
      <c r="J216" s="207"/>
      <c r="K216" s="207"/>
      <c r="L216" s="207"/>
      <c r="M216" s="207"/>
      <c r="N216" s="207"/>
      <c r="O216" s="207"/>
      <c r="P216" s="207"/>
      <c r="Q216" s="207"/>
      <c r="R216" s="207"/>
      <c r="S216" s="207"/>
      <c r="T216" s="228"/>
      <c r="U216" s="228"/>
      <c r="V216" s="228"/>
      <c r="AS216" s="209"/>
      <c r="AT216" s="209"/>
      <c r="AU216" s="209"/>
      <c r="AV216" s="209"/>
      <c r="AW216" s="209"/>
      <c r="AX216" s="209"/>
      <c r="AY216" s="209"/>
      <c r="AZ216" s="209"/>
      <c r="BA216" s="209"/>
      <c r="BB216" s="209"/>
      <c r="BC216" s="209"/>
      <c r="BD216" s="209"/>
      <c r="BE216" s="209"/>
      <c r="BF216" s="209"/>
      <c r="BG216" s="209"/>
    </row>
    <row r="217" spans="2:59" ht="15" customHeight="1" x14ac:dyDescent="0.2">
      <c r="B217" s="207"/>
      <c r="C217" s="207"/>
      <c r="D217" s="207"/>
      <c r="E217" s="207"/>
      <c r="F217" s="207"/>
      <c r="G217" s="207"/>
      <c r="H217" s="207"/>
      <c r="I217" s="207"/>
      <c r="J217" s="207"/>
      <c r="K217" s="207"/>
      <c r="L217" s="207"/>
      <c r="M217" s="207"/>
      <c r="N217" s="207"/>
      <c r="O217" s="207"/>
      <c r="P217" s="207"/>
      <c r="Q217" s="207"/>
      <c r="R217" s="207"/>
      <c r="S217" s="207"/>
      <c r="T217" s="228"/>
      <c r="U217" s="228"/>
      <c r="V217" s="228"/>
      <c r="AS217" s="209"/>
      <c r="AT217" s="209"/>
      <c r="AU217" s="209"/>
      <c r="AV217" s="209"/>
      <c r="AW217" s="209"/>
      <c r="AX217" s="209"/>
      <c r="AY217" s="209"/>
      <c r="AZ217" s="209"/>
      <c r="BA217" s="209"/>
      <c r="BB217" s="209"/>
      <c r="BC217" s="209"/>
      <c r="BD217" s="209"/>
      <c r="BE217" s="209"/>
      <c r="BF217" s="209"/>
      <c r="BG217" s="209"/>
    </row>
    <row r="218" spans="2:59" ht="15" customHeight="1" x14ac:dyDescent="0.2">
      <c r="B218" s="207"/>
      <c r="C218" s="207"/>
      <c r="D218" s="207"/>
      <c r="E218" s="207"/>
      <c r="F218" s="207"/>
      <c r="G218" s="207"/>
      <c r="H218" s="207"/>
      <c r="I218" s="207"/>
      <c r="J218" s="207"/>
      <c r="K218" s="207"/>
      <c r="L218" s="207"/>
      <c r="M218" s="207"/>
      <c r="N218" s="207"/>
      <c r="O218" s="207"/>
      <c r="P218" s="207"/>
      <c r="Q218" s="207"/>
      <c r="R218" s="207"/>
      <c r="S218" s="207"/>
      <c r="T218" s="228"/>
      <c r="U218" s="228"/>
      <c r="V218" s="228"/>
      <c r="AS218" s="209"/>
      <c r="AT218" s="209"/>
      <c r="AU218" s="209"/>
      <c r="AV218" s="209"/>
      <c r="AW218" s="209"/>
      <c r="AX218" s="209"/>
      <c r="AY218" s="209"/>
      <c r="AZ218" s="209"/>
      <c r="BA218" s="209"/>
      <c r="BB218" s="209"/>
      <c r="BC218" s="209"/>
      <c r="BD218" s="209"/>
      <c r="BE218" s="209"/>
      <c r="BF218" s="209"/>
      <c r="BG218" s="209"/>
    </row>
    <row r="219" spans="2:59" ht="15" customHeight="1" x14ac:dyDescent="0.2">
      <c r="B219" s="207"/>
      <c r="C219" s="207"/>
      <c r="D219" s="207"/>
      <c r="E219" s="207"/>
      <c r="F219" s="207"/>
      <c r="G219" s="207"/>
      <c r="H219" s="207"/>
      <c r="I219" s="207"/>
      <c r="J219" s="207"/>
      <c r="K219" s="207"/>
      <c r="L219" s="207"/>
      <c r="M219" s="207"/>
      <c r="N219" s="207"/>
      <c r="O219" s="207"/>
      <c r="P219" s="207"/>
      <c r="Q219" s="207"/>
      <c r="R219" s="207"/>
      <c r="S219" s="207"/>
      <c r="T219" s="228"/>
      <c r="U219" s="228"/>
      <c r="V219" s="228"/>
      <c r="AS219" s="209"/>
      <c r="AT219" s="209"/>
      <c r="AU219" s="209"/>
      <c r="AV219" s="209"/>
      <c r="AW219" s="209"/>
      <c r="AX219" s="209"/>
      <c r="AY219" s="209"/>
      <c r="AZ219" s="209"/>
      <c r="BA219" s="209"/>
      <c r="BB219" s="209"/>
      <c r="BC219" s="209"/>
      <c r="BD219" s="209"/>
      <c r="BE219" s="209"/>
      <c r="BF219" s="209"/>
      <c r="BG219" s="209"/>
    </row>
    <row r="220" spans="2:59" ht="15" customHeight="1" x14ac:dyDescent="0.2">
      <c r="B220" s="207"/>
      <c r="C220" s="207"/>
      <c r="D220" s="207"/>
      <c r="E220" s="207"/>
      <c r="F220" s="207"/>
      <c r="G220" s="207"/>
      <c r="H220" s="207"/>
      <c r="I220" s="207"/>
      <c r="J220" s="207"/>
      <c r="K220" s="207"/>
      <c r="L220" s="207"/>
      <c r="M220" s="207"/>
      <c r="N220" s="207"/>
      <c r="O220" s="207"/>
      <c r="P220" s="207"/>
      <c r="Q220" s="207"/>
      <c r="R220" s="207"/>
      <c r="S220" s="207"/>
      <c r="T220" s="228"/>
      <c r="U220" s="228"/>
      <c r="V220" s="228"/>
      <c r="AS220" s="209"/>
      <c r="AT220" s="209"/>
      <c r="AU220" s="209"/>
      <c r="AV220" s="209"/>
      <c r="AW220" s="209"/>
      <c r="AX220" s="209"/>
      <c r="AY220" s="209"/>
      <c r="AZ220" s="209"/>
      <c r="BA220" s="209"/>
      <c r="BB220" s="209"/>
      <c r="BC220" s="209"/>
      <c r="BD220" s="209"/>
      <c r="BE220" s="209"/>
      <c r="BF220" s="209"/>
      <c r="BG220" s="209"/>
    </row>
    <row r="221" spans="2:59" ht="15" customHeight="1" x14ac:dyDescent="0.2">
      <c r="B221" s="207"/>
      <c r="C221" s="207"/>
      <c r="D221" s="207"/>
      <c r="E221" s="207"/>
      <c r="F221" s="207"/>
      <c r="G221" s="207"/>
      <c r="H221" s="207"/>
      <c r="I221" s="207"/>
      <c r="J221" s="207"/>
      <c r="K221" s="207"/>
      <c r="L221" s="207"/>
      <c r="M221" s="207"/>
      <c r="N221" s="207"/>
      <c r="O221" s="207"/>
      <c r="P221" s="207"/>
      <c r="Q221" s="207"/>
      <c r="R221" s="207"/>
      <c r="S221" s="207"/>
      <c r="T221" s="228"/>
      <c r="U221" s="228"/>
      <c r="V221" s="228"/>
      <c r="AS221" s="209"/>
      <c r="AT221" s="209"/>
      <c r="AU221" s="209"/>
      <c r="AV221" s="209"/>
      <c r="AW221" s="209"/>
      <c r="AX221" s="209"/>
      <c r="AY221" s="209"/>
      <c r="AZ221" s="209"/>
      <c r="BA221" s="209"/>
      <c r="BB221" s="209"/>
      <c r="BC221" s="209"/>
      <c r="BD221" s="209"/>
      <c r="BE221" s="209"/>
      <c r="BF221" s="209"/>
      <c r="BG221" s="209"/>
    </row>
    <row r="222" spans="2:59" ht="15" customHeight="1" x14ac:dyDescent="0.2">
      <c r="B222" s="207"/>
      <c r="C222" s="207"/>
      <c r="D222" s="207"/>
      <c r="E222" s="207"/>
      <c r="F222" s="207"/>
      <c r="G222" s="207"/>
      <c r="H222" s="207"/>
      <c r="I222" s="207"/>
      <c r="J222" s="207"/>
      <c r="K222" s="207"/>
      <c r="L222" s="207"/>
      <c r="M222" s="207"/>
      <c r="N222" s="207"/>
      <c r="O222" s="207"/>
      <c r="P222" s="207"/>
      <c r="Q222" s="207"/>
      <c r="R222" s="207"/>
      <c r="S222" s="207"/>
      <c r="T222" s="228"/>
      <c r="U222" s="228"/>
      <c r="V222" s="228"/>
      <c r="AS222" s="209"/>
      <c r="AT222" s="209"/>
      <c r="AU222" s="209"/>
      <c r="AV222" s="209"/>
      <c r="AW222" s="209"/>
      <c r="AX222" s="209"/>
      <c r="AY222" s="209"/>
      <c r="AZ222" s="209"/>
      <c r="BA222" s="209"/>
      <c r="BB222" s="209"/>
      <c r="BC222" s="209"/>
      <c r="BD222" s="209"/>
      <c r="BE222" s="209"/>
      <c r="BF222" s="209"/>
      <c r="BG222" s="209"/>
    </row>
    <row r="223" spans="2:59" ht="15" customHeight="1" x14ac:dyDescent="0.2">
      <c r="B223" s="207"/>
      <c r="C223" s="207"/>
      <c r="D223" s="207"/>
      <c r="E223" s="207"/>
      <c r="F223" s="207"/>
      <c r="G223" s="207"/>
      <c r="H223" s="207"/>
      <c r="I223" s="207"/>
      <c r="J223" s="207"/>
      <c r="K223" s="207"/>
      <c r="L223" s="207"/>
      <c r="M223" s="207"/>
      <c r="N223" s="207"/>
      <c r="O223" s="207"/>
      <c r="P223" s="207"/>
      <c r="Q223" s="207"/>
      <c r="R223" s="207"/>
      <c r="S223" s="207"/>
      <c r="T223" s="228"/>
      <c r="U223" s="228"/>
      <c r="V223" s="228"/>
      <c r="AS223" s="209"/>
      <c r="AT223" s="209"/>
      <c r="AU223" s="209"/>
      <c r="AV223" s="209"/>
      <c r="AW223" s="209"/>
      <c r="AX223" s="209"/>
      <c r="AY223" s="209"/>
      <c r="AZ223" s="209"/>
      <c r="BA223" s="209"/>
      <c r="BB223" s="209"/>
      <c r="BC223" s="209"/>
      <c r="BD223" s="209"/>
      <c r="BE223" s="209"/>
      <c r="BF223" s="209"/>
      <c r="BG223" s="209"/>
    </row>
    <row r="224" spans="2:59" ht="15" customHeight="1" x14ac:dyDescent="0.2">
      <c r="B224" s="207"/>
      <c r="C224" s="207"/>
      <c r="D224" s="207"/>
      <c r="E224" s="207"/>
      <c r="F224" s="207"/>
      <c r="G224" s="207"/>
      <c r="H224" s="207"/>
      <c r="I224" s="207"/>
      <c r="J224" s="207"/>
      <c r="K224" s="207"/>
      <c r="L224" s="207"/>
      <c r="M224" s="207"/>
      <c r="N224" s="207"/>
      <c r="O224" s="207"/>
      <c r="P224" s="207"/>
      <c r="Q224" s="207"/>
      <c r="R224" s="207"/>
      <c r="S224" s="207"/>
      <c r="T224" s="228"/>
      <c r="U224" s="228"/>
      <c r="V224" s="228"/>
      <c r="AS224" s="209"/>
      <c r="AT224" s="209"/>
      <c r="AU224" s="209"/>
      <c r="AV224" s="209"/>
      <c r="AW224" s="209"/>
      <c r="AX224" s="209"/>
      <c r="AY224" s="209"/>
      <c r="AZ224" s="209"/>
      <c r="BA224" s="209"/>
      <c r="BB224" s="209"/>
      <c r="BC224" s="209"/>
      <c r="BD224" s="209"/>
      <c r="BE224" s="209"/>
      <c r="BF224" s="209"/>
      <c r="BG224" s="209"/>
    </row>
    <row r="225" spans="2:59" ht="15" customHeight="1" x14ac:dyDescent="0.2">
      <c r="B225" s="207"/>
      <c r="C225" s="207"/>
      <c r="D225" s="207"/>
      <c r="E225" s="207"/>
      <c r="F225" s="207"/>
      <c r="G225" s="207"/>
      <c r="H225" s="207"/>
      <c r="I225" s="207"/>
      <c r="J225" s="207"/>
      <c r="K225" s="207"/>
      <c r="L225" s="207"/>
      <c r="M225" s="207"/>
      <c r="N225" s="207"/>
      <c r="O225" s="207"/>
      <c r="P225" s="207"/>
      <c r="Q225" s="207"/>
      <c r="R225" s="207"/>
      <c r="S225" s="207"/>
      <c r="T225" s="228"/>
      <c r="U225" s="228"/>
      <c r="V225" s="228"/>
      <c r="AS225" s="209"/>
      <c r="AT225" s="209"/>
      <c r="AU225" s="209"/>
      <c r="AV225" s="209"/>
      <c r="AW225" s="209"/>
      <c r="AX225" s="209"/>
      <c r="AY225" s="209"/>
      <c r="AZ225" s="209"/>
      <c r="BA225" s="209"/>
      <c r="BB225" s="209"/>
      <c r="BC225" s="209"/>
      <c r="BD225" s="209"/>
      <c r="BE225" s="209"/>
      <c r="BF225" s="209"/>
      <c r="BG225" s="209"/>
    </row>
    <row r="226" spans="2:59" ht="15" customHeight="1" x14ac:dyDescent="0.2">
      <c r="B226" s="207"/>
      <c r="C226" s="207"/>
      <c r="D226" s="207"/>
      <c r="E226" s="207"/>
      <c r="F226" s="207"/>
      <c r="G226" s="207"/>
      <c r="H226" s="207"/>
      <c r="I226" s="207"/>
      <c r="J226" s="207"/>
      <c r="K226" s="207"/>
      <c r="L226" s="207"/>
      <c r="M226" s="207"/>
      <c r="N226" s="207"/>
      <c r="O226" s="207"/>
      <c r="P226" s="207"/>
      <c r="Q226" s="207"/>
      <c r="R226" s="207"/>
      <c r="S226" s="207"/>
      <c r="T226" s="228"/>
      <c r="U226" s="228"/>
      <c r="V226" s="228"/>
      <c r="AS226" s="209"/>
      <c r="AT226" s="209"/>
      <c r="AU226" s="209"/>
      <c r="AV226" s="209"/>
      <c r="AW226" s="209"/>
      <c r="AX226" s="209"/>
      <c r="AY226" s="209"/>
      <c r="AZ226" s="209"/>
      <c r="BA226" s="209"/>
      <c r="BB226" s="209"/>
      <c r="BC226" s="209"/>
      <c r="BD226" s="209"/>
      <c r="BE226" s="209"/>
      <c r="BF226" s="209"/>
      <c r="BG226" s="209"/>
    </row>
    <row r="227" spans="2:59" ht="15" customHeight="1" x14ac:dyDescent="0.2">
      <c r="B227" s="207"/>
      <c r="C227" s="207"/>
      <c r="D227" s="207"/>
      <c r="E227" s="207"/>
      <c r="F227" s="207"/>
      <c r="G227" s="207"/>
      <c r="H227" s="207"/>
      <c r="I227" s="207"/>
      <c r="J227" s="207"/>
      <c r="K227" s="207"/>
      <c r="L227" s="207"/>
      <c r="M227" s="207"/>
      <c r="N227" s="207"/>
      <c r="O227" s="207"/>
      <c r="P227" s="207"/>
      <c r="Q227" s="207"/>
      <c r="R227" s="207"/>
      <c r="S227" s="207"/>
      <c r="T227" s="228"/>
      <c r="U227" s="228"/>
      <c r="V227" s="228"/>
      <c r="AS227" s="209"/>
      <c r="AT227" s="209"/>
      <c r="AU227" s="209"/>
      <c r="AV227" s="209"/>
      <c r="AW227" s="209"/>
      <c r="AX227" s="209"/>
      <c r="AY227" s="209"/>
      <c r="AZ227" s="209"/>
      <c r="BA227" s="209"/>
      <c r="BB227" s="209"/>
      <c r="BC227" s="209"/>
      <c r="BD227" s="209"/>
      <c r="BE227" s="209"/>
      <c r="BF227" s="209"/>
      <c r="BG227" s="209"/>
    </row>
    <row r="228" spans="2:59" ht="15" customHeight="1" x14ac:dyDescent="0.2">
      <c r="AS228" s="209"/>
      <c r="AT228" s="209"/>
      <c r="AU228" s="209"/>
      <c r="AV228" s="209"/>
      <c r="AW228" s="209"/>
      <c r="AX228" s="209"/>
      <c r="AY228" s="209"/>
      <c r="AZ228" s="209"/>
      <c r="BA228" s="209"/>
      <c r="BB228" s="209"/>
      <c r="BC228" s="209"/>
      <c r="BD228" s="209"/>
      <c r="BE228" s="209"/>
    </row>
    <row r="229" spans="2:59" ht="15" customHeight="1" x14ac:dyDescent="0.2">
      <c r="AS229" s="209"/>
      <c r="AT229" s="209"/>
      <c r="AU229" s="209"/>
      <c r="AV229" s="209"/>
      <c r="AW229" s="209"/>
      <c r="AX229" s="209"/>
      <c r="AY229" s="209"/>
      <c r="AZ229" s="209"/>
      <c r="BA229" s="209"/>
      <c r="BB229" s="209"/>
      <c r="BC229" s="209"/>
      <c r="BD229" s="209"/>
      <c r="BE229" s="209"/>
    </row>
    <row r="230" spans="2:59" ht="15" customHeight="1" x14ac:dyDescent="0.2">
      <c r="AS230" s="209"/>
      <c r="AT230" s="209"/>
      <c r="AU230" s="209"/>
      <c r="AV230" s="209"/>
      <c r="AW230" s="209"/>
      <c r="AX230" s="209"/>
      <c r="AY230" s="209"/>
      <c r="AZ230" s="209"/>
      <c r="BA230" s="209"/>
      <c r="BB230" s="209"/>
      <c r="BC230" s="209"/>
      <c r="BD230" s="209"/>
      <c r="BE230" s="209"/>
    </row>
    <row r="231" spans="2:59" ht="15" customHeight="1" x14ac:dyDescent="0.2">
      <c r="AS231" s="209"/>
      <c r="AT231" s="209"/>
      <c r="AU231" s="209"/>
      <c r="AV231" s="209"/>
      <c r="AW231" s="209"/>
      <c r="AX231" s="209"/>
      <c r="AY231" s="209"/>
      <c r="AZ231" s="209"/>
      <c r="BA231" s="209"/>
      <c r="BB231" s="209"/>
      <c r="BC231" s="209"/>
      <c r="BD231" s="209"/>
      <c r="BE231" s="209"/>
    </row>
    <row r="232" spans="2:59" ht="15" customHeight="1" x14ac:dyDescent="0.2">
      <c r="AS232" s="209"/>
      <c r="AT232" s="209"/>
      <c r="AU232" s="209"/>
      <c r="AV232" s="209"/>
      <c r="AW232" s="209"/>
      <c r="AX232" s="209"/>
      <c r="AY232" s="209"/>
      <c r="AZ232" s="209"/>
      <c r="BA232" s="209"/>
      <c r="BB232" s="209"/>
      <c r="BC232" s="209"/>
      <c r="BD232" s="209"/>
      <c r="BE232" s="209"/>
    </row>
    <row r="233" spans="2:59" ht="15" customHeight="1" x14ac:dyDescent="0.2">
      <c r="AS233" s="209"/>
      <c r="AT233" s="209"/>
      <c r="AU233" s="209"/>
      <c r="AV233" s="209"/>
      <c r="AW233" s="209"/>
      <c r="AX233" s="209"/>
      <c r="AY233" s="209"/>
      <c r="AZ233" s="209"/>
      <c r="BA233" s="209"/>
      <c r="BB233" s="209"/>
      <c r="BC233" s="209"/>
      <c r="BD233" s="209"/>
      <c r="BE233" s="209"/>
    </row>
    <row r="234" spans="2:59" ht="15" customHeight="1" x14ac:dyDescent="0.2">
      <c r="AS234" s="209"/>
      <c r="AT234" s="209"/>
      <c r="AU234" s="209"/>
      <c r="AV234" s="209"/>
      <c r="AW234" s="209"/>
      <c r="AX234" s="209"/>
      <c r="AY234" s="209"/>
      <c r="AZ234" s="209"/>
      <c r="BA234" s="209"/>
      <c r="BB234" s="209"/>
      <c r="BC234" s="209"/>
      <c r="BD234" s="209"/>
      <c r="BE234" s="209"/>
    </row>
    <row r="235" spans="2:59" ht="15" customHeight="1" x14ac:dyDescent="0.2">
      <c r="AS235" s="209"/>
      <c r="AT235" s="209"/>
      <c r="AU235" s="209"/>
      <c r="AV235" s="209"/>
      <c r="AW235" s="209"/>
      <c r="AX235" s="209"/>
      <c r="AY235" s="209"/>
      <c r="AZ235" s="209"/>
      <c r="BA235" s="209"/>
      <c r="BB235" s="209"/>
      <c r="BC235" s="209"/>
      <c r="BD235" s="209"/>
      <c r="BE235" s="209"/>
    </row>
    <row r="236" spans="2:59" ht="15" customHeight="1" x14ac:dyDescent="0.2">
      <c r="AS236" s="209"/>
      <c r="AT236" s="209"/>
      <c r="AU236" s="209"/>
      <c r="AV236" s="209"/>
      <c r="AW236" s="209"/>
      <c r="AX236" s="209"/>
      <c r="AY236" s="209"/>
      <c r="AZ236" s="209"/>
      <c r="BA236" s="209"/>
      <c r="BB236" s="209"/>
      <c r="BC236" s="209"/>
      <c r="BD236" s="209"/>
      <c r="BE236" s="209"/>
    </row>
    <row r="237" spans="2:59" ht="15" customHeight="1" x14ac:dyDescent="0.2">
      <c r="AS237" s="209"/>
      <c r="AT237" s="209"/>
      <c r="AU237" s="209"/>
      <c r="AV237" s="209"/>
      <c r="AW237" s="209"/>
      <c r="AX237" s="209"/>
      <c r="AY237" s="209"/>
      <c r="AZ237" s="209"/>
      <c r="BA237" s="209"/>
      <c r="BB237" s="209"/>
      <c r="BC237" s="209"/>
      <c r="BD237" s="209"/>
      <c r="BE237" s="209"/>
    </row>
    <row r="238" spans="2:59" ht="15" customHeight="1" x14ac:dyDescent="0.2">
      <c r="AS238" s="209"/>
      <c r="AT238" s="209"/>
      <c r="AU238" s="209"/>
      <c r="AV238" s="209"/>
      <c r="AW238" s="209"/>
      <c r="AX238" s="209"/>
      <c r="AY238" s="209"/>
      <c r="AZ238" s="209"/>
      <c r="BA238" s="209"/>
      <c r="BB238" s="209"/>
      <c r="BC238" s="209"/>
      <c r="BD238" s="209"/>
      <c r="BE238" s="209"/>
    </row>
    <row r="239" spans="2:59" ht="15" customHeight="1" x14ac:dyDescent="0.2">
      <c r="AS239" s="209"/>
      <c r="AT239" s="209"/>
      <c r="AU239" s="209"/>
      <c r="AV239" s="209"/>
      <c r="AW239" s="209"/>
      <c r="AX239" s="209"/>
      <c r="AY239" s="209"/>
      <c r="AZ239" s="209"/>
      <c r="BA239" s="209"/>
      <c r="BB239" s="209"/>
      <c r="BC239" s="209"/>
      <c r="BD239" s="209"/>
      <c r="BE239" s="209"/>
    </row>
    <row r="240" spans="2:59" ht="15" customHeight="1" x14ac:dyDescent="0.2">
      <c r="AS240" s="209"/>
      <c r="AT240" s="209"/>
      <c r="AU240" s="209"/>
      <c r="AV240" s="209"/>
      <c r="AW240" s="209"/>
      <c r="AX240" s="209"/>
      <c r="AY240" s="209"/>
      <c r="AZ240" s="209"/>
      <c r="BA240" s="209"/>
      <c r="BB240" s="209"/>
      <c r="BC240" s="209"/>
      <c r="BD240" s="209"/>
      <c r="BE240" s="209"/>
    </row>
    <row r="241" spans="45:57" ht="15" customHeight="1" x14ac:dyDescent="0.2">
      <c r="AS241" s="209"/>
      <c r="AT241" s="209"/>
      <c r="AU241" s="209"/>
      <c r="AV241" s="209"/>
      <c r="AW241" s="209"/>
      <c r="AX241" s="209"/>
      <c r="AY241" s="209"/>
      <c r="AZ241" s="209"/>
      <c r="BA241" s="209"/>
      <c r="BB241" s="209"/>
      <c r="BC241" s="209"/>
      <c r="BD241" s="209"/>
      <c r="BE241" s="209"/>
    </row>
    <row r="242" spans="45:57" ht="15" customHeight="1" x14ac:dyDescent="0.2">
      <c r="AS242" s="209"/>
      <c r="AT242" s="209"/>
      <c r="AU242" s="209"/>
      <c r="AV242" s="209"/>
      <c r="AW242" s="209"/>
      <c r="AX242" s="209"/>
      <c r="AY242" s="209"/>
      <c r="AZ242" s="209"/>
      <c r="BA242" s="209"/>
      <c r="BB242" s="209"/>
      <c r="BC242" s="209"/>
      <c r="BD242" s="209"/>
      <c r="BE242" s="209"/>
    </row>
    <row r="243" spans="45:57" ht="15" customHeight="1" x14ac:dyDescent="0.2">
      <c r="AS243" s="209"/>
      <c r="AT243" s="209"/>
      <c r="AU243" s="209"/>
      <c r="AV243" s="209"/>
      <c r="AW243" s="209"/>
      <c r="AX243" s="209"/>
      <c r="AY243" s="209"/>
      <c r="AZ243" s="209"/>
      <c r="BA243" s="209"/>
      <c r="BB243" s="209"/>
      <c r="BC243" s="209"/>
      <c r="BD243" s="209"/>
      <c r="BE243" s="209"/>
    </row>
    <row r="244" spans="45:57" ht="15" customHeight="1" x14ac:dyDescent="0.2">
      <c r="AS244" s="209"/>
      <c r="AT244" s="209"/>
      <c r="AU244" s="209"/>
      <c r="AV244" s="209"/>
      <c r="AW244" s="209"/>
      <c r="AX244" s="209"/>
      <c r="AY244" s="209"/>
      <c r="AZ244" s="209"/>
      <c r="BA244" s="209"/>
      <c r="BB244" s="209"/>
      <c r="BC244" s="209"/>
      <c r="BD244" s="209"/>
      <c r="BE244" s="209"/>
    </row>
    <row r="245" spans="45:57" ht="15" customHeight="1" x14ac:dyDescent="0.2">
      <c r="AS245" s="209"/>
      <c r="AT245" s="209"/>
      <c r="AU245" s="209"/>
      <c r="AV245" s="209"/>
      <c r="AW245" s="209"/>
      <c r="AX245" s="209"/>
      <c r="AY245" s="209"/>
      <c r="AZ245" s="209"/>
      <c r="BA245" s="209"/>
      <c r="BB245" s="209"/>
      <c r="BC245" s="209"/>
      <c r="BD245" s="209"/>
      <c r="BE245" s="209"/>
    </row>
    <row r="246" spans="45:57" ht="15" customHeight="1" x14ac:dyDescent="0.2">
      <c r="AS246" s="209"/>
      <c r="AT246" s="209"/>
      <c r="AU246" s="209"/>
      <c r="AV246" s="209"/>
      <c r="AW246" s="209"/>
      <c r="AX246" s="209"/>
      <c r="AY246" s="209"/>
      <c r="AZ246" s="209"/>
      <c r="BA246" s="209"/>
      <c r="BB246" s="209"/>
      <c r="BC246" s="209"/>
      <c r="BD246" s="209"/>
      <c r="BE246" s="209"/>
    </row>
    <row r="247" spans="45:57" ht="15" customHeight="1" x14ac:dyDescent="0.2">
      <c r="AS247" s="209"/>
      <c r="AT247" s="209"/>
      <c r="AU247" s="209"/>
      <c r="AV247" s="209"/>
      <c r="AW247" s="209"/>
      <c r="AX247" s="209"/>
      <c r="AY247" s="209"/>
      <c r="AZ247" s="209"/>
      <c r="BA247" s="209"/>
      <c r="BB247" s="209"/>
      <c r="BC247" s="209"/>
      <c r="BD247" s="209"/>
      <c r="BE247" s="209"/>
    </row>
    <row r="248" spans="45:57" ht="15" customHeight="1" x14ac:dyDescent="0.2">
      <c r="AS248" s="209"/>
      <c r="AT248" s="209"/>
      <c r="AU248" s="209"/>
      <c r="AV248" s="209"/>
      <c r="AW248" s="209"/>
      <c r="AX248" s="209"/>
      <c r="AY248" s="209"/>
      <c r="AZ248" s="209"/>
      <c r="BA248" s="209"/>
      <c r="BB248" s="209"/>
      <c r="BC248" s="209"/>
      <c r="BD248" s="209"/>
      <c r="BE248" s="209"/>
    </row>
    <row r="249" spans="45:57" ht="15" customHeight="1" x14ac:dyDescent="0.2">
      <c r="AS249" s="209"/>
      <c r="AT249" s="209"/>
      <c r="AU249" s="209"/>
      <c r="AV249" s="209"/>
      <c r="AW249" s="209"/>
      <c r="AX249" s="209"/>
      <c r="AY249" s="209"/>
      <c r="AZ249" s="209"/>
      <c r="BA249" s="209"/>
      <c r="BB249" s="209"/>
      <c r="BC249" s="209"/>
      <c r="BD249" s="209"/>
      <c r="BE249" s="209"/>
    </row>
    <row r="250" spans="45:57" ht="15" customHeight="1" x14ac:dyDescent="0.2">
      <c r="AS250" s="209"/>
      <c r="AT250" s="209"/>
      <c r="AU250" s="209"/>
      <c r="AV250" s="209"/>
      <c r="AW250" s="209"/>
      <c r="AX250" s="209"/>
      <c r="AY250" s="209"/>
      <c r="AZ250" s="209"/>
      <c r="BA250" s="209"/>
      <c r="BB250" s="209"/>
      <c r="BC250" s="209"/>
      <c r="BD250" s="209"/>
      <c r="BE250" s="209"/>
    </row>
    <row r="251" spans="45:57" ht="15" customHeight="1" x14ac:dyDescent="0.2">
      <c r="AS251" s="209"/>
      <c r="AT251" s="209"/>
      <c r="AU251" s="209"/>
      <c r="AV251" s="209"/>
      <c r="AW251" s="209"/>
      <c r="AX251" s="209"/>
      <c r="AY251" s="209"/>
      <c r="AZ251" s="209"/>
      <c r="BA251" s="209"/>
      <c r="BB251" s="209"/>
      <c r="BC251" s="209"/>
      <c r="BD251" s="209"/>
      <c r="BE251" s="209"/>
    </row>
    <row r="252" spans="45:57" ht="15" customHeight="1" x14ac:dyDescent="0.2">
      <c r="AS252" s="209"/>
      <c r="AT252" s="209"/>
      <c r="AU252" s="209"/>
      <c r="AV252" s="209"/>
      <c r="AW252" s="209"/>
      <c r="AX252" s="209"/>
      <c r="AY252" s="209"/>
      <c r="AZ252" s="209"/>
      <c r="BA252" s="209"/>
      <c r="BB252" s="209"/>
      <c r="BC252" s="209"/>
      <c r="BD252" s="209"/>
      <c r="BE252" s="209"/>
    </row>
    <row r="253" spans="45:57" ht="15" customHeight="1" x14ac:dyDescent="0.2">
      <c r="AS253" s="209"/>
      <c r="AT253" s="209"/>
      <c r="AU253" s="209"/>
      <c r="AV253" s="209"/>
      <c r="AW253" s="209"/>
      <c r="AX253" s="209"/>
      <c r="AY253" s="209"/>
      <c r="AZ253" s="209"/>
      <c r="BA253" s="209"/>
      <c r="BB253" s="209"/>
      <c r="BC253" s="209"/>
      <c r="BD253" s="209"/>
      <c r="BE253" s="209"/>
    </row>
    <row r="254" spans="45:57" ht="15" customHeight="1" x14ac:dyDescent="0.2">
      <c r="AS254" s="209"/>
      <c r="AT254" s="209"/>
      <c r="AU254" s="209"/>
      <c r="AV254" s="209"/>
      <c r="AW254" s="209"/>
      <c r="AX254" s="209"/>
      <c r="AY254" s="209"/>
      <c r="AZ254" s="209"/>
      <c r="BA254" s="209"/>
      <c r="BB254" s="209"/>
      <c r="BC254" s="209"/>
      <c r="BD254" s="209"/>
      <c r="BE254" s="209"/>
    </row>
    <row r="255" spans="45:57" ht="15" customHeight="1" x14ac:dyDescent="0.2">
      <c r="AS255" s="209"/>
      <c r="AT255" s="209"/>
      <c r="AU255" s="209"/>
      <c r="AV255" s="209"/>
      <c r="AW255" s="209"/>
      <c r="AX255" s="209"/>
      <c r="AY255" s="209"/>
      <c r="AZ255" s="209"/>
      <c r="BA255" s="209"/>
      <c r="BB255" s="209"/>
      <c r="BC255" s="209"/>
      <c r="BD255" s="209"/>
      <c r="BE255" s="209"/>
    </row>
    <row r="256" spans="45:57" ht="15" customHeight="1" x14ac:dyDescent="0.2">
      <c r="AS256" s="209"/>
      <c r="AT256" s="209"/>
      <c r="AU256" s="209"/>
      <c r="AV256" s="209"/>
      <c r="AW256" s="209"/>
      <c r="AX256" s="209"/>
      <c r="AY256" s="209"/>
      <c r="AZ256" s="209"/>
      <c r="BA256" s="209"/>
      <c r="BB256" s="209"/>
      <c r="BC256" s="209"/>
      <c r="BD256" s="209"/>
      <c r="BE256" s="209"/>
    </row>
    <row r="257" spans="45:57" ht="15" customHeight="1" x14ac:dyDescent="0.2">
      <c r="AS257" s="209"/>
      <c r="AT257" s="209"/>
      <c r="AU257" s="209"/>
      <c r="AV257" s="209"/>
      <c r="AW257" s="209"/>
      <c r="AX257" s="209"/>
      <c r="AY257" s="209"/>
      <c r="AZ257" s="209"/>
      <c r="BA257" s="209"/>
      <c r="BB257" s="209"/>
      <c r="BC257" s="209"/>
      <c r="BD257" s="209"/>
      <c r="BE257" s="209"/>
    </row>
    <row r="258" spans="45:57" ht="15" customHeight="1" x14ac:dyDescent="0.2">
      <c r="AS258" s="209"/>
      <c r="AT258" s="209"/>
      <c r="AU258" s="209"/>
      <c r="AV258" s="209"/>
      <c r="AW258" s="209"/>
      <c r="AX258" s="209"/>
      <c r="AY258" s="209"/>
      <c r="AZ258" s="209"/>
      <c r="BA258" s="209"/>
      <c r="BB258" s="209"/>
      <c r="BC258" s="209"/>
      <c r="BD258" s="209"/>
      <c r="BE258" s="209"/>
    </row>
    <row r="259" spans="45:57" ht="15" customHeight="1" x14ac:dyDescent="0.2">
      <c r="AS259" s="209"/>
      <c r="AT259" s="209"/>
      <c r="AU259" s="209"/>
      <c r="AV259" s="209"/>
      <c r="AW259" s="209"/>
      <c r="AX259" s="209"/>
      <c r="AY259" s="209"/>
      <c r="AZ259" s="209"/>
      <c r="BA259" s="209"/>
      <c r="BB259" s="209"/>
      <c r="BC259" s="209"/>
      <c r="BD259" s="209"/>
      <c r="BE259" s="209"/>
    </row>
    <row r="260" spans="45:57" ht="15" customHeight="1" x14ac:dyDescent="0.2">
      <c r="AS260" s="209"/>
      <c r="AT260" s="209"/>
      <c r="AU260" s="209"/>
      <c r="AV260" s="209"/>
      <c r="AW260" s="209"/>
      <c r="AX260" s="209"/>
      <c r="AY260" s="209"/>
      <c r="AZ260" s="209"/>
      <c r="BA260" s="209"/>
      <c r="BB260" s="209"/>
      <c r="BC260" s="209"/>
      <c r="BD260" s="209"/>
      <c r="BE260" s="209"/>
    </row>
    <row r="261" spans="45:57" ht="15" customHeight="1" x14ac:dyDescent="0.2">
      <c r="AS261" s="209"/>
      <c r="AT261" s="209"/>
      <c r="AU261" s="209"/>
      <c r="AV261" s="209"/>
      <c r="AW261" s="209"/>
      <c r="AX261" s="209"/>
      <c r="AY261" s="209"/>
      <c r="AZ261" s="209"/>
      <c r="BA261" s="209"/>
      <c r="BB261" s="209"/>
      <c r="BC261" s="209"/>
      <c r="BD261" s="209"/>
      <c r="BE261" s="209"/>
    </row>
    <row r="262" spans="45:57" ht="15" customHeight="1" x14ac:dyDescent="0.2">
      <c r="AS262" s="209"/>
      <c r="AT262" s="209"/>
      <c r="AU262" s="209"/>
      <c r="AV262" s="209"/>
      <c r="AW262" s="209"/>
      <c r="AX262" s="209"/>
      <c r="AY262" s="209"/>
      <c r="AZ262" s="209"/>
      <c r="BA262" s="209"/>
      <c r="BB262" s="209"/>
      <c r="BC262" s="209"/>
      <c r="BD262" s="209"/>
      <c r="BE262" s="209"/>
    </row>
    <row r="263" spans="45:57" ht="15" customHeight="1" x14ac:dyDescent="0.2">
      <c r="AS263" s="209"/>
      <c r="AT263" s="209"/>
      <c r="AU263" s="209"/>
      <c r="AV263" s="209"/>
      <c r="AW263" s="209"/>
      <c r="AX263" s="209"/>
      <c r="AY263" s="209"/>
      <c r="AZ263" s="209"/>
      <c r="BA263" s="209"/>
      <c r="BB263" s="209"/>
      <c r="BC263" s="209"/>
      <c r="BD263" s="209"/>
      <c r="BE263" s="209"/>
    </row>
    <row r="264" spans="45:57" ht="15" customHeight="1" x14ac:dyDescent="0.2">
      <c r="AS264" s="209"/>
      <c r="AT264" s="209"/>
      <c r="AU264" s="209"/>
      <c r="AV264" s="209"/>
      <c r="AW264" s="209"/>
      <c r="AX264" s="209"/>
      <c r="AY264" s="209"/>
      <c r="AZ264" s="209"/>
      <c r="BA264" s="209"/>
      <c r="BB264" s="209"/>
      <c r="BC264" s="209"/>
      <c r="BD264" s="209"/>
      <c r="BE264" s="209"/>
    </row>
    <row r="265" spans="45:57" ht="15" customHeight="1" x14ac:dyDescent="0.2">
      <c r="AS265" s="209"/>
      <c r="AT265" s="209"/>
      <c r="AU265" s="209"/>
      <c r="AV265" s="209"/>
      <c r="AW265" s="209"/>
      <c r="AX265" s="209"/>
      <c r="AY265" s="209"/>
      <c r="AZ265" s="209"/>
      <c r="BA265" s="209"/>
      <c r="BB265" s="209"/>
      <c r="BC265" s="209"/>
      <c r="BD265" s="209"/>
      <c r="BE265" s="209"/>
    </row>
    <row r="266" spans="45:57" ht="15" customHeight="1" x14ac:dyDescent="0.2">
      <c r="AS266" s="209"/>
      <c r="AT266" s="209"/>
      <c r="AU266" s="209"/>
      <c r="AV266" s="209"/>
      <c r="AW266" s="209"/>
      <c r="AX266" s="209"/>
      <c r="AY266" s="209"/>
      <c r="AZ266" s="209"/>
      <c r="BA266" s="209"/>
      <c r="BB266" s="209"/>
      <c r="BC266" s="209"/>
      <c r="BD266" s="209"/>
      <c r="BE266" s="209"/>
    </row>
    <row r="267" spans="45:57" ht="15" customHeight="1" x14ac:dyDescent="0.2">
      <c r="AS267" s="209"/>
      <c r="AT267" s="209"/>
      <c r="AU267" s="209"/>
      <c r="AV267" s="209"/>
      <c r="AW267" s="209"/>
      <c r="AX267" s="209"/>
      <c r="AY267" s="209"/>
      <c r="AZ267" s="209"/>
      <c r="BA267" s="209"/>
      <c r="BB267" s="209"/>
      <c r="BC267" s="209"/>
      <c r="BD267" s="209"/>
      <c r="BE267" s="209"/>
    </row>
    <row r="268" spans="45:57" ht="15" customHeight="1" x14ac:dyDescent="0.2">
      <c r="AS268" s="209"/>
      <c r="AT268" s="209"/>
      <c r="AU268" s="209"/>
      <c r="AV268" s="209"/>
      <c r="AW268" s="209"/>
      <c r="AX268" s="209"/>
      <c r="AY268" s="209"/>
      <c r="AZ268" s="209"/>
      <c r="BA268" s="209"/>
      <c r="BB268" s="209"/>
      <c r="BC268" s="209"/>
      <c r="BD268" s="209"/>
      <c r="BE268" s="209"/>
    </row>
    <row r="269" spans="45:57" ht="15" customHeight="1" x14ac:dyDescent="0.2">
      <c r="AS269" s="209"/>
      <c r="AT269" s="209"/>
      <c r="AU269" s="209"/>
      <c r="AV269" s="209"/>
      <c r="AW269" s="209"/>
      <c r="AX269" s="209"/>
      <c r="AY269" s="209"/>
      <c r="AZ269" s="209"/>
      <c r="BA269" s="209"/>
      <c r="BB269" s="209"/>
      <c r="BC269" s="209"/>
      <c r="BD269" s="209"/>
      <c r="BE269" s="209"/>
    </row>
    <row r="270" spans="45:57" ht="15" customHeight="1" x14ac:dyDescent="0.2">
      <c r="AS270" s="209"/>
      <c r="AT270" s="209"/>
      <c r="AU270" s="209"/>
      <c r="AV270" s="209"/>
      <c r="AW270" s="209"/>
      <c r="AX270" s="209"/>
      <c r="AY270" s="209"/>
      <c r="AZ270" s="209"/>
      <c r="BA270" s="209"/>
      <c r="BB270" s="209"/>
      <c r="BC270" s="209"/>
      <c r="BD270" s="209"/>
      <c r="BE270" s="209"/>
    </row>
    <row r="271" spans="45:57" ht="15" customHeight="1" x14ac:dyDescent="0.2">
      <c r="AS271" s="209"/>
      <c r="AT271" s="209"/>
      <c r="AU271" s="209"/>
      <c r="AV271" s="209"/>
      <c r="AW271" s="209"/>
      <c r="AX271" s="209"/>
      <c r="AY271" s="209"/>
      <c r="AZ271" s="209"/>
      <c r="BA271" s="209"/>
      <c r="BB271" s="209"/>
      <c r="BC271" s="209"/>
      <c r="BD271" s="209"/>
      <c r="BE271" s="209"/>
    </row>
    <row r="272" spans="45:57" ht="15" customHeight="1" x14ac:dyDescent="0.2">
      <c r="AS272" s="209"/>
      <c r="AT272" s="209"/>
      <c r="AU272" s="209"/>
      <c r="AV272" s="209"/>
      <c r="AW272" s="209"/>
      <c r="AX272" s="209"/>
      <c r="AY272" s="209"/>
      <c r="AZ272" s="209"/>
      <c r="BA272" s="209"/>
      <c r="BB272" s="209"/>
      <c r="BC272" s="209"/>
      <c r="BD272" s="209"/>
      <c r="BE272" s="209"/>
    </row>
    <row r="273" spans="45:57" ht="15" customHeight="1" x14ac:dyDescent="0.2">
      <c r="AS273" s="209"/>
      <c r="AT273" s="209"/>
      <c r="AU273" s="209"/>
      <c r="AV273" s="209"/>
      <c r="AW273" s="209"/>
      <c r="AX273" s="209"/>
      <c r="AY273" s="209"/>
      <c r="AZ273" s="209"/>
      <c r="BA273" s="209"/>
      <c r="BB273" s="209"/>
      <c r="BC273" s="209"/>
      <c r="BD273" s="209"/>
      <c r="BE273" s="209"/>
    </row>
    <row r="274" spans="45:57" ht="15" customHeight="1" x14ac:dyDescent="0.2">
      <c r="AS274" s="209"/>
      <c r="AT274" s="209"/>
      <c r="AU274" s="209"/>
      <c r="AV274" s="209"/>
      <c r="AW274" s="209"/>
      <c r="AX274" s="209"/>
      <c r="AY274" s="209"/>
      <c r="AZ274" s="209"/>
      <c r="BA274" s="209"/>
      <c r="BB274" s="209"/>
      <c r="BC274" s="209"/>
      <c r="BD274" s="209"/>
      <c r="BE274" s="209"/>
    </row>
    <row r="275" spans="45:57" ht="15" customHeight="1" x14ac:dyDescent="0.2">
      <c r="AS275" s="209"/>
      <c r="AT275" s="209"/>
      <c r="AU275" s="209"/>
      <c r="AV275" s="209"/>
      <c r="AW275" s="209"/>
      <c r="AX275" s="209"/>
      <c r="AY275" s="209"/>
      <c r="AZ275" s="209"/>
      <c r="BA275" s="209"/>
      <c r="BB275" s="209"/>
      <c r="BC275" s="209"/>
      <c r="BD275" s="209"/>
      <c r="BE275" s="209"/>
    </row>
    <row r="276" spans="45:57" ht="15" customHeight="1" x14ac:dyDescent="0.2">
      <c r="AS276" s="209"/>
      <c r="AT276" s="209"/>
      <c r="AU276" s="209"/>
      <c r="AV276" s="209"/>
      <c r="AW276" s="209"/>
      <c r="AX276" s="209"/>
      <c r="AY276" s="209"/>
      <c r="AZ276" s="209"/>
      <c r="BA276" s="209"/>
      <c r="BB276" s="209"/>
      <c r="BC276" s="209"/>
      <c r="BD276" s="209"/>
      <c r="BE276" s="209"/>
    </row>
    <row r="277" spans="45:57" ht="15" customHeight="1" x14ac:dyDescent="0.2">
      <c r="AS277" s="209"/>
      <c r="AT277" s="209"/>
      <c r="AU277" s="209"/>
      <c r="AV277" s="209"/>
      <c r="AW277" s="209"/>
      <c r="AX277" s="209"/>
      <c r="AY277" s="209"/>
      <c r="AZ277" s="209"/>
      <c r="BA277" s="209"/>
      <c r="BB277" s="209"/>
      <c r="BC277" s="209"/>
      <c r="BD277" s="209"/>
      <c r="BE277" s="209"/>
    </row>
    <row r="278" spans="45:57" ht="15" customHeight="1" x14ac:dyDescent="0.2">
      <c r="AS278" s="209"/>
      <c r="AT278" s="209"/>
      <c r="AU278" s="209"/>
      <c r="AV278" s="209"/>
      <c r="AW278" s="209"/>
      <c r="AX278" s="209"/>
      <c r="AY278" s="209"/>
      <c r="AZ278" s="209"/>
      <c r="BA278" s="209"/>
      <c r="BB278" s="209"/>
      <c r="BC278" s="209"/>
      <c r="BD278" s="209"/>
      <c r="BE278" s="209"/>
    </row>
    <row r="279" spans="45:57" ht="15" customHeight="1" x14ac:dyDescent="0.2">
      <c r="AS279" s="209"/>
      <c r="AT279" s="209"/>
      <c r="AU279" s="209"/>
      <c r="AV279" s="209"/>
      <c r="AW279" s="209"/>
      <c r="AX279" s="209"/>
      <c r="AY279" s="209"/>
      <c r="AZ279" s="209"/>
      <c r="BA279" s="209"/>
      <c r="BB279" s="209"/>
      <c r="BC279" s="209"/>
      <c r="BD279" s="209"/>
      <c r="BE279" s="209"/>
    </row>
    <row r="280" spans="45:57" ht="15" customHeight="1" x14ac:dyDescent="0.2">
      <c r="AS280" s="209"/>
      <c r="AT280" s="209"/>
      <c r="AU280" s="209"/>
      <c r="AV280" s="209"/>
      <c r="AW280" s="209"/>
      <c r="AX280" s="209"/>
      <c r="AY280" s="209"/>
      <c r="AZ280" s="209"/>
      <c r="BA280" s="209"/>
      <c r="BB280" s="209"/>
      <c r="BC280" s="209"/>
      <c r="BD280" s="209"/>
      <c r="BE280" s="209"/>
    </row>
    <row r="281" spans="45:57" ht="15" customHeight="1" x14ac:dyDescent="0.2">
      <c r="AS281" s="209"/>
      <c r="AT281" s="209"/>
      <c r="AU281" s="209"/>
      <c r="AV281" s="209"/>
      <c r="AW281" s="209"/>
      <c r="AX281" s="209"/>
      <c r="AY281" s="209"/>
      <c r="AZ281" s="209"/>
      <c r="BA281" s="209"/>
      <c r="BB281" s="209"/>
      <c r="BC281" s="209"/>
      <c r="BD281" s="209"/>
      <c r="BE281" s="209"/>
    </row>
    <row r="282" spans="45:57" ht="15" customHeight="1" x14ac:dyDescent="0.2">
      <c r="AS282" s="209"/>
      <c r="AT282" s="209"/>
      <c r="AU282" s="209"/>
      <c r="AV282" s="209"/>
      <c r="AW282" s="209"/>
      <c r="AX282" s="209"/>
      <c r="AY282" s="209"/>
      <c r="AZ282" s="209"/>
      <c r="BA282" s="209"/>
      <c r="BB282" s="209"/>
      <c r="BC282" s="209"/>
      <c r="BD282" s="209"/>
      <c r="BE282" s="209"/>
    </row>
    <row r="283" spans="45:57" ht="15" customHeight="1" x14ac:dyDescent="0.2">
      <c r="AS283" s="209"/>
      <c r="AT283" s="209"/>
      <c r="AU283" s="209"/>
      <c r="AV283" s="209"/>
      <c r="AW283" s="209"/>
      <c r="AX283" s="209"/>
      <c r="AY283" s="209"/>
      <c r="AZ283" s="209"/>
      <c r="BA283" s="209"/>
      <c r="BB283" s="209"/>
      <c r="BC283" s="209"/>
      <c r="BD283" s="209"/>
      <c r="BE283" s="209"/>
    </row>
    <row r="284" spans="45:57" ht="15" customHeight="1" x14ac:dyDescent="0.2">
      <c r="AS284" s="209"/>
      <c r="AT284" s="209"/>
      <c r="AU284" s="209"/>
      <c r="AV284" s="209"/>
      <c r="AW284" s="209"/>
      <c r="AX284" s="209"/>
      <c r="AY284" s="209"/>
      <c r="AZ284" s="209"/>
      <c r="BA284" s="209"/>
      <c r="BB284" s="209"/>
      <c r="BC284" s="209"/>
      <c r="BD284" s="209"/>
      <c r="BE284" s="209"/>
    </row>
    <row r="285" spans="45:57" ht="15" customHeight="1" x14ac:dyDescent="0.2">
      <c r="AS285" s="209"/>
      <c r="AT285" s="209"/>
      <c r="AU285" s="209"/>
      <c r="AV285" s="209"/>
      <c r="AW285" s="209"/>
      <c r="AX285" s="209"/>
      <c r="AY285" s="209"/>
      <c r="AZ285" s="209"/>
      <c r="BA285" s="209"/>
      <c r="BB285" s="209"/>
      <c r="BC285" s="209"/>
      <c r="BD285" s="209"/>
      <c r="BE285" s="209"/>
    </row>
    <row r="286" spans="45:57" ht="15" customHeight="1" x14ac:dyDescent="0.2">
      <c r="AS286" s="209"/>
      <c r="AT286" s="209"/>
      <c r="AU286" s="209"/>
      <c r="AV286" s="209"/>
      <c r="AW286" s="209"/>
      <c r="AX286" s="209"/>
      <c r="AY286" s="209"/>
      <c r="AZ286" s="209"/>
      <c r="BA286" s="209"/>
      <c r="BB286" s="209"/>
      <c r="BC286" s="209"/>
      <c r="BD286" s="209"/>
      <c r="BE286" s="209"/>
    </row>
    <row r="287" spans="45:57" ht="15" customHeight="1" x14ac:dyDescent="0.2">
      <c r="AS287" s="209"/>
      <c r="AT287" s="209"/>
      <c r="AU287" s="209"/>
      <c r="AV287" s="209"/>
      <c r="AW287" s="209"/>
      <c r="AX287" s="209"/>
      <c r="AY287" s="209"/>
      <c r="AZ287" s="209"/>
      <c r="BA287" s="209"/>
      <c r="BB287" s="209"/>
      <c r="BC287" s="209"/>
      <c r="BD287" s="209"/>
      <c r="BE287" s="209"/>
    </row>
    <row r="288" spans="45:57" ht="15" customHeight="1" x14ac:dyDescent="0.2">
      <c r="AS288" s="209"/>
      <c r="AT288" s="209"/>
      <c r="AU288" s="209"/>
      <c r="AV288" s="209"/>
      <c r="AW288" s="209"/>
      <c r="AX288" s="209"/>
      <c r="AY288" s="209"/>
      <c r="AZ288" s="209"/>
      <c r="BA288" s="209"/>
      <c r="BB288" s="209"/>
      <c r="BC288" s="209"/>
      <c r="BD288" s="209"/>
      <c r="BE288" s="209"/>
    </row>
    <row r="289" spans="45:57" ht="15" customHeight="1" x14ac:dyDescent="0.2">
      <c r="AS289" s="209"/>
      <c r="AT289" s="209"/>
      <c r="AU289" s="209"/>
      <c r="AV289" s="209"/>
      <c r="AW289" s="209"/>
      <c r="AX289" s="209"/>
      <c r="AY289" s="209"/>
      <c r="AZ289" s="209"/>
      <c r="BA289" s="209"/>
      <c r="BB289" s="209"/>
      <c r="BC289" s="209"/>
      <c r="BD289" s="209"/>
      <c r="BE289" s="209"/>
    </row>
    <row r="290" spans="45:57" ht="15" customHeight="1" x14ac:dyDescent="0.2">
      <c r="AS290" s="209"/>
      <c r="AT290" s="209"/>
      <c r="AU290" s="209"/>
      <c r="AV290" s="209"/>
      <c r="AW290" s="209"/>
      <c r="AX290" s="209"/>
      <c r="AY290" s="209"/>
      <c r="AZ290" s="209"/>
      <c r="BA290" s="209"/>
      <c r="BB290" s="209"/>
      <c r="BC290" s="209"/>
      <c r="BD290" s="209"/>
      <c r="BE290" s="209"/>
    </row>
    <row r="291" spans="45:57" ht="15" customHeight="1" x14ac:dyDescent="0.2">
      <c r="AS291" s="209"/>
      <c r="AT291" s="209"/>
      <c r="AU291" s="209"/>
      <c r="AV291" s="209"/>
      <c r="AW291" s="209"/>
      <c r="AX291" s="209"/>
      <c r="AY291" s="209"/>
      <c r="AZ291" s="209"/>
      <c r="BA291" s="209"/>
      <c r="BB291" s="209"/>
      <c r="BC291" s="209"/>
      <c r="BD291" s="209"/>
      <c r="BE291" s="209"/>
    </row>
    <row r="292" spans="45:57" ht="15" customHeight="1" x14ac:dyDescent="0.2">
      <c r="AS292" s="209"/>
      <c r="AT292" s="209"/>
      <c r="AU292" s="209"/>
      <c r="AV292" s="209"/>
      <c r="AW292" s="209"/>
      <c r="AX292" s="209"/>
      <c r="AY292" s="209"/>
      <c r="AZ292" s="209"/>
      <c r="BA292" s="209"/>
      <c r="BB292" s="209"/>
      <c r="BC292" s="209"/>
      <c r="BD292" s="209"/>
      <c r="BE292" s="209"/>
    </row>
    <row r="293" spans="45:57" ht="15" customHeight="1" x14ac:dyDescent="0.2">
      <c r="AS293" s="209"/>
      <c r="AT293" s="209"/>
      <c r="AU293" s="209"/>
      <c r="AV293" s="209"/>
      <c r="AW293" s="209"/>
      <c r="AX293" s="209"/>
      <c r="AY293" s="209"/>
      <c r="AZ293" s="209"/>
      <c r="BA293" s="209"/>
      <c r="BB293" s="209"/>
      <c r="BC293" s="209"/>
      <c r="BD293" s="209"/>
      <c r="BE293" s="209"/>
    </row>
    <row r="294" spans="45:57" ht="15" customHeight="1" x14ac:dyDescent="0.2">
      <c r="AS294" s="209"/>
      <c r="AT294" s="209"/>
      <c r="AU294" s="209"/>
      <c r="AV294" s="209"/>
      <c r="AW294" s="209"/>
      <c r="AX294" s="209"/>
      <c r="AY294" s="209"/>
      <c r="AZ294" s="209"/>
      <c r="BA294" s="209"/>
      <c r="BB294" s="209"/>
      <c r="BC294" s="209"/>
      <c r="BD294" s="209"/>
      <c r="BE294" s="209"/>
    </row>
    <row r="295" spans="45:57" ht="15" customHeight="1" x14ac:dyDescent="0.2">
      <c r="AS295" s="209"/>
      <c r="AT295" s="209"/>
      <c r="AU295" s="209"/>
      <c r="AV295" s="209"/>
      <c r="AW295" s="209"/>
      <c r="AX295" s="209"/>
      <c r="AY295" s="209"/>
      <c r="AZ295" s="209"/>
      <c r="BA295" s="209"/>
      <c r="BB295" s="209"/>
      <c r="BC295" s="209"/>
      <c r="BD295" s="209"/>
      <c r="BE295" s="209"/>
    </row>
    <row r="296" spans="45:57" ht="15" customHeight="1" x14ac:dyDescent="0.2">
      <c r="AS296" s="209"/>
      <c r="AT296" s="209"/>
      <c r="AU296" s="209"/>
      <c r="AV296" s="209"/>
      <c r="AW296" s="209"/>
      <c r="AX296" s="209"/>
      <c r="AY296" s="209"/>
      <c r="AZ296" s="209"/>
      <c r="BA296" s="209"/>
      <c r="BB296" s="209"/>
      <c r="BC296" s="209"/>
      <c r="BD296" s="209"/>
      <c r="BE296" s="209"/>
    </row>
    <row r="297" spans="45:57" ht="15" customHeight="1" x14ac:dyDescent="0.2">
      <c r="AS297" s="209"/>
      <c r="AT297" s="209"/>
      <c r="AU297" s="209"/>
      <c r="AV297" s="209"/>
      <c r="AW297" s="209"/>
      <c r="AX297" s="209"/>
      <c r="AY297" s="209"/>
      <c r="AZ297" s="209"/>
      <c r="BA297" s="209"/>
      <c r="BB297" s="209"/>
      <c r="BC297" s="209"/>
      <c r="BD297" s="209"/>
      <c r="BE297" s="209"/>
    </row>
    <row r="298" spans="45:57" ht="15" customHeight="1" x14ac:dyDescent="0.2">
      <c r="AS298" s="209"/>
      <c r="AT298" s="209"/>
      <c r="AU298" s="209"/>
      <c r="AV298" s="209"/>
      <c r="AW298" s="209"/>
      <c r="AX298" s="209"/>
      <c r="AY298" s="209"/>
      <c r="AZ298" s="209"/>
      <c r="BA298" s="209"/>
      <c r="BB298" s="209"/>
      <c r="BC298" s="209"/>
      <c r="BD298" s="209"/>
      <c r="BE298" s="209"/>
    </row>
    <row r="299" spans="45:57" ht="15" customHeight="1" x14ac:dyDescent="0.2">
      <c r="AS299" s="209"/>
      <c r="AT299" s="209"/>
      <c r="AU299" s="209"/>
      <c r="AV299" s="209"/>
      <c r="AW299" s="209"/>
      <c r="AX299" s="209"/>
      <c r="AY299" s="209"/>
      <c r="AZ299" s="209"/>
      <c r="BA299" s="209"/>
      <c r="BB299" s="209"/>
      <c r="BC299" s="209"/>
      <c r="BD299" s="209"/>
      <c r="BE299" s="209"/>
    </row>
    <row r="300" spans="45:57" ht="15" customHeight="1" x14ac:dyDescent="0.2">
      <c r="AS300" s="209"/>
      <c r="AT300" s="209"/>
      <c r="AU300" s="209"/>
      <c r="AV300" s="209"/>
      <c r="AW300" s="209"/>
      <c r="AX300" s="209"/>
      <c r="AY300" s="209"/>
      <c r="AZ300" s="209"/>
      <c r="BA300" s="209"/>
      <c r="BB300" s="209"/>
      <c r="BC300" s="209"/>
      <c r="BD300" s="209"/>
      <c r="BE300" s="209"/>
    </row>
    <row r="301" spans="45:57" ht="15" customHeight="1" x14ac:dyDescent="0.2">
      <c r="AS301" s="209"/>
      <c r="AT301" s="209"/>
      <c r="AU301" s="209"/>
      <c r="AV301" s="209"/>
      <c r="AW301" s="209"/>
      <c r="AX301" s="209"/>
      <c r="AY301" s="209"/>
      <c r="AZ301" s="209"/>
      <c r="BA301" s="209"/>
      <c r="BB301" s="209"/>
      <c r="BC301" s="209"/>
      <c r="BD301" s="209"/>
      <c r="BE301" s="209"/>
    </row>
    <row r="302" spans="45:57" ht="15" customHeight="1" x14ac:dyDescent="0.2">
      <c r="AS302" s="209"/>
      <c r="AT302" s="209"/>
      <c r="AU302" s="209"/>
      <c r="AV302" s="209"/>
      <c r="AW302" s="209"/>
      <c r="AX302" s="209"/>
      <c r="AY302" s="209"/>
      <c r="AZ302" s="209"/>
      <c r="BA302" s="209"/>
      <c r="BB302" s="209"/>
      <c r="BC302" s="209"/>
      <c r="BD302" s="209"/>
      <c r="BE302" s="209"/>
    </row>
    <row r="303" spans="45:57" ht="15" customHeight="1" x14ac:dyDescent="0.2">
      <c r="AS303" s="209"/>
      <c r="AT303" s="209"/>
      <c r="AU303" s="209"/>
      <c r="AV303" s="209"/>
      <c r="AW303" s="209"/>
      <c r="AX303" s="209"/>
      <c r="AY303" s="209"/>
      <c r="AZ303" s="209"/>
      <c r="BA303" s="209"/>
      <c r="BB303" s="209"/>
      <c r="BC303" s="209"/>
      <c r="BD303" s="209"/>
      <c r="BE303" s="209"/>
    </row>
    <row r="304" spans="45:57" ht="15" customHeight="1" x14ac:dyDescent="0.2">
      <c r="AS304" s="209"/>
      <c r="AT304" s="209"/>
      <c r="AU304" s="209"/>
      <c r="AV304" s="209"/>
      <c r="AW304" s="209"/>
      <c r="AX304" s="209"/>
      <c r="AY304" s="209"/>
      <c r="AZ304" s="209"/>
      <c r="BA304" s="209"/>
      <c r="BB304" s="209"/>
      <c r="BC304" s="209"/>
      <c r="BD304" s="209"/>
      <c r="BE304" s="209"/>
    </row>
    <row r="305" spans="45:57" ht="15" customHeight="1" x14ac:dyDescent="0.2">
      <c r="AS305" s="209"/>
      <c r="AT305" s="209"/>
      <c r="AU305" s="209"/>
      <c r="AV305" s="209"/>
      <c r="AW305" s="209"/>
      <c r="AX305" s="209"/>
      <c r="AY305" s="209"/>
      <c r="AZ305" s="209"/>
      <c r="BA305" s="209"/>
      <c r="BB305" s="209"/>
      <c r="BC305" s="209"/>
      <c r="BD305" s="209"/>
      <c r="BE305" s="209"/>
    </row>
    <row r="306" spans="45:57" ht="15" customHeight="1" x14ac:dyDescent="0.2">
      <c r="AS306" s="209"/>
      <c r="AT306" s="209"/>
      <c r="AU306" s="209"/>
      <c r="AV306" s="209"/>
      <c r="AW306" s="209"/>
      <c r="AX306" s="209"/>
      <c r="AY306" s="209"/>
      <c r="AZ306" s="209"/>
      <c r="BA306" s="209"/>
      <c r="BB306" s="209"/>
      <c r="BC306" s="209"/>
      <c r="BD306" s="209"/>
      <c r="BE306" s="209"/>
    </row>
    <row r="307" spans="45:57" ht="15" customHeight="1" x14ac:dyDescent="0.2">
      <c r="AS307" s="209"/>
      <c r="AT307" s="209"/>
      <c r="AU307" s="209"/>
      <c r="AV307" s="209"/>
      <c r="AW307" s="209"/>
      <c r="AX307" s="209"/>
      <c r="AY307" s="209"/>
      <c r="AZ307" s="209"/>
      <c r="BA307" s="209"/>
      <c r="BB307" s="209"/>
      <c r="BC307" s="209"/>
      <c r="BD307" s="209"/>
      <c r="BE307" s="209"/>
    </row>
    <row r="308" spans="45:57" ht="15" customHeight="1" x14ac:dyDescent="0.2">
      <c r="AS308" s="209"/>
      <c r="AT308" s="209"/>
      <c r="AU308" s="209"/>
      <c r="AV308" s="209"/>
      <c r="AW308" s="209"/>
      <c r="AX308" s="209"/>
      <c r="AY308" s="209"/>
      <c r="AZ308" s="209"/>
      <c r="BA308" s="209"/>
      <c r="BB308" s="209"/>
      <c r="BC308" s="209"/>
      <c r="BD308" s="209"/>
      <c r="BE308" s="209"/>
    </row>
    <row r="309" spans="45:57" ht="15" customHeight="1" x14ac:dyDescent="0.2">
      <c r="AS309" s="209"/>
      <c r="AT309" s="209"/>
      <c r="AU309" s="209"/>
      <c r="AV309" s="209"/>
      <c r="AW309" s="209"/>
      <c r="AX309" s="209"/>
      <c r="AY309" s="209"/>
      <c r="AZ309" s="209"/>
      <c r="BA309" s="209"/>
      <c r="BB309" s="209"/>
      <c r="BC309" s="209"/>
      <c r="BD309" s="209"/>
      <c r="BE309" s="209"/>
    </row>
    <row r="310" spans="45:57" ht="15" customHeight="1" x14ac:dyDescent="0.2">
      <c r="AS310" s="209"/>
      <c r="AT310" s="209"/>
      <c r="AU310" s="209"/>
      <c r="AV310" s="209"/>
      <c r="AW310" s="209"/>
      <c r="AX310" s="209"/>
      <c r="AY310" s="209"/>
      <c r="AZ310" s="209"/>
      <c r="BA310" s="209"/>
      <c r="BB310" s="209"/>
      <c r="BC310" s="209"/>
      <c r="BD310" s="209"/>
      <c r="BE310" s="209"/>
    </row>
    <row r="311" spans="45:57" ht="15" customHeight="1" x14ac:dyDescent="0.2">
      <c r="AS311" s="209"/>
      <c r="AT311" s="209"/>
      <c r="AU311" s="209"/>
      <c r="AV311" s="209"/>
      <c r="AW311" s="209"/>
      <c r="AX311" s="209"/>
      <c r="AY311" s="209"/>
      <c r="AZ311" s="209"/>
      <c r="BA311" s="209"/>
      <c r="BB311" s="209"/>
      <c r="BC311" s="209"/>
      <c r="BD311" s="209"/>
      <c r="BE311" s="209"/>
    </row>
    <row r="312" spans="45:57" ht="15" customHeight="1" x14ac:dyDescent="0.2">
      <c r="AS312" s="209"/>
      <c r="AT312" s="209"/>
      <c r="AU312" s="209"/>
      <c r="AV312" s="209"/>
      <c r="AW312" s="209"/>
      <c r="AX312" s="209"/>
      <c r="AY312" s="209"/>
      <c r="AZ312" s="209"/>
      <c r="BA312" s="209"/>
      <c r="BB312" s="209"/>
      <c r="BC312" s="209"/>
      <c r="BD312" s="209"/>
      <c r="BE312" s="209"/>
    </row>
    <row r="313" spans="45:57" ht="15" customHeight="1" x14ac:dyDescent="0.2">
      <c r="AS313" s="209"/>
      <c r="AT313" s="209"/>
      <c r="AU313" s="209"/>
      <c r="AV313" s="209"/>
      <c r="AW313" s="209"/>
      <c r="AX313" s="209"/>
      <c r="AY313" s="209"/>
      <c r="AZ313" s="209"/>
      <c r="BA313" s="209"/>
      <c r="BB313" s="209"/>
      <c r="BC313" s="209"/>
      <c r="BD313" s="209"/>
      <c r="BE313" s="209"/>
    </row>
    <row r="314" spans="45:57" ht="15" customHeight="1" x14ac:dyDescent="0.2">
      <c r="AS314" s="209"/>
      <c r="AT314" s="209"/>
      <c r="AU314" s="209"/>
      <c r="AV314" s="209"/>
      <c r="AW314" s="209"/>
      <c r="AX314" s="209"/>
      <c r="AY314" s="209"/>
      <c r="AZ314" s="209"/>
      <c r="BA314" s="209"/>
      <c r="BB314" s="209"/>
      <c r="BC314" s="209"/>
      <c r="BD314" s="209"/>
      <c r="BE314" s="209"/>
    </row>
    <row r="315" spans="45:57" ht="15" customHeight="1" x14ac:dyDescent="0.2">
      <c r="AS315" s="209"/>
      <c r="AT315" s="209"/>
      <c r="AU315" s="209"/>
      <c r="AV315" s="209"/>
      <c r="AW315" s="209"/>
      <c r="AX315" s="209"/>
      <c r="AY315" s="209"/>
      <c r="AZ315" s="209"/>
      <c r="BA315" s="209"/>
      <c r="BB315" s="209"/>
      <c r="BC315" s="209"/>
      <c r="BD315" s="209"/>
      <c r="BE315" s="209"/>
    </row>
    <row r="316" spans="45:57" ht="15" customHeight="1" x14ac:dyDescent="0.2">
      <c r="AS316" s="209"/>
      <c r="AT316" s="209"/>
      <c r="AU316" s="209"/>
      <c r="AV316" s="209"/>
      <c r="AW316" s="209"/>
      <c r="AX316" s="209"/>
      <c r="AY316" s="209"/>
      <c r="AZ316" s="209"/>
      <c r="BA316" s="209"/>
      <c r="BB316" s="209"/>
      <c r="BC316" s="209"/>
      <c r="BD316" s="209"/>
      <c r="BE316" s="209"/>
    </row>
    <row r="317" spans="45:57" ht="15" customHeight="1" x14ac:dyDescent="0.2">
      <c r="AS317" s="209"/>
      <c r="AT317" s="209"/>
      <c r="AU317" s="209"/>
      <c r="AV317" s="209"/>
      <c r="AW317" s="209"/>
      <c r="AX317" s="209"/>
      <c r="AY317" s="209"/>
      <c r="AZ317" s="209"/>
      <c r="BA317" s="209"/>
      <c r="BB317" s="209"/>
      <c r="BC317" s="209"/>
      <c r="BD317" s="209"/>
      <c r="BE317" s="209"/>
    </row>
    <row r="318" spans="45:57" ht="15" customHeight="1" x14ac:dyDescent="0.2">
      <c r="AS318" s="209"/>
      <c r="AT318" s="209"/>
      <c r="AU318" s="209"/>
      <c r="AV318" s="209"/>
      <c r="AW318" s="209"/>
      <c r="AX318" s="209"/>
      <c r="AY318" s="209"/>
      <c r="AZ318" s="209"/>
      <c r="BA318" s="209"/>
      <c r="BB318" s="209"/>
      <c r="BC318" s="209"/>
      <c r="BD318" s="209"/>
      <c r="BE318" s="209"/>
    </row>
    <row r="319" spans="45:57" ht="15" customHeight="1" x14ac:dyDescent="0.2">
      <c r="AS319" s="209"/>
      <c r="AT319" s="209"/>
      <c r="AU319" s="209"/>
      <c r="AV319" s="209"/>
      <c r="AW319" s="209"/>
      <c r="AX319" s="209"/>
      <c r="AY319" s="209"/>
      <c r="AZ319" s="209"/>
      <c r="BA319" s="209"/>
      <c r="BB319" s="209"/>
      <c r="BC319" s="209"/>
      <c r="BD319" s="209"/>
      <c r="BE319" s="209"/>
    </row>
    <row r="320" spans="45:57" ht="15" customHeight="1" x14ac:dyDescent="0.2">
      <c r="AS320" s="209"/>
      <c r="AT320" s="209"/>
      <c r="AU320" s="209"/>
      <c r="AV320" s="209"/>
      <c r="AW320" s="209"/>
      <c r="AX320" s="209"/>
      <c r="AY320" s="209"/>
      <c r="AZ320" s="209"/>
      <c r="BA320" s="209"/>
      <c r="BB320" s="209"/>
      <c r="BC320" s="209"/>
      <c r="BD320" s="209"/>
      <c r="BE320" s="209"/>
    </row>
    <row r="321" spans="45:57" ht="15" customHeight="1" x14ac:dyDescent="0.2">
      <c r="AS321" s="209"/>
      <c r="AT321" s="209"/>
      <c r="AU321" s="209"/>
      <c r="AV321" s="209"/>
      <c r="AW321" s="209"/>
      <c r="AX321" s="209"/>
      <c r="AY321" s="209"/>
      <c r="AZ321" s="209"/>
      <c r="BA321" s="209"/>
      <c r="BB321" s="209"/>
      <c r="BC321" s="209"/>
      <c r="BD321" s="209"/>
      <c r="BE321" s="209"/>
    </row>
    <row r="322" spans="45:57" ht="15" customHeight="1" x14ac:dyDescent="0.2">
      <c r="AS322" s="209"/>
      <c r="AT322" s="209"/>
      <c r="AU322" s="209"/>
      <c r="AV322" s="209"/>
      <c r="AW322" s="209"/>
      <c r="AX322" s="209"/>
      <c r="AY322" s="209"/>
      <c r="AZ322" s="209"/>
      <c r="BA322" s="209"/>
      <c r="BB322" s="209"/>
      <c r="BC322" s="209"/>
      <c r="BD322" s="209"/>
      <c r="BE322" s="209"/>
    </row>
    <row r="323" spans="45:57" ht="15" customHeight="1" x14ac:dyDescent="0.2">
      <c r="AS323" s="209"/>
      <c r="AT323" s="209"/>
      <c r="AU323" s="209"/>
      <c r="AV323" s="209"/>
      <c r="AW323" s="209"/>
      <c r="AX323" s="209"/>
      <c r="AY323" s="209"/>
      <c r="AZ323" s="209"/>
      <c r="BA323" s="209"/>
      <c r="BB323" s="209"/>
      <c r="BC323" s="209"/>
      <c r="BD323" s="209"/>
      <c r="BE323" s="209"/>
    </row>
    <row r="324" spans="45:57" ht="15" customHeight="1" x14ac:dyDescent="0.2">
      <c r="AS324" s="209"/>
      <c r="AT324" s="209"/>
      <c r="AU324" s="209"/>
      <c r="AV324" s="209"/>
      <c r="AW324" s="209"/>
      <c r="AX324" s="209"/>
      <c r="AY324" s="209"/>
      <c r="AZ324" s="209"/>
      <c r="BA324" s="209"/>
      <c r="BB324" s="209"/>
      <c r="BC324" s="209"/>
      <c r="BD324" s="209"/>
      <c r="BE324" s="209"/>
    </row>
    <row r="325" spans="45:57" ht="15" customHeight="1" x14ac:dyDescent="0.2">
      <c r="AS325" s="209"/>
      <c r="AT325" s="209"/>
      <c r="AU325" s="209"/>
      <c r="AV325" s="209"/>
      <c r="AW325" s="209"/>
      <c r="AX325" s="209"/>
      <c r="AY325" s="209"/>
      <c r="AZ325" s="209"/>
      <c r="BA325" s="209"/>
      <c r="BB325" s="209"/>
      <c r="BC325" s="209"/>
      <c r="BD325" s="209"/>
      <c r="BE325" s="209"/>
    </row>
    <row r="326" spans="45:57" ht="15" customHeight="1" x14ac:dyDescent="0.2">
      <c r="AS326" s="209"/>
      <c r="AT326" s="209"/>
      <c r="AU326" s="209"/>
      <c r="AV326" s="209"/>
      <c r="AW326" s="209"/>
      <c r="AX326" s="209"/>
      <c r="AY326" s="209"/>
      <c r="AZ326" s="209"/>
      <c r="BA326" s="209"/>
      <c r="BB326" s="209"/>
      <c r="BC326" s="209"/>
      <c r="BD326" s="209"/>
      <c r="BE326" s="209"/>
    </row>
    <row r="327" spans="45:57" ht="15" customHeight="1" x14ac:dyDescent="0.2">
      <c r="AS327" s="209"/>
      <c r="AT327" s="209"/>
      <c r="AU327" s="209"/>
      <c r="AV327" s="209"/>
      <c r="AW327" s="209"/>
      <c r="AX327" s="209"/>
      <c r="AY327" s="209"/>
      <c r="AZ327" s="209"/>
      <c r="BA327" s="209"/>
      <c r="BB327" s="209"/>
      <c r="BC327" s="209"/>
      <c r="BD327" s="209"/>
      <c r="BE327" s="209"/>
    </row>
    <row r="328" spans="45:57" ht="15" customHeight="1" x14ac:dyDescent="0.2">
      <c r="AS328" s="209"/>
      <c r="AT328" s="209"/>
      <c r="AU328" s="209"/>
      <c r="AV328" s="209"/>
      <c r="AW328" s="209"/>
      <c r="AX328" s="209"/>
      <c r="AY328" s="209"/>
      <c r="AZ328" s="209"/>
      <c r="BA328" s="209"/>
      <c r="BB328" s="209"/>
      <c r="BC328" s="209"/>
      <c r="BD328" s="209"/>
      <c r="BE328" s="209"/>
    </row>
    <row r="329" spans="45:57" ht="15" customHeight="1" x14ac:dyDescent="0.2">
      <c r="AS329" s="209"/>
      <c r="AT329" s="209"/>
      <c r="AU329" s="209"/>
      <c r="AV329" s="209"/>
      <c r="AW329" s="209"/>
      <c r="AX329" s="209"/>
      <c r="AY329" s="209"/>
      <c r="AZ329" s="209"/>
      <c r="BA329" s="209"/>
      <c r="BB329" s="209"/>
      <c r="BC329" s="209"/>
      <c r="BD329" s="209"/>
      <c r="BE329" s="209"/>
    </row>
    <row r="330" spans="45:57" ht="15" customHeight="1" x14ac:dyDescent="0.2">
      <c r="AS330" s="209"/>
      <c r="AT330" s="209"/>
      <c r="AU330" s="209"/>
      <c r="AV330" s="209"/>
      <c r="AW330" s="209"/>
      <c r="AX330" s="209"/>
      <c r="AY330" s="209"/>
      <c r="AZ330" s="209"/>
      <c r="BA330" s="209"/>
      <c r="BB330" s="209"/>
      <c r="BC330" s="209"/>
      <c r="BD330" s="209"/>
      <c r="BE330" s="209"/>
    </row>
    <row r="331" spans="45:57" ht="15" customHeight="1" x14ac:dyDescent="0.2">
      <c r="AS331" s="209"/>
      <c r="AT331" s="209"/>
      <c r="AU331" s="209"/>
      <c r="AV331" s="209"/>
      <c r="AW331" s="209"/>
      <c r="AX331" s="209"/>
      <c r="AY331" s="209"/>
      <c r="AZ331" s="209"/>
      <c r="BA331" s="209"/>
      <c r="BB331" s="209"/>
      <c r="BC331" s="209"/>
      <c r="BD331" s="209"/>
      <c r="BE331" s="209"/>
    </row>
    <row r="332" spans="45:57" ht="15" customHeight="1" x14ac:dyDescent="0.2">
      <c r="AS332" s="209"/>
      <c r="AT332" s="209"/>
      <c r="AU332" s="209"/>
      <c r="AV332" s="209"/>
      <c r="AW332" s="209"/>
      <c r="AX332" s="209"/>
      <c r="AY332" s="209"/>
      <c r="AZ332" s="209"/>
      <c r="BA332" s="209"/>
      <c r="BB332" s="209"/>
      <c r="BC332" s="209"/>
      <c r="BD332" s="209"/>
      <c r="BE332" s="209"/>
    </row>
    <row r="333" spans="45:57" ht="15" customHeight="1" x14ac:dyDescent="0.2">
      <c r="AS333" s="209"/>
      <c r="AT333" s="209"/>
      <c r="AU333" s="209"/>
      <c r="AV333" s="209"/>
      <c r="AW333" s="209"/>
      <c r="AX333" s="209"/>
      <c r="AY333" s="209"/>
      <c r="AZ333" s="209"/>
      <c r="BA333" s="209"/>
      <c r="BB333" s="209"/>
      <c r="BC333" s="209"/>
      <c r="BD333" s="209"/>
      <c r="BE333" s="209"/>
    </row>
    <row r="334" spans="45:57" ht="15" customHeight="1" x14ac:dyDescent="0.2">
      <c r="AS334" s="209"/>
      <c r="AT334" s="209"/>
      <c r="AU334" s="209"/>
      <c r="AV334" s="209"/>
      <c r="AW334" s="209"/>
      <c r="AX334" s="209"/>
      <c r="AY334" s="209"/>
      <c r="AZ334" s="209"/>
      <c r="BA334" s="209"/>
      <c r="BB334" s="209"/>
      <c r="BC334" s="209"/>
      <c r="BD334" s="209"/>
      <c r="BE334" s="209"/>
    </row>
    <row r="335" spans="45:57" ht="15" customHeight="1" x14ac:dyDescent="0.2">
      <c r="AS335" s="209"/>
      <c r="AT335" s="209"/>
      <c r="AU335" s="209"/>
      <c r="AV335" s="209"/>
      <c r="AW335" s="209"/>
      <c r="AX335" s="209"/>
      <c r="AY335" s="209"/>
      <c r="AZ335" s="209"/>
      <c r="BA335" s="209"/>
      <c r="BB335" s="209"/>
      <c r="BC335" s="209"/>
      <c r="BD335" s="209"/>
      <c r="BE335" s="209"/>
    </row>
    <row r="336" spans="45:57" ht="15" customHeight="1" x14ac:dyDescent="0.2">
      <c r="AS336" s="209"/>
      <c r="AT336" s="209"/>
      <c r="AU336" s="209"/>
      <c r="AV336" s="209"/>
      <c r="AW336" s="209"/>
      <c r="AX336" s="209"/>
      <c r="AY336" s="209"/>
      <c r="AZ336" s="209"/>
      <c r="BA336" s="209"/>
      <c r="BB336" s="209"/>
      <c r="BC336" s="209"/>
      <c r="BD336" s="209"/>
      <c r="BE336" s="209"/>
    </row>
    <row r="337" spans="45:57" ht="15" customHeight="1" x14ac:dyDescent="0.2">
      <c r="AS337" s="209"/>
      <c r="AT337" s="209"/>
      <c r="AU337" s="209"/>
      <c r="AV337" s="209"/>
      <c r="AW337" s="209"/>
      <c r="AX337" s="209"/>
      <c r="AY337" s="209"/>
      <c r="AZ337" s="209"/>
      <c r="BA337" s="209"/>
      <c r="BB337" s="209"/>
      <c r="BC337" s="209"/>
      <c r="BD337" s="209"/>
      <c r="BE337" s="209"/>
    </row>
    <row r="338" spans="45:57" ht="15" customHeight="1" x14ac:dyDescent="0.2">
      <c r="AS338" s="209"/>
      <c r="AT338" s="209"/>
      <c r="AU338" s="209"/>
      <c r="AV338" s="209"/>
      <c r="AW338" s="209"/>
      <c r="AX338" s="209"/>
      <c r="AY338" s="209"/>
      <c r="AZ338" s="209"/>
      <c r="BA338" s="209"/>
      <c r="BB338" s="209"/>
      <c r="BC338" s="209"/>
      <c r="BD338" s="209"/>
      <c r="BE338" s="209"/>
    </row>
    <row r="339" spans="45:57" ht="15" customHeight="1" x14ac:dyDescent="0.2">
      <c r="AS339" s="209"/>
      <c r="AT339" s="209"/>
      <c r="AU339" s="209"/>
      <c r="AV339" s="209"/>
      <c r="AW339" s="209"/>
      <c r="AX339" s="209"/>
      <c r="AY339" s="209"/>
      <c r="AZ339" s="209"/>
      <c r="BA339" s="209"/>
      <c r="BB339" s="209"/>
      <c r="BC339" s="209"/>
      <c r="BD339" s="209"/>
      <c r="BE339" s="209"/>
    </row>
    <row r="340" spans="45:57" ht="15" customHeight="1" x14ac:dyDescent="0.2">
      <c r="AS340" s="209"/>
      <c r="AT340" s="209"/>
      <c r="AU340" s="209"/>
      <c r="AV340" s="209"/>
      <c r="AW340" s="209"/>
      <c r="AX340" s="209"/>
      <c r="AY340" s="209"/>
      <c r="AZ340" s="209"/>
      <c r="BA340" s="209"/>
      <c r="BB340" s="209"/>
      <c r="BC340" s="209"/>
      <c r="BD340" s="209"/>
      <c r="BE340" s="209"/>
    </row>
    <row r="341" spans="45:57" ht="15" customHeight="1" x14ac:dyDescent="0.2">
      <c r="AS341" s="209"/>
      <c r="AT341" s="209"/>
      <c r="AU341" s="209"/>
      <c r="AV341" s="209"/>
      <c r="AW341" s="209"/>
      <c r="AX341" s="209"/>
      <c r="AY341" s="209"/>
      <c r="AZ341" s="209"/>
      <c r="BA341" s="209"/>
      <c r="BB341" s="209"/>
      <c r="BC341" s="209"/>
      <c r="BD341" s="209"/>
      <c r="BE341" s="209"/>
    </row>
    <row r="342" spans="45:57" ht="15" customHeight="1" x14ac:dyDescent="0.2">
      <c r="AS342" s="209"/>
      <c r="AT342" s="209"/>
      <c r="AU342" s="209"/>
      <c r="AV342" s="209"/>
      <c r="AW342" s="209"/>
      <c r="AX342" s="209"/>
      <c r="AY342" s="209"/>
      <c r="AZ342" s="209"/>
      <c r="BA342" s="209"/>
      <c r="BB342" s="209"/>
      <c r="BC342" s="209"/>
      <c r="BD342" s="209"/>
      <c r="BE342" s="209"/>
    </row>
    <row r="343" spans="45:57" ht="15" customHeight="1" x14ac:dyDescent="0.2">
      <c r="AS343" s="209"/>
      <c r="AT343" s="209"/>
      <c r="AU343" s="209"/>
      <c r="AV343" s="209"/>
      <c r="AW343" s="209"/>
      <c r="AX343" s="209"/>
      <c r="AY343" s="209"/>
      <c r="AZ343" s="209"/>
      <c r="BA343" s="209"/>
      <c r="BB343" s="209"/>
      <c r="BC343" s="209"/>
      <c r="BD343" s="209"/>
      <c r="BE343" s="209"/>
    </row>
    <row r="344" spans="45:57" ht="15" customHeight="1" x14ac:dyDescent="0.2">
      <c r="AS344" s="209"/>
      <c r="AT344" s="209"/>
      <c r="AU344" s="209"/>
      <c r="AV344" s="209"/>
      <c r="AW344" s="209"/>
      <c r="AX344" s="209"/>
      <c r="AY344" s="209"/>
      <c r="AZ344" s="209"/>
      <c r="BA344" s="209"/>
      <c r="BB344" s="209"/>
      <c r="BC344" s="209"/>
      <c r="BD344" s="209"/>
      <c r="BE344" s="209"/>
    </row>
    <row r="345" spans="45:57" ht="15" customHeight="1" x14ac:dyDescent="0.2">
      <c r="AS345" s="209"/>
      <c r="AT345" s="209"/>
      <c r="AU345" s="209"/>
      <c r="AV345" s="209"/>
      <c r="AW345" s="209"/>
      <c r="AX345" s="209"/>
      <c r="AY345" s="209"/>
      <c r="AZ345" s="209"/>
      <c r="BA345" s="209"/>
      <c r="BB345" s="209"/>
      <c r="BC345" s="209"/>
      <c r="BD345" s="209"/>
      <c r="BE345" s="209"/>
    </row>
    <row r="346" spans="45:57" ht="15" customHeight="1" x14ac:dyDescent="0.2">
      <c r="AS346" s="209"/>
      <c r="AT346" s="209"/>
      <c r="AU346" s="209"/>
      <c r="AV346" s="209"/>
      <c r="AW346" s="209"/>
      <c r="AX346" s="209"/>
      <c r="AY346" s="209"/>
      <c r="AZ346" s="209"/>
      <c r="BA346" s="209"/>
      <c r="BB346" s="209"/>
      <c r="BC346" s="209"/>
      <c r="BD346" s="209"/>
      <c r="BE346" s="209"/>
    </row>
    <row r="347" spans="45:57" ht="15" customHeight="1" x14ac:dyDescent="0.2">
      <c r="AS347" s="209"/>
      <c r="AT347" s="209"/>
      <c r="AU347" s="209"/>
      <c r="AV347" s="209"/>
      <c r="AW347" s="209"/>
      <c r="AX347" s="209"/>
      <c r="AY347" s="209"/>
      <c r="AZ347" s="209"/>
      <c r="BA347" s="209"/>
      <c r="BB347" s="209"/>
      <c r="BC347" s="209"/>
      <c r="BD347" s="209"/>
      <c r="BE347" s="209"/>
    </row>
    <row r="348" spans="45:57" ht="15" customHeight="1" x14ac:dyDescent="0.2">
      <c r="AS348" s="209"/>
      <c r="AT348" s="209"/>
      <c r="AU348" s="209"/>
      <c r="AV348" s="209"/>
      <c r="AW348" s="209"/>
      <c r="AX348" s="209"/>
      <c r="AY348" s="209"/>
      <c r="AZ348" s="209"/>
      <c r="BA348" s="209"/>
      <c r="BB348" s="209"/>
      <c r="BC348" s="209"/>
      <c r="BD348" s="209"/>
      <c r="BE348" s="209"/>
    </row>
    <row r="349" spans="45:57" ht="15" customHeight="1" x14ac:dyDescent="0.2">
      <c r="AS349" s="209"/>
      <c r="AT349" s="209"/>
      <c r="AU349" s="209"/>
      <c r="AV349" s="209"/>
      <c r="AW349" s="209"/>
      <c r="AX349" s="209"/>
      <c r="AY349" s="209"/>
      <c r="AZ349" s="209"/>
      <c r="BA349" s="209"/>
      <c r="BB349" s="209"/>
      <c r="BC349" s="209"/>
      <c r="BD349" s="209"/>
      <c r="BE349" s="209"/>
    </row>
    <row r="350" spans="45:57" ht="15" customHeight="1" x14ac:dyDescent="0.2">
      <c r="AS350" s="209"/>
      <c r="AT350" s="209"/>
      <c r="AU350" s="209"/>
      <c r="AV350" s="209"/>
      <c r="AW350" s="209"/>
      <c r="AX350" s="209"/>
      <c r="AY350" s="209"/>
      <c r="AZ350" s="209"/>
      <c r="BA350" s="209"/>
      <c r="BB350" s="209"/>
      <c r="BC350" s="209"/>
      <c r="BD350" s="209"/>
      <c r="BE350" s="209"/>
    </row>
    <row r="351" spans="45:57" ht="15" customHeight="1" x14ac:dyDescent="0.2">
      <c r="AS351" s="209"/>
      <c r="AT351" s="209"/>
      <c r="AU351" s="209"/>
      <c r="AV351" s="209"/>
      <c r="AW351" s="209"/>
      <c r="AX351" s="209"/>
      <c r="AY351" s="209"/>
      <c r="AZ351" s="209"/>
      <c r="BA351" s="209"/>
      <c r="BB351" s="209"/>
      <c r="BC351" s="209"/>
      <c r="BD351" s="209"/>
      <c r="BE351" s="209"/>
    </row>
    <row r="352" spans="45:57" ht="15" customHeight="1" x14ac:dyDescent="0.2">
      <c r="AS352" s="209"/>
      <c r="AT352" s="209"/>
      <c r="AU352" s="209"/>
      <c r="AV352" s="209"/>
      <c r="AW352" s="209"/>
      <c r="AX352" s="209"/>
      <c r="AY352" s="209"/>
      <c r="AZ352" s="209"/>
      <c r="BA352" s="209"/>
      <c r="BB352" s="209"/>
      <c r="BC352" s="209"/>
      <c r="BD352" s="209"/>
      <c r="BE352" s="209"/>
    </row>
    <row r="353" spans="45:57" ht="15" customHeight="1" x14ac:dyDescent="0.2">
      <c r="AS353" s="209"/>
      <c r="AT353" s="209"/>
      <c r="AU353" s="209"/>
      <c r="AV353" s="209"/>
      <c r="AW353" s="209"/>
      <c r="AX353" s="209"/>
      <c r="AY353" s="209"/>
      <c r="AZ353" s="209"/>
      <c r="BA353" s="209"/>
      <c r="BB353" s="209"/>
      <c r="BC353" s="209"/>
      <c r="BD353" s="209"/>
      <c r="BE353" s="209"/>
    </row>
    <row r="354" spans="45:57" ht="15" customHeight="1" x14ac:dyDescent="0.2">
      <c r="AS354" s="209"/>
      <c r="AT354" s="209"/>
      <c r="AU354" s="209"/>
      <c r="AV354" s="209"/>
      <c r="AW354" s="209"/>
      <c r="AX354" s="209"/>
      <c r="AY354" s="209"/>
      <c r="AZ354" s="209"/>
      <c r="BA354" s="209"/>
      <c r="BB354" s="209"/>
      <c r="BC354" s="209"/>
      <c r="BD354" s="209"/>
      <c r="BE354" s="209"/>
    </row>
    <row r="355" spans="45:57" ht="15" customHeight="1" x14ac:dyDescent="0.2">
      <c r="AS355" s="209"/>
      <c r="AT355" s="209"/>
      <c r="AU355" s="209"/>
      <c r="AV355" s="209"/>
      <c r="AW355" s="209"/>
      <c r="AX355" s="209"/>
      <c r="AY355" s="209"/>
      <c r="AZ355" s="209"/>
      <c r="BA355" s="209"/>
      <c r="BB355" s="209"/>
      <c r="BC355" s="209"/>
      <c r="BD355" s="209"/>
      <c r="BE355" s="209"/>
    </row>
    <row r="356" spans="45:57" ht="15" customHeight="1" x14ac:dyDescent="0.2">
      <c r="AS356" s="209"/>
      <c r="AT356" s="209"/>
      <c r="AU356" s="209"/>
      <c r="AV356" s="209"/>
      <c r="AW356" s="209"/>
      <c r="AX356" s="209"/>
      <c r="AY356" s="209"/>
      <c r="AZ356" s="209"/>
      <c r="BA356" s="209"/>
      <c r="BB356" s="209"/>
      <c r="BC356" s="209"/>
      <c r="BD356" s="209"/>
      <c r="BE356" s="209"/>
    </row>
    <row r="357" spans="45:57" ht="15" customHeight="1" x14ac:dyDescent="0.2">
      <c r="AS357" s="209"/>
      <c r="AT357" s="209"/>
      <c r="AU357" s="209"/>
      <c r="AV357" s="209"/>
      <c r="AW357" s="209"/>
      <c r="AX357" s="209"/>
      <c r="AY357" s="209"/>
      <c r="AZ357" s="209"/>
      <c r="BA357" s="209"/>
      <c r="BB357" s="209"/>
      <c r="BC357" s="209"/>
      <c r="BD357" s="209"/>
      <c r="BE357" s="209"/>
    </row>
    <row r="358" spans="45:57" ht="15" customHeight="1" x14ac:dyDescent="0.2">
      <c r="AS358" s="209"/>
      <c r="AT358" s="209"/>
      <c r="AU358" s="209"/>
      <c r="AV358" s="209"/>
      <c r="AW358" s="209"/>
      <c r="AX358" s="209"/>
      <c r="AY358" s="209"/>
      <c r="AZ358" s="209"/>
      <c r="BA358" s="209"/>
      <c r="BB358" s="209"/>
      <c r="BC358" s="209"/>
      <c r="BD358" s="209"/>
      <c r="BE358" s="209"/>
    </row>
    <row r="359" spans="45:57" ht="15" customHeight="1" x14ac:dyDescent="0.2">
      <c r="AS359" s="209"/>
      <c r="AT359" s="209"/>
      <c r="AU359" s="209"/>
      <c r="AV359" s="209"/>
      <c r="AW359" s="209"/>
      <c r="AX359" s="209"/>
      <c r="AY359" s="209"/>
      <c r="AZ359" s="209"/>
      <c r="BA359" s="209"/>
      <c r="BB359" s="209"/>
      <c r="BC359" s="209"/>
      <c r="BD359" s="209"/>
      <c r="BE359" s="209"/>
    </row>
    <row r="360" spans="45:57" ht="15" customHeight="1" x14ac:dyDescent="0.2">
      <c r="AS360" s="209"/>
      <c r="AT360" s="209"/>
      <c r="AU360" s="209"/>
      <c r="AV360" s="209"/>
      <c r="AW360" s="209"/>
      <c r="AX360" s="209"/>
      <c r="AY360" s="209"/>
      <c r="AZ360" s="209"/>
      <c r="BA360" s="209"/>
      <c r="BB360" s="209"/>
      <c r="BC360" s="209"/>
      <c r="BD360" s="209"/>
      <c r="BE360" s="209"/>
    </row>
    <row r="361" spans="45:57" ht="15" customHeight="1" x14ac:dyDescent="0.2">
      <c r="AS361" s="209"/>
      <c r="AT361" s="209"/>
      <c r="AU361" s="209"/>
      <c r="AV361" s="209"/>
      <c r="AW361" s="209"/>
      <c r="AX361" s="209"/>
      <c r="AY361" s="209"/>
      <c r="AZ361" s="209"/>
      <c r="BA361" s="209"/>
      <c r="BB361" s="209"/>
      <c r="BC361" s="209"/>
      <c r="BD361" s="209"/>
      <c r="BE361" s="209"/>
    </row>
    <row r="362" spans="45:57" ht="15" customHeight="1" x14ac:dyDescent="0.2">
      <c r="AS362" s="209"/>
      <c r="AT362" s="209"/>
      <c r="AU362" s="209"/>
      <c r="AV362" s="209"/>
      <c r="AW362" s="209"/>
      <c r="AX362" s="209"/>
      <c r="AY362" s="209"/>
      <c r="AZ362" s="209"/>
      <c r="BA362" s="209"/>
      <c r="BB362" s="209"/>
      <c r="BC362" s="209"/>
      <c r="BD362" s="209"/>
      <c r="BE362" s="209"/>
    </row>
    <row r="363" spans="45:57" ht="15" customHeight="1" x14ac:dyDescent="0.2">
      <c r="AS363" s="209"/>
      <c r="AT363" s="209"/>
      <c r="AU363" s="209"/>
      <c r="AV363" s="209"/>
      <c r="AW363" s="209"/>
      <c r="AX363" s="209"/>
      <c r="AY363" s="209"/>
      <c r="AZ363" s="209"/>
      <c r="BA363" s="209"/>
      <c r="BB363" s="209"/>
      <c r="BC363" s="209"/>
      <c r="BD363" s="209"/>
      <c r="BE363" s="209"/>
    </row>
    <row r="364" spans="45:57" ht="15" customHeight="1" x14ac:dyDescent="0.2">
      <c r="AS364" s="209"/>
      <c r="AT364" s="209"/>
      <c r="AU364" s="209"/>
      <c r="AV364" s="209"/>
      <c r="AW364" s="209"/>
      <c r="AX364" s="209"/>
      <c r="AY364" s="209"/>
      <c r="AZ364" s="209"/>
      <c r="BA364" s="209"/>
      <c r="BB364" s="209"/>
      <c r="BC364" s="209"/>
      <c r="BD364" s="209"/>
      <c r="BE364" s="209"/>
    </row>
    <row r="365" spans="45:57" ht="15" customHeight="1" x14ac:dyDescent="0.2">
      <c r="AS365" s="209"/>
      <c r="AT365" s="209"/>
      <c r="AU365" s="209"/>
      <c r="AV365" s="209"/>
      <c r="AW365" s="209"/>
      <c r="AX365" s="209"/>
      <c r="AY365" s="209"/>
      <c r="AZ365" s="209"/>
      <c r="BA365" s="209"/>
      <c r="BB365" s="209"/>
      <c r="BC365" s="209"/>
      <c r="BD365" s="209"/>
      <c r="BE365" s="209"/>
    </row>
    <row r="366" spans="45:57" ht="15" customHeight="1" x14ac:dyDescent="0.2">
      <c r="AS366" s="209"/>
      <c r="AT366" s="209"/>
      <c r="AU366" s="209"/>
      <c r="AV366" s="209"/>
      <c r="AW366" s="209"/>
      <c r="AX366" s="209"/>
      <c r="AY366" s="209"/>
      <c r="AZ366" s="209"/>
      <c r="BA366" s="209"/>
      <c r="BB366" s="209"/>
      <c r="BC366" s="209"/>
      <c r="BD366" s="209"/>
      <c r="BE366" s="209"/>
    </row>
    <row r="367" spans="45:57" ht="15" customHeight="1" x14ac:dyDescent="0.2">
      <c r="AS367" s="209"/>
      <c r="AT367" s="209"/>
      <c r="AU367" s="209"/>
      <c r="AV367" s="209"/>
      <c r="AW367" s="209"/>
      <c r="AX367" s="209"/>
      <c r="AY367" s="209"/>
      <c r="AZ367" s="209"/>
      <c r="BA367" s="209"/>
      <c r="BB367" s="209"/>
      <c r="BC367" s="209"/>
      <c r="BD367" s="209"/>
      <c r="BE367" s="209"/>
    </row>
    <row r="368" spans="45:57" ht="15" customHeight="1" x14ac:dyDescent="0.2">
      <c r="AS368" s="209"/>
      <c r="AT368" s="209"/>
      <c r="AU368" s="209"/>
      <c r="AV368" s="209"/>
      <c r="AW368" s="209"/>
      <c r="AX368" s="209"/>
      <c r="AY368" s="209"/>
      <c r="AZ368" s="209"/>
      <c r="BA368" s="209"/>
      <c r="BB368" s="209"/>
      <c r="BC368" s="209"/>
      <c r="BD368" s="209"/>
      <c r="BE368" s="209"/>
    </row>
    <row r="369" spans="45:57" ht="15" customHeight="1" x14ac:dyDescent="0.2">
      <c r="AS369" s="209"/>
      <c r="AT369" s="209"/>
      <c r="AU369" s="209"/>
      <c r="AV369" s="209"/>
      <c r="AW369" s="209"/>
      <c r="AX369" s="209"/>
      <c r="AY369" s="209"/>
      <c r="AZ369" s="209"/>
      <c r="BA369" s="209"/>
      <c r="BB369" s="209"/>
      <c r="BC369" s="209"/>
      <c r="BD369" s="209"/>
      <c r="BE369" s="209"/>
    </row>
    <row r="370" spans="45:57" ht="15" customHeight="1" x14ac:dyDescent="0.2">
      <c r="AS370" s="209"/>
      <c r="AT370" s="209"/>
      <c r="AU370" s="209"/>
      <c r="AV370" s="209"/>
      <c r="AW370" s="209"/>
      <c r="AX370" s="209"/>
      <c r="AY370" s="209"/>
      <c r="AZ370" s="209"/>
      <c r="BA370" s="209"/>
      <c r="BB370" s="209"/>
      <c r="BC370" s="209"/>
      <c r="BD370" s="209"/>
      <c r="BE370" s="209"/>
    </row>
    <row r="371" spans="45:57" ht="15" customHeight="1" x14ac:dyDescent="0.2">
      <c r="AS371" s="209"/>
      <c r="AT371" s="209"/>
      <c r="AU371" s="209"/>
      <c r="AV371" s="209"/>
      <c r="AW371" s="209"/>
      <c r="AX371" s="209"/>
      <c r="AY371" s="209"/>
      <c r="AZ371" s="209"/>
      <c r="BA371" s="209"/>
      <c r="BB371" s="209"/>
      <c r="BC371" s="209"/>
      <c r="BD371" s="209"/>
      <c r="BE371" s="209"/>
    </row>
    <row r="372" spans="45:57" ht="15" customHeight="1" x14ac:dyDescent="0.2">
      <c r="AS372" s="209"/>
      <c r="AT372" s="209"/>
      <c r="AU372" s="209"/>
      <c r="AV372" s="209"/>
      <c r="AW372" s="209"/>
      <c r="AX372" s="209"/>
      <c r="AY372" s="209"/>
      <c r="AZ372" s="209"/>
      <c r="BA372" s="209"/>
      <c r="BB372" s="209"/>
      <c r="BC372" s="209"/>
      <c r="BD372" s="209"/>
      <c r="BE372" s="209"/>
    </row>
    <row r="373" spans="45:57" ht="15" customHeight="1" x14ac:dyDescent="0.2">
      <c r="AS373" s="209"/>
      <c r="AT373" s="209"/>
      <c r="AU373" s="209"/>
      <c r="AV373" s="209"/>
      <c r="AW373" s="209"/>
      <c r="AX373" s="209"/>
      <c r="AY373" s="209"/>
      <c r="AZ373" s="209"/>
      <c r="BA373" s="209"/>
      <c r="BB373" s="209"/>
      <c r="BC373" s="209"/>
      <c r="BD373" s="209"/>
      <c r="BE373" s="209"/>
    </row>
    <row r="374" spans="45:57" ht="15" customHeight="1" x14ac:dyDescent="0.2">
      <c r="AS374" s="209"/>
      <c r="AT374" s="209"/>
      <c r="AU374" s="209"/>
      <c r="AV374" s="209"/>
      <c r="AW374" s="209"/>
      <c r="AX374" s="209"/>
      <c r="AY374" s="209"/>
      <c r="AZ374" s="209"/>
      <c r="BA374" s="209"/>
      <c r="BB374" s="209"/>
      <c r="BC374" s="209"/>
      <c r="BD374" s="209"/>
      <c r="BE374" s="209"/>
    </row>
    <row r="375" spans="45:57" ht="15" customHeight="1" x14ac:dyDescent="0.2">
      <c r="AS375" s="209"/>
      <c r="AT375" s="209"/>
      <c r="AU375" s="209"/>
      <c r="AV375" s="209"/>
      <c r="AW375" s="209"/>
      <c r="AX375" s="209"/>
      <c r="AY375" s="209"/>
      <c r="AZ375" s="209"/>
      <c r="BA375" s="209"/>
      <c r="BB375" s="209"/>
      <c r="BC375" s="209"/>
      <c r="BD375" s="209"/>
      <c r="BE375" s="209"/>
    </row>
    <row r="376" spans="45:57" ht="15" customHeight="1" x14ac:dyDescent="0.2">
      <c r="AS376" s="209"/>
      <c r="AT376" s="209"/>
      <c r="AU376" s="209"/>
      <c r="AV376" s="209"/>
      <c r="AW376" s="209"/>
      <c r="AX376" s="209"/>
      <c r="AY376" s="209"/>
      <c r="AZ376" s="209"/>
      <c r="BA376" s="209"/>
      <c r="BB376" s="209"/>
      <c r="BC376" s="209"/>
      <c r="BD376" s="209"/>
      <c r="BE376" s="209"/>
    </row>
    <row r="377" spans="45:57" ht="15" customHeight="1" x14ac:dyDescent="0.2">
      <c r="AS377" s="209"/>
      <c r="AT377" s="209"/>
      <c r="AU377" s="209"/>
      <c r="AV377" s="209"/>
      <c r="AW377" s="209"/>
      <c r="AX377" s="209"/>
      <c r="AY377" s="209"/>
      <c r="AZ377" s="209"/>
      <c r="BA377" s="209"/>
      <c r="BB377" s="209"/>
      <c r="BC377" s="209"/>
      <c r="BD377" s="209"/>
      <c r="BE377" s="209"/>
    </row>
    <row r="378" spans="45:57" ht="15" customHeight="1" x14ac:dyDescent="0.2">
      <c r="AS378" s="209"/>
      <c r="AT378" s="209"/>
      <c r="AU378" s="209"/>
      <c r="AV378" s="209"/>
      <c r="AW378" s="209"/>
      <c r="AX378" s="209"/>
      <c r="AY378" s="209"/>
      <c r="AZ378" s="209"/>
      <c r="BA378" s="209"/>
      <c r="BB378" s="209"/>
      <c r="BC378" s="209"/>
      <c r="BD378" s="209"/>
      <c r="BE378" s="209"/>
    </row>
    <row r="379" spans="45:57" ht="15" customHeight="1" x14ac:dyDescent="0.2">
      <c r="AS379" s="209"/>
      <c r="AT379" s="209"/>
      <c r="AU379" s="209"/>
      <c r="AV379" s="209"/>
      <c r="AW379" s="209"/>
      <c r="AX379" s="209"/>
      <c r="AY379" s="209"/>
      <c r="AZ379" s="209"/>
      <c r="BA379" s="209"/>
      <c r="BB379" s="209"/>
      <c r="BC379" s="209"/>
      <c r="BD379" s="209"/>
      <c r="BE379" s="209"/>
    </row>
    <row r="380" spans="45:57" ht="15" customHeight="1" x14ac:dyDescent="0.2">
      <c r="AS380" s="209"/>
      <c r="AT380" s="209"/>
      <c r="AU380" s="209"/>
      <c r="AV380" s="209"/>
      <c r="AW380" s="209"/>
      <c r="AX380" s="209"/>
      <c r="AY380" s="209"/>
      <c r="AZ380" s="209"/>
      <c r="BA380" s="209"/>
      <c r="BB380" s="209"/>
      <c r="BC380" s="209"/>
      <c r="BD380" s="209"/>
      <c r="BE380" s="209"/>
    </row>
    <row r="381" spans="45:57" ht="15" customHeight="1" x14ac:dyDescent="0.2">
      <c r="AS381" s="209"/>
      <c r="AT381" s="209"/>
      <c r="AU381" s="209"/>
      <c r="AV381" s="209"/>
      <c r="AW381" s="209"/>
      <c r="AX381" s="209"/>
      <c r="AY381" s="209"/>
      <c r="AZ381" s="209"/>
      <c r="BA381" s="209"/>
      <c r="BB381" s="209"/>
      <c r="BC381" s="209"/>
      <c r="BD381" s="209"/>
      <c r="BE381" s="209"/>
    </row>
    <row r="382" spans="45:57" ht="15" customHeight="1" x14ac:dyDescent="0.2">
      <c r="AS382" s="209"/>
      <c r="AT382" s="209"/>
      <c r="AU382" s="209"/>
      <c r="AV382" s="209"/>
      <c r="AW382" s="209"/>
      <c r="AX382" s="209"/>
      <c r="AY382" s="209"/>
      <c r="AZ382" s="209"/>
      <c r="BA382" s="209"/>
      <c r="BB382" s="209"/>
      <c r="BC382" s="209"/>
      <c r="BD382" s="209"/>
      <c r="BE382" s="209"/>
    </row>
    <row r="383" spans="45:57" ht="15" customHeight="1" x14ac:dyDescent="0.2">
      <c r="AS383" s="209"/>
      <c r="AT383" s="209"/>
      <c r="AU383" s="209"/>
      <c r="AV383" s="209"/>
      <c r="AW383" s="209"/>
      <c r="AX383" s="209"/>
      <c r="AY383" s="209"/>
      <c r="AZ383" s="209"/>
      <c r="BA383" s="209"/>
      <c r="BB383" s="209"/>
      <c r="BC383" s="209"/>
      <c r="BD383" s="209"/>
      <c r="BE383" s="209"/>
    </row>
    <row r="384" spans="45:57" ht="15" customHeight="1" x14ac:dyDescent="0.2">
      <c r="AS384" s="209"/>
      <c r="AT384" s="209"/>
      <c r="AU384" s="209"/>
      <c r="AV384" s="209"/>
      <c r="AW384" s="209"/>
      <c r="AX384" s="209"/>
      <c r="AY384" s="209"/>
      <c r="AZ384" s="209"/>
      <c r="BA384" s="209"/>
      <c r="BB384" s="209"/>
      <c r="BC384" s="209"/>
      <c r="BD384" s="209"/>
      <c r="BE384" s="209"/>
    </row>
    <row r="385" spans="45:57" ht="15" customHeight="1" x14ac:dyDescent="0.2">
      <c r="AS385" s="209"/>
      <c r="AT385" s="209"/>
      <c r="AU385" s="209"/>
      <c r="AV385" s="209"/>
      <c r="AW385" s="209"/>
      <c r="AX385" s="209"/>
      <c r="AY385" s="209"/>
      <c r="AZ385" s="209"/>
      <c r="BA385" s="209"/>
      <c r="BB385" s="209"/>
      <c r="BC385" s="209"/>
      <c r="BD385" s="209"/>
      <c r="BE385" s="209"/>
    </row>
    <row r="386" spans="45:57" ht="15" customHeight="1" x14ac:dyDescent="0.2">
      <c r="AS386" s="209"/>
      <c r="AT386" s="209"/>
      <c r="AU386" s="209"/>
      <c r="AV386" s="209"/>
      <c r="AW386" s="209"/>
      <c r="AX386" s="209"/>
      <c r="AY386" s="209"/>
      <c r="AZ386" s="209"/>
      <c r="BA386" s="209"/>
      <c r="BB386" s="209"/>
      <c r="BC386" s="209"/>
      <c r="BD386" s="209"/>
      <c r="BE386" s="209"/>
    </row>
    <row r="387" spans="45:57" ht="15" customHeight="1" x14ac:dyDescent="0.2">
      <c r="AS387" s="209"/>
      <c r="AT387" s="209"/>
      <c r="AU387" s="209"/>
      <c r="AV387" s="209"/>
      <c r="AW387" s="209"/>
      <c r="AX387" s="209"/>
      <c r="AY387" s="209"/>
      <c r="AZ387" s="209"/>
      <c r="BA387" s="209"/>
      <c r="BB387" s="209"/>
      <c r="BC387" s="209"/>
      <c r="BD387" s="209"/>
      <c r="BE387" s="209"/>
    </row>
    <row r="388" spans="45:57" ht="15" customHeight="1" x14ac:dyDescent="0.2">
      <c r="AS388" s="209"/>
      <c r="AT388" s="209"/>
      <c r="AU388" s="209"/>
      <c r="AV388" s="209"/>
      <c r="AW388" s="209"/>
      <c r="AX388" s="209"/>
      <c r="AY388" s="209"/>
      <c r="AZ388" s="209"/>
      <c r="BA388" s="209"/>
      <c r="BB388" s="209"/>
      <c r="BC388" s="209"/>
      <c r="BD388" s="209"/>
      <c r="BE388" s="209"/>
    </row>
    <row r="389" spans="45:57" ht="15" customHeight="1" x14ac:dyDescent="0.2">
      <c r="AS389" s="209"/>
      <c r="AT389" s="209"/>
      <c r="AU389" s="209"/>
      <c r="AV389" s="209"/>
      <c r="AW389" s="209"/>
      <c r="AX389" s="209"/>
      <c r="AY389" s="209"/>
      <c r="AZ389" s="209"/>
      <c r="BA389" s="209"/>
      <c r="BB389" s="209"/>
      <c r="BC389" s="209"/>
      <c r="BD389" s="209"/>
      <c r="BE389" s="209"/>
    </row>
    <row r="390" spans="45:57" ht="15" customHeight="1" x14ac:dyDescent="0.2">
      <c r="AS390" s="209"/>
      <c r="AT390" s="209"/>
      <c r="AU390" s="209"/>
      <c r="AV390" s="209"/>
      <c r="AW390" s="209"/>
      <c r="AX390" s="209"/>
      <c r="AY390" s="209"/>
      <c r="AZ390" s="209"/>
      <c r="BA390" s="209"/>
      <c r="BB390" s="209"/>
      <c r="BC390" s="209"/>
      <c r="BD390" s="209"/>
      <c r="BE390" s="209"/>
    </row>
    <row r="391" spans="45:57" ht="15" customHeight="1" x14ac:dyDescent="0.2">
      <c r="AS391" s="209"/>
      <c r="AT391" s="209"/>
      <c r="AU391" s="209"/>
      <c r="AV391" s="209"/>
      <c r="AW391" s="209"/>
      <c r="AX391" s="209"/>
      <c r="AY391" s="209"/>
      <c r="AZ391" s="209"/>
      <c r="BA391" s="209"/>
      <c r="BB391" s="209"/>
      <c r="BC391" s="209"/>
      <c r="BD391" s="209"/>
      <c r="BE391" s="209"/>
    </row>
    <row r="392" spans="45:57" ht="15" customHeight="1" x14ac:dyDescent="0.2">
      <c r="AS392" s="209"/>
      <c r="AT392" s="209"/>
      <c r="AU392" s="209"/>
      <c r="AV392" s="209"/>
      <c r="AW392" s="209"/>
      <c r="AX392" s="209"/>
      <c r="AY392" s="209"/>
      <c r="AZ392" s="209"/>
      <c r="BA392" s="209"/>
      <c r="BB392" s="209"/>
      <c r="BC392" s="209"/>
      <c r="BD392" s="209"/>
      <c r="BE392" s="209"/>
    </row>
    <row r="393" spans="45:57" ht="15" customHeight="1" x14ac:dyDescent="0.2">
      <c r="AS393" s="209"/>
      <c r="AT393" s="209"/>
      <c r="AU393" s="209"/>
      <c r="AV393" s="209"/>
      <c r="AW393" s="209"/>
      <c r="AX393" s="209"/>
      <c r="AY393" s="209"/>
      <c r="AZ393" s="209"/>
      <c r="BA393" s="209"/>
      <c r="BB393" s="209"/>
      <c r="BC393" s="209"/>
      <c r="BD393" s="209"/>
      <c r="BE393" s="209"/>
    </row>
    <row r="394" spans="45:57" ht="15" customHeight="1" x14ac:dyDescent="0.2">
      <c r="AS394" s="209"/>
      <c r="AT394" s="209"/>
      <c r="AU394" s="209"/>
      <c r="AV394" s="209"/>
      <c r="AW394" s="209"/>
      <c r="AX394" s="209"/>
      <c r="AY394" s="209"/>
      <c r="AZ394" s="209"/>
      <c r="BA394" s="209"/>
      <c r="BB394" s="209"/>
      <c r="BC394" s="209"/>
      <c r="BD394" s="209"/>
      <c r="BE394" s="209"/>
    </row>
    <row r="395" spans="45:57" ht="15" customHeight="1" x14ac:dyDescent="0.2">
      <c r="AS395" s="209"/>
      <c r="AT395" s="209"/>
      <c r="AU395" s="209"/>
      <c r="AV395" s="209"/>
      <c r="AW395" s="209"/>
      <c r="AX395" s="209"/>
      <c r="AY395" s="209"/>
      <c r="AZ395" s="209"/>
      <c r="BA395" s="209"/>
      <c r="BB395" s="209"/>
      <c r="BC395" s="209"/>
      <c r="BD395" s="209"/>
      <c r="BE395" s="209"/>
    </row>
    <row r="396" spans="45:57" ht="15" customHeight="1" x14ac:dyDescent="0.2">
      <c r="AS396" s="209"/>
      <c r="AT396" s="209"/>
      <c r="AU396" s="209"/>
      <c r="AV396" s="209"/>
      <c r="AW396" s="209"/>
      <c r="AX396" s="209"/>
      <c r="AY396" s="209"/>
      <c r="AZ396" s="209"/>
      <c r="BA396" s="209"/>
      <c r="BB396" s="209"/>
      <c r="BC396" s="209"/>
      <c r="BD396" s="209"/>
      <c r="BE396" s="209"/>
    </row>
    <row r="397" spans="45:57" ht="15" customHeight="1" x14ac:dyDescent="0.2">
      <c r="AS397" s="209"/>
      <c r="AT397" s="209"/>
      <c r="AU397" s="209"/>
      <c r="AV397" s="209"/>
      <c r="AW397" s="209"/>
      <c r="AX397" s="209"/>
      <c r="AY397" s="209"/>
      <c r="AZ397" s="209"/>
      <c r="BA397" s="209"/>
      <c r="BB397" s="209"/>
      <c r="BC397" s="209"/>
      <c r="BD397" s="209"/>
      <c r="BE397" s="209"/>
    </row>
    <row r="398" spans="45:57" ht="15" customHeight="1" x14ac:dyDescent="0.2">
      <c r="AS398" s="209"/>
      <c r="AT398" s="209"/>
      <c r="AU398" s="209"/>
      <c r="AV398" s="209"/>
      <c r="AW398" s="209"/>
      <c r="AX398" s="209"/>
      <c r="AY398" s="209"/>
      <c r="AZ398" s="209"/>
      <c r="BA398" s="209"/>
      <c r="BB398" s="209"/>
      <c r="BC398" s="209"/>
      <c r="BD398" s="209"/>
      <c r="BE398" s="209"/>
    </row>
    <row r="399" spans="45:57" ht="15" customHeight="1" x14ac:dyDescent="0.2">
      <c r="AS399" s="209"/>
      <c r="AT399" s="209"/>
      <c r="AU399" s="209"/>
      <c r="AV399" s="209"/>
      <c r="AW399" s="209"/>
      <c r="AX399" s="209"/>
      <c r="AY399" s="209"/>
      <c r="AZ399" s="209"/>
      <c r="BA399" s="209"/>
      <c r="BB399" s="209"/>
      <c r="BC399" s="209"/>
      <c r="BD399" s="209"/>
      <c r="BE399" s="209"/>
    </row>
    <row r="400" spans="45:57" ht="15" customHeight="1" x14ac:dyDescent="0.2">
      <c r="AS400" s="209"/>
      <c r="AT400" s="209"/>
      <c r="AU400" s="209"/>
      <c r="AV400" s="209"/>
      <c r="AW400" s="209"/>
      <c r="AX400" s="209"/>
      <c r="AY400" s="209"/>
      <c r="AZ400" s="209"/>
      <c r="BA400" s="209"/>
      <c r="BB400" s="209"/>
      <c r="BC400" s="209"/>
      <c r="BD400" s="209"/>
      <c r="BE400" s="209"/>
    </row>
    <row r="401" spans="45:57" ht="15" customHeight="1" x14ac:dyDescent="0.2">
      <c r="AS401" s="209"/>
      <c r="AT401" s="209"/>
      <c r="AU401" s="209"/>
      <c r="AV401" s="209"/>
      <c r="AW401" s="209"/>
      <c r="AX401" s="209"/>
      <c r="AY401" s="209"/>
      <c r="AZ401" s="209"/>
      <c r="BA401" s="209"/>
      <c r="BB401" s="209"/>
      <c r="BC401" s="209"/>
      <c r="BD401" s="209"/>
      <c r="BE401" s="209"/>
    </row>
    <row r="402" spans="45:57" ht="15" customHeight="1" x14ac:dyDescent="0.2">
      <c r="AS402" s="209"/>
      <c r="AT402" s="209"/>
      <c r="AU402" s="209"/>
      <c r="AV402" s="209"/>
      <c r="AW402" s="209"/>
      <c r="AX402" s="209"/>
      <c r="AY402" s="209"/>
      <c r="AZ402" s="209"/>
      <c r="BA402" s="209"/>
      <c r="BB402" s="209"/>
      <c r="BC402" s="209"/>
      <c r="BD402" s="209"/>
      <c r="BE402" s="209"/>
    </row>
    <row r="403" spans="45:57" ht="15" customHeight="1" x14ac:dyDescent="0.2">
      <c r="AS403" s="209"/>
      <c r="AT403" s="209"/>
      <c r="AU403" s="209"/>
      <c r="AV403" s="209"/>
      <c r="AW403" s="209"/>
      <c r="AX403" s="209"/>
      <c r="AY403" s="209"/>
      <c r="AZ403" s="209"/>
      <c r="BA403" s="209"/>
      <c r="BB403" s="209"/>
      <c r="BC403" s="209"/>
      <c r="BD403" s="209"/>
      <c r="BE403" s="209"/>
    </row>
    <row r="404" spans="45:57" ht="15" customHeight="1" x14ac:dyDescent="0.2">
      <c r="AS404" s="209"/>
      <c r="AT404" s="209"/>
      <c r="AU404" s="209"/>
      <c r="AV404" s="209"/>
      <c r="AW404" s="209"/>
      <c r="AX404" s="209"/>
      <c r="AY404" s="209"/>
      <c r="AZ404" s="209"/>
      <c r="BA404" s="209"/>
      <c r="BB404" s="209"/>
      <c r="BC404" s="209"/>
      <c r="BD404" s="209"/>
      <c r="BE404" s="209"/>
    </row>
    <row r="405" spans="45:57" ht="15" customHeight="1" x14ac:dyDescent="0.2">
      <c r="AS405" s="209"/>
      <c r="AT405" s="209"/>
      <c r="AU405" s="209"/>
      <c r="AV405" s="209"/>
      <c r="AW405" s="209"/>
      <c r="AX405" s="209"/>
      <c r="AY405" s="209"/>
      <c r="AZ405" s="209"/>
      <c r="BA405" s="209"/>
      <c r="BB405" s="209"/>
      <c r="BC405" s="209"/>
      <c r="BD405" s="209"/>
      <c r="BE405" s="209"/>
    </row>
    <row r="406" spans="45:57" ht="15" customHeight="1" x14ac:dyDescent="0.2">
      <c r="AS406" s="209"/>
      <c r="AT406" s="209"/>
      <c r="AU406" s="209"/>
      <c r="AV406" s="209"/>
      <c r="AW406" s="209"/>
      <c r="AX406" s="209"/>
      <c r="AY406" s="209"/>
      <c r="AZ406" s="209"/>
      <c r="BA406" s="209"/>
      <c r="BB406" s="209"/>
      <c r="BC406" s="209"/>
      <c r="BD406" s="209"/>
      <c r="BE406" s="209"/>
    </row>
    <row r="407" spans="45:57" ht="15" customHeight="1" x14ac:dyDescent="0.2">
      <c r="AS407" s="209"/>
      <c r="AT407" s="209"/>
      <c r="AU407" s="209"/>
      <c r="AV407" s="209"/>
      <c r="AW407" s="209"/>
      <c r="AX407" s="209"/>
      <c r="AY407" s="209"/>
      <c r="AZ407" s="209"/>
      <c r="BA407" s="209"/>
      <c r="BB407" s="209"/>
      <c r="BC407" s="209"/>
      <c r="BD407" s="209"/>
      <c r="BE407" s="209"/>
    </row>
    <row r="408" spans="45:57" ht="15" customHeight="1" x14ac:dyDescent="0.2">
      <c r="AS408" s="209"/>
      <c r="AT408" s="209"/>
      <c r="AU408" s="209"/>
      <c r="AV408" s="209"/>
      <c r="AW408" s="209"/>
      <c r="AX408" s="209"/>
      <c r="AY408" s="209"/>
      <c r="AZ408" s="209"/>
      <c r="BA408" s="209"/>
      <c r="BB408" s="209"/>
      <c r="BC408" s="209"/>
      <c r="BD408" s="209"/>
      <c r="BE408" s="209"/>
    </row>
    <row r="409" spans="45:57" ht="15" customHeight="1" x14ac:dyDescent="0.2">
      <c r="AS409" s="209"/>
      <c r="AT409" s="209"/>
      <c r="AU409" s="209"/>
      <c r="AV409" s="209"/>
      <c r="AW409" s="209"/>
      <c r="AX409" s="209"/>
      <c r="AY409" s="209"/>
      <c r="AZ409" s="209"/>
      <c r="BA409" s="209"/>
      <c r="BB409" s="209"/>
      <c r="BC409" s="209"/>
      <c r="BD409" s="209"/>
      <c r="BE409" s="209"/>
    </row>
    <row r="410" spans="45:57" ht="15" customHeight="1" x14ac:dyDescent="0.2">
      <c r="AS410" s="209"/>
      <c r="AT410" s="209"/>
      <c r="AU410" s="209"/>
      <c r="AV410" s="209"/>
      <c r="AW410" s="209"/>
      <c r="AX410" s="209"/>
      <c r="AY410" s="209"/>
      <c r="AZ410" s="209"/>
      <c r="BA410" s="209"/>
      <c r="BB410" s="209"/>
      <c r="BC410" s="209"/>
      <c r="BD410" s="209"/>
      <c r="BE410" s="209"/>
    </row>
    <row r="411" spans="45:57" ht="15" customHeight="1" x14ac:dyDescent="0.2">
      <c r="AS411" s="209"/>
      <c r="AT411" s="209"/>
      <c r="AU411" s="209"/>
      <c r="AV411" s="209"/>
      <c r="AW411" s="209"/>
      <c r="AX411" s="209"/>
      <c r="AY411" s="209"/>
      <c r="AZ411" s="209"/>
      <c r="BA411" s="209"/>
      <c r="BB411" s="209"/>
      <c r="BC411" s="209"/>
      <c r="BD411" s="209"/>
      <c r="BE411" s="209"/>
    </row>
    <row r="412" spans="45:57" ht="15" customHeight="1" x14ac:dyDescent="0.2">
      <c r="AS412" s="209"/>
      <c r="AT412" s="209"/>
      <c r="AU412" s="209"/>
      <c r="AV412" s="209"/>
      <c r="AW412" s="209"/>
      <c r="AX412" s="209"/>
      <c r="AY412" s="209"/>
      <c r="AZ412" s="209"/>
      <c r="BA412" s="209"/>
      <c r="BB412" s="209"/>
      <c r="BC412" s="209"/>
      <c r="BD412" s="209"/>
      <c r="BE412" s="209"/>
    </row>
    <row r="413" spans="45:57" ht="15" customHeight="1" x14ac:dyDescent="0.2">
      <c r="AS413" s="209"/>
      <c r="AT413" s="209"/>
      <c r="AU413" s="209"/>
      <c r="AV413" s="209"/>
      <c r="AW413" s="209"/>
      <c r="AX413" s="209"/>
      <c r="AY413" s="209"/>
      <c r="AZ413" s="209"/>
      <c r="BA413" s="209"/>
      <c r="BB413" s="209"/>
      <c r="BC413" s="209"/>
      <c r="BD413" s="209"/>
      <c r="BE413" s="209"/>
    </row>
    <row r="414" spans="45:57" ht="15" customHeight="1" x14ac:dyDescent="0.2">
      <c r="AS414" s="209"/>
      <c r="AT414" s="209"/>
      <c r="AU414" s="209"/>
      <c r="AV414" s="209"/>
      <c r="AW414" s="209"/>
      <c r="AX414" s="209"/>
      <c r="AY414" s="209"/>
      <c r="AZ414" s="209"/>
      <c r="BA414" s="209"/>
      <c r="BB414" s="209"/>
      <c r="BC414" s="209"/>
      <c r="BD414" s="209"/>
      <c r="BE414" s="209"/>
    </row>
    <row r="415" spans="45:57" ht="15" customHeight="1" x14ac:dyDescent="0.2">
      <c r="AS415" s="209"/>
      <c r="AT415" s="209"/>
      <c r="AU415" s="209"/>
      <c r="AV415" s="209"/>
      <c r="AW415" s="209"/>
      <c r="AX415" s="209"/>
      <c r="AY415" s="209"/>
      <c r="AZ415" s="209"/>
      <c r="BA415" s="209"/>
      <c r="BB415" s="209"/>
      <c r="BC415" s="209"/>
      <c r="BD415" s="209"/>
      <c r="BE415" s="209"/>
    </row>
    <row r="416" spans="45:57" ht="15" customHeight="1" x14ac:dyDescent="0.2">
      <c r="AS416" s="209"/>
      <c r="AT416" s="209"/>
      <c r="AU416" s="209"/>
      <c r="AV416" s="209"/>
      <c r="AW416" s="209"/>
      <c r="AX416" s="209"/>
      <c r="AY416" s="209"/>
      <c r="AZ416" s="209"/>
      <c r="BA416" s="209"/>
      <c r="BB416" s="209"/>
      <c r="BC416" s="209"/>
      <c r="BD416" s="209"/>
      <c r="BE416" s="209"/>
    </row>
    <row r="417" spans="45:57" ht="15" customHeight="1" x14ac:dyDescent="0.2">
      <c r="AS417" s="209"/>
      <c r="AT417" s="209"/>
      <c r="AU417" s="209"/>
      <c r="AV417" s="209"/>
      <c r="AW417" s="209"/>
      <c r="AX417" s="209"/>
      <c r="AY417" s="209"/>
      <c r="AZ417" s="209"/>
      <c r="BA417" s="209"/>
      <c r="BB417" s="209"/>
      <c r="BC417" s="209"/>
      <c r="BD417" s="209"/>
      <c r="BE417" s="209"/>
    </row>
    <row r="418" spans="45:57" ht="15" customHeight="1" x14ac:dyDescent="0.2">
      <c r="AS418" s="209"/>
      <c r="AT418" s="209"/>
      <c r="AU418" s="209"/>
      <c r="AV418" s="209"/>
      <c r="AW418" s="209"/>
      <c r="AX418" s="209"/>
      <c r="AY418" s="209"/>
      <c r="AZ418" s="209"/>
      <c r="BA418" s="209"/>
      <c r="BB418" s="209"/>
      <c r="BC418" s="209"/>
      <c r="BD418" s="209"/>
      <c r="BE418" s="209"/>
    </row>
    <row r="419" spans="45:57" ht="15" customHeight="1" x14ac:dyDescent="0.2">
      <c r="AS419" s="209"/>
      <c r="AT419" s="209"/>
      <c r="AU419" s="209"/>
      <c r="AV419" s="209"/>
      <c r="AW419" s="209"/>
      <c r="AX419" s="209"/>
      <c r="AY419" s="209"/>
      <c r="AZ419" s="209"/>
      <c r="BA419" s="209"/>
      <c r="BB419" s="209"/>
      <c r="BC419" s="209"/>
      <c r="BD419" s="209"/>
      <c r="BE419" s="209"/>
    </row>
    <row r="420" spans="45:57" ht="15" customHeight="1" x14ac:dyDescent="0.2">
      <c r="AS420" s="209"/>
      <c r="AT420" s="209"/>
      <c r="AU420" s="209"/>
      <c r="AV420" s="209"/>
      <c r="AW420" s="209"/>
      <c r="AX420" s="209"/>
      <c r="AY420" s="209"/>
      <c r="AZ420" s="209"/>
      <c r="BA420" s="209"/>
      <c r="BB420" s="209"/>
      <c r="BC420" s="209"/>
      <c r="BD420" s="209"/>
      <c r="BE420" s="209"/>
    </row>
    <row r="421" spans="45:57" ht="15" customHeight="1" x14ac:dyDescent="0.2">
      <c r="AS421" s="209"/>
      <c r="AT421" s="209"/>
      <c r="AU421" s="209"/>
      <c r="AV421" s="209"/>
      <c r="AW421" s="209"/>
      <c r="AX421" s="209"/>
      <c r="AY421" s="209"/>
      <c r="AZ421" s="209"/>
      <c r="BA421" s="209"/>
      <c r="BB421" s="209"/>
      <c r="BC421" s="209"/>
      <c r="BD421" s="209"/>
      <c r="BE421" s="209"/>
    </row>
    <row r="422" spans="45:57" ht="15" customHeight="1" x14ac:dyDescent="0.2">
      <c r="AS422" s="209"/>
      <c r="AT422" s="209"/>
      <c r="AU422" s="209"/>
      <c r="AV422" s="209"/>
      <c r="AW422" s="209"/>
      <c r="AX422" s="209"/>
      <c r="AY422" s="209"/>
      <c r="AZ422" s="209"/>
      <c r="BA422" s="209"/>
      <c r="BB422" s="209"/>
      <c r="BC422" s="209"/>
      <c r="BD422" s="209"/>
      <c r="BE422" s="209"/>
    </row>
    <row r="423" spans="45:57" ht="15" customHeight="1" x14ac:dyDescent="0.2">
      <c r="AS423" s="209"/>
      <c r="AT423" s="209"/>
      <c r="AU423" s="209"/>
      <c r="AV423" s="209"/>
      <c r="AW423" s="209"/>
      <c r="AX423" s="209"/>
      <c r="AY423" s="209"/>
      <c r="AZ423" s="209"/>
      <c r="BA423" s="209"/>
      <c r="BB423" s="209"/>
      <c r="BC423" s="209"/>
      <c r="BD423" s="209"/>
      <c r="BE423" s="209"/>
    </row>
    <row r="424" spans="45:57" ht="15" customHeight="1" x14ac:dyDescent="0.2">
      <c r="AS424" s="209"/>
      <c r="AT424" s="209"/>
      <c r="AU424" s="209"/>
      <c r="AV424" s="209"/>
      <c r="AW424" s="209"/>
      <c r="AX424" s="209"/>
      <c r="AY424" s="209"/>
      <c r="AZ424" s="209"/>
      <c r="BA424" s="209"/>
      <c r="BB424" s="209"/>
      <c r="BC424" s="209"/>
      <c r="BD424" s="209"/>
      <c r="BE424" s="209"/>
    </row>
    <row r="425" spans="45:57" ht="15" customHeight="1" x14ac:dyDescent="0.2">
      <c r="AS425" s="209"/>
      <c r="AT425" s="209"/>
      <c r="AU425" s="209"/>
      <c r="AV425" s="209"/>
      <c r="AW425" s="209"/>
      <c r="AX425" s="209"/>
      <c r="AY425" s="209"/>
      <c r="AZ425" s="209"/>
      <c r="BA425" s="209"/>
      <c r="BB425" s="209"/>
      <c r="BC425" s="209"/>
      <c r="BD425" s="209"/>
      <c r="BE425" s="209"/>
    </row>
    <row r="426" spans="45:57" ht="15" customHeight="1" x14ac:dyDescent="0.2">
      <c r="AS426" s="209"/>
      <c r="AT426" s="209"/>
      <c r="AU426" s="209"/>
      <c r="AV426" s="209"/>
      <c r="AW426" s="209"/>
      <c r="AX426" s="209"/>
      <c r="AY426" s="209"/>
      <c r="AZ426" s="209"/>
      <c r="BA426" s="209"/>
      <c r="BB426" s="209"/>
      <c r="BC426" s="209"/>
      <c r="BD426" s="209"/>
      <c r="BE426" s="209"/>
    </row>
    <row r="427" spans="45:57" ht="15" customHeight="1" x14ac:dyDescent="0.2">
      <c r="AS427" s="209"/>
      <c r="AT427" s="209"/>
      <c r="AU427" s="209"/>
      <c r="AV427" s="209"/>
      <c r="AW427" s="209"/>
      <c r="AX427" s="209"/>
      <c r="AY427" s="209"/>
      <c r="AZ427" s="209"/>
      <c r="BA427" s="209"/>
      <c r="BB427" s="209"/>
      <c r="BC427" s="209"/>
      <c r="BD427" s="209"/>
      <c r="BE427" s="209"/>
    </row>
    <row r="428" spans="45:57" ht="15" customHeight="1" x14ac:dyDescent="0.2">
      <c r="AS428" s="209"/>
      <c r="AT428" s="209"/>
      <c r="AU428" s="209"/>
      <c r="AV428" s="209"/>
      <c r="AW428" s="209"/>
      <c r="AX428" s="209"/>
      <c r="AY428" s="209"/>
      <c r="AZ428" s="209"/>
      <c r="BA428" s="209"/>
      <c r="BB428" s="209"/>
      <c r="BC428" s="209"/>
      <c r="BD428" s="209"/>
      <c r="BE428" s="209"/>
    </row>
    <row r="429" spans="45:57" ht="15" customHeight="1" x14ac:dyDescent="0.2">
      <c r="AS429" s="209"/>
      <c r="AT429" s="209"/>
      <c r="AU429" s="209"/>
      <c r="AV429" s="209"/>
      <c r="AW429" s="209"/>
      <c r="AX429" s="209"/>
      <c r="AY429" s="209"/>
      <c r="AZ429" s="209"/>
      <c r="BA429" s="209"/>
      <c r="BB429" s="209"/>
      <c r="BC429" s="209"/>
      <c r="BD429" s="209"/>
      <c r="BE429" s="209"/>
    </row>
    <row r="430" spans="45:57" ht="15" customHeight="1" x14ac:dyDescent="0.2">
      <c r="AS430" s="209"/>
      <c r="AT430" s="209"/>
      <c r="AU430" s="209"/>
      <c r="AV430" s="209"/>
      <c r="AW430" s="209"/>
      <c r="AX430" s="209"/>
      <c r="AY430" s="209"/>
      <c r="AZ430" s="209"/>
      <c r="BA430" s="209"/>
      <c r="BB430" s="209"/>
      <c r="BC430" s="209"/>
      <c r="BD430" s="209"/>
      <c r="BE430" s="209"/>
    </row>
    <row r="431" spans="45:57" ht="15" customHeight="1" x14ac:dyDescent="0.2">
      <c r="AS431" s="209"/>
      <c r="AT431" s="209"/>
      <c r="AU431" s="209"/>
      <c r="AV431" s="209"/>
      <c r="AW431" s="209"/>
      <c r="AX431" s="209"/>
      <c r="AY431" s="209"/>
      <c r="AZ431" s="209"/>
      <c r="BA431" s="209"/>
      <c r="BB431" s="209"/>
      <c r="BC431" s="209"/>
      <c r="BD431" s="209"/>
      <c r="BE431" s="209"/>
    </row>
    <row r="432" spans="45:57" ht="15" customHeight="1" x14ac:dyDescent="0.2">
      <c r="AS432" s="209"/>
      <c r="AT432" s="209"/>
      <c r="AU432" s="209"/>
      <c r="AV432" s="209"/>
      <c r="AW432" s="209"/>
      <c r="AX432" s="209"/>
      <c r="AY432" s="209"/>
      <c r="AZ432" s="209"/>
      <c r="BA432" s="209"/>
      <c r="BB432" s="209"/>
      <c r="BC432" s="209"/>
      <c r="BD432" s="209"/>
      <c r="BE432" s="209"/>
    </row>
    <row r="433" spans="45:57" ht="15" customHeight="1" x14ac:dyDescent="0.2">
      <c r="AS433" s="209"/>
      <c r="AT433" s="209"/>
      <c r="AU433" s="209"/>
      <c r="AV433" s="209"/>
      <c r="AW433" s="209"/>
      <c r="AX433" s="209"/>
      <c r="AY433" s="209"/>
      <c r="AZ433" s="209"/>
      <c r="BA433" s="209"/>
      <c r="BB433" s="209"/>
      <c r="BC433" s="209"/>
      <c r="BD433" s="209"/>
      <c r="BE433" s="209"/>
    </row>
    <row r="434" spans="45:57" ht="15" customHeight="1" x14ac:dyDescent="0.2">
      <c r="AS434" s="209"/>
      <c r="AT434" s="209"/>
      <c r="AU434" s="209"/>
      <c r="AV434" s="209"/>
      <c r="AW434" s="209"/>
      <c r="AX434" s="209"/>
      <c r="AY434" s="209"/>
      <c r="AZ434" s="209"/>
      <c r="BA434" s="209"/>
      <c r="BB434" s="209"/>
      <c r="BC434" s="209"/>
      <c r="BD434" s="209"/>
      <c r="BE434" s="209"/>
    </row>
    <row r="435" spans="45:57" ht="15" customHeight="1" x14ac:dyDescent="0.2">
      <c r="AS435" s="209"/>
      <c r="AT435" s="209"/>
      <c r="AU435" s="209"/>
      <c r="AV435" s="209"/>
      <c r="AW435" s="209"/>
      <c r="AX435" s="209"/>
      <c r="AY435" s="209"/>
      <c r="AZ435" s="209"/>
      <c r="BA435" s="209"/>
      <c r="BB435" s="209"/>
      <c r="BC435" s="209"/>
      <c r="BD435" s="209"/>
      <c r="BE435" s="209"/>
    </row>
    <row r="436" spans="45:57" ht="15" customHeight="1" x14ac:dyDescent="0.2">
      <c r="AS436" s="209"/>
      <c r="AT436" s="209"/>
      <c r="AU436" s="209"/>
      <c r="AV436" s="209"/>
      <c r="AW436" s="209"/>
      <c r="AX436" s="209"/>
      <c r="AY436" s="209"/>
      <c r="AZ436" s="209"/>
      <c r="BA436" s="209"/>
      <c r="BB436" s="209"/>
      <c r="BC436" s="209"/>
      <c r="BD436" s="209"/>
      <c r="BE436" s="209"/>
    </row>
    <row r="437" spans="45:57" ht="15" customHeight="1" x14ac:dyDescent="0.2">
      <c r="AS437" s="209"/>
      <c r="AT437" s="209"/>
      <c r="AU437" s="209"/>
      <c r="AV437" s="209"/>
      <c r="AW437" s="209"/>
      <c r="AX437" s="209"/>
      <c r="AY437" s="209"/>
      <c r="AZ437" s="209"/>
      <c r="BA437" s="209"/>
      <c r="BB437" s="209"/>
      <c r="BC437" s="209"/>
      <c r="BD437" s="209"/>
      <c r="BE437" s="209"/>
    </row>
    <row r="438" spans="45:57" ht="15" customHeight="1" x14ac:dyDescent="0.2">
      <c r="AS438" s="209"/>
      <c r="AT438" s="209"/>
      <c r="AU438" s="209"/>
      <c r="AV438" s="209"/>
      <c r="AW438" s="209"/>
      <c r="AX438" s="209"/>
      <c r="AY438" s="209"/>
      <c r="AZ438" s="209"/>
      <c r="BA438" s="209"/>
      <c r="BB438" s="209"/>
      <c r="BC438" s="209"/>
      <c r="BD438" s="209"/>
      <c r="BE438" s="209"/>
    </row>
    <row r="439" spans="45:57" ht="15" customHeight="1" x14ac:dyDescent="0.2">
      <c r="AS439" s="209"/>
      <c r="AT439" s="209"/>
      <c r="AU439" s="209"/>
      <c r="AV439" s="209"/>
      <c r="AW439" s="209"/>
      <c r="AX439" s="209"/>
      <c r="AY439" s="209"/>
      <c r="AZ439" s="209"/>
      <c r="BA439" s="209"/>
      <c r="BB439" s="209"/>
      <c r="BC439" s="209"/>
      <c r="BD439" s="209"/>
      <c r="BE439" s="209"/>
    </row>
    <row r="440" spans="45:57" ht="15" customHeight="1" x14ac:dyDescent="0.2">
      <c r="AS440" s="209"/>
      <c r="AT440" s="209"/>
      <c r="AU440" s="209"/>
      <c r="AV440" s="209"/>
      <c r="AW440" s="209"/>
      <c r="AX440" s="209"/>
      <c r="AY440" s="209"/>
      <c r="AZ440" s="209"/>
      <c r="BA440" s="209"/>
      <c r="BB440" s="209"/>
      <c r="BC440" s="209"/>
      <c r="BD440" s="209"/>
      <c r="BE440" s="209"/>
    </row>
    <row r="441" spans="45:57" ht="15" customHeight="1" x14ac:dyDescent="0.2">
      <c r="AS441" s="209"/>
      <c r="AT441" s="209"/>
      <c r="AU441" s="209"/>
      <c r="AV441" s="209"/>
      <c r="AW441" s="209"/>
      <c r="AX441" s="209"/>
      <c r="AY441" s="209"/>
      <c r="AZ441" s="209"/>
      <c r="BA441" s="209"/>
      <c r="BB441" s="209"/>
      <c r="BC441" s="209"/>
      <c r="BD441" s="209"/>
      <c r="BE441" s="209"/>
    </row>
    <row r="442" spans="45:57" ht="15" customHeight="1" x14ac:dyDescent="0.2">
      <c r="AS442" s="209"/>
      <c r="AT442" s="209"/>
      <c r="AU442" s="209"/>
      <c r="AV442" s="209"/>
      <c r="AW442" s="209"/>
      <c r="AX442" s="209"/>
      <c r="AY442" s="209"/>
      <c r="AZ442" s="209"/>
      <c r="BA442" s="209"/>
      <c r="BB442" s="209"/>
      <c r="BC442" s="209"/>
      <c r="BD442" s="209"/>
      <c r="BE442" s="209"/>
    </row>
    <row r="443" spans="45:57" ht="15" customHeight="1" x14ac:dyDescent="0.2">
      <c r="AS443" s="209"/>
      <c r="AT443" s="209"/>
      <c r="AU443" s="209"/>
      <c r="AV443" s="209"/>
      <c r="AW443" s="209"/>
      <c r="AX443" s="209"/>
      <c r="AY443" s="209"/>
      <c r="AZ443" s="209"/>
      <c r="BA443" s="209"/>
      <c r="BB443" s="209"/>
      <c r="BC443" s="209"/>
      <c r="BD443" s="209"/>
      <c r="BE443" s="209"/>
    </row>
    <row r="444" spans="45:57" ht="15" customHeight="1" x14ac:dyDescent="0.2">
      <c r="AS444" s="209"/>
      <c r="AT444" s="209"/>
      <c r="AU444" s="209"/>
      <c r="AV444" s="209"/>
      <c r="AW444" s="209"/>
      <c r="AX444" s="209"/>
      <c r="AY444" s="209"/>
      <c r="AZ444" s="209"/>
      <c r="BA444" s="209"/>
      <c r="BB444" s="209"/>
      <c r="BC444" s="209"/>
      <c r="BD444" s="209"/>
      <c r="BE444" s="209"/>
    </row>
    <row r="445" spans="45:57" ht="15" customHeight="1" x14ac:dyDescent="0.2">
      <c r="AS445" s="209"/>
      <c r="AT445" s="209"/>
      <c r="AU445" s="209"/>
      <c r="AV445" s="209"/>
      <c r="AW445" s="209"/>
      <c r="AX445" s="209"/>
      <c r="AY445" s="209"/>
      <c r="AZ445" s="209"/>
      <c r="BA445" s="209"/>
      <c r="BB445" s="209"/>
      <c r="BC445" s="209"/>
      <c r="BD445" s="209"/>
      <c r="BE445" s="209"/>
    </row>
    <row r="446" spans="45:57" ht="15" customHeight="1" x14ac:dyDescent="0.2">
      <c r="AS446" s="209"/>
      <c r="AT446" s="209"/>
      <c r="AU446" s="209"/>
      <c r="AV446" s="209"/>
      <c r="AW446" s="209"/>
      <c r="AX446" s="209"/>
      <c r="AY446" s="209"/>
      <c r="AZ446" s="209"/>
      <c r="BA446" s="209"/>
      <c r="BB446" s="209"/>
      <c r="BC446" s="209"/>
      <c r="BD446" s="209"/>
      <c r="BE446" s="209"/>
    </row>
    <row r="447" spans="45:57" ht="15" customHeight="1" x14ac:dyDescent="0.2">
      <c r="AS447" s="209"/>
      <c r="AT447" s="209"/>
      <c r="AU447" s="209"/>
      <c r="AV447" s="209"/>
      <c r="AW447" s="209"/>
      <c r="AX447" s="209"/>
      <c r="AY447" s="209"/>
      <c r="AZ447" s="209"/>
      <c r="BA447" s="209"/>
      <c r="BB447" s="209"/>
      <c r="BC447" s="209"/>
      <c r="BD447" s="209"/>
      <c r="BE447" s="209"/>
    </row>
    <row r="448" spans="45:57" ht="15" customHeight="1" x14ac:dyDescent="0.2">
      <c r="AS448" s="209"/>
      <c r="AT448" s="209"/>
      <c r="AU448" s="209"/>
      <c r="AV448" s="209"/>
      <c r="AW448" s="209"/>
      <c r="AX448" s="209"/>
      <c r="AY448" s="209"/>
      <c r="AZ448" s="209"/>
      <c r="BA448" s="209"/>
      <c r="BB448" s="209"/>
      <c r="BC448" s="209"/>
      <c r="BD448" s="209"/>
      <c r="BE448" s="209"/>
    </row>
    <row r="449" spans="45:57" ht="15" customHeight="1" x14ac:dyDescent="0.2">
      <c r="AS449" s="209"/>
      <c r="AT449" s="209"/>
      <c r="AU449" s="209"/>
      <c r="AV449" s="209"/>
      <c r="AW449" s="209"/>
      <c r="AX449" s="209"/>
      <c r="AY449" s="209"/>
      <c r="AZ449" s="209"/>
      <c r="BA449" s="209"/>
      <c r="BB449" s="209"/>
      <c r="BC449" s="209"/>
      <c r="BD449" s="209"/>
      <c r="BE449" s="209"/>
    </row>
    <row r="450" spans="45:57" ht="15" customHeight="1" x14ac:dyDescent="0.2">
      <c r="AS450" s="209"/>
      <c r="AT450" s="209"/>
      <c r="AU450" s="209"/>
      <c r="AV450" s="209"/>
      <c r="AW450" s="209"/>
      <c r="AX450" s="209"/>
      <c r="AY450" s="209"/>
      <c r="AZ450" s="209"/>
      <c r="BA450" s="209"/>
      <c r="BB450" s="209"/>
      <c r="BC450" s="209"/>
      <c r="BD450" s="209"/>
      <c r="BE450" s="209"/>
    </row>
    <row r="451" spans="45:57" ht="15" customHeight="1" x14ac:dyDescent="0.2">
      <c r="AS451" s="209"/>
      <c r="AT451" s="209"/>
      <c r="AU451" s="209"/>
      <c r="AV451" s="209"/>
      <c r="AW451" s="209"/>
      <c r="AX451" s="209"/>
      <c r="AY451" s="209"/>
      <c r="AZ451" s="209"/>
      <c r="BA451" s="209"/>
      <c r="BB451" s="209"/>
      <c r="BC451" s="209"/>
      <c r="BD451" s="209"/>
      <c r="BE451" s="209"/>
    </row>
    <row r="452" spans="45:57" ht="15" customHeight="1" x14ac:dyDescent="0.2">
      <c r="AS452" s="209"/>
      <c r="AT452" s="209"/>
      <c r="AU452" s="209"/>
      <c r="AV452" s="209"/>
      <c r="AW452" s="209"/>
      <c r="AX452" s="209"/>
      <c r="AY452" s="209"/>
      <c r="AZ452" s="209"/>
      <c r="BA452" s="209"/>
      <c r="BB452" s="209"/>
      <c r="BC452" s="209"/>
      <c r="BD452" s="209"/>
      <c r="BE452" s="209"/>
    </row>
    <row r="453" spans="45:57" ht="15" customHeight="1" x14ac:dyDescent="0.2">
      <c r="AS453" s="209"/>
      <c r="AT453" s="209"/>
      <c r="AU453" s="209"/>
      <c r="AV453" s="209"/>
      <c r="AW453" s="209"/>
      <c r="AX453" s="209"/>
      <c r="AY453" s="209"/>
      <c r="AZ453" s="209"/>
      <c r="BA453" s="209"/>
      <c r="BB453" s="209"/>
      <c r="BC453" s="209"/>
      <c r="BD453" s="209"/>
      <c r="BE453" s="209"/>
    </row>
    <row r="454" spans="45:57" ht="15" customHeight="1" x14ac:dyDescent="0.2">
      <c r="AS454" s="209"/>
      <c r="AT454" s="209"/>
      <c r="AU454" s="209"/>
      <c r="AV454" s="209"/>
      <c r="AW454" s="209"/>
      <c r="AX454" s="209"/>
      <c r="AY454" s="209"/>
      <c r="AZ454" s="209"/>
      <c r="BA454" s="209"/>
      <c r="BB454" s="209"/>
      <c r="BC454" s="209"/>
      <c r="BD454" s="209"/>
      <c r="BE454" s="209"/>
    </row>
    <row r="455" spans="45:57" ht="15" customHeight="1" x14ac:dyDescent="0.2">
      <c r="AS455" s="209"/>
      <c r="AT455" s="209"/>
      <c r="AU455" s="209"/>
      <c r="AV455" s="209"/>
      <c r="AW455" s="209"/>
      <c r="AX455" s="209"/>
      <c r="AY455" s="209"/>
      <c r="AZ455" s="209"/>
      <c r="BA455" s="209"/>
      <c r="BB455" s="209"/>
      <c r="BC455" s="209"/>
      <c r="BD455" s="209"/>
      <c r="BE455" s="209"/>
    </row>
    <row r="456" spans="45:57" ht="15" customHeight="1" x14ac:dyDescent="0.2">
      <c r="AS456" s="209"/>
      <c r="AT456" s="209"/>
      <c r="AU456" s="209"/>
      <c r="AV456" s="209"/>
      <c r="AW456" s="209"/>
      <c r="AX456" s="209"/>
      <c r="AY456" s="209"/>
      <c r="AZ456" s="209"/>
      <c r="BA456" s="209"/>
      <c r="BB456" s="209"/>
      <c r="BC456" s="209"/>
      <c r="BD456" s="209"/>
      <c r="BE456" s="209"/>
    </row>
    <row r="457" spans="45:57" ht="15" customHeight="1" x14ac:dyDescent="0.2">
      <c r="AS457" s="209"/>
      <c r="AT457" s="209"/>
      <c r="AU457" s="209"/>
      <c r="AV457" s="209"/>
      <c r="AW457" s="209"/>
      <c r="AX457" s="209"/>
      <c r="AY457" s="209"/>
      <c r="AZ457" s="209"/>
      <c r="BA457" s="209"/>
      <c r="BB457" s="209"/>
      <c r="BC457" s="209"/>
      <c r="BD457" s="209"/>
      <c r="BE457" s="209"/>
    </row>
    <row r="458" spans="45:57" ht="15" customHeight="1" x14ac:dyDescent="0.2">
      <c r="AS458" s="209"/>
      <c r="AT458" s="209"/>
      <c r="AU458" s="209"/>
      <c r="AV458" s="209"/>
      <c r="AW458" s="209"/>
      <c r="AX458" s="209"/>
      <c r="AY458" s="209"/>
      <c r="AZ458" s="209"/>
      <c r="BA458" s="209"/>
      <c r="BB458" s="209"/>
      <c r="BC458" s="209"/>
      <c r="BD458" s="209"/>
      <c r="BE458" s="209"/>
    </row>
    <row r="459" spans="45:57" ht="15" customHeight="1" x14ac:dyDescent="0.2">
      <c r="AS459" s="209"/>
      <c r="AT459" s="209"/>
      <c r="AU459" s="209"/>
      <c r="AV459" s="209"/>
      <c r="AW459" s="209"/>
      <c r="AX459" s="209"/>
      <c r="AY459" s="209"/>
      <c r="AZ459" s="209"/>
      <c r="BA459" s="209"/>
      <c r="BB459" s="209"/>
      <c r="BC459" s="209"/>
      <c r="BD459" s="209"/>
      <c r="BE459" s="209"/>
    </row>
    <row r="460" spans="45:57" ht="15" customHeight="1" x14ac:dyDescent="0.2">
      <c r="AS460" s="209"/>
      <c r="AT460" s="209"/>
      <c r="AU460" s="209"/>
      <c r="AV460" s="209"/>
      <c r="AW460" s="209"/>
      <c r="AX460" s="209"/>
      <c r="AY460" s="209"/>
      <c r="AZ460" s="209"/>
      <c r="BA460" s="209"/>
      <c r="BB460" s="209"/>
      <c r="BC460" s="209"/>
      <c r="BD460" s="209"/>
      <c r="BE460" s="209"/>
    </row>
    <row r="461" spans="45:57" ht="15" customHeight="1" x14ac:dyDescent="0.2">
      <c r="AS461" s="209"/>
      <c r="AT461" s="209"/>
      <c r="AU461" s="209"/>
      <c r="AV461" s="209"/>
      <c r="AW461" s="209"/>
      <c r="AX461" s="209"/>
      <c r="AY461" s="209"/>
      <c r="AZ461" s="209"/>
      <c r="BA461" s="209"/>
      <c r="BB461" s="209"/>
      <c r="BC461" s="209"/>
      <c r="BD461" s="209"/>
      <c r="BE461" s="209"/>
    </row>
    <row r="462" spans="45:57" ht="15" customHeight="1" x14ac:dyDescent="0.2">
      <c r="AS462" s="209"/>
      <c r="AT462" s="209"/>
      <c r="AU462" s="209"/>
      <c r="AV462" s="209"/>
      <c r="AW462" s="209"/>
      <c r="AX462" s="209"/>
      <c r="AY462" s="209"/>
      <c r="AZ462" s="209"/>
      <c r="BA462" s="209"/>
      <c r="BB462" s="209"/>
      <c r="BC462" s="209"/>
      <c r="BD462" s="209"/>
      <c r="BE462" s="209"/>
    </row>
    <row r="463" spans="45:57" ht="15" customHeight="1" x14ac:dyDescent="0.2">
      <c r="AS463" s="209"/>
      <c r="AT463" s="209"/>
      <c r="AU463" s="209"/>
      <c r="AV463" s="209"/>
      <c r="AW463" s="209"/>
      <c r="AX463" s="209"/>
      <c r="AY463" s="209"/>
      <c r="AZ463" s="209"/>
      <c r="BA463" s="209"/>
      <c r="BB463" s="209"/>
      <c r="BC463" s="209"/>
      <c r="BD463" s="209"/>
      <c r="BE463" s="209"/>
    </row>
    <row r="464" spans="45:57" ht="15" customHeight="1" x14ac:dyDescent="0.2">
      <c r="AS464" s="209"/>
      <c r="AT464" s="209"/>
      <c r="AU464" s="209"/>
      <c r="AV464" s="209"/>
      <c r="AW464" s="209"/>
      <c r="AX464" s="209"/>
      <c r="AY464" s="209"/>
      <c r="AZ464" s="209"/>
      <c r="BA464" s="209"/>
      <c r="BB464" s="209"/>
      <c r="BC464" s="209"/>
      <c r="BD464" s="209"/>
      <c r="BE464" s="209"/>
    </row>
    <row r="465" spans="45:57" ht="15" customHeight="1" x14ac:dyDescent="0.2">
      <c r="AS465" s="209"/>
      <c r="AT465" s="209"/>
      <c r="AU465" s="209"/>
      <c r="AV465" s="209"/>
      <c r="AW465" s="209"/>
      <c r="AX465" s="209"/>
      <c r="AY465" s="209"/>
      <c r="AZ465" s="209"/>
      <c r="BA465" s="209"/>
      <c r="BB465" s="209"/>
      <c r="BC465" s="209"/>
      <c r="BD465" s="209"/>
      <c r="BE465" s="209"/>
    </row>
    <row r="466" spans="45:57" ht="15" customHeight="1" x14ac:dyDescent="0.2">
      <c r="AS466" s="209"/>
      <c r="AT466" s="209"/>
      <c r="AU466" s="209"/>
      <c r="AV466" s="209"/>
      <c r="AW466" s="209"/>
      <c r="AX466" s="209"/>
      <c r="AY466" s="209"/>
      <c r="AZ466" s="209"/>
      <c r="BA466" s="209"/>
      <c r="BB466" s="209"/>
      <c r="BC466" s="209"/>
      <c r="BD466" s="209"/>
      <c r="BE466" s="209"/>
    </row>
    <row r="467" spans="45:57" ht="15" customHeight="1" x14ac:dyDescent="0.2">
      <c r="AS467" s="209"/>
      <c r="AT467" s="209"/>
      <c r="AU467" s="209"/>
      <c r="AV467" s="209"/>
      <c r="AW467" s="209"/>
      <c r="AX467" s="209"/>
      <c r="AY467" s="209"/>
      <c r="AZ467" s="209"/>
      <c r="BA467" s="209"/>
      <c r="BB467" s="209"/>
      <c r="BC467" s="209"/>
      <c r="BD467" s="209"/>
      <c r="BE467" s="209"/>
    </row>
    <row r="468" spans="45:57" ht="15" customHeight="1" x14ac:dyDescent="0.2">
      <c r="AS468" s="209"/>
      <c r="AT468" s="209"/>
      <c r="AU468" s="209"/>
      <c r="AV468" s="209"/>
      <c r="AW468" s="209"/>
      <c r="AX468" s="209"/>
      <c r="AY468" s="209"/>
      <c r="AZ468" s="209"/>
      <c r="BA468" s="209"/>
      <c r="BB468" s="209"/>
      <c r="BC468" s="209"/>
      <c r="BD468" s="209"/>
      <c r="BE468" s="209"/>
    </row>
    <row r="469" spans="45:57" ht="15" customHeight="1" x14ac:dyDescent="0.2">
      <c r="AS469" s="209"/>
      <c r="AT469" s="209"/>
      <c r="AU469" s="209"/>
      <c r="AV469" s="209"/>
      <c r="AW469" s="209"/>
      <c r="AX469" s="209"/>
      <c r="AY469" s="209"/>
      <c r="AZ469" s="209"/>
      <c r="BA469" s="209"/>
      <c r="BB469" s="209"/>
      <c r="BC469" s="209"/>
      <c r="BD469" s="209"/>
      <c r="BE469" s="209"/>
    </row>
    <row r="470" spans="45:57" ht="15" customHeight="1" x14ac:dyDescent="0.2">
      <c r="AS470" s="209"/>
      <c r="AT470" s="209"/>
      <c r="AU470" s="209"/>
      <c r="AV470" s="209"/>
      <c r="AW470" s="209"/>
      <c r="AX470" s="209"/>
      <c r="AY470" s="209"/>
      <c r="AZ470" s="209"/>
      <c r="BA470" s="209"/>
      <c r="BB470" s="209"/>
      <c r="BC470" s="209"/>
      <c r="BD470" s="209"/>
      <c r="BE470" s="209"/>
    </row>
    <row r="471" spans="45:57" ht="15" customHeight="1" x14ac:dyDescent="0.2">
      <c r="AS471" s="209"/>
      <c r="AT471" s="209"/>
      <c r="AU471" s="209"/>
      <c r="AV471" s="209"/>
      <c r="AW471" s="209"/>
      <c r="AX471" s="209"/>
      <c r="AY471" s="209"/>
      <c r="AZ471" s="209"/>
      <c r="BA471" s="209"/>
      <c r="BB471" s="209"/>
      <c r="BC471" s="209"/>
      <c r="BD471" s="209"/>
      <c r="BE471" s="209"/>
    </row>
    <row r="472" spans="45:57" ht="15" customHeight="1" x14ac:dyDescent="0.2">
      <c r="AS472" s="209"/>
      <c r="AT472" s="209"/>
      <c r="AU472" s="209"/>
      <c r="AV472" s="209"/>
      <c r="AW472" s="209"/>
      <c r="AX472" s="209"/>
      <c r="AY472" s="209"/>
      <c r="AZ472" s="209"/>
      <c r="BA472" s="209"/>
      <c r="BB472" s="209"/>
      <c r="BC472" s="209"/>
      <c r="BD472" s="209"/>
      <c r="BE472" s="209"/>
    </row>
    <row r="473" spans="45:57" ht="15" customHeight="1" x14ac:dyDescent="0.2">
      <c r="AS473" s="209"/>
      <c r="AT473" s="209"/>
      <c r="AU473" s="209"/>
      <c r="AV473" s="209"/>
      <c r="AW473" s="209"/>
      <c r="AX473" s="209"/>
      <c r="AY473" s="209"/>
      <c r="AZ473" s="209"/>
      <c r="BA473" s="209"/>
      <c r="BB473" s="209"/>
      <c r="BC473" s="209"/>
      <c r="BD473" s="209"/>
      <c r="BE473" s="209"/>
    </row>
    <row r="474" spans="45:57" ht="15" customHeight="1" x14ac:dyDescent="0.2">
      <c r="AS474" s="209"/>
      <c r="AT474" s="209"/>
      <c r="AU474" s="209"/>
      <c r="AV474" s="209"/>
      <c r="AW474" s="209"/>
      <c r="AX474" s="209"/>
      <c r="AY474" s="209"/>
      <c r="AZ474" s="209"/>
      <c r="BA474" s="209"/>
      <c r="BB474" s="209"/>
      <c r="BC474" s="209"/>
      <c r="BD474" s="209"/>
      <c r="BE474" s="209"/>
    </row>
    <row r="475" spans="45:57" ht="15" customHeight="1" x14ac:dyDescent="0.2">
      <c r="AS475" s="209"/>
      <c r="AT475" s="209"/>
      <c r="AU475" s="209"/>
      <c r="AV475" s="209"/>
      <c r="AW475" s="209"/>
      <c r="AX475" s="209"/>
      <c r="AY475" s="209"/>
      <c r="AZ475" s="209"/>
      <c r="BA475" s="209"/>
      <c r="BB475" s="209"/>
      <c r="BC475" s="209"/>
      <c r="BD475" s="209"/>
      <c r="BE475" s="209"/>
    </row>
    <row r="476" spans="45:57" ht="15" customHeight="1" x14ac:dyDescent="0.2">
      <c r="AS476" s="209"/>
      <c r="AT476" s="209"/>
      <c r="AU476" s="209"/>
      <c r="AV476" s="209"/>
      <c r="AW476" s="209"/>
      <c r="AX476" s="209"/>
      <c r="AY476" s="209"/>
      <c r="AZ476" s="209"/>
      <c r="BA476" s="209"/>
      <c r="BB476" s="209"/>
      <c r="BC476" s="209"/>
      <c r="BD476" s="209"/>
      <c r="BE476" s="209"/>
    </row>
    <row r="477" spans="45:57" ht="15" customHeight="1" x14ac:dyDescent="0.2">
      <c r="AS477" s="209"/>
      <c r="AT477" s="209"/>
      <c r="AU477" s="209"/>
      <c r="AV477" s="209"/>
      <c r="AW477" s="209"/>
      <c r="AX477" s="209"/>
      <c r="AY477" s="209"/>
      <c r="AZ477" s="209"/>
      <c r="BA477" s="209"/>
      <c r="BB477" s="209"/>
      <c r="BC477" s="209"/>
      <c r="BD477" s="209"/>
      <c r="BE477" s="209"/>
    </row>
    <row r="478" spans="45:57" ht="15" customHeight="1" x14ac:dyDescent="0.2">
      <c r="AS478" s="209"/>
      <c r="AT478" s="209"/>
      <c r="AU478" s="209"/>
      <c r="AV478" s="209"/>
      <c r="AW478" s="209"/>
      <c r="AX478" s="209"/>
      <c r="AY478" s="209"/>
      <c r="AZ478" s="209"/>
      <c r="BA478" s="209"/>
      <c r="BB478" s="209"/>
      <c r="BC478" s="209"/>
      <c r="BD478" s="209"/>
      <c r="BE478" s="209"/>
    </row>
    <row r="479" spans="45:57" ht="15" customHeight="1" x14ac:dyDescent="0.2">
      <c r="AS479" s="209"/>
      <c r="AT479" s="209"/>
      <c r="AU479" s="209"/>
      <c r="AV479" s="209"/>
      <c r="AW479" s="209"/>
      <c r="AX479" s="209"/>
      <c r="AY479" s="209"/>
      <c r="AZ479" s="209"/>
      <c r="BA479" s="209"/>
      <c r="BB479" s="209"/>
      <c r="BC479" s="209"/>
      <c r="BD479" s="209"/>
      <c r="BE479" s="209"/>
    </row>
    <row r="480" spans="45:57" ht="15" customHeight="1" x14ac:dyDescent="0.2">
      <c r="AS480" s="209"/>
      <c r="AT480" s="209"/>
      <c r="AU480" s="209"/>
      <c r="AV480" s="209"/>
      <c r="AW480" s="209"/>
      <c r="AX480" s="209"/>
      <c r="AY480" s="209"/>
      <c r="AZ480" s="209"/>
      <c r="BA480" s="209"/>
      <c r="BB480" s="209"/>
      <c r="BC480" s="209"/>
      <c r="BD480" s="209"/>
      <c r="BE480" s="209"/>
    </row>
    <row r="481" spans="45:57" ht="15" customHeight="1" x14ac:dyDescent="0.2">
      <c r="AS481" s="209"/>
      <c r="AT481" s="209"/>
      <c r="AU481" s="209"/>
      <c r="AV481" s="209"/>
      <c r="AW481" s="209"/>
      <c r="AX481" s="209"/>
      <c r="AY481" s="209"/>
      <c r="AZ481" s="209"/>
      <c r="BA481" s="209"/>
      <c r="BB481" s="209"/>
      <c r="BC481" s="209"/>
      <c r="BD481" s="209"/>
      <c r="BE481" s="209"/>
    </row>
    <row r="482" spans="45:57" ht="15" customHeight="1" x14ac:dyDescent="0.2">
      <c r="AS482" s="209"/>
      <c r="AT482" s="209"/>
      <c r="AU482" s="209"/>
      <c r="AV482" s="209"/>
      <c r="AW482" s="209"/>
      <c r="AX482" s="209"/>
      <c r="AY482" s="209"/>
      <c r="AZ482" s="209"/>
      <c r="BA482" s="209"/>
      <c r="BB482" s="209"/>
      <c r="BC482" s="209"/>
      <c r="BD482" s="209"/>
      <c r="BE482" s="209"/>
    </row>
    <row r="483" spans="45:57" ht="15" customHeight="1" x14ac:dyDescent="0.2">
      <c r="AS483" s="209"/>
      <c r="AT483" s="209"/>
      <c r="AU483" s="209"/>
      <c r="AV483" s="209"/>
      <c r="AW483" s="209"/>
      <c r="AX483" s="209"/>
      <c r="AY483" s="209"/>
      <c r="AZ483" s="209"/>
      <c r="BA483" s="209"/>
      <c r="BB483" s="209"/>
      <c r="BC483" s="209"/>
      <c r="BD483" s="209"/>
      <c r="BE483" s="209"/>
    </row>
    <row r="484" spans="45:57" ht="15" customHeight="1" x14ac:dyDescent="0.2">
      <c r="AS484" s="209"/>
      <c r="AT484" s="209"/>
      <c r="AU484" s="209"/>
      <c r="AV484" s="209"/>
      <c r="AW484" s="209"/>
      <c r="AX484" s="209"/>
      <c r="AY484" s="209"/>
      <c r="AZ484" s="209"/>
      <c r="BA484" s="209"/>
      <c r="BB484" s="209"/>
      <c r="BC484" s="209"/>
      <c r="BD484" s="209"/>
      <c r="BE484" s="209"/>
    </row>
    <row r="485" spans="45:57" ht="15" customHeight="1" x14ac:dyDescent="0.2">
      <c r="AS485" s="209"/>
      <c r="AT485" s="209"/>
      <c r="AU485" s="209"/>
      <c r="AV485" s="209"/>
      <c r="AW485" s="209"/>
      <c r="AX485" s="209"/>
      <c r="AY485" s="209"/>
      <c r="AZ485" s="209"/>
      <c r="BA485" s="209"/>
      <c r="BB485" s="209"/>
      <c r="BC485" s="209"/>
      <c r="BD485" s="209"/>
      <c r="BE485" s="209"/>
    </row>
    <row r="486" spans="45:57" ht="15" customHeight="1" x14ac:dyDescent="0.2">
      <c r="AS486" s="209"/>
      <c r="AT486" s="209"/>
      <c r="AU486" s="209"/>
      <c r="AV486" s="209"/>
      <c r="AW486" s="209"/>
      <c r="AX486" s="209"/>
      <c r="AY486" s="209"/>
      <c r="AZ486" s="209"/>
      <c r="BA486" s="209"/>
      <c r="BB486" s="209"/>
      <c r="BC486" s="209"/>
      <c r="BD486" s="209"/>
      <c r="BE486" s="209"/>
    </row>
    <row r="487" spans="45:57" ht="15" customHeight="1" x14ac:dyDescent="0.2">
      <c r="AS487" s="209"/>
      <c r="AT487" s="209"/>
      <c r="AU487" s="209"/>
      <c r="AV487" s="209"/>
      <c r="AW487" s="209"/>
      <c r="AX487" s="209"/>
      <c r="AY487" s="209"/>
      <c r="AZ487" s="209"/>
      <c r="BA487" s="209"/>
      <c r="BB487" s="209"/>
      <c r="BC487" s="209"/>
      <c r="BD487" s="209"/>
      <c r="BE487" s="209"/>
    </row>
    <row r="488" spans="45:57" ht="15" customHeight="1" x14ac:dyDescent="0.2">
      <c r="AS488" s="209"/>
      <c r="AT488" s="209"/>
      <c r="AU488" s="209"/>
      <c r="AV488" s="209"/>
      <c r="AW488" s="209"/>
      <c r="AX488" s="209"/>
      <c r="AY488" s="209"/>
      <c r="AZ488" s="209"/>
      <c r="BA488" s="209"/>
      <c r="BB488" s="209"/>
      <c r="BC488" s="209"/>
      <c r="BD488" s="209"/>
      <c r="BE488" s="209"/>
    </row>
    <row r="489" spans="45:57" ht="15" customHeight="1" x14ac:dyDescent="0.2">
      <c r="AS489" s="209"/>
      <c r="AT489" s="209"/>
      <c r="AU489" s="209"/>
      <c r="AV489" s="209"/>
      <c r="AW489" s="209"/>
      <c r="AX489" s="209"/>
      <c r="AY489" s="209"/>
      <c r="AZ489" s="209"/>
      <c r="BA489" s="209"/>
      <c r="BB489" s="209"/>
      <c r="BC489" s="209"/>
      <c r="BD489" s="209"/>
      <c r="BE489" s="209"/>
    </row>
    <row r="490" spans="45:57" ht="15" customHeight="1" x14ac:dyDescent="0.2">
      <c r="AS490" s="209"/>
      <c r="AT490" s="209"/>
      <c r="AU490" s="209"/>
      <c r="AV490" s="209"/>
      <c r="AW490" s="209"/>
      <c r="AX490" s="209"/>
      <c r="AY490" s="209"/>
      <c r="AZ490" s="209"/>
      <c r="BA490" s="209"/>
      <c r="BB490" s="209"/>
      <c r="BC490" s="209"/>
      <c r="BD490" s="209"/>
      <c r="BE490" s="209"/>
    </row>
    <row r="491" spans="45:57" ht="15" customHeight="1" x14ac:dyDescent="0.2">
      <c r="AS491" s="209"/>
      <c r="AT491" s="209"/>
      <c r="AU491" s="209"/>
      <c r="AV491" s="209"/>
      <c r="AW491" s="209"/>
      <c r="AX491" s="209"/>
      <c r="AY491" s="209"/>
      <c r="AZ491" s="209"/>
      <c r="BA491" s="209"/>
      <c r="BB491" s="209"/>
      <c r="BC491" s="209"/>
      <c r="BD491" s="209"/>
      <c r="BE491" s="209"/>
    </row>
    <row r="492" spans="45:57" ht="15" customHeight="1" x14ac:dyDescent="0.2">
      <c r="AS492" s="209"/>
      <c r="AT492" s="209"/>
      <c r="AU492" s="209"/>
      <c r="AV492" s="209"/>
      <c r="AW492" s="209"/>
      <c r="AX492" s="209"/>
      <c r="AY492" s="209"/>
      <c r="AZ492" s="209"/>
      <c r="BA492" s="209"/>
      <c r="BB492" s="209"/>
      <c r="BC492" s="209"/>
      <c r="BD492" s="209"/>
      <c r="BE492" s="209"/>
    </row>
    <row r="493" spans="45:57" ht="15" customHeight="1" x14ac:dyDescent="0.2">
      <c r="AS493" s="209"/>
      <c r="AT493" s="209"/>
      <c r="AU493" s="209"/>
      <c r="AV493" s="209"/>
      <c r="AW493" s="209"/>
      <c r="AX493" s="209"/>
      <c r="AY493" s="209"/>
      <c r="AZ493" s="209"/>
      <c r="BA493" s="209"/>
      <c r="BB493" s="209"/>
      <c r="BC493" s="209"/>
      <c r="BD493" s="209"/>
      <c r="BE493" s="209"/>
    </row>
    <row r="494" spans="45:57" ht="15" customHeight="1" x14ac:dyDescent="0.2">
      <c r="AS494" s="209"/>
      <c r="AT494" s="209"/>
      <c r="AU494" s="209"/>
      <c r="AV494" s="209"/>
      <c r="AW494" s="209"/>
      <c r="AX494" s="209"/>
      <c r="AY494" s="209"/>
      <c r="AZ494" s="209"/>
      <c r="BA494" s="209"/>
      <c r="BB494" s="209"/>
      <c r="BC494" s="209"/>
      <c r="BD494" s="209"/>
      <c r="BE494" s="209"/>
    </row>
    <row r="495" spans="45:57" ht="15" customHeight="1" x14ac:dyDescent="0.2">
      <c r="AS495" s="209"/>
      <c r="AT495" s="209"/>
      <c r="AU495" s="209"/>
      <c r="AV495" s="209"/>
      <c r="AW495" s="209"/>
      <c r="AX495" s="209"/>
      <c r="AY495" s="209"/>
      <c r="AZ495" s="209"/>
      <c r="BA495" s="209"/>
      <c r="BB495" s="209"/>
      <c r="BC495" s="209"/>
      <c r="BD495" s="209"/>
      <c r="BE495" s="209"/>
    </row>
    <row r="496" spans="45:57" ht="15" customHeight="1" x14ac:dyDescent="0.2">
      <c r="AS496" s="209"/>
      <c r="AT496" s="209"/>
      <c r="AU496" s="209"/>
      <c r="AV496" s="209"/>
      <c r="AW496" s="209"/>
      <c r="AX496" s="209"/>
      <c r="AY496" s="209"/>
      <c r="AZ496" s="209"/>
      <c r="BA496" s="209"/>
      <c r="BB496" s="209"/>
      <c r="BC496" s="209"/>
      <c r="BD496" s="209"/>
      <c r="BE496" s="209"/>
    </row>
    <row r="497" spans="45:57" ht="15" customHeight="1" x14ac:dyDescent="0.2">
      <c r="AS497" s="209"/>
      <c r="AT497" s="209"/>
      <c r="AU497" s="209"/>
      <c r="AV497" s="209"/>
      <c r="AW497" s="209"/>
      <c r="AX497" s="209"/>
      <c r="AY497" s="209"/>
      <c r="AZ497" s="209"/>
      <c r="BA497" s="209"/>
      <c r="BB497" s="209"/>
      <c r="BC497" s="209"/>
      <c r="BD497" s="209"/>
      <c r="BE497" s="209"/>
    </row>
    <row r="498" spans="45:57" ht="15" customHeight="1" x14ac:dyDescent="0.2">
      <c r="AS498" s="209"/>
      <c r="AT498" s="209"/>
      <c r="AU498" s="209"/>
      <c r="AV498" s="209"/>
      <c r="AW498" s="209"/>
      <c r="AX498" s="209"/>
      <c r="AY498" s="209"/>
      <c r="AZ498" s="209"/>
      <c r="BA498" s="209"/>
      <c r="BB498" s="209"/>
      <c r="BC498" s="209"/>
      <c r="BD498" s="209"/>
      <c r="BE498" s="209"/>
    </row>
    <row r="499" spans="45:57" ht="15" customHeight="1" x14ac:dyDescent="0.2">
      <c r="AS499" s="209"/>
      <c r="AT499" s="209"/>
      <c r="AU499" s="209"/>
      <c r="AV499" s="209"/>
      <c r="AW499" s="209"/>
      <c r="AX499" s="209"/>
      <c r="AY499" s="209"/>
      <c r="AZ499" s="209"/>
      <c r="BA499" s="209"/>
      <c r="BB499" s="209"/>
      <c r="BC499" s="209"/>
      <c r="BD499" s="209"/>
      <c r="BE499" s="209"/>
    </row>
    <row r="500" spans="45:57" ht="15" customHeight="1" x14ac:dyDescent="0.2">
      <c r="AS500" s="209"/>
      <c r="AT500" s="209"/>
      <c r="AU500" s="209"/>
      <c r="AV500" s="209"/>
      <c r="AW500" s="209"/>
      <c r="AX500" s="209"/>
      <c r="AY500" s="209"/>
      <c r="AZ500" s="209"/>
      <c r="BA500" s="209"/>
      <c r="BB500" s="209"/>
      <c r="BC500" s="209"/>
      <c r="BD500" s="209"/>
      <c r="BE500" s="209"/>
    </row>
    <row r="501" spans="45:57" ht="15" customHeight="1" x14ac:dyDescent="0.2">
      <c r="AS501" s="209"/>
      <c r="AT501" s="209"/>
      <c r="AU501" s="209"/>
      <c r="AV501" s="209"/>
      <c r="AW501" s="209"/>
      <c r="AX501" s="209"/>
      <c r="AY501" s="209"/>
      <c r="AZ501" s="209"/>
      <c r="BA501" s="209"/>
      <c r="BB501" s="209"/>
      <c r="BC501" s="209"/>
      <c r="BD501" s="209"/>
      <c r="BE501" s="209"/>
    </row>
    <row r="502" spans="45:57" ht="15" customHeight="1" x14ac:dyDescent="0.2">
      <c r="AS502" s="209"/>
      <c r="AT502" s="209"/>
      <c r="AU502" s="209"/>
      <c r="AV502" s="209"/>
      <c r="AW502" s="209"/>
      <c r="AX502" s="209"/>
      <c r="AY502" s="209"/>
      <c r="AZ502" s="209"/>
      <c r="BA502" s="209"/>
      <c r="BB502" s="209"/>
      <c r="BC502" s="209"/>
      <c r="BD502" s="209"/>
      <c r="BE502" s="209"/>
    </row>
    <row r="503" spans="45:57" ht="15" customHeight="1" x14ac:dyDescent="0.2">
      <c r="AS503" s="209"/>
      <c r="AT503" s="209"/>
      <c r="AU503" s="209"/>
      <c r="AV503" s="209"/>
      <c r="AW503" s="209"/>
      <c r="AX503" s="209"/>
      <c r="AY503" s="209"/>
      <c r="AZ503" s="209"/>
      <c r="BA503" s="209"/>
      <c r="BB503" s="209"/>
      <c r="BC503" s="209"/>
      <c r="BD503" s="209"/>
      <c r="BE503" s="209"/>
    </row>
    <row r="504" spans="45:57" ht="15" customHeight="1" x14ac:dyDescent="0.2">
      <c r="AS504" s="209"/>
      <c r="AT504" s="209"/>
      <c r="AU504" s="209"/>
      <c r="AV504" s="209"/>
      <c r="AW504" s="209"/>
      <c r="AX504" s="209"/>
      <c r="AY504" s="209"/>
      <c r="AZ504" s="209"/>
      <c r="BA504" s="209"/>
      <c r="BB504" s="209"/>
      <c r="BC504" s="209"/>
      <c r="BD504" s="209"/>
      <c r="BE504" s="209"/>
    </row>
    <row r="505" spans="45:57" ht="15" customHeight="1" x14ac:dyDescent="0.2">
      <c r="AS505" s="209"/>
      <c r="AT505" s="209"/>
      <c r="AU505" s="209"/>
      <c r="AV505" s="209"/>
      <c r="AW505" s="209"/>
      <c r="AX505" s="209"/>
      <c r="AY505" s="209"/>
      <c r="AZ505" s="209"/>
      <c r="BA505" s="209"/>
      <c r="BB505" s="209"/>
      <c r="BC505" s="209"/>
      <c r="BD505" s="209"/>
      <c r="BE505" s="209"/>
    </row>
  </sheetData>
  <mergeCells count="6">
    <mergeCell ref="AS4:BE4"/>
    <mergeCell ref="E4:K4"/>
    <mergeCell ref="AN4:AQ4"/>
    <mergeCell ref="X3:AG3"/>
    <mergeCell ref="B2:AG2"/>
    <mergeCell ref="X4:AG4"/>
  </mergeCells>
  <phoneticPr fontId="6" type="noConversion"/>
  <conditionalFormatting sqref="AB6:AC49">
    <cfRule type="expression" dxfId="683" priority="1">
      <formula>IF(_xlfn.ISFORMULA(AB6),FALSE,TRUE)</formula>
    </cfRule>
  </conditionalFormatting>
  <conditionalFormatting sqref="AB6:AG49">
    <cfRule type="expression" dxfId="682" priority="2">
      <formula>IF(AB6="User Input",TRUE,FALSE)</formula>
    </cfRule>
    <cfRule type="expression" dxfId="681" priority="3">
      <formula>IF(AND(AB6=FALSE,AB6&lt;&gt;""),TRUE,FALSE)</formula>
    </cfRule>
  </conditionalFormatting>
  <dataValidations count="2">
    <dataValidation type="list" allowBlank="1" showInputMessage="1" showErrorMessage="1" sqref="Z6:Z31" xr:uid="{B950A454-884E-41AF-B36A-E734B750ACD9}">
      <formula1>"BAR,Double Channel,Channel,HSS Pipe A1085,HSS Pipe,Wide Flange,Single Angle,Double Angle (3/8 Gap),Double Angle (3/4 Gap),Double Angle (No Gap),Pipe, RECT, SMF Wide Flange,SquareTube A1085,SquareTube,Tube A1085,Tube,Virtual Joist, W_Tee,CS, CU, HU, None"</formula1>
    </dataValidation>
    <dataValidation type="list" allowBlank="1" showInputMessage="1" showErrorMessage="1" sqref="AA6:AA31 AL6" xr:uid="{40EC67BE-00A0-4C4A-97EC-688DF8630F88}">
      <formula1>"Flat, Round, HSS Flat"</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9E362-2B6D-4E3C-9BFD-231262D68247}">
  <sheetPr codeName="shDistributedLoadTables"/>
  <dimension ref="A1:HW255"/>
  <sheetViews>
    <sheetView workbookViewId="0">
      <pane ySplit="3" topLeftCell="A4" activePane="bottomLeft" state="frozen"/>
      <selection activeCell="GW1" sqref="GW1"/>
      <selection pane="bottomLeft" activeCell="A4" sqref="A4"/>
    </sheetView>
  </sheetViews>
  <sheetFormatPr defaultColWidth="0" defaultRowHeight="11.25" x14ac:dyDescent="0.2"/>
  <cols>
    <col min="1" max="1" width="8.7109375" style="35" customWidth="1"/>
    <col min="2" max="5" width="8.7109375" style="20" customWidth="1"/>
    <col min="6" max="6" width="8.7109375" style="36" customWidth="1"/>
    <col min="7" max="7" width="2.7109375" style="22" customWidth="1"/>
    <col min="8" max="8" width="8.7109375" style="35" customWidth="1"/>
    <col min="9" max="12" width="8.7109375" style="20" customWidth="1"/>
    <col min="13" max="13" width="8.7109375" style="36" customWidth="1"/>
    <col min="14" max="14" width="2.7109375" style="22" customWidth="1"/>
    <col min="15" max="15" width="8.7109375" style="35" customWidth="1"/>
    <col min="16" max="19" width="8.7109375" style="20" customWidth="1"/>
    <col min="20" max="20" width="8.7109375" style="36" customWidth="1"/>
    <col min="21" max="21" width="2.7109375" style="22" customWidth="1"/>
    <col min="22" max="22" width="8.7109375" style="35" customWidth="1"/>
    <col min="23" max="26" width="8.7109375" style="20" customWidth="1"/>
    <col min="27" max="27" width="8.7109375" style="36" customWidth="1"/>
    <col min="28" max="28" width="2.7109375" style="22" customWidth="1"/>
    <col min="29" max="29" width="8.7109375" style="35" customWidth="1"/>
    <col min="30" max="33" width="8.7109375" style="20" customWidth="1"/>
    <col min="34" max="34" width="8.7109375" style="36" customWidth="1"/>
    <col min="35" max="35" width="2.7109375" style="22" customWidth="1"/>
    <col min="36" max="36" width="8.7109375" style="35" customWidth="1"/>
    <col min="37" max="40" width="8.7109375" style="20" customWidth="1"/>
    <col min="41" max="41" width="8.7109375" style="36" customWidth="1"/>
    <col min="42" max="42" width="2.7109375" style="22" customWidth="1"/>
    <col min="43" max="43" width="8.7109375" style="35" customWidth="1"/>
    <col min="44" max="47" width="8.7109375" style="20" customWidth="1"/>
    <col min="48" max="48" width="8.7109375" style="36" customWidth="1"/>
    <col min="49" max="49" width="2.7109375" style="22" customWidth="1"/>
    <col min="50" max="50" width="8.7109375" style="35" customWidth="1"/>
    <col min="51" max="54" width="8.7109375" style="20" customWidth="1"/>
    <col min="55" max="55" width="8.7109375" style="36" customWidth="1"/>
    <col min="56" max="56" width="2.7109375" style="22" customWidth="1"/>
    <col min="57" max="57" width="8.7109375" style="35" customWidth="1"/>
    <col min="58" max="61" width="8.7109375" style="20" customWidth="1"/>
    <col min="62" max="62" width="8.7109375" style="36" customWidth="1"/>
    <col min="63" max="63" width="2.7109375" style="22" customWidth="1"/>
    <col min="64" max="64" width="8.7109375" style="35" customWidth="1"/>
    <col min="65" max="68" width="8.7109375" style="20" customWidth="1"/>
    <col min="69" max="69" width="8.7109375" style="36" customWidth="1"/>
    <col min="70" max="70" width="2.7109375" style="22" customWidth="1"/>
    <col min="71" max="71" width="8.7109375" style="35" customWidth="1"/>
    <col min="72" max="75" width="8.7109375" style="20" customWidth="1"/>
    <col min="76" max="76" width="8.7109375" style="36" customWidth="1"/>
    <col min="77" max="77" width="2.7109375" style="22" customWidth="1"/>
    <col min="78" max="78" width="8.7109375" style="35" customWidth="1"/>
    <col min="79" max="82" width="8.7109375" style="20" customWidth="1"/>
    <col min="83" max="83" width="8.7109375" style="36" customWidth="1"/>
    <col min="84" max="84" width="2.7109375" style="22" customWidth="1"/>
    <col min="85" max="85" width="8.7109375" style="35" customWidth="1"/>
    <col min="86" max="89" width="8.7109375" style="20" customWidth="1"/>
    <col min="90" max="90" width="8.7109375" style="36" customWidth="1"/>
    <col min="91" max="91" width="2.7109375" style="22" customWidth="1"/>
    <col min="92" max="92" width="8.7109375" style="35" customWidth="1"/>
    <col min="93" max="96" width="8.7109375" style="20" customWidth="1"/>
    <col min="97" max="97" width="8.7109375" style="36" customWidth="1"/>
    <col min="98" max="98" width="2.7109375" style="22" customWidth="1"/>
    <col min="99" max="99" width="8.7109375" style="35" customWidth="1"/>
    <col min="100" max="103" width="8.7109375" style="20" customWidth="1"/>
    <col min="104" max="104" width="8.7109375" style="36" customWidth="1"/>
    <col min="105" max="105" width="2.7109375" style="22" customWidth="1"/>
    <col min="106" max="106" width="8.7109375" style="35" customWidth="1"/>
    <col min="107" max="110" width="8.7109375" style="20" customWidth="1"/>
    <col min="111" max="111" width="8.7109375" style="36" customWidth="1"/>
    <col min="112" max="112" width="2.7109375" style="22" customWidth="1"/>
    <col min="113" max="113" width="8.7109375" style="35" customWidth="1"/>
    <col min="114" max="117" width="8.7109375" style="20" customWidth="1"/>
    <col min="118" max="118" width="8.7109375" style="36" customWidth="1"/>
    <col min="119" max="119" width="2.7109375" style="22" customWidth="1"/>
    <col min="120" max="120" width="8.7109375" style="35" customWidth="1"/>
    <col min="121" max="124" width="8.7109375" style="20" customWidth="1"/>
    <col min="125" max="125" width="8.7109375" style="36" customWidth="1"/>
    <col min="126" max="126" width="2.7109375" style="22" customWidth="1"/>
    <col min="127" max="127" width="8.7109375" style="35" customWidth="1"/>
    <col min="128" max="131" width="8.7109375" style="20" customWidth="1"/>
    <col min="132" max="132" width="8.7109375" style="36" customWidth="1"/>
    <col min="133" max="133" width="2.7109375" style="22" customWidth="1"/>
    <col min="134" max="134" width="8.7109375" style="35" customWidth="1"/>
    <col min="135" max="138" width="8.7109375" style="20" customWidth="1"/>
    <col min="139" max="139" width="8.7109375" style="36" customWidth="1"/>
    <col min="140" max="140" width="2.7109375" style="22" customWidth="1"/>
    <col min="141" max="141" width="8.7109375" style="35" customWidth="1"/>
    <col min="142" max="145" width="8.7109375" style="20" customWidth="1"/>
    <col min="146" max="146" width="8.7109375" style="36" customWidth="1"/>
    <col min="147" max="147" width="2.7109375" style="22" customWidth="1"/>
    <col min="148" max="148" width="8.7109375" style="35" customWidth="1"/>
    <col min="149" max="152" width="8.7109375" style="20" customWidth="1"/>
    <col min="153" max="153" width="8.7109375" style="36" customWidth="1"/>
    <col min="154" max="154" width="2.7109375" style="22" customWidth="1"/>
    <col min="155" max="155" width="8.7109375" style="35" customWidth="1"/>
    <col min="156" max="159" width="8.7109375" style="20" customWidth="1"/>
    <col min="160" max="160" width="8.7109375" style="36" customWidth="1"/>
    <col min="161" max="161" width="2.7109375" style="22" customWidth="1"/>
    <col min="162" max="162" width="8.7109375" style="35" customWidth="1"/>
    <col min="163" max="166" width="8.7109375" style="20" customWidth="1"/>
    <col min="167" max="167" width="8.7109375" style="36" customWidth="1"/>
    <col min="168" max="168" width="2.7109375" style="22" customWidth="1"/>
    <col min="169" max="169" width="8.7109375" style="35" customWidth="1"/>
    <col min="170" max="173" width="8.7109375" style="20" customWidth="1"/>
    <col min="174" max="174" width="8.7109375" style="36" customWidth="1"/>
    <col min="175" max="175" width="2.7109375" style="22" customWidth="1"/>
    <col min="176" max="176" width="8.7109375" style="35" customWidth="1"/>
    <col min="177" max="180" width="8.7109375" style="20" customWidth="1"/>
    <col min="181" max="181" width="8.7109375" style="36" customWidth="1"/>
    <col min="182" max="182" width="2.7109375" style="22" customWidth="1"/>
    <col min="183" max="183" width="8.7109375" style="35" customWidth="1"/>
    <col min="184" max="187" width="8.7109375" style="20" customWidth="1"/>
    <col min="188" max="188" width="8.7109375" style="36" customWidth="1"/>
    <col min="189" max="189" width="2.7109375" style="22" customWidth="1"/>
    <col min="190" max="190" width="8.7109375" style="35" customWidth="1"/>
    <col min="191" max="194" width="8.7109375" style="20" customWidth="1"/>
    <col min="195" max="195" width="8.7109375" style="36" customWidth="1"/>
    <col min="196" max="196" width="2.7109375" style="22" customWidth="1"/>
    <col min="197" max="197" width="8.7109375" style="35" customWidth="1"/>
    <col min="198" max="201" width="8.7109375" style="20" customWidth="1"/>
    <col min="202" max="202" width="8.7109375" style="36" customWidth="1"/>
    <col min="203" max="203" width="2.7109375" style="22" customWidth="1"/>
    <col min="204" max="204" width="8.7109375" style="35" customWidth="1"/>
    <col min="205" max="208" width="8.7109375" style="20" customWidth="1"/>
    <col min="209" max="209" width="8.7109375" style="36" customWidth="1"/>
    <col min="210" max="210" width="2.7109375" style="22" customWidth="1"/>
    <col min="211" max="211" width="8.7109375" style="35" customWidth="1"/>
    <col min="212" max="215" width="8.7109375" style="20" customWidth="1"/>
    <col min="216" max="216" width="8.7109375" style="36" customWidth="1"/>
    <col min="217" max="217" width="2.7109375" style="22" customWidth="1"/>
    <col min="218" max="218" width="8.7109375" style="35" customWidth="1"/>
    <col min="219" max="222" width="8.7109375" style="20" customWidth="1"/>
    <col min="223" max="223" width="8.7109375" style="36" customWidth="1"/>
    <col min="224" max="224" width="2.7109375" style="22" customWidth="1"/>
    <col min="225" max="225" width="8.7109375" style="35" customWidth="1"/>
    <col min="226" max="229" width="8.7109375" style="20" customWidth="1"/>
    <col min="230" max="230" width="8.7109375" style="36" customWidth="1"/>
    <col min="231" max="231" width="2.7109375" style="22" customWidth="1"/>
    <col min="232" max="16384" width="8.7109375" style="20" hidden="1"/>
  </cols>
  <sheetData>
    <row r="1" spans="1:231" s="33" customFormat="1" ht="16.5" thickBot="1" x14ac:dyDescent="0.3">
      <c r="A1" s="23" t="s">
        <v>291</v>
      </c>
      <c r="B1" s="24"/>
      <c r="C1" s="24"/>
      <c r="D1" s="24"/>
      <c r="E1" s="24"/>
      <c r="F1" s="25"/>
      <c r="G1" s="26"/>
      <c r="H1" s="27"/>
      <c r="I1" s="24"/>
      <c r="J1" s="24"/>
      <c r="K1" s="24"/>
      <c r="L1" s="24"/>
      <c r="M1" s="25"/>
      <c r="N1" s="26"/>
      <c r="O1" s="27"/>
      <c r="P1" s="24"/>
      <c r="Q1" s="24"/>
      <c r="R1" s="24"/>
      <c r="S1" s="24"/>
      <c r="T1" s="25"/>
      <c r="U1" s="26"/>
      <c r="V1" s="27"/>
      <c r="W1" s="24"/>
      <c r="X1" s="24"/>
      <c r="Y1" s="24"/>
      <c r="Z1" s="24"/>
      <c r="AA1" s="25"/>
      <c r="AB1" s="26"/>
      <c r="AC1" s="27"/>
      <c r="AD1" s="24"/>
      <c r="AE1" s="24"/>
      <c r="AF1" s="24"/>
      <c r="AG1" s="24"/>
      <c r="AH1" s="25"/>
      <c r="AI1" s="26"/>
      <c r="AJ1" s="27"/>
      <c r="AK1" s="24"/>
      <c r="AL1" s="24"/>
      <c r="AM1" s="24"/>
      <c r="AN1" s="24"/>
      <c r="AO1" s="25"/>
      <c r="AP1" s="26"/>
      <c r="AQ1" s="28"/>
      <c r="AR1" s="29"/>
      <c r="AS1" s="29"/>
      <c r="AT1" s="29"/>
      <c r="AU1" s="29"/>
      <c r="AV1" s="30"/>
      <c r="AW1" s="26"/>
      <c r="AX1" s="28"/>
      <c r="AY1" s="29"/>
      <c r="AZ1" s="29"/>
      <c r="BA1" s="29"/>
      <c r="BB1" s="29"/>
      <c r="BC1" s="30"/>
      <c r="BD1" s="26"/>
      <c r="BE1" s="31"/>
      <c r="BF1" s="24"/>
      <c r="BG1" s="24"/>
      <c r="BH1" s="24"/>
      <c r="BI1" s="24"/>
      <c r="BJ1" s="25"/>
      <c r="BK1" s="26"/>
      <c r="BL1" s="27"/>
      <c r="BM1" s="24"/>
      <c r="BN1" s="24"/>
      <c r="BO1" s="24"/>
      <c r="BP1" s="24"/>
      <c r="BQ1" s="25"/>
      <c r="BR1" s="26"/>
      <c r="BS1" s="27"/>
      <c r="BT1" s="24"/>
      <c r="BU1" s="24"/>
      <c r="BV1" s="24"/>
      <c r="BW1" s="24"/>
      <c r="BX1" s="25"/>
      <c r="BY1" s="26"/>
      <c r="BZ1" s="27"/>
      <c r="CA1" s="24"/>
      <c r="CB1" s="24"/>
      <c r="CC1" s="24"/>
      <c r="CD1" s="24"/>
      <c r="CE1" s="25"/>
      <c r="CF1" s="26"/>
      <c r="CG1" s="27"/>
      <c r="CH1" s="24"/>
      <c r="CI1" s="24"/>
      <c r="CJ1" s="24"/>
      <c r="CK1" s="24"/>
      <c r="CL1" s="25"/>
      <c r="CM1" s="26"/>
      <c r="CN1" s="27"/>
      <c r="CO1" s="24"/>
      <c r="CP1" s="24"/>
      <c r="CQ1" s="24"/>
      <c r="CR1" s="24"/>
      <c r="CS1" s="25"/>
      <c r="CT1" s="26"/>
      <c r="CU1" s="28"/>
      <c r="CV1" s="29"/>
      <c r="CW1" s="29"/>
      <c r="CX1" s="29"/>
      <c r="CY1" s="29"/>
      <c r="CZ1" s="30"/>
      <c r="DA1" s="26"/>
      <c r="DB1" s="28"/>
      <c r="DC1" s="29"/>
      <c r="DD1" s="29"/>
      <c r="DE1" s="29"/>
      <c r="DF1" s="29"/>
      <c r="DG1" s="30"/>
      <c r="DH1" s="26"/>
      <c r="DI1" s="28"/>
      <c r="DJ1" s="29"/>
      <c r="DK1" s="29"/>
      <c r="DL1" s="29"/>
      <c r="DM1" s="29"/>
      <c r="DN1" s="30"/>
      <c r="DO1" s="26"/>
      <c r="DP1" s="28"/>
      <c r="DQ1" s="29"/>
      <c r="DR1" s="29"/>
      <c r="DS1" s="29"/>
      <c r="DT1" s="29"/>
      <c r="DU1" s="30"/>
      <c r="DV1" s="26"/>
      <c r="DW1" s="28"/>
      <c r="DX1" s="29"/>
      <c r="DY1" s="29"/>
      <c r="DZ1" s="29"/>
      <c r="EA1" s="29"/>
      <c r="EB1" s="30"/>
      <c r="EC1" s="26"/>
      <c r="ED1" s="28"/>
      <c r="EE1" s="29"/>
      <c r="EF1" s="29"/>
      <c r="EG1" s="29"/>
      <c r="EH1" s="29"/>
      <c r="EI1" s="30"/>
      <c r="EJ1" s="26"/>
      <c r="EK1" s="28"/>
      <c r="EL1" s="29"/>
      <c r="EM1" s="29"/>
      <c r="EN1" s="29"/>
      <c r="EO1" s="29"/>
      <c r="EP1" s="30"/>
      <c r="EQ1" s="26"/>
      <c r="ER1" s="28"/>
      <c r="ES1" s="29"/>
      <c r="ET1" s="29"/>
      <c r="EU1" s="29"/>
      <c r="EV1" s="29"/>
      <c r="EW1" s="30"/>
      <c r="EX1" s="26"/>
      <c r="EY1" s="28"/>
      <c r="EZ1" s="29"/>
      <c r="FA1" s="29"/>
      <c r="FB1" s="29"/>
      <c r="FC1" s="29"/>
      <c r="FD1" s="30"/>
      <c r="FE1" s="26"/>
      <c r="FF1" s="28"/>
      <c r="FG1" s="29"/>
      <c r="FH1" s="29"/>
      <c r="FI1" s="29"/>
      <c r="FJ1" s="29"/>
      <c r="FK1" s="30"/>
      <c r="FL1" s="26"/>
      <c r="FM1" s="28"/>
      <c r="FN1" s="29"/>
      <c r="FO1" s="29"/>
      <c r="FP1" s="29"/>
      <c r="FQ1" s="29"/>
      <c r="FR1" s="30"/>
      <c r="FS1" s="26"/>
      <c r="FT1" s="28"/>
      <c r="FU1" s="29"/>
      <c r="FV1" s="29"/>
      <c r="FW1" s="29"/>
      <c r="FX1" s="29"/>
      <c r="FY1" s="30"/>
      <c r="FZ1" s="26"/>
      <c r="GA1" s="28"/>
      <c r="GB1" s="29"/>
      <c r="GC1" s="29"/>
      <c r="GD1" s="29"/>
      <c r="GE1" s="29"/>
      <c r="GF1" s="30"/>
      <c r="GG1" s="26"/>
      <c r="GH1" s="28"/>
      <c r="GI1" s="29"/>
      <c r="GJ1" s="29"/>
      <c r="GK1" s="29"/>
      <c r="GL1" s="29"/>
      <c r="GM1" s="30"/>
      <c r="GN1" s="26"/>
      <c r="GO1" s="28"/>
      <c r="GP1" s="29"/>
      <c r="GQ1" s="29"/>
      <c r="GR1" s="29"/>
      <c r="GS1" s="29"/>
      <c r="GT1" s="30"/>
      <c r="GU1" s="26"/>
      <c r="GV1" s="28"/>
      <c r="GW1" s="29"/>
      <c r="GX1" s="29"/>
      <c r="GY1" s="29"/>
      <c r="GZ1" s="29"/>
      <c r="HA1" s="30"/>
      <c r="HB1" s="26"/>
      <c r="HC1" s="28"/>
      <c r="HD1" s="29"/>
      <c r="HE1" s="29"/>
      <c r="HF1" s="29"/>
      <c r="HG1" s="29"/>
      <c r="HH1" s="30"/>
      <c r="HI1" s="26"/>
      <c r="HJ1" s="28"/>
      <c r="HK1" s="29"/>
      <c r="HL1" s="29"/>
      <c r="HM1" s="29"/>
      <c r="HN1" s="29"/>
      <c r="HO1" s="30"/>
      <c r="HP1" s="26"/>
      <c r="HQ1" s="29"/>
      <c r="HR1" s="29"/>
      <c r="HS1" s="29"/>
      <c r="HT1" s="29"/>
      <c r="HU1" s="29"/>
      <c r="HV1" s="32"/>
      <c r="HW1" s="26"/>
    </row>
    <row r="2" spans="1:231" x14ac:dyDescent="0.2">
      <c r="A2" s="488" t="s">
        <v>1258</v>
      </c>
      <c r="B2" s="489"/>
      <c r="C2" s="489"/>
      <c r="D2" s="489"/>
      <c r="E2" s="489"/>
      <c r="F2" s="490"/>
      <c r="H2" s="488" t="s">
        <v>1259</v>
      </c>
      <c r="I2" s="489"/>
      <c r="J2" s="489"/>
      <c r="K2" s="489"/>
      <c r="L2" s="489"/>
      <c r="M2" s="490"/>
      <c r="O2" s="488" t="s">
        <v>1260</v>
      </c>
      <c r="P2" s="489"/>
      <c r="Q2" s="489"/>
      <c r="R2" s="489"/>
      <c r="S2" s="489"/>
      <c r="T2" s="490"/>
      <c r="V2" s="488" t="s">
        <v>1261</v>
      </c>
      <c r="W2" s="489"/>
      <c r="X2" s="489"/>
      <c r="Y2" s="489"/>
      <c r="Z2" s="489"/>
      <c r="AA2" s="490"/>
      <c r="AC2" s="488" t="s">
        <v>1262</v>
      </c>
      <c r="AD2" s="489"/>
      <c r="AE2" s="489"/>
      <c r="AF2" s="489"/>
      <c r="AG2" s="489"/>
      <c r="AH2" s="490"/>
      <c r="AJ2" s="488" t="s">
        <v>1263</v>
      </c>
      <c r="AK2" s="489"/>
      <c r="AL2" s="489"/>
      <c r="AM2" s="489"/>
      <c r="AN2" s="489"/>
      <c r="AO2" s="490"/>
      <c r="AQ2" s="488" t="s">
        <v>1264</v>
      </c>
      <c r="AR2" s="489"/>
      <c r="AS2" s="489"/>
      <c r="AT2" s="489"/>
      <c r="AU2" s="489"/>
      <c r="AV2" s="490"/>
      <c r="AX2" s="488" t="s">
        <v>1265</v>
      </c>
      <c r="AY2" s="489"/>
      <c r="AZ2" s="489"/>
      <c r="BA2" s="489"/>
      <c r="BB2" s="489"/>
      <c r="BC2" s="490"/>
      <c r="BE2" s="488" t="s">
        <v>1266</v>
      </c>
      <c r="BF2" s="489"/>
      <c r="BG2" s="489"/>
      <c r="BH2" s="489"/>
      <c r="BI2" s="489"/>
      <c r="BJ2" s="490"/>
      <c r="BL2" s="488" t="s">
        <v>1267</v>
      </c>
      <c r="BM2" s="489"/>
      <c r="BN2" s="489"/>
      <c r="BO2" s="489"/>
      <c r="BP2" s="489"/>
      <c r="BQ2" s="490"/>
      <c r="BS2" s="488" t="s">
        <v>1268</v>
      </c>
      <c r="BT2" s="489"/>
      <c r="BU2" s="489"/>
      <c r="BV2" s="489"/>
      <c r="BW2" s="489"/>
      <c r="BX2" s="490"/>
      <c r="BZ2" s="488" t="s">
        <v>1269</v>
      </c>
      <c r="CA2" s="489"/>
      <c r="CB2" s="489"/>
      <c r="CC2" s="489"/>
      <c r="CD2" s="489"/>
      <c r="CE2" s="490"/>
      <c r="CG2" s="488" t="s">
        <v>1270</v>
      </c>
      <c r="CH2" s="489"/>
      <c r="CI2" s="489"/>
      <c r="CJ2" s="489"/>
      <c r="CK2" s="489"/>
      <c r="CL2" s="490"/>
      <c r="CN2" s="488" t="s">
        <v>1271</v>
      </c>
      <c r="CO2" s="489"/>
      <c r="CP2" s="489"/>
      <c r="CQ2" s="489"/>
      <c r="CR2" s="489"/>
      <c r="CS2" s="490"/>
      <c r="CU2" s="488" t="s">
        <v>1272</v>
      </c>
      <c r="CV2" s="489"/>
      <c r="CW2" s="489"/>
      <c r="CX2" s="489"/>
      <c r="CY2" s="489"/>
      <c r="CZ2" s="490"/>
      <c r="DB2" s="488" t="s">
        <v>1273</v>
      </c>
      <c r="DC2" s="489"/>
      <c r="DD2" s="489"/>
      <c r="DE2" s="489"/>
      <c r="DF2" s="489"/>
      <c r="DG2" s="490"/>
      <c r="DI2" s="491" t="s">
        <v>1274</v>
      </c>
      <c r="DJ2" s="492"/>
      <c r="DK2" s="492"/>
      <c r="DL2" s="492"/>
      <c r="DM2" s="492"/>
      <c r="DN2" s="493"/>
      <c r="DP2" s="491" t="s">
        <v>1275</v>
      </c>
      <c r="DQ2" s="492"/>
      <c r="DR2" s="492"/>
      <c r="DS2" s="492"/>
      <c r="DT2" s="492"/>
      <c r="DU2" s="493"/>
      <c r="DW2" s="491" t="s">
        <v>1276</v>
      </c>
      <c r="DX2" s="492"/>
      <c r="DY2" s="492"/>
      <c r="DZ2" s="492"/>
      <c r="EA2" s="492"/>
      <c r="EB2" s="493"/>
      <c r="ED2" s="491" t="s">
        <v>1277</v>
      </c>
      <c r="EE2" s="492"/>
      <c r="EF2" s="492"/>
      <c r="EG2" s="492"/>
      <c r="EH2" s="492"/>
      <c r="EI2" s="493"/>
      <c r="EK2" s="491" t="s">
        <v>1278</v>
      </c>
      <c r="EL2" s="492"/>
      <c r="EM2" s="492"/>
      <c r="EN2" s="492"/>
      <c r="EO2" s="492"/>
      <c r="EP2" s="493"/>
      <c r="ER2" s="491" t="s">
        <v>1279</v>
      </c>
      <c r="ES2" s="492"/>
      <c r="ET2" s="492"/>
      <c r="EU2" s="492"/>
      <c r="EV2" s="492"/>
      <c r="EW2" s="493"/>
      <c r="EY2" s="491" t="s">
        <v>1280</v>
      </c>
      <c r="EZ2" s="492"/>
      <c r="FA2" s="492"/>
      <c r="FB2" s="492"/>
      <c r="FC2" s="492"/>
      <c r="FD2" s="493"/>
      <c r="FF2" s="491" t="s">
        <v>1281</v>
      </c>
      <c r="FG2" s="492"/>
      <c r="FH2" s="492"/>
      <c r="FI2" s="492"/>
      <c r="FJ2" s="492"/>
      <c r="FK2" s="493"/>
      <c r="FM2" s="491" t="s">
        <v>1282</v>
      </c>
      <c r="FN2" s="492"/>
      <c r="FO2" s="492"/>
      <c r="FP2" s="492"/>
      <c r="FQ2" s="492"/>
      <c r="FR2" s="493"/>
      <c r="FT2" s="491" t="s">
        <v>1283</v>
      </c>
      <c r="FU2" s="492"/>
      <c r="FV2" s="492"/>
      <c r="FW2" s="492"/>
      <c r="FX2" s="492"/>
      <c r="FY2" s="493"/>
      <c r="GA2" s="491" t="s">
        <v>1284</v>
      </c>
      <c r="GB2" s="492"/>
      <c r="GC2" s="492"/>
      <c r="GD2" s="492"/>
      <c r="GE2" s="492"/>
      <c r="GF2" s="493"/>
      <c r="GH2" s="491" t="s">
        <v>1285</v>
      </c>
      <c r="GI2" s="492"/>
      <c r="GJ2" s="492"/>
      <c r="GK2" s="492"/>
      <c r="GL2" s="492"/>
      <c r="GM2" s="493"/>
      <c r="GO2" s="491" t="s">
        <v>1286</v>
      </c>
      <c r="GP2" s="492"/>
      <c r="GQ2" s="492"/>
      <c r="GR2" s="492"/>
      <c r="GS2" s="492"/>
      <c r="GT2" s="493"/>
      <c r="GV2" s="491" t="s">
        <v>1287</v>
      </c>
      <c r="GW2" s="492"/>
      <c r="GX2" s="492"/>
      <c r="GY2" s="492"/>
      <c r="GZ2" s="492"/>
      <c r="HA2" s="493"/>
      <c r="HC2" s="491" t="s">
        <v>1288</v>
      </c>
      <c r="HD2" s="492"/>
      <c r="HE2" s="492"/>
      <c r="HF2" s="492"/>
      <c r="HG2" s="492"/>
      <c r="HH2" s="493"/>
      <c r="HJ2" s="491" t="s">
        <v>1289</v>
      </c>
      <c r="HK2" s="492"/>
      <c r="HL2" s="492"/>
      <c r="HM2" s="492"/>
      <c r="HN2" s="492"/>
      <c r="HO2" s="493"/>
      <c r="HQ2" s="491" t="s">
        <v>292</v>
      </c>
      <c r="HR2" s="492"/>
      <c r="HS2" s="492"/>
      <c r="HT2" s="492"/>
      <c r="HU2" s="492"/>
      <c r="HV2" s="493"/>
    </row>
    <row r="3" spans="1:231" ht="34.5" thickBot="1" x14ac:dyDescent="0.25">
      <c r="A3" s="12" t="s">
        <v>255</v>
      </c>
      <c r="B3" s="13" t="s">
        <v>293</v>
      </c>
      <c r="C3" s="14" t="str">
        <f>CONCATENATE("Starting Magnitude (",RISA3D.Unit.LinearForce,")")</f>
        <v>Starting Magnitude ()</v>
      </c>
      <c r="D3" s="14" t="str">
        <f>CONCATENATE("Ending Magnitude (",RISA3D.Unit.LinearForce,")")</f>
        <v>Ending Magnitude ()</v>
      </c>
      <c r="E3" s="15" t="s">
        <v>294</v>
      </c>
      <c r="F3" s="34" t="s">
        <v>295</v>
      </c>
      <c r="H3" s="12" t="s">
        <v>255</v>
      </c>
      <c r="I3" s="13" t="s">
        <v>293</v>
      </c>
      <c r="J3" s="14" t="str">
        <f>CONCATENATE("Starting Magnitude (",RISA3D.Unit.LinearForce,")")</f>
        <v>Starting Magnitude ()</v>
      </c>
      <c r="K3" s="14" t="str">
        <f>CONCATENATE("Ending Magnitude (",RISA3D.Unit.LinearForce,")")</f>
        <v>Ending Magnitude ()</v>
      </c>
      <c r="L3" s="15" t="s">
        <v>294</v>
      </c>
      <c r="M3" s="34" t="s">
        <v>295</v>
      </c>
      <c r="O3" s="12" t="s">
        <v>255</v>
      </c>
      <c r="P3" s="13" t="s">
        <v>293</v>
      </c>
      <c r="Q3" s="14" t="str">
        <f>CONCATENATE("Starting Magnitude (",RISA3D.Unit.LinearForce,")")</f>
        <v>Starting Magnitude ()</v>
      </c>
      <c r="R3" s="14" t="str">
        <f>CONCATENATE("Ending Magnitude (",RISA3D.Unit.LinearForce,")")</f>
        <v>Ending Magnitude ()</v>
      </c>
      <c r="S3" s="15" t="s">
        <v>294</v>
      </c>
      <c r="T3" s="34" t="s">
        <v>295</v>
      </c>
      <c r="V3" s="12" t="s">
        <v>255</v>
      </c>
      <c r="W3" s="13" t="s">
        <v>293</v>
      </c>
      <c r="X3" s="14" t="str">
        <f>CONCATENATE("Starting Magnitude (",RISA3D.Unit.LinearForce,")")</f>
        <v>Starting Magnitude ()</v>
      </c>
      <c r="Y3" s="14" t="str">
        <f>CONCATENATE("Ending Magnitude (",RISA3D.Unit.LinearForce,")")</f>
        <v>Ending Magnitude ()</v>
      </c>
      <c r="Z3" s="15" t="s">
        <v>294</v>
      </c>
      <c r="AA3" s="34" t="s">
        <v>295</v>
      </c>
      <c r="AC3" s="12" t="s">
        <v>255</v>
      </c>
      <c r="AD3" s="13" t="s">
        <v>293</v>
      </c>
      <c r="AE3" s="14" t="str">
        <f>CONCATENATE("Starting Magnitude (",RISA3D.Unit.LinearForce,")")</f>
        <v>Starting Magnitude ()</v>
      </c>
      <c r="AF3" s="14" t="str">
        <f>CONCATENATE("Ending Magnitude (",RISA3D.Unit.LinearForce,")")</f>
        <v>Ending Magnitude ()</v>
      </c>
      <c r="AG3" s="15" t="s">
        <v>294</v>
      </c>
      <c r="AH3" s="34" t="s">
        <v>295</v>
      </c>
      <c r="AJ3" s="12" t="s">
        <v>255</v>
      </c>
      <c r="AK3" s="13" t="s">
        <v>293</v>
      </c>
      <c r="AL3" s="14" t="str">
        <f>CONCATENATE("Starting Magnitude (",RISA3D.Unit.LinearForce,")")</f>
        <v>Starting Magnitude ()</v>
      </c>
      <c r="AM3" s="14" t="str">
        <f>CONCATENATE("Ending Magnitude (",RISA3D.Unit.LinearForce,")")</f>
        <v>Ending Magnitude ()</v>
      </c>
      <c r="AN3" s="15" t="s">
        <v>294</v>
      </c>
      <c r="AO3" s="34" t="s">
        <v>295</v>
      </c>
      <c r="AQ3" s="12" t="s">
        <v>255</v>
      </c>
      <c r="AR3" s="13" t="s">
        <v>293</v>
      </c>
      <c r="AS3" s="14" t="str">
        <f>CONCATENATE("Starting Magnitude (",RISA3D.Unit.LinearForce,")")</f>
        <v>Starting Magnitude ()</v>
      </c>
      <c r="AT3" s="14" t="str">
        <f>CONCATENATE("Ending Magnitude (",RISA3D.Unit.LinearForce,")")</f>
        <v>Ending Magnitude ()</v>
      </c>
      <c r="AU3" s="15" t="s">
        <v>294</v>
      </c>
      <c r="AV3" s="34" t="s">
        <v>295</v>
      </c>
      <c r="AX3" s="12" t="s">
        <v>255</v>
      </c>
      <c r="AY3" s="13" t="s">
        <v>293</v>
      </c>
      <c r="AZ3" s="14" t="str">
        <f>CONCATENATE("Starting Magnitude (",RISA3D.Unit.LinearForce,")")</f>
        <v>Starting Magnitude ()</v>
      </c>
      <c r="BA3" s="14" t="str">
        <f>CONCATENATE("Ending Magnitude (",RISA3D.Unit.LinearForce,")")</f>
        <v>Ending Magnitude ()</v>
      </c>
      <c r="BB3" s="15" t="s">
        <v>294</v>
      </c>
      <c r="BC3" s="34" t="s">
        <v>295</v>
      </c>
      <c r="BE3" s="12" t="s">
        <v>255</v>
      </c>
      <c r="BF3" s="13" t="s">
        <v>293</v>
      </c>
      <c r="BG3" s="14" t="str">
        <f>CONCATENATE("Starting Magnitude (",RISA3D.Unit.LinearForce,")")</f>
        <v>Starting Magnitude ()</v>
      </c>
      <c r="BH3" s="14" t="str">
        <f>CONCATENATE("Ending Magnitude (",RISA3D.Unit.LinearForce,")")</f>
        <v>Ending Magnitude ()</v>
      </c>
      <c r="BI3" s="15" t="s">
        <v>294</v>
      </c>
      <c r="BJ3" s="34" t="s">
        <v>295</v>
      </c>
      <c r="BL3" s="12" t="s">
        <v>255</v>
      </c>
      <c r="BM3" s="13" t="s">
        <v>293</v>
      </c>
      <c r="BN3" s="14" t="str">
        <f>CONCATENATE("Starting Magnitude (",RISA3D.Unit.LinearForce,")")</f>
        <v>Starting Magnitude ()</v>
      </c>
      <c r="BO3" s="14" t="str">
        <f>CONCATENATE("Ending Magnitude (",RISA3D.Unit.LinearForce,")")</f>
        <v>Ending Magnitude ()</v>
      </c>
      <c r="BP3" s="15" t="s">
        <v>294</v>
      </c>
      <c r="BQ3" s="34" t="s">
        <v>295</v>
      </c>
      <c r="BS3" s="12" t="s">
        <v>255</v>
      </c>
      <c r="BT3" s="13" t="s">
        <v>293</v>
      </c>
      <c r="BU3" s="14" t="str">
        <f>CONCATENATE("Starting Magnitude (",RISA3D.Unit.LinearForce,")")</f>
        <v>Starting Magnitude ()</v>
      </c>
      <c r="BV3" s="14" t="str">
        <f>CONCATENATE("Ending Magnitude (",RISA3D.Unit.LinearForce,")")</f>
        <v>Ending Magnitude ()</v>
      </c>
      <c r="BW3" s="15" t="s">
        <v>294</v>
      </c>
      <c r="BX3" s="34" t="s">
        <v>295</v>
      </c>
      <c r="BZ3" s="12" t="s">
        <v>255</v>
      </c>
      <c r="CA3" s="13" t="s">
        <v>293</v>
      </c>
      <c r="CB3" s="14" t="str">
        <f>CONCATENATE("Starting Magnitude (",RISA3D.Unit.LinearForce,")")</f>
        <v>Starting Magnitude ()</v>
      </c>
      <c r="CC3" s="14" t="str">
        <f>CONCATENATE("Ending Magnitude (",RISA3D.Unit.LinearForce,")")</f>
        <v>Ending Magnitude ()</v>
      </c>
      <c r="CD3" s="15" t="s">
        <v>294</v>
      </c>
      <c r="CE3" s="34" t="s">
        <v>295</v>
      </c>
      <c r="CG3" s="12" t="s">
        <v>255</v>
      </c>
      <c r="CH3" s="13" t="s">
        <v>293</v>
      </c>
      <c r="CI3" s="14" t="str">
        <f>CONCATENATE("Starting Magnitude (",RISA3D.Unit.LinearForce,")")</f>
        <v>Starting Magnitude ()</v>
      </c>
      <c r="CJ3" s="14" t="str">
        <f>CONCATENATE("Ending Magnitude (",RISA3D.Unit.LinearForce,")")</f>
        <v>Ending Magnitude ()</v>
      </c>
      <c r="CK3" s="15" t="s">
        <v>294</v>
      </c>
      <c r="CL3" s="34" t="s">
        <v>295</v>
      </c>
      <c r="CN3" s="12" t="s">
        <v>255</v>
      </c>
      <c r="CO3" s="13" t="s">
        <v>293</v>
      </c>
      <c r="CP3" s="14" t="str">
        <f>CONCATENATE("Starting Magnitude (",RISA3D.Unit.LinearForce,")")</f>
        <v>Starting Magnitude ()</v>
      </c>
      <c r="CQ3" s="14" t="str">
        <f>CONCATENATE("Ending Magnitude (",RISA3D.Unit.LinearForce,")")</f>
        <v>Ending Magnitude ()</v>
      </c>
      <c r="CR3" s="15" t="s">
        <v>294</v>
      </c>
      <c r="CS3" s="34" t="s">
        <v>295</v>
      </c>
      <c r="CU3" s="12" t="s">
        <v>255</v>
      </c>
      <c r="CV3" s="13" t="s">
        <v>293</v>
      </c>
      <c r="CW3" s="14" t="str">
        <f>CONCATENATE("Starting Magnitude (",RISA3D.Unit.LinearForce,")")</f>
        <v>Starting Magnitude ()</v>
      </c>
      <c r="CX3" s="14" t="str">
        <f>CONCATENATE("Ending Magnitude (",RISA3D.Unit.LinearForce,")")</f>
        <v>Ending Magnitude ()</v>
      </c>
      <c r="CY3" s="15" t="s">
        <v>294</v>
      </c>
      <c r="CZ3" s="34" t="s">
        <v>295</v>
      </c>
      <c r="DB3" s="12" t="s">
        <v>255</v>
      </c>
      <c r="DC3" s="13" t="s">
        <v>293</v>
      </c>
      <c r="DD3" s="14" t="str">
        <f>CONCATENATE("Starting Magnitude (",RISA3D.Unit.LinearForce,")")</f>
        <v>Starting Magnitude ()</v>
      </c>
      <c r="DE3" s="14" t="str">
        <f>CONCATENATE("Ending Magnitude (",RISA3D.Unit.LinearForce,")")</f>
        <v>Ending Magnitude ()</v>
      </c>
      <c r="DF3" s="15" t="s">
        <v>294</v>
      </c>
      <c r="DG3" s="34" t="s">
        <v>295</v>
      </c>
      <c r="DI3" s="12" t="s">
        <v>255</v>
      </c>
      <c r="DJ3" s="13" t="s">
        <v>293</v>
      </c>
      <c r="DK3" s="14" t="str">
        <f>CONCATENATE("Starting Magnitude (",RISA3D.Unit.LinearForce,")")</f>
        <v>Starting Magnitude ()</v>
      </c>
      <c r="DL3" s="14" t="str">
        <f>CONCATENATE("Ending Magnitude (",RISA3D.Unit.LinearForce,")")</f>
        <v>Ending Magnitude ()</v>
      </c>
      <c r="DM3" s="15" t="s">
        <v>294</v>
      </c>
      <c r="DN3" s="34" t="s">
        <v>295</v>
      </c>
      <c r="DP3" s="12" t="s">
        <v>255</v>
      </c>
      <c r="DQ3" s="13" t="s">
        <v>293</v>
      </c>
      <c r="DR3" s="14" t="str">
        <f>CONCATENATE("Starting Magnitude (",RISA3D.Unit.LinearForce,")")</f>
        <v>Starting Magnitude ()</v>
      </c>
      <c r="DS3" s="14" t="str">
        <f>CONCATENATE("Ending Magnitude (",RISA3D.Unit.LinearForce,")")</f>
        <v>Ending Magnitude ()</v>
      </c>
      <c r="DT3" s="15" t="s">
        <v>294</v>
      </c>
      <c r="DU3" s="34" t="s">
        <v>295</v>
      </c>
      <c r="DW3" s="12" t="s">
        <v>255</v>
      </c>
      <c r="DX3" s="13" t="s">
        <v>293</v>
      </c>
      <c r="DY3" s="14" t="str">
        <f>CONCATENATE("Starting Magnitude (",RISA3D.Unit.LinearForce,")")</f>
        <v>Starting Magnitude ()</v>
      </c>
      <c r="DZ3" s="14" t="str">
        <f>CONCATENATE("Ending Magnitude (",RISA3D.Unit.LinearForce,")")</f>
        <v>Ending Magnitude ()</v>
      </c>
      <c r="EA3" s="15" t="s">
        <v>294</v>
      </c>
      <c r="EB3" s="34" t="s">
        <v>295</v>
      </c>
      <c r="ED3" s="12" t="s">
        <v>255</v>
      </c>
      <c r="EE3" s="13" t="s">
        <v>293</v>
      </c>
      <c r="EF3" s="14" t="str">
        <f>CONCATENATE("Starting Magnitude (",RISA3D.Unit.LinearForce,")")</f>
        <v>Starting Magnitude ()</v>
      </c>
      <c r="EG3" s="14" t="str">
        <f>CONCATENATE("Ending Magnitude (",RISA3D.Unit.LinearForce,")")</f>
        <v>Ending Magnitude ()</v>
      </c>
      <c r="EH3" s="15" t="s">
        <v>294</v>
      </c>
      <c r="EI3" s="34" t="s">
        <v>295</v>
      </c>
      <c r="EK3" s="12" t="s">
        <v>255</v>
      </c>
      <c r="EL3" s="13" t="s">
        <v>293</v>
      </c>
      <c r="EM3" s="14" t="str">
        <f>CONCATENATE("Starting Magnitude (",RISA3D.Unit.LinearForce,")")</f>
        <v>Starting Magnitude ()</v>
      </c>
      <c r="EN3" s="14" t="str">
        <f>CONCATENATE("Ending Magnitude (",RISA3D.Unit.LinearForce,")")</f>
        <v>Ending Magnitude ()</v>
      </c>
      <c r="EO3" s="15" t="s">
        <v>294</v>
      </c>
      <c r="EP3" s="34" t="s">
        <v>295</v>
      </c>
      <c r="ER3" s="12" t="s">
        <v>255</v>
      </c>
      <c r="ES3" s="13" t="s">
        <v>293</v>
      </c>
      <c r="ET3" s="14" t="str">
        <f>CONCATENATE("Starting Magnitude (",RISA3D.Unit.LinearForce,")")</f>
        <v>Starting Magnitude ()</v>
      </c>
      <c r="EU3" s="14" t="str">
        <f>CONCATENATE("Ending Magnitude (",RISA3D.Unit.LinearForce,")")</f>
        <v>Ending Magnitude ()</v>
      </c>
      <c r="EV3" s="15" t="s">
        <v>294</v>
      </c>
      <c r="EW3" s="34" t="s">
        <v>295</v>
      </c>
      <c r="EY3" s="12" t="s">
        <v>255</v>
      </c>
      <c r="EZ3" s="13" t="s">
        <v>293</v>
      </c>
      <c r="FA3" s="14" t="str">
        <f>CONCATENATE("Starting Magnitude (",RISA3D.Unit.LinearForce,")")</f>
        <v>Starting Magnitude ()</v>
      </c>
      <c r="FB3" s="14" t="str">
        <f>CONCATENATE("Ending Magnitude (",RISA3D.Unit.LinearForce,")")</f>
        <v>Ending Magnitude ()</v>
      </c>
      <c r="FC3" s="15" t="s">
        <v>294</v>
      </c>
      <c r="FD3" s="34" t="s">
        <v>295</v>
      </c>
      <c r="FF3" s="12" t="s">
        <v>255</v>
      </c>
      <c r="FG3" s="13" t="s">
        <v>293</v>
      </c>
      <c r="FH3" s="14" t="str">
        <f>CONCATENATE("Starting Magnitude (",RISA3D.Unit.LinearForce,")")</f>
        <v>Starting Magnitude ()</v>
      </c>
      <c r="FI3" s="14" t="str">
        <f>CONCATENATE("Ending Magnitude (",RISA3D.Unit.LinearForce,")")</f>
        <v>Ending Magnitude ()</v>
      </c>
      <c r="FJ3" s="15" t="s">
        <v>294</v>
      </c>
      <c r="FK3" s="34" t="s">
        <v>295</v>
      </c>
      <c r="FM3" s="12" t="s">
        <v>255</v>
      </c>
      <c r="FN3" s="13" t="s">
        <v>293</v>
      </c>
      <c r="FO3" s="14" t="str">
        <f>CONCATENATE("Starting Magnitude (",RISA3D.Unit.LinearForce,")")</f>
        <v>Starting Magnitude ()</v>
      </c>
      <c r="FP3" s="14" t="str">
        <f>CONCATENATE("Ending Magnitude (",RISA3D.Unit.LinearForce,")")</f>
        <v>Ending Magnitude ()</v>
      </c>
      <c r="FQ3" s="15" t="s">
        <v>294</v>
      </c>
      <c r="FR3" s="34" t="s">
        <v>295</v>
      </c>
      <c r="FT3" s="12" t="s">
        <v>255</v>
      </c>
      <c r="FU3" s="13" t="s">
        <v>293</v>
      </c>
      <c r="FV3" s="14" t="str">
        <f>CONCATENATE("Starting Magnitude (",RISA3D.Unit.LinearForce,")")</f>
        <v>Starting Magnitude ()</v>
      </c>
      <c r="FW3" s="14" t="str">
        <f>CONCATENATE("Ending Magnitude (",RISA3D.Unit.LinearForce,")")</f>
        <v>Ending Magnitude ()</v>
      </c>
      <c r="FX3" s="15" t="s">
        <v>294</v>
      </c>
      <c r="FY3" s="34" t="s">
        <v>295</v>
      </c>
      <c r="GA3" s="12" t="s">
        <v>255</v>
      </c>
      <c r="GB3" s="13" t="s">
        <v>293</v>
      </c>
      <c r="GC3" s="14" t="str">
        <f>CONCATENATE("Starting Magnitude (",RISA3D.Unit.LinearForce,")")</f>
        <v>Starting Magnitude ()</v>
      </c>
      <c r="GD3" s="14" t="str">
        <f>CONCATENATE("Ending Magnitude (",RISA3D.Unit.LinearForce,")")</f>
        <v>Ending Magnitude ()</v>
      </c>
      <c r="GE3" s="15" t="s">
        <v>294</v>
      </c>
      <c r="GF3" s="34" t="s">
        <v>295</v>
      </c>
      <c r="GH3" s="12" t="s">
        <v>255</v>
      </c>
      <c r="GI3" s="13" t="s">
        <v>293</v>
      </c>
      <c r="GJ3" s="14" t="str">
        <f>CONCATENATE("Starting Magnitude (",RISA3D.Unit.LinearForce,")")</f>
        <v>Starting Magnitude ()</v>
      </c>
      <c r="GK3" s="14" t="str">
        <f>CONCATENATE("Ending Magnitude (",RISA3D.Unit.LinearForce,")")</f>
        <v>Ending Magnitude ()</v>
      </c>
      <c r="GL3" s="15" t="s">
        <v>294</v>
      </c>
      <c r="GM3" s="34" t="s">
        <v>295</v>
      </c>
      <c r="GO3" s="12" t="s">
        <v>255</v>
      </c>
      <c r="GP3" s="13" t="s">
        <v>293</v>
      </c>
      <c r="GQ3" s="14" t="str">
        <f>CONCATENATE("Starting Magnitude (",RISA3D.Unit.LinearForce,")")</f>
        <v>Starting Magnitude ()</v>
      </c>
      <c r="GR3" s="14" t="str">
        <f>CONCATENATE("Ending Magnitude (",RISA3D.Unit.LinearForce,")")</f>
        <v>Ending Magnitude ()</v>
      </c>
      <c r="GS3" s="15" t="s">
        <v>294</v>
      </c>
      <c r="GT3" s="34" t="s">
        <v>295</v>
      </c>
      <c r="GV3" s="12" t="s">
        <v>255</v>
      </c>
      <c r="GW3" s="13" t="s">
        <v>293</v>
      </c>
      <c r="GX3" s="14" t="str">
        <f>CONCATENATE("Starting Magnitude (",RISA3D.Unit.LinearForce,")")</f>
        <v>Starting Magnitude ()</v>
      </c>
      <c r="GY3" s="14" t="str">
        <f>CONCATENATE("Ending Magnitude (",RISA3D.Unit.LinearForce,")")</f>
        <v>Ending Magnitude ()</v>
      </c>
      <c r="GZ3" s="15" t="s">
        <v>294</v>
      </c>
      <c r="HA3" s="34" t="s">
        <v>295</v>
      </c>
      <c r="HC3" s="12" t="s">
        <v>255</v>
      </c>
      <c r="HD3" s="13" t="s">
        <v>293</v>
      </c>
      <c r="HE3" s="14" t="str">
        <f>CONCATENATE("Starting Magnitude (",RISA3D.Unit.LinearForce,")")</f>
        <v>Starting Magnitude ()</v>
      </c>
      <c r="HF3" s="14" t="str">
        <f>CONCATENATE("Ending Magnitude (",RISA3D.Unit.LinearForce,")")</f>
        <v>Ending Magnitude ()</v>
      </c>
      <c r="HG3" s="15" t="s">
        <v>294</v>
      </c>
      <c r="HH3" s="34" t="s">
        <v>295</v>
      </c>
      <c r="HJ3" s="12" t="s">
        <v>255</v>
      </c>
      <c r="HK3" s="13" t="s">
        <v>293</v>
      </c>
      <c r="HL3" s="14" t="str">
        <f>CONCATENATE("Starting Magnitude (",RISA3D.Unit.LinearForce,")")</f>
        <v>Starting Magnitude ()</v>
      </c>
      <c r="HM3" s="14" t="str">
        <f>CONCATENATE("Ending Magnitude (",RISA3D.Unit.LinearForce,")")</f>
        <v>Ending Magnitude ()</v>
      </c>
      <c r="HN3" s="15" t="s">
        <v>294</v>
      </c>
      <c r="HO3" s="34" t="s">
        <v>295</v>
      </c>
      <c r="HQ3" s="12" t="s">
        <v>255</v>
      </c>
      <c r="HR3" s="13" t="s">
        <v>293</v>
      </c>
      <c r="HS3" s="14" t="str">
        <f>CONCATENATE("Starting Magnitude (",RISA3D.Unit.LinearForce,")")</f>
        <v>Starting Magnitude ()</v>
      </c>
      <c r="HT3" s="14" t="str">
        <f>CONCATENATE("Ending Magnitude (",RISA3D.Unit.LinearForce,")")</f>
        <v>Ending Magnitude ()</v>
      </c>
      <c r="HU3" s="15" t="s">
        <v>294</v>
      </c>
      <c r="HV3" s="34" t="s">
        <v>295</v>
      </c>
    </row>
    <row r="4" spans="1:231" x14ac:dyDescent="0.2">
      <c r="C4" s="162"/>
      <c r="D4" s="162"/>
      <c r="E4" s="163"/>
      <c r="F4" s="164"/>
      <c r="J4" s="162"/>
      <c r="K4" s="162"/>
      <c r="L4" s="163"/>
      <c r="M4" s="164"/>
      <c r="Q4" s="162"/>
      <c r="R4" s="162"/>
      <c r="S4" s="163"/>
      <c r="T4" s="164"/>
      <c r="X4" s="162"/>
      <c r="Y4" s="162"/>
      <c r="Z4" s="163"/>
      <c r="AA4" s="164"/>
      <c r="AE4" s="162"/>
      <c r="AF4" s="162"/>
      <c r="AG4" s="163"/>
      <c r="AH4" s="164"/>
      <c r="AL4" s="162"/>
      <c r="AM4" s="162"/>
      <c r="AN4" s="163"/>
      <c r="AO4" s="164"/>
      <c r="AS4" s="162"/>
      <c r="AT4" s="162"/>
      <c r="AU4" s="163"/>
      <c r="AV4" s="164"/>
      <c r="AZ4" s="162"/>
      <c r="BA4" s="162"/>
      <c r="BB4" s="163"/>
      <c r="BC4" s="164"/>
      <c r="BG4" s="162"/>
      <c r="BH4" s="162"/>
      <c r="BI4" s="163"/>
      <c r="BJ4" s="164"/>
      <c r="BN4" s="162"/>
      <c r="BO4" s="162"/>
      <c r="BP4" s="163"/>
      <c r="BQ4" s="164"/>
      <c r="BU4" s="162"/>
      <c r="BV4" s="162"/>
      <c r="BW4" s="163"/>
      <c r="BX4" s="164"/>
      <c r="CB4" s="162"/>
      <c r="CC4" s="162"/>
      <c r="CD4" s="163"/>
      <c r="CE4" s="164"/>
      <c r="CI4" s="162"/>
      <c r="CJ4" s="162"/>
      <c r="CK4" s="163"/>
      <c r="CL4" s="164"/>
      <c r="CP4" s="162"/>
      <c r="CQ4" s="162"/>
      <c r="CR4" s="163"/>
      <c r="CS4" s="164"/>
      <c r="CW4" s="162"/>
      <c r="CX4" s="162"/>
      <c r="CY4" s="163"/>
      <c r="CZ4" s="164"/>
      <c r="DD4" s="162"/>
      <c r="DE4" s="162"/>
      <c r="DF4" s="163"/>
      <c r="DG4" s="164"/>
      <c r="DK4" s="162"/>
      <c r="DL4" s="162"/>
      <c r="DM4" s="163"/>
      <c r="DN4" s="164"/>
      <c r="DR4" s="162"/>
      <c r="DS4" s="162"/>
      <c r="DT4" s="163"/>
      <c r="DU4" s="164"/>
      <c r="DY4" s="162"/>
      <c r="DZ4" s="162"/>
      <c r="EA4" s="163"/>
      <c r="EB4" s="164"/>
      <c r="EF4" s="162"/>
      <c r="EG4" s="162"/>
      <c r="EH4" s="163"/>
      <c r="EI4" s="164"/>
      <c r="EM4" s="162"/>
      <c r="EN4" s="162"/>
      <c r="EO4" s="163"/>
      <c r="EP4" s="164"/>
      <c r="ET4" s="162"/>
      <c r="EU4" s="162"/>
      <c r="EV4" s="163"/>
      <c r="EW4" s="164"/>
      <c r="FA4" s="162"/>
      <c r="FB4" s="162"/>
      <c r="FC4" s="163"/>
      <c r="FD4" s="164"/>
      <c r="FH4" s="162"/>
      <c r="FI4" s="162"/>
      <c r="FJ4" s="163"/>
      <c r="FK4" s="164"/>
      <c r="FO4" s="162"/>
      <c r="FP4" s="162"/>
      <c r="FQ4" s="163"/>
      <c r="FR4" s="164"/>
      <c r="FV4" s="162"/>
      <c r="FW4" s="162"/>
      <c r="FX4" s="163"/>
      <c r="FY4" s="164"/>
      <c r="GC4" s="162"/>
      <c r="GD4" s="162"/>
      <c r="GE4" s="163"/>
      <c r="GF4" s="164"/>
      <c r="GJ4" s="162"/>
      <c r="GK4" s="162"/>
      <c r="GL4" s="163"/>
      <c r="GM4" s="164"/>
      <c r="GQ4" s="162"/>
      <c r="GR4" s="162"/>
      <c r="GS4" s="163"/>
      <c r="GT4" s="164"/>
      <c r="GX4" s="162"/>
      <c r="GY4" s="162"/>
      <c r="GZ4" s="163"/>
      <c r="HA4" s="164"/>
      <c r="HE4" s="162"/>
      <c r="HF4" s="162"/>
      <c r="HG4" s="163"/>
      <c r="HH4" s="164"/>
      <c r="HL4" s="162"/>
      <c r="HM4" s="162"/>
      <c r="HN4" s="163"/>
      <c r="HO4" s="164"/>
      <c r="HS4" s="162"/>
      <c r="HT4" s="162"/>
      <c r="HU4" s="163"/>
      <c r="HV4" s="164"/>
    </row>
    <row r="5" spans="1:231" x14ac:dyDescent="0.2">
      <c r="C5" s="162"/>
      <c r="D5" s="162"/>
      <c r="E5" s="163"/>
      <c r="F5" s="164"/>
      <c r="J5" s="162"/>
      <c r="K5" s="162"/>
      <c r="L5" s="163"/>
      <c r="M5" s="164"/>
      <c r="Q5" s="162"/>
      <c r="R5" s="162"/>
      <c r="S5" s="163"/>
      <c r="T5" s="164"/>
      <c r="X5" s="162"/>
      <c r="Y5" s="162"/>
      <c r="Z5" s="163"/>
      <c r="AA5" s="164"/>
      <c r="AE5" s="162"/>
      <c r="AF5" s="162"/>
      <c r="AG5" s="163"/>
      <c r="AH5" s="164"/>
      <c r="AL5" s="162"/>
      <c r="AM5" s="162"/>
      <c r="AN5" s="163"/>
      <c r="AO5" s="164"/>
      <c r="AS5" s="162"/>
      <c r="AT5" s="162"/>
      <c r="AU5" s="163"/>
      <c r="AV5" s="164"/>
      <c r="AZ5" s="162"/>
      <c r="BA5" s="162"/>
      <c r="BB5" s="163"/>
      <c r="BC5" s="164"/>
      <c r="BG5" s="162"/>
      <c r="BH5" s="162"/>
      <c r="BI5" s="163"/>
      <c r="BJ5" s="164"/>
      <c r="BN5" s="162"/>
      <c r="BO5" s="162"/>
      <c r="BP5" s="163"/>
      <c r="BQ5" s="164"/>
      <c r="BU5" s="162"/>
      <c r="BV5" s="162"/>
      <c r="BW5" s="163"/>
      <c r="BX5" s="164"/>
      <c r="CB5" s="162"/>
      <c r="CC5" s="162"/>
      <c r="CD5" s="163"/>
      <c r="CE5" s="164"/>
      <c r="CI5" s="162"/>
      <c r="CJ5" s="162"/>
      <c r="CK5" s="163"/>
      <c r="CL5" s="164"/>
      <c r="CP5" s="162"/>
      <c r="CQ5" s="162"/>
      <c r="CR5" s="163"/>
      <c r="CS5" s="164"/>
      <c r="CW5" s="162"/>
      <c r="CX5" s="162"/>
      <c r="CY5" s="163"/>
      <c r="CZ5" s="164"/>
      <c r="DD5" s="162"/>
      <c r="DE5" s="162"/>
      <c r="DF5" s="163"/>
      <c r="DG5" s="164"/>
      <c r="DK5" s="162"/>
      <c r="DL5" s="162"/>
      <c r="DM5" s="163"/>
      <c r="DN5" s="164"/>
      <c r="DR5" s="162"/>
      <c r="DS5" s="162"/>
      <c r="DT5" s="163"/>
      <c r="DU5" s="164"/>
      <c r="DY5" s="162"/>
      <c r="DZ5" s="162"/>
      <c r="EA5" s="163"/>
      <c r="EB5" s="164"/>
      <c r="EF5" s="162"/>
      <c r="EG5" s="162"/>
      <c r="EH5" s="163"/>
      <c r="EI5" s="164"/>
      <c r="EM5" s="162"/>
      <c r="EN5" s="162"/>
      <c r="EO5" s="163"/>
      <c r="EP5" s="164"/>
      <c r="ET5" s="162"/>
      <c r="EU5" s="162"/>
      <c r="EV5" s="163"/>
      <c r="EW5" s="164"/>
      <c r="FA5" s="162"/>
      <c r="FB5" s="162"/>
      <c r="FC5" s="163"/>
      <c r="FD5" s="164"/>
      <c r="FH5" s="162"/>
      <c r="FI5" s="162"/>
      <c r="FJ5" s="163"/>
      <c r="FK5" s="164"/>
      <c r="FO5" s="162"/>
      <c r="FP5" s="162"/>
      <c r="FQ5" s="163"/>
      <c r="FR5" s="164"/>
      <c r="FV5" s="162"/>
      <c r="FW5" s="162"/>
      <c r="FX5" s="163"/>
      <c r="FY5" s="164"/>
      <c r="GC5" s="162"/>
      <c r="GD5" s="162"/>
      <c r="GE5" s="163"/>
      <c r="GF5" s="164"/>
      <c r="GJ5" s="162"/>
      <c r="GK5" s="162"/>
      <c r="GL5" s="163"/>
      <c r="GM5" s="164"/>
      <c r="GQ5" s="162"/>
      <c r="GR5" s="162"/>
      <c r="GS5" s="163"/>
      <c r="GT5" s="164"/>
      <c r="GX5" s="162"/>
      <c r="GY5" s="162"/>
      <c r="GZ5" s="163"/>
      <c r="HA5" s="164"/>
      <c r="HE5" s="162"/>
      <c r="HF5" s="162"/>
      <c r="HG5" s="163"/>
      <c r="HH5" s="164"/>
      <c r="HL5" s="162"/>
      <c r="HM5" s="162"/>
      <c r="HN5" s="163"/>
      <c r="HO5" s="164"/>
      <c r="HS5" s="162"/>
      <c r="HT5" s="162"/>
      <c r="HU5" s="163"/>
      <c r="HV5" s="164"/>
    </row>
    <row r="6" spans="1:231" x14ac:dyDescent="0.2">
      <c r="C6" s="162"/>
      <c r="D6" s="162"/>
      <c r="E6" s="163"/>
      <c r="F6" s="164"/>
      <c r="J6" s="162"/>
      <c r="K6" s="162"/>
      <c r="L6" s="163"/>
      <c r="M6" s="164"/>
      <c r="Q6" s="162"/>
      <c r="R6" s="162"/>
      <c r="S6" s="163"/>
      <c r="T6" s="164"/>
      <c r="X6" s="162"/>
      <c r="Y6" s="162"/>
      <c r="Z6" s="163"/>
      <c r="AA6" s="164"/>
      <c r="AE6" s="162"/>
      <c r="AF6" s="162"/>
      <c r="AG6" s="163"/>
      <c r="AH6" s="164"/>
      <c r="AL6" s="162"/>
      <c r="AM6" s="162"/>
      <c r="AN6" s="163"/>
      <c r="AO6" s="164"/>
      <c r="AS6" s="162"/>
      <c r="AT6" s="162"/>
      <c r="AU6" s="163"/>
      <c r="AV6" s="164"/>
      <c r="AZ6" s="162"/>
      <c r="BA6" s="162"/>
      <c r="BB6" s="163"/>
      <c r="BC6" s="164"/>
      <c r="BG6" s="162"/>
      <c r="BH6" s="162"/>
      <c r="BI6" s="163"/>
      <c r="BJ6" s="164"/>
      <c r="BN6" s="162"/>
      <c r="BO6" s="162"/>
      <c r="BP6" s="163"/>
      <c r="BQ6" s="164"/>
      <c r="BU6" s="162"/>
      <c r="BV6" s="162"/>
      <c r="BW6" s="163"/>
      <c r="BX6" s="164"/>
      <c r="CB6" s="162"/>
      <c r="CC6" s="162"/>
      <c r="CD6" s="163"/>
      <c r="CE6" s="164"/>
      <c r="CI6" s="162"/>
      <c r="CJ6" s="162"/>
      <c r="CK6" s="163"/>
      <c r="CL6" s="164"/>
      <c r="CP6" s="162"/>
      <c r="CQ6" s="162"/>
      <c r="CR6" s="163"/>
      <c r="CS6" s="164"/>
      <c r="CW6" s="162"/>
      <c r="CX6" s="162"/>
      <c r="CY6" s="163"/>
      <c r="CZ6" s="164"/>
      <c r="DD6" s="162"/>
      <c r="DE6" s="162"/>
      <c r="DF6" s="163"/>
      <c r="DG6" s="164"/>
      <c r="DK6" s="162"/>
      <c r="DL6" s="162"/>
      <c r="DM6" s="163"/>
      <c r="DN6" s="164"/>
      <c r="DR6" s="162"/>
      <c r="DS6" s="162"/>
      <c r="DT6" s="163"/>
      <c r="DU6" s="164"/>
      <c r="DY6" s="162"/>
      <c r="DZ6" s="162"/>
      <c r="EA6" s="163"/>
      <c r="EB6" s="164"/>
      <c r="EF6" s="162"/>
      <c r="EG6" s="162"/>
      <c r="EH6" s="163"/>
      <c r="EI6" s="164"/>
      <c r="EM6" s="162"/>
      <c r="EN6" s="162"/>
      <c r="EO6" s="163"/>
      <c r="EP6" s="164"/>
      <c r="ET6" s="162"/>
      <c r="EU6" s="162"/>
      <c r="EV6" s="163"/>
      <c r="EW6" s="164"/>
      <c r="FA6" s="162"/>
      <c r="FB6" s="162"/>
      <c r="FC6" s="163"/>
      <c r="FD6" s="164"/>
      <c r="FH6" s="162"/>
      <c r="FI6" s="162"/>
      <c r="FJ6" s="163"/>
      <c r="FK6" s="164"/>
      <c r="FO6" s="162"/>
      <c r="FP6" s="162"/>
      <c r="FQ6" s="163"/>
      <c r="FR6" s="164"/>
      <c r="FV6" s="162"/>
      <c r="FW6" s="162"/>
      <c r="FX6" s="163"/>
      <c r="FY6" s="164"/>
      <c r="GC6" s="162"/>
      <c r="GD6" s="162"/>
      <c r="GE6" s="163"/>
      <c r="GF6" s="164"/>
      <c r="GJ6" s="162"/>
      <c r="GK6" s="162"/>
      <c r="GL6" s="163"/>
      <c r="GM6" s="164"/>
      <c r="GQ6" s="162"/>
      <c r="GR6" s="162"/>
      <c r="GS6" s="163"/>
      <c r="GT6" s="164"/>
      <c r="GX6" s="162"/>
      <c r="GY6" s="162"/>
      <c r="GZ6" s="163"/>
      <c r="HA6" s="164"/>
      <c r="HE6" s="162"/>
      <c r="HF6" s="162"/>
      <c r="HG6" s="163"/>
      <c r="HH6" s="164"/>
      <c r="HL6" s="162"/>
      <c r="HM6" s="162"/>
      <c r="HN6" s="163"/>
      <c r="HO6" s="164"/>
      <c r="HS6" s="162"/>
      <c r="HT6" s="162"/>
      <c r="HU6" s="163"/>
      <c r="HV6" s="164"/>
    </row>
    <row r="7" spans="1:231" x14ac:dyDescent="0.2">
      <c r="C7" s="162"/>
      <c r="D7" s="162"/>
      <c r="E7" s="163"/>
      <c r="F7" s="164"/>
      <c r="J7" s="162"/>
      <c r="K7" s="162"/>
      <c r="L7" s="163"/>
      <c r="M7" s="164"/>
      <c r="Q7" s="162"/>
      <c r="R7" s="162"/>
      <c r="S7" s="163"/>
      <c r="T7" s="164"/>
      <c r="X7" s="162"/>
      <c r="Y7" s="162"/>
      <c r="Z7" s="163"/>
      <c r="AA7" s="164"/>
      <c r="AE7" s="162"/>
      <c r="AF7" s="162"/>
      <c r="AG7" s="163"/>
      <c r="AH7" s="164"/>
      <c r="AL7" s="162"/>
      <c r="AM7" s="162"/>
      <c r="AN7" s="163"/>
      <c r="AO7" s="164"/>
      <c r="AS7" s="162"/>
      <c r="AT7" s="162"/>
      <c r="AU7" s="163"/>
      <c r="AV7" s="164"/>
      <c r="AZ7" s="162"/>
      <c r="BA7" s="162"/>
      <c r="BB7" s="163"/>
      <c r="BC7" s="164"/>
      <c r="BG7" s="162"/>
      <c r="BH7" s="162"/>
      <c r="BI7" s="163"/>
      <c r="BJ7" s="164"/>
      <c r="BN7" s="162"/>
      <c r="BO7" s="162"/>
      <c r="BP7" s="163"/>
      <c r="BQ7" s="164"/>
      <c r="BU7" s="162"/>
      <c r="BV7" s="162"/>
      <c r="BW7" s="163"/>
      <c r="BX7" s="164"/>
      <c r="CB7" s="162"/>
      <c r="CC7" s="162"/>
      <c r="CD7" s="163"/>
      <c r="CE7" s="164"/>
      <c r="CI7" s="162"/>
      <c r="CJ7" s="162"/>
      <c r="CK7" s="163"/>
      <c r="CL7" s="164"/>
      <c r="CP7" s="162"/>
      <c r="CQ7" s="162"/>
      <c r="CR7" s="163"/>
      <c r="CS7" s="164"/>
      <c r="CW7" s="162"/>
      <c r="CX7" s="162"/>
      <c r="CY7" s="163"/>
      <c r="CZ7" s="164"/>
      <c r="DD7" s="162"/>
      <c r="DE7" s="162"/>
      <c r="DF7" s="163"/>
      <c r="DG7" s="164"/>
      <c r="DK7" s="162"/>
      <c r="DL7" s="162"/>
      <c r="DM7" s="163"/>
      <c r="DN7" s="164"/>
      <c r="DR7" s="162"/>
      <c r="DS7" s="162"/>
      <c r="DT7" s="163"/>
      <c r="DU7" s="164"/>
      <c r="DY7" s="162"/>
      <c r="DZ7" s="162"/>
      <c r="EA7" s="163"/>
      <c r="EB7" s="164"/>
      <c r="EF7" s="162"/>
      <c r="EG7" s="162"/>
      <c r="EH7" s="163"/>
      <c r="EI7" s="164"/>
      <c r="EM7" s="162"/>
      <c r="EN7" s="162"/>
      <c r="EO7" s="163"/>
      <c r="EP7" s="164"/>
      <c r="ET7" s="162"/>
      <c r="EU7" s="162"/>
      <c r="EV7" s="163"/>
      <c r="EW7" s="164"/>
      <c r="FA7" s="162"/>
      <c r="FB7" s="162"/>
      <c r="FC7" s="163"/>
      <c r="FD7" s="164"/>
      <c r="FH7" s="162"/>
      <c r="FI7" s="162"/>
      <c r="FJ7" s="163"/>
      <c r="FK7" s="164"/>
      <c r="FO7" s="162"/>
      <c r="FP7" s="162"/>
      <c r="FQ7" s="163"/>
      <c r="FR7" s="164"/>
      <c r="FV7" s="162"/>
      <c r="FW7" s="162"/>
      <c r="FX7" s="163"/>
      <c r="FY7" s="164"/>
      <c r="GC7" s="162"/>
      <c r="GD7" s="162"/>
      <c r="GE7" s="163"/>
      <c r="GF7" s="164"/>
      <c r="GJ7" s="162"/>
      <c r="GK7" s="162"/>
      <c r="GL7" s="163"/>
      <c r="GM7" s="164"/>
      <c r="GQ7" s="162"/>
      <c r="GR7" s="162"/>
      <c r="GS7" s="163"/>
      <c r="GT7" s="164"/>
      <c r="GX7" s="162"/>
      <c r="GY7" s="162"/>
      <c r="GZ7" s="163"/>
      <c r="HA7" s="164"/>
      <c r="HE7" s="162"/>
      <c r="HF7" s="162"/>
      <c r="HG7" s="163"/>
      <c r="HH7" s="164"/>
      <c r="HL7" s="162"/>
      <c r="HM7" s="162"/>
      <c r="HN7" s="163"/>
      <c r="HO7" s="164"/>
      <c r="HS7" s="162"/>
      <c r="HT7" s="162"/>
      <c r="HU7" s="163"/>
      <c r="HV7" s="164"/>
    </row>
    <row r="8" spans="1:231" x14ac:dyDescent="0.2">
      <c r="C8" s="162"/>
      <c r="D8" s="162"/>
      <c r="E8" s="163"/>
      <c r="F8" s="164"/>
      <c r="J8" s="162"/>
      <c r="K8" s="162"/>
      <c r="L8" s="163"/>
      <c r="M8" s="164"/>
      <c r="Q8" s="162"/>
      <c r="R8" s="162"/>
      <c r="S8" s="163"/>
      <c r="T8" s="164"/>
      <c r="X8" s="162"/>
      <c r="Y8" s="162"/>
      <c r="Z8" s="163"/>
      <c r="AA8" s="164"/>
      <c r="AE8" s="162"/>
      <c r="AF8" s="162"/>
      <c r="AG8" s="163"/>
      <c r="AH8" s="164"/>
      <c r="AL8" s="162"/>
      <c r="AM8" s="162"/>
      <c r="AN8" s="163"/>
      <c r="AO8" s="164"/>
      <c r="AS8" s="162"/>
      <c r="AT8" s="162"/>
      <c r="AU8" s="163"/>
      <c r="AV8" s="164"/>
      <c r="AZ8" s="162"/>
      <c r="BA8" s="162"/>
      <c r="BB8" s="163"/>
      <c r="BC8" s="164"/>
      <c r="BG8" s="162"/>
      <c r="BH8" s="162"/>
      <c r="BI8" s="163"/>
      <c r="BJ8" s="164"/>
      <c r="BN8" s="162"/>
      <c r="BO8" s="162"/>
      <c r="BP8" s="163"/>
      <c r="BQ8" s="164"/>
      <c r="BU8" s="162"/>
      <c r="BV8" s="162"/>
      <c r="BW8" s="163"/>
      <c r="BX8" s="164"/>
      <c r="CB8" s="162"/>
      <c r="CC8" s="162"/>
      <c r="CD8" s="163"/>
      <c r="CE8" s="164"/>
      <c r="CI8" s="162"/>
      <c r="CJ8" s="162"/>
      <c r="CK8" s="163"/>
      <c r="CL8" s="164"/>
      <c r="CP8" s="162"/>
      <c r="CQ8" s="162"/>
      <c r="CR8" s="163"/>
      <c r="CS8" s="164"/>
      <c r="CW8" s="162"/>
      <c r="CX8" s="162"/>
      <c r="CY8" s="163"/>
      <c r="CZ8" s="164"/>
      <c r="DD8" s="162"/>
      <c r="DE8" s="162"/>
      <c r="DF8" s="163"/>
      <c r="DG8" s="164"/>
      <c r="DK8" s="162"/>
      <c r="DL8" s="162"/>
      <c r="DM8" s="163"/>
      <c r="DN8" s="164"/>
      <c r="DR8" s="162"/>
      <c r="DS8" s="162"/>
      <c r="DT8" s="163"/>
      <c r="DU8" s="164"/>
      <c r="DY8" s="162"/>
      <c r="DZ8" s="162"/>
      <c r="EA8" s="163"/>
      <c r="EB8" s="164"/>
      <c r="EF8" s="162"/>
      <c r="EG8" s="162"/>
      <c r="EH8" s="163"/>
      <c r="EI8" s="164"/>
      <c r="EM8" s="162"/>
      <c r="EN8" s="162"/>
      <c r="EO8" s="163"/>
      <c r="EP8" s="164"/>
      <c r="ET8" s="162"/>
      <c r="EU8" s="162"/>
      <c r="EV8" s="163"/>
      <c r="EW8" s="164"/>
      <c r="FA8" s="162"/>
      <c r="FB8" s="162"/>
      <c r="FC8" s="163"/>
      <c r="FD8" s="164"/>
      <c r="FH8" s="162"/>
      <c r="FI8" s="162"/>
      <c r="FJ8" s="163"/>
      <c r="FK8" s="164"/>
      <c r="FO8" s="162"/>
      <c r="FP8" s="162"/>
      <c r="FQ8" s="163"/>
      <c r="FR8" s="164"/>
      <c r="FV8" s="162"/>
      <c r="FW8" s="162"/>
      <c r="FX8" s="163"/>
      <c r="FY8" s="164"/>
      <c r="GC8" s="162"/>
      <c r="GD8" s="162"/>
      <c r="GE8" s="163"/>
      <c r="GF8" s="164"/>
      <c r="GJ8" s="162"/>
      <c r="GK8" s="162"/>
      <c r="GL8" s="163"/>
      <c r="GM8" s="164"/>
      <c r="GQ8" s="162"/>
      <c r="GR8" s="162"/>
      <c r="GS8" s="163"/>
      <c r="GT8" s="164"/>
      <c r="GX8" s="162"/>
      <c r="GY8" s="162"/>
      <c r="GZ8" s="163"/>
      <c r="HA8" s="164"/>
      <c r="HE8" s="162"/>
      <c r="HF8" s="162"/>
      <c r="HG8" s="163"/>
      <c r="HH8" s="164"/>
      <c r="HL8" s="162"/>
      <c r="HM8" s="162"/>
      <c r="HN8" s="163"/>
      <c r="HO8" s="164"/>
      <c r="HS8" s="162"/>
      <c r="HT8" s="162"/>
      <c r="HU8" s="163"/>
      <c r="HV8" s="164"/>
    </row>
    <row r="9" spans="1:231" x14ac:dyDescent="0.2">
      <c r="C9" s="162"/>
      <c r="D9" s="162"/>
      <c r="E9" s="163"/>
      <c r="F9" s="164"/>
      <c r="J9" s="162"/>
      <c r="K9" s="162"/>
      <c r="L9" s="163"/>
      <c r="M9" s="164"/>
      <c r="Q9" s="162"/>
      <c r="R9" s="162"/>
      <c r="S9" s="163"/>
      <c r="T9" s="164"/>
      <c r="X9" s="162"/>
      <c r="Y9" s="162"/>
      <c r="Z9" s="163"/>
      <c r="AA9" s="164"/>
      <c r="AE9" s="162"/>
      <c r="AF9" s="162"/>
      <c r="AG9" s="163"/>
      <c r="AH9" s="164"/>
      <c r="AL9" s="162"/>
      <c r="AM9" s="162"/>
      <c r="AN9" s="163"/>
      <c r="AO9" s="164"/>
      <c r="AS9" s="162"/>
      <c r="AT9" s="162"/>
      <c r="AU9" s="163"/>
      <c r="AV9" s="164"/>
      <c r="AZ9" s="162"/>
      <c r="BA9" s="162"/>
      <c r="BB9" s="163"/>
      <c r="BC9" s="164"/>
      <c r="BG9" s="162"/>
      <c r="BH9" s="162"/>
      <c r="BI9" s="163"/>
      <c r="BJ9" s="164"/>
      <c r="BN9" s="162"/>
      <c r="BO9" s="162"/>
      <c r="BP9" s="163"/>
      <c r="BQ9" s="164"/>
      <c r="BU9" s="162"/>
      <c r="BV9" s="162"/>
      <c r="BW9" s="163"/>
      <c r="BX9" s="164"/>
      <c r="CB9" s="162"/>
      <c r="CC9" s="162"/>
      <c r="CD9" s="163"/>
      <c r="CE9" s="164"/>
      <c r="CI9" s="162"/>
      <c r="CJ9" s="162"/>
      <c r="CK9" s="163"/>
      <c r="CL9" s="164"/>
      <c r="CP9" s="162"/>
      <c r="CQ9" s="162"/>
      <c r="CR9" s="163"/>
      <c r="CS9" s="164"/>
      <c r="CW9" s="162"/>
      <c r="CX9" s="162"/>
      <c r="CY9" s="163"/>
      <c r="CZ9" s="164"/>
      <c r="DD9" s="162"/>
      <c r="DE9" s="162"/>
      <c r="DF9" s="163"/>
      <c r="DG9" s="164"/>
      <c r="DK9" s="162"/>
      <c r="DL9" s="162"/>
      <c r="DM9" s="163"/>
      <c r="DN9" s="164"/>
      <c r="DR9" s="162"/>
      <c r="DS9" s="162"/>
      <c r="DT9" s="163"/>
      <c r="DU9" s="164"/>
      <c r="DY9" s="162"/>
      <c r="DZ9" s="162"/>
      <c r="EA9" s="163"/>
      <c r="EB9" s="164"/>
      <c r="EF9" s="162"/>
      <c r="EG9" s="162"/>
      <c r="EH9" s="163"/>
      <c r="EI9" s="164"/>
      <c r="EM9" s="162"/>
      <c r="EN9" s="162"/>
      <c r="EO9" s="163"/>
      <c r="EP9" s="164"/>
      <c r="ET9" s="162"/>
      <c r="EU9" s="162"/>
      <c r="EV9" s="163"/>
      <c r="EW9" s="164"/>
      <c r="FA9" s="162"/>
      <c r="FB9" s="162"/>
      <c r="FC9" s="163"/>
      <c r="FD9" s="164"/>
      <c r="FH9" s="162"/>
      <c r="FI9" s="162"/>
      <c r="FJ9" s="163"/>
      <c r="FK9" s="164"/>
      <c r="FO9" s="162"/>
      <c r="FP9" s="162"/>
      <c r="FQ9" s="163"/>
      <c r="FR9" s="164"/>
      <c r="FV9" s="162"/>
      <c r="FW9" s="162"/>
      <c r="FX9" s="163"/>
      <c r="FY9" s="164"/>
      <c r="GC9" s="162"/>
      <c r="GD9" s="162"/>
      <c r="GE9" s="163"/>
      <c r="GF9" s="164"/>
      <c r="GJ9" s="162"/>
      <c r="GK9" s="162"/>
      <c r="GL9" s="163"/>
      <c r="GM9" s="164"/>
      <c r="GQ9" s="162"/>
      <c r="GR9" s="162"/>
      <c r="GS9" s="163"/>
      <c r="GT9" s="164"/>
      <c r="GX9" s="162"/>
      <c r="GY9" s="162"/>
      <c r="GZ9" s="163"/>
      <c r="HA9" s="164"/>
      <c r="HE9" s="162"/>
      <c r="HF9" s="162"/>
      <c r="HG9" s="163"/>
      <c r="HH9" s="164"/>
      <c r="HL9" s="162"/>
      <c r="HM9" s="162"/>
      <c r="HN9" s="163"/>
      <c r="HO9" s="164"/>
      <c r="HS9" s="162"/>
      <c r="HT9" s="162"/>
      <c r="HU9" s="163"/>
      <c r="HV9" s="164"/>
    </row>
    <row r="10" spans="1:231" x14ac:dyDescent="0.2">
      <c r="C10" s="162"/>
      <c r="D10" s="162"/>
      <c r="E10" s="163"/>
      <c r="F10" s="164"/>
      <c r="J10" s="162"/>
      <c r="K10" s="162"/>
      <c r="L10" s="163"/>
      <c r="M10" s="164"/>
      <c r="Q10" s="162"/>
      <c r="R10" s="162"/>
      <c r="S10" s="163"/>
      <c r="T10" s="164"/>
      <c r="X10" s="162"/>
      <c r="Y10" s="162"/>
      <c r="Z10" s="163"/>
      <c r="AA10" s="164"/>
      <c r="AE10" s="162"/>
      <c r="AF10" s="162"/>
      <c r="AG10" s="163"/>
      <c r="AH10" s="164"/>
      <c r="AL10" s="162"/>
      <c r="AM10" s="162"/>
      <c r="AN10" s="163"/>
      <c r="AO10" s="164"/>
      <c r="AS10" s="162"/>
      <c r="AT10" s="162"/>
      <c r="AU10" s="163"/>
      <c r="AV10" s="164"/>
      <c r="AZ10" s="162"/>
      <c r="BA10" s="162"/>
      <c r="BB10" s="163"/>
      <c r="BC10" s="164"/>
      <c r="BG10" s="162"/>
      <c r="BH10" s="162"/>
      <c r="BI10" s="163"/>
      <c r="BJ10" s="164"/>
      <c r="BN10" s="162"/>
      <c r="BO10" s="162"/>
      <c r="BP10" s="163"/>
      <c r="BQ10" s="164"/>
      <c r="BU10" s="162"/>
      <c r="BV10" s="162"/>
      <c r="BW10" s="163"/>
      <c r="BX10" s="164"/>
      <c r="CB10" s="162"/>
      <c r="CC10" s="162"/>
      <c r="CD10" s="163"/>
      <c r="CE10" s="164"/>
      <c r="CI10" s="162"/>
      <c r="CJ10" s="162"/>
      <c r="CK10" s="163"/>
      <c r="CL10" s="164"/>
      <c r="CP10" s="162"/>
      <c r="CQ10" s="162"/>
      <c r="CR10" s="163"/>
      <c r="CS10" s="164"/>
      <c r="CW10" s="162"/>
      <c r="CX10" s="162"/>
      <c r="CY10" s="163"/>
      <c r="CZ10" s="164"/>
      <c r="DD10" s="162"/>
      <c r="DE10" s="162"/>
      <c r="DF10" s="163"/>
      <c r="DG10" s="164"/>
      <c r="DK10" s="162"/>
      <c r="DL10" s="162"/>
      <c r="DM10" s="163"/>
      <c r="DN10" s="164"/>
      <c r="DR10" s="162"/>
      <c r="DS10" s="162"/>
      <c r="DT10" s="163"/>
      <c r="DU10" s="164"/>
      <c r="DY10" s="162"/>
      <c r="DZ10" s="162"/>
      <c r="EA10" s="163"/>
      <c r="EB10" s="164"/>
      <c r="EF10" s="162"/>
      <c r="EG10" s="162"/>
      <c r="EH10" s="163"/>
      <c r="EI10" s="164"/>
      <c r="EM10" s="162"/>
      <c r="EN10" s="162"/>
      <c r="EO10" s="163"/>
      <c r="EP10" s="164"/>
      <c r="ET10" s="162"/>
      <c r="EU10" s="162"/>
      <c r="EV10" s="163"/>
      <c r="EW10" s="164"/>
      <c r="FA10" s="162"/>
      <c r="FB10" s="162"/>
      <c r="FC10" s="163"/>
      <c r="FD10" s="164"/>
      <c r="FH10" s="162"/>
      <c r="FI10" s="162"/>
      <c r="FJ10" s="163"/>
      <c r="FK10" s="164"/>
      <c r="FO10" s="162"/>
      <c r="FP10" s="162"/>
      <c r="FQ10" s="163"/>
      <c r="FR10" s="164"/>
      <c r="FV10" s="162"/>
      <c r="FW10" s="162"/>
      <c r="FX10" s="163"/>
      <c r="FY10" s="164"/>
      <c r="GC10" s="162"/>
      <c r="GD10" s="162"/>
      <c r="GE10" s="163"/>
      <c r="GF10" s="164"/>
      <c r="GJ10" s="162"/>
      <c r="GK10" s="162"/>
      <c r="GL10" s="163"/>
      <c r="GM10" s="164"/>
      <c r="GQ10" s="162"/>
      <c r="GR10" s="162"/>
      <c r="GS10" s="163"/>
      <c r="GT10" s="164"/>
      <c r="GX10" s="162"/>
      <c r="GY10" s="162"/>
      <c r="GZ10" s="163"/>
      <c r="HA10" s="164"/>
      <c r="HE10" s="162"/>
      <c r="HF10" s="162"/>
      <c r="HG10" s="163"/>
      <c r="HH10" s="164"/>
      <c r="HL10" s="162"/>
      <c r="HM10" s="162"/>
      <c r="HN10" s="163"/>
      <c r="HO10" s="164"/>
      <c r="HS10" s="162"/>
      <c r="HT10" s="162"/>
      <c r="HU10" s="163"/>
      <c r="HV10" s="164"/>
    </row>
    <row r="11" spans="1:231" x14ac:dyDescent="0.2">
      <c r="C11" s="162"/>
      <c r="D11" s="162"/>
      <c r="E11" s="163"/>
      <c r="F11" s="164"/>
      <c r="J11" s="162"/>
      <c r="K11" s="162"/>
      <c r="L11" s="163"/>
      <c r="M11" s="164"/>
      <c r="Q11" s="162"/>
      <c r="R11" s="162"/>
      <c r="S11" s="163"/>
      <c r="T11" s="164"/>
      <c r="X11" s="162"/>
      <c r="Y11" s="162"/>
      <c r="Z11" s="163"/>
      <c r="AA11" s="164"/>
      <c r="AE11" s="162"/>
      <c r="AF11" s="162"/>
      <c r="AG11" s="163"/>
      <c r="AH11" s="164"/>
      <c r="AL11" s="162"/>
      <c r="AM11" s="162"/>
      <c r="AN11" s="163"/>
      <c r="AO11" s="164"/>
      <c r="AS11" s="162"/>
      <c r="AT11" s="162"/>
      <c r="AU11" s="163"/>
      <c r="AV11" s="164"/>
      <c r="AZ11" s="162"/>
      <c r="BA11" s="162"/>
      <c r="BB11" s="163"/>
      <c r="BC11" s="164"/>
      <c r="BG11" s="162"/>
      <c r="BH11" s="162"/>
      <c r="BI11" s="163"/>
      <c r="BJ11" s="164"/>
      <c r="BN11" s="162"/>
      <c r="BO11" s="162"/>
      <c r="BP11" s="163"/>
      <c r="BQ11" s="164"/>
      <c r="BU11" s="162"/>
      <c r="BV11" s="162"/>
      <c r="BW11" s="163"/>
      <c r="BX11" s="164"/>
      <c r="CB11" s="162"/>
      <c r="CC11" s="162"/>
      <c r="CD11" s="163"/>
      <c r="CE11" s="164"/>
      <c r="CI11" s="162"/>
      <c r="CJ11" s="162"/>
      <c r="CK11" s="163"/>
      <c r="CL11" s="164"/>
      <c r="CP11" s="162"/>
      <c r="CQ11" s="162"/>
      <c r="CR11" s="163"/>
      <c r="CS11" s="164"/>
      <c r="CW11" s="162"/>
      <c r="CX11" s="162"/>
      <c r="CY11" s="163"/>
      <c r="CZ11" s="164"/>
      <c r="DD11" s="162"/>
      <c r="DE11" s="162"/>
      <c r="DF11" s="163"/>
      <c r="DG11" s="164"/>
      <c r="DK11" s="162"/>
      <c r="DL11" s="162"/>
      <c r="DM11" s="163"/>
      <c r="DN11" s="164"/>
      <c r="DR11" s="162"/>
      <c r="DS11" s="162"/>
      <c r="DT11" s="163"/>
      <c r="DU11" s="164"/>
      <c r="DY11" s="162"/>
      <c r="DZ11" s="162"/>
      <c r="EA11" s="163"/>
      <c r="EB11" s="164"/>
      <c r="EF11" s="162"/>
      <c r="EG11" s="162"/>
      <c r="EH11" s="163"/>
      <c r="EI11" s="164"/>
      <c r="EM11" s="162"/>
      <c r="EN11" s="162"/>
      <c r="EO11" s="163"/>
      <c r="EP11" s="164"/>
      <c r="ET11" s="162"/>
      <c r="EU11" s="162"/>
      <c r="EV11" s="163"/>
      <c r="EW11" s="164"/>
      <c r="FA11" s="162"/>
      <c r="FB11" s="162"/>
      <c r="FC11" s="163"/>
      <c r="FD11" s="164"/>
      <c r="FH11" s="162"/>
      <c r="FI11" s="162"/>
      <c r="FJ11" s="163"/>
      <c r="FK11" s="164"/>
      <c r="FO11" s="162"/>
      <c r="FP11" s="162"/>
      <c r="FQ11" s="163"/>
      <c r="FR11" s="164"/>
      <c r="FV11" s="162"/>
      <c r="FW11" s="162"/>
      <c r="FX11" s="163"/>
      <c r="FY11" s="164"/>
      <c r="GC11" s="162"/>
      <c r="GD11" s="162"/>
      <c r="GE11" s="163"/>
      <c r="GF11" s="164"/>
      <c r="GJ11" s="162"/>
      <c r="GK11" s="162"/>
      <c r="GL11" s="163"/>
      <c r="GM11" s="164"/>
      <c r="GQ11" s="162"/>
      <c r="GR11" s="162"/>
      <c r="GS11" s="163"/>
      <c r="GT11" s="164"/>
      <c r="GX11" s="162"/>
      <c r="GY11" s="162"/>
      <c r="GZ11" s="163"/>
      <c r="HA11" s="164"/>
      <c r="HE11" s="162"/>
      <c r="HF11" s="162"/>
      <c r="HG11" s="163"/>
      <c r="HH11" s="164"/>
      <c r="HL11" s="162"/>
      <c r="HM11" s="162"/>
      <c r="HN11" s="163"/>
      <c r="HO11" s="164"/>
      <c r="HS11" s="162"/>
      <c r="HT11" s="162"/>
      <c r="HU11" s="163"/>
      <c r="HV11" s="164"/>
    </row>
    <row r="12" spans="1:231" x14ac:dyDescent="0.2">
      <c r="C12" s="162"/>
      <c r="D12" s="162"/>
      <c r="E12" s="163"/>
      <c r="F12" s="164"/>
      <c r="J12" s="162"/>
      <c r="K12" s="162"/>
      <c r="L12" s="163"/>
      <c r="M12" s="164"/>
      <c r="Q12" s="162"/>
      <c r="R12" s="162"/>
      <c r="S12" s="163"/>
      <c r="T12" s="164"/>
      <c r="X12" s="162"/>
      <c r="Y12" s="162"/>
      <c r="Z12" s="163"/>
      <c r="AA12" s="164"/>
      <c r="AE12" s="162"/>
      <c r="AF12" s="162"/>
      <c r="AG12" s="163"/>
      <c r="AH12" s="164"/>
      <c r="AL12" s="162"/>
      <c r="AM12" s="162"/>
      <c r="AN12" s="163"/>
      <c r="AO12" s="164"/>
      <c r="AS12" s="162"/>
      <c r="AT12" s="162"/>
      <c r="AU12" s="163"/>
      <c r="AV12" s="164"/>
      <c r="AZ12" s="162"/>
      <c r="BA12" s="162"/>
      <c r="BB12" s="163"/>
      <c r="BC12" s="164"/>
      <c r="BG12" s="162"/>
      <c r="BH12" s="162"/>
      <c r="BI12" s="163"/>
      <c r="BJ12" s="164"/>
      <c r="BN12" s="162"/>
      <c r="BO12" s="162"/>
      <c r="BP12" s="163"/>
      <c r="BQ12" s="164"/>
      <c r="BU12" s="162"/>
      <c r="BV12" s="162"/>
      <c r="BW12" s="163"/>
      <c r="BX12" s="164"/>
      <c r="CB12" s="162"/>
      <c r="CC12" s="162"/>
      <c r="CD12" s="163"/>
      <c r="CE12" s="164"/>
      <c r="CI12" s="162"/>
      <c r="CJ12" s="162"/>
      <c r="CK12" s="163"/>
      <c r="CL12" s="164"/>
      <c r="CP12" s="162"/>
      <c r="CQ12" s="162"/>
      <c r="CR12" s="163"/>
      <c r="CS12" s="164"/>
      <c r="CW12" s="162"/>
      <c r="CX12" s="162"/>
      <c r="CY12" s="163"/>
      <c r="CZ12" s="164"/>
      <c r="DD12" s="162"/>
      <c r="DE12" s="162"/>
      <c r="DF12" s="163"/>
      <c r="DG12" s="164"/>
      <c r="DK12" s="162"/>
      <c r="DL12" s="162"/>
      <c r="DM12" s="163"/>
      <c r="DN12" s="164"/>
      <c r="DR12" s="162"/>
      <c r="DS12" s="162"/>
      <c r="DT12" s="163"/>
      <c r="DU12" s="164"/>
      <c r="DY12" s="162"/>
      <c r="DZ12" s="162"/>
      <c r="EA12" s="163"/>
      <c r="EB12" s="164"/>
      <c r="EF12" s="162"/>
      <c r="EG12" s="162"/>
      <c r="EH12" s="163"/>
      <c r="EI12" s="164"/>
      <c r="EM12" s="162"/>
      <c r="EN12" s="162"/>
      <c r="EO12" s="163"/>
      <c r="EP12" s="164"/>
      <c r="ET12" s="162"/>
      <c r="EU12" s="162"/>
      <c r="EV12" s="163"/>
      <c r="EW12" s="164"/>
      <c r="FA12" s="162"/>
      <c r="FB12" s="162"/>
      <c r="FC12" s="163"/>
      <c r="FD12" s="164"/>
      <c r="FH12" s="162"/>
      <c r="FI12" s="162"/>
      <c r="FJ12" s="163"/>
      <c r="FK12" s="164"/>
      <c r="FO12" s="162"/>
      <c r="FP12" s="162"/>
      <c r="FQ12" s="163"/>
      <c r="FR12" s="164"/>
      <c r="FV12" s="162"/>
      <c r="FW12" s="162"/>
      <c r="FX12" s="163"/>
      <c r="FY12" s="164"/>
      <c r="GC12" s="162"/>
      <c r="GD12" s="162"/>
      <c r="GE12" s="163"/>
      <c r="GF12" s="164"/>
      <c r="GJ12" s="162"/>
      <c r="GK12" s="162"/>
      <c r="GL12" s="163"/>
      <c r="GM12" s="164"/>
      <c r="GQ12" s="162"/>
      <c r="GR12" s="162"/>
      <c r="GS12" s="163"/>
      <c r="GT12" s="164"/>
      <c r="GX12" s="162"/>
      <c r="GY12" s="162"/>
      <c r="GZ12" s="163"/>
      <c r="HA12" s="164"/>
      <c r="HE12" s="162"/>
      <c r="HF12" s="162"/>
      <c r="HG12" s="163"/>
      <c r="HH12" s="164"/>
      <c r="HL12" s="162"/>
      <c r="HM12" s="162"/>
      <c r="HN12" s="163"/>
      <c r="HO12" s="164"/>
      <c r="HS12" s="162"/>
      <c r="HT12" s="162"/>
      <c r="HU12" s="163"/>
      <c r="HV12" s="164"/>
    </row>
    <row r="13" spans="1:231" x14ac:dyDescent="0.2">
      <c r="C13" s="162"/>
      <c r="D13" s="162"/>
      <c r="E13" s="163"/>
      <c r="F13" s="164"/>
      <c r="J13" s="162"/>
      <c r="K13" s="162"/>
      <c r="L13" s="163"/>
      <c r="M13" s="164"/>
      <c r="Q13" s="162"/>
      <c r="R13" s="162"/>
      <c r="S13" s="163"/>
      <c r="T13" s="164"/>
      <c r="X13" s="162"/>
      <c r="Y13" s="162"/>
      <c r="Z13" s="163"/>
      <c r="AA13" s="164"/>
      <c r="AE13" s="162"/>
      <c r="AF13" s="162"/>
      <c r="AG13" s="163"/>
      <c r="AH13" s="164"/>
      <c r="AL13" s="162"/>
      <c r="AM13" s="162"/>
      <c r="AN13" s="163"/>
      <c r="AO13" s="164"/>
      <c r="AS13" s="162"/>
      <c r="AT13" s="162"/>
      <c r="AU13" s="163"/>
      <c r="AV13" s="164"/>
      <c r="AZ13" s="162"/>
      <c r="BA13" s="162"/>
      <c r="BB13" s="163"/>
      <c r="BC13" s="164"/>
      <c r="BG13" s="162"/>
      <c r="BH13" s="162"/>
      <c r="BI13" s="163"/>
      <c r="BJ13" s="164"/>
      <c r="BN13" s="162"/>
      <c r="BO13" s="162"/>
      <c r="BP13" s="163"/>
      <c r="BQ13" s="164"/>
      <c r="BU13" s="162"/>
      <c r="BV13" s="162"/>
      <c r="BW13" s="163"/>
      <c r="BX13" s="164"/>
      <c r="CB13" s="162"/>
      <c r="CC13" s="162"/>
      <c r="CD13" s="163"/>
      <c r="CE13" s="164"/>
      <c r="CI13" s="162"/>
      <c r="CJ13" s="162"/>
      <c r="CK13" s="163"/>
      <c r="CL13" s="164"/>
      <c r="CP13" s="162"/>
      <c r="CQ13" s="162"/>
      <c r="CR13" s="163"/>
      <c r="CS13" s="164"/>
      <c r="CW13" s="162"/>
      <c r="CX13" s="162"/>
      <c r="CY13" s="163"/>
      <c r="CZ13" s="164"/>
      <c r="DD13" s="162"/>
      <c r="DE13" s="162"/>
      <c r="DF13" s="163"/>
      <c r="DG13" s="164"/>
      <c r="DK13" s="162"/>
      <c r="DL13" s="162"/>
      <c r="DM13" s="163"/>
      <c r="DN13" s="164"/>
      <c r="DR13" s="162"/>
      <c r="DS13" s="162"/>
      <c r="DT13" s="163"/>
      <c r="DU13" s="164"/>
      <c r="DY13" s="162"/>
      <c r="DZ13" s="162"/>
      <c r="EA13" s="163"/>
      <c r="EB13" s="164"/>
      <c r="EF13" s="162"/>
      <c r="EG13" s="162"/>
      <c r="EH13" s="163"/>
      <c r="EI13" s="164"/>
      <c r="EM13" s="162"/>
      <c r="EN13" s="162"/>
      <c r="EO13" s="163"/>
      <c r="EP13" s="164"/>
      <c r="ET13" s="162"/>
      <c r="EU13" s="162"/>
      <c r="EV13" s="163"/>
      <c r="EW13" s="164"/>
      <c r="FA13" s="162"/>
      <c r="FB13" s="162"/>
      <c r="FC13" s="163"/>
      <c r="FD13" s="164"/>
      <c r="FH13" s="162"/>
      <c r="FI13" s="162"/>
      <c r="FJ13" s="163"/>
      <c r="FK13" s="164"/>
      <c r="FO13" s="162"/>
      <c r="FP13" s="162"/>
      <c r="FQ13" s="163"/>
      <c r="FR13" s="164"/>
      <c r="FV13" s="162"/>
      <c r="FW13" s="162"/>
      <c r="FX13" s="163"/>
      <c r="FY13" s="164"/>
      <c r="GC13" s="162"/>
      <c r="GD13" s="162"/>
      <c r="GE13" s="163"/>
      <c r="GF13" s="164"/>
      <c r="GJ13" s="162"/>
      <c r="GK13" s="162"/>
      <c r="GL13" s="163"/>
      <c r="GM13" s="164"/>
      <c r="GQ13" s="162"/>
      <c r="GR13" s="162"/>
      <c r="GS13" s="163"/>
      <c r="GT13" s="164"/>
      <c r="GX13" s="162"/>
      <c r="GY13" s="162"/>
      <c r="GZ13" s="163"/>
      <c r="HA13" s="164"/>
      <c r="HE13" s="162"/>
      <c r="HF13" s="162"/>
      <c r="HG13" s="163"/>
      <c r="HH13" s="164"/>
      <c r="HL13" s="162"/>
      <c r="HM13" s="162"/>
      <c r="HN13" s="163"/>
      <c r="HO13" s="164"/>
      <c r="HS13" s="162"/>
      <c r="HT13" s="162"/>
      <c r="HU13" s="163"/>
      <c r="HV13" s="164"/>
    </row>
    <row r="14" spans="1:231" x14ac:dyDescent="0.2">
      <c r="C14" s="162"/>
      <c r="D14" s="162"/>
      <c r="E14" s="163"/>
      <c r="F14" s="164"/>
      <c r="J14" s="162"/>
      <c r="K14" s="162"/>
      <c r="L14" s="163"/>
      <c r="M14" s="164"/>
      <c r="Q14" s="162"/>
      <c r="R14" s="162"/>
      <c r="S14" s="163"/>
      <c r="T14" s="164"/>
      <c r="X14" s="162"/>
      <c r="Y14" s="162"/>
      <c r="Z14" s="163"/>
      <c r="AA14" s="164"/>
      <c r="AE14" s="162"/>
      <c r="AF14" s="162"/>
      <c r="AG14" s="163"/>
      <c r="AH14" s="164"/>
      <c r="AL14" s="162"/>
      <c r="AM14" s="162"/>
      <c r="AN14" s="163"/>
      <c r="AO14" s="164"/>
      <c r="AS14" s="162"/>
      <c r="AT14" s="162"/>
      <c r="AU14" s="163"/>
      <c r="AV14" s="164"/>
      <c r="AZ14" s="162"/>
      <c r="BA14" s="162"/>
      <c r="BB14" s="163"/>
      <c r="BC14" s="164"/>
      <c r="BG14" s="162"/>
      <c r="BH14" s="162"/>
      <c r="BI14" s="163"/>
      <c r="BJ14" s="164"/>
      <c r="BN14" s="162"/>
      <c r="BO14" s="162"/>
      <c r="BP14" s="163"/>
      <c r="BQ14" s="164"/>
      <c r="BU14" s="162"/>
      <c r="BV14" s="162"/>
      <c r="BW14" s="163"/>
      <c r="BX14" s="164"/>
      <c r="CB14" s="162"/>
      <c r="CC14" s="162"/>
      <c r="CD14" s="163"/>
      <c r="CE14" s="164"/>
      <c r="CI14" s="162"/>
      <c r="CJ14" s="162"/>
      <c r="CK14" s="163"/>
      <c r="CL14" s="164"/>
      <c r="CP14" s="162"/>
      <c r="CQ14" s="162"/>
      <c r="CR14" s="163"/>
      <c r="CS14" s="164"/>
      <c r="CW14" s="162"/>
      <c r="CX14" s="162"/>
      <c r="CY14" s="163"/>
      <c r="CZ14" s="164"/>
      <c r="DD14" s="162"/>
      <c r="DE14" s="162"/>
      <c r="DF14" s="163"/>
      <c r="DG14" s="164"/>
      <c r="DK14" s="162"/>
      <c r="DL14" s="162"/>
      <c r="DM14" s="163"/>
      <c r="DN14" s="164"/>
      <c r="DR14" s="162"/>
      <c r="DS14" s="162"/>
      <c r="DT14" s="163"/>
      <c r="DU14" s="164"/>
      <c r="DY14" s="162"/>
      <c r="DZ14" s="162"/>
      <c r="EA14" s="163"/>
      <c r="EB14" s="164"/>
      <c r="EF14" s="162"/>
      <c r="EG14" s="162"/>
      <c r="EH14" s="163"/>
      <c r="EI14" s="164"/>
      <c r="EM14" s="162"/>
      <c r="EN14" s="162"/>
      <c r="EO14" s="163"/>
      <c r="EP14" s="164"/>
      <c r="ET14" s="162"/>
      <c r="EU14" s="162"/>
      <c r="EV14" s="163"/>
      <c r="EW14" s="164"/>
      <c r="FA14" s="162"/>
      <c r="FB14" s="162"/>
      <c r="FC14" s="163"/>
      <c r="FD14" s="164"/>
      <c r="FH14" s="162"/>
      <c r="FI14" s="162"/>
      <c r="FJ14" s="163"/>
      <c r="FK14" s="164"/>
      <c r="FO14" s="162"/>
      <c r="FP14" s="162"/>
      <c r="FQ14" s="163"/>
      <c r="FR14" s="164"/>
      <c r="FV14" s="162"/>
      <c r="FW14" s="162"/>
      <c r="FX14" s="163"/>
      <c r="FY14" s="164"/>
      <c r="GC14" s="162"/>
      <c r="GD14" s="162"/>
      <c r="GE14" s="163"/>
      <c r="GF14" s="164"/>
      <c r="GJ14" s="162"/>
      <c r="GK14" s="162"/>
      <c r="GL14" s="163"/>
      <c r="GM14" s="164"/>
      <c r="GQ14" s="162"/>
      <c r="GR14" s="162"/>
      <c r="GS14" s="163"/>
      <c r="GT14" s="164"/>
      <c r="GX14" s="162"/>
      <c r="GY14" s="162"/>
      <c r="GZ14" s="163"/>
      <c r="HA14" s="164"/>
      <c r="HE14" s="162"/>
      <c r="HF14" s="162"/>
      <c r="HG14" s="163"/>
      <c r="HH14" s="164"/>
      <c r="HL14" s="162"/>
      <c r="HM14" s="162"/>
      <c r="HN14" s="163"/>
      <c r="HO14" s="164"/>
      <c r="HS14" s="162"/>
      <c r="HT14" s="162"/>
      <c r="HU14" s="163"/>
      <c r="HV14" s="164"/>
    </row>
    <row r="15" spans="1:231" x14ac:dyDescent="0.2">
      <c r="C15" s="162"/>
      <c r="D15" s="162"/>
      <c r="E15" s="163"/>
      <c r="F15" s="164"/>
      <c r="J15" s="162"/>
      <c r="K15" s="162"/>
      <c r="L15" s="163"/>
      <c r="M15" s="164"/>
      <c r="Q15" s="162"/>
      <c r="R15" s="162"/>
      <c r="S15" s="163"/>
      <c r="T15" s="164"/>
      <c r="X15" s="162"/>
      <c r="Y15" s="162"/>
      <c r="Z15" s="163"/>
      <c r="AA15" s="164"/>
      <c r="AE15" s="162"/>
      <c r="AF15" s="162"/>
      <c r="AG15" s="163"/>
      <c r="AH15" s="164"/>
      <c r="AL15" s="162"/>
      <c r="AM15" s="162"/>
      <c r="AN15" s="163"/>
      <c r="AO15" s="164"/>
      <c r="AS15" s="162"/>
      <c r="AT15" s="162"/>
      <c r="AU15" s="163"/>
      <c r="AV15" s="164"/>
      <c r="AZ15" s="162"/>
      <c r="BA15" s="162"/>
      <c r="BB15" s="163"/>
      <c r="BC15" s="164"/>
      <c r="BG15" s="162"/>
      <c r="BH15" s="162"/>
      <c r="BI15" s="163"/>
      <c r="BJ15" s="164"/>
      <c r="BN15" s="162"/>
      <c r="BO15" s="162"/>
      <c r="BP15" s="163"/>
      <c r="BQ15" s="164"/>
      <c r="BU15" s="162"/>
      <c r="BV15" s="162"/>
      <c r="BW15" s="163"/>
      <c r="BX15" s="164"/>
      <c r="CB15" s="162"/>
      <c r="CC15" s="162"/>
      <c r="CD15" s="163"/>
      <c r="CE15" s="164"/>
      <c r="CI15" s="162"/>
      <c r="CJ15" s="162"/>
      <c r="CK15" s="163"/>
      <c r="CL15" s="164"/>
      <c r="CP15" s="162"/>
      <c r="CQ15" s="162"/>
      <c r="CR15" s="163"/>
      <c r="CS15" s="164"/>
      <c r="CW15" s="162"/>
      <c r="CX15" s="162"/>
      <c r="CY15" s="163"/>
      <c r="CZ15" s="164"/>
      <c r="DD15" s="162"/>
      <c r="DE15" s="162"/>
      <c r="DF15" s="163"/>
      <c r="DG15" s="164"/>
      <c r="DK15" s="162"/>
      <c r="DL15" s="162"/>
      <c r="DM15" s="163"/>
      <c r="DN15" s="164"/>
      <c r="DR15" s="162"/>
      <c r="DS15" s="162"/>
      <c r="DT15" s="163"/>
      <c r="DU15" s="164"/>
      <c r="DY15" s="162"/>
      <c r="DZ15" s="162"/>
      <c r="EA15" s="163"/>
      <c r="EB15" s="164"/>
      <c r="EF15" s="162"/>
      <c r="EG15" s="162"/>
      <c r="EH15" s="163"/>
      <c r="EI15" s="164"/>
      <c r="EM15" s="162"/>
      <c r="EN15" s="162"/>
      <c r="EO15" s="163"/>
      <c r="EP15" s="164"/>
      <c r="ET15" s="162"/>
      <c r="EU15" s="162"/>
      <c r="EV15" s="163"/>
      <c r="EW15" s="164"/>
      <c r="FA15" s="162"/>
      <c r="FB15" s="162"/>
      <c r="FC15" s="163"/>
      <c r="FD15" s="164"/>
      <c r="FH15" s="162"/>
      <c r="FI15" s="162"/>
      <c r="FJ15" s="163"/>
      <c r="FK15" s="164"/>
      <c r="FO15" s="162"/>
      <c r="FP15" s="162"/>
      <c r="FQ15" s="163"/>
      <c r="FR15" s="164"/>
      <c r="FV15" s="162"/>
      <c r="FW15" s="162"/>
      <c r="FX15" s="163"/>
      <c r="FY15" s="164"/>
      <c r="GC15" s="162"/>
      <c r="GD15" s="162"/>
      <c r="GE15" s="163"/>
      <c r="GF15" s="164"/>
      <c r="GJ15" s="162"/>
      <c r="GK15" s="162"/>
      <c r="GL15" s="163"/>
      <c r="GM15" s="164"/>
      <c r="GQ15" s="162"/>
      <c r="GR15" s="162"/>
      <c r="GS15" s="163"/>
      <c r="GT15" s="164"/>
      <c r="GX15" s="162"/>
      <c r="GY15" s="162"/>
      <c r="GZ15" s="163"/>
      <c r="HA15" s="164"/>
      <c r="HE15" s="162"/>
      <c r="HF15" s="162"/>
      <c r="HG15" s="163"/>
      <c r="HH15" s="164"/>
      <c r="HL15" s="162"/>
      <c r="HM15" s="162"/>
      <c r="HN15" s="163"/>
      <c r="HO15" s="164"/>
      <c r="HS15" s="162"/>
      <c r="HT15" s="162"/>
      <c r="HU15" s="163"/>
      <c r="HV15" s="164"/>
    </row>
    <row r="16" spans="1:231" x14ac:dyDescent="0.2">
      <c r="C16" s="162"/>
      <c r="D16" s="162"/>
      <c r="E16" s="163"/>
      <c r="F16" s="164"/>
      <c r="J16" s="162"/>
      <c r="K16" s="162"/>
      <c r="L16" s="163"/>
      <c r="M16" s="164"/>
      <c r="Q16" s="162"/>
      <c r="R16" s="162"/>
      <c r="S16" s="163"/>
      <c r="T16" s="164"/>
      <c r="X16" s="162"/>
      <c r="Y16" s="162"/>
      <c r="Z16" s="163"/>
      <c r="AA16" s="164"/>
      <c r="AE16" s="162"/>
      <c r="AF16" s="162"/>
      <c r="AG16" s="163"/>
      <c r="AH16" s="164"/>
      <c r="AL16" s="162"/>
      <c r="AM16" s="162"/>
      <c r="AN16" s="163"/>
      <c r="AO16" s="164"/>
      <c r="AS16" s="162"/>
      <c r="AT16" s="162"/>
      <c r="AU16" s="163"/>
      <c r="AV16" s="164"/>
      <c r="AZ16" s="162"/>
      <c r="BA16" s="162"/>
      <c r="BB16" s="163"/>
      <c r="BC16" s="164"/>
      <c r="BG16" s="162"/>
      <c r="BH16" s="162"/>
      <c r="BI16" s="163"/>
      <c r="BJ16" s="164"/>
      <c r="BN16" s="162"/>
      <c r="BO16" s="162"/>
      <c r="BP16" s="163"/>
      <c r="BQ16" s="164"/>
      <c r="BU16" s="162"/>
      <c r="BV16" s="162"/>
      <c r="BW16" s="163"/>
      <c r="BX16" s="164"/>
      <c r="CB16" s="162"/>
      <c r="CC16" s="162"/>
      <c r="CD16" s="163"/>
      <c r="CE16" s="164"/>
      <c r="CI16" s="162"/>
      <c r="CJ16" s="162"/>
      <c r="CK16" s="163"/>
      <c r="CL16" s="164"/>
      <c r="CP16" s="162"/>
      <c r="CQ16" s="162"/>
      <c r="CR16" s="163"/>
      <c r="CS16" s="164"/>
      <c r="CW16" s="162"/>
      <c r="CX16" s="162"/>
      <c r="CY16" s="163"/>
      <c r="CZ16" s="164"/>
      <c r="DD16" s="162"/>
      <c r="DE16" s="162"/>
      <c r="DF16" s="163"/>
      <c r="DG16" s="164"/>
      <c r="DK16" s="162"/>
      <c r="DL16" s="162"/>
      <c r="DM16" s="163"/>
      <c r="DN16" s="164"/>
      <c r="DR16" s="162"/>
      <c r="DS16" s="162"/>
      <c r="DT16" s="163"/>
      <c r="DU16" s="164"/>
      <c r="DY16" s="162"/>
      <c r="DZ16" s="162"/>
      <c r="EA16" s="163"/>
      <c r="EB16" s="164"/>
      <c r="EF16" s="162"/>
      <c r="EG16" s="162"/>
      <c r="EH16" s="163"/>
      <c r="EI16" s="164"/>
      <c r="EM16" s="162"/>
      <c r="EN16" s="162"/>
      <c r="EO16" s="163"/>
      <c r="EP16" s="164"/>
      <c r="ET16" s="162"/>
      <c r="EU16" s="162"/>
      <c r="EV16" s="163"/>
      <c r="EW16" s="164"/>
      <c r="FA16" s="162"/>
      <c r="FB16" s="162"/>
      <c r="FC16" s="163"/>
      <c r="FD16" s="164"/>
      <c r="FH16" s="162"/>
      <c r="FI16" s="162"/>
      <c r="FJ16" s="163"/>
      <c r="FK16" s="164"/>
      <c r="FO16" s="162"/>
      <c r="FP16" s="162"/>
      <c r="FQ16" s="163"/>
      <c r="FR16" s="164"/>
      <c r="FV16" s="162"/>
      <c r="FW16" s="162"/>
      <c r="FX16" s="163"/>
      <c r="FY16" s="164"/>
      <c r="GC16" s="162"/>
      <c r="GD16" s="162"/>
      <c r="GE16" s="163"/>
      <c r="GF16" s="164"/>
      <c r="GJ16" s="162"/>
      <c r="GK16" s="162"/>
      <c r="GL16" s="163"/>
      <c r="GM16" s="164"/>
      <c r="GQ16" s="162"/>
      <c r="GR16" s="162"/>
      <c r="GS16" s="163"/>
      <c r="GT16" s="164"/>
      <c r="GX16" s="162"/>
      <c r="GY16" s="162"/>
      <c r="GZ16" s="163"/>
      <c r="HA16" s="164"/>
      <c r="HE16" s="162"/>
      <c r="HF16" s="162"/>
      <c r="HG16" s="163"/>
      <c r="HH16" s="164"/>
      <c r="HL16" s="162"/>
      <c r="HM16" s="162"/>
      <c r="HN16" s="163"/>
      <c r="HO16" s="164"/>
      <c r="HS16" s="162"/>
      <c r="HT16" s="162"/>
      <c r="HU16" s="163"/>
      <c r="HV16" s="164"/>
    </row>
    <row r="17" spans="3:230" x14ac:dyDescent="0.2">
      <c r="C17" s="162"/>
      <c r="D17" s="162"/>
      <c r="E17" s="163"/>
      <c r="F17" s="164"/>
      <c r="J17" s="162"/>
      <c r="K17" s="162"/>
      <c r="L17" s="163"/>
      <c r="M17" s="164"/>
      <c r="Q17" s="162"/>
      <c r="R17" s="162"/>
      <c r="S17" s="163"/>
      <c r="T17" s="164"/>
      <c r="X17" s="162"/>
      <c r="Y17" s="162"/>
      <c r="Z17" s="163"/>
      <c r="AA17" s="164"/>
      <c r="AE17" s="162"/>
      <c r="AF17" s="162"/>
      <c r="AG17" s="163"/>
      <c r="AH17" s="164"/>
      <c r="AL17" s="162"/>
      <c r="AM17" s="162"/>
      <c r="AN17" s="163"/>
      <c r="AO17" s="164"/>
      <c r="AS17" s="162"/>
      <c r="AT17" s="162"/>
      <c r="AU17" s="163"/>
      <c r="AV17" s="164"/>
      <c r="AZ17" s="162"/>
      <c r="BA17" s="162"/>
      <c r="BB17" s="163"/>
      <c r="BC17" s="164"/>
      <c r="BG17" s="162"/>
      <c r="BH17" s="162"/>
      <c r="BI17" s="163"/>
      <c r="BJ17" s="164"/>
      <c r="BN17" s="162"/>
      <c r="BO17" s="162"/>
      <c r="BP17" s="163"/>
      <c r="BQ17" s="164"/>
      <c r="BU17" s="162"/>
      <c r="BV17" s="162"/>
      <c r="BW17" s="163"/>
      <c r="BX17" s="164"/>
      <c r="CB17" s="162"/>
      <c r="CC17" s="162"/>
      <c r="CD17" s="163"/>
      <c r="CE17" s="164"/>
      <c r="CI17" s="162"/>
      <c r="CJ17" s="162"/>
      <c r="CK17" s="163"/>
      <c r="CL17" s="164"/>
      <c r="CP17" s="162"/>
      <c r="CQ17" s="162"/>
      <c r="CR17" s="163"/>
      <c r="CS17" s="164"/>
      <c r="CW17" s="162"/>
      <c r="CX17" s="162"/>
      <c r="CY17" s="163"/>
      <c r="CZ17" s="164"/>
      <c r="DD17" s="162"/>
      <c r="DE17" s="162"/>
      <c r="DF17" s="163"/>
      <c r="DG17" s="164"/>
      <c r="DK17" s="162"/>
      <c r="DL17" s="162"/>
      <c r="DM17" s="163"/>
      <c r="DN17" s="164"/>
      <c r="DR17" s="162"/>
      <c r="DS17" s="162"/>
      <c r="DT17" s="163"/>
      <c r="DU17" s="164"/>
      <c r="DY17" s="162"/>
      <c r="DZ17" s="162"/>
      <c r="EA17" s="163"/>
      <c r="EB17" s="164"/>
      <c r="EF17" s="162"/>
      <c r="EG17" s="162"/>
      <c r="EH17" s="163"/>
      <c r="EI17" s="164"/>
      <c r="EM17" s="162"/>
      <c r="EN17" s="162"/>
      <c r="EO17" s="163"/>
      <c r="EP17" s="164"/>
      <c r="ET17" s="162"/>
      <c r="EU17" s="162"/>
      <c r="EV17" s="163"/>
      <c r="EW17" s="164"/>
      <c r="FA17" s="162"/>
      <c r="FB17" s="162"/>
      <c r="FC17" s="163"/>
      <c r="FD17" s="164"/>
      <c r="FH17" s="162"/>
      <c r="FI17" s="162"/>
      <c r="FJ17" s="163"/>
      <c r="FK17" s="164"/>
      <c r="FO17" s="162"/>
      <c r="FP17" s="162"/>
      <c r="FQ17" s="163"/>
      <c r="FR17" s="164"/>
      <c r="FV17" s="162"/>
      <c r="FW17" s="162"/>
      <c r="FX17" s="163"/>
      <c r="FY17" s="164"/>
      <c r="GC17" s="162"/>
      <c r="GD17" s="162"/>
      <c r="GE17" s="163"/>
      <c r="GF17" s="164"/>
      <c r="GJ17" s="162"/>
      <c r="GK17" s="162"/>
      <c r="GL17" s="163"/>
      <c r="GM17" s="164"/>
      <c r="GQ17" s="162"/>
      <c r="GR17" s="162"/>
      <c r="GS17" s="163"/>
      <c r="GT17" s="164"/>
      <c r="GX17" s="162"/>
      <c r="GY17" s="162"/>
      <c r="GZ17" s="163"/>
      <c r="HA17" s="164"/>
      <c r="HE17" s="162"/>
      <c r="HF17" s="162"/>
      <c r="HG17" s="163"/>
      <c r="HH17" s="164"/>
      <c r="HL17" s="162"/>
      <c r="HM17" s="162"/>
      <c r="HN17" s="163"/>
      <c r="HO17" s="164"/>
      <c r="HS17" s="162"/>
      <c r="HT17" s="162"/>
      <c r="HU17" s="163"/>
      <c r="HV17" s="164"/>
    </row>
    <row r="18" spans="3:230" x14ac:dyDescent="0.2">
      <c r="C18" s="162"/>
      <c r="D18" s="162"/>
      <c r="E18" s="163"/>
      <c r="F18" s="164"/>
      <c r="J18" s="162"/>
      <c r="K18" s="162"/>
      <c r="L18" s="163"/>
      <c r="M18" s="164"/>
      <c r="Q18" s="162"/>
      <c r="R18" s="162"/>
      <c r="S18" s="163"/>
      <c r="T18" s="164"/>
      <c r="X18" s="162"/>
      <c r="Y18" s="162"/>
      <c r="Z18" s="163"/>
      <c r="AA18" s="164"/>
      <c r="AE18" s="162"/>
      <c r="AF18" s="162"/>
      <c r="AG18" s="163"/>
      <c r="AH18" s="164"/>
      <c r="AL18" s="162"/>
      <c r="AM18" s="162"/>
      <c r="AN18" s="163"/>
      <c r="AO18" s="164"/>
      <c r="AS18" s="162"/>
      <c r="AT18" s="162"/>
      <c r="AU18" s="163"/>
      <c r="AV18" s="164"/>
      <c r="AZ18" s="162"/>
      <c r="BA18" s="162"/>
      <c r="BB18" s="163"/>
      <c r="BC18" s="164"/>
      <c r="BG18" s="162"/>
      <c r="BH18" s="162"/>
      <c r="BI18" s="163"/>
      <c r="BJ18" s="164"/>
      <c r="BN18" s="162"/>
      <c r="BO18" s="162"/>
      <c r="BP18" s="163"/>
      <c r="BQ18" s="164"/>
      <c r="BU18" s="162"/>
      <c r="BV18" s="162"/>
      <c r="BW18" s="163"/>
      <c r="BX18" s="164"/>
      <c r="CB18" s="162"/>
      <c r="CC18" s="162"/>
      <c r="CD18" s="163"/>
      <c r="CE18" s="164"/>
      <c r="CI18" s="162"/>
      <c r="CJ18" s="162"/>
      <c r="CK18" s="163"/>
      <c r="CL18" s="164"/>
      <c r="CP18" s="162"/>
      <c r="CQ18" s="162"/>
      <c r="CR18" s="163"/>
      <c r="CS18" s="164"/>
      <c r="CW18" s="162"/>
      <c r="CX18" s="162"/>
      <c r="CY18" s="163"/>
      <c r="CZ18" s="164"/>
      <c r="DD18" s="162"/>
      <c r="DE18" s="162"/>
      <c r="DF18" s="163"/>
      <c r="DG18" s="164"/>
      <c r="DK18" s="162"/>
      <c r="DL18" s="162"/>
      <c r="DM18" s="163"/>
      <c r="DN18" s="164"/>
      <c r="DR18" s="162"/>
      <c r="DS18" s="162"/>
      <c r="DT18" s="163"/>
      <c r="DU18" s="164"/>
      <c r="DY18" s="162"/>
      <c r="DZ18" s="162"/>
      <c r="EA18" s="163"/>
      <c r="EB18" s="164"/>
      <c r="EF18" s="162"/>
      <c r="EG18" s="162"/>
      <c r="EH18" s="163"/>
      <c r="EI18" s="164"/>
      <c r="EM18" s="162"/>
      <c r="EN18" s="162"/>
      <c r="EO18" s="163"/>
      <c r="EP18" s="164"/>
      <c r="ET18" s="162"/>
      <c r="EU18" s="162"/>
      <c r="EV18" s="163"/>
      <c r="EW18" s="164"/>
      <c r="FA18" s="162"/>
      <c r="FB18" s="162"/>
      <c r="FC18" s="163"/>
      <c r="FD18" s="164"/>
      <c r="FH18" s="162"/>
      <c r="FI18" s="162"/>
      <c r="FJ18" s="163"/>
      <c r="FK18" s="164"/>
      <c r="FO18" s="162"/>
      <c r="FP18" s="162"/>
      <c r="FQ18" s="163"/>
      <c r="FR18" s="164"/>
      <c r="FV18" s="162"/>
      <c r="FW18" s="162"/>
      <c r="FX18" s="163"/>
      <c r="FY18" s="164"/>
      <c r="GC18" s="162"/>
      <c r="GD18" s="162"/>
      <c r="GE18" s="163"/>
      <c r="GF18" s="164"/>
      <c r="GJ18" s="162"/>
      <c r="GK18" s="162"/>
      <c r="GL18" s="163"/>
      <c r="GM18" s="164"/>
      <c r="GQ18" s="162"/>
      <c r="GR18" s="162"/>
      <c r="GS18" s="163"/>
      <c r="GT18" s="164"/>
      <c r="GX18" s="162"/>
      <c r="GY18" s="162"/>
      <c r="GZ18" s="163"/>
      <c r="HA18" s="164"/>
      <c r="HE18" s="162"/>
      <c r="HF18" s="162"/>
      <c r="HG18" s="163"/>
      <c r="HH18" s="164"/>
      <c r="HL18" s="162"/>
      <c r="HM18" s="162"/>
      <c r="HN18" s="163"/>
      <c r="HO18" s="164"/>
      <c r="HS18" s="162"/>
      <c r="HT18" s="162"/>
      <c r="HU18" s="163"/>
      <c r="HV18" s="164"/>
    </row>
    <row r="19" spans="3:230" x14ac:dyDescent="0.2">
      <c r="C19" s="162"/>
      <c r="D19" s="162"/>
      <c r="E19" s="163"/>
      <c r="F19" s="164"/>
      <c r="J19" s="162"/>
      <c r="K19" s="162"/>
      <c r="L19" s="163"/>
      <c r="M19" s="164"/>
      <c r="Q19" s="162"/>
      <c r="R19" s="162"/>
      <c r="S19" s="163"/>
      <c r="T19" s="164"/>
      <c r="X19" s="162"/>
      <c r="Y19" s="162"/>
      <c r="Z19" s="163"/>
      <c r="AA19" s="164"/>
      <c r="AE19" s="162"/>
      <c r="AF19" s="162"/>
      <c r="AG19" s="163"/>
      <c r="AH19" s="164"/>
      <c r="AL19" s="162"/>
      <c r="AM19" s="162"/>
      <c r="AN19" s="163"/>
      <c r="AO19" s="164"/>
      <c r="AS19" s="162"/>
      <c r="AT19" s="162"/>
      <c r="AU19" s="163"/>
      <c r="AV19" s="164"/>
      <c r="AZ19" s="162"/>
      <c r="BA19" s="162"/>
      <c r="BB19" s="163"/>
      <c r="BC19" s="164"/>
      <c r="BG19" s="162"/>
      <c r="BH19" s="162"/>
      <c r="BI19" s="163"/>
      <c r="BJ19" s="164"/>
      <c r="BN19" s="162"/>
      <c r="BO19" s="162"/>
      <c r="BP19" s="163"/>
      <c r="BQ19" s="164"/>
      <c r="BU19" s="162"/>
      <c r="BV19" s="162"/>
      <c r="BW19" s="163"/>
      <c r="BX19" s="164"/>
      <c r="CB19" s="162"/>
      <c r="CC19" s="162"/>
      <c r="CD19" s="163"/>
      <c r="CE19" s="164"/>
      <c r="CI19" s="162"/>
      <c r="CJ19" s="162"/>
      <c r="CK19" s="163"/>
      <c r="CL19" s="164"/>
      <c r="CP19" s="162"/>
      <c r="CQ19" s="162"/>
      <c r="CR19" s="163"/>
      <c r="CS19" s="164"/>
      <c r="CW19" s="162"/>
      <c r="CX19" s="162"/>
      <c r="CY19" s="163"/>
      <c r="CZ19" s="164"/>
      <c r="DD19" s="162"/>
      <c r="DE19" s="162"/>
      <c r="DF19" s="163"/>
      <c r="DG19" s="164"/>
      <c r="DK19" s="162"/>
      <c r="DL19" s="162"/>
      <c r="DM19" s="163"/>
      <c r="DN19" s="164"/>
      <c r="DR19" s="162"/>
      <c r="DS19" s="162"/>
      <c r="DT19" s="163"/>
      <c r="DU19" s="164"/>
      <c r="DY19" s="162"/>
      <c r="DZ19" s="162"/>
      <c r="EA19" s="163"/>
      <c r="EB19" s="164"/>
      <c r="EF19" s="162"/>
      <c r="EG19" s="162"/>
      <c r="EH19" s="163"/>
      <c r="EI19" s="164"/>
      <c r="EM19" s="162"/>
      <c r="EN19" s="162"/>
      <c r="EO19" s="163"/>
      <c r="EP19" s="164"/>
      <c r="ET19" s="162"/>
      <c r="EU19" s="162"/>
      <c r="EV19" s="163"/>
      <c r="EW19" s="164"/>
      <c r="FA19" s="162"/>
      <c r="FB19" s="162"/>
      <c r="FC19" s="163"/>
      <c r="FD19" s="164"/>
      <c r="FH19" s="162"/>
      <c r="FI19" s="162"/>
      <c r="FJ19" s="163"/>
      <c r="FK19" s="164"/>
      <c r="FO19" s="162"/>
      <c r="FP19" s="162"/>
      <c r="FQ19" s="163"/>
      <c r="FR19" s="164"/>
      <c r="FV19" s="162"/>
      <c r="FW19" s="162"/>
      <c r="FX19" s="163"/>
      <c r="FY19" s="164"/>
      <c r="GC19" s="162"/>
      <c r="GD19" s="162"/>
      <c r="GE19" s="163"/>
      <c r="GF19" s="164"/>
      <c r="GJ19" s="162"/>
      <c r="GK19" s="162"/>
      <c r="GL19" s="163"/>
      <c r="GM19" s="164"/>
      <c r="GQ19" s="162"/>
      <c r="GR19" s="162"/>
      <c r="GS19" s="163"/>
      <c r="GT19" s="164"/>
      <c r="GX19" s="162"/>
      <c r="GY19" s="162"/>
      <c r="GZ19" s="163"/>
      <c r="HA19" s="164"/>
      <c r="HE19" s="162"/>
      <c r="HF19" s="162"/>
      <c r="HG19" s="163"/>
      <c r="HH19" s="164"/>
      <c r="HL19" s="162"/>
      <c r="HM19" s="162"/>
      <c r="HN19" s="163"/>
      <c r="HO19" s="164"/>
      <c r="HS19" s="162"/>
      <c r="HT19" s="162"/>
      <c r="HU19" s="163"/>
      <c r="HV19" s="164"/>
    </row>
    <row r="20" spans="3:230" x14ac:dyDescent="0.2">
      <c r="C20" s="162"/>
      <c r="D20" s="162"/>
      <c r="E20" s="163"/>
      <c r="F20" s="164"/>
      <c r="J20" s="162"/>
      <c r="K20" s="162"/>
      <c r="L20" s="163"/>
      <c r="M20" s="164"/>
      <c r="Q20" s="162"/>
      <c r="R20" s="162"/>
      <c r="S20" s="163"/>
      <c r="T20" s="164"/>
      <c r="X20" s="162"/>
      <c r="Y20" s="162"/>
      <c r="Z20" s="163"/>
      <c r="AA20" s="164"/>
      <c r="AE20" s="162"/>
      <c r="AF20" s="162"/>
      <c r="AG20" s="163"/>
      <c r="AH20" s="164"/>
      <c r="AL20" s="162"/>
      <c r="AM20" s="162"/>
      <c r="AN20" s="163"/>
      <c r="AO20" s="164"/>
      <c r="AS20" s="162"/>
      <c r="AT20" s="162"/>
      <c r="AU20" s="163"/>
      <c r="AV20" s="164"/>
      <c r="AZ20" s="162"/>
      <c r="BA20" s="162"/>
      <c r="BB20" s="163"/>
      <c r="BC20" s="164"/>
      <c r="BG20" s="162"/>
      <c r="BH20" s="162"/>
      <c r="BI20" s="163"/>
      <c r="BJ20" s="164"/>
      <c r="BN20" s="162"/>
      <c r="BO20" s="162"/>
      <c r="BP20" s="163"/>
      <c r="BQ20" s="164"/>
      <c r="BU20" s="162"/>
      <c r="BV20" s="162"/>
      <c r="BW20" s="163"/>
      <c r="BX20" s="164"/>
      <c r="CB20" s="162"/>
      <c r="CC20" s="162"/>
      <c r="CD20" s="163"/>
      <c r="CE20" s="164"/>
      <c r="CI20" s="162"/>
      <c r="CJ20" s="162"/>
      <c r="CK20" s="163"/>
      <c r="CL20" s="164"/>
      <c r="CP20" s="162"/>
      <c r="CQ20" s="162"/>
      <c r="CR20" s="163"/>
      <c r="CS20" s="164"/>
      <c r="CW20" s="162"/>
      <c r="CX20" s="162"/>
      <c r="CY20" s="163"/>
      <c r="CZ20" s="164"/>
      <c r="DD20" s="162"/>
      <c r="DE20" s="162"/>
      <c r="DF20" s="163"/>
      <c r="DG20" s="164"/>
      <c r="DK20" s="162"/>
      <c r="DL20" s="162"/>
      <c r="DM20" s="163"/>
      <c r="DN20" s="164"/>
      <c r="DR20" s="162"/>
      <c r="DS20" s="162"/>
      <c r="DT20" s="163"/>
      <c r="DU20" s="164"/>
      <c r="DY20" s="162"/>
      <c r="DZ20" s="162"/>
      <c r="EA20" s="163"/>
      <c r="EB20" s="164"/>
      <c r="EF20" s="162"/>
      <c r="EG20" s="162"/>
      <c r="EH20" s="163"/>
      <c r="EI20" s="164"/>
      <c r="EM20" s="162"/>
      <c r="EN20" s="162"/>
      <c r="EO20" s="163"/>
      <c r="EP20" s="164"/>
      <c r="ET20" s="162"/>
      <c r="EU20" s="162"/>
      <c r="EV20" s="163"/>
      <c r="EW20" s="164"/>
      <c r="FA20" s="162"/>
      <c r="FB20" s="162"/>
      <c r="FC20" s="163"/>
      <c r="FD20" s="164"/>
      <c r="FH20" s="162"/>
      <c r="FI20" s="162"/>
      <c r="FJ20" s="163"/>
      <c r="FK20" s="164"/>
      <c r="FO20" s="162"/>
      <c r="FP20" s="162"/>
      <c r="FQ20" s="163"/>
      <c r="FR20" s="164"/>
      <c r="FV20" s="162"/>
      <c r="FW20" s="162"/>
      <c r="FX20" s="163"/>
      <c r="FY20" s="164"/>
      <c r="GC20" s="162"/>
      <c r="GD20" s="162"/>
      <c r="GE20" s="163"/>
      <c r="GF20" s="164"/>
      <c r="GJ20" s="162"/>
      <c r="GK20" s="162"/>
      <c r="GL20" s="163"/>
      <c r="GM20" s="164"/>
      <c r="GQ20" s="162"/>
      <c r="GR20" s="162"/>
      <c r="GS20" s="163"/>
      <c r="GT20" s="164"/>
      <c r="GX20" s="162"/>
      <c r="GY20" s="162"/>
      <c r="GZ20" s="163"/>
      <c r="HA20" s="164"/>
      <c r="HE20" s="162"/>
      <c r="HF20" s="162"/>
      <c r="HG20" s="163"/>
      <c r="HH20" s="164"/>
      <c r="HL20" s="162"/>
      <c r="HM20" s="162"/>
      <c r="HN20" s="163"/>
      <c r="HO20" s="164"/>
      <c r="HS20" s="162"/>
      <c r="HT20" s="162"/>
      <c r="HU20" s="163"/>
      <c r="HV20" s="164"/>
    </row>
    <row r="21" spans="3:230" x14ac:dyDescent="0.2">
      <c r="C21" s="162"/>
      <c r="D21" s="162"/>
      <c r="E21" s="163"/>
      <c r="F21" s="164"/>
      <c r="J21" s="162"/>
      <c r="K21" s="162"/>
      <c r="L21" s="163"/>
      <c r="M21" s="164"/>
      <c r="Q21" s="162"/>
      <c r="R21" s="162"/>
      <c r="S21" s="163"/>
      <c r="T21" s="164"/>
      <c r="X21" s="162"/>
      <c r="Y21" s="162"/>
      <c r="Z21" s="163"/>
      <c r="AA21" s="164"/>
      <c r="AE21" s="162"/>
      <c r="AF21" s="162"/>
      <c r="AG21" s="163"/>
      <c r="AH21" s="164"/>
      <c r="AL21" s="162"/>
      <c r="AM21" s="162"/>
      <c r="AN21" s="163"/>
      <c r="AO21" s="164"/>
      <c r="AS21" s="162"/>
      <c r="AT21" s="162"/>
      <c r="AU21" s="163"/>
      <c r="AV21" s="164"/>
      <c r="AZ21" s="162"/>
      <c r="BA21" s="162"/>
      <c r="BB21" s="163"/>
      <c r="BC21" s="164"/>
      <c r="BG21" s="162"/>
      <c r="BH21" s="162"/>
      <c r="BI21" s="163"/>
      <c r="BJ21" s="164"/>
      <c r="BN21" s="162"/>
      <c r="BO21" s="162"/>
      <c r="BP21" s="163"/>
      <c r="BQ21" s="164"/>
      <c r="BU21" s="162"/>
      <c r="BV21" s="162"/>
      <c r="BW21" s="163"/>
      <c r="BX21" s="164"/>
      <c r="CB21" s="162"/>
      <c r="CC21" s="162"/>
      <c r="CD21" s="163"/>
      <c r="CE21" s="164"/>
      <c r="CI21" s="162"/>
      <c r="CJ21" s="162"/>
      <c r="CK21" s="163"/>
      <c r="CL21" s="164"/>
      <c r="CP21" s="162"/>
      <c r="CQ21" s="162"/>
      <c r="CR21" s="163"/>
      <c r="CS21" s="164"/>
      <c r="CW21" s="162"/>
      <c r="CX21" s="162"/>
      <c r="CY21" s="163"/>
      <c r="CZ21" s="164"/>
      <c r="DD21" s="162"/>
      <c r="DE21" s="162"/>
      <c r="DF21" s="163"/>
      <c r="DG21" s="164"/>
      <c r="DK21" s="162"/>
      <c r="DL21" s="162"/>
      <c r="DM21" s="163"/>
      <c r="DN21" s="164"/>
      <c r="DR21" s="162"/>
      <c r="DS21" s="162"/>
      <c r="DT21" s="163"/>
      <c r="DU21" s="164"/>
      <c r="DY21" s="162"/>
      <c r="DZ21" s="162"/>
      <c r="EA21" s="163"/>
      <c r="EB21" s="164"/>
      <c r="EF21" s="162"/>
      <c r="EG21" s="162"/>
      <c r="EH21" s="163"/>
      <c r="EI21" s="164"/>
      <c r="EM21" s="162"/>
      <c r="EN21" s="162"/>
      <c r="EO21" s="163"/>
      <c r="EP21" s="164"/>
      <c r="ET21" s="162"/>
      <c r="EU21" s="162"/>
      <c r="EV21" s="163"/>
      <c r="EW21" s="164"/>
      <c r="FA21" s="162"/>
      <c r="FB21" s="162"/>
      <c r="FC21" s="163"/>
      <c r="FD21" s="164"/>
      <c r="FH21" s="162"/>
      <c r="FI21" s="162"/>
      <c r="FJ21" s="163"/>
      <c r="FK21" s="164"/>
      <c r="FO21" s="162"/>
      <c r="FP21" s="162"/>
      <c r="FQ21" s="163"/>
      <c r="FR21" s="164"/>
      <c r="FV21" s="162"/>
      <c r="FW21" s="162"/>
      <c r="FX21" s="163"/>
      <c r="FY21" s="164"/>
      <c r="GC21" s="162"/>
      <c r="GD21" s="162"/>
      <c r="GE21" s="163"/>
      <c r="GF21" s="164"/>
      <c r="GJ21" s="162"/>
      <c r="GK21" s="162"/>
      <c r="GL21" s="163"/>
      <c r="GM21" s="164"/>
      <c r="GQ21" s="162"/>
      <c r="GR21" s="162"/>
      <c r="GS21" s="163"/>
      <c r="GT21" s="164"/>
      <c r="GX21" s="162"/>
      <c r="GY21" s="162"/>
      <c r="GZ21" s="163"/>
      <c r="HA21" s="164"/>
      <c r="HE21" s="162"/>
      <c r="HF21" s="162"/>
      <c r="HG21" s="163"/>
      <c r="HH21" s="164"/>
      <c r="HL21" s="162"/>
      <c r="HM21" s="162"/>
      <c r="HN21" s="163"/>
      <c r="HO21" s="164"/>
      <c r="HS21" s="162"/>
      <c r="HT21" s="162"/>
      <c r="HU21" s="163"/>
      <c r="HV21" s="164"/>
    </row>
    <row r="22" spans="3:230" x14ac:dyDescent="0.2">
      <c r="C22" s="162"/>
      <c r="D22" s="162"/>
      <c r="E22" s="163"/>
      <c r="F22" s="164"/>
      <c r="J22" s="162"/>
      <c r="K22" s="162"/>
      <c r="L22" s="163"/>
      <c r="M22" s="164"/>
      <c r="Q22" s="162"/>
      <c r="R22" s="162"/>
      <c r="S22" s="163"/>
      <c r="T22" s="164"/>
      <c r="X22" s="162"/>
      <c r="Y22" s="162"/>
      <c r="Z22" s="163"/>
      <c r="AA22" s="164"/>
      <c r="AE22" s="162"/>
      <c r="AF22" s="162"/>
      <c r="AG22" s="163"/>
      <c r="AH22" s="164"/>
      <c r="AL22" s="162"/>
      <c r="AM22" s="162"/>
      <c r="AN22" s="163"/>
      <c r="AO22" s="164"/>
      <c r="AS22" s="162"/>
      <c r="AT22" s="162"/>
      <c r="AU22" s="163"/>
      <c r="AV22" s="164"/>
      <c r="AZ22" s="162"/>
      <c r="BA22" s="162"/>
      <c r="BB22" s="163"/>
      <c r="BC22" s="164"/>
      <c r="BG22" s="162"/>
      <c r="BH22" s="162"/>
      <c r="BI22" s="163"/>
      <c r="BJ22" s="164"/>
      <c r="BN22" s="162"/>
      <c r="BO22" s="162"/>
      <c r="BP22" s="163"/>
      <c r="BQ22" s="164"/>
      <c r="BU22" s="162"/>
      <c r="BV22" s="162"/>
      <c r="BW22" s="163"/>
      <c r="BX22" s="164"/>
      <c r="CB22" s="162"/>
      <c r="CC22" s="162"/>
      <c r="CD22" s="163"/>
      <c r="CE22" s="164"/>
      <c r="CI22" s="162"/>
      <c r="CJ22" s="162"/>
      <c r="CK22" s="163"/>
      <c r="CL22" s="164"/>
      <c r="CP22" s="162"/>
      <c r="CQ22" s="162"/>
      <c r="CR22" s="163"/>
      <c r="CS22" s="164"/>
      <c r="CW22" s="162"/>
      <c r="CX22" s="162"/>
      <c r="CY22" s="163"/>
      <c r="CZ22" s="164"/>
      <c r="DD22" s="162"/>
      <c r="DE22" s="162"/>
      <c r="DF22" s="163"/>
      <c r="DG22" s="164"/>
      <c r="DK22" s="162"/>
      <c r="DL22" s="162"/>
      <c r="DM22" s="163"/>
      <c r="DN22" s="164"/>
      <c r="DR22" s="162"/>
      <c r="DS22" s="162"/>
      <c r="DT22" s="163"/>
      <c r="DU22" s="164"/>
      <c r="DY22" s="162"/>
      <c r="DZ22" s="162"/>
      <c r="EA22" s="163"/>
      <c r="EB22" s="164"/>
      <c r="EF22" s="162"/>
      <c r="EG22" s="162"/>
      <c r="EH22" s="163"/>
      <c r="EI22" s="164"/>
      <c r="EM22" s="162"/>
      <c r="EN22" s="162"/>
      <c r="EO22" s="163"/>
      <c r="EP22" s="164"/>
      <c r="ET22" s="162"/>
      <c r="EU22" s="162"/>
      <c r="EV22" s="163"/>
      <c r="EW22" s="164"/>
      <c r="FA22" s="162"/>
      <c r="FB22" s="162"/>
      <c r="FC22" s="163"/>
      <c r="FD22" s="164"/>
      <c r="FH22" s="162"/>
      <c r="FI22" s="162"/>
      <c r="FJ22" s="163"/>
      <c r="FK22" s="164"/>
      <c r="FO22" s="162"/>
      <c r="FP22" s="162"/>
      <c r="FQ22" s="163"/>
      <c r="FR22" s="164"/>
      <c r="FV22" s="162"/>
      <c r="FW22" s="162"/>
      <c r="FX22" s="163"/>
      <c r="FY22" s="164"/>
      <c r="GC22" s="162"/>
      <c r="GD22" s="162"/>
      <c r="GE22" s="163"/>
      <c r="GF22" s="164"/>
      <c r="GJ22" s="162"/>
      <c r="GK22" s="162"/>
      <c r="GL22" s="163"/>
      <c r="GM22" s="164"/>
      <c r="GQ22" s="162"/>
      <c r="GR22" s="162"/>
      <c r="GS22" s="163"/>
      <c r="GT22" s="164"/>
      <c r="GX22" s="162"/>
      <c r="GY22" s="162"/>
      <c r="GZ22" s="163"/>
      <c r="HA22" s="164"/>
      <c r="HE22" s="162"/>
      <c r="HF22" s="162"/>
      <c r="HG22" s="163"/>
      <c r="HH22" s="164"/>
      <c r="HL22" s="162"/>
      <c r="HM22" s="162"/>
      <c r="HN22" s="163"/>
      <c r="HO22" s="164"/>
      <c r="HS22" s="162"/>
      <c r="HT22" s="162"/>
      <c r="HU22" s="163"/>
      <c r="HV22" s="164"/>
    </row>
    <row r="23" spans="3:230" x14ac:dyDescent="0.2">
      <c r="C23" s="162"/>
      <c r="D23" s="162"/>
      <c r="E23" s="163"/>
      <c r="F23" s="164"/>
      <c r="J23" s="162"/>
      <c r="K23" s="162"/>
      <c r="L23" s="163"/>
      <c r="M23" s="164"/>
      <c r="Q23" s="162"/>
      <c r="R23" s="162"/>
      <c r="S23" s="163"/>
      <c r="T23" s="164"/>
      <c r="X23" s="162"/>
      <c r="Y23" s="162"/>
      <c r="Z23" s="163"/>
      <c r="AA23" s="164"/>
      <c r="AE23" s="162"/>
      <c r="AF23" s="162"/>
      <c r="AG23" s="163"/>
      <c r="AH23" s="164"/>
      <c r="AL23" s="162"/>
      <c r="AM23" s="162"/>
      <c r="AN23" s="163"/>
      <c r="AO23" s="164"/>
      <c r="AS23" s="162"/>
      <c r="AT23" s="162"/>
      <c r="AU23" s="163"/>
      <c r="AV23" s="164"/>
      <c r="AZ23" s="162"/>
      <c r="BA23" s="162"/>
      <c r="BB23" s="163"/>
      <c r="BC23" s="164"/>
      <c r="BG23" s="162"/>
      <c r="BH23" s="162"/>
      <c r="BI23" s="163"/>
      <c r="BJ23" s="164"/>
      <c r="BN23" s="162"/>
      <c r="BO23" s="162"/>
      <c r="BP23" s="163"/>
      <c r="BQ23" s="164"/>
      <c r="BU23" s="162"/>
      <c r="BV23" s="162"/>
      <c r="BW23" s="163"/>
      <c r="BX23" s="164"/>
      <c r="CB23" s="162"/>
      <c r="CC23" s="162"/>
      <c r="CD23" s="163"/>
      <c r="CE23" s="164"/>
      <c r="CI23" s="162"/>
      <c r="CJ23" s="162"/>
      <c r="CK23" s="163"/>
      <c r="CL23" s="164"/>
      <c r="CP23" s="162"/>
      <c r="CQ23" s="162"/>
      <c r="CR23" s="163"/>
      <c r="CS23" s="164"/>
      <c r="CW23" s="162"/>
      <c r="CX23" s="162"/>
      <c r="CY23" s="163"/>
      <c r="CZ23" s="164"/>
      <c r="DD23" s="162"/>
      <c r="DE23" s="162"/>
      <c r="DF23" s="163"/>
      <c r="DG23" s="164"/>
      <c r="DK23" s="162"/>
      <c r="DL23" s="162"/>
      <c r="DM23" s="163"/>
      <c r="DN23" s="164"/>
      <c r="DR23" s="162"/>
      <c r="DS23" s="162"/>
      <c r="DT23" s="163"/>
      <c r="DU23" s="164"/>
      <c r="DY23" s="162"/>
      <c r="DZ23" s="162"/>
      <c r="EA23" s="163"/>
      <c r="EB23" s="164"/>
      <c r="EF23" s="162"/>
      <c r="EG23" s="162"/>
      <c r="EH23" s="163"/>
      <c r="EI23" s="164"/>
      <c r="EM23" s="162"/>
      <c r="EN23" s="162"/>
      <c r="EO23" s="163"/>
      <c r="EP23" s="164"/>
      <c r="ET23" s="162"/>
      <c r="EU23" s="162"/>
      <c r="EV23" s="163"/>
      <c r="EW23" s="164"/>
      <c r="FA23" s="162"/>
      <c r="FB23" s="162"/>
      <c r="FC23" s="163"/>
      <c r="FD23" s="164"/>
      <c r="FH23" s="162"/>
      <c r="FI23" s="162"/>
      <c r="FJ23" s="163"/>
      <c r="FK23" s="164"/>
      <c r="FO23" s="162"/>
      <c r="FP23" s="162"/>
      <c r="FQ23" s="163"/>
      <c r="FR23" s="164"/>
      <c r="FV23" s="162"/>
      <c r="FW23" s="162"/>
      <c r="FX23" s="163"/>
      <c r="FY23" s="164"/>
      <c r="GC23" s="162"/>
      <c r="GD23" s="162"/>
      <c r="GE23" s="163"/>
      <c r="GF23" s="164"/>
      <c r="GJ23" s="162"/>
      <c r="GK23" s="162"/>
      <c r="GL23" s="163"/>
      <c r="GM23" s="164"/>
      <c r="GQ23" s="162"/>
      <c r="GR23" s="162"/>
      <c r="GS23" s="163"/>
      <c r="GT23" s="164"/>
      <c r="GX23" s="162"/>
      <c r="GY23" s="162"/>
      <c r="GZ23" s="163"/>
      <c r="HA23" s="164"/>
      <c r="HE23" s="162"/>
      <c r="HF23" s="162"/>
      <c r="HG23" s="163"/>
      <c r="HH23" s="164"/>
      <c r="HL23" s="162"/>
      <c r="HM23" s="162"/>
      <c r="HN23" s="163"/>
      <c r="HO23" s="164"/>
      <c r="HS23" s="162"/>
      <c r="HT23" s="162"/>
      <c r="HU23" s="163"/>
      <c r="HV23" s="164"/>
    </row>
    <row r="24" spans="3:230" x14ac:dyDescent="0.2">
      <c r="C24" s="162"/>
      <c r="D24" s="162"/>
      <c r="E24" s="163"/>
      <c r="F24" s="164"/>
      <c r="J24" s="162"/>
      <c r="K24" s="162"/>
      <c r="L24" s="163"/>
      <c r="M24" s="164"/>
      <c r="Q24" s="162"/>
      <c r="R24" s="162"/>
      <c r="S24" s="163"/>
      <c r="T24" s="164"/>
      <c r="X24" s="162"/>
      <c r="Y24" s="162"/>
      <c r="Z24" s="163"/>
      <c r="AA24" s="164"/>
      <c r="AE24" s="162"/>
      <c r="AF24" s="162"/>
      <c r="AG24" s="163"/>
      <c r="AH24" s="164"/>
      <c r="AL24" s="162"/>
      <c r="AM24" s="162"/>
      <c r="AN24" s="163"/>
      <c r="AO24" s="164"/>
      <c r="AS24" s="162"/>
      <c r="AT24" s="162"/>
      <c r="AU24" s="163"/>
      <c r="AV24" s="164"/>
      <c r="AZ24" s="162"/>
      <c r="BA24" s="162"/>
      <c r="BB24" s="163"/>
      <c r="BC24" s="164"/>
      <c r="BG24" s="162"/>
      <c r="BH24" s="162"/>
      <c r="BI24" s="163"/>
      <c r="BJ24" s="164"/>
      <c r="BN24" s="162"/>
      <c r="BO24" s="162"/>
      <c r="BP24" s="163"/>
      <c r="BQ24" s="164"/>
      <c r="BU24" s="162"/>
      <c r="BV24" s="162"/>
      <c r="BW24" s="163"/>
      <c r="BX24" s="164"/>
      <c r="CB24" s="162"/>
      <c r="CC24" s="162"/>
      <c r="CD24" s="163"/>
      <c r="CE24" s="164"/>
      <c r="CI24" s="162"/>
      <c r="CJ24" s="162"/>
      <c r="CK24" s="163"/>
      <c r="CL24" s="164"/>
      <c r="CP24" s="162"/>
      <c r="CQ24" s="162"/>
      <c r="CR24" s="163"/>
      <c r="CS24" s="164"/>
      <c r="CW24" s="162"/>
      <c r="CX24" s="162"/>
      <c r="CY24" s="163"/>
      <c r="CZ24" s="164"/>
      <c r="DD24" s="162"/>
      <c r="DE24" s="162"/>
      <c r="DF24" s="163"/>
      <c r="DG24" s="164"/>
      <c r="DK24" s="162"/>
      <c r="DL24" s="162"/>
      <c r="DM24" s="163"/>
      <c r="DN24" s="164"/>
      <c r="DR24" s="162"/>
      <c r="DS24" s="162"/>
      <c r="DT24" s="163"/>
      <c r="DU24" s="164"/>
      <c r="DY24" s="162"/>
      <c r="DZ24" s="162"/>
      <c r="EA24" s="163"/>
      <c r="EB24" s="164"/>
      <c r="EF24" s="162"/>
      <c r="EG24" s="162"/>
      <c r="EH24" s="163"/>
      <c r="EI24" s="164"/>
      <c r="EM24" s="162"/>
      <c r="EN24" s="162"/>
      <c r="EO24" s="163"/>
      <c r="EP24" s="164"/>
      <c r="ET24" s="162"/>
      <c r="EU24" s="162"/>
      <c r="EV24" s="163"/>
      <c r="EW24" s="164"/>
      <c r="FA24" s="162"/>
      <c r="FB24" s="162"/>
      <c r="FC24" s="163"/>
      <c r="FD24" s="164"/>
      <c r="FH24" s="162"/>
      <c r="FI24" s="162"/>
      <c r="FJ24" s="163"/>
      <c r="FK24" s="164"/>
      <c r="FO24" s="162"/>
      <c r="FP24" s="162"/>
      <c r="FQ24" s="163"/>
      <c r="FR24" s="164"/>
      <c r="FV24" s="162"/>
      <c r="FW24" s="162"/>
      <c r="FX24" s="163"/>
      <c r="FY24" s="164"/>
      <c r="GC24" s="162"/>
      <c r="GD24" s="162"/>
      <c r="GE24" s="163"/>
      <c r="GF24" s="164"/>
      <c r="GJ24" s="162"/>
      <c r="GK24" s="162"/>
      <c r="GL24" s="163"/>
      <c r="GM24" s="164"/>
      <c r="GQ24" s="162"/>
      <c r="GR24" s="162"/>
      <c r="GS24" s="163"/>
      <c r="GT24" s="164"/>
      <c r="GX24" s="162"/>
      <c r="GY24" s="162"/>
      <c r="GZ24" s="163"/>
      <c r="HA24" s="164"/>
      <c r="HE24" s="162"/>
      <c r="HF24" s="162"/>
      <c r="HG24" s="163"/>
      <c r="HH24" s="164"/>
      <c r="HL24" s="162"/>
      <c r="HM24" s="162"/>
      <c r="HN24" s="163"/>
      <c r="HO24" s="164"/>
      <c r="HS24" s="162"/>
      <c r="HT24" s="162"/>
      <c r="HU24" s="163"/>
      <c r="HV24" s="164"/>
    </row>
    <row r="25" spans="3:230" x14ac:dyDescent="0.2">
      <c r="C25" s="162"/>
      <c r="D25" s="162"/>
      <c r="E25" s="163"/>
      <c r="F25" s="164"/>
      <c r="J25" s="162"/>
      <c r="K25" s="162"/>
      <c r="L25" s="163"/>
      <c r="M25" s="164"/>
      <c r="Q25" s="162"/>
      <c r="R25" s="162"/>
      <c r="S25" s="163"/>
      <c r="T25" s="164"/>
      <c r="X25" s="162"/>
      <c r="Y25" s="162"/>
      <c r="Z25" s="163"/>
      <c r="AA25" s="164"/>
      <c r="AE25" s="162"/>
      <c r="AF25" s="162"/>
      <c r="AG25" s="163"/>
      <c r="AH25" s="164"/>
      <c r="AL25" s="162"/>
      <c r="AM25" s="162"/>
      <c r="AN25" s="163"/>
      <c r="AO25" s="164"/>
      <c r="AS25" s="162"/>
      <c r="AT25" s="162"/>
      <c r="AU25" s="163"/>
      <c r="AV25" s="164"/>
      <c r="AZ25" s="162"/>
      <c r="BA25" s="162"/>
      <c r="BB25" s="163"/>
      <c r="BC25" s="164"/>
      <c r="BG25" s="162"/>
      <c r="BH25" s="162"/>
      <c r="BI25" s="163"/>
      <c r="BJ25" s="164"/>
      <c r="BN25" s="162"/>
      <c r="BO25" s="162"/>
      <c r="BP25" s="163"/>
      <c r="BQ25" s="164"/>
      <c r="BU25" s="162"/>
      <c r="BV25" s="162"/>
      <c r="BW25" s="163"/>
      <c r="BX25" s="164"/>
      <c r="CB25" s="162"/>
      <c r="CC25" s="162"/>
      <c r="CD25" s="163"/>
      <c r="CE25" s="164"/>
      <c r="CI25" s="162"/>
      <c r="CJ25" s="162"/>
      <c r="CK25" s="163"/>
      <c r="CL25" s="164"/>
      <c r="CP25" s="162"/>
      <c r="CQ25" s="162"/>
      <c r="CR25" s="163"/>
      <c r="CS25" s="164"/>
      <c r="CW25" s="162"/>
      <c r="CX25" s="162"/>
      <c r="CY25" s="163"/>
      <c r="CZ25" s="164"/>
      <c r="DD25" s="162"/>
      <c r="DE25" s="162"/>
      <c r="DF25" s="163"/>
      <c r="DG25" s="164"/>
      <c r="DK25" s="162"/>
      <c r="DL25" s="162"/>
      <c r="DM25" s="163"/>
      <c r="DN25" s="164"/>
      <c r="DR25" s="162"/>
      <c r="DS25" s="162"/>
      <c r="DT25" s="163"/>
      <c r="DU25" s="164"/>
      <c r="DY25" s="162"/>
      <c r="DZ25" s="162"/>
      <c r="EA25" s="163"/>
      <c r="EB25" s="164"/>
      <c r="EF25" s="162"/>
      <c r="EG25" s="162"/>
      <c r="EH25" s="163"/>
      <c r="EI25" s="164"/>
      <c r="EM25" s="162"/>
      <c r="EN25" s="162"/>
      <c r="EO25" s="163"/>
      <c r="EP25" s="164"/>
      <c r="ET25" s="162"/>
      <c r="EU25" s="162"/>
      <c r="EV25" s="163"/>
      <c r="EW25" s="164"/>
      <c r="FA25" s="162"/>
      <c r="FB25" s="162"/>
      <c r="FC25" s="163"/>
      <c r="FD25" s="164"/>
      <c r="FH25" s="162"/>
      <c r="FI25" s="162"/>
      <c r="FJ25" s="163"/>
      <c r="FK25" s="164"/>
      <c r="FO25" s="162"/>
      <c r="FP25" s="162"/>
      <c r="FQ25" s="163"/>
      <c r="FR25" s="164"/>
      <c r="FV25" s="162"/>
      <c r="FW25" s="162"/>
      <c r="FX25" s="163"/>
      <c r="FY25" s="164"/>
      <c r="GC25" s="162"/>
      <c r="GD25" s="162"/>
      <c r="GE25" s="163"/>
      <c r="GF25" s="164"/>
      <c r="GJ25" s="162"/>
      <c r="GK25" s="162"/>
      <c r="GL25" s="163"/>
      <c r="GM25" s="164"/>
      <c r="GQ25" s="162"/>
      <c r="GR25" s="162"/>
      <c r="GS25" s="163"/>
      <c r="GT25" s="164"/>
      <c r="GX25" s="162"/>
      <c r="GY25" s="162"/>
      <c r="GZ25" s="163"/>
      <c r="HA25" s="164"/>
      <c r="HE25" s="162"/>
      <c r="HF25" s="162"/>
      <c r="HG25" s="163"/>
      <c r="HH25" s="164"/>
      <c r="HL25" s="162"/>
      <c r="HM25" s="162"/>
      <c r="HN25" s="163"/>
      <c r="HO25" s="164"/>
      <c r="HS25" s="162"/>
      <c r="HT25" s="162"/>
      <c r="HU25" s="163"/>
      <c r="HV25" s="164"/>
    </row>
    <row r="26" spans="3:230" x14ac:dyDescent="0.2">
      <c r="C26" s="162"/>
      <c r="D26" s="162"/>
      <c r="E26" s="163"/>
      <c r="F26" s="164"/>
      <c r="J26" s="162"/>
      <c r="K26" s="162"/>
      <c r="L26" s="163"/>
      <c r="M26" s="164"/>
      <c r="Q26" s="162"/>
      <c r="R26" s="162"/>
      <c r="S26" s="163"/>
      <c r="T26" s="164"/>
      <c r="X26" s="162"/>
      <c r="Y26" s="162"/>
      <c r="Z26" s="163"/>
      <c r="AA26" s="164"/>
      <c r="AE26" s="162"/>
      <c r="AF26" s="162"/>
      <c r="AG26" s="163"/>
      <c r="AH26" s="164"/>
      <c r="AL26" s="162"/>
      <c r="AM26" s="162"/>
      <c r="AN26" s="163"/>
      <c r="AO26" s="164"/>
      <c r="AS26" s="162"/>
      <c r="AT26" s="162"/>
      <c r="AU26" s="163"/>
      <c r="AV26" s="164"/>
      <c r="AZ26" s="162"/>
      <c r="BA26" s="162"/>
      <c r="BB26" s="163"/>
      <c r="BC26" s="164"/>
      <c r="BG26" s="162"/>
      <c r="BH26" s="162"/>
      <c r="BI26" s="163"/>
      <c r="BJ26" s="164"/>
      <c r="BN26" s="162"/>
      <c r="BO26" s="162"/>
      <c r="BP26" s="163"/>
      <c r="BQ26" s="164"/>
      <c r="BU26" s="162"/>
      <c r="BV26" s="162"/>
      <c r="BW26" s="163"/>
      <c r="BX26" s="164"/>
      <c r="CB26" s="162"/>
      <c r="CC26" s="162"/>
      <c r="CD26" s="163"/>
      <c r="CE26" s="164"/>
      <c r="CI26" s="162"/>
      <c r="CJ26" s="162"/>
      <c r="CK26" s="163"/>
      <c r="CL26" s="164"/>
      <c r="CP26" s="162"/>
      <c r="CQ26" s="162"/>
      <c r="CR26" s="163"/>
      <c r="CS26" s="164"/>
      <c r="CW26" s="162"/>
      <c r="CX26" s="162"/>
      <c r="CY26" s="163"/>
      <c r="CZ26" s="164"/>
      <c r="DD26" s="162"/>
      <c r="DE26" s="162"/>
      <c r="DF26" s="163"/>
      <c r="DG26" s="164"/>
      <c r="DK26" s="162"/>
      <c r="DL26" s="162"/>
      <c r="DM26" s="163"/>
      <c r="DN26" s="164"/>
      <c r="DR26" s="162"/>
      <c r="DS26" s="162"/>
      <c r="DT26" s="163"/>
      <c r="DU26" s="164"/>
      <c r="DY26" s="162"/>
      <c r="DZ26" s="162"/>
      <c r="EA26" s="163"/>
      <c r="EB26" s="164"/>
      <c r="EF26" s="162"/>
      <c r="EG26" s="162"/>
      <c r="EH26" s="163"/>
      <c r="EI26" s="164"/>
      <c r="EM26" s="162"/>
      <c r="EN26" s="162"/>
      <c r="EO26" s="163"/>
      <c r="EP26" s="164"/>
      <c r="ET26" s="162"/>
      <c r="EU26" s="162"/>
      <c r="EV26" s="163"/>
      <c r="EW26" s="164"/>
      <c r="FA26" s="162"/>
      <c r="FB26" s="162"/>
      <c r="FC26" s="163"/>
      <c r="FD26" s="164"/>
      <c r="FH26" s="162"/>
      <c r="FI26" s="162"/>
      <c r="FJ26" s="163"/>
      <c r="FK26" s="164"/>
      <c r="FO26" s="162"/>
      <c r="FP26" s="162"/>
      <c r="FQ26" s="163"/>
      <c r="FR26" s="164"/>
      <c r="FV26" s="162"/>
      <c r="FW26" s="162"/>
      <c r="FX26" s="163"/>
      <c r="FY26" s="164"/>
      <c r="GC26" s="162"/>
      <c r="GD26" s="162"/>
      <c r="GE26" s="163"/>
      <c r="GF26" s="164"/>
      <c r="GJ26" s="162"/>
      <c r="GK26" s="162"/>
      <c r="GL26" s="163"/>
      <c r="GM26" s="164"/>
      <c r="GQ26" s="162"/>
      <c r="GR26" s="162"/>
      <c r="GS26" s="163"/>
      <c r="GT26" s="164"/>
      <c r="GX26" s="162"/>
      <c r="GY26" s="162"/>
      <c r="GZ26" s="163"/>
      <c r="HA26" s="164"/>
      <c r="HE26" s="162"/>
      <c r="HF26" s="162"/>
      <c r="HG26" s="163"/>
      <c r="HH26" s="164"/>
      <c r="HL26" s="162"/>
      <c r="HM26" s="162"/>
      <c r="HN26" s="163"/>
      <c r="HO26" s="164"/>
      <c r="HS26" s="162"/>
      <c r="HT26" s="162"/>
      <c r="HU26" s="163"/>
      <c r="HV26" s="164"/>
    </row>
    <row r="27" spans="3:230" x14ac:dyDescent="0.2">
      <c r="C27" s="162"/>
      <c r="D27" s="162"/>
      <c r="E27" s="163"/>
      <c r="F27" s="164"/>
      <c r="J27" s="162"/>
      <c r="K27" s="162"/>
      <c r="L27" s="163"/>
      <c r="M27" s="164"/>
      <c r="Q27" s="162"/>
      <c r="R27" s="162"/>
      <c r="S27" s="163"/>
      <c r="T27" s="164"/>
      <c r="X27" s="162"/>
      <c r="Y27" s="162"/>
      <c r="Z27" s="163"/>
      <c r="AA27" s="164"/>
      <c r="AE27" s="162"/>
      <c r="AF27" s="162"/>
      <c r="AG27" s="163"/>
      <c r="AH27" s="164"/>
      <c r="AL27" s="162"/>
      <c r="AM27" s="162"/>
      <c r="AN27" s="163"/>
      <c r="AO27" s="164"/>
      <c r="AS27" s="162"/>
      <c r="AT27" s="162"/>
      <c r="AU27" s="163"/>
      <c r="AV27" s="164"/>
      <c r="AZ27" s="162"/>
      <c r="BA27" s="162"/>
      <c r="BB27" s="163"/>
      <c r="BC27" s="164"/>
      <c r="BG27" s="162"/>
      <c r="BH27" s="162"/>
      <c r="BI27" s="163"/>
      <c r="BJ27" s="164"/>
      <c r="BN27" s="162"/>
      <c r="BO27" s="162"/>
      <c r="BP27" s="163"/>
      <c r="BQ27" s="164"/>
      <c r="BU27" s="162"/>
      <c r="BV27" s="162"/>
      <c r="BW27" s="163"/>
      <c r="BX27" s="164"/>
      <c r="CB27" s="162"/>
      <c r="CC27" s="162"/>
      <c r="CD27" s="163"/>
      <c r="CE27" s="164"/>
      <c r="CI27" s="162"/>
      <c r="CJ27" s="162"/>
      <c r="CK27" s="163"/>
      <c r="CL27" s="164"/>
      <c r="CP27" s="162"/>
      <c r="CQ27" s="162"/>
      <c r="CR27" s="163"/>
      <c r="CS27" s="164"/>
      <c r="CW27" s="162"/>
      <c r="CX27" s="162"/>
      <c r="CY27" s="163"/>
      <c r="CZ27" s="164"/>
      <c r="DD27" s="162"/>
      <c r="DE27" s="162"/>
      <c r="DF27" s="163"/>
      <c r="DG27" s="164"/>
      <c r="DK27" s="162"/>
      <c r="DL27" s="162"/>
      <c r="DM27" s="163"/>
      <c r="DN27" s="164"/>
      <c r="DR27" s="162"/>
      <c r="DS27" s="162"/>
      <c r="DT27" s="163"/>
      <c r="DU27" s="164"/>
      <c r="DY27" s="162"/>
      <c r="DZ27" s="162"/>
      <c r="EA27" s="163"/>
      <c r="EB27" s="164"/>
      <c r="EF27" s="162"/>
      <c r="EG27" s="162"/>
      <c r="EH27" s="163"/>
      <c r="EI27" s="164"/>
      <c r="EM27" s="162"/>
      <c r="EN27" s="162"/>
      <c r="EO27" s="163"/>
      <c r="EP27" s="164"/>
      <c r="ET27" s="162"/>
      <c r="EU27" s="162"/>
      <c r="EV27" s="163"/>
      <c r="EW27" s="164"/>
      <c r="FA27" s="162"/>
      <c r="FB27" s="162"/>
      <c r="FC27" s="163"/>
      <c r="FD27" s="164"/>
      <c r="FH27" s="162"/>
      <c r="FI27" s="162"/>
      <c r="FJ27" s="163"/>
      <c r="FK27" s="164"/>
      <c r="FO27" s="162"/>
      <c r="FP27" s="162"/>
      <c r="FQ27" s="163"/>
      <c r="FR27" s="164"/>
      <c r="FV27" s="162"/>
      <c r="FW27" s="162"/>
      <c r="FX27" s="163"/>
      <c r="FY27" s="164"/>
      <c r="GC27" s="162"/>
      <c r="GD27" s="162"/>
      <c r="GE27" s="163"/>
      <c r="GF27" s="164"/>
      <c r="GJ27" s="162"/>
      <c r="GK27" s="162"/>
      <c r="GL27" s="163"/>
      <c r="GM27" s="164"/>
      <c r="GQ27" s="162"/>
      <c r="GR27" s="162"/>
      <c r="GS27" s="163"/>
      <c r="GT27" s="164"/>
      <c r="GX27" s="162"/>
      <c r="GY27" s="162"/>
      <c r="GZ27" s="163"/>
      <c r="HA27" s="164"/>
      <c r="HE27" s="162"/>
      <c r="HF27" s="162"/>
      <c r="HG27" s="163"/>
      <c r="HH27" s="164"/>
      <c r="HL27" s="162"/>
      <c r="HM27" s="162"/>
      <c r="HN27" s="163"/>
      <c r="HO27" s="164"/>
      <c r="HS27" s="162"/>
      <c r="HT27" s="162"/>
      <c r="HU27" s="163"/>
      <c r="HV27" s="164"/>
    </row>
    <row r="28" spans="3:230" x14ac:dyDescent="0.2">
      <c r="C28" s="162"/>
      <c r="D28" s="162"/>
      <c r="E28" s="163"/>
      <c r="F28" s="164"/>
      <c r="J28" s="162"/>
      <c r="K28" s="162"/>
      <c r="L28" s="163"/>
      <c r="M28" s="164"/>
      <c r="Q28" s="162"/>
      <c r="R28" s="162"/>
      <c r="S28" s="163"/>
      <c r="T28" s="164"/>
      <c r="X28" s="162"/>
      <c r="Y28" s="162"/>
      <c r="Z28" s="163"/>
      <c r="AA28" s="164"/>
      <c r="AE28" s="162"/>
      <c r="AF28" s="162"/>
      <c r="AG28" s="163"/>
      <c r="AH28" s="164"/>
      <c r="AL28" s="162"/>
      <c r="AM28" s="162"/>
      <c r="AN28" s="163"/>
      <c r="AO28" s="164"/>
      <c r="AS28" s="162"/>
      <c r="AT28" s="162"/>
      <c r="AU28" s="163"/>
      <c r="AV28" s="164"/>
      <c r="AZ28" s="162"/>
      <c r="BA28" s="162"/>
      <c r="BB28" s="163"/>
      <c r="BC28" s="164"/>
      <c r="BG28" s="162"/>
      <c r="BH28" s="162"/>
      <c r="BI28" s="163"/>
      <c r="BJ28" s="164"/>
      <c r="BN28" s="162"/>
      <c r="BO28" s="162"/>
      <c r="BP28" s="163"/>
      <c r="BQ28" s="164"/>
      <c r="BU28" s="162"/>
      <c r="BV28" s="162"/>
      <c r="BW28" s="163"/>
      <c r="BX28" s="164"/>
      <c r="CB28" s="162"/>
      <c r="CC28" s="162"/>
      <c r="CD28" s="163"/>
      <c r="CE28" s="164"/>
      <c r="CI28" s="162"/>
      <c r="CJ28" s="162"/>
      <c r="CK28" s="163"/>
      <c r="CL28" s="164"/>
      <c r="CP28" s="162"/>
      <c r="CQ28" s="162"/>
      <c r="CR28" s="163"/>
      <c r="CS28" s="164"/>
      <c r="CW28" s="162"/>
      <c r="CX28" s="162"/>
      <c r="CY28" s="163"/>
      <c r="CZ28" s="164"/>
      <c r="DD28" s="162"/>
      <c r="DE28" s="162"/>
      <c r="DF28" s="163"/>
      <c r="DG28" s="164"/>
      <c r="DK28" s="162"/>
      <c r="DL28" s="162"/>
      <c r="DM28" s="163"/>
      <c r="DN28" s="164"/>
      <c r="DR28" s="162"/>
      <c r="DS28" s="162"/>
      <c r="DT28" s="163"/>
      <c r="DU28" s="164"/>
      <c r="DY28" s="162"/>
      <c r="DZ28" s="162"/>
      <c r="EA28" s="163"/>
      <c r="EB28" s="164"/>
      <c r="EF28" s="162"/>
      <c r="EG28" s="162"/>
      <c r="EH28" s="163"/>
      <c r="EI28" s="164"/>
      <c r="EM28" s="162"/>
      <c r="EN28" s="162"/>
      <c r="EO28" s="163"/>
      <c r="EP28" s="164"/>
      <c r="ET28" s="162"/>
      <c r="EU28" s="162"/>
      <c r="EV28" s="163"/>
      <c r="EW28" s="164"/>
      <c r="FA28" s="162"/>
      <c r="FB28" s="162"/>
      <c r="FC28" s="163"/>
      <c r="FD28" s="164"/>
      <c r="FH28" s="162"/>
      <c r="FI28" s="162"/>
      <c r="FJ28" s="163"/>
      <c r="FK28" s="164"/>
      <c r="FO28" s="162"/>
      <c r="FP28" s="162"/>
      <c r="FQ28" s="163"/>
      <c r="FR28" s="164"/>
      <c r="FV28" s="162"/>
      <c r="FW28" s="162"/>
      <c r="FX28" s="163"/>
      <c r="FY28" s="164"/>
      <c r="GC28" s="162"/>
      <c r="GD28" s="162"/>
      <c r="GE28" s="163"/>
      <c r="GF28" s="164"/>
      <c r="GJ28" s="162"/>
      <c r="GK28" s="162"/>
      <c r="GL28" s="163"/>
      <c r="GM28" s="164"/>
      <c r="GQ28" s="162"/>
      <c r="GR28" s="162"/>
      <c r="GS28" s="163"/>
      <c r="GT28" s="164"/>
      <c r="GX28" s="162"/>
      <c r="GY28" s="162"/>
      <c r="GZ28" s="163"/>
      <c r="HA28" s="164"/>
      <c r="HE28" s="162"/>
      <c r="HF28" s="162"/>
      <c r="HG28" s="163"/>
      <c r="HH28" s="164"/>
      <c r="HL28" s="162"/>
      <c r="HM28" s="162"/>
      <c r="HN28" s="163"/>
      <c r="HO28" s="164"/>
      <c r="HS28" s="162"/>
      <c r="HT28" s="162"/>
      <c r="HU28" s="163"/>
      <c r="HV28" s="164"/>
    </row>
    <row r="29" spans="3:230" x14ac:dyDescent="0.2">
      <c r="C29" s="162"/>
      <c r="D29" s="162"/>
      <c r="E29" s="163"/>
      <c r="F29" s="164"/>
      <c r="J29" s="162"/>
      <c r="K29" s="162"/>
      <c r="L29" s="163"/>
      <c r="M29" s="164"/>
      <c r="Q29" s="162"/>
      <c r="R29" s="162"/>
      <c r="S29" s="163"/>
      <c r="T29" s="164"/>
      <c r="X29" s="162"/>
      <c r="Y29" s="162"/>
      <c r="Z29" s="163"/>
      <c r="AA29" s="164"/>
      <c r="AE29" s="162"/>
      <c r="AF29" s="162"/>
      <c r="AG29" s="163"/>
      <c r="AH29" s="164"/>
      <c r="AL29" s="162"/>
      <c r="AM29" s="162"/>
      <c r="AN29" s="163"/>
      <c r="AO29" s="164"/>
      <c r="AS29" s="162"/>
      <c r="AT29" s="162"/>
      <c r="AU29" s="163"/>
      <c r="AV29" s="164"/>
      <c r="AZ29" s="162"/>
      <c r="BA29" s="162"/>
      <c r="BB29" s="163"/>
      <c r="BC29" s="164"/>
      <c r="BG29" s="162"/>
      <c r="BH29" s="162"/>
      <c r="BI29" s="163"/>
      <c r="BJ29" s="164"/>
      <c r="BN29" s="162"/>
      <c r="BO29" s="162"/>
      <c r="BP29" s="163"/>
      <c r="BQ29" s="164"/>
      <c r="BU29" s="162"/>
      <c r="BV29" s="162"/>
      <c r="BW29" s="163"/>
      <c r="BX29" s="164"/>
      <c r="CB29" s="162"/>
      <c r="CC29" s="162"/>
      <c r="CD29" s="163"/>
      <c r="CE29" s="164"/>
      <c r="CI29" s="162"/>
      <c r="CJ29" s="162"/>
      <c r="CK29" s="163"/>
      <c r="CL29" s="164"/>
      <c r="CP29" s="162"/>
      <c r="CQ29" s="162"/>
      <c r="CR29" s="163"/>
      <c r="CS29" s="164"/>
      <c r="CW29" s="162"/>
      <c r="CX29" s="162"/>
      <c r="CY29" s="163"/>
      <c r="CZ29" s="164"/>
      <c r="DD29" s="162"/>
      <c r="DE29" s="162"/>
      <c r="DF29" s="163"/>
      <c r="DG29" s="164"/>
      <c r="DK29" s="162"/>
      <c r="DL29" s="162"/>
      <c r="DM29" s="163"/>
      <c r="DN29" s="164"/>
      <c r="DR29" s="162"/>
      <c r="DS29" s="162"/>
      <c r="DT29" s="163"/>
      <c r="DU29" s="164"/>
      <c r="DY29" s="162"/>
      <c r="DZ29" s="162"/>
      <c r="EA29" s="163"/>
      <c r="EB29" s="164"/>
      <c r="EF29" s="162"/>
      <c r="EG29" s="162"/>
      <c r="EH29" s="163"/>
      <c r="EI29" s="164"/>
      <c r="EM29" s="162"/>
      <c r="EN29" s="162"/>
      <c r="EO29" s="163"/>
      <c r="EP29" s="164"/>
      <c r="ET29" s="162"/>
      <c r="EU29" s="162"/>
      <c r="EV29" s="163"/>
      <c r="EW29" s="164"/>
      <c r="FA29" s="162"/>
      <c r="FB29" s="162"/>
      <c r="FC29" s="163"/>
      <c r="FD29" s="164"/>
      <c r="FH29" s="162"/>
      <c r="FI29" s="162"/>
      <c r="FJ29" s="163"/>
      <c r="FK29" s="164"/>
      <c r="FO29" s="162"/>
      <c r="FP29" s="162"/>
      <c r="FQ29" s="163"/>
      <c r="FR29" s="164"/>
      <c r="FV29" s="162"/>
      <c r="FW29" s="162"/>
      <c r="FX29" s="163"/>
      <c r="FY29" s="164"/>
      <c r="GC29" s="162"/>
      <c r="GD29" s="162"/>
      <c r="GE29" s="163"/>
      <c r="GF29" s="164"/>
      <c r="GJ29" s="162"/>
      <c r="GK29" s="162"/>
      <c r="GL29" s="163"/>
      <c r="GM29" s="164"/>
      <c r="GQ29" s="162"/>
      <c r="GR29" s="162"/>
      <c r="GS29" s="163"/>
      <c r="GT29" s="164"/>
      <c r="GX29" s="162"/>
      <c r="GY29" s="162"/>
      <c r="GZ29" s="163"/>
      <c r="HA29" s="164"/>
      <c r="HE29" s="162"/>
      <c r="HF29" s="162"/>
      <c r="HG29" s="163"/>
      <c r="HH29" s="164"/>
      <c r="HL29" s="162"/>
      <c r="HM29" s="162"/>
      <c r="HN29" s="163"/>
      <c r="HO29" s="164"/>
      <c r="HS29" s="162"/>
      <c r="HT29" s="162"/>
      <c r="HU29" s="163"/>
      <c r="HV29" s="164"/>
    </row>
    <row r="30" spans="3:230" x14ac:dyDescent="0.2">
      <c r="C30" s="162"/>
      <c r="D30" s="162"/>
      <c r="E30" s="163"/>
      <c r="F30" s="164"/>
      <c r="J30" s="162"/>
      <c r="K30" s="162"/>
      <c r="L30" s="163"/>
      <c r="M30" s="164"/>
      <c r="Q30" s="162"/>
      <c r="R30" s="162"/>
      <c r="S30" s="163"/>
      <c r="T30" s="164"/>
      <c r="X30" s="162"/>
      <c r="Y30" s="162"/>
      <c r="Z30" s="163"/>
      <c r="AA30" s="164"/>
      <c r="AE30" s="162"/>
      <c r="AF30" s="162"/>
      <c r="AG30" s="163"/>
      <c r="AH30" s="164"/>
      <c r="AL30" s="162"/>
      <c r="AM30" s="162"/>
      <c r="AN30" s="163"/>
      <c r="AO30" s="164"/>
      <c r="AS30" s="162"/>
      <c r="AT30" s="162"/>
      <c r="AU30" s="163"/>
      <c r="AV30" s="164"/>
      <c r="AZ30" s="162"/>
      <c r="BA30" s="162"/>
      <c r="BB30" s="163"/>
      <c r="BC30" s="164"/>
      <c r="BG30" s="162"/>
      <c r="BH30" s="162"/>
      <c r="BI30" s="163"/>
      <c r="BJ30" s="164"/>
      <c r="BN30" s="162"/>
      <c r="BO30" s="162"/>
      <c r="BP30" s="163"/>
      <c r="BQ30" s="164"/>
      <c r="BU30" s="162"/>
      <c r="BV30" s="162"/>
      <c r="BW30" s="163"/>
      <c r="BX30" s="164"/>
      <c r="CB30" s="162"/>
      <c r="CC30" s="162"/>
      <c r="CD30" s="163"/>
      <c r="CE30" s="164"/>
      <c r="CI30" s="162"/>
      <c r="CJ30" s="162"/>
      <c r="CK30" s="163"/>
      <c r="CL30" s="164"/>
      <c r="CP30" s="162"/>
      <c r="CQ30" s="162"/>
      <c r="CR30" s="163"/>
      <c r="CS30" s="164"/>
      <c r="CW30" s="162"/>
      <c r="CX30" s="162"/>
      <c r="CY30" s="163"/>
      <c r="CZ30" s="164"/>
      <c r="DD30" s="162"/>
      <c r="DE30" s="162"/>
      <c r="DF30" s="163"/>
      <c r="DG30" s="164"/>
      <c r="DK30" s="162"/>
      <c r="DL30" s="162"/>
      <c r="DM30" s="163"/>
      <c r="DN30" s="164"/>
      <c r="DR30" s="162"/>
      <c r="DS30" s="162"/>
      <c r="DT30" s="163"/>
      <c r="DU30" s="164"/>
      <c r="DY30" s="162"/>
      <c r="DZ30" s="162"/>
      <c r="EA30" s="163"/>
      <c r="EB30" s="164"/>
      <c r="EF30" s="162"/>
      <c r="EG30" s="162"/>
      <c r="EH30" s="163"/>
      <c r="EI30" s="164"/>
      <c r="EM30" s="162"/>
      <c r="EN30" s="162"/>
      <c r="EO30" s="163"/>
      <c r="EP30" s="164"/>
      <c r="ET30" s="162"/>
      <c r="EU30" s="162"/>
      <c r="EV30" s="163"/>
      <c r="EW30" s="164"/>
      <c r="FA30" s="162"/>
      <c r="FB30" s="162"/>
      <c r="FC30" s="163"/>
      <c r="FD30" s="164"/>
      <c r="FH30" s="162"/>
      <c r="FI30" s="162"/>
      <c r="FJ30" s="163"/>
      <c r="FK30" s="164"/>
      <c r="FO30" s="162"/>
      <c r="FP30" s="162"/>
      <c r="FQ30" s="163"/>
      <c r="FR30" s="164"/>
      <c r="FV30" s="162"/>
      <c r="FW30" s="162"/>
      <c r="FX30" s="163"/>
      <c r="FY30" s="164"/>
      <c r="GC30" s="162"/>
      <c r="GD30" s="162"/>
      <c r="GE30" s="163"/>
      <c r="GF30" s="164"/>
      <c r="GJ30" s="162"/>
      <c r="GK30" s="162"/>
      <c r="GL30" s="163"/>
      <c r="GM30" s="164"/>
      <c r="GQ30" s="162"/>
      <c r="GR30" s="162"/>
      <c r="GS30" s="163"/>
      <c r="GT30" s="164"/>
      <c r="GX30" s="162"/>
      <c r="GY30" s="162"/>
      <c r="GZ30" s="163"/>
      <c r="HA30" s="164"/>
      <c r="HE30" s="162"/>
      <c r="HF30" s="162"/>
      <c r="HG30" s="163"/>
      <c r="HH30" s="164"/>
      <c r="HL30" s="162"/>
      <c r="HM30" s="162"/>
      <c r="HN30" s="163"/>
      <c r="HO30" s="164"/>
      <c r="HS30" s="162"/>
      <c r="HT30" s="162"/>
      <c r="HU30" s="163"/>
      <c r="HV30" s="164"/>
    </row>
    <row r="31" spans="3:230" x14ac:dyDescent="0.2">
      <c r="C31" s="162"/>
      <c r="D31" s="162"/>
      <c r="E31" s="163"/>
      <c r="F31" s="164"/>
      <c r="J31" s="162"/>
      <c r="K31" s="162"/>
      <c r="L31" s="163"/>
      <c r="M31" s="164"/>
      <c r="Q31" s="162"/>
      <c r="R31" s="162"/>
      <c r="S31" s="163"/>
      <c r="T31" s="164"/>
      <c r="X31" s="162"/>
      <c r="Y31" s="162"/>
      <c r="Z31" s="163"/>
      <c r="AA31" s="164"/>
      <c r="AE31" s="162"/>
      <c r="AF31" s="162"/>
      <c r="AG31" s="163"/>
      <c r="AH31" s="164"/>
      <c r="AL31" s="162"/>
      <c r="AM31" s="162"/>
      <c r="AN31" s="163"/>
      <c r="AO31" s="164"/>
      <c r="AS31" s="162"/>
      <c r="AT31" s="162"/>
      <c r="AU31" s="163"/>
      <c r="AV31" s="164"/>
      <c r="AZ31" s="162"/>
      <c r="BA31" s="162"/>
      <c r="BB31" s="163"/>
      <c r="BC31" s="164"/>
      <c r="BG31" s="162"/>
      <c r="BH31" s="162"/>
      <c r="BI31" s="163"/>
      <c r="BJ31" s="164"/>
      <c r="BN31" s="162"/>
      <c r="BO31" s="162"/>
      <c r="BP31" s="163"/>
      <c r="BQ31" s="164"/>
      <c r="BU31" s="162"/>
      <c r="BV31" s="162"/>
      <c r="BW31" s="163"/>
      <c r="BX31" s="164"/>
      <c r="CB31" s="162"/>
      <c r="CC31" s="162"/>
      <c r="CD31" s="163"/>
      <c r="CE31" s="164"/>
      <c r="CI31" s="162"/>
      <c r="CJ31" s="162"/>
      <c r="CK31" s="163"/>
      <c r="CL31" s="164"/>
      <c r="CP31" s="162"/>
      <c r="CQ31" s="162"/>
      <c r="CR31" s="163"/>
      <c r="CS31" s="164"/>
      <c r="CW31" s="162"/>
      <c r="CX31" s="162"/>
      <c r="CY31" s="163"/>
      <c r="CZ31" s="164"/>
      <c r="DD31" s="162"/>
      <c r="DE31" s="162"/>
      <c r="DF31" s="163"/>
      <c r="DG31" s="164"/>
      <c r="DK31" s="162"/>
      <c r="DL31" s="162"/>
      <c r="DM31" s="163"/>
      <c r="DN31" s="164"/>
      <c r="DR31" s="162"/>
      <c r="DS31" s="162"/>
      <c r="DT31" s="163"/>
      <c r="DU31" s="164"/>
      <c r="DY31" s="162"/>
      <c r="DZ31" s="162"/>
      <c r="EA31" s="163"/>
      <c r="EB31" s="164"/>
      <c r="EF31" s="162"/>
      <c r="EG31" s="162"/>
      <c r="EH31" s="163"/>
      <c r="EI31" s="164"/>
      <c r="EM31" s="162"/>
      <c r="EN31" s="162"/>
      <c r="EO31" s="163"/>
      <c r="EP31" s="164"/>
      <c r="ET31" s="162"/>
      <c r="EU31" s="162"/>
      <c r="EV31" s="163"/>
      <c r="EW31" s="164"/>
      <c r="FA31" s="162"/>
      <c r="FB31" s="162"/>
      <c r="FC31" s="163"/>
      <c r="FD31" s="164"/>
      <c r="FH31" s="162"/>
      <c r="FI31" s="162"/>
      <c r="FJ31" s="163"/>
      <c r="FK31" s="164"/>
      <c r="FO31" s="162"/>
      <c r="FP31" s="162"/>
      <c r="FQ31" s="163"/>
      <c r="FR31" s="164"/>
      <c r="FV31" s="162"/>
      <c r="FW31" s="162"/>
      <c r="FX31" s="163"/>
      <c r="FY31" s="164"/>
      <c r="GC31" s="162"/>
      <c r="GD31" s="162"/>
      <c r="GE31" s="163"/>
      <c r="GF31" s="164"/>
      <c r="GJ31" s="162"/>
      <c r="GK31" s="162"/>
      <c r="GL31" s="163"/>
      <c r="GM31" s="164"/>
      <c r="GQ31" s="162"/>
      <c r="GR31" s="162"/>
      <c r="GS31" s="163"/>
      <c r="GT31" s="164"/>
      <c r="GX31" s="162"/>
      <c r="GY31" s="162"/>
      <c r="GZ31" s="163"/>
      <c r="HA31" s="164"/>
      <c r="HE31" s="162"/>
      <c r="HF31" s="162"/>
      <c r="HG31" s="163"/>
      <c r="HH31" s="164"/>
      <c r="HL31" s="162"/>
      <c r="HM31" s="162"/>
      <c r="HN31" s="163"/>
      <c r="HO31" s="164"/>
      <c r="HS31" s="162"/>
      <c r="HT31" s="162"/>
      <c r="HU31" s="163"/>
      <c r="HV31" s="164"/>
    </row>
    <row r="32" spans="3:230" x14ac:dyDescent="0.2">
      <c r="C32" s="162"/>
      <c r="D32" s="162"/>
      <c r="E32" s="163"/>
      <c r="F32" s="164"/>
      <c r="J32" s="162"/>
      <c r="K32" s="162"/>
      <c r="L32" s="163"/>
      <c r="M32" s="164"/>
      <c r="Q32" s="162"/>
      <c r="R32" s="162"/>
      <c r="S32" s="163"/>
      <c r="T32" s="164"/>
      <c r="X32" s="162"/>
      <c r="Y32" s="162"/>
      <c r="Z32" s="163"/>
      <c r="AA32" s="164"/>
      <c r="AE32" s="162"/>
      <c r="AF32" s="162"/>
      <c r="AG32" s="163"/>
      <c r="AH32" s="164"/>
      <c r="AL32" s="162"/>
      <c r="AM32" s="162"/>
      <c r="AN32" s="163"/>
      <c r="AO32" s="164"/>
      <c r="AS32" s="162"/>
      <c r="AT32" s="162"/>
      <c r="AU32" s="163"/>
      <c r="AV32" s="164"/>
      <c r="AZ32" s="162"/>
      <c r="BA32" s="162"/>
      <c r="BB32" s="163"/>
      <c r="BC32" s="164"/>
      <c r="BG32" s="162"/>
      <c r="BH32" s="162"/>
      <c r="BI32" s="163"/>
      <c r="BJ32" s="164"/>
      <c r="BN32" s="162"/>
      <c r="BO32" s="162"/>
      <c r="BP32" s="163"/>
      <c r="BQ32" s="164"/>
      <c r="BU32" s="162"/>
      <c r="BV32" s="162"/>
      <c r="BW32" s="163"/>
      <c r="BX32" s="164"/>
      <c r="CB32" s="162"/>
      <c r="CC32" s="162"/>
      <c r="CD32" s="163"/>
      <c r="CE32" s="164"/>
      <c r="CI32" s="162"/>
      <c r="CJ32" s="162"/>
      <c r="CK32" s="163"/>
      <c r="CL32" s="164"/>
      <c r="CP32" s="162"/>
      <c r="CQ32" s="162"/>
      <c r="CR32" s="163"/>
      <c r="CS32" s="164"/>
      <c r="CW32" s="162"/>
      <c r="CX32" s="162"/>
      <c r="CY32" s="163"/>
      <c r="CZ32" s="164"/>
      <c r="DD32" s="162"/>
      <c r="DE32" s="162"/>
      <c r="DF32" s="163"/>
      <c r="DG32" s="164"/>
      <c r="DK32" s="162"/>
      <c r="DL32" s="162"/>
      <c r="DM32" s="163"/>
      <c r="DN32" s="164"/>
      <c r="DR32" s="162"/>
      <c r="DS32" s="162"/>
      <c r="DT32" s="163"/>
      <c r="DU32" s="164"/>
      <c r="DY32" s="162"/>
      <c r="DZ32" s="162"/>
      <c r="EA32" s="163"/>
      <c r="EB32" s="164"/>
      <c r="EF32" s="162"/>
      <c r="EG32" s="162"/>
      <c r="EH32" s="163"/>
      <c r="EI32" s="164"/>
      <c r="EM32" s="162"/>
      <c r="EN32" s="162"/>
      <c r="EO32" s="163"/>
      <c r="EP32" s="164"/>
      <c r="ET32" s="162"/>
      <c r="EU32" s="162"/>
      <c r="EV32" s="163"/>
      <c r="EW32" s="164"/>
      <c r="FA32" s="162"/>
      <c r="FB32" s="162"/>
      <c r="FC32" s="163"/>
      <c r="FD32" s="164"/>
      <c r="FH32" s="162"/>
      <c r="FI32" s="162"/>
      <c r="FJ32" s="163"/>
      <c r="FK32" s="164"/>
      <c r="FO32" s="162"/>
      <c r="FP32" s="162"/>
      <c r="FQ32" s="163"/>
      <c r="FR32" s="164"/>
      <c r="FV32" s="162"/>
      <c r="FW32" s="162"/>
      <c r="FX32" s="163"/>
      <c r="FY32" s="164"/>
      <c r="GC32" s="162"/>
      <c r="GD32" s="162"/>
      <c r="GE32" s="163"/>
      <c r="GF32" s="164"/>
      <c r="GJ32" s="162"/>
      <c r="GK32" s="162"/>
      <c r="GL32" s="163"/>
      <c r="GM32" s="164"/>
      <c r="GQ32" s="162"/>
      <c r="GR32" s="162"/>
      <c r="GS32" s="163"/>
      <c r="GT32" s="164"/>
      <c r="GX32" s="162"/>
      <c r="GY32" s="162"/>
      <c r="GZ32" s="163"/>
      <c r="HA32" s="164"/>
      <c r="HE32" s="162"/>
      <c r="HF32" s="162"/>
      <c r="HG32" s="163"/>
      <c r="HH32" s="164"/>
      <c r="HL32" s="162"/>
      <c r="HM32" s="162"/>
      <c r="HN32" s="163"/>
      <c r="HO32" s="164"/>
      <c r="HS32" s="162"/>
      <c r="HT32" s="162"/>
      <c r="HU32" s="163"/>
      <c r="HV32" s="164"/>
    </row>
    <row r="33" spans="3:230" x14ac:dyDescent="0.2">
      <c r="C33" s="162"/>
      <c r="D33" s="162"/>
      <c r="E33" s="163"/>
      <c r="F33" s="164"/>
      <c r="J33" s="162"/>
      <c r="K33" s="162"/>
      <c r="L33" s="163"/>
      <c r="M33" s="164"/>
      <c r="Q33" s="162"/>
      <c r="R33" s="162"/>
      <c r="S33" s="163"/>
      <c r="T33" s="164"/>
      <c r="X33" s="162"/>
      <c r="Y33" s="162"/>
      <c r="Z33" s="163"/>
      <c r="AA33" s="164"/>
      <c r="AE33" s="162"/>
      <c r="AF33" s="162"/>
      <c r="AG33" s="163"/>
      <c r="AH33" s="164"/>
      <c r="AL33" s="162"/>
      <c r="AM33" s="162"/>
      <c r="AN33" s="163"/>
      <c r="AO33" s="164"/>
      <c r="AS33" s="162"/>
      <c r="AT33" s="162"/>
      <c r="AU33" s="163"/>
      <c r="AV33" s="164"/>
      <c r="AZ33" s="162"/>
      <c r="BA33" s="162"/>
      <c r="BB33" s="163"/>
      <c r="BC33" s="164"/>
      <c r="BG33" s="162"/>
      <c r="BH33" s="162"/>
      <c r="BI33" s="163"/>
      <c r="BJ33" s="164"/>
      <c r="BN33" s="162"/>
      <c r="BO33" s="162"/>
      <c r="BP33" s="163"/>
      <c r="BQ33" s="164"/>
      <c r="BU33" s="162"/>
      <c r="BV33" s="162"/>
      <c r="BW33" s="163"/>
      <c r="BX33" s="164"/>
      <c r="CB33" s="162"/>
      <c r="CC33" s="162"/>
      <c r="CD33" s="163"/>
      <c r="CE33" s="164"/>
      <c r="CI33" s="162"/>
      <c r="CJ33" s="162"/>
      <c r="CK33" s="163"/>
      <c r="CL33" s="164"/>
      <c r="CP33" s="162"/>
      <c r="CQ33" s="162"/>
      <c r="CR33" s="163"/>
      <c r="CS33" s="164"/>
      <c r="CW33" s="162"/>
      <c r="CX33" s="162"/>
      <c r="CY33" s="163"/>
      <c r="CZ33" s="164"/>
      <c r="DD33" s="162"/>
      <c r="DE33" s="162"/>
      <c r="DF33" s="163"/>
      <c r="DG33" s="164"/>
      <c r="DK33" s="162"/>
      <c r="DL33" s="162"/>
      <c r="DM33" s="163"/>
      <c r="DN33" s="164"/>
      <c r="DR33" s="162"/>
      <c r="DS33" s="162"/>
      <c r="DT33" s="163"/>
      <c r="DU33" s="164"/>
      <c r="DY33" s="162"/>
      <c r="DZ33" s="162"/>
      <c r="EA33" s="163"/>
      <c r="EB33" s="164"/>
      <c r="EF33" s="162"/>
      <c r="EG33" s="162"/>
      <c r="EH33" s="163"/>
      <c r="EI33" s="164"/>
      <c r="EM33" s="162"/>
      <c r="EN33" s="162"/>
      <c r="EO33" s="163"/>
      <c r="EP33" s="164"/>
      <c r="ET33" s="162"/>
      <c r="EU33" s="162"/>
      <c r="EV33" s="163"/>
      <c r="EW33" s="164"/>
      <c r="FA33" s="162"/>
      <c r="FB33" s="162"/>
      <c r="FC33" s="163"/>
      <c r="FD33" s="164"/>
      <c r="FH33" s="162"/>
      <c r="FI33" s="162"/>
      <c r="FJ33" s="163"/>
      <c r="FK33" s="164"/>
      <c r="FO33" s="162"/>
      <c r="FP33" s="162"/>
      <c r="FQ33" s="163"/>
      <c r="FR33" s="164"/>
      <c r="FV33" s="162"/>
      <c r="FW33" s="162"/>
      <c r="FX33" s="163"/>
      <c r="FY33" s="164"/>
      <c r="GC33" s="162"/>
      <c r="GD33" s="162"/>
      <c r="GE33" s="163"/>
      <c r="GF33" s="164"/>
      <c r="GJ33" s="162"/>
      <c r="GK33" s="162"/>
      <c r="GL33" s="163"/>
      <c r="GM33" s="164"/>
      <c r="GQ33" s="162"/>
      <c r="GR33" s="162"/>
      <c r="GS33" s="163"/>
      <c r="GT33" s="164"/>
      <c r="GX33" s="162"/>
      <c r="GY33" s="162"/>
      <c r="GZ33" s="163"/>
      <c r="HA33" s="164"/>
      <c r="HE33" s="162"/>
      <c r="HF33" s="162"/>
      <c r="HG33" s="163"/>
      <c r="HH33" s="164"/>
      <c r="HL33" s="162"/>
      <c r="HM33" s="162"/>
      <c r="HN33" s="163"/>
      <c r="HO33" s="164"/>
      <c r="HS33" s="162"/>
      <c r="HT33" s="162"/>
      <c r="HU33" s="163"/>
      <c r="HV33" s="164"/>
    </row>
    <row r="34" spans="3:230" x14ac:dyDescent="0.2">
      <c r="C34" s="162"/>
      <c r="D34" s="162"/>
      <c r="E34" s="163"/>
      <c r="F34" s="164"/>
      <c r="J34" s="162"/>
      <c r="K34" s="162"/>
      <c r="L34" s="163"/>
      <c r="M34" s="164"/>
      <c r="Q34" s="162"/>
      <c r="R34" s="162"/>
      <c r="S34" s="163"/>
      <c r="T34" s="164"/>
      <c r="X34" s="162"/>
      <c r="Y34" s="162"/>
      <c r="Z34" s="163"/>
      <c r="AA34" s="164"/>
      <c r="AE34" s="162"/>
      <c r="AF34" s="162"/>
      <c r="AG34" s="163"/>
      <c r="AH34" s="164"/>
      <c r="AL34" s="162"/>
      <c r="AM34" s="162"/>
      <c r="AN34" s="163"/>
      <c r="AO34" s="164"/>
      <c r="AS34" s="162"/>
      <c r="AT34" s="162"/>
      <c r="AU34" s="163"/>
      <c r="AV34" s="164"/>
      <c r="AZ34" s="162"/>
      <c r="BA34" s="162"/>
      <c r="BB34" s="163"/>
      <c r="BC34" s="164"/>
      <c r="BG34" s="162"/>
      <c r="BH34" s="162"/>
      <c r="BI34" s="163"/>
      <c r="BJ34" s="164"/>
      <c r="BN34" s="162"/>
      <c r="BO34" s="162"/>
      <c r="BP34" s="163"/>
      <c r="BQ34" s="164"/>
      <c r="BU34" s="162"/>
      <c r="BV34" s="162"/>
      <c r="BW34" s="163"/>
      <c r="BX34" s="164"/>
      <c r="CB34" s="162"/>
      <c r="CC34" s="162"/>
      <c r="CD34" s="163"/>
      <c r="CE34" s="164"/>
      <c r="CI34" s="162"/>
      <c r="CJ34" s="162"/>
      <c r="CK34" s="163"/>
      <c r="CL34" s="164"/>
      <c r="CP34" s="162"/>
      <c r="CQ34" s="162"/>
      <c r="CR34" s="163"/>
      <c r="CS34" s="164"/>
      <c r="CW34" s="162"/>
      <c r="CX34" s="162"/>
      <c r="CY34" s="163"/>
      <c r="CZ34" s="164"/>
      <c r="DD34" s="162"/>
      <c r="DE34" s="162"/>
      <c r="DF34" s="163"/>
      <c r="DG34" s="164"/>
      <c r="DK34" s="162"/>
      <c r="DL34" s="162"/>
      <c r="DM34" s="163"/>
      <c r="DN34" s="164"/>
      <c r="DR34" s="162"/>
      <c r="DS34" s="162"/>
      <c r="DT34" s="163"/>
      <c r="DU34" s="164"/>
      <c r="DY34" s="162"/>
      <c r="DZ34" s="162"/>
      <c r="EA34" s="163"/>
      <c r="EB34" s="164"/>
      <c r="EF34" s="162"/>
      <c r="EG34" s="162"/>
      <c r="EH34" s="163"/>
      <c r="EI34" s="164"/>
      <c r="EM34" s="162"/>
      <c r="EN34" s="162"/>
      <c r="EO34" s="163"/>
      <c r="EP34" s="164"/>
      <c r="ET34" s="162"/>
      <c r="EU34" s="162"/>
      <c r="EV34" s="163"/>
      <c r="EW34" s="164"/>
      <c r="FA34" s="162"/>
      <c r="FB34" s="162"/>
      <c r="FC34" s="163"/>
      <c r="FD34" s="164"/>
      <c r="FH34" s="162"/>
      <c r="FI34" s="162"/>
      <c r="FJ34" s="163"/>
      <c r="FK34" s="164"/>
      <c r="FO34" s="162"/>
      <c r="FP34" s="162"/>
      <c r="FQ34" s="163"/>
      <c r="FR34" s="164"/>
      <c r="FV34" s="162"/>
      <c r="FW34" s="162"/>
      <c r="FX34" s="163"/>
      <c r="FY34" s="164"/>
      <c r="GC34" s="162"/>
      <c r="GD34" s="162"/>
      <c r="GE34" s="163"/>
      <c r="GF34" s="164"/>
      <c r="GJ34" s="162"/>
      <c r="GK34" s="162"/>
      <c r="GL34" s="163"/>
      <c r="GM34" s="164"/>
      <c r="GQ34" s="162"/>
      <c r="GR34" s="162"/>
      <c r="GS34" s="163"/>
      <c r="GT34" s="164"/>
      <c r="GX34" s="162"/>
      <c r="GY34" s="162"/>
      <c r="GZ34" s="163"/>
      <c r="HA34" s="164"/>
      <c r="HE34" s="162"/>
      <c r="HF34" s="162"/>
      <c r="HG34" s="163"/>
      <c r="HH34" s="164"/>
      <c r="HL34" s="162"/>
      <c r="HM34" s="162"/>
      <c r="HN34" s="163"/>
      <c r="HO34" s="164"/>
      <c r="HS34" s="162"/>
      <c r="HT34" s="162"/>
      <c r="HU34" s="163"/>
      <c r="HV34" s="164"/>
    </row>
    <row r="35" spans="3:230" x14ac:dyDescent="0.2">
      <c r="C35" s="162"/>
      <c r="D35" s="162"/>
      <c r="E35" s="163"/>
      <c r="F35" s="164"/>
      <c r="J35" s="162"/>
      <c r="K35" s="162"/>
      <c r="L35" s="163"/>
      <c r="M35" s="164"/>
      <c r="Q35" s="162"/>
      <c r="R35" s="162"/>
      <c r="S35" s="163"/>
      <c r="T35" s="164"/>
      <c r="X35" s="162"/>
      <c r="Y35" s="162"/>
      <c r="Z35" s="163"/>
      <c r="AA35" s="164"/>
      <c r="AE35" s="162"/>
      <c r="AF35" s="162"/>
      <c r="AG35" s="163"/>
      <c r="AH35" s="164"/>
      <c r="AL35" s="162"/>
      <c r="AM35" s="162"/>
      <c r="AN35" s="163"/>
      <c r="AO35" s="164"/>
      <c r="AS35" s="162"/>
      <c r="AT35" s="162"/>
      <c r="AU35" s="163"/>
      <c r="AV35" s="164"/>
      <c r="AZ35" s="162"/>
      <c r="BA35" s="162"/>
      <c r="BB35" s="163"/>
      <c r="BC35" s="164"/>
      <c r="BG35" s="162"/>
      <c r="BH35" s="162"/>
      <c r="BI35" s="163"/>
      <c r="BJ35" s="164"/>
      <c r="BN35" s="162"/>
      <c r="BO35" s="162"/>
      <c r="BP35" s="163"/>
      <c r="BQ35" s="164"/>
      <c r="BU35" s="162"/>
      <c r="BV35" s="162"/>
      <c r="BW35" s="163"/>
      <c r="BX35" s="164"/>
      <c r="CB35" s="162"/>
      <c r="CC35" s="162"/>
      <c r="CD35" s="163"/>
      <c r="CE35" s="164"/>
      <c r="CI35" s="162"/>
      <c r="CJ35" s="162"/>
      <c r="CK35" s="163"/>
      <c r="CL35" s="164"/>
      <c r="CP35" s="162"/>
      <c r="CQ35" s="162"/>
      <c r="CR35" s="163"/>
      <c r="CS35" s="164"/>
      <c r="CW35" s="162"/>
      <c r="CX35" s="162"/>
      <c r="CY35" s="163"/>
      <c r="CZ35" s="164"/>
      <c r="DD35" s="162"/>
      <c r="DE35" s="162"/>
      <c r="DF35" s="163"/>
      <c r="DG35" s="164"/>
      <c r="DK35" s="162"/>
      <c r="DL35" s="162"/>
      <c r="DM35" s="163"/>
      <c r="DN35" s="164"/>
      <c r="DR35" s="162"/>
      <c r="DS35" s="162"/>
      <c r="DT35" s="163"/>
      <c r="DU35" s="164"/>
      <c r="DY35" s="162"/>
      <c r="DZ35" s="162"/>
      <c r="EA35" s="163"/>
      <c r="EB35" s="164"/>
      <c r="EF35" s="162"/>
      <c r="EG35" s="162"/>
      <c r="EH35" s="163"/>
      <c r="EI35" s="164"/>
      <c r="EM35" s="162"/>
      <c r="EN35" s="162"/>
      <c r="EO35" s="163"/>
      <c r="EP35" s="164"/>
      <c r="ET35" s="162"/>
      <c r="EU35" s="162"/>
      <c r="EV35" s="163"/>
      <c r="EW35" s="164"/>
      <c r="FA35" s="162"/>
      <c r="FB35" s="162"/>
      <c r="FC35" s="163"/>
      <c r="FD35" s="164"/>
      <c r="FH35" s="162"/>
      <c r="FI35" s="162"/>
      <c r="FJ35" s="163"/>
      <c r="FK35" s="164"/>
      <c r="FO35" s="162"/>
      <c r="FP35" s="162"/>
      <c r="FQ35" s="163"/>
      <c r="FR35" s="164"/>
      <c r="FV35" s="162"/>
      <c r="FW35" s="162"/>
      <c r="FX35" s="163"/>
      <c r="FY35" s="164"/>
      <c r="GC35" s="162"/>
      <c r="GD35" s="162"/>
      <c r="GE35" s="163"/>
      <c r="GF35" s="164"/>
      <c r="GJ35" s="162"/>
      <c r="GK35" s="162"/>
      <c r="GL35" s="163"/>
      <c r="GM35" s="164"/>
      <c r="GQ35" s="162"/>
      <c r="GR35" s="162"/>
      <c r="GS35" s="163"/>
      <c r="GT35" s="164"/>
      <c r="GX35" s="162"/>
      <c r="GY35" s="162"/>
      <c r="GZ35" s="163"/>
      <c r="HA35" s="164"/>
      <c r="HE35" s="162"/>
      <c r="HF35" s="162"/>
      <c r="HG35" s="163"/>
      <c r="HH35" s="164"/>
      <c r="HL35" s="162"/>
      <c r="HM35" s="162"/>
      <c r="HN35" s="163"/>
      <c r="HO35" s="164"/>
      <c r="HS35" s="162"/>
      <c r="HT35" s="162"/>
      <c r="HU35" s="163"/>
      <c r="HV35" s="164"/>
    </row>
    <row r="36" spans="3:230" x14ac:dyDescent="0.2">
      <c r="C36" s="162"/>
      <c r="D36" s="162"/>
      <c r="E36" s="163"/>
      <c r="F36" s="164"/>
      <c r="J36" s="162"/>
      <c r="K36" s="162"/>
      <c r="L36" s="163"/>
      <c r="M36" s="164"/>
      <c r="Q36" s="162"/>
      <c r="R36" s="162"/>
      <c r="S36" s="163"/>
      <c r="T36" s="164"/>
      <c r="X36" s="162"/>
      <c r="Y36" s="162"/>
      <c r="Z36" s="163"/>
      <c r="AA36" s="164"/>
      <c r="AE36" s="162"/>
      <c r="AF36" s="162"/>
      <c r="AG36" s="163"/>
      <c r="AH36" s="164"/>
      <c r="AL36" s="162"/>
      <c r="AM36" s="162"/>
      <c r="AN36" s="163"/>
      <c r="AO36" s="164"/>
      <c r="AS36" s="162"/>
      <c r="AT36" s="162"/>
      <c r="AU36" s="163"/>
      <c r="AV36" s="164"/>
      <c r="AZ36" s="162"/>
      <c r="BA36" s="162"/>
      <c r="BB36" s="163"/>
      <c r="BC36" s="164"/>
      <c r="BG36" s="162"/>
      <c r="BH36" s="162"/>
      <c r="BI36" s="163"/>
      <c r="BJ36" s="164"/>
      <c r="BN36" s="162"/>
      <c r="BO36" s="162"/>
      <c r="BP36" s="163"/>
      <c r="BQ36" s="164"/>
      <c r="BU36" s="162"/>
      <c r="BV36" s="162"/>
      <c r="BW36" s="163"/>
      <c r="BX36" s="164"/>
      <c r="CB36" s="162"/>
      <c r="CC36" s="162"/>
      <c r="CD36" s="163"/>
      <c r="CE36" s="164"/>
      <c r="CI36" s="162"/>
      <c r="CJ36" s="162"/>
      <c r="CK36" s="163"/>
      <c r="CL36" s="164"/>
      <c r="CP36" s="162"/>
      <c r="CQ36" s="162"/>
      <c r="CR36" s="163"/>
      <c r="CS36" s="164"/>
      <c r="CW36" s="162"/>
      <c r="CX36" s="162"/>
      <c r="CY36" s="163"/>
      <c r="CZ36" s="164"/>
      <c r="DD36" s="162"/>
      <c r="DE36" s="162"/>
      <c r="DF36" s="163"/>
      <c r="DG36" s="164"/>
      <c r="DK36" s="162"/>
      <c r="DL36" s="162"/>
      <c r="DM36" s="163"/>
      <c r="DN36" s="164"/>
      <c r="DR36" s="162"/>
      <c r="DS36" s="162"/>
      <c r="DT36" s="163"/>
      <c r="DU36" s="164"/>
      <c r="DY36" s="162"/>
      <c r="DZ36" s="162"/>
      <c r="EA36" s="163"/>
      <c r="EB36" s="164"/>
      <c r="EF36" s="162"/>
      <c r="EG36" s="162"/>
      <c r="EH36" s="163"/>
      <c r="EI36" s="164"/>
      <c r="EM36" s="162"/>
      <c r="EN36" s="162"/>
      <c r="EO36" s="163"/>
      <c r="EP36" s="164"/>
      <c r="ET36" s="162"/>
      <c r="EU36" s="162"/>
      <c r="EV36" s="163"/>
      <c r="EW36" s="164"/>
      <c r="FA36" s="162"/>
      <c r="FB36" s="162"/>
      <c r="FC36" s="163"/>
      <c r="FD36" s="164"/>
      <c r="FH36" s="162"/>
      <c r="FI36" s="162"/>
      <c r="FJ36" s="163"/>
      <c r="FK36" s="164"/>
      <c r="FO36" s="162"/>
      <c r="FP36" s="162"/>
      <c r="FQ36" s="163"/>
      <c r="FR36" s="164"/>
      <c r="FV36" s="162"/>
      <c r="FW36" s="162"/>
      <c r="FX36" s="163"/>
      <c r="FY36" s="164"/>
      <c r="GC36" s="162"/>
      <c r="GD36" s="162"/>
      <c r="GE36" s="163"/>
      <c r="GF36" s="164"/>
      <c r="GJ36" s="162"/>
      <c r="GK36" s="162"/>
      <c r="GL36" s="163"/>
      <c r="GM36" s="164"/>
      <c r="GQ36" s="162"/>
      <c r="GR36" s="162"/>
      <c r="GS36" s="163"/>
      <c r="GT36" s="164"/>
      <c r="GX36" s="162"/>
      <c r="GY36" s="162"/>
      <c r="GZ36" s="163"/>
      <c r="HA36" s="164"/>
      <c r="HE36" s="162"/>
      <c r="HF36" s="162"/>
      <c r="HG36" s="163"/>
      <c r="HH36" s="164"/>
      <c r="HL36" s="162"/>
      <c r="HM36" s="162"/>
      <c r="HN36" s="163"/>
      <c r="HO36" s="164"/>
      <c r="HS36" s="162"/>
      <c r="HT36" s="162"/>
      <c r="HU36" s="163"/>
      <c r="HV36" s="164"/>
    </row>
    <row r="37" spans="3:230" x14ac:dyDescent="0.2">
      <c r="C37" s="162"/>
      <c r="D37" s="162"/>
      <c r="E37" s="163"/>
      <c r="F37" s="164"/>
      <c r="J37" s="162"/>
      <c r="K37" s="162"/>
      <c r="L37" s="163"/>
      <c r="M37" s="164"/>
      <c r="Q37" s="162"/>
      <c r="R37" s="162"/>
      <c r="S37" s="163"/>
      <c r="T37" s="164"/>
      <c r="X37" s="162"/>
      <c r="Y37" s="162"/>
      <c r="Z37" s="163"/>
      <c r="AA37" s="164"/>
      <c r="AE37" s="162"/>
      <c r="AF37" s="162"/>
      <c r="AG37" s="163"/>
      <c r="AH37" s="164"/>
      <c r="AL37" s="162"/>
      <c r="AM37" s="162"/>
      <c r="AN37" s="163"/>
      <c r="AO37" s="164"/>
      <c r="AS37" s="162"/>
      <c r="AT37" s="162"/>
      <c r="AU37" s="163"/>
      <c r="AV37" s="164"/>
      <c r="AZ37" s="162"/>
      <c r="BA37" s="162"/>
      <c r="BB37" s="163"/>
      <c r="BC37" s="164"/>
      <c r="BG37" s="162"/>
      <c r="BH37" s="162"/>
      <c r="BI37" s="163"/>
      <c r="BJ37" s="164"/>
      <c r="BN37" s="162"/>
      <c r="BO37" s="162"/>
      <c r="BP37" s="163"/>
      <c r="BQ37" s="164"/>
      <c r="BU37" s="162"/>
      <c r="BV37" s="162"/>
      <c r="BW37" s="163"/>
      <c r="BX37" s="164"/>
      <c r="CB37" s="162"/>
      <c r="CC37" s="162"/>
      <c r="CD37" s="163"/>
      <c r="CE37" s="164"/>
      <c r="CI37" s="162"/>
      <c r="CJ37" s="162"/>
      <c r="CK37" s="163"/>
      <c r="CL37" s="164"/>
      <c r="CP37" s="162"/>
      <c r="CQ37" s="162"/>
      <c r="CR37" s="163"/>
      <c r="CS37" s="164"/>
      <c r="CW37" s="162"/>
      <c r="CX37" s="162"/>
      <c r="CY37" s="163"/>
      <c r="CZ37" s="164"/>
      <c r="DD37" s="162"/>
      <c r="DE37" s="162"/>
      <c r="DF37" s="163"/>
      <c r="DG37" s="164"/>
      <c r="DK37" s="162"/>
      <c r="DL37" s="162"/>
      <c r="DM37" s="163"/>
      <c r="DN37" s="164"/>
      <c r="DR37" s="162"/>
      <c r="DS37" s="162"/>
      <c r="DT37" s="163"/>
      <c r="DU37" s="164"/>
      <c r="DY37" s="162"/>
      <c r="DZ37" s="162"/>
      <c r="EA37" s="163"/>
      <c r="EB37" s="164"/>
      <c r="EF37" s="162"/>
      <c r="EG37" s="162"/>
      <c r="EH37" s="163"/>
      <c r="EI37" s="164"/>
      <c r="EM37" s="162"/>
      <c r="EN37" s="162"/>
      <c r="EO37" s="163"/>
      <c r="EP37" s="164"/>
      <c r="ET37" s="162"/>
      <c r="EU37" s="162"/>
      <c r="EV37" s="163"/>
      <c r="EW37" s="164"/>
      <c r="FA37" s="162"/>
      <c r="FB37" s="162"/>
      <c r="FC37" s="163"/>
      <c r="FD37" s="164"/>
      <c r="FH37" s="162"/>
      <c r="FI37" s="162"/>
      <c r="FJ37" s="163"/>
      <c r="FK37" s="164"/>
      <c r="FO37" s="162"/>
      <c r="FP37" s="162"/>
      <c r="FQ37" s="163"/>
      <c r="FR37" s="164"/>
      <c r="FV37" s="162"/>
      <c r="FW37" s="162"/>
      <c r="FX37" s="163"/>
      <c r="FY37" s="164"/>
      <c r="GC37" s="162"/>
      <c r="GD37" s="162"/>
      <c r="GE37" s="163"/>
      <c r="GF37" s="164"/>
      <c r="GJ37" s="162"/>
      <c r="GK37" s="162"/>
      <c r="GL37" s="163"/>
      <c r="GM37" s="164"/>
      <c r="GQ37" s="162"/>
      <c r="GR37" s="162"/>
      <c r="GS37" s="163"/>
      <c r="GT37" s="164"/>
      <c r="GX37" s="162"/>
      <c r="GY37" s="162"/>
      <c r="GZ37" s="163"/>
      <c r="HA37" s="164"/>
      <c r="HE37" s="162"/>
      <c r="HF37" s="162"/>
      <c r="HG37" s="163"/>
      <c r="HH37" s="164"/>
      <c r="HL37" s="162"/>
      <c r="HM37" s="162"/>
      <c r="HN37" s="163"/>
      <c r="HO37" s="164"/>
      <c r="HS37" s="162"/>
      <c r="HT37" s="162"/>
      <c r="HU37" s="163"/>
      <c r="HV37" s="164"/>
    </row>
    <row r="38" spans="3:230" x14ac:dyDescent="0.2">
      <c r="C38" s="162"/>
      <c r="D38" s="162"/>
      <c r="E38" s="163"/>
      <c r="F38" s="164"/>
      <c r="J38" s="162"/>
      <c r="K38" s="162"/>
      <c r="L38" s="163"/>
      <c r="M38" s="164"/>
      <c r="Q38" s="162"/>
      <c r="R38" s="162"/>
      <c r="S38" s="163"/>
      <c r="T38" s="164"/>
      <c r="X38" s="162"/>
      <c r="Y38" s="162"/>
      <c r="Z38" s="163"/>
      <c r="AA38" s="164"/>
      <c r="AE38" s="162"/>
      <c r="AF38" s="162"/>
      <c r="AG38" s="163"/>
      <c r="AH38" s="164"/>
      <c r="AL38" s="162"/>
      <c r="AM38" s="162"/>
      <c r="AN38" s="163"/>
      <c r="AO38" s="164"/>
      <c r="AS38" s="162"/>
      <c r="AT38" s="162"/>
      <c r="AU38" s="163"/>
      <c r="AV38" s="164"/>
      <c r="AZ38" s="162"/>
      <c r="BA38" s="162"/>
      <c r="BB38" s="163"/>
      <c r="BC38" s="164"/>
      <c r="BG38" s="162"/>
      <c r="BH38" s="162"/>
      <c r="BI38" s="163"/>
      <c r="BJ38" s="164"/>
      <c r="BN38" s="162"/>
      <c r="BO38" s="162"/>
      <c r="BP38" s="163"/>
      <c r="BQ38" s="164"/>
      <c r="BU38" s="162"/>
      <c r="BV38" s="162"/>
      <c r="BW38" s="163"/>
      <c r="BX38" s="164"/>
      <c r="CB38" s="162"/>
      <c r="CC38" s="162"/>
      <c r="CD38" s="163"/>
      <c r="CE38" s="164"/>
      <c r="CI38" s="162"/>
      <c r="CJ38" s="162"/>
      <c r="CK38" s="163"/>
      <c r="CL38" s="164"/>
      <c r="CP38" s="162"/>
      <c r="CQ38" s="162"/>
      <c r="CR38" s="163"/>
      <c r="CS38" s="164"/>
      <c r="CW38" s="162"/>
      <c r="CX38" s="162"/>
      <c r="CY38" s="163"/>
      <c r="CZ38" s="164"/>
      <c r="DD38" s="162"/>
      <c r="DE38" s="162"/>
      <c r="DF38" s="163"/>
      <c r="DG38" s="164"/>
      <c r="DK38" s="162"/>
      <c r="DL38" s="162"/>
      <c r="DM38" s="163"/>
      <c r="DN38" s="164"/>
      <c r="DR38" s="162"/>
      <c r="DS38" s="162"/>
      <c r="DT38" s="163"/>
      <c r="DU38" s="164"/>
      <c r="DY38" s="162"/>
      <c r="DZ38" s="162"/>
      <c r="EA38" s="163"/>
      <c r="EB38" s="164"/>
      <c r="EF38" s="162"/>
      <c r="EG38" s="162"/>
      <c r="EH38" s="163"/>
      <c r="EI38" s="164"/>
      <c r="EM38" s="162"/>
      <c r="EN38" s="162"/>
      <c r="EO38" s="163"/>
      <c r="EP38" s="164"/>
      <c r="ET38" s="162"/>
      <c r="EU38" s="162"/>
      <c r="EV38" s="163"/>
      <c r="EW38" s="164"/>
      <c r="FA38" s="162"/>
      <c r="FB38" s="162"/>
      <c r="FC38" s="163"/>
      <c r="FD38" s="164"/>
      <c r="FH38" s="162"/>
      <c r="FI38" s="162"/>
      <c r="FJ38" s="163"/>
      <c r="FK38" s="164"/>
      <c r="FO38" s="162"/>
      <c r="FP38" s="162"/>
      <c r="FQ38" s="163"/>
      <c r="FR38" s="164"/>
      <c r="FV38" s="162"/>
      <c r="FW38" s="162"/>
      <c r="FX38" s="163"/>
      <c r="FY38" s="164"/>
      <c r="GC38" s="162"/>
      <c r="GD38" s="162"/>
      <c r="GE38" s="163"/>
      <c r="GF38" s="164"/>
      <c r="GJ38" s="162"/>
      <c r="GK38" s="162"/>
      <c r="GL38" s="163"/>
      <c r="GM38" s="164"/>
      <c r="GQ38" s="162"/>
      <c r="GR38" s="162"/>
      <c r="GS38" s="163"/>
      <c r="GT38" s="164"/>
      <c r="GX38" s="162"/>
      <c r="GY38" s="162"/>
      <c r="GZ38" s="163"/>
      <c r="HA38" s="164"/>
      <c r="HE38" s="162"/>
      <c r="HF38" s="162"/>
      <c r="HG38" s="163"/>
      <c r="HH38" s="164"/>
      <c r="HL38" s="162"/>
      <c r="HM38" s="162"/>
      <c r="HN38" s="163"/>
      <c r="HO38" s="164"/>
      <c r="HS38" s="162"/>
      <c r="HT38" s="162"/>
      <c r="HU38" s="163"/>
      <c r="HV38" s="164"/>
    </row>
    <row r="39" spans="3:230" x14ac:dyDescent="0.2">
      <c r="C39" s="162"/>
      <c r="D39" s="162"/>
      <c r="E39" s="163"/>
      <c r="F39" s="164"/>
      <c r="J39" s="162"/>
      <c r="K39" s="162"/>
      <c r="L39" s="163"/>
      <c r="M39" s="164"/>
      <c r="Q39" s="162"/>
      <c r="R39" s="162"/>
      <c r="S39" s="163"/>
      <c r="T39" s="164"/>
      <c r="X39" s="162"/>
      <c r="Y39" s="162"/>
      <c r="Z39" s="163"/>
      <c r="AA39" s="164"/>
      <c r="AE39" s="162"/>
      <c r="AF39" s="162"/>
      <c r="AG39" s="163"/>
      <c r="AH39" s="164"/>
      <c r="AL39" s="162"/>
      <c r="AM39" s="162"/>
      <c r="AN39" s="163"/>
      <c r="AO39" s="164"/>
      <c r="AS39" s="162"/>
      <c r="AT39" s="162"/>
      <c r="AU39" s="163"/>
      <c r="AV39" s="164"/>
      <c r="AZ39" s="162"/>
      <c r="BA39" s="162"/>
      <c r="BB39" s="163"/>
      <c r="BC39" s="164"/>
      <c r="BG39" s="162"/>
      <c r="BH39" s="162"/>
      <c r="BI39" s="163"/>
      <c r="BJ39" s="164"/>
      <c r="BN39" s="162"/>
      <c r="BO39" s="162"/>
      <c r="BP39" s="163"/>
      <c r="BQ39" s="164"/>
      <c r="BU39" s="162"/>
      <c r="BV39" s="162"/>
      <c r="BW39" s="163"/>
      <c r="BX39" s="164"/>
      <c r="CB39" s="162"/>
      <c r="CC39" s="162"/>
      <c r="CD39" s="163"/>
      <c r="CE39" s="164"/>
      <c r="CI39" s="162"/>
      <c r="CJ39" s="162"/>
      <c r="CK39" s="163"/>
      <c r="CL39" s="164"/>
      <c r="CP39" s="162"/>
      <c r="CQ39" s="162"/>
      <c r="CR39" s="163"/>
      <c r="CS39" s="164"/>
      <c r="CW39" s="162"/>
      <c r="CX39" s="162"/>
      <c r="CY39" s="163"/>
      <c r="CZ39" s="164"/>
      <c r="DD39" s="162"/>
      <c r="DE39" s="162"/>
      <c r="DF39" s="163"/>
      <c r="DG39" s="164"/>
      <c r="DK39" s="162"/>
      <c r="DL39" s="162"/>
      <c r="DM39" s="163"/>
      <c r="DN39" s="164"/>
      <c r="DR39" s="162"/>
      <c r="DS39" s="162"/>
      <c r="DT39" s="163"/>
      <c r="DU39" s="164"/>
      <c r="DY39" s="162"/>
      <c r="DZ39" s="162"/>
      <c r="EA39" s="163"/>
      <c r="EB39" s="164"/>
      <c r="EF39" s="162"/>
      <c r="EG39" s="162"/>
      <c r="EH39" s="163"/>
      <c r="EI39" s="164"/>
      <c r="EM39" s="162"/>
      <c r="EN39" s="162"/>
      <c r="EO39" s="163"/>
      <c r="EP39" s="164"/>
      <c r="ET39" s="162"/>
      <c r="EU39" s="162"/>
      <c r="EV39" s="163"/>
      <c r="EW39" s="164"/>
      <c r="FA39" s="162"/>
      <c r="FB39" s="162"/>
      <c r="FC39" s="163"/>
      <c r="FD39" s="164"/>
      <c r="FH39" s="162"/>
      <c r="FI39" s="162"/>
      <c r="FJ39" s="163"/>
      <c r="FK39" s="164"/>
      <c r="FO39" s="162"/>
      <c r="FP39" s="162"/>
      <c r="FQ39" s="163"/>
      <c r="FR39" s="164"/>
      <c r="FV39" s="162"/>
      <c r="FW39" s="162"/>
      <c r="FX39" s="163"/>
      <c r="FY39" s="164"/>
      <c r="GC39" s="162"/>
      <c r="GD39" s="162"/>
      <c r="GE39" s="163"/>
      <c r="GF39" s="164"/>
      <c r="GJ39" s="162"/>
      <c r="GK39" s="162"/>
      <c r="GL39" s="163"/>
      <c r="GM39" s="164"/>
      <c r="GQ39" s="162"/>
      <c r="GR39" s="162"/>
      <c r="GS39" s="163"/>
      <c r="GT39" s="164"/>
      <c r="GX39" s="162"/>
      <c r="GY39" s="162"/>
      <c r="GZ39" s="163"/>
      <c r="HA39" s="164"/>
      <c r="HE39" s="162"/>
      <c r="HF39" s="162"/>
      <c r="HG39" s="163"/>
      <c r="HH39" s="164"/>
      <c r="HL39" s="162"/>
      <c r="HM39" s="162"/>
      <c r="HN39" s="163"/>
      <c r="HO39" s="164"/>
      <c r="HS39" s="162"/>
      <c r="HT39" s="162"/>
      <c r="HU39" s="163"/>
      <c r="HV39" s="164"/>
    </row>
    <row r="40" spans="3:230" x14ac:dyDescent="0.2">
      <c r="C40" s="162"/>
      <c r="D40" s="162"/>
      <c r="E40" s="163"/>
      <c r="F40" s="164"/>
      <c r="J40" s="162"/>
      <c r="K40" s="162"/>
      <c r="L40" s="163"/>
      <c r="M40" s="164"/>
      <c r="Q40" s="162"/>
      <c r="R40" s="162"/>
      <c r="S40" s="163"/>
      <c r="T40" s="164"/>
      <c r="X40" s="162"/>
      <c r="Y40" s="162"/>
      <c r="Z40" s="163"/>
      <c r="AA40" s="164"/>
      <c r="AE40" s="162"/>
      <c r="AF40" s="162"/>
      <c r="AG40" s="163"/>
      <c r="AH40" s="164"/>
      <c r="AL40" s="162"/>
      <c r="AM40" s="162"/>
      <c r="AN40" s="163"/>
      <c r="AO40" s="164"/>
      <c r="AS40" s="162"/>
      <c r="AT40" s="162"/>
      <c r="AU40" s="163"/>
      <c r="AV40" s="164"/>
      <c r="AZ40" s="162"/>
      <c r="BA40" s="162"/>
      <c r="BB40" s="163"/>
      <c r="BC40" s="164"/>
      <c r="BG40" s="162"/>
      <c r="BH40" s="162"/>
      <c r="BI40" s="163"/>
      <c r="BJ40" s="164"/>
      <c r="BN40" s="162"/>
      <c r="BO40" s="162"/>
      <c r="BP40" s="163"/>
      <c r="BQ40" s="164"/>
      <c r="BU40" s="162"/>
      <c r="BV40" s="162"/>
      <c r="BW40" s="163"/>
      <c r="BX40" s="164"/>
      <c r="CB40" s="162"/>
      <c r="CC40" s="162"/>
      <c r="CD40" s="163"/>
      <c r="CE40" s="164"/>
      <c r="CI40" s="162"/>
      <c r="CJ40" s="162"/>
      <c r="CK40" s="163"/>
      <c r="CL40" s="164"/>
      <c r="CP40" s="162"/>
      <c r="CQ40" s="162"/>
      <c r="CR40" s="163"/>
      <c r="CS40" s="164"/>
      <c r="CW40" s="162"/>
      <c r="CX40" s="162"/>
      <c r="CY40" s="163"/>
      <c r="CZ40" s="164"/>
      <c r="DD40" s="162"/>
      <c r="DE40" s="162"/>
      <c r="DF40" s="163"/>
      <c r="DG40" s="164"/>
      <c r="DK40" s="162"/>
      <c r="DL40" s="162"/>
      <c r="DM40" s="163"/>
      <c r="DN40" s="164"/>
      <c r="DR40" s="162"/>
      <c r="DS40" s="162"/>
      <c r="DT40" s="163"/>
      <c r="DU40" s="164"/>
      <c r="DY40" s="162"/>
      <c r="DZ40" s="162"/>
      <c r="EA40" s="163"/>
      <c r="EB40" s="164"/>
      <c r="EF40" s="162"/>
      <c r="EG40" s="162"/>
      <c r="EH40" s="163"/>
      <c r="EI40" s="164"/>
      <c r="EM40" s="162"/>
      <c r="EN40" s="162"/>
      <c r="EO40" s="163"/>
      <c r="EP40" s="164"/>
      <c r="ET40" s="162"/>
      <c r="EU40" s="162"/>
      <c r="EV40" s="163"/>
      <c r="EW40" s="164"/>
      <c r="FA40" s="162"/>
      <c r="FB40" s="162"/>
      <c r="FC40" s="163"/>
      <c r="FD40" s="164"/>
      <c r="FH40" s="162"/>
      <c r="FI40" s="162"/>
      <c r="FJ40" s="163"/>
      <c r="FK40" s="164"/>
      <c r="FO40" s="162"/>
      <c r="FP40" s="162"/>
      <c r="FQ40" s="163"/>
      <c r="FR40" s="164"/>
      <c r="FV40" s="162"/>
      <c r="FW40" s="162"/>
      <c r="FX40" s="163"/>
      <c r="FY40" s="164"/>
      <c r="GC40" s="162"/>
      <c r="GD40" s="162"/>
      <c r="GE40" s="163"/>
      <c r="GF40" s="164"/>
      <c r="GJ40" s="162"/>
      <c r="GK40" s="162"/>
      <c r="GL40" s="163"/>
      <c r="GM40" s="164"/>
      <c r="GQ40" s="162"/>
      <c r="GR40" s="162"/>
      <c r="GS40" s="163"/>
      <c r="GT40" s="164"/>
      <c r="GX40" s="162"/>
      <c r="GY40" s="162"/>
      <c r="GZ40" s="163"/>
      <c r="HA40" s="164"/>
      <c r="HE40" s="162"/>
      <c r="HF40" s="162"/>
      <c r="HG40" s="163"/>
      <c r="HH40" s="164"/>
      <c r="HL40" s="162"/>
      <c r="HM40" s="162"/>
      <c r="HN40" s="163"/>
      <c r="HO40" s="164"/>
      <c r="HS40" s="162"/>
      <c r="HT40" s="162"/>
      <c r="HU40" s="163"/>
      <c r="HV40" s="164"/>
    </row>
    <row r="41" spans="3:230" x14ac:dyDescent="0.2">
      <c r="C41" s="162"/>
      <c r="D41" s="162"/>
      <c r="E41" s="163"/>
      <c r="F41" s="164"/>
      <c r="J41" s="162"/>
      <c r="K41" s="162"/>
      <c r="L41" s="163"/>
      <c r="M41" s="164"/>
      <c r="Q41" s="162"/>
      <c r="R41" s="162"/>
      <c r="S41" s="163"/>
      <c r="T41" s="164"/>
      <c r="X41" s="162"/>
      <c r="Y41" s="162"/>
      <c r="Z41" s="163"/>
      <c r="AA41" s="164"/>
      <c r="AE41" s="162"/>
      <c r="AF41" s="162"/>
      <c r="AG41" s="163"/>
      <c r="AH41" s="164"/>
      <c r="AL41" s="162"/>
      <c r="AM41" s="162"/>
      <c r="AN41" s="163"/>
      <c r="AO41" s="164"/>
      <c r="AS41" s="162"/>
      <c r="AT41" s="162"/>
      <c r="AU41" s="163"/>
      <c r="AV41" s="164"/>
      <c r="AZ41" s="162"/>
      <c r="BA41" s="162"/>
      <c r="BB41" s="163"/>
      <c r="BC41" s="164"/>
      <c r="BG41" s="162"/>
      <c r="BH41" s="162"/>
      <c r="BI41" s="163"/>
      <c r="BJ41" s="164"/>
      <c r="BN41" s="162"/>
      <c r="BO41" s="162"/>
      <c r="BP41" s="163"/>
      <c r="BQ41" s="164"/>
      <c r="BU41" s="162"/>
      <c r="BV41" s="162"/>
      <c r="BW41" s="163"/>
      <c r="BX41" s="164"/>
      <c r="CB41" s="162"/>
      <c r="CC41" s="162"/>
      <c r="CD41" s="163"/>
      <c r="CE41" s="164"/>
      <c r="CI41" s="162"/>
      <c r="CJ41" s="162"/>
      <c r="CK41" s="163"/>
      <c r="CL41" s="164"/>
      <c r="CP41" s="162"/>
      <c r="CQ41" s="162"/>
      <c r="CR41" s="163"/>
      <c r="CS41" s="164"/>
      <c r="CW41" s="162"/>
      <c r="CX41" s="162"/>
      <c r="CY41" s="163"/>
      <c r="CZ41" s="164"/>
      <c r="DD41" s="162"/>
      <c r="DE41" s="162"/>
      <c r="DF41" s="163"/>
      <c r="DG41" s="164"/>
      <c r="DK41" s="162"/>
      <c r="DL41" s="162"/>
      <c r="DM41" s="163"/>
      <c r="DN41" s="164"/>
      <c r="DR41" s="162"/>
      <c r="DS41" s="162"/>
      <c r="DT41" s="163"/>
      <c r="DU41" s="164"/>
      <c r="DY41" s="162"/>
      <c r="DZ41" s="162"/>
      <c r="EA41" s="163"/>
      <c r="EB41" s="164"/>
      <c r="EF41" s="162"/>
      <c r="EG41" s="162"/>
      <c r="EH41" s="163"/>
      <c r="EI41" s="164"/>
      <c r="EM41" s="162"/>
      <c r="EN41" s="162"/>
      <c r="EO41" s="163"/>
      <c r="EP41" s="164"/>
      <c r="ET41" s="162"/>
      <c r="EU41" s="162"/>
      <c r="EV41" s="163"/>
      <c r="EW41" s="164"/>
      <c r="FA41" s="162"/>
      <c r="FB41" s="162"/>
      <c r="FC41" s="163"/>
      <c r="FD41" s="164"/>
      <c r="FH41" s="162"/>
      <c r="FI41" s="162"/>
      <c r="FJ41" s="163"/>
      <c r="FK41" s="164"/>
      <c r="FO41" s="162"/>
      <c r="FP41" s="162"/>
      <c r="FQ41" s="163"/>
      <c r="FR41" s="164"/>
      <c r="FV41" s="162"/>
      <c r="FW41" s="162"/>
      <c r="FX41" s="163"/>
      <c r="FY41" s="164"/>
      <c r="GC41" s="162"/>
      <c r="GD41" s="162"/>
      <c r="GE41" s="163"/>
      <c r="GF41" s="164"/>
      <c r="GJ41" s="162"/>
      <c r="GK41" s="162"/>
      <c r="GL41" s="163"/>
      <c r="GM41" s="164"/>
      <c r="GQ41" s="162"/>
      <c r="GR41" s="162"/>
      <c r="GS41" s="163"/>
      <c r="GT41" s="164"/>
      <c r="GX41" s="162"/>
      <c r="GY41" s="162"/>
      <c r="GZ41" s="163"/>
      <c r="HA41" s="164"/>
      <c r="HE41" s="162"/>
      <c r="HF41" s="162"/>
      <c r="HG41" s="163"/>
      <c r="HH41" s="164"/>
      <c r="HL41" s="162"/>
      <c r="HM41" s="162"/>
      <c r="HN41" s="163"/>
      <c r="HO41" s="164"/>
      <c r="HS41" s="162"/>
      <c r="HT41" s="162"/>
      <c r="HU41" s="163"/>
      <c r="HV41" s="164"/>
    </row>
    <row r="42" spans="3:230" x14ac:dyDescent="0.2">
      <c r="C42" s="162"/>
      <c r="D42" s="162"/>
      <c r="E42" s="163"/>
      <c r="F42" s="164"/>
      <c r="J42" s="162"/>
      <c r="K42" s="162"/>
      <c r="L42" s="163"/>
      <c r="M42" s="164"/>
      <c r="Q42" s="162"/>
      <c r="R42" s="162"/>
      <c r="S42" s="163"/>
      <c r="T42" s="164"/>
      <c r="X42" s="162"/>
      <c r="Y42" s="162"/>
      <c r="Z42" s="163"/>
      <c r="AA42" s="164"/>
      <c r="AE42" s="162"/>
      <c r="AF42" s="162"/>
      <c r="AG42" s="163"/>
      <c r="AH42" s="164"/>
      <c r="AL42" s="162"/>
      <c r="AM42" s="162"/>
      <c r="AN42" s="163"/>
      <c r="AO42" s="164"/>
      <c r="AS42" s="162"/>
      <c r="AT42" s="162"/>
      <c r="AU42" s="163"/>
      <c r="AV42" s="164"/>
      <c r="AZ42" s="162"/>
      <c r="BA42" s="162"/>
      <c r="BB42" s="163"/>
      <c r="BC42" s="164"/>
      <c r="BG42" s="162"/>
      <c r="BH42" s="162"/>
      <c r="BI42" s="163"/>
      <c r="BJ42" s="164"/>
      <c r="BN42" s="162"/>
      <c r="BO42" s="162"/>
      <c r="BP42" s="163"/>
      <c r="BQ42" s="164"/>
      <c r="BU42" s="162"/>
      <c r="BV42" s="162"/>
      <c r="BW42" s="163"/>
      <c r="BX42" s="164"/>
      <c r="CB42" s="162"/>
      <c r="CC42" s="162"/>
      <c r="CD42" s="163"/>
      <c r="CE42" s="164"/>
      <c r="CI42" s="162"/>
      <c r="CJ42" s="162"/>
      <c r="CK42" s="163"/>
      <c r="CL42" s="164"/>
      <c r="CP42" s="162"/>
      <c r="CQ42" s="162"/>
      <c r="CR42" s="163"/>
      <c r="CS42" s="164"/>
      <c r="CW42" s="162"/>
      <c r="CX42" s="162"/>
      <c r="CY42" s="163"/>
      <c r="CZ42" s="164"/>
      <c r="DD42" s="162"/>
      <c r="DE42" s="162"/>
      <c r="DF42" s="163"/>
      <c r="DG42" s="164"/>
      <c r="DK42" s="162"/>
      <c r="DL42" s="162"/>
      <c r="DM42" s="163"/>
      <c r="DN42" s="164"/>
      <c r="DR42" s="162"/>
      <c r="DS42" s="162"/>
      <c r="DT42" s="163"/>
      <c r="DU42" s="164"/>
      <c r="DY42" s="162"/>
      <c r="DZ42" s="162"/>
      <c r="EA42" s="163"/>
      <c r="EB42" s="164"/>
      <c r="EF42" s="162"/>
      <c r="EG42" s="162"/>
      <c r="EH42" s="163"/>
      <c r="EI42" s="164"/>
      <c r="EM42" s="162"/>
      <c r="EN42" s="162"/>
      <c r="EO42" s="163"/>
      <c r="EP42" s="164"/>
      <c r="ET42" s="162"/>
      <c r="EU42" s="162"/>
      <c r="EV42" s="163"/>
      <c r="EW42" s="164"/>
      <c r="FA42" s="162"/>
      <c r="FB42" s="162"/>
      <c r="FC42" s="163"/>
      <c r="FD42" s="164"/>
      <c r="FH42" s="162"/>
      <c r="FI42" s="162"/>
      <c r="FJ42" s="163"/>
      <c r="FK42" s="164"/>
      <c r="FO42" s="162"/>
      <c r="FP42" s="162"/>
      <c r="FQ42" s="163"/>
      <c r="FR42" s="164"/>
      <c r="FV42" s="162"/>
      <c r="FW42" s="162"/>
      <c r="FX42" s="163"/>
      <c r="FY42" s="164"/>
      <c r="GC42" s="162"/>
      <c r="GD42" s="162"/>
      <c r="GE42" s="163"/>
      <c r="GF42" s="164"/>
      <c r="GJ42" s="162"/>
      <c r="GK42" s="162"/>
      <c r="GL42" s="163"/>
      <c r="GM42" s="164"/>
      <c r="GQ42" s="162"/>
      <c r="GR42" s="162"/>
      <c r="GS42" s="163"/>
      <c r="GT42" s="164"/>
      <c r="GX42" s="162"/>
      <c r="GY42" s="162"/>
      <c r="GZ42" s="163"/>
      <c r="HA42" s="164"/>
      <c r="HE42" s="162"/>
      <c r="HF42" s="162"/>
      <c r="HG42" s="163"/>
      <c r="HH42" s="164"/>
      <c r="HL42" s="162"/>
      <c r="HM42" s="162"/>
      <c r="HN42" s="163"/>
      <c r="HO42" s="164"/>
      <c r="HS42" s="162"/>
      <c r="HT42" s="162"/>
      <c r="HU42" s="163"/>
      <c r="HV42" s="164"/>
    </row>
    <row r="43" spans="3:230" x14ac:dyDescent="0.2">
      <c r="C43" s="162"/>
      <c r="D43" s="162"/>
      <c r="E43" s="163"/>
      <c r="F43" s="164"/>
      <c r="J43" s="162"/>
      <c r="K43" s="162"/>
      <c r="L43" s="163"/>
      <c r="M43" s="164"/>
      <c r="Q43" s="162"/>
      <c r="R43" s="162"/>
      <c r="S43" s="163"/>
      <c r="T43" s="164"/>
      <c r="X43" s="162"/>
      <c r="Y43" s="162"/>
      <c r="Z43" s="163"/>
      <c r="AA43" s="164"/>
      <c r="AE43" s="162"/>
      <c r="AF43" s="162"/>
      <c r="AG43" s="163"/>
      <c r="AH43" s="164"/>
      <c r="AL43" s="162"/>
      <c r="AM43" s="162"/>
      <c r="AN43" s="163"/>
      <c r="AO43" s="164"/>
      <c r="AS43" s="162"/>
      <c r="AT43" s="162"/>
      <c r="AU43" s="163"/>
      <c r="AV43" s="164"/>
      <c r="AZ43" s="162"/>
      <c r="BA43" s="162"/>
      <c r="BB43" s="163"/>
      <c r="BC43" s="164"/>
      <c r="BG43" s="162"/>
      <c r="BH43" s="162"/>
      <c r="BI43" s="163"/>
      <c r="BJ43" s="164"/>
      <c r="BN43" s="162"/>
      <c r="BO43" s="162"/>
      <c r="BP43" s="163"/>
      <c r="BQ43" s="164"/>
      <c r="BU43" s="162"/>
      <c r="BV43" s="162"/>
      <c r="BW43" s="163"/>
      <c r="BX43" s="164"/>
      <c r="CB43" s="162"/>
      <c r="CC43" s="162"/>
      <c r="CD43" s="163"/>
      <c r="CE43" s="164"/>
      <c r="CI43" s="162"/>
      <c r="CJ43" s="162"/>
      <c r="CK43" s="163"/>
      <c r="CL43" s="164"/>
      <c r="CP43" s="162"/>
      <c r="CQ43" s="162"/>
      <c r="CR43" s="163"/>
      <c r="CS43" s="164"/>
      <c r="CW43" s="162"/>
      <c r="CX43" s="162"/>
      <c r="CY43" s="163"/>
      <c r="CZ43" s="164"/>
      <c r="DD43" s="162"/>
      <c r="DE43" s="162"/>
      <c r="DF43" s="163"/>
      <c r="DG43" s="164"/>
      <c r="DK43" s="162"/>
      <c r="DL43" s="162"/>
      <c r="DM43" s="163"/>
      <c r="DN43" s="164"/>
      <c r="DR43" s="162"/>
      <c r="DS43" s="162"/>
      <c r="DT43" s="163"/>
      <c r="DU43" s="164"/>
      <c r="DY43" s="162"/>
      <c r="DZ43" s="162"/>
      <c r="EA43" s="163"/>
      <c r="EB43" s="164"/>
      <c r="EF43" s="162"/>
      <c r="EG43" s="162"/>
      <c r="EH43" s="163"/>
      <c r="EI43" s="164"/>
      <c r="EM43" s="162"/>
      <c r="EN43" s="162"/>
      <c r="EO43" s="163"/>
      <c r="EP43" s="164"/>
      <c r="ET43" s="162"/>
      <c r="EU43" s="162"/>
      <c r="EV43" s="163"/>
      <c r="EW43" s="164"/>
      <c r="FA43" s="162"/>
      <c r="FB43" s="162"/>
      <c r="FC43" s="163"/>
      <c r="FD43" s="164"/>
      <c r="FH43" s="162"/>
      <c r="FI43" s="162"/>
      <c r="FJ43" s="163"/>
      <c r="FK43" s="164"/>
      <c r="FO43" s="162"/>
      <c r="FP43" s="162"/>
      <c r="FQ43" s="163"/>
      <c r="FR43" s="164"/>
      <c r="FV43" s="162"/>
      <c r="FW43" s="162"/>
      <c r="FX43" s="163"/>
      <c r="FY43" s="164"/>
      <c r="GC43" s="162"/>
      <c r="GD43" s="162"/>
      <c r="GE43" s="163"/>
      <c r="GF43" s="164"/>
      <c r="GJ43" s="162"/>
      <c r="GK43" s="162"/>
      <c r="GL43" s="163"/>
      <c r="GM43" s="164"/>
      <c r="GQ43" s="162"/>
      <c r="GR43" s="162"/>
      <c r="GS43" s="163"/>
      <c r="GT43" s="164"/>
      <c r="GX43" s="162"/>
      <c r="GY43" s="162"/>
      <c r="GZ43" s="163"/>
      <c r="HA43" s="164"/>
      <c r="HE43" s="162"/>
      <c r="HF43" s="162"/>
      <c r="HG43" s="163"/>
      <c r="HH43" s="164"/>
      <c r="HL43" s="162"/>
      <c r="HM43" s="162"/>
      <c r="HN43" s="163"/>
      <c r="HO43" s="164"/>
      <c r="HS43" s="162"/>
      <c r="HT43" s="162"/>
      <c r="HU43" s="163"/>
      <c r="HV43" s="164"/>
    </row>
    <row r="44" spans="3:230" x14ac:dyDescent="0.2">
      <c r="C44" s="162"/>
      <c r="D44" s="162"/>
      <c r="E44" s="163"/>
      <c r="F44" s="164"/>
      <c r="J44" s="162"/>
      <c r="K44" s="162"/>
      <c r="L44" s="163"/>
      <c r="M44" s="164"/>
      <c r="Q44" s="162"/>
      <c r="R44" s="162"/>
      <c r="S44" s="163"/>
      <c r="T44" s="164"/>
      <c r="X44" s="162"/>
      <c r="Y44" s="162"/>
      <c r="Z44" s="163"/>
      <c r="AA44" s="164"/>
      <c r="AE44" s="162"/>
      <c r="AF44" s="162"/>
      <c r="AG44" s="163"/>
      <c r="AH44" s="164"/>
      <c r="AL44" s="162"/>
      <c r="AM44" s="162"/>
      <c r="AN44" s="163"/>
      <c r="AO44" s="164"/>
      <c r="AS44" s="162"/>
      <c r="AT44" s="162"/>
      <c r="AU44" s="163"/>
      <c r="AV44" s="164"/>
      <c r="AZ44" s="162"/>
      <c r="BA44" s="162"/>
      <c r="BB44" s="163"/>
      <c r="BC44" s="164"/>
      <c r="BG44" s="162"/>
      <c r="BH44" s="162"/>
      <c r="BI44" s="163"/>
      <c r="BJ44" s="164"/>
      <c r="BN44" s="162"/>
      <c r="BO44" s="162"/>
      <c r="BP44" s="163"/>
      <c r="BQ44" s="164"/>
      <c r="BU44" s="162"/>
      <c r="BV44" s="162"/>
      <c r="BW44" s="163"/>
      <c r="BX44" s="164"/>
      <c r="CB44" s="162"/>
      <c r="CC44" s="162"/>
      <c r="CD44" s="163"/>
      <c r="CE44" s="164"/>
      <c r="CI44" s="162"/>
      <c r="CJ44" s="162"/>
      <c r="CK44" s="163"/>
      <c r="CL44" s="164"/>
      <c r="CP44" s="162"/>
      <c r="CQ44" s="162"/>
      <c r="CR44" s="163"/>
      <c r="CS44" s="164"/>
      <c r="CW44" s="162"/>
      <c r="CX44" s="162"/>
      <c r="CY44" s="163"/>
      <c r="CZ44" s="164"/>
      <c r="DD44" s="162"/>
      <c r="DE44" s="162"/>
      <c r="DF44" s="163"/>
      <c r="DG44" s="164"/>
      <c r="DK44" s="162"/>
      <c r="DL44" s="162"/>
      <c r="DM44" s="163"/>
      <c r="DN44" s="164"/>
      <c r="DR44" s="162"/>
      <c r="DS44" s="162"/>
      <c r="DT44" s="163"/>
      <c r="DU44" s="164"/>
      <c r="DY44" s="162"/>
      <c r="DZ44" s="162"/>
      <c r="EA44" s="163"/>
      <c r="EB44" s="164"/>
      <c r="EF44" s="162"/>
      <c r="EG44" s="162"/>
      <c r="EH44" s="163"/>
      <c r="EI44" s="164"/>
      <c r="EM44" s="162"/>
      <c r="EN44" s="162"/>
      <c r="EO44" s="163"/>
      <c r="EP44" s="164"/>
      <c r="ET44" s="162"/>
      <c r="EU44" s="162"/>
      <c r="EV44" s="163"/>
      <c r="EW44" s="164"/>
      <c r="FA44" s="162"/>
      <c r="FB44" s="162"/>
      <c r="FC44" s="163"/>
      <c r="FD44" s="164"/>
      <c r="FH44" s="162"/>
      <c r="FI44" s="162"/>
      <c r="FJ44" s="163"/>
      <c r="FK44" s="164"/>
      <c r="FO44" s="162"/>
      <c r="FP44" s="162"/>
      <c r="FQ44" s="163"/>
      <c r="FR44" s="164"/>
      <c r="FV44" s="162"/>
      <c r="FW44" s="162"/>
      <c r="FX44" s="163"/>
      <c r="FY44" s="164"/>
      <c r="GC44" s="162"/>
      <c r="GD44" s="162"/>
      <c r="GE44" s="163"/>
      <c r="GF44" s="164"/>
      <c r="GJ44" s="162"/>
      <c r="GK44" s="162"/>
      <c r="GL44" s="163"/>
      <c r="GM44" s="164"/>
      <c r="GQ44" s="162"/>
      <c r="GR44" s="162"/>
      <c r="GS44" s="163"/>
      <c r="GT44" s="164"/>
      <c r="GX44" s="162"/>
      <c r="GY44" s="162"/>
      <c r="GZ44" s="163"/>
      <c r="HA44" s="164"/>
      <c r="HE44" s="162"/>
      <c r="HF44" s="162"/>
      <c r="HG44" s="163"/>
      <c r="HH44" s="164"/>
      <c r="HL44" s="162"/>
      <c r="HM44" s="162"/>
      <c r="HN44" s="163"/>
      <c r="HO44" s="164"/>
      <c r="HS44" s="162"/>
      <c r="HT44" s="162"/>
      <c r="HU44" s="163"/>
      <c r="HV44" s="164"/>
    </row>
    <row r="45" spans="3:230" x14ac:dyDescent="0.2">
      <c r="C45" s="162"/>
      <c r="D45" s="162"/>
      <c r="E45" s="163"/>
      <c r="F45" s="164"/>
      <c r="J45" s="162"/>
      <c r="K45" s="162"/>
      <c r="L45" s="163"/>
      <c r="M45" s="164"/>
      <c r="Q45" s="162"/>
      <c r="R45" s="162"/>
      <c r="S45" s="163"/>
      <c r="T45" s="164"/>
      <c r="X45" s="162"/>
      <c r="Y45" s="162"/>
      <c r="Z45" s="163"/>
      <c r="AA45" s="164"/>
      <c r="AE45" s="162"/>
      <c r="AF45" s="162"/>
      <c r="AG45" s="163"/>
      <c r="AH45" s="164"/>
      <c r="AL45" s="162"/>
      <c r="AM45" s="162"/>
      <c r="AN45" s="163"/>
      <c r="AO45" s="164"/>
      <c r="AS45" s="162"/>
      <c r="AT45" s="162"/>
      <c r="AU45" s="163"/>
      <c r="AV45" s="164"/>
      <c r="AZ45" s="162"/>
      <c r="BA45" s="162"/>
      <c r="BB45" s="163"/>
      <c r="BC45" s="164"/>
      <c r="BG45" s="162"/>
      <c r="BH45" s="162"/>
      <c r="BI45" s="163"/>
      <c r="BJ45" s="164"/>
      <c r="BN45" s="162"/>
      <c r="BO45" s="162"/>
      <c r="BP45" s="163"/>
      <c r="BQ45" s="164"/>
      <c r="BU45" s="162"/>
      <c r="BV45" s="162"/>
      <c r="BW45" s="163"/>
      <c r="BX45" s="164"/>
      <c r="CB45" s="162"/>
      <c r="CC45" s="162"/>
      <c r="CD45" s="163"/>
      <c r="CE45" s="164"/>
      <c r="CI45" s="162"/>
      <c r="CJ45" s="162"/>
      <c r="CK45" s="163"/>
      <c r="CL45" s="164"/>
      <c r="CP45" s="162"/>
      <c r="CQ45" s="162"/>
      <c r="CR45" s="163"/>
      <c r="CS45" s="164"/>
      <c r="CW45" s="162"/>
      <c r="CX45" s="162"/>
      <c r="CY45" s="163"/>
      <c r="CZ45" s="164"/>
      <c r="DD45" s="162"/>
      <c r="DE45" s="162"/>
      <c r="DF45" s="163"/>
      <c r="DG45" s="164"/>
      <c r="DK45" s="162"/>
      <c r="DL45" s="162"/>
      <c r="DM45" s="163"/>
      <c r="DN45" s="164"/>
      <c r="DR45" s="162"/>
      <c r="DS45" s="162"/>
      <c r="DT45" s="163"/>
      <c r="DU45" s="164"/>
      <c r="DY45" s="162"/>
      <c r="DZ45" s="162"/>
      <c r="EA45" s="163"/>
      <c r="EB45" s="164"/>
      <c r="EF45" s="162"/>
      <c r="EG45" s="162"/>
      <c r="EH45" s="163"/>
      <c r="EI45" s="164"/>
      <c r="EM45" s="162"/>
      <c r="EN45" s="162"/>
      <c r="EO45" s="163"/>
      <c r="EP45" s="164"/>
      <c r="ET45" s="162"/>
      <c r="EU45" s="162"/>
      <c r="EV45" s="163"/>
      <c r="EW45" s="164"/>
      <c r="FA45" s="162"/>
      <c r="FB45" s="162"/>
      <c r="FC45" s="163"/>
      <c r="FD45" s="164"/>
      <c r="FH45" s="162"/>
      <c r="FI45" s="162"/>
      <c r="FJ45" s="163"/>
      <c r="FK45" s="164"/>
      <c r="FO45" s="162"/>
      <c r="FP45" s="162"/>
      <c r="FQ45" s="163"/>
      <c r="FR45" s="164"/>
      <c r="FV45" s="162"/>
      <c r="FW45" s="162"/>
      <c r="FX45" s="163"/>
      <c r="FY45" s="164"/>
      <c r="GC45" s="162"/>
      <c r="GD45" s="162"/>
      <c r="GE45" s="163"/>
      <c r="GF45" s="164"/>
      <c r="GJ45" s="162"/>
      <c r="GK45" s="162"/>
      <c r="GL45" s="163"/>
      <c r="GM45" s="164"/>
      <c r="GQ45" s="162"/>
      <c r="GR45" s="162"/>
      <c r="GS45" s="163"/>
      <c r="GT45" s="164"/>
      <c r="GX45" s="162"/>
      <c r="GY45" s="162"/>
      <c r="GZ45" s="163"/>
      <c r="HA45" s="164"/>
      <c r="HE45" s="162"/>
      <c r="HF45" s="162"/>
      <c r="HG45" s="163"/>
      <c r="HH45" s="164"/>
      <c r="HL45" s="162"/>
      <c r="HM45" s="162"/>
      <c r="HN45" s="163"/>
      <c r="HO45" s="164"/>
      <c r="HS45" s="162"/>
      <c r="HT45" s="162"/>
      <c r="HU45" s="163"/>
      <c r="HV45" s="164"/>
    </row>
    <row r="46" spans="3:230" x14ac:dyDescent="0.2">
      <c r="C46" s="162"/>
      <c r="D46" s="162"/>
      <c r="E46" s="163"/>
      <c r="F46" s="164"/>
      <c r="J46" s="162"/>
      <c r="K46" s="162"/>
      <c r="L46" s="163"/>
      <c r="M46" s="164"/>
      <c r="Q46" s="162"/>
      <c r="R46" s="162"/>
      <c r="S46" s="163"/>
      <c r="T46" s="164"/>
      <c r="X46" s="162"/>
      <c r="Y46" s="162"/>
      <c r="Z46" s="163"/>
      <c r="AA46" s="164"/>
      <c r="AE46" s="162"/>
      <c r="AF46" s="162"/>
      <c r="AG46" s="163"/>
      <c r="AH46" s="164"/>
      <c r="AL46" s="162"/>
      <c r="AM46" s="162"/>
      <c r="AN46" s="163"/>
      <c r="AO46" s="164"/>
      <c r="AS46" s="162"/>
      <c r="AT46" s="162"/>
      <c r="AU46" s="163"/>
      <c r="AV46" s="164"/>
      <c r="AZ46" s="162"/>
      <c r="BA46" s="162"/>
      <c r="BB46" s="163"/>
      <c r="BC46" s="164"/>
      <c r="BG46" s="162"/>
      <c r="BH46" s="162"/>
      <c r="BI46" s="163"/>
      <c r="BJ46" s="164"/>
      <c r="BN46" s="162"/>
      <c r="BO46" s="162"/>
      <c r="BP46" s="163"/>
      <c r="BQ46" s="164"/>
      <c r="BU46" s="162"/>
      <c r="BV46" s="162"/>
      <c r="BW46" s="163"/>
      <c r="BX46" s="164"/>
      <c r="CB46" s="162"/>
      <c r="CC46" s="162"/>
      <c r="CD46" s="163"/>
      <c r="CE46" s="164"/>
      <c r="CI46" s="162"/>
      <c r="CJ46" s="162"/>
      <c r="CK46" s="163"/>
      <c r="CL46" s="164"/>
      <c r="CP46" s="162"/>
      <c r="CQ46" s="162"/>
      <c r="CR46" s="163"/>
      <c r="CS46" s="164"/>
      <c r="CW46" s="162"/>
      <c r="CX46" s="162"/>
      <c r="CY46" s="163"/>
      <c r="CZ46" s="164"/>
      <c r="DD46" s="162"/>
      <c r="DE46" s="162"/>
      <c r="DF46" s="163"/>
      <c r="DG46" s="164"/>
      <c r="DK46" s="162"/>
      <c r="DL46" s="162"/>
      <c r="DM46" s="163"/>
      <c r="DN46" s="164"/>
      <c r="DR46" s="162"/>
      <c r="DS46" s="162"/>
      <c r="DT46" s="163"/>
      <c r="DU46" s="164"/>
      <c r="DY46" s="162"/>
      <c r="DZ46" s="162"/>
      <c r="EA46" s="163"/>
      <c r="EB46" s="164"/>
      <c r="EF46" s="162"/>
      <c r="EG46" s="162"/>
      <c r="EH46" s="163"/>
      <c r="EI46" s="164"/>
      <c r="EM46" s="162"/>
      <c r="EN46" s="162"/>
      <c r="EO46" s="163"/>
      <c r="EP46" s="164"/>
      <c r="ET46" s="162"/>
      <c r="EU46" s="162"/>
      <c r="EV46" s="163"/>
      <c r="EW46" s="164"/>
      <c r="FA46" s="162"/>
      <c r="FB46" s="162"/>
      <c r="FC46" s="163"/>
      <c r="FD46" s="164"/>
      <c r="FH46" s="162"/>
      <c r="FI46" s="162"/>
      <c r="FJ46" s="163"/>
      <c r="FK46" s="164"/>
      <c r="FO46" s="162"/>
      <c r="FP46" s="162"/>
      <c r="FQ46" s="163"/>
      <c r="FR46" s="164"/>
      <c r="FV46" s="162"/>
      <c r="FW46" s="162"/>
      <c r="FX46" s="163"/>
      <c r="FY46" s="164"/>
      <c r="GC46" s="162"/>
      <c r="GD46" s="162"/>
      <c r="GE46" s="163"/>
      <c r="GF46" s="164"/>
      <c r="GJ46" s="162"/>
      <c r="GK46" s="162"/>
      <c r="GL46" s="163"/>
      <c r="GM46" s="164"/>
      <c r="GQ46" s="162"/>
      <c r="GR46" s="162"/>
      <c r="GS46" s="163"/>
      <c r="GT46" s="164"/>
      <c r="GX46" s="162"/>
      <c r="GY46" s="162"/>
      <c r="GZ46" s="163"/>
      <c r="HA46" s="164"/>
      <c r="HE46" s="162"/>
      <c r="HF46" s="162"/>
      <c r="HG46" s="163"/>
      <c r="HH46" s="164"/>
      <c r="HL46" s="162"/>
      <c r="HM46" s="162"/>
      <c r="HN46" s="163"/>
      <c r="HO46" s="164"/>
      <c r="HS46" s="162"/>
      <c r="HT46" s="162"/>
      <c r="HU46" s="163"/>
      <c r="HV46" s="164"/>
    </row>
    <row r="47" spans="3:230" x14ac:dyDescent="0.2">
      <c r="C47" s="162"/>
      <c r="D47" s="162"/>
      <c r="E47" s="163"/>
      <c r="F47" s="164"/>
      <c r="J47" s="162"/>
      <c r="K47" s="162"/>
      <c r="L47" s="163"/>
      <c r="M47" s="164"/>
      <c r="Q47" s="162"/>
      <c r="R47" s="162"/>
      <c r="S47" s="163"/>
      <c r="T47" s="164"/>
      <c r="X47" s="162"/>
      <c r="Y47" s="162"/>
      <c r="Z47" s="163"/>
      <c r="AA47" s="164"/>
      <c r="AE47" s="162"/>
      <c r="AF47" s="162"/>
      <c r="AG47" s="163"/>
      <c r="AH47" s="164"/>
      <c r="AL47" s="162"/>
      <c r="AM47" s="162"/>
      <c r="AN47" s="163"/>
      <c r="AO47" s="164"/>
      <c r="AS47" s="162"/>
      <c r="AT47" s="162"/>
      <c r="AU47" s="163"/>
      <c r="AV47" s="164"/>
      <c r="AZ47" s="162"/>
      <c r="BA47" s="162"/>
      <c r="BB47" s="163"/>
      <c r="BC47" s="164"/>
      <c r="BG47" s="162"/>
      <c r="BH47" s="162"/>
      <c r="BI47" s="163"/>
      <c r="BJ47" s="164"/>
      <c r="BN47" s="162"/>
      <c r="BO47" s="162"/>
      <c r="BP47" s="163"/>
      <c r="BQ47" s="164"/>
      <c r="BU47" s="162"/>
      <c r="BV47" s="162"/>
      <c r="BW47" s="163"/>
      <c r="BX47" s="164"/>
      <c r="CB47" s="162"/>
      <c r="CC47" s="162"/>
      <c r="CD47" s="163"/>
      <c r="CE47" s="164"/>
      <c r="CI47" s="162"/>
      <c r="CJ47" s="162"/>
      <c r="CK47" s="163"/>
      <c r="CL47" s="164"/>
      <c r="CP47" s="162"/>
      <c r="CQ47" s="162"/>
      <c r="CR47" s="163"/>
      <c r="CS47" s="164"/>
      <c r="CW47" s="162"/>
      <c r="CX47" s="162"/>
      <c r="CY47" s="163"/>
      <c r="CZ47" s="164"/>
      <c r="DD47" s="162"/>
      <c r="DE47" s="162"/>
      <c r="DF47" s="163"/>
      <c r="DG47" s="164"/>
      <c r="DK47" s="162"/>
      <c r="DL47" s="162"/>
      <c r="DM47" s="163"/>
      <c r="DN47" s="164"/>
      <c r="DR47" s="162"/>
      <c r="DS47" s="162"/>
      <c r="DT47" s="163"/>
      <c r="DU47" s="164"/>
      <c r="DY47" s="162"/>
      <c r="DZ47" s="162"/>
      <c r="EA47" s="163"/>
      <c r="EB47" s="164"/>
      <c r="EF47" s="162"/>
      <c r="EG47" s="162"/>
      <c r="EH47" s="163"/>
      <c r="EI47" s="164"/>
      <c r="EM47" s="162"/>
      <c r="EN47" s="162"/>
      <c r="EO47" s="163"/>
      <c r="EP47" s="164"/>
      <c r="ET47" s="162"/>
      <c r="EU47" s="162"/>
      <c r="EV47" s="163"/>
      <c r="EW47" s="164"/>
      <c r="FA47" s="162"/>
      <c r="FB47" s="162"/>
      <c r="FC47" s="163"/>
      <c r="FD47" s="164"/>
      <c r="FH47" s="162"/>
      <c r="FI47" s="162"/>
      <c r="FJ47" s="163"/>
      <c r="FK47" s="164"/>
      <c r="FO47" s="162"/>
      <c r="FP47" s="162"/>
      <c r="FQ47" s="163"/>
      <c r="FR47" s="164"/>
      <c r="FV47" s="162"/>
      <c r="FW47" s="162"/>
      <c r="FX47" s="163"/>
      <c r="FY47" s="164"/>
      <c r="GC47" s="162"/>
      <c r="GD47" s="162"/>
      <c r="GE47" s="163"/>
      <c r="GF47" s="164"/>
      <c r="GJ47" s="162"/>
      <c r="GK47" s="162"/>
      <c r="GL47" s="163"/>
      <c r="GM47" s="164"/>
      <c r="GQ47" s="162"/>
      <c r="GR47" s="162"/>
      <c r="GS47" s="163"/>
      <c r="GT47" s="164"/>
      <c r="GX47" s="162"/>
      <c r="GY47" s="162"/>
      <c r="GZ47" s="163"/>
      <c r="HA47" s="164"/>
      <c r="HE47" s="162"/>
      <c r="HF47" s="162"/>
      <c r="HG47" s="163"/>
      <c r="HH47" s="164"/>
      <c r="HL47" s="162"/>
      <c r="HM47" s="162"/>
      <c r="HN47" s="163"/>
      <c r="HO47" s="164"/>
      <c r="HS47" s="162"/>
      <c r="HT47" s="162"/>
      <c r="HU47" s="163"/>
      <c r="HV47" s="164"/>
    </row>
    <row r="48" spans="3:230" x14ac:dyDescent="0.2">
      <c r="C48" s="162"/>
      <c r="D48" s="162"/>
      <c r="E48" s="163"/>
      <c r="F48" s="164"/>
      <c r="J48" s="162"/>
      <c r="K48" s="162"/>
      <c r="L48" s="163"/>
      <c r="M48" s="164"/>
      <c r="Q48" s="162"/>
      <c r="R48" s="162"/>
      <c r="S48" s="163"/>
      <c r="T48" s="164"/>
      <c r="X48" s="162"/>
      <c r="Y48" s="162"/>
      <c r="Z48" s="163"/>
      <c r="AA48" s="164"/>
      <c r="AE48" s="162"/>
      <c r="AF48" s="162"/>
      <c r="AG48" s="163"/>
      <c r="AH48" s="164"/>
      <c r="AL48" s="162"/>
      <c r="AM48" s="162"/>
      <c r="AN48" s="163"/>
      <c r="AO48" s="164"/>
      <c r="AS48" s="162"/>
      <c r="AT48" s="162"/>
      <c r="AU48" s="163"/>
      <c r="AV48" s="164"/>
      <c r="AZ48" s="162"/>
      <c r="BA48" s="162"/>
      <c r="BB48" s="163"/>
      <c r="BC48" s="164"/>
      <c r="BG48" s="162"/>
      <c r="BH48" s="162"/>
      <c r="BI48" s="163"/>
      <c r="BJ48" s="164"/>
      <c r="BN48" s="162"/>
      <c r="BO48" s="162"/>
      <c r="BP48" s="163"/>
      <c r="BQ48" s="164"/>
      <c r="BU48" s="162"/>
      <c r="BV48" s="162"/>
      <c r="BW48" s="163"/>
      <c r="BX48" s="164"/>
      <c r="CB48" s="162"/>
      <c r="CC48" s="162"/>
      <c r="CD48" s="163"/>
      <c r="CE48" s="164"/>
      <c r="CI48" s="162"/>
      <c r="CJ48" s="162"/>
      <c r="CK48" s="163"/>
      <c r="CL48" s="164"/>
      <c r="CP48" s="162"/>
      <c r="CQ48" s="162"/>
      <c r="CR48" s="163"/>
      <c r="CS48" s="164"/>
      <c r="CW48" s="162"/>
      <c r="CX48" s="162"/>
      <c r="CY48" s="163"/>
      <c r="CZ48" s="164"/>
      <c r="DD48" s="162"/>
      <c r="DE48" s="162"/>
      <c r="DF48" s="163"/>
      <c r="DG48" s="164"/>
      <c r="DK48" s="162"/>
      <c r="DL48" s="162"/>
      <c r="DM48" s="163"/>
      <c r="DN48" s="164"/>
      <c r="DR48" s="162"/>
      <c r="DS48" s="162"/>
      <c r="DT48" s="163"/>
      <c r="DU48" s="164"/>
      <c r="DY48" s="162"/>
      <c r="DZ48" s="162"/>
      <c r="EA48" s="163"/>
      <c r="EB48" s="164"/>
      <c r="EF48" s="162"/>
      <c r="EG48" s="162"/>
      <c r="EH48" s="163"/>
      <c r="EI48" s="164"/>
      <c r="EM48" s="162"/>
      <c r="EN48" s="162"/>
      <c r="EO48" s="163"/>
      <c r="EP48" s="164"/>
      <c r="ET48" s="162"/>
      <c r="EU48" s="162"/>
      <c r="EV48" s="163"/>
      <c r="EW48" s="164"/>
      <c r="FA48" s="162"/>
      <c r="FB48" s="162"/>
      <c r="FC48" s="163"/>
      <c r="FD48" s="164"/>
      <c r="FH48" s="162"/>
      <c r="FI48" s="162"/>
      <c r="FJ48" s="163"/>
      <c r="FK48" s="164"/>
      <c r="FO48" s="162"/>
      <c r="FP48" s="162"/>
      <c r="FQ48" s="163"/>
      <c r="FR48" s="164"/>
      <c r="FV48" s="162"/>
      <c r="FW48" s="162"/>
      <c r="FX48" s="163"/>
      <c r="FY48" s="164"/>
      <c r="GC48" s="162"/>
      <c r="GD48" s="162"/>
      <c r="GE48" s="163"/>
      <c r="GF48" s="164"/>
      <c r="GJ48" s="162"/>
      <c r="GK48" s="162"/>
      <c r="GL48" s="163"/>
      <c r="GM48" s="164"/>
      <c r="GQ48" s="162"/>
      <c r="GR48" s="162"/>
      <c r="GS48" s="163"/>
      <c r="GT48" s="164"/>
      <c r="GX48" s="162"/>
      <c r="GY48" s="162"/>
      <c r="GZ48" s="163"/>
      <c r="HA48" s="164"/>
      <c r="HE48" s="162"/>
      <c r="HF48" s="162"/>
      <c r="HG48" s="163"/>
      <c r="HH48" s="164"/>
      <c r="HL48" s="162"/>
      <c r="HM48" s="162"/>
      <c r="HN48" s="163"/>
      <c r="HO48" s="164"/>
      <c r="HS48" s="162"/>
      <c r="HT48" s="162"/>
      <c r="HU48" s="163"/>
      <c r="HV48" s="164"/>
    </row>
    <row r="49" spans="3:230" x14ac:dyDescent="0.2">
      <c r="C49" s="162"/>
      <c r="D49" s="162"/>
      <c r="E49" s="163"/>
      <c r="F49" s="164"/>
      <c r="J49" s="162"/>
      <c r="K49" s="162"/>
      <c r="L49" s="163"/>
      <c r="M49" s="164"/>
      <c r="Q49" s="162"/>
      <c r="R49" s="162"/>
      <c r="S49" s="163"/>
      <c r="T49" s="164"/>
      <c r="X49" s="162"/>
      <c r="Y49" s="162"/>
      <c r="Z49" s="163"/>
      <c r="AA49" s="164"/>
      <c r="AE49" s="162"/>
      <c r="AF49" s="162"/>
      <c r="AG49" s="163"/>
      <c r="AH49" s="164"/>
      <c r="AL49" s="162"/>
      <c r="AM49" s="162"/>
      <c r="AN49" s="163"/>
      <c r="AO49" s="164"/>
      <c r="AS49" s="162"/>
      <c r="AT49" s="162"/>
      <c r="AU49" s="163"/>
      <c r="AV49" s="164"/>
      <c r="AZ49" s="162"/>
      <c r="BA49" s="162"/>
      <c r="BB49" s="163"/>
      <c r="BC49" s="164"/>
      <c r="BG49" s="162"/>
      <c r="BH49" s="162"/>
      <c r="BI49" s="163"/>
      <c r="BJ49" s="164"/>
      <c r="BN49" s="162"/>
      <c r="BO49" s="162"/>
      <c r="BP49" s="163"/>
      <c r="BQ49" s="164"/>
      <c r="BU49" s="162"/>
      <c r="BV49" s="162"/>
      <c r="BW49" s="163"/>
      <c r="BX49" s="164"/>
      <c r="CB49" s="162"/>
      <c r="CC49" s="162"/>
      <c r="CD49" s="163"/>
      <c r="CE49" s="164"/>
      <c r="CI49" s="162"/>
      <c r="CJ49" s="162"/>
      <c r="CK49" s="163"/>
      <c r="CL49" s="164"/>
      <c r="CP49" s="162"/>
      <c r="CQ49" s="162"/>
      <c r="CR49" s="163"/>
      <c r="CS49" s="164"/>
      <c r="CW49" s="162"/>
      <c r="CX49" s="162"/>
      <c r="CY49" s="163"/>
      <c r="CZ49" s="164"/>
      <c r="DD49" s="162"/>
      <c r="DE49" s="162"/>
      <c r="DF49" s="163"/>
      <c r="DG49" s="164"/>
      <c r="DK49" s="162"/>
      <c r="DL49" s="162"/>
      <c r="DM49" s="163"/>
      <c r="DN49" s="164"/>
      <c r="DR49" s="162"/>
      <c r="DS49" s="162"/>
      <c r="DT49" s="163"/>
      <c r="DU49" s="164"/>
      <c r="DY49" s="162"/>
      <c r="DZ49" s="162"/>
      <c r="EA49" s="163"/>
      <c r="EB49" s="164"/>
      <c r="EF49" s="162"/>
      <c r="EG49" s="162"/>
      <c r="EH49" s="163"/>
      <c r="EI49" s="164"/>
      <c r="EM49" s="162"/>
      <c r="EN49" s="162"/>
      <c r="EO49" s="163"/>
      <c r="EP49" s="164"/>
      <c r="ET49" s="162"/>
      <c r="EU49" s="162"/>
      <c r="EV49" s="163"/>
      <c r="EW49" s="164"/>
      <c r="FA49" s="162"/>
      <c r="FB49" s="162"/>
      <c r="FC49" s="163"/>
      <c r="FD49" s="164"/>
      <c r="FH49" s="162"/>
      <c r="FI49" s="162"/>
      <c r="FJ49" s="163"/>
      <c r="FK49" s="164"/>
      <c r="FO49" s="162"/>
      <c r="FP49" s="162"/>
      <c r="FQ49" s="163"/>
      <c r="FR49" s="164"/>
      <c r="FV49" s="162"/>
      <c r="FW49" s="162"/>
      <c r="FX49" s="163"/>
      <c r="FY49" s="164"/>
      <c r="GC49" s="162"/>
      <c r="GD49" s="162"/>
      <c r="GE49" s="163"/>
      <c r="GF49" s="164"/>
      <c r="GJ49" s="162"/>
      <c r="GK49" s="162"/>
      <c r="GL49" s="163"/>
      <c r="GM49" s="164"/>
      <c r="GQ49" s="162"/>
      <c r="GR49" s="162"/>
      <c r="GS49" s="163"/>
      <c r="GT49" s="164"/>
      <c r="GX49" s="162"/>
      <c r="GY49" s="162"/>
      <c r="GZ49" s="163"/>
      <c r="HA49" s="164"/>
      <c r="HE49" s="162"/>
      <c r="HF49" s="162"/>
      <c r="HG49" s="163"/>
      <c r="HH49" s="164"/>
      <c r="HL49" s="162"/>
      <c r="HM49" s="162"/>
      <c r="HN49" s="163"/>
      <c r="HO49" s="164"/>
      <c r="HS49" s="162"/>
      <c r="HT49" s="162"/>
      <c r="HU49" s="163"/>
      <c r="HV49" s="164"/>
    </row>
    <row r="50" spans="3:230" x14ac:dyDescent="0.2">
      <c r="C50" s="162"/>
      <c r="D50" s="162"/>
      <c r="E50" s="163"/>
      <c r="F50" s="164"/>
      <c r="J50" s="162"/>
      <c r="K50" s="162"/>
      <c r="L50" s="163"/>
      <c r="M50" s="164"/>
      <c r="Q50" s="162"/>
      <c r="R50" s="162"/>
      <c r="S50" s="163"/>
      <c r="T50" s="164"/>
      <c r="X50" s="162"/>
      <c r="Y50" s="162"/>
      <c r="Z50" s="163"/>
      <c r="AA50" s="164"/>
      <c r="AE50" s="162"/>
      <c r="AF50" s="162"/>
      <c r="AG50" s="163"/>
      <c r="AH50" s="164"/>
      <c r="AL50" s="162"/>
      <c r="AM50" s="162"/>
      <c r="AN50" s="163"/>
      <c r="AO50" s="164"/>
      <c r="AS50" s="162"/>
      <c r="AT50" s="162"/>
      <c r="AU50" s="163"/>
      <c r="AV50" s="164"/>
      <c r="AZ50" s="162"/>
      <c r="BA50" s="162"/>
      <c r="BB50" s="163"/>
      <c r="BC50" s="164"/>
      <c r="BG50" s="162"/>
      <c r="BH50" s="162"/>
      <c r="BI50" s="163"/>
      <c r="BJ50" s="164"/>
      <c r="BN50" s="162"/>
      <c r="BO50" s="162"/>
      <c r="BP50" s="163"/>
      <c r="BQ50" s="164"/>
      <c r="BU50" s="162"/>
      <c r="BV50" s="162"/>
      <c r="BW50" s="163"/>
      <c r="BX50" s="164"/>
      <c r="CB50" s="162"/>
      <c r="CC50" s="162"/>
      <c r="CD50" s="163"/>
      <c r="CE50" s="164"/>
      <c r="CI50" s="162"/>
      <c r="CJ50" s="162"/>
      <c r="CK50" s="163"/>
      <c r="CL50" s="164"/>
      <c r="CP50" s="162"/>
      <c r="CQ50" s="162"/>
      <c r="CR50" s="163"/>
      <c r="CS50" s="164"/>
      <c r="CW50" s="162"/>
      <c r="CX50" s="162"/>
      <c r="CY50" s="163"/>
      <c r="CZ50" s="164"/>
      <c r="DD50" s="162"/>
      <c r="DE50" s="162"/>
      <c r="DF50" s="163"/>
      <c r="DG50" s="164"/>
      <c r="DK50" s="162"/>
      <c r="DL50" s="162"/>
      <c r="DM50" s="163"/>
      <c r="DN50" s="164"/>
      <c r="DR50" s="162"/>
      <c r="DS50" s="162"/>
      <c r="DT50" s="163"/>
      <c r="DU50" s="164"/>
      <c r="DY50" s="162"/>
      <c r="DZ50" s="162"/>
      <c r="EA50" s="163"/>
      <c r="EB50" s="164"/>
      <c r="EF50" s="162"/>
      <c r="EG50" s="162"/>
      <c r="EH50" s="163"/>
      <c r="EI50" s="164"/>
      <c r="EM50" s="162"/>
      <c r="EN50" s="162"/>
      <c r="EO50" s="163"/>
      <c r="EP50" s="164"/>
      <c r="ET50" s="162"/>
      <c r="EU50" s="162"/>
      <c r="EV50" s="163"/>
      <c r="EW50" s="164"/>
      <c r="FA50" s="162"/>
      <c r="FB50" s="162"/>
      <c r="FC50" s="163"/>
      <c r="FD50" s="164"/>
      <c r="FH50" s="162"/>
      <c r="FI50" s="162"/>
      <c r="FJ50" s="163"/>
      <c r="FK50" s="164"/>
      <c r="FO50" s="162"/>
      <c r="FP50" s="162"/>
      <c r="FQ50" s="163"/>
      <c r="FR50" s="164"/>
      <c r="FV50" s="162"/>
      <c r="FW50" s="162"/>
      <c r="FX50" s="163"/>
      <c r="FY50" s="164"/>
      <c r="GC50" s="162"/>
      <c r="GD50" s="162"/>
      <c r="GE50" s="163"/>
      <c r="GF50" s="164"/>
      <c r="GJ50" s="162"/>
      <c r="GK50" s="162"/>
      <c r="GL50" s="163"/>
      <c r="GM50" s="164"/>
      <c r="GQ50" s="162"/>
      <c r="GR50" s="162"/>
      <c r="GS50" s="163"/>
      <c r="GT50" s="164"/>
      <c r="GX50" s="162"/>
      <c r="GY50" s="162"/>
      <c r="GZ50" s="163"/>
      <c r="HA50" s="164"/>
      <c r="HE50" s="162"/>
      <c r="HF50" s="162"/>
      <c r="HG50" s="163"/>
      <c r="HH50" s="164"/>
      <c r="HL50" s="162"/>
      <c r="HM50" s="162"/>
      <c r="HN50" s="163"/>
      <c r="HO50" s="164"/>
      <c r="HS50" s="162"/>
      <c r="HT50" s="162"/>
      <c r="HU50" s="163"/>
      <c r="HV50" s="164"/>
    </row>
    <row r="51" spans="3:230" x14ac:dyDescent="0.2">
      <c r="C51" s="162"/>
      <c r="D51" s="162"/>
      <c r="E51" s="163"/>
      <c r="F51" s="164"/>
      <c r="J51" s="162"/>
      <c r="K51" s="162"/>
      <c r="L51" s="163"/>
      <c r="M51" s="164"/>
      <c r="Q51" s="162"/>
      <c r="R51" s="162"/>
      <c r="S51" s="163"/>
      <c r="T51" s="164"/>
      <c r="X51" s="162"/>
      <c r="Y51" s="162"/>
      <c r="Z51" s="163"/>
      <c r="AA51" s="164"/>
      <c r="AE51" s="162"/>
      <c r="AF51" s="162"/>
      <c r="AG51" s="163"/>
      <c r="AH51" s="164"/>
      <c r="AL51" s="162"/>
      <c r="AM51" s="162"/>
      <c r="AN51" s="163"/>
      <c r="AO51" s="164"/>
      <c r="AS51" s="162"/>
      <c r="AT51" s="162"/>
      <c r="AU51" s="163"/>
      <c r="AV51" s="164"/>
      <c r="AZ51" s="162"/>
      <c r="BA51" s="162"/>
      <c r="BB51" s="163"/>
      <c r="BC51" s="164"/>
      <c r="BG51" s="162"/>
      <c r="BH51" s="162"/>
      <c r="BI51" s="163"/>
      <c r="BJ51" s="164"/>
      <c r="BN51" s="162"/>
      <c r="BO51" s="162"/>
      <c r="BP51" s="163"/>
      <c r="BQ51" s="164"/>
      <c r="BU51" s="162"/>
      <c r="BV51" s="162"/>
      <c r="BW51" s="163"/>
      <c r="BX51" s="164"/>
      <c r="CB51" s="162"/>
      <c r="CC51" s="162"/>
      <c r="CD51" s="163"/>
      <c r="CE51" s="164"/>
      <c r="CI51" s="162"/>
      <c r="CJ51" s="162"/>
      <c r="CK51" s="163"/>
      <c r="CL51" s="164"/>
      <c r="CP51" s="162"/>
      <c r="CQ51" s="162"/>
      <c r="CR51" s="163"/>
      <c r="CS51" s="164"/>
      <c r="CW51" s="162"/>
      <c r="CX51" s="162"/>
      <c r="CY51" s="163"/>
      <c r="CZ51" s="164"/>
      <c r="DD51" s="162"/>
      <c r="DE51" s="162"/>
      <c r="DF51" s="163"/>
      <c r="DG51" s="164"/>
      <c r="DK51" s="162"/>
      <c r="DL51" s="162"/>
      <c r="DM51" s="163"/>
      <c r="DN51" s="164"/>
      <c r="DR51" s="162"/>
      <c r="DS51" s="162"/>
      <c r="DT51" s="163"/>
      <c r="DU51" s="164"/>
      <c r="DY51" s="162"/>
      <c r="DZ51" s="162"/>
      <c r="EA51" s="163"/>
      <c r="EB51" s="164"/>
      <c r="EF51" s="162"/>
      <c r="EG51" s="162"/>
      <c r="EH51" s="163"/>
      <c r="EI51" s="164"/>
      <c r="EM51" s="162"/>
      <c r="EN51" s="162"/>
      <c r="EO51" s="163"/>
      <c r="EP51" s="164"/>
      <c r="ET51" s="162"/>
      <c r="EU51" s="162"/>
      <c r="EV51" s="163"/>
      <c r="EW51" s="164"/>
      <c r="FA51" s="162"/>
      <c r="FB51" s="162"/>
      <c r="FC51" s="163"/>
      <c r="FD51" s="164"/>
      <c r="FH51" s="162"/>
      <c r="FI51" s="162"/>
      <c r="FJ51" s="163"/>
      <c r="FK51" s="164"/>
      <c r="FO51" s="162"/>
      <c r="FP51" s="162"/>
      <c r="FQ51" s="163"/>
      <c r="FR51" s="164"/>
      <c r="FV51" s="162"/>
      <c r="FW51" s="162"/>
      <c r="FX51" s="163"/>
      <c r="FY51" s="164"/>
      <c r="GC51" s="162"/>
      <c r="GD51" s="162"/>
      <c r="GE51" s="163"/>
      <c r="GF51" s="164"/>
      <c r="GJ51" s="162"/>
      <c r="GK51" s="162"/>
      <c r="GL51" s="163"/>
      <c r="GM51" s="164"/>
      <c r="GQ51" s="162"/>
      <c r="GR51" s="162"/>
      <c r="GS51" s="163"/>
      <c r="GT51" s="164"/>
      <c r="GX51" s="162"/>
      <c r="GY51" s="162"/>
      <c r="GZ51" s="163"/>
      <c r="HA51" s="164"/>
      <c r="HE51" s="162"/>
      <c r="HF51" s="162"/>
      <c r="HG51" s="163"/>
      <c r="HH51" s="164"/>
      <c r="HL51" s="162"/>
      <c r="HM51" s="162"/>
      <c r="HN51" s="163"/>
      <c r="HO51" s="164"/>
      <c r="HS51" s="162"/>
      <c r="HT51" s="162"/>
      <c r="HU51" s="163"/>
      <c r="HV51" s="164"/>
    </row>
    <row r="52" spans="3:230" x14ac:dyDescent="0.2">
      <c r="C52" s="162"/>
      <c r="D52" s="162"/>
      <c r="E52" s="163"/>
      <c r="F52" s="164"/>
      <c r="J52" s="162"/>
      <c r="K52" s="162"/>
      <c r="L52" s="163"/>
      <c r="M52" s="164"/>
      <c r="Q52" s="162"/>
      <c r="R52" s="162"/>
      <c r="S52" s="163"/>
      <c r="T52" s="164"/>
      <c r="X52" s="162"/>
      <c r="Y52" s="162"/>
      <c r="Z52" s="163"/>
      <c r="AA52" s="164"/>
      <c r="AE52" s="162"/>
      <c r="AF52" s="162"/>
      <c r="AG52" s="163"/>
      <c r="AH52" s="164"/>
      <c r="AL52" s="162"/>
      <c r="AM52" s="162"/>
      <c r="AN52" s="163"/>
      <c r="AO52" s="164"/>
      <c r="AS52" s="162"/>
      <c r="AT52" s="162"/>
      <c r="AU52" s="163"/>
      <c r="AV52" s="164"/>
      <c r="AZ52" s="162"/>
      <c r="BA52" s="162"/>
      <c r="BB52" s="163"/>
      <c r="BC52" s="164"/>
      <c r="BG52" s="162"/>
      <c r="BH52" s="162"/>
      <c r="BI52" s="163"/>
      <c r="BJ52" s="164"/>
      <c r="BN52" s="162"/>
      <c r="BO52" s="162"/>
      <c r="BP52" s="163"/>
      <c r="BQ52" s="164"/>
      <c r="BU52" s="162"/>
      <c r="BV52" s="162"/>
      <c r="BW52" s="163"/>
      <c r="BX52" s="164"/>
      <c r="CB52" s="162"/>
      <c r="CC52" s="162"/>
      <c r="CD52" s="163"/>
      <c r="CE52" s="164"/>
      <c r="CI52" s="162"/>
      <c r="CJ52" s="162"/>
      <c r="CK52" s="163"/>
      <c r="CL52" s="164"/>
      <c r="CP52" s="162"/>
      <c r="CQ52" s="162"/>
      <c r="CR52" s="163"/>
      <c r="CS52" s="164"/>
      <c r="CW52" s="162"/>
      <c r="CX52" s="162"/>
      <c r="CY52" s="163"/>
      <c r="CZ52" s="164"/>
      <c r="DD52" s="162"/>
      <c r="DE52" s="162"/>
      <c r="DF52" s="163"/>
      <c r="DG52" s="164"/>
      <c r="DK52" s="162"/>
      <c r="DL52" s="162"/>
      <c r="DM52" s="163"/>
      <c r="DN52" s="164"/>
      <c r="DR52" s="162"/>
      <c r="DS52" s="162"/>
      <c r="DT52" s="163"/>
      <c r="DU52" s="164"/>
      <c r="DY52" s="162"/>
      <c r="DZ52" s="162"/>
      <c r="EA52" s="163"/>
      <c r="EB52" s="164"/>
      <c r="EF52" s="162"/>
      <c r="EG52" s="162"/>
      <c r="EH52" s="163"/>
      <c r="EI52" s="164"/>
      <c r="EM52" s="162"/>
      <c r="EN52" s="162"/>
      <c r="EO52" s="163"/>
      <c r="EP52" s="164"/>
      <c r="ET52" s="162"/>
      <c r="EU52" s="162"/>
      <c r="EV52" s="163"/>
      <c r="EW52" s="164"/>
      <c r="FA52" s="162"/>
      <c r="FB52" s="162"/>
      <c r="FC52" s="163"/>
      <c r="FD52" s="164"/>
      <c r="FH52" s="162"/>
      <c r="FI52" s="162"/>
      <c r="FJ52" s="163"/>
      <c r="FK52" s="164"/>
      <c r="FO52" s="162"/>
      <c r="FP52" s="162"/>
      <c r="FQ52" s="163"/>
      <c r="FR52" s="164"/>
      <c r="FV52" s="162"/>
      <c r="FW52" s="162"/>
      <c r="FX52" s="163"/>
      <c r="FY52" s="164"/>
      <c r="GC52" s="162"/>
      <c r="GD52" s="162"/>
      <c r="GE52" s="163"/>
      <c r="GF52" s="164"/>
      <c r="GJ52" s="162"/>
      <c r="GK52" s="162"/>
      <c r="GL52" s="163"/>
      <c r="GM52" s="164"/>
      <c r="GQ52" s="162"/>
      <c r="GR52" s="162"/>
      <c r="GS52" s="163"/>
      <c r="GT52" s="164"/>
      <c r="GX52" s="162"/>
      <c r="GY52" s="162"/>
      <c r="GZ52" s="163"/>
      <c r="HA52" s="164"/>
      <c r="HE52" s="162"/>
      <c r="HF52" s="162"/>
      <c r="HG52" s="163"/>
      <c r="HH52" s="164"/>
      <c r="HL52" s="162"/>
      <c r="HM52" s="162"/>
      <c r="HN52" s="163"/>
      <c r="HO52" s="164"/>
      <c r="HS52" s="162"/>
      <c r="HT52" s="162"/>
      <c r="HU52" s="163"/>
      <c r="HV52" s="164"/>
    </row>
    <row r="53" spans="3:230" x14ac:dyDescent="0.2">
      <c r="C53" s="162"/>
      <c r="D53" s="162"/>
      <c r="E53" s="163"/>
      <c r="F53" s="164"/>
      <c r="J53" s="162"/>
      <c r="K53" s="162"/>
      <c r="L53" s="163"/>
      <c r="M53" s="164"/>
      <c r="Q53" s="162"/>
      <c r="R53" s="162"/>
      <c r="S53" s="163"/>
      <c r="T53" s="164"/>
      <c r="X53" s="162"/>
      <c r="Y53" s="162"/>
      <c r="Z53" s="163"/>
      <c r="AA53" s="164"/>
      <c r="AE53" s="162"/>
      <c r="AF53" s="162"/>
      <c r="AG53" s="163"/>
      <c r="AH53" s="164"/>
      <c r="AL53" s="162"/>
      <c r="AM53" s="162"/>
      <c r="AN53" s="163"/>
      <c r="AO53" s="164"/>
      <c r="AS53" s="162"/>
      <c r="AT53" s="162"/>
      <c r="AU53" s="163"/>
      <c r="AV53" s="164"/>
      <c r="AZ53" s="162"/>
      <c r="BA53" s="162"/>
      <c r="BB53" s="163"/>
      <c r="BC53" s="164"/>
      <c r="BG53" s="162"/>
      <c r="BH53" s="162"/>
      <c r="BI53" s="163"/>
      <c r="BJ53" s="164"/>
      <c r="BN53" s="162"/>
      <c r="BO53" s="162"/>
      <c r="BP53" s="163"/>
      <c r="BQ53" s="164"/>
      <c r="BU53" s="162"/>
      <c r="BV53" s="162"/>
      <c r="BW53" s="163"/>
      <c r="BX53" s="164"/>
      <c r="CB53" s="162"/>
      <c r="CC53" s="162"/>
      <c r="CD53" s="163"/>
      <c r="CE53" s="164"/>
      <c r="CI53" s="162"/>
      <c r="CJ53" s="162"/>
      <c r="CK53" s="163"/>
      <c r="CL53" s="164"/>
      <c r="CP53" s="162"/>
      <c r="CQ53" s="162"/>
      <c r="CR53" s="163"/>
      <c r="CS53" s="164"/>
      <c r="CW53" s="162"/>
      <c r="CX53" s="162"/>
      <c r="CY53" s="163"/>
      <c r="CZ53" s="164"/>
      <c r="DD53" s="162"/>
      <c r="DE53" s="162"/>
      <c r="DF53" s="163"/>
      <c r="DG53" s="164"/>
      <c r="DK53" s="162"/>
      <c r="DL53" s="162"/>
      <c r="DM53" s="163"/>
      <c r="DN53" s="164"/>
      <c r="DR53" s="162"/>
      <c r="DS53" s="162"/>
      <c r="DT53" s="163"/>
      <c r="DU53" s="164"/>
      <c r="DY53" s="162"/>
      <c r="DZ53" s="162"/>
      <c r="EA53" s="163"/>
      <c r="EB53" s="164"/>
      <c r="EF53" s="162"/>
      <c r="EG53" s="162"/>
      <c r="EH53" s="163"/>
      <c r="EI53" s="164"/>
      <c r="EM53" s="162"/>
      <c r="EN53" s="162"/>
      <c r="EO53" s="163"/>
      <c r="EP53" s="164"/>
      <c r="ET53" s="162"/>
      <c r="EU53" s="162"/>
      <c r="EV53" s="163"/>
      <c r="EW53" s="164"/>
      <c r="FA53" s="162"/>
      <c r="FB53" s="162"/>
      <c r="FC53" s="163"/>
      <c r="FD53" s="164"/>
      <c r="FH53" s="162"/>
      <c r="FI53" s="162"/>
      <c r="FJ53" s="163"/>
      <c r="FK53" s="164"/>
      <c r="FO53" s="162"/>
      <c r="FP53" s="162"/>
      <c r="FQ53" s="163"/>
      <c r="FR53" s="164"/>
      <c r="FV53" s="162"/>
      <c r="FW53" s="162"/>
      <c r="FX53" s="163"/>
      <c r="FY53" s="164"/>
      <c r="GC53" s="162"/>
      <c r="GD53" s="162"/>
      <c r="GE53" s="163"/>
      <c r="GF53" s="164"/>
      <c r="GJ53" s="162"/>
      <c r="GK53" s="162"/>
      <c r="GL53" s="163"/>
      <c r="GM53" s="164"/>
      <c r="GQ53" s="162"/>
      <c r="GR53" s="162"/>
      <c r="GS53" s="163"/>
      <c r="GT53" s="164"/>
      <c r="GX53" s="162"/>
      <c r="GY53" s="162"/>
      <c r="GZ53" s="163"/>
      <c r="HA53" s="164"/>
      <c r="HE53" s="162"/>
      <c r="HF53" s="162"/>
      <c r="HG53" s="163"/>
      <c r="HH53" s="164"/>
      <c r="HL53" s="162"/>
      <c r="HM53" s="162"/>
      <c r="HN53" s="163"/>
      <c r="HO53" s="164"/>
      <c r="HS53" s="162"/>
      <c r="HT53" s="162"/>
      <c r="HU53" s="163"/>
      <c r="HV53" s="164"/>
    </row>
    <row r="54" spans="3:230" x14ac:dyDescent="0.2">
      <c r="C54" s="162"/>
      <c r="D54" s="162"/>
      <c r="E54" s="163"/>
      <c r="F54" s="164"/>
      <c r="J54" s="162"/>
      <c r="K54" s="162"/>
      <c r="L54" s="163"/>
      <c r="M54" s="164"/>
      <c r="Q54" s="162"/>
      <c r="R54" s="162"/>
      <c r="S54" s="163"/>
      <c r="T54" s="164"/>
      <c r="X54" s="162"/>
      <c r="Y54" s="162"/>
      <c r="Z54" s="163"/>
      <c r="AA54" s="164"/>
      <c r="AE54" s="162"/>
      <c r="AF54" s="162"/>
      <c r="AG54" s="163"/>
      <c r="AH54" s="164"/>
      <c r="AL54" s="162"/>
      <c r="AM54" s="162"/>
      <c r="AN54" s="163"/>
      <c r="AO54" s="164"/>
      <c r="AS54" s="162"/>
      <c r="AT54" s="162"/>
      <c r="AU54" s="163"/>
      <c r="AV54" s="164"/>
      <c r="AZ54" s="162"/>
      <c r="BA54" s="162"/>
      <c r="BB54" s="163"/>
      <c r="BC54" s="164"/>
      <c r="BG54" s="162"/>
      <c r="BH54" s="162"/>
      <c r="BI54" s="163"/>
      <c r="BJ54" s="164"/>
      <c r="BN54" s="162"/>
      <c r="BO54" s="162"/>
      <c r="BP54" s="163"/>
      <c r="BQ54" s="164"/>
      <c r="BU54" s="162"/>
      <c r="BV54" s="162"/>
      <c r="BW54" s="163"/>
      <c r="BX54" s="164"/>
      <c r="CB54" s="162"/>
      <c r="CC54" s="162"/>
      <c r="CD54" s="163"/>
      <c r="CE54" s="164"/>
      <c r="CI54" s="162"/>
      <c r="CJ54" s="162"/>
      <c r="CK54" s="163"/>
      <c r="CL54" s="164"/>
      <c r="CP54" s="162"/>
      <c r="CQ54" s="162"/>
      <c r="CR54" s="163"/>
      <c r="CS54" s="164"/>
      <c r="CW54" s="162"/>
      <c r="CX54" s="162"/>
      <c r="CY54" s="163"/>
      <c r="CZ54" s="164"/>
      <c r="DD54" s="162"/>
      <c r="DE54" s="162"/>
      <c r="DF54" s="163"/>
      <c r="DG54" s="164"/>
      <c r="DK54" s="162"/>
      <c r="DL54" s="162"/>
      <c r="DM54" s="163"/>
      <c r="DN54" s="164"/>
      <c r="DR54" s="162"/>
      <c r="DS54" s="162"/>
      <c r="DT54" s="163"/>
      <c r="DU54" s="164"/>
      <c r="DY54" s="162"/>
      <c r="DZ54" s="162"/>
      <c r="EA54" s="163"/>
      <c r="EB54" s="164"/>
      <c r="EF54" s="162"/>
      <c r="EG54" s="162"/>
      <c r="EH54" s="163"/>
      <c r="EI54" s="164"/>
      <c r="EM54" s="162"/>
      <c r="EN54" s="162"/>
      <c r="EO54" s="163"/>
      <c r="EP54" s="164"/>
      <c r="ET54" s="162"/>
      <c r="EU54" s="162"/>
      <c r="EV54" s="163"/>
      <c r="EW54" s="164"/>
      <c r="FA54" s="162"/>
      <c r="FB54" s="162"/>
      <c r="FC54" s="163"/>
      <c r="FD54" s="164"/>
      <c r="FH54" s="162"/>
      <c r="FI54" s="162"/>
      <c r="FJ54" s="163"/>
      <c r="FK54" s="164"/>
      <c r="FO54" s="162"/>
      <c r="FP54" s="162"/>
      <c r="FQ54" s="163"/>
      <c r="FR54" s="164"/>
      <c r="FV54" s="162"/>
      <c r="FW54" s="162"/>
      <c r="FX54" s="163"/>
      <c r="FY54" s="164"/>
      <c r="GC54" s="162"/>
      <c r="GD54" s="162"/>
      <c r="GE54" s="163"/>
      <c r="GF54" s="164"/>
      <c r="GJ54" s="162"/>
      <c r="GK54" s="162"/>
      <c r="GL54" s="163"/>
      <c r="GM54" s="164"/>
      <c r="GQ54" s="162"/>
      <c r="GR54" s="162"/>
      <c r="GS54" s="163"/>
      <c r="GT54" s="164"/>
      <c r="GX54" s="162"/>
      <c r="GY54" s="162"/>
      <c r="GZ54" s="163"/>
      <c r="HA54" s="164"/>
      <c r="HE54" s="162"/>
      <c r="HF54" s="162"/>
      <c r="HG54" s="163"/>
      <c r="HH54" s="164"/>
      <c r="HL54" s="162"/>
      <c r="HM54" s="162"/>
      <c r="HN54" s="163"/>
      <c r="HO54" s="164"/>
      <c r="HS54" s="162"/>
      <c r="HT54" s="162"/>
      <c r="HU54" s="163"/>
      <c r="HV54" s="164"/>
    </row>
    <row r="55" spans="3:230" x14ac:dyDescent="0.2">
      <c r="C55" s="162"/>
      <c r="D55" s="162"/>
      <c r="E55" s="163"/>
      <c r="F55" s="164"/>
      <c r="J55" s="162"/>
      <c r="K55" s="162"/>
      <c r="L55" s="163"/>
      <c r="M55" s="164"/>
      <c r="Q55" s="162"/>
      <c r="R55" s="162"/>
      <c r="S55" s="163"/>
      <c r="T55" s="164"/>
      <c r="X55" s="162"/>
      <c r="Y55" s="162"/>
      <c r="Z55" s="163"/>
      <c r="AA55" s="164"/>
      <c r="AE55" s="162"/>
      <c r="AF55" s="162"/>
      <c r="AG55" s="163"/>
      <c r="AH55" s="164"/>
      <c r="AL55" s="162"/>
      <c r="AM55" s="162"/>
      <c r="AN55" s="163"/>
      <c r="AO55" s="164"/>
      <c r="AS55" s="162"/>
      <c r="AT55" s="162"/>
      <c r="AU55" s="163"/>
      <c r="AV55" s="164"/>
      <c r="AZ55" s="162"/>
      <c r="BA55" s="162"/>
      <c r="BB55" s="163"/>
      <c r="BC55" s="164"/>
      <c r="BG55" s="162"/>
      <c r="BH55" s="162"/>
      <c r="BI55" s="163"/>
      <c r="BJ55" s="164"/>
      <c r="BN55" s="162"/>
      <c r="BO55" s="162"/>
      <c r="BP55" s="163"/>
      <c r="BQ55" s="164"/>
      <c r="BU55" s="162"/>
      <c r="BV55" s="162"/>
      <c r="BW55" s="163"/>
      <c r="BX55" s="164"/>
      <c r="CB55" s="162"/>
      <c r="CC55" s="162"/>
      <c r="CD55" s="163"/>
      <c r="CE55" s="164"/>
      <c r="CI55" s="162"/>
      <c r="CJ55" s="162"/>
      <c r="CK55" s="163"/>
      <c r="CL55" s="164"/>
      <c r="CP55" s="162"/>
      <c r="CQ55" s="162"/>
      <c r="CR55" s="163"/>
      <c r="CS55" s="164"/>
      <c r="CW55" s="162"/>
      <c r="CX55" s="162"/>
      <c r="CY55" s="163"/>
      <c r="CZ55" s="164"/>
      <c r="DD55" s="162"/>
      <c r="DE55" s="162"/>
      <c r="DF55" s="163"/>
      <c r="DG55" s="164"/>
      <c r="DK55" s="162"/>
      <c r="DL55" s="162"/>
      <c r="DM55" s="163"/>
      <c r="DN55" s="164"/>
      <c r="DR55" s="162"/>
      <c r="DS55" s="162"/>
      <c r="DT55" s="163"/>
      <c r="DU55" s="164"/>
      <c r="DY55" s="162"/>
      <c r="DZ55" s="162"/>
      <c r="EA55" s="163"/>
      <c r="EB55" s="164"/>
      <c r="EF55" s="162"/>
      <c r="EG55" s="162"/>
      <c r="EH55" s="163"/>
      <c r="EI55" s="164"/>
      <c r="EM55" s="162"/>
      <c r="EN55" s="162"/>
      <c r="EO55" s="163"/>
      <c r="EP55" s="164"/>
      <c r="ET55" s="162"/>
      <c r="EU55" s="162"/>
      <c r="EV55" s="163"/>
      <c r="EW55" s="164"/>
      <c r="FA55" s="162"/>
      <c r="FB55" s="162"/>
      <c r="FC55" s="163"/>
      <c r="FD55" s="164"/>
      <c r="FH55" s="162"/>
      <c r="FI55" s="162"/>
      <c r="FJ55" s="163"/>
      <c r="FK55" s="164"/>
      <c r="FO55" s="162"/>
      <c r="FP55" s="162"/>
      <c r="FQ55" s="163"/>
      <c r="FR55" s="164"/>
      <c r="FV55" s="162"/>
      <c r="FW55" s="162"/>
      <c r="FX55" s="163"/>
      <c r="FY55" s="164"/>
      <c r="GC55" s="162"/>
      <c r="GD55" s="162"/>
      <c r="GE55" s="163"/>
      <c r="GF55" s="164"/>
      <c r="GJ55" s="162"/>
      <c r="GK55" s="162"/>
      <c r="GL55" s="163"/>
      <c r="GM55" s="164"/>
      <c r="GQ55" s="162"/>
      <c r="GR55" s="162"/>
      <c r="GS55" s="163"/>
      <c r="GT55" s="164"/>
      <c r="GX55" s="162"/>
      <c r="GY55" s="162"/>
      <c r="GZ55" s="163"/>
      <c r="HA55" s="164"/>
      <c r="HE55" s="162"/>
      <c r="HF55" s="162"/>
      <c r="HG55" s="163"/>
      <c r="HH55" s="164"/>
      <c r="HL55" s="162"/>
      <c r="HM55" s="162"/>
      <c r="HN55" s="163"/>
      <c r="HO55" s="164"/>
      <c r="HS55" s="162"/>
      <c r="HT55" s="162"/>
      <c r="HU55" s="163"/>
      <c r="HV55" s="164"/>
    </row>
    <row r="56" spans="3:230" x14ac:dyDescent="0.2">
      <c r="C56" s="162"/>
      <c r="D56" s="162"/>
      <c r="E56" s="163"/>
      <c r="F56" s="164"/>
      <c r="J56" s="162"/>
      <c r="K56" s="162"/>
      <c r="L56" s="163"/>
      <c r="M56" s="164"/>
      <c r="Q56" s="162"/>
      <c r="R56" s="162"/>
      <c r="S56" s="163"/>
      <c r="T56" s="164"/>
      <c r="X56" s="162"/>
      <c r="Y56" s="162"/>
      <c r="Z56" s="163"/>
      <c r="AA56" s="164"/>
      <c r="AE56" s="162"/>
      <c r="AF56" s="162"/>
      <c r="AG56" s="163"/>
      <c r="AH56" s="164"/>
      <c r="AL56" s="162"/>
      <c r="AM56" s="162"/>
      <c r="AN56" s="163"/>
      <c r="AO56" s="164"/>
      <c r="AS56" s="162"/>
      <c r="AT56" s="162"/>
      <c r="AU56" s="163"/>
      <c r="AV56" s="164"/>
      <c r="AZ56" s="162"/>
      <c r="BA56" s="162"/>
      <c r="BB56" s="163"/>
      <c r="BC56" s="164"/>
      <c r="BG56" s="162"/>
      <c r="BH56" s="162"/>
      <c r="BI56" s="163"/>
      <c r="BJ56" s="164"/>
      <c r="BN56" s="162"/>
      <c r="BO56" s="162"/>
      <c r="BP56" s="163"/>
      <c r="BQ56" s="164"/>
      <c r="BU56" s="162"/>
      <c r="BV56" s="162"/>
      <c r="BW56" s="163"/>
      <c r="BX56" s="164"/>
      <c r="CB56" s="162"/>
      <c r="CC56" s="162"/>
      <c r="CD56" s="163"/>
      <c r="CE56" s="164"/>
      <c r="CI56" s="162"/>
      <c r="CJ56" s="162"/>
      <c r="CK56" s="163"/>
      <c r="CL56" s="164"/>
      <c r="CP56" s="162"/>
      <c r="CQ56" s="162"/>
      <c r="CR56" s="163"/>
      <c r="CS56" s="164"/>
      <c r="CW56" s="162"/>
      <c r="CX56" s="162"/>
      <c r="CY56" s="163"/>
      <c r="CZ56" s="164"/>
      <c r="DD56" s="162"/>
      <c r="DE56" s="162"/>
      <c r="DF56" s="163"/>
      <c r="DG56" s="164"/>
      <c r="DK56" s="162"/>
      <c r="DL56" s="162"/>
      <c r="DM56" s="163"/>
      <c r="DN56" s="164"/>
      <c r="DR56" s="162"/>
      <c r="DS56" s="162"/>
      <c r="DT56" s="163"/>
      <c r="DU56" s="164"/>
      <c r="DY56" s="162"/>
      <c r="DZ56" s="162"/>
      <c r="EA56" s="163"/>
      <c r="EB56" s="164"/>
      <c r="EF56" s="162"/>
      <c r="EG56" s="162"/>
      <c r="EH56" s="163"/>
      <c r="EI56" s="164"/>
      <c r="EM56" s="162"/>
      <c r="EN56" s="162"/>
      <c r="EO56" s="163"/>
      <c r="EP56" s="164"/>
      <c r="ET56" s="162"/>
      <c r="EU56" s="162"/>
      <c r="EV56" s="163"/>
      <c r="EW56" s="164"/>
      <c r="FA56" s="162"/>
      <c r="FB56" s="162"/>
      <c r="FC56" s="163"/>
      <c r="FD56" s="164"/>
      <c r="FH56" s="162"/>
      <c r="FI56" s="162"/>
      <c r="FJ56" s="163"/>
      <c r="FK56" s="164"/>
      <c r="FO56" s="162"/>
      <c r="FP56" s="162"/>
      <c r="FQ56" s="163"/>
      <c r="FR56" s="164"/>
      <c r="FV56" s="162"/>
      <c r="FW56" s="162"/>
      <c r="FX56" s="163"/>
      <c r="FY56" s="164"/>
      <c r="GC56" s="162"/>
      <c r="GD56" s="162"/>
      <c r="GE56" s="163"/>
      <c r="GF56" s="164"/>
      <c r="GJ56" s="162"/>
      <c r="GK56" s="162"/>
      <c r="GL56" s="163"/>
      <c r="GM56" s="164"/>
      <c r="GQ56" s="162"/>
      <c r="GR56" s="162"/>
      <c r="GS56" s="163"/>
      <c r="GT56" s="164"/>
      <c r="GX56" s="162"/>
      <c r="GY56" s="162"/>
      <c r="GZ56" s="163"/>
      <c r="HA56" s="164"/>
      <c r="HE56" s="162"/>
      <c r="HF56" s="162"/>
      <c r="HG56" s="163"/>
      <c r="HH56" s="164"/>
      <c r="HL56" s="162"/>
      <c r="HM56" s="162"/>
      <c r="HN56" s="163"/>
      <c r="HO56" s="164"/>
      <c r="HS56" s="162"/>
      <c r="HT56" s="162"/>
      <c r="HU56" s="163"/>
      <c r="HV56" s="164"/>
    </row>
    <row r="57" spans="3:230" x14ac:dyDescent="0.2">
      <c r="C57" s="162"/>
      <c r="D57" s="162"/>
      <c r="E57" s="163"/>
      <c r="F57" s="164"/>
      <c r="J57" s="162"/>
      <c r="K57" s="162"/>
      <c r="L57" s="163"/>
      <c r="M57" s="164"/>
      <c r="Q57" s="162"/>
      <c r="R57" s="162"/>
      <c r="S57" s="163"/>
      <c r="T57" s="164"/>
      <c r="X57" s="162"/>
      <c r="Y57" s="162"/>
      <c r="Z57" s="163"/>
      <c r="AA57" s="164"/>
      <c r="AE57" s="162"/>
      <c r="AF57" s="162"/>
      <c r="AG57" s="163"/>
      <c r="AH57" s="164"/>
      <c r="AL57" s="162"/>
      <c r="AM57" s="162"/>
      <c r="AN57" s="163"/>
      <c r="AO57" s="164"/>
      <c r="AS57" s="162"/>
      <c r="AT57" s="162"/>
      <c r="AU57" s="163"/>
      <c r="AV57" s="164"/>
      <c r="AZ57" s="162"/>
      <c r="BA57" s="162"/>
      <c r="BB57" s="163"/>
      <c r="BC57" s="164"/>
      <c r="BG57" s="162"/>
      <c r="BH57" s="162"/>
      <c r="BI57" s="163"/>
      <c r="BJ57" s="164"/>
      <c r="BN57" s="162"/>
      <c r="BO57" s="162"/>
      <c r="BP57" s="163"/>
      <c r="BQ57" s="164"/>
      <c r="BU57" s="162"/>
      <c r="BV57" s="162"/>
      <c r="BW57" s="163"/>
      <c r="BX57" s="164"/>
      <c r="CB57" s="162"/>
      <c r="CC57" s="162"/>
      <c r="CD57" s="163"/>
      <c r="CE57" s="164"/>
      <c r="CI57" s="162"/>
      <c r="CJ57" s="162"/>
      <c r="CK57" s="163"/>
      <c r="CL57" s="164"/>
      <c r="CP57" s="162"/>
      <c r="CQ57" s="162"/>
      <c r="CR57" s="163"/>
      <c r="CS57" s="164"/>
      <c r="CW57" s="162"/>
      <c r="CX57" s="162"/>
      <c r="CY57" s="163"/>
      <c r="CZ57" s="164"/>
      <c r="DD57" s="162"/>
      <c r="DE57" s="162"/>
      <c r="DF57" s="163"/>
      <c r="DG57" s="164"/>
      <c r="DK57" s="162"/>
      <c r="DL57" s="162"/>
      <c r="DM57" s="163"/>
      <c r="DN57" s="164"/>
      <c r="DR57" s="162"/>
      <c r="DS57" s="162"/>
      <c r="DT57" s="163"/>
      <c r="DU57" s="164"/>
      <c r="DY57" s="162"/>
      <c r="DZ57" s="162"/>
      <c r="EA57" s="163"/>
      <c r="EB57" s="164"/>
      <c r="EF57" s="162"/>
      <c r="EG57" s="162"/>
      <c r="EH57" s="163"/>
      <c r="EI57" s="164"/>
      <c r="EM57" s="162"/>
      <c r="EN57" s="162"/>
      <c r="EO57" s="163"/>
      <c r="EP57" s="164"/>
      <c r="ET57" s="162"/>
      <c r="EU57" s="162"/>
      <c r="EV57" s="163"/>
      <c r="EW57" s="164"/>
      <c r="FA57" s="162"/>
      <c r="FB57" s="162"/>
      <c r="FC57" s="163"/>
      <c r="FD57" s="164"/>
      <c r="FH57" s="162"/>
      <c r="FI57" s="162"/>
      <c r="FJ57" s="163"/>
      <c r="FK57" s="164"/>
      <c r="FO57" s="162"/>
      <c r="FP57" s="162"/>
      <c r="FQ57" s="163"/>
      <c r="FR57" s="164"/>
      <c r="FV57" s="162"/>
      <c r="FW57" s="162"/>
      <c r="FX57" s="163"/>
      <c r="FY57" s="164"/>
      <c r="GC57" s="162"/>
      <c r="GD57" s="162"/>
      <c r="GE57" s="163"/>
      <c r="GF57" s="164"/>
      <c r="GJ57" s="162"/>
      <c r="GK57" s="162"/>
      <c r="GL57" s="163"/>
      <c r="GM57" s="164"/>
      <c r="GQ57" s="162"/>
      <c r="GR57" s="162"/>
      <c r="GS57" s="163"/>
      <c r="GT57" s="164"/>
      <c r="GX57" s="162"/>
      <c r="GY57" s="162"/>
      <c r="GZ57" s="163"/>
      <c r="HA57" s="164"/>
      <c r="HE57" s="162"/>
      <c r="HF57" s="162"/>
      <c r="HG57" s="163"/>
      <c r="HH57" s="164"/>
      <c r="HL57" s="162"/>
      <c r="HM57" s="162"/>
      <c r="HN57" s="163"/>
      <c r="HO57" s="164"/>
      <c r="HS57" s="162"/>
      <c r="HT57" s="162"/>
      <c r="HU57" s="163"/>
      <c r="HV57" s="164"/>
    </row>
    <row r="58" spans="3:230" x14ac:dyDescent="0.2">
      <c r="C58" s="162"/>
      <c r="D58" s="162"/>
      <c r="E58" s="163"/>
      <c r="F58" s="164"/>
      <c r="J58" s="162"/>
      <c r="K58" s="162"/>
      <c r="L58" s="163"/>
      <c r="M58" s="164"/>
      <c r="Q58" s="162"/>
      <c r="R58" s="162"/>
      <c r="S58" s="163"/>
      <c r="T58" s="164"/>
      <c r="X58" s="162"/>
      <c r="Y58" s="162"/>
      <c r="Z58" s="163"/>
      <c r="AA58" s="164"/>
      <c r="AE58" s="162"/>
      <c r="AF58" s="162"/>
      <c r="AG58" s="163"/>
      <c r="AH58" s="164"/>
      <c r="AL58" s="162"/>
      <c r="AM58" s="162"/>
      <c r="AN58" s="163"/>
      <c r="AO58" s="164"/>
      <c r="AS58" s="162"/>
      <c r="AT58" s="162"/>
      <c r="AU58" s="163"/>
      <c r="AV58" s="164"/>
      <c r="AZ58" s="162"/>
      <c r="BA58" s="162"/>
      <c r="BB58" s="163"/>
      <c r="BC58" s="164"/>
      <c r="BG58" s="162"/>
      <c r="BH58" s="162"/>
      <c r="BI58" s="163"/>
      <c r="BJ58" s="164"/>
      <c r="BN58" s="162"/>
      <c r="BO58" s="162"/>
      <c r="BP58" s="163"/>
      <c r="BQ58" s="164"/>
      <c r="BU58" s="162"/>
      <c r="BV58" s="162"/>
      <c r="BW58" s="163"/>
      <c r="BX58" s="164"/>
      <c r="CB58" s="162"/>
      <c r="CC58" s="162"/>
      <c r="CD58" s="163"/>
      <c r="CE58" s="164"/>
      <c r="CI58" s="162"/>
      <c r="CJ58" s="162"/>
      <c r="CK58" s="163"/>
      <c r="CL58" s="164"/>
      <c r="CP58" s="162"/>
      <c r="CQ58" s="162"/>
      <c r="CR58" s="163"/>
      <c r="CS58" s="164"/>
      <c r="CW58" s="162"/>
      <c r="CX58" s="162"/>
      <c r="CY58" s="163"/>
      <c r="CZ58" s="164"/>
      <c r="DD58" s="162"/>
      <c r="DE58" s="162"/>
      <c r="DF58" s="163"/>
      <c r="DG58" s="164"/>
      <c r="DK58" s="162"/>
      <c r="DL58" s="162"/>
      <c r="DM58" s="163"/>
      <c r="DN58" s="164"/>
      <c r="DR58" s="162"/>
      <c r="DS58" s="162"/>
      <c r="DT58" s="163"/>
      <c r="DU58" s="164"/>
      <c r="DY58" s="162"/>
      <c r="DZ58" s="162"/>
      <c r="EA58" s="163"/>
      <c r="EB58" s="164"/>
      <c r="EF58" s="162"/>
      <c r="EG58" s="162"/>
      <c r="EH58" s="163"/>
      <c r="EI58" s="164"/>
      <c r="EM58" s="162"/>
      <c r="EN58" s="162"/>
      <c r="EO58" s="163"/>
      <c r="EP58" s="164"/>
      <c r="ET58" s="162"/>
      <c r="EU58" s="162"/>
      <c r="EV58" s="163"/>
      <c r="EW58" s="164"/>
      <c r="FA58" s="162"/>
      <c r="FB58" s="162"/>
      <c r="FC58" s="163"/>
      <c r="FD58" s="164"/>
      <c r="FH58" s="162"/>
      <c r="FI58" s="162"/>
      <c r="FJ58" s="163"/>
      <c r="FK58" s="164"/>
      <c r="FO58" s="162"/>
      <c r="FP58" s="162"/>
      <c r="FQ58" s="163"/>
      <c r="FR58" s="164"/>
      <c r="FV58" s="162"/>
      <c r="FW58" s="162"/>
      <c r="FX58" s="163"/>
      <c r="FY58" s="164"/>
      <c r="GC58" s="162"/>
      <c r="GD58" s="162"/>
      <c r="GE58" s="163"/>
      <c r="GF58" s="164"/>
      <c r="GJ58" s="162"/>
      <c r="GK58" s="162"/>
      <c r="GL58" s="163"/>
      <c r="GM58" s="164"/>
      <c r="GQ58" s="162"/>
      <c r="GR58" s="162"/>
      <c r="GS58" s="163"/>
      <c r="GT58" s="164"/>
      <c r="GX58" s="162"/>
      <c r="GY58" s="162"/>
      <c r="GZ58" s="163"/>
      <c r="HA58" s="164"/>
      <c r="HE58" s="162"/>
      <c r="HF58" s="162"/>
      <c r="HG58" s="163"/>
      <c r="HH58" s="164"/>
      <c r="HL58" s="162"/>
      <c r="HM58" s="162"/>
      <c r="HN58" s="163"/>
      <c r="HO58" s="164"/>
      <c r="HS58" s="162"/>
      <c r="HT58" s="162"/>
      <c r="HU58" s="163"/>
      <c r="HV58" s="164"/>
    </row>
    <row r="59" spans="3:230" x14ac:dyDescent="0.2">
      <c r="C59" s="162"/>
      <c r="D59" s="162"/>
      <c r="E59" s="163"/>
      <c r="F59" s="164"/>
      <c r="J59" s="162"/>
      <c r="K59" s="162"/>
      <c r="L59" s="163"/>
      <c r="M59" s="164"/>
      <c r="Q59" s="162"/>
      <c r="R59" s="162"/>
      <c r="S59" s="163"/>
      <c r="T59" s="164"/>
      <c r="X59" s="162"/>
      <c r="Y59" s="162"/>
      <c r="Z59" s="163"/>
      <c r="AA59" s="164"/>
      <c r="AE59" s="162"/>
      <c r="AF59" s="162"/>
      <c r="AG59" s="163"/>
      <c r="AH59" s="164"/>
      <c r="AL59" s="162"/>
      <c r="AM59" s="162"/>
      <c r="AN59" s="163"/>
      <c r="AO59" s="164"/>
      <c r="AS59" s="162"/>
      <c r="AT59" s="162"/>
      <c r="AU59" s="163"/>
      <c r="AV59" s="164"/>
      <c r="AZ59" s="162"/>
      <c r="BA59" s="162"/>
      <c r="BB59" s="163"/>
      <c r="BC59" s="164"/>
      <c r="BG59" s="162"/>
      <c r="BH59" s="162"/>
      <c r="BI59" s="163"/>
      <c r="BJ59" s="164"/>
      <c r="BN59" s="162"/>
      <c r="BO59" s="162"/>
      <c r="BP59" s="163"/>
      <c r="BQ59" s="164"/>
      <c r="BU59" s="162"/>
      <c r="BV59" s="162"/>
      <c r="BW59" s="163"/>
      <c r="BX59" s="164"/>
      <c r="CB59" s="162"/>
      <c r="CC59" s="162"/>
      <c r="CD59" s="163"/>
      <c r="CE59" s="164"/>
      <c r="CI59" s="162"/>
      <c r="CJ59" s="162"/>
      <c r="CK59" s="163"/>
      <c r="CL59" s="164"/>
      <c r="CP59" s="162"/>
      <c r="CQ59" s="162"/>
      <c r="CR59" s="163"/>
      <c r="CS59" s="164"/>
      <c r="CW59" s="162"/>
      <c r="CX59" s="162"/>
      <c r="CY59" s="163"/>
      <c r="CZ59" s="164"/>
      <c r="DD59" s="162"/>
      <c r="DE59" s="162"/>
      <c r="DF59" s="163"/>
      <c r="DG59" s="164"/>
      <c r="DK59" s="162"/>
      <c r="DL59" s="162"/>
      <c r="DM59" s="163"/>
      <c r="DN59" s="164"/>
      <c r="DR59" s="162"/>
      <c r="DS59" s="162"/>
      <c r="DT59" s="163"/>
      <c r="DU59" s="164"/>
      <c r="DY59" s="162"/>
      <c r="DZ59" s="162"/>
      <c r="EA59" s="163"/>
      <c r="EB59" s="164"/>
      <c r="EF59" s="162"/>
      <c r="EG59" s="162"/>
      <c r="EH59" s="163"/>
      <c r="EI59" s="164"/>
      <c r="EM59" s="162"/>
      <c r="EN59" s="162"/>
      <c r="EO59" s="163"/>
      <c r="EP59" s="164"/>
      <c r="ET59" s="162"/>
      <c r="EU59" s="162"/>
      <c r="EV59" s="163"/>
      <c r="EW59" s="164"/>
      <c r="FA59" s="162"/>
      <c r="FB59" s="162"/>
      <c r="FC59" s="163"/>
      <c r="FD59" s="164"/>
      <c r="FH59" s="162"/>
      <c r="FI59" s="162"/>
      <c r="FJ59" s="163"/>
      <c r="FK59" s="164"/>
      <c r="FO59" s="162"/>
      <c r="FP59" s="162"/>
      <c r="FQ59" s="163"/>
      <c r="FR59" s="164"/>
      <c r="FV59" s="162"/>
      <c r="FW59" s="162"/>
      <c r="FX59" s="163"/>
      <c r="FY59" s="164"/>
      <c r="GC59" s="162"/>
      <c r="GD59" s="162"/>
      <c r="GE59" s="163"/>
      <c r="GF59" s="164"/>
      <c r="GJ59" s="162"/>
      <c r="GK59" s="162"/>
      <c r="GL59" s="163"/>
      <c r="GM59" s="164"/>
      <c r="GQ59" s="162"/>
      <c r="GR59" s="162"/>
      <c r="GS59" s="163"/>
      <c r="GT59" s="164"/>
      <c r="GX59" s="162"/>
      <c r="GY59" s="162"/>
      <c r="GZ59" s="163"/>
      <c r="HA59" s="164"/>
      <c r="HE59" s="162"/>
      <c r="HF59" s="162"/>
      <c r="HG59" s="163"/>
      <c r="HH59" s="164"/>
      <c r="HL59" s="162"/>
      <c r="HM59" s="162"/>
      <c r="HN59" s="163"/>
      <c r="HO59" s="164"/>
      <c r="HS59" s="162"/>
      <c r="HT59" s="162"/>
      <c r="HU59" s="163"/>
      <c r="HV59" s="164"/>
    </row>
    <row r="60" spans="3:230" x14ac:dyDescent="0.2">
      <c r="C60" s="162"/>
      <c r="D60" s="162"/>
      <c r="E60" s="163"/>
      <c r="F60" s="164"/>
      <c r="J60" s="162"/>
      <c r="K60" s="162"/>
      <c r="L60" s="163"/>
      <c r="M60" s="164"/>
      <c r="Q60" s="162"/>
      <c r="R60" s="162"/>
      <c r="S60" s="163"/>
      <c r="T60" s="164"/>
      <c r="X60" s="162"/>
      <c r="Y60" s="162"/>
      <c r="Z60" s="163"/>
      <c r="AA60" s="164"/>
      <c r="AE60" s="162"/>
      <c r="AF60" s="162"/>
      <c r="AG60" s="163"/>
      <c r="AH60" s="164"/>
      <c r="AL60" s="162"/>
      <c r="AM60" s="162"/>
      <c r="AN60" s="163"/>
      <c r="AO60" s="164"/>
      <c r="AS60" s="162"/>
      <c r="AT60" s="162"/>
      <c r="AU60" s="163"/>
      <c r="AV60" s="164"/>
      <c r="AZ60" s="162"/>
      <c r="BA60" s="162"/>
      <c r="BB60" s="163"/>
      <c r="BC60" s="164"/>
      <c r="BG60" s="162"/>
      <c r="BH60" s="162"/>
      <c r="BI60" s="163"/>
      <c r="BJ60" s="164"/>
      <c r="BN60" s="162"/>
      <c r="BO60" s="162"/>
      <c r="BP60" s="163"/>
      <c r="BQ60" s="164"/>
      <c r="BU60" s="162"/>
      <c r="BV60" s="162"/>
      <c r="BW60" s="163"/>
      <c r="BX60" s="164"/>
      <c r="CB60" s="162"/>
      <c r="CC60" s="162"/>
      <c r="CD60" s="163"/>
      <c r="CE60" s="164"/>
      <c r="CI60" s="162"/>
      <c r="CJ60" s="162"/>
      <c r="CK60" s="163"/>
      <c r="CL60" s="164"/>
      <c r="CP60" s="162"/>
      <c r="CQ60" s="162"/>
      <c r="CR60" s="163"/>
      <c r="CS60" s="164"/>
      <c r="CW60" s="162"/>
      <c r="CX60" s="162"/>
      <c r="CY60" s="163"/>
      <c r="CZ60" s="164"/>
      <c r="DD60" s="162"/>
      <c r="DE60" s="162"/>
      <c r="DF60" s="163"/>
      <c r="DG60" s="164"/>
      <c r="DK60" s="162"/>
      <c r="DL60" s="162"/>
      <c r="DM60" s="163"/>
      <c r="DN60" s="164"/>
      <c r="DR60" s="162"/>
      <c r="DS60" s="162"/>
      <c r="DT60" s="163"/>
      <c r="DU60" s="164"/>
      <c r="DY60" s="162"/>
      <c r="DZ60" s="162"/>
      <c r="EA60" s="163"/>
      <c r="EB60" s="164"/>
      <c r="EF60" s="162"/>
      <c r="EG60" s="162"/>
      <c r="EH60" s="163"/>
      <c r="EI60" s="164"/>
      <c r="EM60" s="162"/>
      <c r="EN60" s="162"/>
      <c r="EO60" s="163"/>
      <c r="EP60" s="164"/>
      <c r="ET60" s="162"/>
      <c r="EU60" s="162"/>
      <c r="EV60" s="163"/>
      <c r="EW60" s="164"/>
      <c r="FA60" s="162"/>
      <c r="FB60" s="162"/>
      <c r="FC60" s="163"/>
      <c r="FD60" s="164"/>
      <c r="FH60" s="162"/>
      <c r="FI60" s="162"/>
      <c r="FJ60" s="163"/>
      <c r="FK60" s="164"/>
      <c r="FO60" s="162"/>
      <c r="FP60" s="162"/>
      <c r="FQ60" s="163"/>
      <c r="FR60" s="164"/>
      <c r="FV60" s="162"/>
      <c r="FW60" s="162"/>
      <c r="FX60" s="163"/>
      <c r="FY60" s="164"/>
      <c r="GC60" s="162"/>
      <c r="GD60" s="162"/>
      <c r="GE60" s="163"/>
      <c r="GF60" s="164"/>
      <c r="GJ60" s="162"/>
      <c r="GK60" s="162"/>
      <c r="GL60" s="163"/>
      <c r="GM60" s="164"/>
      <c r="GQ60" s="162"/>
      <c r="GR60" s="162"/>
      <c r="GS60" s="163"/>
      <c r="GT60" s="164"/>
      <c r="GX60" s="162"/>
      <c r="GY60" s="162"/>
      <c r="GZ60" s="163"/>
      <c r="HA60" s="164"/>
      <c r="HE60" s="162"/>
      <c r="HF60" s="162"/>
      <c r="HG60" s="163"/>
      <c r="HH60" s="164"/>
      <c r="HL60" s="162"/>
      <c r="HM60" s="162"/>
      <c r="HN60" s="163"/>
      <c r="HO60" s="164"/>
      <c r="HS60" s="162"/>
      <c r="HT60" s="162"/>
      <c r="HU60" s="163"/>
      <c r="HV60" s="164"/>
    </row>
    <row r="61" spans="3:230" x14ac:dyDescent="0.2">
      <c r="C61" s="162"/>
      <c r="D61" s="162"/>
      <c r="E61" s="163"/>
      <c r="F61" s="164"/>
      <c r="J61" s="162"/>
      <c r="K61" s="162"/>
      <c r="L61" s="163"/>
      <c r="M61" s="164"/>
      <c r="Q61" s="162"/>
      <c r="R61" s="162"/>
      <c r="S61" s="163"/>
      <c r="T61" s="164"/>
      <c r="X61" s="162"/>
      <c r="Y61" s="162"/>
      <c r="Z61" s="163"/>
      <c r="AA61" s="164"/>
      <c r="AE61" s="162"/>
      <c r="AF61" s="162"/>
      <c r="AG61" s="163"/>
      <c r="AH61" s="164"/>
      <c r="AL61" s="162"/>
      <c r="AM61" s="162"/>
      <c r="AN61" s="163"/>
      <c r="AO61" s="164"/>
      <c r="AS61" s="162"/>
      <c r="AT61" s="162"/>
      <c r="AU61" s="163"/>
      <c r="AV61" s="164"/>
      <c r="AZ61" s="162"/>
      <c r="BA61" s="162"/>
      <c r="BB61" s="163"/>
      <c r="BC61" s="164"/>
      <c r="BG61" s="162"/>
      <c r="BH61" s="162"/>
      <c r="BI61" s="163"/>
      <c r="BJ61" s="164"/>
      <c r="BN61" s="162"/>
      <c r="BO61" s="162"/>
      <c r="BP61" s="163"/>
      <c r="BQ61" s="164"/>
      <c r="BU61" s="162"/>
      <c r="BV61" s="162"/>
      <c r="BW61" s="163"/>
      <c r="BX61" s="164"/>
      <c r="CB61" s="162"/>
      <c r="CC61" s="162"/>
      <c r="CD61" s="163"/>
      <c r="CE61" s="164"/>
      <c r="CI61" s="162"/>
      <c r="CJ61" s="162"/>
      <c r="CK61" s="163"/>
      <c r="CL61" s="164"/>
      <c r="CP61" s="162"/>
      <c r="CQ61" s="162"/>
      <c r="CR61" s="163"/>
      <c r="CS61" s="164"/>
      <c r="CW61" s="162"/>
      <c r="CX61" s="162"/>
      <c r="CY61" s="163"/>
      <c r="CZ61" s="164"/>
      <c r="DD61" s="162"/>
      <c r="DE61" s="162"/>
      <c r="DF61" s="163"/>
      <c r="DG61" s="164"/>
      <c r="DK61" s="162"/>
      <c r="DL61" s="162"/>
      <c r="DM61" s="163"/>
      <c r="DN61" s="164"/>
      <c r="DR61" s="162"/>
      <c r="DS61" s="162"/>
      <c r="DT61" s="163"/>
      <c r="DU61" s="164"/>
      <c r="DY61" s="162"/>
      <c r="DZ61" s="162"/>
      <c r="EA61" s="163"/>
      <c r="EB61" s="164"/>
      <c r="EF61" s="162"/>
      <c r="EG61" s="162"/>
      <c r="EH61" s="163"/>
      <c r="EI61" s="164"/>
      <c r="EM61" s="162"/>
      <c r="EN61" s="162"/>
      <c r="EO61" s="163"/>
      <c r="EP61" s="164"/>
      <c r="ET61" s="162"/>
      <c r="EU61" s="162"/>
      <c r="EV61" s="163"/>
      <c r="EW61" s="164"/>
      <c r="FA61" s="162"/>
      <c r="FB61" s="162"/>
      <c r="FC61" s="163"/>
      <c r="FD61" s="164"/>
      <c r="FH61" s="162"/>
      <c r="FI61" s="162"/>
      <c r="FJ61" s="163"/>
      <c r="FK61" s="164"/>
      <c r="FO61" s="162"/>
      <c r="FP61" s="162"/>
      <c r="FQ61" s="163"/>
      <c r="FR61" s="164"/>
      <c r="FV61" s="162"/>
      <c r="FW61" s="162"/>
      <c r="FX61" s="163"/>
      <c r="FY61" s="164"/>
      <c r="GC61" s="162"/>
      <c r="GD61" s="162"/>
      <c r="GE61" s="163"/>
      <c r="GF61" s="164"/>
      <c r="GJ61" s="162"/>
      <c r="GK61" s="162"/>
      <c r="GL61" s="163"/>
      <c r="GM61" s="164"/>
      <c r="GQ61" s="162"/>
      <c r="GR61" s="162"/>
      <c r="GS61" s="163"/>
      <c r="GT61" s="164"/>
      <c r="GX61" s="162"/>
      <c r="GY61" s="162"/>
      <c r="GZ61" s="163"/>
      <c r="HA61" s="164"/>
      <c r="HE61" s="162"/>
      <c r="HF61" s="162"/>
      <c r="HG61" s="163"/>
      <c r="HH61" s="164"/>
      <c r="HL61" s="162"/>
      <c r="HM61" s="162"/>
      <c r="HN61" s="163"/>
      <c r="HO61" s="164"/>
      <c r="HS61" s="162"/>
      <c r="HT61" s="162"/>
      <c r="HU61" s="163"/>
      <c r="HV61" s="164"/>
    </row>
    <row r="62" spans="3:230" x14ac:dyDescent="0.2">
      <c r="C62" s="162"/>
      <c r="D62" s="162"/>
      <c r="E62" s="163"/>
      <c r="F62" s="164"/>
      <c r="J62" s="162"/>
      <c r="K62" s="162"/>
      <c r="L62" s="163"/>
      <c r="M62" s="164"/>
      <c r="Q62" s="162"/>
      <c r="R62" s="162"/>
      <c r="S62" s="163"/>
      <c r="T62" s="164"/>
      <c r="X62" s="162"/>
      <c r="Y62" s="162"/>
      <c r="Z62" s="163"/>
      <c r="AA62" s="164"/>
      <c r="AE62" s="162"/>
      <c r="AF62" s="162"/>
      <c r="AG62" s="163"/>
      <c r="AH62" s="164"/>
      <c r="AL62" s="162"/>
      <c r="AM62" s="162"/>
      <c r="AN62" s="163"/>
      <c r="AO62" s="164"/>
      <c r="AS62" s="162"/>
      <c r="AT62" s="162"/>
      <c r="AU62" s="163"/>
      <c r="AV62" s="164"/>
      <c r="AZ62" s="162"/>
      <c r="BA62" s="162"/>
      <c r="BB62" s="163"/>
      <c r="BC62" s="164"/>
      <c r="BG62" s="162"/>
      <c r="BH62" s="162"/>
      <c r="BI62" s="163"/>
      <c r="BJ62" s="164"/>
      <c r="BN62" s="162"/>
      <c r="BO62" s="162"/>
      <c r="BP62" s="163"/>
      <c r="BQ62" s="164"/>
      <c r="BU62" s="162"/>
      <c r="BV62" s="162"/>
      <c r="BW62" s="163"/>
      <c r="BX62" s="164"/>
      <c r="CB62" s="162"/>
      <c r="CC62" s="162"/>
      <c r="CD62" s="163"/>
      <c r="CE62" s="164"/>
      <c r="CI62" s="162"/>
      <c r="CJ62" s="162"/>
      <c r="CK62" s="163"/>
      <c r="CL62" s="164"/>
      <c r="CP62" s="162"/>
      <c r="CQ62" s="162"/>
      <c r="CR62" s="163"/>
      <c r="CS62" s="164"/>
      <c r="CW62" s="162"/>
      <c r="CX62" s="162"/>
      <c r="CY62" s="163"/>
      <c r="CZ62" s="164"/>
      <c r="DD62" s="162"/>
      <c r="DE62" s="162"/>
      <c r="DF62" s="163"/>
      <c r="DG62" s="164"/>
      <c r="DK62" s="162"/>
      <c r="DL62" s="162"/>
      <c r="DM62" s="163"/>
      <c r="DN62" s="164"/>
      <c r="DR62" s="162"/>
      <c r="DS62" s="162"/>
      <c r="DT62" s="163"/>
      <c r="DU62" s="164"/>
      <c r="DY62" s="162"/>
      <c r="DZ62" s="162"/>
      <c r="EA62" s="163"/>
      <c r="EB62" s="164"/>
      <c r="EF62" s="162"/>
      <c r="EG62" s="162"/>
      <c r="EH62" s="163"/>
      <c r="EI62" s="164"/>
      <c r="EM62" s="162"/>
      <c r="EN62" s="162"/>
      <c r="EO62" s="163"/>
      <c r="EP62" s="164"/>
      <c r="ET62" s="162"/>
      <c r="EU62" s="162"/>
      <c r="EV62" s="163"/>
      <c r="EW62" s="164"/>
      <c r="FA62" s="162"/>
      <c r="FB62" s="162"/>
      <c r="FC62" s="163"/>
      <c r="FD62" s="164"/>
      <c r="FH62" s="162"/>
      <c r="FI62" s="162"/>
      <c r="FJ62" s="163"/>
      <c r="FK62" s="164"/>
      <c r="FO62" s="162"/>
      <c r="FP62" s="162"/>
      <c r="FQ62" s="163"/>
      <c r="FR62" s="164"/>
      <c r="FV62" s="162"/>
      <c r="FW62" s="162"/>
      <c r="FX62" s="163"/>
      <c r="FY62" s="164"/>
      <c r="GC62" s="162"/>
      <c r="GD62" s="162"/>
      <c r="GE62" s="163"/>
      <c r="GF62" s="164"/>
      <c r="GJ62" s="162"/>
      <c r="GK62" s="162"/>
      <c r="GL62" s="163"/>
      <c r="GM62" s="164"/>
      <c r="GQ62" s="162"/>
      <c r="GR62" s="162"/>
      <c r="GS62" s="163"/>
      <c r="GT62" s="164"/>
      <c r="GX62" s="162"/>
      <c r="GY62" s="162"/>
      <c r="GZ62" s="163"/>
      <c r="HA62" s="164"/>
      <c r="HE62" s="162"/>
      <c r="HF62" s="162"/>
      <c r="HG62" s="163"/>
      <c r="HH62" s="164"/>
      <c r="HL62" s="162"/>
      <c r="HM62" s="162"/>
      <c r="HN62" s="163"/>
      <c r="HO62" s="164"/>
      <c r="HS62" s="162"/>
      <c r="HT62" s="162"/>
      <c r="HU62" s="163"/>
      <c r="HV62" s="164"/>
    </row>
    <row r="63" spans="3:230" x14ac:dyDescent="0.2">
      <c r="C63" s="162"/>
      <c r="D63" s="162"/>
      <c r="E63" s="163"/>
      <c r="F63" s="164"/>
      <c r="J63" s="162"/>
      <c r="K63" s="162"/>
      <c r="L63" s="163"/>
      <c r="M63" s="164"/>
      <c r="Q63" s="162"/>
      <c r="R63" s="162"/>
      <c r="S63" s="163"/>
      <c r="T63" s="164"/>
      <c r="X63" s="162"/>
      <c r="Y63" s="162"/>
      <c r="Z63" s="163"/>
      <c r="AA63" s="164"/>
      <c r="AE63" s="162"/>
      <c r="AF63" s="162"/>
      <c r="AG63" s="163"/>
      <c r="AH63" s="164"/>
      <c r="AL63" s="162"/>
      <c r="AM63" s="162"/>
      <c r="AN63" s="163"/>
      <c r="AO63" s="164"/>
      <c r="AS63" s="162"/>
      <c r="AT63" s="162"/>
      <c r="AU63" s="163"/>
      <c r="AV63" s="164"/>
      <c r="AZ63" s="162"/>
      <c r="BA63" s="162"/>
      <c r="BB63" s="163"/>
      <c r="BC63" s="164"/>
      <c r="BG63" s="162"/>
      <c r="BH63" s="162"/>
      <c r="BI63" s="163"/>
      <c r="BJ63" s="164"/>
      <c r="BN63" s="162"/>
      <c r="BO63" s="162"/>
      <c r="BP63" s="163"/>
      <c r="BQ63" s="164"/>
      <c r="BU63" s="162"/>
      <c r="BV63" s="162"/>
      <c r="BW63" s="163"/>
      <c r="BX63" s="164"/>
      <c r="CB63" s="162"/>
      <c r="CC63" s="162"/>
      <c r="CD63" s="163"/>
      <c r="CE63" s="164"/>
      <c r="CI63" s="162"/>
      <c r="CJ63" s="162"/>
      <c r="CK63" s="163"/>
      <c r="CL63" s="164"/>
      <c r="CP63" s="162"/>
      <c r="CQ63" s="162"/>
      <c r="CR63" s="163"/>
      <c r="CS63" s="164"/>
      <c r="CW63" s="162"/>
      <c r="CX63" s="162"/>
      <c r="CY63" s="163"/>
      <c r="CZ63" s="164"/>
      <c r="DD63" s="162"/>
      <c r="DE63" s="162"/>
      <c r="DF63" s="163"/>
      <c r="DG63" s="164"/>
      <c r="DK63" s="162"/>
      <c r="DL63" s="162"/>
      <c r="DM63" s="163"/>
      <c r="DN63" s="164"/>
      <c r="DR63" s="162"/>
      <c r="DS63" s="162"/>
      <c r="DT63" s="163"/>
      <c r="DU63" s="164"/>
      <c r="DY63" s="162"/>
      <c r="DZ63" s="162"/>
      <c r="EA63" s="163"/>
      <c r="EB63" s="164"/>
      <c r="EF63" s="162"/>
      <c r="EG63" s="162"/>
      <c r="EH63" s="163"/>
      <c r="EI63" s="164"/>
      <c r="EM63" s="162"/>
      <c r="EN63" s="162"/>
      <c r="EO63" s="163"/>
      <c r="EP63" s="164"/>
      <c r="ET63" s="162"/>
      <c r="EU63" s="162"/>
      <c r="EV63" s="163"/>
      <c r="EW63" s="164"/>
      <c r="FA63" s="162"/>
      <c r="FB63" s="162"/>
      <c r="FC63" s="163"/>
      <c r="FD63" s="164"/>
      <c r="FH63" s="162"/>
      <c r="FI63" s="162"/>
      <c r="FJ63" s="163"/>
      <c r="FK63" s="164"/>
      <c r="FO63" s="162"/>
      <c r="FP63" s="162"/>
      <c r="FQ63" s="163"/>
      <c r="FR63" s="164"/>
      <c r="FV63" s="162"/>
      <c r="FW63" s="162"/>
      <c r="FX63" s="163"/>
      <c r="FY63" s="164"/>
      <c r="GC63" s="162"/>
      <c r="GD63" s="162"/>
      <c r="GE63" s="163"/>
      <c r="GF63" s="164"/>
      <c r="GJ63" s="162"/>
      <c r="GK63" s="162"/>
      <c r="GL63" s="163"/>
      <c r="GM63" s="164"/>
      <c r="GQ63" s="162"/>
      <c r="GR63" s="162"/>
      <c r="GS63" s="163"/>
      <c r="GT63" s="164"/>
      <c r="GX63" s="162"/>
      <c r="GY63" s="162"/>
      <c r="GZ63" s="163"/>
      <c r="HA63" s="164"/>
      <c r="HE63" s="162"/>
      <c r="HF63" s="162"/>
      <c r="HG63" s="163"/>
      <c r="HH63" s="164"/>
      <c r="HL63" s="162"/>
      <c r="HM63" s="162"/>
      <c r="HN63" s="163"/>
      <c r="HO63" s="164"/>
      <c r="HS63" s="162"/>
      <c r="HT63" s="162"/>
      <c r="HU63" s="163"/>
      <c r="HV63" s="164"/>
    </row>
    <row r="64" spans="3:230" x14ac:dyDescent="0.2">
      <c r="C64" s="162"/>
      <c r="D64" s="162"/>
      <c r="E64" s="163"/>
      <c r="F64" s="164"/>
      <c r="J64" s="162"/>
      <c r="K64" s="162"/>
      <c r="L64" s="163"/>
      <c r="M64" s="164"/>
      <c r="Q64" s="162"/>
      <c r="R64" s="162"/>
      <c r="S64" s="163"/>
      <c r="T64" s="164"/>
      <c r="X64" s="162"/>
      <c r="Y64" s="162"/>
      <c r="Z64" s="163"/>
      <c r="AA64" s="164"/>
      <c r="AE64" s="162"/>
      <c r="AF64" s="162"/>
      <c r="AG64" s="163"/>
      <c r="AH64" s="164"/>
      <c r="AL64" s="162"/>
      <c r="AM64" s="162"/>
      <c r="AN64" s="163"/>
      <c r="AO64" s="164"/>
      <c r="AS64" s="162"/>
      <c r="AT64" s="162"/>
      <c r="AU64" s="163"/>
      <c r="AV64" s="164"/>
      <c r="AZ64" s="162"/>
      <c r="BA64" s="162"/>
      <c r="BB64" s="163"/>
      <c r="BC64" s="164"/>
      <c r="BG64" s="162"/>
      <c r="BH64" s="162"/>
      <c r="BI64" s="163"/>
      <c r="BJ64" s="164"/>
      <c r="BN64" s="162"/>
      <c r="BO64" s="162"/>
      <c r="BP64" s="163"/>
      <c r="BQ64" s="164"/>
      <c r="BU64" s="162"/>
      <c r="BV64" s="162"/>
      <c r="BW64" s="163"/>
      <c r="BX64" s="164"/>
      <c r="CB64" s="162"/>
      <c r="CC64" s="162"/>
      <c r="CD64" s="163"/>
      <c r="CE64" s="164"/>
      <c r="CI64" s="162"/>
      <c r="CJ64" s="162"/>
      <c r="CK64" s="163"/>
      <c r="CL64" s="164"/>
      <c r="CP64" s="162"/>
      <c r="CQ64" s="162"/>
      <c r="CR64" s="163"/>
      <c r="CS64" s="164"/>
      <c r="CW64" s="162"/>
      <c r="CX64" s="162"/>
      <c r="CY64" s="163"/>
      <c r="CZ64" s="164"/>
      <c r="DD64" s="162"/>
      <c r="DE64" s="162"/>
      <c r="DF64" s="163"/>
      <c r="DG64" s="164"/>
      <c r="DK64" s="162"/>
      <c r="DL64" s="162"/>
      <c r="DM64" s="163"/>
      <c r="DN64" s="164"/>
      <c r="DR64" s="162"/>
      <c r="DS64" s="162"/>
      <c r="DT64" s="163"/>
      <c r="DU64" s="164"/>
      <c r="DY64" s="162"/>
      <c r="DZ64" s="162"/>
      <c r="EA64" s="163"/>
      <c r="EB64" s="164"/>
      <c r="EF64" s="162"/>
      <c r="EG64" s="162"/>
      <c r="EH64" s="163"/>
      <c r="EI64" s="164"/>
      <c r="EM64" s="162"/>
      <c r="EN64" s="162"/>
      <c r="EO64" s="163"/>
      <c r="EP64" s="164"/>
      <c r="ET64" s="162"/>
      <c r="EU64" s="162"/>
      <c r="EV64" s="163"/>
      <c r="EW64" s="164"/>
      <c r="FA64" s="162"/>
      <c r="FB64" s="162"/>
      <c r="FC64" s="163"/>
      <c r="FD64" s="164"/>
      <c r="FH64" s="162"/>
      <c r="FI64" s="162"/>
      <c r="FJ64" s="163"/>
      <c r="FK64" s="164"/>
      <c r="FO64" s="162"/>
      <c r="FP64" s="162"/>
      <c r="FQ64" s="163"/>
      <c r="FR64" s="164"/>
      <c r="FV64" s="162"/>
      <c r="FW64" s="162"/>
      <c r="FX64" s="163"/>
      <c r="FY64" s="164"/>
      <c r="GC64" s="162"/>
      <c r="GD64" s="162"/>
      <c r="GE64" s="163"/>
      <c r="GF64" s="164"/>
      <c r="GJ64" s="162"/>
      <c r="GK64" s="162"/>
      <c r="GL64" s="163"/>
      <c r="GM64" s="164"/>
      <c r="GQ64" s="162"/>
      <c r="GR64" s="162"/>
      <c r="GS64" s="163"/>
      <c r="GT64" s="164"/>
      <c r="GX64" s="162"/>
      <c r="GY64" s="162"/>
      <c r="GZ64" s="163"/>
      <c r="HA64" s="164"/>
      <c r="HE64" s="162"/>
      <c r="HF64" s="162"/>
      <c r="HG64" s="163"/>
      <c r="HH64" s="164"/>
      <c r="HL64" s="162"/>
      <c r="HM64" s="162"/>
      <c r="HN64" s="163"/>
      <c r="HO64" s="164"/>
      <c r="HS64" s="162"/>
      <c r="HT64" s="162"/>
      <c r="HU64" s="163"/>
      <c r="HV64" s="164"/>
    </row>
    <row r="65" spans="3:230" x14ac:dyDescent="0.2">
      <c r="C65" s="162"/>
      <c r="D65" s="162"/>
      <c r="E65" s="163"/>
      <c r="F65" s="164"/>
      <c r="J65" s="162"/>
      <c r="K65" s="162"/>
      <c r="L65" s="163"/>
      <c r="M65" s="164"/>
      <c r="Q65" s="162"/>
      <c r="R65" s="162"/>
      <c r="S65" s="163"/>
      <c r="T65" s="164"/>
      <c r="X65" s="162"/>
      <c r="Y65" s="162"/>
      <c r="Z65" s="163"/>
      <c r="AA65" s="164"/>
      <c r="AE65" s="162"/>
      <c r="AF65" s="162"/>
      <c r="AG65" s="163"/>
      <c r="AH65" s="164"/>
      <c r="AL65" s="162"/>
      <c r="AM65" s="162"/>
      <c r="AN65" s="163"/>
      <c r="AO65" s="164"/>
      <c r="AS65" s="162"/>
      <c r="AT65" s="162"/>
      <c r="AU65" s="163"/>
      <c r="AV65" s="164"/>
      <c r="AZ65" s="162"/>
      <c r="BA65" s="162"/>
      <c r="BB65" s="163"/>
      <c r="BC65" s="164"/>
      <c r="BG65" s="162"/>
      <c r="BH65" s="162"/>
      <c r="BI65" s="163"/>
      <c r="BJ65" s="164"/>
      <c r="BN65" s="162"/>
      <c r="BO65" s="162"/>
      <c r="BP65" s="163"/>
      <c r="BQ65" s="164"/>
      <c r="BU65" s="162"/>
      <c r="BV65" s="162"/>
      <c r="BW65" s="163"/>
      <c r="BX65" s="164"/>
      <c r="CB65" s="162"/>
      <c r="CC65" s="162"/>
      <c r="CD65" s="163"/>
      <c r="CE65" s="164"/>
      <c r="CI65" s="162"/>
      <c r="CJ65" s="162"/>
      <c r="CK65" s="163"/>
      <c r="CL65" s="164"/>
      <c r="CP65" s="162"/>
      <c r="CQ65" s="162"/>
      <c r="CR65" s="163"/>
      <c r="CS65" s="164"/>
      <c r="CW65" s="162"/>
      <c r="CX65" s="162"/>
      <c r="CY65" s="163"/>
      <c r="CZ65" s="164"/>
      <c r="DD65" s="162"/>
      <c r="DE65" s="162"/>
      <c r="DF65" s="163"/>
      <c r="DG65" s="164"/>
      <c r="DK65" s="162"/>
      <c r="DL65" s="162"/>
      <c r="DM65" s="163"/>
      <c r="DN65" s="164"/>
      <c r="DR65" s="162"/>
      <c r="DS65" s="162"/>
      <c r="DT65" s="163"/>
      <c r="DU65" s="164"/>
      <c r="DY65" s="162"/>
      <c r="DZ65" s="162"/>
      <c r="EA65" s="163"/>
      <c r="EB65" s="164"/>
      <c r="EF65" s="162"/>
      <c r="EG65" s="162"/>
      <c r="EH65" s="163"/>
      <c r="EI65" s="164"/>
      <c r="EM65" s="162"/>
      <c r="EN65" s="162"/>
      <c r="EO65" s="163"/>
      <c r="EP65" s="164"/>
      <c r="ET65" s="162"/>
      <c r="EU65" s="162"/>
      <c r="EV65" s="163"/>
      <c r="EW65" s="164"/>
      <c r="FA65" s="162"/>
      <c r="FB65" s="162"/>
      <c r="FC65" s="163"/>
      <c r="FD65" s="164"/>
      <c r="FH65" s="162"/>
      <c r="FI65" s="162"/>
      <c r="FJ65" s="163"/>
      <c r="FK65" s="164"/>
      <c r="FO65" s="162"/>
      <c r="FP65" s="162"/>
      <c r="FQ65" s="163"/>
      <c r="FR65" s="164"/>
      <c r="FV65" s="162"/>
      <c r="FW65" s="162"/>
      <c r="FX65" s="163"/>
      <c r="FY65" s="164"/>
      <c r="GC65" s="162"/>
      <c r="GD65" s="162"/>
      <c r="GE65" s="163"/>
      <c r="GF65" s="164"/>
      <c r="GJ65" s="162"/>
      <c r="GK65" s="162"/>
      <c r="GL65" s="163"/>
      <c r="GM65" s="164"/>
      <c r="GQ65" s="162"/>
      <c r="GR65" s="162"/>
      <c r="GS65" s="163"/>
      <c r="GT65" s="164"/>
      <c r="GX65" s="162"/>
      <c r="GY65" s="162"/>
      <c r="GZ65" s="163"/>
      <c r="HA65" s="164"/>
      <c r="HE65" s="162"/>
      <c r="HF65" s="162"/>
      <c r="HG65" s="163"/>
      <c r="HH65" s="164"/>
      <c r="HL65" s="162"/>
      <c r="HM65" s="162"/>
      <c r="HN65" s="163"/>
      <c r="HO65" s="164"/>
      <c r="HS65" s="162"/>
      <c r="HT65" s="162"/>
      <c r="HU65" s="163"/>
      <c r="HV65" s="164"/>
    </row>
    <row r="66" spans="3:230" x14ac:dyDescent="0.2">
      <c r="C66" s="162"/>
      <c r="D66" s="162"/>
      <c r="E66" s="163"/>
      <c r="F66" s="164"/>
      <c r="J66" s="162"/>
      <c r="K66" s="162"/>
      <c r="L66" s="163"/>
      <c r="M66" s="164"/>
      <c r="Q66" s="162"/>
      <c r="R66" s="162"/>
      <c r="S66" s="163"/>
      <c r="T66" s="164"/>
      <c r="X66" s="162"/>
      <c r="Y66" s="162"/>
      <c r="Z66" s="163"/>
      <c r="AA66" s="164"/>
      <c r="AE66" s="162"/>
      <c r="AF66" s="162"/>
      <c r="AG66" s="163"/>
      <c r="AH66" s="164"/>
      <c r="AL66" s="162"/>
      <c r="AM66" s="162"/>
      <c r="AN66" s="163"/>
      <c r="AO66" s="164"/>
      <c r="AS66" s="162"/>
      <c r="AT66" s="162"/>
      <c r="AU66" s="163"/>
      <c r="AV66" s="164"/>
      <c r="AZ66" s="162"/>
      <c r="BA66" s="162"/>
      <c r="BB66" s="163"/>
      <c r="BC66" s="164"/>
      <c r="BG66" s="162"/>
      <c r="BH66" s="162"/>
      <c r="BI66" s="163"/>
      <c r="BJ66" s="164"/>
      <c r="BN66" s="162"/>
      <c r="BO66" s="162"/>
      <c r="BP66" s="163"/>
      <c r="BQ66" s="164"/>
      <c r="BU66" s="162"/>
      <c r="BV66" s="162"/>
      <c r="BW66" s="163"/>
      <c r="BX66" s="164"/>
      <c r="CB66" s="162"/>
      <c r="CC66" s="162"/>
      <c r="CD66" s="163"/>
      <c r="CE66" s="164"/>
      <c r="CI66" s="162"/>
      <c r="CJ66" s="162"/>
      <c r="CK66" s="163"/>
      <c r="CL66" s="164"/>
      <c r="CP66" s="162"/>
      <c r="CQ66" s="162"/>
      <c r="CR66" s="163"/>
      <c r="CS66" s="164"/>
      <c r="CW66" s="162"/>
      <c r="CX66" s="162"/>
      <c r="CY66" s="163"/>
      <c r="CZ66" s="164"/>
      <c r="DD66" s="162"/>
      <c r="DE66" s="162"/>
      <c r="DF66" s="163"/>
      <c r="DG66" s="164"/>
      <c r="DK66" s="162"/>
      <c r="DL66" s="162"/>
      <c r="DM66" s="163"/>
      <c r="DN66" s="164"/>
      <c r="DR66" s="162"/>
      <c r="DS66" s="162"/>
      <c r="DT66" s="163"/>
      <c r="DU66" s="164"/>
      <c r="DY66" s="162"/>
      <c r="DZ66" s="162"/>
      <c r="EA66" s="163"/>
      <c r="EB66" s="164"/>
      <c r="EF66" s="162"/>
      <c r="EG66" s="162"/>
      <c r="EH66" s="163"/>
      <c r="EI66" s="164"/>
      <c r="EM66" s="162"/>
      <c r="EN66" s="162"/>
      <c r="EO66" s="163"/>
      <c r="EP66" s="164"/>
      <c r="ET66" s="162"/>
      <c r="EU66" s="162"/>
      <c r="EV66" s="163"/>
      <c r="EW66" s="164"/>
      <c r="FA66" s="162"/>
      <c r="FB66" s="162"/>
      <c r="FC66" s="163"/>
      <c r="FD66" s="164"/>
      <c r="FH66" s="162"/>
      <c r="FI66" s="162"/>
      <c r="FJ66" s="163"/>
      <c r="FK66" s="164"/>
      <c r="FO66" s="162"/>
      <c r="FP66" s="162"/>
      <c r="FQ66" s="163"/>
      <c r="FR66" s="164"/>
      <c r="FV66" s="162"/>
      <c r="FW66" s="162"/>
      <c r="FX66" s="163"/>
      <c r="FY66" s="164"/>
      <c r="GC66" s="162"/>
      <c r="GD66" s="162"/>
      <c r="GE66" s="163"/>
      <c r="GF66" s="164"/>
      <c r="GJ66" s="162"/>
      <c r="GK66" s="162"/>
      <c r="GL66" s="163"/>
      <c r="GM66" s="164"/>
      <c r="GQ66" s="162"/>
      <c r="GR66" s="162"/>
      <c r="GS66" s="163"/>
      <c r="GT66" s="164"/>
      <c r="GX66" s="162"/>
      <c r="GY66" s="162"/>
      <c r="GZ66" s="163"/>
      <c r="HA66" s="164"/>
      <c r="HE66" s="162"/>
      <c r="HF66" s="162"/>
      <c r="HG66" s="163"/>
      <c r="HH66" s="164"/>
      <c r="HL66" s="162"/>
      <c r="HM66" s="162"/>
      <c r="HN66" s="163"/>
      <c r="HO66" s="164"/>
      <c r="HS66" s="162"/>
      <c r="HT66" s="162"/>
      <c r="HU66" s="163"/>
      <c r="HV66" s="164"/>
    </row>
    <row r="67" spans="3:230" x14ac:dyDescent="0.2">
      <c r="C67" s="162"/>
      <c r="D67" s="162"/>
      <c r="E67" s="163"/>
      <c r="F67" s="164"/>
      <c r="J67" s="162"/>
      <c r="K67" s="162"/>
      <c r="L67" s="163"/>
      <c r="M67" s="164"/>
      <c r="Q67" s="162"/>
      <c r="R67" s="162"/>
      <c r="S67" s="163"/>
      <c r="T67" s="164"/>
      <c r="X67" s="162"/>
      <c r="Y67" s="162"/>
      <c r="Z67" s="163"/>
      <c r="AA67" s="164"/>
      <c r="AE67" s="162"/>
      <c r="AF67" s="162"/>
      <c r="AG67" s="163"/>
      <c r="AH67" s="164"/>
      <c r="AL67" s="162"/>
      <c r="AM67" s="162"/>
      <c r="AN67" s="163"/>
      <c r="AO67" s="164"/>
      <c r="AS67" s="162"/>
      <c r="AT67" s="162"/>
      <c r="AU67" s="163"/>
      <c r="AV67" s="164"/>
      <c r="AZ67" s="162"/>
      <c r="BA67" s="162"/>
      <c r="BB67" s="163"/>
      <c r="BC67" s="164"/>
      <c r="BG67" s="162"/>
      <c r="BH67" s="162"/>
      <c r="BI67" s="163"/>
      <c r="BJ67" s="164"/>
      <c r="BN67" s="162"/>
      <c r="BO67" s="162"/>
      <c r="BP67" s="163"/>
      <c r="BQ67" s="164"/>
      <c r="BU67" s="162"/>
      <c r="BV67" s="162"/>
      <c r="BW67" s="163"/>
      <c r="BX67" s="164"/>
      <c r="CB67" s="162"/>
      <c r="CC67" s="162"/>
      <c r="CD67" s="163"/>
      <c r="CE67" s="164"/>
      <c r="CI67" s="162"/>
      <c r="CJ67" s="162"/>
      <c r="CK67" s="163"/>
      <c r="CL67" s="164"/>
      <c r="CP67" s="162"/>
      <c r="CQ67" s="162"/>
      <c r="CR67" s="163"/>
      <c r="CS67" s="164"/>
      <c r="CW67" s="162"/>
      <c r="CX67" s="162"/>
      <c r="CY67" s="163"/>
      <c r="CZ67" s="164"/>
      <c r="DD67" s="162"/>
      <c r="DE67" s="162"/>
      <c r="DF67" s="163"/>
      <c r="DG67" s="164"/>
      <c r="DK67" s="162"/>
      <c r="DL67" s="162"/>
      <c r="DM67" s="163"/>
      <c r="DN67" s="164"/>
      <c r="DR67" s="162"/>
      <c r="DS67" s="162"/>
      <c r="DT67" s="163"/>
      <c r="DU67" s="164"/>
      <c r="DY67" s="162"/>
      <c r="DZ67" s="162"/>
      <c r="EA67" s="163"/>
      <c r="EB67" s="164"/>
      <c r="EF67" s="162"/>
      <c r="EG67" s="162"/>
      <c r="EH67" s="163"/>
      <c r="EI67" s="164"/>
      <c r="EM67" s="162"/>
      <c r="EN67" s="162"/>
      <c r="EO67" s="163"/>
      <c r="EP67" s="164"/>
      <c r="ET67" s="162"/>
      <c r="EU67" s="162"/>
      <c r="EV67" s="163"/>
      <c r="EW67" s="164"/>
      <c r="FA67" s="162"/>
      <c r="FB67" s="162"/>
      <c r="FC67" s="163"/>
      <c r="FD67" s="164"/>
      <c r="FH67" s="162"/>
      <c r="FI67" s="162"/>
      <c r="FJ67" s="163"/>
      <c r="FK67" s="164"/>
      <c r="FO67" s="162"/>
      <c r="FP67" s="162"/>
      <c r="FQ67" s="163"/>
      <c r="FR67" s="164"/>
      <c r="FV67" s="162"/>
      <c r="FW67" s="162"/>
      <c r="FX67" s="163"/>
      <c r="FY67" s="164"/>
      <c r="GC67" s="162"/>
      <c r="GD67" s="162"/>
      <c r="GE67" s="163"/>
      <c r="GF67" s="164"/>
      <c r="GJ67" s="162"/>
      <c r="GK67" s="162"/>
      <c r="GL67" s="163"/>
      <c r="GM67" s="164"/>
      <c r="GQ67" s="162"/>
      <c r="GR67" s="162"/>
      <c r="GS67" s="163"/>
      <c r="GT67" s="164"/>
      <c r="GX67" s="162"/>
      <c r="GY67" s="162"/>
      <c r="GZ67" s="163"/>
      <c r="HA67" s="164"/>
      <c r="HE67" s="162"/>
      <c r="HF67" s="162"/>
      <c r="HG67" s="163"/>
      <c r="HH67" s="164"/>
      <c r="HL67" s="162"/>
      <c r="HM67" s="162"/>
      <c r="HN67" s="163"/>
      <c r="HO67" s="164"/>
      <c r="HS67" s="162"/>
      <c r="HT67" s="162"/>
      <c r="HU67" s="163"/>
      <c r="HV67" s="164"/>
    </row>
    <row r="68" spans="3:230" x14ac:dyDescent="0.2">
      <c r="C68" s="162"/>
      <c r="D68" s="162"/>
      <c r="E68" s="163"/>
      <c r="F68" s="164"/>
      <c r="J68" s="162"/>
      <c r="K68" s="162"/>
      <c r="L68" s="163"/>
      <c r="M68" s="164"/>
      <c r="Q68" s="162"/>
      <c r="R68" s="162"/>
      <c r="S68" s="163"/>
      <c r="T68" s="164"/>
      <c r="X68" s="162"/>
      <c r="Y68" s="162"/>
      <c r="Z68" s="163"/>
      <c r="AA68" s="164"/>
      <c r="AE68" s="162"/>
      <c r="AF68" s="162"/>
      <c r="AG68" s="163"/>
      <c r="AH68" s="164"/>
      <c r="AL68" s="162"/>
      <c r="AM68" s="162"/>
      <c r="AN68" s="163"/>
      <c r="AO68" s="164"/>
      <c r="AS68" s="162"/>
      <c r="AT68" s="162"/>
      <c r="AU68" s="163"/>
      <c r="AV68" s="164"/>
      <c r="AZ68" s="162"/>
      <c r="BA68" s="162"/>
      <c r="BB68" s="163"/>
      <c r="BC68" s="164"/>
      <c r="BG68" s="162"/>
      <c r="BH68" s="162"/>
      <c r="BI68" s="163"/>
      <c r="BJ68" s="164"/>
      <c r="BN68" s="162"/>
      <c r="BO68" s="162"/>
      <c r="BP68" s="163"/>
      <c r="BQ68" s="164"/>
      <c r="BU68" s="162"/>
      <c r="BV68" s="162"/>
      <c r="BW68" s="163"/>
      <c r="BX68" s="164"/>
      <c r="CB68" s="162"/>
      <c r="CC68" s="162"/>
      <c r="CD68" s="163"/>
      <c r="CE68" s="164"/>
      <c r="CI68" s="162"/>
      <c r="CJ68" s="162"/>
      <c r="CK68" s="163"/>
      <c r="CL68" s="164"/>
      <c r="CP68" s="162"/>
      <c r="CQ68" s="162"/>
      <c r="CR68" s="163"/>
      <c r="CS68" s="164"/>
      <c r="CW68" s="162"/>
      <c r="CX68" s="162"/>
      <c r="CY68" s="163"/>
      <c r="CZ68" s="164"/>
      <c r="DD68" s="162"/>
      <c r="DE68" s="162"/>
      <c r="DF68" s="163"/>
      <c r="DG68" s="164"/>
      <c r="DK68" s="162"/>
      <c r="DL68" s="162"/>
      <c r="DM68" s="163"/>
      <c r="DN68" s="164"/>
      <c r="DR68" s="162"/>
      <c r="DS68" s="162"/>
      <c r="DT68" s="163"/>
      <c r="DU68" s="164"/>
      <c r="DY68" s="162"/>
      <c r="DZ68" s="162"/>
      <c r="EA68" s="163"/>
      <c r="EB68" s="164"/>
      <c r="EF68" s="162"/>
      <c r="EG68" s="162"/>
      <c r="EH68" s="163"/>
      <c r="EI68" s="164"/>
      <c r="EM68" s="162"/>
      <c r="EN68" s="162"/>
      <c r="EO68" s="163"/>
      <c r="EP68" s="164"/>
      <c r="ET68" s="162"/>
      <c r="EU68" s="162"/>
      <c r="EV68" s="163"/>
      <c r="EW68" s="164"/>
      <c r="FA68" s="162"/>
      <c r="FB68" s="162"/>
      <c r="FC68" s="163"/>
      <c r="FD68" s="164"/>
      <c r="FH68" s="162"/>
      <c r="FI68" s="162"/>
      <c r="FJ68" s="163"/>
      <c r="FK68" s="164"/>
      <c r="FO68" s="162"/>
      <c r="FP68" s="162"/>
      <c r="FQ68" s="163"/>
      <c r="FR68" s="164"/>
      <c r="FV68" s="162"/>
      <c r="FW68" s="162"/>
      <c r="FX68" s="163"/>
      <c r="FY68" s="164"/>
      <c r="GC68" s="162"/>
      <c r="GD68" s="162"/>
      <c r="GE68" s="163"/>
      <c r="GF68" s="164"/>
      <c r="GJ68" s="162"/>
      <c r="GK68" s="162"/>
      <c r="GL68" s="163"/>
      <c r="GM68" s="164"/>
      <c r="GQ68" s="162"/>
      <c r="GR68" s="162"/>
      <c r="GS68" s="163"/>
      <c r="GT68" s="164"/>
      <c r="GX68" s="162"/>
      <c r="GY68" s="162"/>
      <c r="GZ68" s="163"/>
      <c r="HA68" s="164"/>
      <c r="HE68" s="162"/>
      <c r="HF68" s="162"/>
      <c r="HG68" s="163"/>
      <c r="HH68" s="164"/>
      <c r="HL68" s="162"/>
      <c r="HM68" s="162"/>
      <c r="HN68" s="163"/>
      <c r="HO68" s="164"/>
      <c r="HS68" s="162"/>
      <c r="HT68" s="162"/>
      <c r="HU68" s="163"/>
      <c r="HV68" s="164"/>
    </row>
    <row r="69" spans="3:230" x14ac:dyDescent="0.2">
      <c r="C69" s="162"/>
      <c r="D69" s="162"/>
      <c r="E69" s="163"/>
      <c r="F69" s="164"/>
      <c r="J69" s="162"/>
      <c r="K69" s="162"/>
      <c r="L69" s="163"/>
      <c r="M69" s="164"/>
      <c r="Q69" s="162"/>
      <c r="R69" s="162"/>
      <c r="S69" s="163"/>
      <c r="T69" s="164"/>
      <c r="X69" s="162"/>
      <c r="Y69" s="162"/>
      <c r="Z69" s="163"/>
      <c r="AA69" s="164"/>
      <c r="AE69" s="162"/>
      <c r="AF69" s="162"/>
      <c r="AG69" s="163"/>
      <c r="AH69" s="164"/>
      <c r="AL69" s="162"/>
      <c r="AM69" s="162"/>
      <c r="AN69" s="163"/>
      <c r="AO69" s="164"/>
      <c r="AS69" s="162"/>
      <c r="AT69" s="162"/>
      <c r="AU69" s="163"/>
      <c r="AV69" s="164"/>
      <c r="AZ69" s="162"/>
      <c r="BA69" s="162"/>
      <c r="BB69" s="163"/>
      <c r="BC69" s="164"/>
      <c r="BG69" s="162"/>
      <c r="BH69" s="162"/>
      <c r="BI69" s="163"/>
      <c r="BJ69" s="164"/>
      <c r="BN69" s="162"/>
      <c r="BO69" s="162"/>
      <c r="BP69" s="163"/>
      <c r="BQ69" s="164"/>
      <c r="BU69" s="162"/>
      <c r="BV69" s="162"/>
      <c r="BW69" s="163"/>
      <c r="BX69" s="164"/>
      <c r="CB69" s="162"/>
      <c r="CC69" s="162"/>
      <c r="CD69" s="163"/>
      <c r="CE69" s="164"/>
      <c r="CI69" s="162"/>
      <c r="CJ69" s="162"/>
      <c r="CK69" s="163"/>
      <c r="CL69" s="164"/>
      <c r="CP69" s="162"/>
      <c r="CQ69" s="162"/>
      <c r="CR69" s="163"/>
      <c r="CS69" s="164"/>
      <c r="CW69" s="162"/>
      <c r="CX69" s="162"/>
      <c r="CY69" s="163"/>
      <c r="CZ69" s="164"/>
      <c r="DD69" s="162"/>
      <c r="DE69" s="162"/>
      <c r="DF69" s="163"/>
      <c r="DG69" s="164"/>
      <c r="DK69" s="162"/>
      <c r="DL69" s="162"/>
      <c r="DM69" s="163"/>
      <c r="DN69" s="164"/>
      <c r="DR69" s="162"/>
      <c r="DS69" s="162"/>
      <c r="DT69" s="163"/>
      <c r="DU69" s="164"/>
      <c r="DY69" s="162"/>
      <c r="DZ69" s="162"/>
      <c r="EA69" s="163"/>
      <c r="EB69" s="164"/>
      <c r="EF69" s="162"/>
      <c r="EG69" s="162"/>
      <c r="EH69" s="163"/>
      <c r="EI69" s="164"/>
      <c r="EM69" s="162"/>
      <c r="EN69" s="162"/>
      <c r="EO69" s="163"/>
      <c r="EP69" s="164"/>
      <c r="ET69" s="162"/>
      <c r="EU69" s="162"/>
      <c r="EV69" s="163"/>
      <c r="EW69" s="164"/>
      <c r="FA69" s="162"/>
      <c r="FB69" s="162"/>
      <c r="FC69" s="163"/>
      <c r="FD69" s="164"/>
      <c r="FH69" s="162"/>
      <c r="FI69" s="162"/>
      <c r="FJ69" s="163"/>
      <c r="FK69" s="164"/>
      <c r="FO69" s="162"/>
      <c r="FP69" s="162"/>
      <c r="FQ69" s="163"/>
      <c r="FR69" s="164"/>
      <c r="FV69" s="162"/>
      <c r="FW69" s="162"/>
      <c r="FX69" s="163"/>
      <c r="FY69" s="164"/>
      <c r="GC69" s="162"/>
      <c r="GD69" s="162"/>
      <c r="GE69" s="163"/>
      <c r="GF69" s="164"/>
      <c r="GJ69" s="162"/>
      <c r="GK69" s="162"/>
      <c r="GL69" s="163"/>
      <c r="GM69" s="164"/>
      <c r="GQ69" s="162"/>
      <c r="GR69" s="162"/>
      <c r="GS69" s="163"/>
      <c r="GT69" s="164"/>
      <c r="GX69" s="162"/>
      <c r="GY69" s="162"/>
      <c r="GZ69" s="163"/>
      <c r="HA69" s="164"/>
      <c r="HE69" s="162"/>
      <c r="HF69" s="162"/>
      <c r="HG69" s="163"/>
      <c r="HH69" s="164"/>
      <c r="HL69" s="162"/>
      <c r="HM69" s="162"/>
      <c r="HN69" s="163"/>
      <c r="HO69" s="164"/>
      <c r="HS69" s="162"/>
      <c r="HT69" s="162"/>
      <c r="HU69" s="163"/>
      <c r="HV69" s="164"/>
    </row>
    <row r="70" spans="3:230" x14ac:dyDescent="0.2">
      <c r="C70" s="162"/>
      <c r="D70" s="162"/>
      <c r="E70" s="163"/>
      <c r="F70" s="164"/>
      <c r="J70" s="162"/>
      <c r="K70" s="162"/>
      <c r="L70" s="163"/>
      <c r="M70" s="164"/>
      <c r="Q70" s="162"/>
      <c r="R70" s="162"/>
      <c r="S70" s="163"/>
      <c r="T70" s="164"/>
      <c r="X70" s="162"/>
      <c r="Y70" s="162"/>
      <c r="Z70" s="163"/>
      <c r="AA70" s="164"/>
      <c r="AE70" s="162"/>
      <c r="AF70" s="162"/>
      <c r="AG70" s="163"/>
      <c r="AH70" s="164"/>
      <c r="AL70" s="162"/>
      <c r="AM70" s="162"/>
      <c r="AN70" s="163"/>
      <c r="AO70" s="164"/>
      <c r="AS70" s="162"/>
      <c r="AT70" s="162"/>
      <c r="AU70" s="163"/>
      <c r="AV70" s="164"/>
      <c r="AZ70" s="162"/>
      <c r="BA70" s="162"/>
      <c r="BB70" s="163"/>
      <c r="BC70" s="164"/>
      <c r="BG70" s="162"/>
      <c r="BH70" s="162"/>
      <c r="BI70" s="163"/>
      <c r="BJ70" s="164"/>
      <c r="BN70" s="162"/>
      <c r="BO70" s="162"/>
      <c r="BP70" s="163"/>
      <c r="BQ70" s="164"/>
      <c r="BU70" s="162"/>
      <c r="BV70" s="162"/>
      <c r="BW70" s="163"/>
      <c r="BX70" s="164"/>
      <c r="CB70" s="162"/>
      <c r="CC70" s="162"/>
      <c r="CD70" s="163"/>
      <c r="CE70" s="164"/>
      <c r="CI70" s="162"/>
      <c r="CJ70" s="162"/>
      <c r="CK70" s="163"/>
      <c r="CL70" s="164"/>
      <c r="CP70" s="162"/>
      <c r="CQ70" s="162"/>
      <c r="CR70" s="163"/>
      <c r="CS70" s="164"/>
      <c r="CW70" s="162"/>
      <c r="CX70" s="162"/>
      <c r="CY70" s="163"/>
      <c r="CZ70" s="164"/>
      <c r="DD70" s="162"/>
      <c r="DE70" s="162"/>
      <c r="DF70" s="163"/>
      <c r="DG70" s="164"/>
      <c r="DK70" s="162"/>
      <c r="DL70" s="162"/>
      <c r="DM70" s="163"/>
      <c r="DN70" s="164"/>
      <c r="DR70" s="162"/>
      <c r="DS70" s="162"/>
      <c r="DT70" s="163"/>
      <c r="DU70" s="164"/>
      <c r="DY70" s="162"/>
      <c r="DZ70" s="162"/>
      <c r="EA70" s="163"/>
      <c r="EB70" s="164"/>
      <c r="EF70" s="162"/>
      <c r="EG70" s="162"/>
      <c r="EH70" s="163"/>
      <c r="EI70" s="164"/>
      <c r="EM70" s="162"/>
      <c r="EN70" s="162"/>
      <c r="EO70" s="163"/>
      <c r="EP70" s="164"/>
      <c r="ET70" s="162"/>
      <c r="EU70" s="162"/>
      <c r="EV70" s="163"/>
      <c r="EW70" s="164"/>
      <c r="FA70" s="162"/>
      <c r="FB70" s="162"/>
      <c r="FC70" s="163"/>
      <c r="FD70" s="164"/>
      <c r="FH70" s="162"/>
      <c r="FI70" s="162"/>
      <c r="FJ70" s="163"/>
      <c r="FK70" s="164"/>
      <c r="FO70" s="162"/>
      <c r="FP70" s="162"/>
      <c r="FQ70" s="163"/>
      <c r="FR70" s="164"/>
      <c r="FV70" s="162"/>
      <c r="FW70" s="162"/>
      <c r="FX70" s="163"/>
      <c r="FY70" s="164"/>
      <c r="GC70" s="162"/>
      <c r="GD70" s="162"/>
      <c r="GE70" s="163"/>
      <c r="GF70" s="164"/>
      <c r="GJ70" s="162"/>
      <c r="GK70" s="162"/>
      <c r="GL70" s="163"/>
      <c r="GM70" s="164"/>
      <c r="GQ70" s="162"/>
      <c r="GR70" s="162"/>
      <c r="GS70" s="163"/>
      <c r="GT70" s="164"/>
      <c r="GX70" s="162"/>
      <c r="GY70" s="162"/>
      <c r="GZ70" s="163"/>
      <c r="HA70" s="164"/>
      <c r="HE70" s="162"/>
      <c r="HF70" s="162"/>
      <c r="HG70" s="163"/>
      <c r="HH70" s="164"/>
      <c r="HL70" s="162"/>
      <c r="HM70" s="162"/>
      <c r="HN70" s="163"/>
      <c r="HO70" s="164"/>
      <c r="HS70" s="162"/>
      <c r="HT70" s="162"/>
      <c r="HU70" s="163"/>
      <c r="HV70" s="164"/>
    </row>
    <row r="71" spans="3:230" x14ac:dyDescent="0.2">
      <c r="C71" s="162"/>
      <c r="D71" s="162"/>
      <c r="E71" s="163"/>
      <c r="F71" s="164"/>
      <c r="J71" s="162"/>
      <c r="K71" s="162"/>
      <c r="L71" s="163"/>
      <c r="M71" s="164"/>
      <c r="Q71" s="162"/>
      <c r="R71" s="162"/>
      <c r="S71" s="163"/>
      <c r="T71" s="164"/>
      <c r="X71" s="162"/>
      <c r="Y71" s="162"/>
      <c r="Z71" s="163"/>
      <c r="AA71" s="164"/>
      <c r="AE71" s="162"/>
      <c r="AF71" s="162"/>
      <c r="AG71" s="163"/>
      <c r="AH71" s="164"/>
      <c r="AL71" s="162"/>
      <c r="AM71" s="162"/>
      <c r="AN71" s="163"/>
      <c r="AO71" s="164"/>
      <c r="AS71" s="162"/>
      <c r="AT71" s="162"/>
      <c r="AU71" s="163"/>
      <c r="AV71" s="164"/>
      <c r="AZ71" s="162"/>
      <c r="BA71" s="162"/>
      <c r="BB71" s="163"/>
      <c r="BC71" s="164"/>
      <c r="BG71" s="162"/>
      <c r="BH71" s="162"/>
      <c r="BI71" s="163"/>
      <c r="BJ71" s="164"/>
      <c r="BN71" s="162"/>
      <c r="BO71" s="162"/>
      <c r="BP71" s="163"/>
      <c r="BQ71" s="164"/>
      <c r="BU71" s="162"/>
      <c r="BV71" s="162"/>
      <c r="BW71" s="163"/>
      <c r="BX71" s="164"/>
      <c r="CB71" s="162"/>
      <c r="CC71" s="162"/>
      <c r="CD71" s="163"/>
      <c r="CE71" s="164"/>
      <c r="CI71" s="162"/>
      <c r="CJ71" s="162"/>
      <c r="CK71" s="163"/>
      <c r="CL71" s="164"/>
      <c r="CP71" s="162"/>
      <c r="CQ71" s="162"/>
      <c r="CR71" s="163"/>
      <c r="CS71" s="164"/>
      <c r="CW71" s="162"/>
      <c r="CX71" s="162"/>
      <c r="CY71" s="163"/>
      <c r="CZ71" s="164"/>
      <c r="DD71" s="162"/>
      <c r="DE71" s="162"/>
      <c r="DF71" s="163"/>
      <c r="DG71" s="164"/>
      <c r="DK71" s="162"/>
      <c r="DL71" s="162"/>
      <c r="DM71" s="163"/>
      <c r="DN71" s="164"/>
      <c r="DR71" s="162"/>
      <c r="DS71" s="162"/>
      <c r="DT71" s="163"/>
      <c r="DU71" s="164"/>
      <c r="DY71" s="162"/>
      <c r="DZ71" s="162"/>
      <c r="EA71" s="163"/>
      <c r="EB71" s="164"/>
      <c r="EF71" s="162"/>
      <c r="EG71" s="162"/>
      <c r="EH71" s="163"/>
      <c r="EI71" s="164"/>
      <c r="EM71" s="162"/>
      <c r="EN71" s="162"/>
      <c r="EO71" s="163"/>
      <c r="EP71" s="164"/>
      <c r="ET71" s="162"/>
      <c r="EU71" s="162"/>
      <c r="EV71" s="163"/>
      <c r="EW71" s="164"/>
      <c r="FA71" s="162"/>
      <c r="FB71" s="162"/>
      <c r="FC71" s="163"/>
      <c r="FD71" s="164"/>
      <c r="FH71" s="162"/>
      <c r="FI71" s="162"/>
      <c r="FJ71" s="163"/>
      <c r="FK71" s="164"/>
      <c r="FO71" s="162"/>
      <c r="FP71" s="162"/>
      <c r="FQ71" s="163"/>
      <c r="FR71" s="164"/>
      <c r="FV71" s="162"/>
      <c r="FW71" s="162"/>
      <c r="FX71" s="163"/>
      <c r="FY71" s="164"/>
      <c r="GC71" s="162"/>
      <c r="GD71" s="162"/>
      <c r="GE71" s="163"/>
      <c r="GF71" s="164"/>
      <c r="GJ71" s="162"/>
      <c r="GK71" s="162"/>
      <c r="GL71" s="163"/>
      <c r="GM71" s="164"/>
      <c r="GQ71" s="162"/>
      <c r="GR71" s="162"/>
      <c r="GS71" s="163"/>
      <c r="GT71" s="164"/>
      <c r="GX71" s="162"/>
      <c r="GY71" s="162"/>
      <c r="GZ71" s="163"/>
      <c r="HA71" s="164"/>
      <c r="HE71" s="162"/>
      <c r="HF71" s="162"/>
      <c r="HG71" s="163"/>
      <c r="HH71" s="164"/>
      <c r="HL71" s="162"/>
      <c r="HM71" s="162"/>
      <c r="HN71" s="163"/>
      <c r="HO71" s="164"/>
      <c r="HS71" s="162"/>
      <c r="HT71" s="162"/>
      <c r="HU71" s="163"/>
      <c r="HV71" s="164"/>
    </row>
    <row r="72" spans="3:230" x14ac:dyDescent="0.2">
      <c r="C72" s="162"/>
      <c r="D72" s="162"/>
      <c r="E72" s="163"/>
      <c r="F72" s="164"/>
      <c r="J72" s="162"/>
      <c r="K72" s="162"/>
      <c r="L72" s="163"/>
      <c r="M72" s="164"/>
      <c r="Q72" s="162"/>
      <c r="R72" s="162"/>
      <c r="S72" s="163"/>
      <c r="T72" s="164"/>
      <c r="X72" s="162"/>
      <c r="Y72" s="162"/>
      <c r="Z72" s="163"/>
      <c r="AA72" s="164"/>
      <c r="AE72" s="162"/>
      <c r="AF72" s="162"/>
      <c r="AG72" s="163"/>
      <c r="AH72" s="164"/>
      <c r="AL72" s="162"/>
      <c r="AM72" s="162"/>
      <c r="AN72" s="163"/>
      <c r="AO72" s="164"/>
      <c r="AS72" s="162"/>
      <c r="AT72" s="162"/>
      <c r="AU72" s="163"/>
      <c r="AV72" s="164"/>
      <c r="AZ72" s="162"/>
      <c r="BA72" s="162"/>
      <c r="BB72" s="163"/>
      <c r="BC72" s="164"/>
      <c r="BG72" s="162"/>
      <c r="BH72" s="162"/>
      <c r="BI72" s="163"/>
      <c r="BJ72" s="164"/>
      <c r="BN72" s="162"/>
      <c r="BO72" s="162"/>
      <c r="BP72" s="163"/>
      <c r="BQ72" s="164"/>
      <c r="BU72" s="162"/>
      <c r="BV72" s="162"/>
      <c r="BW72" s="163"/>
      <c r="BX72" s="164"/>
      <c r="CB72" s="162"/>
      <c r="CC72" s="162"/>
      <c r="CD72" s="163"/>
      <c r="CE72" s="164"/>
      <c r="CI72" s="162"/>
      <c r="CJ72" s="162"/>
      <c r="CK72" s="163"/>
      <c r="CL72" s="164"/>
      <c r="CP72" s="162"/>
      <c r="CQ72" s="162"/>
      <c r="CR72" s="163"/>
      <c r="CS72" s="164"/>
      <c r="CW72" s="162"/>
      <c r="CX72" s="162"/>
      <c r="CY72" s="163"/>
      <c r="CZ72" s="164"/>
      <c r="DD72" s="162"/>
      <c r="DE72" s="162"/>
      <c r="DF72" s="163"/>
      <c r="DG72" s="164"/>
      <c r="DK72" s="162"/>
      <c r="DL72" s="162"/>
      <c r="DM72" s="163"/>
      <c r="DN72" s="164"/>
      <c r="DR72" s="162"/>
      <c r="DS72" s="162"/>
      <c r="DT72" s="163"/>
      <c r="DU72" s="164"/>
      <c r="DY72" s="162"/>
      <c r="DZ72" s="162"/>
      <c r="EA72" s="163"/>
      <c r="EB72" s="164"/>
      <c r="EF72" s="162"/>
      <c r="EG72" s="162"/>
      <c r="EH72" s="163"/>
      <c r="EI72" s="164"/>
      <c r="EM72" s="162"/>
      <c r="EN72" s="162"/>
      <c r="EO72" s="163"/>
      <c r="EP72" s="164"/>
      <c r="ET72" s="162"/>
      <c r="EU72" s="162"/>
      <c r="EV72" s="163"/>
      <c r="EW72" s="164"/>
      <c r="FA72" s="162"/>
      <c r="FB72" s="162"/>
      <c r="FC72" s="163"/>
      <c r="FD72" s="164"/>
      <c r="FH72" s="162"/>
      <c r="FI72" s="162"/>
      <c r="FJ72" s="163"/>
      <c r="FK72" s="164"/>
      <c r="FO72" s="162"/>
      <c r="FP72" s="162"/>
      <c r="FQ72" s="163"/>
      <c r="FR72" s="164"/>
      <c r="FV72" s="162"/>
      <c r="FW72" s="162"/>
      <c r="FX72" s="163"/>
      <c r="FY72" s="164"/>
      <c r="GC72" s="162"/>
      <c r="GD72" s="162"/>
      <c r="GE72" s="163"/>
      <c r="GF72" s="164"/>
      <c r="GJ72" s="162"/>
      <c r="GK72" s="162"/>
      <c r="GL72" s="163"/>
      <c r="GM72" s="164"/>
      <c r="GQ72" s="162"/>
      <c r="GR72" s="162"/>
      <c r="GS72" s="163"/>
      <c r="GT72" s="164"/>
      <c r="GX72" s="162"/>
      <c r="GY72" s="162"/>
      <c r="GZ72" s="163"/>
      <c r="HA72" s="164"/>
      <c r="HE72" s="162"/>
      <c r="HF72" s="162"/>
      <c r="HG72" s="163"/>
      <c r="HH72" s="164"/>
      <c r="HL72" s="162"/>
      <c r="HM72" s="162"/>
      <c r="HN72" s="163"/>
      <c r="HO72" s="164"/>
      <c r="HS72" s="162"/>
      <c r="HT72" s="162"/>
      <c r="HU72" s="163"/>
      <c r="HV72" s="164"/>
    </row>
    <row r="73" spans="3:230" x14ac:dyDescent="0.2">
      <c r="C73" s="162"/>
      <c r="D73" s="162"/>
      <c r="E73" s="163"/>
      <c r="F73" s="164"/>
      <c r="J73" s="162"/>
      <c r="K73" s="162"/>
      <c r="L73" s="163"/>
      <c r="M73" s="164"/>
      <c r="Q73" s="162"/>
      <c r="R73" s="162"/>
      <c r="S73" s="163"/>
      <c r="T73" s="164"/>
      <c r="X73" s="162"/>
      <c r="Y73" s="162"/>
      <c r="Z73" s="163"/>
      <c r="AA73" s="164"/>
      <c r="AE73" s="162"/>
      <c r="AF73" s="162"/>
      <c r="AG73" s="163"/>
      <c r="AH73" s="164"/>
      <c r="AL73" s="162"/>
      <c r="AM73" s="162"/>
      <c r="AN73" s="163"/>
      <c r="AO73" s="164"/>
      <c r="AS73" s="162"/>
      <c r="AT73" s="162"/>
      <c r="AU73" s="163"/>
      <c r="AV73" s="164"/>
      <c r="AZ73" s="162"/>
      <c r="BA73" s="162"/>
      <c r="BB73" s="163"/>
      <c r="BC73" s="164"/>
      <c r="BG73" s="162"/>
      <c r="BH73" s="162"/>
      <c r="BI73" s="163"/>
      <c r="BJ73" s="164"/>
      <c r="BN73" s="162"/>
      <c r="BO73" s="162"/>
      <c r="BP73" s="163"/>
      <c r="BQ73" s="164"/>
      <c r="BU73" s="162"/>
      <c r="BV73" s="162"/>
      <c r="BW73" s="163"/>
      <c r="BX73" s="164"/>
      <c r="CB73" s="162"/>
      <c r="CC73" s="162"/>
      <c r="CD73" s="163"/>
      <c r="CE73" s="164"/>
      <c r="CI73" s="162"/>
      <c r="CJ73" s="162"/>
      <c r="CK73" s="163"/>
      <c r="CL73" s="164"/>
      <c r="CP73" s="162"/>
      <c r="CQ73" s="162"/>
      <c r="CR73" s="163"/>
      <c r="CS73" s="164"/>
      <c r="CW73" s="162"/>
      <c r="CX73" s="162"/>
      <c r="CY73" s="163"/>
      <c r="CZ73" s="164"/>
      <c r="DD73" s="162"/>
      <c r="DE73" s="162"/>
      <c r="DF73" s="163"/>
      <c r="DG73" s="164"/>
      <c r="DK73" s="162"/>
      <c r="DL73" s="162"/>
      <c r="DM73" s="163"/>
      <c r="DN73" s="164"/>
      <c r="DR73" s="162"/>
      <c r="DS73" s="162"/>
      <c r="DT73" s="163"/>
      <c r="DU73" s="164"/>
      <c r="DY73" s="162"/>
      <c r="DZ73" s="162"/>
      <c r="EA73" s="163"/>
      <c r="EB73" s="164"/>
      <c r="EF73" s="162"/>
      <c r="EG73" s="162"/>
      <c r="EH73" s="163"/>
      <c r="EI73" s="164"/>
      <c r="EM73" s="162"/>
      <c r="EN73" s="162"/>
      <c r="EO73" s="163"/>
      <c r="EP73" s="164"/>
      <c r="ET73" s="162"/>
      <c r="EU73" s="162"/>
      <c r="EV73" s="163"/>
      <c r="EW73" s="164"/>
      <c r="FA73" s="162"/>
      <c r="FB73" s="162"/>
      <c r="FC73" s="163"/>
      <c r="FD73" s="164"/>
      <c r="FH73" s="162"/>
      <c r="FI73" s="162"/>
      <c r="FJ73" s="163"/>
      <c r="FK73" s="164"/>
      <c r="FO73" s="162"/>
      <c r="FP73" s="162"/>
      <c r="FQ73" s="163"/>
      <c r="FR73" s="164"/>
      <c r="FV73" s="162"/>
      <c r="FW73" s="162"/>
      <c r="FX73" s="163"/>
      <c r="FY73" s="164"/>
      <c r="GC73" s="162"/>
      <c r="GD73" s="162"/>
      <c r="GE73" s="163"/>
      <c r="GF73" s="164"/>
      <c r="GJ73" s="162"/>
      <c r="GK73" s="162"/>
      <c r="GL73" s="163"/>
      <c r="GM73" s="164"/>
      <c r="GQ73" s="162"/>
      <c r="GR73" s="162"/>
      <c r="GS73" s="163"/>
      <c r="GT73" s="164"/>
      <c r="GX73" s="162"/>
      <c r="GY73" s="162"/>
      <c r="GZ73" s="163"/>
      <c r="HA73" s="164"/>
      <c r="HE73" s="162"/>
      <c r="HF73" s="162"/>
      <c r="HG73" s="163"/>
      <c r="HH73" s="164"/>
      <c r="HL73" s="162"/>
      <c r="HM73" s="162"/>
      <c r="HN73" s="163"/>
      <c r="HO73" s="164"/>
      <c r="HS73" s="162"/>
      <c r="HT73" s="162"/>
      <c r="HU73" s="163"/>
      <c r="HV73" s="164"/>
    </row>
    <row r="74" spans="3:230" x14ac:dyDescent="0.2">
      <c r="C74" s="162"/>
      <c r="D74" s="162"/>
      <c r="E74" s="163"/>
      <c r="F74" s="164"/>
      <c r="J74" s="162"/>
      <c r="K74" s="162"/>
      <c r="L74" s="163"/>
      <c r="M74" s="164"/>
      <c r="Q74" s="162"/>
      <c r="R74" s="162"/>
      <c r="S74" s="163"/>
      <c r="T74" s="164"/>
      <c r="X74" s="162"/>
      <c r="Y74" s="162"/>
      <c r="Z74" s="163"/>
      <c r="AA74" s="164"/>
      <c r="AE74" s="162"/>
      <c r="AF74" s="162"/>
      <c r="AG74" s="163"/>
      <c r="AH74" s="164"/>
      <c r="AL74" s="162"/>
      <c r="AM74" s="162"/>
      <c r="AN74" s="163"/>
      <c r="AO74" s="164"/>
      <c r="AS74" s="162"/>
      <c r="AT74" s="162"/>
      <c r="AU74" s="163"/>
      <c r="AV74" s="164"/>
      <c r="AZ74" s="162"/>
      <c r="BA74" s="162"/>
      <c r="BB74" s="163"/>
      <c r="BC74" s="164"/>
      <c r="BG74" s="162"/>
      <c r="BH74" s="162"/>
      <c r="BI74" s="163"/>
      <c r="BJ74" s="164"/>
      <c r="BN74" s="162"/>
      <c r="BO74" s="162"/>
      <c r="BP74" s="163"/>
      <c r="BQ74" s="164"/>
      <c r="BU74" s="162"/>
      <c r="BV74" s="162"/>
      <c r="BW74" s="163"/>
      <c r="BX74" s="164"/>
      <c r="CB74" s="162"/>
      <c r="CC74" s="162"/>
      <c r="CD74" s="163"/>
      <c r="CE74" s="164"/>
      <c r="CI74" s="162"/>
      <c r="CJ74" s="162"/>
      <c r="CK74" s="163"/>
      <c r="CL74" s="164"/>
      <c r="CP74" s="162"/>
      <c r="CQ74" s="162"/>
      <c r="CR74" s="163"/>
      <c r="CS74" s="164"/>
      <c r="CW74" s="162"/>
      <c r="CX74" s="162"/>
      <c r="CY74" s="163"/>
      <c r="CZ74" s="164"/>
      <c r="DD74" s="162"/>
      <c r="DE74" s="162"/>
      <c r="DF74" s="163"/>
      <c r="DG74" s="164"/>
      <c r="DK74" s="162"/>
      <c r="DL74" s="162"/>
      <c r="DM74" s="163"/>
      <c r="DN74" s="164"/>
      <c r="DR74" s="162"/>
      <c r="DS74" s="162"/>
      <c r="DT74" s="163"/>
      <c r="DU74" s="164"/>
      <c r="DY74" s="162"/>
      <c r="DZ74" s="162"/>
      <c r="EA74" s="163"/>
      <c r="EB74" s="164"/>
      <c r="EF74" s="162"/>
      <c r="EG74" s="162"/>
      <c r="EH74" s="163"/>
      <c r="EI74" s="164"/>
      <c r="EM74" s="162"/>
      <c r="EN74" s="162"/>
      <c r="EO74" s="163"/>
      <c r="EP74" s="164"/>
      <c r="ET74" s="162"/>
      <c r="EU74" s="162"/>
      <c r="EV74" s="163"/>
      <c r="EW74" s="164"/>
      <c r="FA74" s="162"/>
      <c r="FB74" s="162"/>
      <c r="FC74" s="163"/>
      <c r="FD74" s="164"/>
      <c r="FH74" s="162"/>
      <c r="FI74" s="162"/>
      <c r="FJ74" s="163"/>
      <c r="FK74" s="164"/>
      <c r="FO74" s="162"/>
      <c r="FP74" s="162"/>
      <c r="FQ74" s="163"/>
      <c r="FR74" s="164"/>
      <c r="FV74" s="162"/>
      <c r="FW74" s="162"/>
      <c r="FX74" s="163"/>
      <c r="FY74" s="164"/>
      <c r="GC74" s="162"/>
      <c r="GD74" s="162"/>
      <c r="GE74" s="163"/>
      <c r="GF74" s="164"/>
      <c r="GJ74" s="162"/>
      <c r="GK74" s="162"/>
      <c r="GL74" s="163"/>
      <c r="GM74" s="164"/>
      <c r="GQ74" s="162"/>
      <c r="GR74" s="162"/>
      <c r="GS74" s="163"/>
      <c r="GT74" s="164"/>
      <c r="GX74" s="162"/>
      <c r="GY74" s="162"/>
      <c r="GZ74" s="163"/>
      <c r="HA74" s="164"/>
      <c r="HE74" s="162"/>
      <c r="HF74" s="162"/>
      <c r="HG74" s="163"/>
      <c r="HH74" s="164"/>
      <c r="HL74" s="162"/>
      <c r="HM74" s="162"/>
      <c r="HN74" s="163"/>
      <c r="HO74" s="164"/>
      <c r="HS74" s="162"/>
      <c r="HT74" s="162"/>
      <c r="HU74" s="163"/>
      <c r="HV74" s="164"/>
    </row>
    <row r="75" spans="3:230" x14ac:dyDescent="0.2">
      <c r="C75" s="162"/>
      <c r="D75" s="162"/>
      <c r="E75" s="163"/>
      <c r="F75" s="164"/>
      <c r="J75" s="162"/>
      <c r="K75" s="162"/>
      <c r="L75" s="163"/>
      <c r="M75" s="164"/>
      <c r="Q75" s="162"/>
      <c r="R75" s="162"/>
      <c r="S75" s="163"/>
      <c r="T75" s="164"/>
      <c r="X75" s="162"/>
      <c r="Y75" s="162"/>
      <c r="Z75" s="163"/>
      <c r="AA75" s="164"/>
      <c r="AE75" s="162"/>
      <c r="AF75" s="162"/>
      <c r="AG75" s="163"/>
      <c r="AH75" s="164"/>
      <c r="AL75" s="162"/>
      <c r="AM75" s="162"/>
      <c r="AN75" s="163"/>
      <c r="AO75" s="164"/>
      <c r="AS75" s="162"/>
      <c r="AT75" s="162"/>
      <c r="AU75" s="163"/>
      <c r="AV75" s="164"/>
      <c r="AZ75" s="162"/>
      <c r="BA75" s="162"/>
      <c r="BB75" s="163"/>
      <c r="BC75" s="164"/>
      <c r="BG75" s="162"/>
      <c r="BH75" s="162"/>
      <c r="BI75" s="163"/>
      <c r="BJ75" s="164"/>
      <c r="BN75" s="162"/>
      <c r="BO75" s="162"/>
      <c r="BP75" s="163"/>
      <c r="BQ75" s="164"/>
      <c r="BU75" s="162"/>
      <c r="BV75" s="162"/>
      <c r="BW75" s="163"/>
      <c r="BX75" s="164"/>
      <c r="CB75" s="162"/>
      <c r="CC75" s="162"/>
      <c r="CD75" s="163"/>
      <c r="CE75" s="164"/>
      <c r="CI75" s="162"/>
      <c r="CJ75" s="162"/>
      <c r="CK75" s="163"/>
      <c r="CL75" s="164"/>
      <c r="CP75" s="162"/>
      <c r="CQ75" s="162"/>
      <c r="CR75" s="163"/>
      <c r="CS75" s="164"/>
      <c r="CW75" s="162"/>
      <c r="CX75" s="162"/>
      <c r="CY75" s="163"/>
      <c r="CZ75" s="164"/>
      <c r="DD75" s="162"/>
      <c r="DE75" s="162"/>
      <c r="DF75" s="163"/>
      <c r="DG75" s="164"/>
      <c r="DK75" s="162"/>
      <c r="DL75" s="162"/>
      <c r="DM75" s="163"/>
      <c r="DN75" s="164"/>
      <c r="DR75" s="162"/>
      <c r="DS75" s="162"/>
      <c r="DT75" s="163"/>
      <c r="DU75" s="164"/>
      <c r="DY75" s="162"/>
      <c r="DZ75" s="162"/>
      <c r="EA75" s="163"/>
      <c r="EB75" s="164"/>
      <c r="EF75" s="162"/>
      <c r="EG75" s="162"/>
      <c r="EH75" s="163"/>
      <c r="EI75" s="164"/>
      <c r="EM75" s="162"/>
      <c r="EN75" s="162"/>
      <c r="EO75" s="163"/>
      <c r="EP75" s="164"/>
      <c r="ET75" s="162"/>
      <c r="EU75" s="162"/>
      <c r="EV75" s="163"/>
      <c r="EW75" s="164"/>
      <c r="FA75" s="162"/>
      <c r="FB75" s="162"/>
      <c r="FC75" s="163"/>
      <c r="FD75" s="164"/>
      <c r="FH75" s="162"/>
      <c r="FI75" s="162"/>
      <c r="FJ75" s="163"/>
      <c r="FK75" s="164"/>
      <c r="FO75" s="162"/>
      <c r="FP75" s="162"/>
      <c r="FQ75" s="163"/>
      <c r="FR75" s="164"/>
      <c r="FV75" s="162"/>
      <c r="FW75" s="162"/>
      <c r="FX75" s="163"/>
      <c r="FY75" s="164"/>
      <c r="GC75" s="162"/>
      <c r="GD75" s="162"/>
      <c r="GE75" s="163"/>
      <c r="GF75" s="164"/>
      <c r="GJ75" s="162"/>
      <c r="GK75" s="162"/>
      <c r="GL75" s="163"/>
      <c r="GM75" s="164"/>
      <c r="GQ75" s="162"/>
      <c r="GR75" s="162"/>
      <c r="GS75" s="163"/>
      <c r="GT75" s="164"/>
      <c r="GX75" s="162"/>
      <c r="GY75" s="162"/>
      <c r="GZ75" s="163"/>
      <c r="HA75" s="164"/>
      <c r="HE75" s="162"/>
      <c r="HF75" s="162"/>
      <c r="HG75" s="163"/>
      <c r="HH75" s="164"/>
      <c r="HL75" s="162"/>
      <c r="HM75" s="162"/>
      <c r="HN75" s="163"/>
      <c r="HO75" s="164"/>
      <c r="HS75" s="162"/>
      <c r="HT75" s="162"/>
      <c r="HU75" s="163"/>
      <c r="HV75" s="164"/>
    </row>
    <row r="76" spans="3:230" x14ac:dyDescent="0.2">
      <c r="C76" s="162"/>
      <c r="D76" s="162"/>
      <c r="E76" s="163"/>
      <c r="F76" s="164"/>
      <c r="J76" s="162"/>
      <c r="K76" s="162"/>
      <c r="L76" s="163"/>
      <c r="M76" s="164"/>
      <c r="Q76" s="162"/>
      <c r="R76" s="162"/>
      <c r="S76" s="163"/>
      <c r="T76" s="164"/>
      <c r="X76" s="162"/>
      <c r="Y76" s="162"/>
      <c r="Z76" s="163"/>
      <c r="AA76" s="164"/>
      <c r="AE76" s="162"/>
      <c r="AF76" s="162"/>
      <c r="AG76" s="163"/>
      <c r="AH76" s="164"/>
      <c r="AL76" s="162"/>
      <c r="AM76" s="162"/>
      <c r="AN76" s="163"/>
      <c r="AO76" s="164"/>
      <c r="AS76" s="162"/>
      <c r="AT76" s="162"/>
      <c r="AU76" s="163"/>
      <c r="AV76" s="164"/>
      <c r="AZ76" s="162"/>
      <c r="BA76" s="162"/>
      <c r="BB76" s="163"/>
      <c r="BC76" s="164"/>
      <c r="BG76" s="162"/>
      <c r="BH76" s="162"/>
      <c r="BI76" s="163"/>
      <c r="BJ76" s="164"/>
      <c r="BN76" s="162"/>
      <c r="BO76" s="162"/>
      <c r="BP76" s="163"/>
      <c r="BQ76" s="164"/>
      <c r="BU76" s="162"/>
      <c r="BV76" s="162"/>
      <c r="BW76" s="163"/>
      <c r="BX76" s="164"/>
      <c r="CB76" s="162"/>
      <c r="CC76" s="162"/>
      <c r="CD76" s="163"/>
      <c r="CE76" s="164"/>
      <c r="CI76" s="162"/>
      <c r="CJ76" s="162"/>
      <c r="CK76" s="163"/>
      <c r="CL76" s="164"/>
      <c r="CP76" s="162"/>
      <c r="CQ76" s="162"/>
      <c r="CR76" s="163"/>
      <c r="CS76" s="164"/>
      <c r="CW76" s="162"/>
      <c r="CX76" s="162"/>
      <c r="CY76" s="163"/>
      <c r="CZ76" s="164"/>
      <c r="DD76" s="162"/>
      <c r="DE76" s="162"/>
      <c r="DF76" s="163"/>
      <c r="DG76" s="164"/>
      <c r="DK76" s="162"/>
      <c r="DL76" s="162"/>
      <c r="DM76" s="163"/>
      <c r="DN76" s="164"/>
      <c r="DR76" s="162"/>
      <c r="DS76" s="162"/>
      <c r="DT76" s="163"/>
      <c r="DU76" s="164"/>
      <c r="DY76" s="162"/>
      <c r="DZ76" s="162"/>
      <c r="EA76" s="163"/>
      <c r="EB76" s="164"/>
      <c r="EF76" s="162"/>
      <c r="EG76" s="162"/>
      <c r="EH76" s="163"/>
      <c r="EI76" s="164"/>
      <c r="EM76" s="162"/>
      <c r="EN76" s="162"/>
      <c r="EO76" s="163"/>
      <c r="EP76" s="164"/>
      <c r="ET76" s="162"/>
      <c r="EU76" s="162"/>
      <c r="EV76" s="163"/>
      <c r="EW76" s="164"/>
      <c r="FA76" s="162"/>
      <c r="FB76" s="162"/>
      <c r="FC76" s="163"/>
      <c r="FD76" s="164"/>
      <c r="FH76" s="162"/>
      <c r="FI76" s="162"/>
      <c r="FJ76" s="163"/>
      <c r="FK76" s="164"/>
      <c r="FO76" s="162"/>
      <c r="FP76" s="162"/>
      <c r="FQ76" s="163"/>
      <c r="FR76" s="164"/>
      <c r="FV76" s="162"/>
      <c r="FW76" s="162"/>
      <c r="FX76" s="163"/>
      <c r="FY76" s="164"/>
      <c r="GC76" s="162"/>
      <c r="GD76" s="162"/>
      <c r="GE76" s="163"/>
      <c r="GF76" s="164"/>
      <c r="GJ76" s="162"/>
      <c r="GK76" s="162"/>
      <c r="GL76" s="163"/>
      <c r="GM76" s="164"/>
      <c r="GQ76" s="162"/>
      <c r="GR76" s="162"/>
      <c r="GS76" s="163"/>
      <c r="GT76" s="164"/>
      <c r="GX76" s="162"/>
      <c r="GY76" s="162"/>
      <c r="GZ76" s="163"/>
      <c r="HA76" s="164"/>
      <c r="HE76" s="162"/>
      <c r="HF76" s="162"/>
      <c r="HG76" s="163"/>
      <c r="HH76" s="164"/>
      <c r="HL76" s="162"/>
      <c r="HM76" s="162"/>
      <c r="HN76" s="163"/>
      <c r="HO76" s="164"/>
      <c r="HS76" s="162"/>
      <c r="HT76" s="162"/>
      <c r="HU76" s="163"/>
      <c r="HV76" s="164"/>
    </row>
    <row r="77" spans="3:230" x14ac:dyDescent="0.2">
      <c r="C77" s="162"/>
      <c r="D77" s="162"/>
      <c r="E77" s="163"/>
      <c r="F77" s="164"/>
      <c r="J77" s="162"/>
      <c r="K77" s="162"/>
      <c r="L77" s="163"/>
      <c r="M77" s="164"/>
      <c r="Q77" s="162"/>
      <c r="R77" s="162"/>
      <c r="S77" s="163"/>
      <c r="T77" s="164"/>
      <c r="X77" s="162"/>
      <c r="Y77" s="162"/>
      <c r="Z77" s="163"/>
      <c r="AA77" s="164"/>
      <c r="AE77" s="162"/>
      <c r="AF77" s="162"/>
      <c r="AG77" s="163"/>
      <c r="AH77" s="164"/>
      <c r="AL77" s="162"/>
      <c r="AM77" s="162"/>
      <c r="AN77" s="163"/>
      <c r="AO77" s="164"/>
      <c r="AS77" s="162"/>
      <c r="AT77" s="162"/>
      <c r="AU77" s="163"/>
      <c r="AV77" s="164"/>
      <c r="AZ77" s="162"/>
      <c r="BA77" s="162"/>
      <c r="BB77" s="163"/>
      <c r="BC77" s="164"/>
      <c r="BG77" s="162"/>
      <c r="BH77" s="162"/>
      <c r="BI77" s="163"/>
      <c r="BJ77" s="164"/>
      <c r="BN77" s="162"/>
      <c r="BO77" s="162"/>
      <c r="BP77" s="163"/>
      <c r="BQ77" s="164"/>
      <c r="BU77" s="162"/>
      <c r="BV77" s="162"/>
      <c r="BW77" s="163"/>
      <c r="BX77" s="164"/>
      <c r="CB77" s="162"/>
      <c r="CC77" s="162"/>
      <c r="CD77" s="163"/>
      <c r="CE77" s="164"/>
      <c r="CI77" s="162"/>
      <c r="CJ77" s="162"/>
      <c r="CK77" s="163"/>
      <c r="CL77" s="164"/>
      <c r="CP77" s="162"/>
      <c r="CQ77" s="162"/>
      <c r="CR77" s="163"/>
      <c r="CS77" s="164"/>
      <c r="CW77" s="162"/>
      <c r="CX77" s="162"/>
      <c r="CY77" s="163"/>
      <c r="CZ77" s="164"/>
      <c r="DD77" s="162"/>
      <c r="DE77" s="162"/>
      <c r="DF77" s="163"/>
      <c r="DG77" s="164"/>
      <c r="DK77" s="162"/>
      <c r="DL77" s="162"/>
      <c r="DM77" s="163"/>
      <c r="DN77" s="164"/>
      <c r="DR77" s="162"/>
      <c r="DS77" s="162"/>
      <c r="DT77" s="163"/>
      <c r="DU77" s="164"/>
      <c r="DY77" s="162"/>
      <c r="DZ77" s="162"/>
      <c r="EA77" s="163"/>
      <c r="EB77" s="164"/>
      <c r="EF77" s="162"/>
      <c r="EG77" s="162"/>
      <c r="EH77" s="163"/>
      <c r="EI77" s="164"/>
      <c r="EM77" s="162"/>
      <c r="EN77" s="162"/>
      <c r="EO77" s="163"/>
      <c r="EP77" s="164"/>
      <c r="ET77" s="162"/>
      <c r="EU77" s="162"/>
      <c r="EV77" s="163"/>
      <c r="EW77" s="164"/>
      <c r="FA77" s="162"/>
      <c r="FB77" s="162"/>
      <c r="FC77" s="163"/>
      <c r="FD77" s="164"/>
      <c r="FH77" s="162"/>
      <c r="FI77" s="162"/>
      <c r="FJ77" s="163"/>
      <c r="FK77" s="164"/>
      <c r="FO77" s="162"/>
      <c r="FP77" s="162"/>
      <c r="FQ77" s="163"/>
      <c r="FR77" s="164"/>
      <c r="FV77" s="162"/>
      <c r="FW77" s="162"/>
      <c r="FX77" s="163"/>
      <c r="FY77" s="164"/>
      <c r="GC77" s="162"/>
      <c r="GD77" s="162"/>
      <c r="GE77" s="163"/>
      <c r="GF77" s="164"/>
      <c r="GJ77" s="162"/>
      <c r="GK77" s="162"/>
      <c r="GL77" s="163"/>
      <c r="GM77" s="164"/>
      <c r="GQ77" s="162"/>
      <c r="GR77" s="162"/>
      <c r="GS77" s="163"/>
      <c r="GT77" s="164"/>
      <c r="GX77" s="162"/>
      <c r="GY77" s="162"/>
      <c r="GZ77" s="163"/>
      <c r="HA77" s="164"/>
      <c r="HE77" s="162"/>
      <c r="HF77" s="162"/>
      <c r="HG77" s="163"/>
      <c r="HH77" s="164"/>
      <c r="HL77" s="162"/>
      <c r="HM77" s="162"/>
      <c r="HN77" s="163"/>
      <c r="HO77" s="164"/>
      <c r="HS77" s="162"/>
      <c r="HT77" s="162"/>
      <c r="HU77" s="163"/>
      <c r="HV77" s="164"/>
    </row>
    <row r="78" spans="3:230" x14ac:dyDescent="0.2">
      <c r="C78" s="162"/>
      <c r="D78" s="162"/>
      <c r="E78" s="163"/>
      <c r="F78" s="164"/>
      <c r="J78" s="162"/>
      <c r="K78" s="162"/>
      <c r="L78" s="163"/>
      <c r="M78" s="164"/>
      <c r="Q78" s="162"/>
      <c r="R78" s="162"/>
      <c r="S78" s="163"/>
      <c r="T78" s="164"/>
      <c r="X78" s="162"/>
      <c r="Y78" s="162"/>
      <c r="Z78" s="163"/>
      <c r="AA78" s="164"/>
      <c r="AE78" s="162"/>
      <c r="AF78" s="162"/>
      <c r="AG78" s="163"/>
      <c r="AH78" s="164"/>
      <c r="AL78" s="162"/>
      <c r="AM78" s="162"/>
      <c r="AN78" s="163"/>
      <c r="AO78" s="164"/>
      <c r="AS78" s="162"/>
      <c r="AT78" s="162"/>
      <c r="AU78" s="163"/>
      <c r="AV78" s="164"/>
      <c r="AZ78" s="162"/>
      <c r="BA78" s="162"/>
      <c r="BB78" s="163"/>
      <c r="BC78" s="164"/>
      <c r="BG78" s="162"/>
      <c r="BH78" s="162"/>
      <c r="BI78" s="163"/>
      <c r="BJ78" s="164"/>
      <c r="BN78" s="162"/>
      <c r="BO78" s="162"/>
      <c r="BP78" s="163"/>
      <c r="BQ78" s="164"/>
      <c r="BU78" s="162"/>
      <c r="BV78" s="162"/>
      <c r="BW78" s="163"/>
      <c r="BX78" s="164"/>
      <c r="CB78" s="162"/>
      <c r="CC78" s="162"/>
      <c r="CD78" s="163"/>
      <c r="CE78" s="164"/>
      <c r="CI78" s="162"/>
      <c r="CJ78" s="162"/>
      <c r="CK78" s="163"/>
      <c r="CL78" s="164"/>
      <c r="CP78" s="162"/>
      <c r="CQ78" s="162"/>
      <c r="CR78" s="163"/>
      <c r="CS78" s="164"/>
      <c r="CW78" s="162"/>
      <c r="CX78" s="162"/>
      <c r="CY78" s="163"/>
      <c r="CZ78" s="164"/>
      <c r="DD78" s="162"/>
      <c r="DE78" s="162"/>
      <c r="DF78" s="163"/>
      <c r="DG78" s="164"/>
      <c r="DK78" s="162"/>
      <c r="DL78" s="162"/>
      <c r="DM78" s="163"/>
      <c r="DN78" s="164"/>
      <c r="DR78" s="162"/>
      <c r="DS78" s="162"/>
      <c r="DT78" s="163"/>
      <c r="DU78" s="164"/>
      <c r="DY78" s="162"/>
      <c r="DZ78" s="162"/>
      <c r="EA78" s="163"/>
      <c r="EB78" s="164"/>
      <c r="EF78" s="162"/>
      <c r="EG78" s="162"/>
      <c r="EH78" s="163"/>
      <c r="EI78" s="164"/>
      <c r="EM78" s="162"/>
      <c r="EN78" s="162"/>
      <c r="EO78" s="163"/>
      <c r="EP78" s="164"/>
      <c r="ET78" s="162"/>
      <c r="EU78" s="162"/>
      <c r="EV78" s="163"/>
      <c r="EW78" s="164"/>
      <c r="FA78" s="162"/>
      <c r="FB78" s="162"/>
      <c r="FC78" s="163"/>
      <c r="FD78" s="164"/>
      <c r="FH78" s="162"/>
      <c r="FI78" s="162"/>
      <c r="FJ78" s="163"/>
      <c r="FK78" s="164"/>
      <c r="FO78" s="162"/>
      <c r="FP78" s="162"/>
      <c r="FQ78" s="163"/>
      <c r="FR78" s="164"/>
      <c r="FV78" s="162"/>
      <c r="FW78" s="162"/>
      <c r="FX78" s="163"/>
      <c r="FY78" s="164"/>
      <c r="GC78" s="162"/>
      <c r="GD78" s="162"/>
      <c r="GE78" s="163"/>
      <c r="GF78" s="164"/>
      <c r="GJ78" s="162"/>
      <c r="GK78" s="162"/>
      <c r="GL78" s="163"/>
      <c r="GM78" s="164"/>
      <c r="GQ78" s="162"/>
      <c r="GR78" s="162"/>
      <c r="GS78" s="163"/>
      <c r="GT78" s="164"/>
      <c r="GX78" s="162"/>
      <c r="GY78" s="162"/>
      <c r="GZ78" s="163"/>
      <c r="HA78" s="164"/>
      <c r="HE78" s="162"/>
      <c r="HF78" s="162"/>
      <c r="HG78" s="163"/>
      <c r="HH78" s="164"/>
      <c r="HL78" s="162"/>
      <c r="HM78" s="162"/>
      <c r="HN78" s="163"/>
      <c r="HO78" s="164"/>
      <c r="HS78" s="162"/>
      <c r="HT78" s="162"/>
      <c r="HU78" s="163"/>
      <c r="HV78" s="164"/>
    </row>
    <row r="79" spans="3:230" x14ac:dyDescent="0.2">
      <c r="C79" s="162"/>
      <c r="D79" s="162"/>
      <c r="E79" s="163"/>
      <c r="F79" s="164"/>
      <c r="J79" s="162"/>
      <c r="K79" s="162"/>
      <c r="L79" s="163"/>
      <c r="M79" s="164"/>
      <c r="Q79" s="162"/>
      <c r="R79" s="162"/>
      <c r="S79" s="163"/>
      <c r="T79" s="164"/>
      <c r="X79" s="162"/>
      <c r="Y79" s="162"/>
      <c r="Z79" s="163"/>
      <c r="AA79" s="164"/>
      <c r="AE79" s="162"/>
      <c r="AF79" s="162"/>
      <c r="AG79" s="163"/>
      <c r="AH79" s="164"/>
      <c r="AL79" s="162"/>
      <c r="AM79" s="162"/>
      <c r="AN79" s="163"/>
      <c r="AO79" s="164"/>
      <c r="AS79" s="162"/>
      <c r="AT79" s="162"/>
      <c r="AU79" s="163"/>
      <c r="AV79" s="164"/>
      <c r="AZ79" s="162"/>
      <c r="BA79" s="162"/>
      <c r="BB79" s="163"/>
      <c r="BC79" s="164"/>
      <c r="BG79" s="162"/>
      <c r="BH79" s="162"/>
      <c r="BI79" s="163"/>
      <c r="BJ79" s="164"/>
      <c r="BN79" s="162"/>
      <c r="BO79" s="162"/>
      <c r="BP79" s="163"/>
      <c r="BQ79" s="164"/>
      <c r="BU79" s="162"/>
      <c r="BV79" s="162"/>
      <c r="BW79" s="163"/>
      <c r="BX79" s="164"/>
      <c r="CB79" s="162"/>
      <c r="CC79" s="162"/>
      <c r="CD79" s="163"/>
      <c r="CE79" s="164"/>
      <c r="CI79" s="162"/>
      <c r="CJ79" s="162"/>
      <c r="CK79" s="163"/>
      <c r="CL79" s="164"/>
      <c r="CP79" s="162"/>
      <c r="CQ79" s="162"/>
      <c r="CR79" s="163"/>
      <c r="CS79" s="164"/>
      <c r="CW79" s="162"/>
      <c r="CX79" s="162"/>
      <c r="CY79" s="163"/>
      <c r="CZ79" s="164"/>
      <c r="DD79" s="162"/>
      <c r="DE79" s="162"/>
      <c r="DF79" s="163"/>
      <c r="DG79" s="164"/>
      <c r="DK79" s="162"/>
      <c r="DL79" s="162"/>
      <c r="DM79" s="163"/>
      <c r="DN79" s="164"/>
      <c r="DR79" s="162"/>
      <c r="DS79" s="162"/>
      <c r="DT79" s="163"/>
      <c r="DU79" s="164"/>
      <c r="DY79" s="162"/>
      <c r="DZ79" s="162"/>
      <c r="EA79" s="163"/>
      <c r="EB79" s="164"/>
      <c r="EF79" s="162"/>
      <c r="EG79" s="162"/>
      <c r="EH79" s="163"/>
      <c r="EI79" s="164"/>
      <c r="EM79" s="162"/>
      <c r="EN79" s="162"/>
      <c r="EO79" s="163"/>
      <c r="EP79" s="164"/>
      <c r="ET79" s="162"/>
      <c r="EU79" s="162"/>
      <c r="EV79" s="163"/>
      <c r="EW79" s="164"/>
      <c r="FA79" s="162"/>
      <c r="FB79" s="162"/>
      <c r="FC79" s="163"/>
      <c r="FD79" s="164"/>
      <c r="FH79" s="162"/>
      <c r="FI79" s="162"/>
      <c r="FJ79" s="163"/>
      <c r="FK79" s="164"/>
      <c r="FO79" s="162"/>
      <c r="FP79" s="162"/>
      <c r="FQ79" s="163"/>
      <c r="FR79" s="164"/>
      <c r="FV79" s="162"/>
      <c r="FW79" s="162"/>
      <c r="FX79" s="163"/>
      <c r="FY79" s="164"/>
      <c r="GC79" s="162"/>
      <c r="GD79" s="162"/>
      <c r="GE79" s="163"/>
      <c r="GF79" s="164"/>
      <c r="GJ79" s="162"/>
      <c r="GK79" s="162"/>
      <c r="GL79" s="163"/>
      <c r="GM79" s="164"/>
      <c r="GQ79" s="162"/>
      <c r="GR79" s="162"/>
      <c r="GS79" s="163"/>
      <c r="GT79" s="164"/>
      <c r="GX79" s="162"/>
      <c r="GY79" s="162"/>
      <c r="GZ79" s="163"/>
      <c r="HA79" s="164"/>
      <c r="HE79" s="162"/>
      <c r="HF79" s="162"/>
      <c r="HG79" s="163"/>
      <c r="HH79" s="164"/>
      <c r="HL79" s="162"/>
      <c r="HM79" s="162"/>
      <c r="HN79" s="163"/>
      <c r="HO79" s="164"/>
      <c r="HS79" s="162"/>
      <c r="HT79" s="162"/>
      <c r="HU79" s="163"/>
      <c r="HV79" s="164"/>
    </row>
    <row r="80" spans="3:230" x14ac:dyDescent="0.2">
      <c r="C80" s="162"/>
      <c r="D80" s="162"/>
      <c r="E80" s="163"/>
      <c r="F80" s="164"/>
      <c r="J80" s="162"/>
      <c r="K80" s="162"/>
      <c r="L80" s="163"/>
      <c r="M80" s="164"/>
      <c r="Q80" s="162"/>
      <c r="R80" s="162"/>
      <c r="S80" s="163"/>
      <c r="T80" s="164"/>
      <c r="X80" s="162"/>
      <c r="Y80" s="162"/>
      <c r="Z80" s="163"/>
      <c r="AA80" s="164"/>
      <c r="AE80" s="162"/>
      <c r="AF80" s="162"/>
      <c r="AG80" s="163"/>
      <c r="AH80" s="164"/>
      <c r="AL80" s="162"/>
      <c r="AM80" s="162"/>
      <c r="AN80" s="163"/>
      <c r="AO80" s="164"/>
      <c r="AS80" s="162"/>
      <c r="AT80" s="162"/>
      <c r="AU80" s="163"/>
      <c r="AV80" s="164"/>
      <c r="AZ80" s="162"/>
      <c r="BA80" s="162"/>
      <c r="BB80" s="163"/>
      <c r="BC80" s="164"/>
      <c r="BG80" s="162"/>
      <c r="BH80" s="162"/>
      <c r="BI80" s="163"/>
      <c r="BJ80" s="164"/>
      <c r="BN80" s="162"/>
      <c r="BO80" s="162"/>
      <c r="BP80" s="163"/>
      <c r="BQ80" s="164"/>
      <c r="BU80" s="162"/>
      <c r="BV80" s="162"/>
      <c r="BW80" s="163"/>
      <c r="BX80" s="164"/>
      <c r="CB80" s="162"/>
      <c r="CC80" s="162"/>
      <c r="CD80" s="163"/>
      <c r="CE80" s="164"/>
      <c r="CI80" s="162"/>
      <c r="CJ80" s="162"/>
      <c r="CK80" s="163"/>
      <c r="CL80" s="164"/>
      <c r="CP80" s="162"/>
      <c r="CQ80" s="162"/>
      <c r="CR80" s="163"/>
      <c r="CS80" s="164"/>
      <c r="CW80" s="162"/>
      <c r="CX80" s="162"/>
      <c r="CY80" s="163"/>
      <c r="CZ80" s="164"/>
      <c r="DD80" s="162"/>
      <c r="DE80" s="162"/>
      <c r="DF80" s="163"/>
      <c r="DG80" s="164"/>
      <c r="DK80" s="162"/>
      <c r="DL80" s="162"/>
      <c r="DM80" s="163"/>
      <c r="DN80" s="164"/>
      <c r="DR80" s="162"/>
      <c r="DS80" s="162"/>
      <c r="DT80" s="163"/>
      <c r="DU80" s="164"/>
      <c r="DY80" s="162"/>
      <c r="DZ80" s="162"/>
      <c r="EA80" s="163"/>
      <c r="EB80" s="164"/>
      <c r="EF80" s="162"/>
      <c r="EG80" s="162"/>
      <c r="EH80" s="163"/>
      <c r="EI80" s="164"/>
      <c r="EM80" s="162"/>
      <c r="EN80" s="162"/>
      <c r="EO80" s="163"/>
      <c r="EP80" s="164"/>
      <c r="ET80" s="162"/>
      <c r="EU80" s="162"/>
      <c r="EV80" s="163"/>
      <c r="EW80" s="164"/>
      <c r="FA80" s="162"/>
      <c r="FB80" s="162"/>
      <c r="FC80" s="163"/>
      <c r="FD80" s="164"/>
      <c r="FH80" s="162"/>
      <c r="FI80" s="162"/>
      <c r="FJ80" s="163"/>
      <c r="FK80" s="164"/>
      <c r="FO80" s="162"/>
      <c r="FP80" s="162"/>
      <c r="FQ80" s="163"/>
      <c r="FR80" s="164"/>
      <c r="FV80" s="162"/>
      <c r="FW80" s="162"/>
      <c r="FX80" s="163"/>
      <c r="FY80" s="164"/>
      <c r="GC80" s="162"/>
      <c r="GD80" s="162"/>
      <c r="GE80" s="163"/>
      <c r="GF80" s="164"/>
      <c r="GJ80" s="162"/>
      <c r="GK80" s="162"/>
      <c r="GL80" s="163"/>
      <c r="GM80" s="164"/>
      <c r="GQ80" s="162"/>
      <c r="GR80" s="162"/>
      <c r="GS80" s="163"/>
      <c r="GT80" s="164"/>
      <c r="GX80" s="162"/>
      <c r="GY80" s="162"/>
      <c r="GZ80" s="163"/>
      <c r="HA80" s="164"/>
      <c r="HE80" s="162"/>
      <c r="HF80" s="162"/>
      <c r="HG80" s="163"/>
      <c r="HH80" s="164"/>
      <c r="HL80" s="162"/>
      <c r="HM80" s="162"/>
      <c r="HN80" s="163"/>
      <c r="HO80" s="164"/>
      <c r="HS80" s="162"/>
      <c r="HT80" s="162"/>
      <c r="HU80" s="163"/>
      <c r="HV80" s="164"/>
    </row>
    <row r="81" spans="3:230" x14ac:dyDescent="0.2">
      <c r="C81" s="162"/>
      <c r="D81" s="162"/>
      <c r="E81" s="163"/>
      <c r="F81" s="164"/>
      <c r="J81" s="162"/>
      <c r="K81" s="162"/>
      <c r="L81" s="163"/>
      <c r="M81" s="164"/>
      <c r="Q81" s="162"/>
      <c r="R81" s="162"/>
      <c r="S81" s="163"/>
      <c r="T81" s="164"/>
      <c r="X81" s="162"/>
      <c r="Y81" s="162"/>
      <c r="Z81" s="163"/>
      <c r="AA81" s="164"/>
      <c r="AE81" s="162"/>
      <c r="AF81" s="162"/>
      <c r="AG81" s="163"/>
      <c r="AH81" s="164"/>
      <c r="AL81" s="162"/>
      <c r="AM81" s="162"/>
      <c r="AN81" s="163"/>
      <c r="AO81" s="164"/>
      <c r="AS81" s="162"/>
      <c r="AT81" s="162"/>
      <c r="AU81" s="163"/>
      <c r="AV81" s="164"/>
      <c r="AZ81" s="162"/>
      <c r="BA81" s="162"/>
      <c r="BB81" s="163"/>
      <c r="BC81" s="164"/>
      <c r="BG81" s="162"/>
      <c r="BH81" s="162"/>
      <c r="BI81" s="163"/>
      <c r="BJ81" s="164"/>
      <c r="BN81" s="162"/>
      <c r="BO81" s="162"/>
      <c r="BP81" s="163"/>
      <c r="BQ81" s="164"/>
      <c r="BU81" s="162"/>
      <c r="BV81" s="162"/>
      <c r="BW81" s="163"/>
      <c r="BX81" s="164"/>
      <c r="CB81" s="162"/>
      <c r="CC81" s="162"/>
      <c r="CD81" s="163"/>
      <c r="CE81" s="164"/>
      <c r="CI81" s="162"/>
      <c r="CJ81" s="162"/>
      <c r="CK81" s="163"/>
      <c r="CL81" s="164"/>
      <c r="CP81" s="162"/>
      <c r="CQ81" s="162"/>
      <c r="CR81" s="163"/>
      <c r="CS81" s="164"/>
      <c r="CW81" s="162"/>
      <c r="CX81" s="162"/>
      <c r="CY81" s="163"/>
      <c r="CZ81" s="164"/>
      <c r="DD81" s="162"/>
      <c r="DE81" s="162"/>
      <c r="DF81" s="163"/>
      <c r="DG81" s="164"/>
      <c r="DK81" s="162"/>
      <c r="DL81" s="162"/>
      <c r="DM81" s="163"/>
      <c r="DN81" s="164"/>
      <c r="DR81" s="162"/>
      <c r="DS81" s="162"/>
      <c r="DT81" s="163"/>
      <c r="DU81" s="164"/>
      <c r="DY81" s="162"/>
      <c r="DZ81" s="162"/>
      <c r="EA81" s="163"/>
      <c r="EB81" s="164"/>
      <c r="EF81" s="162"/>
      <c r="EG81" s="162"/>
      <c r="EH81" s="163"/>
      <c r="EI81" s="164"/>
      <c r="EM81" s="162"/>
      <c r="EN81" s="162"/>
      <c r="EO81" s="163"/>
      <c r="EP81" s="164"/>
      <c r="ET81" s="162"/>
      <c r="EU81" s="162"/>
      <c r="EV81" s="163"/>
      <c r="EW81" s="164"/>
      <c r="FA81" s="162"/>
      <c r="FB81" s="162"/>
      <c r="FC81" s="163"/>
      <c r="FD81" s="164"/>
      <c r="FH81" s="162"/>
      <c r="FI81" s="162"/>
      <c r="FJ81" s="163"/>
      <c r="FK81" s="164"/>
      <c r="FO81" s="162"/>
      <c r="FP81" s="162"/>
      <c r="FQ81" s="163"/>
      <c r="FR81" s="164"/>
      <c r="FV81" s="162"/>
      <c r="FW81" s="162"/>
      <c r="FX81" s="163"/>
      <c r="FY81" s="164"/>
      <c r="GC81" s="162"/>
      <c r="GD81" s="162"/>
      <c r="GE81" s="163"/>
      <c r="GF81" s="164"/>
      <c r="GJ81" s="162"/>
      <c r="GK81" s="162"/>
      <c r="GL81" s="163"/>
      <c r="GM81" s="164"/>
      <c r="GQ81" s="162"/>
      <c r="GR81" s="162"/>
      <c r="GS81" s="163"/>
      <c r="GT81" s="164"/>
      <c r="GX81" s="162"/>
      <c r="GY81" s="162"/>
      <c r="GZ81" s="163"/>
      <c r="HA81" s="164"/>
      <c r="HE81" s="162"/>
      <c r="HF81" s="162"/>
      <c r="HG81" s="163"/>
      <c r="HH81" s="164"/>
      <c r="HL81" s="162"/>
      <c r="HM81" s="162"/>
      <c r="HN81" s="163"/>
      <c r="HO81" s="164"/>
      <c r="HS81" s="162"/>
      <c r="HT81" s="162"/>
      <c r="HU81" s="163"/>
      <c r="HV81" s="164"/>
    </row>
    <row r="82" spans="3:230" x14ac:dyDescent="0.2">
      <c r="C82" s="162"/>
      <c r="D82" s="162"/>
      <c r="E82" s="163"/>
      <c r="F82" s="164"/>
      <c r="J82" s="162"/>
      <c r="K82" s="162"/>
      <c r="L82" s="163"/>
      <c r="M82" s="164"/>
      <c r="Q82" s="162"/>
      <c r="R82" s="162"/>
      <c r="S82" s="163"/>
      <c r="T82" s="164"/>
      <c r="X82" s="162"/>
      <c r="Y82" s="162"/>
      <c r="Z82" s="163"/>
      <c r="AA82" s="164"/>
      <c r="AE82" s="162"/>
      <c r="AF82" s="162"/>
      <c r="AG82" s="163"/>
      <c r="AH82" s="164"/>
      <c r="AL82" s="162"/>
      <c r="AM82" s="162"/>
      <c r="AN82" s="163"/>
      <c r="AO82" s="164"/>
      <c r="AS82" s="162"/>
      <c r="AT82" s="162"/>
      <c r="AU82" s="163"/>
      <c r="AV82" s="164"/>
      <c r="AZ82" s="162"/>
      <c r="BA82" s="162"/>
      <c r="BB82" s="163"/>
      <c r="BC82" s="164"/>
      <c r="BG82" s="162"/>
      <c r="BH82" s="162"/>
      <c r="BI82" s="163"/>
      <c r="BJ82" s="164"/>
      <c r="BN82" s="162"/>
      <c r="BO82" s="162"/>
      <c r="BP82" s="163"/>
      <c r="BQ82" s="164"/>
      <c r="BU82" s="162"/>
      <c r="BV82" s="162"/>
      <c r="BW82" s="163"/>
      <c r="BX82" s="164"/>
      <c r="CB82" s="162"/>
      <c r="CC82" s="162"/>
      <c r="CD82" s="163"/>
      <c r="CE82" s="164"/>
      <c r="CI82" s="162"/>
      <c r="CJ82" s="162"/>
      <c r="CK82" s="163"/>
      <c r="CL82" s="164"/>
      <c r="CP82" s="162"/>
      <c r="CQ82" s="162"/>
      <c r="CR82" s="163"/>
      <c r="CS82" s="164"/>
      <c r="CW82" s="162"/>
      <c r="CX82" s="162"/>
      <c r="CY82" s="163"/>
      <c r="CZ82" s="164"/>
      <c r="DD82" s="162"/>
      <c r="DE82" s="162"/>
      <c r="DF82" s="163"/>
      <c r="DG82" s="164"/>
      <c r="DK82" s="162"/>
      <c r="DL82" s="162"/>
      <c r="DM82" s="163"/>
      <c r="DN82" s="164"/>
      <c r="DR82" s="162"/>
      <c r="DS82" s="162"/>
      <c r="DT82" s="163"/>
      <c r="DU82" s="164"/>
      <c r="DY82" s="162"/>
      <c r="DZ82" s="162"/>
      <c r="EA82" s="163"/>
      <c r="EB82" s="164"/>
      <c r="EF82" s="162"/>
      <c r="EG82" s="162"/>
      <c r="EH82" s="163"/>
      <c r="EI82" s="164"/>
      <c r="EM82" s="162"/>
      <c r="EN82" s="162"/>
      <c r="EO82" s="163"/>
      <c r="EP82" s="164"/>
      <c r="ET82" s="162"/>
      <c r="EU82" s="162"/>
      <c r="EV82" s="163"/>
      <c r="EW82" s="164"/>
      <c r="FA82" s="162"/>
      <c r="FB82" s="162"/>
      <c r="FC82" s="163"/>
      <c r="FD82" s="164"/>
      <c r="FH82" s="162"/>
      <c r="FI82" s="162"/>
      <c r="FJ82" s="163"/>
      <c r="FK82" s="164"/>
      <c r="FO82" s="162"/>
      <c r="FP82" s="162"/>
      <c r="FQ82" s="163"/>
      <c r="FR82" s="164"/>
      <c r="FV82" s="162"/>
      <c r="FW82" s="162"/>
      <c r="FX82" s="163"/>
      <c r="FY82" s="164"/>
      <c r="GC82" s="162"/>
      <c r="GD82" s="162"/>
      <c r="GE82" s="163"/>
      <c r="GF82" s="164"/>
      <c r="GJ82" s="162"/>
      <c r="GK82" s="162"/>
      <c r="GL82" s="163"/>
      <c r="GM82" s="164"/>
      <c r="GQ82" s="162"/>
      <c r="GR82" s="162"/>
      <c r="GS82" s="163"/>
      <c r="GT82" s="164"/>
      <c r="GX82" s="162"/>
      <c r="GY82" s="162"/>
      <c r="GZ82" s="163"/>
      <c r="HA82" s="164"/>
      <c r="HE82" s="162"/>
      <c r="HF82" s="162"/>
      <c r="HG82" s="163"/>
      <c r="HH82" s="164"/>
      <c r="HL82" s="162"/>
      <c r="HM82" s="162"/>
      <c r="HN82" s="163"/>
      <c r="HO82" s="164"/>
      <c r="HS82" s="162"/>
      <c r="HT82" s="162"/>
      <c r="HU82" s="163"/>
      <c r="HV82" s="164"/>
    </row>
    <row r="83" spans="3:230" x14ac:dyDescent="0.2">
      <c r="C83" s="162"/>
      <c r="D83" s="162"/>
      <c r="E83" s="163"/>
      <c r="F83" s="164"/>
      <c r="J83" s="162"/>
      <c r="K83" s="162"/>
      <c r="L83" s="163"/>
      <c r="M83" s="164"/>
      <c r="Q83" s="162"/>
      <c r="R83" s="162"/>
      <c r="S83" s="163"/>
      <c r="T83" s="164"/>
      <c r="X83" s="162"/>
      <c r="Y83" s="162"/>
      <c r="Z83" s="163"/>
      <c r="AA83" s="164"/>
      <c r="AE83" s="162"/>
      <c r="AF83" s="162"/>
      <c r="AG83" s="163"/>
      <c r="AH83" s="164"/>
      <c r="AL83" s="162"/>
      <c r="AM83" s="162"/>
      <c r="AN83" s="163"/>
      <c r="AO83" s="164"/>
      <c r="AS83" s="162"/>
      <c r="AT83" s="162"/>
      <c r="AU83" s="163"/>
      <c r="AV83" s="164"/>
      <c r="AZ83" s="162"/>
      <c r="BA83" s="162"/>
      <c r="BB83" s="163"/>
      <c r="BC83" s="164"/>
      <c r="BG83" s="162"/>
      <c r="BH83" s="162"/>
      <c r="BI83" s="163"/>
      <c r="BJ83" s="164"/>
      <c r="BN83" s="162"/>
      <c r="BO83" s="162"/>
      <c r="BP83" s="163"/>
      <c r="BQ83" s="164"/>
      <c r="BU83" s="162"/>
      <c r="BV83" s="162"/>
      <c r="BW83" s="163"/>
      <c r="BX83" s="164"/>
      <c r="CB83" s="162"/>
      <c r="CC83" s="162"/>
      <c r="CD83" s="163"/>
      <c r="CE83" s="164"/>
      <c r="CI83" s="162"/>
      <c r="CJ83" s="162"/>
      <c r="CK83" s="163"/>
      <c r="CL83" s="164"/>
      <c r="CP83" s="162"/>
      <c r="CQ83" s="162"/>
      <c r="CR83" s="163"/>
      <c r="CS83" s="164"/>
      <c r="CW83" s="162"/>
      <c r="CX83" s="162"/>
      <c r="CY83" s="163"/>
      <c r="CZ83" s="164"/>
      <c r="DD83" s="162"/>
      <c r="DE83" s="162"/>
      <c r="DF83" s="163"/>
      <c r="DG83" s="164"/>
      <c r="DK83" s="162"/>
      <c r="DL83" s="162"/>
      <c r="DM83" s="163"/>
      <c r="DN83" s="164"/>
      <c r="DR83" s="162"/>
      <c r="DS83" s="162"/>
      <c r="DT83" s="163"/>
      <c r="DU83" s="164"/>
      <c r="DY83" s="162"/>
      <c r="DZ83" s="162"/>
      <c r="EA83" s="163"/>
      <c r="EB83" s="164"/>
      <c r="EF83" s="162"/>
      <c r="EG83" s="162"/>
      <c r="EH83" s="163"/>
      <c r="EI83" s="164"/>
      <c r="EM83" s="162"/>
      <c r="EN83" s="162"/>
      <c r="EO83" s="163"/>
      <c r="EP83" s="164"/>
      <c r="ET83" s="162"/>
      <c r="EU83" s="162"/>
      <c r="EV83" s="163"/>
      <c r="EW83" s="164"/>
      <c r="FA83" s="162"/>
      <c r="FB83" s="162"/>
      <c r="FC83" s="163"/>
      <c r="FD83" s="164"/>
      <c r="FH83" s="162"/>
      <c r="FI83" s="162"/>
      <c r="FJ83" s="163"/>
      <c r="FK83" s="164"/>
      <c r="FO83" s="162"/>
      <c r="FP83" s="162"/>
      <c r="FQ83" s="163"/>
      <c r="FR83" s="164"/>
      <c r="FV83" s="162"/>
      <c r="FW83" s="162"/>
      <c r="FX83" s="163"/>
      <c r="FY83" s="164"/>
      <c r="GC83" s="162"/>
      <c r="GD83" s="162"/>
      <c r="GE83" s="163"/>
      <c r="GF83" s="164"/>
      <c r="GJ83" s="162"/>
      <c r="GK83" s="162"/>
      <c r="GL83" s="163"/>
      <c r="GM83" s="164"/>
      <c r="GQ83" s="162"/>
      <c r="GR83" s="162"/>
      <c r="GS83" s="163"/>
      <c r="GT83" s="164"/>
      <c r="GX83" s="162"/>
      <c r="GY83" s="162"/>
      <c r="GZ83" s="163"/>
      <c r="HA83" s="164"/>
      <c r="HE83" s="162"/>
      <c r="HF83" s="162"/>
      <c r="HG83" s="163"/>
      <c r="HH83" s="164"/>
      <c r="HL83" s="162"/>
      <c r="HM83" s="162"/>
      <c r="HN83" s="163"/>
      <c r="HO83" s="164"/>
      <c r="HS83" s="162"/>
      <c r="HT83" s="162"/>
      <c r="HU83" s="163"/>
      <c r="HV83" s="164"/>
    </row>
    <row r="84" spans="3:230" x14ac:dyDescent="0.2">
      <c r="C84" s="162"/>
      <c r="D84" s="162"/>
      <c r="E84" s="163"/>
      <c r="F84" s="164"/>
      <c r="J84" s="162"/>
      <c r="K84" s="162"/>
      <c r="L84" s="163"/>
      <c r="M84" s="164"/>
      <c r="Q84" s="162"/>
      <c r="R84" s="162"/>
      <c r="S84" s="163"/>
      <c r="T84" s="164"/>
      <c r="X84" s="162"/>
      <c r="Y84" s="162"/>
      <c r="Z84" s="163"/>
      <c r="AA84" s="164"/>
      <c r="AE84" s="162"/>
      <c r="AF84" s="162"/>
      <c r="AG84" s="163"/>
      <c r="AH84" s="164"/>
      <c r="AL84" s="162"/>
      <c r="AM84" s="162"/>
      <c r="AN84" s="163"/>
      <c r="AO84" s="164"/>
      <c r="AS84" s="162"/>
      <c r="AT84" s="162"/>
      <c r="AU84" s="163"/>
      <c r="AV84" s="164"/>
      <c r="AZ84" s="162"/>
      <c r="BA84" s="162"/>
      <c r="BB84" s="163"/>
      <c r="BC84" s="164"/>
      <c r="BG84" s="162"/>
      <c r="BH84" s="162"/>
      <c r="BI84" s="163"/>
      <c r="BJ84" s="164"/>
      <c r="BN84" s="162"/>
      <c r="BO84" s="162"/>
      <c r="BP84" s="163"/>
      <c r="BQ84" s="164"/>
      <c r="BU84" s="162"/>
      <c r="BV84" s="162"/>
      <c r="BW84" s="163"/>
      <c r="BX84" s="164"/>
      <c r="CB84" s="162"/>
      <c r="CC84" s="162"/>
      <c r="CD84" s="163"/>
      <c r="CE84" s="164"/>
      <c r="CI84" s="162"/>
      <c r="CJ84" s="162"/>
      <c r="CK84" s="163"/>
      <c r="CL84" s="164"/>
      <c r="CP84" s="162"/>
      <c r="CQ84" s="162"/>
      <c r="CR84" s="163"/>
      <c r="CS84" s="164"/>
      <c r="CW84" s="162"/>
      <c r="CX84" s="162"/>
      <c r="CY84" s="163"/>
      <c r="CZ84" s="164"/>
      <c r="DD84" s="162"/>
      <c r="DE84" s="162"/>
      <c r="DF84" s="163"/>
      <c r="DG84" s="164"/>
      <c r="DK84" s="162"/>
      <c r="DL84" s="162"/>
      <c r="DM84" s="163"/>
      <c r="DN84" s="164"/>
      <c r="DR84" s="162"/>
      <c r="DS84" s="162"/>
      <c r="DT84" s="163"/>
      <c r="DU84" s="164"/>
      <c r="DY84" s="162"/>
      <c r="DZ84" s="162"/>
      <c r="EA84" s="163"/>
      <c r="EB84" s="164"/>
      <c r="EF84" s="162"/>
      <c r="EG84" s="162"/>
      <c r="EH84" s="163"/>
      <c r="EI84" s="164"/>
      <c r="EM84" s="162"/>
      <c r="EN84" s="162"/>
      <c r="EO84" s="163"/>
      <c r="EP84" s="164"/>
      <c r="ET84" s="162"/>
      <c r="EU84" s="162"/>
      <c r="EV84" s="163"/>
      <c r="EW84" s="164"/>
      <c r="FA84" s="162"/>
      <c r="FB84" s="162"/>
      <c r="FC84" s="163"/>
      <c r="FD84" s="164"/>
      <c r="FH84" s="162"/>
      <c r="FI84" s="162"/>
      <c r="FJ84" s="163"/>
      <c r="FK84" s="164"/>
      <c r="FO84" s="162"/>
      <c r="FP84" s="162"/>
      <c r="FQ84" s="163"/>
      <c r="FR84" s="164"/>
      <c r="FV84" s="162"/>
      <c r="FW84" s="162"/>
      <c r="FX84" s="163"/>
      <c r="FY84" s="164"/>
      <c r="GC84" s="162"/>
      <c r="GD84" s="162"/>
      <c r="GE84" s="163"/>
      <c r="GF84" s="164"/>
      <c r="GJ84" s="162"/>
      <c r="GK84" s="162"/>
      <c r="GL84" s="163"/>
      <c r="GM84" s="164"/>
      <c r="GQ84" s="162"/>
      <c r="GR84" s="162"/>
      <c r="GS84" s="163"/>
      <c r="GT84" s="164"/>
      <c r="GX84" s="162"/>
      <c r="GY84" s="162"/>
      <c r="GZ84" s="163"/>
      <c r="HA84" s="164"/>
      <c r="HE84" s="162"/>
      <c r="HF84" s="162"/>
      <c r="HG84" s="163"/>
      <c r="HH84" s="164"/>
      <c r="HL84" s="162"/>
      <c r="HM84" s="162"/>
      <c r="HN84" s="163"/>
      <c r="HO84" s="164"/>
      <c r="HS84" s="162"/>
      <c r="HT84" s="162"/>
      <c r="HU84" s="163"/>
      <c r="HV84" s="164"/>
    </row>
    <row r="85" spans="3:230" x14ac:dyDescent="0.2">
      <c r="C85" s="162"/>
      <c r="D85" s="162"/>
      <c r="E85" s="163"/>
      <c r="F85" s="164"/>
      <c r="J85" s="162"/>
      <c r="K85" s="162"/>
      <c r="L85" s="163"/>
      <c r="M85" s="164"/>
      <c r="Q85" s="162"/>
      <c r="R85" s="162"/>
      <c r="S85" s="163"/>
      <c r="T85" s="164"/>
      <c r="X85" s="162"/>
      <c r="Y85" s="162"/>
      <c r="Z85" s="163"/>
      <c r="AA85" s="164"/>
      <c r="AE85" s="162"/>
      <c r="AF85" s="162"/>
      <c r="AG85" s="163"/>
      <c r="AH85" s="164"/>
      <c r="AL85" s="162"/>
      <c r="AM85" s="162"/>
      <c r="AN85" s="163"/>
      <c r="AO85" s="164"/>
      <c r="AS85" s="162"/>
      <c r="AT85" s="162"/>
      <c r="AU85" s="163"/>
      <c r="AV85" s="164"/>
      <c r="AZ85" s="162"/>
      <c r="BA85" s="162"/>
      <c r="BB85" s="163"/>
      <c r="BC85" s="164"/>
      <c r="BG85" s="162"/>
      <c r="BH85" s="162"/>
      <c r="BI85" s="163"/>
      <c r="BJ85" s="164"/>
      <c r="BN85" s="162"/>
      <c r="BO85" s="162"/>
      <c r="BP85" s="163"/>
      <c r="BQ85" s="164"/>
      <c r="BU85" s="162"/>
      <c r="BV85" s="162"/>
      <c r="BW85" s="163"/>
      <c r="BX85" s="164"/>
      <c r="CB85" s="162"/>
      <c r="CC85" s="162"/>
      <c r="CD85" s="163"/>
      <c r="CE85" s="164"/>
      <c r="CI85" s="162"/>
      <c r="CJ85" s="162"/>
      <c r="CK85" s="163"/>
      <c r="CL85" s="164"/>
      <c r="CP85" s="162"/>
      <c r="CQ85" s="162"/>
      <c r="CR85" s="163"/>
      <c r="CS85" s="164"/>
      <c r="CW85" s="162"/>
      <c r="CX85" s="162"/>
      <c r="CY85" s="163"/>
      <c r="CZ85" s="164"/>
      <c r="DD85" s="162"/>
      <c r="DE85" s="162"/>
      <c r="DF85" s="163"/>
      <c r="DG85" s="164"/>
      <c r="DK85" s="162"/>
      <c r="DL85" s="162"/>
      <c r="DM85" s="163"/>
      <c r="DN85" s="164"/>
      <c r="DR85" s="162"/>
      <c r="DS85" s="162"/>
      <c r="DT85" s="163"/>
      <c r="DU85" s="164"/>
      <c r="DY85" s="162"/>
      <c r="DZ85" s="162"/>
      <c r="EA85" s="163"/>
      <c r="EB85" s="164"/>
      <c r="EF85" s="162"/>
      <c r="EG85" s="162"/>
      <c r="EH85" s="163"/>
      <c r="EI85" s="164"/>
      <c r="EM85" s="162"/>
      <c r="EN85" s="162"/>
      <c r="EO85" s="163"/>
      <c r="EP85" s="164"/>
      <c r="ET85" s="162"/>
      <c r="EU85" s="162"/>
      <c r="EV85" s="163"/>
      <c r="EW85" s="164"/>
      <c r="FA85" s="162"/>
      <c r="FB85" s="162"/>
      <c r="FC85" s="163"/>
      <c r="FD85" s="164"/>
      <c r="FH85" s="162"/>
      <c r="FI85" s="162"/>
      <c r="FJ85" s="163"/>
      <c r="FK85" s="164"/>
      <c r="FO85" s="162"/>
      <c r="FP85" s="162"/>
      <c r="FQ85" s="163"/>
      <c r="FR85" s="164"/>
      <c r="FV85" s="162"/>
      <c r="FW85" s="162"/>
      <c r="FX85" s="163"/>
      <c r="FY85" s="164"/>
      <c r="GC85" s="162"/>
      <c r="GD85" s="162"/>
      <c r="GE85" s="163"/>
      <c r="GF85" s="164"/>
      <c r="GJ85" s="162"/>
      <c r="GK85" s="162"/>
      <c r="GL85" s="163"/>
      <c r="GM85" s="164"/>
      <c r="GQ85" s="162"/>
      <c r="GR85" s="162"/>
      <c r="GS85" s="163"/>
      <c r="GT85" s="164"/>
      <c r="GX85" s="162"/>
      <c r="GY85" s="162"/>
      <c r="GZ85" s="163"/>
      <c r="HA85" s="164"/>
      <c r="HE85" s="162"/>
      <c r="HF85" s="162"/>
      <c r="HG85" s="163"/>
      <c r="HH85" s="164"/>
      <c r="HL85" s="162"/>
      <c r="HM85" s="162"/>
      <c r="HN85" s="163"/>
      <c r="HO85" s="164"/>
      <c r="HS85" s="162"/>
      <c r="HT85" s="162"/>
      <c r="HU85" s="163"/>
      <c r="HV85" s="164"/>
    </row>
    <row r="86" spans="3:230" x14ac:dyDescent="0.2">
      <c r="C86" s="162"/>
      <c r="D86" s="162"/>
      <c r="E86" s="163"/>
      <c r="F86" s="164"/>
      <c r="J86" s="162"/>
      <c r="K86" s="162"/>
      <c r="L86" s="163"/>
      <c r="M86" s="164"/>
      <c r="Q86" s="162"/>
      <c r="R86" s="162"/>
      <c r="S86" s="163"/>
      <c r="T86" s="164"/>
      <c r="X86" s="162"/>
      <c r="Y86" s="162"/>
      <c r="Z86" s="163"/>
      <c r="AA86" s="164"/>
      <c r="AE86" s="162"/>
      <c r="AF86" s="162"/>
      <c r="AG86" s="163"/>
      <c r="AH86" s="164"/>
      <c r="AL86" s="162"/>
      <c r="AM86" s="162"/>
      <c r="AN86" s="163"/>
      <c r="AO86" s="164"/>
      <c r="AS86" s="162"/>
      <c r="AT86" s="162"/>
      <c r="AU86" s="163"/>
      <c r="AV86" s="164"/>
      <c r="AZ86" s="162"/>
      <c r="BA86" s="162"/>
      <c r="BB86" s="163"/>
      <c r="BC86" s="164"/>
      <c r="BG86" s="162"/>
      <c r="BH86" s="162"/>
      <c r="BI86" s="163"/>
      <c r="BJ86" s="164"/>
      <c r="BN86" s="162"/>
      <c r="BO86" s="162"/>
      <c r="BP86" s="163"/>
      <c r="BQ86" s="164"/>
      <c r="BU86" s="162"/>
      <c r="BV86" s="162"/>
      <c r="BW86" s="163"/>
      <c r="BX86" s="164"/>
      <c r="CB86" s="162"/>
      <c r="CC86" s="162"/>
      <c r="CD86" s="163"/>
      <c r="CE86" s="164"/>
      <c r="CI86" s="162"/>
      <c r="CJ86" s="162"/>
      <c r="CK86" s="163"/>
      <c r="CL86" s="164"/>
      <c r="CP86" s="162"/>
      <c r="CQ86" s="162"/>
      <c r="CR86" s="163"/>
      <c r="CS86" s="164"/>
      <c r="CW86" s="162"/>
      <c r="CX86" s="162"/>
      <c r="CY86" s="163"/>
      <c r="CZ86" s="164"/>
      <c r="DD86" s="162"/>
      <c r="DE86" s="162"/>
      <c r="DF86" s="163"/>
      <c r="DG86" s="164"/>
      <c r="DK86" s="162"/>
      <c r="DL86" s="162"/>
      <c r="DM86" s="163"/>
      <c r="DN86" s="164"/>
      <c r="DR86" s="162"/>
      <c r="DS86" s="162"/>
      <c r="DT86" s="163"/>
      <c r="DU86" s="164"/>
      <c r="DY86" s="162"/>
      <c r="DZ86" s="162"/>
      <c r="EA86" s="163"/>
      <c r="EB86" s="164"/>
      <c r="EF86" s="162"/>
      <c r="EG86" s="162"/>
      <c r="EH86" s="163"/>
      <c r="EI86" s="164"/>
      <c r="EM86" s="162"/>
      <c r="EN86" s="162"/>
      <c r="EO86" s="163"/>
      <c r="EP86" s="164"/>
      <c r="ET86" s="162"/>
      <c r="EU86" s="162"/>
      <c r="EV86" s="163"/>
      <c r="EW86" s="164"/>
      <c r="FA86" s="162"/>
      <c r="FB86" s="162"/>
      <c r="FC86" s="163"/>
      <c r="FD86" s="164"/>
      <c r="FH86" s="162"/>
      <c r="FI86" s="162"/>
      <c r="FJ86" s="163"/>
      <c r="FK86" s="164"/>
      <c r="FO86" s="162"/>
      <c r="FP86" s="162"/>
      <c r="FQ86" s="163"/>
      <c r="FR86" s="164"/>
      <c r="FV86" s="162"/>
      <c r="FW86" s="162"/>
      <c r="FX86" s="163"/>
      <c r="FY86" s="164"/>
      <c r="GC86" s="162"/>
      <c r="GD86" s="162"/>
      <c r="GE86" s="163"/>
      <c r="GF86" s="164"/>
      <c r="GJ86" s="162"/>
      <c r="GK86" s="162"/>
      <c r="GL86" s="163"/>
      <c r="GM86" s="164"/>
      <c r="GQ86" s="162"/>
      <c r="GR86" s="162"/>
      <c r="GS86" s="163"/>
      <c r="GT86" s="164"/>
      <c r="GX86" s="162"/>
      <c r="GY86" s="162"/>
      <c r="GZ86" s="163"/>
      <c r="HA86" s="164"/>
      <c r="HE86" s="162"/>
      <c r="HF86" s="162"/>
      <c r="HG86" s="163"/>
      <c r="HH86" s="164"/>
      <c r="HL86" s="162"/>
      <c r="HM86" s="162"/>
      <c r="HN86" s="163"/>
      <c r="HO86" s="164"/>
      <c r="HS86" s="162"/>
      <c r="HT86" s="162"/>
      <c r="HU86" s="163"/>
      <c r="HV86" s="164"/>
    </row>
    <row r="87" spans="3:230" x14ac:dyDescent="0.2">
      <c r="C87" s="162"/>
      <c r="D87" s="162"/>
      <c r="E87" s="163"/>
      <c r="F87" s="164"/>
      <c r="J87" s="162"/>
      <c r="K87" s="162"/>
      <c r="L87" s="163"/>
      <c r="M87" s="164"/>
      <c r="Q87" s="162"/>
      <c r="R87" s="162"/>
      <c r="S87" s="163"/>
      <c r="T87" s="164"/>
      <c r="X87" s="162"/>
      <c r="Y87" s="162"/>
      <c r="Z87" s="163"/>
      <c r="AA87" s="164"/>
      <c r="AE87" s="162"/>
      <c r="AF87" s="162"/>
      <c r="AG87" s="163"/>
      <c r="AH87" s="164"/>
      <c r="AL87" s="162"/>
      <c r="AM87" s="162"/>
      <c r="AN87" s="163"/>
      <c r="AO87" s="164"/>
      <c r="AS87" s="162"/>
      <c r="AT87" s="162"/>
      <c r="AU87" s="163"/>
      <c r="AV87" s="164"/>
      <c r="AZ87" s="162"/>
      <c r="BA87" s="162"/>
      <c r="BB87" s="163"/>
      <c r="BC87" s="164"/>
      <c r="BG87" s="162"/>
      <c r="BH87" s="162"/>
      <c r="BI87" s="163"/>
      <c r="BJ87" s="164"/>
      <c r="BN87" s="162"/>
      <c r="BO87" s="162"/>
      <c r="BP87" s="163"/>
      <c r="BQ87" s="164"/>
      <c r="BU87" s="162"/>
      <c r="BV87" s="162"/>
      <c r="BW87" s="163"/>
      <c r="BX87" s="164"/>
      <c r="CB87" s="162"/>
      <c r="CC87" s="162"/>
      <c r="CD87" s="163"/>
      <c r="CE87" s="164"/>
      <c r="CI87" s="162"/>
      <c r="CJ87" s="162"/>
      <c r="CK87" s="163"/>
      <c r="CL87" s="164"/>
      <c r="CP87" s="162"/>
      <c r="CQ87" s="162"/>
      <c r="CR87" s="163"/>
      <c r="CS87" s="164"/>
      <c r="CW87" s="162"/>
      <c r="CX87" s="162"/>
      <c r="CY87" s="163"/>
      <c r="CZ87" s="164"/>
      <c r="DD87" s="162"/>
      <c r="DE87" s="162"/>
      <c r="DF87" s="163"/>
      <c r="DG87" s="164"/>
      <c r="DK87" s="162"/>
      <c r="DL87" s="162"/>
      <c r="DM87" s="163"/>
      <c r="DN87" s="164"/>
      <c r="DR87" s="162"/>
      <c r="DS87" s="162"/>
      <c r="DT87" s="163"/>
      <c r="DU87" s="164"/>
      <c r="DY87" s="162"/>
      <c r="DZ87" s="162"/>
      <c r="EA87" s="163"/>
      <c r="EB87" s="164"/>
      <c r="EF87" s="162"/>
      <c r="EG87" s="162"/>
      <c r="EH87" s="163"/>
      <c r="EI87" s="164"/>
      <c r="EM87" s="162"/>
      <c r="EN87" s="162"/>
      <c r="EO87" s="163"/>
      <c r="EP87" s="164"/>
      <c r="ET87" s="162"/>
      <c r="EU87" s="162"/>
      <c r="EV87" s="163"/>
      <c r="EW87" s="164"/>
      <c r="FA87" s="162"/>
      <c r="FB87" s="162"/>
      <c r="FC87" s="163"/>
      <c r="FD87" s="164"/>
      <c r="FH87" s="162"/>
      <c r="FI87" s="162"/>
      <c r="FJ87" s="163"/>
      <c r="FK87" s="164"/>
      <c r="FO87" s="162"/>
      <c r="FP87" s="162"/>
      <c r="FQ87" s="163"/>
      <c r="FR87" s="164"/>
      <c r="FV87" s="162"/>
      <c r="FW87" s="162"/>
      <c r="FX87" s="163"/>
      <c r="FY87" s="164"/>
      <c r="GC87" s="162"/>
      <c r="GD87" s="162"/>
      <c r="GE87" s="163"/>
      <c r="GF87" s="164"/>
      <c r="GJ87" s="162"/>
      <c r="GK87" s="162"/>
      <c r="GL87" s="163"/>
      <c r="GM87" s="164"/>
      <c r="GQ87" s="162"/>
      <c r="GR87" s="162"/>
      <c r="GS87" s="163"/>
      <c r="GT87" s="164"/>
      <c r="GX87" s="162"/>
      <c r="GY87" s="162"/>
      <c r="GZ87" s="163"/>
      <c r="HA87" s="164"/>
      <c r="HE87" s="162"/>
      <c r="HF87" s="162"/>
      <c r="HG87" s="163"/>
      <c r="HH87" s="164"/>
      <c r="HL87" s="162"/>
      <c r="HM87" s="162"/>
      <c r="HN87" s="163"/>
      <c r="HO87" s="164"/>
      <c r="HS87" s="162"/>
      <c r="HT87" s="162"/>
      <c r="HU87" s="163"/>
      <c r="HV87" s="164"/>
    </row>
    <row r="88" spans="3:230" x14ac:dyDescent="0.2">
      <c r="C88" s="162"/>
      <c r="D88" s="162"/>
      <c r="E88" s="163"/>
      <c r="F88" s="164"/>
      <c r="J88" s="162"/>
      <c r="K88" s="162"/>
      <c r="L88" s="163"/>
      <c r="M88" s="164"/>
      <c r="Q88" s="162"/>
      <c r="R88" s="162"/>
      <c r="S88" s="163"/>
      <c r="T88" s="164"/>
      <c r="X88" s="162"/>
      <c r="Y88" s="162"/>
      <c r="Z88" s="163"/>
      <c r="AA88" s="164"/>
      <c r="AE88" s="162"/>
      <c r="AF88" s="162"/>
      <c r="AG88" s="163"/>
      <c r="AH88" s="164"/>
      <c r="AL88" s="162"/>
      <c r="AM88" s="162"/>
      <c r="AN88" s="163"/>
      <c r="AO88" s="164"/>
      <c r="AS88" s="162"/>
      <c r="AT88" s="162"/>
      <c r="AU88" s="163"/>
      <c r="AV88" s="164"/>
      <c r="AZ88" s="162"/>
      <c r="BA88" s="162"/>
      <c r="BB88" s="163"/>
      <c r="BC88" s="164"/>
      <c r="BG88" s="162"/>
      <c r="BH88" s="162"/>
      <c r="BI88" s="163"/>
      <c r="BJ88" s="164"/>
      <c r="BN88" s="162"/>
      <c r="BO88" s="162"/>
      <c r="BP88" s="163"/>
      <c r="BQ88" s="164"/>
      <c r="BU88" s="162"/>
      <c r="BV88" s="162"/>
      <c r="BW88" s="163"/>
      <c r="BX88" s="164"/>
      <c r="CB88" s="162"/>
      <c r="CC88" s="162"/>
      <c r="CD88" s="163"/>
      <c r="CE88" s="164"/>
      <c r="CI88" s="162"/>
      <c r="CJ88" s="162"/>
      <c r="CK88" s="163"/>
      <c r="CL88" s="164"/>
      <c r="CP88" s="162"/>
      <c r="CQ88" s="162"/>
      <c r="CR88" s="163"/>
      <c r="CS88" s="164"/>
      <c r="CW88" s="162"/>
      <c r="CX88" s="162"/>
      <c r="CY88" s="163"/>
      <c r="CZ88" s="164"/>
      <c r="DD88" s="162"/>
      <c r="DE88" s="162"/>
      <c r="DF88" s="163"/>
      <c r="DG88" s="164"/>
      <c r="DK88" s="162"/>
      <c r="DL88" s="162"/>
      <c r="DM88" s="163"/>
      <c r="DN88" s="164"/>
      <c r="DR88" s="162"/>
      <c r="DS88" s="162"/>
      <c r="DT88" s="163"/>
      <c r="DU88" s="164"/>
      <c r="DY88" s="162"/>
      <c r="DZ88" s="162"/>
      <c r="EA88" s="163"/>
      <c r="EB88" s="164"/>
      <c r="EF88" s="162"/>
      <c r="EG88" s="162"/>
      <c r="EH88" s="163"/>
      <c r="EI88" s="164"/>
      <c r="EM88" s="162"/>
      <c r="EN88" s="162"/>
      <c r="EO88" s="163"/>
      <c r="EP88" s="164"/>
      <c r="ET88" s="162"/>
      <c r="EU88" s="162"/>
      <c r="EV88" s="163"/>
      <c r="EW88" s="164"/>
      <c r="FA88" s="162"/>
      <c r="FB88" s="162"/>
      <c r="FC88" s="163"/>
      <c r="FD88" s="164"/>
      <c r="FH88" s="162"/>
      <c r="FI88" s="162"/>
      <c r="FJ88" s="163"/>
      <c r="FK88" s="164"/>
      <c r="FO88" s="162"/>
      <c r="FP88" s="162"/>
      <c r="FQ88" s="163"/>
      <c r="FR88" s="164"/>
      <c r="FV88" s="162"/>
      <c r="FW88" s="162"/>
      <c r="FX88" s="163"/>
      <c r="FY88" s="164"/>
      <c r="GC88" s="162"/>
      <c r="GD88" s="162"/>
      <c r="GE88" s="163"/>
      <c r="GF88" s="164"/>
      <c r="GJ88" s="162"/>
      <c r="GK88" s="162"/>
      <c r="GL88" s="163"/>
      <c r="GM88" s="164"/>
      <c r="GQ88" s="162"/>
      <c r="GR88" s="162"/>
      <c r="GS88" s="163"/>
      <c r="GT88" s="164"/>
      <c r="GX88" s="162"/>
      <c r="GY88" s="162"/>
      <c r="GZ88" s="163"/>
      <c r="HA88" s="164"/>
      <c r="HE88" s="162"/>
      <c r="HF88" s="162"/>
      <c r="HG88" s="163"/>
      <c r="HH88" s="164"/>
      <c r="HL88" s="162"/>
      <c r="HM88" s="162"/>
      <c r="HN88" s="163"/>
      <c r="HO88" s="164"/>
      <c r="HS88" s="162"/>
      <c r="HT88" s="162"/>
      <c r="HU88" s="163"/>
      <c r="HV88" s="164"/>
    </row>
    <row r="89" spans="3:230" x14ac:dyDescent="0.2">
      <c r="C89" s="162"/>
      <c r="D89" s="162"/>
      <c r="E89" s="163"/>
      <c r="F89" s="164"/>
      <c r="J89" s="162"/>
      <c r="K89" s="162"/>
      <c r="L89" s="163"/>
      <c r="M89" s="164"/>
      <c r="Q89" s="162"/>
      <c r="R89" s="162"/>
      <c r="S89" s="163"/>
      <c r="T89" s="164"/>
      <c r="X89" s="162"/>
      <c r="Y89" s="162"/>
      <c r="Z89" s="163"/>
      <c r="AA89" s="164"/>
      <c r="AE89" s="162"/>
      <c r="AF89" s="162"/>
      <c r="AG89" s="163"/>
      <c r="AH89" s="164"/>
      <c r="AL89" s="162"/>
      <c r="AM89" s="162"/>
      <c r="AN89" s="163"/>
      <c r="AO89" s="164"/>
      <c r="AS89" s="162"/>
      <c r="AT89" s="162"/>
      <c r="AU89" s="163"/>
      <c r="AV89" s="164"/>
      <c r="AZ89" s="162"/>
      <c r="BA89" s="162"/>
      <c r="BB89" s="163"/>
      <c r="BC89" s="164"/>
      <c r="BG89" s="162"/>
      <c r="BH89" s="162"/>
      <c r="BI89" s="163"/>
      <c r="BJ89" s="164"/>
      <c r="BN89" s="162"/>
      <c r="BO89" s="162"/>
      <c r="BP89" s="163"/>
      <c r="BQ89" s="164"/>
      <c r="BU89" s="162"/>
      <c r="BV89" s="162"/>
      <c r="BW89" s="163"/>
      <c r="BX89" s="164"/>
      <c r="CB89" s="162"/>
      <c r="CC89" s="162"/>
      <c r="CD89" s="163"/>
      <c r="CE89" s="164"/>
      <c r="CI89" s="162"/>
      <c r="CJ89" s="162"/>
      <c r="CK89" s="163"/>
      <c r="CL89" s="164"/>
      <c r="CP89" s="162"/>
      <c r="CQ89" s="162"/>
      <c r="CR89" s="163"/>
      <c r="CS89" s="164"/>
      <c r="CW89" s="162"/>
      <c r="CX89" s="162"/>
      <c r="CY89" s="163"/>
      <c r="CZ89" s="164"/>
      <c r="DD89" s="162"/>
      <c r="DE89" s="162"/>
      <c r="DF89" s="163"/>
      <c r="DG89" s="164"/>
      <c r="DK89" s="162"/>
      <c r="DL89" s="162"/>
      <c r="DM89" s="163"/>
      <c r="DN89" s="164"/>
      <c r="DR89" s="162"/>
      <c r="DS89" s="162"/>
      <c r="DT89" s="163"/>
      <c r="DU89" s="164"/>
      <c r="DY89" s="162"/>
      <c r="DZ89" s="162"/>
      <c r="EA89" s="163"/>
      <c r="EB89" s="164"/>
      <c r="EF89" s="162"/>
      <c r="EG89" s="162"/>
      <c r="EH89" s="163"/>
      <c r="EI89" s="164"/>
      <c r="EM89" s="162"/>
      <c r="EN89" s="162"/>
      <c r="EO89" s="163"/>
      <c r="EP89" s="164"/>
      <c r="ET89" s="162"/>
      <c r="EU89" s="162"/>
      <c r="EV89" s="163"/>
      <c r="EW89" s="164"/>
      <c r="FA89" s="162"/>
      <c r="FB89" s="162"/>
      <c r="FC89" s="163"/>
      <c r="FD89" s="164"/>
      <c r="FH89" s="162"/>
      <c r="FI89" s="162"/>
      <c r="FJ89" s="163"/>
      <c r="FK89" s="164"/>
      <c r="FO89" s="162"/>
      <c r="FP89" s="162"/>
      <c r="FQ89" s="163"/>
      <c r="FR89" s="164"/>
      <c r="FV89" s="162"/>
      <c r="FW89" s="162"/>
      <c r="FX89" s="163"/>
      <c r="FY89" s="164"/>
      <c r="GC89" s="162"/>
      <c r="GD89" s="162"/>
      <c r="GE89" s="163"/>
      <c r="GF89" s="164"/>
      <c r="GJ89" s="162"/>
      <c r="GK89" s="162"/>
      <c r="GL89" s="163"/>
      <c r="GM89" s="164"/>
      <c r="GQ89" s="162"/>
      <c r="GR89" s="162"/>
      <c r="GS89" s="163"/>
      <c r="GT89" s="164"/>
      <c r="GX89" s="162"/>
      <c r="GY89" s="162"/>
      <c r="GZ89" s="163"/>
      <c r="HA89" s="164"/>
      <c r="HE89" s="162"/>
      <c r="HF89" s="162"/>
      <c r="HG89" s="163"/>
      <c r="HH89" s="164"/>
      <c r="HL89" s="162"/>
      <c r="HM89" s="162"/>
      <c r="HN89" s="163"/>
      <c r="HO89" s="164"/>
      <c r="HS89" s="162"/>
      <c r="HT89" s="162"/>
      <c r="HU89" s="163"/>
      <c r="HV89" s="164"/>
    </row>
    <row r="90" spans="3:230" x14ac:dyDescent="0.2">
      <c r="C90" s="162"/>
      <c r="D90" s="162"/>
      <c r="E90" s="163"/>
      <c r="F90" s="164"/>
      <c r="J90" s="162"/>
      <c r="K90" s="162"/>
      <c r="L90" s="163"/>
      <c r="M90" s="164"/>
      <c r="Q90" s="162"/>
      <c r="R90" s="162"/>
      <c r="S90" s="163"/>
      <c r="T90" s="164"/>
      <c r="X90" s="162"/>
      <c r="Y90" s="162"/>
      <c r="Z90" s="163"/>
      <c r="AA90" s="164"/>
      <c r="AE90" s="162"/>
      <c r="AF90" s="162"/>
      <c r="AG90" s="163"/>
      <c r="AH90" s="164"/>
      <c r="AL90" s="162"/>
      <c r="AM90" s="162"/>
      <c r="AN90" s="163"/>
      <c r="AO90" s="164"/>
      <c r="AS90" s="162"/>
      <c r="AT90" s="162"/>
      <c r="AU90" s="163"/>
      <c r="AV90" s="164"/>
      <c r="AZ90" s="162"/>
      <c r="BA90" s="162"/>
      <c r="BB90" s="163"/>
      <c r="BC90" s="164"/>
      <c r="BG90" s="162"/>
      <c r="BH90" s="162"/>
      <c r="BI90" s="163"/>
      <c r="BJ90" s="164"/>
      <c r="BN90" s="162"/>
      <c r="BO90" s="162"/>
      <c r="BP90" s="163"/>
      <c r="BQ90" s="164"/>
      <c r="BU90" s="162"/>
      <c r="BV90" s="162"/>
      <c r="BW90" s="163"/>
      <c r="BX90" s="164"/>
      <c r="CB90" s="162"/>
      <c r="CC90" s="162"/>
      <c r="CD90" s="163"/>
      <c r="CE90" s="164"/>
      <c r="CI90" s="162"/>
      <c r="CJ90" s="162"/>
      <c r="CK90" s="163"/>
      <c r="CL90" s="164"/>
      <c r="CP90" s="162"/>
      <c r="CQ90" s="162"/>
      <c r="CR90" s="163"/>
      <c r="CS90" s="164"/>
      <c r="CW90" s="162"/>
      <c r="CX90" s="162"/>
      <c r="CY90" s="163"/>
      <c r="CZ90" s="164"/>
      <c r="DD90" s="162"/>
      <c r="DE90" s="162"/>
      <c r="DF90" s="163"/>
      <c r="DG90" s="164"/>
      <c r="DK90" s="162"/>
      <c r="DL90" s="162"/>
      <c r="DM90" s="163"/>
      <c r="DN90" s="164"/>
      <c r="DR90" s="162"/>
      <c r="DS90" s="162"/>
      <c r="DT90" s="163"/>
      <c r="DU90" s="164"/>
      <c r="DY90" s="162"/>
      <c r="DZ90" s="162"/>
      <c r="EA90" s="163"/>
      <c r="EB90" s="164"/>
      <c r="EF90" s="162"/>
      <c r="EG90" s="162"/>
      <c r="EH90" s="163"/>
      <c r="EI90" s="164"/>
      <c r="EM90" s="162"/>
      <c r="EN90" s="162"/>
      <c r="EO90" s="163"/>
      <c r="EP90" s="164"/>
      <c r="ET90" s="162"/>
      <c r="EU90" s="162"/>
      <c r="EV90" s="163"/>
      <c r="EW90" s="164"/>
      <c r="FA90" s="162"/>
      <c r="FB90" s="162"/>
      <c r="FC90" s="163"/>
      <c r="FD90" s="164"/>
      <c r="FH90" s="162"/>
      <c r="FI90" s="162"/>
      <c r="FJ90" s="163"/>
      <c r="FK90" s="164"/>
      <c r="FO90" s="162"/>
      <c r="FP90" s="162"/>
      <c r="FQ90" s="163"/>
      <c r="FR90" s="164"/>
      <c r="FV90" s="162"/>
      <c r="FW90" s="162"/>
      <c r="FX90" s="163"/>
      <c r="FY90" s="164"/>
      <c r="GC90" s="162"/>
      <c r="GD90" s="162"/>
      <c r="GE90" s="163"/>
      <c r="GF90" s="164"/>
      <c r="GJ90" s="162"/>
      <c r="GK90" s="162"/>
      <c r="GL90" s="163"/>
      <c r="GM90" s="164"/>
      <c r="GQ90" s="162"/>
      <c r="GR90" s="162"/>
      <c r="GS90" s="163"/>
      <c r="GT90" s="164"/>
      <c r="GX90" s="162"/>
      <c r="GY90" s="162"/>
      <c r="GZ90" s="163"/>
      <c r="HA90" s="164"/>
      <c r="HE90" s="162"/>
      <c r="HF90" s="162"/>
      <c r="HG90" s="163"/>
      <c r="HH90" s="164"/>
      <c r="HL90" s="162"/>
      <c r="HM90" s="162"/>
      <c r="HN90" s="163"/>
      <c r="HO90" s="164"/>
      <c r="HS90" s="162"/>
      <c r="HT90" s="162"/>
      <c r="HU90" s="163"/>
      <c r="HV90" s="164"/>
    </row>
    <row r="91" spans="3:230" x14ac:dyDescent="0.2">
      <c r="C91" s="162"/>
      <c r="D91" s="162"/>
      <c r="E91" s="163"/>
      <c r="F91" s="164"/>
      <c r="J91" s="162"/>
      <c r="K91" s="162"/>
      <c r="L91" s="163"/>
      <c r="M91" s="164"/>
      <c r="Q91" s="162"/>
      <c r="R91" s="162"/>
      <c r="S91" s="163"/>
      <c r="T91" s="164"/>
      <c r="X91" s="162"/>
      <c r="Y91" s="162"/>
      <c r="Z91" s="163"/>
      <c r="AA91" s="164"/>
      <c r="AE91" s="162"/>
      <c r="AF91" s="162"/>
      <c r="AG91" s="163"/>
      <c r="AH91" s="164"/>
      <c r="AL91" s="162"/>
      <c r="AM91" s="162"/>
      <c r="AN91" s="163"/>
      <c r="AO91" s="164"/>
      <c r="AS91" s="162"/>
      <c r="AT91" s="162"/>
      <c r="AU91" s="163"/>
      <c r="AV91" s="164"/>
      <c r="AZ91" s="162"/>
      <c r="BA91" s="162"/>
      <c r="BB91" s="163"/>
      <c r="BC91" s="164"/>
      <c r="BG91" s="162"/>
      <c r="BH91" s="162"/>
      <c r="BI91" s="163"/>
      <c r="BJ91" s="164"/>
      <c r="BN91" s="162"/>
      <c r="BO91" s="162"/>
      <c r="BP91" s="163"/>
      <c r="BQ91" s="164"/>
      <c r="BU91" s="162"/>
      <c r="BV91" s="162"/>
      <c r="BW91" s="163"/>
      <c r="BX91" s="164"/>
      <c r="CB91" s="162"/>
      <c r="CC91" s="162"/>
      <c r="CD91" s="163"/>
      <c r="CE91" s="164"/>
      <c r="CI91" s="162"/>
      <c r="CJ91" s="162"/>
      <c r="CK91" s="163"/>
      <c r="CL91" s="164"/>
      <c r="CP91" s="162"/>
      <c r="CQ91" s="162"/>
      <c r="CR91" s="163"/>
      <c r="CS91" s="164"/>
      <c r="CW91" s="162"/>
      <c r="CX91" s="162"/>
      <c r="CY91" s="163"/>
      <c r="CZ91" s="164"/>
      <c r="DD91" s="162"/>
      <c r="DE91" s="162"/>
      <c r="DF91" s="163"/>
      <c r="DG91" s="164"/>
      <c r="DK91" s="162"/>
      <c r="DL91" s="162"/>
      <c r="DM91" s="163"/>
      <c r="DN91" s="164"/>
      <c r="DR91" s="162"/>
      <c r="DS91" s="162"/>
      <c r="DT91" s="163"/>
      <c r="DU91" s="164"/>
      <c r="DY91" s="162"/>
      <c r="DZ91" s="162"/>
      <c r="EA91" s="163"/>
      <c r="EB91" s="164"/>
      <c r="EF91" s="162"/>
      <c r="EG91" s="162"/>
      <c r="EH91" s="163"/>
      <c r="EI91" s="164"/>
      <c r="EM91" s="162"/>
      <c r="EN91" s="162"/>
      <c r="EO91" s="163"/>
      <c r="EP91" s="164"/>
      <c r="ET91" s="162"/>
      <c r="EU91" s="162"/>
      <c r="EV91" s="163"/>
      <c r="EW91" s="164"/>
      <c r="FA91" s="162"/>
      <c r="FB91" s="162"/>
      <c r="FC91" s="163"/>
      <c r="FD91" s="164"/>
      <c r="FH91" s="162"/>
      <c r="FI91" s="162"/>
      <c r="FJ91" s="163"/>
      <c r="FK91" s="164"/>
      <c r="FO91" s="162"/>
      <c r="FP91" s="162"/>
      <c r="FQ91" s="163"/>
      <c r="FR91" s="164"/>
      <c r="FV91" s="162"/>
      <c r="FW91" s="162"/>
      <c r="FX91" s="163"/>
      <c r="FY91" s="164"/>
      <c r="GC91" s="162"/>
      <c r="GD91" s="162"/>
      <c r="GE91" s="163"/>
      <c r="GF91" s="164"/>
      <c r="GJ91" s="162"/>
      <c r="GK91" s="162"/>
      <c r="GL91" s="163"/>
      <c r="GM91" s="164"/>
      <c r="GQ91" s="162"/>
      <c r="GR91" s="162"/>
      <c r="GS91" s="163"/>
      <c r="GT91" s="164"/>
      <c r="GX91" s="162"/>
      <c r="GY91" s="162"/>
      <c r="GZ91" s="163"/>
      <c r="HA91" s="164"/>
      <c r="HE91" s="162"/>
      <c r="HF91" s="162"/>
      <c r="HG91" s="163"/>
      <c r="HH91" s="164"/>
      <c r="HL91" s="162"/>
      <c r="HM91" s="162"/>
      <c r="HN91" s="163"/>
      <c r="HO91" s="164"/>
      <c r="HS91" s="162"/>
      <c r="HT91" s="162"/>
      <c r="HU91" s="163"/>
      <c r="HV91" s="164"/>
    </row>
    <row r="92" spans="3:230" x14ac:dyDescent="0.2">
      <c r="C92" s="162"/>
      <c r="D92" s="162"/>
      <c r="E92" s="163"/>
      <c r="F92" s="164"/>
      <c r="J92" s="162"/>
      <c r="K92" s="162"/>
      <c r="L92" s="163"/>
      <c r="M92" s="164"/>
      <c r="Q92" s="162"/>
      <c r="R92" s="162"/>
      <c r="S92" s="163"/>
      <c r="T92" s="164"/>
      <c r="X92" s="162"/>
      <c r="Y92" s="162"/>
      <c r="Z92" s="163"/>
      <c r="AA92" s="164"/>
      <c r="AE92" s="162"/>
      <c r="AF92" s="162"/>
      <c r="AG92" s="163"/>
      <c r="AH92" s="164"/>
      <c r="AL92" s="162"/>
      <c r="AM92" s="162"/>
      <c r="AN92" s="163"/>
      <c r="AO92" s="164"/>
      <c r="AS92" s="162"/>
      <c r="AT92" s="162"/>
      <c r="AU92" s="163"/>
      <c r="AV92" s="164"/>
      <c r="AZ92" s="162"/>
      <c r="BA92" s="162"/>
      <c r="BB92" s="163"/>
      <c r="BC92" s="164"/>
      <c r="BG92" s="162"/>
      <c r="BH92" s="162"/>
      <c r="BI92" s="163"/>
      <c r="BJ92" s="164"/>
      <c r="BN92" s="162"/>
      <c r="BO92" s="162"/>
      <c r="BP92" s="163"/>
      <c r="BQ92" s="164"/>
      <c r="BU92" s="162"/>
      <c r="BV92" s="162"/>
      <c r="BW92" s="163"/>
      <c r="BX92" s="164"/>
      <c r="CB92" s="162"/>
      <c r="CC92" s="162"/>
      <c r="CD92" s="163"/>
      <c r="CE92" s="164"/>
      <c r="CI92" s="162"/>
      <c r="CJ92" s="162"/>
      <c r="CK92" s="163"/>
      <c r="CL92" s="164"/>
      <c r="CP92" s="162"/>
      <c r="CQ92" s="162"/>
      <c r="CR92" s="163"/>
      <c r="CS92" s="164"/>
      <c r="CW92" s="162"/>
      <c r="CX92" s="162"/>
      <c r="CY92" s="163"/>
      <c r="CZ92" s="164"/>
      <c r="DD92" s="162"/>
      <c r="DE92" s="162"/>
      <c r="DF92" s="163"/>
      <c r="DG92" s="164"/>
      <c r="DK92" s="162"/>
      <c r="DL92" s="162"/>
      <c r="DM92" s="163"/>
      <c r="DN92" s="164"/>
      <c r="DR92" s="162"/>
      <c r="DS92" s="162"/>
      <c r="DT92" s="163"/>
      <c r="DU92" s="164"/>
      <c r="DY92" s="162"/>
      <c r="DZ92" s="162"/>
      <c r="EA92" s="163"/>
      <c r="EB92" s="164"/>
      <c r="EF92" s="162"/>
      <c r="EG92" s="162"/>
      <c r="EH92" s="163"/>
      <c r="EI92" s="164"/>
      <c r="EM92" s="162"/>
      <c r="EN92" s="162"/>
      <c r="EO92" s="163"/>
      <c r="EP92" s="164"/>
      <c r="ET92" s="162"/>
      <c r="EU92" s="162"/>
      <c r="EV92" s="163"/>
      <c r="EW92" s="164"/>
      <c r="FA92" s="162"/>
      <c r="FB92" s="162"/>
      <c r="FC92" s="163"/>
      <c r="FD92" s="164"/>
      <c r="FH92" s="162"/>
      <c r="FI92" s="162"/>
      <c r="FJ92" s="163"/>
      <c r="FK92" s="164"/>
      <c r="FO92" s="162"/>
      <c r="FP92" s="162"/>
      <c r="FQ92" s="163"/>
      <c r="FR92" s="164"/>
      <c r="FV92" s="162"/>
      <c r="FW92" s="162"/>
      <c r="FX92" s="163"/>
      <c r="FY92" s="164"/>
      <c r="GC92" s="162"/>
      <c r="GD92" s="162"/>
      <c r="GE92" s="163"/>
      <c r="GF92" s="164"/>
      <c r="GJ92" s="162"/>
      <c r="GK92" s="162"/>
      <c r="GL92" s="163"/>
      <c r="GM92" s="164"/>
      <c r="GQ92" s="162"/>
      <c r="GR92" s="162"/>
      <c r="GS92" s="163"/>
      <c r="GT92" s="164"/>
      <c r="GX92" s="162"/>
      <c r="GY92" s="162"/>
      <c r="GZ92" s="163"/>
      <c r="HA92" s="164"/>
      <c r="HE92" s="162"/>
      <c r="HF92" s="162"/>
      <c r="HG92" s="163"/>
      <c r="HH92" s="164"/>
      <c r="HL92" s="162"/>
      <c r="HM92" s="162"/>
      <c r="HN92" s="163"/>
      <c r="HO92" s="164"/>
      <c r="HS92" s="162"/>
      <c r="HT92" s="162"/>
      <c r="HU92" s="163"/>
      <c r="HV92" s="164"/>
    </row>
    <row r="93" spans="3:230" x14ac:dyDescent="0.2">
      <c r="C93" s="162"/>
      <c r="D93" s="162"/>
      <c r="E93" s="163"/>
      <c r="F93" s="164"/>
      <c r="J93" s="162"/>
      <c r="K93" s="162"/>
      <c r="L93" s="163"/>
      <c r="M93" s="164"/>
      <c r="Q93" s="162"/>
      <c r="R93" s="162"/>
      <c r="S93" s="163"/>
      <c r="T93" s="164"/>
      <c r="X93" s="162"/>
      <c r="Y93" s="162"/>
      <c r="Z93" s="163"/>
      <c r="AA93" s="164"/>
      <c r="AE93" s="162"/>
      <c r="AF93" s="162"/>
      <c r="AG93" s="163"/>
      <c r="AH93" s="164"/>
      <c r="AL93" s="162"/>
      <c r="AM93" s="162"/>
      <c r="AN93" s="163"/>
      <c r="AO93" s="164"/>
      <c r="AS93" s="162"/>
      <c r="AT93" s="162"/>
      <c r="AU93" s="163"/>
      <c r="AV93" s="164"/>
      <c r="AZ93" s="162"/>
      <c r="BA93" s="162"/>
      <c r="BB93" s="163"/>
      <c r="BC93" s="164"/>
      <c r="BG93" s="162"/>
      <c r="BH93" s="162"/>
      <c r="BI93" s="163"/>
      <c r="BJ93" s="164"/>
      <c r="BN93" s="162"/>
      <c r="BO93" s="162"/>
      <c r="BP93" s="163"/>
      <c r="BQ93" s="164"/>
      <c r="BU93" s="162"/>
      <c r="BV93" s="162"/>
      <c r="BW93" s="163"/>
      <c r="BX93" s="164"/>
      <c r="CB93" s="162"/>
      <c r="CC93" s="162"/>
      <c r="CD93" s="163"/>
      <c r="CE93" s="164"/>
      <c r="CI93" s="162"/>
      <c r="CJ93" s="162"/>
      <c r="CK93" s="163"/>
      <c r="CL93" s="164"/>
      <c r="CP93" s="162"/>
      <c r="CQ93" s="162"/>
      <c r="CR93" s="163"/>
      <c r="CS93" s="164"/>
      <c r="CW93" s="162"/>
      <c r="CX93" s="162"/>
      <c r="CY93" s="163"/>
      <c r="CZ93" s="164"/>
      <c r="DD93" s="162"/>
      <c r="DE93" s="162"/>
      <c r="DF93" s="163"/>
      <c r="DG93" s="164"/>
      <c r="DK93" s="162"/>
      <c r="DL93" s="162"/>
      <c r="DM93" s="163"/>
      <c r="DN93" s="164"/>
      <c r="DR93" s="162"/>
      <c r="DS93" s="162"/>
      <c r="DT93" s="163"/>
      <c r="DU93" s="164"/>
      <c r="DY93" s="162"/>
      <c r="DZ93" s="162"/>
      <c r="EA93" s="163"/>
      <c r="EB93" s="164"/>
      <c r="EF93" s="162"/>
      <c r="EG93" s="162"/>
      <c r="EH93" s="163"/>
      <c r="EI93" s="164"/>
      <c r="EM93" s="162"/>
      <c r="EN93" s="162"/>
      <c r="EO93" s="163"/>
      <c r="EP93" s="164"/>
      <c r="ET93" s="162"/>
      <c r="EU93" s="162"/>
      <c r="EV93" s="163"/>
      <c r="EW93" s="164"/>
      <c r="FA93" s="162"/>
      <c r="FB93" s="162"/>
      <c r="FC93" s="163"/>
      <c r="FD93" s="164"/>
      <c r="FH93" s="162"/>
      <c r="FI93" s="162"/>
      <c r="FJ93" s="163"/>
      <c r="FK93" s="164"/>
      <c r="FO93" s="162"/>
      <c r="FP93" s="162"/>
      <c r="FQ93" s="163"/>
      <c r="FR93" s="164"/>
      <c r="FV93" s="162"/>
      <c r="FW93" s="162"/>
      <c r="FX93" s="163"/>
      <c r="FY93" s="164"/>
      <c r="GC93" s="162"/>
      <c r="GD93" s="162"/>
      <c r="GE93" s="163"/>
      <c r="GF93" s="164"/>
      <c r="GJ93" s="162"/>
      <c r="GK93" s="162"/>
      <c r="GL93" s="163"/>
      <c r="GM93" s="164"/>
      <c r="GQ93" s="162"/>
      <c r="GR93" s="162"/>
      <c r="GS93" s="163"/>
      <c r="GT93" s="164"/>
      <c r="GX93" s="162"/>
      <c r="GY93" s="162"/>
      <c r="GZ93" s="163"/>
      <c r="HA93" s="164"/>
      <c r="HE93" s="162"/>
      <c r="HF93" s="162"/>
      <c r="HG93" s="163"/>
      <c r="HH93" s="164"/>
      <c r="HL93" s="162"/>
      <c r="HM93" s="162"/>
      <c r="HN93" s="163"/>
      <c r="HO93" s="164"/>
      <c r="HS93" s="162"/>
      <c r="HT93" s="162"/>
      <c r="HU93" s="163"/>
      <c r="HV93" s="164"/>
    </row>
    <row r="94" spans="3:230" x14ac:dyDescent="0.2">
      <c r="C94" s="162"/>
      <c r="D94" s="162"/>
      <c r="E94" s="163"/>
      <c r="F94" s="164"/>
      <c r="J94" s="162"/>
      <c r="K94" s="162"/>
      <c r="L94" s="163"/>
      <c r="M94" s="164"/>
      <c r="Q94" s="162"/>
      <c r="R94" s="162"/>
      <c r="S94" s="163"/>
      <c r="T94" s="164"/>
      <c r="X94" s="162"/>
      <c r="Y94" s="162"/>
      <c r="Z94" s="163"/>
      <c r="AA94" s="164"/>
      <c r="AE94" s="162"/>
      <c r="AF94" s="162"/>
      <c r="AG94" s="163"/>
      <c r="AH94" s="164"/>
      <c r="AL94" s="162"/>
      <c r="AM94" s="162"/>
      <c r="AN94" s="163"/>
      <c r="AO94" s="164"/>
      <c r="AS94" s="162"/>
      <c r="AT94" s="162"/>
      <c r="AU94" s="163"/>
      <c r="AV94" s="164"/>
      <c r="AZ94" s="162"/>
      <c r="BA94" s="162"/>
      <c r="BB94" s="163"/>
      <c r="BC94" s="164"/>
      <c r="BG94" s="162"/>
      <c r="BH94" s="162"/>
      <c r="BI94" s="163"/>
      <c r="BJ94" s="164"/>
      <c r="BN94" s="162"/>
      <c r="BO94" s="162"/>
      <c r="BP94" s="163"/>
      <c r="BQ94" s="164"/>
      <c r="BU94" s="162"/>
      <c r="BV94" s="162"/>
      <c r="BW94" s="163"/>
      <c r="BX94" s="164"/>
      <c r="CB94" s="162"/>
      <c r="CC94" s="162"/>
      <c r="CD94" s="163"/>
      <c r="CE94" s="164"/>
      <c r="CI94" s="162"/>
      <c r="CJ94" s="162"/>
      <c r="CK94" s="163"/>
      <c r="CL94" s="164"/>
      <c r="CP94" s="162"/>
      <c r="CQ94" s="162"/>
      <c r="CR94" s="163"/>
      <c r="CS94" s="164"/>
      <c r="CW94" s="162"/>
      <c r="CX94" s="162"/>
      <c r="CY94" s="163"/>
      <c r="CZ94" s="164"/>
      <c r="DD94" s="162"/>
      <c r="DE94" s="162"/>
      <c r="DF94" s="163"/>
      <c r="DG94" s="164"/>
      <c r="DK94" s="162"/>
      <c r="DL94" s="162"/>
      <c r="DM94" s="163"/>
      <c r="DN94" s="164"/>
      <c r="DR94" s="162"/>
      <c r="DS94" s="162"/>
      <c r="DT94" s="163"/>
      <c r="DU94" s="164"/>
      <c r="DY94" s="162"/>
      <c r="DZ94" s="162"/>
      <c r="EA94" s="163"/>
      <c r="EB94" s="164"/>
      <c r="EF94" s="162"/>
      <c r="EG94" s="162"/>
      <c r="EH94" s="163"/>
      <c r="EI94" s="164"/>
      <c r="EM94" s="162"/>
      <c r="EN94" s="162"/>
      <c r="EO94" s="163"/>
      <c r="EP94" s="164"/>
      <c r="ET94" s="162"/>
      <c r="EU94" s="162"/>
      <c r="EV94" s="163"/>
      <c r="EW94" s="164"/>
      <c r="FA94" s="162"/>
      <c r="FB94" s="162"/>
      <c r="FC94" s="163"/>
      <c r="FD94" s="164"/>
      <c r="FH94" s="162"/>
      <c r="FI94" s="162"/>
      <c r="FJ94" s="163"/>
      <c r="FK94" s="164"/>
      <c r="FO94" s="162"/>
      <c r="FP94" s="162"/>
      <c r="FQ94" s="163"/>
      <c r="FR94" s="164"/>
      <c r="FV94" s="162"/>
      <c r="FW94" s="162"/>
      <c r="FX94" s="163"/>
      <c r="FY94" s="164"/>
      <c r="GC94" s="162"/>
      <c r="GD94" s="162"/>
      <c r="GE94" s="163"/>
      <c r="GF94" s="164"/>
      <c r="GJ94" s="162"/>
      <c r="GK94" s="162"/>
      <c r="GL94" s="163"/>
      <c r="GM94" s="164"/>
      <c r="GQ94" s="162"/>
      <c r="GR94" s="162"/>
      <c r="GS94" s="163"/>
      <c r="GT94" s="164"/>
      <c r="GX94" s="162"/>
      <c r="GY94" s="162"/>
      <c r="GZ94" s="163"/>
      <c r="HA94" s="164"/>
      <c r="HE94" s="162"/>
      <c r="HF94" s="162"/>
      <c r="HG94" s="163"/>
      <c r="HH94" s="164"/>
      <c r="HL94" s="162"/>
      <c r="HM94" s="162"/>
      <c r="HN94" s="163"/>
      <c r="HO94" s="164"/>
      <c r="HS94" s="162"/>
      <c r="HT94" s="162"/>
      <c r="HU94" s="163"/>
      <c r="HV94" s="164"/>
    </row>
    <row r="95" spans="3:230" x14ac:dyDescent="0.2">
      <c r="C95" s="162"/>
      <c r="D95" s="162"/>
      <c r="E95" s="163"/>
      <c r="F95" s="164"/>
      <c r="J95" s="162"/>
      <c r="K95" s="162"/>
      <c r="L95" s="163"/>
      <c r="M95" s="164"/>
      <c r="Q95" s="162"/>
      <c r="R95" s="162"/>
      <c r="S95" s="163"/>
      <c r="T95" s="164"/>
      <c r="X95" s="162"/>
      <c r="Y95" s="162"/>
      <c r="Z95" s="163"/>
      <c r="AA95" s="164"/>
      <c r="AE95" s="162"/>
      <c r="AF95" s="162"/>
      <c r="AG95" s="163"/>
      <c r="AH95" s="164"/>
      <c r="AL95" s="162"/>
      <c r="AM95" s="162"/>
      <c r="AN95" s="163"/>
      <c r="AO95" s="164"/>
      <c r="AS95" s="162"/>
      <c r="AT95" s="162"/>
      <c r="AU95" s="163"/>
      <c r="AV95" s="164"/>
      <c r="AZ95" s="162"/>
      <c r="BA95" s="162"/>
      <c r="BB95" s="163"/>
      <c r="BC95" s="164"/>
      <c r="BG95" s="162"/>
      <c r="BH95" s="162"/>
      <c r="BI95" s="163"/>
      <c r="BJ95" s="164"/>
      <c r="BN95" s="162"/>
      <c r="BO95" s="162"/>
      <c r="BP95" s="163"/>
      <c r="BQ95" s="164"/>
      <c r="BU95" s="162"/>
      <c r="BV95" s="162"/>
      <c r="BW95" s="163"/>
      <c r="BX95" s="164"/>
      <c r="CB95" s="162"/>
      <c r="CC95" s="162"/>
      <c r="CD95" s="163"/>
      <c r="CE95" s="164"/>
      <c r="CI95" s="162"/>
      <c r="CJ95" s="162"/>
      <c r="CK95" s="163"/>
      <c r="CL95" s="164"/>
      <c r="CP95" s="162"/>
      <c r="CQ95" s="162"/>
      <c r="CR95" s="163"/>
      <c r="CS95" s="164"/>
      <c r="CW95" s="162"/>
      <c r="CX95" s="162"/>
      <c r="CY95" s="163"/>
      <c r="CZ95" s="164"/>
      <c r="DD95" s="162"/>
      <c r="DE95" s="162"/>
      <c r="DF95" s="163"/>
      <c r="DG95" s="164"/>
      <c r="DK95" s="162"/>
      <c r="DL95" s="162"/>
      <c r="DM95" s="163"/>
      <c r="DN95" s="164"/>
      <c r="DR95" s="162"/>
      <c r="DS95" s="162"/>
      <c r="DT95" s="163"/>
      <c r="DU95" s="164"/>
      <c r="DY95" s="162"/>
      <c r="DZ95" s="162"/>
      <c r="EA95" s="163"/>
      <c r="EB95" s="164"/>
      <c r="EF95" s="162"/>
      <c r="EG95" s="162"/>
      <c r="EH95" s="163"/>
      <c r="EI95" s="164"/>
      <c r="EM95" s="162"/>
      <c r="EN95" s="162"/>
      <c r="EO95" s="163"/>
      <c r="EP95" s="164"/>
      <c r="ET95" s="162"/>
      <c r="EU95" s="162"/>
      <c r="EV95" s="163"/>
      <c r="EW95" s="164"/>
      <c r="FA95" s="162"/>
      <c r="FB95" s="162"/>
      <c r="FC95" s="163"/>
      <c r="FD95" s="164"/>
      <c r="FH95" s="162"/>
      <c r="FI95" s="162"/>
      <c r="FJ95" s="163"/>
      <c r="FK95" s="164"/>
      <c r="FO95" s="162"/>
      <c r="FP95" s="162"/>
      <c r="FQ95" s="163"/>
      <c r="FR95" s="164"/>
      <c r="FV95" s="162"/>
      <c r="FW95" s="162"/>
      <c r="FX95" s="163"/>
      <c r="FY95" s="164"/>
      <c r="GC95" s="162"/>
      <c r="GD95" s="162"/>
      <c r="GE95" s="163"/>
      <c r="GF95" s="164"/>
      <c r="GJ95" s="162"/>
      <c r="GK95" s="162"/>
      <c r="GL95" s="163"/>
      <c r="GM95" s="164"/>
      <c r="GQ95" s="162"/>
      <c r="GR95" s="162"/>
      <c r="GS95" s="163"/>
      <c r="GT95" s="164"/>
      <c r="GX95" s="162"/>
      <c r="GY95" s="162"/>
      <c r="GZ95" s="163"/>
      <c r="HA95" s="164"/>
      <c r="HE95" s="162"/>
      <c r="HF95" s="162"/>
      <c r="HG95" s="163"/>
      <c r="HH95" s="164"/>
      <c r="HL95" s="162"/>
      <c r="HM95" s="162"/>
      <c r="HN95" s="163"/>
      <c r="HO95" s="164"/>
      <c r="HS95" s="162"/>
      <c r="HT95" s="162"/>
      <c r="HU95" s="163"/>
      <c r="HV95" s="164"/>
    </row>
    <row r="96" spans="3:230" x14ac:dyDescent="0.2">
      <c r="C96" s="162"/>
      <c r="D96" s="162"/>
      <c r="E96" s="163"/>
      <c r="F96" s="164"/>
      <c r="J96" s="162"/>
      <c r="K96" s="162"/>
      <c r="L96" s="163"/>
      <c r="M96" s="164"/>
      <c r="Q96" s="162"/>
      <c r="R96" s="162"/>
      <c r="S96" s="163"/>
      <c r="T96" s="164"/>
      <c r="X96" s="162"/>
      <c r="Y96" s="162"/>
      <c r="Z96" s="163"/>
      <c r="AA96" s="164"/>
      <c r="AE96" s="162"/>
      <c r="AF96" s="162"/>
      <c r="AG96" s="163"/>
      <c r="AH96" s="164"/>
      <c r="AL96" s="162"/>
      <c r="AM96" s="162"/>
      <c r="AN96" s="163"/>
      <c r="AO96" s="164"/>
      <c r="AS96" s="162"/>
      <c r="AT96" s="162"/>
      <c r="AU96" s="163"/>
      <c r="AV96" s="164"/>
      <c r="AZ96" s="162"/>
      <c r="BA96" s="162"/>
      <c r="BB96" s="163"/>
      <c r="BC96" s="164"/>
      <c r="BG96" s="162"/>
      <c r="BH96" s="162"/>
      <c r="BI96" s="163"/>
      <c r="BJ96" s="164"/>
      <c r="BN96" s="162"/>
      <c r="BO96" s="162"/>
      <c r="BP96" s="163"/>
      <c r="BQ96" s="164"/>
      <c r="BU96" s="162"/>
      <c r="BV96" s="162"/>
      <c r="BW96" s="163"/>
      <c r="BX96" s="164"/>
      <c r="CB96" s="162"/>
      <c r="CC96" s="162"/>
      <c r="CD96" s="163"/>
      <c r="CE96" s="164"/>
      <c r="CI96" s="162"/>
      <c r="CJ96" s="162"/>
      <c r="CK96" s="163"/>
      <c r="CL96" s="164"/>
      <c r="CP96" s="162"/>
      <c r="CQ96" s="162"/>
      <c r="CR96" s="163"/>
      <c r="CS96" s="164"/>
      <c r="CW96" s="162"/>
      <c r="CX96" s="162"/>
      <c r="CY96" s="163"/>
      <c r="CZ96" s="164"/>
      <c r="DD96" s="162"/>
      <c r="DE96" s="162"/>
      <c r="DF96" s="163"/>
      <c r="DG96" s="164"/>
      <c r="DK96" s="162"/>
      <c r="DL96" s="162"/>
      <c r="DM96" s="163"/>
      <c r="DN96" s="164"/>
      <c r="DR96" s="162"/>
      <c r="DS96" s="162"/>
      <c r="DT96" s="163"/>
      <c r="DU96" s="164"/>
      <c r="DY96" s="162"/>
      <c r="DZ96" s="162"/>
      <c r="EA96" s="163"/>
      <c r="EB96" s="164"/>
      <c r="EF96" s="162"/>
      <c r="EG96" s="162"/>
      <c r="EH96" s="163"/>
      <c r="EI96" s="164"/>
      <c r="EM96" s="162"/>
      <c r="EN96" s="162"/>
      <c r="EO96" s="163"/>
      <c r="EP96" s="164"/>
      <c r="ET96" s="162"/>
      <c r="EU96" s="162"/>
      <c r="EV96" s="163"/>
      <c r="EW96" s="164"/>
      <c r="FA96" s="162"/>
      <c r="FB96" s="162"/>
      <c r="FC96" s="163"/>
      <c r="FD96" s="164"/>
      <c r="FH96" s="162"/>
      <c r="FI96" s="162"/>
      <c r="FJ96" s="163"/>
      <c r="FK96" s="164"/>
      <c r="FO96" s="162"/>
      <c r="FP96" s="162"/>
      <c r="FQ96" s="163"/>
      <c r="FR96" s="164"/>
      <c r="FV96" s="162"/>
      <c r="FW96" s="162"/>
      <c r="FX96" s="163"/>
      <c r="FY96" s="164"/>
      <c r="GC96" s="162"/>
      <c r="GD96" s="162"/>
      <c r="GE96" s="163"/>
      <c r="GF96" s="164"/>
      <c r="GJ96" s="162"/>
      <c r="GK96" s="162"/>
      <c r="GL96" s="163"/>
      <c r="GM96" s="164"/>
      <c r="GQ96" s="162"/>
      <c r="GR96" s="162"/>
      <c r="GS96" s="163"/>
      <c r="GT96" s="164"/>
      <c r="GX96" s="162"/>
      <c r="GY96" s="162"/>
      <c r="GZ96" s="163"/>
      <c r="HA96" s="164"/>
      <c r="HE96" s="162"/>
      <c r="HF96" s="162"/>
      <c r="HG96" s="163"/>
      <c r="HH96" s="164"/>
      <c r="HL96" s="162"/>
      <c r="HM96" s="162"/>
      <c r="HN96" s="163"/>
      <c r="HO96" s="164"/>
      <c r="HS96" s="162"/>
      <c r="HT96" s="162"/>
      <c r="HU96" s="163"/>
      <c r="HV96" s="164"/>
    </row>
    <row r="97" spans="3:230" x14ac:dyDescent="0.2">
      <c r="C97" s="162"/>
      <c r="D97" s="162"/>
      <c r="E97" s="163"/>
      <c r="F97" s="164"/>
      <c r="J97" s="162"/>
      <c r="K97" s="162"/>
      <c r="L97" s="163"/>
      <c r="M97" s="164"/>
      <c r="Q97" s="162"/>
      <c r="R97" s="162"/>
      <c r="S97" s="163"/>
      <c r="T97" s="164"/>
      <c r="X97" s="162"/>
      <c r="Y97" s="162"/>
      <c r="Z97" s="163"/>
      <c r="AA97" s="164"/>
      <c r="AE97" s="162"/>
      <c r="AF97" s="162"/>
      <c r="AG97" s="163"/>
      <c r="AH97" s="164"/>
      <c r="AL97" s="162"/>
      <c r="AM97" s="162"/>
      <c r="AN97" s="163"/>
      <c r="AO97" s="164"/>
      <c r="AS97" s="162"/>
      <c r="AT97" s="162"/>
      <c r="AU97" s="163"/>
      <c r="AV97" s="164"/>
      <c r="AZ97" s="162"/>
      <c r="BA97" s="162"/>
      <c r="BB97" s="163"/>
      <c r="BC97" s="164"/>
      <c r="BG97" s="162"/>
      <c r="BH97" s="162"/>
      <c r="BI97" s="163"/>
      <c r="BJ97" s="164"/>
      <c r="BN97" s="162"/>
      <c r="BO97" s="162"/>
      <c r="BP97" s="163"/>
      <c r="BQ97" s="164"/>
      <c r="BU97" s="162"/>
      <c r="BV97" s="162"/>
      <c r="BW97" s="163"/>
      <c r="BX97" s="164"/>
      <c r="CB97" s="162"/>
      <c r="CC97" s="162"/>
      <c r="CD97" s="163"/>
      <c r="CE97" s="164"/>
      <c r="CI97" s="162"/>
      <c r="CJ97" s="162"/>
      <c r="CK97" s="163"/>
      <c r="CL97" s="164"/>
      <c r="CP97" s="162"/>
      <c r="CQ97" s="162"/>
      <c r="CR97" s="163"/>
      <c r="CS97" s="164"/>
      <c r="CW97" s="162"/>
      <c r="CX97" s="162"/>
      <c r="CY97" s="163"/>
      <c r="CZ97" s="164"/>
      <c r="DD97" s="162"/>
      <c r="DE97" s="162"/>
      <c r="DF97" s="163"/>
      <c r="DG97" s="164"/>
      <c r="DK97" s="162"/>
      <c r="DL97" s="162"/>
      <c r="DM97" s="163"/>
      <c r="DN97" s="164"/>
      <c r="DR97" s="162"/>
      <c r="DS97" s="162"/>
      <c r="DT97" s="163"/>
      <c r="DU97" s="164"/>
      <c r="DY97" s="162"/>
      <c r="DZ97" s="162"/>
      <c r="EA97" s="163"/>
      <c r="EB97" s="164"/>
      <c r="EF97" s="162"/>
      <c r="EG97" s="162"/>
      <c r="EH97" s="163"/>
      <c r="EI97" s="164"/>
      <c r="EM97" s="162"/>
      <c r="EN97" s="162"/>
      <c r="EO97" s="163"/>
      <c r="EP97" s="164"/>
      <c r="ET97" s="162"/>
      <c r="EU97" s="162"/>
      <c r="EV97" s="163"/>
      <c r="EW97" s="164"/>
      <c r="FA97" s="162"/>
      <c r="FB97" s="162"/>
      <c r="FC97" s="163"/>
      <c r="FD97" s="164"/>
      <c r="FH97" s="162"/>
      <c r="FI97" s="162"/>
      <c r="FJ97" s="163"/>
      <c r="FK97" s="164"/>
      <c r="FO97" s="162"/>
      <c r="FP97" s="162"/>
      <c r="FQ97" s="163"/>
      <c r="FR97" s="164"/>
      <c r="FV97" s="162"/>
      <c r="FW97" s="162"/>
      <c r="FX97" s="163"/>
      <c r="FY97" s="164"/>
      <c r="GC97" s="162"/>
      <c r="GD97" s="162"/>
      <c r="GE97" s="163"/>
      <c r="GF97" s="164"/>
      <c r="GJ97" s="162"/>
      <c r="GK97" s="162"/>
      <c r="GL97" s="163"/>
      <c r="GM97" s="164"/>
      <c r="GQ97" s="162"/>
      <c r="GR97" s="162"/>
      <c r="GS97" s="163"/>
      <c r="GT97" s="164"/>
      <c r="GX97" s="162"/>
      <c r="GY97" s="162"/>
      <c r="GZ97" s="163"/>
      <c r="HA97" s="164"/>
      <c r="HE97" s="162"/>
      <c r="HF97" s="162"/>
      <c r="HG97" s="163"/>
      <c r="HH97" s="164"/>
      <c r="HL97" s="162"/>
      <c r="HM97" s="162"/>
      <c r="HN97" s="163"/>
      <c r="HO97" s="164"/>
      <c r="HS97" s="162"/>
      <c r="HT97" s="162"/>
      <c r="HU97" s="163"/>
      <c r="HV97" s="164"/>
    </row>
    <row r="98" spans="3:230" x14ac:dyDescent="0.2">
      <c r="C98" s="162"/>
      <c r="D98" s="162"/>
      <c r="E98" s="163"/>
      <c r="F98" s="164"/>
      <c r="J98" s="162"/>
      <c r="K98" s="162"/>
      <c r="L98" s="163"/>
      <c r="M98" s="164"/>
      <c r="Q98" s="162"/>
      <c r="R98" s="162"/>
      <c r="S98" s="163"/>
      <c r="T98" s="164"/>
      <c r="X98" s="162"/>
      <c r="Y98" s="162"/>
      <c r="Z98" s="163"/>
      <c r="AA98" s="164"/>
      <c r="AE98" s="162"/>
      <c r="AF98" s="162"/>
      <c r="AG98" s="163"/>
      <c r="AH98" s="164"/>
      <c r="AL98" s="162"/>
      <c r="AM98" s="162"/>
      <c r="AN98" s="163"/>
      <c r="AO98" s="164"/>
      <c r="AS98" s="162"/>
      <c r="AT98" s="162"/>
      <c r="AU98" s="163"/>
      <c r="AV98" s="164"/>
      <c r="AZ98" s="162"/>
      <c r="BA98" s="162"/>
      <c r="BB98" s="163"/>
      <c r="BC98" s="164"/>
      <c r="BG98" s="162"/>
      <c r="BH98" s="162"/>
      <c r="BI98" s="163"/>
      <c r="BJ98" s="164"/>
      <c r="BN98" s="162"/>
      <c r="BO98" s="162"/>
      <c r="BP98" s="163"/>
      <c r="BQ98" s="164"/>
      <c r="BU98" s="162"/>
      <c r="BV98" s="162"/>
      <c r="BW98" s="163"/>
      <c r="BX98" s="164"/>
      <c r="CB98" s="162"/>
      <c r="CC98" s="162"/>
      <c r="CD98" s="163"/>
      <c r="CE98" s="164"/>
      <c r="CI98" s="162"/>
      <c r="CJ98" s="162"/>
      <c r="CK98" s="163"/>
      <c r="CL98" s="164"/>
      <c r="CP98" s="162"/>
      <c r="CQ98" s="162"/>
      <c r="CR98" s="163"/>
      <c r="CS98" s="164"/>
      <c r="CW98" s="162"/>
      <c r="CX98" s="162"/>
      <c r="CY98" s="163"/>
      <c r="CZ98" s="164"/>
      <c r="DD98" s="162"/>
      <c r="DE98" s="162"/>
      <c r="DF98" s="163"/>
      <c r="DG98" s="164"/>
      <c r="DK98" s="162"/>
      <c r="DL98" s="162"/>
      <c r="DM98" s="163"/>
      <c r="DN98" s="164"/>
      <c r="DR98" s="162"/>
      <c r="DS98" s="162"/>
      <c r="DT98" s="163"/>
      <c r="DU98" s="164"/>
      <c r="DY98" s="162"/>
      <c r="DZ98" s="162"/>
      <c r="EA98" s="163"/>
      <c r="EB98" s="164"/>
      <c r="EF98" s="162"/>
      <c r="EG98" s="162"/>
      <c r="EH98" s="163"/>
      <c r="EI98" s="164"/>
      <c r="EM98" s="162"/>
      <c r="EN98" s="162"/>
      <c r="EO98" s="163"/>
      <c r="EP98" s="164"/>
      <c r="ET98" s="162"/>
      <c r="EU98" s="162"/>
      <c r="EV98" s="163"/>
      <c r="EW98" s="164"/>
      <c r="FA98" s="162"/>
      <c r="FB98" s="162"/>
      <c r="FC98" s="163"/>
      <c r="FD98" s="164"/>
      <c r="FH98" s="162"/>
      <c r="FI98" s="162"/>
      <c r="FJ98" s="163"/>
      <c r="FK98" s="164"/>
      <c r="FO98" s="162"/>
      <c r="FP98" s="162"/>
      <c r="FQ98" s="163"/>
      <c r="FR98" s="164"/>
      <c r="FV98" s="162"/>
      <c r="FW98" s="162"/>
      <c r="FX98" s="163"/>
      <c r="FY98" s="164"/>
      <c r="GC98" s="162"/>
      <c r="GD98" s="162"/>
      <c r="GE98" s="163"/>
      <c r="GF98" s="164"/>
      <c r="GJ98" s="162"/>
      <c r="GK98" s="162"/>
      <c r="GL98" s="163"/>
      <c r="GM98" s="164"/>
      <c r="GQ98" s="162"/>
      <c r="GR98" s="162"/>
      <c r="GS98" s="163"/>
      <c r="GT98" s="164"/>
      <c r="GX98" s="162"/>
      <c r="GY98" s="162"/>
      <c r="GZ98" s="163"/>
      <c r="HA98" s="164"/>
      <c r="HE98" s="162"/>
      <c r="HF98" s="162"/>
      <c r="HG98" s="163"/>
      <c r="HH98" s="164"/>
      <c r="HL98" s="162"/>
      <c r="HM98" s="162"/>
      <c r="HN98" s="163"/>
      <c r="HO98" s="164"/>
      <c r="HS98" s="162"/>
      <c r="HT98" s="162"/>
      <c r="HU98" s="163"/>
      <c r="HV98" s="164"/>
    </row>
    <row r="99" spans="3:230" x14ac:dyDescent="0.2">
      <c r="C99" s="162"/>
      <c r="D99" s="162"/>
      <c r="E99" s="163"/>
      <c r="F99" s="164"/>
      <c r="J99" s="162"/>
      <c r="K99" s="162"/>
      <c r="L99" s="163"/>
      <c r="M99" s="164"/>
      <c r="Q99" s="162"/>
      <c r="R99" s="162"/>
      <c r="S99" s="163"/>
      <c r="T99" s="164"/>
      <c r="X99" s="162"/>
      <c r="Y99" s="162"/>
      <c r="Z99" s="163"/>
      <c r="AA99" s="164"/>
      <c r="AE99" s="162"/>
      <c r="AF99" s="162"/>
      <c r="AG99" s="163"/>
      <c r="AH99" s="164"/>
      <c r="AL99" s="162"/>
      <c r="AM99" s="162"/>
      <c r="AN99" s="163"/>
      <c r="AO99" s="164"/>
      <c r="AS99" s="162"/>
      <c r="AT99" s="162"/>
      <c r="AU99" s="163"/>
      <c r="AV99" s="164"/>
      <c r="AZ99" s="162"/>
      <c r="BA99" s="162"/>
      <c r="BB99" s="163"/>
      <c r="BC99" s="164"/>
      <c r="BG99" s="162"/>
      <c r="BH99" s="162"/>
      <c r="BI99" s="163"/>
      <c r="BJ99" s="164"/>
      <c r="BN99" s="162"/>
      <c r="BO99" s="162"/>
      <c r="BP99" s="163"/>
      <c r="BQ99" s="164"/>
      <c r="BU99" s="162"/>
      <c r="BV99" s="162"/>
      <c r="BW99" s="163"/>
      <c r="BX99" s="164"/>
      <c r="CB99" s="162"/>
      <c r="CC99" s="162"/>
      <c r="CD99" s="163"/>
      <c r="CE99" s="164"/>
      <c r="CI99" s="162"/>
      <c r="CJ99" s="162"/>
      <c r="CK99" s="163"/>
      <c r="CL99" s="164"/>
      <c r="CP99" s="162"/>
      <c r="CQ99" s="162"/>
      <c r="CR99" s="163"/>
      <c r="CS99" s="164"/>
      <c r="CW99" s="162"/>
      <c r="CX99" s="162"/>
      <c r="CY99" s="163"/>
      <c r="CZ99" s="164"/>
      <c r="DD99" s="162"/>
      <c r="DE99" s="162"/>
      <c r="DF99" s="163"/>
      <c r="DG99" s="164"/>
      <c r="DK99" s="162"/>
      <c r="DL99" s="162"/>
      <c r="DM99" s="163"/>
      <c r="DN99" s="164"/>
      <c r="DR99" s="162"/>
      <c r="DS99" s="162"/>
      <c r="DT99" s="163"/>
      <c r="DU99" s="164"/>
      <c r="DY99" s="162"/>
      <c r="DZ99" s="162"/>
      <c r="EA99" s="163"/>
      <c r="EB99" s="164"/>
      <c r="EF99" s="162"/>
      <c r="EG99" s="162"/>
      <c r="EH99" s="163"/>
      <c r="EI99" s="164"/>
      <c r="EM99" s="162"/>
      <c r="EN99" s="162"/>
      <c r="EO99" s="163"/>
      <c r="EP99" s="164"/>
      <c r="ET99" s="162"/>
      <c r="EU99" s="162"/>
      <c r="EV99" s="163"/>
      <c r="EW99" s="164"/>
      <c r="FA99" s="162"/>
      <c r="FB99" s="162"/>
      <c r="FC99" s="163"/>
      <c r="FD99" s="164"/>
      <c r="FH99" s="162"/>
      <c r="FI99" s="162"/>
      <c r="FJ99" s="163"/>
      <c r="FK99" s="164"/>
      <c r="FO99" s="162"/>
      <c r="FP99" s="162"/>
      <c r="FQ99" s="163"/>
      <c r="FR99" s="164"/>
      <c r="FV99" s="162"/>
      <c r="FW99" s="162"/>
      <c r="FX99" s="163"/>
      <c r="FY99" s="164"/>
      <c r="GC99" s="162"/>
      <c r="GD99" s="162"/>
      <c r="GE99" s="163"/>
      <c r="GF99" s="164"/>
      <c r="GJ99" s="162"/>
      <c r="GK99" s="162"/>
      <c r="GL99" s="163"/>
      <c r="GM99" s="164"/>
      <c r="GQ99" s="162"/>
      <c r="GR99" s="162"/>
      <c r="GS99" s="163"/>
      <c r="GT99" s="164"/>
      <c r="GX99" s="162"/>
      <c r="GY99" s="162"/>
      <c r="GZ99" s="163"/>
      <c r="HA99" s="164"/>
      <c r="HE99" s="162"/>
      <c r="HF99" s="162"/>
      <c r="HG99" s="163"/>
      <c r="HH99" s="164"/>
      <c r="HL99" s="162"/>
      <c r="HM99" s="162"/>
      <c r="HN99" s="163"/>
      <c r="HO99" s="164"/>
      <c r="HS99" s="162"/>
      <c r="HT99" s="162"/>
      <c r="HU99" s="163"/>
      <c r="HV99" s="164"/>
    </row>
    <row r="100" spans="3:230" x14ac:dyDescent="0.2">
      <c r="C100" s="162"/>
      <c r="D100" s="162"/>
      <c r="E100" s="163"/>
      <c r="F100" s="164"/>
      <c r="J100" s="162"/>
      <c r="K100" s="162"/>
      <c r="L100" s="163"/>
      <c r="M100" s="164"/>
      <c r="Q100" s="162"/>
      <c r="R100" s="162"/>
      <c r="S100" s="163"/>
      <c r="T100" s="164"/>
      <c r="X100" s="162"/>
      <c r="Y100" s="162"/>
      <c r="Z100" s="163"/>
      <c r="AA100" s="164"/>
      <c r="AE100" s="162"/>
      <c r="AF100" s="162"/>
      <c r="AG100" s="163"/>
      <c r="AH100" s="164"/>
      <c r="AL100" s="162"/>
      <c r="AM100" s="162"/>
      <c r="AN100" s="163"/>
      <c r="AO100" s="164"/>
      <c r="AS100" s="162"/>
      <c r="AT100" s="162"/>
      <c r="AU100" s="163"/>
      <c r="AV100" s="164"/>
      <c r="AZ100" s="162"/>
      <c r="BA100" s="162"/>
      <c r="BB100" s="163"/>
      <c r="BC100" s="164"/>
      <c r="BG100" s="162"/>
      <c r="BH100" s="162"/>
      <c r="BI100" s="163"/>
      <c r="BJ100" s="164"/>
      <c r="BN100" s="162"/>
      <c r="BO100" s="162"/>
      <c r="BP100" s="163"/>
      <c r="BQ100" s="164"/>
      <c r="BU100" s="162"/>
      <c r="BV100" s="162"/>
      <c r="BW100" s="163"/>
      <c r="BX100" s="164"/>
      <c r="CB100" s="162"/>
      <c r="CC100" s="162"/>
      <c r="CD100" s="163"/>
      <c r="CE100" s="164"/>
      <c r="CI100" s="162"/>
      <c r="CJ100" s="162"/>
      <c r="CK100" s="163"/>
      <c r="CL100" s="164"/>
      <c r="CP100" s="162"/>
      <c r="CQ100" s="162"/>
      <c r="CR100" s="163"/>
      <c r="CS100" s="164"/>
      <c r="CW100" s="162"/>
      <c r="CX100" s="162"/>
      <c r="CY100" s="163"/>
      <c r="CZ100" s="164"/>
      <c r="DD100" s="162"/>
      <c r="DE100" s="162"/>
      <c r="DF100" s="163"/>
      <c r="DG100" s="164"/>
      <c r="DK100" s="162"/>
      <c r="DL100" s="162"/>
      <c r="DM100" s="163"/>
      <c r="DN100" s="164"/>
      <c r="DR100" s="162"/>
      <c r="DS100" s="162"/>
      <c r="DT100" s="163"/>
      <c r="DU100" s="164"/>
      <c r="DY100" s="162"/>
      <c r="DZ100" s="162"/>
      <c r="EA100" s="163"/>
      <c r="EB100" s="164"/>
      <c r="EF100" s="162"/>
      <c r="EG100" s="162"/>
      <c r="EH100" s="163"/>
      <c r="EI100" s="164"/>
      <c r="EM100" s="162"/>
      <c r="EN100" s="162"/>
      <c r="EO100" s="163"/>
      <c r="EP100" s="164"/>
      <c r="ET100" s="162"/>
      <c r="EU100" s="162"/>
      <c r="EV100" s="163"/>
      <c r="EW100" s="164"/>
      <c r="FA100" s="162"/>
      <c r="FB100" s="162"/>
      <c r="FC100" s="163"/>
      <c r="FD100" s="164"/>
      <c r="FH100" s="162"/>
      <c r="FI100" s="162"/>
      <c r="FJ100" s="163"/>
      <c r="FK100" s="164"/>
      <c r="FO100" s="162"/>
      <c r="FP100" s="162"/>
      <c r="FQ100" s="163"/>
      <c r="FR100" s="164"/>
      <c r="FV100" s="162"/>
      <c r="FW100" s="162"/>
      <c r="FX100" s="163"/>
      <c r="FY100" s="164"/>
      <c r="GC100" s="162"/>
      <c r="GD100" s="162"/>
      <c r="GE100" s="163"/>
      <c r="GF100" s="164"/>
      <c r="GJ100" s="162"/>
      <c r="GK100" s="162"/>
      <c r="GL100" s="163"/>
      <c r="GM100" s="164"/>
      <c r="GQ100" s="162"/>
      <c r="GR100" s="162"/>
      <c r="GS100" s="163"/>
      <c r="GT100" s="164"/>
      <c r="GX100" s="162"/>
      <c r="GY100" s="162"/>
      <c r="GZ100" s="163"/>
      <c r="HA100" s="164"/>
      <c r="HE100" s="162"/>
      <c r="HF100" s="162"/>
      <c r="HG100" s="163"/>
      <c r="HH100" s="164"/>
      <c r="HL100" s="162"/>
      <c r="HM100" s="162"/>
      <c r="HN100" s="163"/>
      <c r="HO100" s="164"/>
      <c r="HS100" s="162"/>
      <c r="HT100" s="162"/>
      <c r="HU100" s="163"/>
      <c r="HV100" s="164"/>
    </row>
    <row r="101" spans="3:230" x14ac:dyDescent="0.2">
      <c r="C101" s="162"/>
      <c r="D101" s="162"/>
      <c r="E101" s="163"/>
      <c r="F101" s="164"/>
      <c r="J101" s="162"/>
      <c r="K101" s="162"/>
      <c r="L101" s="163"/>
      <c r="M101" s="164"/>
      <c r="Q101" s="162"/>
      <c r="R101" s="162"/>
      <c r="S101" s="163"/>
      <c r="T101" s="164"/>
      <c r="X101" s="162"/>
      <c r="Y101" s="162"/>
      <c r="Z101" s="163"/>
      <c r="AA101" s="164"/>
      <c r="AE101" s="162"/>
      <c r="AF101" s="162"/>
      <c r="AG101" s="163"/>
      <c r="AH101" s="164"/>
      <c r="AL101" s="162"/>
      <c r="AM101" s="162"/>
      <c r="AN101" s="163"/>
      <c r="AO101" s="164"/>
      <c r="AS101" s="162"/>
      <c r="AT101" s="162"/>
      <c r="AU101" s="163"/>
      <c r="AV101" s="164"/>
      <c r="AZ101" s="162"/>
      <c r="BA101" s="162"/>
      <c r="BB101" s="163"/>
      <c r="BC101" s="164"/>
      <c r="BG101" s="162"/>
      <c r="BH101" s="162"/>
      <c r="BI101" s="163"/>
      <c r="BJ101" s="164"/>
      <c r="BN101" s="162"/>
      <c r="BO101" s="162"/>
      <c r="BP101" s="163"/>
      <c r="BQ101" s="164"/>
      <c r="BU101" s="162"/>
      <c r="BV101" s="162"/>
      <c r="BW101" s="163"/>
      <c r="BX101" s="164"/>
      <c r="CB101" s="162"/>
      <c r="CC101" s="162"/>
      <c r="CD101" s="163"/>
      <c r="CE101" s="164"/>
      <c r="CI101" s="162"/>
      <c r="CJ101" s="162"/>
      <c r="CK101" s="163"/>
      <c r="CL101" s="164"/>
      <c r="CP101" s="162"/>
      <c r="CQ101" s="162"/>
      <c r="CR101" s="163"/>
      <c r="CS101" s="164"/>
      <c r="CW101" s="162"/>
      <c r="CX101" s="162"/>
      <c r="CY101" s="163"/>
      <c r="CZ101" s="164"/>
      <c r="DD101" s="162"/>
      <c r="DE101" s="162"/>
      <c r="DF101" s="163"/>
      <c r="DG101" s="164"/>
      <c r="DK101" s="162"/>
      <c r="DL101" s="162"/>
      <c r="DM101" s="163"/>
      <c r="DN101" s="164"/>
      <c r="DR101" s="162"/>
      <c r="DS101" s="162"/>
      <c r="DT101" s="163"/>
      <c r="DU101" s="164"/>
      <c r="DY101" s="162"/>
      <c r="DZ101" s="162"/>
      <c r="EA101" s="163"/>
      <c r="EB101" s="164"/>
      <c r="EF101" s="162"/>
      <c r="EG101" s="162"/>
      <c r="EH101" s="163"/>
      <c r="EI101" s="164"/>
      <c r="EM101" s="162"/>
      <c r="EN101" s="162"/>
      <c r="EO101" s="163"/>
      <c r="EP101" s="164"/>
      <c r="ET101" s="162"/>
      <c r="EU101" s="162"/>
      <c r="EV101" s="163"/>
      <c r="EW101" s="164"/>
      <c r="FA101" s="162"/>
      <c r="FB101" s="162"/>
      <c r="FC101" s="163"/>
      <c r="FD101" s="164"/>
      <c r="FH101" s="162"/>
      <c r="FI101" s="162"/>
      <c r="FJ101" s="163"/>
      <c r="FK101" s="164"/>
      <c r="FO101" s="162"/>
      <c r="FP101" s="162"/>
      <c r="FQ101" s="163"/>
      <c r="FR101" s="164"/>
      <c r="FV101" s="162"/>
      <c r="FW101" s="162"/>
      <c r="FX101" s="163"/>
      <c r="FY101" s="164"/>
      <c r="GC101" s="162"/>
      <c r="GD101" s="162"/>
      <c r="GE101" s="163"/>
      <c r="GF101" s="164"/>
      <c r="GJ101" s="162"/>
      <c r="GK101" s="162"/>
      <c r="GL101" s="163"/>
      <c r="GM101" s="164"/>
      <c r="GQ101" s="162"/>
      <c r="GR101" s="162"/>
      <c r="GS101" s="163"/>
      <c r="GT101" s="164"/>
      <c r="GX101" s="162"/>
      <c r="GY101" s="162"/>
      <c r="GZ101" s="163"/>
      <c r="HA101" s="164"/>
      <c r="HE101" s="162"/>
      <c r="HF101" s="162"/>
      <c r="HG101" s="163"/>
      <c r="HH101" s="164"/>
      <c r="HL101" s="162"/>
      <c r="HM101" s="162"/>
      <c r="HN101" s="163"/>
      <c r="HO101" s="164"/>
      <c r="HS101" s="162"/>
      <c r="HT101" s="162"/>
      <c r="HU101" s="163"/>
      <c r="HV101" s="164"/>
    </row>
    <row r="102" spans="3:230" x14ac:dyDescent="0.2">
      <c r="C102" s="162"/>
      <c r="D102" s="162"/>
      <c r="E102" s="163"/>
      <c r="F102" s="164"/>
      <c r="J102" s="162"/>
      <c r="K102" s="162"/>
      <c r="L102" s="163"/>
      <c r="M102" s="164"/>
      <c r="Q102" s="162"/>
      <c r="R102" s="162"/>
      <c r="S102" s="163"/>
      <c r="T102" s="164"/>
      <c r="X102" s="162"/>
      <c r="Y102" s="162"/>
      <c r="Z102" s="163"/>
      <c r="AA102" s="164"/>
      <c r="AE102" s="162"/>
      <c r="AF102" s="162"/>
      <c r="AG102" s="163"/>
      <c r="AH102" s="164"/>
      <c r="AL102" s="162"/>
      <c r="AM102" s="162"/>
      <c r="AN102" s="163"/>
      <c r="AO102" s="164"/>
      <c r="AS102" s="162"/>
      <c r="AT102" s="162"/>
      <c r="AU102" s="163"/>
      <c r="AV102" s="164"/>
      <c r="AZ102" s="162"/>
      <c r="BA102" s="162"/>
      <c r="BB102" s="163"/>
      <c r="BC102" s="164"/>
      <c r="BG102" s="162"/>
      <c r="BH102" s="162"/>
      <c r="BI102" s="163"/>
      <c r="BJ102" s="164"/>
      <c r="BN102" s="162"/>
      <c r="BO102" s="162"/>
      <c r="BP102" s="163"/>
      <c r="BQ102" s="164"/>
      <c r="BU102" s="162"/>
      <c r="BV102" s="162"/>
      <c r="BW102" s="163"/>
      <c r="BX102" s="164"/>
      <c r="CB102" s="162"/>
      <c r="CC102" s="162"/>
      <c r="CD102" s="163"/>
      <c r="CE102" s="164"/>
      <c r="CI102" s="162"/>
      <c r="CJ102" s="162"/>
      <c r="CK102" s="163"/>
      <c r="CL102" s="164"/>
      <c r="CP102" s="162"/>
      <c r="CQ102" s="162"/>
      <c r="CR102" s="163"/>
      <c r="CS102" s="164"/>
      <c r="CW102" s="162"/>
      <c r="CX102" s="162"/>
      <c r="CY102" s="163"/>
      <c r="CZ102" s="164"/>
      <c r="DD102" s="162"/>
      <c r="DE102" s="162"/>
      <c r="DF102" s="163"/>
      <c r="DG102" s="164"/>
      <c r="DK102" s="162"/>
      <c r="DL102" s="162"/>
      <c r="DM102" s="163"/>
      <c r="DN102" s="164"/>
      <c r="DR102" s="162"/>
      <c r="DS102" s="162"/>
      <c r="DT102" s="163"/>
      <c r="DU102" s="164"/>
      <c r="DY102" s="162"/>
      <c r="DZ102" s="162"/>
      <c r="EA102" s="163"/>
      <c r="EB102" s="164"/>
      <c r="EF102" s="162"/>
      <c r="EG102" s="162"/>
      <c r="EH102" s="163"/>
      <c r="EI102" s="164"/>
      <c r="EM102" s="162"/>
      <c r="EN102" s="162"/>
      <c r="EO102" s="163"/>
      <c r="EP102" s="164"/>
      <c r="ET102" s="162"/>
      <c r="EU102" s="162"/>
      <c r="EV102" s="163"/>
      <c r="EW102" s="164"/>
      <c r="FA102" s="162"/>
      <c r="FB102" s="162"/>
      <c r="FC102" s="163"/>
      <c r="FD102" s="164"/>
      <c r="FH102" s="162"/>
      <c r="FI102" s="162"/>
      <c r="FJ102" s="163"/>
      <c r="FK102" s="164"/>
      <c r="FO102" s="162"/>
      <c r="FP102" s="162"/>
      <c r="FQ102" s="163"/>
      <c r="FR102" s="164"/>
      <c r="FV102" s="162"/>
      <c r="FW102" s="162"/>
      <c r="FX102" s="163"/>
      <c r="FY102" s="164"/>
      <c r="GC102" s="162"/>
      <c r="GD102" s="162"/>
      <c r="GE102" s="163"/>
      <c r="GF102" s="164"/>
      <c r="GJ102" s="162"/>
      <c r="GK102" s="162"/>
      <c r="GL102" s="163"/>
      <c r="GM102" s="164"/>
      <c r="GQ102" s="162"/>
      <c r="GR102" s="162"/>
      <c r="GS102" s="163"/>
      <c r="GT102" s="164"/>
      <c r="GX102" s="162"/>
      <c r="GY102" s="162"/>
      <c r="GZ102" s="163"/>
      <c r="HA102" s="164"/>
      <c r="HE102" s="162"/>
      <c r="HF102" s="162"/>
      <c r="HG102" s="163"/>
      <c r="HH102" s="164"/>
      <c r="HL102" s="162"/>
      <c r="HM102" s="162"/>
      <c r="HN102" s="163"/>
      <c r="HO102" s="164"/>
      <c r="HS102" s="162"/>
      <c r="HT102" s="162"/>
      <c r="HU102" s="163"/>
      <c r="HV102" s="164"/>
    </row>
    <row r="103" spans="3:230" x14ac:dyDescent="0.2">
      <c r="C103" s="162"/>
      <c r="D103" s="162"/>
      <c r="E103" s="163"/>
      <c r="F103" s="164"/>
      <c r="J103" s="162"/>
      <c r="K103" s="162"/>
      <c r="L103" s="163"/>
      <c r="M103" s="164"/>
      <c r="Q103" s="162"/>
      <c r="R103" s="162"/>
      <c r="S103" s="163"/>
      <c r="T103" s="164"/>
      <c r="X103" s="162"/>
      <c r="Y103" s="162"/>
      <c r="Z103" s="163"/>
      <c r="AA103" s="164"/>
      <c r="AE103" s="162"/>
      <c r="AF103" s="162"/>
      <c r="AG103" s="163"/>
      <c r="AH103" s="164"/>
      <c r="AL103" s="162"/>
      <c r="AM103" s="162"/>
      <c r="AN103" s="163"/>
      <c r="AO103" s="164"/>
      <c r="AS103" s="162"/>
      <c r="AT103" s="162"/>
      <c r="AU103" s="163"/>
      <c r="AV103" s="164"/>
      <c r="AZ103" s="162"/>
      <c r="BA103" s="162"/>
      <c r="BB103" s="163"/>
      <c r="BC103" s="164"/>
      <c r="BG103" s="162"/>
      <c r="BH103" s="162"/>
      <c r="BI103" s="163"/>
      <c r="BJ103" s="164"/>
      <c r="BN103" s="162"/>
      <c r="BO103" s="162"/>
      <c r="BP103" s="163"/>
      <c r="BQ103" s="164"/>
      <c r="BU103" s="162"/>
      <c r="BV103" s="162"/>
      <c r="BW103" s="163"/>
      <c r="BX103" s="164"/>
      <c r="CB103" s="162"/>
      <c r="CC103" s="162"/>
      <c r="CD103" s="163"/>
      <c r="CE103" s="164"/>
      <c r="CI103" s="162"/>
      <c r="CJ103" s="162"/>
      <c r="CK103" s="163"/>
      <c r="CL103" s="164"/>
      <c r="CP103" s="162"/>
      <c r="CQ103" s="162"/>
      <c r="CR103" s="163"/>
      <c r="CS103" s="164"/>
      <c r="CW103" s="162"/>
      <c r="CX103" s="162"/>
      <c r="CY103" s="163"/>
      <c r="CZ103" s="164"/>
      <c r="DD103" s="162"/>
      <c r="DE103" s="162"/>
      <c r="DF103" s="163"/>
      <c r="DG103" s="164"/>
      <c r="DK103" s="162"/>
      <c r="DL103" s="162"/>
      <c r="DM103" s="163"/>
      <c r="DN103" s="164"/>
      <c r="DR103" s="162"/>
      <c r="DS103" s="162"/>
      <c r="DT103" s="163"/>
      <c r="DU103" s="164"/>
      <c r="DY103" s="162"/>
      <c r="DZ103" s="162"/>
      <c r="EA103" s="163"/>
      <c r="EB103" s="164"/>
      <c r="EF103" s="162"/>
      <c r="EG103" s="162"/>
      <c r="EH103" s="163"/>
      <c r="EI103" s="164"/>
      <c r="EM103" s="162"/>
      <c r="EN103" s="162"/>
      <c r="EO103" s="163"/>
      <c r="EP103" s="164"/>
      <c r="ET103" s="162"/>
      <c r="EU103" s="162"/>
      <c r="EV103" s="163"/>
      <c r="EW103" s="164"/>
      <c r="FA103" s="162"/>
      <c r="FB103" s="162"/>
      <c r="FC103" s="163"/>
      <c r="FD103" s="164"/>
      <c r="FH103" s="162"/>
      <c r="FI103" s="162"/>
      <c r="FJ103" s="163"/>
      <c r="FK103" s="164"/>
      <c r="FO103" s="162"/>
      <c r="FP103" s="162"/>
      <c r="FQ103" s="163"/>
      <c r="FR103" s="164"/>
      <c r="FV103" s="162"/>
      <c r="FW103" s="162"/>
      <c r="FX103" s="163"/>
      <c r="FY103" s="164"/>
      <c r="GC103" s="162"/>
      <c r="GD103" s="162"/>
      <c r="GE103" s="163"/>
      <c r="GF103" s="164"/>
      <c r="GJ103" s="162"/>
      <c r="GK103" s="162"/>
      <c r="GL103" s="163"/>
      <c r="GM103" s="164"/>
      <c r="GQ103" s="162"/>
      <c r="GR103" s="162"/>
      <c r="GS103" s="163"/>
      <c r="GT103" s="164"/>
      <c r="GX103" s="162"/>
      <c r="GY103" s="162"/>
      <c r="GZ103" s="163"/>
      <c r="HA103" s="164"/>
      <c r="HE103" s="162"/>
      <c r="HF103" s="162"/>
      <c r="HG103" s="163"/>
      <c r="HH103" s="164"/>
      <c r="HL103" s="162"/>
      <c r="HM103" s="162"/>
      <c r="HN103" s="163"/>
      <c r="HO103" s="164"/>
      <c r="HS103" s="162"/>
      <c r="HT103" s="162"/>
      <c r="HU103" s="163"/>
      <c r="HV103" s="164"/>
    </row>
    <row r="104" spans="3:230" x14ac:dyDescent="0.2">
      <c r="C104" s="162"/>
      <c r="D104" s="162"/>
      <c r="E104" s="163"/>
      <c r="F104" s="164"/>
      <c r="J104" s="162"/>
      <c r="K104" s="162"/>
      <c r="L104" s="163"/>
      <c r="M104" s="164"/>
      <c r="Q104" s="162"/>
      <c r="R104" s="162"/>
      <c r="S104" s="163"/>
      <c r="T104" s="164"/>
      <c r="X104" s="162"/>
      <c r="Y104" s="162"/>
      <c r="Z104" s="163"/>
      <c r="AA104" s="164"/>
      <c r="AE104" s="162"/>
      <c r="AF104" s="162"/>
      <c r="AG104" s="163"/>
      <c r="AH104" s="164"/>
      <c r="AL104" s="162"/>
      <c r="AM104" s="162"/>
      <c r="AN104" s="163"/>
      <c r="AO104" s="164"/>
      <c r="AS104" s="162"/>
      <c r="AT104" s="162"/>
      <c r="AU104" s="163"/>
      <c r="AV104" s="164"/>
      <c r="AZ104" s="162"/>
      <c r="BA104" s="162"/>
      <c r="BB104" s="163"/>
      <c r="BC104" s="164"/>
      <c r="BG104" s="162"/>
      <c r="BH104" s="162"/>
      <c r="BI104" s="163"/>
      <c r="BJ104" s="164"/>
      <c r="BN104" s="162"/>
      <c r="BO104" s="162"/>
      <c r="BP104" s="163"/>
      <c r="BQ104" s="164"/>
      <c r="BU104" s="162"/>
      <c r="BV104" s="162"/>
      <c r="BW104" s="163"/>
      <c r="BX104" s="164"/>
      <c r="CB104" s="162"/>
      <c r="CC104" s="162"/>
      <c r="CD104" s="163"/>
      <c r="CE104" s="164"/>
      <c r="CI104" s="162"/>
      <c r="CJ104" s="162"/>
      <c r="CK104" s="163"/>
      <c r="CL104" s="164"/>
      <c r="CP104" s="162"/>
      <c r="CQ104" s="162"/>
      <c r="CR104" s="163"/>
      <c r="CS104" s="164"/>
      <c r="CW104" s="162"/>
      <c r="CX104" s="162"/>
      <c r="CY104" s="163"/>
      <c r="CZ104" s="164"/>
      <c r="DD104" s="162"/>
      <c r="DE104" s="162"/>
      <c r="DF104" s="163"/>
      <c r="DG104" s="164"/>
      <c r="DK104" s="162"/>
      <c r="DL104" s="162"/>
      <c r="DM104" s="163"/>
      <c r="DN104" s="164"/>
      <c r="DR104" s="162"/>
      <c r="DS104" s="162"/>
      <c r="DT104" s="163"/>
      <c r="DU104" s="164"/>
      <c r="DY104" s="162"/>
      <c r="DZ104" s="162"/>
      <c r="EA104" s="163"/>
      <c r="EB104" s="164"/>
      <c r="EF104" s="162"/>
      <c r="EG104" s="162"/>
      <c r="EH104" s="163"/>
      <c r="EI104" s="164"/>
      <c r="EM104" s="162"/>
      <c r="EN104" s="162"/>
      <c r="EO104" s="163"/>
      <c r="EP104" s="164"/>
      <c r="ET104" s="162"/>
      <c r="EU104" s="162"/>
      <c r="EV104" s="163"/>
      <c r="EW104" s="164"/>
      <c r="FA104" s="162"/>
      <c r="FB104" s="162"/>
      <c r="FC104" s="163"/>
      <c r="FD104" s="164"/>
      <c r="FH104" s="162"/>
      <c r="FI104" s="162"/>
      <c r="FJ104" s="163"/>
      <c r="FK104" s="164"/>
      <c r="FO104" s="162"/>
      <c r="FP104" s="162"/>
      <c r="FQ104" s="163"/>
      <c r="FR104" s="164"/>
      <c r="FV104" s="162"/>
      <c r="FW104" s="162"/>
      <c r="FX104" s="163"/>
      <c r="FY104" s="164"/>
      <c r="GC104" s="162"/>
      <c r="GD104" s="162"/>
      <c r="GE104" s="163"/>
      <c r="GF104" s="164"/>
      <c r="GJ104" s="162"/>
      <c r="GK104" s="162"/>
      <c r="GL104" s="163"/>
      <c r="GM104" s="164"/>
      <c r="GQ104" s="162"/>
      <c r="GR104" s="162"/>
      <c r="GS104" s="163"/>
      <c r="GT104" s="164"/>
      <c r="GX104" s="162"/>
      <c r="GY104" s="162"/>
      <c r="GZ104" s="163"/>
      <c r="HA104" s="164"/>
      <c r="HE104" s="162"/>
      <c r="HF104" s="162"/>
      <c r="HG104" s="163"/>
      <c r="HH104" s="164"/>
      <c r="HL104" s="162"/>
      <c r="HM104" s="162"/>
      <c r="HN104" s="163"/>
      <c r="HO104" s="164"/>
      <c r="HS104" s="162"/>
      <c r="HT104" s="162"/>
      <c r="HU104" s="163"/>
      <c r="HV104" s="164"/>
    </row>
    <row r="105" spans="3:230" x14ac:dyDescent="0.2">
      <c r="C105" s="162"/>
      <c r="D105" s="162"/>
      <c r="E105" s="163"/>
      <c r="F105" s="164"/>
      <c r="J105" s="162"/>
      <c r="K105" s="162"/>
      <c r="L105" s="163"/>
      <c r="M105" s="164"/>
      <c r="Q105" s="162"/>
      <c r="R105" s="162"/>
      <c r="S105" s="163"/>
      <c r="T105" s="164"/>
      <c r="X105" s="162"/>
      <c r="Y105" s="162"/>
      <c r="Z105" s="163"/>
      <c r="AA105" s="164"/>
      <c r="AE105" s="162"/>
      <c r="AF105" s="162"/>
      <c r="AG105" s="163"/>
      <c r="AH105" s="164"/>
      <c r="AL105" s="162"/>
      <c r="AM105" s="162"/>
      <c r="AN105" s="163"/>
      <c r="AO105" s="164"/>
      <c r="AS105" s="162"/>
      <c r="AT105" s="162"/>
      <c r="AU105" s="163"/>
      <c r="AV105" s="164"/>
      <c r="AZ105" s="162"/>
      <c r="BA105" s="162"/>
      <c r="BB105" s="163"/>
      <c r="BC105" s="164"/>
      <c r="BG105" s="162"/>
      <c r="BH105" s="162"/>
      <c r="BI105" s="163"/>
      <c r="BJ105" s="164"/>
      <c r="BN105" s="162"/>
      <c r="BO105" s="162"/>
      <c r="BP105" s="163"/>
      <c r="BQ105" s="164"/>
      <c r="BU105" s="162"/>
      <c r="BV105" s="162"/>
      <c r="BW105" s="163"/>
      <c r="BX105" s="164"/>
      <c r="CB105" s="162"/>
      <c r="CC105" s="162"/>
      <c r="CD105" s="163"/>
      <c r="CE105" s="164"/>
      <c r="CI105" s="162"/>
      <c r="CJ105" s="162"/>
      <c r="CK105" s="163"/>
      <c r="CL105" s="164"/>
      <c r="CP105" s="162"/>
      <c r="CQ105" s="162"/>
      <c r="CR105" s="163"/>
      <c r="CS105" s="164"/>
      <c r="CW105" s="162"/>
      <c r="CX105" s="162"/>
      <c r="CY105" s="163"/>
      <c r="CZ105" s="164"/>
      <c r="DD105" s="162"/>
      <c r="DE105" s="162"/>
      <c r="DF105" s="163"/>
      <c r="DG105" s="164"/>
      <c r="DK105" s="162"/>
      <c r="DL105" s="162"/>
      <c r="DM105" s="163"/>
      <c r="DN105" s="164"/>
      <c r="DR105" s="162"/>
      <c r="DS105" s="162"/>
      <c r="DT105" s="163"/>
      <c r="DU105" s="164"/>
      <c r="DY105" s="162"/>
      <c r="DZ105" s="162"/>
      <c r="EA105" s="163"/>
      <c r="EB105" s="164"/>
      <c r="EF105" s="162"/>
      <c r="EG105" s="162"/>
      <c r="EH105" s="163"/>
      <c r="EI105" s="164"/>
      <c r="EM105" s="162"/>
      <c r="EN105" s="162"/>
      <c r="EO105" s="163"/>
      <c r="EP105" s="164"/>
      <c r="ET105" s="162"/>
      <c r="EU105" s="162"/>
      <c r="EV105" s="163"/>
      <c r="EW105" s="164"/>
      <c r="FA105" s="162"/>
      <c r="FB105" s="162"/>
      <c r="FC105" s="163"/>
      <c r="FD105" s="164"/>
      <c r="FH105" s="162"/>
      <c r="FI105" s="162"/>
      <c r="FJ105" s="163"/>
      <c r="FK105" s="164"/>
      <c r="FO105" s="162"/>
      <c r="FP105" s="162"/>
      <c r="FQ105" s="163"/>
      <c r="FR105" s="164"/>
      <c r="FV105" s="162"/>
      <c r="FW105" s="162"/>
      <c r="FX105" s="163"/>
      <c r="FY105" s="164"/>
      <c r="GC105" s="162"/>
      <c r="GD105" s="162"/>
      <c r="GE105" s="163"/>
      <c r="GF105" s="164"/>
      <c r="GJ105" s="162"/>
      <c r="GK105" s="162"/>
      <c r="GL105" s="163"/>
      <c r="GM105" s="164"/>
      <c r="GQ105" s="162"/>
      <c r="GR105" s="162"/>
      <c r="GS105" s="163"/>
      <c r="GT105" s="164"/>
      <c r="GX105" s="162"/>
      <c r="GY105" s="162"/>
      <c r="GZ105" s="163"/>
      <c r="HA105" s="164"/>
      <c r="HE105" s="162"/>
      <c r="HF105" s="162"/>
      <c r="HG105" s="163"/>
      <c r="HH105" s="164"/>
      <c r="HL105" s="162"/>
      <c r="HM105" s="162"/>
      <c r="HN105" s="163"/>
      <c r="HO105" s="164"/>
      <c r="HS105" s="162"/>
      <c r="HT105" s="162"/>
      <c r="HU105" s="163"/>
      <c r="HV105" s="164"/>
    </row>
    <row r="106" spans="3:230" x14ac:dyDescent="0.2">
      <c r="C106" s="162"/>
      <c r="D106" s="162"/>
      <c r="E106" s="163"/>
      <c r="F106" s="164"/>
      <c r="J106" s="162"/>
      <c r="K106" s="162"/>
      <c r="L106" s="163"/>
      <c r="M106" s="164"/>
      <c r="Q106" s="162"/>
      <c r="R106" s="162"/>
      <c r="S106" s="163"/>
      <c r="T106" s="164"/>
      <c r="X106" s="162"/>
      <c r="Y106" s="162"/>
      <c r="Z106" s="163"/>
      <c r="AA106" s="164"/>
      <c r="AE106" s="162"/>
      <c r="AF106" s="162"/>
      <c r="AG106" s="163"/>
      <c r="AH106" s="164"/>
      <c r="AL106" s="162"/>
      <c r="AM106" s="162"/>
      <c r="AN106" s="163"/>
      <c r="AO106" s="164"/>
      <c r="AS106" s="162"/>
      <c r="AT106" s="162"/>
      <c r="AU106" s="163"/>
      <c r="AV106" s="164"/>
      <c r="AZ106" s="162"/>
      <c r="BA106" s="162"/>
      <c r="BB106" s="163"/>
      <c r="BC106" s="164"/>
      <c r="BG106" s="162"/>
      <c r="BH106" s="162"/>
      <c r="BI106" s="163"/>
      <c r="BJ106" s="164"/>
      <c r="BN106" s="162"/>
      <c r="BO106" s="162"/>
      <c r="BP106" s="163"/>
      <c r="BQ106" s="164"/>
      <c r="BU106" s="162"/>
      <c r="BV106" s="162"/>
      <c r="BW106" s="163"/>
      <c r="BX106" s="164"/>
      <c r="CB106" s="162"/>
      <c r="CC106" s="162"/>
      <c r="CD106" s="163"/>
      <c r="CE106" s="164"/>
      <c r="CI106" s="162"/>
      <c r="CJ106" s="162"/>
      <c r="CK106" s="163"/>
      <c r="CL106" s="164"/>
      <c r="CP106" s="162"/>
      <c r="CQ106" s="162"/>
      <c r="CR106" s="163"/>
      <c r="CS106" s="164"/>
      <c r="CW106" s="162"/>
      <c r="CX106" s="162"/>
      <c r="CY106" s="163"/>
      <c r="CZ106" s="164"/>
      <c r="DD106" s="162"/>
      <c r="DE106" s="162"/>
      <c r="DF106" s="163"/>
      <c r="DG106" s="164"/>
      <c r="DK106" s="162"/>
      <c r="DL106" s="162"/>
      <c r="DM106" s="163"/>
      <c r="DN106" s="164"/>
      <c r="DR106" s="162"/>
      <c r="DS106" s="162"/>
      <c r="DT106" s="163"/>
      <c r="DU106" s="164"/>
      <c r="DY106" s="162"/>
      <c r="DZ106" s="162"/>
      <c r="EA106" s="163"/>
      <c r="EB106" s="164"/>
      <c r="EF106" s="162"/>
      <c r="EG106" s="162"/>
      <c r="EH106" s="163"/>
      <c r="EI106" s="164"/>
      <c r="EM106" s="162"/>
      <c r="EN106" s="162"/>
      <c r="EO106" s="163"/>
      <c r="EP106" s="164"/>
      <c r="ET106" s="162"/>
      <c r="EU106" s="162"/>
      <c r="EV106" s="163"/>
      <c r="EW106" s="164"/>
      <c r="FA106" s="162"/>
      <c r="FB106" s="162"/>
      <c r="FC106" s="163"/>
      <c r="FD106" s="164"/>
      <c r="FH106" s="162"/>
      <c r="FI106" s="162"/>
      <c r="FJ106" s="163"/>
      <c r="FK106" s="164"/>
      <c r="FO106" s="162"/>
      <c r="FP106" s="162"/>
      <c r="FQ106" s="163"/>
      <c r="FR106" s="164"/>
      <c r="FV106" s="162"/>
      <c r="FW106" s="162"/>
      <c r="FX106" s="163"/>
      <c r="FY106" s="164"/>
      <c r="GC106" s="162"/>
      <c r="GD106" s="162"/>
      <c r="GE106" s="163"/>
      <c r="GF106" s="164"/>
      <c r="GJ106" s="162"/>
      <c r="GK106" s="162"/>
      <c r="GL106" s="163"/>
      <c r="GM106" s="164"/>
      <c r="GQ106" s="162"/>
      <c r="GR106" s="162"/>
      <c r="GS106" s="163"/>
      <c r="GT106" s="164"/>
      <c r="GX106" s="162"/>
      <c r="GY106" s="162"/>
      <c r="GZ106" s="163"/>
      <c r="HA106" s="164"/>
      <c r="HE106" s="162"/>
      <c r="HF106" s="162"/>
      <c r="HG106" s="163"/>
      <c r="HH106" s="164"/>
      <c r="HL106" s="162"/>
      <c r="HM106" s="162"/>
      <c r="HN106" s="163"/>
      <c r="HO106" s="164"/>
      <c r="HS106" s="162"/>
      <c r="HT106" s="162"/>
      <c r="HU106" s="163"/>
      <c r="HV106" s="164"/>
    </row>
    <row r="107" spans="3:230" x14ac:dyDescent="0.2">
      <c r="C107" s="162"/>
      <c r="D107" s="162"/>
      <c r="E107" s="163"/>
      <c r="F107" s="164"/>
      <c r="J107" s="162"/>
      <c r="K107" s="162"/>
      <c r="L107" s="163"/>
      <c r="M107" s="164"/>
      <c r="Q107" s="162"/>
      <c r="R107" s="162"/>
      <c r="S107" s="163"/>
      <c r="T107" s="164"/>
      <c r="X107" s="162"/>
      <c r="Y107" s="162"/>
      <c r="Z107" s="163"/>
      <c r="AA107" s="164"/>
      <c r="AE107" s="162"/>
      <c r="AF107" s="162"/>
      <c r="AG107" s="163"/>
      <c r="AH107" s="164"/>
      <c r="AL107" s="162"/>
      <c r="AM107" s="162"/>
      <c r="AN107" s="163"/>
      <c r="AO107" s="164"/>
      <c r="AS107" s="162"/>
      <c r="AT107" s="162"/>
      <c r="AU107" s="163"/>
      <c r="AV107" s="164"/>
      <c r="AZ107" s="162"/>
      <c r="BA107" s="162"/>
      <c r="BB107" s="163"/>
      <c r="BC107" s="164"/>
      <c r="BG107" s="162"/>
      <c r="BH107" s="162"/>
      <c r="BI107" s="163"/>
      <c r="BJ107" s="164"/>
      <c r="BN107" s="162"/>
      <c r="BO107" s="162"/>
      <c r="BP107" s="163"/>
      <c r="BQ107" s="164"/>
      <c r="BU107" s="162"/>
      <c r="BV107" s="162"/>
      <c r="BW107" s="163"/>
      <c r="BX107" s="164"/>
      <c r="CB107" s="162"/>
      <c r="CC107" s="162"/>
      <c r="CD107" s="163"/>
      <c r="CE107" s="164"/>
      <c r="CI107" s="162"/>
      <c r="CJ107" s="162"/>
      <c r="CK107" s="163"/>
      <c r="CL107" s="164"/>
      <c r="CP107" s="162"/>
      <c r="CQ107" s="162"/>
      <c r="CR107" s="163"/>
      <c r="CS107" s="164"/>
      <c r="CW107" s="162"/>
      <c r="CX107" s="162"/>
      <c r="CY107" s="163"/>
      <c r="CZ107" s="164"/>
      <c r="DD107" s="162"/>
      <c r="DE107" s="162"/>
      <c r="DF107" s="163"/>
      <c r="DG107" s="164"/>
      <c r="DK107" s="162"/>
      <c r="DL107" s="162"/>
      <c r="DM107" s="163"/>
      <c r="DN107" s="164"/>
      <c r="DR107" s="162"/>
      <c r="DS107" s="162"/>
      <c r="DT107" s="163"/>
      <c r="DU107" s="164"/>
      <c r="DY107" s="162"/>
      <c r="DZ107" s="162"/>
      <c r="EA107" s="163"/>
      <c r="EB107" s="164"/>
      <c r="EF107" s="162"/>
      <c r="EG107" s="162"/>
      <c r="EH107" s="163"/>
      <c r="EI107" s="164"/>
      <c r="EM107" s="162"/>
      <c r="EN107" s="162"/>
      <c r="EO107" s="163"/>
      <c r="EP107" s="164"/>
      <c r="ET107" s="162"/>
      <c r="EU107" s="162"/>
      <c r="EV107" s="163"/>
      <c r="EW107" s="164"/>
      <c r="FA107" s="162"/>
      <c r="FB107" s="162"/>
      <c r="FC107" s="163"/>
      <c r="FD107" s="164"/>
      <c r="FH107" s="162"/>
      <c r="FI107" s="162"/>
      <c r="FJ107" s="163"/>
      <c r="FK107" s="164"/>
      <c r="FO107" s="162"/>
      <c r="FP107" s="162"/>
      <c r="FQ107" s="163"/>
      <c r="FR107" s="164"/>
      <c r="FV107" s="162"/>
      <c r="FW107" s="162"/>
      <c r="FX107" s="163"/>
      <c r="FY107" s="164"/>
      <c r="GC107" s="162"/>
      <c r="GD107" s="162"/>
      <c r="GE107" s="163"/>
      <c r="GF107" s="164"/>
      <c r="GJ107" s="162"/>
      <c r="GK107" s="162"/>
      <c r="GL107" s="163"/>
      <c r="GM107" s="164"/>
      <c r="GQ107" s="162"/>
      <c r="GR107" s="162"/>
      <c r="GS107" s="163"/>
      <c r="GT107" s="164"/>
      <c r="GX107" s="162"/>
      <c r="GY107" s="162"/>
      <c r="GZ107" s="163"/>
      <c r="HA107" s="164"/>
      <c r="HE107" s="162"/>
      <c r="HF107" s="162"/>
      <c r="HG107" s="163"/>
      <c r="HH107" s="164"/>
      <c r="HL107" s="162"/>
      <c r="HM107" s="162"/>
      <c r="HN107" s="163"/>
      <c r="HO107" s="164"/>
      <c r="HS107" s="162"/>
      <c r="HT107" s="162"/>
      <c r="HU107" s="163"/>
      <c r="HV107" s="164"/>
    </row>
    <row r="108" spans="3:230" x14ac:dyDescent="0.2">
      <c r="C108" s="162"/>
      <c r="D108" s="162"/>
      <c r="E108" s="163"/>
      <c r="F108" s="164"/>
      <c r="J108" s="162"/>
      <c r="K108" s="162"/>
      <c r="L108" s="163"/>
      <c r="M108" s="164"/>
      <c r="Q108" s="162"/>
      <c r="R108" s="162"/>
      <c r="S108" s="163"/>
      <c r="T108" s="164"/>
      <c r="X108" s="162"/>
      <c r="Y108" s="162"/>
      <c r="Z108" s="163"/>
      <c r="AA108" s="164"/>
      <c r="AE108" s="162"/>
      <c r="AF108" s="162"/>
      <c r="AG108" s="163"/>
      <c r="AH108" s="164"/>
      <c r="AL108" s="162"/>
      <c r="AM108" s="162"/>
      <c r="AN108" s="163"/>
      <c r="AO108" s="164"/>
      <c r="AS108" s="162"/>
      <c r="AT108" s="162"/>
      <c r="AU108" s="163"/>
      <c r="AV108" s="164"/>
      <c r="AZ108" s="162"/>
      <c r="BA108" s="162"/>
      <c r="BB108" s="163"/>
      <c r="BC108" s="164"/>
      <c r="BG108" s="162"/>
      <c r="BH108" s="162"/>
      <c r="BI108" s="163"/>
      <c r="BJ108" s="164"/>
      <c r="BN108" s="162"/>
      <c r="BO108" s="162"/>
      <c r="BP108" s="163"/>
      <c r="BQ108" s="164"/>
      <c r="BU108" s="162"/>
      <c r="BV108" s="162"/>
      <c r="BW108" s="163"/>
      <c r="BX108" s="164"/>
      <c r="CB108" s="162"/>
      <c r="CC108" s="162"/>
      <c r="CD108" s="163"/>
      <c r="CE108" s="164"/>
      <c r="CI108" s="162"/>
      <c r="CJ108" s="162"/>
      <c r="CK108" s="163"/>
      <c r="CL108" s="164"/>
      <c r="CP108" s="162"/>
      <c r="CQ108" s="162"/>
      <c r="CR108" s="163"/>
      <c r="CS108" s="164"/>
      <c r="CW108" s="162"/>
      <c r="CX108" s="162"/>
      <c r="CY108" s="163"/>
      <c r="CZ108" s="164"/>
      <c r="DD108" s="162"/>
      <c r="DE108" s="162"/>
      <c r="DF108" s="163"/>
      <c r="DG108" s="164"/>
      <c r="DK108" s="162"/>
      <c r="DL108" s="162"/>
      <c r="DM108" s="163"/>
      <c r="DN108" s="164"/>
      <c r="DR108" s="162"/>
      <c r="DS108" s="162"/>
      <c r="DT108" s="163"/>
      <c r="DU108" s="164"/>
      <c r="DY108" s="162"/>
      <c r="DZ108" s="162"/>
      <c r="EA108" s="163"/>
      <c r="EB108" s="164"/>
      <c r="EF108" s="162"/>
      <c r="EG108" s="162"/>
      <c r="EH108" s="163"/>
      <c r="EI108" s="164"/>
      <c r="EM108" s="162"/>
      <c r="EN108" s="162"/>
      <c r="EO108" s="163"/>
      <c r="EP108" s="164"/>
      <c r="ET108" s="162"/>
      <c r="EU108" s="162"/>
      <c r="EV108" s="163"/>
      <c r="EW108" s="164"/>
      <c r="FA108" s="162"/>
      <c r="FB108" s="162"/>
      <c r="FC108" s="163"/>
      <c r="FD108" s="164"/>
      <c r="FH108" s="162"/>
      <c r="FI108" s="162"/>
      <c r="FJ108" s="163"/>
      <c r="FK108" s="164"/>
      <c r="FO108" s="162"/>
      <c r="FP108" s="162"/>
      <c r="FQ108" s="163"/>
      <c r="FR108" s="164"/>
      <c r="FV108" s="162"/>
      <c r="FW108" s="162"/>
      <c r="FX108" s="163"/>
      <c r="FY108" s="164"/>
      <c r="GC108" s="162"/>
      <c r="GD108" s="162"/>
      <c r="GE108" s="163"/>
      <c r="GF108" s="164"/>
      <c r="GJ108" s="162"/>
      <c r="GK108" s="162"/>
      <c r="GL108" s="163"/>
      <c r="GM108" s="164"/>
      <c r="GQ108" s="162"/>
      <c r="GR108" s="162"/>
      <c r="GS108" s="163"/>
      <c r="GT108" s="164"/>
      <c r="GX108" s="162"/>
      <c r="GY108" s="162"/>
      <c r="GZ108" s="163"/>
      <c r="HA108" s="164"/>
      <c r="HE108" s="162"/>
      <c r="HF108" s="162"/>
      <c r="HG108" s="163"/>
      <c r="HH108" s="164"/>
      <c r="HL108" s="162"/>
      <c r="HM108" s="162"/>
      <c r="HN108" s="163"/>
      <c r="HO108" s="164"/>
      <c r="HS108" s="162"/>
      <c r="HT108" s="162"/>
      <c r="HU108" s="163"/>
      <c r="HV108" s="164"/>
    </row>
    <row r="109" spans="3:230" x14ac:dyDescent="0.2">
      <c r="C109" s="162"/>
      <c r="D109" s="162"/>
      <c r="E109" s="163"/>
      <c r="F109" s="164"/>
      <c r="J109" s="162"/>
      <c r="K109" s="162"/>
      <c r="L109" s="163"/>
      <c r="M109" s="164"/>
      <c r="Q109" s="162"/>
      <c r="R109" s="162"/>
      <c r="S109" s="163"/>
      <c r="T109" s="164"/>
      <c r="X109" s="162"/>
      <c r="Y109" s="162"/>
      <c r="Z109" s="163"/>
      <c r="AA109" s="164"/>
      <c r="AE109" s="162"/>
      <c r="AF109" s="162"/>
      <c r="AG109" s="163"/>
      <c r="AH109" s="164"/>
      <c r="AL109" s="162"/>
      <c r="AM109" s="162"/>
      <c r="AN109" s="163"/>
      <c r="AO109" s="164"/>
      <c r="AS109" s="162"/>
      <c r="AT109" s="162"/>
      <c r="AU109" s="163"/>
      <c r="AV109" s="164"/>
      <c r="AZ109" s="162"/>
      <c r="BA109" s="162"/>
      <c r="BB109" s="163"/>
      <c r="BC109" s="164"/>
      <c r="BG109" s="162"/>
      <c r="BH109" s="162"/>
      <c r="BI109" s="163"/>
      <c r="BJ109" s="164"/>
      <c r="BN109" s="162"/>
      <c r="BO109" s="162"/>
      <c r="BP109" s="163"/>
      <c r="BQ109" s="164"/>
      <c r="BU109" s="162"/>
      <c r="BV109" s="162"/>
      <c r="BW109" s="163"/>
      <c r="BX109" s="164"/>
      <c r="CB109" s="162"/>
      <c r="CC109" s="162"/>
      <c r="CD109" s="163"/>
      <c r="CE109" s="164"/>
      <c r="CI109" s="162"/>
      <c r="CJ109" s="162"/>
      <c r="CK109" s="163"/>
      <c r="CL109" s="164"/>
      <c r="CP109" s="162"/>
      <c r="CQ109" s="162"/>
      <c r="CR109" s="163"/>
      <c r="CS109" s="164"/>
      <c r="CW109" s="162"/>
      <c r="CX109" s="162"/>
      <c r="CY109" s="163"/>
      <c r="CZ109" s="164"/>
      <c r="DD109" s="162"/>
      <c r="DE109" s="162"/>
      <c r="DF109" s="163"/>
      <c r="DG109" s="164"/>
      <c r="DK109" s="162"/>
      <c r="DL109" s="162"/>
      <c r="DM109" s="163"/>
      <c r="DN109" s="164"/>
      <c r="DR109" s="162"/>
      <c r="DS109" s="162"/>
      <c r="DT109" s="163"/>
      <c r="DU109" s="164"/>
      <c r="DY109" s="162"/>
      <c r="DZ109" s="162"/>
      <c r="EA109" s="163"/>
      <c r="EB109" s="164"/>
      <c r="EF109" s="162"/>
      <c r="EG109" s="162"/>
      <c r="EH109" s="163"/>
      <c r="EI109" s="164"/>
      <c r="EM109" s="162"/>
      <c r="EN109" s="162"/>
      <c r="EO109" s="163"/>
      <c r="EP109" s="164"/>
      <c r="ET109" s="162"/>
      <c r="EU109" s="162"/>
      <c r="EV109" s="163"/>
      <c r="EW109" s="164"/>
      <c r="FA109" s="162"/>
      <c r="FB109" s="162"/>
      <c r="FC109" s="163"/>
      <c r="FD109" s="164"/>
      <c r="FH109" s="162"/>
      <c r="FI109" s="162"/>
      <c r="FJ109" s="163"/>
      <c r="FK109" s="164"/>
      <c r="FO109" s="162"/>
      <c r="FP109" s="162"/>
      <c r="FQ109" s="163"/>
      <c r="FR109" s="164"/>
      <c r="FV109" s="162"/>
      <c r="FW109" s="162"/>
      <c r="FX109" s="163"/>
      <c r="FY109" s="164"/>
      <c r="GC109" s="162"/>
      <c r="GD109" s="162"/>
      <c r="GE109" s="163"/>
      <c r="GF109" s="164"/>
      <c r="GJ109" s="162"/>
      <c r="GK109" s="162"/>
      <c r="GL109" s="163"/>
      <c r="GM109" s="164"/>
      <c r="GQ109" s="162"/>
      <c r="GR109" s="162"/>
      <c r="GS109" s="163"/>
      <c r="GT109" s="164"/>
      <c r="GX109" s="162"/>
      <c r="GY109" s="162"/>
      <c r="GZ109" s="163"/>
      <c r="HA109" s="164"/>
      <c r="HE109" s="162"/>
      <c r="HF109" s="162"/>
      <c r="HG109" s="163"/>
      <c r="HH109" s="164"/>
      <c r="HL109" s="162"/>
      <c r="HM109" s="162"/>
      <c r="HN109" s="163"/>
      <c r="HO109" s="164"/>
      <c r="HS109" s="162"/>
      <c r="HT109" s="162"/>
      <c r="HU109" s="163"/>
      <c r="HV109" s="164"/>
    </row>
    <row r="110" spans="3:230" x14ac:dyDescent="0.2">
      <c r="C110" s="162"/>
      <c r="D110" s="162"/>
      <c r="E110" s="163"/>
      <c r="F110" s="164"/>
      <c r="J110" s="162"/>
      <c r="K110" s="162"/>
      <c r="L110" s="163"/>
      <c r="M110" s="164"/>
      <c r="Q110" s="162"/>
      <c r="R110" s="162"/>
      <c r="S110" s="163"/>
      <c r="T110" s="164"/>
      <c r="X110" s="162"/>
      <c r="Y110" s="162"/>
      <c r="Z110" s="163"/>
      <c r="AA110" s="164"/>
      <c r="AE110" s="162"/>
      <c r="AF110" s="162"/>
      <c r="AG110" s="163"/>
      <c r="AH110" s="164"/>
      <c r="AL110" s="162"/>
      <c r="AM110" s="162"/>
      <c r="AN110" s="163"/>
      <c r="AO110" s="164"/>
      <c r="AS110" s="162"/>
      <c r="AT110" s="162"/>
      <c r="AU110" s="163"/>
      <c r="AV110" s="164"/>
      <c r="AZ110" s="162"/>
      <c r="BA110" s="162"/>
      <c r="BB110" s="163"/>
      <c r="BC110" s="164"/>
      <c r="BG110" s="162"/>
      <c r="BH110" s="162"/>
      <c r="BI110" s="163"/>
      <c r="BJ110" s="164"/>
      <c r="BN110" s="162"/>
      <c r="BO110" s="162"/>
      <c r="BP110" s="163"/>
      <c r="BQ110" s="164"/>
      <c r="BU110" s="162"/>
      <c r="BV110" s="162"/>
      <c r="BW110" s="163"/>
      <c r="BX110" s="164"/>
      <c r="CB110" s="162"/>
      <c r="CC110" s="162"/>
      <c r="CD110" s="163"/>
      <c r="CE110" s="164"/>
      <c r="CI110" s="162"/>
      <c r="CJ110" s="162"/>
      <c r="CK110" s="163"/>
      <c r="CL110" s="164"/>
      <c r="CP110" s="162"/>
      <c r="CQ110" s="162"/>
      <c r="CR110" s="163"/>
      <c r="CS110" s="164"/>
      <c r="CW110" s="162"/>
      <c r="CX110" s="162"/>
      <c r="CY110" s="163"/>
      <c r="CZ110" s="164"/>
      <c r="DD110" s="162"/>
      <c r="DE110" s="162"/>
      <c r="DF110" s="163"/>
      <c r="DG110" s="164"/>
      <c r="DK110" s="162"/>
      <c r="DL110" s="162"/>
      <c r="DM110" s="163"/>
      <c r="DN110" s="164"/>
      <c r="DR110" s="162"/>
      <c r="DS110" s="162"/>
      <c r="DT110" s="163"/>
      <c r="DU110" s="164"/>
      <c r="DY110" s="162"/>
      <c r="DZ110" s="162"/>
      <c r="EA110" s="163"/>
      <c r="EB110" s="164"/>
      <c r="EF110" s="162"/>
      <c r="EG110" s="162"/>
      <c r="EH110" s="163"/>
      <c r="EI110" s="164"/>
      <c r="EM110" s="162"/>
      <c r="EN110" s="162"/>
      <c r="EO110" s="163"/>
      <c r="EP110" s="164"/>
      <c r="ET110" s="162"/>
      <c r="EU110" s="162"/>
      <c r="EV110" s="163"/>
      <c r="EW110" s="164"/>
      <c r="FA110" s="162"/>
      <c r="FB110" s="162"/>
      <c r="FC110" s="163"/>
      <c r="FD110" s="164"/>
      <c r="FH110" s="162"/>
      <c r="FI110" s="162"/>
      <c r="FJ110" s="163"/>
      <c r="FK110" s="164"/>
      <c r="FO110" s="162"/>
      <c r="FP110" s="162"/>
      <c r="FQ110" s="163"/>
      <c r="FR110" s="164"/>
      <c r="FV110" s="162"/>
      <c r="FW110" s="162"/>
      <c r="FX110" s="163"/>
      <c r="FY110" s="164"/>
      <c r="GC110" s="162"/>
      <c r="GD110" s="162"/>
      <c r="GE110" s="163"/>
      <c r="GF110" s="164"/>
      <c r="GJ110" s="162"/>
      <c r="GK110" s="162"/>
      <c r="GL110" s="163"/>
      <c r="GM110" s="164"/>
      <c r="GQ110" s="162"/>
      <c r="GR110" s="162"/>
      <c r="GS110" s="163"/>
      <c r="GT110" s="164"/>
      <c r="GX110" s="162"/>
      <c r="GY110" s="162"/>
      <c r="GZ110" s="163"/>
      <c r="HA110" s="164"/>
      <c r="HE110" s="162"/>
      <c r="HF110" s="162"/>
      <c r="HG110" s="163"/>
      <c r="HH110" s="164"/>
      <c r="HL110" s="162"/>
      <c r="HM110" s="162"/>
      <c r="HN110" s="163"/>
      <c r="HO110" s="164"/>
      <c r="HS110" s="162"/>
      <c r="HT110" s="162"/>
      <c r="HU110" s="163"/>
      <c r="HV110" s="164"/>
    </row>
    <row r="111" spans="3:230" x14ac:dyDescent="0.2">
      <c r="C111" s="162"/>
      <c r="D111" s="162"/>
      <c r="E111" s="163"/>
      <c r="F111" s="164"/>
      <c r="J111" s="162"/>
      <c r="K111" s="162"/>
      <c r="L111" s="163"/>
      <c r="M111" s="164"/>
      <c r="Q111" s="162"/>
      <c r="R111" s="162"/>
      <c r="S111" s="163"/>
      <c r="T111" s="164"/>
      <c r="X111" s="162"/>
      <c r="Y111" s="162"/>
      <c r="Z111" s="163"/>
      <c r="AA111" s="164"/>
      <c r="AE111" s="162"/>
      <c r="AF111" s="162"/>
      <c r="AG111" s="163"/>
      <c r="AH111" s="164"/>
      <c r="AL111" s="162"/>
      <c r="AM111" s="162"/>
      <c r="AN111" s="163"/>
      <c r="AO111" s="164"/>
      <c r="AS111" s="162"/>
      <c r="AT111" s="162"/>
      <c r="AU111" s="163"/>
      <c r="AV111" s="164"/>
      <c r="AZ111" s="162"/>
      <c r="BA111" s="162"/>
      <c r="BB111" s="163"/>
      <c r="BC111" s="164"/>
      <c r="BG111" s="162"/>
      <c r="BH111" s="162"/>
      <c r="BI111" s="163"/>
      <c r="BJ111" s="164"/>
      <c r="BN111" s="162"/>
      <c r="BO111" s="162"/>
      <c r="BP111" s="163"/>
      <c r="BQ111" s="164"/>
      <c r="BU111" s="162"/>
      <c r="BV111" s="162"/>
      <c r="BW111" s="163"/>
      <c r="BX111" s="164"/>
      <c r="CB111" s="162"/>
      <c r="CC111" s="162"/>
      <c r="CD111" s="163"/>
      <c r="CE111" s="164"/>
      <c r="CI111" s="162"/>
      <c r="CJ111" s="162"/>
      <c r="CK111" s="163"/>
      <c r="CL111" s="164"/>
      <c r="CP111" s="162"/>
      <c r="CQ111" s="162"/>
      <c r="CR111" s="163"/>
      <c r="CS111" s="164"/>
      <c r="CW111" s="162"/>
      <c r="CX111" s="162"/>
      <c r="CY111" s="163"/>
      <c r="CZ111" s="164"/>
      <c r="DD111" s="162"/>
      <c r="DE111" s="162"/>
      <c r="DF111" s="163"/>
      <c r="DG111" s="164"/>
      <c r="DK111" s="162"/>
      <c r="DL111" s="162"/>
      <c r="DM111" s="163"/>
      <c r="DN111" s="164"/>
      <c r="DR111" s="162"/>
      <c r="DS111" s="162"/>
      <c r="DT111" s="163"/>
      <c r="DU111" s="164"/>
      <c r="DY111" s="162"/>
      <c r="DZ111" s="162"/>
      <c r="EA111" s="163"/>
      <c r="EB111" s="164"/>
      <c r="EF111" s="162"/>
      <c r="EG111" s="162"/>
      <c r="EH111" s="163"/>
      <c r="EI111" s="164"/>
      <c r="EM111" s="162"/>
      <c r="EN111" s="162"/>
      <c r="EO111" s="163"/>
      <c r="EP111" s="164"/>
      <c r="ET111" s="162"/>
      <c r="EU111" s="162"/>
      <c r="EV111" s="163"/>
      <c r="EW111" s="164"/>
      <c r="FA111" s="162"/>
      <c r="FB111" s="162"/>
      <c r="FC111" s="163"/>
      <c r="FD111" s="164"/>
      <c r="FH111" s="162"/>
      <c r="FI111" s="162"/>
      <c r="FJ111" s="163"/>
      <c r="FK111" s="164"/>
      <c r="FO111" s="162"/>
      <c r="FP111" s="162"/>
      <c r="FQ111" s="163"/>
      <c r="FR111" s="164"/>
      <c r="FV111" s="162"/>
      <c r="FW111" s="162"/>
      <c r="FX111" s="163"/>
      <c r="FY111" s="164"/>
      <c r="GC111" s="162"/>
      <c r="GD111" s="162"/>
      <c r="GE111" s="163"/>
      <c r="GF111" s="164"/>
      <c r="GJ111" s="162"/>
      <c r="GK111" s="162"/>
      <c r="GL111" s="163"/>
      <c r="GM111" s="164"/>
      <c r="GQ111" s="162"/>
      <c r="GR111" s="162"/>
      <c r="GS111" s="163"/>
      <c r="GT111" s="164"/>
      <c r="GX111" s="162"/>
      <c r="GY111" s="162"/>
      <c r="GZ111" s="163"/>
      <c r="HA111" s="164"/>
      <c r="HE111" s="162"/>
      <c r="HF111" s="162"/>
      <c r="HG111" s="163"/>
      <c r="HH111" s="164"/>
      <c r="HL111" s="162"/>
      <c r="HM111" s="162"/>
      <c r="HN111" s="163"/>
      <c r="HO111" s="164"/>
      <c r="HS111" s="162"/>
      <c r="HT111" s="162"/>
      <c r="HU111" s="163"/>
      <c r="HV111" s="164"/>
    </row>
    <row r="112" spans="3:230" x14ac:dyDescent="0.2">
      <c r="C112" s="162"/>
      <c r="D112" s="162"/>
      <c r="E112" s="163"/>
      <c r="F112" s="164"/>
      <c r="J112" s="162"/>
      <c r="K112" s="162"/>
      <c r="L112" s="163"/>
      <c r="M112" s="164"/>
      <c r="Q112" s="162"/>
      <c r="R112" s="162"/>
      <c r="S112" s="163"/>
      <c r="T112" s="164"/>
      <c r="X112" s="162"/>
      <c r="Y112" s="162"/>
      <c r="Z112" s="163"/>
      <c r="AA112" s="164"/>
      <c r="AE112" s="162"/>
      <c r="AF112" s="162"/>
      <c r="AG112" s="163"/>
      <c r="AH112" s="164"/>
      <c r="AL112" s="162"/>
      <c r="AM112" s="162"/>
      <c r="AN112" s="163"/>
      <c r="AO112" s="164"/>
      <c r="AS112" s="162"/>
      <c r="AT112" s="162"/>
      <c r="AU112" s="163"/>
      <c r="AV112" s="164"/>
      <c r="AZ112" s="162"/>
      <c r="BA112" s="162"/>
      <c r="BB112" s="163"/>
      <c r="BC112" s="164"/>
      <c r="BG112" s="162"/>
      <c r="BH112" s="162"/>
      <c r="BI112" s="163"/>
      <c r="BJ112" s="164"/>
      <c r="BN112" s="162"/>
      <c r="BO112" s="162"/>
      <c r="BP112" s="163"/>
      <c r="BQ112" s="164"/>
      <c r="BU112" s="162"/>
      <c r="BV112" s="162"/>
      <c r="BW112" s="163"/>
      <c r="BX112" s="164"/>
      <c r="CB112" s="162"/>
      <c r="CC112" s="162"/>
      <c r="CD112" s="163"/>
      <c r="CE112" s="164"/>
      <c r="CI112" s="162"/>
      <c r="CJ112" s="162"/>
      <c r="CK112" s="163"/>
      <c r="CL112" s="164"/>
      <c r="CP112" s="162"/>
      <c r="CQ112" s="162"/>
      <c r="CR112" s="163"/>
      <c r="CS112" s="164"/>
      <c r="CW112" s="162"/>
      <c r="CX112" s="162"/>
      <c r="CY112" s="163"/>
      <c r="CZ112" s="164"/>
      <c r="DD112" s="162"/>
      <c r="DE112" s="162"/>
      <c r="DF112" s="163"/>
      <c r="DG112" s="164"/>
      <c r="DK112" s="162"/>
      <c r="DL112" s="162"/>
      <c r="DM112" s="163"/>
      <c r="DN112" s="164"/>
      <c r="DR112" s="162"/>
      <c r="DS112" s="162"/>
      <c r="DT112" s="163"/>
      <c r="DU112" s="164"/>
      <c r="DY112" s="162"/>
      <c r="DZ112" s="162"/>
      <c r="EA112" s="163"/>
      <c r="EB112" s="164"/>
      <c r="EF112" s="162"/>
      <c r="EG112" s="162"/>
      <c r="EH112" s="163"/>
      <c r="EI112" s="164"/>
      <c r="EM112" s="162"/>
      <c r="EN112" s="162"/>
      <c r="EO112" s="163"/>
      <c r="EP112" s="164"/>
      <c r="ET112" s="162"/>
      <c r="EU112" s="162"/>
      <c r="EV112" s="163"/>
      <c r="EW112" s="164"/>
      <c r="FA112" s="162"/>
      <c r="FB112" s="162"/>
      <c r="FC112" s="163"/>
      <c r="FD112" s="164"/>
      <c r="FH112" s="162"/>
      <c r="FI112" s="162"/>
      <c r="FJ112" s="163"/>
      <c r="FK112" s="164"/>
      <c r="FO112" s="162"/>
      <c r="FP112" s="162"/>
      <c r="FQ112" s="163"/>
      <c r="FR112" s="164"/>
      <c r="FV112" s="162"/>
      <c r="FW112" s="162"/>
      <c r="FX112" s="163"/>
      <c r="FY112" s="164"/>
      <c r="GC112" s="162"/>
      <c r="GD112" s="162"/>
      <c r="GE112" s="163"/>
      <c r="GF112" s="164"/>
      <c r="GJ112" s="162"/>
      <c r="GK112" s="162"/>
      <c r="GL112" s="163"/>
      <c r="GM112" s="164"/>
      <c r="GQ112" s="162"/>
      <c r="GR112" s="162"/>
      <c r="GS112" s="163"/>
      <c r="GT112" s="164"/>
      <c r="GX112" s="162"/>
      <c r="GY112" s="162"/>
      <c r="GZ112" s="163"/>
      <c r="HA112" s="164"/>
      <c r="HE112" s="162"/>
      <c r="HF112" s="162"/>
      <c r="HG112" s="163"/>
      <c r="HH112" s="164"/>
      <c r="HL112" s="162"/>
      <c r="HM112" s="162"/>
      <c r="HN112" s="163"/>
      <c r="HO112" s="164"/>
      <c r="HS112" s="162"/>
      <c r="HT112" s="162"/>
      <c r="HU112" s="163"/>
      <c r="HV112" s="164"/>
    </row>
    <row r="113" spans="3:230" x14ac:dyDescent="0.2">
      <c r="C113" s="162"/>
      <c r="D113" s="162"/>
      <c r="E113" s="163"/>
      <c r="F113" s="164"/>
      <c r="J113" s="162"/>
      <c r="K113" s="162"/>
      <c r="L113" s="163"/>
      <c r="M113" s="164"/>
      <c r="Q113" s="162"/>
      <c r="R113" s="162"/>
      <c r="S113" s="163"/>
      <c r="T113" s="164"/>
      <c r="X113" s="162"/>
      <c r="Y113" s="162"/>
      <c r="Z113" s="163"/>
      <c r="AA113" s="164"/>
      <c r="AE113" s="162"/>
      <c r="AF113" s="162"/>
      <c r="AG113" s="163"/>
      <c r="AH113" s="164"/>
      <c r="AL113" s="162"/>
      <c r="AM113" s="162"/>
      <c r="AN113" s="163"/>
      <c r="AO113" s="164"/>
      <c r="AS113" s="162"/>
      <c r="AT113" s="162"/>
      <c r="AU113" s="163"/>
      <c r="AV113" s="164"/>
      <c r="AZ113" s="162"/>
      <c r="BA113" s="162"/>
      <c r="BB113" s="163"/>
      <c r="BC113" s="164"/>
      <c r="BG113" s="162"/>
      <c r="BH113" s="162"/>
      <c r="BI113" s="163"/>
      <c r="BJ113" s="164"/>
      <c r="BN113" s="162"/>
      <c r="BO113" s="162"/>
      <c r="BP113" s="163"/>
      <c r="BQ113" s="164"/>
      <c r="BU113" s="162"/>
      <c r="BV113" s="162"/>
      <c r="BW113" s="163"/>
      <c r="BX113" s="164"/>
      <c r="CB113" s="162"/>
      <c r="CC113" s="162"/>
      <c r="CD113" s="163"/>
      <c r="CE113" s="164"/>
      <c r="CI113" s="162"/>
      <c r="CJ113" s="162"/>
      <c r="CK113" s="163"/>
      <c r="CL113" s="164"/>
      <c r="CP113" s="162"/>
      <c r="CQ113" s="162"/>
      <c r="CR113" s="163"/>
      <c r="CS113" s="164"/>
      <c r="CW113" s="162"/>
      <c r="CX113" s="162"/>
      <c r="CY113" s="163"/>
      <c r="CZ113" s="164"/>
      <c r="DD113" s="162"/>
      <c r="DE113" s="162"/>
      <c r="DF113" s="163"/>
      <c r="DG113" s="164"/>
      <c r="DK113" s="162"/>
      <c r="DL113" s="162"/>
      <c r="DM113" s="163"/>
      <c r="DN113" s="164"/>
      <c r="DR113" s="162"/>
      <c r="DS113" s="162"/>
      <c r="DT113" s="163"/>
      <c r="DU113" s="164"/>
      <c r="DY113" s="162"/>
      <c r="DZ113" s="162"/>
      <c r="EA113" s="163"/>
      <c r="EB113" s="164"/>
      <c r="EF113" s="162"/>
      <c r="EG113" s="162"/>
      <c r="EH113" s="163"/>
      <c r="EI113" s="164"/>
      <c r="EM113" s="162"/>
      <c r="EN113" s="162"/>
      <c r="EO113" s="163"/>
      <c r="EP113" s="164"/>
      <c r="ET113" s="162"/>
      <c r="EU113" s="162"/>
      <c r="EV113" s="163"/>
      <c r="EW113" s="164"/>
      <c r="FA113" s="162"/>
      <c r="FB113" s="162"/>
      <c r="FC113" s="163"/>
      <c r="FD113" s="164"/>
      <c r="FH113" s="162"/>
      <c r="FI113" s="162"/>
      <c r="FJ113" s="163"/>
      <c r="FK113" s="164"/>
      <c r="FO113" s="162"/>
      <c r="FP113" s="162"/>
      <c r="FQ113" s="163"/>
      <c r="FR113" s="164"/>
      <c r="FV113" s="162"/>
      <c r="FW113" s="162"/>
      <c r="FX113" s="163"/>
      <c r="FY113" s="164"/>
      <c r="GC113" s="162"/>
      <c r="GD113" s="162"/>
      <c r="GE113" s="163"/>
      <c r="GF113" s="164"/>
      <c r="GJ113" s="162"/>
      <c r="GK113" s="162"/>
      <c r="GL113" s="163"/>
      <c r="GM113" s="164"/>
      <c r="GQ113" s="162"/>
      <c r="GR113" s="162"/>
      <c r="GS113" s="163"/>
      <c r="GT113" s="164"/>
      <c r="GX113" s="162"/>
      <c r="GY113" s="162"/>
      <c r="GZ113" s="163"/>
      <c r="HA113" s="164"/>
      <c r="HE113" s="162"/>
      <c r="HF113" s="162"/>
      <c r="HG113" s="163"/>
      <c r="HH113" s="164"/>
      <c r="HL113" s="162"/>
      <c r="HM113" s="162"/>
      <c r="HN113" s="163"/>
      <c r="HO113" s="164"/>
      <c r="HS113" s="162"/>
      <c r="HT113" s="162"/>
      <c r="HU113" s="163"/>
      <c r="HV113" s="164"/>
    </row>
    <row r="114" spans="3:230" x14ac:dyDescent="0.2">
      <c r="C114" s="162"/>
      <c r="D114" s="162"/>
      <c r="E114" s="163"/>
      <c r="F114" s="164"/>
      <c r="J114" s="162"/>
      <c r="K114" s="162"/>
      <c r="L114" s="163"/>
      <c r="M114" s="164"/>
      <c r="Q114" s="162"/>
      <c r="R114" s="162"/>
      <c r="S114" s="163"/>
      <c r="T114" s="164"/>
      <c r="X114" s="162"/>
      <c r="Y114" s="162"/>
      <c r="Z114" s="163"/>
      <c r="AA114" s="164"/>
      <c r="AE114" s="162"/>
      <c r="AF114" s="162"/>
      <c r="AG114" s="163"/>
      <c r="AH114" s="164"/>
      <c r="AL114" s="162"/>
      <c r="AM114" s="162"/>
      <c r="AN114" s="163"/>
      <c r="AO114" s="164"/>
      <c r="AS114" s="162"/>
      <c r="AT114" s="162"/>
      <c r="AU114" s="163"/>
      <c r="AV114" s="164"/>
      <c r="AZ114" s="162"/>
      <c r="BA114" s="162"/>
      <c r="BB114" s="163"/>
      <c r="BC114" s="164"/>
      <c r="BG114" s="162"/>
      <c r="BH114" s="162"/>
      <c r="BI114" s="163"/>
      <c r="BJ114" s="164"/>
      <c r="BN114" s="162"/>
      <c r="BO114" s="162"/>
      <c r="BP114" s="163"/>
      <c r="BQ114" s="164"/>
      <c r="BU114" s="162"/>
      <c r="BV114" s="162"/>
      <c r="BW114" s="163"/>
      <c r="BX114" s="164"/>
      <c r="CB114" s="162"/>
      <c r="CC114" s="162"/>
      <c r="CD114" s="163"/>
      <c r="CE114" s="164"/>
      <c r="CI114" s="162"/>
      <c r="CJ114" s="162"/>
      <c r="CK114" s="163"/>
      <c r="CL114" s="164"/>
      <c r="CP114" s="162"/>
      <c r="CQ114" s="162"/>
      <c r="CR114" s="163"/>
      <c r="CS114" s="164"/>
      <c r="CW114" s="162"/>
      <c r="CX114" s="162"/>
      <c r="CY114" s="163"/>
      <c r="CZ114" s="164"/>
      <c r="DD114" s="162"/>
      <c r="DE114" s="162"/>
      <c r="DF114" s="163"/>
      <c r="DG114" s="164"/>
      <c r="DK114" s="162"/>
      <c r="DL114" s="162"/>
      <c r="DM114" s="163"/>
      <c r="DN114" s="164"/>
      <c r="DR114" s="162"/>
      <c r="DS114" s="162"/>
      <c r="DT114" s="163"/>
      <c r="DU114" s="164"/>
      <c r="DY114" s="162"/>
      <c r="DZ114" s="162"/>
      <c r="EA114" s="163"/>
      <c r="EB114" s="164"/>
      <c r="EF114" s="162"/>
      <c r="EG114" s="162"/>
      <c r="EH114" s="163"/>
      <c r="EI114" s="164"/>
      <c r="EM114" s="162"/>
      <c r="EN114" s="162"/>
      <c r="EO114" s="163"/>
      <c r="EP114" s="164"/>
      <c r="ET114" s="162"/>
      <c r="EU114" s="162"/>
      <c r="EV114" s="163"/>
      <c r="EW114" s="164"/>
      <c r="FA114" s="162"/>
      <c r="FB114" s="162"/>
      <c r="FC114" s="163"/>
      <c r="FD114" s="164"/>
      <c r="FH114" s="162"/>
      <c r="FI114" s="162"/>
      <c r="FJ114" s="163"/>
      <c r="FK114" s="164"/>
      <c r="FO114" s="162"/>
      <c r="FP114" s="162"/>
      <c r="FQ114" s="163"/>
      <c r="FR114" s="164"/>
      <c r="FV114" s="162"/>
      <c r="FW114" s="162"/>
      <c r="FX114" s="163"/>
      <c r="FY114" s="164"/>
      <c r="GC114" s="162"/>
      <c r="GD114" s="162"/>
      <c r="GE114" s="163"/>
      <c r="GF114" s="164"/>
      <c r="GJ114" s="162"/>
      <c r="GK114" s="162"/>
      <c r="GL114" s="163"/>
      <c r="GM114" s="164"/>
      <c r="GQ114" s="162"/>
      <c r="GR114" s="162"/>
      <c r="GS114" s="163"/>
      <c r="GT114" s="164"/>
      <c r="GX114" s="162"/>
      <c r="GY114" s="162"/>
      <c r="GZ114" s="163"/>
      <c r="HA114" s="164"/>
      <c r="HE114" s="162"/>
      <c r="HF114" s="162"/>
      <c r="HG114" s="163"/>
      <c r="HH114" s="164"/>
      <c r="HL114" s="162"/>
      <c r="HM114" s="162"/>
      <c r="HN114" s="163"/>
      <c r="HO114" s="164"/>
      <c r="HS114" s="162"/>
      <c r="HT114" s="162"/>
      <c r="HU114" s="163"/>
      <c r="HV114" s="164"/>
    </row>
    <row r="115" spans="3:230" x14ac:dyDescent="0.2">
      <c r="C115" s="162"/>
      <c r="D115" s="162"/>
      <c r="E115" s="163"/>
      <c r="F115" s="164"/>
      <c r="J115" s="162"/>
      <c r="K115" s="162"/>
      <c r="L115" s="163"/>
      <c r="M115" s="164"/>
      <c r="Q115" s="162"/>
      <c r="R115" s="162"/>
      <c r="S115" s="163"/>
      <c r="T115" s="164"/>
      <c r="X115" s="162"/>
      <c r="Y115" s="162"/>
      <c r="Z115" s="163"/>
      <c r="AA115" s="164"/>
      <c r="AE115" s="162"/>
      <c r="AF115" s="162"/>
      <c r="AG115" s="163"/>
      <c r="AH115" s="164"/>
      <c r="AL115" s="162"/>
      <c r="AM115" s="162"/>
      <c r="AN115" s="163"/>
      <c r="AO115" s="164"/>
      <c r="AS115" s="162"/>
      <c r="AT115" s="162"/>
      <c r="AU115" s="163"/>
      <c r="AV115" s="164"/>
      <c r="AZ115" s="162"/>
      <c r="BA115" s="162"/>
      <c r="BB115" s="163"/>
      <c r="BC115" s="164"/>
      <c r="BG115" s="162"/>
      <c r="BH115" s="162"/>
      <c r="BI115" s="163"/>
      <c r="BJ115" s="164"/>
      <c r="BN115" s="162"/>
      <c r="BO115" s="162"/>
      <c r="BP115" s="163"/>
      <c r="BQ115" s="164"/>
      <c r="BU115" s="162"/>
      <c r="BV115" s="162"/>
      <c r="BW115" s="163"/>
      <c r="BX115" s="164"/>
      <c r="CB115" s="162"/>
      <c r="CC115" s="162"/>
      <c r="CD115" s="163"/>
      <c r="CE115" s="164"/>
      <c r="CI115" s="162"/>
      <c r="CJ115" s="162"/>
      <c r="CK115" s="163"/>
      <c r="CL115" s="164"/>
      <c r="CP115" s="162"/>
      <c r="CQ115" s="162"/>
      <c r="CR115" s="163"/>
      <c r="CS115" s="164"/>
      <c r="CW115" s="162"/>
      <c r="CX115" s="162"/>
      <c r="CY115" s="163"/>
      <c r="CZ115" s="164"/>
      <c r="DD115" s="162"/>
      <c r="DE115" s="162"/>
      <c r="DF115" s="163"/>
      <c r="DG115" s="164"/>
      <c r="DK115" s="162"/>
      <c r="DL115" s="162"/>
      <c r="DM115" s="163"/>
      <c r="DN115" s="164"/>
      <c r="DR115" s="162"/>
      <c r="DS115" s="162"/>
      <c r="DT115" s="163"/>
      <c r="DU115" s="164"/>
      <c r="DY115" s="162"/>
      <c r="DZ115" s="162"/>
      <c r="EA115" s="163"/>
      <c r="EB115" s="164"/>
      <c r="EF115" s="162"/>
      <c r="EG115" s="162"/>
      <c r="EH115" s="163"/>
      <c r="EI115" s="164"/>
      <c r="EM115" s="162"/>
      <c r="EN115" s="162"/>
      <c r="EO115" s="163"/>
      <c r="EP115" s="164"/>
      <c r="ET115" s="162"/>
      <c r="EU115" s="162"/>
      <c r="EV115" s="163"/>
      <c r="EW115" s="164"/>
      <c r="FA115" s="162"/>
      <c r="FB115" s="162"/>
      <c r="FC115" s="163"/>
      <c r="FD115" s="164"/>
      <c r="FH115" s="162"/>
      <c r="FI115" s="162"/>
      <c r="FJ115" s="163"/>
      <c r="FK115" s="164"/>
      <c r="FO115" s="162"/>
      <c r="FP115" s="162"/>
      <c r="FQ115" s="163"/>
      <c r="FR115" s="164"/>
      <c r="FV115" s="162"/>
      <c r="FW115" s="162"/>
      <c r="FX115" s="163"/>
      <c r="FY115" s="164"/>
      <c r="GC115" s="162"/>
      <c r="GD115" s="162"/>
      <c r="GE115" s="163"/>
      <c r="GF115" s="164"/>
      <c r="GJ115" s="162"/>
      <c r="GK115" s="162"/>
      <c r="GL115" s="163"/>
      <c r="GM115" s="164"/>
      <c r="GQ115" s="162"/>
      <c r="GR115" s="162"/>
      <c r="GS115" s="163"/>
      <c r="GT115" s="164"/>
      <c r="GX115" s="162"/>
      <c r="GY115" s="162"/>
      <c r="GZ115" s="163"/>
      <c r="HA115" s="164"/>
      <c r="HE115" s="162"/>
      <c r="HF115" s="162"/>
      <c r="HG115" s="163"/>
      <c r="HH115" s="164"/>
      <c r="HL115" s="162"/>
      <c r="HM115" s="162"/>
      <c r="HN115" s="163"/>
      <c r="HO115" s="164"/>
      <c r="HS115" s="162"/>
      <c r="HT115" s="162"/>
      <c r="HU115" s="163"/>
      <c r="HV115" s="164"/>
    </row>
    <row r="116" spans="3:230" x14ac:dyDescent="0.2">
      <c r="C116" s="162"/>
      <c r="D116" s="162"/>
      <c r="E116" s="163"/>
      <c r="F116" s="164"/>
      <c r="J116" s="162"/>
      <c r="K116" s="162"/>
      <c r="L116" s="163"/>
      <c r="M116" s="164"/>
      <c r="Q116" s="162"/>
      <c r="R116" s="162"/>
      <c r="S116" s="163"/>
      <c r="T116" s="164"/>
      <c r="X116" s="162"/>
      <c r="Y116" s="162"/>
      <c r="Z116" s="163"/>
      <c r="AA116" s="164"/>
      <c r="AE116" s="162"/>
      <c r="AF116" s="162"/>
      <c r="AG116" s="163"/>
      <c r="AH116" s="164"/>
      <c r="AL116" s="162"/>
      <c r="AM116" s="162"/>
      <c r="AN116" s="163"/>
      <c r="AO116" s="164"/>
      <c r="AS116" s="162"/>
      <c r="AT116" s="162"/>
      <c r="AU116" s="163"/>
      <c r="AV116" s="164"/>
      <c r="AZ116" s="162"/>
      <c r="BA116" s="162"/>
      <c r="BB116" s="163"/>
      <c r="BC116" s="164"/>
      <c r="BG116" s="162"/>
      <c r="BH116" s="162"/>
      <c r="BI116" s="163"/>
      <c r="BJ116" s="164"/>
      <c r="BN116" s="162"/>
      <c r="BO116" s="162"/>
      <c r="BP116" s="163"/>
      <c r="BQ116" s="164"/>
      <c r="BU116" s="162"/>
      <c r="BV116" s="162"/>
      <c r="BW116" s="163"/>
      <c r="BX116" s="164"/>
      <c r="CB116" s="162"/>
      <c r="CC116" s="162"/>
      <c r="CD116" s="163"/>
      <c r="CE116" s="164"/>
      <c r="CI116" s="162"/>
      <c r="CJ116" s="162"/>
      <c r="CK116" s="163"/>
      <c r="CL116" s="164"/>
      <c r="CP116" s="162"/>
      <c r="CQ116" s="162"/>
      <c r="CR116" s="163"/>
      <c r="CS116" s="164"/>
      <c r="CW116" s="162"/>
      <c r="CX116" s="162"/>
      <c r="CY116" s="163"/>
      <c r="CZ116" s="164"/>
      <c r="DD116" s="162"/>
      <c r="DE116" s="162"/>
      <c r="DF116" s="163"/>
      <c r="DG116" s="164"/>
      <c r="DK116" s="162"/>
      <c r="DL116" s="162"/>
      <c r="DM116" s="163"/>
      <c r="DN116" s="164"/>
      <c r="DR116" s="162"/>
      <c r="DS116" s="162"/>
      <c r="DT116" s="163"/>
      <c r="DU116" s="164"/>
      <c r="DY116" s="162"/>
      <c r="DZ116" s="162"/>
      <c r="EA116" s="163"/>
      <c r="EB116" s="164"/>
      <c r="EF116" s="162"/>
      <c r="EG116" s="162"/>
      <c r="EH116" s="163"/>
      <c r="EI116" s="164"/>
      <c r="EM116" s="162"/>
      <c r="EN116" s="162"/>
      <c r="EO116" s="163"/>
      <c r="EP116" s="164"/>
      <c r="ET116" s="162"/>
      <c r="EU116" s="162"/>
      <c r="EV116" s="163"/>
      <c r="EW116" s="164"/>
      <c r="FA116" s="162"/>
      <c r="FB116" s="162"/>
      <c r="FC116" s="163"/>
      <c r="FD116" s="164"/>
      <c r="FH116" s="162"/>
      <c r="FI116" s="162"/>
      <c r="FJ116" s="163"/>
      <c r="FK116" s="164"/>
      <c r="FO116" s="162"/>
      <c r="FP116" s="162"/>
      <c r="FQ116" s="163"/>
      <c r="FR116" s="164"/>
      <c r="FV116" s="162"/>
      <c r="FW116" s="162"/>
      <c r="FX116" s="163"/>
      <c r="FY116" s="164"/>
      <c r="GC116" s="162"/>
      <c r="GD116" s="162"/>
      <c r="GE116" s="163"/>
      <c r="GF116" s="164"/>
      <c r="GJ116" s="162"/>
      <c r="GK116" s="162"/>
      <c r="GL116" s="163"/>
      <c r="GM116" s="164"/>
      <c r="GQ116" s="162"/>
      <c r="GR116" s="162"/>
      <c r="GS116" s="163"/>
      <c r="GT116" s="164"/>
      <c r="GX116" s="162"/>
      <c r="GY116" s="162"/>
      <c r="GZ116" s="163"/>
      <c r="HA116" s="164"/>
      <c r="HE116" s="162"/>
      <c r="HF116" s="162"/>
      <c r="HG116" s="163"/>
      <c r="HH116" s="164"/>
      <c r="HL116" s="162"/>
      <c r="HM116" s="162"/>
      <c r="HN116" s="163"/>
      <c r="HO116" s="164"/>
      <c r="HS116" s="162"/>
      <c r="HT116" s="162"/>
      <c r="HU116" s="163"/>
      <c r="HV116" s="164"/>
    </row>
    <row r="117" spans="3:230" x14ac:dyDescent="0.2">
      <c r="C117" s="162"/>
      <c r="D117" s="162"/>
      <c r="E117" s="163"/>
      <c r="F117" s="164"/>
      <c r="J117" s="162"/>
      <c r="K117" s="162"/>
      <c r="L117" s="163"/>
      <c r="M117" s="164"/>
      <c r="Q117" s="162"/>
      <c r="R117" s="162"/>
      <c r="S117" s="163"/>
      <c r="T117" s="164"/>
      <c r="X117" s="162"/>
      <c r="Y117" s="162"/>
      <c r="Z117" s="163"/>
      <c r="AA117" s="164"/>
      <c r="AE117" s="162"/>
      <c r="AF117" s="162"/>
      <c r="AG117" s="163"/>
      <c r="AH117" s="164"/>
      <c r="AL117" s="162"/>
      <c r="AM117" s="162"/>
      <c r="AN117" s="163"/>
      <c r="AO117" s="164"/>
      <c r="AS117" s="162"/>
      <c r="AT117" s="162"/>
      <c r="AU117" s="163"/>
      <c r="AV117" s="164"/>
      <c r="AZ117" s="162"/>
      <c r="BA117" s="162"/>
      <c r="BB117" s="163"/>
      <c r="BC117" s="164"/>
      <c r="BG117" s="162"/>
      <c r="BH117" s="162"/>
      <c r="BI117" s="163"/>
      <c r="BJ117" s="164"/>
      <c r="BN117" s="162"/>
      <c r="BO117" s="162"/>
      <c r="BP117" s="163"/>
      <c r="BQ117" s="164"/>
      <c r="BU117" s="162"/>
      <c r="BV117" s="162"/>
      <c r="BW117" s="163"/>
      <c r="BX117" s="164"/>
      <c r="CB117" s="162"/>
      <c r="CC117" s="162"/>
      <c r="CD117" s="163"/>
      <c r="CE117" s="164"/>
      <c r="CI117" s="162"/>
      <c r="CJ117" s="162"/>
      <c r="CK117" s="163"/>
      <c r="CL117" s="164"/>
      <c r="CP117" s="162"/>
      <c r="CQ117" s="162"/>
      <c r="CR117" s="163"/>
      <c r="CS117" s="164"/>
      <c r="CW117" s="162"/>
      <c r="CX117" s="162"/>
      <c r="CY117" s="163"/>
      <c r="CZ117" s="164"/>
      <c r="DD117" s="162"/>
      <c r="DE117" s="162"/>
      <c r="DF117" s="163"/>
      <c r="DG117" s="164"/>
      <c r="DK117" s="162"/>
      <c r="DL117" s="162"/>
      <c r="DM117" s="163"/>
      <c r="DN117" s="164"/>
      <c r="DR117" s="162"/>
      <c r="DS117" s="162"/>
      <c r="DT117" s="163"/>
      <c r="DU117" s="164"/>
      <c r="DY117" s="162"/>
      <c r="DZ117" s="162"/>
      <c r="EA117" s="163"/>
      <c r="EB117" s="164"/>
      <c r="EF117" s="162"/>
      <c r="EG117" s="162"/>
      <c r="EH117" s="163"/>
      <c r="EI117" s="164"/>
      <c r="EM117" s="162"/>
      <c r="EN117" s="162"/>
      <c r="EO117" s="163"/>
      <c r="EP117" s="164"/>
      <c r="ET117" s="162"/>
      <c r="EU117" s="162"/>
      <c r="EV117" s="163"/>
      <c r="EW117" s="164"/>
      <c r="FA117" s="162"/>
      <c r="FB117" s="162"/>
      <c r="FC117" s="163"/>
      <c r="FD117" s="164"/>
      <c r="FH117" s="162"/>
      <c r="FI117" s="162"/>
      <c r="FJ117" s="163"/>
      <c r="FK117" s="164"/>
      <c r="FO117" s="162"/>
      <c r="FP117" s="162"/>
      <c r="FQ117" s="163"/>
      <c r="FR117" s="164"/>
      <c r="FV117" s="162"/>
      <c r="FW117" s="162"/>
      <c r="FX117" s="163"/>
      <c r="FY117" s="164"/>
      <c r="GC117" s="162"/>
      <c r="GD117" s="162"/>
      <c r="GE117" s="163"/>
      <c r="GF117" s="164"/>
      <c r="GJ117" s="162"/>
      <c r="GK117" s="162"/>
      <c r="GL117" s="163"/>
      <c r="GM117" s="164"/>
      <c r="GQ117" s="162"/>
      <c r="GR117" s="162"/>
      <c r="GS117" s="163"/>
      <c r="GT117" s="164"/>
      <c r="GX117" s="162"/>
      <c r="GY117" s="162"/>
      <c r="GZ117" s="163"/>
      <c r="HA117" s="164"/>
      <c r="HE117" s="162"/>
      <c r="HF117" s="162"/>
      <c r="HG117" s="163"/>
      <c r="HH117" s="164"/>
      <c r="HL117" s="162"/>
      <c r="HM117" s="162"/>
      <c r="HN117" s="163"/>
      <c r="HO117" s="164"/>
      <c r="HS117" s="162"/>
      <c r="HT117" s="162"/>
      <c r="HU117" s="163"/>
      <c r="HV117" s="164"/>
    </row>
    <row r="118" spans="3:230" x14ac:dyDescent="0.2">
      <c r="C118" s="162"/>
      <c r="D118" s="162"/>
      <c r="E118" s="163"/>
      <c r="F118" s="164"/>
      <c r="J118" s="162"/>
      <c r="K118" s="162"/>
      <c r="L118" s="163"/>
      <c r="M118" s="164"/>
      <c r="Q118" s="162"/>
      <c r="R118" s="162"/>
      <c r="S118" s="163"/>
      <c r="T118" s="164"/>
      <c r="X118" s="162"/>
      <c r="Y118" s="162"/>
      <c r="Z118" s="163"/>
      <c r="AA118" s="164"/>
      <c r="AE118" s="162"/>
      <c r="AF118" s="162"/>
      <c r="AG118" s="163"/>
      <c r="AH118" s="164"/>
      <c r="AL118" s="162"/>
      <c r="AM118" s="162"/>
      <c r="AN118" s="163"/>
      <c r="AO118" s="164"/>
      <c r="AS118" s="162"/>
      <c r="AT118" s="162"/>
      <c r="AU118" s="163"/>
      <c r="AV118" s="164"/>
      <c r="AZ118" s="162"/>
      <c r="BA118" s="162"/>
      <c r="BB118" s="163"/>
      <c r="BC118" s="164"/>
      <c r="BG118" s="162"/>
      <c r="BH118" s="162"/>
      <c r="BI118" s="163"/>
      <c r="BJ118" s="164"/>
      <c r="BN118" s="162"/>
      <c r="BO118" s="162"/>
      <c r="BP118" s="163"/>
      <c r="BQ118" s="164"/>
      <c r="BU118" s="162"/>
      <c r="BV118" s="162"/>
      <c r="BW118" s="163"/>
      <c r="BX118" s="164"/>
      <c r="CB118" s="162"/>
      <c r="CC118" s="162"/>
      <c r="CD118" s="163"/>
      <c r="CE118" s="164"/>
      <c r="CI118" s="162"/>
      <c r="CJ118" s="162"/>
      <c r="CK118" s="163"/>
      <c r="CL118" s="164"/>
      <c r="CP118" s="162"/>
      <c r="CQ118" s="162"/>
      <c r="CR118" s="163"/>
      <c r="CS118" s="164"/>
      <c r="CW118" s="162"/>
      <c r="CX118" s="162"/>
      <c r="CY118" s="163"/>
      <c r="CZ118" s="164"/>
      <c r="DD118" s="162"/>
      <c r="DE118" s="162"/>
      <c r="DF118" s="163"/>
      <c r="DG118" s="164"/>
      <c r="DK118" s="162"/>
      <c r="DL118" s="162"/>
      <c r="DM118" s="163"/>
      <c r="DN118" s="164"/>
      <c r="DR118" s="162"/>
      <c r="DS118" s="162"/>
      <c r="DT118" s="163"/>
      <c r="DU118" s="164"/>
      <c r="DY118" s="162"/>
      <c r="DZ118" s="162"/>
      <c r="EA118" s="163"/>
      <c r="EB118" s="164"/>
      <c r="EF118" s="162"/>
      <c r="EG118" s="162"/>
      <c r="EH118" s="163"/>
      <c r="EI118" s="164"/>
      <c r="EM118" s="162"/>
      <c r="EN118" s="162"/>
      <c r="EO118" s="163"/>
      <c r="EP118" s="164"/>
      <c r="ET118" s="162"/>
      <c r="EU118" s="162"/>
      <c r="EV118" s="163"/>
      <c r="EW118" s="164"/>
      <c r="FA118" s="162"/>
      <c r="FB118" s="162"/>
      <c r="FC118" s="163"/>
      <c r="FD118" s="164"/>
      <c r="FH118" s="162"/>
      <c r="FI118" s="162"/>
      <c r="FJ118" s="163"/>
      <c r="FK118" s="164"/>
      <c r="FO118" s="162"/>
      <c r="FP118" s="162"/>
      <c r="FQ118" s="163"/>
      <c r="FR118" s="164"/>
      <c r="FV118" s="162"/>
      <c r="FW118" s="162"/>
      <c r="FX118" s="163"/>
      <c r="FY118" s="164"/>
      <c r="GC118" s="162"/>
      <c r="GD118" s="162"/>
      <c r="GE118" s="163"/>
      <c r="GF118" s="164"/>
      <c r="GJ118" s="162"/>
      <c r="GK118" s="162"/>
      <c r="GL118" s="163"/>
      <c r="GM118" s="164"/>
      <c r="GQ118" s="162"/>
      <c r="GR118" s="162"/>
      <c r="GS118" s="163"/>
      <c r="GT118" s="164"/>
      <c r="GX118" s="162"/>
      <c r="GY118" s="162"/>
      <c r="GZ118" s="163"/>
      <c r="HA118" s="164"/>
      <c r="HE118" s="162"/>
      <c r="HF118" s="162"/>
      <c r="HG118" s="163"/>
      <c r="HH118" s="164"/>
      <c r="HL118" s="162"/>
      <c r="HM118" s="162"/>
      <c r="HN118" s="163"/>
      <c r="HO118" s="164"/>
      <c r="HS118" s="162"/>
      <c r="HT118" s="162"/>
      <c r="HU118" s="163"/>
      <c r="HV118" s="164"/>
    </row>
    <row r="119" spans="3:230" x14ac:dyDescent="0.2">
      <c r="C119" s="162"/>
      <c r="D119" s="162"/>
      <c r="E119" s="163"/>
      <c r="F119" s="164"/>
      <c r="J119" s="162"/>
      <c r="K119" s="162"/>
      <c r="L119" s="163"/>
      <c r="M119" s="164"/>
      <c r="Q119" s="162"/>
      <c r="R119" s="162"/>
      <c r="S119" s="163"/>
      <c r="T119" s="164"/>
      <c r="X119" s="162"/>
      <c r="Y119" s="162"/>
      <c r="Z119" s="163"/>
      <c r="AA119" s="164"/>
      <c r="AE119" s="162"/>
      <c r="AF119" s="162"/>
      <c r="AG119" s="163"/>
      <c r="AH119" s="164"/>
      <c r="AL119" s="162"/>
      <c r="AM119" s="162"/>
      <c r="AN119" s="163"/>
      <c r="AO119" s="164"/>
      <c r="AS119" s="162"/>
      <c r="AT119" s="162"/>
      <c r="AU119" s="163"/>
      <c r="AV119" s="164"/>
      <c r="AZ119" s="162"/>
      <c r="BA119" s="162"/>
      <c r="BB119" s="163"/>
      <c r="BC119" s="164"/>
      <c r="BG119" s="162"/>
      <c r="BH119" s="162"/>
      <c r="BI119" s="163"/>
      <c r="BJ119" s="164"/>
      <c r="BN119" s="162"/>
      <c r="BO119" s="162"/>
      <c r="BP119" s="163"/>
      <c r="BQ119" s="164"/>
      <c r="BU119" s="162"/>
      <c r="BV119" s="162"/>
      <c r="BW119" s="163"/>
      <c r="BX119" s="164"/>
      <c r="CB119" s="162"/>
      <c r="CC119" s="162"/>
      <c r="CD119" s="163"/>
      <c r="CE119" s="164"/>
      <c r="CI119" s="162"/>
      <c r="CJ119" s="162"/>
      <c r="CK119" s="163"/>
      <c r="CL119" s="164"/>
      <c r="CP119" s="162"/>
      <c r="CQ119" s="162"/>
      <c r="CR119" s="163"/>
      <c r="CS119" s="164"/>
      <c r="CW119" s="162"/>
      <c r="CX119" s="162"/>
      <c r="CY119" s="163"/>
      <c r="CZ119" s="164"/>
      <c r="DD119" s="162"/>
      <c r="DE119" s="162"/>
      <c r="DF119" s="163"/>
      <c r="DG119" s="164"/>
      <c r="DK119" s="162"/>
      <c r="DL119" s="162"/>
      <c r="DM119" s="163"/>
      <c r="DN119" s="164"/>
      <c r="DR119" s="162"/>
      <c r="DS119" s="162"/>
      <c r="DT119" s="163"/>
      <c r="DU119" s="164"/>
      <c r="DY119" s="162"/>
      <c r="DZ119" s="162"/>
      <c r="EA119" s="163"/>
      <c r="EB119" s="164"/>
      <c r="EF119" s="162"/>
      <c r="EG119" s="162"/>
      <c r="EH119" s="163"/>
      <c r="EI119" s="164"/>
      <c r="EM119" s="162"/>
      <c r="EN119" s="162"/>
      <c r="EO119" s="163"/>
      <c r="EP119" s="164"/>
      <c r="ET119" s="162"/>
      <c r="EU119" s="162"/>
      <c r="EV119" s="163"/>
      <c r="EW119" s="164"/>
      <c r="FA119" s="162"/>
      <c r="FB119" s="162"/>
      <c r="FC119" s="163"/>
      <c r="FD119" s="164"/>
      <c r="FH119" s="162"/>
      <c r="FI119" s="162"/>
      <c r="FJ119" s="163"/>
      <c r="FK119" s="164"/>
      <c r="FO119" s="162"/>
      <c r="FP119" s="162"/>
      <c r="FQ119" s="163"/>
      <c r="FR119" s="164"/>
      <c r="FV119" s="162"/>
      <c r="FW119" s="162"/>
      <c r="FX119" s="163"/>
      <c r="FY119" s="164"/>
      <c r="GC119" s="162"/>
      <c r="GD119" s="162"/>
      <c r="GE119" s="163"/>
      <c r="GF119" s="164"/>
      <c r="GJ119" s="162"/>
      <c r="GK119" s="162"/>
      <c r="GL119" s="163"/>
      <c r="GM119" s="164"/>
      <c r="GQ119" s="162"/>
      <c r="GR119" s="162"/>
      <c r="GS119" s="163"/>
      <c r="GT119" s="164"/>
      <c r="GX119" s="162"/>
      <c r="GY119" s="162"/>
      <c r="GZ119" s="163"/>
      <c r="HA119" s="164"/>
      <c r="HE119" s="162"/>
      <c r="HF119" s="162"/>
      <c r="HG119" s="163"/>
      <c r="HH119" s="164"/>
      <c r="HL119" s="162"/>
      <c r="HM119" s="162"/>
      <c r="HN119" s="163"/>
      <c r="HO119" s="164"/>
      <c r="HS119" s="162"/>
      <c r="HT119" s="162"/>
      <c r="HU119" s="163"/>
      <c r="HV119" s="164"/>
    </row>
    <row r="120" spans="3:230" x14ac:dyDescent="0.2">
      <c r="C120" s="162"/>
      <c r="D120" s="162"/>
      <c r="E120" s="163"/>
      <c r="F120" s="164"/>
      <c r="J120" s="162"/>
      <c r="K120" s="162"/>
      <c r="L120" s="163"/>
      <c r="M120" s="164"/>
      <c r="Q120" s="162"/>
      <c r="R120" s="162"/>
      <c r="S120" s="163"/>
      <c r="T120" s="164"/>
      <c r="X120" s="162"/>
      <c r="Y120" s="162"/>
      <c r="Z120" s="163"/>
      <c r="AA120" s="164"/>
      <c r="AE120" s="162"/>
      <c r="AF120" s="162"/>
      <c r="AG120" s="163"/>
      <c r="AH120" s="164"/>
      <c r="AL120" s="162"/>
      <c r="AM120" s="162"/>
      <c r="AN120" s="163"/>
      <c r="AO120" s="164"/>
      <c r="AS120" s="162"/>
      <c r="AT120" s="162"/>
      <c r="AU120" s="163"/>
      <c r="AV120" s="164"/>
      <c r="AZ120" s="162"/>
      <c r="BA120" s="162"/>
      <c r="BB120" s="163"/>
      <c r="BC120" s="164"/>
      <c r="BG120" s="162"/>
      <c r="BH120" s="162"/>
      <c r="BI120" s="163"/>
      <c r="BJ120" s="164"/>
      <c r="BN120" s="162"/>
      <c r="BO120" s="162"/>
      <c r="BP120" s="163"/>
      <c r="BQ120" s="164"/>
      <c r="BU120" s="162"/>
      <c r="BV120" s="162"/>
      <c r="BW120" s="163"/>
      <c r="BX120" s="164"/>
      <c r="CB120" s="162"/>
      <c r="CC120" s="162"/>
      <c r="CD120" s="163"/>
      <c r="CE120" s="164"/>
      <c r="CI120" s="162"/>
      <c r="CJ120" s="162"/>
      <c r="CK120" s="163"/>
      <c r="CL120" s="164"/>
      <c r="CP120" s="162"/>
      <c r="CQ120" s="162"/>
      <c r="CR120" s="163"/>
      <c r="CS120" s="164"/>
      <c r="CW120" s="162"/>
      <c r="CX120" s="162"/>
      <c r="CY120" s="163"/>
      <c r="CZ120" s="164"/>
      <c r="DD120" s="162"/>
      <c r="DE120" s="162"/>
      <c r="DF120" s="163"/>
      <c r="DG120" s="164"/>
      <c r="DK120" s="162"/>
      <c r="DL120" s="162"/>
      <c r="DM120" s="163"/>
      <c r="DN120" s="164"/>
      <c r="DR120" s="162"/>
      <c r="DS120" s="162"/>
      <c r="DT120" s="163"/>
      <c r="DU120" s="164"/>
      <c r="DY120" s="162"/>
      <c r="DZ120" s="162"/>
      <c r="EA120" s="163"/>
      <c r="EB120" s="164"/>
      <c r="EF120" s="162"/>
      <c r="EG120" s="162"/>
      <c r="EH120" s="163"/>
      <c r="EI120" s="164"/>
      <c r="EM120" s="162"/>
      <c r="EN120" s="162"/>
      <c r="EO120" s="163"/>
      <c r="EP120" s="164"/>
      <c r="ET120" s="162"/>
      <c r="EU120" s="162"/>
      <c r="EV120" s="163"/>
      <c r="EW120" s="164"/>
      <c r="FA120" s="162"/>
      <c r="FB120" s="162"/>
      <c r="FC120" s="163"/>
      <c r="FD120" s="164"/>
      <c r="FH120" s="162"/>
      <c r="FI120" s="162"/>
      <c r="FJ120" s="163"/>
      <c r="FK120" s="164"/>
      <c r="FO120" s="162"/>
      <c r="FP120" s="162"/>
      <c r="FQ120" s="163"/>
      <c r="FR120" s="164"/>
      <c r="FV120" s="162"/>
      <c r="FW120" s="162"/>
      <c r="FX120" s="163"/>
      <c r="FY120" s="164"/>
      <c r="GC120" s="162"/>
      <c r="GD120" s="162"/>
      <c r="GE120" s="163"/>
      <c r="GF120" s="164"/>
      <c r="GJ120" s="162"/>
      <c r="GK120" s="162"/>
      <c r="GL120" s="163"/>
      <c r="GM120" s="164"/>
      <c r="GQ120" s="162"/>
      <c r="GR120" s="162"/>
      <c r="GS120" s="163"/>
      <c r="GT120" s="164"/>
      <c r="GX120" s="162"/>
      <c r="GY120" s="162"/>
      <c r="GZ120" s="163"/>
      <c r="HA120" s="164"/>
      <c r="HE120" s="162"/>
      <c r="HF120" s="162"/>
      <c r="HG120" s="163"/>
      <c r="HH120" s="164"/>
      <c r="HL120" s="162"/>
      <c r="HM120" s="162"/>
      <c r="HN120" s="163"/>
      <c r="HO120" s="164"/>
      <c r="HS120" s="162"/>
      <c r="HT120" s="162"/>
      <c r="HU120" s="163"/>
      <c r="HV120" s="164"/>
    </row>
    <row r="121" spans="3:230" x14ac:dyDescent="0.2">
      <c r="C121" s="162"/>
      <c r="D121" s="162"/>
      <c r="E121" s="163"/>
      <c r="F121" s="164"/>
      <c r="J121" s="162"/>
      <c r="K121" s="162"/>
      <c r="L121" s="163"/>
      <c r="M121" s="164"/>
      <c r="Q121" s="162"/>
      <c r="R121" s="162"/>
      <c r="S121" s="163"/>
      <c r="T121" s="164"/>
      <c r="X121" s="162"/>
      <c r="Y121" s="162"/>
      <c r="Z121" s="163"/>
      <c r="AA121" s="164"/>
      <c r="AE121" s="162"/>
      <c r="AF121" s="162"/>
      <c r="AG121" s="163"/>
      <c r="AH121" s="164"/>
      <c r="AL121" s="162"/>
      <c r="AM121" s="162"/>
      <c r="AN121" s="163"/>
      <c r="AO121" s="164"/>
      <c r="AS121" s="162"/>
      <c r="AT121" s="162"/>
      <c r="AU121" s="163"/>
      <c r="AV121" s="164"/>
      <c r="AZ121" s="162"/>
      <c r="BA121" s="162"/>
      <c r="BB121" s="163"/>
      <c r="BC121" s="164"/>
      <c r="BG121" s="162"/>
      <c r="BH121" s="162"/>
      <c r="BI121" s="163"/>
      <c r="BJ121" s="164"/>
      <c r="BN121" s="162"/>
      <c r="BO121" s="162"/>
      <c r="BP121" s="163"/>
      <c r="BQ121" s="164"/>
      <c r="BU121" s="162"/>
      <c r="BV121" s="162"/>
      <c r="BW121" s="163"/>
      <c r="BX121" s="164"/>
      <c r="CB121" s="162"/>
      <c r="CC121" s="162"/>
      <c r="CD121" s="163"/>
      <c r="CE121" s="164"/>
      <c r="CI121" s="162"/>
      <c r="CJ121" s="162"/>
      <c r="CK121" s="163"/>
      <c r="CL121" s="164"/>
      <c r="CP121" s="162"/>
      <c r="CQ121" s="162"/>
      <c r="CR121" s="163"/>
      <c r="CS121" s="164"/>
      <c r="CW121" s="162"/>
      <c r="CX121" s="162"/>
      <c r="CY121" s="163"/>
      <c r="CZ121" s="164"/>
      <c r="DD121" s="162"/>
      <c r="DE121" s="162"/>
      <c r="DF121" s="163"/>
      <c r="DG121" s="164"/>
      <c r="DK121" s="162"/>
      <c r="DL121" s="162"/>
      <c r="DM121" s="163"/>
      <c r="DN121" s="164"/>
      <c r="DR121" s="162"/>
      <c r="DS121" s="162"/>
      <c r="DT121" s="163"/>
      <c r="DU121" s="164"/>
      <c r="DY121" s="162"/>
      <c r="DZ121" s="162"/>
      <c r="EA121" s="163"/>
      <c r="EB121" s="164"/>
      <c r="EF121" s="162"/>
      <c r="EG121" s="162"/>
      <c r="EH121" s="163"/>
      <c r="EI121" s="164"/>
      <c r="EM121" s="162"/>
      <c r="EN121" s="162"/>
      <c r="EO121" s="163"/>
      <c r="EP121" s="164"/>
      <c r="ET121" s="162"/>
      <c r="EU121" s="162"/>
      <c r="EV121" s="163"/>
      <c r="EW121" s="164"/>
      <c r="FA121" s="162"/>
      <c r="FB121" s="162"/>
      <c r="FC121" s="163"/>
      <c r="FD121" s="164"/>
      <c r="FH121" s="162"/>
      <c r="FI121" s="162"/>
      <c r="FJ121" s="163"/>
      <c r="FK121" s="164"/>
      <c r="FO121" s="162"/>
      <c r="FP121" s="162"/>
      <c r="FQ121" s="163"/>
      <c r="FR121" s="164"/>
      <c r="FV121" s="162"/>
      <c r="FW121" s="162"/>
      <c r="FX121" s="163"/>
      <c r="FY121" s="164"/>
      <c r="GC121" s="162"/>
      <c r="GD121" s="162"/>
      <c r="GE121" s="163"/>
      <c r="GF121" s="164"/>
      <c r="GJ121" s="162"/>
      <c r="GK121" s="162"/>
      <c r="GL121" s="163"/>
      <c r="GM121" s="164"/>
      <c r="GQ121" s="162"/>
      <c r="GR121" s="162"/>
      <c r="GS121" s="163"/>
      <c r="GT121" s="164"/>
      <c r="GX121" s="162"/>
      <c r="GY121" s="162"/>
      <c r="GZ121" s="163"/>
      <c r="HA121" s="164"/>
      <c r="HE121" s="162"/>
      <c r="HF121" s="162"/>
      <c r="HG121" s="163"/>
      <c r="HH121" s="164"/>
      <c r="HL121" s="162"/>
      <c r="HM121" s="162"/>
      <c r="HN121" s="163"/>
      <c r="HO121" s="164"/>
      <c r="HS121" s="162"/>
      <c r="HT121" s="162"/>
      <c r="HU121" s="163"/>
      <c r="HV121" s="164"/>
    </row>
    <row r="122" spans="3:230" x14ac:dyDescent="0.2">
      <c r="C122" s="162"/>
      <c r="D122" s="162"/>
      <c r="E122" s="163"/>
      <c r="F122" s="164"/>
      <c r="J122" s="162"/>
      <c r="K122" s="162"/>
      <c r="L122" s="163"/>
      <c r="M122" s="164"/>
      <c r="Q122" s="162"/>
      <c r="R122" s="162"/>
      <c r="S122" s="163"/>
      <c r="T122" s="164"/>
      <c r="X122" s="162"/>
      <c r="Y122" s="162"/>
      <c r="Z122" s="163"/>
      <c r="AA122" s="164"/>
      <c r="AE122" s="162"/>
      <c r="AF122" s="162"/>
      <c r="AG122" s="163"/>
      <c r="AH122" s="164"/>
      <c r="AL122" s="162"/>
      <c r="AM122" s="162"/>
      <c r="AN122" s="163"/>
      <c r="AO122" s="164"/>
      <c r="AS122" s="162"/>
      <c r="AT122" s="162"/>
      <c r="AU122" s="163"/>
      <c r="AV122" s="164"/>
      <c r="AZ122" s="162"/>
      <c r="BA122" s="162"/>
      <c r="BB122" s="163"/>
      <c r="BC122" s="164"/>
      <c r="BG122" s="162"/>
      <c r="BH122" s="162"/>
      <c r="BI122" s="163"/>
      <c r="BJ122" s="164"/>
      <c r="BN122" s="162"/>
      <c r="BO122" s="162"/>
      <c r="BP122" s="163"/>
      <c r="BQ122" s="164"/>
      <c r="BU122" s="162"/>
      <c r="BV122" s="162"/>
      <c r="BW122" s="163"/>
      <c r="BX122" s="164"/>
      <c r="CB122" s="162"/>
      <c r="CC122" s="162"/>
      <c r="CD122" s="163"/>
      <c r="CE122" s="164"/>
      <c r="CI122" s="162"/>
      <c r="CJ122" s="162"/>
      <c r="CK122" s="163"/>
      <c r="CL122" s="164"/>
      <c r="CP122" s="162"/>
      <c r="CQ122" s="162"/>
      <c r="CR122" s="163"/>
      <c r="CS122" s="164"/>
      <c r="CW122" s="162"/>
      <c r="CX122" s="162"/>
      <c r="CY122" s="163"/>
      <c r="CZ122" s="164"/>
      <c r="DD122" s="162"/>
      <c r="DE122" s="162"/>
      <c r="DF122" s="163"/>
      <c r="DG122" s="164"/>
      <c r="DK122" s="162"/>
      <c r="DL122" s="162"/>
      <c r="DM122" s="163"/>
      <c r="DN122" s="164"/>
      <c r="DR122" s="162"/>
      <c r="DS122" s="162"/>
      <c r="DT122" s="163"/>
      <c r="DU122" s="164"/>
      <c r="DY122" s="162"/>
      <c r="DZ122" s="162"/>
      <c r="EA122" s="163"/>
      <c r="EB122" s="164"/>
      <c r="EF122" s="162"/>
      <c r="EG122" s="162"/>
      <c r="EH122" s="163"/>
      <c r="EI122" s="164"/>
      <c r="EM122" s="162"/>
      <c r="EN122" s="162"/>
      <c r="EO122" s="163"/>
      <c r="EP122" s="164"/>
      <c r="ET122" s="162"/>
      <c r="EU122" s="162"/>
      <c r="EV122" s="163"/>
      <c r="EW122" s="164"/>
      <c r="FA122" s="162"/>
      <c r="FB122" s="162"/>
      <c r="FC122" s="163"/>
      <c r="FD122" s="164"/>
      <c r="FH122" s="162"/>
      <c r="FI122" s="162"/>
      <c r="FJ122" s="163"/>
      <c r="FK122" s="164"/>
      <c r="FO122" s="162"/>
      <c r="FP122" s="162"/>
      <c r="FQ122" s="163"/>
      <c r="FR122" s="164"/>
      <c r="FV122" s="162"/>
      <c r="FW122" s="162"/>
      <c r="FX122" s="163"/>
      <c r="FY122" s="164"/>
      <c r="GC122" s="162"/>
      <c r="GD122" s="162"/>
      <c r="GE122" s="163"/>
      <c r="GF122" s="164"/>
      <c r="GJ122" s="162"/>
      <c r="GK122" s="162"/>
      <c r="GL122" s="163"/>
      <c r="GM122" s="164"/>
      <c r="GQ122" s="162"/>
      <c r="GR122" s="162"/>
      <c r="GS122" s="163"/>
      <c r="GT122" s="164"/>
      <c r="GX122" s="162"/>
      <c r="GY122" s="162"/>
      <c r="GZ122" s="163"/>
      <c r="HA122" s="164"/>
      <c r="HE122" s="162"/>
      <c r="HF122" s="162"/>
      <c r="HG122" s="163"/>
      <c r="HH122" s="164"/>
      <c r="HL122" s="162"/>
      <c r="HM122" s="162"/>
      <c r="HN122" s="163"/>
      <c r="HO122" s="164"/>
      <c r="HS122" s="162"/>
      <c r="HT122" s="162"/>
      <c r="HU122" s="163"/>
      <c r="HV122" s="164"/>
    </row>
    <row r="123" spans="3:230" x14ac:dyDescent="0.2">
      <c r="C123" s="162"/>
      <c r="D123" s="162"/>
      <c r="E123" s="163"/>
      <c r="F123" s="164"/>
      <c r="J123" s="162"/>
      <c r="K123" s="162"/>
      <c r="L123" s="163"/>
      <c r="M123" s="164"/>
      <c r="Q123" s="162"/>
      <c r="R123" s="162"/>
      <c r="S123" s="163"/>
      <c r="T123" s="164"/>
      <c r="X123" s="162"/>
      <c r="Y123" s="162"/>
      <c r="Z123" s="163"/>
      <c r="AA123" s="164"/>
      <c r="AE123" s="162"/>
      <c r="AF123" s="162"/>
      <c r="AG123" s="163"/>
      <c r="AH123" s="164"/>
      <c r="AL123" s="162"/>
      <c r="AM123" s="162"/>
      <c r="AN123" s="163"/>
      <c r="AO123" s="164"/>
      <c r="AS123" s="162"/>
      <c r="AT123" s="162"/>
      <c r="AU123" s="163"/>
      <c r="AV123" s="164"/>
      <c r="AZ123" s="162"/>
      <c r="BA123" s="162"/>
      <c r="BB123" s="163"/>
      <c r="BC123" s="164"/>
      <c r="BG123" s="162"/>
      <c r="BH123" s="162"/>
      <c r="BI123" s="163"/>
      <c r="BJ123" s="164"/>
      <c r="BN123" s="162"/>
      <c r="BO123" s="162"/>
      <c r="BP123" s="163"/>
      <c r="BQ123" s="164"/>
      <c r="BU123" s="162"/>
      <c r="BV123" s="162"/>
      <c r="BW123" s="163"/>
      <c r="BX123" s="164"/>
      <c r="CB123" s="162"/>
      <c r="CC123" s="162"/>
      <c r="CD123" s="163"/>
      <c r="CE123" s="164"/>
      <c r="CI123" s="162"/>
      <c r="CJ123" s="162"/>
      <c r="CK123" s="163"/>
      <c r="CL123" s="164"/>
      <c r="CP123" s="162"/>
      <c r="CQ123" s="162"/>
      <c r="CR123" s="163"/>
      <c r="CS123" s="164"/>
      <c r="CW123" s="162"/>
      <c r="CX123" s="162"/>
      <c r="CY123" s="163"/>
      <c r="CZ123" s="164"/>
      <c r="DD123" s="162"/>
      <c r="DE123" s="162"/>
      <c r="DF123" s="163"/>
      <c r="DG123" s="164"/>
      <c r="DK123" s="162"/>
      <c r="DL123" s="162"/>
      <c r="DM123" s="163"/>
      <c r="DN123" s="164"/>
      <c r="DR123" s="162"/>
      <c r="DS123" s="162"/>
      <c r="DT123" s="163"/>
      <c r="DU123" s="164"/>
      <c r="DY123" s="162"/>
      <c r="DZ123" s="162"/>
      <c r="EA123" s="163"/>
      <c r="EB123" s="164"/>
      <c r="EF123" s="162"/>
      <c r="EG123" s="162"/>
      <c r="EH123" s="163"/>
      <c r="EI123" s="164"/>
      <c r="EM123" s="162"/>
      <c r="EN123" s="162"/>
      <c r="EO123" s="163"/>
      <c r="EP123" s="164"/>
      <c r="ET123" s="162"/>
      <c r="EU123" s="162"/>
      <c r="EV123" s="163"/>
      <c r="EW123" s="164"/>
      <c r="FA123" s="162"/>
      <c r="FB123" s="162"/>
      <c r="FC123" s="163"/>
      <c r="FD123" s="164"/>
      <c r="FH123" s="162"/>
      <c r="FI123" s="162"/>
      <c r="FJ123" s="163"/>
      <c r="FK123" s="164"/>
      <c r="FO123" s="162"/>
      <c r="FP123" s="162"/>
      <c r="FQ123" s="163"/>
      <c r="FR123" s="164"/>
      <c r="FV123" s="162"/>
      <c r="FW123" s="162"/>
      <c r="FX123" s="163"/>
      <c r="FY123" s="164"/>
      <c r="GC123" s="162"/>
      <c r="GD123" s="162"/>
      <c r="GE123" s="163"/>
      <c r="GF123" s="164"/>
      <c r="GJ123" s="162"/>
      <c r="GK123" s="162"/>
      <c r="GL123" s="163"/>
      <c r="GM123" s="164"/>
      <c r="GQ123" s="162"/>
      <c r="GR123" s="162"/>
      <c r="GS123" s="163"/>
      <c r="GT123" s="164"/>
      <c r="GX123" s="162"/>
      <c r="GY123" s="162"/>
      <c r="GZ123" s="163"/>
      <c r="HA123" s="164"/>
      <c r="HE123" s="162"/>
      <c r="HF123" s="162"/>
      <c r="HG123" s="163"/>
      <c r="HH123" s="164"/>
      <c r="HL123" s="162"/>
      <c r="HM123" s="162"/>
      <c r="HN123" s="163"/>
      <c r="HO123" s="164"/>
      <c r="HS123" s="162"/>
      <c r="HT123" s="162"/>
      <c r="HU123" s="163"/>
      <c r="HV123" s="164"/>
    </row>
    <row r="124" spans="3:230" x14ac:dyDescent="0.2">
      <c r="C124" s="162"/>
      <c r="D124" s="162"/>
      <c r="E124" s="163"/>
      <c r="F124" s="164"/>
      <c r="J124" s="162"/>
      <c r="K124" s="162"/>
      <c r="L124" s="163"/>
      <c r="M124" s="164"/>
      <c r="Q124" s="162"/>
      <c r="R124" s="162"/>
      <c r="S124" s="163"/>
      <c r="T124" s="164"/>
      <c r="X124" s="162"/>
      <c r="Y124" s="162"/>
      <c r="Z124" s="163"/>
      <c r="AA124" s="164"/>
      <c r="AE124" s="162"/>
      <c r="AF124" s="162"/>
      <c r="AG124" s="163"/>
      <c r="AH124" s="164"/>
      <c r="AL124" s="162"/>
      <c r="AM124" s="162"/>
      <c r="AN124" s="163"/>
      <c r="AO124" s="164"/>
      <c r="AS124" s="162"/>
      <c r="AT124" s="162"/>
      <c r="AU124" s="163"/>
      <c r="AV124" s="164"/>
      <c r="AZ124" s="162"/>
      <c r="BA124" s="162"/>
      <c r="BB124" s="163"/>
      <c r="BC124" s="164"/>
      <c r="BG124" s="162"/>
      <c r="BH124" s="162"/>
      <c r="BI124" s="163"/>
      <c r="BJ124" s="164"/>
      <c r="BN124" s="162"/>
      <c r="BO124" s="162"/>
      <c r="BP124" s="163"/>
      <c r="BQ124" s="164"/>
      <c r="BU124" s="162"/>
      <c r="BV124" s="162"/>
      <c r="BW124" s="163"/>
      <c r="BX124" s="164"/>
      <c r="CB124" s="162"/>
      <c r="CC124" s="162"/>
      <c r="CD124" s="163"/>
      <c r="CE124" s="164"/>
      <c r="CI124" s="162"/>
      <c r="CJ124" s="162"/>
      <c r="CK124" s="163"/>
      <c r="CL124" s="164"/>
      <c r="CP124" s="162"/>
      <c r="CQ124" s="162"/>
      <c r="CR124" s="163"/>
      <c r="CS124" s="164"/>
      <c r="CW124" s="162"/>
      <c r="CX124" s="162"/>
      <c r="CY124" s="163"/>
      <c r="CZ124" s="164"/>
      <c r="DD124" s="162"/>
      <c r="DE124" s="162"/>
      <c r="DF124" s="163"/>
      <c r="DG124" s="164"/>
      <c r="DK124" s="162"/>
      <c r="DL124" s="162"/>
      <c r="DM124" s="163"/>
      <c r="DN124" s="164"/>
      <c r="DR124" s="162"/>
      <c r="DS124" s="162"/>
      <c r="DT124" s="163"/>
      <c r="DU124" s="164"/>
      <c r="DY124" s="162"/>
      <c r="DZ124" s="162"/>
      <c r="EA124" s="163"/>
      <c r="EB124" s="164"/>
      <c r="EF124" s="162"/>
      <c r="EG124" s="162"/>
      <c r="EH124" s="163"/>
      <c r="EI124" s="164"/>
      <c r="EM124" s="162"/>
      <c r="EN124" s="162"/>
      <c r="EO124" s="163"/>
      <c r="EP124" s="164"/>
      <c r="ET124" s="162"/>
      <c r="EU124" s="162"/>
      <c r="EV124" s="163"/>
      <c r="EW124" s="164"/>
      <c r="FA124" s="162"/>
      <c r="FB124" s="162"/>
      <c r="FC124" s="163"/>
      <c r="FD124" s="164"/>
      <c r="FH124" s="162"/>
      <c r="FI124" s="162"/>
      <c r="FJ124" s="163"/>
      <c r="FK124" s="164"/>
      <c r="FO124" s="162"/>
      <c r="FP124" s="162"/>
      <c r="FQ124" s="163"/>
      <c r="FR124" s="164"/>
      <c r="FV124" s="162"/>
      <c r="FW124" s="162"/>
      <c r="FX124" s="163"/>
      <c r="FY124" s="164"/>
      <c r="GC124" s="162"/>
      <c r="GD124" s="162"/>
      <c r="GE124" s="163"/>
      <c r="GF124" s="164"/>
      <c r="GJ124" s="162"/>
      <c r="GK124" s="162"/>
      <c r="GL124" s="163"/>
      <c r="GM124" s="164"/>
      <c r="GQ124" s="162"/>
      <c r="GR124" s="162"/>
      <c r="GS124" s="163"/>
      <c r="GT124" s="164"/>
      <c r="GX124" s="162"/>
      <c r="GY124" s="162"/>
      <c r="GZ124" s="163"/>
      <c r="HA124" s="164"/>
      <c r="HE124" s="162"/>
      <c r="HF124" s="162"/>
      <c r="HG124" s="163"/>
      <c r="HH124" s="164"/>
      <c r="HL124" s="162"/>
      <c r="HM124" s="162"/>
      <c r="HN124" s="163"/>
      <c r="HO124" s="164"/>
      <c r="HS124" s="162"/>
      <c r="HT124" s="162"/>
      <c r="HU124" s="163"/>
      <c r="HV124" s="164"/>
    </row>
    <row r="125" spans="3:230" x14ac:dyDescent="0.2">
      <c r="C125" s="162"/>
      <c r="D125" s="162"/>
      <c r="E125" s="163"/>
      <c r="F125" s="164"/>
      <c r="J125" s="162"/>
      <c r="K125" s="162"/>
      <c r="L125" s="163"/>
      <c r="M125" s="164"/>
      <c r="Q125" s="162"/>
      <c r="R125" s="162"/>
      <c r="S125" s="163"/>
      <c r="T125" s="164"/>
      <c r="X125" s="162"/>
      <c r="Y125" s="162"/>
      <c r="Z125" s="163"/>
      <c r="AA125" s="164"/>
      <c r="AE125" s="162"/>
      <c r="AF125" s="162"/>
      <c r="AG125" s="163"/>
      <c r="AH125" s="164"/>
      <c r="AL125" s="162"/>
      <c r="AM125" s="162"/>
      <c r="AN125" s="163"/>
      <c r="AO125" s="164"/>
      <c r="AS125" s="162"/>
      <c r="AT125" s="162"/>
      <c r="AU125" s="163"/>
      <c r="AV125" s="164"/>
      <c r="AZ125" s="162"/>
      <c r="BA125" s="162"/>
      <c r="BB125" s="163"/>
      <c r="BC125" s="164"/>
      <c r="BG125" s="162"/>
      <c r="BH125" s="162"/>
      <c r="BI125" s="163"/>
      <c r="BJ125" s="164"/>
      <c r="BN125" s="162"/>
      <c r="BO125" s="162"/>
      <c r="BP125" s="163"/>
      <c r="BQ125" s="164"/>
      <c r="BU125" s="162"/>
      <c r="BV125" s="162"/>
      <c r="BW125" s="163"/>
      <c r="BX125" s="164"/>
      <c r="CB125" s="162"/>
      <c r="CC125" s="162"/>
      <c r="CD125" s="163"/>
      <c r="CE125" s="164"/>
      <c r="CI125" s="162"/>
      <c r="CJ125" s="162"/>
      <c r="CK125" s="163"/>
      <c r="CL125" s="164"/>
      <c r="CP125" s="162"/>
      <c r="CQ125" s="162"/>
      <c r="CR125" s="163"/>
      <c r="CS125" s="164"/>
      <c r="CW125" s="162"/>
      <c r="CX125" s="162"/>
      <c r="CY125" s="163"/>
      <c r="CZ125" s="164"/>
      <c r="DD125" s="162"/>
      <c r="DE125" s="162"/>
      <c r="DF125" s="163"/>
      <c r="DG125" s="164"/>
      <c r="DK125" s="162"/>
      <c r="DL125" s="162"/>
      <c r="DM125" s="163"/>
      <c r="DN125" s="164"/>
      <c r="DR125" s="162"/>
      <c r="DS125" s="162"/>
      <c r="DT125" s="163"/>
      <c r="DU125" s="164"/>
      <c r="DY125" s="162"/>
      <c r="DZ125" s="162"/>
      <c r="EA125" s="163"/>
      <c r="EB125" s="164"/>
      <c r="EF125" s="162"/>
      <c r="EG125" s="162"/>
      <c r="EH125" s="163"/>
      <c r="EI125" s="164"/>
      <c r="EM125" s="162"/>
      <c r="EN125" s="162"/>
      <c r="EO125" s="163"/>
      <c r="EP125" s="164"/>
      <c r="ET125" s="162"/>
      <c r="EU125" s="162"/>
      <c r="EV125" s="163"/>
      <c r="EW125" s="164"/>
      <c r="FA125" s="162"/>
      <c r="FB125" s="162"/>
      <c r="FC125" s="163"/>
      <c r="FD125" s="164"/>
      <c r="FH125" s="162"/>
      <c r="FI125" s="162"/>
      <c r="FJ125" s="163"/>
      <c r="FK125" s="164"/>
      <c r="FO125" s="162"/>
      <c r="FP125" s="162"/>
      <c r="FQ125" s="163"/>
      <c r="FR125" s="164"/>
      <c r="FV125" s="162"/>
      <c r="FW125" s="162"/>
      <c r="FX125" s="163"/>
      <c r="FY125" s="164"/>
      <c r="GC125" s="162"/>
      <c r="GD125" s="162"/>
      <c r="GE125" s="163"/>
      <c r="GF125" s="164"/>
      <c r="GJ125" s="162"/>
      <c r="GK125" s="162"/>
      <c r="GL125" s="163"/>
      <c r="GM125" s="164"/>
      <c r="GQ125" s="162"/>
      <c r="GR125" s="162"/>
      <c r="GS125" s="163"/>
      <c r="GT125" s="164"/>
      <c r="GX125" s="162"/>
      <c r="GY125" s="162"/>
      <c r="GZ125" s="163"/>
      <c r="HA125" s="164"/>
      <c r="HE125" s="162"/>
      <c r="HF125" s="162"/>
      <c r="HG125" s="163"/>
      <c r="HH125" s="164"/>
      <c r="HL125" s="162"/>
      <c r="HM125" s="162"/>
      <c r="HN125" s="163"/>
      <c r="HO125" s="164"/>
      <c r="HS125" s="162"/>
      <c r="HT125" s="162"/>
      <c r="HU125" s="163"/>
      <c r="HV125" s="164"/>
    </row>
    <row r="126" spans="3:230" x14ac:dyDescent="0.2">
      <c r="C126" s="162"/>
      <c r="D126" s="162"/>
      <c r="E126" s="163"/>
      <c r="F126" s="164"/>
      <c r="J126" s="162"/>
      <c r="K126" s="162"/>
      <c r="L126" s="163"/>
      <c r="M126" s="164"/>
      <c r="Q126" s="162"/>
      <c r="R126" s="162"/>
      <c r="S126" s="163"/>
      <c r="T126" s="164"/>
      <c r="X126" s="162"/>
      <c r="Y126" s="162"/>
      <c r="Z126" s="163"/>
      <c r="AA126" s="164"/>
      <c r="AE126" s="162"/>
      <c r="AF126" s="162"/>
      <c r="AG126" s="163"/>
      <c r="AH126" s="164"/>
      <c r="AL126" s="162"/>
      <c r="AM126" s="162"/>
      <c r="AN126" s="163"/>
      <c r="AO126" s="164"/>
      <c r="AS126" s="162"/>
      <c r="AT126" s="162"/>
      <c r="AU126" s="163"/>
      <c r="AV126" s="164"/>
      <c r="AZ126" s="162"/>
      <c r="BA126" s="162"/>
      <c r="BB126" s="163"/>
      <c r="BC126" s="164"/>
      <c r="BG126" s="162"/>
      <c r="BH126" s="162"/>
      <c r="BI126" s="163"/>
      <c r="BJ126" s="164"/>
      <c r="BN126" s="162"/>
      <c r="BO126" s="162"/>
      <c r="BP126" s="163"/>
      <c r="BQ126" s="164"/>
      <c r="BU126" s="162"/>
      <c r="BV126" s="162"/>
      <c r="BW126" s="163"/>
      <c r="BX126" s="164"/>
      <c r="CB126" s="162"/>
      <c r="CC126" s="162"/>
      <c r="CD126" s="163"/>
      <c r="CE126" s="164"/>
      <c r="CI126" s="162"/>
      <c r="CJ126" s="162"/>
      <c r="CK126" s="163"/>
      <c r="CL126" s="164"/>
      <c r="CP126" s="162"/>
      <c r="CQ126" s="162"/>
      <c r="CR126" s="163"/>
      <c r="CS126" s="164"/>
      <c r="CW126" s="162"/>
      <c r="CX126" s="162"/>
      <c r="CY126" s="163"/>
      <c r="CZ126" s="164"/>
      <c r="DD126" s="162"/>
      <c r="DE126" s="162"/>
      <c r="DF126" s="163"/>
      <c r="DG126" s="164"/>
      <c r="DK126" s="162"/>
      <c r="DL126" s="162"/>
      <c r="DM126" s="163"/>
      <c r="DN126" s="164"/>
      <c r="DR126" s="162"/>
      <c r="DS126" s="162"/>
      <c r="DT126" s="163"/>
      <c r="DU126" s="164"/>
      <c r="DY126" s="162"/>
      <c r="DZ126" s="162"/>
      <c r="EA126" s="163"/>
      <c r="EB126" s="164"/>
      <c r="EF126" s="162"/>
      <c r="EG126" s="162"/>
      <c r="EH126" s="163"/>
      <c r="EI126" s="164"/>
      <c r="EM126" s="162"/>
      <c r="EN126" s="162"/>
      <c r="EO126" s="163"/>
      <c r="EP126" s="164"/>
      <c r="ET126" s="162"/>
      <c r="EU126" s="162"/>
      <c r="EV126" s="163"/>
      <c r="EW126" s="164"/>
      <c r="FA126" s="162"/>
      <c r="FB126" s="162"/>
      <c r="FC126" s="163"/>
      <c r="FD126" s="164"/>
      <c r="FH126" s="162"/>
      <c r="FI126" s="162"/>
      <c r="FJ126" s="163"/>
      <c r="FK126" s="164"/>
      <c r="FO126" s="162"/>
      <c r="FP126" s="162"/>
      <c r="FQ126" s="163"/>
      <c r="FR126" s="164"/>
      <c r="FV126" s="162"/>
      <c r="FW126" s="162"/>
      <c r="FX126" s="163"/>
      <c r="FY126" s="164"/>
      <c r="GC126" s="162"/>
      <c r="GD126" s="162"/>
      <c r="GE126" s="163"/>
      <c r="GF126" s="164"/>
      <c r="GJ126" s="162"/>
      <c r="GK126" s="162"/>
      <c r="GL126" s="163"/>
      <c r="GM126" s="164"/>
      <c r="GQ126" s="162"/>
      <c r="GR126" s="162"/>
      <c r="GS126" s="163"/>
      <c r="GT126" s="164"/>
      <c r="GX126" s="162"/>
      <c r="GY126" s="162"/>
      <c r="GZ126" s="163"/>
      <c r="HA126" s="164"/>
      <c r="HE126" s="162"/>
      <c r="HF126" s="162"/>
      <c r="HG126" s="163"/>
      <c r="HH126" s="164"/>
      <c r="HL126" s="162"/>
      <c r="HM126" s="162"/>
      <c r="HN126" s="163"/>
      <c r="HO126" s="164"/>
      <c r="HS126" s="162"/>
      <c r="HT126" s="162"/>
      <c r="HU126" s="163"/>
      <c r="HV126" s="164"/>
    </row>
    <row r="127" spans="3:230" x14ac:dyDescent="0.2">
      <c r="C127" s="162"/>
      <c r="D127" s="162"/>
      <c r="E127" s="163"/>
      <c r="F127" s="164"/>
      <c r="J127" s="162"/>
      <c r="K127" s="162"/>
      <c r="L127" s="163"/>
      <c r="M127" s="164"/>
      <c r="Q127" s="162"/>
      <c r="R127" s="162"/>
      <c r="S127" s="163"/>
      <c r="T127" s="164"/>
      <c r="X127" s="162"/>
      <c r="Y127" s="162"/>
      <c r="Z127" s="163"/>
      <c r="AA127" s="164"/>
      <c r="AE127" s="162"/>
      <c r="AF127" s="162"/>
      <c r="AG127" s="163"/>
      <c r="AH127" s="164"/>
      <c r="AL127" s="162"/>
      <c r="AM127" s="162"/>
      <c r="AN127" s="163"/>
      <c r="AO127" s="164"/>
      <c r="AS127" s="162"/>
      <c r="AT127" s="162"/>
      <c r="AU127" s="163"/>
      <c r="AV127" s="164"/>
      <c r="AZ127" s="162"/>
      <c r="BA127" s="162"/>
      <c r="BB127" s="163"/>
      <c r="BC127" s="164"/>
      <c r="BG127" s="162"/>
      <c r="BH127" s="162"/>
      <c r="BI127" s="163"/>
      <c r="BJ127" s="164"/>
      <c r="BN127" s="162"/>
      <c r="BO127" s="162"/>
      <c r="BP127" s="163"/>
      <c r="BQ127" s="164"/>
      <c r="BU127" s="162"/>
      <c r="BV127" s="162"/>
      <c r="BW127" s="163"/>
      <c r="BX127" s="164"/>
      <c r="CB127" s="162"/>
      <c r="CC127" s="162"/>
      <c r="CD127" s="163"/>
      <c r="CE127" s="164"/>
      <c r="CI127" s="162"/>
      <c r="CJ127" s="162"/>
      <c r="CK127" s="163"/>
      <c r="CL127" s="164"/>
      <c r="CP127" s="162"/>
      <c r="CQ127" s="162"/>
      <c r="CR127" s="163"/>
      <c r="CS127" s="164"/>
      <c r="CW127" s="162"/>
      <c r="CX127" s="162"/>
      <c r="CY127" s="163"/>
      <c r="CZ127" s="164"/>
      <c r="DD127" s="162"/>
      <c r="DE127" s="162"/>
      <c r="DF127" s="163"/>
      <c r="DG127" s="164"/>
      <c r="DK127" s="162"/>
      <c r="DL127" s="162"/>
      <c r="DM127" s="163"/>
      <c r="DN127" s="164"/>
      <c r="DR127" s="162"/>
      <c r="DS127" s="162"/>
      <c r="DT127" s="163"/>
      <c r="DU127" s="164"/>
      <c r="DY127" s="162"/>
      <c r="DZ127" s="162"/>
      <c r="EA127" s="163"/>
      <c r="EB127" s="164"/>
      <c r="EF127" s="162"/>
      <c r="EG127" s="162"/>
      <c r="EH127" s="163"/>
      <c r="EI127" s="164"/>
      <c r="EM127" s="162"/>
      <c r="EN127" s="162"/>
      <c r="EO127" s="163"/>
      <c r="EP127" s="164"/>
      <c r="ET127" s="162"/>
      <c r="EU127" s="162"/>
      <c r="EV127" s="163"/>
      <c r="EW127" s="164"/>
      <c r="FA127" s="162"/>
      <c r="FB127" s="162"/>
      <c r="FC127" s="163"/>
      <c r="FD127" s="164"/>
      <c r="FH127" s="162"/>
      <c r="FI127" s="162"/>
      <c r="FJ127" s="163"/>
      <c r="FK127" s="164"/>
      <c r="FO127" s="162"/>
      <c r="FP127" s="162"/>
      <c r="FQ127" s="163"/>
      <c r="FR127" s="164"/>
      <c r="FV127" s="162"/>
      <c r="FW127" s="162"/>
      <c r="FX127" s="163"/>
      <c r="FY127" s="164"/>
      <c r="GC127" s="162"/>
      <c r="GD127" s="162"/>
      <c r="GE127" s="163"/>
      <c r="GF127" s="164"/>
      <c r="GJ127" s="162"/>
      <c r="GK127" s="162"/>
      <c r="GL127" s="163"/>
      <c r="GM127" s="164"/>
      <c r="GQ127" s="162"/>
      <c r="GR127" s="162"/>
      <c r="GS127" s="163"/>
      <c r="GT127" s="164"/>
      <c r="GX127" s="162"/>
      <c r="GY127" s="162"/>
      <c r="GZ127" s="163"/>
      <c r="HA127" s="164"/>
      <c r="HE127" s="162"/>
      <c r="HF127" s="162"/>
      <c r="HG127" s="163"/>
      <c r="HH127" s="164"/>
      <c r="HL127" s="162"/>
      <c r="HM127" s="162"/>
      <c r="HN127" s="163"/>
      <c r="HO127" s="164"/>
      <c r="HS127" s="162"/>
      <c r="HT127" s="162"/>
      <c r="HU127" s="163"/>
      <c r="HV127" s="164"/>
    </row>
    <row r="128" spans="3:230" x14ac:dyDescent="0.2">
      <c r="C128" s="162"/>
      <c r="D128" s="162"/>
      <c r="E128" s="163"/>
      <c r="F128" s="164"/>
      <c r="J128" s="162"/>
      <c r="K128" s="162"/>
      <c r="L128" s="163"/>
      <c r="M128" s="164"/>
      <c r="Q128" s="162"/>
      <c r="R128" s="162"/>
      <c r="S128" s="163"/>
      <c r="T128" s="164"/>
      <c r="X128" s="162"/>
      <c r="Y128" s="162"/>
      <c r="Z128" s="163"/>
      <c r="AA128" s="164"/>
      <c r="AE128" s="162"/>
      <c r="AF128" s="162"/>
      <c r="AG128" s="163"/>
      <c r="AH128" s="164"/>
      <c r="AL128" s="162"/>
      <c r="AM128" s="162"/>
      <c r="AN128" s="163"/>
      <c r="AO128" s="164"/>
      <c r="AS128" s="162"/>
      <c r="AT128" s="162"/>
      <c r="AU128" s="163"/>
      <c r="AV128" s="164"/>
      <c r="AZ128" s="162"/>
      <c r="BA128" s="162"/>
      <c r="BB128" s="163"/>
      <c r="BC128" s="164"/>
      <c r="BG128" s="162"/>
      <c r="BH128" s="162"/>
      <c r="BI128" s="163"/>
      <c r="BJ128" s="164"/>
      <c r="BN128" s="162"/>
      <c r="BO128" s="162"/>
      <c r="BP128" s="163"/>
      <c r="BQ128" s="164"/>
      <c r="BU128" s="162"/>
      <c r="BV128" s="162"/>
      <c r="BW128" s="163"/>
      <c r="BX128" s="164"/>
      <c r="CB128" s="162"/>
      <c r="CC128" s="162"/>
      <c r="CD128" s="163"/>
      <c r="CE128" s="164"/>
      <c r="CI128" s="162"/>
      <c r="CJ128" s="162"/>
      <c r="CK128" s="163"/>
      <c r="CL128" s="164"/>
      <c r="CP128" s="162"/>
      <c r="CQ128" s="162"/>
      <c r="CR128" s="163"/>
      <c r="CS128" s="164"/>
      <c r="CW128" s="162"/>
      <c r="CX128" s="162"/>
      <c r="CY128" s="163"/>
      <c r="CZ128" s="164"/>
      <c r="DD128" s="162"/>
      <c r="DE128" s="162"/>
      <c r="DF128" s="163"/>
      <c r="DG128" s="164"/>
      <c r="DK128" s="162"/>
      <c r="DL128" s="162"/>
      <c r="DM128" s="163"/>
      <c r="DN128" s="164"/>
      <c r="DR128" s="162"/>
      <c r="DS128" s="162"/>
      <c r="DT128" s="163"/>
      <c r="DU128" s="164"/>
      <c r="DY128" s="162"/>
      <c r="DZ128" s="162"/>
      <c r="EA128" s="163"/>
      <c r="EB128" s="164"/>
      <c r="EF128" s="162"/>
      <c r="EG128" s="162"/>
      <c r="EH128" s="163"/>
      <c r="EI128" s="164"/>
      <c r="EM128" s="162"/>
      <c r="EN128" s="162"/>
      <c r="EO128" s="163"/>
      <c r="EP128" s="164"/>
      <c r="ET128" s="162"/>
      <c r="EU128" s="162"/>
      <c r="EV128" s="163"/>
      <c r="EW128" s="164"/>
      <c r="FA128" s="162"/>
      <c r="FB128" s="162"/>
      <c r="FC128" s="163"/>
      <c r="FD128" s="164"/>
      <c r="FH128" s="162"/>
      <c r="FI128" s="162"/>
      <c r="FJ128" s="163"/>
      <c r="FK128" s="164"/>
      <c r="FO128" s="162"/>
      <c r="FP128" s="162"/>
      <c r="FQ128" s="163"/>
      <c r="FR128" s="164"/>
      <c r="FV128" s="162"/>
      <c r="FW128" s="162"/>
      <c r="FX128" s="163"/>
      <c r="FY128" s="164"/>
      <c r="GC128" s="162"/>
      <c r="GD128" s="162"/>
      <c r="GE128" s="163"/>
      <c r="GF128" s="164"/>
      <c r="GJ128" s="162"/>
      <c r="GK128" s="162"/>
      <c r="GL128" s="163"/>
      <c r="GM128" s="164"/>
      <c r="GQ128" s="162"/>
      <c r="GR128" s="162"/>
      <c r="GS128" s="163"/>
      <c r="GT128" s="164"/>
      <c r="GX128" s="162"/>
      <c r="GY128" s="162"/>
      <c r="GZ128" s="163"/>
      <c r="HA128" s="164"/>
      <c r="HE128" s="162"/>
      <c r="HF128" s="162"/>
      <c r="HG128" s="163"/>
      <c r="HH128" s="164"/>
      <c r="HL128" s="162"/>
      <c r="HM128" s="162"/>
      <c r="HN128" s="163"/>
      <c r="HO128" s="164"/>
      <c r="HS128" s="162"/>
      <c r="HT128" s="162"/>
      <c r="HU128" s="163"/>
      <c r="HV128" s="164"/>
    </row>
    <row r="129" spans="3:230" x14ac:dyDescent="0.2">
      <c r="C129" s="162"/>
      <c r="D129" s="162"/>
      <c r="E129" s="163"/>
      <c r="F129" s="164"/>
      <c r="J129" s="162"/>
      <c r="K129" s="162"/>
      <c r="L129" s="163"/>
      <c r="M129" s="164"/>
      <c r="Q129" s="162"/>
      <c r="R129" s="162"/>
      <c r="S129" s="163"/>
      <c r="T129" s="164"/>
      <c r="X129" s="162"/>
      <c r="Y129" s="162"/>
      <c r="Z129" s="163"/>
      <c r="AA129" s="164"/>
      <c r="AE129" s="162"/>
      <c r="AF129" s="162"/>
      <c r="AG129" s="163"/>
      <c r="AH129" s="164"/>
      <c r="AL129" s="162"/>
      <c r="AM129" s="162"/>
      <c r="AN129" s="163"/>
      <c r="AO129" s="164"/>
      <c r="AS129" s="162"/>
      <c r="AT129" s="162"/>
      <c r="AU129" s="163"/>
      <c r="AV129" s="164"/>
      <c r="AZ129" s="162"/>
      <c r="BA129" s="162"/>
      <c r="BB129" s="163"/>
      <c r="BC129" s="164"/>
      <c r="BG129" s="162"/>
      <c r="BH129" s="162"/>
      <c r="BI129" s="163"/>
      <c r="BJ129" s="164"/>
      <c r="BN129" s="162"/>
      <c r="BO129" s="162"/>
      <c r="BP129" s="163"/>
      <c r="BQ129" s="164"/>
      <c r="BU129" s="162"/>
      <c r="BV129" s="162"/>
      <c r="BW129" s="163"/>
      <c r="BX129" s="164"/>
      <c r="CB129" s="162"/>
      <c r="CC129" s="162"/>
      <c r="CD129" s="163"/>
      <c r="CE129" s="164"/>
      <c r="CI129" s="162"/>
      <c r="CJ129" s="162"/>
      <c r="CK129" s="163"/>
      <c r="CL129" s="164"/>
      <c r="CP129" s="162"/>
      <c r="CQ129" s="162"/>
      <c r="CR129" s="163"/>
      <c r="CS129" s="164"/>
      <c r="CW129" s="162"/>
      <c r="CX129" s="162"/>
      <c r="CY129" s="163"/>
      <c r="CZ129" s="164"/>
      <c r="DD129" s="162"/>
      <c r="DE129" s="162"/>
      <c r="DF129" s="163"/>
      <c r="DG129" s="164"/>
      <c r="DK129" s="162"/>
      <c r="DL129" s="162"/>
      <c r="DM129" s="163"/>
      <c r="DN129" s="164"/>
      <c r="DR129" s="162"/>
      <c r="DS129" s="162"/>
      <c r="DT129" s="163"/>
      <c r="DU129" s="164"/>
      <c r="DY129" s="162"/>
      <c r="DZ129" s="162"/>
      <c r="EA129" s="163"/>
      <c r="EB129" s="164"/>
      <c r="EF129" s="162"/>
      <c r="EG129" s="162"/>
      <c r="EH129" s="163"/>
      <c r="EI129" s="164"/>
      <c r="EM129" s="162"/>
      <c r="EN129" s="162"/>
      <c r="EO129" s="163"/>
      <c r="EP129" s="164"/>
      <c r="ET129" s="162"/>
      <c r="EU129" s="162"/>
      <c r="EV129" s="163"/>
      <c r="EW129" s="164"/>
      <c r="FA129" s="162"/>
      <c r="FB129" s="162"/>
      <c r="FC129" s="163"/>
      <c r="FD129" s="164"/>
      <c r="FH129" s="162"/>
      <c r="FI129" s="162"/>
      <c r="FJ129" s="163"/>
      <c r="FK129" s="164"/>
      <c r="FO129" s="162"/>
      <c r="FP129" s="162"/>
      <c r="FQ129" s="163"/>
      <c r="FR129" s="164"/>
      <c r="FV129" s="162"/>
      <c r="FW129" s="162"/>
      <c r="FX129" s="163"/>
      <c r="FY129" s="164"/>
      <c r="GC129" s="162"/>
      <c r="GD129" s="162"/>
      <c r="GE129" s="163"/>
      <c r="GF129" s="164"/>
      <c r="GJ129" s="162"/>
      <c r="GK129" s="162"/>
      <c r="GL129" s="163"/>
      <c r="GM129" s="164"/>
      <c r="GQ129" s="162"/>
      <c r="GR129" s="162"/>
      <c r="GS129" s="163"/>
      <c r="GT129" s="164"/>
      <c r="GX129" s="162"/>
      <c r="GY129" s="162"/>
      <c r="GZ129" s="163"/>
      <c r="HA129" s="164"/>
      <c r="HE129" s="162"/>
      <c r="HF129" s="162"/>
      <c r="HG129" s="163"/>
      <c r="HH129" s="164"/>
      <c r="HL129" s="162"/>
      <c r="HM129" s="162"/>
      <c r="HN129" s="163"/>
      <c r="HO129" s="164"/>
      <c r="HS129" s="162"/>
      <c r="HT129" s="162"/>
      <c r="HU129" s="163"/>
      <c r="HV129" s="164"/>
    </row>
    <row r="130" spans="3:230" x14ac:dyDescent="0.2">
      <c r="C130" s="162"/>
      <c r="D130" s="162"/>
      <c r="E130" s="163"/>
      <c r="F130" s="164"/>
      <c r="J130" s="162"/>
      <c r="K130" s="162"/>
      <c r="L130" s="163"/>
      <c r="M130" s="164"/>
      <c r="Q130" s="162"/>
      <c r="R130" s="162"/>
      <c r="S130" s="163"/>
      <c r="T130" s="164"/>
      <c r="X130" s="162"/>
      <c r="Y130" s="162"/>
      <c r="Z130" s="163"/>
      <c r="AA130" s="164"/>
      <c r="AE130" s="162"/>
      <c r="AF130" s="162"/>
      <c r="AG130" s="163"/>
      <c r="AH130" s="164"/>
      <c r="AL130" s="162"/>
      <c r="AM130" s="162"/>
      <c r="AN130" s="163"/>
      <c r="AO130" s="164"/>
      <c r="AS130" s="162"/>
      <c r="AT130" s="162"/>
      <c r="AU130" s="163"/>
      <c r="AV130" s="164"/>
      <c r="AZ130" s="162"/>
      <c r="BA130" s="162"/>
      <c r="BB130" s="163"/>
      <c r="BC130" s="164"/>
      <c r="BG130" s="162"/>
      <c r="BH130" s="162"/>
      <c r="BI130" s="163"/>
      <c r="BJ130" s="164"/>
      <c r="BN130" s="162"/>
      <c r="BO130" s="162"/>
      <c r="BP130" s="163"/>
      <c r="BQ130" s="164"/>
      <c r="BU130" s="162"/>
      <c r="BV130" s="162"/>
      <c r="BW130" s="163"/>
      <c r="BX130" s="164"/>
      <c r="CB130" s="162"/>
      <c r="CC130" s="162"/>
      <c r="CD130" s="163"/>
      <c r="CE130" s="164"/>
      <c r="CI130" s="162"/>
      <c r="CJ130" s="162"/>
      <c r="CK130" s="163"/>
      <c r="CL130" s="164"/>
      <c r="CP130" s="162"/>
      <c r="CQ130" s="162"/>
      <c r="CR130" s="163"/>
      <c r="CS130" s="164"/>
      <c r="CW130" s="162"/>
      <c r="CX130" s="162"/>
      <c r="CY130" s="163"/>
      <c r="CZ130" s="164"/>
      <c r="DD130" s="162"/>
      <c r="DE130" s="162"/>
      <c r="DF130" s="163"/>
      <c r="DG130" s="164"/>
      <c r="DK130" s="162"/>
      <c r="DL130" s="162"/>
      <c r="DM130" s="163"/>
      <c r="DN130" s="164"/>
      <c r="DR130" s="162"/>
      <c r="DS130" s="162"/>
      <c r="DT130" s="163"/>
      <c r="DU130" s="164"/>
      <c r="DY130" s="162"/>
      <c r="DZ130" s="162"/>
      <c r="EA130" s="163"/>
      <c r="EB130" s="164"/>
      <c r="EF130" s="162"/>
      <c r="EG130" s="162"/>
      <c r="EH130" s="163"/>
      <c r="EI130" s="164"/>
      <c r="EM130" s="162"/>
      <c r="EN130" s="162"/>
      <c r="EO130" s="163"/>
      <c r="EP130" s="164"/>
      <c r="ET130" s="162"/>
      <c r="EU130" s="162"/>
      <c r="EV130" s="163"/>
      <c r="EW130" s="164"/>
      <c r="FA130" s="162"/>
      <c r="FB130" s="162"/>
      <c r="FC130" s="163"/>
      <c r="FD130" s="164"/>
      <c r="FH130" s="162"/>
      <c r="FI130" s="162"/>
      <c r="FJ130" s="163"/>
      <c r="FK130" s="164"/>
      <c r="FO130" s="162"/>
      <c r="FP130" s="162"/>
      <c r="FQ130" s="163"/>
      <c r="FR130" s="164"/>
      <c r="FV130" s="162"/>
      <c r="FW130" s="162"/>
      <c r="FX130" s="163"/>
      <c r="FY130" s="164"/>
      <c r="GC130" s="162"/>
      <c r="GD130" s="162"/>
      <c r="GE130" s="163"/>
      <c r="GF130" s="164"/>
      <c r="GJ130" s="162"/>
      <c r="GK130" s="162"/>
      <c r="GL130" s="163"/>
      <c r="GM130" s="164"/>
      <c r="GQ130" s="162"/>
      <c r="GR130" s="162"/>
      <c r="GS130" s="163"/>
      <c r="GT130" s="164"/>
      <c r="GX130" s="162"/>
      <c r="GY130" s="162"/>
      <c r="GZ130" s="163"/>
      <c r="HA130" s="164"/>
      <c r="HE130" s="162"/>
      <c r="HF130" s="162"/>
      <c r="HG130" s="163"/>
      <c r="HH130" s="164"/>
      <c r="HL130" s="162"/>
      <c r="HM130" s="162"/>
      <c r="HN130" s="163"/>
      <c r="HO130" s="164"/>
      <c r="HS130" s="162"/>
      <c r="HT130" s="162"/>
      <c r="HU130" s="163"/>
      <c r="HV130" s="164"/>
    </row>
    <row r="131" spans="3:230" x14ac:dyDescent="0.2">
      <c r="C131" s="162"/>
      <c r="D131" s="162"/>
      <c r="E131" s="163"/>
      <c r="F131" s="164"/>
      <c r="J131" s="162"/>
      <c r="K131" s="162"/>
      <c r="L131" s="163"/>
      <c r="M131" s="164"/>
      <c r="Q131" s="162"/>
      <c r="R131" s="162"/>
      <c r="S131" s="163"/>
      <c r="T131" s="164"/>
      <c r="X131" s="162"/>
      <c r="Y131" s="162"/>
      <c r="Z131" s="163"/>
      <c r="AA131" s="164"/>
      <c r="AE131" s="162"/>
      <c r="AF131" s="162"/>
      <c r="AG131" s="163"/>
      <c r="AH131" s="164"/>
      <c r="AL131" s="162"/>
      <c r="AM131" s="162"/>
      <c r="AN131" s="163"/>
      <c r="AO131" s="164"/>
      <c r="AS131" s="162"/>
      <c r="AT131" s="162"/>
      <c r="AU131" s="163"/>
      <c r="AV131" s="164"/>
      <c r="AZ131" s="162"/>
      <c r="BA131" s="162"/>
      <c r="BB131" s="163"/>
      <c r="BC131" s="164"/>
      <c r="BG131" s="162"/>
      <c r="BH131" s="162"/>
      <c r="BI131" s="163"/>
      <c r="BJ131" s="164"/>
      <c r="BN131" s="162"/>
      <c r="BO131" s="162"/>
      <c r="BP131" s="163"/>
      <c r="BQ131" s="164"/>
      <c r="BU131" s="162"/>
      <c r="BV131" s="162"/>
      <c r="BW131" s="163"/>
      <c r="BX131" s="164"/>
      <c r="CB131" s="162"/>
      <c r="CC131" s="162"/>
      <c r="CD131" s="163"/>
      <c r="CE131" s="164"/>
      <c r="CI131" s="162"/>
      <c r="CJ131" s="162"/>
      <c r="CK131" s="163"/>
      <c r="CL131" s="164"/>
      <c r="CP131" s="162"/>
      <c r="CQ131" s="162"/>
      <c r="CR131" s="163"/>
      <c r="CS131" s="164"/>
      <c r="CW131" s="162"/>
      <c r="CX131" s="162"/>
      <c r="CY131" s="163"/>
      <c r="CZ131" s="164"/>
      <c r="DD131" s="162"/>
      <c r="DE131" s="162"/>
      <c r="DF131" s="163"/>
      <c r="DG131" s="164"/>
      <c r="DK131" s="162"/>
      <c r="DL131" s="162"/>
      <c r="DM131" s="163"/>
      <c r="DN131" s="164"/>
      <c r="DR131" s="162"/>
      <c r="DS131" s="162"/>
      <c r="DT131" s="163"/>
      <c r="DU131" s="164"/>
      <c r="DY131" s="162"/>
      <c r="DZ131" s="162"/>
      <c r="EA131" s="163"/>
      <c r="EB131" s="164"/>
      <c r="EF131" s="162"/>
      <c r="EG131" s="162"/>
      <c r="EH131" s="163"/>
      <c r="EI131" s="164"/>
      <c r="EM131" s="162"/>
      <c r="EN131" s="162"/>
      <c r="EO131" s="163"/>
      <c r="EP131" s="164"/>
      <c r="ET131" s="162"/>
      <c r="EU131" s="162"/>
      <c r="EV131" s="163"/>
      <c r="EW131" s="164"/>
      <c r="FA131" s="162"/>
      <c r="FB131" s="162"/>
      <c r="FC131" s="163"/>
      <c r="FD131" s="164"/>
      <c r="FH131" s="162"/>
      <c r="FI131" s="162"/>
      <c r="FJ131" s="163"/>
      <c r="FK131" s="164"/>
      <c r="FO131" s="162"/>
      <c r="FP131" s="162"/>
      <c r="FQ131" s="163"/>
      <c r="FR131" s="164"/>
      <c r="FV131" s="162"/>
      <c r="FW131" s="162"/>
      <c r="FX131" s="163"/>
      <c r="FY131" s="164"/>
      <c r="GC131" s="162"/>
      <c r="GD131" s="162"/>
      <c r="GE131" s="163"/>
      <c r="GF131" s="164"/>
      <c r="GJ131" s="162"/>
      <c r="GK131" s="162"/>
      <c r="GL131" s="163"/>
      <c r="GM131" s="164"/>
      <c r="GQ131" s="162"/>
      <c r="GR131" s="162"/>
      <c r="GS131" s="163"/>
      <c r="GT131" s="164"/>
      <c r="GX131" s="162"/>
      <c r="GY131" s="162"/>
      <c r="GZ131" s="163"/>
      <c r="HA131" s="164"/>
      <c r="HE131" s="162"/>
      <c r="HF131" s="162"/>
      <c r="HG131" s="163"/>
      <c r="HH131" s="164"/>
      <c r="HL131" s="162"/>
      <c r="HM131" s="162"/>
      <c r="HN131" s="163"/>
      <c r="HO131" s="164"/>
      <c r="HS131" s="162"/>
      <c r="HT131" s="162"/>
      <c r="HU131" s="163"/>
      <c r="HV131" s="164"/>
    </row>
    <row r="132" spans="3:230" x14ac:dyDescent="0.2">
      <c r="C132" s="162"/>
      <c r="D132" s="162"/>
      <c r="E132" s="163"/>
      <c r="F132" s="164"/>
      <c r="J132" s="162"/>
      <c r="K132" s="162"/>
      <c r="L132" s="163"/>
      <c r="M132" s="164"/>
      <c r="Q132" s="162"/>
      <c r="R132" s="162"/>
      <c r="S132" s="163"/>
      <c r="T132" s="164"/>
      <c r="X132" s="162"/>
      <c r="Y132" s="162"/>
      <c r="Z132" s="163"/>
      <c r="AA132" s="164"/>
      <c r="AE132" s="162"/>
      <c r="AF132" s="162"/>
      <c r="AG132" s="163"/>
      <c r="AH132" s="164"/>
      <c r="AL132" s="162"/>
      <c r="AM132" s="162"/>
      <c r="AN132" s="163"/>
      <c r="AO132" s="164"/>
      <c r="AS132" s="162"/>
      <c r="AT132" s="162"/>
      <c r="AU132" s="163"/>
      <c r="AV132" s="164"/>
      <c r="AZ132" s="162"/>
      <c r="BA132" s="162"/>
      <c r="BB132" s="163"/>
      <c r="BC132" s="164"/>
      <c r="BG132" s="162"/>
      <c r="BH132" s="162"/>
      <c r="BI132" s="163"/>
      <c r="BJ132" s="164"/>
      <c r="BN132" s="162"/>
      <c r="BO132" s="162"/>
      <c r="BP132" s="163"/>
      <c r="BQ132" s="164"/>
      <c r="BU132" s="162"/>
      <c r="BV132" s="162"/>
      <c r="BW132" s="163"/>
      <c r="BX132" s="164"/>
      <c r="CB132" s="162"/>
      <c r="CC132" s="162"/>
      <c r="CD132" s="163"/>
      <c r="CE132" s="164"/>
      <c r="CI132" s="162"/>
      <c r="CJ132" s="162"/>
      <c r="CK132" s="163"/>
      <c r="CL132" s="164"/>
      <c r="CP132" s="162"/>
      <c r="CQ132" s="162"/>
      <c r="CR132" s="163"/>
      <c r="CS132" s="164"/>
      <c r="CW132" s="162"/>
      <c r="CX132" s="162"/>
      <c r="CY132" s="163"/>
      <c r="CZ132" s="164"/>
      <c r="DD132" s="162"/>
      <c r="DE132" s="162"/>
      <c r="DF132" s="163"/>
      <c r="DG132" s="164"/>
      <c r="DK132" s="162"/>
      <c r="DL132" s="162"/>
      <c r="DM132" s="163"/>
      <c r="DN132" s="164"/>
      <c r="DR132" s="162"/>
      <c r="DS132" s="162"/>
      <c r="DT132" s="163"/>
      <c r="DU132" s="164"/>
      <c r="DY132" s="162"/>
      <c r="DZ132" s="162"/>
      <c r="EA132" s="163"/>
      <c r="EB132" s="164"/>
      <c r="EF132" s="162"/>
      <c r="EG132" s="162"/>
      <c r="EH132" s="163"/>
      <c r="EI132" s="164"/>
      <c r="EM132" s="162"/>
      <c r="EN132" s="162"/>
      <c r="EO132" s="163"/>
      <c r="EP132" s="164"/>
      <c r="ET132" s="162"/>
      <c r="EU132" s="162"/>
      <c r="EV132" s="163"/>
      <c r="EW132" s="164"/>
      <c r="FA132" s="162"/>
      <c r="FB132" s="162"/>
      <c r="FC132" s="163"/>
      <c r="FD132" s="164"/>
      <c r="FH132" s="162"/>
      <c r="FI132" s="162"/>
      <c r="FJ132" s="163"/>
      <c r="FK132" s="164"/>
      <c r="FO132" s="162"/>
      <c r="FP132" s="162"/>
      <c r="FQ132" s="163"/>
      <c r="FR132" s="164"/>
      <c r="FV132" s="162"/>
      <c r="FW132" s="162"/>
      <c r="FX132" s="163"/>
      <c r="FY132" s="164"/>
      <c r="GC132" s="162"/>
      <c r="GD132" s="162"/>
      <c r="GE132" s="163"/>
      <c r="GF132" s="164"/>
      <c r="GJ132" s="162"/>
      <c r="GK132" s="162"/>
      <c r="GL132" s="163"/>
      <c r="GM132" s="164"/>
      <c r="GQ132" s="162"/>
      <c r="GR132" s="162"/>
      <c r="GS132" s="163"/>
      <c r="GT132" s="164"/>
      <c r="GX132" s="162"/>
      <c r="GY132" s="162"/>
      <c r="GZ132" s="163"/>
      <c r="HA132" s="164"/>
      <c r="HE132" s="162"/>
      <c r="HF132" s="162"/>
      <c r="HG132" s="163"/>
      <c r="HH132" s="164"/>
      <c r="HL132" s="162"/>
      <c r="HM132" s="162"/>
      <c r="HN132" s="163"/>
      <c r="HO132" s="164"/>
      <c r="HS132" s="162"/>
      <c r="HT132" s="162"/>
      <c r="HU132" s="163"/>
      <c r="HV132" s="164"/>
    </row>
    <row r="133" spans="3:230" x14ac:dyDescent="0.2">
      <c r="C133" s="162"/>
      <c r="D133" s="162"/>
      <c r="E133" s="163"/>
      <c r="F133" s="164"/>
      <c r="J133" s="162"/>
      <c r="K133" s="162"/>
      <c r="L133" s="163"/>
      <c r="M133" s="164"/>
      <c r="Q133" s="162"/>
      <c r="R133" s="162"/>
      <c r="S133" s="163"/>
      <c r="T133" s="164"/>
      <c r="X133" s="162"/>
      <c r="Y133" s="162"/>
      <c r="Z133" s="163"/>
      <c r="AA133" s="164"/>
      <c r="AE133" s="162"/>
      <c r="AF133" s="162"/>
      <c r="AG133" s="163"/>
      <c r="AH133" s="164"/>
      <c r="AL133" s="162"/>
      <c r="AM133" s="162"/>
      <c r="AN133" s="163"/>
      <c r="AO133" s="164"/>
      <c r="AS133" s="162"/>
      <c r="AT133" s="162"/>
      <c r="AU133" s="163"/>
      <c r="AV133" s="164"/>
      <c r="AZ133" s="162"/>
      <c r="BA133" s="162"/>
      <c r="BB133" s="163"/>
      <c r="BC133" s="164"/>
      <c r="BG133" s="162"/>
      <c r="BH133" s="162"/>
      <c r="BI133" s="163"/>
      <c r="BJ133" s="164"/>
      <c r="BN133" s="162"/>
      <c r="BO133" s="162"/>
      <c r="BP133" s="163"/>
      <c r="BQ133" s="164"/>
      <c r="BU133" s="162"/>
      <c r="BV133" s="162"/>
      <c r="BW133" s="163"/>
      <c r="BX133" s="164"/>
      <c r="CB133" s="162"/>
      <c r="CC133" s="162"/>
      <c r="CD133" s="163"/>
      <c r="CE133" s="164"/>
      <c r="CI133" s="162"/>
      <c r="CJ133" s="162"/>
      <c r="CK133" s="163"/>
      <c r="CL133" s="164"/>
      <c r="CP133" s="162"/>
      <c r="CQ133" s="162"/>
      <c r="CR133" s="163"/>
      <c r="CS133" s="164"/>
      <c r="CW133" s="162"/>
      <c r="CX133" s="162"/>
      <c r="CY133" s="163"/>
      <c r="CZ133" s="164"/>
      <c r="DD133" s="162"/>
      <c r="DE133" s="162"/>
      <c r="DF133" s="163"/>
      <c r="DG133" s="164"/>
      <c r="DK133" s="162"/>
      <c r="DL133" s="162"/>
      <c r="DM133" s="163"/>
      <c r="DN133" s="164"/>
      <c r="DR133" s="162"/>
      <c r="DS133" s="162"/>
      <c r="DT133" s="163"/>
      <c r="DU133" s="164"/>
      <c r="DY133" s="162"/>
      <c r="DZ133" s="162"/>
      <c r="EA133" s="163"/>
      <c r="EB133" s="164"/>
      <c r="EF133" s="162"/>
      <c r="EG133" s="162"/>
      <c r="EH133" s="163"/>
      <c r="EI133" s="164"/>
      <c r="EM133" s="162"/>
      <c r="EN133" s="162"/>
      <c r="EO133" s="163"/>
      <c r="EP133" s="164"/>
      <c r="ET133" s="162"/>
      <c r="EU133" s="162"/>
      <c r="EV133" s="163"/>
      <c r="EW133" s="164"/>
      <c r="FA133" s="162"/>
      <c r="FB133" s="162"/>
      <c r="FC133" s="163"/>
      <c r="FD133" s="164"/>
      <c r="FH133" s="162"/>
      <c r="FI133" s="162"/>
      <c r="FJ133" s="163"/>
      <c r="FK133" s="164"/>
      <c r="FO133" s="162"/>
      <c r="FP133" s="162"/>
      <c r="FQ133" s="163"/>
      <c r="FR133" s="164"/>
      <c r="FV133" s="162"/>
      <c r="FW133" s="162"/>
      <c r="FX133" s="163"/>
      <c r="FY133" s="164"/>
      <c r="GC133" s="162"/>
      <c r="GD133" s="162"/>
      <c r="GE133" s="163"/>
      <c r="GF133" s="164"/>
      <c r="GJ133" s="162"/>
      <c r="GK133" s="162"/>
      <c r="GL133" s="163"/>
      <c r="GM133" s="164"/>
      <c r="GQ133" s="162"/>
      <c r="GR133" s="162"/>
      <c r="GS133" s="163"/>
      <c r="GT133" s="164"/>
      <c r="GX133" s="162"/>
      <c r="GY133" s="162"/>
      <c r="GZ133" s="163"/>
      <c r="HA133" s="164"/>
      <c r="HE133" s="162"/>
      <c r="HF133" s="162"/>
      <c r="HG133" s="163"/>
      <c r="HH133" s="164"/>
      <c r="HL133" s="162"/>
      <c r="HM133" s="162"/>
      <c r="HN133" s="163"/>
      <c r="HO133" s="164"/>
      <c r="HS133" s="162"/>
      <c r="HT133" s="162"/>
      <c r="HU133" s="163"/>
      <c r="HV133" s="164"/>
    </row>
    <row r="134" spans="3:230" x14ac:dyDescent="0.2">
      <c r="C134" s="162"/>
      <c r="D134" s="162"/>
      <c r="E134" s="163"/>
      <c r="F134" s="164"/>
      <c r="J134" s="162"/>
      <c r="K134" s="162"/>
      <c r="L134" s="163"/>
      <c r="M134" s="164"/>
      <c r="Q134" s="162"/>
      <c r="R134" s="162"/>
      <c r="S134" s="163"/>
      <c r="T134" s="164"/>
      <c r="X134" s="162"/>
      <c r="Y134" s="162"/>
      <c r="Z134" s="163"/>
      <c r="AA134" s="164"/>
      <c r="AE134" s="162"/>
      <c r="AF134" s="162"/>
      <c r="AG134" s="163"/>
      <c r="AH134" s="164"/>
      <c r="AL134" s="162"/>
      <c r="AM134" s="162"/>
      <c r="AN134" s="163"/>
      <c r="AO134" s="164"/>
      <c r="AS134" s="162"/>
      <c r="AT134" s="162"/>
      <c r="AU134" s="163"/>
      <c r="AV134" s="164"/>
      <c r="AZ134" s="162"/>
      <c r="BA134" s="162"/>
      <c r="BB134" s="163"/>
      <c r="BC134" s="164"/>
      <c r="BG134" s="162"/>
      <c r="BH134" s="162"/>
      <c r="BI134" s="163"/>
      <c r="BJ134" s="164"/>
      <c r="BN134" s="162"/>
      <c r="BO134" s="162"/>
      <c r="BP134" s="163"/>
      <c r="BQ134" s="164"/>
      <c r="BU134" s="162"/>
      <c r="BV134" s="162"/>
      <c r="BW134" s="163"/>
      <c r="BX134" s="164"/>
      <c r="CB134" s="162"/>
      <c r="CC134" s="162"/>
      <c r="CD134" s="163"/>
      <c r="CE134" s="164"/>
      <c r="CI134" s="162"/>
      <c r="CJ134" s="162"/>
      <c r="CK134" s="163"/>
      <c r="CL134" s="164"/>
      <c r="CP134" s="162"/>
      <c r="CQ134" s="162"/>
      <c r="CR134" s="163"/>
      <c r="CS134" s="164"/>
      <c r="CW134" s="162"/>
      <c r="CX134" s="162"/>
      <c r="CY134" s="163"/>
      <c r="CZ134" s="164"/>
      <c r="DD134" s="162"/>
      <c r="DE134" s="162"/>
      <c r="DF134" s="163"/>
      <c r="DG134" s="164"/>
      <c r="DK134" s="162"/>
      <c r="DL134" s="162"/>
      <c r="DM134" s="163"/>
      <c r="DN134" s="164"/>
      <c r="DR134" s="162"/>
      <c r="DS134" s="162"/>
      <c r="DT134" s="163"/>
      <c r="DU134" s="164"/>
      <c r="DY134" s="162"/>
      <c r="DZ134" s="162"/>
      <c r="EA134" s="163"/>
      <c r="EB134" s="164"/>
      <c r="EF134" s="162"/>
      <c r="EG134" s="162"/>
      <c r="EH134" s="163"/>
      <c r="EI134" s="164"/>
      <c r="EM134" s="162"/>
      <c r="EN134" s="162"/>
      <c r="EO134" s="163"/>
      <c r="EP134" s="164"/>
      <c r="ET134" s="162"/>
      <c r="EU134" s="162"/>
      <c r="EV134" s="163"/>
      <c r="EW134" s="164"/>
      <c r="FA134" s="162"/>
      <c r="FB134" s="162"/>
      <c r="FC134" s="163"/>
      <c r="FD134" s="164"/>
      <c r="FH134" s="162"/>
      <c r="FI134" s="162"/>
      <c r="FJ134" s="163"/>
      <c r="FK134" s="164"/>
      <c r="FO134" s="162"/>
      <c r="FP134" s="162"/>
      <c r="FQ134" s="163"/>
      <c r="FR134" s="164"/>
      <c r="FV134" s="162"/>
      <c r="FW134" s="162"/>
      <c r="FX134" s="163"/>
      <c r="FY134" s="164"/>
      <c r="GC134" s="162"/>
      <c r="GD134" s="162"/>
      <c r="GE134" s="163"/>
      <c r="GF134" s="164"/>
      <c r="GJ134" s="162"/>
      <c r="GK134" s="162"/>
      <c r="GL134" s="163"/>
      <c r="GM134" s="164"/>
      <c r="GQ134" s="162"/>
      <c r="GR134" s="162"/>
      <c r="GS134" s="163"/>
      <c r="GT134" s="164"/>
      <c r="GX134" s="162"/>
      <c r="GY134" s="162"/>
      <c r="GZ134" s="163"/>
      <c r="HA134" s="164"/>
      <c r="HE134" s="162"/>
      <c r="HF134" s="162"/>
      <c r="HG134" s="163"/>
      <c r="HH134" s="164"/>
      <c r="HL134" s="162"/>
      <c r="HM134" s="162"/>
      <c r="HN134" s="163"/>
      <c r="HO134" s="164"/>
      <c r="HS134" s="162"/>
      <c r="HT134" s="162"/>
      <c r="HU134" s="163"/>
      <c r="HV134" s="164"/>
    </row>
    <row r="135" spans="3:230" x14ac:dyDescent="0.2">
      <c r="C135" s="162"/>
      <c r="D135" s="162"/>
      <c r="E135" s="163"/>
      <c r="F135" s="164"/>
      <c r="J135" s="162"/>
      <c r="K135" s="162"/>
      <c r="L135" s="163"/>
      <c r="M135" s="164"/>
      <c r="Q135" s="162"/>
      <c r="R135" s="162"/>
      <c r="S135" s="163"/>
      <c r="T135" s="164"/>
      <c r="X135" s="162"/>
      <c r="Y135" s="162"/>
      <c r="Z135" s="163"/>
      <c r="AA135" s="164"/>
      <c r="AE135" s="162"/>
      <c r="AF135" s="162"/>
      <c r="AG135" s="163"/>
      <c r="AH135" s="164"/>
      <c r="AL135" s="162"/>
      <c r="AM135" s="162"/>
      <c r="AN135" s="163"/>
      <c r="AO135" s="164"/>
      <c r="AS135" s="162"/>
      <c r="AT135" s="162"/>
      <c r="AU135" s="163"/>
      <c r="AV135" s="164"/>
      <c r="AZ135" s="162"/>
      <c r="BA135" s="162"/>
      <c r="BB135" s="163"/>
      <c r="BC135" s="164"/>
      <c r="BG135" s="162"/>
      <c r="BH135" s="162"/>
      <c r="BI135" s="163"/>
      <c r="BJ135" s="164"/>
      <c r="BN135" s="162"/>
      <c r="BO135" s="162"/>
      <c r="BP135" s="163"/>
      <c r="BQ135" s="164"/>
      <c r="BU135" s="162"/>
      <c r="BV135" s="162"/>
      <c r="BW135" s="163"/>
      <c r="BX135" s="164"/>
      <c r="CB135" s="162"/>
      <c r="CC135" s="162"/>
      <c r="CD135" s="163"/>
      <c r="CE135" s="164"/>
      <c r="CI135" s="162"/>
      <c r="CJ135" s="162"/>
      <c r="CK135" s="163"/>
      <c r="CL135" s="164"/>
      <c r="CP135" s="162"/>
      <c r="CQ135" s="162"/>
      <c r="CR135" s="163"/>
      <c r="CS135" s="164"/>
      <c r="CW135" s="162"/>
      <c r="CX135" s="162"/>
      <c r="CY135" s="163"/>
      <c r="CZ135" s="164"/>
      <c r="DD135" s="162"/>
      <c r="DE135" s="162"/>
      <c r="DF135" s="163"/>
      <c r="DG135" s="164"/>
      <c r="DK135" s="162"/>
      <c r="DL135" s="162"/>
      <c r="DM135" s="163"/>
      <c r="DN135" s="164"/>
      <c r="DR135" s="162"/>
      <c r="DS135" s="162"/>
      <c r="DT135" s="163"/>
      <c r="DU135" s="164"/>
      <c r="DY135" s="162"/>
      <c r="DZ135" s="162"/>
      <c r="EA135" s="163"/>
      <c r="EB135" s="164"/>
      <c r="EF135" s="162"/>
      <c r="EG135" s="162"/>
      <c r="EH135" s="163"/>
      <c r="EI135" s="164"/>
      <c r="EM135" s="162"/>
      <c r="EN135" s="162"/>
      <c r="EO135" s="163"/>
      <c r="EP135" s="164"/>
      <c r="ET135" s="162"/>
      <c r="EU135" s="162"/>
      <c r="EV135" s="163"/>
      <c r="EW135" s="164"/>
      <c r="FA135" s="162"/>
      <c r="FB135" s="162"/>
      <c r="FC135" s="163"/>
      <c r="FD135" s="164"/>
      <c r="FH135" s="162"/>
      <c r="FI135" s="162"/>
      <c r="FJ135" s="163"/>
      <c r="FK135" s="164"/>
      <c r="FO135" s="162"/>
      <c r="FP135" s="162"/>
      <c r="FQ135" s="163"/>
      <c r="FR135" s="164"/>
      <c r="FV135" s="162"/>
      <c r="FW135" s="162"/>
      <c r="FX135" s="163"/>
      <c r="FY135" s="164"/>
      <c r="GC135" s="162"/>
      <c r="GD135" s="162"/>
      <c r="GE135" s="163"/>
      <c r="GF135" s="164"/>
      <c r="GJ135" s="162"/>
      <c r="GK135" s="162"/>
      <c r="GL135" s="163"/>
      <c r="GM135" s="164"/>
      <c r="GQ135" s="162"/>
      <c r="GR135" s="162"/>
      <c r="GS135" s="163"/>
      <c r="GT135" s="164"/>
      <c r="GX135" s="162"/>
      <c r="GY135" s="162"/>
      <c r="GZ135" s="163"/>
      <c r="HA135" s="164"/>
      <c r="HE135" s="162"/>
      <c r="HF135" s="162"/>
      <c r="HG135" s="163"/>
      <c r="HH135" s="164"/>
      <c r="HL135" s="162"/>
      <c r="HM135" s="162"/>
      <c r="HN135" s="163"/>
      <c r="HO135" s="164"/>
      <c r="HS135" s="162"/>
      <c r="HT135" s="162"/>
      <c r="HU135" s="163"/>
      <c r="HV135" s="164"/>
    </row>
    <row r="136" spans="3:230" x14ac:dyDescent="0.2">
      <c r="C136" s="162"/>
      <c r="D136" s="162"/>
      <c r="E136" s="163"/>
      <c r="F136" s="164"/>
      <c r="J136" s="162"/>
      <c r="K136" s="162"/>
      <c r="L136" s="163"/>
      <c r="M136" s="164"/>
      <c r="Q136" s="162"/>
      <c r="R136" s="162"/>
      <c r="S136" s="163"/>
      <c r="T136" s="164"/>
      <c r="X136" s="162"/>
      <c r="Y136" s="162"/>
      <c r="Z136" s="163"/>
      <c r="AA136" s="164"/>
      <c r="AE136" s="162"/>
      <c r="AF136" s="162"/>
      <c r="AG136" s="163"/>
      <c r="AH136" s="164"/>
      <c r="AL136" s="162"/>
      <c r="AM136" s="162"/>
      <c r="AN136" s="163"/>
      <c r="AO136" s="164"/>
      <c r="AS136" s="162"/>
      <c r="AT136" s="162"/>
      <c r="AU136" s="163"/>
      <c r="AV136" s="164"/>
      <c r="AZ136" s="162"/>
      <c r="BA136" s="162"/>
      <c r="BB136" s="163"/>
      <c r="BC136" s="164"/>
      <c r="BG136" s="162"/>
      <c r="BH136" s="162"/>
      <c r="BI136" s="163"/>
      <c r="BJ136" s="164"/>
      <c r="BN136" s="162"/>
      <c r="BO136" s="162"/>
      <c r="BP136" s="163"/>
      <c r="BQ136" s="164"/>
      <c r="BU136" s="162"/>
      <c r="BV136" s="162"/>
      <c r="BW136" s="163"/>
      <c r="BX136" s="164"/>
      <c r="CB136" s="162"/>
      <c r="CC136" s="162"/>
      <c r="CD136" s="163"/>
      <c r="CE136" s="164"/>
      <c r="CI136" s="162"/>
      <c r="CJ136" s="162"/>
      <c r="CK136" s="163"/>
      <c r="CL136" s="164"/>
      <c r="CP136" s="162"/>
      <c r="CQ136" s="162"/>
      <c r="CR136" s="163"/>
      <c r="CS136" s="164"/>
      <c r="CW136" s="162"/>
      <c r="CX136" s="162"/>
      <c r="CY136" s="163"/>
      <c r="CZ136" s="164"/>
      <c r="DD136" s="162"/>
      <c r="DE136" s="162"/>
      <c r="DF136" s="163"/>
      <c r="DG136" s="164"/>
      <c r="DK136" s="162"/>
      <c r="DL136" s="162"/>
      <c r="DM136" s="163"/>
      <c r="DN136" s="164"/>
      <c r="DR136" s="162"/>
      <c r="DS136" s="162"/>
      <c r="DT136" s="163"/>
      <c r="DU136" s="164"/>
      <c r="DY136" s="162"/>
      <c r="DZ136" s="162"/>
      <c r="EA136" s="163"/>
      <c r="EB136" s="164"/>
      <c r="EF136" s="162"/>
      <c r="EG136" s="162"/>
      <c r="EH136" s="163"/>
      <c r="EI136" s="164"/>
      <c r="EM136" s="162"/>
      <c r="EN136" s="162"/>
      <c r="EO136" s="163"/>
      <c r="EP136" s="164"/>
      <c r="ET136" s="162"/>
      <c r="EU136" s="162"/>
      <c r="EV136" s="163"/>
      <c r="EW136" s="164"/>
      <c r="FA136" s="162"/>
      <c r="FB136" s="162"/>
      <c r="FC136" s="163"/>
      <c r="FD136" s="164"/>
      <c r="FH136" s="162"/>
      <c r="FI136" s="162"/>
      <c r="FJ136" s="163"/>
      <c r="FK136" s="164"/>
      <c r="FO136" s="162"/>
      <c r="FP136" s="162"/>
      <c r="FQ136" s="163"/>
      <c r="FR136" s="164"/>
      <c r="FV136" s="162"/>
      <c r="FW136" s="162"/>
      <c r="FX136" s="163"/>
      <c r="FY136" s="164"/>
      <c r="GC136" s="162"/>
      <c r="GD136" s="162"/>
      <c r="GE136" s="163"/>
      <c r="GF136" s="164"/>
      <c r="GJ136" s="162"/>
      <c r="GK136" s="162"/>
      <c r="GL136" s="163"/>
      <c r="GM136" s="164"/>
      <c r="GQ136" s="162"/>
      <c r="GR136" s="162"/>
      <c r="GS136" s="163"/>
      <c r="GT136" s="164"/>
      <c r="GX136" s="162"/>
      <c r="GY136" s="162"/>
      <c r="GZ136" s="163"/>
      <c r="HA136" s="164"/>
      <c r="HE136" s="162"/>
      <c r="HF136" s="162"/>
      <c r="HG136" s="163"/>
      <c r="HH136" s="164"/>
      <c r="HL136" s="162"/>
      <c r="HM136" s="162"/>
      <c r="HN136" s="163"/>
      <c r="HO136" s="164"/>
      <c r="HS136" s="162"/>
      <c r="HT136" s="162"/>
      <c r="HU136" s="163"/>
      <c r="HV136" s="164"/>
    </row>
    <row r="137" spans="3:230" x14ac:dyDescent="0.2">
      <c r="C137" s="162"/>
      <c r="D137" s="162"/>
      <c r="E137" s="163"/>
      <c r="F137" s="164"/>
      <c r="J137" s="162"/>
      <c r="K137" s="162"/>
      <c r="L137" s="163"/>
      <c r="M137" s="164"/>
      <c r="Q137" s="162"/>
      <c r="R137" s="162"/>
      <c r="S137" s="163"/>
      <c r="T137" s="164"/>
      <c r="X137" s="162"/>
      <c r="Y137" s="162"/>
      <c r="Z137" s="163"/>
      <c r="AA137" s="164"/>
      <c r="AE137" s="162"/>
      <c r="AF137" s="162"/>
      <c r="AG137" s="163"/>
      <c r="AH137" s="164"/>
      <c r="AL137" s="162"/>
      <c r="AM137" s="162"/>
      <c r="AN137" s="163"/>
      <c r="AO137" s="164"/>
      <c r="AS137" s="162"/>
      <c r="AT137" s="162"/>
      <c r="AU137" s="163"/>
      <c r="AV137" s="164"/>
      <c r="AZ137" s="162"/>
      <c r="BA137" s="162"/>
      <c r="BB137" s="163"/>
      <c r="BC137" s="164"/>
      <c r="BG137" s="162"/>
      <c r="BH137" s="162"/>
      <c r="BI137" s="163"/>
      <c r="BJ137" s="164"/>
      <c r="BN137" s="162"/>
      <c r="BO137" s="162"/>
      <c r="BP137" s="163"/>
      <c r="BQ137" s="164"/>
      <c r="BU137" s="162"/>
      <c r="BV137" s="162"/>
      <c r="BW137" s="163"/>
      <c r="BX137" s="164"/>
      <c r="CB137" s="162"/>
      <c r="CC137" s="162"/>
      <c r="CD137" s="163"/>
      <c r="CE137" s="164"/>
      <c r="CI137" s="162"/>
      <c r="CJ137" s="162"/>
      <c r="CK137" s="163"/>
      <c r="CL137" s="164"/>
      <c r="CP137" s="162"/>
      <c r="CQ137" s="162"/>
      <c r="CR137" s="163"/>
      <c r="CS137" s="164"/>
      <c r="CW137" s="162"/>
      <c r="CX137" s="162"/>
      <c r="CY137" s="163"/>
      <c r="CZ137" s="164"/>
      <c r="DD137" s="162"/>
      <c r="DE137" s="162"/>
      <c r="DF137" s="163"/>
      <c r="DG137" s="164"/>
      <c r="DK137" s="162"/>
      <c r="DL137" s="162"/>
      <c r="DM137" s="163"/>
      <c r="DN137" s="164"/>
      <c r="DR137" s="162"/>
      <c r="DS137" s="162"/>
      <c r="DT137" s="163"/>
      <c r="DU137" s="164"/>
      <c r="DY137" s="162"/>
      <c r="DZ137" s="162"/>
      <c r="EA137" s="163"/>
      <c r="EB137" s="164"/>
      <c r="EF137" s="162"/>
      <c r="EG137" s="162"/>
      <c r="EH137" s="163"/>
      <c r="EI137" s="164"/>
      <c r="EM137" s="162"/>
      <c r="EN137" s="162"/>
      <c r="EO137" s="163"/>
      <c r="EP137" s="164"/>
      <c r="ET137" s="162"/>
      <c r="EU137" s="162"/>
      <c r="EV137" s="163"/>
      <c r="EW137" s="164"/>
      <c r="FA137" s="162"/>
      <c r="FB137" s="162"/>
      <c r="FC137" s="163"/>
      <c r="FD137" s="164"/>
      <c r="FH137" s="162"/>
      <c r="FI137" s="162"/>
      <c r="FJ137" s="163"/>
      <c r="FK137" s="164"/>
      <c r="FO137" s="162"/>
      <c r="FP137" s="162"/>
      <c r="FQ137" s="163"/>
      <c r="FR137" s="164"/>
      <c r="FV137" s="162"/>
      <c r="FW137" s="162"/>
      <c r="FX137" s="163"/>
      <c r="FY137" s="164"/>
      <c r="GC137" s="162"/>
      <c r="GD137" s="162"/>
      <c r="GE137" s="163"/>
      <c r="GF137" s="164"/>
      <c r="GJ137" s="162"/>
      <c r="GK137" s="162"/>
      <c r="GL137" s="163"/>
      <c r="GM137" s="164"/>
      <c r="GQ137" s="162"/>
      <c r="GR137" s="162"/>
      <c r="GS137" s="163"/>
      <c r="GT137" s="164"/>
      <c r="GX137" s="162"/>
      <c r="GY137" s="162"/>
      <c r="GZ137" s="163"/>
      <c r="HA137" s="164"/>
      <c r="HE137" s="162"/>
      <c r="HF137" s="162"/>
      <c r="HG137" s="163"/>
      <c r="HH137" s="164"/>
      <c r="HL137" s="162"/>
      <c r="HM137" s="162"/>
      <c r="HN137" s="163"/>
      <c r="HO137" s="164"/>
      <c r="HS137" s="162"/>
      <c r="HT137" s="162"/>
      <c r="HU137" s="163"/>
      <c r="HV137" s="164"/>
    </row>
    <row r="138" spans="3:230" x14ac:dyDescent="0.2">
      <c r="C138" s="162"/>
      <c r="D138" s="162"/>
      <c r="E138" s="163"/>
      <c r="F138" s="164"/>
      <c r="J138" s="162"/>
      <c r="K138" s="162"/>
      <c r="L138" s="163"/>
      <c r="M138" s="164"/>
      <c r="Q138" s="162"/>
      <c r="R138" s="162"/>
      <c r="S138" s="163"/>
      <c r="T138" s="164"/>
      <c r="X138" s="162"/>
      <c r="Y138" s="162"/>
      <c r="Z138" s="163"/>
      <c r="AA138" s="164"/>
      <c r="AE138" s="162"/>
      <c r="AF138" s="162"/>
      <c r="AG138" s="163"/>
      <c r="AH138" s="164"/>
      <c r="AL138" s="162"/>
      <c r="AM138" s="162"/>
      <c r="AN138" s="163"/>
      <c r="AO138" s="164"/>
      <c r="AS138" s="162"/>
      <c r="AT138" s="162"/>
      <c r="AU138" s="163"/>
      <c r="AV138" s="164"/>
      <c r="AZ138" s="162"/>
      <c r="BA138" s="162"/>
      <c r="BB138" s="163"/>
      <c r="BC138" s="164"/>
      <c r="BG138" s="162"/>
      <c r="BH138" s="162"/>
      <c r="BI138" s="163"/>
      <c r="BJ138" s="164"/>
      <c r="BN138" s="162"/>
      <c r="BO138" s="162"/>
      <c r="BP138" s="163"/>
      <c r="BQ138" s="164"/>
      <c r="BU138" s="162"/>
      <c r="BV138" s="162"/>
      <c r="BW138" s="163"/>
      <c r="BX138" s="164"/>
      <c r="CB138" s="162"/>
      <c r="CC138" s="162"/>
      <c r="CD138" s="163"/>
      <c r="CE138" s="164"/>
      <c r="CI138" s="162"/>
      <c r="CJ138" s="162"/>
      <c r="CK138" s="163"/>
      <c r="CL138" s="164"/>
      <c r="CP138" s="162"/>
      <c r="CQ138" s="162"/>
      <c r="CR138" s="163"/>
      <c r="CS138" s="164"/>
      <c r="CW138" s="162"/>
      <c r="CX138" s="162"/>
      <c r="CY138" s="163"/>
      <c r="CZ138" s="164"/>
      <c r="DD138" s="162"/>
      <c r="DE138" s="162"/>
      <c r="DF138" s="163"/>
      <c r="DG138" s="164"/>
      <c r="DK138" s="162"/>
      <c r="DL138" s="162"/>
      <c r="DM138" s="163"/>
      <c r="DN138" s="164"/>
      <c r="DR138" s="162"/>
      <c r="DS138" s="162"/>
      <c r="DT138" s="163"/>
      <c r="DU138" s="164"/>
      <c r="DY138" s="162"/>
      <c r="DZ138" s="162"/>
      <c r="EA138" s="163"/>
      <c r="EB138" s="164"/>
      <c r="EF138" s="162"/>
      <c r="EG138" s="162"/>
      <c r="EH138" s="163"/>
      <c r="EI138" s="164"/>
      <c r="EM138" s="162"/>
      <c r="EN138" s="162"/>
      <c r="EO138" s="163"/>
      <c r="EP138" s="164"/>
      <c r="ET138" s="162"/>
      <c r="EU138" s="162"/>
      <c r="EV138" s="163"/>
      <c r="EW138" s="164"/>
      <c r="FA138" s="162"/>
      <c r="FB138" s="162"/>
      <c r="FC138" s="163"/>
      <c r="FD138" s="164"/>
      <c r="FH138" s="162"/>
      <c r="FI138" s="162"/>
      <c r="FJ138" s="163"/>
      <c r="FK138" s="164"/>
      <c r="FO138" s="162"/>
      <c r="FP138" s="162"/>
      <c r="FQ138" s="163"/>
      <c r="FR138" s="164"/>
      <c r="FV138" s="162"/>
      <c r="FW138" s="162"/>
      <c r="FX138" s="163"/>
      <c r="FY138" s="164"/>
      <c r="GC138" s="162"/>
      <c r="GD138" s="162"/>
      <c r="GE138" s="163"/>
      <c r="GF138" s="164"/>
      <c r="GJ138" s="162"/>
      <c r="GK138" s="162"/>
      <c r="GL138" s="163"/>
      <c r="GM138" s="164"/>
      <c r="GQ138" s="162"/>
      <c r="GR138" s="162"/>
      <c r="GS138" s="163"/>
      <c r="GT138" s="164"/>
      <c r="GX138" s="162"/>
      <c r="GY138" s="162"/>
      <c r="GZ138" s="163"/>
      <c r="HA138" s="164"/>
      <c r="HE138" s="162"/>
      <c r="HF138" s="162"/>
      <c r="HG138" s="163"/>
      <c r="HH138" s="164"/>
      <c r="HL138" s="162"/>
      <c r="HM138" s="162"/>
      <c r="HN138" s="163"/>
      <c r="HO138" s="164"/>
      <c r="HS138" s="162"/>
      <c r="HT138" s="162"/>
      <c r="HU138" s="163"/>
      <c r="HV138" s="164"/>
    </row>
    <row r="139" spans="3:230" x14ac:dyDescent="0.2">
      <c r="C139" s="162"/>
      <c r="D139" s="162"/>
      <c r="E139" s="163"/>
      <c r="F139" s="164"/>
      <c r="J139" s="162"/>
      <c r="K139" s="162"/>
      <c r="L139" s="163"/>
      <c r="M139" s="164"/>
      <c r="Q139" s="162"/>
      <c r="R139" s="162"/>
      <c r="S139" s="163"/>
      <c r="T139" s="164"/>
      <c r="X139" s="162"/>
      <c r="Y139" s="162"/>
      <c r="Z139" s="163"/>
      <c r="AA139" s="164"/>
      <c r="AE139" s="162"/>
      <c r="AF139" s="162"/>
      <c r="AG139" s="163"/>
      <c r="AH139" s="164"/>
      <c r="AL139" s="162"/>
      <c r="AM139" s="162"/>
      <c r="AN139" s="163"/>
      <c r="AO139" s="164"/>
      <c r="AS139" s="162"/>
      <c r="AT139" s="162"/>
      <c r="AU139" s="163"/>
      <c r="AV139" s="164"/>
      <c r="AZ139" s="162"/>
      <c r="BA139" s="162"/>
      <c r="BB139" s="163"/>
      <c r="BC139" s="164"/>
      <c r="BG139" s="162"/>
      <c r="BH139" s="162"/>
      <c r="BI139" s="163"/>
      <c r="BJ139" s="164"/>
      <c r="BN139" s="162"/>
      <c r="BO139" s="162"/>
      <c r="BP139" s="163"/>
      <c r="BQ139" s="164"/>
      <c r="BU139" s="162"/>
      <c r="BV139" s="162"/>
      <c r="BW139" s="163"/>
      <c r="BX139" s="164"/>
      <c r="CB139" s="162"/>
      <c r="CC139" s="162"/>
      <c r="CD139" s="163"/>
      <c r="CE139" s="164"/>
      <c r="CI139" s="162"/>
      <c r="CJ139" s="162"/>
      <c r="CK139" s="163"/>
      <c r="CL139" s="164"/>
      <c r="CP139" s="162"/>
      <c r="CQ139" s="162"/>
      <c r="CR139" s="163"/>
      <c r="CS139" s="164"/>
      <c r="CW139" s="162"/>
      <c r="CX139" s="162"/>
      <c r="CY139" s="163"/>
      <c r="CZ139" s="164"/>
      <c r="DD139" s="162"/>
      <c r="DE139" s="162"/>
      <c r="DF139" s="163"/>
      <c r="DG139" s="164"/>
      <c r="DK139" s="162"/>
      <c r="DL139" s="162"/>
      <c r="DM139" s="163"/>
      <c r="DN139" s="164"/>
      <c r="DR139" s="162"/>
      <c r="DS139" s="162"/>
      <c r="DT139" s="163"/>
      <c r="DU139" s="164"/>
      <c r="DY139" s="162"/>
      <c r="DZ139" s="162"/>
      <c r="EA139" s="163"/>
      <c r="EB139" s="164"/>
      <c r="EF139" s="162"/>
      <c r="EG139" s="162"/>
      <c r="EH139" s="163"/>
      <c r="EI139" s="164"/>
      <c r="EM139" s="162"/>
      <c r="EN139" s="162"/>
      <c r="EO139" s="163"/>
      <c r="EP139" s="164"/>
      <c r="ET139" s="162"/>
      <c r="EU139" s="162"/>
      <c r="EV139" s="163"/>
      <c r="EW139" s="164"/>
      <c r="FA139" s="162"/>
      <c r="FB139" s="162"/>
      <c r="FC139" s="163"/>
      <c r="FD139" s="164"/>
      <c r="FH139" s="162"/>
      <c r="FI139" s="162"/>
      <c r="FJ139" s="163"/>
      <c r="FK139" s="164"/>
      <c r="FO139" s="162"/>
      <c r="FP139" s="162"/>
      <c r="FQ139" s="163"/>
      <c r="FR139" s="164"/>
      <c r="FV139" s="162"/>
      <c r="FW139" s="162"/>
      <c r="FX139" s="163"/>
      <c r="FY139" s="164"/>
      <c r="GC139" s="162"/>
      <c r="GD139" s="162"/>
      <c r="GE139" s="163"/>
      <c r="GF139" s="164"/>
      <c r="GJ139" s="162"/>
      <c r="GK139" s="162"/>
      <c r="GL139" s="163"/>
      <c r="GM139" s="164"/>
      <c r="GQ139" s="162"/>
      <c r="GR139" s="162"/>
      <c r="GS139" s="163"/>
      <c r="GT139" s="164"/>
      <c r="GX139" s="162"/>
      <c r="GY139" s="162"/>
      <c r="GZ139" s="163"/>
      <c r="HA139" s="164"/>
      <c r="HE139" s="162"/>
      <c r="HF139" s="162"/>
      <c r="HG139" s="163"/>
      <c r="HH139" s="164"/>
      <c r="HL139" s="162"/>
      <c r="HM139" s="162"/>
      <c r="HN139" s="163"/>
      <c r="HO139" s="164"/>
      <c r="HS139" s="162"/>
      <c r="HT139" s="162"/>
      <c r="HU139" s="163"/>
      <c r="HV139" s="164"/>
    </row>
    <row r="140" spans="3:230" x14ac:dyDescent="0.2">
      <c r="C140" s="162"/>
      <c r="D140" s="162"/>
      <c r="E140" s="163"/>
      <c r="F140" s="164"/>
      <c r="J140" s="162"/>
      <c r="K140" s="162"/>
      <c r="L140" s="163"/>
      <c r="M140" s="164"/>
      <c r="Q140" s="162"/>
      <c r="R140" s="162"/>
      <c r="S140" s="163"/>
      <c r="T140" s="164"/>
      <c r="X140" s="162"/>
      <c r="Y140" s="162"/>
      <c r="Z140" s="163"/>
      <c r="AA140" s="164"/>
      <c r="AE140" s="162"/>
      <c r="AF140" s="162"/>
      <c r="AG140" s="163"/>
      <c r="AH140" s="164"/>
      <c r="AL140" s="162"/>
      <c r="AM140" s="162"/>
      <c r="AN140" s="163"/>
      <c r="AO140" s="164"/>
      <c r="AS140" s="162"/>
      <c r="AT140" s="162"/>
      <c r="AU140" s="163"/>
      <c r="AV140" s="164"/>
      <c r="AZ140" s="162"/>
      <c r="BA140" s="162"/>
      <c r="BB140" s="163"/>
      <c r="BC140" s="164"/>
      <c r="BG140" s="162"/>
      <c r="BH140" s="162"/>
      <c r="BI140" s="163"/>
      <c r="BJ140" s="164"/>
      <c r="BN140" s="162"/>
      <c r="BO140" s="162"/>
      <c r="BP140" s="163"/>
      <c r="BQ140" s="164"/>
      <c r="BU140" s="162"/>
      <c r="BV140" s="162"/>
      <c r="BW140" s="163"/>
      <c r="BX140" s="164"/>
      <c r="CB140" s="162"/>
      <c r="CC140" s="162"/>
      <c r="CD140" s="163"/>
      <c r="CE140" s="164"/>
      <c r="CI140" s="162"/>
      <c r="CJ140" s="162"/>
      <c r="CK140" s="163"/>
      <c r="CL140" s="164"/>
      <c r="CP140" s="162"/>
      <c r="CQ140" s="162"/>
      <c r="CR140" s="163"/>
      <c r="CS140" s="164"/>
      <c r="CW140" s="162"/>
      <c r="CX140" s="162"/>
      <c r="CY140" s="163"/>
      <c r="CZ140" s="164"/>
      <c r="DD140" s="162"/>
      <c r="DE140" s="162"/>
      <c r="DF140" s="163"/>
      <c r="DG140" s="164"/>
      <c r="DK140" s="162"/>
      <c r="DL140" s="162"/>
      <c r="DM140" s="163"/>
      <c r="DN140" s="164"/>
      <c r="DR140" s="162"/>
      <c r="DS140" s="162"/>
      <c r="DT140" s="163"/>
      <c r="DU140" s="164"/>
      <c r="DY140" s="162"/>
      <c r="DZ140" s="162"/>
      <c r="EA140" s="163"/>
      <c r="EB140" s="164"/>
      <c r="EF140" s="162"/>
      <c r="EG140" s="162"/>
      <c r="EH140" s="163"/>
      <c r="EI140" s="164"/>
      <c r="EM140" s="162"/>
      <c r="EN140" s="162"/>
      <c r="EO140" s="163"/>
      <c r="EP140" s="164"/>
      <c r="ET140" s="162"/>
      <c r="EU140" s="162"/>
      <c r="EV140" s="163"/>
      <c r="EW140" s="164"/>
      <c r="FA140" s="162"/>
      <c r="FB140" s="162"/>
      <c r="FC140" s="163"/>
      <c r="FD140" s="164"/>
      <c r="FH140" s="162"/>
      <c r="FI140" s="162"/>
      <c r="FJ140" s="163"/>
      <c r="FK140" s="164"/>
      <c r="FO140" s="162"/>
      <c r="FP140" s="162"/>
      <c r="FQ140" s="163"/>
      <c r="FR140" s="164"/>
      <c r="FV140" s="162"/>
      <c r="FW140" s="162"/>
      <c r="FX140" s="163"/>
      <c r="FY140" s="164"/>
      <c r="GC140" s="162"/>
      <c r="GD140" s="162"/>
      <c r="GE140" s="163"/>
      <c r="GF140" s="164"/>
      <c r="GJ140" s="162"/>
      <c r="GK140" s="162"/>
      <c r="GL140" s="163"/>
      <c r="GM140" s="164"/>
      <c r="GQ140" s="162"/>
      <c r="GR140" s="162"/>
      <c r="GS140" s="163"/>
      <c r="GT140" s="164"/>
      <c r="GX140" s="162"/>
      <c r="GY140" s="162"/>
      <c r="GZ140" s="163"/>
      <c r="HA140" s="164"/>
      <c r="HE140" s="162"/>
      <c r="HF140" s="162"/>
      <c r="HG140" s="163"/>
      <c r="HH140" s="164"/>
      <c r="HL140" s="162"/>
      <c r="HM140" s="162"/>
      <c r="HN140" s="163"/>
      <c r="HO140" s="164"/>
      <c r="HS140" s="162"/>
      <c r="HT140" s="162"/>
      <c r="HU140" s="163"/>
      <c r="HV140" s="164"/>
    </row>
    <row r="141" spans="3:230" x14ac:dyDescent="0.2">
      <c r="C141" s="162"/>
      <c r="D141" s="162"/>
      <c r="E141" s="163"/>
      <c r="F141" s="164"/>
      <c r="J141" s="162"/>
      <c r="K141" s="162"/>
      <c r="L141" s="163"/>
      <c r="M141" s="164"/>
      <c r="Q141" s="162"/>
      <c r="R141" s="162"/>
      <c r="S141" s="163"/>
      <c r="T141" s="164"/>
      <c r="X141" s="162"/>
      <c r="Y141" s="162"/>
      <c r="Z141" s="163"/>
      <c r="AA141" s="164"/>
      <c r="AE141" s="162"/>
      <c r="AF141" s="162"/>
      <c r="AG141" s="163"/>
      <c r="AH141" s="164"/>
      <c r="AL141" s="162"/>
      <c r="AM141" s="162"/>
      <c r="AN141" s="163"/>
      <c r="AO141" s="164"/>
      <c r="AS141" s="162"/>
      <c r="AT141" s="162"/>
      <c r="AU141" s="163"/>
      <c r="AV141" s="164"/>
      <c r="AZ141" s="162"/>
      <c r="BA141" s="162"/>
      <c r="BB141" s="163"/>
      <c r="BC141" s="164"/>
      <c r="BG141" s="162"/>
      <c r="BH141" s="162"/>
      <c r="BI141" s="163"/>
      <c r="BJ141" s="164"/>
      <c r="BN141" s="162"/>
      <c r="BO141" s="162"/>
      <c r="BP141" s="163"/>
      <c r="BQ141" s="164"/>
      <c r="BU141" s="162"/>
      <c r="BV141" s="162"/>
      <c r="BW141" s="163"/>
      <c r="BX141" s="164"/>
      <c r="CB141" s="162"/>
      <c r="CC141" s="162"/>
      <c r="CD141" s="163"/>
      <c r="CE141" s="164"/>
      <c r="CI141" s="162"/>
      <c r="CJ141" s="162"/>
      <c r="CK141" s="163"/>
      <c r="CL141" s="164"/>
      <c r="CP141" s="162"/>
      <c r="CQ141" s="162"/>
      <c r="CR141" s="163"/>
      <c r="CS141" s="164"/>
      <c r="CW141" s="162"/>
      <c r="CX141" s="162"/>
      <c r="CY141" s="163"/>
      <c r="CZ141" s="164"/>
      <c r="DD141" s="162"/>
      <c r="DE141" s="162"/>
      <c r="DF141" s="163"/>
      <c r="DG141" s="164"/>
      <c r="DK141" s="162"/>
      <c r="DL141" s="162"/>
      <c r="DM141" s="163"/>
      <c r="DN141" s="164"/>
      <c r="DR141" s="162"/>
      <c r="DS141" s="162"/>
      <c r="DT141" s="163"/>
      <c r="DU141" s="164"/>
      <c r="DY141" s="162"/>
      <c r="DZ141" s="162"/>
      <c r="EA141" s="163"/>
      <c r="EB141" s="164"/>
      <c r="EF141" s="162"/>
      <c r="EG141" s="162"/>
      <c r="EH141" s="163"/>
      <c r="EI141" s="164"/>
      <c r="EM141" s="162"/>
      <c r="EN141" s="162"/>
      <c r="EO141" s="163"/>
      <c r="EP141" s="164"/>
      <c r="ET141" s="162"/>
      <c r="EU141" s="162"/>
      <c r="EV141" s="163"/>
      <c r="EW141" s="164"/>
      <c r="FA141" s="162"/>
      <c r="FB141" s="162"/>
      <c r="FC141" s="163"/>
      <c r="FD141" s="164"/>
      <c r="FH141" s="162"/>
      <c r="FI141" s="162"/>
      <c r="FJ141" s="163"/>
      <c r="FK141" s="164"/>
      <c r="FO141" s="162"/>
      <c r="FP141" s="162"/>
      <c r="FQ141" s="163"/>
      <c r="FR141" s="164"/>
      <c r="FV141" s="162"/>
      <c r="FW141" s="162"/>
      <c r="FX141" s="163"/>
      <c r="FY141" s="164"/>
      <c r="GC141" s="162"/>
      <c r="GD141" s="162"/>
      <c r="GE141" s="163"/>
      <c r="GF141" s="164"/>
      <c r="GJ141" s="162"/>
      <c r="GK141" s="162"/>
      <c r="GL141" s="163"/>
      <c r="GM141" s="164"/>
      <c r="GQ141" s="162"/>
      <c r="GR141" s="162"/>
      <c r="GS141" s="163"/>
      <c r="GT141" s="164"/>
      <c r="GX141" s="162"/>
      <c r="GY141" s="162"/>
      <c r="GZ141" s="163"/>
      <c r="HA141" s="164"/>
      <c r="HE141" s="162"/>
      <c r="HF141" s="162"/>
      <c r="HG141" s="163"/>
      <c r="HH141" s="164"/>
      <c r="HL141" s="162"/>
      <c r="HM141" s="162"/>
      <c r="HN141" s="163"/>
      <c r="HO141" s="164"/>
      <c r="HS141" s="162"/>
      <c r="HT141" s="162"/>
      <c r="HU141" s="163"/>
      <c r="HV141" s="164"/>
    </row>
    <row r="142" spans="3:230" x14ac:dyDescent="0.2">
      <c r="C142" s="162"/>
      <c r="D142" s="162"/>
      <c r="E142" s="163"/>
      <c r="F142" s="164"/>
      <c r="J142" s="162"/>
      <c r="K142" s="162"/>
      <c r="L142" s="163"/>
      <c r="M142" s="164"/>
      <c r="Q142" s="162"/>
      <c r="R142" s="162"/>
      <c r="S142" s="163"/>
      <c r="T142" s="164"/>
      <c r="X142" s="162"/>
      <c r="Y142" s="162"/>
      <c r="Z142" s="163"/>
      <c r="AA142" s="164"/>
      <c r="AE142" s="162"/>
      <c r="AF142" s="162"/>
      <c r="AG142" s="163"/>
      <c r="AH142" s="164"/>
      <c r="AL142" s="162"/>
      <c r="AM142" s="162"/>
      <c r="AN142" s="163"/>
      <c r="AO142" s="164"/>
      <c r="AS142" s="162"/>
      <c r="AT142" s="162"/>
      <c r="AU142" s="163"/>
      <c r="AV142" s="164"/>
      <c r="AZ142" s="162"/>
      <c r="BA142" s="162"/>
      <c r="BB142" s="163"/>
      <c r="BC142" s="164"/>
      <c r="BG142" s="162"/>
      <c r="BH142" s="162"/>
      <c r="BI142" s="163"/>
      <c r="BJ142" s="164"/>
      <c r="BN142" s="162"/>
      <c r="BO142" s="162"/>
      <c r="BP142" s="163"/>
      <c r="BQ142" s="164"/>
      <c r="BU142" s="162"/>
      <c r="BV142" s="162"/>
      <c r="BW142" s="163"/>
      <c r="BX142" s="164"/>
      <c r="CB142" s="162"/>
      <c r="CC142" s="162"/>
      <c r="CD142" s="163"/>
      <c r="CE142" s="164"/>
      <c r="CI142" s="162"/>
      <c r="CJ142" s="162"/>
      <c r="CK142" s="163"/>
      <c r="CL142" s="164"/>
      <c r="CP142" s="162"/>
      <c r="CQ142" s="162"/>
      <c r="CR142" s="163"/>
      <c r="CS142" s="164"/>
      <c r="CW142" s="162"/>
      <c r="CX142" s="162"/>
      <c r="CY142" s="163"/>
      <c r="CZ142" s="164"/>
      <c r="DD142" s="162"/>
      <c r="DE142" s="162"/>
      <c r="DF142" s="163"/>
      <c r="DG142" s="164"/>
      <c r="DK142" s="162"/>
      <c r="DL142" s="162"/>
      <c r="DM142" s="163"/>
      <c r="DN142" s="164"/>
      <c r="DR142" s="162"/>
      <c r="DS142" s="162"/>
      <c r="DT142" s="163"/>
      <c r="DU142" s="164"/>
      <c r="DY142" s="162"/>
      <c r="DZ142" s="162"/>
      <c r="EA142" s="163"/>
      <c r="EB142" s="164"/>
      <c r="EF142" s="162"/>
      <c r="EG142" s="162"/>
      <c r="EH142" s="163"/>
      <c r="EI142" s="164"/>
      <c r="EM142" s="162"/>
      <c r="EN142" s="162"/>
      <c r="EO142" s="163"/>
      <c r="EP142" s="164"/>
      <c r="ET142" s="162"/>
      <c r="EU142" s="162"/>
      <c r="EV142" s="163"/>
      <c r="EW142" s="164"/>
      <c r="FA142" s="162"/>
      <c r="FB142" s="162"/>
      <c r="FC142" s="163"/>
      <c r="FD142" s="164"/>
      <c r="FH142" s="162"/>
      <c r="FI142" s="162"/>
      <c r="FJ142" s="163"/>
      <c r="FK142" s="164"/>
      <c r="FO142" s="162"/>
      <c r="FP142" s="162"/>
      <c r="FQ142" s="163"/>
      <c r="FR142" s="164"/>
      <c r="FV142" s="162"/>
      <c r="FW142" s="162"/>
      <c r="FX142" s="163"/>
      <c r="FY142" s="164"/>
      <c r="GC142" s="162"/>
      <c r="GD142" s="162"/>
      <c r="GE142" s="163"/>
      <c r="GF142" s="164"/>
      <c r="GJ142" s="162"/>
      <c r="GK142" s="162"/>
      <c r="GL142" s="163"/>
      <c r="GM142" s="164"/>
      <c r="GQ142" s="162"/>
      <c r="GR142" s="162"/>
      <c r="GS142" s="163"/>
      <c r="GT142" s="164"/>
      <c r="GX142" s="162"/>
      <c r="GY142" s="162"/>
      <c r="GZ142" s="163"/>
      <c r="HA142" s="164"/>
      <c r="HE142" s="162"/>
      <c r="HF142" s="162"/>
      <c r="HG142" s="163"/>
      <c r="HH142" s="164"/>
      <c r="HL142" s="162"/>
      <c r="HM142" s="162"/>
      <c r="HN142" s="163"/>
      <c r="HO142" s="164"/>
      <c r="HS142" s="162"/>
      <c r="HT142" s="162"/>
      <c r="HU142" s="163"/>
      <c r="HV142" s="164"/>
    </row>
    <row r="143" spans="3:230" x14ac:dyDescent="0.2">
      <c r="C143" s="162"/>
      <c r="D143" s="162"/>
      <c r="E143" s="163"/>
      <c r="F143" s="164"/>
      <c r="J143" s="162"/>
      <c r="K143" s="162"/>
      <c r="L143" s="163"/>
      <c r="M143" s="164"/>
      <c r="Q143" s="162"/>
      <c r="R143" s="162"/>
      <c r="S143" s="163"/>
      <c r="T143" s="164"/>
      <c r="X143" s="162"/>
      <c r="Y143" s="162"/>
      <c r="Z143" s="163"/>
      <c r="AA143" s="164"/>
      <c r="AE143" s="162"/>
      <c r="AF143" s="162"/>
      <c r="AG143" s="163"/>
      <c r="AH143" s="164"/>
      <c r="AL143" s="162"/>
      <c r="AM143" s="162"/>
      <c r="AN143" s="163"/>
      <c r="AO143" s="164"/>
      <c r="AS143" s="162"/>
      <c r="AT143" s="162"/>
      <c r="AU143" s="163"/>
      <c r="AV143" s="164"/>
      <c r="AZ143" s="162"/>
      <c r="BA143" s="162"/>
      <c r="BB143" s="163"/>
      <c r="BC143" s="164"/>
      <c r="BG143" s="162"/>
      <c r="BH143" s="162"/>
      <c r="BI143" s="163"/>
      <c r="BJ143" s="164"/>
      <c r="BN143" s="162"/>
      <c r="BO143" s="162"/>
      <c r="BP143" s="163"/>
      <c r="BQ143" s="164"/>
      <c r="BU143" s="162"/>
      <c r="BV143" s="162"/>
      <c r="BW143" s="163"/>
      <c r="BX143" s="164"/>
      <c r="CB143" s="162"/>
      <c r="CC143" s="162"/>
      <c r="CD143" s="163"/>
      <c r="CE143" s="164"/>
      <c r="CI143" s="162"/>
      <c r="CJ143" s="162"/>
      <c r="CK143" s="163"/>
      <c r="CL143" s="164"/>
      <c r="CP143" s="162"/>
      <c r="CQ143" s="162"/>
      <c r="CR143" s="163"/>
      <c r="CS143" s="164"/>
      <c r="CW143" s="162"/>
      <c r="CX143" s="162"/>
      <c r="CY143" s="163"/>
      <c r="CZ143" s="164"/>
      <c r="DD143" s="162"/>
      <c r="DE143" s="162"/>
      <c r="DF143" s="163"/>
      <c r="DG143" s="164"/>
      <c r="DK143" s="162"/>
      <c r="DL143" s="162"/>
      <c r="DM143" s="163"/>
      <c r="DN143" s="164"/>
      <c r="DR143" s="162"/>
      <c r="DS143" s="162"/>
      <c r="DT143" s="163"/>
      <c r="DU143" s="164"/>
      <c r="DY143" s="162"/>
      <c r="DZ143" s="162"/>
      <c r="EA143" s="163"/>
      <c r="EB143" s="164"/>
      <c r="EF143" s="162"/>
      <c r="EG143" s="162"/>
      <c r="EH143" s="163"/>
      <c r="EI143" s="164"/>
      <c r="EM143" s="162"/>
      <c r="EN143" s="162"/>
      <c r="EO143" s="163"/>
      <c r="EP143" s="164"/>
      <c r="ET143" s="162"/>
      <c r="EU143" s="162"/>
      <c r="EV143" s="163"/>
      <c r="EW143" s="164"/>
      <c r="FA143" s="162"/>
      <c r="FB143" s="162"/>
      <c r="FC143" s="163"/>
      <c r="FD143" s="164"/>
      <c r="FH143" s="162"/>
      <c r="FI143" s="162"/>
      <c r="FJ143" s="163"/>
      <c r="FK143" s="164"/>
      <c r="FO143" s="162"/>
      <c r="FP143" s="162"/>
      <c r="FQ143" s="163"/>
      <c r="FR143" s="164"/>
      <c r="FV143" s="162"/>
      <c r="FW143" s="162"/>
      <c r="FX143" s="163"/>
      <c r="FY143" s="164"/>
      <c r="GC143" s="162"/>
      <c r="GD143" s="162"/>
      <c r="GE143" s="163"/>
      <c r="GF143" s="164"/>
      <c r="GJ143" s="162"/>
      <c r="GK143" s="162"/>
      <c r="GL143" s="163"/>
      <c r="GM143" s="164"/>
      <c r="GQ143" s="162"/>
      <c r="GR143" s="162"/>
      <c r="GS143" s="163"/>
      <c r="GT143" s="164"/>
      <c r="GX143" s="162"/>
      <c r="GY143" s="162"/>
      <c r="GZ143" s="163"/>
      <c r="HA143" s="164"/>
      <c r="HE143" s="162"/>
      <c r="HF143" s="162"/>
      <c r="HG143" s="163"/>
      <c r="HH143" s="164"/>
      <c r="HL143" s="162"/>
      <c r="HM143" s="162"/>
      <c r="HN143" s="163"/>
      <c r="HO143" s="164"/>
      <c r="HS143" s="162"/>
      <c r="HT143" s="162"/>
      <c r="HU143" s="163"/>
      <c r="HV143" s="164"/>
    </row>
    <row r="144" spans="3:230" x14ac:dyDescent="0.2">
      <c r="C144" s="162"/>
      <c r="D144" s="162"/>
      <c r="E144" s="163"/>
      <c r="F144" s="164"/>
      <c r="J144" s="162"/>
      <c r="K144" s="162"/>
      <c r="L144" s="163"/>
      <c r="M144" s="164"/>
      <c r="Q144" s="162"/>
      <c r="R144" s="162"/>
      <c r="S144" s="163"/>
      <c r="T144" s="164"/>
      <c r="X144" s="162"/>
      <c r="Y144" s="162"/>
      <c r="Z144" s="163"/>
      <c r="AA144" s="164"/>
      <c r="AE144" s="162"/>
      <c r="AF144" s="162"/>
      <c r="AG144" s="163"/>
      <c r="AH144" s="164"/>
      <c r="AL144" s="162"/>
      <c r="AM144" s="162"/>
      <c r="AN144" s="163"/>
      <c r="AO144" s="164"/>
      <c r="AS144" s="162"/>
      <c r="AT144" s="162"/>
      <c r="AU144" s="163"/>
      <c r="AV144" s="164"/>
      <c r="AZ144" s="162"/>
      <c r="BA144" s="162"/>
      <c r="BB144" s="163"/>
      <c r="BC144" s="164"/>
      <c r="BG144" s="162"/>
      <c r="BH144" s="162"/>
      <c r="BI144" s="163"/>
      <c r="BJ144" s="164"/>
      <c r="BN144" s="162"/>
      <c r="BO144" s="162"/>
      <c r="BP144" s="163"/>
      <c r="BQ144" s="164"/>
      <c r="BU144" s="162"/>
      <c r="BV144" s="162"/>
      <c r="BW144" s="163"/>
      <c r="BX144" s="164"/>
      <c r="CB144" s="162"/>
      <c r="CC144" s="162"/>
      <c r="CD144" s="163"/>
      <c r="CE144" s="164"/>
      <c r="CI144" s="162"/>
      <c r="CJ144" s="162"/>
      <c r="CK144" s="163"/>
      <c r="CL144" s="164"/>
      <c r="CP144" s="162"/>
      <c r="CQ144" s="162"/>
      <c r="CR144" s="163"/>
      <c r="CS144" s="164"/>
      <c r="CW144" s="162"/>
      <c r="CX144" s="162"/>
      <c r="CY144" s="163"/>
      <c r="CZ144" s="164"/>
      <c r="DD144" s="162"/>
      <c r="DE144" s="162"/>
      <c r="DF144" s="163"/>
      <c r="DG144" s="164"/>
      <c r="DK144" s="162"/>
      <c r="DL144" s="162"/>
      <c r="DM144" s="163"/>
      <c r="DN144" s="164"/>
      <c r="DR144" s="162"/>
      <c r="DS144" s="162"/>
      <c r="DT144" s="163"/>
      <c r="DU144" s="164"/>
      <c r="DY144" s="162"/>
      <c r="DZ144" s="162"/>
      <c r="EA144" s="163"/>
      <c r="EB144" s="164"/>
      <c r="EF144" s="162"/>
      <c r="EG144" s="162"/>
      <c r="EH144" s="163"/>
      <c r="EI144" s="164"/>
      <c r="EM144" s="162"/>
      <c r="EN144" s="162"/>
      <c r="EO144" s="163"/>
      <c r="EP144" s="164"/>
      <c r="ET144" s="162"/>
      <c r="EU144" s="162"/>
      <c r="EV144" s="163"/>
      <c r="EW144" s="164"/>
      <c r="FA144" s="162"/>
      <c r="FB144" s="162"/>
      <c r="FC144" s="163"/>
      <c r="FD144" s="164"/>
      <c r="FH144" s="162"/>
      <c r="FI144" s="162"/>
      <c r="FJ144" s="163"/>
      <c r="FK144" s="164"/>
      <c r="FO144" s="162"/>
      <c r="FP144" s="162"/>
      <c r="FQ144" s="163"/>
      <c r="FR144" s="164"/>
      <c r="FV144" s="162"/>
      <c r="FW144" s="162"/>
      <c r="FX144" s="163"/>
      <c r="FY144" s="164"/>
      <c r="GC144" s="162"/>
      <c r="GD144" s="162"/>
      <c r="GE144" s="163"/>
      <c r="GF144" s="164"/>
      <c r="GJ144" s="162"/>
      <c r="GK144" s="162"/>
      <c r="GL144" s="163"/>
      <c r="GM144" s="164"/>
      <c r="GQ144" s="162"/>
      <c r="GR144" s="162"/>
      <c r="GS144" s="163"/>
      <c r="GT144" s="164"/>
      <c r="GX144" s="162"/>
      <c r="GY144" s="162"/>
      <c r="GZ144" s="163"/>
      <c r="HA144" s="164"/>
      <c r="HE144" s="162"/>
      <c r="HF144" s="162"/>
      <c r="HG144" s="163"/>
      <c r="HH144" s="164"/>
      <c r="HL144" s="162"/>
      <c r="HM144" s="162"/>
      <c r="HN144" s="163"/>
      <c r="HO144" s="164"/>
      <c r="HS144" s="162"/>
      <c r="HT144" s="162"/>
      <c r="HU144" s="163"/>
      <c r="HV144" s="164"/>
    </row>
    <row r="145" spans="3:230" x14ac:dyDescent="0.2">
      <c r="C145" s="162"/>
      <c r="D145" s="162"/>
      <c r="E145" s="163"/>
      <c r="F145" s="164"/>
      <c r="J145" s="162"/>
      <c r="K145" s="162"/>
      <c r="L145" s="163"/>
      <c r="M145" s="164"/>
      <c r="Q145" s="162"/>
      <c r="R145" s="162"/>
      <c r="S145" s="163"/>
      <c r="T145" s="164"/>
      <c r="X145" s="162"/>
      <c r="Y145" s="162"/>
      <c r="Z145" s="163"/>
      <c r="AA145" s="164"/>
      <c r="AE145" s="162"/>
      <c r="AF145" s="162"/>
      <c r="AG145" s="163"/>
      <c r="AH145" s="164"/>
      <c r="AL145" s="162"/>
      <c r="AM145" s="162"/>
      <c r="AN145" s="163"/>
      <c r="AO145" s="164"/>
      <c r="AS145" s="162"/>
      <c r="AT145" s="162"/>
      <c r="AU145" s="163"/>
      <c r="AV145" s="164"/>
      <c r="AZ145" s="162"/>
      <c r="BA145" s="162"/>
      <c r="BB145" s="163"/>
      <c r="BC145" s="164"/>
      <c r="BG145" s="162"/>
      <c r="BH145" s="162"/>
      <c r="BI145" s="163"/>
      <c r="BJ145" s="164"/>
      <c r="BN145" s="162"/>
      <c r="BO145" s="162"/>
      <c r="BP145" s="163"/>
      <c r="BQ145" s="164"/>
      <c r="BU145" s="162"/>
      <c r="BV145" s="162"/>
      <c r="BW145" s="163"/>
      <c r="BX145" s="164"/>
      <c r="CB145" s="162"/>
      <c r="CC145" s="162"/>
      <c r="CD145" s="163"/>
      <c r="CE145" s="164"/>
      <c r="CI145" s="162"/>
      <c r="CJ145" s="162"/>
      <c r="CK145" s="163"/>
      <c r="CL145" s="164"/>
      <c r="CP145" s="162"/>
      <c r="CQ145" s="162"/>
      <c r="CR145" s="163"/>
      <c r="CS145" s="164"/>
      <c r="CW145" s="162"/>
      <c r="CX145" s="162"/>
      <c r="CY145" s="163"/>
      <c r="CZ145" s="164"/>
      <c r="DD145" s="162"/>
      <c r="DE145" s="162"/>
      <c r="DF145" s="163"/>
      <c r="DG145" s="164"/>
      <c r="DK145" s="162"/>
      <c r="DL145" s="162"/>
      <c r="DM145" s="163"/>
      <c r="DN145" s="164"/>
      <c r="DR145" s="162"/>
      <c r="DS145" s="162"/>
      <c r="DT145" s="163"/>
      <c r="DU145" s="164"/>
      <c r="DY145" s="162"/>
      <c r="DZ145" s="162"/>
      <c r="EA145" s="163"/>
      <c r="EB145" s="164"/>
      <c r="EF145" s="162"/>
      <c r="EG145" s="162"/>
      <c r="EH145" s="163"/>
      <c r="EI145" s="164"/>
      <c r="EM145" s="162"/>
      <c r="EN145" s="162"/>
      <c r="EO145" s="163"/>
      <c r="EP145" s="164"/>
      <c r="ET145" s="162"/>
      <c r="EU145" s="162"/>
      <c r="EV145" s="163"/>
      <c r="EW145" s="164"/>
      <c r="FA145" s="162"/>
      <c r="FB145" s="162"/>
      <c r="FC145" s="163"/>
      <c r="FD145" s="164"/>
      <c r="FH145" s="162"/>
      <c r="FI145" s="162"/>
      <c r="FJ145" s="163"/>
      <c r="FK145" s="164"/>
      <c r="FO145" s="162"/>
      <c r="FP145" s="162"/>
      <c r="FQ145" s="163"/>
      <c r="FR145" s="164"/>
      <c r="FV145" s="162"/>
      <c r="FW145" s="162"/>
      <c r="FX145" s="163"/>
      <c r="FY145" s="164"/>
      <c r="GC145" s="162"/>
      <c r="GD145" s="162"/>
      <c r="GE145" s="163"/>
      <c r="GF145" s="164"/>
      <c r="GJ145" s="162"/>
      <c r="GK145" s="162"/>
      <c r="GL145" s="163"/>
      <c r="GM145" s="164"/>
      <c r="GQ145" s="162"/>
      <c r="GR145" s="162"/>
      <c r="GS145" s="163"/>
      <c r="GT145" s="164"/>
      <c r="GX145" s="162"/>
      <c r="GY145" s="162"/>
      <c r="GZ145" s="163"/>
      <c r="HA145" s="164"/>
      <c r="HE145" s="162"/>
      <c r="HF145" s="162"/>
      <c r="HG145" s="163"/>
      <c r="HH145" s="164"/>
      <c r="HL145" s="162"/>
      <c r="HM145" s="162"/>
      <c r="HN145" s="163"/>
      <c r="HO145" s="164"/>
      <c r="HS145" s="162"/>
      <c r="HT145" s="162"/>
      <c r="HU145" s="163"/>
      <c r="HV145" s="164"/>
    </row>
    <row r="146" spans="3:230" x14ac:dyDescent="0.2">
      <c r="C146" s="162"/>
      <c r="D146" s="162"/>
      <c r="E146" s="163"/>
      <c r="F146" s="164"/>
      <c r="J146" s="162"/>
      <c r="K146" s="162"/>
      <c r="L146" s="163"/>
      <c r="M146" s="164"/>
      <c r="Q146" s="162"/>
      <c r="R146" s="162"/>
      <c r="S146" s="163"/>
      <c r="T146" s="164"/>
      <c r="X146" s="162"/>
      <c r="Y146" s="162"/>
      <c r="Z146" s="163"/>
      <c r="AA146" s="164"/>
      <c r="AE146" s="162"/>
      <c r="AF146" s="162"/>
      <c r="AG146" s="163"/>
      <c r="AH146" s="164"/>
      <c r="AL146" s="162"/>
      <c r="AM146" s="162"/>
      <c r="AN146" s="163"/>
      <c r="AO146" s="164"/>
      <c r="AS146" s="162"/>
      <c r="AT146" s="162"/>
      <c r="AU146" s="163"/>
      <c r="AV146" s="164"/>
      <c r="AZ146" s="162"/>
      <c r="BA146" s="162"/>
      <c r="BB146" s="163"/>
      <c r="BC146" s="164"/>
      <c r="BG146" s="162"/>
      <c r="BH146" s="162"/>
      <c r="BI146" s="163"/>
      <c r="BJ146" s="164"/>
      <c r="BN146" s="162"/>
      <c r="BO146" s="162"/>
      <c r="BP146" s="163"/>
      <c r="BQ146" s="164"/>
      <c r="BU146" s="162"/>
      <c r="BV146" s="162"/>
      <c r="BW146" s="163"/>
      <c r="BX146" s="164"/>
      <c r="CB146" s="162"/>
      <c r="CC146" s="162"/>
      <c r="CD146" s="163"/>
      <c r="CE146" s="164"/>
      <c r="CI146" s="162"/>
      <c r="CJ146" s="162"/>
      <c r="CK146" s="163"/>
      <c r="CL146" s="164"/>
      <c r="CP146" s="162"/>
      <c r="CQ146" s="162"/>
      <c r="CR146" s="163"/>
      <c r="CS146" s="164"/>
      <c r="CW146" s="162"/>
      <c r="CX146" s="162"/>
      <c r="CY146" s="163"/>
      <c r="CZ146" s="164"/>
      <c r="DD146" s="162"/>
      <c r="DE146" s="162"/>
      <c r="DF146" s="163"/>
      <c r="DG146" s="164"/>
      <c r="DK146" s="162"/>
      <c r="DL146" s="162"/>
      <c r="DM146" s="163"/>
      <c r="DN146" s="164"/>
      <c r="DR146" s="162"/>
      <c r="DS146" s="162"/>
      <c r="DT146" s="163"/>
      <c r="DU146" s="164"/>
      <c r="DY146" s="162"/>
      <c r="DZ146" s="162"/>
      <c r="EA146" s="163"/>
      <c r="EB146" s="164"/>
      <c r="EF146" s="162"/>
      <c r="EG146" s="162"/>
      <c r="EH146" s="163"/>
      <c r="EI146" s="164"/>
      <c r="EM146" s="162"/>
      <c r="EN146" s="162"/>
      <c r="EO146" s="163"/>
      <c r="EP146" s="164"/>
      <c r="ET146" s="162"/>
      <c r="EU146" s="162"/>
      <c r="EV146" s="163"/>
      <c r="EW146" s="164"/>
      <c r="FA146" s="162"/>
      <c r="FB146" s="162"/>
      <c r="FC146" s="163"/>
      <c r="FD146" s="164"/>
      <c r="FH146" s="162"/>
      <c r="FI146" s="162"/>
      <c r="FJ146" s="163"/>
      <c r="FK146" s="164"/>
      <c r="FO146" s="162"/>
      <c r="FP146" s="162"/>
      <c r="FQ146" s="163"/>
      <c r="FR146" s="164"/>
      <c r="FV146" s="162"/>
      <c r="FW146" s="162"/>
      <c r="FX146" s="163"/>
      <c r="FY146" s="164"/>
      <c r="GC146" s="162"/>
      <c r="GD146" s="162"/>
      <c r="GE146" s="163"/>
      <c r="GF146" s="164"/>
      <c r="GJ146" s="162"/>
      <c r="GK146" s="162"/>
      <c r="GL146" s="163"/>
      <c r="GM146" s="164"/>
      <c r="GQ146" s="162"/>
      <c r="GR146" s="162"/>
      <c r="GS146" s="163"/>
      <c r="GT146" s="164"/>
      <c r="GX146" s="162"/>
      <c r="GY146" s="162"/>
      <c r="GZ146" s="163"/>
      <c r="HA146" s="164"/>
      <c r="HE146" s="162"/>
      <c r="HF146" s="162"/>
      <c r="HG146" s="163"/>
      <c r="HH146" s="164"/>
      <c r="HL146" s="162"/>
      <c r="HM146" s="162"/>
      <c r="HN146" s="163"/>
      <c r="HO146" s="164"/>
      <c r="HS146" s="162"/>
      <c r="HT146" s="162"/>
      <c r="HU146" s="163"/>
      <c r="HV146" s="164"/>
    </row>
    <row r="147" spans="3:230" x14ac:dyDescent="0.2">
      <c r="C147" s="162"/>
      <c r="D147" s="162"/>
      <c r="E147" s="163"/>
      <c r="F147" s="164"/>
      <c r="J147" s="162"/>
      <c r="K147" s="162"/>
      <c r="L147" s="163"/>
      <c r="M147" s="164"/>
      <c r="Q147" s="162"/>
      <c r="R147" s="162"/>
      <c r="S147" s="163"/>
      <c r="T147" s="164"/>
      <c r="X147" s="162"/>
      <c r="Y147" s="162"/>
      <c r="Z147" s="163"/>
      <c r="AA147" s="164"/>
      <c r="AE147" s="162"/>
      <c r="AF147" s="162"/>
      <c r="AG147" s="163"/>
      <c r="AH147" s="164"/>
      <c r="AL147" s="162"/>
      <c r="AM147" s="162"/>
      <c r="AN147" s="163"/>
      <c r="AO147" s="164"/>
      <c r="AS147" s="162"/>
      <c r="AT147" s="162"/>
      <c r="AU147" s="163"/>
      <c r="AV147" s="164"/>
      <c r="AZ147" s="162"/>
      <c r="BA147" s="162"/>
      <c r="BB147" s="163"/>
      <c r="BC147" s="164"/>
      <c r="BG147" s="162"/>
      <c r="BH147" s="162"/>
      <c r="BI147" s="163"/>
      <c r="BJ147" s="164"/>
      <c r="BN147" s="162"/>
      <c r="BO147" s="162"/>
      <c r="BP147" s="163"/>
      <c r="BQ147" s="164"/>
      <c r="BU147" s="162"/>
      <c r="BV147" s="162"/>
      <c r="BW147" s="163"/>
      <c r="BX147" s="164"/>
      <c r="CB147" s="162"/>
      <c r="CC147" s="162"/>
      <c r="CD147" s="163"/>
      <c r="CE147" s="164"/>
      <c r="CI147" s="162"/>
      <c r="CJ147" s="162"/>
      <c r="CK147" s="163"/>
      <c r="CL147" s="164"/>
      <c r="CP147" s="162"/>
      <c r="CQ147" s="162"/>
      <c r="CR147" s="163"/>
      <c r="CS147" s="164"/>
      <c r="CW147" s="162"/>
      <c r="CX147" s="162"/>
      <c r="CY147" s="163"/>
      <c r="CZ147" s="164"/>
      <c r="DD147" s="162"/>
      <c r="DE147" s="162"/>
      <c r="DF147" s="163"/>
      <c r="DG147" s="164"/>
      <c r="DK147" s="162"/>
      <c r="DL147" s="162"/>
      <c r="DM147" s="163"/>
      <c r="DN147" s="164"/>
      <c r="DR147" s="162"/>
      <c r="DS147" s="162"/>
      <c r="DT147" s="163"/>
      <c r="DU147" s="164"/>
      <c r="DY147" s="162"/>
      <c r="DZ147" s="162"/>
      <c r="EA147" s="163"/>
      <c r="EB147" s="164"/>
      <c r="EF147" s="162"/>
      <c r="EG147" s="162"/>
      <c r="EH147" s="163"/>
      <c r="EI147" s="164"/>
      <c r="EM147" s="162"/>
      <c r="EN147" s="162"/>
      <c r="EO147" s="163"/>
      <c r="EP147" s="164"/>
      <c r="ET147" s="162"/>
      <c r="EU147" s="162"/>
      <c r="EV147" s="163"/>
      <c r="EW147" s="164"/>
      <c r="FA147" s="162"/>
      <c r="FB147" s="162"/>
      <c r="FC147" s="163"/>
      <c r="FD147" s="164"/>
      <c r="FH147" s="162"/>
      <c r="FI147" s="162"/>
      <c r="FJ147" s="163"/>
      <c r="FK147" s="164"/>
      <c r="FO147" s="162"/>
      <c r="FP147" s="162"/>
      <c r="FQ147" s="163"/>
      <c r="FR147" s="164"/>
      <c r="FV147" s="162"/>
      <c r="FW147" s="162"/>
      <c r="FX147" s="163"/>
      <c r="FY147" s="164"/>
      <c r="GC147" s="162"/>
      <c r="GD147" s="162"/>
      <c r="GE147" s="163"/>
      <c r="GF147" s="164"/>
      <c r="GJ147" s="162"/>
      <c r="GK147" s="162"/>
      <c r="GL147" s="163"/>
      <c r="GM147" s="164"/>
      <c r="GQ147" s="162"/>
      <c r="GR147" s="162"/>
      <c r="GS147" s="163"/>
      <c r="GT147" s="164"/>
      <c r="GX147" s="162"/>
      <c r="GY147" s="162"/>
      <c r="GZ147" s="163"/>
      <c r="HA147" s="164"/>
      <c r="HE147" s="162"/>
      <c r="HF147" s="162"/>
      <c r="HG147" s="163"/>
      <c r="HH147" s="164"/>
      <c r="HL147" s="162"/>
      <c r="HM147" s="162"/>
      <c r="HN147" s="163"/>
      <c r="HO147" s="164"/>
      <c r="HS147" s="162"/>
      <c r="HT147" s="162"/>
      <c r="HU147" s="163"/>
      <c r="HV147" s="164"/>
    </row>
    <row r="148" spans="3:230" x14ac:dyDescent="0.2">
      <c r="C148" s="162"/>
      <c r="D148" s="162"/>
      <c r="E148" s="163"/>
      <c r="F148" s="164"/>
      <c r="J148" s="162"/>
      <c r="K148" s="162"/>
      <c r="L148" s="163"/>
      <c r="M148" s="164"/>
      <c r="Q148" s="162"/>
      <c r="R148" s="162"/>
      <c r="S148" s="163"/>
      <c r="T148" s="164"/>
      <c r="X148" s="162"/>
      <c r="Y148" s="162"/>
      <c r="Z148" s="163"/>
      <c r="AA148" s="164"/>
      <c r="AE148" s="162"/>
      <c r="AF148" s="162"/>
      <c r="AG148" s="163"/>
      <c r="AH148" s="164"/>
      <c r="AL148" s="162"/>
      <c r="AM148" s="162"/>
      <c r="AN148" s="163"/>
      <c r="AO148" s="164"/>
      <c r="AS148" s="162"/>
      <c r="AT148" s="162"/>
      <c r="AU148" s="163"/>
      <c r="AV148" s="164"/>
      <c r="AZ148" s="162"/>
      <c r="BA148" s="162"/>
      <c r="BB148" s="163"/>
      <c r="BC148" s="164"/>
      <c r="BG148" s="162"/>
      <c r="BH148" s="162"/>
      <c r="BI148" s="163"/>
      <c r="BJ148" s="164"/>
      <c r="BN148" s="162"/>
      <c r="BO148" s="162"/>
      <c r="BP148" s="163"/>
      <c r="BQ148" s="164"/>
      <c r="BU148" s="162"/>
      <c r="BV148" s="162"/>
      <c r="BW148" s="163"/>
      <c r="BX148" s="164"/>
      <c r="CB148" s="162"/>
      <c r="CC148" s="162"/>
      <c r="CD148" s="163"/>
      <c r="CE148" s="164"/>
      <c r="CI148" s="162"/>
      <c r="CJ148" s="162"/>
      <c r="CK148" s="163"/>
      <c r="CL148" s="164"/>
      <c r="CP148" s="162"/>
      <c r="CQ148" s="162"/>
      <c r="CR148" s="163"/>
      <c r="CS148" s="164"/>
      <c r="CW148" s="162"/>
      <c r="CX148" s="162"/>
      <c r="CY148" s="163"/>
      <c r="CZ148" s="164"/>
      <c r="DD148" s="162"/>
      <c r="DE148" s="162"/>
      <c r="DF148" s="163"/>
      <c r="DG148" s="164"/>
      <c r="DK148" s="162"/>
      <c r="DL148" s="162"/>
      <c r="DM148" s="163"/>
      <c r="DN148" s="164"/>
      <c r="DR148" s="162"/>
      <c r="DS148" s="162"/>
      <c r="DT148" s="163"/>
      <c r="DU148" s="164"/>
      <c r="DY148" s="162"/>
      <c r="DZ148" s="162"/>
      <c r="EA148" s="163"/>
      <c r="EB148" s="164"/>
      <c r="EF148" s="162"/>
      <c r="EG148" s="162"/>
      <c r="EH148" s="163"/>
      <c r="EI148" s="164"/>
      <c r="EM148" s="162"/>
      <c r="EN148" s="162"/>
      <c r="EO148" s="163"/>
      <c r="EP148" s="164"/>
      <c r="ET148" s="162"/>
      <c r="EU148" s="162"/>
      <c r="EV148" s="163"/>
      <c r="EW148" s="164"/>
      <c r="FA148" s="162"/>
      <c r="FB148" s="162"/>
      <c r="FC148" s="163"/>
      <c r="FD148" s="164"/>
      <c r="FH148" s="162"/>
      <c r="FI148" s="162"/>
      <c r="FJ148" s="163"/>
      <c r="FK148" s="164"/>
      <c r="FO148" s="162"/>
      <c r="FP148" s="162"/>
      <c r="FQ148" s="163"/>
      <c r="FR148" s="164"/>
      <c r="FV148" s="162"/>
      <c r="FW148" s="162"/>
      <c r="FX148" s="163"/>
      <c r="FY148" s="164"/>
      <c r="GC148" s="162"/>
      <c r="GD148" s="162"/>
      <c r="GE148" s="163"/>
      <c r="GF148" s="164"/>
      <c r="GJ148" s="162"/>
      <c r="GK148" s="162"/>
      <c r="GL148" s="163"/>
      <c r="GM148" s="164"/>
      <c r="GQ148" s="162"/>
      <c r="GR148" s="162"/>
      <c r="GS148" s="163"/>
      <c r="GT148" s="164"/>
      <c r="GX148" s="162"/>
      <c r="GY148" s="162"/>
      <c r="GZ148" s="163"/>
      <c r="HA148" s="164"/>
      <c r="HE148" s="162"/>
      <c r="HF148" s="162"/>
      <c r="HG148" s="163"/>
      <c r="HH148" s="164"/>
      <c r="HL148" s="162"/>
      <c r="HM148" s="162"/>
      <c r="HN148" s="163"/>
      <c r="HO148" s="164"/>
      <c r="HS148" s="162"/>
      <c r="HT148" s="162"/>
      <c r="HU148" s="163"/>
      <c r="HV148" s="164"/>
    </row>
    <row r="149" spans="3:230" x14ac:dyDescent="0.2">
      <c r="C149" s="162"/>
      <c r="D149" s="162"/>
      <c r="E149" s="163"/>
      <c r="F149" s="164"/>
      <c r="J149" s="162"/>
      <c r="K149" s="162"/>
      <c r="L149" s="163"/>
      <c r="M149" s="164"/>
      <c r="Q149" s="162"/>
      <c r="R149" s="162"/>
      <c r="S149" s="163"/>
      <c r="T149" s="164"/>
      <c r="X149" s="162"/>
      <c r="Y149" s="162"/>
      <c r="Z149" s="163"/>
      <c r="AA149" s="164"/>
      <c r="AE149" s="162"/>
      <c r="AF149" s="162"/>
      <c r="AG149" s="163"/>
      <c r="AH149" s="164"/>
      <c r="AL149" s="162"/>
      <c r="AM149" s="162"/>
      <c r="AN149" s="163"/>
      <c r="AO149" s="164"/>
      <c r="AS149" s="162"/>
      <c r="AT149" s="162"/>
      <c r="AU149" s="163"/>
      <c r="AV149" s="164"/>
      <c r="AZ149" s="162"/>
      <c r="BA149" s="162"/>
      <c r="BB149" s="163"/>
      <c r="BC149" s="164"/>
      <c r="BG149" s="162"/>
      <c r="BH149" s="162"/>
      <c r="BI149" s="163"/>
      <c r="BJ149" s="164"/>
      <c r="BN149" s="162"/>
      <c r="BO149" s="162"/>
      <c r="BP149" s="163"/>
      <c r="BQ149" s="164"/>
      <c r="BU149" s="162"/>
      <c r="BV149" s="162"/>
      <c r="BW149" s="163"/>
      <c r="BX149" s="164"/>
      <c r="CB149" s="162"/>
      <c r="CC149" s="162"/>
      <c r="CD149" s="163"/>
      <c r="CE149" s="164"/>
      <c r="CI149" s="162"/>
      <c r="CJ149" s="162"/>
      <c r="CK149" s="163"/>
      <c r="CL149" s="164"/>
      <c r="CP149" s="162"/>
      <c r="CQ149" s="162"/>
      <c r="CR149" s="163"/>
      <c r="CS149" s="164"/>
      <c r="CW149" s="162"/>
      <c r="CX149" s="162"/>
      <c r="CY149" s="163"/>
      <c r="CZ149" s="164"/>
      <c r="DD149" s="162"/>
      <c r="DE149" s="162"/>
      <c r="DF149" s="163"/>
      <c r="DG149" s="164"/>
      <c r="DK149" s="162"/>
      <c r="DL149" s="162"/>
      <c r="DM149" s="163"/>
      <c r="DN149" s="164"/>
      <c r="DR149" s="162"/>
      <c r="DS149" s="162"/>
      <c r="DT149" s="163"/>
      <c r="DU149" s="164"/>
      <c r="DY149" s="162"/>
      <c r="DZ149" s="162"/>
      <c r="EA149" s="163"/>
      <c r="EB149" s="164"/>
      <c r="EF149" s="162"/>
      <c r="EG149" s="162"/>
      <c r="EH149" s="163"/>
      <c r="EI149" s="164"/>
      <c r="EM149" s="162"/>
      <c r="EN149" s="162"/>
      <c r="EO149" s="163"/>
      <c r="EP149" s="164"/>
      <c r="ET149" s="162"/>
      <c r="EU149" s="162"/>
      <c r="EV149" s="163"/>
      <c r="EW149" s="164"/>
      <c r="FA149" s="162"/>
      <c r="FB149" s="162"/>
      <c r="FC149" s="163"/>
      <c r="FD149" s="164"/>
      <c r="FH149" s="162"/>
      <c r="FI149" s="162"/>
      <c r="FJ149" s="163"/>
      <c r="FK149" s="164"/>
      <c r="FO149" s="162"/>
      <c r="FP149" s="162"/>
      <c r="FQ149" s="163"/>
      <c r="FR149" s="164"/>
      <c r="FV149" s="162"/>
      <c r="FW149" s="162"/>
      <c r="FX149" s="163"/>
      <c r="FY149" s="164"/>
      <c r="GC149" s="162"/>
      <c r="GD149" s="162"/>
      <c r="GE149" s="163"/>
      <c r="GF149" s="164"/>
      <c r="GJ149" s="162"/>
      <c r="GK149" s="162"/>
      <c r="GL149" s="163"/>
      <c r="GM149" s="164"/>
      <c r="GQ149" s="162"/>
      <c r="GR149" s="162"/>
      <c r="GS149" s="163"/>
      <c r="GT149" s="164"/>
      <c r="GX149" s="162"/>
      <c r="GY149" s="162"/>
      <c r="GZ149" s="163"/>
      <c r="HA149" s="164"/>
      <c r="HE149" s="162"/>
      <c r="HF149" s="162"/>
      <c r="HG149" s="163"/>
      <c r="HH149" s="164"/>
      <c r="HL149" s="162"/>
      <c r="HM149" s="162"/>
      <c r="HN149" s="163"/>
      <c r="HO149" s="164"/>
      <c r="HS149" s="162"/>
      <c r="HT149" s="162"/>
      <c r="HU149" s="163"/>
      <c r="HV149" s="164"/>
    </row>
    <row r="150" spans="3:230" x14ac:dyDescent="0.2">
      <c r="C150" s="162"/>
      <c r="D150" s="162"/>
      <c r="E150" s="163"/>
      <c r="F150" s="164"/>
      <c r="J150" s="162"/>
      <c r="K150" s="162"/>
      <c r="L150" s="163"/>
      <c r="M150" s="164"/>
      <c r="Q150" s="162"/>
      <c r="R150" s="162"/>
      <c r="S150" s="163"/>
      <c r="T150" s="164"/>
      <c r="X150" s="162"/>
      <c r="Y150" s="162"/>
      <c r="Z150" s="163"/>
      <c r="AA150" s="164"/>
      <c r="AE150" s="162"/>
      <c r="AF150" s="162"/>
      <c r="AG150" s="163"/>
      <c r="AH150" s="164"/>
      <c r="AL150" s="162"/>
      <c r="AM150" s="162"/>
      <c r="AN150" s="163"/>
      <c r="AO150" s="164"/>
      <c r="AS150" s="162"/>
      <c r="AT150" s="162"/>
      <c r="AU150" s="163"/>
      <c r="AV150" s="164"/>
      <c r="AZ150" s="162"/>
      <c r="BA150" s="162"/>
      <c r="BB150" s="163"/>
      <c r="BC150" s="164"/>
      <c r="BG150" s="162"/>
      <c r="BH150" s="162"/>
      <c r="BI150" s="163"/>
      <c r="BJ150" s="164"/>
      <c r="BN150" s="162"/>
      <c r="BO150" s="162"/>
      <c r="BP150" s="163"/>
      <c r="BQ150" s="164"/>
      <c r="BU150" s="162"/>
      <c r="BV150" s="162"/>
      <c r="BW150" s="163"/>
      <c r="BX150" s="164"/>
      <c r="CB150" s="162"/>
      <c r="CC150" s="162"/>
      <c r="CD150" s="163"/>
      <c r="CE150" s="164"/>
      <c r="CI150" s="162"/>
      <c r="CJ150" s="162"/>
      <c r="CK150" s="163"/>
      <c r="CL150" s="164"/>
      <c r="CP150" s="162"/>
      <c r="CQ150" s="162"/>
      <c r="CR150" s="163"/>
      <c r="CS150" s="164"/>
      <c r="CW150" s="162"/>
      <c r="CX150" s="162"/>
      <c r="CY150" s="163"/>
      <c r="CZ150" s="164"/>
      <c r="DD150" s="162"/>
      <c r="DE150" s="162"/>
      <c r="DF150" s="163"/>
      <c r="DG150" s="164"/>
      <c r="DK150" s="162"/>
      <c r="DL150" s="162"/>
      <c r="DM150" s="163"/>
      <c r="DN150" s="164"/>
      <c r="DR150" s="162"/>
      <c r="DS150" s="162"/>
      <c r="DT150" s="163"/>
      <c r="DU150" s="164"/>
      <c r="DY150" s="162"/>
      <c r="DZ150" s="162"/>
      <c r="EA150" s="163"/>
      <c r="EB150" s="164"/>
      <c r="EF150" s="162"/>
      <c r="EG150" s="162"/>
      <c r="EH150" s="163"/>
      <c r="EI150" s="164"/>
      <c r="EM150" s="162"/>
      <c r="EN150" s="162"/>
      <c r="EO150" s="163"/>
      <c r="EP150" s="164"/>
      <c r="ET150" s="162"/>
      <c r="EU150" s="162"/>
      <c r="EV150" s="163"/>
      <c r="EW150" s="164"/>
      <c r="FA150" s="162"/>
      <c r="FB150" s="162"/>
      <c r="FC150" s="163"/>
      <c r="FD150" s="164"/>
      <c r="FH150" s="162"/>
      <c r="FI150" s="162"/>
      <c r="FJ150" s="163"/>
      <c r="FK150" s="164"/>
      <c r="FO150" s="162"/>
      <c r="FP150" s="162"/>
      <c r="FQ150" s="163"/>
      <c r="FR150" s="164"/>
      <c r="FV150" s="162"/>
      <c r="FW150" s="162"/>
      <c r="FX150" s="163"/>
      <c r="FY150" s="164"/>
      <c r="GC150" s="162"/>
      <c r="GD150" s="162"/>
      <c r="GE150" s="163"/>
      <c r="GF150" s="164"/>
      <c r="GJ150" s="162"/>
      <c r="GK150" s="162"/>
      <c r="GL150" s="163"/>
      <c r="GM150" s="164"/>
      <c r="GQ150" s="162"/>
      <c r="GR150" s="162"/>
      <c r="GS150" s="163"/>
      <c r="GT150" s="164"/>
      <c r="GX150" s="162"/>
      <c r="GY150" s="162"/>
      <c r="GZ150" s="163"/>
      <c r="HA150" s="164"/>
      <c r="HE150" s="162"/>
      <c r="HF150" s="162"/>
      <c r="HG150" s="163"/>
      <c r="HH150" s="164"/>
      <c r="HL150" s="162"/>
      <c r="HM150" s="162"/>
      <c r="HN150" s="163"/>
      <c r="HO150" s="164"/>
      <c r="HS150" s="162"/>
      <c r="HT150" s="162"/>
      <c r="HU150" s="163"/>
      <c r="HV150" s="164"/>
    </row>
    <row r="151" spans="3:230" x14ac:dyDescent="0.2">
      <c r="C151" s="162"/>
      <c r="D151" s="162"/>
      <c r="E151" s="163"/>
      <c r="F151" s="164"/>
      <c r="J151" s="162"/>
      <c r="K151" s="162"/>
      <c r="L151" s="163"/>
      <c r="M151" s="164"/>
      <c r="Q151" s="162"/>
      <c r="R151" s="162"/>
      <c r="S151" s="163"/>
      <c r="T151" s="164"/>
      <c r="X151" s="162"/>
      <c r="Y151" s="162"/>
      <c r="Z151" s="163"/>
      <c r="AA151" s="164"/>
      <c r="AE151" s="162"/>
      <c r="AF151" s="162"/>
      <c r="AG151" s="163"/>
      <c r="AH151" s="164"/>
      <c r="AL151" s="162"/>
      <c r="AM151" s="162"/>
      <c r="AN151" s="163"/>
      <c r="AO151" s="164"/>
      <c r="AS151" s="162"/>
      <c r="AT151" s="162"/>
      <c r="AU151" s="163"/>
      <c r="AV151" s="164"/>
      <c r="AZ151" s="162"/>
      <c r="BA151" s="162"/>
      <c r="BB151" s="163"/>
      <c r="BC151" s="164"/>
      <c r="BG151" s="162"/>
      <c r="BH151" s="162"/>
      <c r="BI151" s="163"/>
      <c r="BJ151" s="164"/>
      <c r="BN151" s="162"/>
      <c r="BO151" s="162"/>
      <c r="BP151" s="163"/>
      <c r="BQ151" s="164"/>
      <c r="BU151" s="162"/>
      <c r="BV151" s="162"/>
      <c r="BW151" s="163"/>
      <c r="BX151" s="164"/>
      <c r="CB151" s="162"/>
      <c r="CC151" s="162"/>
      <c r="CD151" s="163"/>
      <c r="CE151" s="164"/>
      <c r="CI151" s="162"/>
      <c r="CJ151" s="162"/>
      <c r="CK151" s="163"/>
      <c r="CL151" s="164"/>
      <c r="CP151" s="162"/>
      <c r="CQ151" s="162"/>
      <c r="CR151" s="163"/>
      <c r="CS151" s="164"/>
      <c r="CW151" s="162"/>
      <c r="CX151" s="162"/>
      <c r="CY151" s="163"/>
      <c r="CZ151" s="164"/>
      <c r="DD151" s="162"/>
      <c r="DE151" s="162"/>
      <c r="DF151" s="163"/>
      <c r="DG151" s="164"/>
      <c r="DK151" s="162"/>
      <c r="DL151" s="162"/>
      <c r="DM151" s="163"/>
      <c r="DN151" s="164"/>
      <c r="DR151" s="162"/>
      <c r="DS151" s="162"/>
      <c r="DT151" s="163"/>
      <c r="DU151" s="164"/>
      <c r="DY151" s="162"/>
      <c r="DZ151" s="162"/>
      <c r="EA151" s="163"/>
      <c r="EB151" s="164"/>
      <c r="EF151" s="162"/>
      <c r="EG151" s="162"/>
      <c r="EH151" s="163"/>
      <c r="EI151" s="164"/>
      <c r="EM151" s="162"/>
      <c r="EN151" s="162"/>
      <c r="EO151" s="163"/>
      <c r="EP151" s="164"/>
      <c r="ET151" s="162"/>
      <c r="EU151" s="162"/>
      <c r="EV151" s="163"/>
      <c r="EW151" s="164"/>
      <c r="FA151" s="162"/>
      <c r="FB151" s="162"/>
      <c r="FC151" s="163"/>
      <c r="FD151" s="164"/>
      <c r="FH151" s="162"/>
      <c r="FI151" s="162"/>
      <c r="FJ151" s="163"/>
      <c r="FK151" s="164"/>
      <c r="FO151" s="162"/>
      <c r="FP151" s="162"/>
      <c r="FQ151" s="163"/>
      <c r="FR151" s="164"/>
      <c r="FV151" s="162"/>
      <c r="FW151" s="162"/>
      <c r="FX151" s="163"/>
      <c r="FY151" s="164"/>
      <c r="GC151" s="162"/>
      <c r="GD151" s="162"/>
      <c r="GE151" s="163"/>
      <c r="GF151" s="164"/>
      <c r="GJ151" s="162"/>
      <c r="GK151" s="162"/>
      <c r="GL151" s="163"/>
      <c r="GM151" s="164"/>
      <c r="GQ151" s="162"/>
      <c r="GR151" s="162"/>
      <c r="GS151" s="163"/>
      <c r="GT151" s="164"/>
      <c r="GX151" s="162"/>
      <c r="GY151" s="162"/>
      <c r="GZ151" s="163"/>
      <c r="HA151" s="164"/>
      <c r="HE151" s="162"/>
      <c r="HF151" s="162"/>
      <c r="HG151" s="163"/>
      <c r="HH151" s="164"/>
      <c r="HL151" s="162"/>
      <c r="HM151" s="162"/>
      <c r="HN151" s="163"/>
      <c r="HO151" s="164"/>
      <c r="HS151" s="162"/>
      <c r="HT151" s="162"/>
      <c r="HU151" s="163"/>
      <c r="HV151" s="164"/>
    </row>
    <row r="152" spans="3:230" x14ac:dyDescent="0.2">
      <c r="C152" s="162"/>
      <c r="D152" s="162"/>
      <c r="E152" s="163"/>
      <c r="F152" s="164"/>
      <c r="J152" s="162"/>
      <c r="K152" s="162"/>
      <c r="L152" s="163"/>
      <c r="M152" s="164"/>
      <c r="Q152" s="162"/>
      <c r="R152" s="162"/>
      <c r="S152" s="163"/>
      <c r="T152" s="164"/>
      <c r="X152" s="162"/>
      <c r="Y152" s="162"/>
      <c r="Z152" s="163"/>
      <c r="AA152" s="164"/>
      <c r="AE152" s="162"/>
      <c r="AF152" s="162"/>
      <c r="AG152" s="163"/>
      <c r="AH152" s="164"/>
      <c r="AL152" s="162"/>
      <c r="AM152" s="162"/>
      <c r="AN152" s="163"/>
      <c r="AO152" s="164"/>
      <c r="AS152" s="162"/>
      <c r="AT152" s="162"/>
      <c r="AU152" s="163"/>
      <c r="AV152" s="164"/>
      <c r="AZ152" s="162"/>
      <c r="BA152" s="162"/>
      <c r="BB152" s="163"/>
      <c r="BC152" s="164"/>
      <c r="BG152" s="162"/>
      <c r="BH152" s="162"/>
      <c r="BI152" s="163"/>
      <c r="BJ152" s="164"/>
      <c r="BN152" s="162"/>
      <c r="BO152" s="162"/>
      <c r="BP152" s="163"/>
      <c r="BQ152" s="164"/>
      <c r="BU152" s="162"/>
      <c r="BV152" s="162"/>
      <c r="BW152" s="163"/>
      <c r="BX152" s="164"/>
      <c r="CB152" s="162"/>
      <c r="CC152" s="162"/>
      <c r="CD152" s="163"/>
      <c r="CE152" s="164"/>
      <c r="CI152" s="162"/>
      <c r="CJ152" s="162"/>
      <c r="CK152" s="163"/>
      <c r="CL152" s="164"/>
      <c r="CP152" s="162"/>
      <c r="CQ152" s="162"/>
      <c r="CR152" s="163"/>
      <c r="CS152" s="164"/>
      <c r="CW152" s="162"/>
      <c r="CX152" s="162"/>
      <c r="CY152" s="163"/>
      <c r="CZ152" s="164"/>
      <c r="DD152" s="162"/>
      <c r="DE152" s="162"/>
      <c r="DF152" s="163"/>
      <c r="DG152" s="164"/>
      <c r="DK152" s="162"/>
      <c r="DL152" s="162"/>
      <c r="DM152" s="163"/>
      <c r="DN152" s="164"/>
      <c r="DR152" s="162"/>
      <c r="DS152" s="162"/>
      <c r="DT152" s="163"/>
      <c r="DU152" s="164"/>
      <c r="DY152" s="162"/>
      <c r="DZ152" s="162"/>
      <c r="EA152" s="163"/>
      <c r="EB152" s="164"/>
      <c r="EF152" s="162"/>
      <c r="EG152" s="162"/>
      <c r="EH152" s="163"/>
      <c r="EI152" s="164"/>
      <c r="EM152" s="162"/>
      <c r="EN152" s="162"/>
      <c r="EO152" s="163"/>
      <c r="EP152" s="164"/>
      <c r="ET152" s="162"/>
      <c r="EU152" s="162"/>
      <c r="EV152" s="163"/>
      <c r="EW152" s="164"/>
      <c r="FA152" s="162"/>
      <c r="FB152" s="162"/>
      <c r="FC152" s="163"/>
      <c r="FD152" s="164"/>
      <c r="FH152" s="162"/>
      <c r="FI152" s="162"/>
      <c r="FJ152" s="163"/>
      <c r="FK152" s="164"/>
      <c r="FO152" s="162"/>
      <c r="FP152" s="162"/>
      <c r="FQ152" s="163"/>
      <c r="FR152" s="164"/>
      <c r="FV152" s="162"/>
      <c r="FW152" s="162"/>
      <c r="FX152" s="163"/>
      <c r="FY152" s="164"/>
      <c r="GC152" s="162"/>
      <c r="GD152" s="162"/>
      <c r="GE152" s="163"/>
      <c r="GF152" s="164"/>
      <c r="GJ152" s="162"/>
      <c r="GK152" s="162"/>
      <c r="GL152" s="163"/>
      <c r="GM152" s="164"/>
      <c r="GQ152" s="162"/>
      <c r="GR152" s="162"/>
      <c r="GS152" s="163"/>
      <c r="GT152" s="164"/>
      <c r="GX152" s="162"/>
      <c r="GY152" s="162"/>
      <c r="GZ152" s="163"/>
      <c r="HA152" s="164"/>
      <c r="HE152" s="162"/>
      <c r="HF152" s="162"/>
      <c r="HG152" s="163"/>
      <c r="HH152" s="164"/>
      <c r="HL152" s="162"/>
      <c r="HM152" s="162"/>
      <c r="HN152" s="163"/>
      <c r="HO152" s="164"/>
      <c r="HS152" s="162"/>
      <c r="HT152" s="162"/>
      <c r="HU152" s="163"/>
      <c r="HV152" s="164"/>
    </row>
    <row r="153" spans="3:230" x14ac:dyDescent="0.2">
      <c r="C153" s="162"/>
      <c r="D153" s="162"/>
      <c r="E153" s="163"/>
      <c r="F153" s="164"/>
      <c r="J153" s="162"/>
      <c r="K153" s="162"/>
      <c r="L153" s="163"/>
      <c r="M153" s="164"/>
      <c r="Q153" s="162"/>
      <c r="R153" s="162"/>
      <c r="S153" s="163"/>
      <c r="T153" s="164"/>
      <c r="X153" s="162"/>
      <c r="Y153" s="162"/>
      <c r="Z153" s="163"/>
      <c r="AA153" s="164"/>
      <c r="AE153" s="162"/>
      <c r="AF153" s="162"/>
      <c r="AG153" s="163"/>
      <c r="AH153" s="164"/>
      <c r="AL153" s="162"/>
      <c r="AM153" s="162"/>
      <c r="AN153" s="163"/>
      <c r="AO153" s="164"/>
      <c r="AS153" s="162"/>
      <c r="AT153" s="162"/>
      <c r="AU153" s="163"/>
      <c r="AV153" s="164"/>
      <c r="AZ153" s="162"/>
      <c r="BA153" s="162"/>
      <c r="BB153" s="163"/>
      <c r="BC153" s="164"/>
      <c r="BG153" s="162"/>
      <c r="BH153" s="162"/>
      <c r="BI153" s="163"/>
      <c r="BJ153" s="164"/>
      <c r="BN153" s="162"/>
      <c r="BO153" s="162"/>
      <c r="BP153" s="163"/>
      <c r="BQ153" s="164"/>
      <c r="BU153" s="162"/>
      <c r="BV153" s="162"/>
      <c r="BW153" s="163"/>
      <c r="BX153" s="164"/>
      <c r="CB153" s="162"/>
      <c r="CC153" s="162"/>
      <c r="CD153" s="163"/>
      <c r="CE153" s="164"/>
      <c r="CI153" s="162"/>
      <c r="CJ153" s="162"/>
      <c r="CK153" s="163"/>
      <c r="CL153" s="164"/>
      <c r="CP153" s="162"/>
      <c r="CQ153" s="162"/>
      <c r="CR153" s="163"/>
      <c r="CS153" s="164"/>
      <c r="CW153" s="162"/>
      <c r="CX153" s="162"/>
      <c r="CY153" s="163"/>
      <c r="CZ153" s="164"/>
      <c r="DD153" s="162"/>
      <c r="DE153" s="162"/>
      <c r="DF153" s="163"/>
      <c r="DG153" s="164"/>
      <c r="DK153" s="162"/>
      <c r="DL153" s="162"/>
      <c r="DM153" s="163"/>
      <c r="DN153" s="164"/>
      <c r="DR153" s="162"/>
      <c r="DS153" s="162"/>
      <c r="DT153" s="163"/>
      <c r="DU153" s="164"/>
      <c r="DY153" s="162"/>
      <c r="DZ153" s="162"/>
      <c r="EA153" s="163"/>
      <c r="EB153" s="164"/>
      <c r="EF153" s="162"/>
      <c r="EG153" s="162"/>
      <c r="EH153" s="163"/>
      <c r="EI153" s="164"/>
      <c r="EM153" s="162"/>
      <c r="EN153" s="162"/>
      <c r="EO153" s="163"/>
      <c r="EP153" s="164"/>
      <c r="ET153" s="162"/>
      <c r="EU153" s="162"/>
      <c r="EV153" s="163"/>
      <c r="EW153" s="164"/>
      <c r="FA153" s="162"/>
      <c r="FB153" s="162"/>
      <c r="FC153" s="163"/>
      <c r="FD153" s="164"/>
      <c r="FH153" s="162"/>
      <c r="FI153" s="162"/>
      <c r="FJ153" s="163"/>
      <c r="FK153" s="164"/>
      <c r="FO153" s="162"/>
      <c r="FP153" s="162"/>
      <c r="FQ153" s="163"/>
      <c r="FR153" s="164"/>
      <c r="FV153" s="162"/>
      <c r="FW153" s="162"/>
      <c r="FX153" s="163"/>
      <c r="FY153" s="164"/>
      <c r="GC153" s="162"/>
      <c r="GD153" s="162"/>
      <c r="GE153" s="163"/>
      <c r="GF153" s="164"/>
      <c r="GJ153" s="162"/>
      <c r="GK153" s="162"/>
      <c r="GL153" s="163"/>
      <c r="GM153" s="164"/>
      <c r="GQ153" s="162"/>
      <c r="GR153" s="162"/>
      <c r="GS153" s="163"/>
      <c r="GT153" s="164"/>
      <c r="GX153" s="162"/>
      <c r="GY153" s="162"/>
      <c r="GZ153" s="163"/>
      <c r="HA153" s="164"/>
      <c r="HE153" s="162"/>
      <c r="HF153" s="162"/>
      <c r="HG153" s="163"/>
      <c r="HH153" s="164"/>
      <c r="HL153" s="162"/>
      <c r="HM153" s="162"/>
      <c r="HN153" s="163"/>
      <c r="HO153" s="164"/>
      <c r="HS153" s="162"/>
      <c r="HT153" s="162"/>
      <c r="HU153" s="163"/>
      <c r="HV153" s="164"/>
    </row>
    <row r="154" spans="3:230" x14ac:dyDescent="0.2">
      <c r="C154" s="162"/>
      <c r="D154" s="162"/>
      <c r="E154" s="163"/>
      <c r="F154" s="164"/>
      <c r="J154" s="162"/>
      <c r="K154" s="162"/>
      <c r="L154" s="163"/>
      <c r="M154" s="164"/>
      <c r="Q154" s="162"/>
      <c r="R154" s="162"/>
      <c r="S154" s="163"/>
      <c r="T154" s="164"/>
      <c r="X154" s="162"/>
      <c r="Y154" s="162"/>
      <c r="Z154" s="163"/>
      <c r="AA154" s="164"/>
      <c r="AE154" s="162"/>
      <c r="AF154" s="162"/>
      <c r="AG154" s="163"/>
      <c r="AH154" s="164"/>
      <c r="AL154" s="162"/>
      <c r="AM154" s="162"/>
      <c r="AN154" s="163"/>
      <c r="AO154" s="164"/>
      <c r="AS154" s="162"/>
      <c r="AT154" s="162"/>
      <c r="AU154" s="163"/>
      <c r="AV154" s="164"/>
      <c r="AZ154" s="162"/>
      <c r="BA154" s="162"/>
      <c r="BB154" s="163"/>
      <c r="BC154" s="164"/>
      <c r="BG154" s="162"/>
      <c r="BH154" s="162"/>
      <c r="BI154" s="163"/>
      <c r="BJ154" s="164"/>
      <c r="BN154" s="162"/>
      <c r="BO154" s="162"/>
      <c r="BP154" s="163"/>
      <c r="BQ154" s="164"/>
      <c r="BU154" s="162"/>
      <c r="BV154" s="162"/>
      <c r="BW154" s="163"/>
      <c r="BX154" s="164"/>
      <c r="CB154" s="162"/>
      <c r="CC154" s="162"/>
      <c r="CD154" s="163"/>
      <c r="CE154" s="164"/>
      <c r="CI154" s="162"/>
      <c r="CJ154" s="162"/>
      <c r="CK154" s="163"/>
      <c r="CL154" s="164"/>
      <c r="CP154" s="162"/>
      <c r="CQ154" s="162"/>
      <c r="CR154" s="163"/>
      <c r="CS154" s="164"/>
      <c r="CW154" s="162"/>
      <c r="CX154" s="162"/>
      <c r="CY154" s="163"/>
      <c r="CZ154" s="164"/>
      <c r="DD154" s="162"/>
      <c r="DE154" s="162"/>
      <c r="DF154" s="163"/>
      <c r="DG154" s="164"/>
      <c r="DK154" s="162"/>
      <c r="DL154" s="162"/>
      <c r="DM154" s="163"/>
      <c r="DN154" s="164"/>
      <c r="DR154" s="162"/>
      <c r="DS154" s="162"/>
      <c r="DT154" s="163"/>
      <c r="DU154" s="164"/>
      <c r="DY154" s="162"/>
      <c r="DZ154" s="162"/>
      <c r="EA154" s="163"/>
      <c r="EB154" s="164"/>
      <c r="EF154" s="162"/>
      <c r="EG154" s="162"/>
      <c r="EH154" s="163"/>
      <c r="EI154" s="164"/>
      <c r="EM154" s="162"/>
      <c r="EN154" s="162"/>
      <c r="EO154" s="163"/>
      <c r="EP154" s="164"/>
      <c r="ET154" s="162"/>
      <c r="EU154" s="162"/>
      <c r="EV154" s="163"/>
      <c r="EW154" s="164"/>
      <c r="FA154" s="162"/>
      <c r="FB154" s="162"/>
      <c r="FC154" s="163"/>
      <c r="FD154" s="164"/>
      <c r="FH154" s="162"/>
      <c r="FI154" s="162"/>
      <c r="FJ154" s="163"/>
      <c r="FK154" s="164"/>
      <c r="FO154" s="162"/>
      <c r="FP154" s="162"/>
      <c r="FQ154" s="163"/>
      <c r="FR154" s="164"/>
      <c r="FV154" s="162"/>
      <c r="FW154" s="162"/>
      <c r="FX154" s="163"/>
      <c r="FY154" s="164"/>
      <c r="GC154" s="162"/>
      <c r="GD154" s="162"/>
      <c r="GE154" s="163"/>
      <c r="GF154" s="164"/>
      <c r="GJ154" s="162"/>
      <c r="GK154" s="162"/>
      <c r="GL154" s="163"/>
      <c r="GM154" s="164"/>
      <c r="GQ154" s="162"/>
      <c r="GR154" s="162"/>
      <c r="GS154" s="163"/>
      <c r="GT154" s="164"/>
      <c r="GX154" s="162"/>
      <c r="GY154" s="162"/>
      <c r="GZ154" s="163"/>
      <c r="HA154" s="164"/>
      <c r="HE154" s="162"/>
      <c r="HF154" s="162"/>
      <c r="HG154" s="163"/>
      <c r="HH154" s="164"/>
      <c r="HL154" s="162"/>
      <c r="HM154" s="162"/>
      <c r="HN154" s="163"/>
      <c r="HO154" s="164"/>
      <c r="HS154" s="162"/>
      <c r="HT154" s="162"/>
      <c r="HU154" s="163"/>
      <c r="HV154" s="164"/>
    </row>
    <row r="155" spans="3:230" x14ac:dyDescent="0.2">
      <c r="C155" s="162"/>
      <c r="D155" s="162"/>
      <c r="E155" s="163"/>
      <c r="F155" s="164"/>
      <c r="J155" s="162"/>
      <c r="K155" s="162"/>
      <c r="L155" s="163"/>
      <c r="M155" s="164"/>
      <c r="Q155" s="162"/>
      <c r="R155" s="162"/>
      <c r="S155" s="163"/>
      <c r="T155" s="164"/>
      <c r="X155" s="162"/>
      <c r="Y155" s="162"/>
      <c r="Z155" s="163"/>
      <c r="AA155" s="164"/>
      <c r="AE155" s="162"/>
      <c r="AF155" s="162"/>
      <c r="AG155" s="163"/>
      <c r="AH155" s="164"/>
      <c r="AL155" s="162"/>
      <c r="AM155" s="162"/>
      <c r="AN155" s="163"/>
      <c r="AO155" s="164"/>
      <c r="AS155" s="162"/>
      <c r="AT155" s="162"/>
      <c r="AU155" s="163"/>
      <c r="AV155" s="164"/>
      <c r="AZ155" s="162"/>
      <c r="BA155" s="162"/>
      <c r="BB155" s="163"/>
      <c r="BC155" s="164"/>
      <c r="BG155" s="162"/>
      <c r="BH155" s="162"/>
      <c r="BI155" s="163"/>
      <c r="BJ155" s="164"/>
      <c r="BN155" s="162"/>
      <c r="BO155" s="162"/>
      <c r="BP155" s="163"/>
      <c r="BQ155" s="164"/>
      <c r="BU155" s="162"/>
      <c r="BV155" s="162"/>
      <c r="BW155" s="163"/>
      <c r="BX155" s="164"/>
      <c r="CB155" s="162"/>
      <c r="CC155" s="162"/>
      <c r="CD155" s="163"/>
      <c r="CE155" s="164"/>
      <c r="CI155" s="162"/>
      <c r="CJ155" s="162"/>
      <c r="CK155" s="163"/>
      <c r="CL155" s="164"/>
      <c r="CP155" s="162"/>
      <c r="CQ155" s="162"/>
      <c r="CR155" s="163"/>
      <c r="CS155" s="164"/>
      <c r="CW155" s="162"/>
      <c r="CX155" s="162"/>
      <c r="CY155" s="163"/>
      <c r="CZ155" s="164"/>
      <c r="DD155" s="162"/>
      <c r="DE155" s="162"/>
      <c r="DF155" s="163"/>
      <c r="DG155" s="164"/>
      <c r="DK155" s="162"/>
      <c r="DL155" s="162"/>
      <c r="DM155" s="163"/>
      <c r="DN155" s="164"/>
      <c r="DR155" s="162"/>
      <c r="DS155" s="162"/>
      <c r="DT155" s="163"/>
      <c r="DU155" s="164"/>
      <c r="DY155" s="162"/>
      <c r="DZ155" s="162"/>
      <c r="EA155" s="163"/>
      <c r="EB155" s="164"/>
      <c r="EF155" s="162"/>
      <c r="EG155" s="162"/>
      <c r="EH155" s="163"/>
      <c r="EI155" s="164"/>
      <c r="EM155" s="162"/>
      <c r="EN155" s="162"/>
      <c r="EO155" s="163"/>
      <c r="EP155" s="164"/>
      <c r="ET155" s="162"/>
      <c r="EU155" s="162"/>
      <c r="EV155" s="163"/>
      <c r="EW155" s="164"/>
      <c r="FA155" s="162"/>
      <c r="FB155" s="162"/>
      <c r="FC155" s="163"/>
      <c r="FD155" s="164"/>
      <c r="FH155" s="162"/>
      <c r="FI155" s="162"/>
      <c r="FJ155" s="163"/>
      <c r="FK155" s="164"/>
      <c r="FO155" s="162"/>
      <c r="FP155" s="162"/>
      <c r="FQ155" s="163"/>
      <c r="FR155" s="164"/>
      <c r="FV155" s="162"/>
      <c r="FW155" s="162"/>
      <c r="FX155" s="163"/>
      <c r="FY155" s="164"/>
      <c r="GC155" s="162"/>
      <c r="GD155" s="162"/>
      <c r="GE155" s="163"/>
      <c r="GF155" s="164"/>
      <c r="GJ155" s="162"/>
      <c r="GK155" s="162"/>
      <c r="GL155" s="163"/>
      <c r="GM155" s="164"/>
      <c r="GQ155" s="162"/>
      <c r="GR155" s="162"/>
      <c r="GS155" s="163"/>
      <c r="GT155" s="164"/>
      <c r="GX155" s="162"/>
      <c r="GY155" s="162"/>
      <c r="GZ155" s="163"/>
      <c r="HA155" s="164"/>
      <c r="HE155" s="162"/>
      <c r="HF155" s="162"/>
      <c r="HG155" s="163"/>
      <c r="HH155" s="164"/>
      <c r="HL155" s="162"/>
      <c r="HM155" s="162"/>
      <c r="HN155" s="163"/>
      <c r="HO155" s="164"/>
      <c r="HS155" s="162"/>
      <c r="HT155" s="162"/>
      <c r="HU155" s="163"/>
      <c r="HV155" s="164"/>
    </row>
    <row r="156" spans="3:230" x14ac:dyDescent="0.2">
      <c r="C156" s="162"/>
      <c r="D156" s="162"/>
      <c r="E156" s="163"/>
      <c r="F156" s="164"/>
      <c r="J156" s="162"/>
      <c r="K156" s="162"/>
      <c r="L156" s="163"/>
      <c r="M156" s="164"/>
      <c r="Q156" s="162"/>
      <c r="R156" s="162"/>
      <c r="S156" s="163"/>
      <c r="T156" s="164"/>
      <c r="X156" s="162"/>
      <c r="Y156" s="162"/>
      <c r="Z156" s="163"/>
      <c r="AA156" s="164"/>
      <c r="AE156" s="162"/>
      <c r="AF156" s="162"/>
      <c r="AG156" s="163"/>
      <c r="AH156" s="164"/>
      <c r="AL156" s="162"/>
      <c r="AM156" s="162"/>
      <c r="AN156" s="163"/>
      <c r="AO156" s="164"/>
      <c r="AS156" s="162"/>
      <c r="AT156" s="162"/>
      <c r="AU156" s="163"/>
      <c r="AV156" s="164"/>
      <c r="AZ156" s="162"/>
      <c r="BA156" s="162"/>
      <c r="BB156" s="163"/>
      <c r="BC156" s="164"/>
      <c r="BG156" s="162"/>
      <c r="BH156" s="162"/>
      <c r="BI156" s="163"/>
      <c r="BJ156" s="164"/>
      <c r="BN156" s="162"/>
      <c r="BO156" s="162"/>
      <c r="BP156" s="163"/>
      <c r="BQ156" s="164"/>
      <c r="BU156" s="162"/>
      <c r="BV156" s="162"/>
      <c r="BW156" s="163"/>
      <c r="BX156" s="164"/>
      <c r="CB156" s="162"/>
      <c r="CC156" s="162"/>
      <c r="CD156" s="163"/>
      <c r="CE156" s="164"/>
      <c r="CI156" s="162"/>
      <c r="CJ156" s="162"/>
      <c r="CK156" s="163"/>
      <c r="CL156" s="164"/>
      <c r="CP156" s="162"/>
      <c r="CQ156" s="162"/>
      <c r="CR156" s="163"/>
      <c r="CS156" s="164"/>
      <c r="CW156" s="162"/>
      <c r="CX156" s="162"/>
      <c r="CY156" s="163"/>
      <c r="CZ156" s="164"/>
      <c r="DD156" s="162"/>
      <c r="DE156" s="162"/>
      <c r="DF156" s="163"/>
      <c r="DG156" s="164"/>
      <c r="DK156" s="162"/>
      <c r="DL156" s="162"/>
      <c r="DM156" s="163"/>
      <c r="DN156" s="164"/>
      <c r="DR156" s="162"/>
      <c r="DS156" s="162"/>
      <c r="DT156" s="163"/>
      <c r="DU156" s="164"/>
      <c r="DY156" s="162"/>
      <c r="DZ156" s="162"/>
      <c r="EA156" s="163"/>
      <c r="EB156" s="164"/>
      <c r="EF156" s="162"/>
      <c r="EG156" s="162"/>
      <c r="EH156" s="163"/>
      <c r="EI156" s="164"/>
      <c r="EM156" s="162"/>
      <c r="EN156" s="162"/>
      <c r="EO156" s="163"/>
      <c r="EP156" s="164"/>
      <c r="ET156" s="162"/>
      <c r="EU156" s="162"/>
      <c r="EV156" s="163"/>
      <c r="EW156" s="164"/>
      <c r="FA156" s="162"/>
      <c r="FB156" s="162"/>
      <c r="FC156" s="163"/>
      <c r="FD156" s="164"/>
      <c r="FH156" s="162"/>
      <c r="FI156" s="162"/>
      <c r="FJ156" s="163"/>
      <c r="FK156" s="164"/>
      <c r="FO156" s="162"/>
      <c r="FP156" s="162"/>
      <c r="FQ156" s="163"/>
      <c r="FR156" s="164"/>
      <c r="FV156" s="162"/>
      <c r="FW156" s="162"/>
      <c r="FX156" s="163"/>
      <c r="FY156" s="164"/>
      <c r="GC156" s="162"/>
      <c r="GD156" s="162"/>
      <c r="GE156" s="163"/>
      <c r="GF156" s="164"/>
      <c r="GJ156" s="162"/>
      <c r="GK156" s="162"/>
      <c r="GL156" s="163"/>
      <c r="GM156" s="164"/>
      <c r="GQ156" s="162"/>
      <c r="GR156" s="162"/>
      <c r="GS156" s="163"/>
      <c r="GT156" s="164"/>
      <c r="GX156" s="162"/>
      <c r="GY156" s="162"/>
      <c r="GZ156" s="163"/>
      <c r="HA156" s="164"/>
      <c r="HE156" s="162"/>
      <c r="HF156" s="162"/>
      <c r="HG156" s="163"/>
      <c r="HH156" s="164"/>
      <c r="HL156" s="162"/>
      <c r="HM156" s="162"/>
      <c r="HN156" s="163"/>
      <c r="HO156" s="164"/>
      <c r="HS156" s="162"/>
      <c r="HT156" s="162"/>
      <c r="HU156" s="163"/>
      <c r="HV156" s="164"/>
    </row>
    <row r="157" spans="3:230" x14ac:dyDescent="0.2">
      <c r="C157" s="162"/>
      <c r="D157" s="162"/>
      <c r="E157" s="163"/>
      <c r="F157" s="164"/>
      <c r="J157" s="162"/>
      <c r="K157" s="162"/>
      <c r="L157" s="163"/>
      <c r="M157" s="164"/>
      <c r="Q157" s="162"/>
      <c r="R157" s="162"/>
      <c r="S157" s="163"/>
      <c r="T157" s="164"/>
      <c r="X157" s="162"/>
      <c r="Y157" s="162"/>
      <c r="Z157" s="163"/>
      <c r="AA157" s="164"/>
      <c r="AE157" s="162"/>
      <c r="AF157" s="162"/>
      <c r="AG157" s="163"/>
      <c r="AH157" s="164"/>
      <c r="AL157" s="162"/>
      <c r="AM157" s="162"/>
      <c r="AN157" s="163"/>
      <c r="AO157" s="164"/>
      <c r="AS157" s="162"/>
      <c r="AT157" s="162"/>
      <c r="AU157" s="163"/>
      <c r="AV157" s="164"/>
      <c r="AZ157" s="162"/>
      <c r="BA157" s="162"/>
      <c r="BB157" s="163"/>
      <c r="BC157" s="164"/>
      <c r="BG157" s="162"/>
      <c r="BH157" s="162"/>
      <c r="BI157" s="163"/>
      <c r="BJ157" s="164"/>
      <c r="BN157" s="162"/>
      <c r="BO157" s="162"/>
      <c r="BP157" s="163"/>
      <c r="BQ157" s="164"/>
      <c r="BU157" s="162"/>
      <c r="BV157" s="162"/>
      <c r="BW157" s="163"/>
      <c r="BX157" s="164"/>
      <c r="CB157" s="162"/>
      <c r="CC157" s="162"/>
      <c r="CD157" s="163"/>
      <c r="CE157" s="164"/>
      <c r="CI157" s="162"/>
      <c r="CJ157" s="162"/>
      <c r="CK157" s="163"/>
      <c r="CL157" s="164"/>
      <c r="CP157" s="162"/>
      <c r="CQ157" s="162"/>
      <c r="CR157" s="163"/>
      <c r="CS157" s="164"/>
      <c r="CW157" s="162"/>
      <c r="CX157" s="162"/>
      <c r="CY157" s="163"/>
      <c r="CZ157" s="164"/>
      <c r="DD157" s="162"/>
      <c r="DE157" s="162"/>
      <c r="DF157" s="163"/>
      <c r="DG157" s="164"/>
      <c r="DK157" s="162"/>
      <c r="DL157" s="162"/>
      <c r="DM157" s="163"/>
      <c r="DN157" s="164"/>
      <c r="DR157" s="162"/>
      <c r="DS157" s="162"/>
      <c r="DT157" s="163"/>
      <c r="DU157" s="164"/>
      <c r="DY157" s="162"/>
      <c r="DZ157" s="162"/>
      <c r="EA157" s="163"/>
      <c r="EB157" s="164"/>
      <c r="EF157" s="162"/>
      <c r="EG157" s="162"/>
      <c r="EH157" s="163"/>
      <c r="EI157" s="164"/>
      <c r="EM157" s="162"/>
      <c r="EN157" s="162"/>
      <c r="EO157" s="163"/>
      <c r="EP157" s="164"/>
      <c r="ET157" s="162"/>
      <c r="EU157" s="162"/>
      <c r="EV157" s="163"/>
      <c r="EW157" s="164"/>
      <c r="FA157" s="162"/>
      <c r="FB157" s="162"/>
      <c r="FC157" s="163"/>
      <c r="FD157" s="164"/>
      <c r="FH157" s="162"/>
      <c r="FI157" s="162"/>
      <c r="FJ157" s="163"/>
      <c r="FK157" s="164"/>
      <c r="FO157" s="162"/>
      <c r="FP157" s="162"/>
      <c r="FQ157" s="163"/>
      <c r="FR157" s="164"/>
      <c r="FV157" s="162"/>
      <c r="FW157" s="162"/>
      <c r="FX157" s="163"/>
      <c r="FY157" s="164"/>
      <c r="GC157" s="162"/>
      <c r="GD157" s="162"/>
      <c r="GE157" s="163"/>
      <c r="GF157" s="164"/>
      <c r="GJ157" s="162"/>
      <c r="GK157" s="162"/>
      <c r="GL157" s="163"/>
      <c r="GM157" s="164"/>
      <c r="GQ157" s="162"/>
      <c r="GR157" s="162"/>
      <c r="GS157" s="163"/>
      <c r="GT157" s="164"/>
      <c r="GX157" s="162"/>
      <c r="GY157" s="162"/>
      <c r="GZ157" s="163"/>
      <c r="HA157" s="164"/>
      <c r="HE157" s="162"/>
      <c r="HF157" s="162"/>
      <c r="HG157" s="163"/>
      <c r="HH157" s="164"/>
      <c r="HL157" s="162"/>
      <c r="HM157" s="162"/>
      <c r="HN157" s="163"/>
      <c r="HO157" s="164"/>
      <c r="HS157" s="162"/>
      <c r="HT157" s="162"/>
      <c r="HU157" s="163"/>
      <c r="HV157" s="164"/>
    </row>
    <row r="158" spans="3:230" x14ac:dyDescent="0.2">
      <c r="C158" s="162"/>
      <c r="D158" s="162"/>
      <c r="E158" s="163"/>
      <c r="F158" s="164"/>
      <c r="J158" s="162"/>
      <c r="K158" s="162"/>
      <c r="L158" s="163"/>
      <c r="M158" s="164"/>
      <c r="Q158" s="162"/>
      <c r="R158" s="162"/>
      <c r="S158" s="163"/>
      <c r="T158" s="164"/>
      <c r="X158" s="162"/>
      <c r="Y158" s="162"/>
      <c r="Z158" s="163"/>
      <c r="AA158" s="164"/>
      <c r="AE158" s="162"/>
      <c r="AF158" s="162"/>
      <c r="AG158" s="163"/>
      <c r="AH158" s="164"/>
      <c r="AL158" s="162"/>
      <c r="AM158" s="162"/>
      <c r="AN158" s="163"/>
      <c r="AO158" s="164"/>
      <c r="AS158" s="162"/>
      <c r="AT158" s="162"/>
      <c r="AU158" s="163"/>
      <c r="AV158" s="164"/>
      <c r="AZ158" s="162"/>
      <c r="BA158" s="162"/>
      <c r="BB158" s="163"/>
      <c r="BC158" s="164"/>
      <c r="BG158" s="162"/>
      <c r="BH158" s="162"/>
      <c r="BI158" s="163"/>
      <c r="BJ158" s="164"/>
      <c r="BN158" s="162"/>
      <c r="BO158" s="162"/>
      <c r="BP158" s="163"/>
      <c r="BQ158" s="164"/>
      <c r="BU158" s="162"/>
      <c r="BV158" s="162"/>
      <c r="BW158" s="163"/>
      <c r="BX158" s="164"/>
      <c r="CB158" s="162"/>
      <c r="CC158" s="162"/>
      <c r="CD158" s="163"/>
      <c r="CE158" s="164"/>
      <c r="CI158" s="162"/>
      <c r="CJ158" s="162"/>
      <c r="CK158" s="163"/>
      <c r="CL158" s="164"/>
      <c r="CP158" s="162"/>
      <c r="CQ158" s="162"/>
      <c r="CR158" s="163"/>
      <c r="CS158" s="164"/>
      <c r="CW158" s="162"/>
      <c r="CX158" s="162"/>
      <c r="CY158" s="163"/>
      <c r="CZ158" s="164"/>
      <c r="DD158" s="162"/>
      <c r="DE158" s="162"/>
      <c r="DF158" s="163"/>
      <c r="DG158" s="164"/>
      <c r="DK158" s="162"/>
      <c r="DL158" s="162"/>
      <c r="DM158" s="163"/>
      <c r="DN158" s="164"/>
      <c r="DR158" s="162"/>
      <c r="DS158" s="162"/>
      <c r="DT158" s="163"/>
      <c r="DU158" s="164"/>
      <c r="DY158" s="162"/>
      <c r="DZ158" s="162"/>
      <c r="EA158" s="163"/>
      <c r="EB158" s="164"/>
      <c r="EF158" s="162"/>
      <c r="EG158" s="162"/>
      <c r="EH158" s="163"/>
      <c r="EI158" s="164"/>
      <c r="EM158" s="162"/>
      <c r="EN158" s="162"/>
      <c r="EO158" s="163"/>
      <c r="EP158" s="164"/>
      <c r="ET158" s="162"/>
      <c r="EU158" s="162"/>
      <c r="EV158" s="163"/>
      <c r="EW158" s="164"/>
      <c r="FA158" s="162"/>
      <c r="FB158" s="162"/>
      <c r="FC158" s="163"/>
      <c r="FD158" s="164"/>
      <c r="FH158" s="162"/>
      <c r="FI158" s="162"/>
      <c r="FJ158" s="163"/>
      <c r="FK158" s="164"/>
      <c r="FO158" s="162"/>
      <c r="FP158" s="162"/>
      <c r="FQ158" s="163"/>
      <c r="FR158" s="164"/>
      <c r="FV158" s="162"/>
      <c r="FW158" s="162"/>
      <c r="FX158" s="163"/>
      <c r="FY158" s="164"/>
      <c r="GC158" s="162"/>
      <c r="GD158" s="162"/>
      <c r="GE158" s="163"/>
      <c r="GF158" s="164"/>
      <c r="GJ158" s="162"/>
      <c r="GK158" s="162"/>
      <c r="GL158" s="163"/>
      <c r="GM158" s="164"/>
      <c r="GQ158" s="162"/>
      <c r="GR158" s="162"/>
      <c r="GS158" s="163"/>
      <c r="GT158" s="164"/>
      <c r="GX158" s="162"/>
      <c r="GY158" s="162"/>
      <c r="GZ158" s="163"/>
      <c r="HA158" s="164"/>
      <c r="HE158" s="162"/>
      <c r="HF158" s="162"/>
      <c r="HG158" s="163"/>
      <c r="HH158" s="164"/>
      <c r="HL158" s="162"/>
      <c r="HM158" s="162"/>
      <c r="HN158" s="163"/>
      <c r="HO158" s="164"/>
      <c r="HS158" s="162"/>
      <c r="HT158" s="162"/>
      <c r="HU158" s="163"/>
      <c r="HV158" s="164"/>
    </row>
    <row r="159" spans="3:230" x14ac:dyDescent="0.2">
      <c r="C159" s="162"/>
      <c r="D159" s="162"/>
      <c r="E159" s="163"/>
      <c r="F159" s="164"/>
      <c r="J159" s="162"/>
      <c r="K159" s="162"/>
      <c r="L159" s="163"/>
      <c r="M159" s="164"/>
      <c r="Q159" s="162"/>
      <c r="R159" s="162"/>
      <c r="S159" s="163"/>
      <c r="T159" s="164"/>
      <c r="X159" s="162"/>
      <c r="Y159" s="162"/>
      <c r="Z159" s="163"/>
      <c r="AA159" s="164"/>
      <c r="AE159" s="162"/>
      <c r="AF159" s="162"/>
      <c r="AG159" s="163"/>
      <c r="AH159" s="164"/>
      <c r="AL159" s="162"/>
      <c r="AM159" s="162"/>
      <c r="AN159" s="163"/>
      <c r="AO159" s="164"/>
      <c r="AS159" s="162"/>
      <c r="AT159" s="162"/>
      <c r="AU159" s="163"/>
      <c r="AV159" s="164"/>
      <c r="AZ159" s="162"/>
      <c r="BA159" s="162"/>
      <c r="BB159" s="163"/>
      <c r="BC159" s="164"/>
      <c r="BG159" s="162"/>
      <c r="BH159" s="162"/>
      <c r="BI159" s="163"/>
      <c r="BJ159" s="164"/>
      <c r="BN159" s="162"/>
      <c r="BO159" s="162"/>
      <c r="BP159" s="163"/>
      <c r="BQ159" s="164"/>
      <c r="BU159" s="162"/>
      <c r="BV159" s="162"/>
      <c r="BW159" s="163"/>
      <c r="BX159" s="164"/>
      <c r="CB159" s="162"/>
      <c r="CC159" s="162"/>
      <c r="CD159" s="163"/>
      <c r="CE159" s="164"/>
      <c r="CI159" s="162"/>
      <c r="CJ159" s="162"/>
      <c r="CK159" s="163"/>
      <c r="CL159" s="164"/>
      <c r="CP159" s="162"/>
      <c r="CQ159" s="162"/>
      <c r="CR159" s="163"/>
      <c r="CS159" s="164"/>
      <c r="CW159" s="162"/>
      <c r="CX159" s="162"/>
      <c r="CY159" s="163"/>
      <c r="CZ159" s="164"/>
      <c r="DD159" s="162"/>
      <c r="DE159" s="162"/>
      <c r="DF159" s="163"/>
      <c r="DG159" s="164"/>
      <c r="DK159" s="162"/>
      <c r="DL159" s="162"/>
      <c r="DM159" s="163"/>
      <c r="DN159" s="164"/>
      <c r="DR159" s="162"/>
      <c r="DS159" s="162"/>
      <c r="DT159" s="163"/>
      <c r="DU159" s="164"/>
      <c r="DY159" s="162"/>
      <c r="DZ159" s="162"/>
      <c r="EA159" s="163"/>
      <c r="EB159" s="164"/>
      <c r="EF159" s="162"/>
      <c r="EG159" s="162"/>
      <c r="EH159" s="163"/>
      <c r="EI159" s="164"/>
      <c r="EM159" s="162"/>
      <c r="EN159" s="162"/>
      <c r="EO159" s="163"/>
      <c r="EP159" s="164"/>
      <c r="ET159" s="162"/>
      <c r="EU159" s="162"/>
      <c r="EV159" s="163"/>
      <c r="EW159" s="164"/>
      <c r="FA159" s="162"/>
      <c r="FB159" s="162"/>
      <c r="FC159" s="163"/>
      <c r="FD159" s="164"/>
      <c r="FH159" s="162"/>
      <c r="FI159" s="162"/>
      <c r="FJ159" s="163"/>
      <c r="FK159" s="164"/>
      <c r="FO159" s="162"/>
      <c r="FP159" s="162"/>
      <c r="FQ159" s="163"/>
      <c r="FR159" s="164"/>
      <c r="FV159" s="162"/>
      <c r="FW159" s="162"/>
      <c r="FX159" s="163"/>
      <c r="FY159" s="164"/>
      <c r="GC159" s="162"/>
      <c r="GD159" s="162"/>
      <c r="GE159" s="163"/>
      <c r="GF159" s="164"/>
      <c r="GJ159" s="162"/>
      <c r="GK159" s="162"/>
      <c r="GL159" s="163"/>
      <c r="GM159" s="164"/>
      <c r="GQ159" s="162"/>
      <c r="GR159" s="162"/>
      <c r="GS159" s="163"/>
      <c r="GT159" s="164"/>
      <c r="GX159" s="162"/>
      <c r="GY159" s="162"/>
      <c r="GZ159" s="163"/>
      <c r="HA159" s="164"/>
      <c r="HE159" s="162"/>
      <c r="HF159" s="162"/>
      <c r="HG159" s="163"/>
      <c r="HH159" s="164"/>
      <c r="HL159" s="162"/>
      <c r="HM159" s="162"/>
      <c r="HN159" s="163"/>
      <c r="HO159" s="164"/>
      <c r="HS159" s="162"/>
      <c r="HT159" s="162"/>
      <c r="HU159" s="163"/>
      <c r="HV159" s="164"/>
    </row>
    <row r="160" spans="3:230" x14ac:dyDescent="0.2">
      <c r="C160" s="162"/>
      <c r="D160" s="162"/>
      <c r="E160" s="163"/>
      <c r="F160" s="164"/>
      <c r="J160" s="162"/>
      <c r="K160" s="162"/>
      <c r="L160" s="163"/>
      <c r="M160" s="164"/>
      <c r="Q160" s="162"/>
      <c r="R160" s="162"/>
      <c r="S160" s="163"/>
      <c r="T160" s="164"/>
      <c r="X160" s="162"/>
      <c r="Y160" s="162"/>
      <c r="Z160" s="163"/>
      <c r="AA160" s="164"/>
      <c r="AE160" s="162"/>
      <c r="AF160" s="162"/>
      <c r="AG160" s="163"/>
      <c r="AH160" s="164"/>
      <c r="AL160" s="162"/>
      <c r="AM160" s="162"/>
      <c r="AN160" s="163"/>
      <c r="AO160" s="164"/>
      <c r="AS160" s="162"/>
      <c r="AT160" s="162"/>
      <c r="AU160" s="163"/>
      <c r="AV160" s="164"/>
      <c r="AZ160" s="162"/>
      <c r="BA160" s="162"/>
      <c r="BB160" s="163"/>
      <c r="BC160" s="164"/>
      <c r="BG160" s="162"/>
      <c r="BH160" s="162"/>
      <c r="BI160" s="163"/>
      <c r="BJ160" s="164"/>
      <c r="BN160" s="162"/>
      <c r="BO160" s="162"/>
      <c r="BP160" s="163"/>
      <c r="BQ160" s="164"/>
      <c r="BU160" s="162"/>
      <c r="BV160" s="162"/>
      <c r="BW160" s="163"/>
      <c r="BX160" s="164"/>
      <c r="CB160" s="162"/>
      <c r="CC160" s="162"/>
      <c r="CD160" s="163"/>
      <c r="CE160" s="164"/>
      <c r="CI160" s="162"/>
      <c r="CJ160" s="162"/>
      <c r="CK160" s="163"/>
      <c r="CL160" s="164"/>
      <c r="CP160" s="162"/>
      <c r="CQ160" s="162"/>
      <c r="CR160" s="163"/>
      <c r="CS160" s="164"/>
      <c r="CW160" s="162"/>
      <c r="CX160" s="162"/>
      <c r="CY160" s="163"/>
      <c r="CZ160" s="164"/>
      <c r="DD160" s="162"/>
      <c r="DE160" s="162"/>
      <c r="DF160" s="163"/>
      <c r="DG160" s="164"/>
      <c r="DK160" s="162"/>
      <c r="DL160" s="162"/>
      <c r="DM160" s="163"/>
      <c r="DN160" s="164"/>
      <c r="DR160" s="162"/>
      <c r="DS160" s="162"/>
      <c r="DT160" s="163"/>
      <c r="DU160" s="164"/>
      <c r="DY160" s="162"/>
      <c r="DZ160" s="162"/>
      <c r="EA160" s="163"/>
      <c r="EB160" s="164"/>
      <c r="EF160" s="162"/>
      <c r="EG160" s="162"/>
      <c r="EH160" s="163"/>
      <c r="EI160" s="164"/>
      <c r="EM160" s="162"/>
      <c r="EN160" s="162"/>
      <c r="EO160" s="163"/>
      <c r="EP160" s="164"/>
      <c r="ET160" s="162"/>
      <c r="EU160" s="162"/>
      <c r="EV160" s="163"/>
      <c r="EW160" s="164"/>
      <c r="FA160" s="162"/>
      <c r="FB160" s="162"/>
      <c r="FC160" s="163"/>
      <c r="FD160" s="164"/>
      <c r="FH160" s="162"/>
      <c r="FI160" s="162"/>
      <c r="FJ160" s="163"/>
      <c r="FK160" s="164"/>
      <c r="FO160" s="162"/>
      <c r="FP160" s="162"/>
      <c r="FQ160" s="163"/>
      <c r="FR160" s="164"/>
      <c r="FV160" s="162"/>
      <c r="FW160" s="162"/>
      <c r="FX160" s="163"/>
      <c r="FY160" s="164"/>
      <c r="GC160" s="162"/>
      <c r="GD160" s="162"/>
      <c r="GE160" s="163"/>
      <c r="GF160" s="164"/>
      <c r="GJ160" s="162"/>
      <c r="GK160" s="162"/>
      <c r="GL160" s="163"/>
      <c r="GM160" s="164"/>
      <c r="GQ160" s="162"/>
      <c r="GR160" s="162"/>
      <c r="GS160" s="163"/>
      <c r="GT160" s="164"/>
      <c r="GX160" s="162"/>
      <c r="GY160" s="162"/>
      <c r="GZ160" s="163"/>
      <c r="HA160" s="164"/>
      <c r="HE160" s="162"/>
      <c r="HF160" s="162"/>
      <c r="HG160" s="163"/>
      <c r="HH160" s="164"/>
      <c r="HL160" s="162"/>
      <c r="HM160" s="162"/>
      <c r="HN160" s="163"/>
      <c r="HO160" s="164"/>
      <c r="HS160" s="162"/>
      <c r="HT160" s="162"/>
      <c r="HU160" s="163"/>
      <c r="HV160" s="164"/>
    </row>
    <row r="161" spans="3:230" x14ac:dyDescent="0.2">
      <c r="C161" s="162"/>
      <c r="D161" s="162"/>
      <c r="E161" s="163"/>
      <c r="F161" s="164"/>
      <c r="J161" s="162"/>
      <c r="K161" s="162"/>
      <c r="L161" s="163"/>
      <c r="M161" s="164"/>
      <c r="Q161" s="162"/>
      <c r="R161" s="162"/>
      <c r="S161" s="163"/>
      <c r="T161" s="164"/>
      <c r="X161" s="162"/>
      <c r="Y161" s="162"/>
      <c r="Z161" s="163"/>
      <c r="AA161" s="164"/>
      <c r="AE161" s="162"/>
      <c r="AF161" s="162"/>
      <c r="AG161" s="163"/>
      <c r="AH161" s="164"/>
      <c r="AL161" s="162"/>
      <c r="AM161" s="162"/>
      <c r="AN161" s="163"/>
      <c r="AO161" s="164"/>
      <c r="AS161" s="162"/>
      <c r="AT161" s="162"/>
      <c r="AU161" s="163"/>
      <c r="AV161" s="164"/>
      <c r="AZ161" s="162"/>
      <c r="BA161" s="162"/>
      <c r="BB161" s="163"/>
      <c r="BC161" s="164"/>
      <c r="BG161" s="162"/>
      <c r="BH161" s="162"/>
      <c r="BI161" s="163"/>
      <c r="BJ161" s="164"/>
      <c r="BN161" s="162"/>
      <c r="BO161" s="162"/>
      <c r="BP161" s="163"/>
      <c r="BQ161" s="164"/>
      <c r="BU161" s="162"/>
      <c r="BV161" s="162"/>
      <c r="BW161" s="163"/>
      <c r="BX161" s="164"/>
      <c r="CB161" s="162"/>
      <c r="CC161" s="162"/>
      <c r="CD161" s="163"/>
      <c r="CE161" s="164"/>
      <c r="CI161" s="162"/>
      <c r="CJ161" s="162"/>
      <c r="CK161" s="163"/>
      <c r="CL161" s="164"/>
      <c r="CP161" s="162"/>
      <c r="CQ161" s="162"/>
      <c r="CR161" s="163"/>
      <c r="CS161" s="164"/>
      <c r="CW161" s="162"/>
      <c r="CX161" s="162"/>
      <c r="CY161" s="163"/>
      <c r="CZ161" s="164"/>
      <c r="DD161" s="162"/>
      <c r="DE161" s="162"/>
      <c r="DF161" s="163"/>
      <c r="DG161" s="164"/>
      <c r="DK161" s="162"/>
      <c r="DL161" s="162"/>
      <c r="DM161" s="163"/>
      <c r="DN161" s="164"/>
      <c r="DR161" s="162"/>
      <c r="DS161" s="162"/>
      <c r="DT161" s="163"/>
      <c r="DU161" s="164"/>
      <c r="DY161" s="162"/>
      <c r="DZ161" s="162"/>
      <c r="EA161" s="163"/>
      <c r="EB161" s="164"/>
      <c r="EF161" s="162"/>
      <c r="EG161" s="162"/>
      <c r="EH161" s="163"/>
      <c r="EI161" s="164"/>
      <c r="EM161" s="162"/>
      <c r="EN161" s="162"/>
      <c r="EO161" s="163"/>
      <c r="EP161" s="164"/>
      <c r="ET161" s="162"/>
      <c r="EU161" s="162"/>
      <c r="EV161" s="163"/>
      <c r="EW161" s="164"/>
      <c r="FA161" s="162"/>
      <c r="FB161" s="162"/>
      <c r="FC161" s="163"/>
      <c r="FD161" s="164"/>
      <c r="FH161" s="162"/>
      <c r="FI161" s="162"/>
      <c r="FJ161" s="163"/>
      <c r="FK161" s="164"/>
      <c r="FO161" s="162"/>
      <c r="FP161" s="162"/>
      <c r="FQ161" s="163"/>
      <c r="FR161" s="164"/>
      <c r="FV161" s="162"/>
      <c r="FW161" s="162"/>
      <c r="FX161" s="163"/>
      <c r="FY161" s="164"/>
      <c r="GC161" s="162"/>
      <c r="GD161" s="162"/>
      <c r="GE161" s="163"/>
      <c r="GF161" s="164"/>
      <c r="GJ161" s="162"/>
      <c r="GK161" s="162"/>
      <c r="GL161" s="163"/>
      <c r="GM161" s="164"/>
      <c r="GQ161" s="162"/>
      <c r="GR161" s="162"/>
      <c r="GS161" s="163"/>
      <c r="GT161" s="164"/>
      <c r="GX161" s="162"/>
      <c r="GY161" s="162"/>
      <c r="GZ161" s="163"/>
      <c r="HA161" s="164"/>
      <c r="HE161" s="162"/>
      <c r="HF161" s="162"/>
      <c r="HG161" s="163"/>
      <c r="HH161" s="164"/>
      <c r="HL161" s="162"/>
      <c r="HM161" s="162"/>
      <c r="HN161" s="163"/>
      <c r="HO161" s="164"/>
      <c r="HS161" s="162"/>
      <c r="HT161" s="162"/>
      <c r="HU161" s="163"/>
      <c r="HV161" s="164"/>
    </row>
    <row r="162" spans="3:230" x14ac:dyDescent="0.2">
      <c r="C162" s="162"/>
      <c r="D162" s="162"/>
      <c r="E162" s="163"/>
      <c r="F162" s="164"/>
      <c r="J162" s="162"/>
      <c r="K162" s="162"/>
      <c r="L162" s="163"/>
      <c r="M162" s="164"/>
      <c r="Q162" s="162"/>
      <c r="R162" s="162"/>
      <c r="S162" s="163"/>
      <c r="T162" s="164"/>
      <c r="X162" s="162"/>
      <c r="Y162" s="162"/>
      <c r="Z162" s="163"/>
      <c r="AA162" s="164"/>
      <c r="AE162" s="162"/>
      <c r="AF162" s="162"/>
      <c r="AG162" s="163"/>
      <c r="AH162" s="164"/>
      <c r="AL162" s="162"/>
      <c r="AM162" s="162"/>
      <c r="AN162" s="163"/>
      <c r="AO162" s="164"/>
      <c r="AS162" s="162"/>
      <c r="AT162" s="162"/>
      <c r="AU162" s="163"/>
      <c r="AV162" s="164"/>
      <c r="AZ162" s="162"/>
      <c r="BA162" s="162"/>
      <c r="BB162" s="163"/>
      <c r="BC162" s="164"/>
      <c r="BG162" s="162"/>
      <c r="BH162" s="162"/>
      <c r="BI162" s="163"/>
      <c r="BJ162" s="164"/>
      <c r="BN162" s="162"/>
      <c r="BO162" s="162"/>
      <c r="BP162" s="163"/>
      <c r="BQ162" s="164"/>
      <c r="BU162" s="162"/>
      <c r="BV162" s="162"/>
      <c r="BW162" s="163"/>
      <c r="BX162" s="164"/>
      <c r="CB162" s="162"/>
      <c r="CC162" s="162"/>
      <c r="CD162" s="163"/>
      <c r="CE162" s="164"/>
      <c r="CI162" s="162"/>
      <c r="CJ162" s="162"/>
      <c r="CK162" s="163"/>
      <c r="CL162" s="164"/>
      <c r="CP162" s="162"/>
      <c r="CQ162" s="162"/>
      <c r="CR162" s="163"/>
      <c r="CS162" s="164"/>
      <c r="CW162" s="162"/>
      <c r="CX162" s="162"/>
      <c r="CY162" s="163"/>
      <c r="CZ162" s="164"/>
      <c r="DD162" s="162"/>
      <c r="DE162" s="162"/>
      <c r="DF162" s="163"/>
      <c r="DG162" s="164"/>
      <c r="DK162" s="162"/>
      <c r="DL162" s="162"/>
      <c r="DM162" s="163"/>
      <c r="DN162" s="164"/>
      <c r="DR162" s="162"/>
      <c r="DS162" s="162"/>
      <c r="DT162" s="163"/>
      <c r="DU162" s="164"/>
      <c r="DY162" s="162"/>
      <c r="DZ162" s="162"/>
      <c r="EA162" s="163"/>
      <c r="EB162" s="164"/>
      <c r="EF162" s="162"/>
      <c r="EG162" s="162"/>
      <c r="EH162" s="163"/>
      <c r="EI162" s="164"/>
      <c r="EM162" s="162"/>
      <c r="EN162" s="162"/>
      <c r="EO162" s="163"/>
      <c r="EP162" s="164"/>
      <c r="ET162" s="162"/>
      <c r="EU162" s="162"/>
      <c r="EV162" s="163"/>
      <c r="EW162" s="164"/>
      <c r="FA162" s="162"/>
      <c r="FB162" s="162"/>
      <c r="FC162" s="163"/>
      <c r="FD162" s="164"/>
      <c r="FH162" s="162"/>
      <c r="FI162" s="162"/>
      <c r="FJ162" s="163"/>
      <c r="FK162" s="164"/>
      <c r="FO162" s="162"/>
      <c r="FP162" s="162"/>
      <c r="FQ162" s="163"/>
      <c r="FR162" s="164"/>
      <c r="FV162" s="162"/>
      <c r="FW162" s="162"/>
      <c r="FX162" s="163"/>
      <c r="FY162" s="164"/>
      <c r="GC162" s="162"/>
      <c r="GD162" s="162"/>
      <c r="GE162" s="163"/>
      <c r="GF162" s="164"/>
      <c r="GJ162" s="162"/>
      <c r="GK162" s="162"/>
      <c r="GL162" s="163"/>
      <c r="GM162" s="164"/>
      <c r="GQ162" s="162"/>
      <c r="GR162" s="162"/>
      <c r="GS162" s="163"/>
      <c r="GT162" s="164"/>
      <c r="GX162" s="162"/>
      <c r="GY162" s="162"/>
      <c r="GZ162" s="163"/>
      <c r="HA162" s="164"/>
      <c r="HE162" s="162"/>
      <c r="HF162" s="162"/>
      <c r="HG162" s="163"/>
      <c r="HH162" s="164"/>
      <c r="HL162" s="162"/>
      <c r="HM162" s="162"/>
      <c r="HN162" s="163"/>
      <c r="HO162" s="164"/>
      <c r="HS162" s="162"/>
      <c r="HT162" s="162"/>
      <c r="HU162" s="163"/>
      <c r="HV162" s="164"/>
    </row>
    <row r="163" spans="3:230" x14ac:dyDescent="0.2">
      <c r="C163" s="162"/>
      <c r="D163" s="162"/>
      <c r="E163" s="163"/>
      <c r="F163" s="164"/>
      <c r="J163" s="162"/>
      <c r="K163" s="162"/>
      <c r="L163" s="163"/>
      <c r="M163" s="164"/>
      <c r="Q163" s="162"/>
      <c r="R163" s="162"/>
      <c r="S163" s="163"/>
      <c r="T163" s="164"/>
      <c r="X163" s="162"/>
      <c r="Y163" s="162"/>
      <c r="Z163" s="163"/>
      <c r="AA163" s="164"/>
      <c r="AE163" s="162"/>
      <c r="AF163" s="162"/>
      <c r="AG163" s="163"/>
      <c r="AH163" s="164"/>
      <c r="AL163" s="162"/>
      <c r="AM163" s="162"/>
      <c r="AN163" s="163"/>
      <c r="AO163" s="164"/>
      <c r="AS163" s="162"/>
      <c r="AT163" s="162"/>
      <c r="AU163" s="163"/>
      <c r="AV163" s="164"/>
      <c r="AZ163" s="162"/>
      <c r="BA163" s="162"/>
      <c r="BB163" s="163"/>
      <c r="BC163" s="164"/>
      <c r="BG163" s="162"/>
      <c r="BH163" s="162"/>
      <c r="BI163" s="163"/>
      <c r="BJ163" s="164"/>
      <c r="BN163" s="162"/>
      <c r="BO163" s="162"/>
      <c r="BP163" s="163"/>
      <c r="BQ163" s="164"/>
      <c r="BU163" s="162"/>
      <c r="BV163" s="162"/>
      <c r="BW163" s="163"/>
      <c r="BX163" s="164"/>
      <c r="CB163" s="162"/>
      <c r="CC163" s="162"/>
      <c r="CD163" s="163"/>
      <c r="CE163" s="164"/>
      <c r="CI163" s="162"/>
      <c r="CJ163" s="162"/>
      <c r="CK163" s="163"/>
      <c r="CL163" s="164"/>
      <c r="CP163" s="162"/>
      <c r="CQ163" s="162"/>
      <c r="CR163" s="163"/>
      <c r="CS163" s="164"/>
      <c r="CW163" s="162"/>
      <c r="CX163" s="162"/>
      <c r="CY163" s="163"/>
      <c r="CZ163" s="164"/>
      <c r="DD163" s="162"/>
      <c r="DE163" s="162"/>
      <c r="DF163" s="163"/>
      <c r="DG163" s="164"/>
      <c r="DK163" s="162"/>
      <c r="DL163" s="162"/>
      <c r="DM163" s="163"/>
      <c r="DN163" s="164"/>
      <c r="DR163" s="162"/>
      <c r="DS163" s="162"/>
      <c r="DT163" s="163"/>
      <c r="DU163" s="164"/>
      <c r="DY163" s="162"/>
      <c r="DZ163" s="162"/>
      <c r="EA163" s="163"/>
      <c r="EB163" s="164"/>
      <c r="EF163" s="162"/>
      <c r="EG163" s="162"/>
      <c r="EH163" s="163"/>
      <c r="EI163" s="164"/>
      <c r="EM163" s="162"/>
      <c r="EN163" s="162"/>
      <c r="EO163" s="163"/>
      <c r="EP163" s="164"/>
      <c r="ET163" s="162"/>
      <c r="EU163" s="162"/>
      <c r="EV163" s="163"/>
      <c r="EW163" s="164"/>
      <c r="FA163" s="162"/>
      <c r="FB163" s="162"/>
      <c r="FC163" s="163"/>
      <c r="FD163" s="164"/>
      <c r="FH163" s="162"/>
      <c r="FI163" s="162"/>
      <c r="FJ163" s="163"/>
      <c r="FK163" s="164"/>
      <c r="FO163" s="162"/>
      <c r="FP163" s="162"/>
      <c r="FQ163" s="163"/>
      <c r="FR163" s="164"/>
      <c r="FV163" s="162"/>
      <c r="FW163" s="162"/>
      <c r="FX163" s="163"/>
      <c r="FY163" s="164"/>
      <c r="GC163" s="162"/>
      <c r="GD163" s="162"/>
      <c r="GE163" s="163"/>
      <c r="GF163" s="164"/>
      <c r="GJ163" s="162"/>
      <c r="GK163" s="162"/>
      <c r="GL163" s="163"/>
      <c r="GM163" s="164"/>
      <c r="GQ163" s="162"/>
      <c r="GR163" s="162"/>
      <c r="GS163" s="163"/>
      <c r="GT163" s="164"/>
      <c r="GX163" s="162"/>
      <c r="GY163" s="162"/>
      <c r="GZ163" s="163"/>
      <c r="HA163" s="164"/>
      <c r="HE163" s="162"/>
      <c r="HF163" s="162"/>
      <c r="HG163" s="163"/>
      <c r="HH163" s="164"/>
      <c r="HL163" s="162"/>
      <c r="HM163" s="162"/>
      <c r="HN163" s="163"/>
      <c r="HO163" s="164"/>
      <c r="HS163" s="162"/>
      <c r="HT163" s="162"/>
      <c r="HU163" s="163"/>
      <c r="HV163" s="164"/>
    </row>
    <row r="164" spans="3:230" x14ac:dyDescent="0.2">
      <c r="C164" s="162"/>
      <c r="D164" s="162"/>
      <c r="E164" s="163"/>
      <c r="F164" s="164"/>
      <c r="J164" s="162"/>
      <c r="K164" s="162"/>
      <c r="L164" s="163"/>
      <c r="M164" s="164"/>
      <c r="Q164" s="162"/>
      <c r="R164" s="162"/>
      <c r="S164" s="163"/>
      <c r="T164" s="164"/>
      <c r="X164" s="162"/>
      <c r="Y164" s="162"/>
      <c r="Z164" s="163"/>
      <c r="AA164" s="164"/>
      <c r="AE164" s="162"/>
      <c r="AF164" s="162"/>
      <c r="AG164" s="163"/>
      <c r="AH164" s="164"/>
      <c r="AL164" s="162"/>
      <c r="AM164" s="162"/>
      <c r="AN164" s="163"/>
      <c r="AO164" s="164"/>
      <c r="AS164" s="162"/>
      <c r="AT164" s="162"/>
      <c r="AU164" s="163"/>
      <c r="AV164" s="164"/>
      <c r="AZ164" s="162"/>
      <c r="BA164" s="162"/>
      <c r="BB164" s="163"/>
      <c r="BC164" s="164"/>
      <c r="BG164" s="162"/>
      <c r="BH164" s="162"/>
      <c r="BI164" s="163"/>
      <c r="BJ164" s="164"/>
      <c r="BN164" s="162"/>
      <c r="BO164" s="162"/>
      <c r="BP164" s="163"/>
      <c r="BQ164" s="164"/>
      <c r="BU164" s="162"/>
      <c r="BV164" s="162"/>
      <c r="BW164" s="163"/>
      <c r="BX164" s="164"/>
      <c r="CB164" s="162"/>
      <c r="CC164" s="162"/>
      <c r="CD164" s="163"/>
      <c r="CE164" s="164"/>
      <c r="CI164" s="162"/>
      <c r="CJ164" s="162"/>
      <c r="CK164" s="163"/>
      <c r="CL164" s="164"/>
      <c r="CP164" s="162"/>
      <c r="CQ164" s="162"/>
      <c r="CR164" s="163"/>
      <c r="CS164" s="164"/>
      <c r="CW164" s="162"/>
      <c r="CX164" s="162"/>
      <c r="CY164" s="163"/>
      <c r="CZ164" s="164"/>
      <c r="DD164" s="162"/>
      <c r="DE164" s="162"/>
      <c r="DF164" s="163"/>
      <c r="DG164" s="164"/>
      <c r="DK164" s="162"/>
      <c r="DL164" s="162"/>
      <c r="DM164" s="163"/>
      <c r="DN164" s="164"/>
      <c r="DR164" s="162"/>
      <c r="DS164" s="162"/>
      <c r="DT164" s="163"/>
      <c r="DU164" s="164"/>
      <c r="DY164" s="162"/>
      <c r="DZ164" s="162"/>
      <c r="EA164" s="163"/>
      <c r="EB164" s="164"/>
      <c r="EF164" s="162"/>
      <c r="EG164" s="162"/>
      <c r="EH164" s="163"/>
      <c r="EI164" s="164"/>
      <c r="EM164" s="162"/>
      <c r="EN164" s="162"/>
      <c r="EO164" s="163"/>
      <c r="EP164" s="164"/>
      <c r="ET164" s="162"/>
      <c r="EU164" s="162"/>
      <c r="EV164" s="163"/>
      <c r="EW164" s="164"/>
      <c r="FA164" s="162"/>
      <c r="FB164" s="162"/>
      <c r="FC164" s="163"/>
      <c r="FD164" s="164"/>
      <c r="FH164" s="162"/>
      <c r="FI164" s="162"/>
      <c r="FJ164" s="163"/>
      <c r="FK164" s="164"/>
      <c r="FO164" s="162"/>
      <c r="FP164" s="162"/>
      <c r="FQ164" s="163"/>
      <c r="FR164" s="164"/>
      <c r="FV164" s="162"/>
      <c r="FW164" s="162"/>
      <c r="FX164" s="163"/>
      <c r="FY164" s="164"/>
      <c r="GC164" s="162"/>
      <c r="GD164" s="162"/>
      <c r="GE164" s="163"/>
      <c r="GF164" s="164"/>
      <c r="GJ164" s="162"/>
      <c r="GK164" s="162"/>
      <c r="GL164" s="163"/>
      <c r="GM164" s="164"/>
      <c r="GQ164" s="162"/>
      <c r="GR164" s="162"/>
      <c r="GS164" s="163"/>
      <c r="GT164" s="164"/>
      <c r="GX164" s="162"/>
      <c r="GY164" s="162"/>
      <c r="GZ164" s="163"/>
      <c r="HA164" s="164"/>
      <c r="HE164" s="162"/>
      <c r="HF164" s="162"/>
      <c r="HG164" s="163"/>
      <c r="HH164" s="164"/>
      <c r="HL164" s="162"/>
      <c r="HM164" s="162"/>
      <c r="HN164" s="163"/>
      <c r="HO164" s="164"/>
      <c r="HS164" s="162"/>
      <c r="HT164" s="162"/>
      <c r="HU164" s="163"/>
      <c r="HV164" s="164"/>
    </row>
    <row r="165" spans="3:230" x14ac:dyDescent="0.2">
      <c r="C165" s="162"/>
      <c r="D165" s="162"/>
      <c r="E165" s="163"/>
      <c r="F165" s="164"/>
      <c r="J165" s="162"/>
      <c r="K165" s="162"/>
      <c r="L165" s="163"/>
      <c r="M165" s="164"/>
      <c r="Q165" s="162"/>
      <c r="R165" s="162"/>
      <c r="S165" s="163"/>
      <c r="T165" s="164"/>
      <c r="X165" s="162"/>
      <c r="Y165" s="162"/>
      <c r="Z165" s="163"/>
      <c r="AA165" s="164"/>
      <c r="AE165" s="162"/>
      <c r="AF165" s="162"/>
      <c r="AG165" s="163"/>
      <c r="AH165" s="164"/>
      <c r="AL165" s="162"/>
      <c r="AM165" s="162"/>
      <c r="AN165" s="163"/>
      <c r="AO165" s="164"/>
      <c r="AS165" s="162"/>
      <c r="AT165" s="162"/>
      <c r="AU165" s="163"/>
      <c r="AV165" s="164"/>
      <c r="AZ165" s="162"/>
      <c r="BA165" s="162"/>
      <c r="BB165" s="163"/>
      <c r="BC165" s="164"/>
      <c r="BG165" s="162"/>
      <c r="BH165" s="162"/>
      <c r="BI165" s="163"/>
      <c r="BJ165" s="164"/>
      <c r="BN165" s="162"/>
      <c r="BO165" s="162"/>
      <c r="BP165" s="163"/>
      <c r="BQ165" s="164"/>
      <c r="BU165" s="162"/>
      <c r="BV165" s="162"/>
      <c r="BW165" s="163"/>
      <c r="BX165" s="164"/>
      <c r="CB165" s="162"/>
      <c r="CC165" s="162"/>
      <c r="CD165" s="163"/>
      <c r="CE165" s="164"/>
      <c r="CI165" s="162"/>
      <c r="CJ165" s="162"/>
      <c r="CK165" s="163"/>
      <c r="CL165" s="164"/>
      <c r="CP165" s="162"/>
      <c r="CQ165" s="162"/>
      <c r="CR165" s="163"/>
      <c r="CS165" s="164"/>
      <c r="CW165" s="162"/>
      <c r="CX165" s="162"/>
      <c r="CY165" s="163"/>
      <c r="CZ165" s="164"/>
      <c r="DD165" s="162"/>
      <c r="DE165" s="162"/>
      <c r="DF165" s="163"/>
      <c r="DG165" s="164"/>
      <c r="DK165" s="162"/>
      <c r="DL165" s="162"/>
      <c r="DM165" s="163"/>
      <c r="DN165" s="164"/>
      <c r="DR165" s="162"/>
      <c r="DS165" s="162"/>
      <c r="DT165" s="163"/>
      <c r="DU165" s="164"/>
      <c r="DY165" s="162"/>
      <c r="DZ165" s="162"/>
      <c r="EA165" s="163"/>
      <c r="EB165" s="164"/>
      <c r="EF165" s="162"/>
      <c r="EG165" s="162"/>
      <c r="EH165" s="163"/>
      <c r="EI165" s="164"/>
      <c r="EM165" s="162"/>
      <c r="EN165" s="162"/>
      <c r="EO165" s="163"/>
      <c r="EP165" s="164"/>
      <c r="ET165" s="162"/>
      <c r="EU165" s="162"/>
      <c r="EV165" s="163"/>
      <c r="EW165" s="164"/>
      <c r="FA165" s="162"/>
      <c r="FB165" s="162"/>
      <c r="FC165" s="163"/>
      <c r="FD165" s="164"/>
      <c r="FH165" s="162"/>
      <c r="FI165" s="162"/>
      <c r="FJ165" s="163"/>
      <c r="FK165" s="164"/>
      <c r="FO165" s="162"/>
      <c r="FP165" s="162"/>
      <c r="FQ165" s="163"/>
      <c r="FR165" s="164"/>
      <c r="FV165" s="162"/>
      <c r="FW165" s="162"/>
      <c r="FX165" s="163"/>
      <c r="FY165" s="164"/>
      <c r="GC165" s="162"/>
      <c r="GD165" s="162"/>
      <c r="GE165" s="163"/>
      <c r="GF165" s="164"/>
      <c r="GJ165" s="162"/>
      <c r="GK165" s="162"/>
      <c r="GL165" s="163"/>
      <c r="GM165" s="164"/>
      <c r="GQ165" s="162"/>
      <c r="GR165" s="162"/>
      <c r="GS165" s="163"/>
      <c r="GT165" s="164"/>
      <c r="GX165" s="162"/>
      <c r="GY165" s="162"/>
      <c r="GZ165" s="163"/>
      <c r="HA165" s="164"/>
      <c r="HE165" s="162"/>
      <c r="HF165" s="162"/>
      <c r="HG165" s="163"/>
      <c r="HH165" s="164"/>
      <c r="HL165" s="162"/>
      <c r="HM165" s="162"/>
      <c r="HN165" s="163"/>
      <c r="HO165" s="164"/>
      <c r="HS165" s="162"/>
      <c r="HT165" s="162"/>
      <c r="HU165" s="163"/>
      <c r="HV165" s="164"/>
    </row>
    <row r="166" spans="3:230" x14ac:dyDescent="0.2">
      <c r="C166" s="162"/>
      <c r="D166" s="162"/>
      <c r="E166" s="163"/>
      <c r="F166" s="164"/>
      <c r="J166" s="162"/>
      <c r="K166" s="162"/>
      <c r="L166" s="163"/>
      <c r="M166" s="164"/>
      <c r="Q166" s="162"/>
      <c r="R166" s="162"/>
      <c r="S166" s="163"/>
      <c r="T166" s="164"/>
      <c r="X166" s="162"/>
      <c r="Y166" s="162"/>
      <c r="Z166" s="163"/>
      <c r="AA166" s="164"/>
      <c r="AE166" s="162"/>
      <c r="AF166" s="162"/>
      <c r="AG166" s="163"/>
      <c r="AH166" s="164"/>
      <c r="AL166" s="162"/>
      <c r="AM166" s="162"/>
      <c r="AN166" s="163"/>
      <c r="AO166" s="164"/>
      <c r="AS166" s="162"/>
      <c r="AT166" s="162"/>
      <c r="AU166" s="163"/>
      <c r="AV166" s="164"/>
      <c r="AZ166" s="162"/>
      <c r="BA166" s="162"/>
      <c r="BB166" s="163"/>
      <c r="BC166" s="164"/>
      <c r="BG166" s="162"/>
      <c r="BH166" s="162"/>
      <c r="BI166" s="163"/>
      <c r="BJ166" s="164"/>
      <c r="BN166" s="162"/>
      <c r="BO166" s="162"/>
      <c r="BP166" s="163"/>
      <c r="BQ166" s="164"/>
      <c r="BU166" s="162"/>
      <c r="BV166" s="162"/>
      <c r="BW166" s="163"/>
      <c r="BX166" s="164"/>
      <c r="CB166" s="162"/>
      <c r="CC166" s="162"/>
      <c r="CD166" s="163"/>
      <c r="CE166" s="164"/>
      <c r="CI166" s="162"/>
      <c r="CJ166" s="162"/>
      <c r="CK166" s="163"/>
      <c r="CL166" s="164"/>
      <c r="CP166" s="162"/>
      <c r="CQ166" s="162"/>
      <c r="CR166" s="163"/>
      <c r="CS166" s="164"/>
      <c r="CW166" s="162"/>
      <c r="CX166" s="162"/>
      <c r="CY166" s="163"/>
      <c r="CZ166" s="164"/>
      <c r="DD166" s="162"/>
      <c r="DE166" s="162"/>
      <c r="DF166" s="163"/>
      <c r="DG166" s="164"/>
      <c r="DK166" s="162"/>
      <c r="DL166" s="162"/>
      <c r="DM166" s="163"/>
      <c r="DN166" s="164"/>
      <c r="DR166" s="162"/>
      <c r="DS166" s="162"/>
      <c r="DT166" s="163"/>
      <c r="DU166" s="164"/>
      <c r="DY166" s="162"/>
      <c r="DZ166" s="162"/>
      <c r="EA166" s="163"/>
      <c r="EB166" s="164"/>
      <c r="EF166" s="162"/>
      <c r="EG166" s="162"/>
      <c r="EH166" s="163"/>
      <c r="EI166" s="164"/>
      <c r="EM166" s="162"/>
      <c r="EN166" s="162"/>
      <c r="EO166" s="163"/>
      <c r="EP166" s="164"/>
      <c r="ET166" s="162"/>
      <c r="EU166" s="162"/>
      <c r="EV166" s="163"/>
      <c r="EW166" s="164"/>
      <c r="FA166" s="162"/>
      <c r="FB166" s="162"/>
      <c r="FC166" s="163"/>
      <c r="FD166" s="164"/>
      <c r="FH166" s="162"/>
      <c r="FI166" s="162"/>
      <c r="FJ166" s="163"/>
      <c r="FK166" s="164"/>
      <c r="FO166" s="162"/>
      <c r="FP166" s="162"/>
      <c r="FQ166" s="163"/>
      <c r="FR166" s="164"/>
      <c r="FV166" s="162"/>
      <c r="FW166" s="162"/>
      <c r="FX166" s="163"/>
      <c r="FY166" s="164"/>
      <c r="GC166" s="162"/>
      <c r="GD166" s="162"/>
      <c r="GE166" s="163"/>
      <c r="GF166" s="164"/>
      <c r="GJ166" s="162"/>
      <c r="GK166" s="162"/>
      <c r="GL166" s="163"/>
      <c r="GM166" s="164"/>
      <c r="GQ166" s="162"/>
      <c r="GR166" s="162"/>
      <c r="GS166" s="163"/>
      <c r="GT166" s="164"/>
      <c r="GX166" s="162"/>
      <c r="GY166" s="162"/>
      <c r="GZ166" s="163"/>
      <c r="HA166" s="164"/>
      <c r="HE166" s="162"/>
      <c r="HF166" s="162"/>
      <c r="HG166" s="163"/>
      <c r="HH166" s="164"/>
      <c r="HL166" s="162"/>
      <c r="HM166" s="162"/>
      <c r="HN166" s="163"/>
      <c r="HO166" s="164"/>
      <c r="HS166" s="162"/>
      <c r="HT166" s="162"/>
      <c r="HU166" s="163"/>
      <c r="HV166" s="164"/>
    </row>
    <row r="167" spans="3:230" x14ac:dyDescent="0.2">
      <c r="C167" s="162"/>
      <c r="D167" s="162"/>
      <c r="E167" s="163"/>
      <c r="F167" s="164"/>
      <c r="J167" s="162"/>
      <c r="K167" s="162"/>
      <c r="L167" s="163"/>
      <c r="M167" s="164"/>
      <c r="Q167" s="162"/>
      <c r="R167" s="162"/>
      <c r="S167" s="163"/>
      <c r="T167" s="164"/>
      <c r="X167" s="162"/>
      <c r="Y167" s="162"/>
      <c r="Z167" s="163"/>
      <c r="AA167" s="164"/>
      <c r="AE167" s="162"/>
      <c r="AF167" s="162"/>
      <c r="AG167" s="163"/>
      <c r="AH167" s="164"/>
      <c r="AL167" s="162"/>
      <c r="AM167" s="162"/>
      <c r="AN167" s="163"/>
      <c r="AO167" s="164"/>
      <c r="AS167" s="162"/>
      <c r="AT167" s="162"/>
      <c r="AU167" s="163"/>
      <c r="AV167" s="164"/>
      <c r="AZ167" s="162"/>
      <c r="BA167" s="162"/>
      <c r="BB167" s="163"/>
      <c r="BC167" s="164"/>
      <c r="BG167" s="162"/>
      <c r="BH167" s="162"/>
      <c r="BI167" s="163"/>
      <c r="BJ167" s="164"/>
      <c r="BN167" s="162"/>
      <c r="BO167" s="162"/>
      <c r="BP167" s="163"/>
      <c r="BQ167" s="164"/>
      <c r="BU167" s="162"/>
      <c r="BV167" s="162"/>
      <c r="BW167" s="163"/>
      <c r="BX167" s="164"/>
      <c r="CB167" s="162"/>
      <c r="CC167" s="162"/>
      <c r="CD167" s="163"/>
      <c r="CE167" s="164"/>
      <c r="CI167" s="162"/>
      <c r="CJ167" s="162"/>
      <c r="CK167" s="163"/>
      <c r="CL167" s="164"/>
      <c r="CP167" s="162"/>
      <c r="CQ167" s="162"/>
      <c r="CR167" s="163"/>
      <c r="CS167" s="164"/>
      <c r="CW167" s="162"/>
      <c r="CX167" s="162"/>
      <c r="CY167" s="163"/>
      <c r="CZ167" s="164"/>
      <c r="DD167" s="162"/>
      <c r="DE167" s="162"/>
      <c r="DF167" s="163"/>
      <c r="DG167" s="164"/>
      <c r="DK167" s="162"/>
      <c r="DL167" s="162"/>
      <c r="DM167" s="163"/>
      <c r="DN167" s="164"/>
      <c r="DR167" s="162"/>
      <c r="DS167" s="162"/>
      <c r="DT167" s="163"/>
      <c r="DU167" s="164"/>
      <c r="DY167" s="162"/>
      <c r="DZ167" s="162"/>
      <c r="EA167" s="163"/>
      <c r="EB167" s="164"/>
      <c r="EF167" s="162"/>
      <c r="EG167" s="162"/>
      <c r="EH167" s="163"/>
      <c r="EI167" s="164"/>
      <c r="EM167" s="162"/>
      <c r="EN167" s="162"/>
      <c r="EO167" s="163"/>
      <c r="EP167" s="164"/>
      <c r="ET167" s="162"/>
      <c r="EU167" s="162"/>
      <c r="EV167" s="163"/>
      <c r="EW167" s="164"/>
      <c r="FA167" s="162"/>
      <c r="FB167" s="162"/>
      <c r="FC167" s="163"/>
      <c r="FD167" s="164"/>
      <c r="FH167" s="162"/>
      <c r="FI167" s="162"/>
      <c r="FJ167" s="163"/>
      <c r="FK167" s="164"/>
      <c r="FO167" s="162"/>
      <c r="FP167" s="162"/>
      <c r="FQ167" s="163"/>
      <c r="FR167" s="164"/>
      <c r="FV167" s="162"/>
      <c r="FW167" s="162"/>
      <c r="FX167" s="163"/>
      <c r="FY167" s="164"/>
      <c r="GC167" s="162"/>
      <c r="GD167" s="162"/>
      <c r="GE167" s="163"/>
      <c r="GF167" s="164"/>
      <c r="GJ167" s="162"/>
      <c r="GK167" s="162"/>
      <c r="GL167" s="163"/>
      <c r="GM167" s="164"/>
      <c r="GQ167" s="162"/>
      <c r="GR167" s="162"/>
      <c r="GS167" s="163"/>
      <c r="GT167" s="164"/>
      <c r="GX167" s="162"/>
      <c r="GY167" s="162"/>
      <c r="GZ167" s="163"/>
      <c r="HA167" s="164"/>
      <c r="HE167" s="162"/>
      <c r="HF167" s="162"/>
      <c r="HG167" s="163"/>
      <c r="HH167" s="164"/>
      <c r="HL167" s="162"/>
      <c r="HM167" s="162"/>
      <c r="HN167" s="163"/>
      <c r="HO167" s="164"/>
      <c r="HS167" s="162"/>
      <c r="HT167" s="162"/>
      <c r="HU167" s="163"/>
      <c r="HV167" s="164"/>
    </row>
    <row r="168" spans="3:230" x14ac:dyDescent="0.2">
      <c r="C168" s="162"/>
      <c r="D168" s="162"/>
      <c r="E168" s="163"/>
      <c r="F168" s="164"/>
      <c r="J168" s="162"/>
      <c r="K168" s="162"/>
      <c r="L168" s="163"/>
      <c r="M168" s="164"/>
      <c r="Q168" s="162"/>
      <c r="R168" s="162"/>
      <c r="S168" s="163"/>
      <c r="T168" s="164"/>
      <c r="X168" s="162"/>
      <c r="Y168" s="162"/>
      <c r="Z168" s="163"/>
      <c r="AA168" s="164"/>
      <c r="AE168" s="162"/>
      <c r="AF168" s="162"/>
      <c r="AG168" s="163"/>
      <c r="AH168" s="164"/>
      <c r="AL168" s="162"/>
      <c r="AM168" s="162"/>
      <c r="AN168" s="163"/>
      <c r="AO168" s="164"/>
      <c r="AS168" s="162"/>
      <c r="AT168" s="162"/>
      <c r="AU168" s="163"/>
      <c r="AV168" s="164"/>
      <c r="AZ168" s="162"/>
      <c r="BA168" s="162"/>
      <c r="BB168" s="163"/>
      <c r="BC168" s="164"/>
      <c r="BG168" s="162"/>
      <c r="BH168" s="162"/>
      <c r="BI168" s="163"/>
      <c r="BJ168" s="164"/>
      <c r="BN168" s="162"/>
      <c r="BO168" s="162"/>
      <c r="BP168" s="163"/>
      <c r="BQ168" s="164"/>
      <c r="BU168" s="162"/>
      <c r="BV168" s="162"/>
      <c r="BW168" s="163"/>
      <c r="BX168" s="164"/>
      <c r="CB168" s="162"/>
      <c r="CC168" s="162"/>
      <c r="CD168" s="163"/>
      <c r="CE168" s="164"/>
      <c r="CI168" s="162"/>
      <c r="CJ168" s="162"/>
      <c r="CK168" s="163"/>
      <c r="CL168" s="164"/>
      <c r="CP168" s="162"/>
      <c r="CQ168" s="162"/>
      <c r="CR168" s="163"/>
      <c r="CS168" s="164"/>
      <c r="CW168" s="162"/>
      <c r="CX168" s="162"/>
      <c r="CY168" s="163"/>
      <c r="CZ168" s="164"/>
      <c r="DD168" s="162"/>
      <c r="DE168" s="162"/>
      <c r="DF168" s="163"/>
      <c r="DG168" s="164"/>
      <c r="DK168" s="162"/>
      <c r="DL168" s="162"/>
      <c r="DM168" s="163"/>
      <c r="DN168" s="164"/>
      <c r="DR168" s="162"/>
      <c r="DS168" s="162"/>
      <c r="DT168" s="163"/>
      <c r="DU168" s="164"/>
      <c r="DY168" s="162"/>
      <c r="DZ168" s="162"/>
      <c r="EA168" s="163"/>
      <c r="EB168" s="164"/>
      <c r="EF168" s="162"/>
      <c r="EG168" s="162"/>
      <c r="EH168" s="163"/>
      <c r="EI168" s="164"/>
      <c r="EM168" s="162"/>
      <c r="EN168" s="162"/>
      <c r="EO168" s="163"/>
      <c r="EP168" s="164"/>
      <c r="ET168" s="162"/>
      <c r="EU168" s="162"/>
      <c r="EV168" s="163"/>
      <c r="EW168" s="164"/>
      <c r="FA168" s="162"/>
      <c r="FB168" s="162"/>
      <c r="FC168" s="163"/>
      <c r="FD168" s="164"/>
      <c r="FH168" s="162"/>
      <c r="FI168" s="162"/>
      <c r="FJ168" s="163"/>
      <c r="FK168" s="164"/>
      <c r="FO168" s="162"/>
      <c r="FP168" s="162"/>
      <c r="FQ168" s="163"/>
      <c r="FR168" s="164"/>
      <c r="FV168" s="162"/>
      <c r="FW168" s="162"/>
      <c r="FX168" s="163"/>
      <c r="FY168" s="164"/>
      <c r="GC168" s="162"/>
      <c r="GD168" s="162"/>
      <c r="GE168" s="163"/>
      <c r="GF168" s="164"/>
      <c r="GJ168" s="162"/>
      <c r="GK168" s="162"/>
      <c r="GL168" s="163"/>
      <c r="GM168" s="164"/>
      <c r="GQ168" s="162"/>
      <c r="GR168" s="162"/>
      <c r="GS168" s="163"/>
      <c r="GT168" s="164"/>
      <c r="GX168" s="162"/>
      <c r="GY168" s="162"/>
      <c r="GZ168" s="163"/>
      <c r="HA168" s="164"/>
      <c r="HE168" s="162"/>
      <c r="HF168" s="162"/>
      <c r="HG168" s="163"/>
      <c r="HH168" s="164"/>
      <c r="HL168" s="162"/>
      <c r="HM168" s="162"/>
      <c r="HN168" s="163"/>
      <c r="HO168" s="164"/>
      <c r="HS168" s="162"/>
      <c r="HT168" s="162"/>
      <c r="HU168" s="163"/>
      <c r="HV168" s="164"/>
    </row>
    <row r="169" spans="3:230" x14ac:dyDescent="0.2">
      <c r="C169" s="162"/>
      <c r="D169" s="162"/>
      <c r="E169" s="163"/>
      <c r="F169" s="164"/>
      <c r="J169" s="162"/>
      <c r="K169" s="162"/>
      <c r="L169" s="163"/>
      <c r="M169" s="164"/>
      <c r="Q169" s="162"/>
      <c r="R169" s="162"/>
      <c r="S169" s="163"/>
      <c r="T169" s="164"/>
      <c r="X169" s="162"/>
      <c r="Y169" s="162"/>
      <c r="Z169" s="163"/>
      <c r="AA169" s="164"/>
      <c r="AE169" s="162"/>
      <c r="AF169" s="162"/>
      <c r="AG169" s="163"/>
      <c r="AH169" s="164"/>
      <c r="AL169" s="162"/>
      <c r="AM169" s="162"/>
      <c r="AN169" s="163"/>
      <c r="AO169" s="164"/>
      <c r="AS169" s="162"/>
      <c r="AT169" s="162"/>
      <c r="AU169" s="163"/>
      <c r="AV169" s="164"/>
      <c r="AZ169" s="162"/>
      <c r="BA169" s="162"/>
      <c r="BB169" s="163"/>
      <c r="BC169" s="164"/>
      <c r="BG169" s="162"/>
      <c r="BH169" s="162"/>
      <c r="BI169" s="163"/>
      <c r="BJ169" s="164"/>
      <c r="BN169" s="162"/>
      <c r="BO169" s="162"/>
      <c r="BP169" s="163"/>
      <c r="BQ169" s="164"/>
      <c r="BU169" s="162"/>
      <c r="BV169" s="162"/>
      <c r="BW169" s="163"/>
      <c r="BX169" s="164"/>
      <c r="CB169" s="162"/>
      <c r="CC169" s="162"/>
      <c r="CD169" s="163"/>
      <c r="CE169" s="164"/>
      <c r="CI169" s="162"/>
      <c r="CJ169" s="162"/>
      <c r="CK169" s="163"/>
      <c r="CL169" s="164"/>
      <c r="CP169" s="162"/>
      <c r="CQ169" s="162"/>
      <c r="CR169" s="163"/>
      <c r="CS169" s="164"/>
      <c r="CW169" s="162"/>
      <c r="CX169" s="162"/>
      <c r="CY169" s="163"/>
      <c r="CZ169" s="164"/>
      <c r="DD169" s="162"/>
      <c r="DE169" s="162"/>
      <c r="DF169" s="163"/>
      <c r="DG169" s="164"/>
      <c r="DK169" s="162"/>
      <c r="DL169" s="162"/>
      <c r="DM169" s="163"/>
      <c r="DN169" s="164"/>
      <c r="DR169" s="162"/>
      <c r="DS169" s="162"/>
      <c r="DT169" s="163"/>
      <c r="DU169" s="164"/>
      <c r="DY169" s="162"/>
      <c r="DZ169" s="162"/>
      <c r="EA169" s="163"/>
      <c r="EB169" s="164"/>
      <c r="EF169" s="162"/>
      <c r="EG169" s="162"/>
      <c r="EH169" s="163"/>
      <c r="EI169" s="164"/>
      <c r="EM169" s="162"/>
      <c r="EN169" s="162"/>
      <c r="EO169" s="163"/>
      <c r="EP169" s="164"/>
      <c r="ET169" s="162"/>
      <c r="EU169" s="162"/>
      <c r="EV169" s="163"/>
      <c r="EW169" s="164"/>
      <c r="FA169" s="162"/>
      <c r="FB169" s="162"/>
      <c r="FC169" s="163"/>
      <c r="FD169" s="164"/>
      <c r="FH169" s="162"/>
      <c r="FI169" s="162"/>
      <c r="FJ169" s="163"/>
      <c r="FK169" s="164"/>
      <c r="FO169" s="162"/>
      <c r="FP169" s="162"/>
      <c r="FQ169" s="163"/>
      <c r="FR169" s="164"/>
      <c r="FV169" s="162"/>
      <c r="FW169" s="162"/>
      <c r="FX169" s="163"/>
      <c r="FY169" s="164"/>
      <c r="GC169" s="162"/>
      <c r="GD169" s="162"/>
      <c r="GE169" s="163"/>
      <c r="GF169" s="164"/>
      <c r="GJ169" s="162"/>
      <c r="GK169" s="162"/>
      <c r="GL169" s="163"/>
      <c r="GM169" s="164"/>
      <c r="GQ169" s="162"/>
      <c r="GR169" s="162"/>
      <c r="GS169" s="163"/>
      <c r="GT169" s="164"/>
      <c r="GX169" s="162"/>
      <c r="GY169" s="162"/>
      <c r="GZ169" s="163"/>
      <c r="HA169" s="164"/>
      <c r="HE169" s="162"/>
      <c r="HF169" s="162"/>
      <c r="HG169" s="163"/>
      <c r="HH169" s="164"/>
      <c r="HL169" s="162"/>
      <c r="HM169" s="162"/>
      <c r="HN169" s="163"/>
      <c r="HO169" s="164"/>
      <c r="HS169" s="162"/>
      <c r="HT169" s="162"/>
      <c r="HU169" s="163"/>
      <c r="HV169" s="164"/>
    </row>
    <row r="170" spans="3:230" x14ac:dyDescent="0.2">
      <c r="C170" s="162"/>
      <c r="D170" s="162"/>
      <c r="E170" s="163"/>
      <c r="F170" s="164"/>
      <c r="J170" s="162"/>
      <c r="K170" s="162"/>
      <c r="L170" s="163"/>
      <c r="M170" s="164"/>
      <c r="Q170" s="162"/>
      <c r="R170" s="162"/>
      <c r="S170" s="163"/>
      <c r="T170" s="164"/>
      <c r="X170" s="162"/>
      <c r="Y170" s="162"/>
      <c r="Z170" s="163"/>
      <c r="AA170" s="164"/>
      <c r="AE170" s="162"/>
      <c r="AF170" s="162"/>
      <c r="AG170" s="163"/>
      <c r="AH170" s="164"/>
      <c r="AL170" s="162"/>
      <c r="AM170" s="162"/>
      <c r="AN170" s="163"/>
      <c r="AO170" s="164"/>
      <c r="AS170" s="162"/>
      <c r="AT170" s="162"/>
      <c r="AU170" s="163"/>
      <c r="AV170" s="164"/>
      <c r="AZ170" s="162"/>
      <c r="BA170" s="162"/>
      <c r="BB170" s="163"/>
      <c r="BC170" s="164"/>
      <c r="BG170" s="162"/>
      <c r="BH170" s="162"/>
      <c r="BI170" s="163"/>
      <c r="BJ170" s="164"/>
      <c r="BN170" s="162"/>
      <c r="BO170" s="162"/>
      <c r="BP170" s="163"/>
      <c r="BQ170" s="164"/>
      <c r="BU170" s="162"/>
      <c r="BV170" s="162"/>
      <c r="BW170" s="163"/>
      <c r="BX170" s="164"/>
      <c r="CB170" s="162"/>
      <c r="CC170" s="162"/>
      <c r="CD170" s="163"/>
      <c r="CE170" s="164"/>
      <c r="CI170" s="162"/>
      <c r="CJ170" s="162"/>
      <c r="CK170" s="163"/>
      <c r="CL170" s="164"/>
      <c r="CP170" s="162"/>
      <c r="CQ170" s="162"/>
      <c r="CR170" s="163"/>
      <c r="CS170" s="164"/>
      <c r="CW170" s="162"/>
      <c r="CX170" s="162"/>
      <c r="CY170" s="163"/>
      <c r="CZ170" s="164"/>
      <c r="DD170" s="162"/>
      <c r="DE170" s="162"/>
      <c r="DF170" s="163"/>
      <c r="DG170" s="164"/>
      <c r="DK170" s="162"/>
      <c r="DL170" s="162"/>
      <c r="DM170" s="163"/>
      <c r="DN170" s="164"/>
      <c r="DR170" s="162"/>
      <c r="DS170" s="162"/>
      <c r="DT170" s="163"/>
      <c r="DU170" s="164"/>
      <c r="DY170" s="162"/>
      <c r="DZ170" s="162"/>
      <c r="EA170" s="163"/>
      <c r="EB170" s="164"/>
      <c r="EF170" s="162"/>
      <c r="EG170" s="162"/>
      <c r="EH170" s="163"/>
      <c r="EI170" s="164"/>
      <c r="EM170" s="162"/>
      <c r="EN170" s="162"/>
      <c r="EO170" s="163"/>
      <c r="EP170" s="164"/>
      <c r="ET170" s="162"/>
      <c r="EU170" s="162"/>
      <c r="EV170" s="163"/>
      <c r="EW170" s="164"/>
      <c r="FA170" s="162"/>
      <c r="FB170" s="162"/>
      <c r="FC170" s="163"/>
      <c r="FD170" s="164"/>
      <c r="FH170" s="162"/>
      <c r="FI170" s="162"/>
      <c r="FJ170" s="163"/>
      <c r="FK170" s="164"/>
      <c r="FO170" s="162"/>
      <c r="FP170" s="162"/>
      <c r="FQ170" s="163"/>
      <c r="FR170" s="164"/>
      <c r="FV170" s="162"/>
      <c r="FW170" s="162"/>
      <c r="FX170" s="163"/>
      <c r="FY170" s="164"/>
      <c r="GC170" s="162"/>
      <c r="GD170" s="162"/>
      <c r="GE170" s="163"/>
      <c r="GF170" s="164"/>
      <c r="GJ170" s="162"/>
      <c r="GK170" s="162"/>
      <c r="GL170" s="163"/>
      <c r="GM170" s="164"/>
      <c r="GQ170" s="162"/>
      <c r="GR170" s="162"/>
      <c r="GS170" s="163"/>
      <c r="GT170" s="164"/>
      <c r="GX170" s="162"/>
      <c r="GY170" s="162"/>
      <c r="GZ170" s="163"/>
      <c r="HA170" s="164"/>
      <c r="HE170" s="162"/>
      <c r="HF170" s="162"/>
      <c r="HG170" s="163"/>
      <c r="HH170" s="164"/>
      <c r="HL170" s="162"/>
      <c r="HM170" s="162"/>
      <c r="HN170" s="163"/>
      <c r="HO170" s="164"/>
      <c r="HS170" s="162"/>
      <c r="HT170" s="162"/>
      <c r="HU170" s="163"/>
      <c r="HV170" s="164"/>
    </row>
    <row r="171" spans="3:230" x14ac:dyDescent="0.2">
      <c r="C171" s="162"/>
      <c r="D171" s="162"/>
      <c r="E171" s="163"/>
      <c r="F171" s="164"/>
      <c r="J171" s="162"/>
      <c r="K171" s="162"/>
      <c r="L171" s="163"/>
      <c r="M171" s="164"/>
      <c r="Q171" s="162"/>
      <c r="R171" s="162"/>
      <c r="S171" s="163"/>
      <c r="T171" s="164"/>
      <c r="X171" s="162"/>
      <c r="Y171" s="162"/>
      <c r="Z171" s="163"/>
      <c r="AA171" s="164"/>
      <c r="AE171" s="162"/>
      <c r="AF171" s="162"/>
      <c r="AG171" s="163"/>
      <c r="AH171" s="164"/>
      <c r="AL171" s="162"/>
      <c r="AM171" s="162"/>
      <c r="AN171" s="163"/>
      <c r="AO171" s="164"/>
      <c r="AS171" s="162"/>
      <c r="AT171" s="162"/>
      <c r="AU171" s="163"/>
      <c r="AV171" s="164"/>
      <c r="AZ171" s="162"/>
      <c r="BA171" s="162"/>
      <c r="BB171" s="163"/>
      <c r="BC171" s="164"/>
      <c r="BG171" s="162"/>
      <c r="BH171" s="162"/>
      <c r="BI171" s="163"/>
      <c r="BJ171" s="164"/>
      <c r="BN171" s="162"/>
      <c r="BO171" s="162"/>
      <c r="BP171" s="163"/>
      <c r="BQ171" s="164"/>
      <c r="BU171" s="162"/>
      <c r="BV171" s="162"/>
      <c r="BW171" s="163"/>
      <c r="BX171" s="164"/>
      <c r="CB171" s="162"/>
      <c r="CC171" s="162"/>
      <c r="CD171" s="163"/>
      <c r="CE171" s="164"/>
      <c r="CI171" s="162"/>
      <c r="CJ171" s="162"/>
      <c r="CK171" s="163"/>
      <c r="CL171" s="164"/>
      <c r="CP171" s="162"/>
      <c r="CQ171" s="162"/>
      <c r="CR171" s="163"/>
      <c r="CS171" s="164"/>
      <c r="CW171" s="162"/>
      <c r="CX171" s="162"/>
      <c r="CY171" s="163"/>
      <c r="CZ171" s="164"/>
      <c r="DD171" s="162"/>
      <c r="DE171" s="162"/>
      <c r="DF171" s="163"/>
      <c r="DG171" s="164"/>
      <c r="DK171" s="162"/>
      <c r="DL171" s="162"/>
      <c r="DM171" s="163"/>
      <c r="DN171" s="164"/>
      <c r="DR171" s="162"/>
      <c r="DS171" s="162"/>
      <c r="DT171" s="163"/>
      <c r="DU171" s="164"/>
      <c r="DY171" s="162"/>
      <c r="DZ171" s="162"/>
      <c r="EA171" s="163"/>
      <c r="EB171" s="164"/>
      <c r="EF171" s="162"/>
      <c r="EG171" s="162"/>
      <c r="EH171" s="163"/>
      <c r="EI171" s="164"/>
      <c r="EM171" s="162"/>
      <c r="EN171" s="162"/>
      <c r="EO171" s="163"/>
      <c r="EP171" s="164"/>
      <c r="ET171" s="162"/>
      <c r="EU171" s="162"/>
      <c r="EV171" s="163"/>
      <c r="EW171" s="164"/>
      <c r="FA171" s="162"/>
      <c r="FB171" s="162"/>
      <c r="FC171" s="163"/>
      <c r="FD171" s="164"/>
      <c r="FH171" s="162"/>
      <c r="FI171" s="162"/>
      <c r="FJ171" s="163"/>
      <c r="FK171" s="164"/>
      <c r="FO171" s="162"/>
      <c r="FP171" s="162"/>
      <c r="FQ171" s="163"/>
      <c r="FR171" s="164"/>
      <c r="FV171" s="162"/>
      <c r="FW171" s="162"/>
      <c r="FX171" s="163"/>
      <c r="FY171" s="164"/>
      <c r="GC171" s="162"/>
      <c r="GD171" s="162"/>
      <c r="GE171" s="163"/>
      <c r="GF171" s="164"/>
      <c r="GJ171" s="162"/>
      <c r="GK171" s="162"/>
      <c r="GL171" s="163"/>
      <c r="GM171" s="164"/>
      <c r="GQ171" s="162"/>
      <c r="GR171" s="162"/>
      <c r="GS171" s="163"/>
      <c r="GT171" s="164"/>
      <c r="GX171" s="162"/>
      <c r="GY171" s="162"/>
      <c r="GZ171" s="163"/>
      <c r="HA171" s="164"/>
      <c r="HE171" s="162"/>
      <c r="HF171" s="162"/>
      <c r="HG171" s="163"/>
      <c r="HH171" s="164"/>
      <c r="HL171" s="162"/>
      <c r="HM171" s="162"/>
      <c r="HN171" s="163"/>
      <c r="HO171" s="164"/>
      <c r="HS171" s="162"/>
      <c r="HT171" s="162"/>
      <c r="HU171" s="163"/>
      <c r="HV171" s="164"/>
    </row>
    <row r="172" spans="3:230" x14ac:dyDescent="0.2">
      <c r="C172" s="162"/>
      <c r="D172" s="162"/>
      <c r="E172" s="163"/>
      <c r="F172" s="164"/>
      <c r="J172" s="162"/>
      <c r="K172" s="162"/>
      <c r="L172" s="163"/>
      <c r="M172" s="164"/>
      <c r="Q172" s="162"/>
      <c r="R172" s="162"/>
      <c r="S172" s="163"/>
      <c r="T172" s="164"/>
      <c r="X172" s="162"/>
      <c r="Y172" s="162"/>
      <c r="Z172" s="163"/>
      <c r="AA172" s="164"/>
      <c r="AE172" s="162"/>
      <c r="AF172" s="162"/>
      <c r="AG172" s="163"/>
      <c r="AH172" s="164"/>
      <c r="AL172" s="162"/>
      <c r="AM172" s="162"/>
      <c r="AN172" s="163"/>
      <c r="AO172" s="164"/>
      <c r="AS172" s="162"/>
      <c r="AT172" s="162"/>
      <c r="AU172" s="163"/>
      <c r="AV172" s="164"/>
      <c r="AZ172" s="162"/>
      <c r="BA172" s="162"/>
      <c r="BB172" s="163"/>
      <c r="BC172" s="164"/>
      <c r="BG172" s="162"/>
      <c r="BH172" s="162"/>
      <c r="BI172" s="163"/>
      <c r="BJ172" s="164"/>
      <c r="BN172" s="162"/>
      <c r="BO172" s="162"/>
      <c r="BP172" s="163"/>
      <c r="BQ172" s="164"/>
      <c r="BU172" s="162"/>
      <c r="BV172" s="162"/>
      <c r="BW172" s="163"/>
      <c r="BX172" s="164"/>
      <c r="CB172" s="162"/>
      <c r="CC172" s="162"/>
      <c r="CD172" s="163"/>
      <c r="CE172" s="164"/>
      <c r="CI172" s="162"/>
      <c r="CJ172" s="162"/>
      <c r="CK172" s="163"/>
      <c r="CL172" s="164"/>
      <c r="CP172" s="162"/>
      <c r="CQ172" s="162"/>
      <c r="CR172" s="163"/>
      <c r="CS172" s="164"/>
      <c r="CW172" s="162"/>
      <c r="CX172" s="162"/>
      <c r="CY172" s="163"/>
      <c r="CZ172" s="164"/>
      <c r="DD172" s="162"/>
      <c r="DE172" s="162"/>
      <c r="DF172" s="163"/>
      <c r="DG172" s="164"/>
      <c r="DK172" s="162"/>
      <c r="DL172" s="162"/>
      <c r="DM172" s="163"/>
      <c r="DN172" s="164"/>
      <c r="DR172" s="162"/>
      <c r="DS172" s="162"/>
      <c r="DT172" s="163"/>
      <c r="DU172" s="164"/>
      <c r="DY172" s="162"/>
      <c r="DZ172" s="162"/>
      <c r="EA172" s="163"/>
      <c r="EB172" s="164"/>
      <c r="EF172" s="162"/>
      <c r="EG172" s="162"/>
      <c r="EH172" s="163"/>
      <c r="EI172" s="164"/>
      <c r="EM172" s="162"/>
      <c r="EN172" s="162"/>
      <c r="EO172" s="163"/>
      <c r="EP172" s="164"/>
      <c r="ET172" s="162"/>
      <c r="EU172" s="162"/>
      <c r="EV172" s="163"/>
      <c r="EW172" s="164"/>
      <c r="FA172" s="162"/>
      <c r="FB172" s="162"/>
      <c r="FC172" s="163"/>
      <c r="FD172" s="164"/>
      <c r="FH172" s="162"/>
      <c r="FI172" s="162"/>
      <c r="FJ172" s="163"/>
      <c r="FK172" s="164"/>
      <c r="FO172" s="162"/>
      <c r="FP172" s="162"/>
      <c r="FQ172" s="163"/>
      <c r="FR172" s="164"/>
      <c r="FV172" s="162"/>
      <c r="FW172" s="162"/>
      <c r="FX172" s="163"/>
      <c r="FY172" s="164"/>
      <c r="GC172" s="162"/>
      <c r="GD172" s="162"/>
      <c r="GE172" s="163"/>
      <c r="GF172" s="164"/>
      <c r="GJ172" s="162"/>
      <c r="GK172" s="162"/>
      <c r="GL172" s="163"/>
      <c r="GM172" s="164"/>
      <c r="GQ172" s="162"/>
      <c r="GR172" s="162"/>
      <c r="GS172" s="163"/>
      <c r="GT172" s="164"/>
      <c r="GX172" s="162"/>
      <c r="GY172" s="162"/>
      <c r="GZ172" s="163"/>
      <c r="HA172" s="164"/>
      <c r="HE172" s="162"/>
      <c r="HF172" s="162"/>
      <c r="HG172" s="163"/>
      <c r="HH172" s="164"/>
      <c r="HL172" s="162"/>
      <c r="HM172" s="162"/>
      <c r="HN172" s="163"/>
      <c r="HO172" s="164"/>
      <c r="HS172" s="162"/>
      <c r="HT172" s="162"/>
      <c r="HU172" s="163"/>
      <c r="HV172" s="164"/>
    </row>
    <row r="173" spans="3:230" x14ac:dyDescent="0.2">
      <c r="C173" s="162"/>
      <c r="D173" s="162"/>
      <c r="E173" s="163"/>
      <c r="F173" s="164"/>
      <c r="J173" s="162"/>
      <c r="K173" s="162"/>
      <c r="L173" s="163"/>
      <c r="M173" s="164"/>
      <c r="Q173" s="162"/>
      <c r="R173" s="162"/>
      <c r="S173" s="163"/>
      <c r="T173" s="164"/>
      <c r="X173" s="162"/>
      <c r="Y173" s="162"/>
      <c r="Z173" s="163"/>
      <c r="AA173" s="164"/>
      <c r="AE173" s="162"/>
      <c r="AF173" s="162"/>
      <c r="AG173" s="163"/>
      <c r="AH173" s="164"/>
      <c r="AL173" s="162"/>
      <c r="AM173" s="162"/>
      <c r="AN173" s="163"/>
      <c r="AO173" s="164"/>
      <c r="AS173" s="162"/>
      <c r="AT173" s="162"/>
      <c r="AU173" s="163"/>
      <c r="AV173" s="164"/>
      <c r="AZ173" s="162"/>
      <c r="BA173" s="162"/>
      <c r="BB173" s="163"/>
      <c r="BC173" s="164"/>
      <c r="BG173" s="162"/>
      <c r="BH173" s="162"/>
      <c r="BI173" s="163"/>
      <c r="BJ173" s="164"/>
      <c r="BN173" s="162"/>
      <c r="BO173" s="162"/>
      <c r="BP173" s="163"/>
      <c r="BQ173" s="164"/>
      <c r="BU173" s="162"/>
      <c r="BV173" s="162"/>
      <c r="BW173" s="163"/>
      <c r="BX173" s="164"/>
      <c r="CB173" s="162"/>
      <c r="CC173" s="162"/>
      <c r="CD173" s="163"/>
      <c r="CE173" s="164"/>
      <c r="CI173" s="162"/>
      <c r="CJ173" s="162"/>
      <c r="CK173" s="163"/>
      <c r="CL173" s="164"/>
      <c r="CP173" s="162"/>
      <c r="CQ173" s="162"/>
      <c r="CR173" s="163"/>
      <c r="CS173" s="164"/>
      <c r="CW173" s="162"/>
      <c r="CX173" s="162"/>
      <c r="CY173" s="163"/>
      <c r="CZ173" s="164"/>
      <c r="DD173" s="162"/>
      <c r="DE173" s="162"/>
      <c r="DF173" s="163"/>
      <c r="DG173" s="164"/>
      <c r="DK173" s="162"/>
      <c r="DL173" s="162"/>
      <c r="DM173" s="163"/>
      <c r="DN173" s="164"/>
      <c r="DR173" s="162"/>
      <c r="DS173" s="162"/>
      <c r="DT173" s="163"/>
      <c r="DU173" s="164"/>
      <c r="DY173" s="162"/>
      <c r="DZ173" s="162"/>
      <c r="EA173" s="163"/>
      <c r="EB173" s="164"/>
      <c r="EF173" s="162"/>
      <c r="EG173" s="162"/>
      <c r="EH173" s="163"/>
      <c r="EI173" s="164"/>
      <c r="EM173" s="162"/>
      <c r="EN173" s="162"/>
      <c r="EO173" s="163"/>
      <c r="EP173" s="164"/>
      <c r="ET173" s="162"/>
      <c r="EU173" s="162"/>
      <c r="EV173" s="163"/>
      <c r="EW173" s="164"/>
      <c r="FA173" s="162"/>
      <c r="FB173" s="162"/>
      <c r="FC173" s="163"/>
      <c r="FD173" s="164"/>
      <c r="FH173" s="162"/>
      <c r="FI173" s="162"/>
      <c r="FJ173" s="163"/>
      <c r="FK173" s="164"/>
      <c r="FO173" s="162"/>
      <c r="FP173" s="162"/>
      <c r="FQ173" s="163"/>
      <c r="FR173" s="164"/>
      <c r="FV173" s="162"/>
      <c r="FW173" s="162"/>
      <c r="FX173" s="163"/>
      <c r="FY173" s="164"/>
      <c r="GC173" s="162"/>
      <c r="GD173" s="162"/>
      <c r="GE173" s="163"/>
      <c r="GF173" s="164"/>
      <c r="GJ173" s="162"/>
      <c r="GK173" s="162"/>
      <c r="GL173" s="163"/>
      <c r="GM173" s="164"/>
      <c r="GQ173" s="162"/>
      <c r="GR173" s="162"/>
      <c r="GS173" s="163"/>
      <c r="GT173" s="164"/>
      <c r="GX173" s="162"/>
      <c r="GY173" s="162"/>
      <c r="GZ173" s="163"/>
      <c r="HA173" s="164"/>
      <c r="HE173" s="162"/>
      <c r="HF173" s="162"/>
      <c r="HG173" s="163"/>
      <c r="HH173" s="164"/>
      <c r="HL173" s="162"/>
      <c r="HM173" s="162"/>
      <c r="HN173" s="163"/>
      <c r="HO173" s="164"/>
      <c r="HS173" s="162"/>
      <c r="HT173" s="162"/>
      <c r="HU173" s="163"/>
      <c r="HV173" s="164"/>
    </row>
    <row r="174" spans="3:230" x14ac:dyDescent="0.2">
      <c r="C174" s="162"/>
      <c r="D174" s="162"/>
      <c r="E174" s="163"/>
      <c r="F174" s="164"/>
      <c r="J174" s="162"/>
      <c r="K174" s="162"/>
      <c r="L174" s="163"/>
      <c r="M174" s="164"/>
      <c r="Q174" s="162"/>
      <c r="R174" s="162"/>
      <c r="S174" s="163"/>
      <c r="T174" s="164"/>
      <c r="X174" s="162"/>
      <c r="Y174" s="162"/>
      <c r="Z174" s="163"/>
      <c r="AA174" s="164"/>
      <c r="AE174" s="162"/>
      <c r="AF174" s="162"/>
      <c r="AG174" s="163"/>
      <c r="AH174" s="164"/>
      <c r="AL174" s="162"/>
      <c r="AM174" s="162"/>
      <c r="AN174" s="163"/>
      <c r="AO174" s="164"/>
      <c r="AS174" s="162"/>
      <c r="AT174" s="162"/>
      <c r="AU174" s="163"/>
      <c r="AV174" s="164"/>
      <c r="AZ174" s="162"/>
      <c r="BA174" s="162"/>
      <c r="BB174" s="163"/>
      <c r="BC174" s="164"/>
      <c r="BG174" s="162"/>
      <c r="BH174" s="162"/>
      <c r="BI174" s="163"/>
      <c r="BJ174" s="164"/>
      <c r="BN174" s="162"/>
      <c r="BO174" s="162"/>
      <c r="BP174" s="163"/>
      <c r="BQ174" s="164"/>
      <c r="BU174" s="162"/>
      <c r="BV174" s="162"/>
      <c r="BW174" s="163"/>
      <c r="BX174" s="164"/>
      <c r="CB174" s="162"/>
      <c r="CC174" s="162"/>
      <c r="CD174" s="163"/>
      <c r="CE174" s="164"/>
      <c r="CI174" s="162"/>
      <c r="CJ174" s="162"/>
      <c r="CK174" s="163"/>
      <c r="CL174" s="164"/>
      <c r="CP174" s="162"/>
      <c r="CQ174" s="162"/>
      <c r="CR174" s="163"/>
      <c r="CS174" s="164"/>
      <c r="CW174" s="162"/>
      <c r="CX174" s="162"/>
      <c r="CY174" s="163"/>
      <c r="CZ174" s="164"/>
      <c r="DD174" s="162"/>
      <c r="DE174" s="162"/>
      <c r="DF174" s="163"/>
      <c r="DG174" s="164"/>
      <c r="DK174" s="162"/>
      <c r="DL174" s="162"/>
      <c r="DM174" s="163"/>
      <c r="DN174" s="164"/>
      <c r="DR174" s="162"/>
      <c r="DS174" s="162"/>
      <c r="DT174" s="163"/>
      <c r="DU174" s="164"/>
      <c r="DY174" s="162"/>
      <c r="DZ174" s="162"/>
      <c r="EA174" s="163"/>
      <c r="EB174" s="164"/>
      <c r="EF174" s="162"/>
      <c r="EG174" s="162"/>
      <c r="EH174" s="163"/>
      <c r="EI174" s="164"/>
      <c r="EM174" s="162"/>
      <c r="EN174" s="162"/>
      <c r="EO174" s="163"/>
      <c r="EP174" s="164"/>
      <c r="ET174" s="162"/>
      <c r="EU174" s="162"/>
      <c r="EV174" s="163"/>
      <c r="EW174" s="164"/>
      <c r="FA174" s="162"/>
      <c r="FB174" s="162"/>
      <c r="FC174" s="163"/>
      <c r="FD174" s="164"/>
      <c r="FH174" s="162"/>
      <c r="FI174" s="162"/>
      <c r="FJ174" s="163"/>
      <c r="FK174" s="164"/>
      <c r="FO174" s="162"/>
      <c r="FP174" s="162"/>
      <c r="FQ174" s="163"/>
      <c r="FR174" s="164"/>
      <c r="FV174" s="162"/>
      <c r="FW174" s="162"/>
      <c r="FX174" s="163"/>
      <c r="FY174" s="164"/>
      <c r="GC174" s="162"/>
      <c r="GD174" s="162"/>
      <c r="GE174" s="163"/>
      <c r="GF174" s="164"/>
      <c r="GJ174" s="162"/>
      <c r="GK174" s="162"/>
      <c r="GL174" s="163"/>
      <c r="GM174" s="164"/>
      <c r="GQ174" s="162"/>
      <c r="GR174" s="162"/>
      <c r="GS174" s="163"/>
      <c r="GT174" s="164"/>
      <c r="GX174" s="162"/>
      <c r="GY174" s="162"/>
      <c r="GZ174" s="163"/>
      <c r="HA174" s="164"/>
      <c r="HE174" s="162"/>
      <c r="HF174" s="162"/>
      <c r="HG174" s="163"/>
      <c r="HH174" s="164"/>
      <c r="HL174" s="162"/>
      <c r="HM174" s="162"/>
      <c r="HN174" s="163"/>
      <c r="HO174" s="164"/>
      <c r="HS174" s="162"/>
      <c r="HT174" s="162"/>
      <c r="HU174" s="163"/>
      <c r="HV174" s="164"/>
    </row>
    <row r="175" spans="3:230" x14ac:dyDescent="0.2">
      <c r="C175" s="162"/>
      <c r="D175" s="162"/>
      <c r="E175" s="163"/>
      <c r="F175" s="164"/>
      <c r="J175" s="162"/>
      <c r="K175" s="162"/>
      <c r="L175" s="163"/>
      <c r="M175" s="164"/>
      <c r="Q175" s="162"/>
      <c r="R175" s="162"/>
      <c r="S175" s="163"/>
      <c r="T175" s="164"/>
      <c r="X175" s="162"/>
      <c r="Y175" s="162"/>
      <c r="Z175" s="163"/>
      <c r="AA175" s="164"/>
      <c r="AE175" s="162"/>
      <c r="AF175" s="162"/>
      <c r="AG175" s="163"/>
      <c r="AH175" s="164"/>
      <c r="AL175" s="162"/>
      <c r="AM175" s="162"/>
      <c r="AN175" s="163"/>
      <c r="AO175" s="164"/>
      <c r="AS175" s="162"/>
      <c r="AT175" s="162"/>
      <c r="AU175" s="163"/>
      <c r="AV175" s="164"/>
      <c r="AZ175" s="162"/>
      <c r="BA175" s="162"/>
      <c r="BB175" s="163"/>
      <c r="BC175" s="164"/>
      <c r="BG175" s="162"/>
      <c r="BH175" s="162"/>
      <c r="BI175" s="163"/>
      <c r="BJ175" s="164"/>
      <c r="BN175" s="162"/>
      <c r="BO175" s="162"/>
      <c r="BP175" s="163"/>
      <c r="BQ175" s="164"/>
      <c r="BU175" s="162"/>
      <c r="BV175" s="162"/>
      <c r="BW175" s="163"/>
      <c r="BX175" s="164"/>
      <c r="CB175" s="162"/>
      <c r="CC175" s="162"/>
      <c r="CD175" s="163"/>
      <c r="CE175" s="164"/>
      <c r="CI175" s="162"/>
      <c r="CJ175" s="162"/>
      <c r="CK175" s="163"/>
      <c r="CL175" s="164"/>
      <c r="CP175" s="162"/>
      <c r="CQ175" s="162"/>
      <c r="CR175" s="163"/>
      <c r="CS175" s="164"/>
      <c r="CW175" s="162"/>
      <c r="CX175" s="162"/>
      <c r="CY175" s="163"/>
      <c r="CZ175" s="164"/>
      <c r="DD175" s="162"/>
      <c r="DE175" s="162"/>
      <c r="DF175" s="163"/>
      <c r="DG175" s="164"/>
      <c r="DK175" s="162"/>
      <c r="DL175" s="162"/>
      <c r="DM175" s="163"/>
      <c r="DN175" s="164"/>
      <c r="DR175" s="162"/>
      <c r="DS175" s="162"/>
      <c r="DT175" s="163"/>
      <c r="DU175" s="164"/>
      <c r="DY175" s="162"/>
      <c r="DZ175" s="162"/>
      <c r="EA175" s="163"/>
      <c r="EB175" s="164"/>
      <c r="EF175" s="162"/>
      <c r="EG175" s="162"/>
      <c r="EH175" s="163"/>
      <c r="EI175" s="164"/>
      <c r="EM175" s="162"/>
      <c r="EN175" s="162"/>
      <c r="EO175" s="163"/>
      <c r="EP175" s="164"/>
      <c r="ET175" s="162"/>
      <c r="EU175" s="162"/>
      <c r="EV175" s="163"/>
      <c r="EW175" s="164"/>
      <c r="FA175" s="162"/>
      <c r="FB175" s="162"/>
      <c r="FC175" s="163"/>
      <c r="FD175" s="164"/>
      <c r="FH175" s="162"/>
      <c r="FI175" s="162"/>
      <c r="FJ175" s="163"/>
      <c r="FK175" s="164"/>
      <c r="FO175" s="162"/>
      <c r="FP175" s="162"/>
      <c r="FQ175" s="163"/>
      <c r="FR175" s="164"/>
      <c r="FV175" s="162"/>
      <c r="FW175" s="162"/>
      <c r="FX175" s="163"/>
      <c r="FY175" s="164"/>
      <c r="GC175" s="162"/>
      <c r="GD175" s="162"/>
      <c r="GE175" s="163"/>
      <c r="GF175" s="164"/>
      <c r="GJ175" s="162"/>
      <c r="GK175" s="162"/>
      <c r="GL175" s="163"/>
      <c r="GM175" s="164"/>
      <c r="GQ175" s="162"/>
      <c r="GR175" s="162"/>
      <c r="GS175" s="163"/>
      <c r="GT175" s="164"/>
      <c r="GX175" s="162"/>
      <c r="GY175" s="162"/>
      <c r="GZ175" s="163"/>
      <c r="HA175" s="164"/>
      <c r="HE175" s="162"/>
      <c r="HF175" s="162"/>
      <c r="HG175" s="163"/>
      <c r="HH175" s="164"/>
      <c r="HL175" s="162"/>
      <c r="HM175" s="162"/>
      <c r="HN175" s="163"/>
      <c r="HO175" s="164"/>
      <c r="HS175" s="162"/>
      <c r="HT175" s="162"/>
      <c r="HU175" s="163"/>
      <c r="HV175" s="164"/>
    </row>
    <row r="176" spans="3:230" x14ac:dyDescent="0.2">
      <c r="C176" s="162"/>
      <c r="D176" s="162"/>
      <c r="E176" s="163"/>
      <c r="F176" s="164"/>
      <c r="J176" s="162"/>
      <c r="K176" s="162"/>
      <c r="L176" s="163"/>
      <c r="M176" s="164"/>
      <c r="Q176" s="162"/>
      <c r="R176" s="162"/>
      <c r="S176" s="163"/>
      <c r="T176" s="164"/>
      <c r="X176" s="162"/>
      <c r="Y176" s="162"/>
      <c r="Z176" s="163"/>
      <c r="AA176" s="164"/>
      <c r="AE176" s="162"/>
      <c r="AF176" s="162"/>
      <c r="AG176" s="163"/>
      <c r="AH176" s="164"/>
      <c r="AL176" s="162"/>
      <c r="AM176" s="162"/>
      <c r="AN176" s="163"/>
      <c r="AO176" s="164"/>
      <c r="AS176" s="162"/>
      <c r="AT176" s="162"/>
      <c r="AU176" s="163"/>
      <c r="AV176" s="164"/>
      <c r="AZ176" s="162"/>
      <c r="BA176" s="162"/>
      <c r="BB176" s="163"/>
      <c r="BC176" s="164"/>
      <c r="BG176" s="162"/>
      <c r="BH176" s="162"/>
      <c r="BI176" s="163"/>
      <c r="BJ176" s="164"/>
      <c r="BN176" s="162"/>
      <c r="BO176" s="162"/>
      <c r="BP176" s="163"/>
      <c r="BQ176" s="164"/>
      <c r="BU176" s="162"/>
      <c r="BV176" s="162"/>
      <c r="BW176" s="163"/>
      <c r="BX176" s="164"/>
      <c r="CB176" s="162"/>
      <c r="CC176" s="162"/>
      <c r="CD176" s="163"/>
      <c r="CE176" s="164"/>
      <c r="CI176" s="162"/>
      <c r="CJ176" s="162"/>
      <c r="CK176" s="163"/>
      <c r="CL176" s="164"/>
      <c r="CP176" s="162"/>
      <c r="CQ176" s="162"/>
      <c r="CR176" s="163"/>
      <c r="CS176" s="164"/>
      <c r="CW176" s="162"/>
      <c r="CX176" s="162"/>
      <c r="CY176" s="163"/>
      <c r="CZ176" s="164"/>
      <c r="DD176" s="162"/>
      <c r="DE176" s="162"/>
      <c r="DF176" s="163"/>
      <c r="DG176" s="164"/>
      <c r="DK176" s="162"/>
      <c r="DL176" s="162"/>
      <c r="DM176" s="163"/>
      <c r="DN176" s="164"/>
      <c r="DR176" s="162"/>
      <c r="DS176" s="162"/>
      <c r="DT176" s="163"/>
      <c r="DU176" s="164"/>
      <c r="DY176" s="162"/>
      <c r="DZ176" s="162"/>
      <c r="EA176" s="163"/>
      <c r="EB176" s="164"/>
      <c r="EF176" s="162"/>
      <c r="EG176" s="162"/>
      <c r="EH176" s="163"/>
      <c r="EI176" s="164"/>
      <c r="EM176" s="162"/>
      <c r="EN176" s="162"/>
      <c r="EO176" s="163"/>
      <c r="EP176" s="164"/>
      <c r="ET176" s="162"/>
      <c r="EU176" s="162"/>
      <c r="EV176" s="163"/>
      <c r="EW176" s="164"/>
      <c r="FA176" s="162"/>
      <c r="FB176" s="162"/>
      <c r="FC176" s="163"/>
      <c r="FD176" s="164"/>
      <c r="FH176" s="162"/>
      <c r="FI176" s="162"/>
      <c r="FJ176" s="163"/>
      <c r="FK176" s="164"/>
      <c r="FO176" s="162"/>
      <c r="FP176" s="162"/>
      <c r="FQ176" s="163"/>
      <c r="FR176" s="164"/>
      <c r="FV176" s="162"/>
      <c r="FW176" s="162"/>
      <c r="FX176" s="163"/>
      <c r="FY176" s="164"/>
      <c r="GC176" s="162"/>
      <c r="GD176" s="162"/>
      <c r="GE176" s="163"/>
      <c r="GF176" s="164"/>
      <c r="GJ176" s="162"/>
      <c r="GK176" s="162"/>
      <c r="GL176" s="163"/>
      <c r="GM176" s="164"/>
      <c r="GQ176" s="162"/>
      <c r="GR176" s="162"/>
      <c r="GS176" s="163"/>
      <c r="GT176" s="164"/>
      <c r="GX176" s="162"/>
      <c r="GY176" s="162"/>
      <c r="GZ176" s="163"/>
      <c r="HA176" s="164"/>
      <c r="HE176" s="162"/>
      <c r="HF176" s="162"/>
      <c r="HG176" s="163"/>
      <c r="HH176" s="164"/>
      <c r="HL176" s="162"/>
      <c r="HM176" s="162"/>
      <c r="HN176" s="163"/>
      <c r="HO176" s="164"/>
      <c r="HS176" s="162"/>
      <c r="HT176" s="162"/>
      <c r="HU176" s="163"/>
      <c r="HV176" s="164"/>
    </row>
    <row r="177" spans="3:230" x14ac:dyDescent="0.2">
      <c r="C177" s="162"/>
      <c r="D177" s="162"/>
      <c r="E177" s="163"/>
      <c r="F177" s="164"/>
      <c r="J177" s="162"/>
      <c r="K177" s="162"/>
      <c r="L177" s="163"/>
      <c r="M177" s="164"/>
      <c r="Q177" s="162"/>
      <c r="R177" s="162"/>
      <c r="S177" s="163"/>
      <c r="T177" s="164"/>
      <c r="X177" s="162"/>
      <c r="Y177" s="162"/>
      <c r="Z177" s="163"/>
      <c r="AA177" s="164"/>
      <c r="AE177" s="162"/>
      <c r="AF177" s="162"/>
      <c r="AG177" s="163"/>
      <c r="AH177" s="164"/>
      <c r="AL177" s="162"/>
      <c r="AM177" s="162"/>
      <c r="AN177" s="163"/>
      <c r="AO177" s="164"/>
      <c r="AS177" s="162"/>
      <c r="AT177" s="162"/>
      <c r="AU177" s="163"/>
      <c r="AV177" s="164"/>
      <c r="AZ177" s="162"/>
      <c r="BA177" s="162"/>
      <c r="BB177" s="163"/>
      <c r="BC177" s="164"/>
      <c r="BG177" s="162"/>
      <c r="BH177" s="162"/>
      <c r="BI177" s="163"/>
      <c r="BJ177" s="164"/>
      <c r="BN177" s="162"/>
      <c r="BO177" s="162"/>
      <c r="BP177" s="163"/>
      <c r="BQ177" s="164"/>
      <c r="BU177" s="162"/>
      <c r="BV177" s="162"/>
      <c r="BW177" s="163"/>
      <c r="BX177" s="164"/>
      <c r="CB177" s="162"/>
      <c r="CC177" s="162"/>
      <c r="CD177" s="163"/>
      <c r="CE177" s="164"/>
      <c r="CI177" s="162"/>
      <c r="CJ177" s="162"/>
      <c r="CK177" s="163"/>
      <c r="CL177" s="164"/>
      <c r="CP177" s="162"/>
      <c r="CQ177" s="162"/>
      <c r="CR177" s="163"/>
      <c r="CS177" s="164"/>
      <c r="CW177" s="162"/>
      <c r="CX177" s="162"/>
      <c r="CY177" s="163"/>
      <c r="CZ177" s="164"/>
      <c r="DD177" s="162"/>
      <c r="DE177" s="162"/>
      <c r="DF177" s="163"/>
      <c r="DG177" s="164"/>
      <c r="DK177" s="162"/>
      <c r="DL177" s="162"/>
      <c r="DM177" s="163"/>
      <c r="DN177" s="164"/>
      <c r="DR177" s="162"/>
      <c r="DS177" s="162"/>
      <c r="DT177" s="163"/>
      <c r="DU177" s="164"/>
      <c r="DY177" s="162"/>
      <c r="DZ177" s="162"/>
      <c r="EA177" s="163"/>
      <c r="EB177" s="164"/>
      <c r="EF177" s="162"/>
      <c r="EG177" s="162"/>
      <c r="EH177" s="163"/>
      <c r="EI177" s="164"/>
      <c r="EM177" s="162"/>
      <c r="EN177" s="162"/>
      <c r="EO177" s="163"/>
      <c r="EP177" s="164"/>
      <c r="ET177" s="162"/>
      <c r="EU177" s="162"/>
      <c r="EV177" s="163"/>
      <c r="EW177" s="164"/>
      <c r="FA177" s="162"/>
      <c r="FB177" s="162"/>
      <c r="FC177" s="163"/>
      <c r="FD177" s="164"/>
      <c r="FH177" s="162"/>
      <c r="FI177" s="162"/>
      <c r="FJ177" s="163"/>
      <c r="FK177" s="164"/>
      <c r="FO177" s="162"/>
      <c r="FP177" s="162"/>
      <c r="FQ177" s="163"/>
      <c r="FR177" s="164"/>
      <c r="FV177" s="162"/>
      <c r="FW177" s="162"/>
      <c r="FX177" s="163"/>
      <c r="FY177" s="164"/>
      <c r="GC177" s="162"/>
      <c r="GD177" s="162"/>
      <c r="GE177" s="163"/>
      <c r="GF177" s="164"/>
      <c r="GJ177" s="162"/>
      <c r="GK177" s="162"/>
      <c r="GL177" s="163"/>
      <c r="GM177" s="164"/>
      <c r="GQ177" s="162"/>
      <c r="GR177" s="162"/>
      <c r="GS177" s="163"/>
      <c r="GT177" s="164"/>
      <c r="GX177" s="162"/>
      <c r="GY177" s="162"/>
      <c r="GZ177" s="163"/>
      <c r="HA177" s="164"/>
      <c r="HE177" s="162"/>
      <c r="HF177" s="162"/>
      <c r="HG177" s="163"/>
      <c r="HH177" s="164"/>
      <c r="HL177" s="162"/>
      <c r="HM177" s="162"/>
      <c r="HN177" s="163"/>
      <c r="HO177" s="164"/>
      <c r="HS177" s="162"/>
      <c r="HT177" s="162"/>
      <c r="HU177" s="163"/>
      <c r="HV177" s="164"/>
    </row>
    <row r="178" spans="3:230" x14ac:dyDescent="0.2">
      <c r="C178" s="162"/>
      <c r="D178" s="162"/>
      <c r="E178" s="163"/>
      <c r="F178" s="164"/>
      <c r="J178" s="162"/>
      <c r="K178" s="162"/>
      <c r="L178" s="163"/>
      <c r="M178" s="164"/>
      <c r="Q178" s="162"/>
      <c r="R178" s="162"/>
      <c r="S178" s="163"/>
      <c r="T178" s="164"/>
      <c r="X178" s="162"/>
      <c r="Y178" s="162"/>
      <c r="Z178" s="163"/>
      <c r="AA178" s="164"/>
      <c r="AE178" s="162"/>
      <c r="AF178" s="162"/>
      <c r="AG178" s="163"/>
      <c r="AH178" s="164"/>
      <c r="AL178" s="162"/>
      <c r="AM178" s="162"/>
      <c r="AN178" s="163"/>
      <c r="AO178" s="164"/>
      <c r="AS178" s="162"/>
      <c r="AT178" s="162"/>
      <c r="AU178" s="163"/>
      <c r="AV178" s="164"/>
      <c r="AZ178" s="162"/>
      <c r="BA178" s="162"/>
      <c r="BB178" s="163"/>
      <c r="BC178" s="164"/>
      <c r="BG178" s="162"/>
      <c r="BH178" s="162"/>
      <c r="BI178" s="163"/>
      <c r="BJ178" s="164"/>
      <c r="BN178" s="162"/>
      <c r="BO178" s="162"/>
      <c r="BP178" s="163"/>
      <c r="BQ178" s="164"/>
      <c r="BU178" s="162"/>
      <c r="BV178" s="162"/>
      <c r="BW178" s="163"/>
      <c r="BX178" s="164"/>
      <c r="CB178" s="162"/>
      <c r="CC178" s="162"/>
      <c r="CD178" s="163"/>
      <c r="CE178" s="164"/>
      <c r="CI178" s="162"/>
      <c r="CJ178" s="162"/>
      <c r="CK178" s="163"/>
      <c r="CL178" s="164"/>
      <c r="CP178" s="162"/>
      <c r="CQ178" s="162"/>
      <c r="CR178" s="163"/>
      <c r="CS178" s="164"/>
      <c r="CW178" s="162"/>
      <c r="CX178" s="162"/>
      <c r="CY178" s="163"/>
      <c r="CZ178" s="164"/>
      <c r="DD178" s="162"/>
      <c r="DE178" s="162"/>
      <c r="DF178" s="163"/>
      <c r="DG178" s="164"/>
      <c r="DK178" s="162"/>
      <c r="DL178" s="162"/>
      <c r="DM178" s="163"/>
      <c r="DN178" s="164"/>
      <c r="DR178" s="162"/>
      <c r="DS178" s="162"/>
      <c r="DT178" s="163"/>
      <c r="DU178" s="164"/>
      <c r="DY178" s="162"/>
      <c r="DZ178" s="162"/>
      <c r="EA178" s="163"/>
      <c r="EB178" s="164"/>
      <c r="EF178" s="162"/>
      <c r="EG178" s="162"/>
      <c r="EH178" s="163"/>
      <c r="EI178" s="164"/>
      <c r="EM178" s="162"/>
      <c r="EN178" s="162"/>
      <c r="EO178" s="163"/>
      <c r="EP178" s="164"/>
      <c r="ET178" s="162"/>
      <c r="EU178" s="162"/>
      <c r="EV178" s="163"/>
      <c r="EW178" s="164"/>
      <c r="FA178" s="162"/>
      <c r="FB178" s="162"/>
      <c r="FC178" s="163"/>
      <c r="FD178" s="164"/>
      <c r="FH178" s="162"/>
      <c r="FI178" s="162"/>
      <c r="FJ178" s="163"/>
      <c r="FK178" s="164"/>
      <c r="FO178" s="162"/>
      <c r="FP178" s="162"/>
      <c r="FQ178" s="163"/>
      <c r="FR178" s="164"/>
      <c r="FV178" s="162"/>
      <c r="FW178" s="162"/>
      <c r="FX178" s="163"/>
      <c r="FY178" s="164"/>
      <c r="GC178" s="162"/>
      <c r="GD178" s="162"/>
      <c r="GE178" s="163"/>
      <c r="GF178" s="164"/>
      <c r="GJ178" s="162"/>
      <c r="GK178" s="162"/>
      <c r="GL178" s="163"/>
      <c r="GM178" s="164"/>
      <c r="GQ178" s="162"/>
      <c r="GR178" s="162"/>
      <c r="GS178" s="163"/>
      <c r="GT178" s="164"/>
      <c r="GX178" s="162"/>
      <c r="GY178" s="162"/>
      <c r="GZ178" s="163"/>
      <c r="HA178" s="164"/>
      <c r="HE178" s="162"/>
      <c r="HF178" s="162"/>
      <c r="HG178" s="163"/>
      <c r="HH178" s="164"/>
      <c r="HL178" s="162"/>
      <c r="HM178" s="162"/>
      <c r="HN178" s="163"/>
      <c r="HO178" s="164"/>
      <c r="HS178" s="162"/>
      <c r="HT178" s="162"/>
      <c r="HU178" s="163"/>
      <c r="HV178" s="164"/>
    </row>
    <row r="179" spans="3:230" x14ac:dyDescent="0.2">
      <c r="C179" s="162"/>
      <c r="D179" s="162"/>
      <c r="E179" s="163"/>
      <c r="F179" s="164"/>
      <c r="J179" s="162"/>
      <c r="K179" s="162"/>
      <c r="L179" s="163"/>
      <c r="M179" s="164"/>
      <c r="Q179" s="162"/>
      <c r="R179" s="162"/>
      <c r="S179" s="163"/>
      <c r="T179" s="164"/>
      <c r="X179" s="162"/>
      <c r="Y179" s="162"/>
      <c r="Z179" s="163"/>
      <c r="AA179" s="164"/>
      <c r="AE179" s="162"/>
      <c r="AF179" s="162"/>
      <c r="AG179" s="163"/>
      <c r="AH179" s="164"/>
      <c r="AL179" s="162"/>
      <c r="AM179" s="162"/>
      <c r="AN179" s="163"/>
      <c r="AO179" s="164"/>
      <c r="AS179" s="162"/>
      <c r="AT179" s="162"/>
      <c r="AU179" s="163"/>
      <c r="AV179" s="164"/>
      <c r="AZ179" s="162"/>
      <c r="BA179" s="162"/>
      <c r="BB179" s="163"/>
      <c r="BC179" s="164"/>
      <c r="BG179" s="162"/>
      <c r="BH179" s="162"/>
      <c r="BI179" s="163"/>
      <c r="BJ179" s="164"/>
      <c r="BN179" s="162"/>
      <c r="BO179" s="162"/>
      <c r="BP179" s="163"/>
      <c r="BQ179" s="164"/>
      <c r="BU179" s="162"/>
      <c r="BV179" s="162"/>
      <c r="BW179" s="163"/>
      <c r="BX179" s="164"/>
      <c r="CB179" s="162"/>
      <c r="CC179" s="162"/>
      <c r="CD179" s="163"/>
      <c r="CE179" s="164"/>
      <c r="CI179" s="162"/>
      <c r="CJ179" s="162"/>
      <c r="CK179" s="163"/>
      <c r="CL179" s="164"/>
      <c r="CP179" s="162"/>
      <c r="CQ179" s="162"/>
      <c r="CR179" s="163"/>
      <c r="CS179" s="164"/>
      <c r="CW179" s="162"/>
      <c r="CX179" s="162"/>
      <c r="CY179" s="163"/>
      <c r="CZ179" s="164"/>
      <c r="DD179" s="162"/>
      <c r="DE179" s="162"/>
      <c r="DF179" s="163"/>
      <c r="DG179" s="164"/>
      <c r="DK179" s="162"/>
      <c r="DL179" s="162"/>
      <c r="DM179" s="163"/>
      <c r="DN179" s="164"/>
      <c r="DR179" s="162"/>
      <c r="DS179" s="162"/>
      <c r="DT179" s="163"/>
      <c r="DU179" s="164"/>
      <c r="DY179" s="162"/>
      <c r="DZ179" s="162"/>
      <c r="EA179" s="163"/>
      <c r="EB179" s="164"/>
      <c r="EF179" s="162"/>
      <c r="EG179" s="162"/>
      <c r="EH179" s="163"/>
      <c r="EI179" s="164"/>
      <c r="EM179" s="162"/>
      <c r="EN179" s="162"/>
      <c r="EO179" s="163"/>
      <c r="EP179" s="164"/>
      <c r="ET179" s="162"/>
      <c r="EU179" s="162"/>
      <c r="EV179" s="163"/>
      <c r="EW179" s="164"/>
      <c r="FA179" s="162"/>
      <c r="FB179" s="162"/>
      <c r="FC179" s="163"/>
      <c r="FD179" s="164"/>
      <c r="FH179" s="162"/>
      <c r="FI179" s="162"/>
      <c r="FJ179" s="163"/>
      <c r="FK179" s="164"/>
      <c r="FO179" s="162"/>
      <c r="FP179" s="162"/>
      <c r="FQ179" s="163"/>
      <c r="FR179" s="164"/>
      <c r="FV179" s="162"/>
      <c r="FW179" s="162"/>
      <c r="FX179" s="163"/>
      <c r="FY179" s="164"/>
      <c r="GC179" s="162"/>
      <c r="GD179" s="162"/>
      <c r="GE179" s="163"/>
      <c r="GF179" s="164"/>
      <c r="GJ179" s="162"/>
      <c r="GK179" s="162"/>
      <c r="GL179" s="163"/>
      <c r="GM179" s="164"/>
      <c r="GQ179" s="162"/>
      <c r="GR179" s="162"/>
      <c r="GS179" s="163"/>
      <c r="GT179" s="164"/>
      <c r="GX179" s="162"/>
      <c r="GY179" s="162"/>
      <c r="GZ179" s="163"/>
      <c r="HA179" s="164"/>
      <c r="HE179" s="162"/>
      <c r="HF179" s="162"/>
      <c r="HG179" s="163"/>
      <c r="HH179" s="164"/>
      <c r="HL179" s="162"/>
      <c r="HM179" s="162"/>
      <c r="HN179" s="163"/>
      <c r="HO179" s="164"/>
      <c r="HS179" s="162"/>
      <c r="HT179" s="162"/>
      <c r="HU179" s="163"/>
      <c r="HV179" s="164"/>
    </row>
    <row r="180" spans="3:230" x14ac:dyDescent="0.2">
      <c r="C180" s="162"/>
      <c r="D180" s="162"/>
      <c r="E180" s="163"/>
      <c r="F180" s="164"/>
      <c r="J180" s="162"/>
      <c r="K180" s="162"/>
      <c r="L180" s="163"/>
      <c r="M180" s="164"/>
      <c r="Q180" s="162"/>
      <c r="R180" s="162"/>
      <c r="S180" s="163"/>
      <c r="T180" s="164"/>
      <c r="X180" s="162"/>
      <c r="Y180" s="162"/>
      <c r="Z180" s="163"/>
      <c r="AA180" s="164"/>
      <c r="AE180" s="162"/>
      <c r="AF180" s="162"/>
      <c r="AG180" s="163"/>
      <c r="AH180" s="164"/>
      <c r="AL180" s="162"/>
      <c r="AM180" s="162"/>
      <c r="AN180" s="163"/>
      <c r="AO180" s="164"/>
      <c r="AS180" s="162"/>
      <c r="AT180" s="162"/>
      <c r="AU180" s="163"/>
      <c r="AV180" s="164"/>
      <c r="AZ180" s="162"/>
      <c r="BA180" s="162"/>
      <c r="BB180" s="163"/>
      <c r="BC180" s="164"/>
      <c r="BG180" s="162"/>
      <c r="BH180" s="162"/>
      <c r="BI180" s="163"/>
      <c r="BJ180" s="164"/>
      <c r="BN180" s="162"/>
      <c r="BO180" s="162"/>
      <c r="BP180" s="163"/>
      <c r="BQ180" s="164"/>
      <c r="BU180" s="162"/>
      <c r="BV180" s="162"/>
      <c r="BW180" s="163"/>
      <c r="BX180" s="164"/>
      <c r="CB180" s="162"/>
      <c r="CC180" s="162"/>
      <c r="CD180" s="163"/>
      <c r="CE180" s="164"/>
      <c r="CI180" s="162"/>
      <c r="CJ180" s="162"/>
      <c r="CK180" s="163"/>
      <c r="CL180" s="164"/>
      <c r="CP180" s="162"/>
      <c r="CQ180" s="162"/>
      <c r="CR180" s="163"/>
      <c r="CS180" s="164"/>
      <c r="CW180" s="162"/>
      <c r="CX180" s="162"/>
      <c r="CY180" s="163"/>
      <c r="CZ180" s="164"/>
      <c r="DD180" s="162"/>
      <c r="DE180" s="162"/>
      <c r="DF180" s="163"/>
      <c r="DG180" s="164"/>
      <c r="DK180" s="162"/>
      <c r="DL180" s="162"/>
      <c r="DM180" s="163"/>
      <c r="DN180" s="164"/>
      <c r="DR180" s="162"/>
      <c r="DS180" s="162"/>
      <c r="DT180" s="163"/>
      <c r="DU180" s="164"/>
      <c r="DY180" s="162"/>
      <c r="DZ180" s="162"/>
      <c r="EA180" s="163"/>
      <c r="EB180" s="164"/>
      <c r="EF180" s="162"/>
      <c r="EG180" s="162"/>
      <c r="EH180" s="163"/>
      <c r="EI180" s="164"/>
      <c r="EM180" s="162"/>
      <c r="EN180" s="162"/>
      <c r="EO180" s="163"/>
      <c r="EP180" s="164"/>
      <c r="ET180" s="162"/>
      <c r="EU180" s="162"/>
      <c r="EV180" s="163"/>
      <c r="EW180" s="164"/>
      <c r="FA180" s="162"/>
      <c r="FB180" s="162"/>
      <c r="FC180" s="163"/>
      <c r="FD180" s="164"/>
      <c r="FH180" s="162"/>
      <c r="FI180" s="162"/>
      <c r="FJ180" s="163"/>
      <c r="FK180" s="164"/>
      <c r="FO180" s="162"/>
      <c r="FP180" s="162"/>
      <c r="FQ180" s="163"/>
      <c r="FR180" s="164"/>
      <c r="FV180" s="162"/>
      <c r="FW180" s="162"/>
      <c r="FX180" s="163"/>
      <c r="FY180" s="164"/>
      <c r="GC180" s="162"/>
      <c r="GD180" s="162"/>
      <c r="GE180" s="163"/>
      <c r="GF180" s="164"/>
      <c r="GJ180" s="162"/>
      <c r="GK180" s="162"/>
      <c r="GL180" s="163"/>
      <c r="GM180" s="164"/>
      <c r="GQ180" s="162"/>
      <c r="GR180" s="162"/>
      <c r="GS180" s="163"/>
      <c r="GT180" s="164"/>
      <c r="GX180" s="162"/>
      <c r="GY180" s="162"/>
      <c r="GZ180" s="163"/>
      <c r="HA180" s="164"/>
      <c r="HE180" s="162"/>
      <c r="HF180" s="162"/>
      <c r="HG180" s="163"/>
      <c r="HH180" s="164"/>
      <c r="HL180" s="162"/>
      <c r="HM180" s="162"/>
      <c r="HN180" s="163"/>
      <c r="HO180" s="164"/>
      <c r="HS180" s="162"/>
      <c r="HT180" s="162"/>
      <c r="HU180" s="163"/>
      <c r="HV180" s="164"/>
    </row>
    <row r="181" spans="3:230" x14ac:dyDescent="0.2">
      <c r="C181" s="162"/>
      <c r="D181" s="162"/>
      <c r="E181" s="163"/>
      <c r="F181" s="164"/>
      <c r="J181" s="162"/>
      <c r="K181" s="162"/>
      <c r="L181" s="163"/>
      <c r="M181" s="164"/>
      <c r="Q181" s="162"/>
      <c r="R181" s="162"/>
      <c r="S181" s="163"/>
      <c r="T181" s="164"/>
      <c r="X181" s="162"/>
      <c r="Y181" s="162"/>
      <c r="Z181" s="163"/>
      <c r="AA181" s="164"/>
      <c r="AE181" s="162"/>
      <c r="AF181" s="162"/>
      <c r="AG181" s="163"/>
      <c r="AH181" s="164"/>
      <c r="AL181" s="162"/>
      <c r="AM181" s="162"/>
      <c r="AN181" s="163"/>
      <c r="AO181" s="164"/>
      <c r="AS181" s="162"/>
      <c r="AT181" s="162"/>
      <c r="AU181" s="163"/>
      <c r="AV181" s="164"/>
      <c r="AZ181" s="162"/>
      <c r="BA181" s="162"/>
      <c r="BB181" s="163"/>
      <c r="BC181" s="164"/>
      <c r="BG181" s="162"/>
      <c r="BH181" s="162"/>
      <c r="BI181" s="163"/>
      <c r="BJ181" s="164"/>
      <c r="BN181" s="162"/>
      <c r="BO181" s="162"/>
      <c r="BP181" s="163"/>
      <c r="BQ181" s="164"/>
      <c r="BU181" s="162"/>
      <c r="BV181" s="162"/>
      <c r="BW181" s="163"/>
      <c r="BX181" s="164"/>
      <c r="CB181" s="162"/>
      <c r="CC181" s="162"/>
      <c r="CD181" s="163"/>
      <c r="CE181" s="164"/>
      <c r="CI181" s="162"/>
      <c r="CJ181" s="162"/>
      <c r="CK181" s="163"/>
      <c r="CL181" s="164"/>
      <c r="CP181" s="162"/>
      <c r="CQ181" s="162"/>
      <c r="CR181" s="163"/>
      <c r="CS181" s="164"/>
      <c r="CW181" s="162"/>
      <c r="CX181" s="162"/>
      <c r="CY181" s="163"/>
      <c r="CZ181" s="164"/>
      <c r="DD181" s="162"/>
      <c r="DE181" s="162"/>
      <c r="DF181" s="163"/>
      <c r="DG181" s="164"/>
      <c r="DK181" s="162"/>
      <c r="DL181" s="162"/>
      <c r="DM181" s="163"/>
      <c r="DN181" s="164"/>
      <c r="DR181" s="162"/>
      <c r="DS181" s="162"/>
      <c r="DT181" s="163"/>
      <c r="DU181" s="164"/>
      <c r="DY181" s="162"/>
      <c r="DZ181" s="162"/>
      <c r="EA181" s="163"/>
      <c r="EB181" s="164"/>
      <c r="EF181" s="162"/>
      <c r="EG181" s="162"/>
      <c r="EH181" s="163"/>
      <c r="EI181" s="164"/>
      <c r="EM181" s="162"/>
      <c r="EN181" s="162"/>
      <c r="EO181" s="163"/>
      <c r="EP181" s="164"/>
      <c r="ET181" s="162"/>
      <c r="EU181" s="162"/>
      <c r="EV181" s="163"/>
      <c r="EW181" s="164"/>
      <c r="FA181" s="162"/>
      <c r="FB181" s="162"/>
      <c r="FC181" s="163"/>
      <c r="FD181" s="164"/>
      <c r="FH181" s="162"/>
      <c r="FI181" s="162"/>
      <c r="FJ181" s="163"/>
      <c r="FK181" s="164"/>
      <c r="FO181" s="162"/>
      <c r="FP181" s="162"/>
      <c r="FQ181" s="163"/>
      <c r="FR181" s="164"/>
      <c r="FV181" s="162"/>
      <c r="FW181" s="162"/>
      <c r="FX181" s="163"/>
      <c r="FY181" s="164"/>
      <c r="GC181" s="162"/>
      <c r="GD181" s="162"/>
      <c r="GE181" s="163"/>
      <c r="GF181" s="164"/>
      <c r="GJ181" s="162"/>
      <c r="GK181" s="162"/>
      <c r="GL181" s="163"/>
      <c r="GM181" s="164"/>
      <c r="GQ181" s="162"/>
      <c r="GR181" s="162"/>
      <c r="GS181" s="163"/>
      <c r="GT181" s="164"/>
      <c r="GX181" s="162"/>
      <c r="GY181" s="162"/>
      <c r="GZ181" s="163"/>
      <c r="HA181" s="164"/>
      <c r="HE181" s="162"/>
      <c r="HF181" s="162"/>
      <c r="HG181" s="163"/>
      <c r="HH181" s="164"/>
      <c r="HL181" s="162"/>
      <c r="HM181" s="162"/>
      <c r="HN181" s="163"/>
      <c r="HO181" s="164"/>
      <c r="HS181" s="162"/>
      <c r="HT181" s="162"/>
      <c r="HU181" s="163"/>
      <c r="HV181" s="164"/>
    </row>
    <row r="182" spans="3:230" x14ac:dyDescent="0.2">
      <c r="C182" s="162"/>
      <c r="D182" s="162"/>
      <c r="E182" s="163"/>
      <c r="F182" s="164"/>
      <c r="J182" s="162"/>
      <c r="K182" s="162"/>
      <c r="L182" s="163"/>
      <c r="M182" s="164"/>
      <c r="Q182" s="162"/>
      <c r="R182" s="162"/>
      <c r="S182" s="163"/>
      <c r="T182" s="164"/>
      <c r="X182" s="162"/>
      <c r="Y182" s="162"/>
      <c r="Z182" s="163"/>
      <c r="AA182" s="164"/>
      <c r="AE182" s="162"/>
      <c r="AF182" s="162"/>
      <c r="AG182" s="163"/>
      <c r="AH182" s="164"/>
      <c r="AL182" s="162"/>
      <c r="AM182" s="162"/>
      <c r="AN182" s="163"/>
      <c r="AO182" s="164"/>
      <c r="AS182" s="162"/>
      <c r="AT182" s="162"/>
      <c r="AU182" s="163"/>
      <c r="AV182" s="164"/>
      <c r="AZ182" s="162"/>
      <c r="BA182" s="162"/>
      <c r="BB182" s="163"/>
      <c r="BC182" s="164"/>
      <c r="BG182" s="162"/>
      <c r="BH182" s="162"/>
      <c r="BI182" s="163"/>
      <c r="BJ182" s="164"/>
      <c r="BN182" s="162"/>
      <c r="BO182" s="162"/>
      <c r="BP182" s="163"/>
      <c r="BQ182" s="164"/>
      <c r="BU182" s="162"/>
      <c r="BV182" s="162"/>
      <c r="BW182" s="163"/>
      <c r="BX182" s="164"/>
      <c r="CB182" s="162"/>
      <c r="CC182" s="162"/>
      <c r="CD182" s="163"/>
      <c r="CE182" s="164"/>
      <c r="CI182" s="162"/>
      <c r="CJ182" s="162"/>
      <c r="CK182" s="163"/>
      <c r="CL182" s="164"/>
      <c r="CP182" s="162"/>
      <c r="CQ182" s="162"/>
      <c r="CR182" s="163"/>
      <c r="CS182" s="164"/>
      <c r="CW182" s="162"/>
      <c r="CX182" s="162"/>
      <c r="CY182" s="163"/>
      <c r="CZ182" s="164"/>
      <c r="DD182" s="162"/>
      <c r="DE182" s="162"/>
      <c r="DF182" s="163"/>
      <c r="DG182" s="164"/>
      <c r="DK182" s="162"/>
      <c r="DL182" s="162"/>
      <c r="DM182" s="163"/>
      <c r="DN182" s="164"/>
      <c r="DR182" s="162"/>
      <c r="DS182" s="162"/>
      <c r="DT182" s="163"/>
      <c r="DU182" s="164"/>
      <c r="DY182" s="162"/>
      <c r="DZ182" s="162"/>
      <c r="EA182" s="163"/>
      <c r="EB182" s="164"/>
      <c r="EF182" s="162"/>
      <c r="EG182" s="162"/>
      <c r="EH182" s="163"/>
      <c r="EI182" s="164"/>
      <c r="EM182" s="162"/>
      <c r="EN182" s="162"/>
      <c r="EO182" s="163"/>
      <c r="EP182" s="164"/>
      <c r="ET182" s="162"/>
      <c r="EU182" s="162"/>
      <c r="EV182" s="163"/>
      <c r="EW182" s="164"/>
      <c r="FA182" s="162"/>
      <c r="FB182" s="162"/>
      <c r="FC182" s="163"/>
      <c r="FD182" s="164"/>
      <c r="FH182" s="162"/>
      <c r="FI182" s="162"/>
      <c r="FJ182" s="163"/>
      <c r="FK182" s="164"/>
      <c r="FO182" s="162"/>
      <c r="FP182" s="162"/>
      <c r="FQ182" s="163"/>
      <c r="FR182" s="164"/>
      <c r="FV182" s="162"/>
      <c r="FW182" s="162"/>
      <c r="FX182" s="163"/>
      <c r="FY182" s="164"/>
      <c r="GC182" s="162"/>
      <c r="GD182" s="162"/>
      <c r="GE182" s="163"/>
      <c r="GF182" s="164"/>
      <c r="GJ182" s="162"/>
      <c r="GK182" s="162"/>
      <c r="GL182" s="163"/>
      <c r="GM182" s="164"/>
      <c r="GQ182" s="162"/>
      <c r="GR182" s="162"/>
      <c r="GS182" s="163"/>
      <c r="GT182" s="164"/>
      <c r="GX182" s="162"/>
      <c r="GY182" s="162"/>
      <c r="GZ182" s="163"/>
      <c r="HA182" s="164"/>
      <c r="HE182" s="162"/>
      <c r="HF182" s="162"/>
      <c r="HG182" s="163"/>
      <c r="HH182" s="164"/>
      <c r="HL182" s="162"/>
      <c r="HM182" s="162"/>
      <c r="HN182" s="163"/>
      <c r="HO182" s="164"/>
      <c r="HS182" s="162"/>
      <c r="HT182" s="162"/>
      <c r="HU182" s="163"/>
      <c r="HV182" s="164"/>
    </row>
    <row r="183" spans="3:230" x14ac:dyDescent="0.2">
      <c r="C183" s="162"/>
      <c r="D183" s="162"/>
      <c r="E183" s="163"/>
      <c r="F183" s="164"/>
      <c r="J183" s="162"/>
      <c r="K183" s="162"/>
      <c r="L183" s="163"/>
      <c r="M183" s="164"/>
      <c r="Q183" s="162"/>
      <c r="R183" s="162"/>
      <c r="S183" s="163"/>
      <c r="T183" s="164"/>
      <c r="X183" s="162"/>
      <c r="Y183" s="162"/>
      <c r="Z183" s="163"/>
      <c r="AA183" s="164"/>
      <c r="AE183" s="162"/>
      <c r="AF183" s="162"/>
      <c r="AG183" s="163"/>
      <c r="AH183" s="164"/>
      <c r="AL183" s="162"/>
      <c r="AM183" s="162"/>
      <c r="AN183" s="163"/>
      <c r="AO183" s="164"/>
      <c r="AS183" s="162"/>
      <c r="AT183" s="162"/>
      <c r="AU183" s="163"/>
      <c r="AV183" s="164"/>
      <c r="AZ183" s="162"/>
      <c r="BA183" s="162"/>
      <c r="BB183" s="163"/>
      <c r="BC183" s="164"/>
      <c r="BG183" s="162"/>
      <c r="BH183" s="162"/>
      <c r="BI183" s="163"/>
      <c r="BJ183" s="164"/>
      <c r="BN183" s="162"/>
      <c r="BO183" s="162"/>
      <c r="BP183" s="163"/>
      <c r="BQ183" s="164"/>
      <c r="BU183" s="162"/>
      <c r="BV183" s="162"/>
      <c r="BW183" s="163"/>
      <c r="BX183" s="164"/>
      <c r="CB183" s="162"/>
      <c r="CC183" s="162"/>
      <c r="CD183" s="163"/>
      <c r="CE183" s="164"/>
      <c r="CI183" s="162"/>
      <c r="CJ183" s="162"/>
      <c r="CK183" s="163"/>
      <c r="CL183" s="164"/>
      <c r="CP183" s="162"/>
      <c r="CQ183" s="162"/>
      <c r="CR183" s="163"/>
      <c r="CS183" s="164"/>
      <c r="CW183" s="162"/>
      <c r="CX183" s="162"/>
      <c r="CY183" s="163"/>
      <c r="CZ183" s="164"/>
      <c r="DD183" s="162"/>
      <c r="DE183" s="162"/>
      <c r="DF183" s="163"/>
      <c r="DG183" s="164"/>
      <c r="DK183" s="162"/>
      <c r="DL183" s="162"/>
      <c r="DM183" s="163"/>
      <c r="DN183" s="164"/>
      <c r="DR183" s="162"/>
      <c r="DS183" s="162"/>
      <c r="DT183" s="163"/>
      <c r="DU183" s="164"/>
      <c r="DY183" s="162"/>
      <c r="DZ183" s="162"/>
      <c r="EA183" s="163"/>
      <c r="EB183" s="164"/>
      <c r="EF183" s="162"/>
      <c r="EG183" s="162"/>
      <c r="EH183" s="163"/>
      <c r="EI183" s="164"/>
      <c r="EM183" s="162"/>
      <c r="EN183" s="162"/>
      <c r="EO183" s="163"/>
      <c r="EP183" s="164"/>
      <c r="ET183" s="162"/>
      <c r="EU183" s="162"/>
      <c r="EV183" s="163"/>
      <c r="EW183" s="164"/>
      <c r="FA183" s="162"/>
      <c r="FB183" s="162"/>
      <c r="FC183" s="163"/>
      <c r="FD183" s="164"/>
      <c r="FH183" s="162"/>
      <c r="FI183" s="162"/>
      <c r="FJ183" s="163"/>
      <c r="FK183" s="164"/>
      <c r="FO183" s="162"/>
      <c r="FP183" s="162"/>
      <c r="FQ183" s="163"/>
      <c r="FR183" s="164"/>
      <c r="FV183" s="162"/>
      <c r="FW183" s="162"/>
      <c r="FX183" s="163"/>
      <c r="FY183" s="164"/>
      <c r="GC183" s="162"/>
      <c r="GD183" s="162"/>
      <c r="GE183" s="163"/>
      <c r="GF183" s="164"/>
      <c r="GJ183" s="162"/>
      <c r="GK183" s="162"/>
      <c r="GL183" s="163"/>
      <c r="GM183" s="164"/>
      <c r="GQ183" s="162"/>
      <c r="GR183" s="162"/>
      <c r="GS183" s="163"/>
      <c r="GT183" s="164"/>
      <c r="GX183" s="162"/>
      <c r="GY183" s="162"/>
      <c r="GZ183" s="163"/>
      <c r="HA183" s="164"/>
      <c r="HE183" s="162"/>
      <c r="HF183" s="162"/>
      <c r="HG183" s="163"/>
      <c r="HH183" s="164"/>
      <c r="HL183" s="162"/>
      <c r="HM183" s="162"/>
      <c r="HN183" s="163"/>
      <c r="HO183" s="164"/>
      <c r="HS183" s="162"/>
      <c r="HT183" s="162"/>
      <c r="HU183" s="163"/>
      <c r="HV183" s="164"/>
    </row>
    <row r="184" spans="3:230" x14ac:dyDescent="0.2">
      <c r="C184" s="162"/>
      <c r="D184" s="162"/>
      <c r="E184" s="163"/>
      <c r="F184" s="164"/>
      <c r="J184" s="162"/>
      <c r="K184" s="162"/>
      <c r="L184" s="163"/>
      <c r="M184" s="164"/>
      <c r="Q184" s="162"/>
      <c r="R184" s="162"/>
      <c r="S184" s="163"/>
      <c r="T184" s="164"/>
      <c r="X184" s="162"/>
      <c r="Y184" s="162"/>
      <c r="Z184" s="163"/>
      <c r="AA184" s="164"/>
      <c r="AE184" s="162"/>
      <c r="AF184" s="162"/>
      <c r="AG184" s="163"/>
      <c r="AH184" s="164"/>
      <c r="AL184" s="162"/>
      <c r="AM184" s="162"/>
      <c r="AN184" s="163"/>
      <c r="AO184" s="164"/>
      <c r="AS184" s="162"/>
      <c r="AT184" s="162"/>
      <c r="AU184" s="163"/>
      <c r="AV184" s="164"/>
      <c r="AZ184" s="162"/>
      <c r="BA184" s="162"/>
      <c r="BB184" s="163"/>
      <c r="BC184" s="164"/>
      <c r="BG184" s="162"/>
      <c r="BH184" s="162"/>
      <c r="BI184" s="163"/>
      <c r="BJ184" s="164"/>
      <c r="BN184" s="162"/>
      <c r="BO184" s="162"/>
      <c r="BP184" s="163"/>
      <c r="BQ184" s="164"/>
      <c r="BU184" s="162"/>
      <c r="BV184" s="162"/>
      <c r="BW184" s="163"/>
      <c r="BX184" s="164"/>
      <c r="CB184" s="162"/>
      <c r="CC184" s="162"/>
      <c r="CD184" s="163"/>
      <c r="CE184" s="164"/>
      <c r="CI184" s="162"/>
      <c r="CJ184" s="162"/>
      <c r="CK184" s="163"/>
      <c r="CL184" s="164"/>
      <c r="CP184" s="162"/>
      <c r="CQ184" s="162"/>
      <c r="CR184" s="163"/>
      <c r="CS184" s="164"/>
      <c r="CW184" s="162"/>
      <c r="CX184" s="162"/>
      <c r="CY184" s="163"/>
      <c r="CZ184" s="164"/>
      <c r="DD184" s="162"/>
      <c r="DE184" s="162"/>
      <c r="DF184" s="163"/>
      <c r="DG184" s="164"/>
      <c r="DK184" s="162"/>
      <c r="DL184" s="162"/>
      <c r="DM184" s="163"/>
      <c r="DN184" s="164"/>
      <c r="DR184" s="162"/>
      <c r="DS184" s="162"/>
      <c r="DT184" s="163"/>
      <c r="DU184" s="164"/>
      <c r="DY184" s="162"/>
      <c r="DZ184" s="162"/>
      <c r="EA184" s="163"/>
      <c r="EB184" s="164"/>
      <c r="EF184" s="162"/>
      <c r="EG184" s="162"/>
      <c r="EH184" s="163"/>
      <c r="EI184" s="164"/>
      <c r="EM184" s="162"/>
      <c r="EN184" s="162"/>
      <c r="EO184" s="163"/>
      <c r="EP184" s="164"/>
      <c r="ET184" s="162"/>
      <c r="EU184" s="162"/>
      <c r="EV184" s="163"/>
      <c r="EW184" s="164"/>
      <c r="FA184" s="162"/>
      <c r="FB184" s="162"/>
      <c r="FC184" s="163"/>
      <c r="FD184" s="164"/>
      <c r="FH184" s="162"/>
      <c r="FI184" s="162"/>
      <c r="FJ184" s="163"/>
      <c r="FK184" s="164"/>
      <c r="FO184" s="162"/>
      <c r="FP184" s="162"/>
      <c r="FQ184" s="163"/>
      <c r="FR184" s="164"/>
      <c r="FV184" s="162"/>
      <c r="FW184" s="162"/>
      <c r="FX184" s="163"/>
      <c r="FY184" s="164"/>
      <c r="GC184" s="162"/>
      <c r="GD184" s="162"/>
      <c r="GE184" s="163"/>
      <c r="GF184" s="164"/>
      <c r="GJ184" s="162"/>
      <c r="GK184" s="162"/>
      <c r="GL184" s="163"/>
      <c r="GM184" s="164"/>
      <c r="GQ184" s="162"/>
      <c r="GR184" s="162"/>
      <c r="GS184" s="163"/>
      <c r="GT184" s="164"/>
      <c r="GX184" s="162"/>
      <c r="GY184" s="162"/>
      <c r="GZ184" s="163"/>
      <c r="HA184" s="164"/>
      <c r="HE184" s="162"/>
      <c r="HF184" s="162"/>
      <c r="HG184" s="163"/>
      <c r="HH184" s="164"/>
      <c r="HL184" s="162"/>
      <c r="HM184" s="162"/>
      <c r="HN184" s="163"/>
      <c r="HO184" s="164"/>
      <c r="HS184" s="162"/>
      <c r="HT184" s="162"/>
      <c r="HU184" s="163"/>
      <c r="HV184" s="164"/>
    </row>
    <row r="185" spans="3:230" x14ac:dyDescent="0.2">
      <c r="C185" s="162"/>
      <c r="D185" s="162"/>
      <c r="E185" s="163"/>
      <c r="F185" s="164"/>
      <c r="J185" s="162"/>
      <c r="K185" s="162"/>
      <c r="L185" s="163"/>
      <c r="M185" s="164"/>
      <c r="Q185" s="162"/>
      <c r="R185" s="162"/>
      <c r="S185" s="163"/>
      <c r="T185" s="164"/>
      <c r="X185" s="162"/>
      <c r="Y185" s="162"/>
      <c r="Z185" s="163"/>
      <c r="AA185" s="164"/>
      <c r="AE185" s="162"/>
      <c r="AF185" s="162"/>
      <c r="AG185" s="163"/>
      <c r="AH185" s="164"/>
      <c r="AL185" s="162"/>
      <c r="AM185" s="162"/>
      <c r="AN185" s="163"/>
      <c r="AO185" s="164"/>
      <c r="AS185" s="162"/>
      <c r="AT185" s="162"/>
      <c r="AU185" s="163"/>
      <c r="AV185" s="164"/>
      <c r="AZ185" s="162"/>
      <c r="BA185" s="162"/>
      <c r="BB185" s="163"/>
      <c r="BC185" s="164"/>
      <c r="BG185" s="162"/>
      <c r="BH185" s="162"/>
      <c r="BI185" s="163"/>
      <c r="BJ185" s="164"/>
      <c r="BN185" s="162"/>
      <c r="BO185" s="162"/>
      <c r="BP185" s="163"/>
      <c r="BQ185" s="164"/>
      <c r="BU185" s="162"/>
      <c r="BV185" s="162"/>
      <c r="BW185" s="163"/>
      <c r="BX185" s="164"/>
      <c r="CB185" s="162"/>
      <c r="CC185" s="162"/>
      <c r="CD185" s="163"/>
      <c r="CE185" s="164"/>
      <c r="CI185" s="162"/>
      <c r="CJ185" s="162"/>
      <c r="CK185" s="163"/>
      <c r="CL185" s="164"/>
      <c r="CP185" s="162"/>
      <c r="CQ185" s="162"/>
      <c r="CR185" s="163"/>
      <c r="CS185" s="164"/>
      <c r="CW185" s="162"/>
      <c r="CX185" s="162"/>
      <c r="CY185" s="163"/>
      <c r="CZ185" s="164"/>
      <c r="DD185" s="162"/>
      <c r="DE185" s="162"/>
      <c r="DF185" s="163"/>
      <c r="DG185" s="164"/>
      <c r="DK185" s="162"/>
      <c r="DL185" s="162"/>
      <c r="DM185" s="163"/>
      <c r="DN185" s="164"/>
      <c r="DR185" s="162"/>
      <c r="DS185" s="162"/>
      <c r="DT185" s="163"/>
      <c r="DU185" s="164"/>
      <c r="DY185" s="162"/>
      <c r="DZ185" s="162"/>
      <c r="EA185" s="163"/>
      <c r="EB185" s="164"/>
      <c r="EF185" s="162"/>
      <c r="EG185" s="162"/>
      <c r="EH185" s="163"/>
      <c r="EI185" s="164"/>
      <c r="EM185" s="162"/>
      <c r="EN185" s="162"/>
      <c r="EO185" s="163"/>
      <c r="EP185" s="164"/>
      <c r="ET185" s="162"/>
      <c r="EU185" s="162"/>
      <c r="EV185" s="163"/>
      <c r="EW185" s="164"/>
      <c r="FA185" s="162"/>
      <c r="FB185" s="162"/>
      <c r="FC185" s="163"/>
      <c r="FD185" s="164"/>
      <c r="FH185" s="162"/>
      <c r="FI185" s="162"/>
      <c r="FJ185" s="163"/>
      <c r="FK185" s="164"/>
      <c r="FO185" s="162"/>
      <c r="FP185" s="162"/>
      <c r="FQ185" s="163"/>
      <c r="FR185" s="164"/>
      <c r="FV185" s="162"/>
      <c r="FW185" s="162"/>
      <c r="FX185" s="163"/>
      <c r="FY185" s="164"/>
      <c r="GC185" s="162"/>
      <c r="GD185" s="162"/>
      <c r="GE185" s="163"/>
      <c r="GF185" s="164"/>
      <c r="GJ185" s="162"/>
      <c r="GK185" s="162"/>
      <c r="GL185" s="163"/>
      <c r="GM185" s="164"/>
      <c r="GQ185" s="162"/>
      <c r="GR185" s="162"/>
      <c r="GS185" s="163"/>
      <c r="GT185" s="164"/>
      <c r="GX185" s="162"/>
      <c r="GY185" s="162"/>
      <c r="GZ185" s="163"/>
      <c r="HA185" s="164"/>
      <c r="HE185" s="162"/>
      <c r="HF185" s="162"/>
      <c r="HG185" s="163"/>
      <c r="HH185" s="164"/>
      <c r="HL185" s="162"/>
      <c r="HM185" s="162"/>
      <c r="HN185" s="163"/>
      <c r="HO185" s="164"/>
      <c r="HS185" s="162"/>
      <c r="HT185" s="162"/>
      <c r="HU185" s="163"/>
      <c r="HV185" s="164"/>
    </row>
    <row r="186" spans="3:230" x14ac:dyDescent="0.2">
      <c r="C186" s="162"/>
      <c r="D186" s="162"/>
      <c r="E186" s="163"/>
      <c r="F186" s="164"/>
      <c r="J186" s="162"/>
      <c r="K186" s="162"/>
      <c r="L186" s="163"/>
      <c r="M186" s="164"/>
      <c r="Q186" s="162"/>
      <c r="R186" s="162"/>
      <c r="S186" s="163"/>
      <c r="T186" s="164"/>
      <c r="X186" s="162"/>
      <c r="Y186" s="162"/>
      <c r="Z186" s="163"/>
      <c r="AA186" s="164"/>
      <c r="AE186" s="162"/>
      <c r="AF186" s="162"/>
      <c r="AG186" s="163"/>
      <c r="AH186" s="164"/>
      <c r="AL186" s="162"/>
      <c r="AM186" s="162"/>
      <c r="AN186" s="163"/>
      <c r="AO186" s="164"/>
      <c r="AS186" s="162"/>
      <c r="AT186" s="162"/>
      <c r="AU186" s="163"/>
      <c r="AV186" s="164"/>
      <c r="AZ186" s="162"/>
      <c r="BA186" s="162"/>
      <c r="BB186" s="163"/>
      <c r="BC186" s="164"/>
      <c r="BG186" s="162"/>
      <c r="BH186" s="162"/>
      <c r="BI186" s="163"/>
      <c r="BJ186" s="164"/>
      <c r="BN186" s="162"/>
      <c r="BO186" s="162"/>
      <c r="BP186" s="163"/>
      <c r="BQ186" s="164"/>
      <c r="BU186" s="162"/>
      <c r="BV186" s="162"/>
      <c r="BW186" s="163"/>
      <c r="BX186" s="164"/>
      <c r="CB186" s="162"/>
      <c r="CC186" s="162"/>
      <c r="CD186" s="163"/>
      <c r="CE186" s="164"/>
      <c r="CI186" s="162"/>
      <c r="CJ186" s="162"/>
      <c r="CK186" s="163"/>
      <c r="CL186" s="164"/>
      <c r="CP186" s="162"/>
      <c r="CQ186" s="162"/>
      <c r="CR186" s="163"/>
      <c r="CS186" s="164"/>
      <c r="CW186" s="162"/>
      <c r="CX186" s="162"/>
      <c r="CY186" s="163"/>
      <c r="CZ186" s="164"/>
      <c r="DD186" s="162"/>
      <c r="DE186" s="162"/>
      <c r="DF186" s="163"/>
      <c r="DG186" s="164"/>
      <c r="DK186" s="162"/>
      <c r="DL186" s="162"/>
      <c r="DM186" s="163"/>
      <c r="DN186" s="164"/>
      <c r="DR186" s="162"/>
      <c r="DS186" s="162"/>
      <c r="DT186" s="163"/>
      <c r="DU186" s="164"/>
      <c r="DY186" s="162"/>
      <c r="DZ186" s="162"/>
      <c r="EA186" s="163"/>
      <c r="EB186" s="164"/>
      <c r="EF186" s="162"/>
      <c r="EG186" s="162"/>
      <c r="EH186" s="163"/>
      <c r="EI186" s="164"/>
      <c r="EM186" s="162"/>
      <c r="EN186" s="162"/>
      <c r="EO186" s="163"/>
      <c r="EP186" s="164"/>
      <c r="ET186" s="162"/>
      <c r="EU186" s="162"/>
      <c r="EV186" s="163"/>
      <c r="EW186" s="164"/>
      <c r="FA186" s="162"/>
      <c r="FB186" s="162"/>
      <c r="FC186" s="163"/>
      <c r="FD186" s="164"/>
      <c r="FH186" s="162"/>
      <c r="FI186" s="162"/>
      <c r="FJ186" s="163"/>
      <c r="FK186" s="164"/>
      <c r="FO186" s="162"/>
      <c r="FP186" s="162"/>
      <c r="FQ186" s="163"/>
      <c r="FR186" s="164"/>
      <c r="FV186" s="162"/>
      <c r="FW186" s="162"/>
      <c r="FX186" s="163"/>
      <c r="FY186" s="164"/>
      <c r="GC186" s="162"/>
      <c r="GD186" s="162"/>
      <c r="GE186" s="163"/>
      <c r="GF186" s="164"/>
      <c r="GJ186" s="162"/>
      <c r="GK186" s="162"/>
      <c r="GL186" s="163"/>
      <c r="GM186" s="164"/>
      <c r="GQ186" s="162"/>
      <c r="GR186" s="162"/>
      <c r="GS186" s="163"/>
      <c r="GT186" s="164"/>
      <c r="GX186" s="162"/>
      <c r="GY186" s="162"/>
      <c r="GZ186" s="163"/>
      <c r="HA186" s="164"/>
      <c r="HE186" s="162"/>
      <c r="HF186" s="162"/>
      <c r="HG186" s="163"/>
      <c r="HH186" s="164"/>
      <c r="HL186" s="162"/>
      <c r="HM186" s="162"/>
      <c r="HN186" s="163"/>
      <c r="HO186" s="164"/>
      <c r="HS186" s="162"/>
      <c r="HT186" s="162"/>
      <c r="HU186" s="163"/>
      <c r="HV186" s="164"/>
    </row>
    <row r="187" spans="3:230" x14ac:dyDescent="0.2">
      <c r="C187" s="162"/>
      <c r="D187" s="162"/>
      <c r="E187" s="163"/>
      <c r="F187" s="164"/>
      <c r="J187" s="162"/>
      <c r="K187" s="162"/>
      <c r="L187" s="163"/>
      <c r="M187" s="164"/>
      <c r="Q187" s="162"/>
      <c r="R187" s="162"/>
      <c r="S187" s="163"/>
      <c r="T187" s="164"/>
      <c r="X187" s="162"/>
      <c r="Y187" s="162"/>
      <c r="Z187" s="163"/>
      <c r="AA187" s="164"/>
      <c r="AE187" s="162"/>
      <c r="AF187" s="162"/>
      <c r="AG187" s="163"/>
      <c r="AH187" s="164"/>
      <c r="AL187" s="162"/>
      <c r="AM187" s="162"/>
      <c r="AN187" s="163"/>
      <c r="AO187" s="164"/>
      <c r="AS187" s="162"/>
      <c r="AT187" s="162"/>
      <c r="AU187" s="163"/>
      <c r="AV187" s="164"/>
      <c r="AZ187" s="162"/>
      <c r="BA187" s="162"/>
      <c r="BB187" s="163"/>
      <c r="BC187" s="164"/>
      <c r="BG187" s="162"/>
      <c r="BH187" s="162"/>
      <c r="BI187" s="163"/>
      <c r="BJ187" s="164"/>
      <c r="BN187" s="162"/>
      <c r="BO187" s="162"/>
      <c r="BP187" s="163"/>
      <c r="BQ187" s="164"/>
      <c r="BU187" s="162"/>
      <c r="BV187" s="162"/>
      <c r="BW187" s="163"/>
      <c r="BX187" s="164"/>
      <c r="CB187" s="162"/>
      <c r="CC187" s="162"/>
      <c r="CD187" s="163"/>
      <c r="CE187" s="164"/>
      <c r="CI187" s="162"/>
      <c r="CJ187" s="162"/>
      <c r="CK187" s="163"/>
      <c r="CL187" s="164"/>
      <c r="CP187" s="162"/>
      <c r="CQ187" s="162"/>
      <c r="CR187" s="163"/>
      <c r="CS187" s="164"/>
      <c r="CW187" s="162"/>
      <c r="CX187" s="162"/>
      <c r="CY187" s="163"/>
      <c r="CZ187" s="164"/>
      <c r="DD187" s="162"/>
      <c r="DE187" s="162"/>
      <c r="DF187" s="163"/>
      <c r="DG187" s="164"/>
      <c r="DK187" s="162"/>
      <c r="DL187" s="162"/>
      <c r="DM187" s="163"/>
      <c r="DN187" s="164"/>
      <c r="DR187" s="162"/>
      <c r="DS187" s="162"/>
      <c r="DT187" s="163"/>
      <c r="DU187" s="164"/>
      <c r="DY187" s="162"/>
      <c r="DZ187" s="162"/>
      <c r="EA187" s="163"/>
      <c r="EB187" s="164"/>
      <c r="EF187" s="162"/>
      <c r="EG187" s="162"/>
      <c r="EH187" s="163"/>
      <c r="EI187" s="164"/>
      <c r="EM187" s="162"/>
      <c r="EN187" s="162"/>
      <c r="EO187" s="163"/>
      <c r="EP187" s="164"/>
      <c r="ET187" s="162"/>
      <c r="EU187" s="162"/>
      <c r="EV187" s="163"/>
      <c r="EW187" s="164"/>
      <c r="FA187" s="162"/>
      <c r="FB187" s="162"/>
      <c r="FC187" s="163"/>
      <c r="FD187" s="164"/>
      <c r="FH187" s="162"/>
      <c r="FI187" s="162"/>
      <c r="FJ187" s="163"/>
      <c r="FK187" s="164"/>
      <c r="FO187" s="162"/>
      <c r="FP187" s="162"/>
      <c r="FQ187" s="163"/>
      <c r="FR187" s="164"/>
      <c r="FV187" s="162"/>
      <c r="FW187" s="162"/>
      <c r="FX187" s="163"/>
      <c r="FY187" s="164"/>
      <c r="GC187" s="162"/>
      <c r="GD187" s="162"/>
      <c r="GE187" s="163"/>
      <c r="GF187" s="164"/>
      <c r="GJ187" s="162"/>
      <c r="GK187" s="162"/>
      <c r="GL187" s="163"/>
      <c r="GM187" s="164"/>
      <c r="GQ187" s="162"/>
      <c r="GR187" s="162"/>
      <c r="GS187" s="163"/>
      <c r="GT187" s="164"/>
      <c r="GX187" s="162"/>
      <c r="GY187" s="162"/>
      <c r="GZ187" s="163"/>
      <c r="HA187" s="164"/>
      <c r="HE187" s="162"/>
      <c r="HF187" s="162"/>
      <c r="HG187" s="163"/>
      <c r="HH187" s="164"/>
      <c r="HL187" s="162"/>
      <c r="HM187" s="162"/>
      <c r="HN187" s="163"/>
      <c r="HO187" s="164"/>
      <c r="HS187" s="162"/>
      <c r="HT187" s="162"/>
      <c r="HU187" s="163"/>
      <c r="HV187" s="164"/>
    </row>
    <row r="188" spans="3:230" x14ac:dyDescent="0.2">
      <c r="C188" s="162"/>
      <c r="D188" s="162"/>
      <c r="E188" s="163"/>
      <c r="F188" s="164"/>
      <c r="J188" s="162"/>
      <c r="K188" s="162"/>
      <c r="L188" s="163"/>
      <c r="M188" s="164"/>
      <c r="Q188" s="162"/>
      <c r="R188" s="162"/>
      <c r="S188" s="163"/>
      <c r="T188" s="164"/>
      <c r="X188" s="162"/>
      <c r="Y188" s="162"/>
      <c r="Z188" s="163"/>
      <c r="AA188" s="164"/>
      <c r="AE188" s="162"/>
      <c r="AF188" s="162"/>
      <c r="AG188" s="163"/>
      <c r="AH188" s="164"/>
      <c r="AL188" s="162"/>
      <c r="AM188" s="162"/>
      <c r="AN188" s="163"/>
      <c r="AO188" s="164"/>
      <c r="AS188" s="162"/>
      <c r="AT188" s="162"/>
      <c r="AU188" s="163"/>
      <c r="AV188" s="164"/>
      <c r="AZ188" s="162"/>
      <c r="BA188" s="162"/>
      <c r="BB188" s="163"/>
      <c r="BC188" s="164"/>
      <c r="BG188" s="162"/>
      <c r="BH188" s="162"/>
      <c r="BI188" s="163"/>
      <c r="BJ188" s="164"/>
      <c r="BN188" s="162"/>
      <c r="BO188" s="162"/>
      <c r="BP188" s="163"/>
      <c r="BQ188" s="164"/>
      <c r="BU188" s="162"/>
      <c r="BV188" s="162"/>
      <c r="BW188" s="163"/>
      <c r="BX188" s="164"/>
      <c r="CB188" s="162"/>
      <c r="CC188" s="162"/>
      <c r="CD188" s="163"/>
      <c r="CE188" s="164"/>
      <c r="CI188" s="162"/>
      <c r="CJ188" s="162"/>
      <c r="CK188" s="163"/>
      <c r="CL188" s="164"/>
      <c r="CP188" s="162"/>
      <c r="CQ188" s="162"/>
      <c r="CR188" s="163"/>
      <c r="CS188" s="164"/>
      <c r="CW188" s="162"/>
      <c r="CX188" s="162"/>
      <c r="CY188" s="163"/>
      <c r="CZ188" s="164"/>
      <c r="DD188" s="162"/>
      <c r="DE188" s="162"/>
      <c r="DF188" s="163"/>
      <c r="DG188" s="164"/>
      <c r="DK188" s="162"/>
      <c r="DL188" s="162"/>
      <c r="DM188" s="163"/>
      <c r="DN188" s="164"/>
      <c r="DR188" s="162"/>
      <c r="DS188" s="162"/>
      <c r="DT188" s="163"/>
      <c r="DU188" s="164"/>
      <c r="DY188" s="162"/>
      <c r="DZ188" s="162"/>
      <c r="EA188" s="163"/>
      <c r="EB188" s="164"/>
      <c r="EF188" s="162"/>
      <c r="EG188" s="162"/>
      <c r="EH188" s="163"/>
      <c r="EI188" s="164"/>
      <c r="EM188" s="162"/>
      <c r="EN188" s="162"/>
      <c r="EO188" s="163"/>
      <c r="EP188" s="164"/>
      <c r="ET188" s="162"/>
      <c r="EU188" s="162"/>
      <c r="EV188" s="163"/>
      <c r="EW188" s="164"/>
      <c r="FA188" s="162"/>
      <c r="FB188" s="162"/>
      <c r="FC188" s="163"/>
      <c r="FD188" s="164"/>
      <c r="FH188" s="162"/>
      <c r="FI188" s="162"/>
      <c r="FJ188" s="163"/>
      <c r="FK188" s="164"/>
      <c r="FO188" s="162"/>
      <c r="FP188" s="162"/>
      <c r="FQ188" s="163"/>
      <c r="FR188" s="164"/>
      <c r="FV188" s="162"/>
      <c r="FW188" s="162"/>
      <c r="FX188" s="163"/>
      <c r="FY188" s="164"/>
      <c r="GC188" s="162"/>
      <c r="GD188" s="162"/>
      <c r="GE188" s="163"/>
      <c r="GF188" s="164"/>
      <c r="GJ188" s="162"/>
      <c r="GK188" s="162"/>
      <c r="GL188" s="163"/>
      <c r="GM188" s="164"/>
      <c r="GQ188" s="162"/>
      <c r="GR188" s="162"/>
      <c r="GS188" s="163"/>
      <c r="GT188" s="164"/>
      <c r="GX188" s="162"/>
      <c r="GY188" s="162"/>
      <c r="GZ188" s="163"/>
      <c r="HA188" s="164"/>
      <c r="HE188" s="162"/>
      <c r="HF188" s="162"/>
      <c r="HG188" s="163"/>
      <c r="HH188" s="164"/>
      <c r="HL188" s="162"/>
      <c r="HM188" s="162"/>
      <c r="HN188" s="163"/>
      <c r="HO188" s="164"/>
      <c r="HS188" s="162"/>
      <c r="HT188" s="162"/>
      <c r="HU188" s="163"/>
      <c r="HV188" s="164"/>
    </row>
    <row r="189" spans="3:230" x14ac:dyDescent="0.2">
      <c r="C189" s="162"/>
      <c r="D189" s="162"/>
      <c r="E189" s="163"/>
      <c r="F189" s="164"/>
      <c r="J189" s="162"/>
      <c r="K189" s="162"/>
      <c r="L189" s="163"/>
      <c r="M189" s="164"/>
      <c r="Q189" s="162"/>
      <c r="R189" s="162"/>
      <c r="S189" s="163"/>
      <c r="T189" s="164"/>
      <c r="X189" s="162"/>
      <c r="Y189" s="162"/>
      <c r="Z189" s="163"/>
      <c r="AA189" s="164"/>
      <c r="AE189" s="162"/>
      <c r="AF189" s="162"/>
      <c r="AG189" s="163"/>
      <c r="AH189" s="164"/>
      <c r="AL189" s="162"/>
      <c r="AM189" s="162"/>
      <c r="AN189" s="163"/>
      <c r="AO189" s="164"/>
      <c r="AS189" s="162"/>
      <c r="AT189" s="162"/>
      <c r="AU189" s="163"/>
      <c r="AV189" s="164"/>
      <c r="AZ189" s="162"/>
      <c r="BA189" s="162"/>
      <c r="BB189" s="163"/>
      <c r="BC189" s="164"/>
      <c r="BG189" s="162"/>
      <c r="BH189" s="162"/>
      <c r="BI189" s="163"/>
      <c r="BJ189" s="164"/>
      <c r="BN189" s="162"/>
      <c r="BO189" s="162"/>
      <c r="BP189" s="163"/>
      <c r="BQ189" s="164"/>
      <c r="BU189" s="162"/>
      <c r="BV189" s="162"/>
      <c r="BW189" s="163"/>
      <c r="BX189" s="164"/>
      <c r="CB189" s="162"/>
      <c r="CC189" s="162"/>
      <c r="CD189" s="163"/>
      <c r="CE189" s="164"/>
      <c r="CI189" s="162"/>
      <c r="CJ189" s="162"/>
      <c r="CK189" s="163"/>
      <c r="CL189" s="164"/>
      <c r="CP189" s="162"/>
      <c r="CQ189" s="162"/>
      <c r="CR189" s="163"/>
      <c r="CS189" s="164"/>
      <c r="CW189" s="162"/>
      <c r="CX189" s="162"/>
      <c r="CY189" s="163"/>
      <c r="CZ189" s="164"/>
      <c r="DD189" s="162"/>
      <c r="DE189" s="162"/>
      <c r="DF189" s="163"/>
      <c r="DG189" s="164"/>
      <c r="DK189" s="162"/>
      <c r="DL189" s="162"/>
      <c r="DM189" s="163"/>
      <c r="DN189" s="164"/>
      <c r="DR189" s="162"/>
      <c r="DS189" s="162"/>
      <c r="DT189" s="163"/>
      <c r="DU189" s="164"/>
      <c r="DY189" s="162"/>
      <c r="DZ189" s="162"/>
      <c r="EA189" s="163"/>
      <c r="EB189" s="164"/>
      <c r="EF189" s="162"/>
      <c r="EG189" s="162"/>
      <c r="EH189" s="163"/>
      <c r="EI189" s="164"/>
      <c r="EM189" s="162"/>
      <c r="EN189" s="162"/>
      <c r="EO189" s="163"/>
      <c r="EP189" s="164"/>
      <c r="ET189" s="162"/>
      <c r="EU189" s="162"/>
      <c r="EV189" s="163"/>
      <c r="EW189" s="164"/>
      <c r="FA189" s="162"/>
      <c r="FB189" s="162"/>
      <c r="FC189" s="163"/>
      <c r="FD189" s="164"/>
      <c r="FH189" s="162"/>
      <c r="FI189" s="162"/>
      <c r="FJ189" s="163"/>
      <c r="FK189" s="164"/>
      <c r="FO189" s="162"/>
      <c r="FP189" s="162"/>
      <c r="FQ189" s="163"/>
      <c r="FR189" s="164"/>
      <c r="FV189" s="162"/>
      <c r="FW189" s="162"/>
      <c r="FX189" s="163"/>
      <c r="FY189" s="164"/>
      <c r="GC189" s="162"/>
      <c r="GD189" s="162"/>
      <c r="GE189" s="163"/>
      <c r="GF189" s="164"/>
      <c r="GJ189" s="162"/>
      <c r="GK189" s="162"/>
      <c r="GL189" s="163"/>
      <c r="GM189" s="164"/>
      <c r="GQ189" s="162"/>
      <c r="GR189" s="162"/>
      <c r="GS189" s="163"/>
      <c r="GT189" s="164"/>
      <c r="GX189" s="162"/>
      <c r="GY189" s="162"/>
      <c r="GZ189" s="163"/>
      <c r="HA189" s="164"/>
      <c r="HE189" s="162"/>
      <c r="HF189" s="162"/>
      <c r="HG189" s="163"/>
      <c r="HH189" s="164"/>
      <c r="HL189" s="162"/>
      <c r="HM189" s="162"/>
      <c r="HN189" s="163"/>
      <c r="HO189" s="164"/>
      <c r="HS189" s="162"/>
      <c r="HT189" s="162"/>
      <c r="HU189" s="163"/>
      <c r="HV189" s="164"/>
    </row>
    <row r="190" spans="3:230" x14ac:dyDescent="0.2">
      <c r="C190" s="162"/>
      <c r="D190" s="162"/>
      <c r="E190" s="163"/>
      <c r="F190" s="164"/>
      <c r="J190" s="162"/>
      <c r="K190" s="162"/>
      <c r="L190" s="163"/>
      <c r="M190" s="164"/>
      <c r="Q190" s="162"/>
      <c r="R190" s="162"/>
      <c r="S190" s="163"/>
      <c r="T190" s="164"/>
      <c r="X190" s="162"/>
      <c r="Y190" s="162"/>
      <c r="Z190" s="163"/>
      <c r="AA190" s="164"/>
      <c r="AE190" s="162"/>
      <c r="AF190" s="162"/>
      <c r="AG190" s="163"/>
      <c r="AH190" s="164"/>
      <c r="AL190" s="162"/>
      <c r="AM190" s="162"/>
      <c r="AN190" s="163"/>
      <c r="AO190" s="164"/>
      <c r="AS190" s="162"/>
      <c r="AT190" s="162"/>
      <c r="AU190" s="163"/>
      <c r="AV190" s="164"/>
      <c r="AZ190" s="162"/>
      <c r="BA190" s="162"/>
      <c r="BB190" s="163"/>
      <c r="BC190" s="164"/>
      <c r="BG190" s="162"/>
      <c r="BH190" s="162"/>
      <c r="BI190" s="163"/>
      <c r="BJ190" s="164"/>
      <c r="BN190" s="162"/>
      <c r="BO190" s="162"/>
      <c r="BP190" s="163"/>
      <c r="BQ190" s="164"/>
      <c r="BU190" s="162"/>
      <c r="BV190" s="162"/>
      <c r="BW190" s="163"/>
      <c r="BX190" s="164"/>
      <c r="CB190" s="162"/>
      <c r="CC190" s="162"/>
      <c r="CD190" s="163"/>
      <c r="CE190" s="164"/>
      <c r="CI190" s="162"/>
      <c r="CJ190" s="162"/>
      <c r="CK190" s="163"/>
      <c r="CL190" s="164"/>
      <c r="CP190" s="162"/>
      <c r="CQ190" s="162"/>
      <c r="CR190" s="163"/>
      <c r="CS190" s="164"/>
      <c r="CW190" s="162"/>
      <c r="CX190" s="162"/>
      <c r="CY190" s="163"/>
      <c r="CZ190" s="164"/>
      <c r="DD190" s="162"/>
      <c r="DE190" s="162"/>
      <c r="DF190" s="163"/>
      <c r="DG190" s="164"/>
      <c r="DK190" s="162"/>
      <c r="DL190" s="162"/>
      <c r="DM190" s="163"/>
      <c r="DN190" s="164"/>
      <c r="DR190" s="162"/>
      <c r="DS190" s="162"/>
      <c r="DT190" s="163"/>
      <c r="DU190" s="164"/>
      <c r="DY190" s="162"/>
      <c r="DZ190" s="162"/>
      <c r="EA190" s="163"/>
      <c r="EB190" s="164"/>
      <c r="EF190" s="162"/>
      <c r="EG190" s="162"/>
      <c r="EH190" s="163"/>
      <c r="EI190" s="164"/>
      <c r="EM190" s="162"/>
      <c r="EN190" s="162"/>
      <c r="EO190" s="163"/>
      <c r="EP190" s="164"/>
      <c r="ET190" s="162"/>
      <c r="EU190" s="162"/>
      <c r="EV190" s="163"/>
      <c r="EW190" s="164"/>
      <c r="FA190" s="162"/>
      <c r="FB190" s="162"/>
      <c r="FC190" s="163"/>
      <c r="FD190" s="164"/>
      <c r="FH190" s="162"/>
      <c r="FI190" s="162"/>
      <c r="FJ190" s="163"/>
      <c r="FK190" s="164"/>
      <c r="FO190" s="162"/>
      <c r="FP190" s="162"/>
      <c r="FQ190" s="163"/>
      <c r="FR190" s="164"/>
      <c r="FV190" s="162"/>
      <c r="FW190" s="162"/>
      <c r="FX190" s="163"/>
      <c r="FY190" s="164"/>
      <c r="GC190" s="162"/>
      <c r="GD190" s="162"/>
      <c r="GE190" s="163"/>
      <c r="GF190" s="164"/>
      <c r="GJ190" s="162"/>
      <c r="GK190" s="162"/>
      <c r="GL190" s="163"/>
      <c r="GM190" s="164"/>
      <c r="GQ190" s="162"/>
      <c r="GR190" s="162"/>
      <c r="GS190" s="163"/>
      <c r="GT190" s="164"/>
      <c r="GX190" s="162"/>
      <c r="GY190" s="162"/>
      <c r="GZ190" s="163"/>
      <c r="HA190" s="164"/>
      <c r="HE190" s="162"/>
      <c r="HF190" s="162"/>
      <c r="HG190" s="163"/>
      <c r="HH190" s="164"/>
      <c r="HL190" s="162"/>
      <c r="HM190" s="162"/>
      <c r="HN190" s="163"/>
      <c r="HO190" s="164"/>
      <c r="HS190" s="162"/>
      <c r="HT190" s="162"/>
      <c r="HU190" s="163"/>
      <c r="HV190" s="164"/>
    </row>
    <row r="191" spans="3:230" x14ac:dyDescent="0.2">
      <c r="C191" s="162"/>
      <c r="D191" s="162"/>
      <c r="E191" s="163"/>
      <c r="F191" s="164"/>
      <c r="J191" s="162"/>
      <c r="K191" s="162"/>
      <c r="L191" s="163"/>
      <c r="M191" s="164"/>
      <c r="Q191" s="162"/>
      <c r="R191" s="162"/>
      <c r="S191" s="163"/>
      <c r="T191" s="164"/>
      <c r="X191" s="162"/>
      <c r="Y191" s="162"/>
      <c r="Z191" s="163"/>
      <c r="AA191" s="164"/>
      <c r="AE191" s="162"/>
      <c r="AF191" s="162"/>
      <c r="AG191" s="163"/>
      <c r="AH191" s="164"/>
      <c r="AL191" s="162"/>
      <c r="AM191" s="162"/>
      <c r="AN191" s="163"/>
      <c r="AO191" s="164"/>
      <c r="AS191" s="162"/>
      <c r="AT191" s="162"/>
      <c r="AU191" s="163"/>
      <c r="AV191" s="164"/>
      <c r="AZ191" s="162"/>
      <c r="BA191" s="162"/>
      <c r="BB191" s="163"/>
      <c r="BC191" s="164"/>
      <c r="BG191" s="162"/>
      <c r="BH191" s="162"/>
      <c r="BI191" s="163"/>
      <c r="BJ191" s="164"/>
      <c r="BN191" s="162"/>
      <c r="BO191" s="162"/>
      <c r="BP191" s="163"/>
      <c r="BQ191" s="164"/>
      <c r="BU191" s="162"/>
      <c r="BV191" s="162"/>
      <c r="BW191" s="163"/>
      <c r="BX191" s="164"/>
      <c r="CB191" s="162"/>
      <c r="CC191" s="162"/>
      <c r="CD191" s="163"/>
      <c r="CE191" s="164"/>
      <c r="CI191" s="162"/>
      <c r="CJ191" s="162"/>
      <c r="CK191" s="163"/>
      <c r="CL191" s="164"/>
      <c r="CP191" s="162"/>
      <c r="CQ191" s="162"/>
      <c r="CR191" s="163"/>
      <c r="CS191" s="164"/>
      <c r="CW191" s="162"/>
      <c r="CX191" s="162"/>
      <c r="CY191" s="163"/>
      <c r="CZ191" s="164"/>
      <c r="DD191" s="162"/>
      <c r="DE191" s="162"/>
      <c r="DF191" s="163"/>
      <c r="DG191" s="164"/>
      <c r="DK191" s="162"/>
      <c r="DL191" s="162"/>
      <c r="DM191" s="163"/>
      <c r="DN191" s="164"/>
      <c r="DR191" s="162"/>
      <c r="DS191" s="162"/>
      <c r="DT191" s="163"/>
      <c r="DU191" s="164"/>
      <c r="DY191" s="162"/>
      <c r="DZ191" s="162"/>
      <c r="EA191" s="163"/>
      <c r="EB191" s="164"/>
      <c r="EF191" s="162"/>
      <c r="EG191" s="162"/>
      <c r="EH191" s="163"/>
      <c r="EI191" s="164"/>
      <c r="EM191" s="162"/>
      <c r="EN191" s="162"/>
      <c r="EO191" s="163"/>
      <c r="EP191" s="164"/>
      <c r="ET191" s="162"/>
      <c r="EU191" s="162"/>
      <c r="EV191" s="163"/>
      <c r="EW191" s="164"/>
      <c r="FA191" s="162"/>
      <c r="FB191" s="162"/>
      <c r="FC191" s="163"/>
      <c r="FD191" s="164"/>
      <c r="FH191" s="162"/>
      <c r="FI191" s="162"/>
      <c r="FJ191" s="163"/>
      <c r="FK191" s="164"/>
      <c r="FO191" s="162"/>
      <c r="FP191" s="162"/>
      <c r="FQ191" s="163"/>
      <c r="FR191" s="164"/>
      <c r="FV191" s="162"/>
      <c r="FW191" s="162"/>
      <c r="FX191" s="163"/>
      <c r="FY191" s="164"/>
      <c r="GC191" s="162"/>
      <c r="GD191" s="162"/>
      <c r="GE191" s="163"/>
      <c r="GF191" s="164"/>
      <c r="GJ191" s="162"/>
      <c r="GK191" s="162"/>
      <c r="GL191" s="163"/>
      <c r="GM191" s="164"/>
      <c r="GQ191" s="162"/>
      <c r="GR191" s="162"/>
      <c r="GS191" s="163"/>
      <c r="GT191" s="164"/>
      <c r="GX191" s="162"/>
      <c r="GY191" s="162"/>
      <c r="GZ191" s="163"/>
      <c r="HA191" s="164"/>
      <c r="HE191" s="162"/>
      <c r="HF191" s="162"/>
      <c r="HG191" s="163"/>
      <c r="HH191" s="164"/>
      <c r="HL191" s="162"/>
      <c r="HM191" s="162"/>
      <c r="HN191" s="163"/>
      <c r="HO191" s="164"/>
      <c r="HS191" s="162"/>
      <c r="HT191" s="162"/>
      <c r="HU191" s="163"/>
      <c r="HV191" s="164"/>
    </row>
    <row r="192" spans="3:230" x14ac:dyDescent="0.2">
      <c r="C192" s="162"/>
      <c r="D192" s="162"/>
      <c r="E192" s="163"/>
      <c r="F192" s="164"/>
      <c r="J192" s="162"/>
      <c r="K192" s="162"/>
      <c r="L192" s="163"/>
      <c r="M192" s="164"/>
      <c r="Q192" s="162"/>
      <c r="R192" s="162"/>
      <c r="S192" s="163"/>
      <c r="T192" s="164"/>
      <c r="X192" s="162"/>
      <c r="Y192" s="162"/>
      <c r="Z192" s="163"/>
      <c r="AA192" s="164"/>
      <c r="AE192" s="162"/>
      <c r="AF192" s="162"/>
      <c r="AG192" s="163"/>
      <c r="AH192" s="164"/>
      <c r="AL192" s="162"/>
      <c r="AM192" s="162"/>
      <c r="AN192" s="163"/>
      <c r="AO192" s="164"/>
      <c r="AS192" s="162"/>
      <c r="AT192" s="162"/>
      <c r="AU192" s="163"/>
      <c r="AV192" s="164"/>
      <c r="AZ192" s="162"/>
      <c r="BA192" s="162"/>
      <c r="BB192" s="163"/>
      <c r="BC192" s="164"/>
      <c r="BG192" s="162"/>
      <c r="BH192" s="162"/>
      <c r="BI192" s="163"/>
      <c r="BJ192" s="164"/>
      <c r="BN192" s="162"/>
      <c r="BO192" s="162"/>
      <c r="BP192" s="163"/>
      <c r="BQ192" s="164"/>
      <c r="BU192" s="162"/>
      <c r="BV192" s="162"/>
      <c r="BW192" s="163"/>
      <c r="BX192" s="164"/>
      <c r="CB192" s="162"/>
      <c r="CC192" s="162"/>
      <c r="CD192" s="163"/>
      <c r="CE192" s="164"/>
      <c r="CI192" s="162"/>
      <c r="CJ192" s="162"/>
      <c r="CK192" s="163"/>
      <c r="CL192" s="164"/>
      <c r="CP192" s="162"/>
      <c r="CQ192" s="162"/>
      <c r="CR192" s="163"/>
      <c r="CS192" s="164"/>
      <c r="CW192" s="162"/>
      <c r="CX192" s="162"/>
      <c r="CY192" s="163"/>
      <c r="CZ192" s="164"/>
      <c r="DD192" s="162"/>
      <c r="DE192" s="162"/>
      <c r="DF192" s="163"/>
      <c r="DG192" s="164"/>
      <c r="DK192" s="162"/>
      <c r="DL192" s="162"/>
      <c r="DM192" s="163"/>
      <c r="DN192" s="164"/>
      <c r="DR192" s="162"/>
      <c r="DS192" s="162"/>
      <c r="DT192" s="163"/>
      <c r="DU192" s="164"/>
      <c r="DY192" s="162"/>
      <c r="DZ192" s="162"/>
      <c r="EA192" s="163"/>
      <c r="EB192" s="164"/>
      <c r="EF192" s="162"/>
      <c r="EG192" s="162"/>
      <c r="EH192" s="163"/>
      <c r="EI192" s="164"/>
      <c r="EM192" s="162"/>
      <c r="EN192" s="162"/>
      <c r="EO192" s="163"/>
      <c r="EP192" s="164"/>
      <c r="ET192" s="162"/>
      <c r="EU192" s="162"/>
      <c r="EV192" s="163"/>
      <c r="EW192" s="164"/>
      <c r="FA192" s="162"/>
      <c r="FB192" s="162"/>
      <c r="FC192" s="163"/>
      <c r="FD192" s="164"/>
      <c r="FH192" s="162"/>
      <c r="FI192" s="162"/>
      <c r="FJ192" s="163"/>
      <c r="FK192" s="164"/>
      <c r="FO192" s="162"/>
      <c r="FP192" s="162"/>
      <c r="FQ192" s="163"/>
      <c r="FR192" s="164"/>
      <c r="FV192" s="162"/>
      <c r="FW192" s="162"/>
      <c r="FX192" s="163"/>
      <c r="FY192" s="164"/>
      <c r="GC192" s="162"/>
      <c r="GD192" s="162"/>
      <c r="GE192" s="163"/>
      <c r="GF192" s="164"/>
      <c r="GJ192" s="162"/>
      <c r="GK192" s="162"/>
      <c r="GL192" s="163"/>
      <c r="GM192" s="164"/>
      <c r="GQ192" s="162"/>
      <c r="GR192" s="162"/>
      <c r="GS192" s="163"/>
      <c r="GT192" s="164"/>
      <c r="GX192" s="162"/>
      <c r="GY192" s="162"/>
      <c r="GZ192" s="163"/>
      <c r="HA192" s="164"/>
      <c r="HE192" s="162"/>
      <c r="HF192" s="162"/>
      <c r="HG192" s="163"/>
      <c r="HH192" s="164"/>
      <c r="HL192" s="162"/>
      <c r="HM192" s="162"/>
      <c r="HN192" s="163"/>
      <c r="HO192" s="164"/>
      <c r="HS192" s="162"/>
      <c r="HT192" s="162"/>
      <c r="HU192" s="163"/>
      <c r="HV192" s="164"/>
    </row>
    <row r="193" spans="3:230" x14ac:dyDescent="0.2">
      <c r="C193" s="162"/>
      <c r="D193" s="162"/>
      <c r="E193" s="163"/>
      <c r="F193" s="164"/>
      <c r="J193" s="162"/>
      <c r="K193" s="162"/>
      <c r="L193" s="163"/>
      <c r="M193" s="164"/>
      <c r="Q193" s="162"/>
      <c r="R193" s="162"/>
      <c r="S193" s="163"/>
      <c r="T193" s="164"/>
      <c r="X193" s="162"/>
      <c r="Y193" s="162"/>
      <c r="Z193" s="163"/>
      <c r="AA193" s="164"/>
      <c r="AE193" s="162"/>
      <c r="AF193" s="162"/>
      <c r="AG193" s="163"/>
      <c r="AH193" s="164"/>
      <c r="AL193" s="162"/>
      <c r="AM193" s="162"/>
      <c r="AN193" s="163"/>
      <c r="AO193" s="164"/>
      <c r="AS193" s="162"/>
      <c r="AT193" s="162"/>
      <c r="AU193" s="163"/>
      <c r="AV193" s="164"/>
      <c r="AZ193" s="162"/>
      <c r="BA193" s="162"/>
      <c r="BB193" s="163"/>
      <c r="BC193" s="164"/>
      <c r="BG193" s="162"/>
      <c r="BH193" s="162"/>
      <c r="BI193" s="163"/>
      <c r="BJ193" s="164"/>
      <c r="BN193" s="162"/>
      <c r="BO193" s="162"/>
      <c r="BP193" s="163"/>
      <c r="BQ193" s="164"/>
      <c r="BU193" s="162"/>
      <c r="BV193" s="162"/>
      <c r="BW193" s="163"/>
      <c r="BX193" s="164"/>
      <c r="CB193" s="162"/>
      <c r="CC193" s="162"/>
      <c r="CD193" s="163"/>
      <c r="CE193" s="164"/>
      <c r="CI193" s="162"/>
      <c r="CJ193" s="162"/>
      <c r="CK193" s="163"/>
      <c r="CL193" s="164"/>
      <c r="CP193" s="162"/>
      <c r="CQ193" s="162"/>
      <c r="CR193" s="163"/>
      <c r="CS193" s="164"/>
      <c r="CW193" s="162"/>
      <c r="CX193" s="162"/>
      <c r="CY193" s="163"/>
      <c r="CZ193" s="164"/>
      <c r="DD193" s="162"/>
      <c r="DE193" s="162"/>
      <c r="DF193" s="163"/>
      <c r="DG193" s="164"/>
      <c r="DK193" s="162"/>
      <c r="DL193" s="162"/>
      <c r="DM193" s="163"/>
      <c r="DN193" s="164"/>
      <c r="DR193" s="162"/>
      <c r="DS193" s="162"/>
      <c r="DT193" s="163"/>
      <c r="DU193" s="164"/>
      <c r="DY193" s="162"/>
      <c r="DZ193" s="162"/>
      <c r="EA193" s="163"/>
      <c r="EB193" s="164"/>
      <c r="EF193" s="162"/>
      <c r="EG193" s="162"/>
      <c r="EH193" s="163"/>
      <c r="EI193" s="164"/>
      <c r="EM193" s="162"/>
      <c r="EN193" s="162"/>
      <c r="EO193" s="163"/>
      <c r="EP193" s="164"/>
      <c r="ET193" s="162"/>
      <c r="EU193" s="162"/>
      <c r="EV193" s="163"/>
      <c r="EW193" s="164"/>
      <c r="FA193" s="162"/>
      <c r="FB193" s="162"/>
      <c r="FC193" s="163"/>
      <c r="FD193" s="164"/>
      <c r="FH193" s="162"/>
      <c r="FI193" s="162"/>
      <c r="FJ193" s="163"/>
      <c r="FK193" s="164"/>
      <c r="FO193" s="162"/>
      <c r="FP193" s="162"/>
      <c r="FQ193" s="163"/>
      <c r="FR193" s="164"/>
      <c r="FV193" s="162"/>
      <c r="FW193" s="162"/>
      <c r="FX193" s="163"/>
      <c r="FY193" s="164"/>
      <c r="GC193" s="162"/>
      <c r="GD193" s="162"/>
      <c r="GE193" s="163"/>
      <c r="GF193" s="164"/>
      <c r="GJ193" s="162"/>
      <c r="GK193" s="162"/>
      <c r="GL193" s="163"/>
      <c r="GM193" s="164"/>
      <c r="GQ193" s="162"/>
      <c r="GR193" s="162"/>
      <c r="GS193" s="163"/>
      <c r="GT193" s="164"/>
      <c r="GX193" s="162"/>
      <c r="GY193" s="162"/>
      <c r="GZ193" s="163"/>
      <c r="HA193" s="164"/>
      <c r="HE193" s="162"/>
      <c r="HF193" s="162"/>
      <c r="HG193" s="163"/>
      <c r="HH193" s="164"/>
      <c r="HL193" s="162"/>
      <c r="HM193" s="162"/>
      <c r="HN193" s="163"/>
      <c r="HO193" s="164"/>
      <c r="HS193" s="162"/>
      <c r="HT193" s="162"/>
      <c r="HU193" s="163"/>
      <c r="HV193" s="164"/>
    </row>
    <row r="194" spans="3:230" x14ac:dyDescent="0.2">
      <c r="C194" s="162"/>
      <c r="D194" s="162"/>
      <c r="E194" s="163"/>
      <c r="F194" s="164"/>
      <c r="J194" s="162"/>
      <c r="K194" s="162"/>
      <c r="L194" s="163"/>
      <c r="M194" s="164"/>
      <c r="Q194" s="162"/>
      <c r="R194" s="162"/>
      <c r="S194" s="163"/>
      <c r="T194" s="164"/>
      <c r="X194" s="162"/>
      <c r="Y194" s="162"/>
      <c r="Z194" s="163"/>
      <c r="AA194" s="164"/>
      <c r="AE194" s="162"/>
      <c r="AF194" s="162"/>
      <c r="AG194" s="163"/>
      <c r="AH194" s="164"/>
      <c r="AL194" s="162"/>
      <c r="AM194" s="162"/>
      <c r="AN194" s="163"/>
      <c r="AO194" s="164"/>
      <c r="AS194" s="162"/>
      <c r="AT194" s="162"/>
      <c r="AU194" s="163"/>
      <c r="AV194" s="164"/>
      <c r="AZ194" s="162"/>
      <c r="BA194" s="162"/>
      <c r="BB194" s="163"/>
      <c r="BC194" s="164"/>
      <c r="BG194" s="162"/>
      <c r="BH194" s="162"/>
      <c r="BI194" s="163"/>
      <c r="BJ194" s="164"/>
      <c r="BN194" s="162"/>
      <c r="BO194" s="162"/>
      <c r="BP194" s="163"/>
      <c r="BQ194" s="164"/>
      <c r="BU194" s="162"/>
      <c r="BV194" s="162"/>
      <c r="BW194" s="163"/>
      <c r="BX194" s="164"/>
      <c r="CB194" s="162"/>
      <c r="CC194" s="162"/>
      <c r="CD194" s="163"/>
      <c r="CE194" s="164"/>
      <c r="CI194" s="162"/>
      <c r="CJ194" s="162"/>
      <c r="CK194" s="163"/>
      <c r="CL194" s="164"/>
      <c r="CP194" s="162"/>
      <c r="CQ194" s="162"/>
      <c r="CR194" s="163"/>
      <c r="CS194" s="164"/>
      <c r="CW194" s="162"/>
      <c r="CX194" s="162"/>
      <c r="CY194" s="163"/>
      <c r="CZ194" s="164"/>
      <c r="DD194" s="162"/>
      <c r="DE194" s="162"/>
      <c r="DF194" s="163"/>
      <c r="DG194" s="164"/>
      <c r="DK194" s="162"/>
      <c r="DL194" s="162"/>
      <c r="DM194" s="163"/>
      <c r="DN194" s="164"/>
      <c r="DR194" s="162"/>
      <c r="DS194" s="162"/>
      <c r="DT194" s="163"/>
      <c r="DU194" s="164"/>
      <c r="DY194" s="162"/>
      <c r="DZ194" s="162"/>
      <c r="EA194" s="163"/>
      <c r="EB194" s="164"/>
      <c r="EF194" s="162"/>
      <c r="EG194" s="162"/>
      <c r="EH194" s="163"/>
      <c r="EI194" s="164"/>
      <c r="EM194" s="162"/>
      <c r="EN194" s="162"/>
      <c r="EO194" s="163"/>
      <c r="EP194" s="164"/>
      <c r="ET194" s="162"/>
      <c r="EU194" s="162"/>
      <c r="EV194" s="163"/>
      <c r="EW194" s="164"/>
      <c r="FA194" s="162"/>
      <c r="FB194" s="162"/>
      <c r="FC194" s="163"/>
      <c r="FD194" s="164"/>
      <c r="FH194" s="162"/>
      <c r="FI194" s="162"/>
      <c r="FJ194" s="163"/>
      <c r="FK194" s="164"/>
      <c r="FO194" s="162"/>
      <c r="FP194" s="162"/>
      <c r="FQ194" s="163"/>
      <c r="FR194" s="164"/>
      <c r="FV194" s="162"/>
      <c r="FW194" s="162"/>
      <c r="FX194" s="163"/>
      <c r="FY194" s="164"/>
      <c r="GC194" s="162"/>
      <c r="GD194" s="162"/>
      <c r="GE194" s="163"/>
      <c r="GF194" s="164"/>
      <c r="GJ194" s="162"/>
      <c r="GK194" s="162"/>
      <c r="GL194" s="163"/>
      <c r="GM194" s="164"/>
      <c r="GQ194" s="162"/>
      <c r="GR194" s="162"/>
      <c r="GS194" s="163"/>
      <c r="GT194" s="164"/>
      <c r="GX194" s="162"/>
      <c r="GY194" s="162"/>
      <c r="GZ194" s="163"/>
      <c r="HA194" s="164"/>
      <c r="HE194" s="162"/>
      <c r="HF194" s="162"/>
      <c r="HG194" s="163"/>
      <c r="HH194" s="164"/>
      <c r="HL194" s="162"/>
      <c r="HM194" s="162"/>
      <c r="HN194" s="163"/>
      <c r="HO194" s="164"/>
      <c r="HS194" s="162"/>
      <c r="HT194" s="162"/>
      <c r="HU194" s="163"/>
      <c r="HV194" s="164"/>
    </row>
    <row r="195" spans="3:230" x14ac:dyDescent="0.2">
      <c r="C195" s="162"/>
      <c r="D195" s="162"/>
      <c r="E195" s="163"/>
      <c r="F195" s="164"/>
      <c r="J195" s="162"/>
      <c r="K195" s="162"/>
      <c r="L195" s="163"/>
      <c r="M195" s="164"/>
      <c r="Q195" s="162"/>
      <c r="R195" s="162"/>
      <c r="S195" s="163"/>
      <c r="T195" s="164"/>
      <c r="X195" s="162"/>
      <c r="Y195" s="162"/>
      <c r="Z195" s="163"/>
      <c r="AA195" s="164"/>
      <c r="AE195" s="162"/>
      <c r="AF195" s="162"/>
      <c r="AG195" s="163"/>
      <c r="AH195" s="164"/>
      <c r="AL195" s="162"/>
      <c r="AM195" s="162"/>
      <c r="AN195" s="163"/>
      <c r="AO195" s="164"/>
      <c r="AS195" s="162"/>
      <c r="AT195" s="162"/>
      <c r="AU195" s="163"/>
      <c r="AV195" s="164"/>
      <c r="AZ195" s="162"/>
      <c r="BA195" s="162"/>
      <c r="BB195" s="163"/>
      <c r="BC195" s="164"/>
      <c r="BG195" s="162"/>
      <c r="BH195" s="162"/>
      <c r="BI195" s="163"/>
      <c r="BJ195" s="164"/>
      <c r="BN195" s="162"/>
      <c r="BO195" s="162"/>
      <c r="BP195" s="163"/>
      <c r="BQ195" s="164"/>
      <c r="BU195" s="162"/>
      <c r="BV195" s="162"/>
      <c r="BW195" s="163"/>
      <c r="BX195" s="164"/>
      <c r="CB195" s="162"/>
      <c r="CC195" s="162"/>
      <c r="CD195" s="163"/>
      <c r="CE195" s="164"/>
      <c r="CI195" s="162"/>
      <c r="CJ195" s="162"/>
      <c r="CK195" s="163"/>
      <c r="CL195" s="164"/>
      <c r="CP195" s="162"/>
      <c r="CQ195" s="162"/>
      <c r="CR195" s="163"/>
      <c r="CS195" s="164"/>
      <c r="CW195" s="162"/>
      <c r="CX195" s="162"/>
      <c r="CY195" s="163"/>
      <c r="CZ195" s="164"/>
      <c r="DD195" s="162"/>
      <c r="DE195" s="162"/>
      <c r="DF195" s="163"/>
      <c r="DG195" s="164"/>
      <c r="DK195" s="162"/>
      <c r="DL195" s="162"/>
      <c r="DM195" s="163"/>
      <c r="DN195" s="164"/>
      <c r="DR195" s="162"/>
      <c r="DS195" s="162"/>
      <c r="DT195" s="163"/>
      <c r="DU195" s="164"/>
      <c r="DY195" s="162"/>
      <c r="DZ195" s="162"/>
      <c r="EA195" s="163"/>
      <c r="EB195" s="164"/>
      <c r="EF195" s="162"/>
      <c r="EG195" s="162"/>
      <c r="EH195" s="163"/>
      <c r="EI195" s="164"/>
      <c r="EM195" s="162"/>
      <c r="EN195" s="162"/>
      <c r="EO195" s="163"/>
      <c r="EP195" s="164"/>
      <c r="ET195" s="162"/>
      <c r="EU195" s="162"/>
      <c r="EV195" s="163"/>
      <c r="EW195" s="164"/>
      <c r="FA195" s="162"/>
      <c r="FB195" s="162"/>
      <c r="FC195" s="163"/>
      <c r="FD195" s="164"/>
      <c r="FH195" s="162"/>
      <c r="FI195" s="162"/>
      <c r="FJ195" s="163"/>
      <c r="FK195" s="164"/>
      <c r="FO195" s="162"/>
      <c r="FP195" s="162"/>
      <c r="FQ195" s="163"/>
      <c r="FR195" s="164"/>
      <c r="FV195" s="162"/>
      <c r="FW195" s="162"/>
      <c r="FX195" s="163"/>
      <c r="FY195" s="164"/>
      <c r="GC195" s="162"/>
      <c r="GD195" s="162"/>
      <c r="GE195" s="163"/>
      <c r="GF195" s="164"/>
      <c r="GJ195" s="162"/>
      <c r="GK195" s="162"/>
      <c r="GL195" s="163"/>
      <c r="GM195" s="164"/>
      <c r="GQ195" s="162"/>
      <c r="GR195" s="162"/>
      <c r="GS195" s="163"/>
      <c r="GT195" s="164"/>
      <c r="GX195" s="162"/>
      <c r="GY195" s="162"/>
      <c r="GZ195" s="163"/>
      <c r="HA195" s="164"/>
      <c r="HE195" s="162"/>
      <c r="HF195" s="162"/>
      <c r="HG195" s="163"/>
      <c r="HH195" s="164"/>
      <c r="HL195" s="162"/>
      <c r="HM195" s="162"/>
      <c r="HN195" s="163"/>
      <c r="HO195" s="164"/>
      <c r="HS195" s="162"/>
      <c r="HT195" s="162"/>
      <c r="HU195" s="163"/>
      <c r="HV195" s="164"/>
    </row>
    <row r="196" spans="3:230" x14ac:dyDescent="0.2">
      <c r="C196" s="162"/>
      <c r="D196" s="162"/>
      <c r="E196" s="163"/>
      <c r="F196" s="164"/>
      <c r="J196" s="162"/>
      <c r="K196" s="162"/>
      <c r="L196" s="163"/>
      <c r="M196" s="164"/>
      <c r="Q196" s="162"/>
      <c r="R196" s="162"/>
      <c r="S196" s="163"/>
      <c r="T196" s="164"/>
      <c r="X196" s="162"/>
      <c r="Y196" s="162"/>
      <c r="Z196" s="163"/>
      <c r="AA196" s="164"/>
      <c r="AE196" s="162"/>
      <c r="AF196" s="162"/>
      <c r="AG196" s="163"/>
      <c r="AH196" s="164"/>
      <c r="AL196" s="162"/>
      <c r="AM196" s="162"/>
      <c r="AN196" s="163"/>
      <c r="AO196" s="164"/>
      <c r="AS196" s="162"/>
      <c r="AT196" s="162"/>
      <c r="AU196" s="163"/>
      <c r="AV196" s="164"/>
      <c r="AZ196" s="162"/>
      <c r="BA196" s="162"/>
      <c r="BB196" s="163"/>
      <c r="BC196" s="164"/>
      <c r="BG196" s="162"/>
      <c r="BH196" s="162"/>
      <c r="BI196" s="163"/>
      <c r="BJ196" s="164"/>
      <c r="BN196" s="162"/>
      <c r="BO196" s="162"/>
      <c r="BP196" s="163"/>
      <c r="BQ196" s="164"/>
      <c r="BU196" s="162"/>
      <c r="BV196" s="162"/>
      <c r="BW196" s="163"/>
      <c r="BX196" s="164"/>
      <c r="CB196" s="162"/>
      <c r="CC196" s="162"/>
      <c r="CD196" s="163"/>
      <c r="CE196" s="164"/>
      <c r="CI196" s="162"/>
      <c r="CJ196" s="162"/>
      <c r="CK196" s="163"/>
      <c r="CL196" s="164"/>
      <c r="CP196" s="162"/>
      <c r="CQ196" s="162"/>
      <c r="CR196" s="163"/>
      <c r="CS196" s="164"/>
      <c r="CW196" s="162"/>
      <c r="CX196" s="162"/>
      <c r="CY196" s="163"/>
      <c r="CZ196" s="164"/>
      <c r="DD196" s="162"/>
      <c r="DE196" s="162"/>
      <c r="DF196" s="163"/>
      <c r="DG196" s="164"/>
      <c r="DK196" s="162"/>
      <c r="DL196" s="162"/>
      <c r="DM196" s="163"/>
      <c r="DN196" s="164"/>
      <c r="DR196" s="162"/>
      <c r="DS196" s="162"/>
      <c r="DT196" s="163"/>
      <c r="DU196" s="164"/>
      <c r="DY196" s="162"/>
      <c r="DZ196" s="162"/>
      <c r="EA196" s="163"/>
      <c r="EB196" s="164"/>
      <c r="EF196" s="162"/>
      <c r="EG196" s="162"/>
      <c r="EH196" s="163"/>
      <c r="EI196" s="164"/>
      <c r="EM196" s="162"/>
      <c r="EN196" s="162"/>
      <c r="EO196" s="163"/>
      <c r="EP196" s="164"/>
      <c r="ET196" s="162"/>
      <c r="EU196" s="162"/>
      <c r="EV196" s="163"/>
      <c r="EW196" s="164"/>
      <c r="FA196" s="162"/>
      <c r="FB196" s="162"/>
      <c r="FC196" s="163"/>
      <c r="FD196" s="164"/>
      <c r="FH196" s="162"/>
      <c r="FI196" s="162"/>
      <c r="FJ196" s="163"/>
      <c r="FK196" s="164"/>
      <c r="FO196" s="162"/>
      <c r="FP196" s="162"/>
      <c r="FQ196" s="163"/>
      <c r="FR196" s="164"/>
      <c r="FV196" s="162"/>
      <c r="FW196" s="162"/>
      <c r="FX196" s="163"/>
      <c r="FY196" s="164"/>
      <c r="GC196" s="162"/>
      <c r="GD196" s="162"/>
      <c r="GE196" s="163"/>
      <c r="GF196" s="164"/>
      <c r="GJ196" s="162"/>
      <c r="GK196" s="162"/>
      <c r="GL196" s="163"/>
      <c r="GM196" s="164"/>
      <c r="GQ196" s="162"/>
      <c r="GR196" s="162"/>
      <c r="GS196" s="163"/>
      <c r="GT196" s="164"/>
      <c r="GX196" s="162"/>
      <c r="GY196" s="162"/>
      <c r="GZ196" s="163"/>
      <c r="HA196" s="164"/>
      <c r="HE196" s="162"/>
      <c r="HF196" s="162"/>
      <c r="HG196" s="163"/>
      <c r="HH196" s="164"/>
      <c r="HL196" s="162"/>
      <c r="HM196" s="162"/>
      <c r="HN196" s="163"/>
      <c r="HO196" s="164"/>
      <c r="HS196" s="162"/>
      <c r="HT196" s="162"/>
      <c r="HU196" s="163"/>
      <c r="HV196" s="164"/>
    </row>
    <row r="197" spans="3:230" x14ac:dyDescent="0.2">
      <c r="C197" s="162"/>
      <c r="D197" s="162"/>
      <c r="E197" s="163"/>
      <c r="F197" s="164"/>
      <c r="J197" s="162"/>
      <c r="K197" s="162"/>
      <c r="L197" s="163"/>
      <c r="M197" s="164"/>
      <c r="Q197" s="162"/>
      <c r="R197" s="162"/>
      <c r="S197" s="163"/>
      <c r="T197" s="164"/>
      <c r="X197" s="162"/>
      <c r="Y197" s="162"/>
      <c r="Z197" s="163"/>
      <c r="AA197" s="164"/>
      <c r="AE197" s="162"/>
      <c r="AF197" s="162"/>
      <c r="AG197" s="163"/>
      <c r="AH197" s="164"/>
      <c r="AL197" s="162"/>
      <c r="AM197" s="162"/>
      <c r="AN197" s="163"/>
      <c r="AO197" s="164"/>
      <c r="AS197" s="162"/>
      <c r="AT197" s="162"/>
      <c r="AU197" s="163"/>
      <c r="AV197" s="164"/>
      <c r="AZ197" s="162"/>
      <c r="BA197" s="162"/>
      <c r="BB197" s="163"/>
      <c r="BC197" s="164"/>
      <c r="BG197" s="162"/>
      <c r="BH197" s="162"/>
      <c r="BI197" s="163"/>
      <c r="BJ197" s="164"/>
      <c r="BN197" s="162"/>
      <c r="BO197" s="162"/>
      <c r="BP197" s="163"/>
      <c r="BQ197" s="164"/>
      <c r="BU197" s="162"/>
      <c r="BV197" s="162"/>
      <c r="BW197" s="163"/>
      <c r="BX197" s="164"/>
      <c r="CB197" s="162"/>
      <c r="CC197" s="162"/>
      <c r="CD197" s="163"/>
      <c r="CE197" s="164"/>
      <c r="CI197" s="162"/>
      <c r="CJ197" s="162"/>
      <c r="CK197" s="163"/>
      <c r="CL197" s="164"/>
      <c r="CP197" s="162"/>
      <c r="CQ197" s="162"/>
      <c r="CR197" s="163"/>
      <c r="CS197" s="164"/>
      <c r="CW197" s="162"/>
      <c r="CX197" s="162"/>
      <c r="CY197" s="163"/>
      <c r="CZ197" s="164"/>
      <c r="DD197" s="162"/>
      <c r="DE197" s="162"/>
      <c r="DF197" s="163"/>
      <c r="DG197" s="164"/>
      <c r="DK197" s="162"/>
      <c r="DL197" s="162"/>
      <c r="DM197" s="163"/>
      <c r="DN197" s="164"/>
      <c r="DR197" s="162"/>
      <c r="DS197" s="162"/>
      <c r="DT197" s="163"/>
      <c r="DU197" s="164"/>
      <c r="DY197" s="162"/>
      <c r="DZ197" s="162"/>
      <c r="EA197" s="163"/>
      <c r="EB197" s="164"/>
      <c r="EF197" s="162"/>
      <c r="EG197" s="162"/>
      <c r="EH197" s="163"/>
      <c r="EI197" s="164"/>
      <c r="EM197" s="162"/>
      <c r="EN197" s="162"/>
      <c r="EO197" s="163"/>
      <c r="EP197" s="164"/>
      <c r="ET197" s="162"/>
      <c r="EU197" s="162"/>
      <c r="EV197" s="163"/>
      <c r="EW197" s="164"/>
      <c r="FA197" s="162"/>
      <c r="FB197" s="162"/>
      <c r="FC197" s="163"/>
      <c r="FD197" s="164"/>
      <c r="FH197" s="162"/>
      <c r="FI197" s="162"/>
      <c r="FJ197" s="163"/>
      <c r="FK197" s="164"/>
      <c r="FO197" s="162"/>
      <c r="FP197" s="162"/>
      <c r="FQ197" s="163"/>
      <c r="FR197" s="164"/>
      <c r="FV197" s="162"/>
      <c r="FW197" s="162"/>
      <c r="FX197" s="163"/>
      <c r="FY197" s="164"/>
      <c r="GC197" s="162"/>
      <c r="GD197" s="162"/>
      <c r="GE197" s="163"/>
      <c r="GF197" s="164"/>
      <c r="GJ197" s="162"/>
      <c r="GK197" s="162"/>
      <c r="GL197" s="163"/>
      <c r="GM197" s="164"/>
      <c r="GQ197" s="162"/>
      <c r="GR197" s="162"/>
      <c r="GS197" s="163"/>
      <c r="GT197" s="164"/>
      <c r="GX197" s="162"/>
      <c r="GY197" s="162"/>
      <c r="GZ197" s="163"/>
      <c r="HA197" s="164"/>
      <c r="HE197" s="162"/>
      <c r="HF197" s="162"/>
      <c r="HG197" s="163"/>
      <c r="HH197" s="164"/>
      <c r="HL197" s="162"/>
      <c r="HM197" s="162"/>
      <c r="HN197" s="163"/>
      <c r="HO197" s="164"/>
      <c r="HS197" s="162"/>
      <c r="HT197" s="162"/>
      <c r="HU197" s="163"/>
      <c r="HV197" s="164"/>
    </row>
    <row r="198" spans="3:230" x14ac:dyDescent="0.2">
      <c r="C198" s="162"/>
      <c r="D198" s="162"/>
      <c r="E198" s="163"/>
      <c r="F198" s="164"/>
      <c r="J198" s="162"/>
      <c r="K198" s="162"/>
      <c r="L198" s="163"/>
      <c r="M198" s="164"/>
      <c r="Q198" s="162"/>
      <c r="R198" s="162"/>
      <c r="S198" s="163"/>
      <c r="T198" s="164"/>
      <c r="X198" s="162"/>
      <c r="Y198" s="162"/>
      <c r="Z198" s="163"/>
      <c r="AA198" s="164"/>
      <c r="AE198" s="162"/>
      <c r="AF198" s="162"/>
      <c r="AG198" s="163"/>
      <c r="AH198" s="164"/>
      <c r="AL198" s="162"/>
      <c r="AM198" s="162"/>
      <c r="AN198" s="163"/>
      <c r="AO198" s="164"/>
      <c r="AS198" s="162"/>
      <c r="AT198" s="162"/>
      <c r="AU198" s="163"/>
      <c r="AV198" s="164"/>
      <c r="AZ198" s="162"/>
      <c r="BA198" s="162"/>
      <c r="BB198" s="163"/>
      <c r="BC198" s="164"/>
      <c r="BG198" s="162"/>
      <c r="BH198" s="162"/>
      <c r="BI198" s="163"/>
      <c r="BJ198" s="164"/>
      <c r="BN198" s="162"/>
      <c r="BO198" s="162"/>
      <c r="BP198" s="163"/>
      <c r="BQ198" s="164"/>
      <c r="BU198" s="162"/>
      <c r="BV198" s="162"/>
      <c r="BW198" s="163"/>
      <c r="BX198" s="164"/>
      <c r="CB198" s="162"/>
      <c r="CC198" s="162"/>
      <c r="CD198" s="163"/>
      <c r="CE198" s="164"/>
      <c r="CI198" s="162"/>
      <c r="CJ198" s="162"/>
      <c r="CK198" s="163"/>
      <c r="CL198" s="164"/>
      <c r="CP198" s="162"/>
      <c r="CQ198" s="162"/>
      <c r="CR198" s="163"/>
      <c r="CS198" s="164"/>
      <c r="CW198" s="162"/>
      <c r="CX198" s="162"/>
      <c r="CY198" s="163"/>
      <c r="CZ198" s="164"/>
      <c r="DD198" s="162"/>
      <c r="DE198" s="162"/>
      <c r="DF198" s="163"/>
      <c r="DG198" s="164"/>
      <c r="DK198" s="162"/>
      <c r="DL198" s="162"/>
      <c r="DM198" s="163"/>
      <c r="DN198" s="164"/>
      <c r="DR198" s="162"/>
      <c r="DS198" s="162"/>
      <c r="DT198" s="163"/>
      <c r="DU198" s="164"/>
      <c r="DY198" s="162"/>
      <c r="DZ198" s="162"/>
      <c r="EA198" s="163"/>
      <c r="EB198" s="164"/>
      <c r="EF198" s="162"/>
      <c r="EG198" s="162"/>
      <c r="EH198" s="163"/>
      <c r="EI198" s="164"/>
      <c r="EM198" s="162"/>
      <c r="EN198" s="162"/>
      <c r="EO198" s="163"/>
      <c r="EP198" s="164"/>
      <c r="ET198" s="162"/>
      <c r="EU198" s="162"/>
      <c r="EV198" s="163"/>
      <c r="EW198" s="164"/>
      <c r="FA198" s="162"/>
      <c r="FB198" s="162"/>
      <c r="FC198" s="163"/>
      <c r="FD198" s="164"/>
      <c r="FH198" s="162"/>
      <c r="FI198" s="162"/>
      <c r="FJ198" s="163"/>
      <c r="FK198" s="164"/>
      <c r="FO198" s="162"/>
      <c r="FP198" s="162"/>
      <c r="FQ198" s="163"/>
      <c r="FR198" s="164"/>
      <c r="FV198" s="162"/>
      <c r="FW198" s="162"/>
      <c r="FX198" s="163"/>
      <c r="FY198" s="164"/>
      <c r="GC198" s="162"/>
      <c r="GD198" s="162"/>
      <c r="GE198" s="163"/>
      <c r="GF198" s="164"/>
      <c r="GJ198" s="162"/>
      <c r="GK198" s="162"/>
      <c r="GL198" s="163"/>
      <c r="GM198" s="164"/>
      <c r="GQ198" s="162"/>
      <c r="GR198" s="162"/>
      <c r="GS198" s="163"/>
      <c r="GT198" s="164"/>
      <c r="GX198" s="162"/>
      <c r="GY198" s="162"/>
      <c r="GZ198" s="163"/>
      <c r="HA198" s="164"/>
      <c r="HE198" s="162"/>
      <c r="HF198" s="162"/>
      <c r="HG198" s="163"/>
      <c r="HH198" s="164"/>
      <c r="HL198" s="162"/>
      <c r="HM198" s="162"/>
      <c r="HN198" s="163"/>
      <c r="HO198" s="164"/>
      <c r="HS198" s="162"/>
      <c r="HT198" s="162"/>
      <c r="HU198" s="163"/>
      <c r="HV198" s="164"/>
    </row>
    <row r="199" spans="3:230" x14ac:dyDescent="0.2">
      <c r="C199" s="162"/>
      <c r="D199" s="162"/>
      <c r="E199" s="163"/>
      <c r="F199" s="164"/>
      <c r="J199" s="162"/>
      <c r="K199" s="162"/>
      <c r="L199" s="163"/>
      <c r="M199" s="164"/>
      <c r="Q199" s="162"/>
      <c r="R199" s="162"/>
      <c r="S199" s="163"/>
      <c r="T199" s="164"/>
      <c r="X199" s="162"/>
      <c r="Y199" s="162"/>
      <c r="Z199" s="163"/>
      <c r="AA199" s="164"/>
      <c r="AE199" s="162"/>
      <c r="AF199" s="162"/>
      <c r="AG199" s="163"/>
      <c r="AH199" s="164"/>
      <c r="AL199" s="162"/>
      <c r="AM199" s="162"/>
      <c r="AN199" s="163"/>
      <c r="AO199" s="164"/>
      <c r="AS199" s="162"/>
      <c r="AT199" s="162"/>
      <c r="AU199" s="163"/>
      <c r="AV199" s="164"/>
      <c r="AZ199" s="162"/>
      <c r="BA199" s="162"/>
      <c r="BB199" s="163"/>
      <c r="BC199" s="164"/>
      <c r="BG199" s="162"/>
      <c r="BH199" s="162"/>
      <c r="BI199" s="163"/>
      <c r="BJ199" s="164"/>
      <c r="BN199" s="162"/>
      <c r="BO199" s="162"/>
      <c r="BP199" s="163"/>
      <c r="BQ199" s="164"/>
      <c r="BU199" s="162"/>
      <c r="BV199" s="162"/>
      <c r="BW199" s="163"/>
      <c r="BX199" s="164"/>
      <c r="CB199" s="162"/>
      <c r="CC199" s="162"/>
      <c r="CD199" s="163"/>
      <c r="CE199" s="164"/>
      <c r="CI199" s="162"/>
      <c r="CJ199" s="162"/>
      <c r="CK199" s="163"/>
      <c r="CL199" s="164"/>
      <c r="CP199" s="162"/>
      <c r="CQ199" s="162"/>
      <c r="CR199" s="163"/>
      <c r="CS199" s="164"/>
      <c r="CW199" s="162"/>
      <c r="CX199" s="162"/>
      <c r="CY199" s="163"/>
      <c r="CZ199" s="164"/>
      <c r="DD199" s="162"/>
      <c r="DE199" s="162"/>
      <c r="DF199" s="163"/>
      <c r="DG199" s="164"/>
      <c r="DK199" s="162"/>
      <c r="DL199" s="162"/>
      <c r="DM199" s="163"/>
      <c r="DN199" s="164"/>
      <c r="DR199" s="162"/>
      <c r="DS199" s="162"/>
      <c r="DT199" s="163"/>
      <c r="DU199" s="164"/>
      <c r="DY199" s="162"/>
      <c r="DZ199" s="162"/>
      <c r="EA199" s="163"/>
      <c r="EB199" s="164"/>
      <c r="EF199" s="162"/>
      <c r="EG199" s="162"/>
      <c r="EH199" s="163"/>
      <c r="EI199" s="164"/>
      <c r="EM199" s="162"/>
      <c r="EN199" s="162"/>
      <c r="EO199" s="163"/>
      <c r="EP199" s="164"/>
      <c r="ET199" s="162"/>
      <c r="EU199" s="162"/>
      <c r="EV199" s="163"/>
      <c r="EW199" s="164"/>
      <c r="FA199" s="162"/>
      <c r="FB199" s="162"/>
      <c r="FC199" s="163"/>
      <c r="FD199" s="164"/>
      <c r="FH199" s="162"/>
      <c r="FI199" s="162"/>
      <c r="FJ199" s="163"/>
      <c r="FK199" s="164"/>
      <c r="FO199" s="162"/>
      <c r="FP199" s="162"/>
      <c r="FQ199" s="163"/>
      <c r="FR199" s="164"/>
      <c r="FV199" s="162"/>
      <c r="FW199" s="162"/>
      <c r="FX199" s="163"/>
      <c r="FY199" s="164"/>
      <c r="GC199" s="162"/>
      <c r="GD199" s="162"/>
      <c r="GE199" s="163"/>
      <c r="GF199" s="164"/>
      <c r="GJ199" s="162"/>
      <c r="GK199" s="162"/>
      <c r="GL199" s="163"/>
      <c r="GM199" s="164"/>
      <c r="GQ199" s="162"/>
      <c r="GR199" s="162"/>
      <c r="GS199" s="163"/>
      <c r="GT199" s="164"/>
      <c r="GX199" s="162"/>
      <c r="GY199" s="162"/>
      <c r="GZ199" s="163"/>
      <c r="HA199" s="164"/>
      <c r="HE199" s="162"/>
      <c r="HF199" s="162"/>
      <c r="HG199" s="163"/>
      <c r="HH199" s="164"/>
      <c r="HL199" s="162"/>
      <c r="HM199" s="162"/>
      <c r="HN199" s="163"/>
      <c r="HO199" s="164"/>
      <c r="HS199" s="162"/>
      <c r="HT199" s="162"/>
      <c r="HU199" s="163"/>
      <c r="HV199" s="164"/>
    </row>
    <row r="200" spans="3:230" x14ac:dyDescent="0.2">
      <c r="C200" s="162"/>
      <c r="D200" s="162"/>
      <c r="E200" s="163"/>
      <c r="F200" s="164"/>
      <c r="J200" s="162"/>
      <c r="K200" s="162"/>
      <c r="L200" s="163"/>
      <c r="M200" s="164"/>
      <c r="Q200" s="162"/>
      <c r="R200" s="162"/>
      <c r="S200" s="163"/>
      <c r="T200" s="164"/>
      <c r="X200" s="162"/>
      <c r="Y200" s="162"/>
      <c r="Z200" s="163"/>
      <c r="AA200" s="164"/>
      <c r="AE200" s="162"/>
      <c r="AF200" s="162"/>
      <c r="AG200" s="163"/>
      <c r="AH200" s="164"/>
      <c r="AL200" s="162"/>
      <c r="AM200" s="162"/>
      <c r="AN200" s="163"/>
      <c r="AO200" s="164"/>
      <c r="AS200" s="162"/>
      <c r="AT200" s="162"/>
      <c r="AU200" s="163"/>
      <c r="AV200" s="164"/>
      <c r="AZ200" s="162"/>
      <c r="BA200" s="162"/>
      <c r="BB200" s="163"/>
      <c r="BC200" s="164"/>
      <c r="BG200" s="162"/>
      <c r="BH200" s="162"/>
      <c r="BI200" s="163"/>
      <c r="BJ200" s="164"/>
      <c r="BN200" s="162"/>
      <c r="BO200" s="162"/>
      <c r="BP200" s="163"/>
      <c r="BQ200" s="164"/>
      <c r="BU200" s="162"/>
      <c r="BV200" s="162"/>
      <c r="BW200" s="163"/>
      <c r="BX200" s="164"/>
      <c r="CB200" s="162"/>
      <c r="CC200" s="162"/>
      <c r="CD200" s="163"/>
      <c r="CE200" s="164"/>
      <c r="CI200" s="162"/>
      <c r="CJ200" s="162"/>
      <c r="CK200" s="163"/>
      <c r="CL200" s="164"/>
      <c r="CP200" s="162"/>
      <c r="CQ200" s="162"/>
      <c r="CR200" s="163"/>
      <c r="CS200" s="164"/>
      <c r="CW200" s="162"/>
      <c r="CX200" s="162"/>
      <c r="CY200" s="163"/>
      <c r="CZ200" s="164"/>
      <c r="DD200" s="162"/>
      <c r="DE200" s="162"/>
      <c r="DF200" s="163"/>
      <c r="DG200" s="164"/>
      <c r="DK200" s="162"/>
      <c r="DL200" s="162"/>
      <c r="DM200" s="163"/>
      <c r="DN200" s="164"/>
      <c r="DR200" s="162"/>
      <c r="DS200" s="162"/>
      <c r="DT200" s="163"/>
      <c r="DU200" s="164"/>
      <c r="DY200" s="162"/>
      <c r="DZ200" s="162"/>
      <c r="EA200" s="163"/>
      <c r="EB200" s="164"/>
      <c r="EF200" s="162"/>
      <c r="EG200" s="162"/>
      <c r="EH200" s="163"/>
      <c r="EI200" s="164"/>
      <c r="EM200" s="162"/>
      <c r="EN200" s="162"/>
      <c r="EO200" s="163"/>
      <c r="EP200" s="164"/>
      <c r="ET200" s="162"/>
      <c r="EU200" s="162"/>
      <c r="EV200" s="163"/>
      <c r="EW200" s="164"/>
      <c r="FA200" s="162"/>
      <c r="FB200" s="162"/>
      <c r="FC200" s="163"/>
      <c r="FD200" s="164"/>
      <c r="FH200" s="162"/>
      <c r="FI200" s="162"/>
      <c r="FJ200" s="163"/>
      <c r="FK200" s="164"/>
      <c r="FO200" s="162"/>
      <c r="FP200" s="162"/>
      <c r="FQ200" s="163"/>
      <c r="FR200" s="164"/>
      <c r="FV200" s="162"/>
      <c r="FW200" s="162"/>
      <c r="FX200" s="163"/>
      <c r="FY200" s="164"/>
      <c r="GC200" s="162"/>
      <c r="GD200" s="162"/>
      <c r="GE200" s="163"/>
      <c r="GF200" s="164"/>
      <c r="GJ200" s="162"/>
      <c r="GK200" s="162"/>
      <c r="GL200" s="163"/>
      <c r="GM200" s="164"/>
      <c r="GQ200" s="162"/>
      <c r="GR200" s="162"/>
      <c r="GS200" s="163"/>
      <c r="GT200" s="164"/>
      <c r="GX200" s="162"/>
      <c r="GY200" s="162"/>
      <c r="GZ200" s="163"/>
      <c r="HA200" s="164"/>
      <c r="HE200" s="162"/>
      <c r="HF200" s="162"/>
      <c r="HG200" s="163"/>
      <c r="HH200" s="164"/>
      <c r="HL200" s="162"/>
      <c r="HM200" s="162"/>
      <c r="HN200" s="163"/>
      <c r="HO200" s="164"/>
      <c r="HS200" s="162"/>
      <c r="HT200" s="162"/>
      <c r="HU200" s="163"/>
      <c r="HV200" s="164"/>
    </row>
    <row r="201" spans="3:230" x14ac:dyDescent="0.2">
      <c r="C201" s="162"/>
      <c r="D201" s="162"/>
      <c r="E201" s="163"/>
      <c r="F201" s="164"/>
      <c r="J201" s="162"/>
      <c r="K201" s="162"/>
      <c r="L201" s="163"/>
      <c r="M201" s="164"/>
      <c r="Q201" s="162"/>
      <c r="R201" s="162"/>
      <c r="S201" s="163"/>
      <c r="T201" s="164"/>
      <c r="X201" s="162"/>
      <c r="Y201" s="162"/>
      <c r="Z201" s="163"/>
      <c r="AA201" s="164"/>
      <c r="AE201" s="162"/>
      <c r="AF201" s="162"/>
      <c r="AG201" s="163"/>
      <c r="AH201" s="164"/>
      <c r="AL201" s="162"/>
      <c r="AM201" s="162"/>
      <c r="AN201" s="163"/>
      <c r="AO201" s="164"/>
      <c r="AS201" s="162"/>
      <c r="AT201" s="162"/>
      <c r="AU201" s="163"/>
      <c r="AV201" s="164"/>
      <c r="AZ201" s="162"/>
      <c r="BA201" s="162"/>
      <c r="BB201" s="163"/>
      <c r="BC201" s="164"/>
      <c r="BG201" s="162"/>
      <c r="BH201" s="162"/>
      <c r="BI201" s="163"/>
      <c r="BJ201" s="164"/>
      <c r="BN201" s="162"/>
      <c r="BO201" s="162"/>
      <c r="BP201" s="163"/>
      <c r="BQ201" s="164"/>
      <c r="BU201" s="162"/>
      <c r="BV201" s="162"/>
      <c r="BW201" s="163"/>
      <c r="BX201" s="164"/>
      <c r="CB201" s="162"/>
      <c r="CC201" s="162"/>
      <c r="CD201" s="163"/>
      <c r="CE201" s="164"/>
      <c r="CI201" s="162"/>
      <c r="CJ201" s="162"/>
      <c r="CK201" s="163"/>
      <c r="CL201" s="164"/>
      <c r="CP201" s="162"/>
      <c r="CQ201" s="162"/>
      <c r="CR201" s="163"/>
      <c r="CS201" s="164"/>
      <c r="CW201" s="162"/>
      <c r="CX201" s="162"/>
      <c r="CY201" s="163"/>
      <c r="CZ201" s="164"/>
      <c r="DD201" s="162"/>
      <c r="DE201" s="162"/>
      <c r="DF201" s="163"/>
      <c r="DG201" s="164"/>
      <c r="DK201" s="162"/>
      <c r="DL201" s="162"/>
      <c r="DM201" s="163"/>
      <c r="DN201" s="164"/>
      <c r="DR201" s="162"/>
      <c r="DS201" s="162"/>
      <c r="DT201" s="163"/>
      <c r="DU201" s="164"/>
      <c r="DY201" s="162"/>
      <c r="DZ201" s="162"/>
      <c r="EA201" s="163"/>
      <c r="EB201" s="164"/>
      <c r="EF201" s="162"/>
      <c r="EG201" s="162"/>
      <c r="EH201" s="163"/>
      <c r="EI201" s="164"/>
      <c r="EM201" s="162"/>
      <c r="EN201" s="162"/>
      <c r="EO201" s="163"/>
      <c r="EP201" s="164"/>
      <c r="ET201" s="162"/>
      <c r="EU201" s="162"/>
      <c r="EV201" s="163"/>
      <c r="EW201" s="164"/>
      <c r="FA201" s="162"/>
      <c r="FB201" s="162"/>
      <c r="FC201" s="163"/>
      <c r="FD201" s="164"/>
      <c r="FH201" s="162"/>
      <c r="FI201" s="162"/>
      <c r="FJ201" s="163"/>
      <c r="FK201" s="164"/>
      <c r="FO201" s="162"/>
      <c r="FP201" s="162"/>
      <c r="FQ201" s="163"/>
      <c r="FR201" s="164"/>
      <c r="FV201" s="162"/>
      <c r="FW201" s="162"/>
      <c r="FX201" s="163"/>
      <c r="FY201" s="164"/>
      <c r="GC201" s="162"/>
      <c r="GD201" s="162"/>
      <c r="GE201" s="163"/>
      <c r="GF201" s="164"/>
      <c r="GJ201" s="162"/>
      <c r="GK201" s="162"/>
      <c r="GL201" s="163"/>
      <c r="GM201" s="164"/>
      <c r="GQ201" s="162"/>
      <c r="GR201" s="162"/>
      <c r="GS201" s="163"/>
      <c r="GT201" s="164"/>
      <c r="GX201" s="162"/>
      <c r="GY201" s="162"/>
      <c r="GZ201" s="163"/>
      <c r="HA201" s="164"/>
      <c r="HE201" s="162"/>
      <c r="HF201" s="162"/>
      <c r="HG201" s="163"/>
      <c r="HH201" s="164"/>
      <c r="HL201" s="162"/>
      <c r="HM201" s="162"/>
      <c r="HN201" s="163"/>
      <c r="HO201" s="164"/>
      <c r="HS201" s="162"/>
      <c r="HT201" s="162"/>
      <c r="HU201" s="163"/>
      <c r="HV201" s="164"/>
    </row>
    <row r="202" spans="3:230" x14ac:dyDescent="0.2">
      <c r="C202" s="162"/>
      <c r="D202" s="162"/>
      <c r="E202" s="163"/>
      <c r="F202" s="164"/>
      <c r="J202" s="162"/>
      <c r="K202" s="162"/>
      <c r="L202" s="163"/>
      <c r="M202" s="164"/>
      <c r="Q202" s="162"/>
      <c r="R202" s="162"/>
      <c r="S202" s="163"/>
      <c r="T202" s="164"/>
      <c r="X202" s="162"/>
      <c r="Y202" s="162"/>
      <c r="Z202" s="163"/>
      <c r="AA202" s="164"/>
      <c r="AE202" s="162"/>
      <c r="AF202" s="162"/>
      <c r="AG202" s="163"/>
      <c r="AH202" s="164"/>
      <c r="AL202" s="162"/>
      <c r="AM202" s="162"/>
      <c r="AN202" s="163"/>
      <c r="AO202" s="164"/>
      <c r="AS202" s="162"/>
      <c r="AT202" s="162"/>
      <c r="AU202" s="163"/>
      <c r="AV202" s="164"/>
      <c r="AZ202" s="162"/>
      <c r="BA202" s="162"/>
      <c r="BB202" s="163"/>
      <c r="BC202" s="164"/>
      <c r="BG202" s="162"/>
      <c r="BH202" s="162"/>
      <c r="BI202" s="163"/>
      <c r="BJ202" s="164"/>
      <c r="BN202" s="162"/>
      <c r="BO202" s="162"/>
      <c r="BP202" s="163"/>
      <c r="BQ202" s="164"/>
      <c r="BU202" s="162"/>
      <c r="BV202" s="162"/>
      <c r="BW202" s="163"/>
      <c r="BX202" s="164"/>
      <c r="CB202" s="162"/>
      <c r="CC202" s="162"/>
      <c r="CD202" s="163"/>
      <c r="CE202" s="164"/>
      <c r="CI202" s="162"/>
      <c r="CJ202" s="162"/>
      <c r="CK202" s="163"/>
      <c r="CL202" s="164"/>
      <c r="CP202" s="162"/>
      <c r="CQ202" s="162"/>
      <c r="CR202" s="163"/>
      <c r="CS202" s="164"/>
      <c r="CW202" s="162"/>
      <c r="CX202" s="162"/>
      <c r="CY202" s="163"/>
      <c r="CZ202" s="164"/>
      <c r="DD202" s="162"/>
      <c r="DE202" s="162"/>
      <c r="DF202" s="163"/>
      <c r="DG202" s="164"/>
      <c r="DK202" s="162"/>
      <c r="DL202" s="162"/>
      <c r="DM202" s="163"/>
      <c r="DN202" s="164"/>
      <c r="DR202" s="162"/>
      <c r="DS202" s="162"/>
      <c r="DT202" s="163"/>
      <c r="DU202" s="164"/>
      <c r="DY202" s="162"/>
      <c r="DZ202" s="162"/>
      <c r="EA202" s="163"/>
      <c r="EB202" s="164"/>
      <c r="EF202" s="162"/>
      <c r="EG202" s="162"/>
      <c r="EH202" s="163"/>
      <c r="EI202" s="164"/>
      <c r="EM202" s="162"/>
      <c r="EN202" s="162"/>
      <c r="EO202" s="163"/>
      <c r="EP202" s="164"/>
      <c r="ET202" s="162"/>
      <c r="EU202" s="162"/>
      <c r="EV202" s="163"/>
      <c r="EW202" s="164"/>
      <c r="FA202" s="162"/>
      <c r="FB202" s="162"/>
      <c r="FC202" s="163"/>
      <c r="FD202" s="164"/>
      <c r="FH202" s="162"/>
      <c r="FI202" s="162"/>
      <c r="FJ202" s="163"/>
      <c r="FK202" s="164"/>
      <c r="FO202" s="162"/>
      <c r="FP202" s="162"/>
      <c r="FQ202" s="163"/>
      <c r="FR202" s="164"/>
      <c r="FV202" s="162"/>
      <c r="FW202" s="162"/>
      <c r="FX202" s="163"/>
      <c r="FY202" s="164"/>
      <c r="GC202" s="162"/>
      <c r="GD202" s="162"/>
      <c r="GE202" s="163"/>
      <c r="GF202" s="164"/>
      <c r="GJ202" s="162"/>
      <c r="GK202" s="162"/>
      <c r="GL202" s="163"/>
      <c r="GM202" s="164"/>
      <c r="GQ202" s="162"/>
      <c r="GR202" s="162"/>
      <c r="GS202" s="163"/>
      <c r="GT202" s="164"/>
      <c r="GX202" s="162"/>
      <c r="GY202" s="162"/>
      <c r="GZ202" s="163"/>
      <c r="HA202" s="164"/>
      <c r="HE202" s="162"/>
      <c r="HF202" s="162"/>
      <c r="HG202" s="163"/>
      <c r="HH202" s="164"/>
      <c r="HL202" s="162"/>
      <c r="HM202" s="162"/>
      <c r="HN202" s="163"/>
      <c r="HO202" s="164"/>
      <c r="HS202" s="162"/>
      <c r="HT202" s="162"/>
      <c r="HU202" s="163"/>
      <c r="HV202" s="164"/>
    </row>
    <row r="203" spans="3:230" x14ac:dyDescent="0.2">
      <c r="C203" s="162"/>
      <c r="D203" s="162"/>
      <c r="E203" s="163"/>
      <c r="F203" s="164"/>
      <c r="J203" s="162"/>
      <c r="K203" s="162"/>
      <c r="L203" s="163"/>
      <c r="M203" s="164"/>
      <c r="Q203" s="162"/>
      <c r="R203" s="162"/>
      <c r="S203" s="163"/>
      <c r="T203" s="164"/>
      <c r="X203" s="162"/>
      <c r="Y203" s="162"/>
      <c r="Z203" s="163"/>
      <c r="AA203" s="164"/>
      <c r="AE203" s="162"/>
      <c r="AF203" s="162"/>
      <c r="AG203" s="163"/>
      <c r="AH203" s="164"/>
      <c r="AL203" s="162"/>
      <c r="AM203" s="162"/>
      <c r="AN203" s="163"/>
      <c r="AO203" s="164"/>
      <c r="AS203" s="162"/>
      <c r="AT203" s="162"/>
      <c r="AU203" s="163"/>
      <c r="AV203" s="164"/>
      <c r="AZ203" s="162"/>
      <c r="BA203" s="162"/>
      <c r="BB203" s="163"/>
      <c r="BC203" s="164"/>
      <c r="BG203" s="162"/>
      <c r="BH203" s="162"/>
      <c r="BI203" s="163"/>
      <c r="BJ203" s="164"/>
      <c r="BN203" s="162"/>
      <c r="BO203" s="162"/>
      <c r="BP203" s="163"/>
      <c r="BQ203" s="164"/>
      <c r="BU203" s="162"/>
      <c r="BV203" s="162"/>
      <c r="BW203" s="163"/>
      <c r="BX203" s="164"/>
      <c r="CB203" s="162"/>
      <c r="CC203" s="162"/>
      <c r="CD203" s="163"/>
      <c r="CE203" s="164"/>
      <c r="CI203" s="162"/>
      <c r="CJ203" s="162"/>
      <c r="CK203" s="163"/>
      <c r="CL203" s="164"/>
      <c r="CP203" s="162"/>
      <c r="CQ203" s="162"/>
      <c r="CR203" s="163"/>
      <c r="CS203" s="164"/>
      <c r="CW203" s="162"/>
      <c r="CX203" s="162"/>
      <c r="CY203" s="163"/>
      <c r="CZ203" s="164"/>
      <c r="DD203" s="162"/>
      <c r="DE203" s="162"/>
      <c r="DF203" s="163"/>
      <c r="DG203" s="164"/>
      <c r="DK203" s="162"/>
      <c r="DL203" s="162"/>
      <c r="DM203" s="163"/>
      <c r="DN203" s="164"/>
      <c r="DR203" s="162"/>
      <c r="DS203" s="162"/>
      <c r="DT203" s="163"/>
      <c r="DU203" s="164"/>
      <c r="DY203" s="162"/>
      <c r="DZ203" s="162"/>
      <c r="EA203" s="163"/>
      <c r="EB203" s="164"/>
      <c r="EF203" s="162"/>
      <c r="EG203" s="162"/>
      <c r="EH203" s="163"/>
      <c r="EI203" s="164"/>
      <c r="EM203" s="162"/>
      <c r="EN203" s="162"/>
      <c r="EO203" s="163"/>
      <c r="EP203" s="164"/>
      <c r="ET203" s="162"/>
      <c r="EU203" s="162"/>
      <c r="EV203" s="163"/>
      <c r="EW203" s="164"/>
      <c r="FA203" s="162"/>
      <c r="FB203" s="162"/>
      <c r="FC203" s="163"/>
      <c r="FD203" s="164"/>
      <c r="FH203" s="162"/>
      <c r="FI203" s="162"/>
      <c r="FJ203" s="163"/>
      <c r="FK203" s="164"/>
      <c r="FO203" s="162"/>
      <c r="FP203" s="162"/>
      <c r="FQ203" s="163"/>
      <c r="FR203" s="164"/>
      <c r="FV203" s="162"/>
      <c r="FW203" s="162"/>
      <c r="FX203" s="163"/>
      <c r="FY203" s="164"/>
      <c r="GC203" s="162"/>
      <c r="GD203" s="162"/>
      <c r="GE203" s="163"/>
      <c r="GF203" s="164"/>
      <c r="GJ203" s="162"/>
      <c r="GK203" s="162"/>
      <c r="GL203" s="163"/>
      <c r="GM203" s="164"/>
      <c r="GQ203" s="162"/>
      <c r="GR203" s="162"/>
      <c r="GS203" s="163"/>
      <c r="GT203" s="164"/>
      <c r="GX203" s="162"/>
      <c r="GY203" s="162"/>
      <c r="GZ203" s="163"/>
      <c r="HA203" s="164"/>
      <c r="HE203" s="162"/>
      <c r="HF203" s="162"/>
      <c r="HG203" s="163"/>
      <c r="HH203" s="164"/>
      <c r="HL203" s="162"/>
      <c r="HM203" s="162"/>
      <c r="HN203" s="163"/>
      <c r="HO203" s="164"/>
      <c r="HS203" s="162"/>
      <c r="HT203" s="162"/>
      <c r="HU203" s="163"/>
      <c r="HV203" s="164"/>
    </row>
    <row r="204" spans="3:230" x14ac:dyDescent="0.2">
      <c r="C204" s="162"/>
      <c r="D204" s="162"/>
      <c r="E204" s="163"/>
      <c r="F204" s="164"/>
      <c r="J204" s="162"/>
      <c r="K204" s="162"/>
      <c r="L204" s="163"/>
      <c r="M204" s="164"/>
      <c r="Q204" s="162"/>
      <c r="R204" s="162"/>
      <c r="S204" s="163"/>
      <c r="T204" s="164"/>
      <c r="X204" s="162"/>
      <c r="Y204" s="162"/>
      <c r="Z204" s="163"/>
      <c r="AA204" s="164"/>
      <c r="AE204" s="162"/>
      <c r="AF204" s="162"/>
      <c r="AG204" s="163"/>
      <c r="AH204" s="164"/>
      <c r="AL204" s="162"/>
      <c r="AM204" s="162"/>
      <c r="AN204" s="163"/>
      <c r="AO204" s="164"/>
      <c r="AS204" s="162"/>
      <c r="AT204" s="162"/>
      <c r="AU204" s="163"/>
      <c r="AV204" s="164"/>
      <c r="AZ204" s="162"/>
      <c r="BA204" s="162"/>
      <c r="BB204" s="163"/>
      <c r="BC204" s="164"/>
      <c r="BG204" s="162"/>
      <c r="BH204" s="162"/>
      <c r="BI204" s="163"/>
      <c r="BJ204" s="164"/>
      <c r="BN204" s="162"/>
      <c r="BO204" s="162"/>
      <c r="BP204" s="163"/>
      <c r="BQ204" s="164"/>
      <c r="BU204" s="162"/>
      <c r="BV204" s="162"/>
      <c r="BW204" s="163"/>
      <c r="BX204" s="164"/>
      <c r="CB204" s="162"/>
      <c r="CC204" s="162"/>
      <c r="CD204" s="163"/>
      <c r="CE204" s="164"/>
      <c r="CI204" s="162"/>
      <c r="CJ204" s="162"/>
      <c r="CK204" s="163"/>
      <c r="CL204" s="164"/>
      <c r="CP204" s="162"/>
      <c r="CQ204" s="162"/>
      <c r="CR204" s="163"/>
      <c r="CS204" s="164"/>
      <c r="CW204" s="162"/>
      <c r="CX204" s="162"/>
      <c r="CY204" s="163"/>
      <c r="CZ204" s="164"/>
      <c r="DD204" s="162"/>
      <c r="DE204" s="162"/>
      <c r="DF204" s="163"/>
      <c r="DG204" s="164"/>
      <c r="DK204" s="162"/>
      <c r="DL204" s="162"/>
      <c r="DM204" s="163"/>
      <c r="DN204" s="164"/>
      <c r="DR204" s="162"/>
      <c r="DS204" s="162"/>
      <c r="DT204" s="163"/>
      <c r="DU204" s="164"/>
      <c r="DY204" s="162"/>
      <c r="DZ204" s="162"/>
      <c r="EA204" s="163"/>
      <c r="EB204" s="164"/>
      <c r="EF204" s="162"/>
      <c r="EG204" s="162"/>
      <c r="EH204" s="163"/>
      <c r="EI204" s="164"/>
      <c r="EM204" s="162"/>
      <c r="EN204" s="162"/>
      <c r="EO204" s="163"/>
      <c r="EP204" s="164"/>
      <c r="ET204" s="162"/>
      <c r="EU204" s="162"/>
      <c r="EV204" s="163"/>
      <c r="EW204" s="164"/>
      <c r="FA204" s="162"/>
      <c r="FB204" s="162"/>
      <c r="FC204" s="163"/>
      <c r="FD204" s="164"/>
      <c r="FH204" s="162"/>
      <c r="FI204" s="162"/>
      <c r="FJ204" s="163"/>
      <c r="FK204" s="164"/>
      <c r="FO204" s="162"/>
      <c r="FP204" s="162"/>
      <c r="FQ204" s="163"/>
      <c r="FR204" s="164"/>
      <c r="FV204" s="162"/>
      <c r="FW204" s="162"/>
      <c r="FX204" s="163"/>
      <c r="FY204" s="164"/>
      <c r="GC204" s="162"/>
      <c r="GD204" s="162"/>
      <c r="GE204" s="163"/>
      <c r="GF204" s="164"/>
      <c r="GJ204" s="162"/>
      <c r="GK204" s="162"/>
      <c r="GL204" s="163"/>
      <c r="GM204" s="164"/>
      <c r="GQ204" s="162"/>
      <c r="GR204" s="162"/>
      <c r="GS204" s="163"/>
      <c r="GT204" s="164"/>
      <c r="GX204" s="162"/>
      <c r="GY204" s="162"/>
      <c r="GZ204" s="163"/>
      <c r="HA204" s="164"/>
      <c r="HE204" s="162"/>
      <c r="HF204" s="162"/>
      <c r="HG204" s="163"/>
      <c r="HH204" s="164"/>
      <c r="HL204" s="162"/>
      <c r="HM204" s="162"/>
      <c r="HN204" s="163"/>
      <c r="HO204" s="164"/>
      <c r="HS204" s="162"/>
      <c r="HT204" s="162"/>
      <c r="HU204" s="163"/>
      <c r="HV204" s="164"/>
    </row>
    <row r="205" spans="3:230" x14ac:dyDescent="0.2">
      <c r="C205" s="162"/>
      <c r="D205" s="162"/>
      <c r="E205" s="163"/>
      <c r="F205" s="164"/>
      <c r="J205" s="162"/>
      <c r="K205" s="162"/>
      <c r="L205" s="163"/>
      <c r="M205" s="164"/>
      <c r="Q205" s="162"/>
      <c r="R205" s="162"/>
      <c r="S205" s="163"/>
      <c r="T205" s="164"/>
      <c r="X205" s="162"/>
      <c r="Y205" s="162"/>
      <c r="Z205" s="163"/>
      <c r="AA205" s="164"/>
      <c r="AE205" s="162"/>
      <c r="AF205" s="162"/>
      <c r="AG205" s="163"/>
      <c r="AH205" s="164"/>
      <c r="AL205" s="162"/>
      <c r="AM205" s="162"/>
      <c r="AN205" s="163"/>
      <c r="AO205" s="164"/>
      <c r="AS205" s="162"/>
      <c r="AT205" s="162"/>
      <c r="AU205" s="163"/>
      <c r="AV205" s="164"/>
      <c r="AZ205" s="162"/>
      <c r="BA205" s="162"/>
      <c r="BB205" s="163"/>
      <c r="BC205" s="164"/>
      <c r="BG205" s="162"/>
      <c r="BH205" s="162"/>
      <c r="BI205" s="163"/>
      <c r="BJ205" s="164"/>
      <c r="BN205" s="162"/>
      <c r="BO205" s="162"/>
      <c r="BP205" s="163"/>
      <c r="BQ205" s="164"/>
      <c r="BU205" s="162"/>
      <c r="BV205" s="162"/>
      <c r="BW205" s="163"/>
      <c r="BX205" s="164"/>
      <c r="CB205" s="162"/>
      <c r="CC205" s="162"/>
      <c r="CD205" s="163"/>
      <c r="CE205" s="164"/>
      <c r="CI205" s="162"/>
      <c r="CJ205" s="162"/>
      <c r="CK205" s="163"/>
      <c r="CL205" s="164"/>
      <c r="CP205" s="162"/>
      <c r="CQ205" s="162"/>
      <c r="CR205" s="163"/>
      <c r="CS205" s="164"/>
      <c r="CW205" s="162"/>
      <c r="CX205" s="162"/>
      <c r="CY205" s="163"/>
      <c r="CZ205" s="164"/>
      <c r="DD205" s="162"/>
      <c r="DE205" s="162"/>
      <c r="DF205" s="163"/>
      <c r="DG205" s="164"/>
      <c r="DK205" s="162"/>
      <c r="DL205" s="162"/>
      <c r="DM205" s="163"/>
      <c r="DN205" s="164"/>
      <c r="DR205" s="162"/>
      <c r="DS205" s="162"/>
      <c r="DT205" s="163"/>
      <c r="DU205" s="164"/>
      <c r="DY205" s="162"/>
      <c r="DZ205" s="162"/>
      <c r="EA205" s="163"/>
      <c r="EB205" s="164"/>
      <c r="EF205" s="162"/>
      <c r="EG205" s="162"/>
      <c r="EH205" s="163"/>
      <c r="EI205" s="164"/>
      <c r="EM205" s="162"/>
      <c r="EN205" s="162"/>
      <c r="EO205" s="163"/>
      <c r="EP205" s="164"/>
      <c r="ET205" s="162"/>
      <c r="EU205" s="162"/>
      <c r="EV205" s="163"/>
      <c r="EW205" s="164"/>
      <c r="FA205" s="162"/>
      <c r="FB205" s="162"/>
      <c r="FC205" s="163"/>
      <c r="FD205" s="164"/>
      <c r="FH205" s="162"/>
      <c r="FI205" s="162"/>
      <c r="FJ205" s="163"/>
      <c r="FK205" s="164"/>
      <c r="FO205" s="162"/>
      <c r="FP205" s="162"/>
      <c r="FQ205" s="163"/>
      <c r="FR205" s="164"/>
      <c r="FV205" s="162"/>
      <c r="FW205" s="162"/>
      <c r="FX205" s="163"/>
      <c r="FY205" s="164"/>
      <c r="GC205" s="162"/>
      <c r="GD205" s="162"/>
      <c r="GE205" s="163"/>
      <c r="GF205" s="164"/>
      <c r="GJ205" s="162"/>
      <c r="GK205" s="162"/>
      <c r="GL205" s="163"/>
      <c r="GM205" s="164"/>
      <c r="GQ205" s="162"/>
      <c r="GR205" s="162"/>
      <c r="GS205" s="163"/>
      <c r="GT205" s="164"/>
      <c r="GX205" s="162"/>
      <c r="GY205" s="162"/>
      <c r="GZ205" s="163"/>
      <c r="HA205" s="164"/>
      <c r="HE205" s="162"/>
      <c r="HF205" s="162"/>
      <c r="HG205" s="163"/>
      <c r="HH205" s="164"/>
      <c r="HL205" s="162"/>
      <c r="HM205" s="162"/>
      <c r="HN205" s="163"/>
      <c r="HO205" s="164"/>
      <c r="HS205" s="162"/>
      <c r="HT205" s="162"/>
      <c r="HU205" s="163"/>
      <c r="HV205" s="164"/>
    </row>
    <row r="206" spans="3:230" x14ac:dyDescent="0.2">
      <c r="C206" s="162"/>
      <c r="D206" s="162"/>
      <c r="E206" s="163"/>
      <c r="F206" s="164"/>
      <c r="J206" s="162"/>
      <c r="K206" s="162"/>
      <c r="L206" s="163"/>
      <c r="M206" s="164"/>
      <c r="Q206" s="162"/>
      <c r="R206" s="162"/>
      <c r="S206" s="163"/>
      <c r="T206" s="164"/>
      <c r="X206" s="162"/>
      <c r="Y206" s="162"/>
      <c r="Z206" s="163"/>
      <c r="AA206" s="164"/>
      <c r="AE206" s="162"/>
      <c r="AF206" s="162"/>
      <c r="AG206" s="163"/>
      <c r="AH206" s="164"/>
      <c r="AL206" s="162"/>
      <c r="AM206" s="162"/>
      <c r="AN206" s="163"/>
      <c r="AO206" s="164"/>
      <c r="AS206" s="162"/>
      <c r="AT206" s="162"/>
      <c r="AU206" s="163"/>
      <c r="AV206" s="164"/>
      <c r="AZ206" s="162"/>
      <c r="BA206" s="162"/>
      <c r="BB206" s="163"/>
      <c r="BC206" s="164"/>
      <c r="BG206" s="162"/>
      <c r="BH206" s="162"/>
      <c r="BI206" s="163"/>
      <c r="BJ206" s="164"/>
      <c r="BN206" s="162"/>
      <c r="BO206" s="162"/>
      <c r="BP206" s="163"/>
      <c r="BQ206" s="164"/>
      <c r="BU206" s="162"/>
      <c r="BV206" s="162"/>
      <c r="BW206" s="163"/>
      <c r="BX206" s="164"/>
      <c r="CB206" s="162"/>
      <c r="CC206" s="162"/>
      <c r="CD206" s="163"/>
      <c r="CE206" s="164"/>
      <c r="CI206" s="162"/>
      <c r="CJ206" s="162"/>
      <c r="CK206" s="163"/>
      <c r="CL206" s="164"/>
      <c r="CP206" s="162"/>
      <c r="CQ206" s="162"/>
      <c r="CR206" s="163"/>
      <c r="CS206" s="164"/>
      <c r="CW206" s="162"/>
      <c r="CX206" s="162"/>
      <c r="CY206" s="163"/>
      <c r="CZ206" s="164"/>
      <c r="DD206" s="162"/>
      <c r="DE206" s="162"/>
      <c r="DF206" s="163"/>
      <c r="DG206" s="164"/>
      <c r="DK206" s="162"/>
      <c r="DL206" s="162"/>
      <c r="DM206" s="163"/>
      <c r="DN206" s="164"/>
      <c r="DR206" s="162"/>
      <c r="DS206" s="162"/>
      <c r="DT206" s="163"/>
      <c r="DU206" s="164"/>
      <c r="DY206" s="162"/>
      <c r="DZ206" s="162"/>
      <c r="EA206" s="163"/>
      <c r="EB206" s="164"/>
      <c r="EF206" s="162"/>
      <c r="EG206" s="162"/>
      <c r="EH206" s="163"/>
      <c r="EI206" s="164"/>
      <c r="EM206" s="162"/>
      <c r="EN206" s="162"/>
      <c r="EO206" s="163"/>
      <c r="EP206" s="164"/>
      <c r="ET206" s="162"/>
      <c r="EU206" s="162"/>
      <c r="EV206" s="163"/>
      <c r="EW206" s="164"/>
      <c r="FA206" s="162"/>
      <c r="FB206" s="162"/>
      <c r="FC206" s="163"/>
      <c r="FD206" s="164"/>
      <c r="FH206" s="162"/>
      <c r="FI206" s="162"/>
      <c r="FJ206" s="163"/>
      <c r="FK206" s="164"/>
      <c r="FO206" s="162"/>
      <c r="FP206" s="162"/>
      <c r="FQ206" s="163"/>
      <c r="FR206" s="164"/>
      <c r="FV206" s="162"/>
      <c r="FW206" s="162"/>
      <c r="FX206" s="163"/>
      <c r="FY206" s="164"/>
      <c r="GC206" s="162"/>
      <c r="GD206" s="162"/>
      <c r="GE206" s="163"/>
      <c r="GF206" s="164"/>
      <c r="GJ206" s="162"/>
      <c r="GK206" s="162"/>
      <c r="GL206" s="163"/>
      <c r="GM206" s="164"/>
      <c r="GQ206" s="162"/>
      <c r="GR206" s="162"/>
      <c r="GS206" s="163"/>
      <c r="GT206" s="164"/>
      <c r="GX206" s="162"/>
      <c r="GY206" s="162"/>
      <c r="GZ206" s="163"/>
      <c r="HA206" s="164"/>
      <c r="HE206" s="162"/>
      <c r="HF206" s="162"/>
      <c r="HG206" s="163"/>
      <c r="HH206" s="164"/>
      <c r="HL206" s="162"/>
      <c r="HM206" s="162"/>
      <c r="HN206" s="163"/>
      <c r="HO206" s="164"/>
      <c r="HS206" s="162"/>
      <c r="HT206" s="162"/>
      <c r="HU206" s="163"/>
      <c r="HV206" s="164"/>
    </row>
    <row r="207" spans="3:230" x14ac:dyDescent="0.2">
      <c r="C207" s="162"/>
      <c r="D207" s="162"/>
      <c r="E207" s="163"/>
      <c r="F207" s="164"/>
      <c r="J207" s="162"/>
      <c r="K207" s="162"/>
      <c r="L207" s="163"/>
      <c r="M207" s="164"/>
      <c r="Q207" s="162"/>
      <c r="R207" s="162"/>
      <c r="S207" s="163"/>
      <c r="T207" s="164"/>
      <c r="X207" s="162"/>
      <c r="Y207" s="162"/>
      <c r="Z207" s="163"/>
      <c r="AA207" s="164"/>
      <c r="AE207" s="162"/>
      <c r="AF207" s="162"/>
      <c r="AG207" s="163"/>
      <c r="AH207" s="164"/>
      <c r="AL207" s="162"/>
      <c r="AM207" s="162"/>
      <c r="AN207" s="163"/>
      <c r="AO207" s="164"/>
      <c r="AS207" s="162"/>
      <c r="AT207" s="162"/>
      <c r="AU207" s="163"/>
      <c r="AV207" s="164"/>
      <c r="AZ207" s="162"/>
      <c r="BA207" s="162"/>
      <c r="BB207" s="163"/>
      <c r="BC207" s="164"/>
      <c r="BG207" s="162"/>
      <c r="BH207" s="162"/>
      <c r="BI207" s="163"/>
      <c r="BJ207" s="164"/>
      <c r="BN207" s="162"/>
      <c r="BO207" s="162"/>
      <c r="BP207" s="163"/>
      <c r="BQ207" s="164"/>
      <c r="BU207" s="162"/>
      <c r="BV207" s="162"/>
      <c r="BW207" s="163"/>
      <c r="BX207" s="164"/>
      <c r="CB207" s="162"/>
      <c r="CC207" s="162"/>
      <c r="CD207" s="163"/>
      <c r="CE207" s="164"/>
      <c r="CI207" s="162"/>
      <c r="CJ207" s="162"/>
      <c r="CK207" s="163"/>
      <c r="CL207" s="164"/>
      <c r="CP207" s="162"/>
      <c r="CQ207" s="162"/>
      <c r="CR207" s="163"/>
      <c r="CS207" s="164"/>
      <c r="CW207" s="162"/>
      <c r="CX207" s="162"/>
      <c r="CY207" s="163"/>
      <c r="CZ207" s="164"/>
      <c r="DD207" s="162"/>
      <c r="DE207" s="162"/>
      <c r="DF207" s="163"/>
      <c r="DG207" s="164"/>
      <c r="DK207" s="162"/>
      <c r="DL207" s="162"/>
      <c r="DM207" s="163"/>
      <c r="DN207" s="164"/>
      <c r="DR207" s="162"/>
      <c r="DS207" s="162"/>
      <c r="DT207" s="163"/>
      <c r="DU207" s="164"/>
      <c r="DY207" s="162"/>
      <c r="DZ207" s="162"/>
      <c r="EA207" s="163"/>
      <c r="EB207" s="164"/>
      <c r="EF207" s="162"/>
      <c r="EG207" s="162"/>
      <c r="EH207" s="163"/>
      <c r="EI207" s="164"/>
      <c r="EM207" s="162"/>
      <c r="EN207" s="162"/>
      <c r="EO207" s="163"/>
      <c r="EP207" s="164"/>
      <c r="ET207" s="162"/>
      <c r="EU207" s="162"/>
      <c r="EV207" s="163"/>
      <c r="EW207" s="164"/>
      <c r="FA207" s="162"/>
      <c r="FB207" s="162"/>
      <c r="FC207" s="163"/>
      <c r="FD207" s="164"/>
      <c r="FH207" s="162"/>
      <c r="FI207" s="162"/>
      <c r="FJ207" s="163"/>
      <c r="FK207" s="164"/>
      <c r="FO207" s="162"/>
      <c r="FP207" s="162"/>
      <c r="FQ207" s="163"/>
      <c r="FR207" s="164"/>
      <c r="FV207" s="162"/>
      <c r="FW207" s="162"/>
      <c r="FX207" s="163"/>
      <c r="FY207" s="164"/>
      <c r="GC207" s="162"/>
      <c r="GD207" s="162"/>
      <c r="GE207" s="163"/>
      <c r="GF207" s="164"/>
      <c r="GJ207" s="162"/>
      <c r="GK207" s="162"/>
      <c r="GL207" s="163"/>
      <c r="GM207" s="164"/>
      <c r="GQ207" s="162"/>
      <c r="GR207" s="162"/>
      <c r="GS207" s="163"/>
      <c r="GT207" s="164"/>
      <c r="GX207" s="162"/>
      <c r="GY207" s="162"/>
      <c r="GZ207" s="163"/>
      <c r="HA207" s="164"/>
      <c r="HE207" s="162"/>
      <c r="HF207" s="162"/>
      <c r="HG207" s="163"/>
      <c r="HH207" s="164"/>
      <c r="HL207" s="162"/>
      <c r="HM207" s="162"/>
      <c r="HN207" s="163"/>
      <c r="HO207" s="164"/>
      <c r="HS207" s="162"/>
      <c r="HT207" s="162"/>
      <c r="HU207" s="163"/>
      <c r="HV207" s="164"/>
    </row>
    <row r="208" spans="3:230" x14ac:dyDescent="0.2">
      <c r="C208" s="162"/>
      <c r="D208" s="162"/>
      <c r="E208" s="163"/>
      <c r="F208" s="164"/>
      <c r="J208" s="162"/>
      <c r="K208" s="162"/>
      <c r="L208" s="163"/>
      <c r="M208" s="164"/>
      <c r="Q208" s="162"/>
      <c r="R208" s="162"/>
      <c r="S208" s="163"/>
      <c r="T208" s="164"/>
      <c r="X208" s="162"/>
      <c r="Y208" s="162"/>
      <c r="Z208" s="163"/>
      <c r="AA208" s="164"/>
      <c r="AE208" s="162"/>
      <c r="AF208" s="162"/>
      <c r="AG208" s="163"/>
      <c r="AH208" s="164"/>
      <c r="AL208" s="162"/>
      <c r="AM208" s="162"/>
      <c r="AN208" s="163"/>
      <c r="AO208" s="164"/>
      <c r="AS208" s="162"/>
      <c r="AT208" s="162"/>
      <c r="AU208" s="163"/>
      <c r="AV208" s="164"/>
      <c r="AZ208" s="162"/>
      <c r="BA208" s="162"/>
      <c r="BB208" s="163"/>
      <c r="BC208" s="164"/>
      <c r="BG208" s="162"/>
      <c r="BH208" s="162"/>
      <c r="BI208" s="163"/>
      <c r="BJ208" s="164"/>
      <c r="BN208" s="162"/>
      <c r="BO208" s="162"/>
      <c r="BP208" s="163"/>
      <c r="BQ208" s="164"/>
      <c r="BU208" s="162"/>
      <c r="BV208" s="162"/>
      <c r="BW208" s="163"/>
      <c r="BX208" s="164"/>
      <c r="CB208" s="162"/>
      <c r="CC208" s="162"/>
      <c r="CD208" s="163"/>
      <c r="CE208" s="164"/>
      <c r="CI208" s="162"/>
      <c r="CJ208" s="162"/>
      <c r="CK208" s="163"/>
      <c r="CL208" s="164"/>
      <c r="CP208" s="162"/>
      <c r="CQ208" s="162"/>
      <c r="CR208" s="163"/>
      <c r="CS208" s="164"/>
      <c r="CW208" s="162"/>
      <c r="CX208" s="162"/>
      <c r="CY208" s="163"/>
      <c r="CZ208" s="164"/>
      <c r="DD208" s="162"/>
      <c r="DE208" s="162"/>
      <c r="DF208" s="163"/>
      <c r="DG208" s="164"/>
      <c r="DK208" s="162"/>
      <c r="DL208" s="162"/>
      <c r="DM208" s="163"/>
      <c r="DN208" s="164"/>
      <c r="DR208" s="162"/>
      <c r="DS208" s="162"/>
      <c r="DT208" s="163"/>
      <c r="DU208" s="164"/>
      <c r="DY208" s="162"/>
      <c r="DZ208" s="162"/>
      <c r="EA208" s="163"/>
      <c r="EB208" s="164"/>
      <c r="EF208" s="162"/>
      <c r="EG208" s="162"/>
      <c r="EH208" s="163"/>
      <c r="EI208" s="164"/>
      <c r="EM208" s="162"/>
      <c r="EN208" s="162"/>
      <c r="EO208" s="163"/>
      <c r="EP208" s="164"/>
      <c r="ET208" s="162"/>
      <c r="EU208" s="162"/>
      <c r="EV208" s="163"/>
      <c r="EW208" s="164"/>
      <c r="FA208" s="162"/>
      <c r="FB208" s="162"/>
      <c r="FC208" s="163"/>
      <c r="FD208" s="164"/>
      <c r="FH208" s="162"/>
      <c r="FI208" s="162"/>
      <c r="FJ208" s="163"/>
      <c r="FK208" s="164"/>
      <c r="FO208" s="162"/>
      <c r="FP208" s="162"/>
      <c r="FQ208" s="163"/>
      <c r="FR208" s="164"/>
      <c r="FV208" s="162"/>
      <c r="FW208" s="162"/>
      <c r="FX208" s="163"/>
      <c r="FY208" s="164"/>
      <c r="GC208" s="162"/>
      <c r="GD208" s="162"/>
      <c r="GE208" s="163"/>
      <c r="GF208" s="164"/>
      <c r="GJ208" s="162"/>
      <c r="GK208" s="162"/>
      <c r="GL208" s="163"/>
      <c r="GM208" s="164"/>
      <c r="GQ208" s="162"/>
      <c r="GR208" s="162"/>
      <c r="GS208" s="163"/>
      <c r="GT208" s="164"/>
      <c r="GX208" s="162"/>
      <c r="GY208" s="162"/>
      <c r="GZ208" s="163"/>
      <c r="HA208" s="164"/>
      <c r="HE208" s="162"/>
      <c r="HF208" s="162"/>
      <c r="HG208" s="163"/>
      <c r="HH208" s="164"/>
      <c r="HL208" s="162"/>
      <c r="HM208" s="162"/>
      <c r="HN208" s="163"/>
      <c r="HO208" s="164"/>
      <c r="HS208" s="162"/>
      <c r="HT208" s="162"/>
      <c r="HU208" s="163"/>
      <c r="HV208" s="164"/>
    </row>
    <row r="209" spans="3:230" x14ac:dyDescent="0.2">
      <c r="C209" s="162"/>
      <c r="D209" s="162"/>
      <c r="E209" s="163"/>
      <c r="F209" s="164"/>
      <c r="J209" s="162"/>
      <c r="K209" s="162"/>
      <c r="L209" s="163"/>
      <c r="M209" s="164"/>
      <c r="Q209" s="162"/>
      <c r="R209" s="162"/>
      <c r="S209" s="163"/>
      <c r="T209" s="164"/>
      <c r="X209" s="162"/>
      <c r="Y209" s="162"/>
      <c r="Z209" s="163"/>
      <c r="AA209" s="164"/>
      <c r="AE209" s="162"/>
      <c r="AF209" s="162"/>
      <c r="AG209" s="163"/>
      <c r="AH209" s="164"/>
      <c r="AL209" s="162"/>
      <c r="AM209" s="162"/>
      <c r="AN209" s="163"/>
      <c r="AO209" s="164"/>
      <c r="AS209" s="162"/>
      <c r="AT209" s="162"/>
      <c r="AU209" s="163"/>
      <c r="AV209" s="164"/>
      <c r="AZ209" s="162"/>
      <c r="BA209" s="162"/>
      <c r="BB209" s="163"/>
      <c r="BC209" s="164"/>
      <c r="BG209" s="162"/>
      <c r="BH209" s="162"/>
      <c r="BI209" s="163"/>
      <c r="BJ209" s="164"/>
      <c r="BN209" s="162"/>
      <c r="BO209" s="162"/>
      <c r="BP209" s="163"/>
      <c r="BQ209" s="164"/>
      <c r="BU209" s="162"/>
      <c r="BV209" s="162"/>
      <c r="BW209" s="163"/>
      <c r="BX209" s="164"/>
      <c r="CB209" s="162"/>
      <c r="CC209" s="162"/>
      <c r="CD209" s="163"/>
      <c r="CE209" s="164"/>
      <c r="CI209" s="162"/>
      <c r="CJ209" s="162"/>
      <c r="CK209" s="163"/>
      <c r="CL209" s="164"/>
      <c r="CP209" s="162"/>
      <c r="CQ209" s="162"/>
      <c r="CR209" s="163"/>
      <c r="CS209" s="164"/>
      <c r="CW209" s="162"/>
      <c r="CX209" s="162"/>
      <c r="CY209" s="163"/>
      <c r="CZ209" s="164"/>
      <c r="DD209" s="162"/>
      <c r="DE209" s="162"/>
      <c r="DF209" s="163"/>
      <c r="DG209" s="164"/>
      <c r="DK209" s="162"/>
      <c r="DL209" s="162"/>
      <c r="DM209" s="163"/>
      <c r="DN209" s="164"/>
      <c r="DR209" s="162"/>
      <c r="DS209" s="162"/>
      <c r="DT209" s="163"/>
      <c r="DU209" s="164"/>
      <c r="DY209" s="162"/>
      <c r="DZ209" s="162"/>
      <c r="EA209" s="163"/>
      <c r="EB209" s="164"/>
      <c r="EF209" s="162"/>
      <c r="EG209" s="162"/>
      <c r="EH209" s="163"/>
      <c r="EI209" s="164"/>
      <c r="EM209" s="162"/>
      <c r="EN209" s="162"/>
      <c r="EO209" s="163"/>
      <c r="EP209" s="164"/>
      <c r="ET209" s="162"/>
      <c r="EU209" s="162"/>
      <c r="EV209" s="163"/>
      <c r="EW209" s="164"/>
      <c r="FA209" s="162"/>
      <c r="FB209" s="162"/>
      <c r="FC209" s="163"/>
      <c r="FD209" s="164"/>
      <c r="FH209" s="162"/>
      <c r="FI209" s="162"/>
      <c r="FJ209" s="163"/>
      <c r="FK209" s="164"/>
      <c r="FO209" s="162"/>
      <c r="FP209" s="162"/>
      <c r="FQ209" s="163"/>
      <c r="FR209" s="164"/>
      <c r="FV209" s="162"/>
      <c r="FW209" s="162"/>
      <c r="FX209" s="163"/>
      <c r="FY209" s="164"/>
      <c r="GC209" s="162"/>
      <c r="GD209" s="162"/>
      <c r="GE209" s="163"/>
      <c r="GF209" s="164"/>
      <c r="GJ209" s="162"/>
      <c r="GK209" s="162"/>
      <c r="GL209" s="163"/>
      <c r="GM209" s="164"/>
      <c r="GQ209" s="162"/>
      <c r="GR209" s="162"/>
      <c r="GS209" s="163"/>
      <c r="GT209" s="164"/>
      <c r="GX209" s="162"/>
      <c r="GY209" s="162"/>
      <c r="GZ209" s="163"/>
      <c r="HA209" s="164"/>
      <c r="HE209" s="162"/>
      <c r="HF209" s="162"/>
      <c r="HG209" s="163"/>
      <c r="HH209" s="164"/>
      <c r="HL209" s="162"/>
      <c r="HM209" s="162"/>
      <c r="HN209" s="163"/>
      <c r="HO209" s="164"/>
      <c r="HS209" s="162"/>
      <c r="HT209" s="162"/>
      <c r="HU209" s="163"/>
      <c r="HV209" s="164"/>
    </row>
    <row r="210" spans="3:230" x14ac:dyDescent="0.2">
      <c r="C210" s="162"/>
      <c r="D210" s="162"/>
      <c r="E210" s="163"/>
      <c r="F210" s="164"/>
      <c r="J210" s="162"/>
      <c r="K210" s="162"/>
      <c r="L210" s="163"/>
      <c r="M210" s="164"/>
      <c r="Q210" s="162"/>
      <c r="R210" s="162"/>
      <c r="S210" s="163"/>
      <c r="T210" s="164"/>
      <c r="X210" s="162"/>
      <c r="Y210" s="162"/>
      <c r="Z210" s="163"/>
      <c r="AA210" s="164"/>
      <c r="AE210" s="162"/>
      <c r="AF210" s="162"/>
      <c r="AG210" s="163"/>
      <c r="AH210" s="164"/>
      <c r="AL210" s="162"/>
      <c r="AM210" s="162"/>
      <c r="AN210" s="163"/>
      <c r="AO210" s="164"/>
      <c r="AS210" s="162"/>
      <c r="AT210" s="162"/>
      <c r="AU210" s="163"/>
      <c r="AV210" s="164"/>
      <c r="AZ210" s="162"/>
      <c r="BA210" s="162"/>
      <c r="BB210" s="163"/>
      <c r="BC210" s="164"/>
      <c r="BG210" s="162"/>
      <c r="BH210" s="162"/>
      <c r="BI210" s="163"/>
      <c r="BJ210" s="164"/>
      <c r="BN210" s="162"/>
      <c r="BO210" s="162"/>
      <c r="BP210" s="163"/>
      <c r="BQ210" s="164"/>
      <c r="BU210" s="162"/>
      <c r="BV210" s="162"/>
      <c r="BW210" s="163"/>
      <c r="BX210" s="164"/>
      <c r="CB210" s="162"/>
      <c r="CC210" s="162"/>
      <c r="CD210" s="163"/>
      <c r="CE210" s="164"/>
      <c r="CI210" s="162"/>
      <c r="CJ210" s="162"/>
      <c r="CK210" s="163"/>
      <c r="CL210" s="164"/>
      <c r="CP210" s="162"/>
      <c r="CQ210" s="162"/>
      <c r="CR210" s="163"/>
      <c r="CS210" s="164"/>
      <c r="CW210" s="162"/>
      <c r="CX210" s="162"/>
      <c r="CY210" s="163"/>
      <c r="CZ210" s="164"/>
      <c r="DD210" s="162"/>
      <c r="DE210" s="162"/>
      <c r="DF210" s="163"/>
      <c r="DG210" s="164"/>
      <c r="DK210" s="162"/>
      <c r="DL210" s="162"/>
      <c r="DM210" s="163"/>
      <c r="DN210" s="164"/>
      <c r="DR210" s="162"/>
      <c r="DS210" s="162"/>
      <c r="DT210" s="163"/>
      <c r="DU210" s="164"/>
      <c r="DY210" s="162"/>
      <c r="DZ210" s="162"/>
      <c r="EA210" s="163"/>
      <c r="EB210" s="164"/>
      <c r="EF210" s="162"/>
      <c r="EG210" s="162"/>
      <c r="EH210" s="163"/>
      <c r="EI210" s="164"/>
      <c r="EM210" s="162"/>
      <c r="EN210" s="162"/>
      <c r="EO210" s="163"/>
      <c r="EP210" s="164"/>
      <c r="ET210" s="162"/>
      <c r="EU210" s="162"/>
      <c r="EV210" s="163"/>
      <c r="EW210" s="164"/>
      <c r="FA210" s="162"/>
      <c r="FB210" s="162"/>
      <c r="FC210" s="163"/>
      <c r="FD210" s="164"/>
      <c r="FH210" s="162"/>
      <c r="FI210" s="162"/>
      <c r="FJ210" s="163"/>
      <c r="FK210" s="164"/>
      <c r="FO210" s="162"/>
      <c r="FP210" s="162"/>
      <c r="FQ210" s="163"/>
      <c r="FR210" s="164"/>
      <c r="FV210" s="162"/>
      <c r="FW210" s="162"/>
      <c r="FX210" s="163"/>
      <c r="FY210" s="164"/>
      <c r="GC210" s="162"/>
      <c r="GD210" s="162"/>
      <c r="GE210" s="163"/>
      <c r="GF210" s="164"/>
      <c r="GJ210" s="162"/>
      <c r="GK210" s="162"/>
      <c r="GL210" s="163"/>
      <c r="GM210" s="164"/>
      <c r="GQ210" s="162"/>
      <c r="GR210" s="162"/>
      <c r="GS210" s="163"/>
      <c r="GT210" s="164"/>
      <c r="GX210" s="162"/>
      <c r="GY210" s="162"/>
      <c r="GZ210" s="163"/>
      <c r="HA210" s="164"/>
      <c r="HE210" s="162"/>
      <c r="HF210" s="162"/>
      <c r="HG210" s="163"/>
      <c r="HH210" s="164"/>
      <c r="HL210" s="162"/>
      <c r="HM210" s="162"/>
      <c r="HN210" s="163"/>
      <c r="HO210" s="164"/>
      <c r="HS210" s="162"/>
      <c r="HT210" s="162"/>
      <c r="HU210" s="163"/>
      <c r="HV210" s="164"/>
    </row>
    <row r="211" spans="3:230" x14ac:dyDescent="0.2">
      <c r="C211" s="162"/>
      <c r="D211" s="162"/>
      <c r="E211" s="163"/>
      <c r="F211" s="164"/>
      <c r="J211" s="162"/>
      <c r="K211" s="162"/>
      <c r="L211" s="163"/>
      <c r="M211" s="164"/>
      <c r="Q211" s="162"/>
      <c r="R211" s="162"/>
      <c r="S211" s="163"/>
      <c r="T211" s="164"/>
      <c r="X211" s="162"/>
      <c r="Y211" s="162"/>
      <c r="Z211" s="163"/>
      <c r="AA211" s="164"/>
      <c r="AE211" s="162"/>
      <c r="AF211" s="162"/>
      <c r="AG211" s="163"/>
      <c r="AH211" s="164"/>
      <c r="AL211" s="162"/>
      <c r="AM211" s="162"/>
      <c r="AN211" s="163"/>
      <c r="AO211" s="164"/>
      <c r="AS211" s="162"/>
      <c r="AT211" s="162"/>
      <c r="AU211" s="163"/>
      <c r="AV211" s="164"/>
      <c r="AZ211" s="162"/>
      <c r="BA211" s="162"/>
      <c r="BB211" s="163"/>
      <c r="BC211" s="164"/>
      <c r="BG211" s="162"/>
      <c r="BH211" s="162"/>
      <c r="BI211" s="163"/>
      <c r="BJ211" s="164"/>
      <c r="BN211" s="162"/>
      <c r="BO211" s="162"/>
      <c r="BP211" s="163"/>
      <c r="BQ211" s="164"/>
      <c r="BU211" s="162"/>
      <c r="BV211" s="162"/>
      <c r="BW211" s="163"/>
      <c r="BX211" s="164"/>
      <c r="CB211" s="162"/>
      <c r="CC211" s="162"/>
      <c r="CD211" s="163"/>
      <c r="CE211" s="164"/>
      <c r="CI211" s="162"/>
      <c r="CJ211" s="162"/>
      <c r="CK211" s="163"/>
      <c r="CL211" s="164"/>
      <c r="CP211" s="162"/>
      <c r="CQ211" s="162"/>
      <c r="CR211" s="163"/>
      <c r="CS211" s="164"/>
      <c r="CW211" s="162"/>
      <c r="CX211" s="162"/>
      <c r="CY211" s="163"/>
      <c r="CZ211" s="164"/>
      <c r="DD211" s="162"/>
      <c r="DE211" s="162"/>
      <c r="DF211" s="163"/>
      <c r="DG211" s="164"/>
      <c r="DK211" s="162"/>
      <c r="DL211" s="162"/>
      <c r="DM211" s="163"/>
      <c r="DN211" s="164"/>
      <c r="DR211" s="162"/>
      <c r="DS211" s="162"/>
      <c r="DT211" s="163"/>
      <c r="DU211" s="164"/>
      <c r="DY211" s="162"/>
      <c r="DZ211" s="162"/>
      <c r="EA211" s="163"/>
      <c r="EB211" s="164"/>
      <c r="EF211" s="162"/>
      <c r="EG211" s="162"/>
      <c r="EH211" s="163"/>
      <c r="EI211" s="164"/>
      <c r="EM211" s="162"/>
      <c r="EN211" s="162"/>
      <c r="EO211" s="163"/>
      <c r="EP211" s="164"/>
      <c r="ET211" s="162"/>
      <c r="EU211" s="162"/>
      <c r="EV211" s="163"/>
      <c r="EW211" s="164"/>
      <c r="FA211" s="162"/>
      <c r="FB211" s="162"/>
      <c r="FC211" s="163"/>
      <c r="FD211" s="164"/>
      <c r="FH211" s="162"/>
      <c r="FI211" s="162"/>
      <c r="FJ211" s="163"/>
      <c r="FK211" s="164"/>
      <c r="FO211" s="162"/>
      <c r="FP211" s="162"/>
      <c r="FQ211" s="163"/>
      <c r="FR211" s="164"/>
      <c r="FV211" s="162"/>
      <c r="FW211" s="162"/>
      <c r="FX211" s="163"/>
      <c r="FY211" s="164"/>
      <c r="GC211" s="162"/>
      <c r="GD211" s="162"/>
      <c r="GE211" s="163"/>
      <c r="GF211" s="164"/>
      <c r="GJ211" s="162"/>
      <c r="GK211" s="162"/>
      <c r="GL211" s="163"/>
      <c r="GM211" s="164"/>
      <c r="GQ211" s="162"/>
      <c r="GR211" s="162"/>
      <c r="GS211" s="163"/>
      <c r="GT211" s="164"/>
      <c r="GX211" s="162"/>
      <c r="GY211" s="162"/>
      <c r="GZ211" s="163"/>
      <c r="HA211" s="164"/>
      <c r="HE211" s="162"/>
      <c r="HF211" s="162"/>
      <c r="HG211" s="163"/>
      <c r="HH211" s="164"/>
      <c r="HL211" s="162"/>
      <c r="HM211" s="162"/>
      <c r="HN211" s="163"/>
      <c r="HO211" s="164"/>
      <c r="HS211" s="162"/>
      <c r="HT211" s="162"/>
      <c r="HU211" s="163"/>
      <c r="HV211" s="164"/>
    </row>
    <row r="212" spans="3:230" x14ac:dyDescent="0.2">
      <c r="C212" s="162"/>
      <c r="D212" s="162"/>
      <c r="E212" s="163"/>
      <c r="F212" s="164"/>
      <c r="J212" s="162"/>
      <c r="K212" s="162"/>
      <c r="L212" s="163"/>
      <c r="M212" s="164"/>
      <c r="Q212" s="162"/>
      <c r="R212" s="162"/>
      <c r="S212" s="163"/>
      <c r="T212" s="164"/>
      <c r="X212" s="162"/>
      <c r="Y212" s="162"/>
      <c r="Z212" s="163"/>
      <c r="AA212" s="164"/>
      <c r="AE212" s="162"/>
      <c r="AF212" s="162"/>
      <c r="AG212" s="163"/>
      <c r="AH212" s="164"/>
      <c r="AL212" s="162"/>
      <c r="AM212" s="162"/>
      <c r="AN212" s="163"/>
      <c r="AO212" s="164"/>
      <c r="AS212" s="162"/>
      <c r="AT212" s="162"/>
      <c r="AU212" s="163"/>
      <c r="AV212" s="164"/>
      <c r="AZ212" s="162"/>
      <c r="BA212" s="162"/>
      <c r="BB212" s="163"/>
      <c r="BC212" s="164"/>
      <c r="BG212" s="162"/>
      <c r="BH212" s="162"/>
      <c r="BI212" s="163"/>
      <c r="BJ212" s="164"/>
      <c r="BN212" s="162"/>
      <c r="BO212" s="162"/>
      <c r="BP212" s="163"/>
      <c r="BQ212" s="164"/>
      <c r="BU212" s="162"/>
      <c r="BV212" s="162"/>
      <c r="BW212" s="163"/>
      <c r="BX212" s="164"/>
      <c r="CB212" s="162"/>
      <c r="CC212" s="162"/>
      <c r="CD212" s="163"/>
      <c r="CE212" s="164"/>
      <c r="CI212" s="162"/>
      <c r="CJ212" s="162"/>
      <c r="CK212" s="163"/>
      <c r="CL212" s="164"/>
      <c r="CP212" s="162"/>
      <c r="CQ212" s="162"/>
      <c r="CR212" s="163"/>
      <c r="CS212" s="164"/>
      <c r="CW212" s="162"/>
      <c r="CX212" s="162"/>
      <c r="CY212" s="163"/>
      <c r="CZ212" s="164"/>
      <c r="DD212" s="162"/>
      <c r="DE212" s="162"/>
      <c r="DF212" s="163"/>
      <c r="DG212" s="164"/>
      <c r="DK212" s="162"/>
      <c r="DL212" s="162"/>
      <c r="DM212" s="163"/>
      <c r="DN212" s="164"/>
      <c r="DR212" s="162"/>
      <c r="DS212" s="162"/>
      <c r="DT212" s="163"/>
      <c r="DU212" s="164"/>
      <c r="DY212" s="162"/>
      <c r="DZ212" s="162"/>
      <c r="EA212" s="163"/>
      <c r="EB212" s="164"/>
      <c r="EF212" s="162"/>
      <c r="EG212" s="162"/>
      <c r="EH212" s="163"/>
      <c r="EI212" s="164"/>
      <c r="EM212" s="162"/>
      <c r="EN212" s="162"/>
      <c r="EO212" s="163"/>
      <c r="EP212" s="164"/>
      <c r="ET212" s="162"/>
      <c r="EU212" s="162"/>
      <c r="EV212" s="163"/>
      <c r="EW212" s="164"/>
      <c r="FA212" s="162"/>
      <c r="FB212" s="162"/>
      <c r="FC212" s="163"/>
      <c r="FD212" s="164"/>
      <c r="FH212" s="162"/>
      <c r="FI212" s="162"/>
      <c r="FJ212" s="163"/>
      <c r="FK212" s="164"/>
      <c r="FO212" s="162"/>
      <c r="FP212" s="162"/>
      <c r="FQ212" s="163"/>
      <c r="FR212" s="164"/>
      <c r="FV212" s="162"/>
      <c r="FW212" s="162"/>
      <c r="FX212" s="163"/>
      <c r="FY212" s="164"/>
      <c r="GC212" s="162"/>
      <c r="GD212" s="162"/>
      <c r="GE212" s="163"/>
      <c r="GF212" s="164"/>
      <c r="GJ212" s="162"/>
      <c r="GK212" s="162"/>
      <c r="GL212" s="163"/>
      <c r="GM212" s="164"/>
      <c r="GQ212" s="162"/>
      <c r="GR212" s="162"/>
      <c r="GS212" s="163"/>
      <c r="GT212" s="164"/>
      <c r="GX212" s="162"/>
      <c r="GY212" s="162"/>
      <c r="GZ212" s="163"/>
      <c r="HA212" s="164"/>
      <c r="HE212" s="162"/>
      <c r="HF212" s="162"/>
      <c r="HG212" s="163"/>
      <c r="HH212" s="164"/>
      <c r="HL212" s="162"/>
      <c r="HM212" s="162"/>
      <c r="HN212" s="163"/>
      <c r="HO212" s="164"/>
      <c r="HS212" s="162"/>
      <c r="HT212" s="162"/>
      <c r="HU212" s="163"/>
      <c r="HV212" s="164"/>
    </row>
    <row r="213" spans="3:230" x14ac:dyDescent="0.2">
      <c r="C213" s="162"/>
      <c r="D213" s="162"/>
      <c r="E213" s="163"/>
      <c r="F213" s="164"/>
      <c r="J213" s="162"/>
      <c r="K213" s="162"/>
      <c r="L213" s="163"/>
      <c r="M213" s="164"/>
      <c r="Q213" s="162"/>
      <c r="R213" s="162"/>
      <c r="S213" s="163"/>
      <c r="T213" s="164"/>
      <c r="X213" s="162"/>
      <c r="Y213" s="162"/>
      <c r="Z213" s="163"/>
      <c r="AA213" s="164"/>
      <c r="AE213" s="162"/>
      <c r="AF213" s="162"/>
      <c r="AG213" s="163"/>
      <c r="AH213" s="164"/>
      <c r="AL213" s="162"/>
      <c r="AM213" s="162"/>
      <c r="AN213" s="163"/>
      <c r="AO213" s="164"/>
      <c r="AS213" s="162"/>
      <c r="AT213" s="162"/>
      <c r="AU213" s="163"/>
      <c r="AV213" s="164"/>
      <c r="AZ213" s="162"/>
      <c r="BA213" s="162"/>
      <c r="BB213" s="163"/>
      <c r="BC213" s="164"/>
      <c r="BG213" s="162"/>
      <c r="BH213" s="162"/>
      <c r="BI213" s="163"/>
      <c r="BJ213" s="164"/>
      <c r="BN213" s="162"/>
      <c r="BO213" s="162"/>
      <c r="BP213" s="163"/>
      <c r="BQ213" s="164"/>
      <c r="BU213" s="162"/>
      <c r="BV213" s="162"/>
      <c r="BW213" s="163"/>
      <c r="BX213" s="164"/>
      <c r="CB213" s="162"/>
      <c r="CC213" s="162"/>
      <c r="CD213" s="163"/>
      <c r="CE213" s="164"/>
      <c r="CI213" s="162"/>
      <c r="CJ213" s="162"/>
      <c r="CK213" s="163"/>
      <c r="CL213" s="164"/>
      <c r="CP213" s="162"/>
      <c r="CQ213" s="162"/>
      <c r="CR213" s="163"/>
      <c r="CS213" s="164"/>
      <c r="CW213" s="162"/>
      <c r="CX213" s="162"/>
      <c r="CY213" s="163"/>
      <c r="CZ213" s="164"/>
      <c r="DD213" s="162"/>
      <c r="DE213" s="162"/>
      <c r="DF213" s="163"/>
      <c r="DG213" s="164"/>
      <c r="DK213" s="162"/>
      <c r="DL213" s="162"/>
      <c r="DM213" s="163"/>
      <c r="DN213" s="164"/>
      <c r="DR213" s="162"/>
      <c r="DS213" s="162"/>
      <c r="DT213" s="163"/>
      <c r="DU213" s="164"/>
      <c r="DY213" s="162"/>
      <c r="DZ213" s="162"/>
      <c r="EA213" s="163"/>
      <c r="EB213" s="164"/>
      <c r="EF213" s="162"/>
      <c r="EG213" s="162"/>
      <c r="EH213" s="163"/>
      <c r="EI213" s="164"/>
      <c r="EM213" s="162"/>
      <c r="EN213" s="162"/>
      <c r="EO213" s="163"/>
      <c r="EP213" s="164"/>
      <c r="ET213" s="162"/>
      <c r="EU213" s="162"/>
      <c r="EV213" s="163"/>
      <c r="EW213" s="164"/>
      <c r="FA213" s="162"/>
      <c r="FB213" s="162"/>
      <c r="FC213" s="163"/>
      <c r="FD213" s="164"/>
      <c r="FH213" s="162"/>
      <c r="FI213" s="162"/>
      <c r="FJ213" s="163"/>
      <c r="FK213" s="164"/>
      <c r="FO213" s="162"/>
      <c r="FP213" s="162"/>
      <c r="FQ213" s="163"/>
      <c r="FR213" s="164"/>
      <c r="FV213" s="162"/>
      <c r="FW213" s="162"/>
      <c r="FX213" s="163"/>
      <c r="FY213" s="164"/>
      <c r="GC213" s="162"/>
      <c r="GD213" s="162"/>
      <c r="GE213" s="163"/>
      <c r="GF213" s="164"/>
      <c r="GJ213" s="162"/>
      <c r="GK213" s="162"/>
      <c r="GL213" s="163"/>
      <c r="GM213" s="164"/>
      <c r="GQ213" s="162"/>
      <c r="GR213" s="162"/>
      <c r="GS213" s="163"/>
      <c r="GT213" s="164"/>
      <c r="GX213" s="162"/>
      <c r="GY213" s="162"/>
      <c r="GZ213" s="163"/>
      <c r="HA213" s="164"/>
      <c r="HE213" s="162"/>
      <c r="HF213" s="162"/>
      <c r="HG213" s="163"/>
      <c r="HH213" s="164"/>
      <c r="HL213" s="162"/>
      <c r="HM213" s="162"/>
      <c r="HN213" s="163"/>
      <c r="HO213" s="164"/>
      <c r="HS213" s="162"/>
      <c r="HT213" s="162"/>
      <c r="HU213" s="163"/>
      <c r="HV213" s="164"/>
    </row>
    <row r="214" spans="3:230" x14ac:dyDescent="0.2">
      <c r="C214" s="162"/>
      <c r="D214" s="162"/>
      <c r="E214" s="163"/>
      <c r="F214" s="164"/>
      <c r="J214" s="162"/>
      <c r="K214" s="162"/>
      <c r="L214" s="163"/>
      <c r="M214" s="164"/>
      <c r="Q214" s="162"/>
      <c r="R214" s="162"/>
      <c r="S214" s="163"/>
      <c r="T214" s="164"/>
      <c r="X214" s="162"/>
      <c r="Y214" s="162"/>
      <c r="Z214" s="163"/>
      <c r="AA214" s="164"/>
      <c r="AE214" s="162"/>
      <c r="AF214" s="162"/>
      <c r="AG214" s="163"/>
      <c r="AH214" s="164"/>
      <c r="AL214" s="162"/>
      <c r="AM214" s="162"/>
      <c r="AN214" s="163"/>
      <c r="AO214" s="164"/>
      <c r="AS214" s="162"/>
      <c r="AT214" s="162"/>
      <c r="AU214" s="163"/>
      <c r="AV214" s="164"/>
      <c r="AZ214" s="162"/>
      <c r="BA214" s="162"/>
      <c r="BB214" s="163"/>
      <c r="BC214" s="164"/>
      <c r="BG214" s="162"/>
      <c r="BH214" s="162"/>
      <c r="BI214" s="163"/>
      <c r="BJ214" s="164"/>
      <c r="BN214" s="162"/>
      <c r="BO214" s="162"/>
      <c r="BP214" s="163"/>
      <c r="BQ214" s="164"/>
      <c r="BU214" s="162"/>
      <c r="BV214" s="162"/>
      <c r="BW214" s="163"/>
      <c r="BX214" s="164"/>
      <c r="CB214" s="162"/>
      <c r="CC214" s="162"/>
      <c r="CD214" s="163"/>
      <c r="CE214" s="164"/>
      <c r="CI214" s="162"/>
      <c r="CJ214" s="162"/>
      <c r="CK214" s="163"/>
      <c r="CL214" s="164"/>
      <c r="CP214" s="162"/>
      <c r="CQ214" s="162"/>
      <c r="CR214" s="163"/>
      <c r="CS214" s="164"/>
      <c r="CW214" s="162"/>
      <c r="CX214" s="162"/>
      <c r="CY214" s="163"/>
      <c r="CZ214" s="164"/>
      <c r="DD214" s="162"/>
      <c r="DE214" s="162"/>
      <c r="DF214" s="163"/>
      <c r="DG214" s="164"/>
      <c r="DK214" s="162"/>
      <c r="DL214" s="162"/>
      <c r="DM214" s="163"/>
      <c r="DN214" s="164"/>
      <c r="DR214" s="162"/>
      <c r="DS214" s="162"/>
      <c r="DT214" s="163"/>
      <c r="DU214" s="164"/>
      <c r="DY214" s="162"/>
      <c r="DZ214" s="162"/>
      <c r="EA214" s="163"/>
      <c r="EB214" s="164"/>
      <c r="EF214" s="162"/>
      <c r="EG214" s="162"/>
      <c r="EH214" s="163"/>
      <c r="EI214" s="164"/>
      <c r="EM214" s="162"/>
      <c r="EN214" s="162"/>
      <c r="EO214" s="163"/>
      <c r="EP214" s="164"/>
      <c r="ET214" s="162"/>
      <c r="EU214" s="162"/>
      <c r="EV214" s="163"/>
      <c r="EW214" s="164"/>
      <c r="FA214" s="162"/>
      <c r="FB214" s="162"/>
      <c r="FC214" s="163"/>
      <c r="FD214" s="164"/>
      <c r="FH214" s="162"/>
      <c r="FI214" s="162"/>
      <c r="FJ214" s="163"/>
      <c r="FK214" s="164"/>
      <c r="FO214" s="162"/>
      <c r="FP214" s="162"/>
      <c r="FQ214" s="163"/>
      <c r="FR214" s="164"/>
      <c r="FV214" s="162"/>
      <c r="FW214" s="162"/>
      <c r="FX214" s="163"/>
      <c r="FY214" s="164"/>
      <c r="GC214" s="162"/>
      <c r="GD214" s="162"/>
      <c r="GE214" s="163"/>
      <c r="GF214" s="164"/>
      <c r="GJ214" s="162"/>
      <c r="GK214" s="162"/>
      <c r="GL214" s="163"/>
      <c r="GM214" s="164"/>
      <c r="GQ214" s="162"/>
      <c r="GR214" s="162"/>
      <c r="GS214" s="163"/>
      <c r="GT214" s="164"/>
      <c r="GX214" s="162"/>
      <c r="GY214" s="162"/>
      <c r="GZ214" s="163"/>
      <c r="HA214" s="164"/>
      <c r="HE214" s="162"/>
      <c r="HF214" s="162"/>
      <c r="HG214" s="163"/>
      <c r="HH214" s="164"/>
      <c r="HL214" s="162"/>
      <c r="HM214" s="162"/>
      <c r="HN214" s="163"/>
      <c r="HO214" s="164"/>
      <c r="HS214" s="162"/>
      <c r="HT214" s="162"/>
      <c r="HU214" s="163"/>
      <c r="HV214" s="164"/>
    </row>
    <row r="215" spans="3:230" x14ac:dyDescent="0.2">
      <c r="C215" s="162"/>
      <c r="D215" s="162"/>
      <c r="E215" s="163"/>
      <c r="F215" s="164"/>
      <c r="J215" s="162"/>
      <c r="K215" s="162"/>
      <c r="L215" s="163"/>
      <c r="M215" s="164"/>
      <c r="Q215" s="162"/>
      <c r="R215" s="162"/>
      <c r="S215" s="163"/>
      <c r="T215" s="164"/>
      <c r="X215" s="162"/>
      <c r="Y215" s="162"/>
      <c r="Z215" s="163"/>
      <c r="AA215" s="164"/>
      <c r="AE215" s="162"/>
      <c r="AF215" s="162"/>
      <c r="AG215" s="163"/>
      <c r="AH215" s="164"/>
      <c r="AL215" s="162"/>
      <c r="AM215" s="162"/>
      <c r="AN215" s="163"/>
      <c r="AO215" s="164"/>
      <c r="AS215" s="162"/>
      <c r="AT215" s="162"/>
      <c r="AU215" s="163"/>
      <c r="AV215" s="164"/>
      <c r="AZ215" s="162"/>
      <c r="BA215" s="162"/>
      <c r="BB215" s="163"/>
      <c r="BC215" s="164"/>
      <c r="BG215" s="162"/>
      <c r="BH215" s="162"/>
      <c r="BI215" s="163"/>
      <c r="BJ215" s="164"/>
      <c r="BN215" s="162"/>
      <c r="BO215" s="162"/>
      <c r="BP215" s="163"/>
      <c r="BQ215" s="164"/>
      <c r="BU215" s="162"/>
      <c r="BV215" s="162"/>
      <c r="BW215" s="163"/>
      <c r="BX215" s="164"/>
      <c r="CB215" s="162"/>
      <c r="CC215" s="162"/>
      <c r="CD215" s="163"/>
      <c r="CE215" s="164"/>
      <c r="CI215" s="162"/>
      <c r="CJ215" s="162"/>
      <c r="CK215" s="163"/>
      <c r="CL215" s="164"/>
      <c r="CP215" s="162"/>
      <c r="CQ215" s="162"/>
      <c r="CR215" s="163"/>
      <c r="CS215" s="164"/>
      <c r="CW215" s="162"/>
      <c r="CX215" s="162"/>
      <c r="CY215" s="163"/>
      <c r="CZ215" s="164"/>
      <c r="DD215" s="162"/>
      <c r="DE215" s="162"/>
      <c r="DF215" s="163"/>
      <c r="DG215" s="164"/>
      <c r="DK215" s="162"/>
      <c r="DL215" s="162"/>
      <c r="DM215" s="163"/>
      <c r="DN215" s="164"/>
      <c r="DR215" s="162"/>
      <c r="DS215" s="162"/>
      <c r="DT215" s="163"/>
      <c r="DU215" s="164"/>
      <c r="DY215" s="162"/>
      <c r="DZ215" s="162"/>
      <c r="EA215" s="163"/>
      <c r="EB215" s="164"/>
      <c r="EF215" s="162"/>
      <c r="EG215" s="162"/>
      <c r="EH215" s="163"/>
      <c r="EI215" s="164"/>
      <c r="EM215" s="162"/>
      <c r="EN215" s="162"/>
      <c r="EO215" s="163"/>
      <c r="EP215" s="164"/>
      <c r="ET215" s="162"/>
      <c r="EU215" s="162"/>
      <c r="EV215" s="163"/>
      <c r="EW215" s="164"/>
      <c r="FA215" s="162"/>
      <c r="FB215" s="162"/>
      <c r="FC215" s="163"/>
      <c r="FD215" s="164"/>
      <c r="FH215" s="162"/>
      <c r="FI215" s="162"/>
      <c r="FJ215" s="163"/>
      <c r="FK215" s="164"/>
      <c r="FO215" s="162"/>
      <c r="FP215" s="162"/>
      <c r="FQ215" s="163"/>
      <c r="FR215" s="164"/>
      <c r="FV215" s="162"/>
      <c r="FW215" s="162"/>
      <c r="FX215" s="163"/>
      <c r="FY215" s="164"/>
      <c r="GC215" s="162"/>
      <c r="GD215" s="162"/>
      <c r="GE215" s="163"/>
      <c r="GF215" s="164"/>
      <c r="GJ215" s="162"/>
      <c r="GK215" s="162"/>
      <c r="GL215" s="163"/>
      <c r="GM215" s="164"/>
      <c r="GQ215" s="162"/>
      <c r="GR215" s="162"/>
      <c r="GS215" s="163"/>
      <c r="GT215" s="164"/>
      <c r="GX215" s="162"/>
      <c r="GY215" s="162"/>
      <c r="GZ215" s="163"/>
      <c r="HA215" s="164"/>
      <c r="HE215" s="162"/>
      <c r="HF215" s="162"/>
      <c r="HG215" s="163"/>
      <c r="HH215" s="164"/>
      <c r="HL215" s="162"/>
      <c r="HM215" s="162"/>
      <c r="HN215" s="163"/>
      <c r="HO215" s="164"/>
      <c r="HS215" s="162"/>
      <c r="HT215" s="162"/>
      <c r="HU215" s="163"/>
      <c r="HV215" s="164"/>
    </row>
    <row r="216" spans="3:230" x14ac:dyDescent="0.2">
      <c r="C216" s="162"/>
      <c r="D216" s="162"/>
      <c r="E216" s="163"/>
      <c r="F216" s="164"/>
      <c r="J216" s="162"/>
      <c r="K216" s="162"/>
      <c r="L216" s="163"/>
      <c r="M216" s="164"/>
      <c r="Q216" s="162"/>
      <c r="R216" s="162"/>
      <c r="S216" s="163"/>
      <c r="T216" s="164"/>
      <c r="X216" s="162"/>
      <c r="Y216" s="162"/>
      <c r="Z216" s="163"/>
      <c r="AA216" s="164"/>
      <c r="AE216" s="162"/>
      <c r="AF216" s="162"/>
      <c r="AG216" s="163"/>
      <c r="AH216" s="164"/>
      <c r="AL216" s="162"/>
      <c r="AM216" s="162"/>
      <c r="AN216" s="163"/>
      <c r="AO216" s="164"/>
      <c r="AS216" s="162"/>
      <c r="AT216" s="162"/>
      <c r="AU216" s="163"/>
      <c r="AV216" s="164"/>
      <c r="AZ216" s="162"/>
      <c r="BA216" s="162"/>
      <c r="BB216" s="163"/>
      <c r="BC216" s="164"/>
      <c r="BG216" s="162"/>
      <c r="BH216" s="162"/>
      <c r="BI216" s="163"/>
      <c r="BJ216" s="164"/>
      <c r="BN216" s="162"/>
      <c r="BO216" s="162"/>
      <c r="BP216" s="163"/>
      <c r="BQ216" s="164"/>
      <c r="BU216" s="162"/>
      <c r="BV216" s="162"/>
      <c r="BW216" s="163"/>
      <c r="BX216" s="164"/>
      <c r="CB216" s="162"/>
      <c r="CC216" s="162"/>
      <c r="CD216" s="163"/>
      <c r="CE216" s="164"/>
      <c r="CI216" s="162"/>
      <c r="CJ216" s="162"/>
      <c r="CK216" s="163"/>
      <c r="CL216" s="164"/>
      <c r="CP216" s="162"/>
      <c r="CQ216" s="162"/>
      <c r="CR216" s="163"/>
      <c r="CS216" s="164"/>
      <c r="CW216" s="162"/>
      <c r="CX216" s="162"/>
      <c r="CY216" s="163"/>
      <c r="CZ216" s="164"/>
      <c r="DD216" s="162"/>
      <c r="DE216" s="162"/>
      <c r="DF216" s="163"/>
      <c r="DG216" s="164"/>
      <c r="DK216" s="162"/>
      <c r="DL216" s="162"/>
      <c r="DM216" s="163"/>
      <c r="DN216" s="164"/>
      <c r="DR216" s="162"/>
      <c r="DS216" s="162"/>
      <c r="DT216" s="163"/>
      <c r="DU216" s="164"/>
      <c r="DY216" s="162"/>
      <c r="DZ216" s="162"/>
      <c r="EA216" s="163"/>
      <c r="EB216" s="164"/>
      <c r="EF216" s="162"/>
      <c r="EG216" s="162"/>
      <c r="EH216" s="163"/>
      <c r="EI216" s="164"/>
      <c r="EM216" s="162"/>
      <c r="EN216" s="162"/>
      <c r="EO216" s="163"/>
      <c r="EP216" s="164"/>
      <c r="ET216" s="162"/>
      <c r="EU216" s="162"/>
      <c r="EV216" s="163"/>
      <c r="EW216" s="164"/>
      <c r="FA216" s="162"/>
      <c r="FB216" s="162"/>
      <c r="FC216" s="163"/>
      <c r="FD216" s="164"/>
      <c r="FH216" s="162"/>
      <c r="FI216" s="162"/>
      <c r="FJ216" s="163"/>
      <c r="FK216" s="164"/>
      <c r="FO216" s="162"/>
      <c r="FP216" s="162"/>
      <c r="FQ216" s="163"/>
      <c r="FR216" s="164"/>
      <c r="FV216" s="162"/>
      <c r="FW216" s="162"/>
      <c r="FX216" s="163"/>
      <c r="FY216" s="164"/>
      <c r="GC216" s="162"/>
      <c r="GD216" s="162"/>
      <c r="GE216" s="163"/>
      <c r="GF216" s="164"/>
      <c r="GJ216" s="162"/>
      <c r="GK216" s="162"/>
      <c r="GL216" s="163"/>
      <c r="GM216" s="164"/>
      <c r="GQ216" s="162"/>
      <c r="GR216" s="162"/>
      <c r="GS216" s="163"/>
      <c r="GT216" s="164"/>
      <c r="GX216" s="162"/>
      <c r="GY216" s="162"/>
      <c r="GZ216" s="163"/>
      <c r="HA216" s="164"/>
      <c r="HE216" s="162"/>
      <c r="HF216" s="162"/>
      <c r="HG216" s="163"/>
      <c r="HH216" s="164"/>
      <c r="HL216" s="162"/>
      <c r="HM216" s="162"/>
      <c r="HN216" s="163"/>
      <c r="HO216" s="164"/>
      <c r="HS216" s="162"/>
      <c r="HT216" s="162"/>
      <c r="HU216" s="163"/>
      <c r="HV216" s="164"/>
    </row>
    <row r="217" spans="3:230" x14ac:dyDescent="0.2">
      <c r="C217" s="162"/>
      <c r="D217" s="162"/>
      <c r="E217" s="163"/>
      <c r="F217" s="164"/>
      <c r="J217" s="162"/>
      <c r="K217" s="162"/>
      <c r="L217" s="163"/>
      <c r="M217" s="164"/>
      <c r="Q217" s="162"/>
      <c r="R217" s="162"/>
      <c r="S217" s="163"/>
      <c r="T217" s="164"/>
      <c r="X217" s="162"/>
      <c r="Y217" s="162"/>
      <c r="Z217" s="163"/>
      <c r="AA217" s="164"/>
      <c r="AE217" s="162"/>
      <c r="AF217" s="162"/>
      <c r="AG217" s="163"/>
      <c r="AH217" s="164"/>
      <c r="AL217" s="162"/>
      <c r="AM217" s="162"/>
      <c r="AN217" s="163"/>
      <c r="AO217" s="164"/>
      <c r="AS217" s="162"/>
      <c r="AT217" s="162"/>
      <c r="AU217" s="163"/>
      <c r="AV217" s="164"/>
      <c r="AZ217" s="162"/>
      <c r="BA217" s="162"/>
      <c r="BB217" s="163"/>
      <c r="BC217" s="164"/>
      <c r="BG217" s="162"/>
      <c r="BH217" s="162"/>
      <c r="BI217" s="163"/>
      <c r="BJ217" s="164"/>
      <c r="BN217" s="162"/>
      <c r="BO217" s="162"/>
      <c r="BP217" s="163"/>
      <c r="BQ217" s="164"/>
      <c r="BU217" s="162"/>
      <c r="BV217" s="162"/>
      <c r="BW217" s="163"/>
      <c r="BX217" s="164"/>
      <c r="CB217" s="162"/>
      <c r="CC217" s="162"/>
      <c r="CD217" s="163"/>
      <c r="CE217" s="164"/>
      <c r="CI217" s="162"/>
      <c r="CJ217" s="162"/>
      <c r="CK217" s="163"/>
      <c r="CL217" s="164"/>
      <c r="CP217" s="162"/>
      <c r="CQ217" s="162"/>
      <c r="CR217" s="163"/>
      <c r="CS217" s="164"/>
      <c r="CW217" s="162"/>
      <c r="CX217" s="162"/>
      <c r="CY217" s="163"/>
      <c r="CZ217" s="164"/>
      <c r="DD217" s="162"/>
      <c r="DE217" s="162"/>
      <c r="DF217" s="163"/>
      <c r="DG217" s="164"/>
      <c r="DK217" s="162"/>
      <c r="DL217" s="162"/>
      <c r="DM217" s="163"/>
      <c r="DN217" s="164"/>
      <c r="DR217" s="162"/>
      <c r="DS217" s="162"/>
      <c r="DT217" s="163"/>
      <c r="DU217" s="164"/>
      <c r="DY217" s="162"/>
      <c r="DZ217" s="162"/>
      <c r="EA217" s="163"/>
      <c r="EB217" s="164"/>
      <c r="EF217" s="162"/>
      <c r="EG217" s="162"/>
      <c r="EH217" s="163"/>
      <c r="EI217" s="164"/>
      <c r="EM217" s="162"/>
      <c r="EN217" s="162"/>
      <c r="EO217" s="163"/>
      <c r="EP217" s="164"/>
      <c r="ET217" s="162"/>
      <c r="EU217" s="162"/>
      <c r="EV217" s="163"/>
      <c r="EW217" s="164"/>
      <c r="FA217" s="162"/>
      <c r="FB217" s="162"/>
      <c r="FC217" s="163"/>
      <c r="FD217" s="164"/>
      <c r="FH217" s="162"/>
      <c r="FI217" s="162"/>
      <c r="FJ217" s="163"/>
      <c r="FK217" s="164"/>
      <c r="FO217" s="162"/>
      <c r="FP217" s="162"/>
      <c r="FQ217" s="163"/>
      <c r="FR217" s="164"/>
      <c r="FV217" s="162"/>
      <c r="FW217" s="162"/>
      <c r="FX217" s="163"/>
      <c r="FY217" s="164"/>
      <c r="GC217" s="162"/>
      <c r="GD217" s="162"/>
      <c r="GE217" s="163"/>
      <c r="GF217" s="164"/>
      <c r="GJ217" s="162"/>
      <c r="GK217" s="162"/>
      <c r="GL217" s="163"/>
      <c r="GM217" s="164"/>
      <c r="GQ217" s="162"/>
      <c r="GR217" s="162"/>
      <c r="GS217" s="163"/>
      <c r="GT217" s="164"/>
      <c r="GX217" s="162"/>
      <c r="GY217" s="162"/>
      <c r="GZ217" s="163"/>
      <c r="HA217" s="164"/>
      <c r="HE217" s="162"/>
      <c r="HF217" s="162"/>
      <c r="HG217" s="163"/>
      <c r="HH217" s="164"/>
      <c r="HL217" s="162"/>
      <c r="HM217" s="162"/>
      <c r="HN217" s="163"/>
      <c r="HO217" s="164"/>
      <c r="HS217" s="162"/>
      <c r="HT217" s="162"/>
      <c r="HU217" s="163"/>
      <c r="HV217" s="164"/>
    </row>
    <row r="218" spans="3:230" x14ac:dyDescent="0.2">
      <c r="C218" s="162"/>
      <c r="D218" s="162"/>
      <c r="E218" s="163"/>
      <c r="F218" s="164"/>
      <c r="J218" s="162"/>
      <c r="K218" s="162"/>
      <c r="L218" s="163"/>
      <c r="M218" s="164"/>
      <c r="Q218" s="162"/>
      <c r="R218" s="162"/>
      <c r="S218" s="163"/>
      <c r="T218" s="164"/>
      <c r="X218" s="162"/>
      <c r="Y218" s="162"/>
      <c r="Z218" s="163"/>
      <c r="AA218" s="164"/>
      <c r="AE218" s="162"/>
      <c r="AF218" s="162"/>
      <c r="AG218" s="163"/>
      <c r="AH218" s="164"/>
      <c r="AL218" s="162"/>
      <c r="AM218" s="162"/>
      <c r="AN218" s="163"/>
      <c r="AO218" s="164"/>
      <c r="AS218" s="162"/>
      <c r="AT218" s="162"/>
      <c r="AU218" s="163"/>
      <c r="AV218" s="164"/>
      <c r="AZ218" s="162"/>
      <c r="BA218" s="162"/>
      <c r="BB218" s="163"/>
      <c r="BC218" s="164"/>
      <c r="BG218" s="162"/>
      <c r="BH218" s="162"/>
      <c r="BI218" s="163"/>
      <c r="BJ218" s="164"/>
      <c r="BN218" s="162"/>
      <c r="BO218" s="162"/>
      <c r="BP218" s="163"/>
      <c r="BQ218" s="164"/>
      <c r="BU218" s="162"/>
      <c r="BV218" s="162"/>
      <c r="BW218" s="163"/>
      <c r="BX218" s="164"/>
      <c r="CB218" s="162"/>
      <c r="CC218" s="162"/>
      <c r="CD218" s="163"/>
      <c r="CE218" s="164"/>
      <c r="CI218" s="162"/>
      <c r="CJ218" s="162"/>
      <c r="CK218" s="163"/>
      <c r="CL218" s="164"/>
      <c r="CP218" s="162"/>
      <c r="CQ218" s="162"/>
      <c r="CR218" s="163"/>
      <c r="CS218" s="164"/>
      <c r="CW218" s="162"/>
      <c r="CX218" s="162"/>
      <c r="CY218" s="163"/>
      <c r="CZ218" s="164"/>
      <c r="DD218" s="162"/>
      <c r="DE218" s="162"/>
      <c r="DF218" s="163"/>
      <c r="DG218" s="164"/>
      <c r="DK218" s="162"/>
      <c r="DL218" s="162"/>
      <c r="DM218" s="163"/>
      <c r="DN218" s="164"/>
      <c r="DR218" s="162"/>
      <c r="DS218" s="162"/>
      <c r="DT218" s="163"/>
      <c r="DU218" s="164"/>
      <c r="DY218" s="162"/>
      <c r="DZ218" s="162"/>
      <c r="EA218" s="163"/>
      <c r="EB218" s="164"/>
      <c r="EF218" s="162"/>
      <c r="EG218" s="162"/>
      <c r="EH218" s="163"/>
      <c r="EI218" s="164"/>
      <c r="EM218" s="162"/>
      <c r="EN218" s="162"/>
      <c r="EO218" s="163"/>
      <c r="EP218" s="164"/>
      <c r="ET218" s="162"/>
      <c r="EU218" s="162"/>
      <c r="EV218" s="163"/>
      <c r="EW218" s="164"/>
      <c r="FA218" s="162"/>
      <c r="FB218" s="162"/>
      <c r="FC218" s="163"/>
      <c r="FD218" s="164"/>
      <c r="FH218" s="162"/>
      <c r="FI218" s="162"/>
      <c r="FJ218" s="163"/>
      <c r="FK218" s="164"/>
      <c r="FO218" s="162"/>
      <c r="FP218" s="162"/>
      <c r="FQ218" s="163"/>
      <c r="FR218" s="164"/>
      <c r="FV218" s="162"/>
      <c r="FW218" s="162"/>
      <c r="FX218" s="163"/>
      <c r="FY218" s="164"/>
      <c r="GC218" s="162"/>
      <c r="GD218" s="162"/>
      <c r="GE218" s="163"/>
      <c r="GF218" s="164"/>
      <c r="GJ218" s="162"/>
      <c r="GK218" s="162"/>
      <c r="GL218" s="163"/>
      <c r="GM218" s="164"/>
      <c r="GQ218" s="162"/>
      <c r="GR218" s="162"/>
      <c r="GS218" s="163"/>
      <c r="GT218" s="164"/>
      <c r="GX218" s="162"/>
      <c r="GY218" s="162"/>
      <c r="GZ218" s="163"/>
      <c r="HA218" s="164"/>
      <c r="HE218" s="162"/>
      <c r="HF218" s="162"/>
      <c r="HG218" s="163"/>
      <c r="HH218" s="164"/>
      <c r="HL218" s="162"/>
      <c r="HM218" s="162"/>
      <c r="HN218" s="163"/>
      <c r="HO218" s="164"/>
      <c r="HS218" s="162"/>
      <c r="HT218" s="162"/>
      <c r="HU218" s="163"/>
      <c r="HV218" s="164"/>
    </row>
    <row r="219" spans="3:230" x14ac:dyDescent="0.2">
      <c r="C219" s="162"/>
      <c r="D219" s="162"/>
      <c r="E219" s="163"/>
      <c r="F219" s="164"/>
      <c r="J219" s="162"/>
      <c r="K219" s="162"/>
      <c r="L219" s="163"/>
      <c r="M219" s="164"/>
      <c r="Q219" s="162"/>
      <c r="R219" s="162"/>
      <c r="S219" s="163"/>
      <c r="T219" s="164"/>
      <c r="X219" s="162"/>
      <c r="Y219" s="162"/>
      <c r="Z219" s="163"/>
      <c r="AA219" s="164"/>
      <c r="AE219" s="162"/>
      <c r="AF219" s="162"/>
      <c r="AG219" s="163"/>
      <c r="AH219" s="164"/>
      <c r="AL219" s="162"/>
      <c r="AM219" s="162"/>
      <c r="AN219" s="163"/>
      <c r="AO219" s="164"/>
      <c r="AS219" s="162"/>
      <c r="AT219" s="162"/>
      <c r="AU219" s="163"/>
      <c r="AV219" s="164"/>
      <c r="AZ219" s="162"/>
      <c r="BA219" s="162"/>
      <c r="BB219" s="163"/>
      <c r="BC219" s="164"/>
      <c r="BG219" s="162"/>
      <c r="BH219" s="162"/>
      <c r="BI219" s="163"/>
      <c r="BJ219" s="164"/>
      <c r="BN219" s="162"/>
      <c r="BO219" s="162"/>
      <c r="BP219" s="163"/>
      <c r="BQ219" s="164"/>
      <c r="BU219" s="162"/>
      <c r="BV219" s="162"/>
      <c r="BW219" s="163"/>
      <c r="BX219" s="164"/>
      <c r="CB219" s="162"/>
      <c r="CC219" s="162"/>
      <c r="CD219" s="163"/>
      <c r="CE219" s="164"/>
      <c r="CI219" s="162"/>
      <c r="CJ219" s="162"/>
      <c r="CK219" s="163"/>
      <c r="CL219" s="164"/>
      <c r="CP219" s="162"/>
      <c r="CQ219" s="162"/>
      <c r="CR219" s="163"/>
      <c r="CS219" s="164"/>
      <c r="CW219" s="162"/>
      <c r="CX219" s="162"/>
      <c r="CY219" s="163"/>
      <c r="CZ219" s="164"/>
      <c r="DD219" s="162"/>
      <c r="DE219" s="162"/>
      <c r="DF219" s="163"/>
      <c r="DG219" s="164"/>
      <c r="DK219" s="162"/>
      <c r="DL219" s="162"/>
      <c r="DM219" s="163"/>
      <c r="DN219" s="164"/>
      <c r="DR219" s="162"/>
      <c r="DS219" s="162"/>
      <c r="DT219" s="163"/>
      <c r="DU219" s="164"/>
      <c r="DY219" s="162"/>
      <c r="DZ219" s="162"/>
      <c r="EA219" s="163"/>
      <c r="EB219" s="164"/>
      <c r="EF219" s="162"/>
      <c r="EG219" s="162"/>
      <c r="EH219" s="163"/>
      <c r="EI219" s="164"/>
      <c r="EM219" s="162"/>
      <c r="EN219" s="162"/>
      <c r="EO219" s="163"/>
      <c r="EP219" s="164"/>
      <c r="ET219" s="162"/>
      <c r="EU219" s="162"/>
      <c r="EV219" s="163"/>
      <c r="EW219" s="164"/>
      <c r="FA219" s="162"/>
      <c r="FB219" s="162"/>
      <c r="FC219" s="163"/>
      <c r="FD219" s="164"/>
      <c r="FH219" s="162"/>
      <c r="FI219" s="162"/>
      <c r="FJ219" s="163"/>
      <c r="FK219" s="164"/>
      <c r="FO219" s="162"/>
      <c r="FP219" s="162"/>
      <c r="FQ219" s="163"/>
      <c r="FR219" s="164"/>
      <c r="FV219" s="162"/>
      <c r="FW219" s="162"/>
      <c r="FX219" s="163"/>
      <c r="FY219" s="164"/>
      <c r="GC219" s="162"/>
      <c r="GD219" s="162"/>
      <c r="GE219" s="163"/>
      <c r="GF219" s="164"/>
      <c r="GJ219" s="162"/>
      <c r="GK219" s="162"/>
      <c r="GL219" s="163"/>
      <c r="GM219" s="164"/>
      <c r="GQ219" s="162"/>
      <c r="GR219" s="162"/>
      <c r="GS219" s="163"/>
      <c r="GT219" s="164"/>
      <c r="GX219" s="162"/>
      <c r="GY219" s="162"/>
      <c r="GZ219" s="163"/>
      <c r="HA219" s="164"/>
      <c r="HE219" s="162"/>
      <c r="HF219" s="162"/>
      <c r="HG219" s="163"/>
      <c r="HH219" s="164"/>
      <c r="HL219" s="162"/>
      <c r="HM219" s="162"/>
      <c r="HN219" s="163"/>
      <c r="HO219" s="164"/>
      <c r="HS219" s="162"/>
      <c r="HT219" s="162"/>
      <c r="HU219" s="163"/>
      <c r="HV219" s="164"/>
    </row>
    <row r="220" spans="3:230" x14ac:dyDescent="0.2">
      <c r="C220" s="162"/>
      <c r="D220" s="162"/>
      <c r="E220" s="163"/>
      <c r="F220" s="164"/>
      <c r="J220" s="162"/>
      <c r="K220" s="162"/>
      <c r="L220" s="163"/>
      <c r="M220" s="164"/>
      <c r="Q220" s="162"/>
      <c r="R220" s="162"/>
      <c r="S220" s="163"/>
      <c r="T220" s="164"/>
      <c r="X220" s="162"/>
      <c r="Y220" s="162"/>
      <c r="Z220" s="163"/>
      <c r="AA220" s="164"/>
      <c r="AE220" s="162"/>
      <c r="AF220" s="162"/>
      <c r="AG220" s="163"/>
      <c r="AH220" s="164"/>
      <c r="AL220" s="162"/>
      <c r="AM220" s="162"/>
      <c r="AN220" s="163"/>
      <c r="AO220" s="164"/>
      <c r="AS220" s="162"/>
      <c r="AT220" s="162"/>
      <c r="AU220" s="163"/>
      <c r="AV220" s="164"/>
      <c r="AZ220" s="162"/>
      <c r="BA220" s="162"/>
      <c r="BB220" s="163"/>
      <c r="BC220" s="164"/>
      <c r="BG220" s="162"/>
      <c r="BH220" s="162"/>
      <c r="BI220" s="163"/>
      <c r="BJ220" s="164"/>
      <c r="BN220" s="162"/>
      <c r="BO220" s="162"/>
      <c r="BP220" s="163"/>
      <c r="BQ220" s="164"/>
      <c r="BU220" s="162"/>
      <c r="BV220" s="162"/>
      <c r="BW220" s="163"/>
      <c r="BX220" s="164"/>
      <c r="CB220" s="162"/>
      <c r="CC220" s="162"/>
      <c r="CD220" s="163"/>
      <c r="CE220" s="164"/>
      <c r="CI220" s="162"/>
      <c r="CJ220" s="162"/>
      <c r="CK220" s="163"/>
      <c r="CL220" s="164"/>
      <c r="CP220" s="162"/>
      <c r="CQ220" s="162"/>
      <c r="CR220" s="163"/>
      <c r="CS220" s="164"/>
      <c r="CW220" s="162"/>
      <c r="CX220" s="162"/>
      <c r="CY220" s="163"/>
      <c r="CZ220" s="164"/>
      <c r="DD220" s="162"/>
      <c r="DE220" s="162"/>
      <c r="DF220" s="163"/>
      <c r="DG220" s="164"/>
      <c r="DK220" s="162"/>
      <c r="DL220" s="162"/>
      <c r="DM220" s="163"/>
      <c r="DN220" s="164"/>
      <c r="DR220" s="162"/>
      <c r="DS220" s="162"/>
      <c r="DT220" s="163"/>
      <c r="DU220" s="164"/>
      <c r="DY220" s="162"/>
      <c r="DZ220" s="162"/>
      <c r="EA220" s="163"/>
      <c r="EB220" s="164"/>
      <c r="EF220" s="162"/>
      <c r="EG220" s="162"/>
      <c r="EH220" s="163"/>
      <c r="EI220" s="164"/>
      <c r="EM220" s="162"/>
      <c r="EN220" s="162"/>
      <c r="EO220" s="163"/>
      <c r="EP220" s="164"/>
      <c r="ET220" s="162"/>
      <c r="EU220" s="162"/>
      <c r="EV220" s="163"/>
      <c r="EW220" s="164"/>
      <c r="FA220" s="162"/>
      <c r="FB220" s="162"/>
      <c r="FC220" s="163"/>
      <c r="FD220" s="164"/>
      <c r="FH220" s="162"/>
      <c r="FI220" s="162"/>
      <c r="FJ220" s="163"/>
      <c r="FK220" s="164"/>
      <c r="FO220" s="162"/>
      <c r="FP220" s="162"/>
      <c r="FQ220" s="163"/>
      <c r="FR220" s="164"/>
      <c r="FV220" s="162"/>
      <c r="FW220" s="162"/>
      <c r="FX220" s="163"/>
      <c r="FY220" s="164"/>
      <c r="GC220" s="162"/>
      <c r="GD220" s="162"/>
      <c r="GE220" s="163"/>
      <c r="GF220" s="164"/>
      <c r="GJ220" s="162"/>
      <c r="GK220" s="162"/>
      <c r="GL220" s="163"/>
      <c r="GM220" s="164"/>
      <c r="GQ220" s="162"/>
      <c r="GR220" s="162"/>
      <c r="GS220" s="163"/>
      <c r="GT220" s="164"/>
      <c r="GX220" s="162"/>
      <c r="GY220" s="162"/>
      <c r="GZ220" s="163"/>
      <c r="HA220" s="164"/>
      <c r="HE220" s="162"/>
      <c r="HF220" s="162"/>
      <c r="HG220" s="163"/>
      <c r="HH220" s="164"/>
      <c r="HL220" s="162"/>
      <c r="HM220" s="162"/>
      <c r="HN220" s="163"/>
      <c r="HO220" s="164"/>
      <c r="HS220" s="162"/>
      <c r="HT220" s="162"/>
      <c r="HU220" s="163"/>
      <c r="HV220" s="164"/>
    </row>
    <row r="221" spans="3:230" x14ac:dyDescent="0.2">
      <c r="C221" s="162"/>
      <c r="D221" s="162"/>
      <c r="E221" s="163"/>
      <c r="F221" s="164"/>
      <c r="J221" s="162"/>
      <c r="K221" s="162"/>
      <c r="L221" s="163"/>
      <c r="M221" s="164"/>
      <c r="Q221" s="162"/>
      <c r="R221" s="162"/>
      <c r="S221" s="163"/>
      <c r="T221" s="164"/>
      <c r="X221" s="162"/>
      <c r="Y221" s="162"/>
      <c r="Z221" s="163"/>
      <c r="AA221" s="164"/>
      <c r="AE221" s="162"/>
      <c r="AF221" s="162"/>
      <c r="AG221" s="163"/>
      <c r="AH221" s="164"/>
      <c r="AL221" s="162"/>
      <c r="AM221" s="162"/>
      <c r="AN221" s="163"/>
      <c r="AO221" s="164"/>
      <c r="AS221" s="162"/>
      <c r="AT221" s="162"/>
      <c r="AU221" s="163"/>
      <c r="AV221" s="164"/>
      <c r="AZ221" s="162"/>
      <c r="BA221" s="162"/>
      <c r="BB221" s="163"/>
      <c r="BC221" s="164"/>
      <c r="BG221" s="162"/>
      <c r="BH221" s="162"/>
      <c r="BI221" s="163"/>
      <c r="BJ221" s="164"/>
      <c r="BN221" s="162"/>
      <c r="BO221" s="162"/>
      <c r="BP221" s="163"/>
      <c r="BQ221" s="164"/>
      <c r="BU221" s="162"/>
      <c r="BV221" s="162"/>
      <c r="BW221" s="163"/>
      <c r="BX221" s="164"/>
      <c r="CB221" s="162"/>
      <c r="CC221" s="162"/>
      <c r="CD221" s="163"/>
      <c r="CE221" s="164"/>
      <c r="CI221" s="162"/>
      <c r="CJ221" s="162"/>
      <c r="CK221" s="163"/>
      <c r="CL221" s="164"/>
      <c r="CP221" s="162"/>
      <c r="CQ221" s="162"/>
      <c r="CR221" s="163"/>
      <c r="CS221" s="164"/>
      <c r="CW221" s="162"/>
      <c r="CX221" s="162"/>
      <c r="CY221" s="163"/>
      <c r="CZ221" s="164"/>
      <c r="DD221" s="162"/>
      <c r="DE221" s="162"/>
      <c r="DF221" s="163"/>
      <c r="DG221" s="164"/>
      <c r="DK221" s="162"/>
      <c r="DL221" s="162"/>
      <c r="DM221" s="163"/>
      <c r="DN221" s="164"/>
      <c r="DR221" s="162"/>
      <c r="DS221" s="162"/>
      <c r="DT221" s="163"/>
      <c r="DU221" s="164"/>
      <c r="DY221" s="162"/>
      <c r="DZ221" s="162"/>
      <c r="EA221" s="163"/>
      <c r="EB221" s="164"/>
      <c r="EF221" s="162"/>
      <c r="EG221" s="162"/>
      <c r="EH221" s="163"/>
      <c r="EI221" s="164"/>
      <c r="EM221" s="162"/>
      <c r="EN221" s="162"/>
      <c r="EO221" s="163"/>
      <c r="EP221" s="164"/>
      <c r="ET221" s="162"/>
      <c r="EU221" s="162"/>
      <c r="EV221" s="163"/>
      <c r="EW221" s="164"/>
      <c r="FA221" s="162"/>
      <c r="FB221" s="162"/>
      <c r="FC221" s="163"/>
      <c r="FD221" s="164"/>
      <c r="FH221" s="162"/>
      <c r="FI221" s="162"/>
      <c r="FJ221" s="163"/>
      <c r="FK221" s="164"/>
      <c r="FO221" s="162"/>
      <c r="FP221" s="162"/>
      <c r="FQ221" s="163"/>
      <c r="FR221" s="164"/>
      <c r="FV221" s="162"/>
      <c r="FW221" s="162"/>
      <c r="FX221" s="163"/>
      <c r="FY221" s="164"/>
      <c r="GC221" s="162"/>
      <c r="GD221" s="162"/>
      <c r="GE221" s="163"/>
      <c r="GF221" s="164"/>
      <c r="GJ221" s="162"/>
      <c r="GK221" s="162"/>
      <c r="GL221" s="163"/>
      <c r="GM221" s="164"/>
      <c r="GQ221" s="162"/>
      <c r="GR221" s="162"/>
      <c r="GS221" s="163"/>
      <c r="GT221" s="164"/>
      <c r="GX221" s="162"/>
      <c r="GY221" s="162"/>
      <c r="GZ221" s="163"/>
      <c r="HA221" s="164"/>
      <c r="HE221" s="162"/>
      <c r="HF221" s="162"/>
      <c r="HG221" s="163"/>
      <c r="HH221" s="164"/>
      <c r="HL221" s="162"/>
      <c r="HM221" s="162"/>
      <c r="HN221" s="163"/>
      <c r="HO221" s="164"/>
      <c r="HS221" s="162"/>
      <c r="HT221" s="162"/>
      <c r="HU221" s="163"/>
      <c r="HV221" s="164"/>
    </row>
    <row r="222" spans="3:230" x14ac:dyDescent="0.2">
      <c r="C222" s="162"/>
      <c r="D222" s="162"/>
      <c r="E222" s="163"/>
      <c r="F222" s="164"/>
      <c r="J222" s="162"/>
      <c r="K222" s="162"/>
      <c r="L222" s="163"/>
      <c r="M222" s="164"/>
      <c r="Q222" s="162"/>
      <c r="R222" s="162"/>
      <c r="S222" s="163"/>
      <c r="T222" s="164"/>
      <c r="X222" s="162"/>
      <c r="Y222" s="162"/>
      <c r="Z222" s="163"/>
      <c r="AA222" s="164"/>
      <c r="AE222" s="162"/>
      <c r="AF222" s="162"/>
      <c r="AG222" s="163"/>
      <c r="AH222" s="164"/>
      <c r="AL222" s="162"/>
      <c r="AM222" s="162"/>
      <c r="AN222" s="163"/>
      <c r="AO222" s="164"/>
      <c r="AS222" s="162"/>
      <c r="AT222" s="162"/>
      <c r="AU222" s="163"/>
      <c r="AV222" s="164"/>
      <c r="AZ222" s="162"/>
      <c r="BA222" s="162"/>
      <c r="BB222" s="163"/>
      <c r="BC222" s="164"/>
      <c r="BG222" s="162"/>
      <c r="BH222" s="162"/>
      <c r="BI222" s="163"/>
      <c r="BJ222" s="164"/>
      <c r="BN222" s="162"/>
      <c r="BO222" s="162"/>
      <c r="BP222" s="163"/>
      <c r="BQ222" s="164"/>
      <c r="BU222" s="162"/>
      <c r="BV222" s="162"/>
      <c r="BW222" s="163"/>
      <c r="BX222" s="164"/>
      <c r="CB222" s="162"/>
      <c r="CC222" s="162"/>
      <c r="CD222" s="163"/>
      <c r="CE222" s="164"/>
      <c r="CI222" s="162"/>
      <c r="CJ222" s="162"/>
      <c r="CK222" s="163"/>
      <c r="CL222" s="164"/>
      <c r="CP222" s="162"/>
      <c r="CQ222" s="162"/>
      <c r="CR222" s="163"/>
      <c r="CS222" s="164"/>
      <c r="CW222" s="162"/>
      <c r="CX222" s="162"/>
      <c r="CY222" s="163"/>
      <c r="CZ222" s="164"/>
      <c r="DD222" s="162"/>
      <c r="DE222" s="162"/>
      <c r="DF222" s="163"/>
      <c r="DG222" s="164"/>
      <c r="DK222" s="162"/>
      <c r="DL222" s="162"/>
      <c r="DM222" s="163"/>
      <c r="DN222" s="164"/>
      <c r="DR222" s="162"/>
      <c r="DS222" s="162"/>
      <c r="DT222" s="163"/>
      <c r="DU222" s="164"/>
      <c r="DY222" s="162"/>
      <c r="DZ222" s="162"/>
      <c r="EA222" s="163"/>
      <c r="EB222" s="164"/>
      <c r="EF222" s="162"/>
      <c r="EG222" s="162"/>
      <c r="EH222" s="163"/>
      <c r="EI222" s="164"/>
      <c r="EM222" s="162"/>
      <c r="EN222" s="162"/>
      <c r="EO222" s="163"/>
      <c r="EP222" s="164"/>
      <c r="ET222" s="162"/>
      <c r="EU222" s="162"/>
      <c r="EV222" s="163"/>
      <c r="EW222" s="164"/>
      <c r="FA222" s="162"/>
      <c r="FB222" s="162"/>
      <c r="FC222" s="163"/>
      <c r="FD222" s="164"/>
      <c r="FH222" s="162"/>
      <c r="FI222" s="162"/>
      <c r="FJ222" s="163"/>
      <c r="FK222" s="164"/>
      <c r="FO222" s="162"/>
      <c r="FP222" s="162"/>
      <c r="FQ222" s="163"/>
      <c r="FR222" s="164"/>
      <c r="FV222" s="162"/>
      <c r="FW222" s="162"/>
      <c r="FX222" s="163"/>
      <c r="FY222" s="164"/>
      <c r="GC222" s="162"/>
      <c r="GD222" s="162"/>
      <c r="GE222" s="163"/>
      <c r="GF222" s="164"/>
      <c r="GJ222" s="162"/>
      <c r="GK222" s="162"/>
      <c r="GL222" s="163"/>
      <c r="GM222" s="164"/>
      <c r="GQ222" s="162"/>
      <c r="GR222" s="162"/>
      <c r="GS222" s="163"/>
      <c r="GT222" s="164"/>
      <c r="GX222" s="162"/>
      <c r="GY222" s="162"/>
      <c r="GZ222" s="163"/>
      <c r="HA222" s="164"/>
      <c r="HE222" s="162"/>
      <c r="HF222" s="162"/>
      <c r="HG222" s="163"/>
      <c r="HH222" s="164"/>
      <c r="HL222" s="162"/>
      <c r="HM222" s="162"/>
      <c r="HN222" s="163"/>
      <c r="HO222" s="164"/>
      <c r="HS222" s="162"/>
      <c r="HT222" s="162"/>
      <c r="HU222" s="163"/>
      <c r="HV222" s="164"/>
    </row>
    <row r="223" spans="3:230" x14ac:dyDescent="0.2">
      <c r="C223" s="162"/>
      <c r="D223" s="162"/>
      <c r="E223" s="163"/>
      <c r="F223" s="164"/>
      <c r="J223" s="162"/>
      <c r="K223" s="162"/>
      <c r="L223" s="163"/>
      <c r="M223" s="164"/>
      <c r="Q223" s="162"/>
      <c r="R223" s="162"/>
      <c r="S223" s="163"/>
      <c r="T223" s="164"/>
      <c r="X223" s="162"/>
      <c r="Y223" s="162"/>
      <c r="Z223" s="163"/>
      <c r="AA223" s="164"/>
      <c r="AE223" s="162"/>
      <c r="AF223" s="162"/>
      <c r="AG223" s="163"/>
      <c r="AH223" s="164"/>
      <c r="AL223" s="162"/>
      <c r="AM223" s="162"/>
      <c r="AN223" s="163"/>
      <c r="AO223" s="164"/>
      <c r="AS223" s="162"/>
      <c r="AT223" s="162"/>
      <c r="AU223" s="163"/>
      <c r="AV223" s="164"/>
      <c r="AZ223" s="162"/>
      <c r="BA223" s="162"/>
      <c r="BB223" s="163"/>
      <c r="BC223" s="164"/>
      <c r="BG223" s="162"/>
      <c r="BH223" s="162"/>
      <c r="BI223" s="163"/>
      <c r="BJ223" s="164"/>
      <c r="BN223" s="162"/>
      <c r="BO223" s="162"/>
      <c r="BP223" s="163"/>
      <c r="BQ223" s="164"/>
      <c r="BU223" s="162"/>
      <c r="BV223" s="162"/>
      <c r="BW223" s="163"/>
      <c r="BX223" s="164"/>
      <c r="CB223" s="162"/>
      <c r="CC223" s="162"/>
      <c r="CD223" s="163"/>
      <c r="CE223" s="164"/>
      <c r="CI223" s="162"/>
      <c r="CJ223" s="162"/>
      <c r="CK223" s="163"/>
      <c r="CL223" s="164"/>
      <c r="CP223" s="162"/>
      <c r="CQ223" s="162"/>
      <c r="CR223" s="163"/>
      <c r="CS223" s="164"/>
      <c r="CW223" s="162"/>
      <c r="CX223" s="162"/>
      <c r="CY223" s="163"/>
      <c r="CZ223" s="164"/>
      <c r="DD223" s="162"/>
      <c r="DE223" s="162"/>
      <c r="DF223" s="163"/>
      <c r="DG223" s="164"/>
      <c r="DK223" s="162"/>
      <c r="DL223" s="162"/>
      <c r="DM223" s="163"/>
      <c r="DN223" s="164"/>
      <c r="DR223" s="162"/>
      <c r="DS223" s="162"/>
      <c r="DT223" s="163"/>
      <c r="DU223" s="164"/>
      <c r="DY223" s="162"/>
      <c r="DZ223" s="162"/>
      <c r="EA223" s="163"/>
      <c r="EB223" s="164"/>
      <c r="EF223" s="162"/>
      <c r="EG223" s="162"/>
      <c r="EH223" s="163"/>
      <c r="EI223" s="164"/>
      <c r="EM223" s="162"/>
      <c r="EN223" s="162"/>
      <c r="EO223" s="163"/>
      <c r="EP223" s="164"/>
      <c r="ET223" s="162"/>
      <c r="EU223" s="162"/>
      <c r="EV223" s="163"/>
      <c r="EW223" s="164"/>
      <c r="FA223" s="162"/>
      <c r="FB223" s="162"/>
      <c r="FC223" s="163"/>
      <c r="FD223" s="164"/>
      <c r="FH223" s="162"/>
      <c r="FI223" s="162"/>
      <c r="FJ223" s="163"/>
      <c r="FK223" s="164"/>
      <c r="FO223" s="162"/>
      <c r="FP223" s="162"/>
      <c r="FQ223" s="163"/>
      <c r="FR223" s="164"/>
      <c r="FV223" s="162"/>
      <c r="FW223" s="162"/>
      <c r="FX223" s="163"/>
      <c r="FY223" s="164"/>
      <c r="GC223" s="162"/>
      <c r="GD223" s="162"/>
      <c r="GE223" s="163"/>
      <c r="GF223" s="164"/>
      <c r="GJ223" s="162"/>
      <c r="GK223" s="162"/>
      <c r="GL223" s="163"/>
      <c r="GM223" s="164"/>
      <c r="GQ223" s="162"/>
      <c r="GR223" s="162"/>
      <c r="GS223" s="163"/>
      <c r="GT223" s="164"/>
      <c r="GX223" s="162"/>
      <c r="GY223" s="162"/>
      <c r="GZ223" s="163"/>
      <c r="HA223" s="164"/>
      <c r="HE223" s="162"/>
      <c r="HF223" s="162"/>
      <c r="HG223" s="163"/>
      <c r="HH223" s="164"/>
      <c r="HL223" s="162"/>
      <c r="HM223" s="162"/>
      <c r="HN223" s="163"/>
      <c r="HO223" s="164"/>
      <c r="HS223" s="162"/>
      <c r="HT223" s="162"/>
      <c r="HU223" s="163"/>
      <c r="HV223" s="164"/>
    </row>
    <row r="224" spans="3:230" x14ac:dyDescent="0.2">
      <c r="C224" s="162"/>
      <c r="D224" s="162"/>
      <c r="E224" s="163"/>
      <c r="F224" s="164"/>
      <c r="J224" s="162"/>
      <c r="K224" s="162"/>
      <c r="L224" s="163"/>
      <c r="M224" s="164"/>
      <c r="Q224" s="162"/>
      <c r="R224" s="162"/>
      <c r="S224" s="163"/>
      <c r="T224" s="164"/>
      <c r="X224" s="162"/>
      <c r="Y224" s="162"/>
      <c r="Z224" s="163"/>
      <c r="AA224" s="164"/>
      <c r="AE224" s="162"/>
      <c r="AF224" s="162"/>
      <c r="AG224" s="163"/>
      <c r="AH224" s="164"/>
      <c r="AL224" s="162"/>
      <c r="AM224" s="162"/>
      <c r="AN224" s="163"/>
      <c r="AO224" s="164"/>
      <c r="AS224" s="162"/>
      <c r="AT224" s="162"/>
      <c r="AU224" s="163"/>
      <c r="AV224" s="164"/>
      <c r="AZ224" s="162"/>
      <c r="BA224" s="162"/>
      <c r="BB224" s="163"/>
      <c r="BC224" s="164"/>
      <c r="BG224" s="162"/>
      <c r="BH224" s="162"/>
      <c r="BI224" s="163"/>
      <c r="BJ224" s="164"/>
      <c r="BN224" s="162"/>
      <c r="BO224" s="162"/>
      <c r="BP224" s="163"/>
      <c r="BQ224" s="164"/>
      <c r="BU224" s="162"/>
      <c r="BV224" s="162"/>
      <c r="BW224" s="163"/>
      <c r="BX224" s="164"/>
      <c r="CB224" s="162"/>
      <c r="CC224" s="162"/>
      <c r="CD224" s="163"/>
      <c r="CE224" s="164"/>
      <c r="CI224" s="162"/>
      <c r="CJ224" s="162"/>
      <c r="CK224" s="163"/>
      <c r="CL224" s="164"/>
      <c r="CP224" s="162"/>
      <c r="CQ224" s="162"/>
      <c r="CR224" s="163"/>
      <c r="CS224" s="164"/>
      <c r="CW224" s="162"/>
      <c r="CX224" s="162"/>
      <c r="CY224" s="163"/>
      <c r="CZ224" s="164"/>
      <c r="DD224" s="162"/>
      <c r="DE224" s="162"/>
      <c r="DF224" s="163"/>
      <c r="DG224" s="164"/>
      <c r="DK224" s="162"/>
      <c r="DL224" s="162"/>
      <c r="DM224" s="163"/>
      <c r="DN224" s="164"/>
      <c r="DR224" s="162"/>
      <c r="DS224" s="162"/>
      <c r="DT224" s="163"/>
      <c r="DU224" s="164"/>
      <c r="DY224" s="162"/>
      <c r="DZ224" s="162"/>
      <c r="EA224" s="163"/>
      <c r="EB224" s="164"/>
      <c r="EF224" s="162"/>
      <c r="EG224" s="162"/>
      <c r="EH224" s="163"/>
      <c r="EI224" s="164"/>
      <c r="EM224" s="162"/>
      <c r="EN224" s="162"/>
      <c r="EO224" s="163"/>
      <c r="EP224" s="164"/>
      <c r="ET224" s="162"/>
      <c r="EU224" s="162"/>
      <c r="EV224" s="163"/>
      <c r="EW224" s="164"/>
      <c r="FA224" s="162"/>
      <c r="FB224" s="162"/>
      <c r="FC224" s="163"/>
      <c r="FD224" s="164"/>
      <c r="FH224" s="162"/>
      <c r="FI224" s="162"/>
      <c r="FJ224" s="163"/>
      <c r="FK224" s="164"/>
      <c r="FO224" s="162"/>
      <c r="FP224" s="162"/>
      <c r="FQ224" s="163"/>
      <c r="FR224" s="164"/>
      <c r="FV224" s="162"/>
      <c r="FW224" s="162"/>
      <c r="FX224" s="163"/>
      <c r="FY224" s="164"/>
      <c r="GC224" s="162"/>
      <c r="GD224" s="162"/>
      <c r="GE224" s="163"/>
      <c r="GF224" s="164"/>
      <c r="GJ224" s="162"/>
      <c r="GK224" s="162"/>
      <c r="GL224" s="163"/>
      <c r="GM224" s="164"/>
      <c r="GQ224" s="162"/>
      <c r="GR224" s="162"/>
      <c r="GS224" s="163"/>
      <c r="GT224" s="164"/>
      <c r="GX224" s="162"/>
      <c r="GY224" s="162"/>
      <c r="GZ224" s="163"/>
      <c r="HA224" s="164"/>
      <c r="HE224" s="162"/>
      <c r="HF224" s="162"/>
      <c r="HG224" s="163"/>
      <c r="HH224" s="164"/>
      <c r="HL224" s="162"/>
      <c r="HM224" s="162"/>
      <c r="HN224" s="163"/>
      <c r="HO224" s="164"/>
      <c r="HS224" s="162"/>
      <c r="HT224" s="162"/>
      <c r="HU224" s="163"/>
      <c r="HV224" s="164"/>
    </row>
    <row r="225" spans="3:230" x14ac:dyDescent="0.2">
      <c r="C225" s="162"/>
      <c r="D225" s="162"/>
      <c r="E225" s="163"/>
      <c r="F225" s="164"/>
      <c r="J225" s="162"/>
      <c r="K225" s="162"/>
      <c r="L225" s="163"/>
      <c r="M225" s="164"/>
      <c r="Q225" s="162"/>
      <c r="R225" s="162"/>
      <c r="S225" s="163"/>
      <c r="T225" s="164"/>
      <c r="X225" s="162"/>
      <c r="Y225" s="162"/>
      <c r="Z225" s="163"/>
      <c r="AA225" s="164"/>
      <c r="AE225" s="162"/>
      <c r="AF225" s="162"/>
      <c r="AG225" s="163"/>
      <c r="AH225" s="164"/>
      <c r="AL225" s="162"/>
      <c r="AM225" s="162"/>
      <c r="AN225" s="163"/>
      <c r="AO225" s="164"/>
      <c r="AS225" s="162"/>
      <c r="AT225" s="162"/>
      <c r="AU225" s="163"/>
      <c r="AV225" s="164"/>
      <c r="AZ225" s="162"/>
      <c r="BA225" s="162"/>
      <c r="BB225" s="163"/>
      <c r="BC225" s="164"/>
      <c r="BG225" s="162"/>
      <c r="BH225" s="162"/>
      <c r="BI225" s="163"/>
      <c r="BJ225" s="164"/>
      <c r="BN225" s="162"/>
      <c r="BO225" s="162"/>
      <c r="BP225" s="163"/>
      <c r="BQ225" s="164"/>
      <c r="BU225" s="162"/>
      <c r="BV225" s="162"/>
      <c r="BW225" s="163"/>
      <c r="BX225" s="164"/>
      <c r="CB225" s="162"/>
      <c r="CC225" s="162"/>
      <c r="CD225" s="163"/>
      <c r="CE225" s="164"/>
      <c r="CI225" s="162"/>
      <c r="CJ225" s="162"/>
      <c r="CK225" s="163"/>
      <c r="CL225" s="164"/>
      <c r="CP225" s="162"/>
      <c r="CQ225" s="162"/>
      <c r="CR225" s="163"/>
      <c r="CS225" s="164"/>
      <c r="CW225" s="162"/>
      <c r="CX225" s="162"/>
      <c r="CY225" s="163"/>
      <c r="CZ225" s="164"/>
      <c r="DD225" s="162"/>
      <c r="DE225" s="162"/>
      <c r="DF225" s="163"/>
      <c r="DG225" s="164"/>
      <c r="DK225" s="162"/>
      <c r="DL225" s="162"/>
      <c r="DM225" s="163"/>
      <c r="DN225" s="164"/>
      <c r="DR225" s="162"/>
      <c r="DS225" s="162"/>
      <c r="DT225" s="163"/>
      <c r="DU225" s="164"/>
      <c r="DY225" s="162"/>
      <c r="DZ225" s="162"/>
      <c r="EA225" s="163"/>
      <c r="EB225" s="164"/>
      <c r="EF225" s="162"/>
      <c r="EG225" s="162"/>
      <c r="EH225" s="163"/>
      <c r="EI225" s="164"/>
      <c r="EM225" s="162"/>
      <c r="EN225" s="162"/>
      <c r="EO225" s="163"/>
      <c r="EP225" s="164"/>
      <c r="ET225" s="162"/>
      <c r="EU225" s="162"/>
      <c r="EV225" s="163"/>
      <c r="EW225" s="164"/>
      <c r="FA225" s="162"/>
      <c r="FB225" s="162"/>
      <c r="FC225" s="163"/>
      <c r="FD225" s="164"/>
      <c r="FH225" s="162"/>
      <c r="FI225" s="162"/>
      <c r="FJ225" s="163"/>
      <c r="FK225" s="164"/>
      <c r="FO225" s="162"/>
      <c r="FP225" s="162"/>
      <c r="FQ225" s="163"/>
      <c r="FR225" s="164"/>
      <c r="FV225" s="162"/>
      <c r="FW225" s="162"/>
      <c r="FX225" s="163"/>
      <c r="FY225" s="164"/>
      <c r="GC225" s="162"/>
      <c r="GD225" s="162"/>
      <c r="GE225" s="163"/>
      <c r="GF225" s="164"/>
      <c r="GJ225" s="162"/>
      <c r="GK225" s="162"/>
      <c r="GL225" s="163"/>
      <c r="GM225" s="164"/>
      <c r="GQ225" s="162"/>
      <c r="GR225" s="162"/>
      <c r="GS225" s="163"/>
      <c r="GT225" s="164"/>
      <c r="GX225" s="162"/>
      <c r="GY225" s="162"/>
      <c r="GZ225" s="163"/>
      <c r="HA225" s="164"/>
      <c r="HE225" s="162"/>
      <c r="HF225" s="162"/>
      <c r="HG225" s="163"/>
      <c r="HH225" s="164"/>
      <c r="HL225" s="162"/>
      <c r="HM225" s="162"/>
      <c r="HN225" s="163"/>
      <c r="HO225" s="164"/>
      <c r="HS225" s="162"/>
      <c r="HT225" s="162"/>
      <c r="HU225" s="163"/>
      <c r="HV225" s="164"/>
    </row>
    <row r="226" spans="3:230" x14ac:dyDescent="0.2">
      <c r="C226" s="162"/>
      <c r="D226" s="162"/>
      <c r="E226" s="163"/>
      <c r="F226" s="164"/>
      <c r="J226" s="162"/>
      <c r="K226" s="162"/>
      <c r="L226" s="163"/>
      <c r="M226" s="164"/>
      <c r="Q226" s="162"/>
      <c r="R226" s="162"/>
      <c r="S226" s="163"/>
      <c r="T226" s="164"/>
      <c r="X226" s="162"/>
      <c r="Y226" s="162"/>
      <c r="Z226" s="163"/>
      <c r="AA226" s="164"/>
      <c r="AE226" s="162"/>
      <c r="AF226" s="162"/>
      <c r="AG226" s="163"/>
      <c r="AH226" s="164"/>
      <c r="AL226" s="162"/>
      <c r="AM226" s="162"/>
      <c r="AN226" s="163"/>
      <c r="AO226" s="164"/>
      <c r="AS226" s="162"/>
      <c r="AT226" s="162"/>
      <c r="AU226" s="163"/>
      <c r="AV226" s="164"/>
      <c r="AZ226" s="162"/>
      <c r="BA226" s="162"/>
      <c r="BB226" s="163"/>
      <c r="BC226" s="164"/>
      <c r="BG226" s="162"/>
      <c r="BH226" s="162"/>
      <c r="BI226" s="163"/>
      <c r="BJ226" s="164"/>
      <c r="BN226" s="162"/>
      <c r="BO226" s="162"/>
      <c r="BP226" s="163"/>
      <c r="BQ226" s="164"/>
      <c r="BU226" s="162"/>
      <c r="BV226" s="162"/>
      <c r="BW226" s="163"/>
      <c r="BX226" s="164"/>
      <c r="CB226" s="162"/>
      <c r="CC226" s="162"/>
      <c r="CD226" s="163"/>
      <c r="CE226" s="164"/>
      <c r="CI226" s="162"/>
      <c r="CJ226" s="162"/>
      <c r="CK226" s="163"/>
      <c r="CL226" s="164"/>
      <c r="CP226" s="162"/>
      <c r="CQ226" s="162"/>
      <c r="CR226" s="163"/>
      <c r="CS226" s="164"/>
      <c r="CW226" s="162"/>
      <c r="CX226" s="162"/>
      <c r="CY226" s="163"/>
      <c r="CZ226" s="164"/>
      <c r="DD226" s="162"/>
      <c r="DE226" s="162"/>
      <c r="DF226" s="163"/>
      <c r="DG226" s="164"/>
      <c r="DK226" s="162"/>
      <c r="DL226" s="162"/>
      <c r="DM226" s="163"/>
      <c r="DN226" s="164"/>
      <c r="DR226" s="162"/>
      <c r="DS226" s="162"/>
      <c r="DT226" s="163"/>
      <c r="DU226" s="164"/>
      <c r="DY226" s="162"/>
      <c r="DZ226" s="162"/>
      <c r="EA226" s="163"/>
      <c r="EB226" s="164"/>
      <c r="EF226" s="162"/>
      <c r="EG226" s="162"/>
      <c r="EH226" s="163"/>
      <c r="EI226" s="164"/>
      <c r="EM226" s="162"/>
      <c r="EN226" s="162"/>
      <c r="EO226" s="163"/>
      <c r="EP226" s="164"/>
      <c r="ET226" s="162"/>
      <c r="EU226" s="162"/>
      <c r="EV226" s="163"/>
      <c r="EW226" s="164"/>
      <c r="FA226" s="162"/>
      <c r="FB226" s="162"/>
      <c r="FC226" s="163"/>
      <c r="FD226" s="164"/>
      <c r="FH226" s="162"/>
      <c r="FI226" s="162"/>
      <c r="FJ226" s="163"/>
      <c r="FK226" s="164"/>
      <c r="FO226" s="162"/>
      <c r="FP226" s="162"/>
      <c r="FQ226" s="163"/>
      <c r="FR226" s="164"/>
      <c r="FV226" s="162"/>
      <c r="FW226" s="162"/>
      <c r="FX226" s="163"/>
      <c r="FY226" s="164"/>
      <c r="GC226" s="162"/>
      <c r="GD226" s="162"/>
      <c r="GE226" s="163"/>
      <c r="GF226" s="164"/>
      <c r="GJ226" s="162"/>
      <c r="GK226" s="162"/>
      <c r="GL226" s="163"/>
      <c r="GM226" s="164"/>
      <c r="GQ226" s="162"/>
      <c r="GR226" s="162"/>
      <c r="GS226" s="163"/>
      <c r="GT226" s="164"/>
      <c r="GX226" s="162"/>
      <c r="GY226" s="162"/>
      <c r="GZ226" s="163"/>
      <c r="HA226" s="164"/>
      <c r="HE226" s="162"/>
      <c r="HF226" s="162"/>
      <c r="HG226" s="163"/>
      <c r="HH226" s="164"/>
      <c r="HL226" s="162"/>
      <c r="HM226" s="162"/>
      <c r="HN226" s="163"/>
      <c r="HO226" s="164"/>
      <c r="HS226" s="162"/>
      <c r="HT226" s="162"/>
      <c r="HU226" s="163"/>
      <c r="HV226" s="164"/>
    </row>
    <row r="227" spans="3:230" x14ac:dyDescent="0.2">
      <c r="C227" s="162"/>
      <c r="D227" s="162"/>
      <c r="E227" s="163"/>
      <c r="F227" s="164"/>
      <c r="J227" s="162"/>
      <c r="K227" s="162"/>
      <c r="L227" s="163"/>
      <c r="M227" s="164"/>
      <c r="Q227" s="162"/>
      <c r="R227" s="162"/>
      <c r="S227" s="163"/>
      <c r="T227" s="164"/>
      <c r="X227" s="162"/>
      <c r="Y227" s="162"/>
      <c r="Z227" s="163"/>
      <c r="AA227" s="164"/>
      <c r="AE227" s="162"/>
      <c r="AF227" s="162"/>
      <c r="AG227" s="163"/>
      <c r="AH227" s="164"/>
      <c r="AL227" s="162"/>
      <c r="AM227" s="162"/>
      <c r="AN227" s="163"/>
      <c r="AO227" s="164"/>
      <c r="AS227" s="162"/>
      <c r="AT227" s="162"/>
      <c r="AU227" s="163"/>
      <c r="AV227" s="164"/>
      <c r="AZ227" s="162"/>
      <c r="BA227" s="162"/>
      <c r="BB227" s="163"/>
      <c r="BC227" s="164"/>
      <c r="BG227" s="162"/>
      <c r="BH227" s="162"/>
      <c r="BI227" s="163"/>
      <c r="BJ227" s="164"/>
      <c r="BN227" s="162"/>
      <c r="BO227" s="162"/>
      <c r="BP227" s="163"/>
      <c r="BQ227" s="164"/>
      <c r="BU227" s="162"/>
      <c r="BV227" s="162"/>
      <c r="BW227" s="163"/>
      <c r="BX227" s="164"/>
      <c r="CB227" s="162"/>
      <c r="CC227" s="162"/>
      <c r="CD227" s="163"/>
      <c r="CE227" s="164"/>
      <c r="CI227" s="162"/>
      <c r="CJ227" s="162"/>
      <c r="CK227" s="163"/>
      <c r="CL227" s="164"/>
      <c r="CP227" s="162"/>
      <c r="CQ227" s="162"/>
      <c r="CR227" s="163"/>
      <c r="CS227" s="164"/>
      <c r="CW227" s="162"/>
      <c r="CX227" s="162"/>
      <c r="CY227" s="163"/>
      <c r="CZ227" s="164"/>
      <c r="DD227" s="162"/>
      <c r="DE227" s="162"/>
      <c r="DF227" s="163"/>
      <c r="DG227" s="164"/>
      <c r="DK227" s="162"/>
      <c r="DL227" s="162"/>
      <c r="DM227" s="163"/>
      <c r="DN227" s="164"/>
      <c r="DR227" s="162"/>
      <c r="DS227" s="162"/>
      <c r="DT227" s="163"/>
      <c r="DU227" s="164"/>
      <c r="DY227" s="162"/>
      <c r="DZ227" s="162"/>
      <c r="EA227" s="163"/>
      <c r="EB227" s="164"/>
      <c r="EF227" s="162"/>
      <c r="EG227" s="162"/>
      <c r="EH227" s="163"/>
      <c r="EI227" s="164"/>
      <c r="EM227" s="162"/>
      <c r="EN227" s="162"/>
      <c r="EO227" s="163"/>
      <c r="EP227" s="164"/>
      <c r="ET227" s="162"/>
      <c r="EU227" s="162"/>
      <c r="EV227" s="163"/>
      <c r="EW227" s="164"/>
      <c r="FA227" s="162"/>
      <c r="FB227" s="162"/>
      <c r="FC227" s="163"/>
      <c r="FD227" s="164"/>
      <c r="FH227" s="162"/>
      <c r="FI227" s="162"/>
      <c r="FJ227" s="163"/>
      <c r="FK227" s="164"/>
      <c r="FO227" s="162"/>
      <c r="FP227" s="162"/>
      <c r="FQ227" s="163"/>
      <c r="FR227" s="164"/>
      <c r="FV227" s="162"/>
      <c r="FW227" s="162"/>
      <c r="FX227" s="163"/>
      <c r="FY227" s="164"/>
      <c r="GC227" s="162"/>
      <c r="GD227" s="162"/>
      <c r="GE227" s="163"/>
      <c r="GF227" s="164"/>
      <c r="GJ227" s="162"/>
      <c r="GK227" s="162"/>
      <c r="GL227" s="163"/>
      <c r="GM227" s="164"/>
      <c r="GQ227" s="162"/>
      <c r="GR227" s="162"/>
      <c r="GS227" s="163"/>
      <c r="GT227" s="164"/>
      <c r="GX227" s="162"/>
      <c r="GY227" s="162"/>
      <c r="GZ227" s="163"/>
      <c r="HA227" s="164"/>
      <c r="HE227" s="162"/>
      <c r="HF227" s="162"/>
      <c r="HG227" s="163"/>
      <c r="HH227" s="164"/>
      <c r="HL227" s="162"/>
      <c r="HM227" s="162"/>
      <c r="HN227" s="163"/>
      <c r="HO227" s="164"/>
      <c r="HS227" s="162"/>
      <c r="HT227" s="162"/>
      <c r="HU227" s="163"/>
      <c r="HV227" s="164"/>
    </row>
    <row r="228" spans="3:230" x14ac:dyDescent="0.2">
      <c r="C228" s="162"/>
      <c r="D228" s="162"/>
      <c r="E228" s="163"/>
      <c r="F228" s="164"/>
      <c r="J228" s="162"/>
      <c r="K228" s="162"/>
      <c r="L228" s="163"/>
      <c r="M228" s="164"/>
      <c r="Q228" s="162"/>
      <c r="R228" s="162"/>
      <c r="S228" s="163"/>
      <c r="T228" s="164"/>
      <c r="X228" s="162"/>
      <c r="Y228" s="162"/>
      <c r="Z228" s="163"/>
      <c r="AA228" s="164"/>
      <c r="AE228" s="162"/>
      <c r="AF228" s="162"/>
      <c r="AG228" s="163"/>
      <c r="AH228" s="164"/>
      <c r="AL228" s="162"/>
      <c r="AM228" s="162"/>
      <c r="AN228" s="163"/>
      <c r="AO228" s="164"/>
      <c r="AS228" s="162"/>
      <c r="AT228" s="162"/>
      <c r="AU228" s="163"/>
      <c r="AV228" s="164"/>
      <c r="AZ228" s="162"/>
      <c r="BA228" s="162"/>
      <c r="BB228" s="163"/>
      <c r="BC228" s="164"/>
      <c r="BG228" s="162"/>
      <c r="BH228" s="162"/>
      <c r="BI228" s="163"/>
      <c r="BJ228" s="164"/>
      <c r="BN228" s="162"/>
      <c r="BO228" s="162"/>
      <c r="BP228" s="163"/>
      <c r="BQ228" s="164"/>
      <c r="BU228" s="162"/>
      <c r="BV228" s="162"/>
      <c r="BW228" s="163"/>
      <c r="BX228" s="164"/>
      <c r="CB228" s="162"/>
      <c r="CC228" s="162"/>
      <c r="CD228" s="163"/>
      <c r="CE228" s="164"/>
      <c r="CI228" s="162"/>
      <c r="CJ228" s="162"/>
      <c r="CK228" s="163"/>
      <c r="CL228" s="164"/>
      <c r="CP228" s="162"/>
      <c r="CQ228" s="162"/>
      <c r="CR228" s="163"/>
      <c r="CS228" s="164"/>
      <c r="CW228" s="162"/>
      <c r="CX228" s="162"/>
      <c r="CY228" s="163"/>
      <c r="CZ228" s="164"/>
      <c r="DD228" s="162"/>
      <c r="DE228" s="162"/>
      <c r="DF228" s="163"/>
      <c r="DG228" s="164"/>
      <c r="DK228" s="162"/>
      <c r="DL228" s="162"/>
      <c r="DM228" s="163"/>
      <c r="DN228" s="164"/>
      <c r="DR228" s="162"/>
      <c r="DS228" s="162"/>
      <c r="DT228" s="163"/>
      <c r="DU228" s="164"/>
      <c r="DY228" s="162"/>
      <c r="DZ228" s="162"/>
      <c r="EA228" s="163"/>
      <c r="EB228" s="164"/>
      <c r="EF228" s="162"/>
      <c r="EG228" s="162"/>
      <c r="EH228" s="163"/>
      <c r="EI228" s="164"/>
      <c r="EM228" s="162"/>
      <c r="EN228" s="162"/>
      <c r="EO228" s="163"/>
      <c r="EP228" s="164"/>
      <c r="ET228" s="162"/>
      <c r="EU228" s="162"/>
      <c r="EV228" s="163"/>
      <c r="EW228" s="164"/>
      <c r="FA228" s="162"/>
      <c r="FB228" s="162"/>
      <c r="FC228" s="163"/>
      <c r="FD228" s="164"/>
      <c r="FH228" s="162"/>
      <c r="FI228" s="162"/>
      <c r="FJ228" s="163"/>
      <c r="FK228" s="164"/>
      <c r="FO228" s="162"/>
      <c r="FP228" s="162"/>
      <c r="FQ228" s="163"/>
      <c r="FR228" s="164"/>
      <c r="FV228" s="162"/>
      <c r="FW228" s="162"/>
      <c r="FX228" s="163"/>
      <c r="FY228" s="164"/>
      <c r="GC228" s="162"/>
      <c r="GD228" s="162"/>
      <c r="GE228" s="163"/>
      <c r="GF228" s="164"/>
      <c r="GJ228" s="162"/>
      <c r="GK228" s="162"/>
      <c r="GL228" s="163"/>
      <c r="GM228" s="164"/>
      <c r="GQ228" s="162"/>
      <c r="GR228" s="162"/>
      <c r="GS228" s="163"/>
      <c r="GT228" s="164"/>
      <c r="GX228" s="162"/>
      <c r="GY228" s="162"/>
      <c r="GZ228" s="163"/>
      <c r="HA228" s="164"/>
      <c r="HE228" s="162"/>
      <c r="HF228" s="162"/>
      <c r="HG228" s="163"/>
      <c r="HH228" s="164"/>
      <c r="HL228" s="162"/>
      <c r="HM228" s="162"/>
      <c r="HN228" s="163"/>
      <c r="HO228" s="164"/>
      <c r="HS228" s="162"/>
      <c r="HT228" s="162"/>
      <c r="HU228" s="163"/>
      <c r="HV228" s="164"/>
    </row>
    <row r="229" spans="3:230" x14ac:dyDescent="0.2">
      <c r="C229" s="162"/>
      <c r="D229" s="162"/>
      <c r="E229" s="163"/>
      <c r="F229" s="164"/>
      <c r="J229" s="162"/>
      <c r="K229" s="162"/>
      <c r="L229" s="163"/>
      <c r="M229" s="164"/>
      <c r="Q229" s="162"/>
      <c r="R229" s="162"/>
      <c r="S229" s="163"/>
      <c r="T229" s="164"/>
      <c r="X229" s="162"/>
      <c r="Y229" s="162"/>
      <c r="Z229" s="163"/>
      <c r="AA229" s="164"/>
      <c r="AE229" s="162"/>
      <c r="AF229" s="162"/>
      <c r="AG229" s="163"/>
      <c r="AH229" s="164"/>
      <c r="AL229" s="162"/>
      <c r="AM229" s="162"/>
      <c r="AN229" s="163"/>
      <c r="AO229" s="164"/>
      <c r="AS229" s="162"/>
      <c r="AT229" s="162"/>
      <c r="AU229" s="163"/>
      <c r="AV229" s="164"/>
      <c r="AZ229" s="162"/>
      <c r="BA229" s="162"/>
      <c r="BB229" s="163"/>
      <c r="BC229" s="164"/>
      <c r="BG229" s="162"/>
      <c r="BH229" s="162"/>
      <c r="BI229" s="163"/>
      <c r="BJ229" s="164"/>
      <c r="BN229" s="162"/>
      <c r="BO229" s="162"/>
      <c r="BP229" s="163"/>
      <c r="BQ229" s="164"/>
      <c r="BU229" s="162"/>
      <c r="BV229" s="162"/>
      <c r="BW229" s="163"/>
      <c r="BX229" s="164"/>
      <c r="CB229" s="162"/>
      <c r="CC229" s="162"/>
      <c r="CD229" s="163"/>
      <c r="CE229" s="164"/>
      <c r="CI229" s="162"/>
      <c r="CJ229" s="162"/>
      <c r="CK229" s="163"/>
      <c r="CL229" s="164"/>
      <c r="CP229" s="162"/>
      <c r="CQ229" s="162"/>
      <c r="CR229" s="163"/>
      <c r="CS229" s="164"/>
      <c r="CW229" s="162"/>
      <c r="CX229" s="162"/>
      <c r="CY229" s="163"/>
      <c r="CZ229" s="164"/>
      <c r="DD229" s="162"/>
      <c r="DE229" s="162"/>
      <c r="DF229" s="163"/>
      <c r="DG229" s="164"/>
      <c r="DK229" s="162"/>
      <c r="DL229" s="162"/>
      <c r="DM229" s="163"/>
      <c r="DN229" s="164"/>
      <c r="DR229" s="162"/>
      <c r="DS229" s="162"/>
      <c r="DT229" s="163"/>
      <c r="DU229" s="164"/>
      <c r="DY229" s="162"/>
      <c r="DZ229" s="162"/>
      <c r="EA229" s="163"/>
      <c r="EB229" s="164"/>
      <c r="EF229" s="162"/>
      <c r="EG229" s="162"/>
      <c r="EH229" s="163"/>
      <c r="EI229" s="164"/>
      <c r="EM229" s="162"/>
      <c r="EN229" s="162"/>
      <c r="EO229" s="163"/>
      <c r="EP229" s="164"/>
      <c r="ET229" s="162"/>
      <c r="EU229" s="162"/>
      <c r="EV229" s="163"/>
      <c r="EW229" s="164"/>
      <c r="FA229" s="162"/>
      <c r="FB229" s="162"/>
      <c r="FC229" s="163"/>
      <c r="FD229" s="164"/>
      <c r="FH229" s="162"/>
      <c r="FI229" s="162"/>
      <c r="FJ229" s="163"/>
      <c r="FK229" s="164"/>
      <c r="FO229" s="162"/>
      <c r="FP229" s="162"/>
      <c r="FQ229" s="163"/>
      <c r="FR229" s="164"/>
      <c r="FV229" s="162"/>
      <c r="FW229" s="162"/>
      <c r="FX229" s="163"/>
      <c r="FY229" s="164"/>
      <c r="GC229" s="162"/>
      <c r="GD229" s="162"/>
      <c r="GE229" s="163"/>
      <c r="GF229" s="164"/>
      <c r="GJ229" s="162"/>
      <c r="GK229" s="162"/>
      <c r="GL229" s="163"/>
      <c r="GM229" s="164"/>
      <c r="GQ229" s="162"/>
      <c r="GR229" s="162"/>
      <c r="GS229" s="163"/>
      <c r="GT229" s="164"/>
      <c r="GX229" s="162"/>
      <c r="GY229" s="162"/>
      <c r="GZ229" s="163"/>
      <c r="HA229" s="164"/>
      <c r="HE229" s="162"/>
      <c r="HF229" s="162"/>
      <c r="HG229" s="163"/>
      <c r="HH229" s="164"/>
      <c r="HL229" s="162"/>
      <c r="HM229" s="162"/>
      <c r="HN229" s="163"/>
      <c r="HO229" s="164"/>
      <c r="HS229" s="162"/>
      <c r="HT229" s="162"/>
      <c r="HU229" s="163"/>
      <c r="HV229" s="164"/>
    </row>
    <row r="230" spans="3:230" x14ac:dyDescent="0.2">
      <c r="C230" s="162"/>
      <c r="D230" s="162"/>
      <c r="E230" s="163"/>
      <c r="F230" s="164"/>
      <c r="J230" s="162"/>
      <c r="K230" s="162"/>
      <c r="L230" s="163"/>
      <c r="M230" s="164"/>
      <c r="Q230" s="162"/>
      <c r="R230" s="162"/>
      <c r="S230" s="163"/>
      <c r="T230" s="164"/>
      <c r="X230" s="162"/>
      <c r="Y230" s="162"/>
      <c r="Z230" s="163"/>
      <c r="AA230" s="164"/>
      <c r="AE230" s="162"/>
      <c r="AF230" s="162"/>
      <c r="AG230" s="163"/>
      <c r="AH230" s="164"/>
      <c r="AL230" s="162"/>
      <c r="AM230" s="162"/>
      <c r="AN230" s="163"/>
      <c r="AO230" s="164"/>
      <c r="AS230" s="162"/>
      <c r="AT230" s="162"/>
      <c r="AU230" s="163"/>
      <c r="AV230" s="164"/>
      <c r="AZ230" s="162"/>
      <c r="BA230" s="162"/>
      <c r="BB230" s="163"/>
      <c r="BC230" s="164"/>
      <c r="BG230" s="162"/>
      <c r="BH230" s="162"/>
      <c r="BI230" s="163"/>
      <c r="BJ230" s="164"/>
      <c r="BN230" s="162"/>
      <c r="BO230" s="162"/>
      <c r="BP230" s="163"/>
      <c r="BQ230" s="164"/>
      <c r="BU230" s="162"/>
      <c r="BV230" s="162"/>
      <c r="BW230" s="163"/>
      <c r="BX230" s="164"/>
      <c r="CB230" s="162"/>
      <c r="CC230" s="162"/>
      <c r="CD230" s="163"/>
      <c r="CE230" s="164"/>
      <c r="CI230" s="162"/>
      <c r="CJ230" s="162"/>
      <c r="CK230" s="163"/>
      <c r="CL230" s="164"/>
      <c r="CP230" s="162"/>
      <c r="CQ230" s="162"/>
      <c r="CR230" s="163"/>
      <c r="CS230" s="164"/>
      <c r="CW230" s="162"/>
      <c r="CX230" s="162"/>
      <c r="CY230" s="163"/>
      <c r="CZ230" s="164"/>
      <c r="DD230" s="162"/>
      <c r="DE230" s="162"/>
      <c r="DF230" s="163"/>
      <c r="DG230" s="164"/>
      <c r="DK230" s="162"/>
      <c r="DL230" s="162"/>
      <c r="DM230" s="163"/>
      <c r="DN230" s="164"/>
      <c r="DR230" s="162"/>
      <c r="DS230" s="162"/>
      <c r="DT230" s="163"/>
      <c r="DU230" s="164"/>
      <c r="DY230" s="162"/>
      <c r="DZ230" s="162"/>
      <c r="EA230" s="163"/>
      <c r="EB230" s="164"/>
      <c r="EF230" s="162"/>
      <c r="EG230" s="162"/>
      <c r="EH230" s="163"/>
      <c r="EI230" s="164"/>
      <c r="EM230" s="162"/>
      <c r="EN230" s="162"/>
      <c r="EO230" s="163"/>
      <c r="EP230" s="164"/>
      <c r="ET230" s="162"/>
      <c r="EU230" s="162"/>
      <c r="EV230" s="163"/>
      <c r="EW230" s="164"/>
      <c r="FA230" s="162"/>
      <c r="FB230" s="162"/>
      <c r="FC230" s="163"/>
      <c r="FD230" s="164"/>
      <c r="FH230" s="162"/>
      <c r="FI230" s="162"/>
      <c r="FJ230" s="163"/>
      <c r="FK230" s="164"/>
      <c r="FO230" s="162"/>
      <c r="FP230" s="162"/>
      <c r="FQ230" s="163"/>
      <c r="FR230" s="164"/>
      <c r="FV230" s="162"/>
      <c r="FW230" s="162"/>
      <c r="FX230" s="163"/>
      <c r="FY230" s="164"/>
      <c r="GC230" s="162"/>
      <c r="GD230" s="162"/>
      <c r="GE230" s="163"/>
      <c r="GF230" s="164"/>
      <c r="GJ230" s="162"/>
      <c r="GK230" s="162"/>
      <c r="GL230" s="163"/>
      <c r="GM230" s="164"/>
      <c r="GQ230" s="162"/>
      <c r="GR230" s="162"/>
      <c r="GS230" s="163"/>
      <c r="GT230" s="164"/>
      <c r="GX230" s="162"/>
      <c r="GY230" s="162"/>
      <c r="GZ230" s="163"/>
      <c r="HA230" s="164"/>
      <c r="HE230" s="162"/>
      <c r="HF230" s="162"/>
      <c r="HG230" s="163"/>
      <c r="HH230" s="164"/>
      <c r="HL230" s="162"/>
      <c r="HM230" s="162"/>
      <c r="HN230" s="163"/>
      <c r="HO230" s="164"/>
      <c r="HS230" s="162"/>
      <c r="HT230" s="162"/>
      <c r="HU230" s="163"/>
      <c r="HV230" s="164"/>
    </row>
    <row r="231" spans="3:230" x14ac:dyDescent="0.2">
      <c r="C231" s="162"/>
      <c r="D231" s="162"/>
      <c r="E231" s="163"/>
      <c r="F231" s="164"/>
      <c r="J231" s="162"/>
      <c r="K231" s="162"/>
      <c r="L231" s="163"/>
      <c r="M231" s="164"/>
      <c r="Q231" s="162"/>
      <c r="R231" s="162"/>
      <c r="S231" s="163"/>
      <c r="T231" s="164"/>
      <c r="X231" s="162"/>
      <c r="Y231" s="162"/>
      <c r="Z231" s="163"/>
      <c r="AA231" s="164"/>
      <c r="AE231" s="162"/>
      <c r="AF231" s="162"/>
      <c r="AG231" s="163"/>
      <c r="AH231" s="164"/>
      <c r="AL231" s="162"/>
      <c r="AM231" s="162"/>
      <c r="AN231" s="163"/>
      <c r="AO231" s="164"/>
      <c r="AS231" s="162"/>
      <c r="AT231" s="162"/>
      <c r="AU231" s="163"/>
      <c r="AV231" s="164"/>
      <c r="AZ231" s="162"/>
      <c r="BA231" s="162"/>
      <c r="BB231" s="163"/>
      <c r="BC231" s="164"/>
      <c r="BG231" s="162"/>
      <c r="BH231" s="162"/>
      <c r="BI231" s="163"/>
      <c r="BJ231" s="164"/>
      <c r="BN231" s="162"/>
      <c r="BO231" s="162"/>
      <c r="BP231" s="163"/>
      <c r="BQ231" s="164"/>
      <c r="BU231" s="162"/>
      <c r="BV231" s="162"/>
      <c r="BW231" s="163"/>
      <c r="BX231" s="164"/>
      <c r="CB231" s="162"/>
      <c r="CC231" s="162"/>
      <c r="CD231" s="163"/>
      <c r="CE231" s="164"/>
      <c r="CI231" s="162"/>
      <c r="CJ231" s="162"/>
      <c r="CK231" s="163"/>
      <c r="CL231" s="164"/>
      <c r="CP231" s="162"/>
      <c r="CQ231" s="162"/>
      <c r="CR231" s="163"/>
      <c r="CS231" s="164"/>
      <c r="CW231" s="162"/>
      <c r="CX231" s="162"/>
      <c r="CY231" s="163"/>
      <c r="CZ231" s="164"/>
      <c r="DD231" s="162"/>
      <c r="DE231" s="162"/>
      <c r="DF231" s="163"/>
      <c r="DG231" s="164"/>
      <c r="DK231" s="162"/>
      <c r="DL231" s="162"/>
      <c r="DM231" s="163"/>
      <c r="DN231" s="164"/>
      <c r="DR231" s="162"/>
      <c r="DS231" s="162"/>
      <c r="DT231" s="163"/>
      <c r="DU231" s="164"/>
      <c r="DY231" s="162"/>
      <c r="DZ231" s="162"/>
      <c r="EA231" s="163"/>
      <c r="EB231" s="164"/>
      <c r="EF231" s="162"/>
      <c r="EG231" s="162"/>
      <c r="EH231" s="163"/>
      <c r="EI231" s="164"/>
      <c r="EM231" s="162"/>
      <c r="EN231" s="162"/>
      <c r="EO231" s="163"/>
      <c r="EP231" s="164"/>
      <c r="ET231" s="162"/>
      <c r="EU231" s="162"/>
      <c r="EV231" s="163"/>
      <c r="EW231" s="164"/>
      <c r="FA231" s="162"/>
      <c r="FB231" s="162"/>
      <c r="FC231" s="163"/>
      <c r="FD231" s="164"/>
      <c r="FH231" s="162"/>
      <c r="FI231" s="162"/>
      <c r="FJ231" s="163"/>
      <c r="FK231" s="164"/>
      <c r="FO231" s="162"/>
      <c r="FP231" s="162"/>
      <c r="FQ231" s="163"/>
      <c r="FR231" s="164"/>
      <c r="FV231" s="162"/>
      <c r="FW231" s="162"/>
      <c r="FX231" s="163"/>
      <c r="FY231" s="164"/>
      <c r="GC231" s="162"/>
      <c r="GD231" s="162"/>
      <c r="GE231" s="163"/>
      <c r="GF231" s="164"/>
      <c r="GJ231" s="162"/>
      <c r="GK231" s="162"/>
      <c r="GL231" s="163"/>
      <c r="GM231" s="164"/>
      <c r="GQ231" s="162"/>
      <c r="GR231" s="162"/>
      <c r="GS231" s="163"/>
      <c r="GT231" s="164"/>
      <c r="GX231" s="162"/>
      <c r="GY231" s="162"/>
      <c r="GZ231" s="163"/>
      <c r="HA231" s="164"/>
      <c r="HE231" s="162"/>
      <c r="HF231" s="162"/>
      <c r="HG231" s="163"/>
      <c r="HH231" s="164"/>
      <c r="HL231" s="162"/>
      <c r="HM231" s="162"/>
      <c r="HN231" s="163"/>
      <c r="HO231" s="164"/>
      <c r="HS231" s="162"/>
      <c r="HT231" s="162"/>
      <c r="HU231" s="163"/>
      <c r="HV231" s="164"/>
    </row>
    <row r="232" spans="3:230" x14ac:dyDescent="0.2">
      <c r="C232" s="162"/>
      <c r="D232" s="162"/>
      <c r="E232" s="163"/>
      <c r="F232" s="164"/>
      <c r="J232" s="162"/>
      <c r="K232" s="162"/>
      <c r="L232" s="163"/>
      <c r="M232" s="164"/>
      <c r="Q232" s="162"/>
      <c r="R232" s="162"/>
      <c r="S232" s="163"/>
      <c r="T232" s="164"/>
      <c r="X232" s="162"/>
      <c r="Y232" s="162"/>
      <c r="Z232" s="163"/>
      <c r="AA232" s="164"/>
      <c r="AE232" s="162"/>
      <c r="AF232" s="162"/>
      <c r="AG232" s="163"/>
      <c r="AH232" s="164"/>
      <c r="AL232" s="162"/>
      <c r="AM232" s="162"/>
      <c r="AN232" s="163"/>
      <c r="AO232" s="164"/>
      <c r="AS232" s="162"/>
      <c r="AT232" s="162"/>
      <c r="AU232" s="163"/>
      <c r="AV232" s="164"/>
      <c r="AZ232" s="162"/>
      <c r="BA232" s="162"/>
      <c r="BB232" s="163"/>
      <c r="BC232" s="164"/>
      <c r="BG232" s="162"/>
      <c r="BH232" s="162"/>
      <c r="BI232" s="163"/>
      <c r="BJ232" s="164"/>
      <c r="BN232" s="162"/>
      <c r="BO232" s="162"/>
      <c r="BP232" s="163"/>
      <c r="BQ232" s="164"/>
      <c r="BU232" s="162"/>
      <c r="BV232" s="162"/>
      <c r="BW232" s="163"/>
      <c r="BX232" s="164"/>
      <c r="CB232" s="162"/>
      <c r="CC232" s="162"/>
      <c r="CD232" s="163"/>
      <c r="CE232" s="164"/>
      <c r="CI232" s="162"/>
      <c r="CJ232" s="162"/>
      <c r="CK232" s="163"/>
      <c r="CL232" s="164"/>
      <c r="CP232" s="162"/>
      <c r="CQ232" s="162"/>
      <c r="CR232" s="163"/>
      <c r="CS232" s="164"/>
      <c r="CW232" s="162"/>
      <c r="CX232" s="162"/>
      <c r="CY232" s="163"/>
      <c r="CZ232" s="164"/>
      <c r="DD232" s="162"/>
      <c r="DE232" s="162"/>
      <c r="DF232" s="163"/>
      <c r="DG232" s="164"/>
      <c r="DK232" s="162"/>
      <c r="DL232" s="162"/>
      <c r="DM232" s="163"/>
      <c r="DN232" s="164"/>
      <c r="DR232" s="162"/>
      <c r="DS232" s="162"/>
      <c r="DT232" s="163"/>
      <c r="DU232" s="164"/>
      <c r="DY232" s="162"/>
      <c r="DZ232" s="162"/>
      <c r="EA232" s="163"/>
      <c r="EB232" s="164"/>
      <c r="EF232" s="162"/>
      <c r="EG232" s="162"/>
      <c r="EH232" s="163"/>
      <c r="EI232" s="164"/>
      <c r="EM232" s="162"/>
      <c r="EN232" s="162"/>
      <c r="EO232" s="163"/>
      <c r="EP232" s="164"/>
      <c r="ET232" s="162"/>
      <c r="EU232" s="162"/>
      <c r="EV232" s="163"/>
      <c r="EW232" s="164"/>
      <c r="FA232" s="162"/>
      <c r="FB232" s="162"/>
      <c r="FC232" s="163"/>
      <c r="FD232" s="164"/>
      <c r="FH232" s="162"/>
      <c r="FI232" s="162"/>
      <c r="FJ232" s="163"/>
      <c r="FK232" s="164"/>
      <c r="FO232" s="162"/>
      <c r="FP232" s="162"/>
      <c r="FQ232" s="163"/>
      <c r="FR232" s="164"/>
      <c r="FV232" s="162"/>
      <c r="FW232" s="162"/>
      <c r="FX232" s="163"/>
      <c r="FY232" s="164"/>
      <c r="GC232" s="162"/>
      <c r="GD232" s="162"/>
      <c r="GE232" s="163"/>
      <c r="GF232" s="164"/>
      <c r="GJ232" s="162"/>
      <c r="GK232" s="162"/>
      <c r="GL232" s="163"/>
      <c r="GM232" s="164"/>
      <c r="GQ232" s="162"/>
      <c r="GR232" s="162"/>
      <c r="GS232" s="163"/>
      <c r="GT232" s="164"/>
      <c r="GX232" s="162"/>
      <c r="GY232" s="162"/>
      <c r="GZ232" s="163"/>
      <c r="HA232" s="164"/>
      <c r="HE232" s="162"/>
      <c r="HF232" s="162"/>
      <c r="HG232" s="163"/>
      <c r="HH232" s="164"/>
      <c r="HL232" s="162"/>
      <c r="HM232" s="162"/>
      <c r="HN232" s="163"/>
      <c r="HO232" s="164"/>
      <c r="HS232" s="162"/>
      <c r="HT232" s="162"/>
      <c r="HU232" s="163"/>
      <c r="HV232" s="164"/>
    </row>
    <row r="233" spans="3:230" x14ac:dyDescent="0.2">
      <c r="C233" s="162"/>
      <c r="D233" s="162"/>
      <c r="E233" s="163"/>
      <c r="F233" s="164"/>
      <c r="J233" s="162"/>
      <c r="K233" s="162"/>
      <c r="L233" s="163"/>
      <c r="M233" s="164"/>
      <c r="Q233" s="162"/>
      <c r="R233" s="162"/>
      <c r="S233" s="163"/>
      <c r="T233" s="164"/>
      <c r="X233" s="162"/>
      <c r="Y233" s="162"/>
      <c r="Z233" s="163"/>
      <c r="AA233" s="164"/>
      <c r="AE233" s="162"/>
      <c r="AF233" s="162"/>
      <c r="AG233" s="163"/>
      <c r="AH233" s="164"/>
      <c r="AL233" s="162"/>
      <c r="AM233" s="162"/>
      <c r="AN233" s="163"/>
      <c r="AO233" s="164"/>
      <c r="AS233" s="162"/>
      <c r="AT233" s="162"/>
      <c r="AU233" s="163"/>
      <c r="AV233" s="164"/>
      <c r="AZ233" s="162"/>
      <c r="BA233" s="162"/>
      <c r="BB233" s="163"/>
      <c r="BC233" s="164"/>
      <c r="BG233" s="162"/>
      <c r="BH233" s="162"/>
      <c r="BI233" s="163"/>
      <c r="BJ233" s="164"/>
      <c r="BN233" s="162"/>
      <c r="BO233" s="162"/>
      <c r="BP233" s="163"/>
      <c r="BQ233" s="164"/>
      <c r="BU233" s="162"/>
      <c r="BV233" s="162"/>
      <c r="BW233" s="163"/>
      <c r="BX233" s="164"/>
      <c r="CB233" s="162"/>
      <c r="CC233" s="162"/>
      <c r="CD233" s="163"/>
      <c r="CE233" s="164"/>
      <c r="CI233" s="162"/>
      <c r="CJ233" s="162"/>
      <c r="CK233" s="163"/>
      <c r="CL233" s="164"/>
      <c r="CP233" s="162"/>
      <c r="CQ233" s="162"/>
      <c r="CR233" s="163"/>
      <c r="CS233" s="164"/>
      <c r="CW233" s="162"/>
      <c r="CX233" s="162"/>
      <c r="CY233" s="163"/>
      <c r="CZ233" s="164"/>
      <c r="DD233" s="162"/>
      <c r="DE233" s="162"/>
      <c r="DF233" s="163"/>
      <c r="DG233" s="164"/>
      <c r="DK233" s="162"/>
      <c r="DL233" s="162"/>
      <c r="DM233" s="163"/>
      <c r="DN233" s="164"/>
      <c r="DR233" s="162"/>
      <c r="DS233" s="162"/>
      <c r="DT233" s="163"/>
      <c r="DU233" s="164"/>
      <c r="DY233" s="162"/>
      <c r="DZ233" s="162"/>
      <c r="EA233" s="163"/>
      <c r="EB233" s="164"/>
      <c r="EF233" s="162"/>
      <c r="EG233" s="162"/>
      <c r="EH233" s="163"/>
      <c r="EI233" s="164"/>
      <c r="EM233" s="162"/>
      <c r="EN233" s="162"/>
      <c r="EO233" s="163"/>
      <c r="EP233" s="164"/>
      <c r="ET233" s="162"/>
      <c r="EU233" s="162"/>
      <c r="EV233" s="163"/>
      <c r="EW233" s="164"/>
      <c r="FA233" s="162"/>
      <c r="FB233" s="162"/>
      <c r="FC233" s="163"/>
      <c r="FD233" s="164"/>
      <c r="FH233" s="162"/>
      <c r="FI233" s="162"/>
      <c r="FJ233" s="163"/>
      <c r="FK233" s="164"/>
      <c r="FO233" s="162"/>
      <c r="FP233" s="162"/>
      <c r="FQ233" s="163"/>
      <c r="FR233" s="164"/>
      <c r="FV233" s="162"/>
      <c r="FW233" s="162"/>
      <c r="FX233" s="163"/>
      <c r="FY233" s="164"/>
      <c r="GC233" s="162"/>
      <c r="GD233" s="162"/>
      <c r="GE233" s="163"/>
      <c r="GF233" s="164"/>
      <c r="GJ233" s="162"/>
      <c r="GK233" s="162"/>
      <c r="GL233" s="163"/>
      <c r="GM233" s="164"/>
      <c r="GQ233" s="162"/>
      <c r="GR233" s="162"/>
      <c r="GS233" s="163"/>
      <c r="GT233" s="164"/>
      <c r="GX233" s="162"/>
      <c r="GY233" s="162"/>
      <c r="GZ233" s="163"/>
      <c r="HA233" s="164"/>
      <c r="HE233" s="162"/>
      <c r="HF233" s="162"/>
      <c r="HG233" s="163"/>
      <c r="HH233" s="164"/>
      <c r="HL233" s="162"/>
      <c r="HM233" s="162"/>
      <c r="HN233" s="163"/>
      <c r="HO233" s="164"/>
      <c r="HS233" s="162"/>
      <c r="HT233" s="162"/>
      <c r="HU233" s="163"/>
      <c r="HV233" s="164"/>
    </row>
    <row r="234" spans="3:230" x14ac:dyDescent="0.2">
      <c r="C234" s="162"/>
      <c r="D234" s="162"/>
      <c r="E234" s="163"/>
      <c r="F234" s="164"/>
      <c r="J234" s="162"/>
      <c r="K234" s="162"/>
      <c r="L234" s="163"/>
      <c r="M234" s="164"/>
      <c r="Q234" s="162"/>
      <c r="R234" s="162"/>
      <c r="S234" s="163"/>
      <c r="T234" s="164"/>
      <c r="X234" s="162"/>
      <c r="Y234" s="162"/>
      <c r="Z234" s="163"/>
      <c r="AA234" s="164"/>
      <c r="AE234" s="162"/>
      <c r="AF234" s="162"/>
      <c r="AG234" s="163"/>
      <c r="AH234" s="164"/>
      <c r="AL234" s="162"/>
      <c r="AM234" s="162"/>
      <c r="AN234" s="163"/>
      <c r="AO234" s="164"/>
      <c r="AS234" s="162"/>
      <c r="AT234" s="162"/>
      <c r="AU234" s="163"/>
      <c r="AV234" s="164"/>
      <c r="AZ234" s="162"/>
      <c r="BA234" s="162"/>
      <c r="BB234" s="163"/>
      <c r="BC234" s="164"/>
      <c r="BG234" s="162"/>
      <c r="BH234" s="162"/>
      <c r="BI234" s="163"/>
      <c r="BJ234" s="164"/>
      <c r="BN234" s="162"/>
      <c r="BO234" s="162"/>
      <c r="BP234" s="163"/>
      <c r="BQ234" s="164"/>
      <c r="BU234" s="162"/>
      <c r="BV234" s="162"/>
      <c r="BW234" s="163"/>
      <c r="BX234" s="164"/>
      <c r="CB234" s="162"/>
      <c r="CC234" s="162"/>
      <c r="CD234" s="163"/>
      <c r="CE234" s="164"/>
      <c r="CI234" s="162"/>
      <c r="CJ234" s="162"/>
      <c r="CK234" s="163"/>
      <c r="CL234" s="164"/>
      <c r="CP234" s="162"/>
      <c r="CQ234" s="162"/>
      <c r="CR234" s="163"/>
      <c r="CS234" s="164"/>
      <c r="CW234" s="162"/>
      <c r="CX234" s="162"/>
      <c r="CY234" s="163"/>
      <c r="CZ234" s="164"/>
      <c r="DD234" s="162"/>
      <c r="DE234" s="162"/>
      <c r="DF234" s="163"/>
      <c r="DG234" s="164"/>
      <c r="DK234" s="162"/>
      <c r="DL234" s="162"/>
      <c r="DM234" s="163"/>
      <c r="DN234" s="164"/>
      <c r="DR234" s="162"/>
      <c r="DS234" s="162"/>
      <c r="DT234" s="163"/>
      <c r="DU234" s="164"/>
      <c r="DY234" s="162"/>
      <c r="DZ234" s="162"/>
      <c r="EA234" s="163"/>
      <c r="EB234" s="164"/>
      <c r="EF234" s="162"/>
      <c r="EG234" s="162"/>
      <c r="EH234" s="163"/>
      <c r="EI234" s="164"/>
      <c r="EM234" s="162"/>
      <c r="EN234" s="162"/>
      <c r="EO234" s="163"/>
      <c r="EP234" s="164"/>
      <c r="ET234" s="162"/>
      <c r="EU234" s="162"/>
      <c r="EV234" s="163"/>
      <c r="EW234" s="164"/>
      <c r="FA234" s="162"/>
      <c r="FB234" s="162"/>
      <c r="FC234" s="163"/>
      <c r="FD234" s="164"/>
      <c r="FH234" s="162"/>
      <c r="FI234" s="162"/>
      <c r="FJ234" s="163"/>
      <c r="FK234" s="164"/>
      <c r="FO234" s="162"/>
      <c r="FP234" s="162"/>
      <c r="FQ234" s="163"/>
      <c r="FR234" s="164"/>
      <c r="FV234" s="162"/>
      <c r="FW234" s="162"/>
      <c r="FX234" s="163"/>
      <c r="FY234" s="164"/>
      <c r="GC234" s="162"/>
      <c r="GD234" s="162"/>
      <c r="GE234" s="163"/>
      <c r="GF234" s="164"/>
      <c r="GJ234" s="162"/>
      <c r="GK234" s="162"/>
      <c r="GL234" s="163"/>
      <c r="GM234" s="164"/>
      <c r="GQ234" s="162"/>
      <c r="GR234" s="162"/>
      <c r="GS234" s="163"/>
      <c r="GT234" s="164"/>
      <c r="GX234" s="162"/>
      <c r="GY234" s="162"/>
      <c r="GZ234" s="163"/>
      <c r="HA234" s="164"/>
      <c r="HE234" s="162"/>
      <c r="HF234" s="162"/>
      <c r="HG234" s="163"/>
      <c r="HH234" s="164"/>
      <c r="HL234" s="162"/>
      <c r="HM234" s="162"/>
      <c r="HN234" s="163"/>
      <c r="HO234" s="164"/>
      <c r="HS234" s="162"/>
      <c r="HT234" s="162"/>
      <c r="HU234" s="163"/>
      <c r="HV234" s="164"/>
    </row>
    <row r="235" spans="3:230" x14ac:dyDescent="0.2">
      <c r="C235" s="162"/>
      <c r="D235" s="162"/>
      <c r="E235" s="163"/>
      <c r="F235" s="164"/>
      <c r="J235" s="162"/>
      <c r="K235" s="162"/>
      <c r="L235" s="163"/>
      <c r="M235" s="164"/>
      <c r="Q235" s="162"/>
      <c r="R235" s="162"/>
      <c r="S235" s="163"/>
      <c r="T235" s="164"/>
      <c r="X235" s="162"/>
      <c r="Y235" s="162"/>
      <c r="Z235" s="163"/>
      <c r="AA235" s="164"/>
      <c r="AE235" s="162"/>
      <c r="AF235" s="162"/>
      <c r="AG235" s="163"/>
      <c r="AH235" s="164"/>
      <c r="AL235" s="162"/>
      <c r="AM235" s="162"/>
      <c r="AN235" s="163"/>
      <c r="AO235" s="164"/>
      <c r="AS235" s="162"/>
      <c r="AT235" s="162"/>
      <c r="AU235" s="163"/>
      <c r="AV235" s="164"/>
      <c r="AZ235" s="162"/>
      <c r="BA235" s="162"/>
      <c r="BB235" s="163"/>
      <c r="BC235" s="164"/>
      <c r="BG235" s="162"/>
      <c r="BH235" s="162"/>
      <c r="BI235" s="163"/>
      <c r="BJ235" s="164"/>
      <c r="BN235" s="162"/>
      <c r="BO235" s="162"/>
      <c r="BP235" s="163"/>
      <c r="BQ235" s="164"/>
      <c r="BU235" s="162"/>
      <c r="BV235" s="162"/>
      <c r="BW235" s="163"/>
      <c r="BX235" s="164"/>
      <c r="CB235" s="162"/>
      <c r="CC235" s="162"/>
      <c r="CD235" s="163"/>
      <c r="CE235" s="164"/>
      <c r="CI235" s="162"/>
      <c r="CJ235" s="162"/>
      <c r="CK235" s="163"/>
      <c r="CL235" s="164"/>
      <c r="CP235" s="162"/>
      <c r="CQ235" s="162"/>
      <c r="CR235" s="163"/>
      <c r="CS235" s="164"/>
      <c r="CW235" s="162"/>
      <c r="CX235" s="162"/>
      <c r="CY235" s="163"/>
      <c r="CZ235" s="164"/>
      <c r="DD235" s="162"/>
      <c r="DE235" s="162"/>
      <c r="DF235" s="163"/>
      <c r="DG235" s="164"/>
      <c r="DK235" s="162"/>
      <c r="DL235" s="162"/>
      <c r="DM235" s="163"/>
      <c r="DN235" s="164"/>
      <c r="DR235" s="162"/>
      <c r="DS235" s="162"/>
      <c r="DT235" s="163"/>
      <c r="DU235" s="164"/>
      <c r="DY235" s="162"/>
      <c r="DZ235" s="162"/>
      <c r="EA235" s="163"/>
      <c r="EB235" s="164"/>
      <c r="EF235" s="162"/>
      <c r="EG235" s="162"/>
      <c r="EH235" s="163"/>
      <c r="EI235" s="164"/>
      <c r="EM235" s="162"/>
      <c r="EN235" s="162"/>
      <c r="EO235" s="163"/>
      <c r="EP235" s="164"/>
      <c r="ET235" s="162"/>
      <c r="EU235" s="162"/>
      <c r="EV235" s="163"/>
      <c r="EW235" s="164"/>
      <c r="FA235" s="162"/>
      <c r="FB235" s="162"/>
      <c r="FC235" s="163"/>
      <c r="FD235" s="164"/>
      <c r="FH235" s="162"/>
      <c r="FI235" s="162"/>
      <c r="FJ235" s="163"/>
      <c r="FK235" s="164"/>
      <c r="FO235" s="162"/>
      <c r="FP235" s="162"/>
      <c r="FQ235" s="163"/>
      <c r="FR235" s="164"/>
      <c r="FV235" s="162"/>
      <c r="FW235" s="162"/>
      <c r="FX235" s="163"/>
      <c r="FY235" s="164"/>
      <c r="GC235" s="162"/>
      <c r="GD235" s="162"/>
      <c r="GE235" s="163"/>
      <c r="GF235" s="164"/>
      <c r="GJ235" s="162"/>
      <c r="GK235" s="162"/>
      <c r="GL235" s="163"/>
      <c r="GM235" s="164"/>
      <c r="GQ235" s="162"/>
      <c r="GR235" s="162"/>
      <c r="GS235" s="163"/>
      <c r="GT235" s="164"/>
      <c r="GX235" s="162"/>
      <c r="GY235" s="162"/>
      <c r="GZ235" s="163"/>
      <c r="HA235" s="164"/>
      <c r="HE235" s="162"/>
      <c r="HF235" s="162"/>
      <c r="HG235" s="163"/>
      <c r="HH235" s="164"/>
      <c r="HL235" s="162"/>
      <c r="HM235" s="162"/>
      <c r="HN235" s="163"/>
      <c r="HO235" s="164"/>
      <c r="HS235" s="162"/>
      <c r="HT235" s="162"/>
      <c r="HU235" s="163"/>
      <c r="HV235" s="164"/>
    </row>
    <row r="236" spans="3:230" x14ac:dyDescent="0.2">
      <c r="C236" s="162"/>
      <c r="D236" s="162"/>
      <c r="E236" s="163"/>
      <c r="F236" s="164"/>
      <c r="J236" s="162"/>
      <c r="K236" s="162"/>
      <c r="L236" s="163"/>
      <c r="M236" s="164"/>
      <c r="Q236" s="162"/>
      <c r="R236" s="162"/>
      <c r="S236" s="163"/>
      <c r="T236" s="164"/>
      <c r="X236" s="162"/>
      <c r="Y236" s="162"/>
      <c r="Z236" s="163"/>
      <c r="AA236" s="164"/>
      <c r="AE236" s="162"/>
      <c r="AF236" s="162"/>
      <c r="AG236" s="163"/>
      <c r="AH236" s="164"/>
      <c r="AL236" s="162"/>
      <c r="AM236" s="162"/>
      <c r="AN236" s="163"/>
      <c r="AO236" s="164"/>
      <c r="AS236" s="162"/>
      <c r="AT236" s="162"/>
      <c r="AU236" s="163"/>
      <c r="AV236" s="164"/>
      <c r="AZ236" s="162"/>
      <c r="BA236" s="162"/>
      <c r="BB236" s="163"/>
      <c r="BC236" s="164"/>
      <c r="BG236" s="162"/>
      <c r="BH236" s="162"/>
      <c r="BI236" s="163"/>
      <c r="BJ236" s="164"/>
      <c r="BN236" s="162"/>
      <c r="BO236" s="162"/>
      <c r="BP236" s="163"/>
      <c r="BQ236" s="164"/>
      <c r="BU236" s="162"/>
      <c r="BV236" s="162"/>
      <c r="BW236" s="163"/>
      <c r="BX236" s="164"/>
      <c r="CB236" s="162"/>
      <c r="CC236" s="162"/>
      <c r="CD236" s="163"/>
      <c r="CE236" s="164"/>
      <c r="CI236" s="162"/>
      <c r="CJ236" s="162"/>
      <c r="CK236" s="163"/>
      <c r="CL236" s="164"/>
      <c r="CP236" s="162"/>
      <c r="CQ236" s="162"/>
      <c r="CR236" s="163"/>
      <c r="CS236" s="164"/>
      <c r="CW236" s="162"/>
      <c r="CX236" s="162"/>
      <c r="CY236" s="163"/>
      <c r="CZ236" s="164"/>
      <c r="DD236" s="162"/>
      <c r="DE236" s="162"/>
      <c r="DF236" s="163"/>
      <c r="DG236" s="164"/>
      <c r="DK236" s="162"/>
      <c r="DL236" s="162"/>
      <c r="DM236" s="163"/>
      <c r="DN236" s="164"/>
      <c r="DR236" s="162"/>
      <c r="DS236" s="162"/>
      <c r="DT236" s="163"/>
      <c r="DU236" s="164"/>
      <c r="DY236" s="162"/>
      <c r="DZ236" s="162"/>
      <c r="EA236" s="163"/>
      <c r="EB236" s="164"/>
      <c r="EF236" s="162"/>
      <c r="EG236" s="162"/>
      <c r="EH236" s="163"/>
      <c r="EI236" s="164"/>
      <c r="EM236" s="162"/>
      <c r="EN236" s="162"/>
      <c r="EO236" s="163"/>
      <c r="EP236" s="164"/>
      <c r="ET236" s="162"/>
      <c r="EU236" s="162"/>
      <c r="EV236" s="163"/>
      <c r="EW236" s="164"/>
      <c r="FA236" s="162"/>
      <c r="FB236" s="162"/>
      <c r="FC236" s="163"/>
      <c r="FD236" s="164"/>
      <c r="FH236" s="162"/>
      <c r="FI236" s="162"/>
      <c r="FJ236" s="163"/>
      <c r="FK236" s="164"/>
      <c r="FO236" s="162"/>
      <c r="FP236" s="162"/>
      <c r="FQ236" s="163"/>
      <c r="FR236" s="164"/>
      <c r="FV236" s="162"/>
      <c r="FW236" s="162"/>
      <c r="FX236" s="163"/>
      <c r="FY236" s="164"/>
      <c r="GC236" s="162"/>
      <c r="GD236" s="162"/>
      <c r="GE236" s="163"/>
      <c r="GF236" s="164"/>
      <c r="GJ236" s="162"/>
      <c r="GK236" s="162"/>
      <c r="GL236" s="163"/>
      <c r="GM236" s="164"/>
      <c r="GQ236" s="162"/>
      <c r="GR236" s="162"/>
      <c r="GS236" s="163"/>
      <c r="GT236" s="164"/>
      <c r="GX236" s="162"/>
      <c r="GY236" s="162"/>
      <c r="GZ236" s="163"/>
      <c r="HA236" s="164"/>
      <c r="HE236" s="162"/>
      <c r="HF236" s="162"/>
      <c r="HG236" s="163"/>
      <c r="HH236" s="164"/>
      <c r="HL236" s="162"/>
      <c r="HM236" s="162"/>
      <c r="HN236" s="163"/>
      <c r="HO236" s="164"/>
      <c r="HS236" s="162"/>
      <c r="HT236" s="162"/>
      <c r="HU236" s="163"/>
      <c r="HV236" s="164"/>
    </row>
    <row r="237" spans="3:230" x14ac:dyDescent="0.2">
      <c r="C237" s="162"/>
      <c r="D237" s="162"/>
      <c r="E237" s="163"/>
      <c r="F237" s="164"/>
      <c r="J237" s="162"/>
      <c r="K237" s="162"/>
      <c r="L237" s="163"/>
      <c r="M237" s="164"/>
      <c r="Q237" s="162"/>
      <c r="R237" s="162"/>
      <c r="S237" s="163"/>
      <c r="T237" s="164"/>
      <c r="X237" s="162"/>
      <c r="Y237" s="162"/>
      <c r="Z237" s="163"/>
      <c r="AA237" s="164"/>
      <c r="AE237" s="162"/>
      <c r="AF237" s="162"/>
      <c r="AG237" s="163"/>
      <c r="AH237" s="164"/>
      <c r="AL237" s="162"/>
      <c r="AM237" s="162"/>
      <c r="AN237" s="163"/>
      <c r="AO237" s="164"/>
      <c r="AS237" s="162"/>
      <c r="AT237" s="162"/>
      <c r="AU237" s="163"/>
      <c r="AV237" s="164"/>
      <c r="AZ237" s="162"/>
      <c r="BA237" s="162"/>
      <c r="BB237" s="163"/>
      <c r="BC237" s="164"/>
      <c r="BG237" s="162"/>
      <c r="BH237" s="162"/>
      <c r="BI237" s="163"/>
      <c r="BJ237" s="164"/>
      <c r="BN237" s="162"/>
      <c r="BO237" s="162"/>
      <c r="BP237" s="163"/>
      <c r="BQ237" s="164"/>
      <c r="BU237" s="162"/>
      <c r="BV237" s="162"/>
      <c r="BW237" s="163"/>
      <c r="BX237" s="164"/>
      <c r="CB237" s="162"/>
      <c r="CC237" s="162"/>
      <c r="CD237" s="163"/>
      <c r="CE237" s="164"/>
      <c r="CI237" s="162"/>
      <c r="CJ237" s="162"/>
      <c r="CK237" s="163"/>
      <c r="CL237" s="164"/>
      <c r="CP237" s="162"/>
      <c r="CQ237" s="162"/>
      <c r="CR237" s="163"/>
      <c r="CS237" s="164"/>
      <c r="CW237" s="162"/>
      <c r="CX237" s="162"/>
      <c r="CY237" s="163"/>
      <c r="CZ237" s="164"/>
      <c r="DD237" s="162"/>
      <c r="DE237" s="162"/>
      <c r="DF237" s="163"/>
      <c r="DG237" s="164"/>
      <c r="DK237" s="162"/>
      <c r="DL237" s="162"/>
      <c r="DM237" s="163"/>
      <c r="DN237" s="164"/>
      <c r="DR237" s="162"/>
      <c r="DS237" s="162"/>
      <c r="DT237" s="163"/>
      <c r="DU237" s="164"/>
      <c r="DY237" s="162"/>
      <c r="DZ237" s="162"/>
      <c r="EA237" s="163"/>
      <c r="EB237" s="164"/>
      <c r="EF237" s="162"/>
      <c r="EG237" s="162"/>
      <c r="EH237" s="163"/>
      <c r="EI237" s="164"/>
      <c r="EM237" s="162"/>
      <c r="EN237" s="162"/>
      <c r="EO237" s="163"/>
      <c r="EP237" s="164"/>
      <c r="ET237" s="162"/>
      <c r="EU237" s="162"/>
      <c r="EV237" s="163"/>
      <c r="EW237" s="164"/>
      <c r="FA237" s="162"/>
      <c r="FB237" s="162"/>
      <c r="FC237" s="163"/>
      <c r="FD237" s="164"/>
      <c r="FH237" s="162"/>
      <c r="FI237" s="162"/>
      <c r="FJ237" s="163"/>
      <c r="FK237" s="164"/>
      <c r="FO237" s="162"/>
      <c r="FP237" s="162"/>
      <c r="FQ237" s="163"/>
      <c r="FR237" s="164"/>
      <c r="FV237" s="162"/>
      <c r="FW237" s="162"/>
      <c r="FX237" s="163"/>
      <c r="FY237" s="164"/>
      <c r="GC237" s="162"/>
      <c r="GD237" s="162"/>
      <c r="GE237" s="163"/>
      <c r="GF237" s="164"/>
      <c r="GJ237" s="162"/>
      <c r="GK237" s="162"/>
      <c r="GL237" s="163"/>
      <c r="GM237" s="164"/>
      <c r="GQ237" s="162"/>
      <c r="GR237" s="162"/>
      <c r="GS237" s="163"/>
      <c r="GT237" s="164"/>
      <c r="GX237" s="162"/>
      <c r="GY237" s="162"/>
      <c r="GZ237" s="163"/>
      <c r="HA237" s="164"/>
      <c r="HE237" s="162"/>
      <c r="HF237" s="162"/>
      <c r="HG237" s="163"/>
      <c r="HH237" s="164"/>
      <c r="HL237" s="162"/>
      <c r="HM237" s="162"/>
      <c r="HN237" s="163"/>
      <c r="HO237" s="164"/>
      <c r="HS237" s="162"/>
      <c r="HT237" s="162"/>
      <c r="HU237" s="163"/>
      <c r="HV237" s="164"/>
    </row>
    <row r="238" spans="3:230" x14ac:dyDescent="0.2">
      <c r="C238" s="162"/>
      <c r="D238" s="162"/>
      <c r="E238" s="163"/>
      <c r="F238" s="164"/>
      <c r="J238" s="162"/>
      <c r="K238" s="162"/>
      <c r="L238" s="163"/>
      <c r="M238" s="164"/>
      <c r="Q238" s="162"/>
      <c r="R238" s="162"/>
      <c r="S238" s="163"/>
      <c r="T238" s="164"/>
      <c r="X238" s="162"/>
      <c r="Y238" s="162"/>
      <c r="Z238" s="163"/>
      <c r="AA238" s="164"/>
      <c r="AE238" s="162"/>
      <c r="AF238" s="162"/>
      <c r="AG238" s="163"/>
      <c r="AH238" s="164"/>
      <c r="AL238" s="162"/>
      <c r="AM238" s="162"/>
      <c r="AN238" s="163"/>
      <c r="AO238" s="164"/>
      <c r="AS238" s="162"/>
      <c r="AT238" s="162"/>
      <c r="AU238" s="163"/>
      <c r="AV238" s="164"/>
      <c r="AZ238" s="162"/>
      <c r="BA238" s="162"/>
      <c r="BB238" s="163"/>
      <c r="BC238" s="164"/>
      <c r="BG238" s="162"/>
      <c r="BH238" s="162"/>
      <c r="BI238" s="163"/>
      <c r="BJ238" s="164"/>
      <c r="BN238" s="162"/>
      <c r="BO238" s="162"/>
      <c r="BP238" s="163"/>
      <c r="BQ238" s="164"/>
      <c r="BU238" s="162"/>
      <c r="BV238" s="162"/>
      <c r="BW238" s="163"/>
      <c r="BX238" s="164"/>
      <c r="CB238" s="162"/>
      <c r="CC238" s="162"/>
      <c r="CD238" s="163"/>
      <c r="CE238" s="164"/>
      <c r="CI238" s="162"/>
      <c r="CJ238" s="162"/>
      <c r="CK238" s="163"/>
      <c r="CL238" s="164"/>
      <c r="CP238" s="162"/>
      <c r="CQ238" s="162"/>
      <c r="CR238" s="163"/>
      <c r="CS238" s="164"/>
      <c r="CW238" s="162"/>
      <c r="CX238" s="162"/>
      <c r="CY238" s="163"/>
      <c r="CZ238" s="164"/>
      <c r="DD238" s="162"/>
      <c r="DE238" s="162"/>
      <c r="DF238" s="163"/>
      <c r="DG238" s="164"/>
      <c r="DK238" s="162"/>
      <c r="DL238" s="162"/>
      <c r="DM238" s="163"/>
      <c r="DN238" s="164"/>
      <c r="DR238" s="162"/>
      <c r="DS238" s="162"/>
      <c r="DT238" s="163"/>
      <c r="DU238" s="164"/>
      <c r="DY238" s="162"/>
      <c r="DZ238" s="162"/>
      <c r="EA238" s="163"/>
      <c r="EB238" s="164"/>
      <c r="EF238" s="162"/>
      <c r="EG238" s="162"/>
      <c r="EH238" s="163"/>
      <c r="EI238" s="164"/>
      <c r="EM238" s="162"/>
      <c r="EN238" s="162"/>
      <c r="EO238" s="163"/>
      <c r="EP238" s="164"/>
      <c r="ET238" s="162"/>
      <c r="EU238" s="162"/>
      <c r="EV238" s="163"/>
      <c r="EW238" s="164"/>
      <c r="FA238" s="162"/>
      <c r="FB238" s="162"/>
      <c r="FC238" s="163"/>
      <c r="FD238" s="164"/>
      <c r="FH238" s="162"/>
      <c r="FI238" s="162"/>
      <c r="FJ238" s="163"/>
      <c r="FK238" s="164"/>
      <c r="FO238" s="162"/>
      <c r="FP238" s="162"/>
      <c r="FQ238" s="163"/>
      <c r="FR238" s="164"/>
      <c r="FV238" s="162"/>
      <c r="FW238" s="162"/>
      <c r="FX238" s="163"/>
      <c r="FY238" s="164"/>
      <c r="GC238" s="162"/>
      <c r="GD238" s="162"/>
      <c r="GE238" s="163"/>
      <c r="GF238" s="164"/>
      <c r="GJ238" s="162"/>
      <c r="GK238" s="162"/>
      <c r="GL238" s="163"/>
      <c r="GM238" s="164"/>
      <c r="GQ238" s="162"/>
      <c r="GR238" s="162"/>
      <c r="GS238" s="163"/>
      <c r="GT238" s="164"/>
      <c r="GX238" s="162"/>
      <c r="GY238" s="162"/>
      <c r="GZ238" s="163"/>
      <c r="HA238" s="164"/>
      <c r="HE238" s="162"/>
      <c r="HF238" s="162"/>
      <c r="HG238" s="163"/>
      <c r="HH238" s="164"/>
      <c r="HL238" s="162"/>
      <c r="HM238" s="162"/>
      <c r="HN238" s="163"/>
      <c r="HO238" s="164"/>
      <c r="HS238" s="162"/>
      <c r="HT238" s="162"/>
      <c r="HU238" s="163"/>
      <c r="HV238" s="164"/>
    </row>
    <row r="239" spans="3:230" x14ac:dyDescent="0.2">
      <c r="C239" s="162"/>
      <c r="D239" s="162"/>
      <c r="E239" s="163"/>
      <c r="F239" s="164"/>
      <c r="J239" s="162"/>
      <c r="K239" s="162"/>
      <c r="L239" s="163"/>
      <c r="M239" s="164"/>
      <c r="Q239" s="162"/>
      <c r="R239" s="162"/>
      <c r="S239" s="163"/>
      <c r="T239" s="164"/>
      <c r="X239" s="162"/>
      <c r="Y239" s="162"/>
      <c r="Z239" s="163"/>
      <c r="AA239" s="164"/>
      <c r="AE239" s="162"/>
      <c r="AF239" s="162"/>
      <c r="AG239" s="163"/>
      <c r="AH239" s="164"/>
      <c r="AL239" s="162"/>
      <c r="AM239" s="162"/>
      <c r="AN239" s="163"/>
      <c r="AO239" s="164"/>
      <c r="AS239" s="162"/>
      <c r="AT239" s="162"/>
      <c r="AU239" s="163"/>
      <c r="AV239" s="164"/>
      <c r="AZ239" s="162"/>
      <c r="BA239" s="162"/>
      <c r="BB239" s="163"/>
      <c r="BC239" s="164"/>
      <c r="BG239" s="162"/>
      <c r="BH239" s="162"/>
      <c r="BI239" s="163"/>
      <c r="BJ239" s="164"/>
      <c r="BN239" s="162"/>
      <c r="BO239" s="162"/>
      <c r="BP239" s="163"/>
      <c r="BQ239" s="164"/>
      <c r="BU239" s="162"/>
      <c r="BV239" s="162"/>
      <c r="BW239" s="163"/>
      <c r="BX239" s="164"/>
      <c r="CB239" s="162"/>
      <c r="CC239" s="162"/>
      <c r="CD239" s="163"/>
      <c r="CE239" s="164"/>
      <c r="CI239" s="162"/>
      <c r="CJ239" s="162"/>
      <c r="CK239" s="163"/>
      <c r="CL239" s="164"/>
      <c r="CP239" s="162"/>
      <c r="CQ239" s="162"/>
      <c r="CR239" s="163"/>
      <c r="CS239" s="164"/>
      <c r="CW239" s="162"/>
      <c r="CX239" s="162"/>
      <c r="CY239" s="163"/>
      <c r="CZ239" s="164"/>
      <c r="DD239" s="162"/>
      <c r="DE239" s="162"/>
      <c r="DF239" s="163"/>
      <c r="DG239" s="164"/>
      <c r="DK239" s="162"/>
      <c r="DL239" s="162"/>
      <c r="DM239" s="163"/>
      <c r="DN239" s="164"/>
      <c r="DR239" s="162"/>
      <c r="DS239" s="162"/>
      <c r="DT239" s="163"/>
      <c r="DU239" s="164"/>
      <c r="DY239" s="162"/>
      <c r="DZ239" s="162"/>
      <c r="EA239" s="163"/>
      <c r="EB239" s="164"/>
      <c r="EF239" s="162"/>
      <c r="EG239" s="162"/>
      <c r="EH239" s="163"/>
      <c r="EI239" s="164"/>
      <c r="EM239" s="162"/>
      <c r="EN239" s="162"/>
      <c r="EO239" s="163"/>
      <c r="EP239" s="164"/>
      <c r="ET239" s="162"/>
      <c r="EU239" s="162"/>
      <c r="EV239" s="163"/>
      <c r="EW239" s="164"/>
      <c r="FA239" s="162"/>
      <c r="FB239" s="162"/>
      <c r="FC239" s="163"/>
      <c r="FD239" s="164"/>
      <c r="FH239" s="162"/>
      <c r="FI239" s="162"/>
      <c r="FJ239" s="163"/>
      <c r="FK239" s="164"/>
      <c r="FO239" s="162"/>
      <c r="FP239" s="162"/>
      <c r="FQ239" s="163"/>
      <c r="FR239" s="164"/>
      <c r="FV239" s="162"/>
      <c r="FW239" s="162"/>
      <c r="FX239" s="163"/>
      <c r="FY239" s="164"/>
      <c r="GC239" s="162"/>
      <c r="GD239" s="162"/>
      <c r="GE239" s="163"/>
      <c r="GF239" s="164"/>
      <c r="GJ239" s="162"/>
      <c r="GK239" s="162"/>
      <c r="GL239" s="163"/>
      <c r="GM239" s="164"/>
      <c r="GQ239" s="162"/>
      <c r="GR239" s="162"/>
      <c r="GS239" s="163"/>
      <c r="GT239" s="164"/>
      <c r="GX239" s="162"/>
      <c r="GY239" s="162"/>
      <c r="GZ239" s="163"/>
      <c r="HA239" s="164"/>
      <c r="HE239" s="162"/>
      <c r="HF239" s="162"/>
      <c r="HG239" s="163"/>
      <c r="HH239" s="164"/>
      <c r="HL239" s="162"/>
      <c r="HM239" s="162"/>
      <c r="HN239" s="163"/>
      <c r="HO239" s="164"/>
      <c r="HS239" s="162"/>
      <c r="HT239" s="162"/>
      <c r="HU239" s="163"/>
      <c r="HV239" s="164"/>
    </row>
    <row r="240" spans="3:230" x14ac:dyDescent="0.2">
      <c r="C240" s="162"/>
      <c r="D240" s="162"/>
      <c r="E240" s="163"/>
      <c r="F240" s="164"/>
      <c r="J240" s="162"/>
      <c r="K240" s="162"/>
      <c r="L240" s="163"/>
      <c r="M240" s="164"/>
      <c r="Q240" s="162"/>
      <c r="R240" s="162"/>
      <c r="S240" s="163"/>
      <c r="T240" s="164"/>
      <c r="X240" s="162"/>
      <c r="Y240" s="162"/>
      <c r="Z240" s="163"/>
      <c r="AA240" s="164"/>
      <c r="AE240" s="162"/>
      <c r="AF240" s="162"/>
      <c r="AG240" s="163"/>
      <c r="AH240" s="164"/>
      <c r="AL240" s="162"/>
      <c r="AM240" s="162"/>
      <c r="AN240" s="163"/>
      <c r="AO240" s="164"/>
      <c r="AS240" s="162"/>
      <c r="AT240" s="162"/>
      <c r="AU240" s="163"/>
      <c r="AV240" s="164"/>
      <c r="AZ240" s="162"/>
      <c r="BA240" s="162"/>
      <c r="BB240" s="163"/>
      <c r="BC240" s="164"/>
      <c r="BG240" s="162"/>
      <c r="BH240" s="162"/>
      <c r="BI240" s="163"/>
      <c r="BJ240" s="164"/>
      <c r="BN240" s="162"/>
      <c r="BO240" s="162"/>
      <c r="BP240" s="163"/>
      <c r="BQ240" s="164"/>
      <c r="BU240" s="162"/>
      <c r="BV240" s="162"/>
      <c r="BW240" s="163"/>
      <c r="BX240" s="164"/>
      <c r="CB240" s="162"/>
      <c r="CC240" s="162"/>
      <c r="CD240" s="163"/>
      <c r="CE240" s="164"/>
      <c r="CI240" s="162"/>
      <c r="CJ240" s="162"/>
      <c r="CK240" s="163"/>
      <c r="CL240" s="164"/>
      <c r="CP240" s="162"/>
      <c r="CQ240" s="162"/>
      <c r="CR240" s="163"/>
      <c r="CS240" s="164"/>
      <c r="CW240" s="162"/>
      <c r="CX240" s="162"/>
      <c r="CY240" s="163"/>
      <c r="CZ240" s="164"/>
      <c r="DD240" s="162"/>
      <c r="DE240" s="162"/>
      <c r="DF240" s="163"/>
      <c r="DG240" s="164"/>
      <c r="DK240" s="162"/>
      <c r="DL240" s="162"/>
      <c r="DM240" s="163"/>
      <c r="DN240" s="164"/>
      <c r="DR240" s="162"/>
      <c r="DS240" s="162"/>
      <c r="DT240" s="163"/>
      <c r="DU240" s="164"/>
      <c r="DY240" s="162"/>
      <c r="DZ240" s="162"/>
      <c r="EA240" s="163"/>
      <c r="EB240" s="164"/>
      <c r="EF240" s="162"/>
      <c r="EG240" s="162"/>
      <c r="EH240" s="163"/>
      <c r="EI240" s="164"/>
      <c r="EM240" s="162"/>
      <c r="EN240" s="162"/>
      <c r="EO240" s="163"/>
      <c r="EP240" s="164"/>
      <c r="ET240" s="162"/>
      <c r="EU240" s="162"/>
      <c r="EV240" s="163"/>
      <c r="EW240" s="164"/>
      <c r="FA240" s="162"/>
      <c r="FB240" s="162"/>
      <c r="FC240" s="163"/>
      <c r="FD240" s="164"/>
      <c r="FH240" s="162"/>
      <c r="FI240" s="162"/>
      <c r="FJ240" s="163"/>
      <c r="FK240" s="164"/>
      <c r="FO240" s="162"/>
      <c r="FP240" s="162"/>
      <c r="FQ240" s="163"/>
      <c r="FR240" s="164"/>
      <c r="FV240" s="162"/>
      <c r="FW240" s="162"/>
      <c r="FX240" s="163"/>
      <c r="FY240" s="164"/>
      <c r="GC240" s="162"/>
      <c r="GD240" s="162"/>
      <c r="GE240" s="163"/>
      <c r="GF240" s="164"/>
      <c r="GJ240" s="162"/>
      <c r="GK240" s="162"/>
      <c r="GL240" s="163"/>
      <c r="GM240" s="164"/>
      <c r="GQ240" s="162"/>
      <c r="GR240" s="162"/>
      <c r="GS240" s="163"/>
      <c r="GT240" s="164"/>
      <c r="GX240" s="162"/>
      <c r="GY240" s="162"/>
      <c r="GZ240" s="163"/>
      <c r="HA240" s="164"/>
      <c r="HE240" s="162"/>
      <c r="HF240" s="162"/>
      <c r="HG240" s="163"/>
      <c r="HH240" s="164"/>
      <c r="HL240" s="162"/>
      <c r="HM240" s="162"/>
      <c r="HN240" s="163"/>
      <c r="HO240" s="164"/>
      <c r="HS240" s="162"/>
      <c r="HT240" s="162"/>
      <c r="HU240" s="163"/>
      <c r="HV240" s="164"/>
    </row>
    <row r="241" spans="3:230" x14ac:dyDescent="0.2">
      <c r="C241" s="162"/>
      <c r="D241" s="162"/>
      <c r="E241" s="163"/>
      <c r="F241" s="164"/>
      <c r="J241" s="162"/>
      <c r="K241" s="162"/>
      <c r="L241" s="163"/>
      <c r="M241" s="164"/>
      <c r="Q241" s="162"/>
      <c r="R241" s="162"/>
      <c r="S241" s="163"/>
      <c r="T241" s="164"/>
      <c r="X241" s="162"/>
      <c r="Y241" s="162"/>
      <c r="Z241" s="163"/>
      <c r="AA241" s="164"/>
      <c r="AE241" s="162"/>
      <c r="AF241" s="162"/>
      <c r="AG241" s="163"/>
      <c r="AH241" s="164"/>
      <c r="AL241" s="162"/>
      <c r="AM241" s="162"/>
      <c r="AN241" s="163"/>
      <c r="AO241" s="164"/>
      <c r="AS241" s="162"/>
      <c r="AT241" s="162"/>
      <c r="AU241" s="163"/>
      <c r="AV241" s="164"/>
      <c r="AZ241" s="162"/>
      <c r="BA241" s="162"/>
      <c r="BB241" s="163"/>
      <c r="BC241" s="164"/>
      <c r="BG241" s="162"/>
      <c r="BH241" s="162"/>
      <c r="BI241" s="163"/>
      <c r="BJ241" s="164"/>
      <c r="BN241" s="162"/>
      <c r="BO241" s="162"/>
      <c r="BP241" s="163"/>
      <c r="BQ241" s="164"/>
      <c r="BU241" s="162"/>
      <c r="BV241" s="162"/>
      <c r="BW241" s="163"/>
      <c r="BX241" s="164"/>
      <c r="CB241" s="162"/>
      <c r="CC241" s="162"/>
      <c r="CD241" s="163"/>
      <c r="CE241" s="164"/>
      <c r="CI241" s="162"/>
      <c r="CJ241" s="162"/>
      <c r="CK241" s="163"/>
      <c r="CL241" s="164"/>
      <c r="CP241" s="162"/>
      <c r="CQ241" s="162"/>
      <c r="CR241" s="163"/>
      <c r="CS241" s="164"/>
      <c r="CW241" s="162"/>
      <c r="CX241" s="162"/>
      <c r="CY241" s="163"/>
      <c r="CZ241" s="164"/>
      <c r="DD241" s="162"/>
      <c r="DE241" s="162"/>
      <c r="DF241" s="163"/>
      <c r="DG241" s="164"/>
      <c r="DK241" s="162"/>
      <c r="DL241" s="162"/>
      <c r="DM241" s="163"/>
      <c r="DN241" s="164"/>
      <c r="DR241" s="162"/>
      <c r="DS241" s="162"/>
      <c r="DT241" s="163"/>
      <c r="DU241" s="164"/>
      <c r="DY241" s="162"/>
      <c r="DZ241" s="162"/>
      <c r="EA241" s="163"/>
      <c r="EB241" s="164"/>
      <c r="EF241" s="162"/>
      <c r="EG241" s="162"/>
      <c r="EH241" s="163"/>
      <c r="EI241" s="164"/>
      <c r="EM241" s="162"/>
      <c r="EN241" s="162"/>
      <c r="EO241" s="163"/>
      <c r="EP241" s="164"/>
      <c r="ET241" s="162"/>
      <c r="EU241" s="162"/>
      <c r="EV241" s="163"/>
      <c r="EW241" s="164"/>
      <c r="FA241" s="162"/>
      <c r="FB241" s="162"/>
      <c r="FC241" s="163"/>
      <c r="FD241" s="164"/>
      <c r="FH241" s="162"/>
      <c r="FI241" s="162"/>
      <c r="FJ241" s="163"/>
      <c r="FK241" s="164"/>
      <c r="FO241" s="162"/>
      <c r="FP241" s="162"/>
      <c r="FQ241" s="163"/>
      <c r="FR241" s="164"/>
      <c r="FV241" s="162"/>
      <c r="FW241" s="162"/>
      <c r="FX241" s="163"/>
      <c r="FY241" s="164"/>
      <c r="GC241" s="162"/>
      <c r="GD241" s="162"/>
      <c r="GE241" s="163"/>
      <c r="GF241" s="164"/>
      <c r="GJ241" s="162"/>
      <c r="GK241" s="162"/>
      <c r="GL241" s="163"/>
      <c r="GM241" s="164"/>
      <c r="GQ241" s="162"/>
      <c r="GR241" s="162"/>
      <c r="GS241" s="163"/>
      <c r="GT241" s="164"/>
      <c r="GX241" s="162"/>
      <c r="GY241" s="162"/>
      <c r="GZ241" s="163"/>
      <c r="HA241" s="164"/>
      <c r="HE241" s="162"/>
      <c r="HF241" s="162"/>
      <c r="HG241" s="163"/>
      <c r="HH241" s="164"/>
      <c r="HL241" s="162"/>
      <c r="HM241" s="162"/>
      <c r="HN241" s="163"/>
      <c r="HO241" s="164"/>
      <c r="HS241" s="162"/>
      <c r="HT241" s="162"/>
      <c r="HU241" s="163"/>
      <c r="HV241" s="164"/>
    </row>
    <row r="242" spans="3:230" x14ac:dyDescent="0.2">
      <c r="C242" s="162"/>
      <c r="D242" s="162"/>
      <c r="E242" s="163"/>
      <c r="F242" s="164"/>
      <c r="J242" s="162"/>
      <c r="K242" s="162"/>
      <c r="L242" s="163"/>
      <c r="M242" s="164"/>
      <c r="Q242" s="162"/>
      <c r="R242" s="162"/>
      <c r="S242" s="163"/>
      <c r="T242" s="164"/>
      <c r="X242" s="162"/>
      <c r="Y242" s="162"/>
      <c r="Z242" s="163"/>
      <c r="AA242" s="164"/>
      <c r="AE242" s="162"/>
      <c r="AF242" s="162"/>
      <c r="AG242" s="163"/>
      <c r="AH242" s="164"/>
      <c r="AL242" s="162"/>
      <c r="AM242" s="162"/>
      <c r="AN242" s="163"/>
      <c r="AO242" s="164"/>
      <c r="AS242" s="162"/>
      <c r="AT242" s="162"/>
      <c r="AU242" s="163"/>
      <c r="AV242" s="164"/>
      <c r="AZ242" s="162"/>
      <c r="BA242" s="162"/>
      <c r="BB242" s="163"/>
      <c r="BC242" s="164"/>
      <c r="BG242" s="162"/>
      <c r="BH242" s="162"/>
      <c r="BI242" s="163"/>
      <c r="BJ242" s="164"/>
      <c r="BN242" s="162"/>
      <c r="BO242" s="162"/>
      <c r="BP242" s="163"/>
      <c r="BQ242" s="164"/>
      <c r="BU242" s="162"/>
      <c r="BV242" s="162"/>
      <c r="BW242" s="163"/>
      <c r="BX242" s="164"/>
      <c r="CB242" s="162"/>
      <c r="CC242" s="162"/>
      <c r="CD242" s="163"/>
      <c r="CE242" s="164"/>
      <c r="CI242" s="162"/>
      <c r="CJ242" s="162"/>
      <c r="CK242" s="163"/>
      <c r="CL242" s="164"/>
      <c r="CP242" s="162"/>
      <c r="CQ242" s="162"/>
      <c r="CR242" s="163"/>
      <c r="CS242" s="164"/>
      <c r="CW242" s="162"/>
      <c r="CX242" s="162"/>
      <c r="CY242" s="163"/>
      <c r="CZ242" s="164"/>
      <c r="DD242" s="162"/>
      <c r="DE242" s="162"/>
      <c r="DF242" s="163"/>
      <c r="DG242" s="164"/>
      <c r="DK242" s="162"/>
      <c r="DL242" s="162"/>
      <c r="DM242" s="163"/>
      <c r="DN242" s="164"/>
      <c r="DR242" s="162"/>
      <c r="DS242" s="162"/>
      <c r="DT242" s="163"/>
      <c r="DU242" s="164"/>
      <c r="DY242" s="162"/>
      <c r="DZ242" s="162"/>
      <c r="EA242" s="163"/>
      <c r="EB242" s="164"/>
      <c r="EF242" s="162"/>
      <c r="EG242" s="162"/>
      <c r="EH242" s="163"/>
      <c r="EI242" s="164"/>
      <c r="EM242" s="162"/>
      <c r="EN242" s="162"/>
      <c r="EO242" s="163"/>
      <c r="EP242" s="164"/>
      <c r="ET242" s="162"/>
      <c r="EU242" s="162"/>
      <c r="EV242" s="163"/>
      <c r="EW242" s="164"/>
      <c r="FA242" s="162"/>
      <c r="FB242" s="162"/>
      <c r="FC242" s="163"/>
      <c r="FD242" s="164"/>
      <c r="FH242" s="162"/>
      <c r="FI242" s="162"/>
      <c r="FJ242" s="163"/>
      <c r="FK242" s="164"/>
      <c r="FO242" s="162"/>
      <c r="FP242" s="162"/>
      <c r="FQ242" s="163"/>
      <c r="FR242" s="164"/>
      <c r="FV242" s="162"/>
      <c r="FW242" s="162"/>
      <c r="FX242" s="163"/>
      <c r="FY242" s="164"/>
      <c r="GC242" s="162"/>
      <c r="GD242" s="162"/>
      <c r="GE242" s="163"/>
      <c r="GF242" s="164"/>
      <c r="GJ242" s="162"/>
      <c r="GK242" s="162"/>
      <c r="GL242" s="163"/>
      <c r="GM242" s="164"/>
      <c r="GQ242" s="162"/>
      <c r="GR242" s="162"/>
      <c r="GS242" s="163"/>
      <c r="GT242" s="164"/>
      <c r="GX242" s="162"/>
      <c r="GY242" s="162"/>
      <c r="GZ242" s="163"/>
      <c r="HA242" s="164"/>
      <c r="HE242" s="162"/>
      <c r="HF242" s="162"/>
      <c r="HG242" s="163"/>
      <c r="HH242" s="164"/>
      <c r="HL242" s="162"/>
      <c r="HM242" s="162"/>
      <c r="HN242" s="163"/>
      <c r="HO242" s="164"/>
      <c r="HS242" s="162"/>
      <c r="HT242" s="162"/>
      <c r="HU242" s="163"/>
      <c r="HV242" s="164"/>
    </row>
    <row r="243" spans="3:230" x14ac:dyDescent="0.2">
      <c r="C243" s="162"/>
      <c r="D243" s="162"/>
      <c r="E243" s="163"/>
      <c r="F243" s="164"/>
      <c r="J243" s="162"/>
      <c r="K243" s="162"/>
      <c r="L243" s="163"/>
      <c r="M243" s="164"/>
      <c r="Q243" s="162"/>
      <c r="R243" s="162"/>
      <c r="S243" s="163"/>
      <c r="T243" s="164"/>
      <c r="X243" s="162"/>
      <c r="Y243" s="162"/>
      <c r="Z243" s="163"/>
      <c r="AA243" s="164"/>
      <c r="AE243" s="162"/>
      <c r="AF243" s="162"/>
      <c r="AG243" s="163"/>
      <c r="AH243" s="164"/>
      <c r="AL243" s="162"/>
      <c r="AM243" s="162"/>
      <c r="AN243" s="163"/>
      <c r="AO243" s="164"/>
      <c r="AS243" s="162"/>
      <c r="AT243" s="162"/>
      <c r="AU243" s="163"/>
      <c r="AV243" s="164"/>
      <c r="AZ243" s="162"/>
      <c r="BA243" s="162"/>
      <c r="BB243" s="163"/>
      <c r="BC243" s="164"/>
      <c r="BG243" s="162"/>
      <c r="BH243" s="162"/>
      <c r="BI243" s="163"/>
      <c r="BJ243" s="164"/>
      <c r="BN243" s="162"/>
      <c r="BO243" s="162"/>
      <c r="BP243" s="163"/>
      <c r="BQ243" s="164"/>
      <c r="BU243" s="162"/>
      <c r="BV243" s="162"/>
      <c r="BW243" s="163"/>
      <c r="BX243" s="164"/>
      <c r="CB243" s="162"/>
      <c r="CC243" s="162"/>
      <c r="CD243" s="163"/>
      <c r="CE243" s="164"/>
      <c r="CI243" s="162"/>
      <c r="CJ243" s="162"/>
      <c r="CK243" s="163"/>
      <c r="CL243" s="164"/>
      <c r="CP243" s="162"/>
      <c r="CQ243" s="162"/>
      <c r="CR243" s="163"/>
      <c r="CS243" s="164"/>
      <c r="CW243" s="162"/>
      <c r="CX243" s="162"/>
      <c r="CY243" s="163"/>
      <c r="CZ243" s="164"/>
      <c r="DD243" s="162"/>
      <c r="DE243" s="162"/>
      <c r="DF243" s="163"/>
      <c r="DG243" s="164"/>
      <c r="DK243" s="162"/>
      <c r="DL243" s="162"/>
      <c r="DM243" s="163"/>
      <c r="DN243" s="164"/>
      <c r="DR243" s="162"/>
      <c r="DS243" s="162"/>
      <c r="DT243" s="163"/>
      <c r="DU243" s="164"/>
      <c r="DY243" s="162"/>
      <c r="DZ243" s="162"/>
      <c r="EA243" s="163"/>
      <c r="EB243" s="164"/>
      <c r="EF243" s="162"/>
      <c r="EG243" s="162"/>
      <c r="EH243" s="163"/>
      <c r="EI243" s="164"/>
      <c r="EM243" s="162"/>
      <c r="EN243" s="162"/>
      <c r="EO243" s="163"/>
      <c r="EP243" s="164"/>
      <c r="ET243" s="162"/>
      <c r="EU243" s="162"/>
      <c r="EV243" s="163"/>
      <c r="EW243" s="164"/>
      <c r="FA243" s="162"/>
      <c r="FB243" s="162"/>
      <c r="FC243" s="163"/>
      <c r="FD243" s="164"/>
      <c r="FH243" s="162"/>
      <c r="FI243" s="162"/>
      <c r="FJ243" s="163"/>
      <c r="FK243" s="164"/>
      <c r="FO243" s="162"/>
      <c r="FP243" s="162"/>
      <c r="FQ243" s="163"/>
      <c r="FR243" s="164"/>
      <c r="FV243" s="162"/>
      <c r="FW243" s="162"/>
      <c r="FX243" s="163"/>
      <c r="FY243" s="164"/>
      <c r="GC243" s="162"/>
      <c r="GD243" s="162"/>
      <c r="GE243" s="163"/>
      <c r="GF243" s="164"/>
      <c r="GJ243" s="162"/>
      <c r="GK243" s="162"/>
      <c r="GL243" s="163"/>
      <c r="GM243" s="164"/>
      <c r="GQ243" s="162"/>
      <c r="GR243" s="162"/>
      <c r="GS243" s="163"/>
      <c r="GT243" s="164"/>
      <c r="GX243" s="162"/>
      <c r="GY243" s="162"/>
      <c r="GZ243" s="163"/>
      <c r="HA243" s="164"/>
      <c r="HE243" s="162"/>
      <c r="HF243" s="162"/>
      <c r="HG243" s="163"/>
      <c r="HH243" s="164"/>
      <c r="HL243" s="162"/>
      <c r="HM243" s="162"/>
      <c r="HN243" s="163"/>
      <c r="HO243" s="164"/>
      <c r="HS243" s="162"/>
      <c r="HT243" s="162"/>
      <c r="HU243" s="163"/>
      <c r="HV243" s="164"/>
    </row>
    <row r="244" spans="3:230" x14ac:dyDescent="0.2">
      <c r="C244" s="162"/>
      <c r="D244" s="162"/>
      <c r="E244" s="163"/>
      <c r="F244" s="164"/>
      <c r="J244" s="162"/>
      <c r="K244" s="162"/>
      <c r="L244" s="163"/>
      <c r="M244" s="164"/>
      <c r="Q244" s="162"/>
      <c r="R244" s="162"/>
      <c r="S244" s="163"/>
      <c r="T244" s="164"/>
      <c r="X244" s="162"/>
      <c r="Y244" s="162"/>
      <c r="Z244" s="163"/>
      <c r="AA244" s="164"/>
      <c r="AE244" s="162"/>
      <c r="AF244" s="162"/>
      <c r="AG244" s="163"/>
      <c r="AH244" s="164"/>
      <c r="AL244" s="162"/>
      <c r="AM244" s="162"/>
      <c r="AN244" s="163"/>
      <c r="AO244" s="164"/>
      <c r="AS244" s="162"/>
      <c r="AT244" s="162"/>
      <c r="AU244" s="163"/>
      <c r="AV244" s="164"/>
      <c r="AZ244" s="162"/>
      <c r="BA244" s="162"/>
      <c r="BB244" s="163"/>
      <c r="BC244" s="164"/>
      <c r="BG244" s="162"/>
      <c r="BH244" s="162"/>
      <c r="BI244" s="163"/>
      <c r="BJ244" s="164"/>
      <c r="BN244" s="162"/>
      <c r="BO244" s="162"/>
      <c r="BP244" s="163"/>
      <c r="BQ244" s="164"/>
      <c r="BU244" s="162"/>
      <c r="BV244" s="162"/>
      <c r="BW244" s="163"/>
      <c r="BX244" s="164"/>
      <c r="CB244" s="162"/>
      <c r="CC244" s="162"/>
      <c r="CD244" s="163"/>
      <c r="CE244" s="164"/>
      <c r="CI244" s="162"/>
      <c r="CJ244" s="162"/>
      <c r="CK244" s="163"/>
      <c r="CL244" s="164"/>
      <c r="CP244" s="162"/>
      <c r="CQ244" s="162"/>
      <c r="CR244" s="163"/>
      <c r="CS244" s="164"/>
      <c r="CW244" s="162"/>
      <c r="CX244" s="162"/>
      <c r="CY244" s="163"/>
      <c r="CZ244" s="164"/>
      <c r="DD244" s="162"/>
      <c r="DE244" s="162"/>
      <c r="DF244" s="163"/>
      <c r="DG244" s="164"/>
      <c r="DK244" s="162"/>
      <c r="DL244" s="162"/>
      <c r="DM244" s="163"/>
      <c r="DN244" s="164"/>
      <c r="DR244" s="162"/>
      <c r="DS244" s="162"/>
      <c r="DT244" s="163"/>
      <c r="DU244" s="164"/>
      <c r="DY244" s="162"/>
      <c r="DZ244" s="162"/>
      <c r="EA244" s="163"/>
      <c r="EB244" s="164"/>
      <c r="EF244" s="162"/>
      <c r="EG244" s="162"/>
      <c r="EH244" s="163"/>
      <c r="EI244" s="164"/>
      <c r="EM244" s="162"/>
      <c r="EN244" s="162"/>
      <c r="EO244" s="163"/>
      <c r="EP244" s="164"/>
      <c r="ET244" s="162"/>
      <c r="EU244" s="162"/>
      <c r="EV244" s="163"/>
      <c r="EW244" s="164"/>
      <c r="FA244" s="162"/>
      <c r="FB244" s="162"/>
      <c r="FC244" s="163"/>
      <c r="FD244" s="164"/>
      <c r="FH244" s="162"/>
      <c r="FI244" s="162"/>
      <c r="FJ244" s="163"/>
      <c r="FK244" s="164"/>
      <c r="FO244" s="162"/>
      <c r="FP244" s="162"/>
      <c r="FQ244" s="163"/>
      <c r="FR244" s="164"/>
      <c r="FV244" s="162"/>
      <c r="FW244" s="162"/>
      <c r="FX244" s="163"/>
      <c r="FY244" s="164"/>
      <c r="GC244" s="162"/>
      <c r="GD244" s="162"/>
      <c r="GE244" s="163"/>
      <c r="GF244" s="164"/>
      <c r="GJ244" s="162"/>
      <c r="GK244" s="162"/>
      <c r="GL244" s="163"/>
      <c r="GM244" s="164"/>
      <c r="GQ244" s="162"/>
      <c r="GR244" s="162"/>
      <c r="GS244" s="163"/>
      <c r="GT244" s="164"/>
      <c r="GX244" s="162"/>
      <c r="GY244" s="162"/>
      <c r="GZ244" s="163"/>
      <c r="HA244" s="164"/>
      <c r="HE244" s="162"/>
      <c r="HF244" s="162"/>
      <c r="HG244" s="163"/>
      <c r="HH244" s="164"/>
      <c r="HL244" s="162"/>
      <c r="HM244" s="162"/>
      <c r="HN244" s="163"/>
      <c r="HO244" s="164"/>
      <c r="HS244" s="162"/>
      <c r="HT244" s="162"/>
      <c r="HU244" s="163"/>
      <c r="HV244" s="164"/>
    </row>
    <row r="245" spans="3:230" x14ac:dyDescent="0.2">
      <c r="C245" s="162"/>
      <c r="D245" s="162"/>
      <c r="E245" s="163"/>
      <c r="F245" s="164"/>
      <c r="J245" s="162"/>
      <c r="K245" s="162"/>
      <c r="L245" s="163"/>
      <c r="M245" s="164"/>
      <c r="Q245" s="162"/>
      <c r="R245" s="162"/>
      <c r="S245" s="163"/>
      <c r="T245" s="164"/>
      <c r="X245" s="162"/>
      <c r="Y245" s="162"/>
      <c r="Z245" s="163"/>
      <c r="AA245" s="164"/>
      <c r="AE245" s="162"/>
      <c r="AF245" s="162"/>
      <c r="AG245" s="163"/>
      <c r="AH245" s="164"/>
      <c r="AL245" s="162"/>
      <c r="AM245" s="162"/>
      <c r="AN245" s="163"/>
      <c r="AO245" s="164"/>
      <c r="AS245" s="162"/>
      <c r="AT245" s="162"/>
      <c r="AU245" s="163"/>
      <c r="AV245" s="164"/>
      <c r="AZ245" s="162"/>
      <c r="BA245" s="162"/>
      <c r="BB245" s="163"/>
      <c r="BC245" s="164"/>
      <c r="BG245" s="162"/>
      <c r="BH245" s="162"/>
      <c r="BI245" s="163"/>
      <c r="BJ245" s="164"/>
      <c r="BN245" s="162"/>
      <c r="BO245" s="162"/>
      <c r="BP245" s="163"/>
      <c r="BQ245" s="164"/>
      <c r="BU245" s="162"/>
      <c r="BV245" s="162"/>
      <c r="BW245" s="163"/>
      <c r="BX245" s="164"/>
      <c r="CB245" s="162"/>
      <c r="CC245" s="162"/>
      <c r="CD245" s="163"/>
      <c r="CE245" s="164"/>
      <c r="CI245" s="162"/>
      <c r="CJ245" s="162"/>
      <c r="CK245" s="163"/>
      <c r="CL245" s="164"/>
      <c r="CP245" s="162"/>
      <c r="CQ245" s="162"/>
      <c r="CR245" s="163"/>
      <c r="CS245" s="164"/>
      <c r="CW245" s="162"/>
      <c r="CX245" s="162"/>
      <c r="CY245" s="163"/>
      <c r="CZ245" s="164"/>
      <c r="DD245" s="162"/>
      <c r="DE245" s="162"/>
      <c r="DF245" s="163"/>
      <c r="DG245" s="164"/>
      <c r="DK245" s="162"/>
      <c r="DL245" s="162"/>
      <c r="DM245" s="163"/>
      <c r="DN245" s="164"/>
      <c r="DR245" s="162"/>
      <c r="DS245" s="162"/>
      <c r="DT245" s="163"/>
      <c r="DU245" s="164"/>
      <c r="DY245" s="162"/>
      <c r="DZ245" s="162"/>
      <c r="EA245" s="163"/>
      <c r="EB245" s="164"/>
      <c r="EF245" s="162"/>
      <c r="EG245" s="162"/>
      <c r="EH245" s="163"/>
      <c r="EI245" s="164"/>
      <c r="EM245" s="162"/>
      <c r="EN245" s="162"/>
      <c r="EO245" s="163"/>
      <c r="EP245" s="164"/>
      <c r="ET245" s="162"/>
      <c r="EU245" s="162"/>
      <c r="EV245" s="163"/>
      <c r="EW245" s="164"/>
      <c r="FA245" s="162"/>
      <c r="FB245" s="162"/>
      <c r="FC245" s="163"/>
      <c r="FD245" s="164"/>
      <c r="FH245" s="162"/>
      <c r="FI245" s="162"/>
      <c r="FJ245" s="163"/>
      <c r="FK245" s="164"/>
      <c r="FO245" s="162"/>
      <c r="FP245" s="162"/>
      <c r="FQ245" s="163"/>
      <c r="FR245" s="164"/>
      <c r="FV245" s="162"/>
      <c r="FW245" s="162"/>
      <c r="FX245" s="163"/>
      <c r="FY245" s="164"/>
      <c r="GC245" s="162"/>
      <c r="GD245" s="162"/>
      <c r="GE245" s="163"/>
      <c r="GF245" s="164"/>
      <c r="GJ245" s="162"/>
      <c r="GK245" s="162"/>
      <c r="GL245" s="163"/>
      <c r="GM245" s="164"/>
      <c r="GQ245" s="162"/>
      <c r="GR245" s="162"/>
      <c r="GS245" s="163"/>
      <c r="GT245" s="164"/>
      <c r="GX245" s="162"/>
      <c r="GY245" s="162"/>
      <c r="GZ245" s="163"/>
      <c r="HA245" s="164"/>
      <c r="HE245" s="162"/>
      <c r="HF245" s="162"/>
      <c r="HG245" s="163"/>
      <c r="HH245" s="164"/>
      <c r="HL245" s="162"/>
      <c r="HM245" s="162"/>
      <c r="HN245" s="163"/>
      <c r="HO245" s="164"/>
      <c r="HS245" s="162"/>
      <c r="HT245" s="162"/>
      <c r="HU245" s="163"/>
      <c r="HV245" s="164"/>
    </row>
    <row r="246" spans="3:230" x14ac:dyDescent="0.2">
      <c r="C246" s="162"/>
      <c r="D246" s="162"/>
      <c r="E246" s="163"/>
      <c r="F246" s="164"/>
      <c r="J246" s="162"/>
      <c r="K246" s="162"/>
      <c r="L246" s="163"/>
      <c r="M246" s="164"/>
      <c r="Q246" s="162"/>
      <c r="R246" s="162"/>
      <c r="S246" s="163"/>
      <c r="T246" s="164"/>
      <c r="X246" s="162"/>
      <c r="Y246" s="162"/>
      <c r="Z246" s="163"/>
      <c r="AA246" s="164"/>
      <c r="AE246" s="162"/>
      <c r="AF246" s="162"/>
      <c r="AG246" s="163"/>
      <c r="AH246" s="164"/>
      <c r="AL246" s="162"/>
      <c r="AM246" s="162"/>
      <c r="AN246" s="163"/>
      <c r="AO246" s="164"/>
      <c r="AS246" s="162"/>
      <c r="AT246" s="162"/>
      <c r="AU246" s="163"/>
      <c r="AV246" s="164"/>
      <c r="AZ246" s="162"/>
      <c r="BA246" s="162"/>
      <c r="BB246" s="163"/>
      <c r="BC246" s="164"/>
      <c r="BG246" s="162"/>
      <c r="BH246" s="162"/>
      <c r="BI246" s="163"/>
      <c r="BJ246" s="164"/>
      <c r="BN246" s="162"/>
      <c r="BO246" s="162"/>
      <c r="BP246" s="163"/>
      <c r="BQ246" s="164"/>
      <c r="BU246" s="162"/>
      <c r="BV246" s="162"/>
      <c r="BW246" s="163"/>
      <c r="BX246" s="164"/>
      <c r="CB246" s="162"/>
      <c r="CC246" s="162"/>
      <c r="CD246" s="163"/>
      <c r="CE246" s="164"/>
      <c r="CI246" s="162"/>
      <c r="CJ246" s="162"/>
      <c r="CK246" s="163"/>
      <c r="CL246" s="164"/>
      <c r="CP246" s="162"/>
      <c r="CQ246" s="162"/>
      <c r="CR246" s="163"/>
      <c r="CS246" s="164"/>
      <c r="CW246" s="162"/>
      <c r="CX246" s="162"/>
      <c r="CY246" s="163"/>
      <c r="CZ246" s="164"/>
      <c r="DD246" s="162"/>
      <c r="DE246" s="162"/>
      <c r="DF246" s="163"/>
      <c r="DG246" s="164"/>
      <c r="DK246" s="162"/>
      <c r="DL246" s="162"/>
      <c r="DM246" s="163"/>
      <c r="DN246" s="164"/>
      <c r="DR246" s="162"/>
      <c r="DS246" s="162"/>
      <c r="DT246" s="163"/>
      <c r="DU246" s="164"/>
      <c r="DY246" s="162"/>
      <c r="DZ246" s="162"/>
      <c r="EA246" s="163"/>
      <c r="EB246" s="164"/>
      <c r="EF246" s="162"/>
      <c r="EG246" s="162"/>
      <c r="EH246" s="163"/>
      <c r="EI246" s="164"/>
      <c r="EM246" s="162"/>
      <c r="EN246" s="162"/>
      <c r="EO246" s="163"/>
      <c r="EP246" s="164"/>
      <c r="ET246" s="162"/>
      <c r="EU246" s="162"/>
      <c r="EV246" s="163"/>
      <c r="EW246" s="164"/>
      <c r="FA246" s="162"/>
      <c r="FB246" s="162"/>
      <c r="FC246" s="163"/>
      <c r="FD246" s="164"/>
      <c r="FH246" s="162"/>
      <c r="FI246" s="162"/>
      <c r="FJ246" s="163"/>
      <c r="FK246" s="164"/>
      <c r="FO246" s="162"/>
      <c r="FP246" s="162"/>
      <c r="FQ246" s="163"/>
      <c r="FR246" s="164"/>
      <c r="FV246" s="162"/>
      <c r="FW246" s="162"/>
      <c r="FX246" s="163"/>
      <c r="FY246" s="164"/>
      <c r="GC246" s="162"/>
      <c r="GD246" s="162"/>
      <c r="GE246" s="163"/>
      <c r="GF246" s="164"/>
      <c r="GJ246" s="162"/>
      <c r="GK246" s="162"/>
      <c r="GL246" s="163"/>
      <c r="GM246" s="164"/>
      <c r="GQ246" s="162"/>
      <c r="GR246" s="162"/>
      <c r="GS246" s="163"/>
      <c r="GT246" s="164"/>
      <c r="GX246" s="162"/>
      <c r="GY246" s="162"/>
      <c r="GZ246" s="163"/>
      <c r="HA246" s="164"/>
      <c r="HE246" s="162"/>
      <c r="HF246" s="162"/>
      <c r="HG246" s="163"/>
      <c r="HH246" s="164"/>
      <c r="HL246" s="162"/>
      <c r="HM246" s="162"/>
      <c r="HN246" s="163"/>
      <c r="HO246" s="164"/>
      <c r="HS246" s="162"/>
      <c r="HT246" s="162"/>
      <c r="HU246" s="163"/>
      <c r="HV246" s="164"/>
    </row>
    <row r="247" spans="3:230" x14ac:dyDescent="0.2">
      <c r="C247" s="162"/>
      <c r="D247" s="162"/>
      <c r="E247" s="163"/>
      <c r="F247" s="164"/>
      <c r="J247" s="162"/>
      <c r="K247" s="162"/>
      <c r="L247" s="163"/>
      <c r="M247" s="164"/>
      <c r="Q247" s="162"/>
      <c r="R247" s="162"/>
      <c r="S247" s="163"/>
      <c r="T247" s="164"/>
      <c r="X247" s="162"/>
      <c r="Y247" s="162"/>
      <c r="Z247" s="163"/>
      <c r="AA247" s="164"/>
      <c r="AE247" s="162"/>
      <c r="AF247" s="162"/>
      <c r="AG247" s="163"/>
      <c r="AH247" s="164"/>
      <c r="AL247" s="162"/>
      <c r="AM247" s="162"/>
      <c r="AN247" s="163"/>
      <c r="AO247" s="164"/>
      <c r="AS247" s="162"/>
      <c r="AT247" s="162"/>
      <c r="AU247" s="163"/>
      <c r="AV247" s="164"/>
      <c r="AZ247" s="162"/>
      <c r="BA247" s="162"/>
      <c r="BB247" s="163"/>
      <c r="BC247" s="164"/>
      <c r="BG247" s="162"/>
      <c r="BH247" s="162"/>
      <c r="BI247" s="163"/>
      <c r="BJ247" s="164"/>
      <c r="BN247" s="162"/>
      <c r="BO247" s="162"/>
      <c r="BP247" s="163"/>
      <c r="BQ247" s="164"/>
      <c r="BU247" s="162"/>
      <c r="BV247" s="162"/>
      <c r="BW247" s="163"/>
      <c r="BX247" s="164"/>
      <c r="CB247" s="162"/>
      <c r="CC247" s="162"/>
      <c r="CD247" s="163"/>
      <c r="CE247" s="164"/>
      <c r="CI247" s="162"/>
      <c r="CJ247" s="162"/>
      <c r="CK247" s="163"/>
      <c r="CL247" s="164"/>
      <c r="CP247" s="162"/>
      <c r="CQ247" s="162"/>
      <c r="CR247" s="163"/>
      <c r="CS247" s="164"/>
      <c r="CW247" s="162"/>
      <c r="CX247" s="162"/>
      <c r="CY247" s="163"/>
      <c r="CZ247" s="164"/>
      <c r="DD247" s="162"/>
      <c r="DE247" s="162"/>
      <c r="DF247" s="163"/>
      <c r="DG247" s="164"/>
      <c r="DK247" s="162"/>
      <c r="DL247" s="162"/>
      <c r="DM247" s="163"/>
      <c r="DN247" s="164"/>
      <c r="DR247" s="162"/>
      <c r="DS247" s="162"/>
      <c r="DT247" s="163"/>
      <c r="DU247" s="164"/>
      <c r="DY247" s="162"/>
      <c r="DZ247" s="162"/>
      <c r="EA247" s="163"/>
      <c r="EB247" s="164"/>
      <c r="EF247" s="162"/>
      <c r="EG247" s="162"/>
      <c r="EH247" s="163"/>
      <c r="EI247" s="164"/>
      <c r="EM247" s="162"/>
      <c r="EN247" s="162"/>
      <c r="EO247" s="163"/>
      <c r="EP247" s="164"/>
      <c r="ET247" s="162"/>
      <c r="EU247" s="162"/>
      <c r="EV247" s="163"/>
      <c r="EW247" s="164"/>
      <c r="FA247" s="162"/>
      <c r="FB247" s="162"/>
      <c r="FC247" s="163"/>
      <c r="FD247" s="164"/>
      <c r="FH247" s="162"/>
      <c r="FI247" s="162"/>
      <c r="FJ247" s="163"/>
      <c r="FK247" s="164"/>
      <c r="FO247" s="162"/>
      <c r="FP247" s="162"/>
      <c r="FQ247" s="163"/>
      <c r="FR247" s="164"/>
      <c r="FV247" s="162"/>
      <c r="FW247" s="162"/>
      <c r="FX247" s="163"/>
      <c r="FY247" s="164"/>
      <c r="GC247" s="162"/>
      <c r="GD247" s="162"/>
      <c r="GE247" s="163"/>
      <c r="GF247" s="164"/>
      <c r="GJ247" s="162"/>
      <c r="GK247" s="162"/>
      <c r="GL247" s="163"/>
      <c r="GM247" s="164"/>
      <c r="GQ247" s="162"/>
      <c r="GR247" s="162"/>
      <c r="GS247" s="163"/>
      <c r="GT247" s="164"/>
      <c r="GX247" s="162"/>
      <c r="GY247" s="162"/>
      <c r="GZ247" s="163"/>
      <c r="HA247" s="164"/>
      <c r="HE247" s="162"/>
      <c r="HF247" s="162"/>
      <c r="HG247" s="163"/>
      <c r="HH247" s="164"/>
      <c r="HL247" s="162"/>
      <c r="HM247" s="162"/>
      <c r="HN247" s="163"/>
      <c r="HO247" s="164"/>
      <c r="HS247" s="162"/>
      <c r="HT247" s="162"/>
      <c r="HU247" s="163"/>
      <c r="HV247" s="164"/>
    </row>
    <row r="248" spans="3:230" x14ac:dyDescent="0.2">
      <c r="C248" s="162"/>
      <c r="D248" s="162"/>
      <c r="E248" s="163"/>
      <c r="F248" s="164"/>
      <c r="J248" s="162"/>
      <c r="K248" s="162"/>
      <c r="L248" s="163"/>
      <c r="M248" s="164"/>
      <c r="Q248" s="162"/>
      <c r="R248" s="162"/>
      <c r="S248" s="163"/>
      <c r="T248" s="164"/>
      <c r="X248" s="162"/>
      <c r="Y248" s="162"/>
      <c r="Z248" s="163"/>
      <c r="AA248" s="164"/>
      <c r="AE248" s="162"/>
      <c r="AF248" s="162"/>
      <c r="AG248" s="163"/>
      <c r="AH248" s="164"/>
      <c r="AL248" s="162"/>
      <c r="AM248" s="162"/>
      <c r="AN248" s="163"/>
      <c r="AO248" s="164"/>
      <c r="AS248" s="162"/>
      <c r="AT248" s="162"/>
      <c r="AU248" s="163"/>
      <c r="AV248" s="164"/>
      <c r="AZ248" s="162"/>
      <c r="BA248" s="162"/>
      <c r="BB248" s="163"/>
      <c r="BC248" s="164"/>
      <c r="BG248" s="162"/>
      <c r="BH248" s="162"/>
      <c r="BI248" s="163"/>
      <c r="BJ248" s="164"/>
      <c r="BN248" s="162"/>
      <c r="BO248" s="162"/>
      <c r="BP248" s="163"/>
      <c r="BQ248" s="164"/>
      <c r="BU248" s="162"/>
      <c r="BV248" s="162"/>
      <c r="BW248" s="163"/>
      <c r="BX248" s="164"/>
      <c r="CB248" s="162"/>
      <c r="CC248" s="162"/>
      <c r="CD248" s="163"/>
      <c r="CE248" s="164"/>
      <c r="CI248" s="162"/>
      <c r="CJ248" s="162"/>
      <c r="CK248" s="163"/>
      <c r="CL248" s="164"/>
      <c r="CP248" s="162"/>
      <c r="CQ248" s="162"/>
      <c r="CR248" s="163"/>
      <c r="CS248" s="164"/>
      <c r="CW248" s="162"/>
      <c r="CX248" s="162"/>
      <c r="CY248" s="163"/>
      <c r="CZ248" s="164"/>
      <c r="DD248" s="162"/>
      <c r="DE248" s="162"/>
      <c r="DF248" s="163"/>
      <c r="DG248" s="164"/>
      <c r="DK248" s="162"/>
      <c r="DL248" s="162"/>
      <c r="DM248" s="163"/>
      <c r="DN248" s="164"/>
      <c r="DR248" s="162"/>
      <c r="DS248" s="162"/>
      <c r="DT248" s="163"/>
      <c r="DU248" s="164"/>
      <c r="DY248" s="162"/>
      <c r="DZ248" s="162"/>
      <c r="EA248" s="163"/>
      <c r="EB248" s="164"/>
      <c r="EF248" s="162"/>
      <c r="EG248" s="162"/>
      <c r="EH248" s="163"/>
      <c r="EI248" s="164"/>
      <c r="EM248" s="162"/>
      <c r="EN248" s="162"/>
      <c r="EO248" s="163"/>
      <c r="EP248" s="164"/>
      <c r="ET248" s="162"/>
      <c r="EU248" s="162"/>
      <c r="EV248" s="163"/>
      <c r="EW248" s="164"/>
      <c r="FA248" s="162"/>
      <c r="FB248" s="162"/>
      <c r="FC248" s="163"/>
      <c r="FD248" s="164"/>
      <c r="FH248" s="162"/>
      <c r="FI248" s="162"/>
      <c r="FJ248" s="163"/>
      <c r="FK248" s="164"/>
      <c r="FO248" s="162"/>
      <c r="FP248" s="162"/>
      <c r="FQ248" s="163"/>
      <c r="FR248" s="164"/>
      <c r="FV248" s="162"/>
      <c r="FW248" s="162"/>
      <c r="FX248" s="163"/>
      <c r="FY248" s="164"/>
      <c r="GC248" s="162"/>
      <c r="GD248" s="162"/>
      <c r="GE248" s="163"/>
      <c r="GF248" s="164"/>
      <c r="GJ248" s="162"/>
      <c r="GK248" s="162"/>
      <c r="GL248" s="163"/>
      <c r="GM248" s="164"/>
      <c r="GQ248" s="162"/>
      <c r="GR248" s="162"/>
      <c r="GS248" s="163"/>
      <c r="GT248" s="164"/>
      <c r="GX248" s="162"/>
      <c r="GY248" s="162"/>
      <c r="GZ248" s="163"/>
      <c r="HA248" s="164"/>
      <c r="HE248" s="162"/>
      <c r="HF248" s="162"/>
      <c r="HG248" s="163"/>
      <c r="HH248" s="164"/>
      <c r="HL248" s="162"/>
      <c r="HM248" s="162"/>
      <c r="HN248" s="163"/>
      <c r="HO248" s="164"/>
      <c r="HS248" s="162"/>
      <c r="HT248" s="162"/>
      <c r="HU248" s="163"/>
      <c r="HV248" s="164"/>
    </row>
    <row r="249" spans="3:230" x14ac:dyDescent="0.2">
      <c r="C249" s="162"/>
      <c r="D249" s="162"/>
      <c r="E249" s="163"/>
      <c r="F249" s="164"/>
      <c r="J249" s="162"/>
      <c r="K249" s="162"/>
      <c r="L249" s="163"/>
      <c r="M249" s="164"/>
      <c r="Q249" s="162"/>
      <c r="R249" s="162"/>
      <c r="S249" s="163"/>
      <c r="T249" s="164"/>
      <c r="X249" s="162"/>
      <c r="Y249" s="162"/>
      <c r="Z249" s="163"/>
      <c r="AA249" s="164"/>
      <c r="AE249" s="162"/>
      <c r="AF249" s="162"/>
      <c r="AG249" s="163"/>
      <c r="AH249" s="164"/>
      <c r="AL249" s="162"/>
      <c r="AM249" s="162"/>
      <c r="AN249" s="163"/>
      <c r="AO249" s="164"/>
      <c r="AS249" s="162"/>
      <c r="AT249" s="162"/>
      <c r="AU249" s="163"/>
      <c r="AV249" s="164"/>
      <c r="AZ249" s="162"/>
      <c r="BA249" s="162"/>
      <c r="BB249" s="163"/>
      <c r="BC249" s="164"/>
      <c r="BG249" s="162"/>
      <c r="BH249" s="162"/>
      <c r="BI249" s="163"/>
      <c r="BJ249" s="164"/>
      <c r="BN249" s="162"/>
      <c r="BO249" s="162"/>
      <c r="BP249" s="163"/>
      <c r="BQ249" s="164"/>
      <c r="BU249" s="162"/>
      <c r="BV249" s="162"/>
      <c r="BW249" s="163"/>
      <c r="BX249" s="164"/>
      <c r="CB249" s="162"/>
      <c r="CC249" s="162"/>
      <c r="CD249" s="163"/>
      <c r="CE249" s="164"/>
      <c r="CI249" s="162"/>
      <c r="CJ249" s="162"/>
      <c r="CK249" s="163"/>
      <c r="CL249" s="164"/>
      <c r="CP249" s="162"/>
      <c r="CQ249" s="162"/>
      <c r="CR249" s="163"/>
      <c r="CS249" s="164"/>
      <c r="CW249" s="162"/>
      <c r="CX249" s="162"/>
      <c r="CY249" s="163"/>
      <c r="CZ249" s="164"/>
      <c r="DD249" s="162"/>
      <c r="DE249" s="162"/>
      <c r="DF249" s="163"/>
      <c r="DG249" s="164"/>
      <c r="DK249" s="162"/>
      <c r="DL249" s="162"/>
      <c r="DM249" s="163"/>
      <c r="DN249" s="164"/>
      <c r="DR249" s="162"/>
      <c r="DS249" s="162"/>
      <c r="DT249" s="163"/>
      <c r="DU249" s="164"/>
      <c r="DY249" s="162"/>
      <c r="DZ249" s="162"/>
      <c r="EA249" s="163"/>
      <c r="EB249" s="164"/>
      <c r="EF249" s="162"/>
      <c r="EG249" s="162"/>
      <c r="EH249" s="163"/>
      <c r="EI249" s="164"/>
      <c r="EM249" s="162"/>
      <c r="EN249" s="162"/>
      <c r="EO249" s="163"/>
      <c r="EP249" s="164"/>
      <c r="ET249" s="162"/>
      <c r="EU249" s="162"/>
      <c r="EV249" s="163"/>
      <c r="EW249" s="164"/>
      <c r="FA249" s="162"/>
      <c r="FB249" s="162"/>
      <c r="FC249" s="163"/>
      <c r="FD249" s="164"/>
      <c r="FH249" s="162"/>
      <c r="FI249" s="162"/>
      <c r="FJ249" s="163"/>
      <c r="FK249" s="164"/>
      <c r="FO249" s="162"/>
      <c r="FP249" s="162"/>
      <c r="FQ249" s="163"/>
      <c r="FR249" s="164"/>
      <c r="FV249" s="162"/>
      <c r="FW249" s="162"/>
      <c r="FX249" s="163"/>
      <c r="FY249" s="164"/>
      <c r="GC249" s="162"/>
      <c r="GD249" s="162"/>
      <c r="GE249" s="163"/>
      <c r="GF249" s="164"/>
      <c r="GJ249" s="162"/>
      <c r="GK249" s="162"/>
      <c r="GL249" s="163"/>
      <c r="GM249" s="164"/>
      <c r="GQ249" s="162"/>
      <c r="GR249" s="162"/>
      <c r="GS249" s="163"/>
      <c r="GT249" s="164"/>
      <c r="GX249" s="162"/>
      <c r="GY249" s="162"/>
      <c r="GZ249" s="163"/>
      <c r="HA249" s="164"/>
      <c r="HE249" s="162"/>
      <c r="HF249" s="162"/>
      <c r="HG249" s="163"/>
      <c r="HH249" s="164"/>
      <c r="HL249" s="162"/>
      <c r="HM249" s="162"/>
      <c r="HN249" s="163"/>
      <c r="HO249" s="164"/>
      <c r="HS249" s="162"/>
      <c r="HT249" s="162"/>
      <c r="HU249" s="163"/>
      <c r="HV249" s="164"/>
    </row>
    <row r="250" spans="3:230" x14ac:dyDescent="0.2">
      <c r="C250" s="162"/>
      <c r="D250" s="162"/>
      <c r="E250" s="163"/>
      <c r="F250" s="164"/>
      <c r="J250" s="162"/>
      <c r="K250" s="162"/>
      <c r="L250" s="163"/>
      <c r="M250" s="164"/>
      <c r="Q250" s="162"/>
      <c r="R250" s="162"/>
      <c r="S250" s="163"/>
      <c r="T250" s="164"/>
      <c r="X250" s="162"/>
      <c r="Y250" s="162"/>
      <c r="Z250" s="163"/>
      <c r="AA250" s="164"/>
      <c r="AE250" s="162"/>
      <c r="AF250" s="162"/>
      <c r="AG250" s="163"/>
      <c r="AH250" s="164"/>
      <c r="AL250" s="162"/>
      <c r="AM250" s="162"/>
      <c r="AN250" s="163"/>
      <c r="AO250" s="164"/>
      <c r="AS250" s="162"/>
      <c r="AT250" s="162"/>
      <c r="AU250" s="163"/>
      <c r="AV250" s="164"/>
      <c r="AZ250" s="162"/>
      <c r="BA250" s="162"/>
      <c r="BB250" s="163"/>
      <c r="BC250" s="164"/>
      <c r="BG250" s="162"/>
      <c r="BH250" s="162"/>
      <c r="BI250" s="163"/>
      <c r="BJ250" s="164"/>
      <c r="BN250" s="162"/>
      <c r="BO250" s="162"/>
      <c r="BP250" s="163"/>
      <c r="BQ250" s="164"/>
      <c r="BU250" s="162"/>
      <c r="BV250" s="162"/>
      <c r="BW250" s="163"/>
      <c r="BX250" s="164"/>
      <c r="CB250" s="162"/>
      <c r="CC250" s="162"/>
      <c r="CD250" s="163"/>
      <c r="CE250" s="164"/>
      <c r="CI250" s="162"/>
      <c r="CJ250" s="162"/>
      <c r="CK250" s="163"/>
      <c r="CL250" s="164"/>
      <c r="CP250" s="162"/>
      <c r="CQ250" s="162"/>
      <c r="CR250" s="163"/>
      <c r="CS250" s="164"/>
      <c r="CW250" s="162"/>
      <c r="CX250" s="162"/>
      <c r="CY250" s="163"/>
      <c r="CZ250" s="164"/>
      <c r="DD250" s="162"/>
      <c r="DE250" s="162"/>
      <c r="DF250" s="163"/>
      <c r="DG250" s="164"/>
      <c r="DK250" s="162"/>
      <c r="DL250" s="162"/>
      <c r="DM250" s="163"/>
      <c r="DN250" s="164"/>
      <c r="DR250" s="162"/>
      <c r="DS250" s="162"/>
      <c r="DT250" s="163"/>
      <c r="DU250" s="164"/>
      <c r="DY250" s="162"/>
      <c r="DZ250" s="162"/>
      <c r="EA250" s="163"/>
      <c r="EB250" s="164"/>
      <c r="EF250" s="162"/>
      <c r="EG250" s="162"/>
      <c r="EH250" s="163"/>
      <c r="EI250" s="164"/>
      <c r="EM250" s="162"/>
      <c r="EN250" s="162"/>
      <c r="EO250" s="163"/>
      <c r="EP250" s="164"/>
      <c r="ET250" s="162"/>
      <c r="EU250" s="162"/>
      <c r="EV250" s="163"/>
      <c r="EW250" s="164"/>
      <c r="FA250" s="162"/>
      <c r="FB250" s="162"/>
      <c r="FC250" s="163"/>
      <c r="FD250" s="164"/>
      <c r="FH250" s="162"/>
      <c r="FI250" s="162"/>
      <c r="FJ250" s="163"/>
      <c r="FK250" s="164"/>
      <c r="FO250" s="162"/>
      <c r="FP250" s="162"/>
      <c r="FQ250" s="163"/>
      <c r="FR250" s="164"/>
      <c r="FV250" s="162"/>
      <c r="FW250" s="162"/>
      <c r="FX250" s="163"/>
      <c r="FY250" s="164"/>
      <c r="GC250" s="162"/>
      <c r="GD250" s="162"/>
      <c r="GE250" s="163"/>
      <c r="GF250" s="164"/>
      <c r="GJ250" s="162"/>
      <c r="GK250" s="162"/>
      <c r="GL250" s="163"/>
      <c r="GM250" s="164"/>
      <c r="GQ250" s="162"/>
      <c r="GR250" s="162"/>
      <c r="GS250" s="163"/>
      <c r="GT250" s="164"/>
      <c r="GX250" s="162"/>
      <c r="GY250" s="162"/>
      <c r="GZ250" s="163"/>
      <c r="HA250" s="164"/>
      <c r="HE250" s="162"/>
      <c r="HF250" s="162"/>
      <c r="HG250" s="163"/>
      <c r="HH250" s="164"/>
      <c r="HL250" s="162"/>
      <c r="HM250" s="162"/>
      <c r="HN250" s="163"/>
      <c r="HO250" s="164"/>
      <c r="HS250" s="162"/>
      <c r="HT250" s="162"/>
      <c r="HU250" s="163"/>
      <c r="HV250" s="164"/>
    </row>
    <row r="251" spans="3:230" x14ac:dyDescent="0.2">
      <c r="C251" s="162"/>
      <c r="D251" s="162"/>
      <c r="E251" s="163"/>
      <c r="F251" s="164"/>
      <c r="J251" s="162"/>
      <c r="K251" s="162"/>
      <c r="L251" s="163"/>
      <c r="M251" s="164"/>
      <c r="Q251" s="162"/>
      <c r="R251" s="162"/>
      <c r="S251" s="163"/>
      <c r="T251" s="164"/>
      <c r="X251" s="162"/>
      <c r="Y251" s="162"/>
      <c r="Z251" s="163"/>
      <c r="AA251" s="164"/>
      <c r="AE251" s="162"/>
      <c r="AF251" s="162"/>
      <c r="AG251" s="163"/>
      <c r="AH251" s="164"/>
      <c r="AL251" s="162"/>
      <c r="AM251" s="162"/>
      <c r="AN251" s="163"/>
      <c r="AO251" s="164"/>
      <c r="AS251" s="162"/>
      <c r="AT251" s="162"/>
      <c r="AU251" s="163"/>
      <c r="AV251" s="164"/>
      <c r="AZ251" s="162"/>
      <c r="BA251" s="162"/>
      <c r="BB251" s="163"/>
      <c r="BC251" s="164"/>
      <c r="BG251" s="162"/>
      <c r="BH251" s="162"/>
      <c r="BI251" s="163"/>
      <c r="BJ251" s="164"/>
      <c r="BN251" s="162"/>
      <c r="BO251" s="162"/>
      <c r="BP251" s="163"/>
      <c r="BQ251" s="164"/>
      <c r="BU251" s="162"/>
      <c r="BV251" s="162"/>
      <c r="BW251" s="163"/>
      <c r="BX251" s="164"/>
      <c r="CB251" s="162"/>
      <c r="CC251" s="162"/>
      <c r="CD251" s="163"/>
      <c r="CE251" s="164"/>
      <c r="CI251" s="162"/>
      <c r="CJ251" s="162"/>
      <c r="CK251" s="163"/>
      <c r="CL251" s="164"/>
      <c r="CP251" s="162"/>
      <c r="CQ251" s="162"/>
      <c r="CR251" s="163"/>
      <c r="CS251" s="164"/>
      <c r="CW251" s="162"/>
      <c r="CX251" s="162"/>
      <c r="CY251" s="163"/>
      <c r="CZ251" s="164"/>
      <c r="DD251" s="162"/>
      <c r="DE251" s="162"/>
      <c r="DF251" s="163"/>
      <c r="DG251" s="164"/>
      <c r="DK251" s="162"/>
      <c r="DL251" s="162"/>
      <c r="DM251" s="163"/>
      <c r="DN251" s="164"/>
      <c r="DR251" s="162"/>
      <c r="DS251" s="162"/>
      <c r="DT251" s="163"/>
      <c r="DU251" s="164"/>
      <c r="DY251" s="162"/>
      <c r="DZ251" s="162"/>
      <c r="EA251" s="163"/>
      <c r="EB251" s="164"/>
      <c r="EF251" s="162"/>
      <c r="EG251" s="162"/>
      <c r="EH251" s="163"/>
      <c r="EI251" s="164"/>
      <c r="EM251" s="162"/>
      <c r="EN251" s="162"/>
      <c r="EO251" s="163"/>
      <c r="EP251" s="164"/>
      <c r="ET251" s="162"/>
      <c r="EU251" s="162"/>
      <c r="EV251" s="163"/>
      <c r="EW251" s="164"/>
      <c r="FA251" s="162"/>
      <c r="FB251" s="162"/>
      <c r="FC251" s="163"/>
      <c r="FD251" s="164"/>
      <c r="FH251" s="162"/>
      <c r="FI251" s="162"/>
      <c r="FJ251" s="163"/>
      <c r="FK251" s="164"/>
      <c r="FO251" s="162"/>
      <c r="FP251" s="162"/>
      <c r="FQ251" s="163"/>
      <c r="FR251" s="164"/>
      <c r="FV251" s="162"/>
      <c r="FW251" s="162"/>
      <c r="FX251" s="163"/>
      <c r="FY251" s="164"/>
      <c r="GC251" s="162"/>
      <c r="GD251" s="162"/>
      <c r="GE251" s="163"/>
      <c r="GF251" s="164"/>
      <c r="GJ251" s="162"/>
      <c r="GK251" s="162"/>
      <c r="GL251" s="163"/>
      <c r="GM251" s="164"/>
      <c r="GQ251" s="162"/>
      <c r="GR251" s="162"/>
      <c r="GS251" s="163"/>
      <c r="GT251" s="164"/>
      <c r="GX251" s="162"/>
      <c r="GY251" s="162"/>
      <c r="GZ251" s="163"/>
      <c r="HA251" s="164"/>
      <c r="HE251" s="162"/>
      <c r="HF251" s="162"/>
      <c r="HG251" s="163"/>
      <c r="HH251" s="164"/>
      <c r="HL251" s="162"/>
      <c r="HM251" s="162"/>
      <c r="HN251" s="163"/>
      <c r="HO251" s="164"/>
      <c r="HS251" s="162"/>
      <c r="HT251" s="162"/>
      <c r="HU251" s="163"/>
      <c r="HV251" s="164"/>
    </row>
    <row r="252" spans="3:230" x14ac:dyDescent="0.2">
      <c r="C252" s="162"/>
      <c r="D252" s="162"/>
      <c r="E252" s="163"/>
      <c r="F252" s="164"/>
      <c r="J252" s="162"/>
      <c r="K252" s="162"/>
      <c r="L252" s="163"/>
      <c r="M252" s="164"/>
      <c r="Q252" s="162"/>
      <c r="R252" s="162"/>
      <c r="S252" s="163"/>
      <c r="T252" s="164"/>
      <c r="X252" s="162"/>
      <c r="Y252" s="162"/>
      <c r="Z252" s="163"/>
      <c r="AA252" s="164"/>
      <c r="AE252" s="162"/>
      <c r="AF252" s="162"/>
      <c r="AG252" s="163"/>
      <c r="AH252" s="164"/>
      <c r="AL252" s="162"/>
      <c r="AM252" s="162"/>
      <c r="AN252" s="163"/>
      <c r="AO252" s="164"/>
      <c r="AS252" s="162"/>
      <c r="AT252" s="162"/>
      <c r="AU252" s="163"/>
      <c r="AV252" s="164"/>
      <c r="AZ252" s="162"/>
      <c r="BA252" s="162"/>
      <c r="BB252" s="163"/>
      <c r="BC252" s="164"/>
      <c r="BG252" s="162"/>
      <c r="BH252" s="162"/>
      <c r="BI252" s="163"/>
      <c r="BJ252" s="164"/>
      <c r="BN252" s="162"/>
      <c r="BO252" s="162"/>
      <c r="BP252" s="163"/>
      <c r="BQ252" s="164"/>
      <c r="BU252" s="162"/>
      <c r="BV252" s="162"/>
      <c r="BW252" s="163"/>
      <c r="BX252" s="164"/>
      <c r="CB252" s="162"/>
      <c r="CC252" s="162"/>
      <c r="CD252" s="163"/>
      <c r="CE252" s="164"/>
      <c r="CI252" s="162"/>
      <c r="CJ252" s="162"/>
      <c r="CK252" s="163"/>
      <c r="CL252" s="164"/>
      <c r="CP252" s="162"/>
      <c r="CQ252" s="162"/>
      <c r="CR252" s="163"/>
      <c r="CS252" s="164"/>
      <c r="CW252" s="162"/>
      <c r="CX252" s="162"/>
      <c r="CY252" s="163"/>
      <c r="CZ252" s="164"/>
      <c r="DD252" s="162"/>
      <c r="DE252" s="162"/>
      <c r="DF252" s="163"/>
      <c r="DG252" s="164"/>
      <c r="DK252" s="162"/>
      <c r="DL252" s="162"/>
      <c r="DM252" s="163"/>
      <c r="DN252" s="164"/>
      <c r="DR252" s="162"/>
      <c r="DS252" s="162"/>
      <c r="DT252" s="163"/>
      <c r="DU252" s="164"/>
      <c r="DY252" s="162"/>
      <c r="DZ252" s="162"/>
      <c r="EA252" s="163"/>
      <c r="EB252" s="164"/>
      <c r="EF252" s="162"/>
      <c r="EG252" s="162"/>
      <c r="EH252" s="163"/>
      <c r="EI252" s="164"/>
      <c r="EM252" s="162"/>
      <c r="EN252" s="162"/>
      <c r="EO252" s="163"/>
      <c r="EP252" s="164"/>
      <c r="ET252" s="162"/>
      <c r="EU252" s="162"/>
      <c r="EV252" s="163"/>
      <c r="EW252" s="164"/>
      <c r="FA252" s="162"/>
      <c r="FB252" s="162"/>
      <c r="FC252" s="163"/>
      <c r="FD252" s="164"/>
      <c r="FH252" s="162"/>
      <c r="FI252" s="162"/>
      <c r="FJ252" s="163"/>
      <c r="FK252" s="164"/>
      <c r="FO252" s="162"/>
      <c r="FP252" s="162"/>
      <c r="FQ252" s="163"/>
      <c r="FR252" s="164"/>
      <c r="FV252" s="162"/>
      <c r="FW252" s="162"/>
      <c r="FX252" s="163"/>
      <c r="FY252" s="164"/>
      <c r="GC252" s="162"/>
      <c r="GD252" s="162"/>
      <c r="GE252" s="163"/>
      <c r="GF252" s="164"/>
      <c r="GJ252" s="162"/>
      <c r="GK252" s="162"/>
      <c r="GL252" s="163"/>
      <c r="GM252" s="164"/>
      <c r="GQ252" s="162"/>
      <c r="GR252" s="162"/>
      <c r="GS252" s="163"/>
      <c r="GT252" s="164"/>
      <c r="GX252" s="162"/>
      <c r="GY252" s="162"/>
      <c r="GZ252" s="163"/>
      <c r="HA252" s="164"/>
      <c r="HE252" s="162"/>
      <c r="HF252" s="162"/>
      <c r="HG252" s="163"/>
      <c r="HH252" s="164"/>
      <c r="HL252" s="162"/>
      <c r="HM252" s="162"/>
      <c r="HN252" s="163"/>
      <c r="HO252" s="164"/>
      <c r="HS252" s="162"/>
      <c r="HT252" s="162"/>
      <c r="HU252" s="163"/>
      <c r="HV252" s="164"/>
    </row>
    <row r="253" spans="3:230" x14ac:dyDescent="0.2">
      <c r="C253" s="162"/>
      <c r="D253" s="162"/>
      <c r="E253" s="163"/>
      <c r="F253" s="164"/>
      <c r="J253" s="162"/>
      <c r="K253" s="162"/>
      <c r="L253" s="163"/>
      <c r="M253" s="164"/>
      <c r="Q253" s="162"/>
      <c r="R253" s="162"/>
      <c r="S253" s="163"/>
      <c r="T253" s="164"/>
      <c r="X253" s="162"/>
      <c r="Y253" s="162"/>
      <c r="Z253" s="163"/>
      <c r="AA253" s="164"/>
      <c r="AE253" s="162"/>
      <c r="AF253" s="162"/>
      <c r="AG253" s="163"/>
      <c r="AH253" s="164"/>
      <c r="AL253" s="162"/>
      <c r="AM253" s="162"/>
      <c r="AN253" s="163"/>
      <c r="AO253" s="164"/>
      <c r="AS253" s="162"/>
      <c r="AT253" s="162"/>
      <c r="AU253" s="163"/>
      <c r="AV253" s="164"/>
      <c r="AZ253" s="162"/>
      <c r="BA253" s="162"/>
      <c r="BB253" s="163"/>
      <c r="BC253" s="164"/>
      <c r="BG253" s="162"/>
      <c r="BH253" s="162"/>
      <c r="BI253" s="163"/>
      <c r="BJ253" s="164"/>
      <c r="BN253" s="162"/>
      <c r="BO253" s="162"/>
      <c r="BP253" s="163"/>
      <c r="BQ253" s="164"/>
      <c r="BU253" s="162"/>
      <c r="BV253" s="162"/>
      <c r="BW253" s="163"/>
      <c r="BX253" s="164"/>
      <c r="CB253" s="162"/>
      <c r="CC253" s="162"/>
      <c r="CD253" s="163"/>
      <c r="CE253" s="164"/>
      <c r="CI253" s="162"/>
      <c r="CJ253" s="162"/>
      <c r="CK253" s="163"/>
      <c r="CL253" s="164"/>
      <c r="CP253" s="162"/>
      <c r="CQ253" s="162"/>
      <c r="CR253" s="163"/>
      <c r="CS253" s="164"/>
      <c r="CW253" s="162"/>
      <c r="CX253" s="162"/>
      <c r="CY253" s="163"/>
      <c r="CZ253" s="164"/>
      <c r="DD253" s="162"/>
      <c r="DE253" s="162"/>
      <c r="DF253" s="163"/>
      <c r="DG253" s="164"/>
      <c r="DK253" s="162"/>
      <c r="DL253" s="162"/>
      <c r="DM253" s="163"/>
      <c r="DN253" s="164"/>
      <c r="DR253" s="162"/>
      <c r="DS253" s="162"/>
      <c r="DT253" s="163"/>
      <c r="DU253" s="164"/>
      <c r="DY253" s="162"/>
      <c r="DZ253" s="162"/>
      <c r="EA253" s="163"/>
      <c r="EB253" s="164"/>
      <c r="EF253" s="162"/>
      <c r="EG253" s="162"/>
      <c r="EH253" s="163"/>
      <c r="EI253" s="164"/>
      <c r="EM253" s="162"/>
      <c r="EN253" s="162"/>
      <c r="EO253" s="163"/>
      <c r="EP253" s="164"/>
      <c r="ET253" s="162"/>
      <c r="EU253" s="162"/>
      <c r="EV253" s="163"/>
      <c r="EW253" s="164"/>
      <c r="FA253" s="162"/>
      <c r="FB253" s="162"/>
      <c r="FC253" s="163"/>
      <c r="FD253" s="164"/>
      <c r="FH253" s="162"/>
      <c r="FI253" s="162"/>
      <c r="FJ253" s="163"/>
      <c r="FK253" s="164"/>
      <c r="FO253" s="162"/>
      <c r="FP253" s="162"/>
      <c r="FQ253" s="163"/>
      <c r="FR253" s="164"/>
      <c r="FV253" s="162"/>
      <c r="FW253" s="162"/>
      <c r="FX253" s="163"/>
      <c r="FY253" s="164"/>
      <c r="GC253" s="162"/>
      <c r="GD253" s="162"/>
      <c r="GE253" s="163"/>
      <c r="GF253" s="164"/>
      <c r="GJ253" s="162"/>
      <c r="GK253" s="162"/>
      <c r="GL253" s="163"/>
      <c r="GM253" s="164"/>
      <c r="GQ253" s="162"/>
      <c r="GR253" s="162"/>
      <c r="GS253" s="163"/>
      <c r="GT253" s="164"/>
      <c r="GX253" s="162"/>
      <c r="GY253" s="162"/>
      <c r="GZ253" s="163"/>
      <c r="HA253" s="164"/>
      <c r="HE253" s="162"/>
      <c r="HF253" s="162"/>
      <c r="HG253" s="163"/>
      <c r="HH253" s="164"/>
      <c r="HL253" s="162"/>
      <c r="HM253" s="162"/>
      <c r="HN253" s="163"/>
      <c r="HO253" s="164"/>
      <c r="HS253" s="162"/>
      <c r="HT253" s="162"/>
      <c r="HU253" s="163"/>
      <c r="HV253" s="164"/>
    </row>
    <row r="254" spans="3:230" x14ac:dyDescent="0.2">
      <c r="C254" s="162"/>
      <c r="D254" s="162"/>
      <c r="E254" s="163"/>
      <c r="F254" s="164"/>
      <c r="J254" s="162"/>
      <c r="K254" s="162"/>
      <c r="L254" s="163"/>
      <c r="M254" s="164"/>
      <c r="Q254" s="162"/>
      <c r="R254" s="162"/>
      <c r="S254" s="163"/>
      <c r="T254" s="164"/>
      <c r="X254" s="162"/>
      <c r="Y254" s="162"/>
      <c r="Z254" s="163"/>
      <c r="AA254" s="164"/>
      <c r="AE254" s="162"/>
      <c r="AF254" s="162"/>
      <c r="AG254" s="163"/>
      <c r="AH254" s="164"/>
      <c r="AL254" s="162"/>
      <c r="AM254" s="162"/>
      <c r="AN254" s="163"/>
      <c r="AO254" s="164"/>
      <c r="AS254" s="162"/>
      <c r="AT254" s="162"/>
      <c r="AU254" s="163"/>
      <c r="AV254" s="164"/>
      <c r="AZ254" s="162"/>
      <c r="BA254" s="162"/>
      <c r="BB254" s="163"/>
      <c r="BC254" s="164"/>
      <c r="BG254" s="162"/>
      <c r="BH254" s="162"/>
      <c r="BI254" s="163"/>
      <c r="BJ254" s="164"/>
      <c r="BN254" s="162"/>
      <c r="BO254" s="162"/>
      <c r="BP254" s="163"/>
      <c r="BQ254" s="164"/>
      <c r="BU254" s="162"/>
      <c r="BV254" s="162"/>
      <c r="BW254" s="163"/>
      <c r="BX254" s="164"/>
      <c r="CB254" s="162"/>
      <c r="CC254" s="162"/>
      <c r="CD254" s="163"/>
      <c r="CE254" s="164"/>
      <c r="CI254" s="162"/>
      <c r="CJ254" s="162"/>
      <c r="CK254" s="163"/>
      <c r="CL254" s="164"/>
      <c r="CP254" s="162"/>
      <c r="CQ254" s="162"/>
      <c r="CR254" s="163"/>
      <c r="CS254" s="164"/>
      <c r="CW254" s="162"/>
      <c r="CX254" s="162"/>
      <c r="CY254" s="163"/>
      <c r="CZ254" s="164"/>
      <c r="DD254" s="162"/>
      <c r="DE254" s="162"/>
      <c r="DF254" s="163"/>
      <c r="DG254" s="164"/>
      <c r="DK254" s="162"/>
      <c r="DL254" s="162"/>
      <c r="DM254" s="163"/>
      <c r="DN254" s="164"/>
      <c r="DR254" s="162"/>
      <c r="DS254" s="162"/>
      <c r="DT254" s="163"/>
      <c r="DU254" s="164"/>
      <c r="DY254" s="162"/>
      <c r="DZ254" s="162"/>
      <c r="EA254" s="163"/>
      <c r="EB254" s="164"/>
      <c r="EF254" s="162"/>
      <c r="EG254" s="162"/>
      <c r="EH254" s="163"/>
      <c r="EI254" s="164"/>
      <c r="EM254" s="162"/>
      <c r="EN254" s="162"/>
      <c r="EO254" s="163"/>
      <c r="EP254" s="164"/>
      <c r="ET254" s="162"/>
      <c r="EU254" s="162"/>
      <c r="EV254" s="163"/>
      <c r="EW254" s="164"/>
      <c r="FA254" s="162"/>
      <c r="FB254" s="162"/>
      <c r="FC254" s="163"/>
      <c r="FD254" s="164"/>
      <c r="FH254" s="162"/>
      <c r="FI254" s="162"/>
      <c r="FJ254" s="163"/>
      <c r="FK254" s="164"/>
      <c r="FO254" s="162"/>
      <c r="FP254" s="162"/>
      <c r="FQ254" s="163"/>
      <c r="FR254" s="164"/>
      <c r="FV254" s="162"/>
      <c r="FW254" s="162"/>
      <c r="FX254" s="163"/>
      <c r="FY254" s="164"/>
      <c r="GC254" s="162"/>
      <c r="GD254" s="162"/>
      <c r="GE254" s="163"/>
      <c r="GF254" s="164"/>
      <c r="GJ254" s="162"/>
      <c r="GK254" s="162"/>
      <c r="GL254" s="163"/>
      <c r="GM254" s="164"/>
      <c r="GQ254" s="162"/>
      <c r="GR254" s="162"/>
      <c r="GS254" s="163"/>
      <c r="GT254" s="164"/>
      <c r="GX254" s="162"/>
      <c r="GY254" s="162"/>
      <c r="GZ254" s="163"/>
      <c r="HA254" s="164"/>
      <c r="HE254" s="162"/>
      <c r="HF254" s="162"/>
      <c r="HG254" s="163"/>
      <c r="HH254" s="164"/>
      <c r="HL254" s="162"/>
      <c r="HM254" s="162"/>
      <c r="HN254" s="163"/>
      <c r="HO254" s="164"/>
      <c r="HS254" s="162"/>
      <c r="HT254" s="162"/>
      <c r="HU254" s="163"/>
      <c r="HV254" s="164"/>
    </row>
    <row r="255" spans="3:230" x14ac:dyDescent="0.2">
      <c r="C255" s="162"/>
      <c r="D255" s="162"/>
      <c r="E255" s="163"/>
      <c r="F255" s="164"/>
      <c r="J255" s="162"/>
      <c r="K255" s="162"/>
      <c r="L255" s="163"/>
      <c r="M255" s="164"/>
      <c r="Q255" s="162"/>
      <c r="R255" s="162"/>
      <c r="S255" s="163"/>
      <c r="T255" s="164"/>
      <c r="X255" s="162"/>
      <c r="Y255" s="162"/>
      <c r="Z255" s="163"/>
      <c r="AA255" s="164"/>
      <c r="AE255" s="162"/>
      <c r="AF255" s="162"/>
      <c r="AG255" s="163"/>
      <c r="AH255" s="164"/>
      <c r="AL255" s="162"/>
      <c r="AM255" s="162"/>
      <c r="AN255" s="163"/>
      <c r="AO255" s="164"/>
      <c r="AS255" s="162"/>
      <c r="AT255" s="162"/>
      <c r="AU255" s="163"/>
      <c r="AV255" s="164"/>
      <c r="AZ255" s="162"/>
      <c r="BA255" s="162"/>
      <c r="BB255" s="163"/>
      <c r="BC255" s="164"/>
      <c r="BG255" s="162"/>
      <c r="BH255" s="162"/>
      <c r="BI255" s="163"/>
      <c r="BJ255" s="164"/>
      <c r="BN255" s="162"/>
      <c r="BO255" s="162"/>
      <c r="BP255" s="163"/>
      <c r="BQ255" s="164"/>
      <c r="BU255" s="162"/>
      <c r="BV255" s="162"/>
      <c r="BW255" s="163"/>
      <c r="BX255" s="164"/>
      <c r="CB255" s="162"/>
      <c r="CC255" s="162"/>
      <c r="CD255" s="163"/>
      <c r="CE255" s="164"/>
      <c r="CI255" s="162"/>
      <c r="CJ255" s="162"/>
      <c r="CK255" s="163"/>
      <c r="CL255" s="164"/>
      <c r="CP255" s="162"/>
      <c r="CQ255" s="162"/>
      <c r="CR255" s="163"/>
      <c r="CS255" s="164"/>
      <c r="CW255" s="162"/>
      <c r="CX255" s="162"/>
      <c r="CY255" s="163"/>
      <c r="CZ255" s="164"/>
      <c r="DD255" s="162"/>
      <c r="DE255" s="162"/>
      <c r="DF255" s="163"/>
      <c r="DG255" s="164"/>
      <c r="DK255" s="162"/>
      <c r="DL255" s="162"/>
      <c r="DM255" s="163"/>
      <c r="DN255" s="164"/>
      <c r="DR255" s="162"/>
      <c r="DS255" s="162"/>
      <c r="DT255" s="163"/>
      <c r="DU255" s="164"/>
      <c r="DY255" s="162"/>
      <c r="DZ255" s="162"/>
      <c r="EA255" s="163"/>
      <c r="EB255" s="164"/>
      <c r="EF255" s="162"/>
      <c r="EG255" s="162"/>
      <c r="EH255" s="163"/>
      <c r="EI255" s="164"/>
      <c r="EM255" s="162"/>
      <c r="EN255" s="162"/>
      <c r="EO255" s="163"/>
      <c r="EP255" s="164"/>
      <c r="ET255" s="162"/>
      <c r="EU255" s="162"/>
      <c r="EV255" s="163"/>
      <c r="EW255" s="164"/>
      <c r="FA255" s="162"/>
      <c r="FB255" s="162"/>
      <c r="FC255" s="163"/>
      <c r="FD255" s="164"/>
      <c r="FH255" s="162"/>
      <c r="FI255" s="162"/>
      <c r="FJ255" s="163"/>
      <c r="FK255" s="164"/>
      <c r="FO255" s="162"/>
      <c r="FP255" s="162"/>
      <c r="FQ255" s="163"/>
      <c r="FR255" s="164"/>
      <c r="FV255" s="162"/>
      <c r="FW255" s="162"/>
      <c r="FX255" s="163"/>
      <c r="FY255" s="164"/>
      <c r="GC255" s="162"/>
      <c r="GD255" s="162"/>
      <c r="GE255" s="163"/>
      <c r="GF255" s="164"/>
      <c r="GJ255" s="162"/>
      <c r="GK255" s="162"/>
      <c r="GL255" s="163"/>
      <c r="GM255" s="164"/>
      <c r="GQ255" s="162"/>
      <c r="GR255" s="162"/>
      <c r="GS255" s="163"/>
      <c r="GT255" s="164"/>
      <c r="GX255" s="162"/>
      <c r="GY255" s="162"/>
      <c r="GZ255" s="163"/>
      <c r="HA255" s="164"/>
      <c r="HE255" s="162"/>
      <c r="HF255" s="162"/>
      <c r="HG255" s="163"/>
      <c r="HH255" s="164"/>
      <c r="HL255" s="162"/>
      <c r="HM255" s="162"/>
      <c r="HN255" s="163"/>
      <c r="HO255" s="164"/>
      <c r="HS255" s="162"/>
      <c r="HT255" s="162"/>
      <c r="HU255" s="163"/>
      <c r="HV255" s="164"/>
    </row>
  </sheetData>
  <mergeCells count="33">
    <mergeCell ref="HQ2:HV2"/>
    <mergeCell ref="CN2:CS2"/>
    <mergeCell ref="CU2:CZ2"/>
    <mergeCell ref="DB2:DG2"/>
    <mergeCell ref="FM2:FR2"/>
    <mergeCell ref="FT2:FY2"/>
    <mergeCell ref="GA2:GF2"/>
    <mergeCell ref="FF2:FK2"/>
    <mergeCell ref="GH2:GM2"/>
    <mergeCell ref="GO2:GT2"/>
    <mergeCell ref="GV2:HA2"/>
    <mergeCell ref="HC2:HH2"/>
    <mergeCell ref="HJ2:HO2"/>
    <mergeCell ref="AQ2:AV2"/>
    <mergeCell ref="DW2:EB2"/>
    <mergeCell ref="EY2:FD2"/>
    <mergeCell ref="BE2:BJ2"/>
    <mergeCell ref="BL2:BQ2"/>
    <mergeCell ref="BS2:BX2"/>
    <mergeCell ref="BZ2:CE2"/>
    <mergeCell ref="CG2:CL2"/>
    <mergeCell ref="DI2:DN2"/>
    <mergeCell ref="DP2:DU2"/>
    <mergeCell ref="ED2:EI2"/>
    <mergeCell ref="EK2:EP2"/>
    <mergeCell ref="ER2:EW2"/>
    <mergeCell ref="AX2:BC2"/>
    <mergeCell ref="A2:F2"/>
    <mergeCell ref="H2:M2"/>
    <mergeCell ref="V2:AA2"/>
    <mergeCell ref="AC2:AH2"/>
    <mergeCell ref="AJ2:AO2"/>
    <mergeCell ref="O2:T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53DA1-94D6-4277-9069-1A06DFE57EDB}">
  <sheetPr codeName="shDiscrete_Loads">
    <tabColor theme="8"/>
  </sheetPr>
  <dimension ref="A1:VN113"/>
  <sheetViews>
    <sheetView showGridLines="0" zoomScaleNormal="100" workbookViewId="0">
      <pane xSplit="6" ySplit="3" topLeftCell="G4" activePane="bottomRight" state="frozen"/>
      <selection pane="topRight" activeCell="H1" sqref="H1"/>
      <selection pane="bottomLeft" activeCell="A4" sqref="A4"/>
      <selection pane="bottomRight" activeCell="A4" sqref="A4"/>
    </sheetView>
  </sheetViews>
  <sheetFormatPr defaultColWidth="9.140625" defaultRowHeight="15" customHeight="1" x14ac:dyDescent="0.2"/>
  <cols>
    <col min="1" max="1" width="20.7109375" style="68" customWidth="1"/>
    <col min="2" max="2" width="30.7109375" style="69" customWidth="1"/>
    <col min="3" max="3" width="12.7109375" style="69" customWidth="1"/>
    <col min="4" max="11" width="8.7109375" style="69" customWidth="1"/>
    <col min="12" max="12" width="8.7109375" customWidth="1"/>
    <col min="13" max="18" width="8.7109375" style="69" customWidth="1"/>
    <col min="19" max="20" width="8.7109375" style="70" customWidth="1"/>
    <col min="21" max="22" width="8.7109375" style="69" customWidth="1"/>
    <col min="23" max="23" width="8.7109375" style="71" customWidth="1"/>
    <col min="24" max="24" width="8.7109375" style="69" customWidth="1"/>
    <col min="25" max="25" width="8.7109375" style="71" customWidth="1"/>
    <col min="26" max="26" width="8.7109375" style="69" customWidth="1"/>
    <col min="27" max="28" width="8.7109375" style="70" customWidth="1"/>
    <col min="29" max="30" width="8.7109375" style="69" customWidth="1"/>
    <col min="31" max="31" width="8.7109375" style="71" customWidth="1"/>
    <col min="32" max="32" width="8.7109375" style="69" customWidth="1"/>
    <col min="33" max="33" width="8.7109375" style="71" customWidth="1"/>
    <col min="34" max="34" width="8.7109375" style="69" customWidth="1"/>
    <col min="35" max="36" width="8.7109375" style="70" customWidth="1"/>
    <col min="37" max="38" width="8.7109375" style="69" customWidth="1"/>
    <col min="39" max="39" width="8.7109375" style="71" customWidth="1"/>
    <col min="40" max="40" width="8.7109375" style="69" customWidth="1"/>
    <col min="41" max="41" width="8.7109375" style="71" customWidth="1"/>
    <col min="42" max="42" width="8.7109375" style="69" customWidth="1"/>
    <col min="43" max="44" width="8.7109375" style="70" customWidth="1"/>
    <col min="45" max="47" width="8.7109375" style="69" customWidth="1"/>
    <col min="48" max="51" width="7.7109375" style="69" customWidth="1"/>
    <col min="52" max="52" width="7.7109375" style="72" customWidth="1"/>
    <col min="53" max="586" width="7.7109375" style="69" customWidth="1"/>
    <col min="587" max="16384" width="9.140625" style="69"/>
  </cols>
  <sheetData>
    <row r="1" spans="1:586" ht="35.1" customHeight="1" x14ac:dyDescent="0.2">
      <c r="A1" s="78"/>
      <c r="B1" s="79"/>
      <c r="C1" s="273"/>
      <c r="D1" s="79">
        <f>IF(RIGHT(TIA,1)="I",1,0)</f>
        <v>0</v>
      </c>
      <c r="E1" s="79"/>
      <c r="L1" s="69"/>
      <c r="M1" s="278" t="str">
        <f>IF(M2="","User Input","")</f>
        <v>User Input</v>
      </c>
      <c r="S1" s="69"/>
      <c r="T1" s="69"/>
      <c r="U1" s="278" t="str">
        <f>IF(U2="","User Input","")</f>
        <v>User Input</v>
      </c>
      <c r="W1" s="69"/>
      <c r="Y1" s="69"/>
      <c r="AA1" s="69"/>
      <c r="AB1" s="69"/>
      <c r="AC1" s="278" t="str">
        <f>IF(AC2="","User Input","")</f>
        <v>User Input</v>
      </c>
      <c r="AE1" s="69"/>
      <c r="AG1" s="69"/>
      <c r="AI1" s="69"/>
      <c r="AJ1" s="69"/>
      <c r="AK1" s="278" t="str">
        <f>IF(AK2="","User Input","")</f>
        <v>User Input</v>
      </c>
      <c r="AM1" s="69"/>
      <c r="AO1" s="69"/>
      <c r="AQ1" s="69"/>
      <c r="AR1" s="69"/>
      <c r="AZ1" s="69"/>
      <c r="BB1" s="69" t="s">
        <v>686</v>
      </c>
      <c r="BC1" s="69">
        <f>IF(RISA3D.Unit.Force="lbf",1,IF(RISA3D.Unit.Force="kip",1/1000,IF(RISA3D.Unit.Force="mt",1/2204.623,IF(RISA3D.Unit.Force="kN",1/224.80894,IF(RISA3D.Unit.Force="N",1/0.224809,IF(RISA3D.Unit.Force="kg",1/2.204623,1))))))</f>
        <v>1</v>
      </c>
      <c r="BD1" s="69">
        <f>IF(RISA3D.Unit.Moment="lbf-ft",1,IF(RISA3D.Unit.Moment="kip-ft",1/1000,IF(RISA3D.Unit.Moment="lbf-in",12,IF(RISA3D.Unit.Moment="kip-in",12/1000,1))))</f>
        <v>1</v>
      </c>
      <c r="BE1" s="69">
        <f>IF(RISA3D.Unit.Length="ft",1,IF(RISA3D.Unit.Length="in",1/12,1))</f>
        <v>1</v>
      </c>
      <c r="BG1" s="274">
        <v>0</v>
      </c>
      <c r="BH1" s="274" t="s">
        <v>688</v>
      </c>
      <c r="BI1" s="274" t="s">
        <v>689</v>
      </c>
      <c r="BJ1" s="274" t="s">
        <v>690</v>
      </c>
      <c r="BK1" s="274" t="s">
        <v>691</v>
      </c>
      <c r="BL1" s="274" t="s">
        <v>692</v>
      </c>
      <c r="BM1" s="274" t="s">
        <v>693</v>
      </c>
      <c r="BN1" s="274" t="s">
        <v>694</v>
      </c>
      <c r="BO1" s="274">
        <v>180</v>
      </c>
      <c r="BP1" s="274">
        <v>210</v>
      </c>
      <c r="BQ1" s="274">
        <v>225</v>
      </c>
      <c r="BR1" s="274">
        <v>240</v>
      </c>
      <c r="BS1" s="274">
        <v>270</v>
      </c>
      <c r="BT1" s="274">
        <v>300</v>
      </c>
      <c r="BU1" s="274">
        <v>315</v>
      </c>
      <c r="BV1" s="274">
        <v>330</v>
      </c>
      <c r="BW1" s="274" t="s">
        <v>687</v>
      </c>
      <c r="BX1" s="274" t="s">
        <v>688</v>
      </c>
      <c r="BY1" s="274" t="s">
        <v>689</v>
      </c>
      <c r="BZ1" s="274" t="s">
        <v>690</v>
      </c>
      <c r="CA1" s="274" t="s">
        <v>691</v>
      </c>
      <c r="CB1" s="274" t="s">
        <v>692</v>
      </c>
      <c r="CC1" s="274" t="s">
        <v>693</v>
      </c>
      <c r="CD1" s="274" t="s">
        <v>694</v>
      </c>
      <c r="CE1" s="274">
        <v>180</v>
      </c>
      <c r="CF1" s="274">
        <v>210</v>
      </c>
      <c r="CG1" s="274">
        <v>225</v>
      </c>
      <c r="CH1" s="274">
        <v>240</v>
      </c>
      <c r="CI1" s="274">
        <v>270</v>
      </c>
      <c r="CJ1" s="274">
        <v>300</v>
      </c>
      <c r="CK1" s="274">
        <v>315</v>
      </c>
      <c r="CL1" s="274">
        <v>330</v>
      </c>
      <c r="CM1" s="274" t="s">
        <v>687</v>
      </c>
      <c r="CN1" s="274" t="s">
        <v>688</v>
      </c>
      <c r="CO1" s="274" t="s">
        <v>689</v>
      </c>
      <c r="CP1" s="274" t="s">
        <v>690</v>
      </c>
      <c r="CQ1" s="274" t="s">
        <v>691</v>
      </c>
      <c r="CR1" s="274" t="s">
        <v>692</v>
      </c>
      <c r="CS1" s="274" t="s">
        <v>693</v>
      </c>
      <c r="CT1" s="274" t="s">
        <v>694</v>
      </c>
      <c r="CU1" s="274">
        <v>180</v>
      </c>
      <c r="CV1" s="274">
        <v>210</v>
      </c>
      <c r="CW1" s="274">
        <v>225</v>
      </c>
      <c r="CX1" s="274">
        <v>240</v>
      </c>
      <c r="CY1" s="274">
        <v>270</v>
      </c>
      <c r="CZ1" s="274">
        <v>300</v>
      </c>
      <c r="DA1" s="274">
        <v>315</v>
      </c>
      <c r="DB1" s="274">
        <v>330</v>
      </c>
      <c r="DC1" s="274" t="s">
        <v>687</v>
      </c>
      <c r="DD1" s="274" t="s">
        <v>688</v>
      </c>
      <c r="DE1" s="274" t="s">
        <v>689</v>
      </c>
      <c r="DF1" s="274" t="s">
        <v>690</v>
      </c>
      <c r="DG1" s="274" t="s">
        <v>691</v>
      </c>
      <c r="DH1" s="274" t="s">
        <v>692</v>
      </c>
      <c r="DI1" s="274" t="s">
        <v>693</v>
      </c>
      <c r="DJ1" s="274" t="s">
        <v>694</v>
      </c>
      <c r="DK1" s="274">
        <v>180</v>
      </c>
      <c r="DL1" s="274">
        <v>210</v>
      </c>
      <c r="DM1" s="274">
        <v>225</v>
      </c>
      <c r="DN1" s="274">
        <v>240</v>
      </c>
      <c r="DO1" s="274">
        <v>270</v>
      </c>
      <c r="DP1" s="274">
        <v>300</v>
      </c>
      <c r="DQ1" s="274">
        <v>315</v>
      </c>
      <c r="DR1" s="274">
        <v>330</v>
      </c>
      <c r="DS1" s="274" t="s">
        <v>687</v>
      </c>
      <c r="DT1" s="274" t="s">
        <v>688</v>
      </c>
      <c r="DU1" s="274" t="s">
        <v>689</v>
      </c>
      <c r="DV1" s="274" t="s">
        <v>690</v>
      </c>
      <c r="DW1" s="274" t="s">
        <v>691</v>
      </c>
      <c r="DX1" s="274" t="s">
        <v>692</v>
      </c>
      <c r="DY1" s="274" t="s">
        <v>693</v>
      </c>
      <c r="DZ1" s="274" t="s">
        <v>694</v>
      </c>
      <c r="EA1" s="274">
        <v>180</v>
      </c>
      <c r="EB1" s="274">
        <v>210</v>
      </c>
      <c r="EC1" s="274">
        <v>225</v>
      </c>
      <c r="ED1" s="274">
        <v>240</v>
      </c>
      <c r="EE1" s="274">
        <v>270</v>
      </c>
      <c r="EF1" s="274">
        <v>300</v>
      </c>
      <c r="EG1" s="274">
        <v>315</v>
      </c>
      <c r="EH1" s="274">
        <v>330</v>
      </c>
      <c r="EI1" s="274" t="s">
        <v>687</v>
      </c>
      <c r="EJ1" s="274" t="s">
        <v>688</v>
      </c>
      <c r="EK1" s="274" t="s">
        <v>689</v>
      </c>
      <c r="EL1" s="274" t="s">
        <v>690</v>
      </c>
      <c r="EM1" s="274" t="s">
        <v>691</v>
      </c>
      <c r="EN1" s="274" t="s">
        <v>692</v>
      </c>
      <c r="EO1" s="274" t="s">
        <v>693</v>
      </c>
      <c r="EP1" s="274" t="s">
        <v>694</v>
      </c>
      <c r="EQ1" s="274">
        <v>180</v>
      </c>
      <c r="ER1" s="274">
        <v>210</v>
      </c>
      <c r="ES1" s="274">
        <v>225</v>
      </c>
      <c r="ET1" s="274">
        <v>240</v>
      </c>
      <c r="EU1" s="274">
        <v>270</v>
      </c>
      <c r="EV1" s="274">
        <v>300</v>
      </c>
      <c r="EW1" s="274">
        <v>315</v>
      </c>
      <c r="EX1" s="274">
        <v>330</v>
      </c>
      <c r="EY1" s="274" t="s">
        <v>687</v>
      </c>
      <c r="EZ1" s="274" t="s">
        <v>688</v>
      </c>
      <c r="FA1" s="274" t="s">
        <v>689</v>
      </c>
      <c r="FB1" s="274" t="s">
        <v>690</v>
      </c>
      <c r="FC1" s="274" t="s">
        <v>691</v>
      </c>
      <c r="FD1" s="274" t="s">
        <v>692</v>
      </c>
      <c r="FE1" s="274" t="s">
        <v>693</v>
      </c>
      <c r="FF1" s="274" t="s">
        <v>694</v>
      </c>
      <c r="FG1" s="274">
        <v>180</v>
      </c>
      <c r="FH1" s="274">
        <v>210</v>
      </c>
      <c r="FI1" s="274">
        <v>225</v>
      </c>
      <c r="FJ1" s="274">
        <v>240</v>
      </c>
      <c r="FK1" s="274">
        <v>270</v>
      </c>
      <c r="FL1" s="274">
        <v>300</v>
      </c>
      <c r="FM1" s="274">
        <v>315</v>
      </c>
      <c r="FN1" s="274">
        <v>330</v>
      </c>
      <c r="FO1" s="274" t="s">
        <v>687</v>
      </c>
      <c r="FP1" s="274" t="s">
        <v>688</v>
      </c>
      <c r="FQ1" s="274" t="s">
        <v>689</v>
      </c>
      <c r="FR1" s="274" t="s">
        <v>690</v>
      </c>
      <c r="FS1" s="274" t="s">
        <v>691</v>
      </c>
      <c r="FT1" s="274" t="s">
        <v>692</v>
      </c>
      <c r="FU1" s="274" t="s">
        <v>693</v>
      </c>
      <c r="FV1" s="274" t="s">
        <v>694</v>
      </c>
      <c r="FW1" s="274">
        <v>180</v>
      </c>
      <c r="FX1" s="274">
        <v>210</v>
      </c>
      <c r="FY1" s="274">
        <v>225</v>
      </c>
      <c r="FZ1" s="274">
        <v>240</v>
      </c>
      <c r="GA1" s="274">
        <v>270</v>
      </c>
      <c r="GB1" s="274">
        <v>300</v>
      </c>
      <c r="GC1" s="274">
        <v>315</v>
      </c>
      <c r="GD1" s="274">
        <v>330</v>
      </c>
      <c r="GE1" s="274" t="s">
        <v>687</v>
      </c>
      <c r="GF1" s="274" t="s">
        <v>688</v>
      </c>
      <c r="GG1" s="274" t="s">
        <v>689</v>
      </c>
      <c r="GH1" s="274" t="s">
        <v>690</v>
      </c>
      <c r="GI1" s="274" t="s">
        <v>691</v>
      </c>
      <c r="GJ1" s="274" t="s">
        <v>692</v>
      </c>
      <c r="GK1" s="274" t="s">
        <v>693</v>
      </c>
      <c r="GL1" s="274" t="s">
        <v>694</v>
      </c>
      <c r="GM1" s="274">
        <v>180</v>
      </c>
      <c r="GN1" s="274">
        <v>210</v>
      </c>
      <c r="GO1" s="274">
        <v>225</v>
      </c>
      <c r="GP1" s="274">
        <v>240</v>
      </c>
      <c r="GQ1" s="274">
        <v>270</v>
      </c>
      <c r="GR1" s="274">
        <v>300</v>
      </c>
      <c r="GS1" s="274">
        <v>315</v>
      </c>
      <c r="GT1" s="274">
        <v>330</v>
      </c>
      <c r="GU1" s="274" t="s">
        <v>687</v>
      </c>
      <c r="GV1" s="274" t="s">
        <v>688</v>
      </c>
      <c r="GW1" s="274" t="s">
        <v>689</v>
      </c>
      <c r="GX1" s="274" t="s">
        <v>690</v>
      </c>
      <c r="GY1" s="274" t="s">
        <v>691</v>
      </c>
      <c r="GZ1" s="274" t="s">
        <v>692</v>
      </c>
      <c r="HA1" s="274" t="s">
        <v>693</v>
      </c>
      <c r="HB1" s="274" t="s">
        <v>694</v>
      </c>
      <c r="HC1" s="274">
        <v>180</v>
      </c>
      <c r="HD1" s="274">
        <v>210</v>
      </c>
      <c r="HE1" s="274">
        <v>225</v>
      </c>
      <c r="HF1" s="274">
        <v>240</v>
      </c>
      <c r="HG1" s="274">
        <v>270</v>
      </c>
      <c r="HH1" s="274">
        <v>300</v>
      </c>
      <c r="HI1" s="274">
        <v>315</v>
      </c>
      <c r="HJ1" s="274">
        <v>330</v>
      </c>
      <c r="HK1" s="274" t="s">
        <v>687</v>
      </c>
      <c r="HL1" s="274" t="s">
        <v>688</v>
      </c>
      <c r="HM1" s="274" t="s">
        <v>689</v>
      </c>
      <c r="HN1" s="274" t="s">
        <v>690</v>
      </c>
      <c r="HO1" s="274" t="s">
        <v>691</v>
      </c>
      <c r="HP1" s="274" t="s">
        <v>692</v>
      </c>
      <c r="HQ1" s="274" t="s">
        <v>693</v>
      </c>
      <c r="HR1" s="274" t="s">
        <v>694</v>
      </c>
      <c r="HS1" s="274">
        <v>180</v>
      </c>
      <c r="HT1" s="274">
        <v>210</v>
      </c>
      <c r="HU1" s="274">
        <v>225</v>
      </c>
      <c r="HV1" s="274">
        <v>240</v>
      </c>
      <c r="HW1" s="274">
        <v>270</v>
      </c>
      <c r="HX1" s="274">
        <v>300</v>
      </c>
      <c r="HY1" s="274">
        <v>315</v>
      </c>
      <c r="HZ1" s="274">
        <v>330</v>
      </c>
      <c r="IA1" s="274" t="s">
        <v>687</v>
      </c>
      <c r="IB1" s="274" t="s">
        <v>688</v>
      </c>
      <c r="IC1" s="274" t="s">
        <v>689</v>
      </c>
      <c r="ID1" s="274" t="s">
        <v>690</v>
      </c>
      <c r="IE1" s="274" t="s">
        <v>691</v>
      </c>
      <c r="IF1" s="274" t="s">
        <v>692</v>
      </c>
      <c r="IG1" s="274" t="s">
        <v>693</v>
      </c>
      <c r="IH1" s="274" t="s">
        <v>694</v>
      </c>
      <c r="II1" s="274">
        <v>180</v>
      </c>
      <c r="IJ1" s="274">
        <v>210</v>
      </c>
      <c r="IK1" s="274">
        <v>225</v>
      </c>
      <c r="IL1" s="274">
        <v>240</v>
      </c>
      <c r="IM1" s="274">
        <v>270</v>
      </c>
      <c r="IN1" s="274">
        <v>300</v>
      </c>
      <c r="IO1" s="274">
        <v>315</v>
      </c>
      <c r="IP1" s="274">
        <v>330</v>
      </c>
      <c r="IQ1" s="274" t="s">
        <v>687</v>
      </c>
      <c r="IR1" s="274" t="s">
        <v>688</v>
      </c>
      <c r="IS1" s="274" t="s">
        <v>689</v>
      </c>
      <c r="IT1" s="274" t="s">
        <v>690</v>
      </c>
      <c r="IU1" s="274" t="s">
        <v>691</v>
      </c>
      <c r="IV1" s="274" t="s">
        <v>692</v>
      </c>
      <c r="IW1" s="274" t="s">
        <v>693</v>
      </c>
      <c r="IX1" s="274" t="s">
        <v>694</v>
      </c>
      <c r="IY1" s="274">
        <v>180</v>
      </c>
      <c r="IZ1" s="274">
        <v>210</v>
      </c>
      <c r="JA1" s="274">
        <v>225</v>
      </c>
      <c r="JB1" s="274">
        <v>240</v>
      </c>
      <c r="JC1" s="274">
        <v>270</v>
      </c>
      <c r="JD1" s="274">
        <v>300</v>
      </c>
      <c r="JE1" s="274">
        <v>315</v>
      </c>
      <c r="JF1" s="274">
        <v>330</v>
      </c>
      <c r="JG1" s="274" t="s">
        <v>687</v>
      </c>
      <c r="JH1" s="274" t="s">
        <v>688</v>
      </c>
      <c r="JI1" s="274" t="s">
        <v>689</v>
      </c>
      <c r="JJ1" s="274" t="s">
        <v>690</v>
      </c>
      <c r="JK1" s="274" t="s">
        <v>691</v>
      </c>
      <c r="JL1" s="274" t="s">
        <v>692</v>
      </c>
      <c r="JM1" s="274" t="s">
        <v>693</v>
      </c>
      <c r="JN1" s="274" t="s">
        <v>694</v>
      </c>
      <c r="JO1" s="274">
        <v>180</v>
      </c>
      <c r="JP1" s="274">
        <v>210</v>
      </c>
      <c r="JQ1" s="274">
        <v>225</v>
      </c>
      <c r="JR1" s="274">
        <v>240</v>
      </c>
      <c r="JS1" s="274">
        <v>270</v>
      </c>
      <c r="JT1" s="274">
        <v>300</v>
      </c>
      <c r="JU1" s="274">
        <v>315</v>
      </c>
      <c r="JV1" s="274">
        <v>330</v>
      </c>
      <c r="JW1" s="274" t="s">
        <v>687</v>
      </c>
      <c r="JX1" s="274" t="s">
        <v>688</v>
      </c>
      <c r="JY1" s="274" t="s">
        <v>689</v>
      </c>
      <c r="JZ1" s="274" t="s">
        <v>690</v>
      </c>
      <c r="KA1" s="274" t="s">
        <v>691</v>
      </c>
      <c r="KB1" s="274" t="s">
        <v>692</v>
      </c>
      <c r="KC1" s="274" t="s">
        <v>693</v>
      </c>
      <c r="KD1" s="274" t="s">
        <v>694</v>
      </c>
      <c r="KE1" s="274">
        <v>180</v>
      </c>
      <c r="KF1" s="274">
        <v>210</v>
      </c>
      <c r="KG1" s="274">
        <v>225</v>
      </c>
      <c r="KH1" s="274">
        <v>240</v>
      </c>
      <c r="KI1" s="274">
        <v>270</v>
      </c>
      <c r="KJ1" s="274">
        <v>300</v>
      </c>
      <c r="KK1" s="274">
        <v>315</v>
      </c>
      <c r="KL1" s="274">
        <v>330</v>
      </c>
      <c r="KM1" s="274" t="s">
        <v>687</v>
      </c>
      <c r="KN1" s="274" t="s">
        <v>688</v>
      </c>
      <c r="KO1" s="274" t="s">
        <v>689</v>
      </c>
      <c r="KP1" s="274" t="s">
        <v>690</v>
      </c>
      <c r="KQ1" s="274" t="s">
        <v>691</v>
      </c>
      <c r="KR1" s="274" t="s">
        <v>692</v>
      </c>
      <c r="KS1" s="274" t="s">
        <v>693</v>
      </c>
      <c r="KT1" s="274" t="s">
        <v>694</v>
      </c>
      <c r="KU1" s="274">
        <v>180</v>
      </c>
      <c r="KV1" s="274">
        <v>210</v>
      </c>
      <c r="KW1" s="274">
        <v>225</v>
      </c>
      <c r="KX1" s="274">
        <v>240</v>
      </c>
      <c r="KY1" s="274">
        <v>270</v>
      </c>
      <c r="KZ1" s="274">
        <v>300</v>
      </c>
      <c r="LA1" s="274">
        <v>315</v>
      </c>
      <c r="LB1" s="274">
        <v>330</v>
      </c>
      <c r="LC1" s="274" t="s">
        <v>687</v>
      </c>
      <c r="LD1" s="274" t="s">
        <v>688</v>
      </c>
      <c r="LE1" s="274" t="s">
        <v>689</v>
      </c>
      <c r="LF1" s="274" t="s">
        <v>690</v>
      </c>
      <c r="LG1" s="274" t="s">
        <v>691</v>
      </c>
      <c r="LH1" s="274" t="s">
        <v>692</v>
      </c>
      <c r="LI1" s="274" t="s">
        <v>693</v>
      </c>
      <c r="LJ1" s="274" t="s">
        <v>694</v>
      </c>
      <c r="LK1" s="274">
        <v>180</v>
      </c>
      <c r="LL1" s="274">
        <v>210</v>
      </c>
      <c r="LM1" s="274">
        <v>225</v>
      </c>
      <c r="LN1" s="274">
        <v>240</v>
      </c>
      <c r="LO1" s="274">
        <v>270</v>
      </c>
      <c r="LP1" s="274">
        <v>300</v>
      </c>
      <c r="LQ1" s="274">
        <v>315</v>
      </c>
      <c r="LR1" s="274">
        <v>330</v>
      </c>
      <c r="LS1" s="274" t="s">
        <v>687</v>
      </c>
      <c r="LT1" s="274" t="s">
        <v>688</v>
      </c>
      <c r="LU1" s="274" t="s">
        <v>689</v>
      </c>
      <c r="LV1" s="274" t="s">
        <v>690</v>
      </c>
      <c r="LW1" s="274" t="s">
        <v>691</v>
      </c>
      <c r="LX1" s="274" t="s">
        <v>692</v>
      </c>
      <c r="LY1" s="274" t="s">
        <v>693</v>
      </c>
      <c r="LZ1" s="274" t="s">
        <v>694</v>
      </c>
      <c r="MA1" s="274">
        <v>180</v>
      </c>
      <c r="MB1" s="274">
        <v>210</v>
      </c>
      <c r="MC1" s="274">
        <v>225</v>
      </c>
      <c r="MD1" s="274">
        <v>240</v>
      </c>
      <c r="ME1" s="274">
        <v>270</v>
      </c>
      <c r="MF1" s="274">
        <v>300</v>
      </c>
      <c r="MG1" s="274">
        <v>315</v>
      </c>
      <c r="MH1" s="274">
        <v>330</v>
      </c>
      <c r="MI1" s="274" t="s">
        <v>687</v>
      </c>
      <c r="MJ1" s="274" t="s">
        <v>688</v>
      </c>
      <c r="MK1" s="274" t="s">
        <v>689</v>
      </c>
      <c r="ML1" s="274" t="s">
        <v>690</v>
      </c>
      <c r="MM1" s="274" t="s">
        <v>691</v>
      </c>
      <c r="MN1" s="274" t="s">
        <v>692</v>
      </c>
      <c r="MO1" s="274" t="s">
        <v>693</v>
      </c>
      <c r="MP1" s="274" t="s">
        <v>694</v>
      </c>
      <c r="MQ1" s="274">
        <v>180</v>
      </c>
      <c r="MR1" s="274">
        <v>210</v>
      </c>
      <c r="MS1" s="274">
        <v>225</v>
      </c>
      <c r="MT1" s="274">
        <v>240</v>
      </c>
      <c r="MU1" s="274">
        <v>270</v>
      </c>
      <c r="MV1" s="274">
        <v>300</v>
      </c>
      <c r="MW1" s="274">
        <v>315</v>
      </c>
      <c r="MX1" s="274">
        <v>330</v>
      </c>
      <c r="MY1" s="274" t="s">
        <v>687</v>
      </c>
      <c r="MZ1" s="274" t="s">
        <v>688</v>
      </c>
      <c r="NA1" s="274" t="s">
        <v>689</v>
      </c>
      <c r="NB1" s="274" t="s">
        <v>690</v>
      </c>
      <c r="NC1" s="274" t="s">
        <v>691</v>
      </c>
      <c r="ND1" s="274" t="s">
        <v>692</v>
      </c>
      <c r="NE1" s="274" t="s">
        <v>693</v>
      </c>
      <c r="NF1" s="274" t="s">
        <v>694</v>
      </c>
      <c r="NG1" s="274">
        <v>180</v>
      </c>
      <c r="NH1" s="274">
        <v>210</v>
      </c>
      <c r="NI1" s="274">
        <v>225</v>
      </c>
      <c r="NJ1" s="274">
        <v>240</v>
      </c>
      <c r="NK1" s="274">
        <v>270</v>
      </c>
      <c r="NL1" s="274">
        <v>300</v>
      </c>
      <c r="NM1" s="274">
        <v>315</v>
      </c>
      <c r="NN1" s="274">
        <v>330</v>
      </c>
      <c r="NO1" s="274" t="s">
        <v>687</v>
      </c>
      <c r="NP1" s="274" t="s">
        <v>688</v>
      </c>
      <c r="NQ1" s="274" t="s">
        <v>689</v>
      </c>
      <c r="NR1" s="274" t="s">
        <v>690</v>
      </c>
      <c r="NS1" s="274" t="s">
        <v>691</v>
      </c>
      <c r="NT1" s="274" t="s">
        <v>692</v>
      </c>
      <c r="NU1" s="274" t="s">
        <v>693</v>
      </c>
      <c r="NV1" s="274" t="s">
        <v>694</v>
      </c>
      <c r="NW1" s="274">
        <v>180</v>
      </c>
      <c r="NX1" s="274">
        <v>210</v>
      </c>
      <c r="NY1" s="274">
        <v>225</v>
      </c>
      <c r="NZ1" s="274">
        <v>240</v>
      </c>
      <c r="OA1" s="274">
        <v>270</v>
      </c>
      <c r="OB1" s="274">
        <v>300</v>
      </c>
      <c r="OC1" s="274">
        <v>315</v>
      </c>
      <c r="OD1" s="274">
        <v>330</v>
      </c>
      <c r="OE1" s="274" t="s">
        <v>687</v>
      </c>
      <c r="OF1" s="274" t="s">
        <v>688</v>
      </c>
      <c r="OG1" s="274" t="s">
        <v>689</v>
      </c>
      <c r="OH1" s="274" t="s">
        <v>690</v>
      </c>
      <c r="OI1" s="274" t="s">
        <v>691</v>
      </c>
      <c r="OJ1" s="274" t="s">
        <v>692</v>
      </c>
      <c r="OK1" s="274" t="s">
        <v>693</v>
      </c>
      <c r="OL1" s="274" t="s">
        <v>694</v>
      </c>
      <c r="OM1" s="274">
        <v>180</v>
      </c>
      <c r="ON1" s="274">
        <v>210</v>
      </c>
      <c r="OO1" s="274">
        <v>225</v>
      </c>
      <c r="OP1" s="274">
        <v>240</v>
      </c>
      <c r="OQ1" s="274">
        <v>270</v>
      </c>
      <c r="OR1" s="274">
        <v>300</v>
      </c>
      <c r="OS1" s="274">
        <v>315</v>
      </c>
      <c r="OT1" s="274">
        <v>330</v>
      </c>
      <c r="OU1" s="274" t="s">
        <v>687</v>
      </c>
      <c r="OV1" s="274" t="s">
        <v>688</v>
      </c>
      <c r="OW1" s="274" t="s">
        <v>689</v>
      </c>
      <c r="OX1" s="274" t="s">
        <v>690</v>
      </c>
      <c r="OY1" s="274" t="s">
        <v>691</v>
      </c>
      <c r="OZ1" s="274" t="s">
        <v>692</v>
      </c>
      <c r="PA1" s="274" t="s">
        <v>693</v>
      </c>
      <c r="PB1" s="274" t="s">
        <v>694</v>
      </c>
      <c r="PC1" s="274">
        <v>180</v>
      </c>
      <c r="PD1" s="274">
        <v>210</v>
      </c>
      <c r="PE1" s="274">
        <v>225</v>
      </c>
      <c r="PF1" s="274">
        <v>240</v>
      </c>
      <c r="PG1" s="274">
        <v>270</v>
      </c>
      <c r="PH1" s="274">
        <v>300</v>
      </c>
      <c r="PI1" s="274">
        <v>315</v>
      </c>
      <c r="PJ1" s="274">
        <v>330</v>
      </c>
      <c r="PK1" s="274" t="s">
        <v>687</v>
      </c>
      <c r="PL1" s="274" t="s">
        <v>688</v>
      </c>
      <c r="PM1" s="274" t="s">
        <v>689</v>
      </c>
      <c r="PN1" s="274" t="s">
        <v>690</v>
      </c>
      <c r="PO1" s="274" t="s">
        <v>691</v>
      </c>
      <c r="PP1" s="274" t="s">
        <v>692</v>
      </c>
      <c r="PQ1" s="274" t="s">
        <v>693</v>
      </c>
      <c r="PR1" s="274" t="s">
        <v>694</v>
      </c>
      <c r="PS1" s="274">
        <v>180</v>
      </c>
      <c r="PT1" s="274">
        <v>210</v>
      </c>
      <c r="PU1" s="274">
        <v>225</v>
      </c>
      <c r="PV1" s="274">
        <v>240</v>
      </c>
      <c r="PW1" s="274">
        <v>270</v>
      </c>
      <c r="PX1" s="274">
        <v>300</v>
      </c>
      <c r="PY1" s="274">
        <v>315</v>
      </c>
      <c r="PZ1" s="274">
        <v>330</v>
      </c>
      <c r="QA1" s="274" t="s">
        <v>687</v>
      </c>
      <c r="QB1" s="274" t="s">
        <v>688</v>
      </c>
      <c r="QC1" s="274" t="s">
        <v>689</v>
      </c>
      <c r="QD1" s="274" t="s">
        <v>690</v>
      </c>
      <c r="QE1" s="274" t="s">
        <v>691</v>
      </c>
      <c r="QF1" s="274" t="s">
        <v>692</v>
      </c>
      <c r="QG1" s="274" t="s">
        <v>693</v>
      </c>
      <c r="QH1" s="274" t="s">
        <v>694</v>
      </c>
      <c r="QI1" s="274">
        <v>180</v>
      </c>
      <c r="QJ1" s="274">
        <v>210</v>
      </c>
      <c r="QK1" s="274">
        <v>225</v>
      </c>
      <c r="QL1" s="274">
        <v>240</v>
      </c>
      <c r="QM1" s="274">
        <v>270</v>
      </c>
      <c r="QN1" s="274">
        <v>300</v>
      </c>
      <c r="QO1" s="274">
        <v>315</v>
      </c>
      <c r="QP1" s="274">
        <v>330</v>
      </c>
      <c r="QQ1" s="274" t="s">
        <v>687</v>
      </c>
      <c r="QR1" s="274" t="s">
        <v>688</v>
      </c>
      <c r="QS1" s="274" t="s">
        <v>689</v>
      </c>
      <c r="QT1" s="274" t="s">
        <v>690</v>
      </c>
      <c r="QU1" s="274" t="s">
        <v>691</v>
      </c>
      <c r="QV1" s="274" t="s">
        <v>692</v>
      </c>
      <c r="QW1" s="274" t="s">
        <v>693</v>
      </c>
      <c r="QX1" s="274" t="s">
        <v>694</v>
      </c>
      <c r="QY1" s="274">
        <v>180</v>
      </c>
      <c r="QZ1" s="274">
        <v>210</v>
      </c>
      <c r="RA1" s="274">
        <v>225</v>
      </c>
      <c r="RB1" s="274">
        <v>240</v>
      </c>
      <c r="RC1" s="274">
        <v>270</v>
      </c>
      <c r="RD1" s="274">
        <v>300</v>
      </c>
      <c r="RE1" s="274">
        <v>315</v>
      </c>
      <c r="RF1" s="274">
        <v>330</v>
      </c>
      <c r="RG1" s="274" t="s">
        <v>687</v>
      </c>
      <c r="RH1" s="274" t="s">
        <v>688</v>
      </c>
      <c r="RI1" s="274" t="s">
        <v>689</v>
      </c>
      <c r="RJ1" s="274" t="s">
        <v>690</v>
      </c>
      <c r="RK1" s="274" t="s">
        <v>691</v>
      </c>
      <c r="RL1" s="274" t="s">
        <v>692</v>
      </c>
      <c r="RM1" s="274" t="s">
        <v>693</v>
      </c>
      <c r="RN1" s="274" t="s">
        <v>694</v>
      </c>
      <c r="RO1" s="274">
        <v>180</v>
      </c>
      <c r="RP1" s="274">
        <v>210</v>
      </c>
      <c r="RQ1" s="274">
        <v>225</v>
      </c>
      <c r="RR1" s="274">
        <v>240</v>
      </c>
      <c r="RS1" s="274">
        <v>270</v>
      </c>
      <c r="RT1" s="274">
        <v>300</v>
      </c>
      <c r="RU1" s="274">
        <v>315</v>
      </c>
      <c r="RV1" s="274">
        <v>330</v>
      </c>
      <c r="RW1" s="274" t="s">
        <v>687</v>
      </c>
      <c r="RX1" s="274" t="s">
        <v>688</v>
      </c>
      <c r="RY1" s="274" t="s">
        <v>689</v>
      </c>
      <c r="RZ1" s="274" t="s">
        <v>690</v>
      </c>
      <c r="SA1" s="274" t="s">
        <v>691</v>
      </c>
      <c r="SB1" s="274" t="s">
        <v>692</v>
      </c>
      <c r="SC1" s="274" t="s">
        <v>693</v>
      </c>
      <c r="SD1" s="274" t="s">
        <v>694</v>
      </c>
      <c r="SE1" s="274">
        <v>180</v>
      </c>
      <c r="SF1" s="274">
        <v>210</v>
      </c>
      <c r="SG1" s="274">
        <v>225</v>
      </c>
      <c r="SH1" s="274">
        <v>240</v>
      </c>
      <c r="SI1" s="274">
        <v>270</v>
      </c>
      <c r="SJ1" s="274">
        <v>300</v>
      </c>
      <c r="SK1" s="274">
        <v>315</v>
      </c>
      <c r="SL1" s="274">
        <v>330</v>
      </c>
      <c r="SM1" s="274" t="s">
        <v>687</v>
      </c>
      <c r="SN1" s="274" t="s">
        <v>688</v>
      </c>
      <c r="SO1" s="274" t="s">
        <v>689</v>
      </c>
      <c r="SP1" s="274" t="s">
        <v>690</v>
      </c>
      <c r="SQ1" s="274" t="s">
        <v>691</v>
      </c>
      <c r="SR1" s="274" t="s">
        <v>692</v>
      </c>
      <c r="SS1" s="274" t="s">
        <v>693</v>
      </c>
      <c r="ST1" s="274" t="s">
        <v>694</v>
      </c>
      <c r="SU1" s="274">
        <v>180</v>
      </c>
      <c r="SV1" s="274">
        <v>210</v>
      </c>
      <c r="SW1" s="274">
        <v>225</v>
      </c>
      <c r="SX1" s="274">
        <v>240</v>
      </c>
      <c r="SY1" s="274">
        <v>270</v>
      </c>
      <c r="SZ1" s="274">
        <v>300</v>
      </c>
      <c r="TA1" s="274">
        <v>315</v>
      </c>
      <c r="TB1" s="274">
        <v>330</v>
      </c>
      <c r="TC1" s="274" t="s">
        <v>687</v>
      </c>
      <c r="TD1" s="274" t="s">
        <v>688</v>
      </c>
      <c r="TE1" s="274" t="s">
        <v>689</v>
      </c>
      <c r="TF1" s="274" t="s">
        <v>690</v>
      </c>
      <c r="TG1" s="274" t="s">
        <v>691</v>
      </c>
      <c r="TH1" s="274" t="s">
        <v>692</v>
      </c>
      <c r="TI1" s="274" t="s">
        <v>693</v>
      </c>
      <c r="TJ1" s="274" t="s">
        <v>694</v>
      </c>
      <c r="TK1" s="274">
        <v>180</v>
      </c>
      <c r="TL1" s="274">
        <v>210</v>
      </c>
      <c r="TM1" s="274">
        <v>225</v>
      </c>
      <c r="TN1" s="274">
        <v>240</v>
      </c>
      <c r="TO1" s="274">
        <v>270</v>
      </c>
      <c r="TP1" s="274">
        <v>300</v>
      </c>
      <c r="TQ1" s="274">
        <v>315</v>
      </c>
      <c r="TR1" s="274">
        <v>330</v>
      </c>
      <c r="TS1" s="274" t="s">
        <v>687</v>
      </c>
      <c r="TT1" s="274" t="s">
        <v>688</v>
      </c>
      <c r="TU1" s="274" t="s">
        <v>689</v>
      </c>
      <c r="TV1" s="274" t="s">
        <v>690</v>
      </c>
      <c r="TW1" s="274" t="s">
        <v>691</v>
      </c>
      <c r="TX1" s="274" t="s">
        <v>692</v>
      </c>
      <c r="TY1" s="274" t="s">
        <v>693</v>
      </c>
      <c r="TZ1" s="274" t="s">
        <v>694</v>
      </c>
      <c r="UA1" s="274">
        <v>180</v>
      </c>
      <c r="UB1" s="274">
        <v>210</v>
      </c>
      <c r="UC1" s="274">
        <v>225</v>
      </c>
      <c r="UD1" s="274">
        <v>240</v>
      </c>
      <c r="UE1" s="274">
        <v>270</v>
      </c>
      <c r="UF1" s="274">
        <v>300</v>
      </c>
      <c r="UG1" s="274">
        <v>315</v>
      </c>
      <c r="UH1" s="274">
        <v>330</v>
      </c>
      <c r="UI1" s="274" t="s">
        <v>687</v>
      </c>
      <c r="UJ1" s="274" t="s">
        <v>688</v>
      </c>
      <c r="UK1" s="274" t="s">
        <v>689</v>
      </c>
      <c r="UL1" s="274" t="s">
        <v>690</v>
      </c>
      <c r="UM1" s="274" t="s">
        <v>691</v>
      </c>
      <c r="UN1" s="274" t="s">
        <v>692</v>
      </c>
      <c r="UO1" s="274" t="s">
        <v>693</v>
      </c>
      <c r="UP1" s="274" t="s">
        <v>694</v>
      </c>
      <c r="UQ1" s="274">
        <v>180</v>
      </c>
      <c r="UR1" s="274">
        <v>210</v>
      </c>
      <c r="US1" s="274">
        <v>225</v>
      </c>
      <c r="UT1" s="274">
        <v>240</v>
      </c>
      <c r="UU1" s="274">
        <v>270</v>
      </c>
      <c r="UV1" s="274">
        <v>300</v>
      </c>
      <c r="UW1" s="274">
        <v>315</v>
      </c>
      <c r="UX1" s="274">
        <v>330</v>
      </c>
    </row>
    <row r="2" spans="1:586" s="187" customFormat="1" ht="15" customHeight="1" thickBot="1" x14ac:dyDescent="0.25">
      <c r="A2" s="495" t="s">
        <v>28</v>
      </c>
      <c r="B2" s="495"/>
      <c r="C2" s="495"/>
      <c r="D2" s="495"/>
      <c r="E2" s="495"/>
      <c r="F2" s="495"/>
      <c r="G2" s="495" t="s">
        <v>695</v>
      </c>
      <c r="H2" s="495"/>
      <c r="I2" s="495"/>
      <c r="J2" s="495" t="s">
        <v>696</v>
      </c>
      <c r="K2" s="495"/>
      <c r="L2" s="306" t="s">
        <v>561</v>
      </c>
      <c r="M2" s="307"/>
      <c r="N2" s="495" t="s">
        <v>297</v>
      </c>
      <c r="O2" s="495"/>
      <c r="P2" s="495"/>
      <c r="Q2" s="495"/>
      <c r="R2" s="495"/>
      <c r="S2" s="495"/>
      <c r="T2" s="308" t="s">
        <v>562</v>
      </c>
      <c r="U2" s="309"/>
      <c r="V2" s="495" t="s">
        <v>299</v>
      </c>
      <c r="W2" s="495"/>
      <c r="X2" s="495"/>
      <c r="Y2" s="495"/>
      <c r="Z2" s="495"/>
      <c r="AA2" s="495"/>
      <c r="AB2" s="310" t="s">
        <v>563</v>
      </c>
      <c r="AC2" s="311"/>
      <c r="AD2" s="495" t="s">
        <v>301</v>
      </c>
      <c r="AE2" s="495"/>
      <c r="AF2" s="495"/>
      <c r="AG2" s="495"/>
      <c r="AH2" s="495"/>
      <c r="AI2" s="495"/>
      <c r="AJ2" s="312" t="s">
        <v>564</v>
      </c>
      <c r="AK2" s="313"/>
      <c r="AL2" s="495" t="s">
        <v>303</v>
      </c>
      <c r="AM2" s="495"/>
      <c r="AN2" s="495"/>
      <c r="AO2" s="495"/>
      <c r="AP2" s="495"/>
      <c r="AQ2" s="495"/>
      <c r="AR2" s="496" t="s">
        <v>304</v>
      </c>
      <c r="AS2" s="496"/>
      <c r="AT2" s="496"/>
      <c r="AU2" s="496"/>
      <c r="AV2" s="497" t="s">
        <v>697</v>
      </c>
      <c r="AW2" s="497"/>
      <c r="AX2" s="497"/>
      <c r="AY2" s="497"/>
      <c r="AZ2" s="497"/>
      <c r="BA2" s="497" t="s">
        <v>698</v>
      </c>
      <c r="BB2" s="497"/>
      <c r="BC2" s="497"/>
      <c r="BD2" s="497"/>
      <c r="BE2" s="497"/>
      <c r="BF2" s="497"/>
      <c r="BG2" s="498" t="s">
        <v>699</v>
      </c>
      <c r="BH2" s="498"/>
      <c r="BI2" s="498"/>
      <c r="BJ2" s="498"/>
      <c r="BK2" s="498"/>
      <c r="BL2" s="498"/>
      <c r="BM2" s="498"/>
      <c r="BN2" s="498"/>
      <c r="BO2" s="498"/>
      <c r="BP2" s="498"/>
      <c r="BQ2" s="498"/>
      <c r="BR2" s="498"/>
      <c r="BS2" s="498"/>
      <c r="BT2" s="498"/>
      <c r="BU2" s="498"/>
      <c r="BV2" s="498"/>
      <c r="BW2" s="494" t="s">
        <v>700</v>
      </c>
      <c r="BX2" s="494"/>
      <c r="BY2" s="494"/>
      <c r="BZ2" s="494"/>
      <c r="CA2" s="494"/>
      <c r="CB2" s="494"/>
      <c r="CC2" s="494"/>
      <c r="CD2" s="494"/>
      <c r="CE2" s="494"/>
      <c r="CF2" s="494"/>
      <c r="CG2" s="494"/>
      <c r="CH2" s="494"/>
      <c r="CI2" s="494"/>
      <c r="CJ2" s="494"/>
      <c r="CK2" s="494"/>
      <c r="CL2" s="494"/>
      <c r="CM2" s="499" t="s">
        <v>701</v>
      </c>
      <c r="CN2" s="499"/>
      <c r="CO2" s="499"/>
      <c r="CP2" s="499"/>
      <c r="CQ2" s="499"/>
      <c r="CR2" s="499"/>
      <c r="CS2" s="499"/>
      <c r="CT2" s="499"/>
      <c r="CU2" s="499"/>
      <c r="CV2" s="499"/>
      <c r="CW2" s="499"/>
      <c r="CX2" s="499"/>
      <c r="CY2" s="499"/>
      <c r="CZ2" s="499"/>
      <c r="DA2" s="499"/>
      <c r="DB2" s="499"/>
      <c r="DC2" s="500" t="s">
        <v>702</v>
      </c>
      <c r="DD2" s="500"/>
      <c r="DE2" s="500"/>
      <c r="DF2" s="500"/>
      <c r="DG2" s="500"/>
      <c r="DH2" s="500"/>
      <c r="DI2" s="500"/>
      <c r="DJ2" s="500"/>
      <c r="DK2" s="500"/>
      <c r="DL2" s="500"/>
      <c r="DM2" s="500"/>
      <c r="DN2" s="500"/>
      <c r="DO2" s="500"/>
      <c r="DP2" s="500"/>
      <c r="DQ2" s="500"/>
      <c r="DR2" s="500"/>
      <c r="DS2" s="498" t="s">
        <v>703</v>
      </c>
      <c r="DT2" s="498"/>
      <c r="DU2" s="498"/>
      <c r="DV2" s="498"/>
      <c r="DW2" s="498"/>
      <c r="DX2" s="498"/>
      <c r="DY2" s="498"/>
      <c r="DZ2" s="498"/>
      <c r="EA2" s="498"/>
      <c r="EB2" s="498"/>
      <c r="EC2" s="498"/>
      <c r="ED2" s="498"/>
      <c r="EE2" s="498"/>
      <c r="EF2" s="498"/>
      <c r="EG2" s="498"/>
      <c r="EH2" s="498"/>
      <c r="EI2" s="494" t="s">
        <v>704</v>
      </c>
      <c r="EJ2" s="494"/>
      <c r="EK2" s="494"/>
      <c r="EL2" s="494"/>
      <c r="EM2" s="494"/>
      <c r="EN2" s="494"/>
      <c r="EO2" s="494"/>
      <c r="EP2" s="494"/>
      <c r="EQ2" s="494"/>
      <c r="ER2" s="494"/>
      <c r="ES2" s="494"/>
      <c r="ET2" s="494"/>
      <c r="EU2" s="494"/>
      <c r="EV2" s="494"/>
      <c r="EW2" s="494"/>
      <c r="EX2" s="494"/>
      <c r="EY2" s="499" t="s">
        <v>705</v>
      </c>
      <c r="EZ2" s="499"/>
      <c r="FA2" s="499"/>
      <c r="FB2" s="499"/>
      <c r="FC2" s="499"/>
      <c r="FD2" s="499"/>
      <c r="FE2" s="499"/>
      <c r="FF2" s="499"/>
      <c r="FG2" s="499"/>
      <c r="FH2" s="499"/>
      <c r="FI2" s="499"/>
      <c r="FJ2" s="499"/>
      <c r="FK2" s="499"/>
      <c r="FL2" s="499"/>
      <c r="FM2" s="499"/>
      <c r="FN2" s="499"/>
      <c r="FO2" s="500" t="s">
        <v>706</v>
      </c>
      <c r="FP2" s="500"/>
      <c r="FQ2" s="500"/>
      <c r="FR2" s="500"/>
      <c r="FS2" s="500"/>
      <c r="FT2" s="500"/>
      <c r="FU2" s="500"/>
      <c r="FV2" s="500"/>
      <c r="FW2" s="500"/>
      <c r="FX2" s="500"/>
      <c r="FY2" s="500"/>
      <c r="FZ2" s="500"/>
      <c r="GA2" s="500"/>
      <c r="GB2" s="500"/>
      <c r="GC2" s="500"/>
      <c r="GD2" s="500"/>
      <c r="GE2" s="498" t="str">
        <f>_xlfn.CONCAT("Alpha Fa (",RISA3D.Unit.Force,")")</f>
        <v>Alpha Fa ()</v>
      </c>
      <c r="GF2" s="498"/>
      <c r="GG2" s="498"/>
      <c r="GH2" s="498"/>
      <c r="GI2" s="498"/>
      <c r="GJ2" s="498"/>
      <c r="GK2" s="498"/>
      <c r="GL2" s="498"/>
      <c r="GM2" s="498"/>
      <c r="GN2" s="498"/>
      <c r="GO2" s="498"/>
      <c r="GP2" s="498"/>
      <c r="GQ2" s="498"/>
      <c r="GR2" s="498"/>
      <c r="GS2" s="498"/>
      <c r="GT2" s="498"/>
      <c r="GU2" s="494" t="str">
        <f>_xlfn.CONCAT("Beta Fa (",RISA3D.Unit.Force,")")</f>
        <v>Beta Fa ()</v>
      </c>
      <c r="GV2" s="494"/>
      <c r="GW2" s="494"/>
      <c r="GX2" s="494"/>
      <c r="GY2" s="494"/>
      <c r="GZ2" s="494"/>
      <c r="HA2" s="494"/>
      <c r="HB2" s="494"/>
      <c r="HC2" s="494"/>
      <c r="HD2" s="494"/>
      <c r="HE2" s="494"/>
      <c r="HF2" s="494"/>
      <c r="HG2" s="494"/>
      <c r="HH2" s="494"/>
      <c r="HI2" s="494"/>
      <c r="HJ2" s="494"/>
      <c r="HK2" s="499" t="str">
        <f>_xlfn.CONCAT("Gamma Fa (",RISA3D.Unit.Force,")")</f>
        <v>Gamma Fa ()</v>
      </c>
      <c r="HL2" s="499"/>
      <c r="HM2" s="499"/>
      <c r="HN2" s="499"/>
      <c r="HO2" s="499"/>
      <c r="HP2" s="499"/>
      <c r="HQ2" s="499"/>
      <c r="HR2" s="499"/>
      <c r="HS2" s="499"/>
      <c r="HT2" s="499"/>
      <c r="HU2" s="499"/>
      <c r="HV2" s="499"/>
      <c r="HW2" s="499"/>
      <c r="HX2" s="499"/>
      <c r="HY2" s="499"/>
      <c r="HZ2" s="499"/>
      <c r="IA2" s="500" t="str">
        <f>_xlfn.CONCAT("Delta Fa (",RISA3D.Unit.Force,")")</f>
        <v>Delta Fa ()</v>
      </c>
      <c r="IB2" s="500"/>
      <c r="IC2" s="500"/>
      <c r="ID2" s="500"/>
      <c r="IE2" s="500"/>
      <c r="IF2" s="500"/>
      <c r="IG2" s="500"/>
      <c r="IH2" s="500"/>
      <c r="II2" s="500"/>
      <c r="IJ2" s="500"/>
      <c r="IK2" s="500"/>
      <c r="IL2" s="500"/>
      <c r="IM2" s="500"/>
      <c r="IN2" s="500"/>
      <c r="IO2" s="500"/>
      <c r="IP2" s="500"/>
      <c r="IQ2" s="498" t="str">
        <f>_xlfn.CONCAT("Alpha Fai (",RISA3D.Unit.Force,")")</f>
        <v>Alpha Fai ()</v>
      </c>
      <c r="IR2" s="498"/>
      <c r="IS2" s="498"/>
      <c r="IT2" s="498"/>
      <c r="IU2" s="498"/>
      <c r="IV2" s="498"/>
      <c r="IW2" s="498"/>
      <c r="IX2" s="498"/>
      <c r="IY2" s="498"/>
      <c r="IZ2" s="498"/>
      <c r="JA2" s="498"/>
      <c r="JB2" s="498"/>
      <c r="JC2" s="498"/>
      <c r="JD2" s="498"/>
      <c r="JE2" s="498"/>
      <c r="JF2" s="498"/>
      <c r="JG2" s="494" t="str">
        <f>_xlfn.CONCAT("Beta Fai (",RISA3D.Unit.Force,")")</f>
        <v>Beta Fai ()</v>
      </c>
      <c r="JH2" s="494"/>
      <c r="JI2" s="494"/>
      <c r="JJ2" s="494"/>
      <c r="JK2" s="494"/>
      <c r="JL2" s="494"/>
      <c r="JM2" s="494"/>
      <c r="JN2" s="494"/>
      <c r="JO2" s="494"/>
      <c r="JP2" s="494"/>
      <c r="JQ2" s="494"/>
      <c r="JR2" s="494"/>
      <c r="JS2" s="494"/>
      <c r="JT2" s="494"/>
      <c r="JU2" s="494"/>
      <c r="JV2" s="494"/>
      <c r="JW2" s="499" t="str">
        <f>_xlfn.CONCAT("Gamma Fai (",RISA3D.Unit.Force,")")</f>
        <v>Gamma Fai ()</v>
      </c>
      <c r="JX2" s="499"/>
      <c r="JY2" s="499"/>
      <c r="JZ2" s="499"/>
      <c r="KA2" s="499"/>
      <c r="KB2" s="499"/>
      <c r="KC2" s="499"/>
      <c r="KD2" s="499"/>
      <c r="KE2" s="499"/>
      <c r="KF2" s="499"/>
      <c r="KG2" s="499"/>
      <c r="KH2" s="499"/>
      <c r="KI2" s="499"/>
      <c r="KJ2" s="499"/>
      <c r="KK2" s="499"/>
      <c r="KL2" s="499"/>
      <c r="KM2" s="500" t="str">
        <f>_xlfn.CONCAT("Delta Fai (",RISA3D.Unit.Force,")")</f>
        <v>Delta Fai ()</v>
      </c>
      <c r="KN2" s="500"/>
      <c r="KO2" s="500"/>
      <c r="KP2" s="500"/>
      <c r="KQ2" s="500"/>
      <c r="KR2" s="500"/>
      <c r="KS2" s="500"/>
      <c r="KT2" s="500"/>
      <c r="KU2" s="500"/>
      <c r="KV2" s="500"/>
      <c r="KW2" s="500"/>
      <c r="KX2" s="500"/>
      <c r="KY2" s="500"/>
      <c r="KZ2" s="500"/>
      <c r="LA2" s="500"/>
      <c r="LB2" s="500"/>
      <c r="LC2" s="498" t="str">
        <f>_xlfn.CONCAT("Alpha Mx (",RISA3D.Unit.Moment,")")</f>
        <v>Alpha Mx ()</v>
      </c>
      <c r="LD2" s="498"/>
      <c r="LE2" s="498"/>
      <c r="LF2" s="498"/>
      <c r="LG2" s="498"/>
      <c r="LH2" s="498"/>
      <c r="LI2" s="498"/>
      <c r="LJ2" s="498"/>
      <c r="LK2" s="498"/>
      <c r="LL2" s="498"/>
      <c r="LM2" s="498"/>
      <c r="LN2" s="498"/>
      <c r="LO2" s="498"/>
      <c r="LP2" s="498"/>
      <c r="LQ2" s="498"/>
      <c r="LR2" s="498"/>
      <c r="LS2" s="494" t="str">
        <f>_xlfn.CONCAT("Beta Mx (",RISA3D.Unit.Moment,")")</f>
        <v>Beta Mx ()</v>
      </c>
      <c r="LT2" s="494"/>
      <c r="LU2" s="494"/>
      <c r="LV2" s="494"/>
      <c r="LW2" s="494"/>
      <c r="LX2" s="494"/>
      <c r="LY2" s="494"/>
      <c r="LZ2" s="494"/>
      <c r="MA2" s="494"/>
      <c r="MB2" s="494"/>
      <c r="MC2" s="494"/>
      <c r="MD2" s="494"/>
      <c r="ME2" s="494"/>
      <c r="MF2" s="494"/>
      <c r="MG2" s="494"/>
      <c r="MH2" s="494"/>
      <c r="MI2" s="499" t="str">
        <f>_xlfn.CONCAT("Gamma Mx (",RISA3D.Unit.Moment,")")</f>
        <v>Gamma Mx ()</v>
      </c>
      <c r="MJ2" s="499"/>
      <c r="MK2" s="499"/>
      <c r="ML2" s="499"/>
      <c r="MM2" s="499"/>
      <c r="MN2" s="499"/>
      <c r="MO2" s="499"/>
      <c r="MP2" s="499"/>
      <c r="MQ2" s="499"/>
      <c r="MR2" s="499"/>
      <c r="MS2" s="499"/>
      <c r="MT2" s="499"/>
      <c r="MU2" s="499"/>
      <c r="MV2" s="499"/>
      <c r="MW2" s="499"/>
      <c r="MX2" s="499"/>
      <c r="MY2" s="500" t="str">
        <f>_xlfn.CONCAT("Delta Mx (",RISA3D.Unit.Moment,")")</f>
        <v>Delta Mx ()</v>
      </c>
      <c r="MZ2" s="500"/>
      <c r="NA2" s="500"/>
      <c r="NB2" s="500"/>
      <c r="NC2" s="500"/>
      <c r="ND2" s="500"/>
      <c r="NE2" s="500"/>
      <c r="NF2" s="500"/>
      <c r="NG2" s="500"/>
      <c r="NH2" s="500"/>
      <c r="NI2" s="500"/>
      <c r="NJ2" s="500"/>
      <c r="NK2" s="500"/>
      <c r="NL2" s="500"/>
      <c r="NM2" s="500"/>
      <c r="NN2" s="500"/>
      <c r="NO2" s="498" t="str">
        <f>_xlfn.CONCAT("Alpha Mxi (",RISA3D.Unit.Moment,")")</f>
        <v>Alpha Mxi ()</v>
      </c>
      <c r="NP2" s="498"/>
      <c r="NQ2" s="498"/>
      <c r="NR2" s="498"/>
      <c r="NS2" s="498"/>
      <c r="NT2" s="498"/>
      <c r="NU2" s="498"/>
      <c r="NV2" s="498"/>
      <c r="NW2" s="498"/>
      <c r="NX2" s="498"/>
      <c r="NY2" s="498"/>
      <c r="NZ2" s="498"/>
      <c r="OA2" s="498"/>
      <c r="OB2" s="498"/>
      <c r="OC2" s="498"/>
      <c r="OD2" s="498"/>
      <c r="OE2" s="494" t="str">
        <f>_xlfn.CONCAT("Beta Mxi (",RISA3D.Unit.Moment,")")</f>
        <v>Beta Mxi ()</v>
      </c>
      <c r="OF2" s="494"/>
      <c r="OG2" s="494"/>
      <c r="OH2" s="494"/>
      <c r="OI2" s="494"/>
      <c r="OJ2" s="494"/>
      <c r="OK2" s="494"/>
      <c r="OL2" s="494"/>
      <c r="OM2" s="494"/>
      <c r="ON2" s="494"/>
      <c r="OO2" s="494"/>
      <c r="OP2" s="494"/>
      <c r="OQ2" s="494"/>
      <c r="OR2" s="494"/>
      <c r="OS2" s="494"/>
      <c r="OT2" s="494"/>
      <c r="OU2" s="499" t="str">
        <f>_xlfn.CONCAT("Gamma Mxi (",RISA3D.Unit.Moment,")")</f>
        <v>Gamma Mxi ()</v>
      </c>
      <c r="OV2" s="499"/>
      <c r="OW2" s="499"/>
      <c r="OX2" s="499"/>
      <c r="OY2" s="499"/>
      <c r="OZ2" s="499"/>
      <c r="PA2" s="499"/>
      <c r="PB2" s="499"/>
      <c r="PC2" s="499"/>
      <c r="PD2" s="499"/>
      <c r="PE2" s="499"/>
      <c r="PF2" s="499"/>
      <c r="PG2" s="499"/>
      <c r="PH2" s="499"/>
      <c r="PI2" s="499"/>
      <c r="PJ2" s="499"/>
      <c r="PK2" s="500" t="str">
        <f>_xlfn.CONCAT("Delta Mxi (",RISA3D.Unit.Moment,")")</f>
        <v>Delta Mxi ()</v>
      </c>
      <c r="PL2" s="500"/>
      <c r="PM2" s="500"/>
      <c r="PN2" s="500"/>
      <c r="PO2" s="500"/>
      <c r="PP2" s="500"/>
      <c r="PQ2" s="500"/>
      <c r="PR2" s="500"/>
      <c r="PS2" s="500"/>
      <c r="PT2" s="500"/>
      <c r="PU2" s="500"/>
      <c r="PV2" s="500"/>
      <c r="PW2" s="500"/>
      <c r="PX2" s="500"/>
      <c r="PY2" s="500"/>
      <c r="PZ2" s="500"/>
      <c r="QA2" s="498" t="str">
        <f>_xlfn.CONCAT("Alpha Mz (",RISA3D.Unit.Moment,")")</f>
        <v>Alpha Mz ()</v>
      </c>
      <c r="QB2" s="498"/>
      <c r="QC2" s="498"/>
      <c r="QD2" s="498"/>
      <c r="QE2" s="498"/>
      <c r="QF2" s="498"/>
      <c r="QG2" s="498"/>
      <c r="QH2" s="498"/>
      <c r="QI2" s="498"/>
      <c r="QJ2" s="498"/>
      <c r="QK2" s="498"/>
      <c r="QL2" s="498"/>
      <c r="QM2" s="498"/>
      <c r="QN2" s="498"/>
      <c r="QO2" s="498"/>
      <c r="QP2" s="498"/>
      <c r="QQ2" s="494" t="str">
        <f>_xlfn.CONCAT("Beta Mz (",RISA3D.Unit.Moment,")")</f>
        <v>Beta Mz ()</v>
      </c>
      <c r="QR2" s="494"/>
      <c r="QS2" s="494"/>
      <c r="QT2" s="494"/>
      <c r="QU2" s="494"/>
      <c r="QV2" s="494"/>
      <c r="QW2" s="494"/>
      <c r="QX2" s="494"/>
      <c r="QY2" s="494"/>
      <c r="QZ2" s="494"/>
      <c r="RA2" s="494"/>
      <c r="RB2" s="494"/>
      <c r="RC2" s="494"/>
      <c r="RD2" s="494"/>
      <c r="RE2" s="494"/>
      <c r="RF2" s="494"/>
      <c r="RG2" s="499" t="str">
        <f>_xlfn.CONCAT("Gamma Mz (",RISA3D.Unit.Moment,")")</f>
        <v>Gamma Mz ()</v>
      </c>
      <c r="RH2" s="499"/>
      <c r="RI2" s="499"/>
      <c r="RJ2" s="499"/>
      <c r="RK2" s="499"/>
      <c r="RL2" s="499"/>
      <c r="RM2" s="499"/>
      <c r="RN2" s="499"/>
      <c r="RO2" s="499"/>
      <c r="RP2" s="499"/>
      <c r="RQ2" s="499"/>
      <c r="RR2" s="499"/>
      <c r="RS2" s="499"/>
      <c r="RT2" s="499"/>
      <c r="RU2" s="499"/>
      <c r="RV2" s="499"/>
      <c r="RW2" s="500" t="str">
        <f>_xlfn.CONCAT("Delta Mz (",RISA3D.Unit.Moment,")")</f>
        <v>Delta Mz ()</v>
      </c>
      <c r="RX2" s="500"/>
      <c r="RY2" s="500"/>
      <c r="RZ2" s="500"/>
      <c r="SA2" s="500"/>
      <c r="SB2" s="500"/>
      <c r="SC2" s="500"/>
      <c r="SD2" s="500"/>
      <c r="SE2" s="500"/>
      <c r="SF2" s="500"/>
      <c r="SG2" s="500"/>
      <c r="SH2" s="500"/>
      <c r="SI2" s="500"/>
      <c r="SJ2" s="500"/>
      <c r="SK2" s="500"/>
      <c r="SL2" s="500"/>
      <c r="SM2" s="498" t="str">
        <f>_xlfn.CONCAT("Alpha Mzi (",RISA3D.Unit.Moment,")")</f>
        <v>Alpha Mzi ()</v>
      </c>
      <c r="SN2" s="498"/>
      <c r="SO2" s="498"/>
      <c r="SP2" s="498"/>
      <c r="SQ2" s="498"/>
      <c r="SR2" s="498"/>
      <c r="SS2" s="498"/>
      <c r="ST2" s="498"/>
      <c r="SU2" s="498"/>
      <c r="SV2" s="498"/>
      <c r="SW2" s="498"/>
      <c r="SX2" s="498"/>
      <c r="SY2" s="498"/>
      <c r="SZ2" s="498"/>
      <c r="TA2" s="498"/>
      <c r="TB2" s="498"/>
      <c r="TC2" s="494" t="str">
        <f>_xlfn.CONCAT("Beta Mzi (",RISA3D.Unit.Moment,")")</f>
        <v>Beta Mzi ()</v>
      </c>
      <c r="TD2" s="494"/>
      <c r="TE2" s="494"/>
      <c r="TF2" s="494"/>
      <c r="TG2" s="494"/>
      <c r="TH2" s="494"/>
      <c r="TI2" s="494"/>
      <c r="TJ2" s="494"/>
      <c r="TK2" s="494"/>
      <c r="TL2" s="494"/>
      <c r="TM2" s="494"/>
      <c r="TN2" s="494"/>
      <c r="TO2" s="494"/>
      <c r="TP2" s="494"/>
      <c r="TQ2" s="494"/>
      <c r="TR2" s="494"/>
      <c r="TS2" s="499" t="str">
        <f>_xlfn.CONCAT("Gamma Mzi (",RISA3D.Unit.Moment,")")</f>
        <v>Gamma Mzi ()</v>
      </c>
      <c r="TT2" s="499"/>
      <c r="TU2" s="499"/>
      <c r="TV2" s="499"/>
      <c r="TW2" s="499"/>
      <c r="TX2" s="499"/>
      <c r="TY2" s="499"/>
      <c r="TZ2" s="499"/>
      <c r="UA2" s="499"/>
      <c r="UB2" s="499"/>
      <c r="UC2" s="499"/>
      <c r="UD2" s="499"/>
      <c r="UE2" s="499"/>
      <c r="UF2" s="499"/>
      <c r="UG2" s="499"/>
      <c r="UH2" s="499"/>
      <c r="UI2" s="500" t="str">
        <f>_xlfn.CONCAT("Delta Mzi (",RISA3D.Unit.Moment,")")</f>
        <v>Delta Mzi ()</v>
      </c>
      <c r="UJ2" s="500"/>
      <c r="UK2" s="500"/>
      <c r="UL2" s="500"/>
      <c r="UM2" s="500"/>
      <c r="UN2" s="500"/>
      <c r="UO2" s="500"/>
      <c r="UP2" s="500"/>
      <c r="UQ2" s="500"/>
      <c r="UR2" s="500"/>
      <c r="US2" s="500"/>
      <c r="UT2" s="500"/>
      <c r="UU2" s="500"/>
      <c r="UV2" s="500"/>
      <c r="UW2" s="500"/>
      <c r="UX2" s="500"/>
      <c r="UY2" s="501" t="str">
        <f>_xlfn.CONCAT("Dead Load (",RISA3D.Unit.Force,")")</f>
        <v>Dead Load ()</v>
      </c>
      <c r="UZ2" s="501"/>
      <c r="VA2" s="501"/>
      <c r="VB2" s="501"/>
      <c r="VC2" s="501" t="str">
        <f>_xlfn.CONCAT("Dead Load Moment (",RISA3D.Unit.Moment,")")</f>
        <v>Dead Load Moment ()</v>
      </c>
      <c r="VD2" s="501"/>
      <c r="VE2" s="501"/>
      <c r="VF2" s="501"/>
      <c r="VG2" s="501" t="str">
        <f>_xlfn.CONCAT("Ice Dead Load (",RISA3D.Unit.Force,")")</f>
        <v>Ice Dead Load ()</v>
      </c>
      <c r="VH2" s="501"/>
      <c r="VI2" s="501"/>
      <c r="VJ2" s="501"/>
      <c r="VK2" s="501" t="str">
        <f>_xlfn.CONCAT("Ice Dead Load Moment (",RISA3D.Unit.Moment,")")</f>
        <v>Ice Dead Load Moment ()</v>
      </c>
      <c r="VL2" s="501"/>
      <c r="VM2" s="501"/>
      <c r="VN2" s="501"/>
    </row>
    <row r="3" spans="1:586" s="187" customFormat="1" ht="30" customHeight="1" thickBot="1" x14ac:dyDescent="0.25">
      <c r="A3" s="303" t="s">
        <v>707</v>
      </c>
      <c r="B3" s="303" t="s">
        <v>708</v>
      </c>
      <c r="C3" s="303" t="s">
        <v>120</v>
      </c>
      <c r="D3" s="303" t="s">
        <v>101</v>
      </c>
      <c r="E3" s="303" t="s">
        <v>215</v>
      </c>
      <c r="F3" s="303" t="s">
        <v>305</v>
      </c>
      <c r="G3" s="303" t="s">
        <v>709</v>
      </c>
      <c r="H3" s="303" t="s">
        <v>710</v>
      </c>
      <c r="I3" s="303" t="s">
        <v>711</v>
      </c>
      <c r="J3" s="303" t="s">
        <v>309</v>
      </c>
      <c r="K3" s="303" t="s">
        <v>310</v>
      </c>
      <c r="L3" s="303" t="s">
        <v>307</v>
      </c>
      <c r="M3" s="303" t="s">
        <v>311</v>
      </c>
      <c r="N3" s="303" t="s">
        <v>312</v>
      </c>
      <c r="O3" s="303" t="s">
        <v>313</v>
      </c>
      <c r="P3" s="303" t="s">
        <v>314</v>
      </c>
      <c r="Q3" s="303" t="s">
        <v>315</v>
      </c>
      <c r="R3" s="303" t="s">
        <v>316</v>
      </c>
      <c r="S3" s="303" t="s">
        <v>317</v>
      </c>
      <c r="T3" s="303" t="s">
        <v>307</v>
      </c>
      <c r="U3" s="303" t="s">
        <v>311</v>
      </c>
      <c r="V3" s="304" t="s">
        <v>312</v>
      </c>
      <c r="W3" s="303" t="s">
        <v>313</v>
      </c>
      <c r="X3" s="304" t="s">
        <v>314</v>
      </c>
      <c r="Y3" s="303" t="s">
        <v>315</v>
      </c>
      <c r="Z3" s="303" t="s">
        <v>316</v>
      </c>
      <c r="AA3" s="303" t="s">
        <v>317</v>
      </c>
      <c r="AB3" s="303" t="s">
        <v>307</v>
      </c>
      <c r="AC3" s="303" t="s">
        <v>311</v>
      </c>
      <c r="AD3" s="304" t="s">
        <v>312</v>
      </c>
      <c r="AE3" s="303" t="s">
        <v>313</v>
      </c>
      <c r="AF3" s="304" t="s">
        <v>314</v>
      </c>
      <c r="AG3" s="303" t="s">
        <v>315</v>
      </c>
      <c r="AH3" s="303" t="s">
        <v>316</v>
      </c>
      <c r="AI3" s="303" t="s">
        <v>317</v>
      </c>
      <c r="AJ3" s="303" t="s">
        <v>307</v>
      </c>
      <c r="AK3" s="303" t="s">
        <v>311</v>
      </c>
      <c r="AL3" s="304" t="s">
        <v>312</v>
      </c>
      <c r="AM3" s="303" t="s">
        <v>313</v>
      </c>
      <c r="AN3" s="304" t="s">
        <v>314</v>
      </c>
      <c r="AO3" s="303" t="s">
        <v>315</v>
      </c>
      <c r="AP3" s="303" t="s">
        <v>316</v>
      </c>
      <c r="AQ3" s="303" t="s">
        <v>317</v>
      </c>
      <c r="AR3" s="303" t="s">
        <v>318</v>
      </c>
      <c r="AS3" s="303" t="s">
        <v>319</v>
      </c>
      <c r="AT3" s="303" t="s">
        <v>320</v>
      </c>
      <c r="AU3" s="303" t="s">
        <v>712</v>
      </c>
      <c r="AV3" s="305" t="s">
        <v>713</v>
      </c>
      <c r="AW3" s="305" t="s">
        <v>714</v>
      </c>
      <c r="AX3" s="305" t="s">
        <v>715</v>
      </c>
      <c r="AY3" s="305" t="s">
        <v>716</v>
      </c>
      <c r="AZ3" s="305" t="s">
        <v>717</v>
      </c>
      <c r="BA3" s="305" t="s">
        <v>718</v>
      </c>
      <c r="BB3" s="305" t="s">
        <v>719</v>
      </c>
      <c r="BC3" s="305" t="s">
        <v>720</v>
      </c>
      <c r="BD3" s="305" t="s">
        <v>721</v>
      </c>
      <c r="BE3" s="305" t="s">
        <v>722</v>
      </c>
      <c r="BF3" s="305" t="s">
        <v>723</v>
      </c>
      <c r="BG3" s="305" t="s">
        <v>724</v>
      </c>
      <c r="BH3" s="305" t="s">
        <v>725</v>
      </c>
      <c r="BI3" s="305" t="s">
        <v>726</v>
      </c>
      <c r="BJ3" s="305" t="s">
        <v>727</v>
      </c>
      <c r="BK3" s="305" t="s">
        <v>728</v>
      </c>
      <c r="BL3" s="305" t="s">
        <v>729</v>
      </c>
      <c r="BM3" s="305" t="s">
        <v>730</v>
      </c>
      <c r="BN3" s="305" t="s">
        <v>731</v>
      </c>
      <c r="BO3" s="305" t="s">
        <v>732</v>
      </c>
      <c r="BP3" s="305" t="s">
        <v>733</v>
      </c>
      <c r="BQ3" s="305" t="s">
        <v>734</v>
      </c>
      <c r="BR3" s="305" t="s">
        <v>735</v>
      </c>
      <c r="BS3" s="305" t="s">
        <v>736</v>
      </c>
      <c r="BT3" s="305" t="s">
        <v>737</v>
      </c>
      <c r="BU3" s="305" t="s">
        <v>738</v>
      </c>
      <c r="BV3" s="305" t="s">
        <v>739</v>
      </c>
      <c r="BW3" s="305" t="s">
        <v>740</v>
      </c>
      <c r="BX3" s="305" t="s">
        <v>741</v>
      </c>
      <c r="BY3" s="305" t="s">
        <v>742</v>
      </c>
      <c r="BZ3" s="305" t="s">
        <v>743</v>
      </c>
      <c r="CA3" s="305" t="s">
        <v>744</v>
      </c>
      <c r="CB3" s="305" t="s">
        <v>745</v>
      </c>
      <c r="CC3" s="305" t="s">
        <v>746</v>
      </c>
      <c r="CD3" s="305" t="s">
        <v>747</v>
      </c>
      <c r="CE3" s="305" t="s">
        <v>748</v>
      </c>
      <c r="CF3" s="305" t="s">
        <v>749</v>
      </c>
      <c r="CG3" s="305" t="s">
        <v>750</v>
      </c>
      <c r="CH3" s="305" t="s">
        <v>751</v>
      </c>
      <c r="CI3" s="305" t="s">
        <v>752</v>
      </c>
      <c r="CJ3" s="305" t="s">
        <v>753</v>
      </c>
      <c r="CK3" s="305" t="s">
        <v>754</v>
      </c>
      <c r="CL3" s="305" t="s">
        <v>755</v>
      </c>
      <c r="CM3" s="305" t="s">
        <v>756</v>
      </c>
      <c r="CN3" s="305" t="s">
        <v>757</v>
      </c>
      <c r="CO3" s="305" t="s">
        <v>758</v>
      </c>
      <c r="CP3" s="305" t="s">
        <v>759</v>
      </c>
      <c r="CQ3" s="305" t="s">
        <v>760</v>
      </c>
      <c r="CR3" s="305" t="s">
        <v>761</v>
      </c>
      <c r="CS3" s="305" t="s">
        <v>762</v>
      </c>
      <c r="CT3" s="305" t="s">
        <v>763</v>
      </c>
      <c r="CU3" s="305" t="s">
        <v>764</v>
      </c>
      <c r="CV3" s="305" t="s">
        <v>765</v>
      </c>
      <c r="CW3" s="305" t="s">
        <v>766</v>
      </c>
      <c r="CX3" s="305" t="s">
        <v>767</v>
      </c>
      <c r="CY3" s="305" t="s">
        <v>768</v>
      </c>
      <c r="CZ3" s="305" t="s">
        <v>769</v>
      </c>
      <c r="DA3" s="305" t="s">
        <v>770</v>
      </c>
      <c r="DB3" s="305" t="s">
        <v>771</v>
      </c>
      <c r="DC3" s="305" t="s">
        <v>772</v>
      </c>
      <c r="DD3" s="305" t="s">
        <v>773</v>
      </c>
      <c r="DE3" s="305" t="s">
        <v>774</v>
      </c>
      <c r="DF3" s="305" t="s">
        <v>775</v>
      </c>
      <c r="DG3" s="305" t="s">
        <v>776</v>
      </c>
      <c r="DH3" s="305" t="s">
        <v>777</v>
      </c>
      <c r="DI3" s="305" t="s">
        <v>778</v>
      </c>
      <c r="DJ3" s="305" t="s">
        <v>779</v>
      </c>
      <c r="DK3" s="305" t="s">
        <v>780</v>
      </c>
      <c r="DL3" s="305" t="s">
        <v>781</v>
      </c>
      <c r="DM3" s="305" t="s">
        <v>782</v>
      </c>
      <c r="DN3" s="305" t="s">
        <v>783</v>
      </c>
      <c r="DO3" s="305" t="s">
        <v>784</v>
      </c>
      <c r="DP3" s="305" t="s">
        <v>785</v>
      </c>
      <c r="DQ3" s="305" t="s">
        <v>786</v>
      </c>
      <c r="DR3" s="305" t="s">
        <v>787</v>
      </c>
      <c r="DS3" s="305" t="s">
        <v>788</v>
      </c>
      <c r="DT3" s="305" t="s">
        <v>789</v>
      </c>
      <c r="DU3" s="305" t="s">
        <v>790</v>
      </c>
      <c r="DV3" s="305" t="s">
        <v>791</v>
      </c>
      <c r="DW3" s="305" t="s">
        <v>792</v>
      </c>
      <c r="DX3" s="305" t="s">
        <v>793</v>
      </c>
      <c r="DY3" s="305" t="s">
        <v>794</v>
      </c>
      <c r="DZ3" s="305" t="s">
        <v>795</v>
      </c>
      <c r="EA3" s="305" t="s">
        <v>796</v>
      </c>
      <c r="EB3" s="305" t="s">
        <v>797</v>
      </c>
      <c r="EC3" s="305" t="s">
        <v>798</v>
      </c>
      <c r="ED3" s="305" t="s">
        <v>799</v>
      </c>
      <c r="EE3" s="305" t="s">
        <v>800</v>
      </c>
      <c r="EF3" s="305" t="s">
        <v>801</v>
      </c>
      <c r="EG3" s="305" t="s">
        <v>802</v>
      </c>
      <c r="EH3" s="305" t="s">
        <v>803</v>
      </c>
      <c r="EI3" s="305" t="s">
        <v>804</v>
      </c>
      <c r="EJ3" s="305" t="s">
        <v>805</v>
      </c>
      <c r="EK3" s="305" t="s">
        <v>806</v>
      </c>
      <c r="EL3" s="305" t="s">
        <v>807</v>
      </c>
      <c r="EM3" s="305" t="s">
        <v>808</v>
      </c>
      <c r="EN3" s="305" t="s">
        <v>809</v>
      </c>
      <c r="EO3" s="305" t="s">
        <v>810</v>
      </c>
      <c r="EP3" s="305" t="s">
        <v>811</v>
      </c>
      <c r="EQ3" s="305" t="s">
        <v>812</v>
      </c>
      <c r="ER3" s="305" t="s">
        <v>813</v>
      </c>
      <c r="ES3" s="305" t="s">
        <v>814</v>
      </c>
      <c r="ET3" s="305" t="s">
        <v>815</v>
      </c>
      <c r="EU3" s="305" t="s">
        <v>816</v>
      </c>
      <c r="EV3" s="305" t="s">
        <v>817</v>
      </c>
      <c r="EW3" s="305" t="s">
        <v>818</v>
      </c>
      <c r="EX3" s="305" t="s">
        <v>819</v>
      </c>
      <c r="EY3" s="305" t="s">
        <v>820</v>
      </c>
      <c r="EZ3" s="305" t="s">
        <v>821</v>
      </c>
      <c r="FA3" s="305" t="s">
        <v>822</v>
      </c>
      <c r="FB3" s="305" t="s">
        <v>823</v>
      </c>
      <c r="FC3" s="305" t="s">
        <v>824</v>
      </c>
      <c r="FD3" s="305" t="s">
        <v>825</v>
      </c>
      <c r="FE3" s="305" t="s">
        <v>826</v>
      </c>
      <c r="FF3" s="305" t="s">
        <v>827</v>
      </c>
      <c r="FG3" s="305" t="s">
        <v>828</v>
      </c>
      <c r="FH3" s="305" t="s">
        <v>829</v>
      </c>
      <c r="FI3" s="305" t="s">
        <v>830</v>
      </c>
      <c r="FJ3" s="305" t="s">
        <v>831</v>
      </c>
      <c r="FK3" s="305" t="s">
        <v>832</v>
      </c>
      <c r="FL3" s="305" t="s">
        <v>833</v>
      </c>
      <c r="FM3" s="305" t="s">
        <v>834</v>
      </c>
      <c r="FN3" s="305" t="s">
        <v>835</v>
      </c>
      <c r="FO3" s="305" t="s">
        <v>836</v>
      </c>
      <c r="FP3" s="305" t="s">
        <v>837</v>
      </c>
      <c r="FQ3" s="305" t="s">
        <v>838</v>
      </c>
      <c r="FR3" s="305" t="s">
        <v>839</v>
      </c>
      <c r="FS3" s="305" t="s">
        <v>840</v>
      </c>
      <c r="FT3" s="305" t="s">
        <v>841</v>
      </c>
      <c r="FU3" s="305" t="s">
        <v>842</v>
      </c>
      <c r="FV3" s="305" t="s">
        <v>843</v>
      </c>
      <c r="FW3" s="305" t="s">
        <v>844</v>
      </c>
      <c r="FX3" s="305" t="s">
        <v>845</v>
      </c>
      <c r="FY3" s="305" t="s">
        <v>846</v>
      </c>
      <c r="FZ3" s="305" t="s">
        <v>847</v>
      </c>
      <c r="GA3" s="305" t="s">
        <v>848</v>
      </c>
      <c r="GB3" s="305" t="s">
        <v>849</v>
      </c>
      <c r="GC3" s="305" t="s">
        <v>850</v>
      </c>
      <c r="GD3" s="305" t="s">
        <v>851</v>
      </c>
      <c r="GE3" s="305" t="s">
        <v>852</v>
      </c>
      <c r="GF3" s="305" t="s">
        <v>853</v>
      </c>
      <c r="GG3" s="305" t="s">
        <v>854</v>
      </c>
      <c r="GH3" s="305" t="s">
        <v>855</v>
      </c>
      <c r="GI3" s="305" t="s">
        <v>856</v>
      </c>
      <c r="GJ3" s="305" t="s">
        <v>857</v>
      </c>
      <c r="GK3" s="305" t="s">
        <v>858</v>
      </c>
      <c r="GL3" s="305" t="s">
        <v>859</v>
      </c>
      <c r="GM3" s="305" t="s">
        <v>860</v>
      </c>
      <c r="GN3" s="305" t="s">
        <v>861</v>
      </c>
      <c r="GO3" s="305" t="s">
        <v>862</v>
      </c>
      <c r="GP3" s="305" t="s">
        <v>863</v>
      </c>
      <c r="GQ3" s="305" t="s">
        <v>864</v>
      </c>
      <c r="GR3" s="305" t="s">
        <v>865</v>
      </c>
      <c r="GS3" s="305" t="s">
        <v>866</v>
      </c>
      <c r="GT3" s="305" t="s">
        <v>867</v>
      </c>
      <c r="GU3" s="305" t="s">
        <v>868</v>
      </c>
      <c r="GV3" s="305" t="s">
        <v>869</v>
      </c>
      <c r="GW3" s="305" t="s">
        <v>870</v>
      </c>
      <c r="GX3" s="305" t="s">
        <v>871</v>
      </c>
      <c r="GY3" s="305" t="s">
        <v>872</v>
      </c>
      <c r="GZ3" s="305" t="s">
        <v>873</v>
      </c>
      <c r="HA3" s="305" t="s">
        <v>874</v>
      </c>
      <c r="HB3" s="305" t="s">
        <v>875</v>
      </c>
      <c r="HC3" s="305" t="s">
        <v>876</v>
      </c>
      <c r="HD3" s="305" t="s">
        <v>877</v>
      </c>
      <c r="HE3" s="305" t="s">
        <v>878</v>
      </c>
      <c r="HF3" s="305" t="s">
        <v>879</v>
      </c>
      <c r="HG3" s="305" t="s">
        <v>880</v>
      </c>
      <c r="HH3" s="305" t="s">
        <v>881</v>
      </c>
      <c r="HI3" s="305" t="s">
        <v>882</v>
      </c>
      <c r="HJ3" s="305" t="s">
        <v>883</v>
      </c>
      <c r="HK3" s="305" t="s">
        <v>884</v>
      </c>
      <c r="HL3" s="305" t="s">
        <v>885</v>
      </c>
      <c r="HM3" s="305" t="s">
        <v>886</v>
      </c>
      <c r="HN3" s="305" t="s">
        <v>887</v>
      </c>
      <c r="HO3" s="305" t="s">
        <v>888</v>
      </c>
      <c r="HP3" s="305" t="s">
        <v>889</v>
      </c>
      <c r="HQ3" s="305" t="s">
        <v>890</v>
      </c>
      <c r="HR3" s="305" t="s">
        <v>891</v>
      </c>
      <c r="HS3" s="305" t="s">
        <v>892</v>
      </c>
      <c r="HT3" s="305" t="s">
        <v>893</v>
      </c>
      <c r="HU3" s="305" t="s">
        <v>894</v>
      </c>
      <c r="HV3" s="305" t="s">
        <v>895</v>
      </c>
      <c r="HW3" s="305" t="s">
        <v>896</v>
      </c>
      <c r="HX3" s="305" t="s">
        <v>897</v>
      </c>
      <c r="HY3" s="305" t="s">
        <v>898</v>
      </c>
      <c r="HZ3" s="305" t="s">
        <v>899</v>
      </c>
      <c r="IA3" s="305" t="s">
        <v>900</v>
      </c>
      <c r="IB3" s="305" t="s">
        <v>901</v>
      </c>
      <c r="IC3" s="305" t="s">
        <v>902</v>
      </c>
      <c r="ID3" s="305" t="s">
        <v>903</v>
      </c>
      <c r="IE3" s="305" t="s">
        <v>904</v>
      </c>
      <c r="IF3" s="305" t="s">
        <v>905</v>
      </c>
      <c r="IG3" s="305" t="s">
        <v>906</v>
      </c>
      <c r="IH3" s="305" t="s">
        <v>907</v>
      </c>
      <c r="II3" s="305" t="s">
        <v>908</v>
      </c>
      <c r="IJ3" s="305" t="s">
        <v>909</v>
      </c>
      <c r="IK3" s="305" t="s">
        <v>910</v>
      </c>
      <c r="IL3" s="305" t="s">
        <v>911</v>
      </c>
      <c r="IM3" s="305" t="s">
        <v>912</v>
      </c>
      <c r="IN3" s="305" t="s">
        <v>913</v>
      </c>
      <c r="IO3" s="305" t="s">
        <v>914</v>
      </c>
      <c r="IP3" s="305" t="s">
        <v>915</v>
      </c>
      <c r="IQ3" s="305" t="s">
        <v>916</v>
      </c>
      <c r="IR3" s="305" t="s">
        <v>917</v>
      </c>
      <c r="IS3" s="305" t="s">
        <v>918</v>
      </c>
      <c r="IT3" s="305" t="s">
        <v>919</v>
      </c>
      <c r="IU3" s="305" t="s">
        <v>920</v>
      </c>
      <c r="IV3" s="305" t="s">
        <v>921</v>
      </c>
      <c r="IW3" s="305" t="s">
        <v>922</v>
      </c>
      <c r="IX3" s="305" t="s">
        <v>923</v>
      </c>
      <c r="IY3" s="305" t="s">
        <v>924</v>
      </c>
      <c r="IZ3" s="305" t="s">
        <v>925</v>
      </c>
      <c r="JA3" s="305" t="s">
        <v>926</v>
      </c>
      <c r="JB3" s="305" t="s">
        <v>927</v>
      </c>
      <c r="JC3" s="305" t="s">
        <v>928</v>
      </c>
      <c r="JD3" s="305" t="s">
        <v>929</v>
      </c>
      <c r="JE3" s="305" t="s">
        <v>930</v>
      </c>
      <c r="JF3" s="305" t="s">
        <v>931</v>
      </c>
      <c r="JG3" s="305" t="s">
        <v>932</v>
      </c>
      <c r="JH3" s="305" t="s">
        <v>933</v>
      </c>
      <c r="JI3" s="305" t="s">
        <v>934</v>
      </c>
      <c r="JJ3" s="305" t="s">
        <v>935</v>
      </c>
      <c r="JK3" s="305" t="s">
        <v>936</v>
      </c>
      <c r="JL3" s="305" t="s">
        <v>937</v>
      </c>
      <c r="JM3" s="305" t="s">
        <v>938</v>
      </c>
      <c r="JN3" s="305" t="s">
        <v>939</v>
      </c>
      <c r="JO3" s="305" t="s">
        <v>940</v>
      </c>
      <c r="JP3" s="305" t="s">
        <v>941</v>
      </c>
      <c r="JQ3" s="305" t="s">
        <v>942</v>
      </c>
      <c r="JR3" s="305" t="s">
        <v>943</v>
      </c>
      <c r="JS3" s="305" t="s">
        <v>944</v>
      </c>
      <c r="JT3" s="305" t="s">
        <v>945</v>
      </c>
      <c r="JU3" s="305" t="s">
        <v>946</v>
      </c>
      <c r="JV3" s="305" t="s">
        <v>947</v>
      </c>
      <c r="JW3" s="305" t="s">
        <v>948</v>
      </c>
      <c r="JX3" s="305" t="s">
        <v>949</v>
      </c>
      <c r="JY3" s="305" t="s">
        <v>950</v>
      </c>
      <c r="JZ3" s="305" t="s">
        <v>951</v>
      </c>
      <c r="KA3" s="305" t="s">
        <v>952</v>
      </c>
      <c r="KB3" s="305" t="s">
        <v>953</v>
      </c>
      <c r="KC3" s="305" t="s">
        <v>954</v>
      </c>
      <c r="KD3" s="305" t="s">
        <v>955</v>
      </c>
      <c r="KE3" s="305" t="s">
        <v>956</v>
      </c>
      <c r="KF3" s="305" t="s">
        <v>957</v>
      </c>
      <c r="KG3" s="305" t="s">
        <v>958</v>
      </c>
      <c r="KH3" s="305" t="s">
        <v>959</v>
      </c>
      <c r="KI3" s="305" t="s">
        <v>960</v>
      </c>
      <c r="KJ3" s="305" t="s">
        <v>961</v>
      </c>
      <c r="KK3" s="305" t="s">
        <v>962</v>
      </c>
      <c r="KL3" s="305" t="s">
        <v>963</v>
      </c>
      <c r="KM3" s="305" t="s">
        <v>964</v>
      </c>
      <c r="KN3" s="305" t="s">
        <v>965</v>
      </c>
      <c r="KO3" s="305" t="s">
        <v>966</v>
      </c>
      <c r="KP3" s="305" t="s">
        <v>967</v>
      </c>
      <c r="KQ3" s="305" t="s">
        <v>968</v>
      </c>
      <c r="KR3" s="305" t="s">
        <v>969</v>
      </c>
      <c r="KS3" s="305" t="s">
        <v>970</v>
      </c>
      <c r="KT3" s="305" t="s">
        <v>971</v>
      </c>
      <c r="KU3" s="305" t="s">
        <v>972</v>
      </c>
      <c r="KV3" s="305" t="s">
        <v>973</v>
      </c>
      <c r="KW3" s="305" t="s">
        <v>974</v>
      </c>
      <c r="KX3" s="305" t="s">
        <v>975</v>
      </c>
      <c r="KY3" s="305" t="s">
        <v>976</v>
      </c>
      <c r="KZ3" s="305" t="s">
        <v>977</v>
      </c>
      <c r="LA3" s="305" t="s">
        <v>978</v>
      </c>
      <c r="LB3" s="305" t="s">
        <v>979</v>
      </c>
      <c r="LC3" s="305" t="s">
        <v>980</v>
      </c>
      <c r="LD3" s="305" t="s">
        <v>981</v>
      </c>
      <c r="LE3" s="305" t="s">
        <v>982</v>
      </c>
      <c r="LF3" s="305" t="s">
        <v>983</v>
      </c>
      <c r="LG3" s="305" t="s">
        <v>984</v>
      </c>
      <c r="LH3" s="305" t="s">
        <v>985</v>
      </c>
      <c r="LI3" s="305" t="s">
        <v>986</v>
      </c>
      <c r="LJ3" s="305" t="s">
        <v>987</v>
      </c>
      <c r="LK3" s="305" t="s">
        <v>988</v>
      </c>
      <c r="LL3" s="305" t="s">
        <v>989</v>
      </c>
      <c r="LM3" s="305" t="s">
        <v>990</v>
      </c>
      <c r="LN3" s="305" t="s">
        <v>991</v>
      </c>
      <c r="LO3" s="305" t="s">
        <v>992</v>
      </c>
      <c r="LP3" s="305" t="s">
        <v>993</v>
      </c>
      <c r="LQ3" s="305" t="s">
        <v>994</v>
      </c>
      <c r="LR3" s="305" t="s">
        <v>995</v>
      </c>
      <c r="LS3" s="305" t="s">
        <v>996</v>
      </c>
      <c r="LT3" s="305" t="s">
        <v>997</v>
      </c>
      <c r="LU3" s="305" t="s">
        <v>998</v>
      </c>
      <c r="LV3" s="305" t="s">
        <v>999</v>
      </c>
      <c r="LW3" s="305" t="s">
        <v>1000</v>
      </c>
      <c r="LX3" s="305" t="s">
        <v>1001</v>
      </c>
      <c r="LY3" s="305" t="s">
        <v>1002</v>
      </c>
      <c r="LZ3" s="305" t="s">
        <v>1003</v>
      </c>
      <c r="MA3" s="305" t="s">
        <v>1004</v>
      </c>
      <c r="MB3" s="305" t="s">
        <v>1005</v>
      </c>
      <c r="MC3" s="305" t="s">
        <v>1006</v>
      </c>
      <c r="MD3" s="305" t="s">
        <v>1007</v>
      </c>
      <c r="ME3" s="305" t="s">
        <v>1008</v>
      </c>
      <c r="MF3" s="305" t="s">
        <v>1009</v>
      </c>
      <c r="MG3" s="305" t="s">
        <v>1010</v>
      </c>
      <c r="MH3" s="305" t="s">
        <v>1011</v>
      </c>
      <c r="MI3" s="305" t="s">
        <v>1012</v>
      </c>
      <c r="MJ3" s="305" t="s">
        <v>1013</v>
      </c>
      <c r="MK3" s="305" t="s">
        <v>1014</v>
      </c>
      <c r="ML3" s="305" t="s">
        <v>1015</v>
      </c>
      <c r="MM3" s="305" t="s">
        <v>1016</v>
      </c>
      <c r="MN3" s="305" t="s">
        <v>1017</v>
      </c>
      <c r="MO3" s="305" t="s">
        <v>1018</v>
      </c>
      <c r="MP3" s="305" t="s">
        <v>1019</v>
      </c>
      <c r="MQ3" s="305" t="s">
        <v>1020</v>
      </c>
      <c r="MR3" s="305" t="s">
        <v>1021</v>
      </c>
      <c r="MS3" s="305" t="s">
        <v>1022</v>
      </c>
      <c r="MT3" s="305" t="s">
        <v>1023</v>
      </c>
      <c r="MU3" s="305" t="s">
        <v>1024</v>
      </c>
      <c r="MV3" s="305" t="s">
        <v>1025</v>
      </c>
      <c r="MW3" s="305" t="s">
        <v>1026</v>
      </c>
      <c r="MX3" s="305" t="s">
        <v>1027</v>
      </c>
      <c r="MY3" s="305" t="s">
        <v>1028</v>
      </c>
      <c r="MZ3" s="305" t="s">
        <v>1029</v>
      </c>
      <c r="NA3" s="305" t="s">
        <v>1030</v>
      </c>
      <c r="NB3" s="305" t="s">
        <v>1031</v>
      </c>
      <c r="NC3" s="305" t="s">
        <v>1032</v>
      </c>
      <c r="ND3" s="305" t="s">
        <v>1033</v>
      </c>
      <c r="NE3" s="305" t="s">
        <v>1034</v>
      </c>
      <c r="NF3" s="305" t="s">
        <v>1035</v>
      </c>
      <c r="NG3" s="305" t="s">
        <v>1036</v>
      </c>
      <c r="NH3" s="305" t="s">
        <v>1037</v>
      </c>
      <c r="NI3" s="305" t="s">
        <v>1038</v>
      </c>
      <c r="NJ3" s="305" t="s">
        <v>1039</v>
      </c>
      <c r="NK3" s="305" t="s">
        <v>1040</v>
      </c>
      <c r="NL3" s="305" t="s">
        <v>1041</v>
      </c>
      <c r="NM3" s="305" t="s">
        <v>1042</v>
      </c>
      <c r="NN3" s="305" t="s">
        <v>1043</v>
      </c>
      <c r="NO3" s="305" t="s">
        <v>1044</v>
      </c>
      <c r="NP3" s="305" t="s">
        <v>1045</v>
      </c>
      <c r="NQ3" s="305" t="s">
        <v>1046</v>
      </c>
      <c r="NR3" s="305" t="s">
        <v>1047</v>
      </c>
      <c r="NS3" s="305" t="s">
        <v>1048</v>
      </c>
      <c r="NT3" s="305" t="s">
        <v>1049</v>
      </c>
      <c r="NU3" s="305" t="s">
        <v>1050</v>
      </c>
      <c r="NV3" s="305" t="s">
        <v>1051</v>
      </c>
      <c r="NW3" s="305" t="s">
        <v>1052</v>
      </c>
      <c r="NX3" s="305" t="s">
        <v>1053</v>
      </c>
      <c r="NY3" s="305" t="s">
        <v>1054</v>
      </c>
      <c r="NZ3" s="305" t="s">
        <v>1055</v>
      </c>
      <c r="OA3" s="305" t="s">
        <v>1056</v>
      </c>
      <c r="OB3" s="305" t="s">
        <v>1057</v>
      </c>
      <c r="OC3" s="305" t="s">
        <v>1058</v>
      </c>
      <c r="OD3" s="305" t="s">
        <v>1059</v>
      </c>
      <c r="OE3" s="305" t="s">
        <v>1060</v>
      </c>
      <c r="OF3" s="305" t="s">
        <v>1061</v>
      </c>
      <c r="OG3" s="305" t="s">
        <v>1062</v>
      </c>
      <c r="OH3" s="305" t="s">
        <v>1063</v>
      </c>
      <c r="OI3" s="305" t="s">
        <v>1064</v>
      </c>
      <c r="OJ3" s="305" t="s">
        <v>1065</v>
      </c>
      <c r="OK3" s="305" t="s">
        <v>1066</v>
      </c>
      <c r="OL3" s="305" t="s">
        <v>1067</v>
      </c>
      <c r="OM3" s="305" t="s">
        <v>1068</v>
      </c>
      <c r="ON3" s="305" t="s">
        <v>1069</v>
      </c>
      <c r="OO3" s="305" t="s">
        <v>1070</v>
      </c>
      <c r="OP3" s="305" t="s">
        <v>1071</v>
      </c>
      <c r="OQ3" s="305" t="s">
        <v>1072</v>
      </c>
      <c r="OR3" s="305" t="s">
        <v>1073</v>
      </c>
      <c r="OS3" s="305" t="s">
        <v>1074</v>
      </c>
      <c r="OT3" s="305" t="s">
        <v>1075</v>
      </c>
      <c r="OU3" s="305" t="s">
        <v>1076</v>
      </c>
      <c r="OV3" s="305" t="s">
        <v>1077</v>
      </c>
      <c r="OW3" s="305" t="s">
        <v>1078</v>
      </c>
      <c r="OX3" s="305" t="s">
        <v>1079</v>
      </c>
      <c r="OY3" s="305" t="s">
        <v>1080</v>
      </c>
      <c r="OZ3" s="305" t="s">
        <v>1081</v>
      </c>
      <c r="PA3" s="305" t="s">
        <v>1082</v>
      </c>
      <c r="PB3" s="305" t="s">
        <v>1083</v>
      </c>
      <c r="PC3" s="305" t="s">
        <v>1084</v>
      </c>
      <c r="PD3" s="305" t="s">
        <v>1085</v>
      </c>
      <c r="PE3" s="305" t="s">
        <v>1086</v>
      </c>
      <c r="PF3" s="305" t="s">
        <v>1087</v>
      </c>
      <c r="PG3" s="305" t="s">
        <v>1088</v>
      </c>
      <c r="PH3" s="305" t="s">
        <v>1089</v>
      </c>
      <c r="PI3" s="305" t="s">
        <v>1090</v>
      </c>
      <c r="PJ3" s="305" t="s">
        <v>1091</v>
      </c>
      <c r="PK3" s="305" t="s">
        <v>1092</v>
      </c>
      <c r="PL3" s="305" t="s">
        <v>1093</v>
      </c>
      <c r="PM3" s="305" t="s">
        <v>1094</v>
      </c>
      <c r="PN3" s="305" t="s">
        <v>1095</v>
      </c>
      <c r="PO3" s="305" t="s">
        <v>1096</v>
      </c>
      <c r="PP3" s="305" t="s">
        <v>1097</v>
      </c>
      <c r="PQ3" s="305" t="s">
        <v>1098</v>
      </c>
      <c r="PR3" s="305" t="s">
        <v>1099</v>
      </c>
      <c r="PS3" s="305" t="s">
        <v>1100</v>
      </c>
      <c r="PT3" s="305" t="s">
        <v>1101</v>
      </c>
      <c r="PU3" s="305" t="s">
        <v>1102</v>
      </c>
      <c r="PV3" s="305" t="s">
        <v>1103</v>
      </c>
      <c r="PW3" s="305" t="s">
        <v>1104</v>
      </c>
      <c r="PX3" s="305" t="s">
        <v>1105</v>
      </c>
      <c r="PY3" s="305" t="s">
        <v>1106</v>
      </c>
      <c r="PZ3" s="305" t="s">
        <v>1107</v>
      </c>
      <c r="QA3" s="305" t="s">
        <v>1108</v>
      </c>
      <c r="QB3" s="305" t="s">
        <v>1109</v>
      </c>
      <c r="QC3" s="305" t="s">
        <v>1110</v>
      </c>
      <c r="QD3" s="305" t="s">
        <v>1111</v>
      </c>
      <c r="QE3" s="305" t="s">
        <v>1112</v>
      </c>
      <c r="QF3" s="305" t="s">
        <v>1113</v>
      </c>
      <c r="QG3" s="305" t="s">
        <v>1114</v>
      </c>
      <c r="QH3" s="305" t="s">
        <v>1115</v>
      </c>
      <c r="QI3" s="305" t="s">
        <v>1116</v>
      </c>
      <c r="QJ3" s="305" t="s">
        <v>1117</v>
      </c>
      <c r="QK3" s="305" t="s">
        <v>1118</v>
      </c>
      <c r="QL3" s="305" t="s">
        <v>1119</v>
      </c>
      <c r="QM3" s="305" t="s">
        <v>1120</v>
      </c>
      <c r="QN3" s="305" t="s">
        <v>1121</v>
      </c>
      <c r="QO3" s="305" t="s">
        <v>1122</v>
      </c>
      <c r="QP3" s="305" t="s">
        <v>1123</v>
      </c>
      <c r="QQ3" s="305" t="s">
        <v>1124</v>
      </c>
      <c r="QR3" s="305" t="s">
        <v>1125</v>
      </c>
      <c r="QS3" s="305" t="s">
        <v>1126</v>
      </c>
      <c r="QT3" s="305" t="s">
        <v>1127</v>
      </c>
      <c r="QU3" s="305" t="s">
        <v>1128</v>
      </c>
      <c r="QV3" s="305" t="s">
        <v>1129</v>
      </c>
      <c r="QW3" s="305" t="s">
        <v>1130</v>
      </c>
      <c r="QX3" s="305" t="s">
        <v>1131</v>
      </c>
      <c r="QY3" s="305" t="s">
        <v>1132</v>
      </c>
      <c r="QZ3" s="305" t="s">
        <v>1133</v>
      </c>
      <c r="RA3" s="305" t="s">
        <v>1134</v>
      </c>
      <c r="RB3" s="305" t="s">
        <v>1135</v>
      </c>
      <c r="RC3" s="305" t="s">
        <v>1136</v>
      </c>
      <c r="RD3" s="305" t="s">
        <v>1137</v>
      </c>
      <c r="RE3" s="305" t="s">
        <v>1138</v>
      </c>
      <c r="RF3" s="305" t="s">
        <v>1139</v>
      </c>
      <c r="RG3" s="305" t="s">
        <v>1140</v>
      </c>
      <c r="RH3" s="305" t="s">
        <v>1141</v>
      </c>
      <c r="RI3" s="305" t="s">
        <v>1142</v>
      </c>
      <c r="RJ3" s="305" t="s">
        <v>1143</v>
      </c>
      <c r="RK3" s="305" t="s">
        <v>1144</v>
      </c>
      <c r="RL3" s="305" t="s">
        <v>1145</v>
      </c>
      <c r="RM3" s="305" t="s">
        <v>1146</v>
      </c>
      <c r="RN3" s="305" t="s">
        <v>1147</v>
      </c>
      <c r="RO3" s="305" t="s">
        <v>1148</v>
      </c>
      <c r="RP3" s="305" t="s">
        <v>1149</v>
      </c>
      <c r="RQ3" s="305" t="s">
        <v>1150</v>
      </c>
      <c r="RR3" s="305" t="s">
        <v>1151</v>
      </c>
      <c r="RS3" s="305" t="s">
        <v>1152</v>
      </c>
      <c r="RT3" s="305" t="s">
        <v>1153</v>
      </c>
      <c r="RU3" s="305" t="s">
        <v>1154</v>
      </c>
      <c r="RV3" s="305" t="s">
        <v>1155</v>
      </c>
      <c r="RW3" s="305" t="s">
        <v>1156</v>
      </c>
      <c r="RX3" s="305" t="s">
        <v>1157</v>
      </c>
      <c r="RY3" s="305" t="s">
        <v>1158</v>
      </c>
      <c r="RZ3" s="305" t="s">
        <v>1159</v>
      </c>
      <c r="SA3" s="305" t="s">
        <v>1160</v>
      </c>
      <c r="SB3" s="305" t="s">
        <v>1161</v>
      </c>
      <c r="SC3" s="305" t="s">
        <v>1162</v>
      </c>
      <c r="SD3" s="305" t="s">
        <v>1163</v>
      </c>
      <c r="SE3" s="305" t="s">
        <v>1164</v>
      </c>
      <c r="SF3" s="305" t="s">
        <v>1165</v>
      </c>
      <c r="SG3" s="305" t="s">
        <v>1166</v>
      </c>
      <c r="SH3" s="305" t="s">
        <v>1167</v>
      </c>
      <c r="SI3" s="305" t="s">
        <v>1168</v>
      </c>
      <c r="SJ3" s="305" t="s">
        <v>1169</v>
      </c>
      <c r="SK3" s="305" t="s">
        <v>1170</v>
      </c>
      <c r="SL3" s="305" t="s">
        <v>1171</v>
      </c>
      <c r="SM3" s="305" t="s">
        <v>1172</v>
      </c>
      <c r="SN3" s="305" t="s">
        <v>1173</v>
      </c>
      <c r="SO3" s="305" t="s">
        <v>1174</v>
      </c>
      <c r="SP3" s="305" t="s">
        <v>1175</v>
      </c>
      <c r="SQ3" s="305" t="s">
        <v>1176</v>
      </c>
      <c r="SR3" s="305" t="s">
        <v>1177</v>
      </c>
      <c r="SS3" s="305" t="s">
        <v>1178</v>
      </c>
      <c r="ST3" s="305" t="s">
        <v>1179</v>
      </c>
      <c r="SU3" s="305" t="s">
        <v>1180</v>
      </c>
      <c r="SV3" s="305" t="s">
        <v>1181</v>
      </c>
      <c r="SW3" s="305" t="s">
        <v>1182</v>
      </c>
      <c r="SX3" s="305" t="s">
        <v>1183</v>
      </c>
      <c r="SY3" s="305" t="s">
        <v>1184</v>
      </c>
      <c r="SZ3" s="305" t="s">
        <v>1185</v>
      </c>
      <c r="TA3" s="305" t="s">
        <v>1186</v>
      </c>
      <c r="TB3" s="305" t="s">
        <v>1187</v>
      </c>
      <c r="TC3" s="305" t="s">
        <v>1188</v>
      </c>
      <c r="TD3" s="305" t="s">
        <v>1189</v>
      </c>
      <c r="TE3" s="305" t="s">
        <v>1190</v>
      </c>
      <c r="TF3" s="305" t="s">
        <v>1191</v>
      </c>
      <c r="TG3" s="305" t="s">
        <v>1192</v>
      </c>
      <c r="TH3" s="305" t="s">
        <v>1193</v>
      </c>
      <c r="TI3" s="305" t="s">
        <v>1194</v>
      </c>
      <c r="TJ3" s="305" t="s">
        <v>1195</v>
      </c>
      <c r="TK3" s="305" t="s">
        <v>1196</v>
      </c>
      <c r="TL3" s="305" t="s">
        <v>1197</v>
      </c>
      <c r="TM3" s="305" t="s">
        <v>1198</v>
      </c>
      <c r="TN3" s="305" t="s">
        <v>1199</v>
      </c>
      <c r="TO3" s="305" t="s">
        <v>1200</v>
      </c>
      <c r="TP3" s="305" t="s">
        <v>1201</v>
      </c>
      <c r="TQ3" s="305" t="s">
        <v>1202</v>
      </c>
      <c r="TR3" s="305" t="s">
        <v>1203</v>
      </c>
      <c r="TS3" s="305" t="s">
        <v>1204</v>
      </c>
      <c r="TT3" s="305" t="s">
        <v>1205</v>
      </c>
      <c r="TU3" s="305" t="s">
        <v>1206</v>
      </c>
      <c r="TV3" s="305" t="s">
        <v>1207</v>
      </c>
      <c r="TW3" s="305" t="s">
        <v>1208</v>
      </c>
      <c r="TX3" s="305" t="s">
        <v>1209</v>
      </c>
      <c r="TY3" s="305" t="s">
        <v>1210</v>
      </c>
      <c r="TZ3" s="305" t="s">
        <v>1211</v>
      </c>
      <c r="UA3" s="305" t="s">
        <v>1212</v>
      </c>
      <c r="UB3" s="305" t="s">
        <v>1213</v>
      </c>
      <c r="UC3" s="305" t="s">
        <v>1214</v>
      </c>
      <c r="UD3" s="305" t="s">
        <v>1215</v>
      </c>
      <c r="UE3" s="305" t="s">
        <v>1216</v>
      </c>
      <c r="UF3" s="305" t="s">
        <v>1217</v>
      </c>
      <c r="UG3" s="305" t="s">
        <v>1218</v>
      </c>
      <c r="UH3" s="305" t="s">
        <v>1219</v>
      </c>
      <c r="UI3" s="305" t="s">
        <v>1220</v>
      </c>
      <c r="UJ3" s="305" t="s">
        <v>1221</v>
      </c>
      <c r="UK3" s="305" t="s">
        <v>1222</v>
      </c>
      <c r="UL3" s="305" t="s">
        <v>1223</v>
      </c>
      <c r="UM3" s="305" t="s">
        <v>1224</v>
      </c>
      <c r="UN3" s="305" t="s">
        <v>1225</v>
      </c>
      <c r="UO3" s="305" t="s">
        <v>1226</v>
      </c>
      <c r="UP3" s="305" t="s">
        <v>1227</v>
      </c>
      <c r="UQ3" s="305" t="s">
        <v>1228</v>
      </c>
      <c r="UR3" s="305" t="s">
        <v>1229</v>
      </c>
      <c r="US3" s="305" t="s">
        <v>1230</v>
      </c>
      <c r="UT3" s="305" t="s">
        <v>1231</v>
      </c>
      <c r="UU3" s="305" t="s">
        <v>1232</v>
      </c>
      <c r="UV3" s="305" t="s">
        <v>1233</v>
      </c>
      <c r="UW3" s="305" t="s">
        <v>1234</v>
      </c>
      <c r="UX3" s="305" t="s">
        <v>1235</v>
      </c>
      <c r="UY3" s="305" t="s">
        <v>1236</v>
      </c>
      <c r="UZ3" s="305" t="s">
        <v>1237</v>
      </c>
      <c r="VA3" s="305" t="s">
        <v>1238</v>
      </c>
      <c r="VB3" s="305" t="s">
        <v>1239</v>
      </c>
      <c r="VC3" s="305" t="s">
        <v>1240</v>
      </c>
      <c r="VD3" s="305" t="s">
        <v>1241</v>
      </c>
      <c r="VE3" s="305" t="s">
        <v>1242</v>
      </c>
      <c r="VF3" s="305" t="s">
        <v>1243</v>
      </c>
      <c r="VG3" s="305" t="s">
        <v>1244</v>
      </c>
      <c r="VH3" s="305" t="s">
        <v>1245</v>
      </c>
      <c r="VI3" s="305" t="s">
        <v>1246</v>
      </c>
      <c r="VJ3" s="305" t="s">
        <v>1247</v>
      </c>
      <c r="VK3" s="305" t="s">
        <v>1248</v>
      </c>
      <c r="VL3" s="305" t="s">
        <v>1249</v>
      </c>
      <c r="VM3" s="305" t="s">
        <v>1250</v>
      </c>
      <c r="VN3" s="305" t="s">
        <v>1251</v>
      </c>
    </row>
    <row r="4" spans="1:586" ht="15" customHeight="1" x14ac:dyDescent="0.2">
      <c r="A4" s="69"/>
      <c r="E4" s="265"/>
      <c r="L4" s="69"/>
      <c r="R4" s="70"/>
      <c r="T4" s="69"/>
      <c r="V4" s="71"/>
      <c r="W4" s="69"/>
      <c r="X4" s="71"/>
      <c r="Y4" s="69"/>
      <c r="Z4" s="70"/>
      <c r="AB4" s="69"/>
      <c r="AD4" s="71"/>
      <c r="AE4" s="69"/>
      <c r="AF4" s="71"/>
      <c r="AG4" s="69"/>
      <c r="AH4" s="70"/>
      <c r="AJ4" s="69"/>
      <c r="AL4" s="71"/>
      <c r="AM4" s="69"/>
      <c r="AN4" s="71"/>
      <c r="AO4" s="69"/>
      <c r="AP4" s="70"/>
      <c r="AR4" s="69"/>
      <c r="AV4" s="277" cm="1">
        <f t="array" ref="AV4">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4" s="209" cm="1">
        <f t="array" ref="AW4">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4" s="209" cm="1">
        <f t="array" ref="AX4">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4" s="209" cm="1">
        <f t="array" ref="AY4">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4"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4" s="209" cm="1">
        <f t="array" ref="BA4">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4" s="209">
        <f>IF(OR(Calculations_APPURT[[#This Row],[Shape]]="CFD",Calculations_APPURT[[#This Row],[Shape]]="CCI"),1,0.95)</f>
        <v>0.95</v>
      </c>
      <c r="BC4" s="209" cm="1">
        <f t="array" ref="BC4">0.00256 * Hazards_APPURT[[#This Row],[Kz]] * Kzt * Ks * I.wind * V^2 * IF(RIGHT(TIA,1)="G",1,Ke) * IF(OR(Calculations_APPURT[[#This Row],[Shape]]="CFD",Calculations_APPURT[[#This Row],[Shape]]="CCI"),1, Hazards_APPURT[[#This Row],[Kd]]) * Gh</f>
        <v>0</v>
      </c>
      <c r="BD4" s="209">
        <f>IF(Risk="I",0,MIN(((z+Calculations_APPURT[[#This Row],[Vertical Offset]]/12)/33)^(0.1),1.4))</f>
        <v>0</v>
      </c>
      <c r="BE4" s="209" cm="1">
        <f t="array" ref="BE4">IF(Risk="I",0,IF(TIA="ANSI/TIA-222-G",2,1*Kes.i)*ti*I.ice*Hazards_APPURT[[#This Row],[Kiz]]*(Kzt/Ks)^(0.35))</f>
        <v>0</v>
      </c>
      <c r="BF4" s="209" cm="1">
        <f t="array" ref="BF4">0.00256 * Hazards_APPURT[[#This Row],[Kz]] * Kzt * Ks * I.wind * Vi^2 * IF(RIGHT(TIA,1)="G",1,Ke) * IF(OR(Calculations_APPURT[[#This Row],[Shape]]="CFD",Calculations_APPURT[[#This Row],[Shape]]="CCI"),1, Kd) * Gh</f>
        <v>0</v>
      </c>
      <c r="BG4"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4"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4"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4"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4"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4"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4"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4"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4"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4"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4"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4"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4"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4"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4"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4"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4"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4"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4"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4"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4"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4"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4"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4"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4"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4"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4"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4"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4"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4"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4"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4"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4"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4"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4"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4"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4"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4"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4"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4"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4"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4"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4"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4"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4"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4"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4"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4"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4"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4"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4"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4"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4"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4"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4"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4"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4"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4"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4"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4"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4"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4"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4"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4"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4" s="338">
        <f>IFERROR(1/Calculations_APPURT[[#This Row],[Brackets]],0) * cv_F * AlphaSector[[#This Row],[Quantity]] * Hazards_APPURT[[#This Row],[qz]] * CaAa_APPURT[[#This Row],[Alpha 0]] * IF(Calculations_APPURT[[#This Row],[Shape]]="CFD",1, Ka)</f>
        <v>0</v>
      </c>
      <c r="GF4" s="338">
        <f>IFERROR(1/Calculations_APPURT[[#This Row],[Brackets]],0) * cv_F * AlphaSector[[#This Row],[Quantity]] * Hazards_APPURT[[#This Row],[qz]] * CaAa_APPURT[[#This Row],[Alpha 30]] * IF(Calculations_APPURT[[#This Row],[Shape]]="CFD",1, Ka)</f>
        <v>0</v>
      </c>
      <c r="GG4" s="338">
        <f>IFERROR(1/Calculations_APPURT[[#This Row],[Brackets]],0) * cv_F * AlphaSector[[#This Row],[Quantity]] * Hazards_APPURT[[#This Row],[qz]] * CaAa_APPURT[[#This Row],[Alpha 45]] * IF(Calculations_APPURT[[#This Row],[Shape]]="CFD",1, Ka)</f>
        <v>0</v>
      </c>
      <c r="GH4" s="338">
        <f>IFERROR(1/Calculations_APPURT[[#This Row],[Brackets]],0) * cv_F * AlphaSector[[#This Row],[Quantity]] * Hazards_APPURT[[#This Row],[qz]] * CaAa_APPURT[[#This Row],[Alpha 60]] * IF(Calculations_APPURT[[#This Row],[Shape]]="CFD",1, Ka)</f>
        <v>0</v>
      </c>
      <c r="GI4" s="338">
        <f>IFERROR(1/Calculations_APPURT[[#This Row],[Brackets]],0) * cv_F * AlphaSector[[#This Row],[Quantity]] * Hazards_APPURT[[#This Row],[qz]] * CaAa_APPURT[[#This Row],[Alpha 90]] * IF(Calculations_APPURT[[#This Row],[Shape]]="CFD",1, Ka)</f>
        <v>0</v>
      </c>
      <c r="GJ4" s="338">
        <f>IFERROR(1/Calculations_APPURT[[#This Row],[Brackets]],0) * cv_F * AlphaSector[[#This Row],[Quantity]] * Hazards_APPURT[[#This Row],[qz]] * CaAa_APPURT[[#This Row],[Alpha 120]] * IF(Calculations_APPURT[[#This Row],[Shape]]="CFD",1, Ka)</f>
        <v>0</v>
      </c>
      <c r="GK4" s="338">
        <f>IFERROR(1/Calculations_APPURT[[#This Row],[Brackets]],0) * cv_F * AlphaSector[[#This Row],[Quantity]] * Hazards_APPURT[[#This Row],[qz]] * CaAa_APPURT[[#This Row],[Alpha 135]] * IF(Calculations_APPURT[[#This Row],[Shape]]="CFD",1, Ka)</f>
        <v>0</v>
      </c>
      <c r="GL4" s="338">
        <f>IFERROR(1/Calculations_APPURT[[#This Row],[Brackets]],0) * cv_F * AlphaSector[[#This Row],[Quantity]] * Hazards_APPURT[[#This Row],[qz]] * CaAa_APPURT[[#This Row],[Alpha 150]] * IF(Calculations_APPURT[[#This Row],[Shape]]="CFD",1, Ka)</f>
        <v>0</v>
      </c>
      <c r="GM4" s="338">
        <f>IFERROR(1/Calculations_APPURT[[#This Row],[Brackets]],0) * cv_F * AlphaSector[[#This Row],[Quantity]] * Hazards_APPURT[[#This Row],[qz]] * CaAa_APPURT[[#This Row],[Alpha 180]] * IF(Calculations_APPURT[[#This Row],[Shape]]="CFD",1, Ka)</f>
        <v>0</v>
      </c>
      <c r="GN4" s="338">
        <f>IFERROR(1/Calculations_APPURT[[#This Row],[Brackets]],0) * cv_F * AlphaSector[[#This Row],[Quantity]] * Hazards_APPURT[[#This Row],[qz]] * CaAa_APPURT[[#This Row],[Alpha 210]] * IF(Calculations_APPURT[[#This Row],[Shape]]="CFD",1, Ka)</f>
        <v>0</v>
      </c>
      <c r="GO4" s="338">
        <f>IFERROR(1/Calculations_APPURT[[#This Row],[Brackets]],0) * cv_F * AlphaSector[[#This Row],[Quantity]] * Hazards_APPURT[[#This Row],[qz]] * CaAa_APPURT[[#This Row],[Alpha 225]] * IF(Calculations_APPURT[[#This Row],[Shape]]="CFD",1, Ka)</f>
        <v>0</v>
      </c>
      <c r="GP4" s="338">
        <f>IFERROR(1/Calculations_APPURT[[#This Row],[Brackets]],0) * cv_F * AlphaSector[[#This Row],[Quantity]] * Hazards_APPURT[[#This Row],[qz]] * CaAa_APPURT[[#This Row],[Alpha 240]] * IF(Calculations_APPURT[[#This Row],[Shape]]="CFD",1, Ka)</f>
        <v>0</v>
      </c>
      <c r="GQ4" s="338">
        <f>IFERROR(1/Calculations_APPURT[[#This Row],[Brackets]],0) * cv_F * AlphaSector[[#This Row],[Quantity]] * Hazards_APPURT[[#This Row],[qz]] * CaAa_APPURT[[#This Row],[Alpha 270]] * IF(Calculations_APPURT[[#This Row],[Shape]]="CFD",1, Ka)</f>
        <v>0</v>
      </c>
      <c r="GR4" s="338">
        <f>IFERROR(1/Calculations_APPURT[[#This Row],[Brackets]],0) * cv_F * AlphaSector[[#This Row],[Quantity]] * Hazards_APPURT[[#This Row],[qz]] * CaAa_APPURT[[#This Row],[Alpha 300]] * IF(Calculations_APPURT[[#This Row],[Shape]]="CFD",1, Ka)</f>
        <v>0</v>
      </c>
      <c r="GS4" s="338">
        <f>IFERROR(1/Calculations_APPURT[[#This Row],[Brackets]],0) * cv_F * AlphaSector[[#This Row],[Quantity]] * Hazards_APPURT[[#This Row],[qz]] * CaAa_APPURT[[#This Row],[Alpha 315]] * IF(Calculations_APPURT[[#This Row],[Shape]]="CFD",1, Ka)</f>
        <v>0</v>
      </c>
      <c r="GT4" s="338">
        <f>IFERROR(1/Calculations_APPURT[[#This Row],[Brackets]],0) * cv_F * AlphaSector[[#This Row],[Quantity]] * Hazards_APPURT[[#This Row],[qz]] * CaAa_APPURT[[#This Row],[Alpha 330]] * IF(Calculations_APPURT[[#This Row],[Shape]]="CFD",1, Ka)</f>
        <v>0</v>
      </c>
      <c r="GU4" s="276">
        <f>IFERROR(1/Calculations_APPURT[[#This Row],[Brackets]],0) * cv_F * BetaSector[[#This Row],[Quantity]] * Hazards_APPURT[[#This Row],[qz]] * CaAa_APPURT[[#This Row],[Beta 0]] * IF(Calculations_APPURT[[#This Row],[Shape]]="CFD",1, Ka)</f>
        <v>0</v>
      </c>
      <c r="GV4" s="276">
        <f>IFERROR(1/Calculations_APPURT[[#This Row],[Brackets]],0) * cv_F * BetaSector[[#This Row],[Quantity]] * Hazards_APPURT[[#This Row],[qz]] * CaAa_APPURT[[#This Row],[Beta 30]] * IF(Calculations_APPURT[[#This Row],[Shape]]="CFD",1, Ka)</f>
        <v>0</v>
      </c>
      <c r="GW4" s="276">
        <f>IFERROR(1/Calculations_APPURT[[#This Row],[Brackets]],0) * cv_F * BetaSector[[#This Row],[Quantity]] * Hazards_APPURT[[#This Row],[qz]] * CaAa_APPURT[[#This Row],[Beta 45]] * IF(Calculations_APPURT[[#This Row],[Shape]]="CFD",1, Ka)</f>
        <v>0</v>
      </c>
      <c r="GX4" s="276">
        <f>IFERROR(1/Calculations_APPURT[[#This Row],[Brackets]],0) * cv_F * BetaSector[[#This Row],[Quantity]] * Hazards_APPURT[[#This Row],[qz]] * CaAa_APPURT[[#This Row],[Beta 60]] * IF(Calculations_APPURT[[#This Row],[Shape]]="CFD",1, Ka)</f>
        <v>0</v>
      </c>
      <c r="GY4" s="276">
        <f>IFERROR(1/Calculations_APPURT[[#This Row],[Brackets]],0) * cv_F * BetaSector[[#This Row],[Quantity]] * Hazards_APPURT[[#This Row],[qz]] * CaAa_APPURT[[#This Row],[Beta 90]] * IF(Calculations_APPURT[[#This Row],[Shape]]="CFD",1, Ka)</f>
        <v>0</v>
      </c>
      <c r="GZ4" s="276">
        <f>IFERROR(1/Calculations_APPURT[[#This Row],[Brackets]],0) * cv_F * BetaSector[[#This Row],[Quantity]] * Hazards_APPURT[[#This Row],[qz]] * CaAa_APPURT[[#This Row],[Beta 120]] * IF(Calculations_APPURT[[#This Row],[Shape]]="CFD",1, Ka)</f>
        <v>0</v>
      </c>
      <c r="HA4" s="276">
        <f>IFERROR(1/Calculations_APPURT[[#This Row],[Brackets]],0) * cv_F * BetaSector[[#This Row],[Quantity]] * Hazards_APPURT[[#This Row],[qz]] * CaAa_APPURT[[#This Row],[Beta 135]] * IF(Calculations_APPURT[[#This Row],[Shape]]="CFD",1, Ka)</f>
        <v>0</v>
      </c>
      <c r="HB4" s="276">
        <f>IFERROR(1/Calculations_APPURT[[#This Row],[Brackets]],0) * cv_F * BetaSector[[#This Row],[Quantity]] * Hazards_APPURT[[#This Row],[qz]] * CaAa_APPURT[[#This Row],[Beta 150]] * IF(Calculations_APPURT[[#This Row],[Shape]]="CFD",1, Ka)</f>
        <v>0</v>
      </c>
      <c r="HC4" s="276">
        <f>IFERROR(1/Calculations_APPURT[[#This Row],[Brackets]],0) * cv_F * BetaSector[[#This Row],[Quantity]] * Hazards_APPURT[[#This Row],[qz]] * CaAa_APPURT[[#This Row],[Beta 180]] * IF(Calculations_APPURT[[#This Row],[Shape]]="CFD",1, Ka)</f>
        <v>0</v>
      </c>
      <c r="HD4" s="276">
        <f>IFERROR(1/Calculations_APPURT[[#This Row],[Brackets]],0) * cv_F * BetaSector[[#This Row],[Quantity]] * Hazards_APPURT[[#This Row],[qz]] * CaAa_APPURT[[#This Row],[Beta 210]] * IF(Calculations_APPURT[[#This Row],[Shape]]="CFD",1, Ka)</f>
        <v>0</v>
      </c>
      <c r="HE4" s="276">
        <f>IFERROR(1/Calculations_APPURT[[#This Row],[Brackets]],0) * cv_F * BetaSector[[#This Row],[Quantity]] * Hazards_APPURT[[#This Row],[qz]] * CaAa_APPURT[[#This Row],[Beta 225]] * IF(Calculations_APPURT[[#This Row],[Shape]]="CFD",1, Ka)</f>
        <v>0</v>
      </c>
      <c r="HF4" s="276">
        <f>IFERROR(1/Calculations_APPURT[[#This Row],[Brackets]],0) * cv_F * BetaSector[[#This Row],[Quantity]] * Hazards_APPURT[[#This Row],[qz]] * CaAa_APPURT[[#This Row],[Beta 240]] * IF(Calculations_APPURT[[#This Row],[Shape]]="CFD",1, Ka)</f>
        <v>0</v>
      </c>
      <c r="HG4" s="276">
        <f>IFERROR(1/Calculations_APPURT[[#This Row],[Brackets]],0) * cv_F * BetaSector[[#This Row],[Quantity]] * Hazards_APPURT[[#This Row],[qz]] * CaAa_APPURT[[#This Row],[Beta 270]] * IF(Calculations_APPURT[[#This Row],[Shape]]="CFD",1, Ka)</f>
        <v>0</v>
      </c>
      <c r="HH4" s="276">
        <f>IFERROR(1/Calculations_APPURT[[#This Row],[Brackets]],0) * cv_F * BetaSector[[#This Row],[Quantity]] * Hazards_APPURT[[#This Row],[qz]] * CaAa_APPURT[[#This Row],[Beta 300]] * IF(Calculations_APPURT[[#This Row],[Shape]]="CFD",1, Ka)</f>
        <v>0</v>
      </c>
      <c r="HI4" s="276">
        <f>IFERROR(1/Calculations_APPURT[[#This Row],[Brackets]],0) * cv_F * BetaSector[[#This Row],[Quantity]] * Hazards_APPURT[[#This Row],[qz]] * CaAa_APPURT[[#This Row],[Beta 315]] * IF(Calculations_APPURT[[#This Row],[Shape]]="CFD",1, Ka)</f>
        <v>0</v>
      </c>
      <c r="HJ4" s="276">
        <f>IFERROR(1/Calculations_APPURT[[#This Row],[Brackets]],0) * cv_F * BetaSector[[#This Row],[Quantity]] * Hazards_APPURT[[#This Row],[qz]] * CaAa_APPURT[[#This Row],[Beta 330]] * IF(Calculations_APPURT[[#This Row],[Shape]]="CFD",1, Ka)</f>
        <v>0</v>
      </c>
      <c r="HK4" s="338">
        <f>IFERROR(1/Calculations_APPURT[[#This Row],[Brackets]],0) * cv_F * GammaSector[[#This Row],[Quantity]] * Hazards_APPURT[[#This Row],[qz]] * CaAa_APPURT[[#This Row],[Gamma 0]] * IF(Calculations_APPURT[[#This Row],[Shape]]="CFD",1, Ka)</f>
        <v>0</v>
      </c>
      <c r="HL4" s="338">
        <f>IFERROR(1/Calculations_APPURT[[#This Row],[Brackets]],0) * cv_F * GammaSector[[#This Row],[Quantity]] * Hazards_APPURT[[#This Row],[qz]] * CaAa_APPURT[[#This Row],[Gamma 30]] * IF(Calculations_APPURT[[#This Row],[Shape]]="CFD",1, Ka)</f>
        <v>0</v>
      </c>
      <c r="HM4" s="338">
        <f>IFERROR(1/Calculations_APPURT[[#This Row],[Brackets]],0) * cv_F * GammaSector[[#This Row],[Quantity]] * Hazards_APPURT[[#This Row],[qz]] * CaAa_APPURT[[#This Row],[Gamma 45]] * IF(Calculations_APPURT[[#This Row],[Shape]]="CFD",1, Ka)</f>
        <v>0</v>
      </c>
      <c r="HN4" s="338">
        <f>IFERROR(1/Calculations_APPURT[[#This Row],[Brackets]],0) * cv_F * GammaSector[[#This Row],[Quantity]] * Hazards_APPURT[[#This Row],[qz]] * CaAa_APPURT[[#This Row],[Gamma 60]] * IF(Calculations_APPURT[[#This Row],[Shape]]="CFD",1, Ka)</f>
        <v>0</v>
      </c>
      <c r="HO4" s="338">
        <f>IFERROR(1/Calculations_APPURT[[#This Row],[Brackets]],0) * cv_F * GammaSector[[#This Row],[Quantity]] * Hazards_APPURT[[#This Row],[qz]] * CaAa_APPURT[[#This Row],[Gamma 90]] * IF(Calculations_APPURT[[#This Row],[Shape]]="CFD",1, Ka)</f>
        <v>0</v>
      </c>
      <c r="HP4" s="338">
        <f>IFERROR(1/Calculations_APPURT[[#This Row],[Brackets]],0) * cv_F * GammaSector[[#This Row],[Quantity]] * Hazards_APPURT[[#This Row],[qz]] * CaAa_APPURT[[#This Row],[Gamma 120]] * IF(Calculations_APPURT[[#This Row],[Shape]]="CFD",1, Ka)</f>
        <v>0</v>
      </c>
      <c r="HQ4" s="338">
        <f>IFERROR(1/Calculations_APPURT[[#This Row],[Brackets]],0) * cv_F * GammaSector[[#This Row],[Quantity]] * Hazards_APPURT[[#This Row],[qz]] * CaAa_APPURT[[#This Row],[Gamma 135]] * IF(Calculations_APPURT[[#This Row],[Shape]]="CFD",1, Ka)</f>
        <v>0</v>
      </c>
      <c r="HR4" s="338">
        <f>IFERROR(1/Calculations_APPURT[[#This Row],[Brackets]],0) * cv_F * GammaSector[[#This Row],[Quantity]] * Hazards_APPURT[[#This Row],[qz]] * CaAa_APPURT[[#This Row],[Gamma 150]] * IF(Calculations_APPURT[[#This Row],[Shape]]="CFD",1, Ka)</f>
        <v>0</v>
      </c>
      <c r="HS4" s="338">
        <f>IFERROR(1/Calculations_APPURT[[#This Row],[Brackets]],0) * cv_F * GammaSector[[#This Row],[Quantity]] * Hazards_APPURT[[#This Row],[qz]] * CaAa_APPURT[[#This Row],[Gamma 180]] * IF(Calculations_APPURT[[#This Row],[Shape]]="CFD",1, Ka)</f>
        <v>0</v>
      </c>
      <c r="HT4" s="338">
        <f>IFERROR(1/Calculations_APPURT[[#This Row],[Brackets]],0) * cv_F * GammaSector[[#This Row],[Quantity]] * Hazards_APPURT[[#This Row],[qz]] * CaAa_APPURT[[#This Row],[Gamma 210]] * IF(Calculations_APPURT[[#This Row],[Shape]]="CFD",1, Ka)</f>
        <v>0</v>
      </c>
      <c r="HU4" s="338">
        <f>IFERROR(1/Calculations_APPURT[[#This Row],[Brackets]],0) * cv_F * GammaSector[[#This Row],[Quantity]] * Hazards_APPURT[[#This Row],[qz]] * CaAa_APPURT[[#This Row],[Gamma 225]] * IF(Calculations_APPURT[[#This Row],[Shape]]="CFD",1, Ka)</f>
        <v>0</v>
      </c>
      <c r="HV4" s="338">
        <f>IFERROR(1/Calculations_APPURT[[#This Row],[Brackets]],0) * cv_F * GammaSector[[#This Row],[Quantity]] * Hazards_APPURT[[#This Row],[qz]] * CaAa_APPURT[[#This Row],[Gamma 240]] * IF(Calculations_APPURT[[#This Row],[Shape]]="CFD",1, Ka)</f>
        <v>0</v>
      </c>
      <c r="HW4" s="338">
        <f>IFERROR(1/Calculations_APPURT[[#This Row],[Brackets]],0) * cv_F * GammaSector[[#This Row],[Quantity]] * Hazards_APPURT[[#This Row],[qz]] * CaAa_APPURT[[#This Row],[Gamma 270]] * IF(Calculations_APPURT[[#This Row],[Shape]]="CFD",1, Ka)</f>
        <v>0</v>
      </c>
      <c r="HX4" s="338">
        <f>IFERROR(1/Calculations_APPURT[[#This Row],[Brackets]],0) * cv_F * GammaSector[[#This Row],[Quantity]] * Hazards_APPURT[[#This Row],[qz]] * CaAa_APPURT[[#This Row],[Gamma 300]] * IF(Calculations_APPURT[[#This Row],[Shape]]="CFD",1, Ka)</f>
        <v>0</v>
      </c>
      <c r="HY4" s="338">
        <f>IFERROR(1/Calculations_APPURT[[#This Row],[Brackets]],0) * cv_F * GammaSector[[#This Row],[Quantity]] * Hazards_APPURT[[#This Row],[qz]] * CaAa_APPURT[[#This Row],[Gamma 315]] * IF(Calculations_APPURT[[#This Row],[Shape]]="CFD",1, Ka)</f>
        <v>0</v>
      </c>
      <c r="HZ4" s="338">
        <f>IFERROR(1/Calculations_APPURT[[#This Row],[Brackets]],0) * cv_F * GammaSector[[#This Row],[Quantity]] * Hazards_APPURT[[#This Row],[qz]] * CaAa_APPURT[[#This Row],[Gamma 330]] * IF(Calculations_APPURT[[#This Row],[Shape]]="CFD",1, Ka)</f>
        <v>0</v>
      </c>
      <c r="IA4" s="276">
        <f>IFERROR(1/Calculations_APPURT[[#This Row],[Brackets]],0) * cv_F * DeltaSector[[#This Row],[Quantity]] * Hazards_APPURT[[#This Row],[qz]] * CaAa_APPURT[[#This Row],[Delta 0]] * IF(Calculations_APPURT[[#This Row],[Shape]]="CFD",1, Ka)</f>
        <v>0</v>
      </c>
      <c r="IB4" s="276">
        <f>IFERROR(1/Calculations_APPURT[[#This Row],[Brackets]],0) * cv_F * DeltaSector[[#This Row],[Quantity]] * Hazards_APPURT[[#This Row],[qz]] * CaAa_APPURT[[#This Row],[Delta 30]] * IF(Calculations_APPURT[[#This Row],[Shape]]="CFD",1, Ka)</f>
        <v>0</v>
      </c>
      <c r="IC4" s="276">
        <f>IFERROR(1/Calculations_APPURT[[#This Row],[Brackets]],0) * cv_F * DeltaSector[[#This Row],[Quantity]] * Hazards_APPURT[[#This Row],[qz]] * CaAa_APPURT[[#This Row],[Delta 45]] * IF(Calculations_APPURT[[#This Row],[Shape]]="CFD",1, Ka)</f>
        <v>0</v>
      </c>
      <c r="ID4" s="276">
        <f>IFERROR(1/Calculations_APPURT[[#This Row],[Brackets]],0) * cv_F * DeltaSector[[#This Row],[Quantity]] * Hazards_APPURT[[#This Row],[qz]] * CaAa_APPURT[[#This Row],[Delta 60]] * IF(Calculations_APPURT[[#This Row],[Shape]]="CFD",1, Ka)</f>
        <v>0</v>
      </c>
      <c r="IE4" s="276">
        <f>IFERROR(1/Calculations_APPURT[[#This Row],[Brackets]],0) * cv_F * DeltaSector[[#This Row],[Quantity]] * Hazards_APPURT[[#This Row],[qz]] * CaAa_APPURT[[#This Row],[Delta 90]] * IF(Calculations_APPURT[[#This Row],[Shape]]="CFD",1, Ka)</f>
        <v>0</v>
      </c>
      <c r="IF4" s="276">
        <f>IFERROR(1/Calculations_APPURT[[#This Row],[Brackets]],0) * cv_F * DeltaSector[[#This Row],[Quantity]] * Hazards_APPURT[[#This Row],[qz]] * CaAa_APPURT[[#This Row],[Delta 120]] * IF(Calculations_APPURT[[#This Row],[Shape]]="CFD",1, Ka)</f>
        <v>0</v>
      </c>
      <c r="IG4" s="276">
        <f>IFERROR(1/Calculations_APPURT[[#This Row],[Brackets]],0) * cv_F * DeltaSector[[#This Row],[Quantity]] * Hazards_APPURT[[#This Row],[qz]] * CaAa_APPURT[[#This Row],[Delta 135]] * IF(Calculations_APPURT[[#This Row],[Shape]]="CFD",1, Ka)</f>
        <v>0</v>
      </c>
      <c r="IH4" s="276">
        <f>IFERROR(1/Calculations_APPURT[[#This Row],[Brackets]],0) * cv_F * DeltaSector[[#This Row],[Quantity]] * Hazards_APPURT[[#This Row],[qz]] * CaAa_APPURT[[#This Row],[Delta 150]] * IF(Calculations_APPURT[[#This Row],[Shape]]="CFD",1, Ka)</f>
        <v>0</v>
      </c>
      <c r="II4" s="276">
        <f>IFERROR(1/Calculations_APPURT[[#This Row],[Brackets]],0) * cv_F * DeltaSector[[#This Row],[Quantity]] * Hazards_APPURT[[#This Row],[qz]] * CaAa_APPURT[[#This Row],[Delta 180]] * IF(Calculations_APPURT[[#This Row],[Shape]]="CFD",1, Ka)</f>
        <v>0</v>
      </c>
      <c r="IJ4" s="276">
        <f>IFERROR(1/Calculations_APPURT[[#This Row],[Brackets]],0) * cv_F * DeltaSector[[#This Row],[Quantity]] * Hazards_APPURT[[#This Row],[qz]] * CaAa_APPURT[[#This Row],[Delta 210]] * IF(Calculations_APPURT[[#This Row],[Shape]]="CFD",1, Ka)</f>
        <v>0</v>
      </c>
      <c r="IK4" s="276">
        <f>IFERROR(1/Calculations_APPURT[[#This Row],[Brackets]],0) * cv_F * DeltaSector[[#This Row],[Quantity]] * Hazards_APPURT[[#This Row],[qz]] * CaAa_APPURT[[#This Row],[Delta 225]] * IF(Calculations_APPURT[[#This Row],[Shape]]="CFD",1, Ka)</f>
        <v>0</v>
      </c>
      <c r="IL4" s="276">
        <f>IFERROR(1/Calculations_APPURT[[#This Row],[Brackets]],0) * cv_F * DeltaSector[[#This Row],[Quantity]] * Hazards_APPURT[[#This Row],[qz]] * CaAa_APPURT[[#This Row],[Delta 240]] * IF(Calculations_APPURT[[#This Row],[Shape]]="CFD",1, Ka)</f>
        <v>0</v>
      </c>
      <c r="IM4" s="276">
        <f>IFERROR(1/Calculations_APPURT[[#This Row],[Brackets]],0) * cv_F * DeltaSector[[#This Row],[Quantity]] * Hazards_APPURT[[#This Row],[qz]] * CaAa_APPURT[[#This Row],[Delta 270]] * IF(Calculations_APPURT[[#This Row],[Shape]]="CFD",1, Ka)</f>
        <v>0</v>
      </c>
      <c r="IN4" s="276">
        <f>IFERROR(1/Calculations_APPURT[[#This Row],[Brackets]],0) * cv_F * DeltaSector[[#This Row],[Quantity]] * Hazards_APPURT[[#This Row],[qz]] * CaAa_APPURT[[#This Row],[Delta 300]] * IF(Calculations_APPURT[[#This Row],[Shape]]="CFD",1, Ka)</f>
        <v>0</v>
      </c>
      <c r="IO4" s="276">
        <f>IFERROR(1/Calculations_APPURT[[#This Row],[Brackets]],0) * cv_F * DeltaSector[[#This Row],[Quantity]] * Hazards_APPURT[[#This Row],[qz]] * CaAa_APPURT[[#This Row],[Delta 315]] * IF(Calculations_APPURT[[#This Row],[Shape]]="CFD",1, Ka)</f>
        <v>0</v>
      </c>
      <c r="IP4" s="276">
        <f>IFERROR(1/Calculations_APPURT[[#This Row],[Brackets]],0) * cv_F * DeltaSector[[#This Row],[Quantity]] * Hazards_APPURT[[#This Row],[qz]] * CaAa_APPURT[[#This Row],[Delta 330]] * IF(Calculations_APPURT[[#This Row],[Shape]]="CFD",1, Ka)</f>
        <v>0</v>
      </c>
      <c r="IQ4" s="338">
        <f>IFERROR(1/Calculations_APPURT[[#This Row],[Brackets]],0) * cv_F * AlphaSector[[#This Row],[Quantity]] * Hazards_APPURT[[#This Row],[qiz]] * CaAa_APPURT[[#This Row],[Alpha Ice 0]]</f>
        <v>0</v>
      </c>
      <c r="IR4" s="338">
        <f>IFERROR(1/Calculations_APPURT[[#This Row],[Brackets]],0) * cv_F * AlphaSector[[#This Row],[Quantity]] * Hazards_APPURT[[#This Row],[qiz]] * CaAa_APPURT[[#This Row],[Alpha Ice 30]]</f>
        <v>0</v>
      </c>
      <c r="IS4" s="338">
        <f>IFERROR(1/Calculations_APPURT[[#This Row],[Brackets]],0) * cv_F * AlphaSector[[#This Row],[Quantity]] * Hazards_APPURT[[#This Row],[qiz]] * CaAa_APPURT[[#This Row],[Alpha Ice 45]]</f>
        <v>0</v>
      </c>
      <c r="IT4" s="338">
        <f>IFERROR(1/Calculations_APPURT[[#This Row],[Brackets]],0) * cv_F * AlphaSector[[#This Row],[Quantity]] * Hazards_APPURT[[#This Row],[qiz]] * CaAa_APPURT[[#This Row],[Alpha Ice 60]]</f>
        <v>0</v>
      </c>
      <c r="IU4" s="338">
        <f>IFERROR(1/Calculations_APPURT[[#This Row],[Brackets]],0) * cv_F * AlphaSector[[#This Row],[Quantity]] * Hazards_APPURT[[#This Row],[qiz]] * CaAa_APPURT[[#This Row],[Alpha Ice 90]]</f>
        <v>0</v>
      </c>
      <c r="IV4" s="338">
        <f>IFERROR(1/Calculations_APPURT[[#This Row],[Brackets]],0) * cv_F * AlphaSector[[#This Row],[Quantity]] * Hazards_APPURT[[#This Row],[qiz]] * CaAa_APPURT[[#This Row],[Alpha Ice 120]]</f>
        <v>0</v>
      </c>
      <c r="IW4" s="338">
        <f>IFERROR(1/Calculations_APPURT[[#This Row],[Brackets]],0) * cv_F * AlphaSector[[#This Row],[Quantity]] * Hazards_APPURT[[#This Row],[qiz]] * CaAa_APPURT[[#This Row],[Alpha Ice 135]]</f>
        <v>0</v>
      </c>
      <c r="IX4" s="338">
        <f>IFERROR(1/Calculations_APPURT[[#This Row],[Brackets]],0) * cv_F * AlphaSector[[#This Row],[Quantity]] * Hazards_APPURT[[#This Row],[qiz]] * CaAa_APPURT[[#This Row],[Alpha Ice 150]]</f>
        <v>0</v>
      </c>
      <c r="IY4" s="338">
        <f>IFERROR(1/Calculations_APPURT[[#This Row],[Brackets]],0) * cv_F * AlphaSector[[#This Row],[Quantity]] * Hazards_APPURT[[#This Row],[qiz]] * CaAa_APPURT[[#This Row],[Alpha Ice 180]]</f>
        <v>0</v>
      </c>
      <c r="IZ4" s="338">
        <f>IFERROR(1/Calculations_APPURT[[#This Row],[Brackets]],0) * cv_F * AlphaSector[[#This Row],[Quantity]] * Hazards_APPURT[[#This Row],[qiz]] * CaAa_APPURT[[#This Row],[Alpha Ice 210]]</f>
        <v>0</v>
      </c>
      <c r="JA4" s="338">
        <f>IFERROR(1/Calculations_APPURT[[#This Row],[Brackets]],0) * cv_F * AlphaSector[[#This Row],[Quantity]] * Hazards_APPURT[[#This Row],[qiz]] * CaAa_APPURT[[#This Row],[Alpha Ice 225]]</f>
        <v>0</v>
      </c>
      <c r="JB4" s="338">
        <f>IFERROR(1/Calculations_APPURT[[#This Row],[Brackets]],0) * cv_F * AlphaSector[[#This Row],[Quantity]] * Hazards_APPURT[[#This Row],[qiz]] * CaAa_APPURT[[#This Row],[Alpha Ice 240]]</f>
        <v>0</v>
      </c>
      <c r="JC4" s="338">
        <f>IFERROR(1/Calculations_APPURT[[#This Row],[Brackets]],0) * cv_F * AlphaSector[[#This Row],[Quantity]] * Hazards_APPURT[[#This Row],[qiz]] * CaAa_APPURT[[#This Row],[Alpha Ice 270]]</f>
        <v>0</v>
      </c>
      <c r="JD4" s="338">
        <f>IFERROR(1/Calculations_APPURT[[#This Row],[Brackets]],0) * cv_F * AlphaSector[[#This Row],[Quantity]] * Hazards_APPURT[[#This Row],[qiz]] * CaAa_APPURT[[#This Row],[Alpha Ice 300]]</f>
        <v>0</v>
      </c>
      <c r="JE4" s="338">
        <f>IFERROR(1/Calculations_APPURT[[#This Row],[Brackets]],0) * cv_F * AlphaSector[[#This Row],[Quantity]] * Hazards_APPURT[[#This Row],[qiz]] * CaAa_APPURT[[#This Row],[Alpha Ice 315]]</f>
        <v>0</v>
      </c>
      <c r="JF4" s="338">
        <f>IFERROR(1/Calculations_APPURT[[#This Row],[Brackets]],0) * cv_F * AlphaSector[[#This Row],[Quantity]] * Hazards_APPURT[[#This Row],[qiz]] * CaAa_APPURT[[#This Row],[Alpha Ice 330]]</f>
        <v>0</v>
      </c>
      <c r="JG4" s="276">
        <f>IFERROR(1/Calculations_APPURT[[#This Row],[Brackets]],0) * cv_F * BetaSector[[#This Row],[Quantity]] * Hazards_APPURT[[#This Row],[qiz]] * CaAa_APPURT[[#This Row],[Beta Ice 0]]</f>
        <v>0</v>
      </c>
      <c r="JH4" s="276">
        <f>IFERROR(1/Calculations_APPURT[[#This Row],[Brackets]],0) * cv_F * BetaSector[[#This Row],[Quantity]] * Hazards_APPURT[[#This Row],[qiz]] * CaAa_APPURT[[#This Row],[Beta Ice 30]]</f>
        <v>0</v>
      </c>
      <c r="JI4" s="276">
        <f>IFERROR(1/Calculations_APPURT[[#This Row],[Brackets]],0) * cv_F * BetaSector[[#This Row],[Quantity]] * Hazards_APPURT[[#This Row],[qiz]] * CaAa_APPURT[[#This Row],[Beta Ice 45]]</f>
        <v>0</v>
      </c>
      <c r="JJ4" s="276">
        <f>IFERROR(1/Calculations_APPURT[[#This Row],[Brackets]],0) * cv_F * BetaSector[[#This Row],[Quantity]] * Hazards_APPURT[[#This Row],[qiz]] * CaAa_APPURT[[#This Row],[Beta Ice 60]]</f>
        <v>0</v>
      </c>
      <c r="JK4" s="276">
        <f>IFERROR(1/Calculations_APPURT[[#This Row],[Brackets]],0) * cv_F * BetaSector[[#This Row],[Quantity]] * Hazards_APPURT[[#This Row],[qiz]] * CaAa_APPURT[[#This Row],[Beta Ice 90]]</f>
        <v>0</v>
      </c>
      <c r="JL4" s="276">
        <f>IFERROR(1/Calculations_APPURT[[#This Row],[Brackets]],0) * cv_F * BetaSector[[#This Row],[Quantity]] * Hazards_APPURT[[#This Row],[qiz]] * CaAa_APPURT[[#This Row],[Beta Ice 120]]</f>
        <v>0</v>
      </c>
      <c r="JM4" s="276">
        <f>IFERROR(1/Calculations_APPURT[[#This Row],[Brackets]],0) * cv_F * BetaSector[[#This Row],[Quantity]] * Hazards_APPURT[[#This Row],[qiz]] * CaAa_APPURT[[#This Row],[Beta Ice 135]]</f>
        <v>0</v>
      </c>
      <c r="JN4" s="276">
        <f>IFERROR(1/Calculations_APPURT[[#This Row],[Brackets]],0) * cv_F * BetaSector[[#This Row],[Quantity]] * Hazards_APPURT[[#This Row],[qiz]] * CaAa_APPURT[[#This Row],[Beta Ice 150]]</f>
        <v>0</v>
      </c>
      <c r="JO4" s="276">
        <f>IFERROR(1/Calculations_APPURT[[#This Row],[Brackets]],0) * cv_F * BetaSector[[#This Row],[Quantity]] * Hazards_APPURT[[#This Row],[qiz]] * CaAa_APPURT[[#This Row],[Beta Ice 180]]</f>
        <v>0</v>
      </c>
      <c r="JP4" s="276">
        <f>IFERROR(1/Calculations_APPURT[[#This Row],[Brackets]],0) * cv_F * BetaSector[[#This Row],[Quantity]] * Hazards_APPURT[[#This Row],[qiz]] * CaAa_APPURT[[#This Row],[Beta Ice 210]]</f>
        <v>0</v>
      </c>
      <c r="JQ4" s="276">
        <f>IFERROR(1/Calculations_APPURT[[#This Row],[Brackets]],0) * cv_F * BetaSector[[#This Row],[Quantity]] * Hazards_APPURT[[#This Row],[qiz]] * CaAa_APPURT[[#This Row],[Beta Ice 225]]</f>
        <v>0</v>
      </c>
      <c r="JR4" s="276">
        <f>IFERROR(1/Calculations_APPURT[[#This Row],[Brackets]],0) * cv_F * BetaSector[[#This Row],[Quantity]] * Hazards_APPURT[[#This Row],[qiz]] * CaAa_APPURT[[#This Row],[Beta Ice 240]]</f>
        <v>0</v>
      </c>
      <c r="JS4" s="276">
        <f>IFERROR(1/Calculations_APPURT[[#This Row],[Brackets]],0) * cv_F * BetaSector[[#This Row],[Quantity]] * Hazards_APPURT[[#This Row],[qiz]] * CaAa_APPURT[[#This Row],[Beta Ice 270]]</f>
        <v>0</v>
      </c>
      <c r="JT4" s="276">
        <f>IFERROR(1/Calculations_APPURT[[#This Row],[Brackets]],0) * cv_F * BetaSector[[#This Row],[Quantity]] * Hazards_APPURT[[#This Row],[qiz]] * CaAa_APPURT[[#This Row],[Beta Ice 300]]</f>
        <v>0</v>
      </c>
      <c r="JU4" s="276">
        <f>IFERROR(1/Calculations_APPURT[[#This Row],[Brackets]],0) * cv_F * BetaSector[[#This Row],[Quantity]] * Hazards_APPURT[[#This Row],[qiz]] * CaAa_APPURT[[#This Row],[Beta Ice 315]]</f>
        <v>0</v>
      </c>
      <c r="JV4" s="276">
        <f>IFERROR(1/Calculations_APPURT[[#This Row],[Brackets]],0) * cv_F * BetaSector[[#This Row],[Quantity]] * Hazards_APPURT[[#This Row],[qiz]] * CaAa_APPURT[[#This Row],[Beta Ice 330]]</f>
        <v>0</v>
      </c>
      <c r="JW4" s="338">
        <f>IFERROR(1/Calculations_APPURT[[#This Row],[Brackets]],0) * cv_F * GammaSector[[#This Row],[Quantity]] * Hazards_APPURT[[#This Row],[qiz]] * CaAa_APPURT[[#This Row],[Gamma Ice 0]]</f>
        <v>0</v>
      </c>
      <c r="JX4" s="338">
        <f>IFERROR(1/Calculations_APPURT[[#This Row],[Brackets]],0) * cv_F * GammaSector[[#This Row],[Quantity]] * Hazards_APPURT[[#This Row],[qiz]] * CaAa_APPURT[[#This Row],[Gamma Ice 30]]</f>
        <v>0</v>
      </c>
      <c r="JY4" s="338">
        <f>IFERROR(1/Calculations_APPURT[[#This Row],[Brackets]],0) * cv_F * GammaSector[[#This Row],[Quantity]] * Hazards_APPURT[[#This Row],[qiz]] * CaAa_APPURT[[#This Row],[Gamma Ice 45]]</f>
        <v>0</v>
      </c>
      <c r="JZ4" s="338">
        <f>IFERROR(1/Calculations_APPURT[[#This Row],[Brackets]],0) * cv_F * GammaSector[[#This Row],[Quantity]] * Hazards_APPURT[[#This Row],[qiz]] * CaAa_APPURT[[#This Row],[Gamma Ice 60]]</f>
        <v>0</v>
      </c>
      <c r="KA4" s="338">
        <f>IFERROR(1/Calculations_APPURT[[#This Row],[Brackets]],0) * cv_F * GammaSector[[#This Row],[Quantity]] * Hazards_APPURT[[#This Row],[qiz]] * CaAa_APPURT[[#This Row],[Gamma Ice 90]]</f>
        <v>0</v>
      </c>
      <c r="KB4" s="338">
        <f>IFERROR(1/Calculations_APPURT[[#This Row],[Brackets]],0) * cv_F * GammaSector[[#This Row],[Quantity]] * Hazards_APPURT[[#This Row],[qiz]] * CaAa_APPURT[[#This Row],[Gamma Ice 120]]</f>
        <v>0</v>
      </c>
      <c r="KC4" s="338">
        <f>IFERROR(1/Calculations_APPURT[[#This Row],[Brackets]],0) * cv_F * GammaSector[[#This Row],[Quantity]] * Hazards_APPURT[[#This Row],[qiz]] * CaAa_APPURT[[#This Row],[Gamma Ice 135]]</f>
        <v>0</v>
      </c>
      <c r="KD4" s="338">
        <f>IFERROR(1/Calculations_APPURT[[#This Row],[Brackets]],0) * cv_F * GammaSector[[#This Row],[Quantity]] * Hazards_APPURT[[#This Row],[qiz]] * CaAa_APPURT[[#This Row],[Gamma Ice 150]]</f>
        <v>0</v>
      </c>
      <c r="KE4" s="338">
        <f>IFERROR(1/Calculations_APPURT[[#This Row],[Brackets]],0) * cv_F * GammaSector[[#This Row],[Quantity]] * Hazards_APPURT[[#This Row],[qiz]] * CaAa_APPURT[[#This Row],[Gamma Ice 180]]</f>
        <v>0</v>
      </c>
      <c r="KF4" s="338">
        <f>IFERROR(1/Calculations_APPURT[[#This Row],[Brackets]],0) * cv_F * GammaSector[[#This Row],[Quantity]] * Hazards_APPURT[[#This Row],[qiz]] * CaAa_APPURT[[#This Row],[Gamma Ice 210]]</f>
        <v>0</v>
      </c>
      <c r="KG4" s="338">
        <f>IFERROR(1/Calculations_APPURT[[#This Row],[Brackets]],0) * cv_F * GammaSector[[#This Row],[Quantity]] * Hazards_APPURT[[#This Row],[qiz]] * CaAa_APPURT[[#This Row],[Gamma Ice 225]]</f>
        <v>0</v>
      </c>
      <c r="KH4" s="338">
        <f>IFERROR(1/Calculations_APPURT[[#This Row],[Brackets]],0) * cv_F * GammaSector[[#This Row],[Quantity]] * Hazards_APPURT[[#This Row],[qiz]] * CaAa_APPURT[[#This Row],[Gamma Ice 240]]</f>
        <v>0</v>
      </c>
      <c r="KI4" s="338">
        <f>IFERROR(1/Calculations_APPURT[[#This Row],[Brackets]],0) * cv_F * GammaSector[[#This Row],[Quantity]] * Hazards_APPURT[[#This Row],[qiz]] * CaAa_APPURT[[#This Row],[Gamma Ice 270]]</f>
        <v>0</v>
      </c>
      <c r="KJ4" s="338">
        <f>IFERROR(1/Calculations_APPURT[[#This Row],[Brackets]],0) * cv_F * GammaSector[[#This Row],[Quantity]] * Hazards_APPURT[[#This Row],[qiz]] * CaAa_APPURT[[#This Row],[Gamma Ice 300]]</f>
        <v>0</v>
      </c>
      <c r="KK4" s="338">
        <f>IFERROR(1/Calculations_APPURT[[#This Row],[Brackets]],0) * cv_F * GammaSector[[#This Row],[Quantity]] * Hazards_APPURT[[#This Row],[qiz]] * CaAa_APPURT[[#This Row],[Gamma Ice 315]]</f>
        <v>0</v>
      </c>
      <c r="KL4" s="338">
        <f>IFERROR(1/Calculations_APPURT[[#This Row],[Brackets]],0) * cv_F * GammaSector[[#This Row],[Quantity]] * Hazards_APPURT[[#This Row],[qiz]] * CaAa_APPURT[[#This Row],[Gamma Ice 330]]</f>
        <v>0</v>
      </c>
      <c r="KM4" s="276">
        <f>IFERROR(1/Calculations_APPURT[[#This Row],[Brackets]],0) * cv_F * DeltaSector[[#This Row],[Quantity]] * Hazards_APPURT[[#This Row],[qiz]] * CaAa_APPURT[[#This Row],[Delta Ice 0]]</f>
        <v>0</v>
      </c>
      <c r="KN4" s="276">
        <f>IFERROR(1/Calculations_APPURT[[#This Row],[Brackets]],0) * cv_F * DeltaSector[[#This Row],[Quantity]] * Hazards_APPURT[[#This Row],[qiz]] * CaAa_APPURT[[#This Row],[Delta Ice 30]]</f>
        <v>0</v>
      </c>
      <c r="KO4" s="276">
        <f>IFERROR(1/Calculations_APPURT[[#This Row],[Brackets]],0) * cv_F * DeltaSector[[#This Row],[Quantity]] * Hazards_APPURT[[#This Row],[qiz]] * CaAa_APPURT[[#This Row],[Delta Ice 45]]</f>
        <v>0</v>
      </c>
      <c r="KP4" s="276">
        <f>IFERROR(1/Calculations_APPURT[[#This Row],[Brackets]],0) * cv_F * DeltaSector[[#This Row],[Quantity]] * Hazards_APPURT[[#This Row],[qiz]] * CaAa_APPURT[[#This Row],[Delta Ice 60]]</f>
        <v>0</v>
      </c>
      <c r="KQ4" s="276">
        <f>IFERROR(1/Calculations_APPURT[[#This Row],[Brackets]],0) * cv_F * DeltaSector[[#This Row],[Quantity]] * Hazards_APPURT[[#This Row],[qiz]] * CaAa_APPURT[[#This Row],[Delta Ice 90]]</f>
        <v>0</v>
      </c>
      <c r="KR4" s="276">
        <f>IFERROR(1/Calculations_APPURT[[#This Row],[Brackets]],0) * cv_F * DeltaSector[[#This Row],[Quantity]] * Hazards_APPURT[[#This Row],[qiz]] * CaAa_APPURT[[#This Row],[Delta Ice 120]]</f>
        <v>0</v>
      </c>
      <c r="KS4" s="276">
        <f>IFERROR(1/Calculations_APPURT[[#This Row],[Brackets]],0) * cv_F * DeltaSector[[#This Row],[Quantity]] * Hazards_APPURT[[#This Row],[qiz]] * CaAa_APPURT[[#This Row],[Delta Ice 135]]</f>
        <v>0</v>
      </c>
      <c r="KT4" s="276">
        <f>IFERROR(1/Calculations_APPURT[[#This Row],[Brackets]],0) * cv_F * DeltaSector[[#This Row],[Quantity]] * Hazards_APPURT[[#This Row],[qiz]] * CaAa_APPURT[[#This Row],[Delta Ice 150]]</f>
        <v>0</v>
      </c>
      <c r="KU4" s="276">
        <f>IFERROR(1/Calculations_APPURT[[#This Row],[Brackets]],0) * cv_F * DeltaSector[[#This Row],[Quantity]] * Hazards_APPURT[[#This Row],[qiz]] * CaAa_APPURT[[#This Row],[Delta Ice 180]]</f>
        <v>0</v>
      </c>
      <c r="KV4" s="276">
        <f>IFERROR(1/Calculations_APPURT[[#This Row],[Brackets]],0) * cv_F * DeltaSector[[#This Row],[Quantity]] * Hazards_APPURT[[#This Row],[qiz]] * CaAa_APPURT[[#This Row],[Delta Ice 210]]</f>
        <v>0</v>
      </c>
      <c r="KW4" s="276">
        <f>IFERROR(1/Calculations_APPURT[[#This Row],[Brackets]],0) * cv_F * DeltaSector[[#This Row],[Quantity]] * Hazards_APPURT[[#This Row],[qiz]] * CaAa_APPURT[[#This Row],[Delta Ice 225]]</f>
        <v>0</v>
      </c>
      <c r="KX4" s="276">
        <f>IFERROR(1/Calculations_APPURT[[#This Row],[Brackets]],0) * cv_F * DeltaSector[[#This Row],[Quantity]] * Hazards_APPURT[[#This Row],[qiz]] * CaAa_APPURT[[#This Row],[Delta Ice 240]]</f>
        <v>0</v>
      </c>
      <c r="KY4" s="276">
        <f>IFERROR(1/Calculations_APPURT[[#This Row],[Brackets]],0) * cv_F * DeltaSector[[#This Row],[Quantity]] * Hazards_APPURT[[#This Row],[qiz]] * CaAa_APPURT[[#This Row],[Delta Ice 270]]</f>
        <v>0</v>
      </c>
      <c r="KZ4" s="276">
        <f>IFERROR(1/Calculations_APPURT[[#This Row],[Brackets]],0) * cv_F * DeltaSector[[#This Row],[Quantity]] * Hazards_APPURT[[#This Row],[qiz]] * CaAa_APPURT[[#This Row],[Delta Ice 300]]</f>
        <v>0</v>
      </c>
      <c r="LA4" s="276">
        <f>IFERROR(1/Calculations_APPURT[[#This Row],[Brackets]],0) * cv_F * DeltaSector[[#This Row],[Quantity]] * Hazards_APPURT[[#This Row],[qiz]] * CaAa_APPURT[[#This Row],[Delta Ice 315]]</f>
        <v>0</v>
      </c>
      <c r="LB4" s="276">
        <f>IFERROR(1/Calculations_APPURT[[#This Row],[Brackets]],0) * cv_F * DeltaSector[[#This Row],[Quantity]] * Hazards_APPURT[[#This Row],[qiz]] * CaAa_APPURT[[#This Row],[Delta Ice 330]]</f>
        <v>0</v>
      </c>
      <c r="LC4" s="338">
        <f>IFERROR(1/Calculations_APPURT[[#This Row],[Brackets]],0) * cv_M/cv_F * Forces_APPURT[[#This Row],[Alpha Fa 0]] * Calculations_APPURT[[#This Row],[Horizontal Offset]]/12</f>
        <v>0</v>
      </c>
      <c r="LD4" s="338">
        <f>IFERROR(1/Calculations_APPURT[[#This Row],[Brackets]],0) * cv_M/cv_F * Forces_APPURT[[#This Row],[Alpha Fa 30]] * Calculations_APPURT[[#This Row],[Horizontal Offset]]/12</f>
        <v>0</v>
      </c>
      <c r="LE4" s="338">
        <f>IFERROR(1/Calculations_APPURT[[#This Row],[Brackets]],0) * cv_M/cv_F * Forces_APPURT[[#This Row],[Alpha Fa 45]] * Calculations_APPURT[[#This Row],[Horizontal Offset]]/12</f>
        <v>0</v>
      </c>
      <c r="LF4" s="338">
        <f>IFERROR(1/Calculations_APPURT[[#This Row],[Brackets]],0) * cv_M/cv_F * Forces_APPURT[[#This Row],[Alpha Fa 60]] * Calculations_APPURT[[#This Row],[Horizontal Offset]]/12</f>
        <v>0</v>
      </c>
      <c r="LG4" s="338">
        <f>IFERROR(1/Calculations_APPURT[[#This Row],[Brackets]],0) * cv_M/cv_F * Forces_APPURT[[#This Row],[Alpha Fa 90]] * Calculations_APPURT[[#This Row],[Horizontal Offset]]/12</f>
        <v>0</v>
      </c>
      <c r="LH4" s="338">
        <f>IFERROR(1/Calculations_APPURT[[#This Row],[Brackets]],0) * cv_M/cv_F * Forces_APPURT[[#This Row],[Alpha Fa 120]] * Calculations_APPURT[[#This Row],[Horizontal Offset]]/12</f>
        <v>0</v>
      </c>
      <c r="LI4" s="338">
        <f>IFERROR(1/Calculations_APPURT[[#This Row],[Brackets]],0) * cv_M/cv_F * Forces_APPURT[[#This Row],[Alpha Fa 135]] * Calculations_APPURT[[#This Row],[Horizontal Offset]]/12</f>
        <v>0</v>
      </c>
      <c r="LJ4" s="338">
        <f>IFERROR(1/Calculations_APPURT[[#This Row],[Brackets]],0) * cv_M/cv_F * Forces_APPURT[[#This Row],[Alpha Fa 150]] * Calculations_APPURT[[#This Row],[Horizontal Offset]]/12</f>
        <v>0</v>
      </c>
      <c r="LK4" s="338">
        <f>IFERROR(1/Calculations_APPURT[[#This Row],[Brackets]],0) * cv_M/cv_F * Forces_APPURT[[#This Row],[Alpha Fa 180]] * Calculations_APPURT[[#This Row],[Horizontal Offset]]/12</f>
        <v>0</v>
      </c>
      <c r="LL4" s="338">
        <f>IFERROR(1/Calculations_APPURT[[#This Row],[Brackets]],0) * cv_M/cv_F * Forces_APPURT[[#This Row],[Alpha Fa 210]] * Calculations_APPURT[[#This Row],[Horizontal Offset]]/12</f>
        <v>0</v>
      </c>
      <c r="LM4" s="338">
        <f>IFERROR(1/Calculations_APPURT[[#This Row],[Brackets]],0) * cv_M/cv_F * Forces_APPURT[[#This Row],[Alpha Fa 225]] * Calculations_APPURT[[#This Row],[Horizontal Offset]]/12</f>
        <v>0</v>
      </c>
      <c r="LN4" s="338">
        <f>IFERROR(1/Calculations_APPURT[[#This Row],[Brackets]],0) * cv_M/cv_F * Forces_APPURT[[#This Row],[Alpha Fa 240]] * Calculations_APPURT[[#This Row],[Horizontal Offset]]/12</f>
        <v>0</v>
      </c>
      <c r="LO4" s="338">
        <f>IFERROR(1/Calculations_APPURT[[#This Row],[Brackets]],0) * cv_M/cv_F * Forces_APPURT[[#This Row],[Alpha Fa 270]] * Calculations_APPURT[[#This Row],[Horizontal Offset]]/12</f>
        <v>0</v>
      </c>
      <c r="LP4" s="338">
        <f>IFERROR(1/Calculations_APPURT[[#This Row],[Brackets]],0) * cv_M/cv_F * Forces_APPURT[[#This Row],[Alpha Fa 300]] * Calculations_APPURT[[#This Row],[Horizontal Offset]]/12</f>
        <v>0</v>
      </c>
      <c r="LQ4" s="338">
        <f>IFERROR(1/Calculations_APPURT[[#This Row],[Brackets]],0) * cv_M/cv_F * Forces_APPURT[[#This Row],[Alpha Fa 315]] * Calculations_APPURT[[#This Row],[Horizontal Offset]]/12</f>
        <v>0</v>
      </c>
      <c r="LR4" s="338">
        <f>IFERROR(1/Calculations_APPURT[[#This Row],[Brackets]],0) * cv_M/cv_F * Forces_APPURT[[#This Row],[Alpha Fa 330]] * Calculations_APPURT[[#This Row],[Horizontal Offset]]/12</f>
        <v>0</v>
      </c>
      <c r="LS4" s="276">
        <f>IFERROR(1/Calculations_APPURT[[#This Row],[Brackets]],0) * cv_M/cv_F * Forces_APPURT[[#This Row],[Beta Fa 0]] * Calculations_APPURT[[#This Row],[Horizontal Offset]]/12</f>
        <v>0</v>
      </c>
      <c r="LT4" s="276">
        <f>IFERROR(1/Calculations_APPURT[[#This Row],[Brackets]],0) * cv_M/cv_F * Forces_APPURT[[#This Row],[Beta Fa 30]] * Calculations_APPURT[[#This Row],[Horizontal Offset]]/12</f>
        <v>0</v>
      </c>
      <c r="LU4" s="276">
        <f>IFERROR(1/Calculations_APPURT[[#This Row],[Brackets]],0) * cv_M/cv_F * Forces_APPURT[[#This Row],[Beta Fa 45]] * Calculations_APPURT[[#This Row],[Horizontal Offset]]/12</f>
        <v>0</v>
      </c>
      <c r="LV4" s="276">
        <f>IFERROR(1/Calculations_APPURT[[#This Row],[Brackets]],0) * cv_M/cv_F * Forces_APPURT[[#This Row],[Beta Fa 60]] * Calculations_APPURT[[#This Row],[Horizontal Offset]]/12</f>
        <v>0</v>
      </c>
      <c r="LW4" s="276">
        <f>IFERROR(1/Calculations_APPURT[[#This Row],[Brackets]],0) * cv_M/cv_F * Forces_APPURT[[#This Row],[Beta Fa 90]] * Calculations_APPURT[[#This Row],[Horizontal Offset]]/12</f>
        <v>0</v>
      </c>
      <c r="LX4" s="276">
        <f>IFERROR(1/Calculations_APPURT[[#This Row],[Brackets]],0) * cv_M/cv_F * Forces_APPURT[[#This Row],[Beta Fa 120]] * Calculations_APPURT[[#This Row],[Horizontal Offset]]/12</f>
        <v>0</v>
      </c>
      <c r="LY4" s="276">
        <f>IFERROR(1/Calculations_APPURT[[#This Row],[Brackets]],0) * cv_M/cv_F * Forces_APPURT[[#This Row],[Beta Fa 135]] * Calculations_APPURT[[#This Row],[Horizontal Offset]]/12</f>
        <v>0</v>
      </c>
      <c r="LZ4" s="276">
        <f>IFERROR(1/Calculations_APPURT[[#This Row],[Brackets]],0) * cv_M/cv_F * Forces_APPURT[[#This Row],[Beta Fa 150]] * Calculations_APPURT[[#This Row],[Horizontal Offset]]/12</f>
        <v>0</v>
      </c>
      <c r="MA4" s="276">
        <f>IFERROR(1/Calculations_APPURT[[#This Row],[Brackets]],0) * cv_M/cv_F * Forces_APPURT[[#This Row],[Beta Fa 180]] * Calculations_APPURT[[#This Row],[Horizontal Offset]]/12</f>
        <v>0</v>
      </c>
      <c r="MB4" s="276">
        <f>IFERROR(1/Calculations_APPURT[[#This Row],[Brackets]],0) * cv_M/cv_F * Forces_APPURT[[#This Row],[Beta Fa 210]] * Calculations_APPURT[[#This Row],[Horizontal Offset]]/12</f>
        <v>0</v>
      </c>
      <c r="MC4" s="276">
        <f>IFERROR(1/Calculations_APPURT[[#This Row],[Brackets]],0) * cv_M/cv_F * Forces_APPURT[[#This Row],[Beta Fa 225]] * Calculations_APPURT[[#This Row],[Horizontal Offset]]/12</f>
        <v>0</v>
      </c>
      <c r="MD4" s="276">
        <f>IFERROR(1/Calculations_APPURT[[#This Row],[Brackets]],0) * cv_M/cv_F * Forces_APPURT[[#This Row],[Beta Fa 240]] * Calculations_APPURT[[#This Row],[Horizontal Offset]]/12</f>
        <v>0</v>
      </c>
      <c r="ME4" s="276">
        <f>IFERROR(1/Calculations_APPURT[[#This Row],[Brackets]],0) * cv_M/cv_F * Forces_APPURT[[#This Row],[Beta Fa 270]] * Calculations_APPURT[[#This Row],[Horizontal Offset]]/12</f>
        <v>0</v>
      </c>
      <c r="MF4" s="276">
        <f>IFERROR(1/Calculations_APPURT[[#This Row],[Brackets]],0) * cv_M/cv_F * Forces_APPURT[[#This Row],[Beta Fa 300]] * Calculations_APPURT[[#This Row],[Horizontal Offset]]/12</f>
        <v>0</v>
      </c>
      <c r="MG4" s="276">
        <f>IFERROR(1/Calculations_APPURT[[#This Row],[Brackets]],0) * cv_M/cv_F * Forces_APPURT[[#This Row],[Beta Fa 315]] * Calculations_APPURT[[#This Row],[Horizontal Offset]]/12</f>
        <v>0</v>
      </c>
      <c r="MH4" s="276">
        <f>IFERROR(1/Calculations_APPURT[[#This Row],[Brackets]],0) * cv_M/cv_F * Forces_APPURT[[#This Row],[Beta Fa 330]] * Calculations_APPURT[[#This Row],[Horizontal Offset]]/12</f>
        <v>0</v>
      </c>
      <c r="MI4" s="338">
        <f>IFERROR(1/Calculations_APPURT[[#This Row],[Brackets]],0) * cv_M/cv_F * Forces_APPURT[[#This Row],[Gamma Fa 0]] * Calculations_APPURT[[#This Row],[Horizontal Offset]]/12</f>
        <v>0</v>
      </c>
      <c r="MJ4" s="338">
        <f>IFERROR(1/Calculations_APPURT[[#This Row],[Brackets]],0) * cv_M/cv_F * Forces_APPURT[[#This Row],[Gamma Fa 30]] * Calculations_APPURT[[#This Row],[Horizontal Offset]]/12</f>
        <v>0</v>
      </c>
      <c r="MK4" s="338">
        <f>IFERROR(1/Calculations_APPURT[[#This Row],[Brackets]],0) * cv_M/cv_F * Forces_APPURT[[#This Row],[Gamma Fa 45]] * Calculations_APPURT[[#This Row],[Horizontal Offset]]/12</f>
        <v>0</v>
      </c>
      <c r="ML4" s="338">
        <f>IFERROR(1/Calculations_APPURT[[#This Row],[Brackets]],0) * cv_M/cv_F * Forces_APPURT[[#This Row],[Gamma Fa 60]] * Calculations_APPURT[[#This Row],[Horizontal Offset]]/12</f>
        <v>0</v>
      </c>
      <c r="MM4" s="338">
        <f>IFERROR(1/Calculations_APPURT[[#This Row],[Brackets]],0) * cv_M/cv_F * Forces_APPURT[[#This Row],[Gamma Fa 90]] * Calculations_APPURT[[#This Row],[Horizontal Offset]]/12</f>
        <v>0</v>
      </c>
      <c r="MN4" s="338">
        <f>IFERROR(1/Calculations_APPURT[[#This Row],[Brackets]],0) * cv_M/cv_F * Forces_APPURT[[#This Row],[Gamma Fa 120]] * Calculations_APPURT[[#This Row],[Horizontal Offset]]/12</f>
        <v>0</v>
      </c>
      <c r="MO4" s="338">
        <f>IFERROR(1/Calculations_APPURT[[#This Row],[Brackets]],0) * cv_M/cv_F * Forces_APPURT[[#This Row],[Gamma Fa 135]] * Calculations_APPURT[[#This Row],[Horizontal Offset]]/12</f>
        <v>0</v>
      </c>
      <c r="MP4" s="338">
        <f>IFERROR(1/Calculations_APPURT[[#This Row],[Brackets]],0) * cv_M/cv_F * Forces_APPURT[[#This Row],[Gamma Fa 150]] * Calculations_APPURT[[#This Row],[Horizontal Offset]]/12</f>
        <v>0</v>
      </c>
      <c r="MQ4" s="338">
        <f>IFERROR(1/Calculations_APPURT[[#This Row],[Brackets]],0) * cv_M/cv_F * Forces_APPURT[[#This Row],[Gamma Fa 180]] * Calculations_APPURT[[#This Row],[Horizontal Offset]]/12</f>
        <v>0</v>
      </c>
      <c r="MR4" s="338">
        <f>IFERROR(1/Calculations_APPURT[[#This Row],[Brackets]],0) * cv_M/cv_F * Forces_APPURT[[#This Row],[Gamma Fa 210]] * Calculations_APPURT[[#This Row],[Horizontal Offset]]/12</f>
        <v>0</v>
      </c>
      <c r="MS4" s="338">
        <f>IFERROR(1/Calculations_APPURT[[#This Row],[Brackets]],0) * cv_M/cv_F * Forces_APPURT[[#This Row],[Gamma Fa 225]] * Calculations_APPURT[[#This Row],[Horizontal Offset]]/12</f>
        <v>0</v>
      </c>
      <c r="MT4" s="338">
        <f>IFERROR(1/Calculations_APPURT[[#This Row],[Brackets]],0) * cv_M/cv_F * Forces_APPURT[[#This Row],[Gamma Fa 240]] * Calculations_APPURT[[#This Row],[Horizontal Offset]]/12</f>
        <v>0</v>
      </c>
      <c r="MU4" s="338">
        <f>IFERROR(1/Calculations_APPURT[[#This Row],[Brackets]],0) * cv_M/cv_F * Forces_APPURT[[#This Row],[Gamma Fa 270]] * Calculations_APPURT[[#This Row],[Horizontal Offset]]/12</f>
        <v>0</v>
      </c>
      <c r="MV4" s="338">
        <f>IFERROR(1/Calculations_APPURT[[#This Row],[Brackets]],0) * cv_M/cv_F * Forces_APPURT[[#This Row],[Gamma Fa 300]] * Calculations_APPURT[[#This Row],[Horizontal Offset]]/12</f>
        <v>0</v>
      </c>
      <c r="MW4" s="338">
        <f>IFERROR(1/Calculations_APPURT[[#This Row],[Brackets]],0) * cv_M/cv_F * Forces_APPURT[[#This Row],[Gamma Fa 315]] * Calculations_APPURT[[#This Row],[Horizontal Offset]]/12</f>
        <v>0</v>
      </c>
      <c r="MX4" s="338">
        <f>IFERROR(1/Calculations_APPURT[[#This Row],[Brackets]],0) * cv_M/cv_F * Forces_APPURT[[#This Row],[Gamma Fa 330]] * Calculations_APPURT[[#This Row],[Horizontal Offset]]/12</f>
        <v>0</v>
      </c>
      <c r="MY4" s="276">
        <f>IFERROR(1/Calculations_APPURT[[#This Row],[Brackets]],0) * cv_M/cv_F * Forces_APPURT[[#This Row],[Delta Fa 0]] * Calculations_APPURT[[#This Row],[Horizontal Offset]]/12</f>
        <v>0</v>
      </c>
      <c r="MZ4" s="276">
        <f>IFERROR(1/Calculations_APPURT[[#This Row],[Brackets]],0) * cv_M/cv_F * Forces_APPURT[[#This Row],[Delta Fa 30]] * Calculations_APPURT[[#This Row],[Horizontal Offset]]/12</f>
        <v>0</v>
      </c>
      <c r="NA4" s="276">
        <f>IFERROR(1/Calculations_APPURT[[#This Row],[Brackets]],0) * cv_M/cv_F * Forces_APPURT[[#This Row],[Delta Fa 45]] * Calculations_APPURT[[#This Row],[Horizontal Offset]]/12</f>
        <v>0</v>
      </c>
      <c r="NB4" s="276">
        <f>IFERROR(1/Calculations_APPURT[[#This Row],[Brackets]],0) * cv_M/cv_F * Forces_APPURT[[#This Row],[Delta Fa 60]] * Calculations_APPURT[[#This Row],[Horizontal Offset]]/12</f>
        <v>0</v>
      </c>
      <c r="NC4" s="276">
        <f>IFERROR(1/Calculations_APPURT[[#This Row],[Brackets]],0) * cv_M/cv_F * Forces_APPURT[[#This Row],[Delta Fa 90]] * Calculations_APPURT[[#This Row],[Horizontal Offset]]/12</f>
        <v>0</v>
      </c>
      <c r="ND4" s="276">
        <f>IFERROR(1/Calculations_APPURT[[#This Row],[Brackets]],0) * cv_M/cv_F * Forces_APPURT[[#This Row],[Delta Fa 120]] * Calculations_APPURT[[#This Row],[Horizontal Offset]]/12</f>
        <v>0</v>
      </c>
      <c r="NE4" s="276">
        <f>IFERROR(1/Calculations_APPURT[[#This Row],[Brackets]],0) * cv_M/cv_F * Forces_APPURT[[#This Row],[Delta Fa 135]] * Calculations_APPURT[[#This Row],[Horizontal Offset]]/12</f>
        <v>0</v>
      </c>
      <c r="NF4" s="276">
        <f>IFERROR(1/Calculations_APPURT[[#This Row],[Brackets]],0) * cv_M/cv_F * Forces_APPURT[[#This Row],[Delta Fa 150]] * Calculations_APPURT[[#This Row],[Horizontal Offset]]/12</f>
        <v>0</v>
      </c>
      <c r="NG4" s="276">
        <f>IFERROR(1/Calculations_APPURT[[#This Row],[Brackets]],0) * cv_M/cv_F * Forces_APPURT[[#This Row],[Delta Fa 180]] * Calculations_APPURT[[#This Row],[Horizontal Offset]]/12</f>
        <v>0</v>
      </c>
      <c r="NH4" s="276">
        <f>IFERROR(1/Calculations_APPURT[[#This Row],[Brackets]],0) * cv_M/cv_F * Forces_APPURT[[#This Row],[Delta Fa 210]] * Calculations_APPURT[[#This Row],[Horizontal Offset]]/12</f>
        <v>0</v>
      </c>
      <c r="NI4" s="276">
        <f>IFERROR(1/Calculations_APPURT[[#This Row],[Brackets]],0) * cv_M/cv_F * Forces_APPURT[[#This Row],[Delta Fa 225]] * Calculations_APPURT[[#This Row],[Horizontal Offset]]/12</f>
        <v>0</v>
      </c>
      <c r="NJ4" s="276">
        <f>IFERROR(1/Calculations_APPURT[[#This Row],[Brackets]],0) * cv_M/cv_F * Forces_APPURT[[#This Row],[Delta Fa 240]] * Calculations_APPURT[[#This Row],[Horizontal Offset]]/12</f>
        <v>0</v>
      </c>
      <c r="NK4" s="276">
        <f>IFERROR(1/Calculations_APPURT[[#This Row],[Brackets]],0) * cv_M/cv_F * Forces_APPURT[[#This Row],[Delta Fa 270]] * Calculations_APPURT[[#This Row],[Horizontal Offset]]/12</f>
        <v>0</v>
      </c>
      <c r="NL4" s="276">
        <f>IFERROR(1/Calculations_APPURT[[#This Row],[Brackets]],0) * cv_M/cv_F * Forces_APPURT[[#This Row],[Delta Fa 300]] * Calculations_APPURT[[#This Row],[Horizontal Offset]]/12</f>
        <v>0</v>
      </c>
      <c r="NM4" s="276">
        <f>IFERROR(1/Calculations_APPURT[[#This Row],[Brackets]],0) * cv_M/cv_F * Forces_APPURT[[#This Row],[Delta Fa 315]] * Calculations_APPURT[[#This Row],[Horizontal Offset]]/12</f>
        <v>0</v>
      </c>
      <c r="NN4" s="276">
        <f>IFERROR(1/Calculations_APPURT[[#This Row],[Brackets]],0) * cv_M/cv_F * Forces_APPURT[[#This Row],[Delta Fa 330]] * Calculations_APPURT[[#This Row],[Horizontal Offset]]/12</f>
        <v>0</v>
      </c>
      <c r="NO4" s="338">
        <f>IFERROR(1/Calculations_APPURT[[#This Row],[Brackets]],0) * cv_M/cv_F * Forces_APPURT[[#This Row],[Alpha Fai 0]] * Calculations_APPURT[[#This Row],[Horizontal Offset]]/12</f>
        <v>0</v>
      </c>
      <c r="NP4" s="338">
        <f>IFERROR(1/Calculations_APPURT[[#This Row],[Brackets]],0) * cv_M/cv_F * Forces_APPURT[[#This Row],[Alpha Fai 30]] * Calculations_APPURT[[#This Row],[Horizontal Offset]]/12</f>
        <v>0</v>
      </c>
      <c r="NQ4" s="338">
        <f>IFERROR(1/Calculations_APPURT[[#This Row],[Brackets]],0) * cv_M/cv_F * Forces_APPURT[[#This Row],[Alpha Fai 45]] * Calculations_APPURT[[#This Row],[Horizontal Offset]]/12</f>
        <v>0</v>
      </c>
      <c r="NR4" s="338">
        <f>IFERROR(1/Calculations_APPURT[[#This Row],[Brackets]],0) * cv_M/cv_F * Forces_APPURT[[#This Row],[Alpha Fai 60]] * Calculations_APPURT[[#This Row],[Horizontal Offset]]/12</f>
        <v>0</v>
      </c>
      <c r="NS4" s="338">
        <f>IFERROR(1/Calculations_APPURT[[#This Row],[Brackets]],0) * cv_M/cv_F * Forces_APPURT[[#This Row],[Alpha Fai 90]] * Calculations_APPURT[[#This Row],[Horizontal Offset]]/12</f>
        <v>0</v>
      </c>
      <c r="NT4" s="338">
        <f>IFERROR(1/Calculations_APPURT[[#This Row],[Brackets]],0) * cv_M/cv_F * Forces_APPURT[[#This Row],[Alpha Fai 120]] * Calculations_APPURT[[#This Row],[Horizontal Offset]]/12</f>
        <v>0</v>
      </c>
      <c r="NU4" s="338">
        <f>IFERROR(1/Calculations_APPURT[[#This Row],[Brackets]],0) * cv_M/cv_F * Forces_APPURT[[#This Row],[Alpha Fai 135]] * Calculations_APPURT[[#This Row],[Horizontal Offset]]/12</f>
        <v>0</v>
      </c>
      <c r="NV4" s="338">
        <f>IFERROR(1/Calculations_APPURT[[#This Row],[Brackets]],0) * cv_M/cv_F * Forces_APPURT[[#This Row],[Alpha Fai 150]] * Calculations_APPURT[[#This Row],[Horizontal Offset]]/12</f>
        <v>0</v>
      </c>
      <c r="NW4" s="338">
        <f>IFERROR(1/Calculations_APPURT[[#This Row],[Brackets]],0) * cv_M/cv_F * Forces_APPURT[[#This Row],[Alpha Fai 180]] * Calculations_APPURT[[#This Row],[Horizontal Offset]]/12</f>
        <v>0</v>
      </c>
      <c r="NX4" s="338">
        <f>IFERROR(1/Calculations_APPURT[[#This Row],[Brackets]],0) * cv_M/cv_F * Forces_APPURT[[#This Row],[Alpha Fai 210]] * Calculations_APPURT[[#This Row],[Horizontal Offset]]/12</f>
        <v>0</v>
      </c>
      <c r="NY4" s="338">
        <f>IFERROR(1/Calculations_APPURT[[#This Row],[Brackets]],0) * cv_M/cv_F * Forces_APPURT[[#This Row],[Alpha Fai 225]] * Calculations_APPURT[[#This Row],[Horizontal Offset]]/12</f>
        <v>0</v>
      </c>
      <c r="NZ4" s="338">
        <f>IFERROR(1/Calculations_APPURT[[#This Row],[Brackets]],0) * cv_M/cv_F * Forces_APPURT[[#This Row],[Alpha Fai 240]] * Calculations_APPURT[[#This Row],[Horizontal Offset]]/12</f>
        <v>0</v>
      </c>
      <c r="OA4" s="338">
        <f>IFERROR(1/Calculations_APPURT[[#This Row],[Brackets]],0) * cv_M/cv_F * Forces_APPURT[[#This Row],[Alpha Fai 270]] * Calculations_APPURT[[#This Row],[Horizontal Offset]]/12</f>
        <v>0</v>
      </c>
      <c r="OB4" s="338">
        <f>IFERROR(1/Calculations_APPURT[[#This Row],[Brackets]],0) * cv_M/cv_F * Forces_APPURT[[#This Row],[Alpha Fai 300]] * Calculations_APPURT[[#This Row],[Horizontal Offset]]/12</f>
        <v>0</v>
      </c>
      <c r="OC4" s="338">
        <f>IFERROR(1/Calculations_APPURT[[#This Row],[Brackets]],0) * cv_M/cv_F * Forces_APPURT[[#This Row],[Alpha Fai 315]] * Calculations_APPURT[[#This Row],[Horizontal Offset]]/12</f>
        <v>0</v>
      </c>
      <c r="OD4" s="338">
        <f>IFERROR(1/Calculations_APPURT[[#This Row],[Brackets]],0) * cv_M/cv_F * Forces_APPURT[[#This Row],[Alpha Fai 330]] * Calculations_APPURT[[#This Row],[Horizontal Offset]]/12</f>
        <v>0</v>
      </c>
      <c r="OE4" s="276">
        <f>IFERROR(1/Calculations_APPURT[[#This Row],[Brackets]],0) * cv_M/cv_F * Forces_APPURT[[#This Row],[Beta Fai 0]] * Calculations_APPURT[[#This Row],[Horizontal Offset]]/12</f>
        <v>0</v>
      </c>
      <c r="OF4" s="276">
        <f>IFERROR(1/Calculations_APPURT[[#This Row],[Brackets]],0) * cv_M/cv_F * Forces_APPURT[[#This Row],[Beta Fai 30]] * Calculations_APPURT[[#This Row],[Horizontal Offset]]/12</f>
        <v>0</v>
      </c>
      <c r="OG4" s="276">
        <f>IFERROR(1/Calculations_APPURT[[#This Row],[Brackets]],0) * cv_M/cv_F * Forces_APPURT[[#This Row],[Beta Fai 45]] * Calculations_APPURT[[#This Row],[Horizontal Offset]]/12</f>
        <v>0</v>
      </c>
      <c r="OH4" s="276">
        <f>IFERROR(1/Calculations_APPURT[[#This Row],[Brackets]],0) * cv_M/cv_F * Forces_APPURT[[#This Row],[Beta Fai 60]] * Calculations_APPURT[[#This Row],[Horizontal Offset]]/12</f>
        <v>0</v>
      </c>
      <c r="OI4" s="276">
        <f>IFERROR(1/Calculations_APPURT[[#This Row],[Brackets]],0) * cv_M/cv_F * Forces_APPURT[[#This Row],[Beta Fai 90]] * Calculations_APPURT[[#This Row],[Horizontal Offset]]/12</f>
        <v>0</v>
      </c>
      <c r="OJ4" s="276">
        <f>IFERROR(1/Calculations_APPURT[[#This Row],[Brackets]],0) * cv_M/cv_F * Forces_APPURT[[#This Row],[Beta Fai 120]] * Calculations_APPURT[[#This Row],[Horizontal Offset]]/12</f>
        <v>0</v>
      </c>
      <c r="OK4" s="276">
        <f>IFERROR(1/Calculations_APPURT[[#This Row],[Brackets]],0) * cv_M/cv_F * Forces_APPURT[[#This Row],[Beta Fai 135]] * Calculations_APPURT[[#This Row],[Horizontal Offset]]/12</f>
        <v>0</v>
      </c>
      <c r="OL4" s="276">
        <f>IFERROR(1/Calculations_APPURT[[#This Row],[Brackets]],0) * cv_M/cv_F * Forces_APPURT[[#This Row],[Beta Fai 150]] * Calculations_APPURT[[#This Row],[Horizontal Offset]]/12</f>
        <v>0</v>
      </c>
      <c r="OM4" s="276">
        <f>IFERROR(1/Calculations_APPURT[[#This Row],[Brackets]],0) * cv_M/cv_F * Forces_APPURT[[#This Row],[Beta Fai 180]] * Calculations_APPURT[[#This Row],[Horizontal Offset]]/12</f>
        <v>0</v>
      </c>
      <c r="ON4" s="276">
        <f>IFERROR(1/Calculations_APPURT[[#This Row],[Brackets]],0) * cv_M/cv_F * Forces_APPURT[[#This Row],[Beta Fai 210]] * Calculations_APPURT[[#This Row],[Horizontal Offset]]/12</f>
        <v>0</v>
      </c>
      <c r="OO4" s="276">
        <f>IFERROR(1/Calculations_APPURT[[#This Row],[Brackets]],0) * cv_M/cv_F * Forces_APPURT[[#This Row],[Beta Fai 225]] * Calculations_APPURT[[#This Row],[Horizontal Offset]]/12</f>
        <v>0</v>
      </c>
      <c r="OP4" s="276">
        <f>IFERROR(1/Calculations_APPURT[[#This Row],[Brackets]],0) * cv_M/cv_F * Forces_APPURT[[#This Row],[Beta Fai 240]] * Calculations_APPURT[[#This Row],[Horizontal Offset]]/12</f>
        <v>0</v>
      </c>
      <c r="OQ4" s="276">
        <f>IFERROR(1/Calculations_APPURT[[#This Row],[Brackets]],0) * cv_M/cv_F * Forces_APPURT[[#This Row],[Beta Fai 270]] * Calculations_APPURT[[#This Row],[Horizontal Offset]]/12</f>
        <v>0</v>
      </c>
      <c r="OR4" s="276">
        <f>IFERROR(1/Calculations_APPURT[[#This Row],[Brackets]],0) * cv_M/cv_F * Forces_APPURT[[#This Row],[Beta Fai 300]] * Calculations_APPURT[[#This Row],[Horizontal Offset]]/12</f>
        <v>0</v>
      </c>
      <c r="OS4" s="276">
        <f>IFERROR(1/Calculations_APPURT[[#This Row],[Brackets]],0) * cv_M/cv_F * Forces_APPURT[[#This Row],[Beta Fai 315]] * Calculations_APPURT[[#This Row],[Horizontal Offset]]/12</f>
        <v>0</v>
      </c>
      <c r="OT4" s="276">
        <f>IFERROR(1/Calculations_APPURT[[#This Row],[Brackets]],0) * cv_M/cv_F * Forces_APPURT[[#This Row],[Beta Fai 330]] * Calculations_APPURT[[#This Row],[Horizontal Offset]]/12</f>
        <v>0</v>
      </c>
      <c r="OU4" s="338">
        <f>IFERROR(1/Calculations_APPURT[[#This Row],[Brackets]],0) * cv_M/cv_F * Forces_APPURT[[#This Row],[Gamma Fai 0]] * Calculations_APPURT[[#This Row],[Horizontal Offset]]/12</f>
        <v>0</v>
      </c>
      <c r="OV4" s="338">
        <f>IFERROR(1/Calculations_APPURT[[#This Row],[Brackets]],0) * cv_M/cv_F * Forces_APPURT[[#This Row],[Gamma Fai 30]] * Calculations_APPURT[[#This Row],[Horizontal Offset]]/12</f>
        <v>0</v>
      </c>
      <c r="OW4" s="338">
        <f>IFERROR(1/Calculations_APPURT[[#This Row],[Brackets]],0) * cv_M/cv_F * Forces_APPURT[[#This Row],[Gamma Fai 45]] * Calculations_APPURT[[#This Row],[Horizontal Offset]]/12</f>
        <v>0</v>
      </c>
      <c r="OX4" s="338">
        <f>IFERROR(1/Calculations_APPURT[[#This Row],[Brackets]],0) * cv_M/cv_F * Forces_APPURT[[#This Row],[Gamma Fai 60]] * Calculations_APPURT[[#This Row],[Horizontal Offset]]/12</f>
        <v>0</v>
      </c>
      <c r="OY4" s="338">
        <f>IFERROR(1/Calculations_APPURT[[#This Row],[Brackets]],0) * cv_M/cv_F * Forces_APPURT[[#This Row],[Gamma Fai 90]] * Calculations_APPURT[[#This Row],[Horizontal Offset]]/12</f>
        <v>0</v>
      </c>
      <c r="OZ4" s="338">
        <f>IFERROR(1/Calculations_APPURT[[#This Row],[Brackets]],0) * cv_M/cv_F * Forces_APPURT[[#This Row],[Gamma Fai 120]] * Calculations_APPURT[[#This Row],[Horizontal Offset]]/12</f>
        <v>0</v>
      </c>
      <c r="PA4" s="338">
        <f>IFERROR(1/Calculations_APPURT[[#This Row],[Brackets]],0) * cv_M/cv_F * Forces_APPURT[[#This Row],[Gamma Fai 135]] * Calculations_APPURT[[#This Row],[Horizontal Offset]]/12</f>
        <v>0</v>
      </c>
      <c r="PB4" s="338">
        <f>IFERROR(1/Calculations_APPURT[[#This Row],[Brackets]],0) * cv_M/cv_F * Forces_APPURT[[#This Row],[Gamma Fai 150]] * Calculations_APPURT[[#This Row],[Horizontal Offset]]/12</f>
        <v>0</v>
      </c>
      <c r="PC4" s="338">
        <f>IFERROR(1/Calculations_APPURT[[#This Row],[Brackets]],0) * cv_M/cv_F * Forces_APPURT[[#This Row],[Gamma Fai 180]] * Calculations_APPURT[[#This Row],[Horizontal Offset]]/12</f>
        <v>0</v>
      </c>
      <c r="PD4" s="338">
        <f>IFERROR(1/Calculations_APPURT[[#This Row],[Brackets]],0) * cv_M/cv_F * Forces_APPURT[[#This Row],[Gamma Fai 210]] * Calculations_APPURT[[#This Row],[Horizontal Offset]]/12</f>
        <v>0</v>
      </c>
      <c r="PE4" s="338">
        <f>IFERROR(1/Calculations_APPURT[[#This Row],[Brackets]],0) * cv_M/cv_F * Forces_APPURT[[#This Row],[Gamma Fai 225]] * Calculations_APPURT[[#This Row],[Horizontal Offset]]/12</f>
        <v>0</v>
      </c>
      <c r="PF4" s="338">
        <f>IFERROR(1/Calculations_APPURT[[#This Row],[Brackets]],0) * cv_M/cv_F * Forces_APPURT[[#This Row],[Gamma Fai 240]] * Calculations_APPURT[[#This Row],[Horizontal Offset]]/12</f>
        <v>0</v>
      </c>
      <c r="PG4" s="338">
        <f>IFERROR(1/Calculations_APPURT[[#This Row],[Brackets]],0) * cv_M/cv_F * Forces_APPURT[[#This Row],[Gamma Fai 270]] * Calculations_APPURT[[#This Row],[Horizontal Offset]]/12</f>
        <v>0</v>
      </c>
      <c r="PH4" s="338">
        <f>IFERROR(1/Calculations_APPURT[[#This Row],[Brackets]],0) * cv_M/cv_F * Forces_APPURT[[#This Row],[Gamma Fai 300]] * Calculations_APPURT[[#This Row],[Horizontal Offset]]/12</f>
        <v>0</v>
      </c>
      <c r="PI4" s="338">
        <f>IFERROR(1/Calculations_APPURT[[#This Row],[Brackets]],0) * cv_M/cv_F * Forces_APPURT[[#This Row],[Gamma Fai 315]] * Calculations_APPURT[[#This Row],[Horizontal Offset]]/12</f>
        <v>0</v>
      </c>
      <c r="PJ4" s="338">
        <f>IFERROR(1/Calculations_APPURT[[#This Row],[Brackets]],0) * cv_M/cv_F * Forces_APPURT[[#This Row],[Gamma Fai 330]] * Calculations_APPURT[[#This Row],[Horizontal Offset]]/12</f>
        <v>0</v>
      </c>
      <c r="PK4" s="276">
        <f>IFERROR(1/Calculations_APPURT[[#This Row],[Brackets]],0) * cv_M/cv_F * Forces_APPURT[[#This Row],[Delta Fai 0]] * Calculations_APPURT[[#This Row],[Horizontal Offset]]/12</f>
        <v>0</v>
      </c>
      <c r="PL4" s="276">
        <f>IFERROR(1/Calculations_APPURT[[#This Row],[Brackets]],0) * cv_M/cv_F * Forces_APPURT[[#This Row],[Delta Fai 30]] * Calculations_APPURT[[#This Row],[Horizontal Offset]]/12</f>
        <v>0</v>
      </c>
      <c r="PM4" s="276">
        <f>IFERROR(1/Calculations_APPURT[[#This Row],[Brackets]],0) * cv_M/cv_F * Forces_APPURT[[#This Row],[Delta Fai 45]] * Calculations_APPURT[[#This Row],[Horizontal Offset]]/12</f>
        <v>0</v>
      </c>
      <c r="PN4" s="276">
        <f>IFERROR(1/Calculations_APPURT[[#This Row],[Brackets]],0) * cv_M/cv_F * Forces_APPURT[[#This Row],[Delta Fai 60]] * Calculations_APPURT[[#This Row],[Horizontal Offset]]/12</f>
        <v>0</v>
      </c>
      <c r="PO4" s="276">
        <f>IFERROR(1/Calculations_APPURT[[#This Row],[Brackets]],0) * cv_M/cv_F * Forces_APPURT[[#This Row],[Delta Fai 90]] * Calculations_APPURT[[#This Row],[Horizontal Offset]]/12</f>
        <v>0</v>
      </c>
      <c r="PP4" s="276">
        <f>IFERROR(1/Calculations_APPURT[[#This Row],[Brackets]],0) * cv_M/cv_F * Forces_APPURT[[#This Row],[Delta Fai 120]] * Calculations_APPURT[[#This Row],[Horizontal Offset]]/12</f>
        <v>0</v>
      </c>
      <c r="PQ4" s="276">
        <f>IFERROR(1/Calculations_APPURT[[#This Row],[Brackets]],0) * cv_M/cv_F * Forces_APPURT[[#This Row],[Delta Fai 135]] * Calculations_APPURT[[#This Row],[Horizontal Offset]]/12</f>
        <v>0</v>
      </c>
      <c r="PR4" s="276">
        <f>IFERROR(1/Calculations_APPURT[[#This Row],[Brackets]],0) * cv_M/cv_F * Forces_APPURT[[#This Row],[Delta Fai 150]] * Calculations_APPURT[[#This Row],[Horizontal Offset]]/12</f>
        <v>0</v>
      </c>
      <c r="PS4" s="276">
        <f>IFERROR(1/Calculations_APPURT[[#This Row],[Brackets]],0) * cv_M/cv_F * Forces_APPURT[[#This Row],[Delta Fai 180]] * Calculations_APPURT[[#This Row],[Horizontal Offset]]/12</f>
        <v>0</v>
      </c>
      <c r="PT4" s="276">
        <f>IFERROR(1/Calculations_APPURT[[#This Row],[Brackets]],0) * cv_M/cv_F * Forces_APPURT[[#This Row],[Delta Fai 210]] * Calculations_APPURT[[#This Row],[Horizontal Offset]]/12</f>
        <v>0</v>
      </c>
      <c r="PU4" s="276">
        <f>IFERROR(1/Calculations_APPURT[[#This Row],[Brackets]],0) * cv_M/cv_F * Forces_APPURT[[#This Row],[Delta Fai 225]] * Calculations_APPURT[[#This Row],[Horizontal Offset]]/12</f>
        <v>0</v>
      </c>
      <c r="PV4" s="276">
        <f>IFERROR(1/Calculations_APPURT[[#This Row],[Brackets]],0) * cv_M/cv_F * Forces_APPURT[[#This Row],[Delta Fai 240]] * Calculations_APPURT[[#This Row],[Horizontal Offset]]/12</f>
        <v>0</v>
      </c>
      <c r="PW4" s="276">
        <f>IFERROR(1/Calculations_APPURT[[#This Row],[Brackets]],0) * cv_M/cv_F * Forces_APPURT[[#This Row],[Delta Fai 270]] * Calculations_APPURT[[#This Row],[Horizontal Offset]]/12</f>
        <v>0</v>
      </c>
      <c r="PX4" s="276">
        <f>IFERROR(1/Calculations_APPURT[[#This Row],[Brackets]],0) * cv_M/cv_F * Forces_APPURT[[#This Row],[Delta Fai 300]] * Calculations_APPURT[[#This Row],[Horizontal Offset]]/12</f>
        <v>0</v>
      </c>
      <c r="PY4" s="276">
        <f>IFERROR(1/Calculations_APPURT[[#This Row],[Brackets]],0) * cv_M/cv_F * Forces_APPURT[[#This Row],[Delta Fai 315]] * Calculations_APPURT[[#This Row],[Horizontal Offset]]/12</f>
        <v>0</v>
      </c>
      <c r="PZ4" s="276">
        <f>IFERROR(1/Calculations_APPURT[[#This Row],[Brackets]],0) * cv_M/cv_F * Forces_APPURT[[#This Row],[Delta Fai 330]] * Calculations_APPURT[[#This Row],[Horizontal Offset]]/12</f>
        <v>0</v>
      </c>
      <c r="QA4" s="338">
        <f>IFERROR(1/Calculations_APPURT[[#This Row],[Brackets]],0) * cv_M/cv_F * Forces_APPURT[[#This Row],[Alpha Fa 0]] * Calculations_APPURT[[#This Row],[Lateral Offset]]/12</f>
        <v>0</v>
      </c>
      <c r="QB4" s="338">
        <f>IFERROR(1/Calculations_APPURT[[#This Row],[Brackets]],0) * cv_M/cv_F * Forces_APPURT[[#This Row],[Alpha Fa 30]] * Calculations_APPURT[[#This Row],[Lateral Offset]]/12</f>
        <v>0</v>
      </c>
      <c r="QC4" s="338">
        <f>IFERROR(1/Calculations_APPURT[[#This Row],[Brackets]],0) * cv_M/cv_F * Forces_APPURT[[#This Row],[Alpha Fa 45]] * Calculations_APPURT[[#This Row],[Lateral Offset]]/12</f>
        <v>0</v>
      </c>
      <c r="QD4" s="338">
        <f>IFERROR(1/Calculations_APPURT[[#This Row],[Brackets]],0) * cv_M/cv_F * Forces_APPURT[[#This Row],[Alpha Fa 60]] * Calculations_APPURT[[#This Row],[Lateral Offset]]/12</f>
        <v>0</v>
      </c>
      <c r="QE4" s="338">
        <f>IFERROR(1/Calculations_APPURT[[#This Row],[Brackets]],0) * cv_M/cv_F * Forces_APPURT[[#This Row],[Alpha Fa 90]] * Calculations_APPURT[[#This Row],[Lateral Offset]]/12</f>
        <v>0</v>
      </c>
      <c r="QF4" s="338">
        <f>IFERROR(1/Calculations_APPURT[[#This Row],[Brackets]],0) * cv_M/cv_F * Forces_APPURT[[#This Row],[Alpha Fa 120]] * Calculations_APPURT[[#This Row],[Lateral Offset]]/12</f>
        <v>0</v>
      </c>
      <c r="QG4" s="338">
        <f>IFERROR(1/Calculations_APPURT[[#This Row],[Brackets]],0) * cv_M/cv_F * Forces_APPURT[[#This Row],[Alpha Fa 135]] * Calculations_APPURT[[#This Row],[Lateral Offset]]/12</f>
        <v>0</v>
      </c>
      <c r="QH4" s="338">
        <f>IFERROR(1/Calculations_APPURT[[#This Row],[Brackets]],0) * cv_M/cv_F * Forces_APPURT[[#This Row],[Alpha Fa 150]] * Calculations_APPURT[[#This Row],[Lateral Offset]]/12</f>
        <v>0</v>
      </c>
      <c r="QI4" s="338">
        <f>IFERROR(1/Calculations_APPURT[[#This Row],[Brackets]],0) * cv_M/cv_F * Forces_APPURT[[#This Row],[Alpha Fa 180]] * Calculations_APPURT[[#This Row],[Lateral Offset]]/12</f>
        <v>0</v>
      </c>
      <c r="QJ4" s="338">
        <f>IFERROR(1/Calculations_APPURT[[#This Row],[Brackets]],0) * cv_M/cv_F * Forces_APPURT[[#This Row],[Alpha Fa 210]] * Calculations_APPURT[[#This Row],[Lateral Offset]]/12</f>
        <v>0</v>
      </c>
      <c r="QK4" s="338">
        <f>IFERROR(1/Calculations_APPURT[[#This Row],[Brackets]],0) * cv_M/cv_F * Forces_APPURT[[#This Row],[Alpha Fa 225]] * Calculations_APPURT[[#This Row],[Lateral Offset]]/12</f>
        <v>0</v>
      </c>
      <c r="QL4" s="338">
        <f>IFERROR(1/Calculations_APPURT[[#This Row],[Brackets]],0) * cv_M/cv_F * Forces_APPURT[[#This Row],[Alpha Fa 240]] * Calculations_APPURT[[#This Row],[Lateral Offset]]/12</f>
        <v>0</v>
      </c>
      <c r="QM4" s="338">
        <f>IFERROR(1/Calculations_APPURT[[#This Row],[Brackets]],0) * cv_M/cv_F * Forces_APPURT[[#This Row],[Alpha Fa 270]] * Calculations_APPURT[[#This Row],[Lateral Offset]]/12</f>
        <v>0</v>
      </c>
      <c r="QN4" s="338">
        <f>IFERROR(1/Calculations_APPURT[[#This Row],[Brackets]],0) * cv_M/cv_F * Forces_APPURT[[#This Row],[Alpha Fa 300]] * Calculations_APPURT[[#This Row],[Lateral Offset]]/12</f>
        <v>0</v>
      </c>
      <c r="QO4" s="338">
        <f>IFERROR(1/Calculations_APPURT[[#This Row],[Brackets]],0) * cv_M/cv_F * Forces_APPURT[[#This Row],[Alpha Fa 315]] * Calculations_APPURT[[#This Row],[Lateral Offset]]/12</f>
        <v>0</v>
      </c>
      <c r="QP4" s="338">
        <f>IFERROR(1/Calculations_APPURT[[#This Row],[Brackets]],0) * cv_M/cv_F * Forces_APPURT[[#This Row],[Alpha Fa 330]] * Calculations_APPURT[[#This Row],[Lateral Offset]]/12</f>
        <v>0</v>
      </c>
      <c r="QQ4" s="276">
        <f>IFERROR(1/Calculations_APPURT[[#This Row],[Brackets]],0) * cv_M/cv_F * Forces_APPURT[[#This Row],[Beta Fa 0]] * Calculations_APPURT[[#This Row],[Lateral Offset]]/12</f>
        <v>0</v>
      </c>
      <c r="QR4" s="276">
        <f>IFERROR(1/Calculations_APPURT[[#This Row],[Brackets]],0) * cv_M/cv_F * Forces_APPURT[[#This Row],[Beta Fa 30]] * Calculations_APPURT[[#This Row],[Lateral Offset]]/12</f>
        <v>0</v>
      </c>
      <c r="QS4" s="276">
        <f>IFERROR(1/Calculations_APPURT[[#This Row],[Brackets]],0) * cv_M/cv_F * Forces_APPURT[[#This Row],[Beta Fa 45]] * Calculations_APPURT[[#This Row],[Lateral Offset]]/12</f>
        <v>0</v>
      </c>
      <c r="QT4" s="276">
        <f>IFERROR(1/Calculations_APPURT[[#This Row],[Brackets]],0) * cv_M/cv_F * Forces_APPURT[[#This Row],[Beta Fa 60]] * Calculations_APPURT[[#This Row],[Lateral Offset]]/12</f>
        <v>0</v>
      </c>
      <c r="QU4" s="276">
        <f>IFERROR(1/Calculations_APPURT[[#This Row],[Brackets]],0) * cv_M/cv_F * Forces_APPURT[[#This Row],[Beta Fa 90]] * Calculations_APPURT[[#This Row],[Lateral Offset]]/12</f>
        <v>0</v>
      </c>
      <c r="QV4" s="276">
        <f>IFERROR(1/Calculations_APPURT[[#This Row],[Brackets]],0) * cv_M/cv_F * Forces_APPURT[[#This Row],[Beta Fa 120]] * Calculations_APPURT[[#This Row],[Lateral Offset]]/12</f>
        <v>0</v>
      </c>
      <c r="QW4" s="276">
        <f>IFERROR(1/Calculations_APPURT[[#This Row],[Brackets]],0) * cv_M/cv_F * Forces_APPURT[[#This Row],[Beta Fa 135]] * Calculations_APPURT[[#This Row],[Lateral Offset]]/12</f>
        <v>0</v>
      </c>
      <c r="QX4" s="276">
        <f>IFERROR(1/Calculations_APPURT[[#This Row],[Brackets]],0) * cv_M/cv_F * Forces_APPURT[[#This Row],[Beta Fa 150]] * Calculations_APPURT[[#This Row],[Lateral Offset]]/12</f>
        <v>0</v>
      </c>
      <c r="QY4" s="276">
        <f>IFERROR(1/Calculations_APPURT[[#This Row],[Brackets]],0) * cv_M/cv_F * Forces_APPURT[[#This Row],[Beta Fa 180]] * Calculations_APPURT[[#This Row],[Lateral Offset]]/12</f>
        <v>0</v>
      </c>
      <c r="QZ4" s="276">
        <f>IFERROR(1/Calculations_APPURT[[#This Row],[Brackets]],0) * cv_M/cv_F * Forces_APPURT[[#This Row],[Beta Fa 210]] * Calculations_APPURT[[#This Row],[Lateral Offset]]/12</f>
        <v>0</v>
      </c>
      <c r="RA4" s="276">
        <f>IFERROR(1/Calculations_APPURT[[#This Row],[Brackets]],0) * cv_M/cv_F * Forces_APPURT[[#This Row],[Beta Fa 225]] * Calculations_APPURT[[#This Row],[Lateral Offset]]/12</f>
        <v>0</v>
      </c>
      <c r="RB4" s="276">
        <f>IFERROR(1/Calculations_APPURT[[#This Row],[Brackets]],0) * cv_M/cv_F * Forces_APPURT[[#This Row],[Beta Fa 240]] * Calculations_APPURT[[#This Row],[Lateral Offset]]/12</f>
        <v>0</v>
      </c>
      <c r="RC4" s="276">
        <f>IFERROR(1/Calculations_APPURT[[#This Row],[Brackets]],0) * cv_M/cv_F * Forces_APPURT[[#This Row],[Beta Fa 270]] * Calculations_APPURT[[#This Row],[Lateral Offset]]/12</f>
        <v>0</v>
      </c>
      <c r="RD4" s="276">
        <f>IFERROR(1/Calculations_APPURT[[#This Row],[Brackets]],0) * cv_M/cv_F * Forces_APPURT[[#This Row],[Beta Fa 300]] * Calculations_APPURT[[#This Row],[Lateral Offset]]/12</f>
        <v>0</v>
      </c>
      <c r="RE4" s="276">
        <f>IFERROR(1/Calculations_APPURT[[#This Row],[Brackets]],0) * cv_M/cv_F * Forces_APPURT[[#This Row],[Beta Fa 315]] * Calculations_APPURT[[#This Row],[Lateral Offset]]/12</f>
        <v>0</v>
      </c>
      <c r="RF4" s="276">
        <f>IFERROR(1/Calculations_APPURT[[#This Row],[Brackets]],0) * cv_M/cv_F * Forces_APPURT[[#This Row],[Beta Fa 330]] * Calculations_APPURT[[#This Row],[Lateral Offset]]/12</f>
        <v>0</v>
      </c>
      <c r="RG4" s="338">
        <f>IFERROR(1/Calculations_APPURT[[#This Row],[Brackets]],0) * cv_M/cv_F * Forces_APPURT[[#This Row],[Gamma Fa 0]] * Calculations_APPURT[[#This Row],[Lateral Offset]]/12</f>
        <v>0</v>
      </c>
      <c r="RH4" s="338">
        <f>IFERROR(1/Calculations_APPURT[[#This Row],[Brackets]],0) * cv_M/cv_F * Forces_APPURT[[#This Row],[Gamma Fa 30]] * Calculations_APPURT[[#This Row],[Lateral Offset]]/12</f>
        <v>0</v>
      </c>
      <c r="RI4" s="338">
        <f>IFERROR(1/Calculations_APPURT[[#This Row],[Brackets]],0) * cv_M/cv_F * Forces_APPURT[[#This Row],[Gamma Fa 45]] * Calculations_APPURT[[#This Row],[Lateral Offset]]/12</f>
        <v>0</v>
      </c>
      <c r="RJ4" s="338">
        <f>IFERROR(1/Calculations_APPURT[[#This Row],[Brackets]],0) * cv_M/cv_F * Forces_APPURT[[#This Row],[Gamma Fa 60]] * Calculations_APPURT[[#This Row],[Lateral Offset]]/12</f>
        <v>0</v>
      </c>
      <c r="RK4" s="338">
        <f>IFERROR(1/Calculations_APPURT[[#This Row],[Brackets]],0) * cv_M/cv_F * Forces_APPURT[[#This Row],[Gamma Fa 90]] * Calculations_APPURT[[#This Row],[Lateral Offset]]/12</f>
        <v>0</v>
      </c>
      <c r="RL4" s="338">
        <f>IFERROR(1/Calculations_APPURT[[#This Row],[Brackets]],0) * cv_M/cv_F * Forces_APPURT[[#This Row],[Gamma Fa 120]] * Calculations_APPURT[[#This Row],[Lateral Offset]]/12</f>
        <v>0</v>
      </c>
      <c r="RM4" s="338">
        <f>IFERROR(1/Calculations_APPURT[[#This Row],[Brackets]],0) * cv_M/cv_F * Forces_APPURT[[#This Row],[Gamma Fa 135]] * Calculations_APPURT[[#This Row],[Lateral Offset]]/12</f>
        <v>0</v>
      </c>
      <c r="RN4" s="338">
        <f>IFERROR(1/Calculations_APPURT[[#This Row],[Brackets]],0) * cv_M/cv_F * Forces_APPURT[[#This Row],[Gamma Fa 150]] * Calculations_APPURT[[#This Row],[Lateral Offset]]/12</f>
        <v>0</v>
      </c>
      <c r="RO4" s="338">
        <f>IFERROR(1/Calculations_APPURT[[#This Row],[Brackets]],0) * cv_M/cv_F * Forces_APPURT[[#This Row],[Gamma Fa 180]] * Calculations_APPURT[[#This Row],[Lateral Offset]]/12</f>
        <v>0</v>
      </c>
      <c r="RP4" s="338">
        <f>IFERROR(1/Calculations_APPURT[[#This Row],[Brackets]],0) * cv_M/cv_F * Forces_APPURT[[#This Row],[Gamma Fa 210]] * Calculations_APPURT[[#This Row],[Lateral Offset]]/12</f>
        <v>0</v>
      </c>
      <c r="RQ4" s="338">
        <f>IFERROR(1/Calculations_APPURT[[#This Row],[Brackets]],0) * cv_M/cv_F * Forces_APPURT[[#This Row],[Gamma Fa 225]] * Calculations_APPURT[[#This Row],[Lateral Offset]]/12</f>
        <v>0</v>
      </c>
      <c r="RR4" s="338">
        <f>IFERROR(1/Calculations_APPURT[[#This Row],[Brackets]],0) * cv_M/cv_F * Forces_APPURT[[#This Row],[Gamma Fa 240]] * Calculations_APPURT[[#This Row],[Lateral Offset]]/12</f>
        <v>0</v>
      </c>
      <c r="RS4" s="338">
        <f>IFERROR(1/Calculations_APPURT[[#This Row],[Brackets]],0) * cv_M/cv_F * Forces_APPURT[[#This Row],[Gamma Fa 270]] * Calculations_APPURT[[#This Row],[Lateral Offset]]/12</f>
        <v>0</v>
      </c>
      <c r="RT4" s="338">
        <f>IFERROR(1/Calculations_APPURT[[#This Row],[Brackets]],0) * cv_M/cv_F * Forces_APPURT[[#This Row],[Gamma Fa 300]] * Calculations_APPURT[[#This Row],[Lateral Offset]]/12</f>
        <v>0</v>
      </c>
      <c r="RU4" s="338">
        <f>IFERROR(1/Calculations_APPURT[[#This Row],[Brackets]],0) * cv_M/cv_F * Forces_APPURT[[#This Row],[Gamma Fa 315]] * Calculations_APPURT[[#This Row],[Lateral Offset]]/12</f>
        <v>0</v>
      </c>
      <c r="RV4" s="338">
        <f>IFERROR(1/Calculations_APPURT[[#This Row],[Brackets]],0) * cv_M/cv_F * Forces_APPURT[[#This Row],[Gamma Fa 330]] * Calculations_APPURT[[#This Row],[Lateral Offset]]/12</f>
        <v>0</v>
      </c>
      <c r="RW4" s="276">
        <f>IFERROR(1/Calculations_APPURT[[#This Row],[Brackets]],0) * cv_M/cv_F * Forces_APPURT[[#This Row],[Delta Fa 0]] * Calculations_APPURT[[#This Row],[Lateral Offset]]/12</f>
        <v>0</v>
      </c>
      <c r="RX4" s="276">
        <f>IFERROR(1/Calculations_APPURT[[#This Row],[Brackets]],0) * cv_M/cv_F * Forces_APPURT[[#This Row],[Delta Fa 30]] * Calculations_APPURT[[#This Row],[Lateral Offset]]/12</f>
        <v>0</v>
      </c>
      <c r="RY4" s="276">
        <f>IFERROR(1/Calculations_APPURT[[#This Row],[Brackets]],0) * cv_M/cv_F * Forces_APPURT[[#This Row],[Delta Fa 45]] * Calculations_APPURT[[#This Row],[Lateral Offset]]/12</f>
        <v>0</v>
      </c>
      <c r="RZ4" s="276">
        <f>IFERROR(1/Calculations_APPURT[[#This Row],[Brackets]],0) * cv_M/cv_F * Forces_APPURT[[#This Row],[Delta Fa 60]] * Calculations_APPURT[[#This Row],[Lateral Offset]]/12</f>
        <v>0</v>
      </c>
      <c r="SA4" s="276">
        <f>IFERROR(1/Calculations_APPURT[[#This Row],[Brackets]],0) * cv_M/cv_F * Forces_APPURT[[#This Row],[Delta Fa 90]] * Calculations_APPURT[[#This Row],[Lateral Offset]]/12</f>
        <v>0</v>
      </c>
      <c r="SB4" s="276">
        <f>IFERROR(1/Calculations_APPURT[[#This Row],[Brackets]],0) * cv_M/cv_F * Forces_APPURT[[#This Row],[Delta Fa 120]] * Calculations_APPURT[[#This Row],[Lateral Offset]]/12</f>
        <v>0</v>
      </c>
      <c r="SC4" s="276">
        <f>IFERROR(1/Calculations_APPURT[[#This Row],[Brackets]],0) * cv_M/cv_F * Forces_APPURT[[#This Row],[Delta Fa 135]] * Calculations_APPURT[[#This Row],[Lateral Offset]]/12</f>
        <v>0</v>
      </c>
      <c r="SD4" s="276">
        <f>IFERROR(1/Calculations_APPURT[[#This Row],[Brackets]],0) * cv_M/cv_F * Forces_APPURT[[#This Row],[Delta Fa 150]] * Calculations_APPURT[[#This Row],[Lateral Offset]]/12</f>
        <v>0</v>
      </c>
      <c r="SE4" s="276">
        <f>IFERROR(1/Calculations_APPURT[[#This Row],[Brackets]],0) * cv_M/cv_F * Forces_APPURT[[#This Row],[Delta Fa 180]] * Calculations_APPURT[[#This Row],[Lateral Offset]]/12</f>
        <v>0</v>
      </c>
      <c r="SF4" s="276">
        <f>IFERROR(1/Calculations_APPURT[[#This Row],[Brackets]],0) * cv_M/cv_F * Forces_APPURT[[#This Row],[Delta Fa 210]] * Calculations_APPURT[[#This Row],[Lateral Offset]]/12</f>
        <v>0</v>
      </c>
      <c r="SG4" s="276">
        <f>IFERROR(1/Calculations_APPURT[[#This Row],[Brackets]],0) * cv_M/cv_F * Forces_APPURT[[#This Row],[Delta Fa 225]] * Calculations_APPURT[[#This Row],[Lateral Offset]]/12</f>
        <v>0</v>
      </c>
      <c r="SH4" s="276">
        <f>IFERROR(1/Calculations_APPURT[[#This Row],[Brackets]],0) * cv_M/cv_F * Forces_APPURT[[#This Row],[Delta Fa 240]] * Calculations_APPURT[[#This Row],[Lateral Offset]]/12</f>
        <v>0</v>
      </c>
      <c r="SI4" s="276">
        <f>IFERROR(1/Calculations_APPURT[[#This Row],[Brackets]],0) * cv_M/cv_F * Forces_APPURT[[#This Row],[Delta Fa 270]] * Calculations_APPURT[[#This Row],[Lateral Offset]]/12</f>
        <v>0</v>
      </c>
      <c r="SJ4" s="276">
        <f>IFERROR(1/Calculations_APPURT[[#This Row],[Brackets]],0) * cv_M/cv_F * Forces_APPURT[[#This Row],[Delta Fa 300]] * Calculations_APPURT[[#This Row],[Lateral Offset]]/12</f>
        <v>0</v>
      </c>
      <c r="SK4" s="276">
        <f>IFERROR(1/Calculations_APPURT[[#This Row],[Brackets]],0) * cv_M/cv_F * Forces_APPURT[[#This Row],[Delta Fa 315]] * Calculations_APPURT[[#This Row],[Lateral Offset]]/12</f>
        <v>0</v>
      </c>
      <c r="SL4" s="276">
        <f>IFERROR(1/Calculations_APPURT[[#This Row],[Brackets]],0) * cv_M/cv_F * Forces_APPURT[[#This Row],[Delta Fa 330]] * Calculations_APPURT[[#This Row],[Lateral Offset]]/12</f>
        <v>0</v>
      </c>
      <c r="SM4" s="338">
        <f>IFERROR(1/Calculations_APPURT[[#This Row],[Brackets]],0) * cv_M/cv_F * Forces_APPURT[[#This Row],[Alpha Fai 0]] * Calculations_APPURT[[#This Row],[Lateral Offset]]/12</f>
        <v>0</v>
      </c>
      <c r="SN4" s="338">
        <f>IFERROR(1/Calculations_APPURT[[#This Row],[Brackets]],0) * cv_M/cv_F * Forces_APPURT[[#This Row],[Alpha Fai 30]] * Calculations_APPURT[[#This Row],[Lateral Offset]]/12</f>
        <v>0</v>
      </c>
      <c r="SO4" s="338">
        <f>IFERROR(1/Calculations_APPURT[[#This Row],[Brackets]],0) * cv_M/cv_F * Forces_APPURT[[#This Row],[Alpha Fai 45]] * Calculations_APPURT[[#This Row],[Lateral Offset]]/12</f>
        <v>0</v>
      </c>
      <c r="SP4" s="338">
        <f>IFERROR(1/Calculations_APPURT[[#This Row],[Brackets]],0) * cv_M/cv_F * Forces_APPURT[[#This Row],[Alpha Fai 60]] * Calculations_APPURT[[#This Row],[Lateral Offset]]/12</f>
        <v>0</v>
      </c>
      <c r="SQ4" s="338">
        <f>IFERROR(1/Calculations_APPURT[[#This Row],[Brackets]],0) * cv_M/cv_F * Forces_APPURT[[#This Row],[Alpha Fai 90]] * Calculations_APPURT[[#This Row],[Lateral Offset]]/12</f>
        <v>0</v>
      </c>
      <c r="SR4" s="338">
        <f>IFERROR(1/Calculations_APPURT[[#This Row],[Brackets]],0) * cv_M/cv_F * Forces_APPURT[[#This Row],[Alpha Fai 120]] * Calculations_APPURT[[#This Row],[Lateral Offset]]/12</f>
        <v>0</v>
      </c>
      <c r="SS4" s="338">
        <f>IFERROR(1/Calculations_APPURT[[#This Row],[Brackets]],0) * cv_M/cv_F * Forces_APPURT[[#This Row],[Alpha Fai 135]] * Calculations_APPURT[[#This Row],[Lateral Offset]]/12</f>
        <v>0</v>
      </c>
      <c r="ST4" s="338">
        <f>IFERROR(1/Calculations_APPURT[[#This Row],[Brackets]],0) * cv_M/cv_F * Forces_APPURT[[#This Row],[Alpha Fai 150]] * Calculations_APPURT[[#This Row],[Lateral Offset]]/12</f>
        <v>0</v>
      </c>
      <c r="SU4" s="338">
        <f>IFERROR(1/Calculations_APPURT[[#This Row],[Brackets]],0) * cv_M/cv_F * Forces_APPURT[[#This Row],[Alpha Fai 180]] * Calculations_APPURT[[#This Row],[Lateral Offset]]/12</f>
        <v>0</v>
      </c>
      <c r="SV4" s="338">
        <f>IFERROR(1/Calculations_APPURT[[#This Row],[Brackets]],0) * cv_M/cv_F * Forces_APPURT[[#This Row],[Alpha Fai 210]] * Calculations_APPURT[[#This Row],[Lateral Offset]]/12</f>
        <v>0</v>
      </c>
      <c r="SW4" s="338">
        <f>IFERROR(1/Calculations_APPURT[[#This Row],[Brackets]],0) * cv_M/cv_F * Forces_APPURT[[#This Row],[Alpha Fai 225]] * Calculations_APPURT[[#This Row],[Lateral Offset]]/12</f>
        <v>0</v>
      </c>
      <c r="SX4" s="338">
        <f>IFERROR(1/Calculations_APPURT[[#This Row],[Brackets]],0) * cv_M/cv_F * Forces_APPURT[[#This Row],[Alpha Fai 240]] * Calculations_APPURT[[#This Row],[Lateral Offset]]/12</f>
        <v>0</v>
      </c>
      <c r="SY4" s="338">
        <f>IFERROR(1/Calculations_APPURT[[#This Row],[Brackets]],0) * cv_M/cv_F * Forces_APPURT[[#This Row],[Alpha Fai 270]] * Calculations_APPURT[[#This Row],[Lateral Offset]]/12</f>
        <v>0</v>
      </c>
      <c r="SZ4" s="338">
        <f>IFERROR(1/Calculations_APPURT[[#This Row],[Brackets]],0) * cv_M/cv_F * Forces_APPURT[[#This Row],[Alpha Fai 300]] * Calculations_APPURT[[#This Row],[Lateral Offset]]/12</f>
        <v>0</v>
      </c>
      <c r="TA4" s="338">
        <f>IFERROR(1/Calculations_APPURT[[#This Row],[Brackets]],0) * cv_M/cv_F * Forces_APPURT[[#This Row],[Alpha Fai 315]] * Calculations_APPURT[[#This Row],[Lateral Offset]]/12</f>
        <v>0</v>
      </c>
      <c r="TB4" s="338">
        <f>IFERROR(1/Calculations_APPURT[[#This Row],[Brackets]],0) * cv_M/cv_F * Forces_APPURT[[#This Row],[Alpha Fai 330]] * Calculations_APPURT[[#This Row],[Lateral Offset]]/12</f>
        <v>0</v>
      </c>
      <c r="TC4" s="276">
        <f>IFERROR(1/Calculations_APPURT[[#This Row],[Brackets]],0) * cv_M/cv_F * Forces_APPURT[[#This Row],[Beta Fai 0]] * Calculations_APPURT[[#This Row],[Lateral Offset]]/12</f>
        <v>0</v>
      </c>
      <c r="TD4" s="276">
        <f>IFERROR(1/Calculations_APPURT[[#This Row],[Brackets]],0) * cv_M/cv_F * Forces_APPURT[[#This Row],[Beta Fai 30]] * Calculations_APPURT[[#This Row],[Lateral Offset]]/12</f>
        <v>0</v>
      </c>
      <c r="TE4" s="276">
        <f>IFERROR(1/Calculations_APPURT[[#This Row],[Brackets]],0) * cv_M/cv_F * Forces_APPURT[[#This Row],[Beta Fai 45]] * Calculations_APPURT[[#This Row],[Lateral Offset]]/12</f>
        <v>0</v>
      </c>
      <c r="TF4" s="276">
        <f>IFERROR(1/Calculations_APPURT[[#This Row],[Brackets]],0) * cv_M/cv_F * Forces_APPURT[[#This Row],[Beta Fai 60]] * Calculations_APPURT[[#This Row],[Lateral Offset]]/12</f>
        <v>0</v>
      </c>
      <c r="TG4" s="276">
        <f>IFERROR(1/Calculations_APPURT[[#This Row],[Brackets]],0) * cv_M/cv_F * Forces_APPURT[[#This Row],[Beta Fai 90]] * Calculations_APPURT[[#This Row],[Lateral Offset]]/12</f>
        <v>0</v>
      </c>
      <c r="TH4" s="276">
        <f>IFERROR(1/Calculations_APPURT[[#This Row],[Brackets]],0) * cv_M/cv_F * Forces_APPURT[[#This Row],[Beta Fai 120]] * Calculations_APPURT[[#This Row],[Lateral Offset]]/12</f>
        <v>0</v>
      </c>
      <c r="TI4" s="276">
        <f>IFERROR(1/Calculations_APPURT[[#This Row],[Brackets]],0) * cv_M/cv_F * Forces_APPURT[[#This Row],[Beta Fai 135]] * Calculations_APPURT[[#This Row],[Lateral Offset]]/12</f>
        <v>0</v>
      </c>
      <c r="TJ4" s="276">
        <f>IFERROR(1/Calculations_APPURT[[#This Row],[Brackets]],0) * cv_M/cv_F * Forces_APPURT[[#This Row],[Beta Fai 150]] * Calculations_APPURT[[#This Row],[Lateral Offset]]/12</f>
        <v>0</v>
      </c>
      <c r="TK4" s="276">
        <f>IFERROR(1/Calculations_APPURT[[#This Row],[Brackets]],0) * cv_M/cv_F * Forces_APPURT[[#This Row],[Beta Fai 180]] * Calculations_APPURT[[#This Row],[Lateral Offset]]/12</f>
        <v>0</v>
      </c>
      <c r="TL4" s="276">
        <f>IFERROR(1/Calculations_APPURT[[#This Row],[Brackets]],0) * cv_M/cv_F * Forces_APPURT[[#This Row],[Beta Fai 210]] * Calculations_APPURT[[#This Row],[Lateral Offset]]/12</f>
        <v>0</v>
      </c>
      <c r="TM4" s="276">
        <f>IFERROR(1/Calculations_APPURT[[#This Row],[Brackets]],0) * cv_M/cv_F * Forces_APPURT[[#This Row],[Beta Fai 225]] * Calculations_APPURT[[#This Row],[Lateral Offset]]/12</f>
        <v>0</v>
      </c>
      <c r="TN4" s="276">
        <f>IFERROR(1/Calculations_APPURT[[#This Row],[Brackets]],0) * cv_M/cv_F * Forces_APPURT[[#This Row],[Beta Fai 240]] * Calculations_APPURT[[#This Row],[Lateral Offset]]/12</f>
        <v>0</v>
      </c>
      <c r="TO4" s="276">
        <f>IFERROR(1/Calculations_APPURT[[#This Row],[Brackets]],0) * cv_M/cv_F * Forces_APPURT[[#This Row],[Beta Fai 270]] * Calculations_APPURT[[#This Row],[Lateral Offset]]/12</f>
        <v>0</v>
      </c>
      <c r="TP4" s="276">
        <f>IFERROR(1/Calculations_APPURT[[#This Row],[Brackets]],0) * cv_M/cv_F * Forces_APPURT[[#This Row],[Beta Fai 300]] * Calculations_APPURT[[#This Row],[Lateral Offset]]/12</f>
        <v>0</v>
      </c>
      <c r="TQ4" s="276">
        <f>IFERROR(1/Calculations_APPURT[[#This Row],[Brackets]],0) * cv_M/cv_F * Forces_APPURT[[#This Row],[Beta Fai 315]] * Calculations_APPURT[[#This Row],[Lateral Offset]]/12</f>
        <v>0</v>
      </c>
      <c r="TR4" s="276">
        <f>IFERROR(1/Calculations_APPURT[[#This Row],[Brackets]],0) * cv_M/cv_F * Forces_APPURT[[#This Row],[Beta Fai 330]] * Calculations_APPURT[[#This Row],[Lateral Offset]]/12</f>
        <v>0</v>
      </c>
      <c r="TS4" s="338">
        <f>IFERROR(1/Calculations_APPURT[[#This Row],[Brackets]],0) * cv_M/cv_F * Forces_APPURT[[#This Row],[Gamma Fai 0]] * Calculations_APPURT[[#This Row],[Lateral Offset]]/12</f>
        <v>0</v>
      </c>
      <c r="TT4" s="338">
        <f>IFERROR(1/Calculations_APPURT[[#This Row],[Brackets]],0) * cv_M/cv_F * Forces_APPURT[[#This Row],[Gamma Fai 30]] * Calculations_APPURT[[#This Row],[Lateral Offset]]/12</f>
        <v>0</v>
      </c>
      <c r="TU4" s="338">
        <f>IFERROR(1/Calculations_APPURT[[#This Row],[Brackets]],0) * cv_M/cv_F * Forces_APPURT[[#This Row],[Gamma Fai 45]] * Calculations_APPURT[[#This Row],[Lateral Offset]]/12</f>
        <v>0</v>
      </c>
      <c r="TV4" s="338">
        <f>IFERROR(1/Calculations_APPURT[[#This Row],[Brackets]],0) * cv_M/cv_F * Forces_APPURT[[#This Row],[Gamma Fai 60]] * Calculations_APPURT[[#This Row],[Lateral Offset]]/12</f>
        <v>0</v>
      </c>
      <c r="TW4" s="338">
        <f>IFERROR(1/Calculations_APPURT[[#This Row],[Brackets]],0) * cv_M/cv_F * Forces_APPURT[[#This Row],[Gamma Fai 90]] * Calculations_APPURT[[#This Row],[Lateral Offset]]/12</f>
        <v>0</v>
      </c>
      <c r="TX4" s="338">
        <f>IFERROR(1/Calculations_APPURT[[#This Row],[Brackets]],0) * cv_M/cv_F * Forces_APPURT[[#This Row],[Gamma Fai 120]] * Calculations_APPURT[[#This Row],[Lateral Offset]]/12</f>
        <v>0</v>
      </c>
      <c r="TY4" s="338">
        <f>IFERROR(1/Calculations_APPURT[[#This Row],[Brackets]],0) * cv_M/cv_F * Forces_APPURT[[#This Row],[Gamma Fai 135]] * Calculations_APPURT[[#This Row],[Lateral Offset]]/12</f>
        <v>0</v>
      </c>
      <c r="TZ4" s="338">
        <f>IFERROR(1/Calculations_APPURT[[#This Row],[Brackets]],0) * cv_M/cv_F * Forces_APPURT[[#This Row],[Gamma Fai 150]] * Calculations_APPURT[[#This Row],[Lateral Offset]]/12</f>
        <v>0</v>
      </c>
      <c r="UA4" s="338">
        <f>IFERROR(1/Calculations_APPURT[[#This Row],[Brackets]],0) * cv_M/cv_F * Forces_APPURT[[#This Row],[Gamma Fai 180]] * Calculations_APPURT[[#This Row],[Lateral Offset]]/12</f>
        <v>0</v>
      </c>
      <c r="UB4" s="338">
        <f>IFERROR(1/Calculations_APPURT[[#This Row],[Brackets]],0) * cv_M/cv_F * Forces_APPURT[[#This Row],[Gamma Fai 210]] * Calculations_APPURT[[#This Row],[Lateral Offset]]/12</f>
        <v>0</v>
      </c>
      <c r="UC4" s="338">
        <f>IFERROR(1/Calculations_APPURT[[#This Row],[Brackets]],0) * cv_M/cv_F * Forces_APPURT[[#This Row],[Gamma Fai 225]] * Calculations_APPURT[[#This Row],[Lateral Offset]]/12</f>
        <v>0</v>
      </c>
      <c r="UD4" s="338">
        <f>IFERROR(1/Calculations_APPURT[[#This Row],[Brackets]],0) * cv_M/cv_F * Forces_APPURT[[#This Row],[Gamma Fai 240]] * Calculations_APPURT[[#This Row],[Lateral Offset]]/12</f>
        <v>0</v>
      </c>
      <c r="UE4" s="338">
        <f>IFERROR(1/Calculations_APPURT[[#This Row],[Brackets]],0) * cv_M/cv_F * Forces_APPURT[[#This Row],[Gamma Fai 270]] * Calculations_APPURT[[#This Row],[Lateral Offset]]/12</f>
        <v>0</v>
      </c>
      <c r="UF4" s="338">
        <f>IFERROR(1/Calculations_APPURT[[#This Row],[Brackets]],0) * cv_M/cv_F * Forces_APPURT[[#This Row],[Gamma Fai 300]] * Calculations_APPURT[[#This Row],[Lateral Offset]]/12</f>
        <v>0</v>
      </c>
      <c r="UG4" s="338">
        <f>IFERROR(1/Calculations_APPURT[[#This Row],[Brackets]],0) * cv_M/cv_F * Forces_APPURT[[#This Row],[Gamma Fai 315]] * Calculations_APPURT[[#This Row],[Lateral Offset]]/12</f>
        <v>0</v>
      </c>
      <c r="UH4" s="338">
        <f>IFERROR(1/Calculations_APPURT[[#This Row],[Brackets]],0) * cv_M/cv_F * Forces_APPURT[[#This Row],[Gamma Fai 330]] * Calculations_APPURT[[#This Row],[Lateral Offset]]/12</f>
        <v>0</v>
      </c>
      <c r="UI4" s="276">
        <f>IFERROR(1/Calculations_APPURT[[#This Row],[Brackets]],0) * cv_M/cv_F * Forces_APPURT[[#This Row],[Delta Fai 0]] * Calculations_APPURT[[#This Row],[Lateral Offset]]/12</f>
        <v>0</v>
      </c>
      <c r="UJ4" s="276">
        <f>IFERROR(1/Calculations_APPURT[[#This Row],[Brackets]],0) * cv_M/cv_F * Forces_APPURT[[#This Row],[Delta Fai 30]] * Calculations_APPURT[[#This Row],[Lateral Offset]]/12</f>
        <v>0</v>
      </c>
      <c r="UK4" s="276">
        <f>IFERROR(1/Calculations_APPURT[[#This Row],[Brackets]],0) * cv_M/cv_F * Forces_APPURT[[#This Row],[Delta Fai 45]] * Calculations_APPURT[[#This Row],[Lateral Offset]]/12</f>
        <v>0</v>
      </c>
      <c r="UL4" s="276">
        <f>IFERROR(1/Calculations_APPURT[[#This Row],[Brackets]],0) * cv_M/cv_F * Forces_APPURT[[#This Row],[Delta Fai 60]] * Calculations_APPURT[[#This Row],[Lateral Offset]]/12</f>
        <v>0</v>
      </c>
      <c r="UM4" s="276">
        <f>IFERROR(1/Calculations_APPURT[[#This Row],[Brackets]],0) * cv_M/cv_F * Forces_APPURT[[#This Row],[Delta Fai 90]] * Calculations_APPURT[[#This Row],[Lateral Offset]]/12</f>
        <v>0</v>
      </c>
      <c r="UN4" s="276">
        <f>IFERROR(1/Calculations_APPURT[[#This Row],[Brackets]],0) * cv_M/cv_F * Forces_APPURT[[#This Row],[Delta Fai 120]] * Calculations_APPURT[[#This Row],[Lateral Offset]]/12</f>
        <v>0</v>
      </c>
      <c r="UO4" s="276">
        <f>IFERROR(1/Calculations_APPURT[[#This Row],[Brackets]],0) * cv_M/cv_F * Forces_APPURT[[#This Row],[Delta Fai 135]] * Calculations_APPURT[[#This Row],[Lateral Offset]]/12</f>
        <v>0</v>
      </c>
      <c r="UP4" s="276">
        <f>IFERROR(1/Calculations_APPURT[[#This Row],[Brackets]],0) * cv_M/cv_F * Forces_APPURT[[#This Row],[Delta Fai 150]] * Calculations_APPURT[[#This Row],[Lateral Offset]]/12</f>
        <v>0</v>
      </c>
      <c r="UQ4" s="276">
        <f>IFERROR(1/Calculations_APPURT[[#This Row],[Brackets]],0) * cv_M/cv_F * Forces_APPURT[[#This Row],[Delta Fai 180]] * Calculations_APPURT[[#This Row],[Lateral Offset]]/12</f>
        <v>0</v>
      </c>
      <c r="UR4" s="276">
        <f>IFERROR(1/Calculations_APPURT[[#This Row],[Brackets]],0) * cv_M/cv_F * Forces_APPURT[[#This Row],[Delta Fai 210]] * Calculations_APPURT[[#This Row],[Lateral Offset]]/12</f>
        <v>0</v>
      </c>
      <c r="US4" s="276">
        <f>IFERROR(1/Calculations_APPURT[[#This Row],[Brackets]],0) * cv_M/cv_F * Forces_APPURT[[#This Row],[Delta Fai 225]] * Calculations_APPURT[[#This Row],[Lateral Offset]]/12</f>
        <v>0</v>
      </c>
      <c r="UT4" s="276">
        <f>IFERROR(1/Calculations_APPURT[[#This Row],[Brackets]],0) * cv_M/cv_F * Forces_APPURT[[#This Row],[Delta Fai 240]] * Calculations_APPURT[[#This Row],[Lateral Offset]]/12</f>
        <v>0</v>
      </c>
      <c r="UU4" s="276">
        <f>IFERROR(1/Calculations_APPURT[[#This Row],[Brackets]],0) * cv_M/cv_F * Forces_APPURT[[#This Row],[Delta Fai 270]] * Calculations_APPURT[[#This Row],[Lateral Offset]]/12</f>
        <v>0</v>
      </c>
      <c r="UV4" s="276">
        <f>IFERROR(1/Calculations_APPURT[[#This Row],[Brackets]],0) * cv_M/cv_F * Forces_APPURT[[#This Row],[Delta Fai 300]] * Calculations_APPURT[[#This Row],[Lateral Offset]]/12</f>
        <v>0</v>
      </c>
      <c r="UW4" s="276">
        <f>IFERROR(1/Calculations_APPURT[[#This Row],[Brackets]],0) * cv_M/cv_F * Forces_APPURT[[#This Row],[Delta Fai 315]] * Calculations_APPURT[[#This Row],[Lateral Offset]]/12</f>
        <v>0</v>
      </c>
      <c r="UX4" s="276">
        <f>IFERROR(1/Calculations_APPURT[[#This Row],[Brackets]],0) * cv_M/cv_F * Forces_APPURT[[#This Row],[Delta Fai 330]] * Calculations_APPURT[[#This Row],[Lateral Offset]]/12</f>
        <v>0</v>
      </c>
      <c r="UY4" s="338">
        <f>Dimensions_APPURT[[#This Row],[Weight (lbf)]] * cv_F * AlphaSector[[#This Row],[Quantity]]</f>
        <v>0</v>
      </c>
      <c r="UZ4" s="338">
        <f>Dimensions_APPURT[[#This Row],[Weight (lbf)]] * cv_F * BetaSector[[#This Row],[Quantity]]</f>
        <v>0</v>
      </c>
      <c r="VA4" s="338">
        <f>Dimensions_APPURT[[#This Row],[Weight (lbf)]] * cv_F * GammaSector[[#This Row],[Quantity]]</f>
        <v>0</v>
      </c>
      <c r="VB4" s="338">
        <f>Dimensions_APPURT[[#This Row],[Weight (lbf)]] * cv_F * DeltaSector[[#This Row],[Quantity]]</f>
        <v>0</v>
      </c>
      <c r="VC4" s="209">
        <f>Dimensions_APPURT[[#This Row],[Weight (lbf)]] * cv_M * AlphaSector[[#This Row],[Quantity]] * Calculations_APPURT[[#This Row],[Horizontal Offset]]/12</f>
        <v>0</v>
      </c>
      <c r="VD4" s="209">
        <f>Dimensions_APPURT[[#This Row],[Weight (lbf)]] * cv_M * BetaSector[[#This Row],[Quantity]] * Calculations_APPURT[[#This Row],[Horizontal Offset]]/12</f>
        <v>0</v>
      </c>
      <c r="VE4" s="209">
        <f>Dimensions_APPURT[[#This Row],[Weight (lbf)]] * cv_M * GammaSector[[#This Row],[Quantity]] * Calculations_APPURT[[#This Row],[Horizontal Offset]]/12</f>
        <v>0</v>
      </c>
      <c r="VF4" s="209">
        <f>Dimensions_APPURT[[#This Row],[Weight (lbf)]] * cv_M * DeltaSector[[#This Row],[Quantity]] * Calculations_APPURT[[#This Row],[Horizontal Offset]]/12</f>
        <v>0</v>
      </c>
      <c r="VG4" s="338">
        <f>Hazards_APPURT[[#This Row],[Ice Weight]] * cv_F * AlphaSector[[#This Row],[Quantity]]</f>
        <v>0</v>
      </c>
      <c r="VH4" s="338">
        <f>Hazards_APPURT[[#This Row],[Ice Weight]] * cv_F * BetaSector[[#This Row],[Quantity]]</f>
        <v>0</v>
      </c>
      <c r="VI4" s="338">
        <f>Hazards_APPURT[[#This Row],[Ice Weight]] * cv_F * GammaSector[[#This Row],[Quantity]]</f>
        <v>0</v>
      </c>
      <c r="VJ4" s="338">
        <f>Hazards_APPURT[[#This Row],[Ice Weight]] * cv_F * DeltaSector[[#This Row],[Quantity]]</f>
        <v>0</v>
      </c>
      <c r="VK4" s="209">
        <f>Hazards_APPURT[[#This Row],[Ice Weight]] * cv_M * AlphaSector[[#This Row],[Quantity]] * Calculations_APPURT[[#This Row],[Horizontal Offset]]/12</f>
        <v>0</v>
      </c>
      <c r="VL4" s="209">
        <f>Hazards_APPURT[[#This Row],[Ice Weight]] * cv_M * BetaSector[[#This Row],[Quantity]] * Calculations_APPURT[[#This Row],[Horizontal Offset]]/12</f>
        <v>0</v>
      </c>
      <c r="VM4" s="209">
        <f>Hazards_APPURT[[#This Row],[Ice Weight]] * cv_M * GammaSector[[#This Row],[Quantity]] * Calculations_APPURT[[#This Row],[Horizontal Offset]]/12</f>
        <v>0</v>
      </c>
      <c r="VN4" s="209">
        <f>Hazards_APPURT[[#This Row],[Ice Weight]] * cv_M * DeltaSector[[#This Row],[Quantity]] * Calculations_APPURT[[#This Row],[Horizontal Offset]]/12</f>
        <v>0</v>
      </c>
    </row>
    <row r="5" spans="1:586" ht="15" customHeight="1" x14ac:dyDescent="0.2">
      <c r="A5" s="69"/>
      <c r="E5" s="265"/>
      <c r="L5" s="69"/>
      <c r="R5" s="70"/>
      <c r="T5" s="69"/>
      <c r="W5" s="69"/>
      <c r="Y5" s="69"/>
      <c r="Z5" s="70"/>
      <c r="AB5" s="69"/>
      <c r="AE5" s="69"/>
      <c r="AG5" s="69"/>
      <c r="AH5" s="70"/>
      <c r="AJ5" s="69"/>
      <c r="AM5" s="69"/>
      <c r="AO5" s="69"/>
      <c r="AP5" s="70"/>
      <c r="AR5" s="69"/>
      <c r="AV5" s="277" cm="1">
        <f t="array" ref="AV5">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5" s="209" cm="1">
        <f t="array" ref="AW5">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5" s="209" cm="1">
        <f t="array" ref="AX5">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5" s="209" cm="1">
        <f t="array" ref="AY5">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5"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5" s="209" cm="1">
        <f t="array" ref="BA5">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5" s="209">
        <f>IF(OR(Calculations_APPURT[[#This Row],[Shape]]="CFD",Calculations_APPURT[[#This Row],[Shape]]="CCI"),1,0.95)</f>
        <v>0.95</v>
      </c>
      <c r="BC5" s="209" cm="1">
        <f t="array" ref="BC5">0.00256 * Hazards_APPURT[[#This Row],[Kz]] * Kzt * Ks * I.wind * V^2 * IF(RIGHT(TIA,1)="G",1,Ke) * IF(OR(Calculations_APPURT[[#This Row],[Shape]]="CFD",Calculations_APPURT[[#This Row],[Shape]]="CCI"),1, Hazards_APPURT[[#This Row],[Kd]]) * Gh</f>
        <v>0</v>
      </c>
      <c r="BD5" s="209">
        <f>IF(Risk="I",0,MIN(((z+Calculations_APPURT[[#This Row],[Vertical Offset]]/12)/33)^(0.1),1.4))</f>
        <v>0</v>
      </c>
      <c r="BE5" s="209" cm="1">
        <f t="array" ref="BE5">IF(Risk="I",0,IF(TIA="ANSI/TIA-222-G",2,1*Kes.i)*ti*I.ice*Hazards_APPURT[[#This Row],[Kiz]]*(Kzt/Ks)^(0.35))</f>
        <v>0</v>
      </c>
      <c r="BF5" s="209" cm="1">
        <f t="array" ref="BF5">0.00256 * Hazards_APPURT[[#This Row],[Kz]] * Kzt * Ks * I.wind * Vi^2 * IF(RIGHT(TIA,1)="G",1,Ke) * IF(OR(Calculations_APPURT[[#This Row],[Shape]]="CFD",Calculations_APPURT[[#This Row],[Shape]]="CCI"),1, Kd) * Gh</f>
        <v>0</v>
      </c>
      <c r="BG5"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5"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5"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5"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5"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5"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5"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5"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5"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5"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5"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5"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5"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5"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5"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5"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5"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5"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5"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5"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5"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5"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5"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5"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5"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5"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5"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5"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5"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5"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5"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5"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5"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5"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5"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5"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5"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5"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5"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5"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5"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5"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5"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5"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5"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5"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5"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5"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5"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5"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5"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5"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5"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5"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5"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5"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5"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5"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5"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5"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5"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5"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5"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5"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5" s="276">
        <f>IFERROR(1/Calculations_APPURT[[#This Row],[Brackets]],0) * cv_F * AlphaSector[[#This Row],[Quantity]] * Hazards_APPURT[[#This Row],[qz]] * CaAa_APPURT[[#This Row],[Alpha 0]] * IF(Calculations_APPURT[[#This Row],[Shape]]="CFD",1, Ka)</f>
        <v>0</v>
      </c>
      <c r="GF5" s="276">
        <f>IFERROR(1/Calculations_APPURT[[#This Row],[Brackets]],0) * cv_F * AlphaSector[[#This Row],[Quantity]] * Hazards_APPURT[[#This Row],[qz]] * CaAa_APPURT[[#This Row],[Alpha 30]] * IF(Calculations_APPURT[[#This Row],[Shape]]="CFD",1, Ka)</f>
        <v>0</v>
      </c>
      <c r="GG5" s="276">
        <f>IFERROR(1/Calculations_APPURT[[#This Row],[Brackets]],0) * cv_F * AlphaSector[[#This Row],[Quantity]] * Hazards_APPURT[[#This Row],[qz]] * CaAa_APPURT[[#This Row],[Alpha 45]] * IF(Calculations_APPURT[[#This Row],[Shape]]="CFD",1, Ka)</f>
        <v>0</v>
      </c>
      <c r="GH5" s="276">
        <f>IFERROR(1/Calculations_APPURT[[#This Row],[Brackets]],0) * cv_F * AlphaSector[[#This Row],[Quantity]] * Hazards_APPURT[[#This Row],[qz]] * CaAa_APPURT[[#This Row],[Alpha 60]] * IF(Calculations_APPURT[[#This Row],[Shape]]="CFD",1, Ka)</f>
        <v>0</v>
      </c>
      <c r="GI5" s="276">
        <f>IFERROR(1/Calculations_APPURT[[#This Row],[Brackets]],0) * cv_F * AlphaSector[[#This Row],[Quantity]] * Hazards_APPURT[[#This Row],[qz]] * CaAa_APPURT[[#This Row],[Alpha 90]] * IF(Calculations_APPURT[[#This Row],[Shape]]="CFD",1, Ka)</f>
        <v>0</v>
      </c>
      <c r="GJ5" s="276">
        <f>IFERROR(1/Calculations_APPURT[[#This Row],[Brackets]],0) * cv_F * AlphaSector[[#This Row],[Quantity]] * Hazards_APPURT[[#This Row],[qz]] * CaAa_APPURT[[#This Row],[Alpha 120]] * IF(Calculations_APPURT[[#This Row],[Shape]]="CFD",1, Ka)</f>
        <v>0</v>
      </c>
      <c r="GK5" s="276">
        <f>IFERROR(1/Calculations_APPURT[[#This Row],[Brackets]],0) * cv_F * AlphaSector[[#This Row],[Quantity]] * Hazards_APPURT[[#This Row],[qz]] * CaAa_APPURT[[#This Row],[Alpha 135]] * IF(Calculations_APPURT[[#This Row],[Shape]]="CFD",1, Ka)</f>
        <v>0</v>
      </c>
      <c r="GL5" s="276">
        <f>IFERROR(1/Calculations_APPURT[[#This Row],[Brackets]],0) * cv_F * AlphaSector[[#This Row],[Quantity]] * Hazards_APPURT[[#This Row],[qz]] * CaAa_APPURT[[#This Row],[Alpha 150]] * IF(Calculations_APPURT[[#This Row],[Shape]]="CFD",1, Ka)</f>
        <v>0</v>
      </c>
      <c r="GM5" s="276">
        <f>IFERROR(1/Calculations_APPURT[[#This Row],[Brackets]],0) * cv_F * AlphaSector[[#This Row],[Quantity]] * Hazards_APPURT[[#This Row],[qz]] * CaAa_APPURT[[#This Row],[Alpha 180]] * IF(Calculations_APPURT[[#This Row],[Shape]]="CFD",1, Ka)</f>
        <v>0</v>
      </c>
      <c r="GN5" s="276">
        <f>IFERROR(1/Calculations_APPURT[[#This Row],[Brackets]],0) * cv_F * AlphaSector[[#This Row],[Quantity]] * Hazards_APPURT[[#This Row],[qz]] * CaAa_APPURT[[#This Row],[Alpha 210]] * IF(Calculations_APPURT[[#This Row],[Shape]]="CFD",1, Ka)</f>
        <v>0</v>
      </c>
      <c r="GO5" s="276">
        <f>IFERROR(1/Calculations_APPURT[[#This Row],[Brackets]],0) * cv_F * AlphaSector[[#This Row],[Quantity]] * Hazards_APPURT[[#This Row],[qz]] * CaAa_APPURT[[#This Row],[Alpha 225]] * IF(Calculations_APPURT[[#This Row],[Shape]]="CFD",1, Ka)</f>
        <v>0</v>
      </c>
      <c r="GP5" s="276">
        <f>IFERROR(1/Calculations_APPURT[[#This Row],[Brackets]],0) * cv_F * AlphaSector[[#This Row],[Quantity]] * Hazards_APPURT[[#This Row],[qz]] * CaAa_APPURT[[#This Row],[Alpha 240]] * IF(Calculations_APPURT[[#This Row],[Shape]]="CFD",1, Ka)</f>
        <v>0</v>
      </c>
      <c r="GQ5" s="276">
        <f>IFERROR(1/Calculations_APPURT[[#This Row],[Brackets]],0) * cv_F * AlphaSector[[#This Row],[Quantity]] * Hazards_APPURT[[#This Row],[qz]] * CaAa_APPURT[[#This Row],[Alpha 270]] * IF(Calculations_APPURT[[#This Row],[Shape]]="CFD",1, Ka)</f>
        <v>0</v>
      </c>
      <c r="GR5" s="276">
        <f>IFERROR(1/Calculations_APPURT[[#This Row],[Brackets]],0) * cv_F * AlphaSector[[#This Row],[Quantity]] * Hazards_APPURT[[#This Row],[qz]] * CaAa_APPURT[[#This Row],[Alpha 300]] * IF(Calculations_APPURT[[#This Row],[Shape]]="CFD",1, Ka)</f>
        <v>0</v>
      </c>
      <c r="GS5" s="276">
        <f>IFERROR(1/Calculations_APPURT[[#This Row],[Brackets]],0) * cv_F * AlphaSector[[#This Row],[Quantity]] * Hazards_APPURT[[#This Row],[qz]] * CaAa_APPURT[[#This Row],[Alpha 315]] * IF(Calculations_APPURT[[#This Row],[Shape]]="CFD",1, Ka)</f>
        <v>0</v>
      </c>
      <c r="GT5" s="276">
        <f>IFERROR(1/Calculations_APPURT[[#This Row],[Brackets]],0) * cv_F * AlphaSector[[#This Row],[Quantity]] * Hazards_APPURT[[#This Row],[qz]] * CaAa_APPURT[[#This Row],[Alpha 330]] * IF(Calculations_APPURT[[#This Row],[Shape]]="CFD",1, Ka)</f>
        <v>0</v>
      </c>
      <c r="GU5" s="276">
        <f>IFERROR(1/Calculations_APPURT[[#This Row],[Brackets]],0) * cv_F * BetaSector[[#This Row],[Quantity]] * Hazards_APPURT[[#This Row],[qz]] * CaAa_APPURT[[#This Row],[Beta 0]] * IF(Calculations_APPURT[[#This Row],[Shape]]="CFD",1, Ka)</f>
        <v>0</v>
      </c>
      <c r="GV5" s="276">
        <f>IFERROR(1/Calculations_APPURT[[#This Row],[Brackets]],0) * cv_F * BetaSector[[#This Row],[Quantity]] * Hazards_APPURT[[#This Row],[qz]] * CaAa_APPURT[[#This Row],[Beta 30]] * IF(Calculations_APPURT[[#This Row],[Shape]]="CFD",1, Ka)</f>
        <v>0</v>
      </c>
      <c r="GW5" s="276">
        <f>IFERROR(1/Calculations_APPURT[[#This Row],[Brackets]],0) * cv_F * BetaSector[[#This Row],[Quantity]] * Hazards_APPURT[[#This Row],[qz]] * CaAa_APPURT[[#This Row],[Beta 45]] * IF(Calculations_APPURT[[#This Row],[Shape]]="CFD",1, Ka)</f>
        <v>0</v>
      </c>
      <c r="GX5" s="276">
        <f>IFERROR(1/Calculations_APPURT[[#This Row],[Brackets]],0) * cv_F * BetaSector[[#This Row],[Quantity]] * Hazards_APPURT[[#This Row],[qz]] * CaAa_APPURT[[#This Row],[Beta 60]] * IF(Calculations_APPURT[[#This Row],[Shape]]="CFD",1, Ka)</f>
        <v>0</v>
      </c>
      <c r="GY5" s="276">
        <f>IFERROR(1/Calculations_APPURT[[#This Row],[Brackets]],0) * cv_F * BetaSector[[#This Row],[Quantity]] * Hazards_APPURT[[#This Row],[qz]] * CaAa_APPURT[[#This Row],[Beta 90]] * IF(Calculations_APPURT[[#This Row],[Shape]]="CFD",1, Ka)</f>
        <v>0</v>
      </c>
      <c r="GZ5" s="276">
        <f>IFERROR(1/Calculations_APPURT[[#This Row],[Brackets]],0) * cv_F * BetaSector[[#This Row],[Quantity]] * Hazards_APPURT[[#This Row],[qz]] * CaAa_APPURT[[#This Row],[Beta 120]] * IF(Calculations_APPURT[[#This Row],[Shape]]="CFD",1, Ka)</f>
        <v>0</v>
      </c>
      <c r="HA5" s="276">
        <f>IFERROR(1/Calculations_APPURT[[#This Row],[Brackets]],0) * cv_F * BetaSector[[#This Row],[Quantity]] * Hazards_APPURT[[#This Row],[qz]] * CaAa_APPURT[[#This Row],[Beta 135]] * IF(Calculations_APPURT[[#This Row],[Shape]]="CFD",1, Ka)</f>
        <v>0</v>
      </c>
      <c r="HB5" s="276">
        <f>IFERROR(1/Calculations_APPURT[[#This Row],[Brackets]],0) * cv_F * BetaSector[[#This Row],[Quantity]] * Hazards_APPURT[[#This Row],[qz]] * CaAa_APPURT[[#This Row],[Beta 150]] * IF(Calculations_APPURT[[#This Row],[Shape]]="CFD",1, Ka)</f>
        <v>0</v>
      </c>
      <c r="HC5" s="276">
        <f>IFERROR(1/Calculations_APPURT[[#This Row],[Brackets]],0) * cv_F * BetaSector[[#This Row],[Quantity]] * Hazards_APPURT[[#This Row],[qz]] * CaAa_APPURT[[#This Row],[Beta 180]] * IF(Calculations_APPURT[[#This Row],[Shape]]="CFD",1, Ka)</f>
        <v>0</v>
      </c>
      <c r="HD5" s="276">
        <f>IFERROR(1/Calculations_APPURT[[#This Row],[Brackets]],0) * cv_F * BetaSector[[#This Row],[Quantity]] * Hazards_APPURT[[#This Row],[qz]] * CaAa_APPURT[[#This Row],[Beta 210]] * IF(Calculations_APPURT[[#This Row],[Shape]]="CFD",1, Ka)</f>
        <v>0</v>
      </c>
      <c r="HE5" s="276">
        <f>IFERROR(1/Calculations_APPURT[[#This Row],[Brackets]],0) * cv_F * BetaSector[[#This Row],[Quantity]] * Hazards_APPURT[[#This Row],[qz]] * CaAa_APPURT[[#This Row],[Beta 225]] * IF(Calculations_APPURT[[#This Row],[Shape]]="CFD",1, Ka)</f>
        <v>0</v>
      </c>
      <c r="HF5" s="276">
        <f>IFERROR(1/Calculations_APPURT[[#This Row],[Brackets]],0) * cv_F * BetaSector[[#This Row],[Quantity]] * Hazards_APPURT[[#This Row],[qz]] * CaAa_APPURT[[#This Row],[Beta 240]] * IF(Calculations_APPURT[[#This Row],[Shape]]="CFD",1, Ka)</f>
        <v>0</v>
      </c>
      <c r="HG5" s="276">
        <f>IFERROR(1/Calculations_APPURT[[#This Row],[Brackets]],0) * cv_F * BetaSector[[#This Row],[Quantity]] * Hazards_APPURT[[#This Row],[qz]] * CaAa_APPURT[[#This Row],[Beta 270]] * IF(Calculations_APPURT[[#This Row],[Shape]]="CFD",1, Ka)</f>
        <v>0</v>
      </c>
      <c r="HH5" s="276">
        <f>IFERROR(1/Calculations_APPURT[[#This Row],[Brackets]],0) * cv_F * BetaSector[[#This Row],[Quantity]] * Hazards_APPURT[[#This Row],[qz]] * CaAa_APPURT[[#This Row],[Beta 300]] * IF(Calculations_APPURT[[#This Row],[Shape]]="CFD",1, Ka)</f>
        <v>0</v>
      </c>
      <c r="HI5" s="276">
        <f>IFERROR(1/Calculations_APPURT[[#This Row],[Brackets]],0) * cv_F * BetaSector[[#This Row],[Quantity]] * Hazards_APPURT[[#This Row],[qz]] * CaAa_APPURT[[#This Row],[Beta 315]] * IF(Calculations_APPURT[[#This Row],[Shape]]="CFD",1, Ka)</f>
        <v>0</v>
      </c>
      <c r="HJ5" s="276">
        <f>IFERROR(1/Calculations_APPURT[[#This Row],[Brackets]],0) * cv_F * BetaSector[[#This Row],[Quantity]] * Hazards_APPURT[[#This Row],[qz]] * CaAa_APPURT[[#This Row],[Beta 330]] * IF(Calculations_APPURT[[#This Row],[Shape]]="CFD",1, Ka)</f>
        <v>0</v>
      </c>
      <c r="HK5" s="276">
        <f>IFERROR(1/Calculations_APPURT[[#This Row],[Brackets]],0) * cv_F * GammaSector[[#This Row],[Quantity]] * Hazards_APPURT[[#This Row],[qz]] * CaAa_APPURT[[#This Row],[Gamma 0]] * IF(Calculations_APPURT[[#This Row],[Shape]]="CFD",1, Ka)</f>
        <v>0</v>
      </c>
      <c r="HL5" s="276">
        <f>IFERROR(1/Calculations_APPURT[[#This Row],[Brackets]],0) * cv_F * GammaSector[[#This Row],[Quantity]] * Hazards_APPURT[[#This Row],[qz]] * CaAa_APPURT[[#This Row],[Gamma 30]] * IF(Calculations_APPURT[[#This Row],[Shape]]="CFD",1, Ka)</f>
        <v>0</v>
      </c>
      <c r="HM5" s="276">
        <f>IFERROR(1/Calculations_APPURT[[#This Row],[Brackets]],0) * cv_F * GammaSector[[#This Row],[Quantity]] * Hazards_APPURT[[#This Row],[qz]] * CaAa_APPURT[[#This Row],[Gamma 45]] * IF(Calculations_APPURT[[#This Row],[Shape]]="CFD",1, Ka)</f>
        <v>0</v>
      </c>
      <c r="HN5" s="276">
        <f>IFERROR(1/Calculations_APPURT[[#This Row],[Brackets]],0) * cv_F * GammaSector[[#This Row],[Quantity]] * Hazards_APPURT[[#This Row],[qz]] * CaAa_APPURT[[#This Row],[Gamma 60]] * IF(Calculations_APPURT[[#This Row],[Shape]]="CFD",1, Ka)</f>
        <v>0</v>
      </c>
      <c r="HO5" s="276">
        <f>IFERROR(1/Calculations_APPURT[[#This Row],[Brackets]],0) * cv_F * GammaSector[[#This Row],[Quantity]] * Hazards_APPURT[[#This Row],[qz]] * CaAa_APPURT[[#This Row],[Gamma 90]] * IF(Calculations_APPURT[[#This Row],[Shape]]="CFD",1, Ka)</f>
        <v>0</v>
      </c>
      <c r="HP5" s="276">
        <f>IFERROR(1/Calculations_APPURT[[#This Row],[Brackets]],0) * cv_F * GammaSector[[#This Row],[Quantity]] * Hazards_APPURT[[#This Row],[qz]] * CaAa_APPURT[[#This Row],[Gamma 120]] * IF(Calculations_APPURT[[#This Row],[Shape]]="CFD",1, Ka)</f>
        <v>0</v>
      </c>
      <c r="HQ5" s="276">
        <f>IFERROR(1/Calculations_APPURT[[#This Row],[Brackets]],0) * cv_F * GammaSector[[#This Row],[Quantity]] * Hazards_APPURT[[#This Row],[qz]] * CaAa_APPURT[[#This Row],[Gamma 135]] * IF(Calculations_APPURT[[#This Row],[Shape]]="CFD",1, Ka)</f>
        <v>0</v>
      </c>
      <c r="HR5" s="276">
        <f>IFERROR(1/Calculations_APPURT[[#This Row],[Brackets]],0) * cv_F * GammaSector[[#This Row],[Quantity]] * Hazards_APPURT[[#This Row],[qz]] * CaAa_APPURT[[#This Row],[Gamma 150]] * IF(Calculations_APPURT[[#This Row],[Shape]]="CFD",1, Ka)</f>
        <v>0</v>
      </c>
      <c r="HS5" s="276">
        <f>IFERROR(1/Calculations_APPURT[[#This Row],[Brackets]],0) * cv_F * GammaSector[[#This Row],[Quantity]] * Hazards_APPURT[[#This Row],[qz]] * CaAa_APPURT[[#This Row],[Gamma 180]] * IF(Calculations_APPURT[[#This Row],[Shape]]="CFD",1, Ka)</f>
        <v>0</v>
      </c>
      <c r="HT5" s="276">
        <f>IFERROR(1/Calculations_APPURT[[#This Row],[Brackets]],0) * cv_F * GammaSector[[#This Row],[Quantity]] * Hazards_APPURT[[#This Row],[qz]] * CaAa_APPURT[[#This Row],[Gamma 210]] * IF(Calculations_APPURT[[#This Row],[Shape]]="CFD",1, Ka)</f>
        <v>0</v>
      </c>
      <c r="HU5" s="276">
        <f>IFERROR(1/Calculations_APPURT[[#This Row],[Brackets]],0) * cv_F * GammaSector[[#This Row],[Quantity]] * Hazards_APPURT[[#This Row],[qz]] * CaAa_APPURT[[#This Row],[Gamma 225]] * IF(Calculations_APPURT[[#This Row],[Shape]]="CFD",1, Ka)</f>
        <v>0</v>
      </c>
      <c r="HV5" s="276">
        <f>IFERROR(1/Calculations_APPURT[[#This Row],[Brackets]],0) * cv_F * GammaSector[[#This Row],[Quantity]] * Hazards_APPURT[[#This Row],[qz]] * CaAa_APPURT[[#This Row],[Gamma 240]] * IF(Calculations_APPURT[[#This Row],[Shape]]="CFD",1, Ka)</f>
        <v>0</v>
      </c>
      <c r="HW5" s="276">
        <f>IFERROR(1/Calculations_APPURT[[#This Row],[Brackets]],0) * cv_F * GammaSector[[#This Row],[Quantity]] * Hazards_APPURT[[#This Row],[qz]] * CaAa_APPURT[[#This Row],[Gamma 270]] * IF(Calculations_APPURT[[#This Row],[Shape]]="CFD",1, Ka)</f>
        <v>0</v>
      </c>
      <c r="HX5" s="276">
        <f>IFERROR(1/Calculations_APPURT[[#This Row],[Brackets]],0) * cv_F * GammaSector[[#This Row],[Quantity]] * Hazards_APPURT[[#This Row],[qz]] * CaAa_APPURT[[#This Row],[Gamma 300]] * IF(Calculations_APPURT[[#This Row],[Shape]]="CFD",1, Ka)</f>
        <v>0</v>
      </c>
      <c r="HY5" s="276">
        <f>IFERROR(1/Calculations_APPURT[[#This Row],[Brackets]],0) * cv_F * GammaSector[[#This Row],[Quantity]] * Hazards_APPURT[[#This Row],[qz]] * CaAa_APPURT[[#This Row],[Gamma 315]] * IF(Calculations_APPURT[[#This Row],[Shape]]="CFD",1, Ka)</f>
        <v>0</v>
      </c>
      <c r="HZ5" s="276">
        <f>IFERROR(1/Calculations_APPURT[[#This Row],[Brackets]],0) * cv_F * GammaSector[[#This Row],[Quantity]] * Hazards_APPURT[[#This Row],[qz]] * CaAa_APPURT[[#This Row],[Gamma 330]] * IF(Calculations_APPURT[[#This Row],[Shape]]="CFD",1, Ka)</f>
        <v>0</v>
      </c>
      <c r="IA5" s="276">
        <f>IFERROR(1/Calculations_APPURT[[#This Row],[Brackets]],0) * cv_F * DeltaSector[[#This Row],[Quantity]] * Hazards_APPURT[[#This Row],[qz]] * CaAa_APPURT[[#This Row],[Delta 0]] * IF(Calculations_APPURT[[#This Row],[Shape]]="CFD",1, Ka)</f>
        <v>0</v>
      </c>
      <c r="IB5" s="276">
        <f>IFERROR(1/Calculations_APPURT[[#This Row],[Brackets]],0) * cv_F * DeltaSector[[#This Row],[Quantity]] * Hazards_APPURT[[#This Row],[qz]] * CaAa_APPURT[[#This Row],[Delta 30]] * IF(Calculations_APPURT[[#This Row],[Shape]]="CFD",1, Ka)</f>
        <v>0</v>
      </c>
      <c r="IC5" s="276">
        <f>IFERROR(1/Calculations_APPURT[[#This Row],[Brackets]],0) * cv_F * DeltaSector[[#This Row],[Quantity]] * Hazards_APPURT[[#This Row],[qz]] * CaAa_APPURT[[#This Row],[Delta 45]] * IF(Calculations_APPURT[[#This Row],[Shape]]="CFD",1, Ka)</f>
        <v>0</v>
      </c>
      <c r="ID5" s="276">
        <f>IFERROR(1/Calculations_APPURT[[#This Row],[Brackets]],0) * cv_F * DeltaSector[[#This Row],[Quantity]] * Hazards_APPURT[[#This Row],[qz]] * CaAa_APPURT[[#This Row],[Delta 60]] * IF(Calculations_APPURT[[#This Row],[Shape]]="CFD",1, Ka)</f>
        <v>0</v>
      </c>
      <c r="IE5" s="276">
        <f>IFERROR(1/Calculations_APPURT[[#This Row],[Brackets]],0) * cv_F * DeltaSector[[#This Row],[Quantity]] * Hazards_APPURT[[#This Row],[qz]] * CaAa_APPURT[[#This Row],[Delta 90]] * IF(Calculations_APPURT[[#This Row],[Shape]]="CFD",1, Ka)</f>
        <v>0</v>
      </c>
      <c r="IF5" s="276">
        <f>IFERROR(1/Calculations_APPURT[[#This Row],[Brackets]],0) * cv_F * DeltaSector[[#This Row],[Quantity]] * Hazards_APPURT[[#This Row],[qz]] * CaAa_APPURT[[#This Row],[Delta 120]] * IF(Calculations_APPURT[[#This Row],[Shape]]="CFD",1, Ka)</f>
        <v>0</v>
      </c>
      <c r="IG5" s="276">
        <f>IFERROR(1/Calculations_APPURT[[#This Row],[Brackets]],0) * cv_F * DeltaSector[[#This Row],[Quantity]] * Hazards_APPURT[[#This Row],[qz]] * CaAa_APPURT[[#This Row],[Delta 135]] * IF(Calculations_APPURT[[#This Row],[Shape]]="CFD",1, Ka)</f>
        <v>0</v>
      </c>
      <c r="IH5" s="276">
        <f>IFERROR(1/Calculations_APPURT[[#This Row],[Brackets]],0) * cv_F * DeltaSector[[#This Row],[Quantity]] * Hazards_APPURT[[#This Row],[qz]] * CaAa_APPURT[[#This Row],[Delta 150]] * IF(Calculations_APPURT[[#This Row],[Shape]]="CFD",1, Ka)</f>
        <v>0</v>
      </c>
      <c r="II5" s="276">
        <f>IFERROR(1/Calculations_APPURT[[#This Row],[Brackets]],0) * cv_F * DeltaSector[[#This Row],[Quantity]] * Hazards_APPURT[[#This Row],[qz]] * CaAa_APPURT[[#This Row],[Delta 180]] * IF(Calculations_APPURT[[#This Row],[Shape]]="CFD",1, Ka)</f>
        <v>0</v>
      </c>
      <c r="IJ5" s="276">
        <f>IFERROR(1/Calculations_APPURT[[#This Row],[Brackets]],0) * cv_F * DeltaSector[[#This Row],[Quantity]] * Hazards_APPURT[[#This Row],[qz]] * CaAa_APPURT[[#This Row],[Delta 210]] * IF(Calculations_APPURT[[#This Row],[Shape]]="CFD",1, Ka)</f>
        <v>0</v>
      </c>
      <c r="IK5" s="276">
        <f>IFERROR(1/Calculations_APPURT[[#This Row],[Brackets]],0) * cv_F * DeltaSector[[#This Row],[Quantity]] * Hazards_APPURT[[#This Row],[qz]] * CaAa_APPURT[[#This Row],[Delta 225]] * IF(Calculations_APPURT[[#This Row],[Shape]]="CFD",1, Ka)</f>
        <v>0</v>
      </c>
      <c r="IL5" s="276">
        <f>IFERROR(1/Calculations_APPURT[[#This Row],[Brackets]],0) * cv_F * DeltaSector[[#This Row],[Quantity]] * Hazards_APPURT[[#This Row],[qz]] * CaAa_APPURT[[#This Row],[Delta 240]] * IF(Calculations_APPURT[[#This Row],[Shape]]="CFD",1, Ka)</f>
        <v>0</v>
      </c>
      <c r="IM5" s="276">
        <f>IFERROR(1/Calculations_APPURT[[#This Row],[Brackets]],0) * cv_F * DeltaSector[[#This Row],[Quantity]] * Hazards_APPURT[[#This Row],[qz]] * CaAa_APPURT[[#This Row],[Delta 270]] * IF(Calculations_APPURT[[#This Row],[Shape]]="CFD",1, Ka)</f>
        <v>0</v>
      </c>
      <c r="IN5" s="276">
        <f>IFERROR(1/Calculations_APPURT[[#This Row],[Brackets]],0) * cv_F * DeltaSector[[#This Row],[Quantity]] * Hazards_APPURT[[#This Row],[qz]] * CaAa_APPURT[[#This Row],[Delta 300]] * IF(Calculations_APPURT[[#This Row],[Shape]]="CFD",1, Ka)</f>
        <v>0</v>
      </c>
      <c r="IO5" s="276">
        <f>IFERROR(1/Calculations_APPURT[[#This Row],[Brackets]],0) * cv_F * DeltaSector[[#This Row],[Quantity]] * Hazards_APPURT[[#This Row],[qz]] * CaAa_APPURT[[#This Row],[Delta 315]] * IF(Calculations_APPURT[[#This Row],[Shape]]="CFD",1, Ka)</f>
        <v>0</v>
      </c>
      <c r="IP5" s="276">
        <f>IFERROR(1/Calculations_APPURT[[#This Row],[Brackets]],0) * cv_F * DeltaSector[[#This Row],[Quantity]] * Hazards_APPURT[[#This Row],[qz]] * CaAa_APPURT[[#This Row],[Delta 330]] * IF(Calculations_APPURT[[#This Row],[Shape]]="CFD",1, Ka)</f>
        <v>0</v>
      </c>
      <c r="IQ5" s="276">
        <f>IFERROR(1/Calculations_APPURT[[#This Row],[Brackets]],0) * cv_F * AlphaSector[[#This Row],[Quantity]] * Hazards_APPURT[[#This Row],[qiz]] * CaAa_APPURT[[#This Row],[Alpha Ice 0]]</f>
        <v>0</v>
      </c>
      <c r="IR5" s="276">
        <f>IFERROR(1/Calculations_APPURT[[#This Row],[Brackets]],0) * cv_F * AlphaSector[[#This Row],[Quantity]] * Hazards_APPURT[[#This Row],[qiz]] * CaAa_APPURT[[#This Row],[Alpha Ice 30]]</f>
        <v>0</v>
      </c>
      <c r="IS5" s="276">
        <f>IFERROR(1/Calculations_APPURT[[#This Row],[Brackets]],0) * cv_F * AlphaSector[[#This Row],[Quantity]] * Hazards_APPURT[[#This Row],[qiz]] * CaAa_APPURT[[#This Row],[Alpha Ice 45]]</f>
        <v>0</v>
      </c>
      <c r="IT5" s="276">
        <f>IFERROR(1/Calculations_APPURT[[#This Row],[Brackets]],0) * cv_F * AlphaSector[[#This Row],[Quantity]] * Hazards_APPURT[[#This Row],[qiz]] * CaAa_APPURT[[#This Row],[Alpha Ice 60]]</f>
        <v>0</v>
      </c>
      <c r="IU5" s="276">
        <f>IFERROR(1/Calculations_APPURT[[#This Row],[Brackets]],0) * cv_F * AlphaSector[[#This Row],[Quantity]] * Hazards_APPURT[[#This Row],[qiz]] * CaAa_APPURT[[#This Row],[Alpha Ice 90]]</f>
        <v>0</v>
      </c>
      <c r="IV5" s="276">
        <f>IFERROR(1/Calculations_APPURT[[#This Row],[Brackets]],0) * cv_F * AlphaSector[[#This Row],[Quantity]] * Hazards_APPURT[[#This Row],[qiz]] * CaAa_APPURT[[#This Row],[Alpha Ice 120]]</f>
        <v>0</v>
      </c>
      <c r="IW5" s="276">
        <f>IFERROR(1/Calculations_APPURT[[#This Row],[Brackets]],0) * cv_F * AlphaSector[[#This Row],[Quantity]] * Hazards_APPURT[[#This Row],[qiz]] * CaAa_APPURT[[#This Row],[Alpha Ice 135]]</f>
        <v>0</v>
      </c>
      <c r="IX5" s="276">
        <f>IFERROR(1/Calculations_APPURT[[#This Row],[Brackets]],0) * cv_F * AlphaSector[[#This Row],[Quantity]] * Hazards_APPURT[[#This Row],[qiz]] * CaAa_APPURT[[#This Row],[Alpha Ice 150]]</f>
        <v>0</v>
      </c>
      <c r="IY5" s="276">
        <f>IFERROR(1/Calculations_APPURT[[#This Row],[Brackets]],0) * cv_F * AlphaSector[[#This Row],[Quantity]] * Hazards_APPURT[[#This Row],[qiz]] * CaAa_APPURT[[#This Row],[Alpha Ice 180]]</f>
        <v>0</v>
      </c>
      <c r="IZ5" s="276">
        <f>IFERROR(1/Calculations_APPURT[[#This Row],[Brackets]],0) * cv_F * AlphaSector[[#This Row],[Quantity]] * Hazards_APPURT[[#This Row],[qiz]] * CaAa_APPURT[[#This Row],[Alpha Ice 210]]</f>
        <v>0</v>
      </c>
      <c r="JA5" s="276">
        <f>IFERROR(1/Calculations_APPURT[[#This Row],[Brackets]],0) * cv_F * AlphaSector[[#This Row],[Quantity]] * Hazards_APPURT[[#This Row],[qiz]] * CaAa_APPURT[[#This Row],[Alpha Ice 225]]</f>
        <v>0</v>
      </c>
      <c r="JB5" s="276">
        <f>IFERROR(1/Calculations_APPURT[[#This Row],[Brackets]],0) * cv_F * AlphaSector[[#This Row],[Quantity]] * Hazards_APPURT[[#This Row],[qiz]] * CaAa_APPURT[[#This Row],[Alpha Ice 240]]</f>
        <v>0</v>
      </c>
      <c r="JC5" s="276">
        <f>IFERROR(1/Calculations_APPURT[[#This Row],[Brackets]],0) * cv_F * AlphaSector[[#This Row],[Quantity]] * Hazards_APPURT[[#This Row],[qiz]] * CaAa_APPURT[[#This Row],[Alpha Ice 270]]</f>
        <v>0</v>
      </c>
      <c r="JD5" s="276">
        <f>IFERROR(1/Calculations_APPURT[[#This Row],[Brackets]],0) * cv_F * AlphaSector[[#This Row],[Quantity]] * Hazards_APPURT[[#This Row],[qiz]] * CaAa_APPURT[[#This Row],[Alpha Ice 300]]</f>
        <v>0</v>
      </c>
      <c r="JE5" s="276">
        <f>IFERROR(1/Calculations_APPURT[[#This Row],[Brackets]],0) * cv_F * AlphaSector[[#This Row],[Quantity]] * Hazards_APPURT[[#This Row],[qiz]] * CaAa_APPURT[[#This Row],[Alpha Ice 315]]</f>
        <v>0</v>
      </c>
      <c r="JF5" s="276">
        <f>IFERROR(1/Calculations_APPURT[[#This Row],[Brackets]],0) * cv_F * AlphaSector[[#This Row],[Quantity]] * Hazards_APPURT[[#This Row],[qiz]] * CaAa_APPURT[[#This Row],[Alpha Ice 330]]</f>
        <v>0</v>
      </c>
      <c r="JG5" s="276">
        <f>IFERROR(1/Calculations_APPURT[[#This Row],[Brackets]],0) * cv_F * BetaSector[[#This Row],[Quantity]] * Hazards_APPURT[[#This Row],[qiz]] * CaAa_APPURT[[#This Row],[Beta Ice 0]]</f>
        <v>0</v>
      </c>
      <c r="JH5" s="276">
        <f>IFERROR(1/Calculations_APPURT[[#This Row],[Brackets]],0) * cv_F * BetaSector[[#This Row],[Quantity]] * Hazards_APPURT[[#This Row],[qiz]] * CaAa_APPURT[[#This Row],[Beta Ice 30]]</f>
        <v>0</v>
      </c>
      <c r="JI5" s="276">
        <f>IFERROR(1/Calculations_APPURT[[#This Row],[Brackets]],0) * cv_F * BetaSector[[#This Row],[Quantity]] * Hazards_APPURT[[#This Row],[qiz]] * CaAa_APPURT[[#This Row],[Beta Ice 45]]</f>
        <v>0</v>
      </c>
      <c r="JJ5" s="276">
        <f>IFERROR(1/Calculations_APPURT[[#This Row],[Brackets]],0) * cv_F * BetaSector[[#This Row],[Quantity]] * Hazards_APPURT[[#This Row],[qiz]] * CaAa_APPURT[[#This Row],[Beta Ice 60]]</f>
        <v>0</v>
      </c>
      <c r="JK5" s="276">
        <f>IFERROR(1/Calculations_APPURT[[#This Row],[Brackets]],0) * cv_F * BetaSector[[#This Row],[Quantity]] * Hazards_APPURT[[#This Row],[qiz]] * CaAa_APPURT[[#This Row],[Beta Ice 90]]</f>
        <v>0</v>
      </c>
      <c r="JL5" s="276">
        <f>IFERROR(1/Calculations_APPURT[[#This Row],[Brackets]],0) * cv_F * BetaSector[[#This Row],[Quantity]] * Hazards_APPURT[[#This Row],[qiz]] * CaAa_APPURT[[#This Row],[Beta Ice 120]]</f>
        <v>0</v>
      </c>
      <c r="JM5" s="276">
        <f>IFERROR(1/Calculations_APPURT[[#This Row],[Brackets]],0) * cv_F * BetaSector[[#This Row],[Quantity]] * Hazards_APPURT[[#This Row],[qiz]] * CaAa_APPURT[[#This Row],[Beta Ice 135]]</f>
        <v>0</v>
      </c>
      <c r="JN5" s="276">
        <f>IFERROR(1/Calculations_APPURT[[#This Row],[Brackets]],0) * cv_F * BetaSector[[#This Row],[Quantity]] * Hazards_APPURT[[#This Row],[qiz]] * CaAa_APPURT[[#This Row],[Beta Ice 150]]</f>
        <v>0</v>
      </c>
      <c r="JO5" s="276">
        <f>IFERROR(1/Calculations_APPURT[[#This Row],[Brackets]],0) * cv_F * BetaSector[[#This Row],[Quantity]] * Hazards_APPURT[[#This Row],[qiz]] * CaAa_APPURT[[#This Row],[Beta Ice 180]]</f>
        <v>0</v>
      </c>
      <c r="JP5" s="276">
        <f>IFERROR(1/Calculations_APPURT[[#This Row],[Brackets]],0) * cv_F * BetaSector[[#This Row],[Quantity]] * Hazards_APPURT[[#This Row],[qiz]] * CaAa_APPURT[[#This Row],[Beta Ice 210]]</f>
        <v>0</v>
      </c>
      <c r="JQ5" s="276">
        <f>IFERROR(1/Calculations_APPURT[[#This Row],[Brackets]],0) * cv_F * BetaSector[[#This Row],[Quantity]] * Hazards_APPURT[[#This Row],[qiz]] * CaAa_APPURT[[#This Row],[Beta Ice 225]]</f>
        <v>0</v>
      </c>
      <c r="JR5" s="276">
        <f>IFERROR(1/Calculations_APPURT[[#This Row],[Brackets]],0) * cv_F * BetaSector[[#This Row],[Quantity]] * Hazards_APPURT[[#This Row],[qiz]] * CaAa_APPURT[[#This Row],[Beta Ice 240]]</f>
        <v>0</v>
      </c>
      <c r="JS5" s="276">
        <f>IFERROR(1/Calculations_APPURT[[#This Row],[Brackets]],0) * cv_F * BetaSector[[#This Row],[Quantity]] * Hazards_APPURT[[#This Row],[qiz]] * CaAa_APPURT[[#This Row],[Beta Ice 270]]</f>
        <v>0</v>
      </c>
      <c r="JT5" s="276">
        <f>IFERROR(1/Calculations_APPURT[[#This Row],[Brackets]],0) * cv_F * BetaSector[[#This Row],[Quantity]] * Hazards_APPURT[[#This Row],[qiz]] * CaAa_APPURT[[#This Row],[Beta Ice 300]]</f>
        <v>0</v>
      </c>
      <c r="JU5" s="276">
        <f>IFERROR(1/Calculations_APPURT[[#This Row],[Brackets]],0) * cv_F * BetaSector[[#This Row],[Quantity]] * Hazards_APPURT[[#This Row],[qiz]] * CaAa_APPURT[[#This Row],[Beta Ice 315]]</f>
        <v>0</v>
      </c>
      <c r="JV5" s="276">
        <f>IFERROR(1/Calculations_APPURT[[#This Row],[Brackets]],0) * cv_F * BetaSector[[#This Row],[Quantity]] * Hazards_APPURT[[#This Row],[qiz]] * CaAa_APPURT[[#This Row],[Beta Ice 330]]</f>
        <v>0</v>
      </c>
      <c r="JW5" s="276">
        <f>IFERROR(1/Calculations_APPURT[[#This Row],[Brackets]],0) * cv_F * GammaSector[[#This Row],[Quantity]] * Hazards_APPURT[[#This Row],[qiz]] * CaAa_APPURT[[#This Row],[Gamma Ice 0]]</f>
        <v>0</v>
      </c>
      <c r="JX5" s="276">
        <f>IFERROR(1/Calculations_APPURT[[#This Row],[Brackets]],0) * cv_F * GammaSector[[#This Row],[Quantity]] * Hazards_APPURT[[#This Row],[qiz]] * CaAa_APPURT[[#This Row],[Gamma Ice 30]]</f>
        <v>0</v>
      </c>
      <c r="JY5" s="276">
        <f>IFERROR(1/Calculations_APPURT[[#This Row],[Brackets]],0) * cv_F * GammaSector[[#This Row],[Quantity]] * Hazards_APPURT[[#This Row],[qiz]] * CaAa_APPURT[[#This Row],[Gamma Ice 45]]</f>
        <v>0</v>
      </c>
      <c r="JZ5" s="276">
        <f>IFERROR(1/Calculations_APPURT[[#This Row],[Brackets]],0) * cv_F * GammaSector[[#This Row],[Quantity]] * Hazards_APPURT[[#This Row],[qiz]] * CaAa_APPURT[[#This Row],[Gamma Ice 60]]</f>
        <v>0</v>
      </c>
      <c r="KA5" s="276">
        <f>IFERROR(1/Calculations_APPURT[[#This Row],[Brackets]],0) * cv_F * GammaSector[[#This Row],[Quantity]] * Hazards_APPURT[[#This Row],[qiz]] * CaAa_APPURT[[#This Row],[Gamma Ice 90]]</f>
        <v>0</v>
      </c>
      <c r="KB5" s="276">
        <f>IFERROR(1/Calculations_APPURT[[#This Row],[Brackets]],0) * cv_F * GammaSector[[#This Row],[Quantity]] * Hazards_APPURT[[#This Row],[qiz]] * CaAa_APPURT[[#This Row],[Gamma Ice 120]]</f>
        <v>0</v>
      </c>
      <c r="KC5" s="276">
        <f>IFERROR(1/Calculations_APPURT[[#This Row],[Brackets]],0) * cv_F * GammaSector[[#This Row],[Quantity]] * Hazards_APPURT[[#This Row],[qiz]] * CaAa_APPURT[[#This Row],[Gamma Ice 135]]</f>
        <v>0</v>
      </c>
      <c r="KD5" s="276">
        <f>IFERROR(1/Calculations_APPURT[[#This Row],[Brackets]],0) * cv_F * GammaSector[[#This Row],[Quantity]] * Hazards_APPURT[[#This Row],[qiz]] * CaAa_APPURT[[#This Row],[Gamma Ice 150]]</f>
        <v>0</v>
      </c>
      <c r="KE5" s="276">
        <f>IFERROR(1/Calculations_APPURT[[#This Row],[Brackets]],0) * cv_F * GammaSector[[#This Row],[Quantity]] * Hazards_APPURT[[#This Row],[qiz]] * CaAa_APPURT[[#This Row],[Gamma Ice 180]]</f>
        <v>0</v>
      </c>
      <c r="KF5" s="276">
        <f>IFERROR(1/Calculations_APPURT[[#This Row],[Brackets]],0) * cv_F * GammaSector[[#This Row],[Quantity]] * Hazards_APPURT[[#This Row],[qiz]] * CaAa_APPURT[[#This Row],[Gamma Ice 210]]</f>
        <v>0</v>
      </c>
      <c r="KG5" s="276">
        <f>IFERROR(1/Calculations_APPURT[[#This Row],[Brackets]],0) * cv_F * GammaSector[[#This Row],[Quantity]] * Hazards_APPURT[[#This Row],[qiz]] * CaAa_APPURT[[#This Row],[Gamma Ice 225]]</f>
        <v>0</v>
      </c>
      <c r="KH5" s="276">
        <f>IFERROR(1/Calculations_APPURT[[#This Row],[Brackets]],0) * cv_F * GammaSector[[#This Row],[Quantity]] * Hazards_APPURT[[#This Row],[qiz]] * CaAa_APPURT[[#This Row],[Gamma Ice 240]]</f>
        <v>0</v>
      </c>
      <c r="KI5" s="276">
        <f>IFERROR(1/Calculations_APPURT[[#This Row],[Brackets]],0) * cv_F * GammaSector[[#This Row],[Quantity]] * Hazards_APPURT[[#This Row],[qiz]] * CaAa_APPURT[[#This Row],[Gamma Ice 270]]</f>
        <v>0</v>
      </c>
      <c r="KJ5" s="276">
        <f>IFERROR(1/Calculations_APPURT[[#This Row],[Brackets]],0) * cv_F * GammaSector[[#This Row],[Quantity]] * Hazards_APPURT[[#This Row],[qiz]] * CaAa_APPURT[[#This Row],[Gamma Ice 300]]</f>
        <v>0</v>
      </c>
      <c r="KK5" s="276">
        <f>IFERROR(1/Calculations_APPURT[[#This Row],[Brackets]],0) * cv_F * GammaSector[[#This Row],[Quantity]] * Hazards_APPURT[[#This Row],[qiz]] * CaAa_APPURT[[#This Row],[Gamma Ice 315]]</f>
        <v>0</v>
      </c>
      <c r="KL5" s="276">
        <f>IFERROR(1/Calculations_APPURT[[#This Row],[Brackets]],0) * cv_F * GammaSector[[#This Row],[Quantity]] * Hazards_APPURT[[#This Row],[qiz]] * CaAa_APPURT[[#This Row],[Gamma Ice 330]]</f>
        <v>0</v>
      </c>
      <c r="KM5" s="276">
        <f>IFERROR(1/Calculations_APPURT[[#This Row],[Brackets]],0) * cv_F * DeltaSector[[#This Row],[Quantity]] * Hazards_APPURT[[#This Row],[qiz]] * CaAa_APPURT[[#This Row],[Delta Ice 0]]</f>
        <v>0</v>
      </c>
      <c r="KN5" s="276">
        <f>IFERROR(1/Calculations_APPURT[[#This Row],[Brackets]],0) * cv_F * DeltaSector[[#This Row],[Quantity]] * Hazards_APPURT[[#This Row],[qiz]] * CaAa_APPURT[[#This Row],[Delta Ice 30]]</f>
        <v>0</v>
      </c>
      <c r="KO5" s="276">
        <f>IFERROR(1/Calculations_APPURT[[#This Row],[Brackets]],0) * cv_F * DeltaSector[[#This Row],[Quantity]] * Hazards_APPURT[[#This Row],[qiz]] * CaAa_APPURT[[#This Row],[Delta Ice 45]]</f>
        <v>0</v>
      </c>
      <c r="KP5" s="276">
        <f>IFERROR(1/Calculations_APPURT[[#This Row],[Brackets]],0) * cv_F * DeltaSector[[#This Row],[Quantity]] * Hazards_APPURT[[#This Row],[qiz]] * CaAa_APPURT[[#This Row],[Delta Ice 60]]</f>
        <v>0</v>
      </c>
      <c r="KQ5" s="276">
        <f>IFERROR(1/Calculations_APPURT[[#This Row],[Brackets]],0) * cv_F * DeltaSector[[#This Row],[Quantity]] * Hazards_APPURT[[#This Row],[qiz]] * CaAa_APPURT[[#This Row],[Delta Ice 90]]</f>
        <v>0</v>
      </c>
      <c r="KR5" s="276">
        <f>IFERROR(1/Calculations_APPURT[[#This Row],[Brackets]],0) * cv_F * DeltaSector[[#This Row],[Quantity]] * Hazards_APPURT[[#This Row],[qiz]] * CaAa_APPURT[[#This Row],[Delta Ice 120]]</f>
        <v>0</v>
      </c>
      <c r="KS5" s="276">
        <f>IFERROR(1/Calculations_APPURT[[#This Row],[Brackets]],0) * cv_F * DeltaSector[[#This Row],[Quantity]] * Hazards_APPURT[[#This Row],[qiz]] * CaAa_APPURT[[#This Row],[Delta Ice 135]]</f>
        <v>0</v>
      </c>
      <c r="KT5" s="276">
        <f>IFERROR(1/Calculations_APPURT[[#This Row],[Brackets]],0) * cv_F * DeltaSector[[#This Row],[Quantity]] * Hazards_APPURT[[#This Row],[qiz]] * CaAa_APPURT[[#This Row],[Delta Ice 150]]</f>
        <v>0</v>
      </c>
      <c r="KU5" s="276">
        <f>IFERROR(1/Calculations_APPURT[[#This Row],[Brackets]],0) * cv_F * DeltaSector[[#This Row],[Quantity]] * Hazards_APPURT[[#This Row],[qiz]] * CaAa_APPURT[[#This Row],[Delta Ice 180]]</f>
        <v>0</v>
      </c>
      <c r="KV5" s="276">
        <f>IFERROR(1/Calculations_APPURT[[#This Row],[Brackets]],0) * cv_F * DeltaSector[[#This Row],[Quantity]] * Hazards_APPURT[[#This Row],[qiz]] * CaAa_APPURT[[#This Row],[Delta Ice 210]]</f>
        <v>0</v>
      </c>
      <c r="KW5" s="276">
        <f>IFERROR(1/Calculations_APPURT[[#This Row],[Brackets]],0) * cv_F * DeltaSector[[#This Row],[Quantity]] * Hazards_APPURT[[#This Row],[qiz]] * CaAa_APPURT[[#This Row],[Delta Ice 225]]</f>
        <v>0</v>
      </c>
      <c r="KX5" s="276">
        <f>IFERROR(1/Calculations_APPURT[[#This Row],[Brackets]],0) * cv_F * DeltaSector[[#This Row],[Quantity]] * Hazards_APPURT[[#This Row],[qiz]] * CaAa_APPURT[[#This Row],[Delta Ice 240]]</f>
        <v>0</v>
      </c>
      <c r="KY5" s="276">
        <f>IFERROR(1/Calculations_APPURT[[#This Row],[Brackets]],0) * cv_F * DeltaSector[[#This Row],[Quantity]] * Hazards_APPURT[[#This Row],[qiz]] * CaAa_APPURT[[#This Row],[Delta Ice 270]]</f>
        <v>0</v>
      </c>
      <c r="KZ5" s="276">
        <f>IFERROR(1/Calculations_APPURT[[#This Row],[Brackets]],0) * cv_F * DeltaSector[[#This Row],[Quantity]] * Hazards_APPURT[[#This Row],[qiz]] * CaAa_APPURT[[#This Row],[Delta Ice 300]]</f>
        <v>0</v>
      </c>
      <c r="LA5" s="276">
        <f>IFERROR(1/Calculations_APPURT[[#This Row],[Brackets]],0) * cv_F * DeltaSector[[#This Row],[Quantity]] * Hazards_APPURT[[#This Row],[qiz]] * CaAa_APPURT[[#This Row],[Delta Ice 315]]</f>
        <v>0</v>
      </c>
      <c r="LB5" s="276">
        <f>IFERROR(1/Calculations_APPURT[[#This Row],[Brackets]],0) * cv_F * DeltaSector[[#This Row],[Quantity]] * Hazards_APPURT[[#This Row],[qiz]] * CaAa_APPURT[[#This Row],[Delta Ice 330]]</f>
        <v>0</v>
      </c>
      <c r="LC5" s="276">
        <f>IFERROR(1/Calculations_APPURT[[#This Row],[Brackets]],0) * cv_M/cv_F * Forces_APPURT[[#This Row],[Alpha Fa 0]] * Calculations_APPURT[[#This Row],[Horizontal Offset]]/12</f>
        <v>0</v>
      </c>
      <c r="LD5" s="276">
        <f>IFERROR(1/Calculations_APPURT[[#This Row],[Brackets]],0) * cv_M/cv_F * Forces_APPURT[[#This Row],[Alpha Fa 30]] * Calculations_APPURT[[#This Row],[Horizontal Offset]]/12</f>
        <v>0</v>
      </c>
      <c r="LE5" s="276">
        <f>IFERROR(1/Calculations_APPURT[[#This Row],[Brackets]],0) * cv_M/cv_F * Forces_APPURT[[#This Row],[Alpha Fa 45]] * Calculations_APPURT[[#This Row],[Horizontal Offset]]/12</f>
        <v>0</v>
      </c>
      <c r="LF5" s="276">
        <f>IFERROR(1/Calculations_APPURT[[#This Row],[Brackets]],0) * cv_M/cv_F * Forces_APPURT[[#This Row],[Alpha Fa 60]] * Calculations_APPURT[[#This Row],[Horizontal Offset]]/12</f>
        <v>0</v>
      </c>
      <c r="LG5" s="276">
        <f>IFERROR(1/Calculations_APPURT[[#This Row],[Brackets]],0) * cv_M/cv_F * Forces_APPURT[[#This Row],[Alpha Fa 90]] * Calculations_APPURT[[#This Row],[Horizontal Offset]]/12</f>
        <v>0</v>
      </c>
      <c r="LH5" s="276">
        <f>IFERROR(1/Calculations_APPURT[[#This Row],[Brackets]],0) * cv_M/cv_F * Forces_APPURT[[#This Row],[Alpha Fa 120]] * Calculations_APPURT[[#This Row],[Horizontal Offset]]/12</f>
        <v>0</v>
      </c>
      <c r="LI5" s="276">
        <f>IFERROR(1/Calculations_APPURT[[#This Row],[Brackets]],0) * cv_M/cv_F * Forces_APPURT[[#This Row],[Alpha Fa 135]] * Calculations_APPURT[[#This Row],[Horizontal Offset]]/12</f>
        <v>0</v>
      </c>
      <c r="LJ5" s="276">
        <f>IFERROR(1/Calculations_APPURT[[#This Row],[Brackets]],0) * cv_M/cv_F * Forces_APPURT[[#This Row],[Alpha Fa 150]] * Calculations_APPURT[[#This Row],[Horizontal Offset]]/12</f>
        <v>0</v>
      </c>
      <c r="LK5" s="276">
        <f>IFERROR(1/Calculations_APPURT[[#This Row],[Brackets]],0) * cv_M/cv_F * Forces_APPURT[[#This Row],[Alpha Fa 180]] * Calculations_APPURT[[#This Row],[Horizontal Offset]]/12</f>
        <v>0</v>
      </c>
      <c r="LL5" s="276">
        <f>IFERROR(1/Calculations_APPURT[[#This Row],[Brackets]],0) * cv_M/cv_F * Forces_APPURT[[#This Row],[Alpha Fa 210]] * Calculations_APPURT[[#This Row],[Horizontal Offset]]/12</f>
        <v>0</v>
      </c>
      <c r="LM5" s="276">
        <f>IFERROR(1/Calculations_APPURT[[#This Row],[Brackets]],0) * cv_M/cv_F * Forces_APPURT[[#This Row],[Alpha Fa 225]] * Calculations_APPURT[[#This Row],[Horizontal Offset]]/12</f>
        <v>0</v>
      </c>
      <c r="LN5" s="276">
        <f>IFERROR(1/Calculations_APPURT[[#This Row],[Brackets]],0) * cv_M/cv_F * Forces_APPURT[[#This Row],[Alpha Fa 240]] * Calculations_APPURT[[#This Row],[Horizontal Offset]]/12</f>
        <v>0</v>
      </c>
      <c r="LO5" s="276">
        <f>IFERROR(1/Calculations_APPURT[[#This Row],[Brackets]],0) * cv_M/cv_F * Forces_APPURT[[#This Row],[Alpha Fa 270]] * Calculations_APPURT[[#This Row],[Horizontal Offset]]/12</f>
        <v>0</v>
      </c>
      <c r="LP5" s="276">
        <f>IFERROR(1/Calculations_APPURT[[#This Row],[Brackets]],0) * cv_M/cv_F * Forces_APPURT[[#This Row],[Alpha Fa 300]] * Calculations_APPURT[[#This Row],[Horizontal Offset]]/12</f>
        <v>0</v>
      </c>
      <c r="LQ5" s="276">
        <f>IFERROR(1/Calculations_APPURT[[#This Row],[Brackets]],0) * cv_M/cv_F * Forces_APPURT[[#This Row],[Alpha Fa 315]] * Calculations_APPURT[[#This Row],[Horizontal Offset]]/12</f>
        <v>0</v>
      </c>
      <c r="LR5" s="276">
        <f>IFERROR(1/Calculations_APPURT[[#This Row],[Brackets]],0) * cv_M/cv_F * Forces_APPURT[[#This Row],[Alpha Fa 330]] * Calculations_APPURT[[#This Row],[Horizontal Offset]]/12</f>
        <v>0</v>
      </c>
      <c r="LS5" s="276">
        <f>IFERROR(1/Calculations_APPURT[[#This Row],[Brackets]],0) * cv_M/cv_F * Forces_APPURT[[#This Row],[Beta Fa 0]] * Calculations_APPURT[[#This Row],[Horizontal Offset]]/12</f>
        <v>0</v>
      </c>
      <c r="LT5" s="276">
        <f>IFERROR(1/Calculations_APPURT[[#This Row],[Brackets]],0) * cv_M/cv_F * Forces_APPURT[[#This Row],[Beta Fa 30]] * Calculations_APPURT[[#This Row],[Horizontal Offset]]/12</f>
        <v>0</v>
      </c>
      <c r="LU5" s="276">
        <f>IFERROR(1/Calculations_APPURT[[#This Row],[Brackets]],0) * cv_M/cv_F * Forces_APPURT[[#This Row],[Beta Fa 45]] * Calculations_APPURT[[#This Row],[Horizontal Offset]]/12</f>
        <v>0</v>
      </c>
      <c r="LV5" s="276">
        <f>IFERROR(1/Calculations_APPURT[[#This Row],[Brackets]],0) * cv_M/cv_F * Forces_APPURT[[#This Row],[Beta Fa 60]] * Calculations_APPURT[[#This Row],[Horizontal Offset]]/12</f>
        <v>0</v>
      </c>
      <c r="LW5" s="276">
        <f>IFERROR(1/Calculations_APPURT[[#This Row],[Brackets]],0) * cv_M/cv_F * Forces_APPURT[[#This Row],[Beta Fa 90]] * Calculations_APPURT[[#This Row],[Horizontal Offset]]/12</f>
        <v>0</v>
      </c>
      <c r="LX5" s="276">
        <f>IFERROR(1/Calculations_APPURT[[#This Row],[Brackets]],0) * cv_M/cv_F * Forces_APPURT[[#This Row],[Beta Fa 120]] * Calculations_APPURT[[#This Row],[Horizontal Offset]]/12</f>
        <v>0</v>
      </c>
      <c r="LY5" s="276">
        <f>IFERROR(1/Calculations_APPURT[[#This Row],[Brackets]],0) * cv_M/cv_F * Forces_APPURT[[#This Row],[Beta Fa 135]] * Calculations_APPURT[[#This Row],[Horizontal Offset]]/12</f>
        <v>0</v>
      </c>
      <c r="LZ5" s="276">
        <f>IFERROR(1/Calculations_APPURT[[#This Row],[Brackets]],0) * cv_M/cv_F * Forces_APPURT[[#This Row],[Beta Fa 150]] * Calculations_APPURT[[#This Row],[Horizontal Offset]]/12</f>
        <v>0</v>
      </c>
      <c r="MA5" s="276">
        <f>IFERROR(1/Calculations_APPURT[[#This Row],[Brackets]],0) * cv_M/cv_F * Forces_APPURT[[#This Row],[Beta Fa 180]] * Calculations_APPURT[[#This Row],[Horizontal Offset]]/12</f>
        <v>0</v>
      </c>
      <c r="MB5" s="276">
        <f>IFERROR(1/Calculations_APPURT[[#This Row],[Brackets]],0) * cv_M/cv_F * Forces_APPURT[[#This Row],[Beta Fa 210]] * Calculations_APPURT[[#This Row],[Horizontal Offset]]/12</f>
        <v>0</v>
      </c>
      <c r="MC5" s="276">
        <f>IFERROR(1/Calculations_APPURT[[#This Row],[Brackets]],0) * cv_M/cv_F * Forces_APPURT[[#This Row],[Beta Fa 225]] * Calculations_APPURT[[#This Row],[Horizontal Offset]]/12</f>
        <v>0</v>
      </c>
      <c r="MD5" s="276">
        <f>IFERROR(1/Calculations_APPURT[[#This Row],[Brackets]],0) * cv_M/cv_F * Forces_APPURT[[#This Row],[Beta Fa 240]] * Calculations_APPURT[[#This Row],[Horizontal Offset]]/12</f>
        <v>0</v>
      </c>
      <c r="ME5" s="276">
        <f>IFERROR(1/Calculations_APPURT[[#This Row],[Brackets]],0) * cv_M/cv_F * Forces_APPURT[[#This Row],[Beta Fa 270]] * Calculations_APPURT[[#This Row],[Horizontal Offset]]/12</f>
        <v>0</v>
      </c>
      <c r="MF5" s="276">
        <f>IFERROR(1/Calculations_APPURT[[#This Row],[Brackets]],0) * cv_M/cv_F * Forces_APPURT[[#This Row],[Beta Fa 300]] * Calculations_APPURT[[#This Row],[Horizontal Offset]]/12</f>
        <v>0</v>
      </c>
      <c r="MG5" s="276">
        <f>IFERROR(1/Calculations_APPURT[[#This Row],[Brackets]],0) * cv_M/cv_F * Forces_APPURT[[#This Row],[Beta Fa 315]] * Calculations_APPURT[[#This Row],[Horizontal Offset]]/12</f>
        <v>0</v>
      </c>
      <c r="MH5" s="276">
        <f>IFERROR(1/Calculations_APPURT[[#This Row],[Brackets]],0) * cv_M/cv_F * Forces_APPURT[[#This Row],[Beta Fa 330]] * Calculations_APPURT[[#This Row],[Horizontal Offset]]/12</f>
        <v>0</v>
      </c>
      <c r="MI5" s="276">
        <f>IFERROR(1/Calculations_APPURT[[#This Row],[Brackets]],0) * cv_M/cv_F * Forces_APPURT[[#This Row],[Gamma Fa 0]] * Calculations_APPURT[[#This Row],[Horizontal Offset]]/12</f>
        <v>0</v>
      </c>
      <c r="MJ5" s="276">
        <f>IFERROR(1/Calculations_APPURT[[#This Row],[Brackets]],0) * cv_M/cv_F * Forces_APPURT[[#This Row],[Gamma Fa 30]] * Calculations_APPURT[[#This Row],[Horizontal Offset]]/12</f>
        <v>0</v>
      </c>
      <c r="MK5" s="276">
        <f>IFERROR(1/Calculations_APPURT[[#This Row],[Brackets]],0) * cv_M/cv_F * Forces_APPURT[[#This Row],[Gamma Fa 45]] * Calculations_APPURT[[#This Row],[Horizontal Offset]]/12</f>
        <v>0</v>
      </c>
      <c r="ML5" s="276">
        <f>IFERROR(1/Calculations_APPURT[[#This Row],[Brackets]],0) * cv_M/cv_F * Forces_APPURT[[#This Row],[Gamma Fa 60]] * Calculations_APPURT[[#This Row],[Horizontal Offset]]/12</f>
        <v>0</v>
      </c>
      <c r="MM5" s="276">
        <f>IFERROR(1/Calculations_APPURT[[#This Row],[Brackets]],0) * cv_M/cv_F * Forces_APPURT[[#This Row],[Gamma Fa 90]] * Calculations_APPURT[[#This Row],[Horizontal Offset]]/12</f>
        <v>0</v>
      </c>
      <c r="MN5" s="276">
        <f>IFERROR(1/Calculations_APPURT[[#This Row],[Brackets]],0) * cv_M/cv_F * Forces_APPURT[[#This Row],[Gamma Fa 120]] * Calculations_APPURT[[#This Row],[Horizontal Offset]]/12</f>
        <v>0</v>
      </c>
      <c r="MO5" s="276">
        <f>IFERROR(1/Calculations_APPURT[[#This Row],[Brackets]],0) * cv_M/cv_F * Forces_APPURT[[#This Row],[Gamma Fa 135]] * Calculations_APPURT[[#This Row],[Horizontal Offset]]/12</f>
        <v>0</v>
      </c>
      <c r="MP5" s="276">
        <f>IFERROR(1/Calculations_APPURT[[#This Row],[Brackets]],0) * cv_M/cv_F * Forces_APPURT[[#This Row],[Gamma Fa 150]] * Calculations_APPURT[[#This Row],[Horizontal Offset]]/12</f>
        <v>0</v>
      </c>
      <c r="MQ5" s="276">
        <f>IFERROR(1/Calculations_APPURT[[#This Row],[Brackets]],0) * cv_M/cv_F * Forces_APPURT[[#This Row],[Gamma Fa 180]] * Calculations_APPURT[[#This Row],[Horizontal Offset]]/12</f>
        <v>0</v>
      </c>
      <c r="MR5" s="276">
        <f>IFERROR(1/Calculations_APPURT[[#This Row],[Brackets]],0) * cv_M/cv_F * Forces_APPURT[[#This Row],[Gamma Fa 210]] * Calculations_APPURT[[#This Row],[Horizontal Offset]]/12</f>
        <v>0</v>
      </c>
      <c r="MS5" s="276">
        <f>IFERROR(1/Calculations_APPURT[[#This Row],[Brackets]],0) * cv_M/cv_F * Forces_APPURT[[#This Row],[Gamma Fa 225]] * Calculations_APPURT[[#This Row],[Horizontal Offset]]/12</f>
        <v>0</v>
      </c>
      <c r="MT5" s="276">
        <f>IFERROR(1/Calculations_APPURT[[#This Row],[Brackets]],0) * cv_M/cv_F * Forces_APPURT[[#This Row],[Gamma Fa 240]] * Calculations_APPURT[[#This Row],[Horizontal Offset]]/12</f>
        <v>0</v>
      </c>
      <c r="MU5" s="276">
        <f>IFERROR(1/Calculations_APPURT[[#This Row],[Brackets]],0) * cv_M/cv_F * Forces_APPURT[[#This Row],[Gamma Fa 270]] * Calculations_APPURT[[#This Row],[Horizontal Offset]]/12</f>
        <v>0</v>
      </c>
      <c r="MV5" s="276">
        <f>IFERROR(1/Calculations_APPURT[[#This Row],[Brackets]],0) * cv_M/cv_F * Forces_APPURT[[#This Row],[Gamma Fa 300]] * Calculations_APPURT[[#This Row],[Horizontal Offset]]/12</f>
        <v>0</v>
      </c>
      <c r="MW5" s="276">
        <f>IFERROR(1/Calculations_APPURT[[#This Row],[Brackets]],0) * cv_M/cv_F * Forces_APPURT[[#This Row],[Gamma Fa 315]] * Calculations_APPURT[[#This Row],[Horizontal Offset]]/12</f>
        <v>0</v>
      </c>
      <c r="MX5" s="276">
        <f>IFERROR(1/Calculations_APPURT[[#This Row],[Brackets]],0) * cv_M/cv_F * Forces_APPURT[[#This Row],[Gamma Fa 330]] * Calculations_APPURT[[#This Row],[Horizontal Offset]]/12</f>
        <v>0</v>
      </c>
      <c r="MY5" s="276">
        <f>IFERROR(1/Calculations_APPURT[[#This Row],[Brackets]],0) * cv_M/cv_F * Forces_APPURT[[#This Row],[Delta Fa 0]] * Calculations_APPURT[[#This Row],[Horizontal Offset]]/12</f>
        <v>0</v>
      </c>
      <c r="MZ5" s="276">
        <f>IFERROR(1/Calculations_APPURT[[#This Row],[Brackets]],0) * cv_M/cv_F * Forces_APPURT[[#This Row],[Delta Fa 30]] * Calculations_APPURT[[#This Row],[Horizontal Offset]]/12</f>
        <v>0</v>
      </c>
      <c r="NA5" s="276">
        <f>IFERROR(1/Calculations_APPURT[[#This Row],[Brackets]],0) * cv_M/cv_F * Forces_APPURT[[#This Row],[Delta Fa 45]] * Calculations_APPURT[[#This Row],[Horizontal Offset]]/12</f>
        <v>0</v>
      </c>
      <c r="NB5" s="276">
        <f>IFERROR(1/Calculations_APPURT[[#This Row],[Brackets]],0) * cv_M/cv_F * Forces_APPURT[[#This Row],[Delta Fa 60]] * Calculations_APPURT[[#This Row],[Horizontal Offset]]/12</f>
        <v>0</v>
      </c>
      <c r="NC5" s="276">
        <f>IFERROR(1/Calculations_APPURT[[#This Row],[Brackets]],0) * cv_M/cv_F * Forces_APPURT[[#This Row],[Delta Fa 90]] * Calculations_APPURT[[#This Row],[Horizontal Offset]]/12</f>
        <v>0</v>
      </c>
      <c r="ND5" s="276">
        <f>IFERROR(1/Calculations_APPURT[[#This Row],[Brackets]],0) * cv_M/cv_F * Forces_APPURT[[#This Row],[Delta Fa 120]] * Calculations_APPURT[[#This Row],[Horizontal Offset]]/12</f>
        <v>0</v>
      </c>
      <c r="NE5" s="276">
        <f>IFERROR(1/Calculations_APPURT[[#This Row],[Brackets]],0) * cv_M/cv_F * Forces_APPURT[[#This Row],[Delta Fa 135]] * Calculations_APPURT[[#This Row],[Horizontal Offset]]/12</f>
        <v>0</v>
      </c>
      <c r="NF5" s="276">
        <f>IFERROR(1/Calculations_APPURT[[#This Row],[Brackets]],0) * cv_M/cv_F * Forces_APPURT[[#This Row],[Delta Fa 150]] * Calculations_APPURT[[#This Row],[Horizontal Offset]]/12</f>
        <v>0</v>
      </c>
      <c r="NG5" s="276">
        <f>IFERROR(1/Calculations_APPURT[[#This Row],[Brackets]],0) * cv_M/cv_F * Forces_APPURT[[#This Row],[Delta Fa 180]] * Calculations_APPURT[[#This Row],[Horizontal Offset]]/12</f>
        <v>0</v>
      </c>
      <c r="NH5" s="276">
        <f>IFERROR(1/Calculations_APPURT[[#This Row],[Brackets]],0) * cv_M/cv_F * Forces_APPURT[[#This Row],[Delta Fa 210]] * Calculations_APPURT[[#This Row],[Horizontal Offset]]/12</f>
        <v>0</v>
      </c>
      <c r="NI5" s="276">
        <f>IFERROR(1/Calculations_APPURT[[#This Row],[Brackets]],0) * cv_M/cv_F * Forces_APPURT[[#This Row],[Delta Fa 225]] * Calculations_APPURT[[#This Row],[Horizontal Offset]]/12</f>
        <v>0</v>
      </c>
      <c r="NJ5" s="276">
        <f>IFERROR(1/Calculations_APPURT[[#This Row],[Brackets]],0) * cv_M/cv_F * Forces_APPURT[[#This Row],[Delta Fa 240]] * Calculations_APPURT[[#This Row],[Horizontal Offset]]/12</f>
        <v>0</v>
      </c>
      <c r="NK5" s="276">
        <f>IFERROR(1/Calculations_APPURT[[#This Row],[Brackets]],0) * cv_M/cv_F * Forces_APPURT[[#This Row],[Delta Fa 270]] * Calculations_APPURT[[#This Row],[Horizontal Offset]]/12</f>
        <v>0</v>
      </c>
      <c r="NL5" s="276">
        <f>IFERROR(1/Calculations_APPURT[[#This Row],[Brackets]],0) * cv_M/cv_F * Forces_APPURT[[#This Row],[Delta Fa 300]] * Calculations_APPURT[[#This Row],[Horizontal Offset]]/12</f>
        <v>0</v>
      </c>
      <c r="NM5" s="276">
        <f>IFERROR(1/Calculations_APPURT[[#This Row],[Brackets]],0) * cv_M/cv_F * Forces_APPURT[[#This Row],[Delta Fa 315]] * Calculations_APPURT[[#This Row],[Horizontal Offset]]/12</f>
        <v>0</v>
      </c>
      <c r="NN5" s="276">
        <f>IFERROR(1/Calculations_APPURT[[#This Row],[Brackets]],0) * cv_M/cv_F * Forces_APPURT[[#This Row],[Delta Fa 330]] * Calculations_APPURT[[#This Row],[Horizontal Offset]]/12</f>
        <v>0</v>
      </c>
      <c r="NO5" s="276">
        <f>IFERROR(1/Calculations_APPURT[[#This Row],[Brackets]],0) * cv_M/cv_F * Forces_APPURT[[#This Row],[Alpha Fai 0]] * Calculations_APPURT[[#This Row],[Horizontal Offset]]/12</f>
        <v>0</v>
      </c>
      <c r="NP5" s="276">
        <f>IFERROR(1/Calculations_APPURT[[#This Row],[Brackets]],0) * cv_M/cv_F * Forces_APPURT[[#This Row],[Alpha Fai 30]] * Calculations_APPURT[[#This Row],[Horizontal Offset]]/12</f>
        <v>0</v>
      </c>
      <c r="NQ5" s="276">
        <f>IFERROR(1/Calculations_APPURT[[#This Row],[Brackets]],0) * cv_M/cv_F * Forces_APPURT[[#This Row],[Alpha Fai 45]] * Calculations_APPURT[[#This Row],[Horizontal Offset]]/12</f>
        <v>0</v>
      </c>
      <c r="NR5" s="276">
        <f>IFERROR(1/Calculations_APPURT[[#This Row],[Brackets]],0) * cv_M/cv_F * Forces_APPURT[[#This Row],[Alpha Fai 60]] * Calculations_APPURT[[#This Row],[Horizontal Offset]]/12</f>
        <v>0</v>
      </c>
      <c r="NS5" s="276">
        <f>IFERROR(1/Calculations_APPURT[[#This Row],[Brackets]],0) * cv_M/cv_F * Forces_APPURT[[#This Row],[Alpha Fai 90]] * Calculations_APPURT[[#This Row],[Horizontal Offset]]/12</f>
        <v>0</v>
      </c>
      <c r="NT5" s="276">
        <f>IFERROR(1/Calculations_APPURT[[#This Row],[Brackets]],0) * cv_M/cv_F * Forces_APPURT[[#This Row],[Alpha Fai 120]] * Calculations_APPURT[[#This Row],[Horizontal Offset]]/12</f>
        <v>0</v>
      </c>
      <c r="NU5" s="276">
        <f>IFERROR(1/Calculations_APPURT[[#This Row],[Brackets]],0) * cv_M/cv_F * Forces_APPURT[[#This Row],[Alpha Fai 135]] * Calculations_APPURT[[#This Row],[Horizontal Offset]]/12</f>
        <v>0</v>
      </c>
      <c r="NV5" s="276">
        <f>IFERROR(1/Calculations_APPURT[[#This Row],[Brackets]],0) * cv_M/cv_F * Forces_APPURT[[#This Row],[Alpha Fai 150]] * Calculations_APPURT[[#This Row],[Horizontal Offset]]/12</f>
        <v>0</v>
      </c>
      <c r="NW5" s="276">
        <f>IFERROR(1/Calculations_APPURT[[#This Row],[Brackets]],0) * cv_M/cv_F * Forces_APPURT[[#This Row],[Alpha Fai 180]] * Calculations_APPURT[[#This Row],[Horizontal Offset]]/12</f>
        <v>0</v>
      </c>
      <c r="NX5" s="276">
        <f>IFERROR(1/Calculations_APPURT[[#This Row],[Brackets]],0) * cv_M/cv_F * Forces_APPURT[[#This Row],[Alpha Fai 210]] * Calculations_APPURT[[#This Row],[Horizontal Offset]]/12</f>
        <v>0</v>
      </c>
      <c r="NY5" s="276">
        <f>IFERROR(1/Calculations_APPURT[[#This Row],[Brackets]],0) * cv_M/cv_F * Forces_APPURT[[#This Row],[Alpha Fai 225]] * Calculations_APPURT[[#This Row],[Horizontal Offset]]/12</f>
        <v>0</v>
      </c>
      <c r="NZ5" s="276">
        <f>IFERROR(1/Calculations_APPURT[[#This Row],[Brackets]],0) * cv_M/cv_F * Forces_APPURT[[#This Row],[Alpha Fai 240]] * Calculations_APPURT[[#This Row],[Horizontal Offset]]/12</f>
        <v>0</v>
      </c>
      <c r="OA5" s="276">
        <f>IFERROR(1/Calculations_APPURT[[#This Row],[Brackets]],0) * cv_M/cv_F * Forces_APPURT[[#This Row],[Alpha Fai 270]] * Calculations_APPURT[[#This Row],[Horizontal Offset]]/12</f>
        <v>0</v>
      </c>
      <c r="OB5" s="276">
        <f>IFERROR(1/Calculations_APPURT[[#This Row],[Brackets]],0) * cv_M/cv_F * Forces_APPURT[[#This Row],[Alpha Fai 300]] * Calculations_APPURT[[#This Row],[Horizontal Offset]]/12</f>
        <v>0</v>
      </c>
      <c r="OC5" s="276">
        <f>IFERROR(1/Calculations_APPURT[[#This Row],[Brackets]],0) * cv_M/cv_F * Forces_APPURT[[#This Row],[Alpha Fai 315]] * Calculations_APPURT[[#This Row],[Horizontal Offset]]/12</f>
        <v>0</v>
      </c>
      <c r="OD5" s="276">
        <f>IFERROR(1/Calculations_APPURT[[#This Row],[Brackets]],0) * cv_M/cv_F * Forces_APPURT[[#This Row],[Alpha Fai 330]] * Calculations_APPURT[[#This Row],[Horizontal Offset]]/12</f>
        <v>0</v>
      </c>
      <c r="OE5" s="276">
        <f>IFERROR(1/Calculations_APPURT[[#This Row],[Brackets]],0) * cv_M/cv_F * Forces_APPURT[[#This Row],[Beta Fai 0]] * Calculations_APPURT[[#This Row],[Horizontal Offset]]/12</f>
        <v>0</v>
      </c>
      <c r="OF5" s="276">
        <f>IFERROR(1/Calculations_APPURT[[#This Row],[Brackets]],0) * cv_M/cv_F * Forces_APPURT[[#This Row],[Beta Fai 30]] * Calculations_APPURT[[#This Row],[Horizontal Offset]]/12</f>
        <v>0</v>
      </c>
      <c r="OG5" s="276">
        <f>IFERROR(1/Calculations_APPURT[[#This Row],[Brackets]],0) * cv_M/cv_F * Forces_APPURT[[#This Row],[Beta Fai 45]] * Calculations_APPURT[[#This Row],[Horizontal Offset]]/12</f>
        <v>0</v>
      </c>
      <c r="OH5" s="276">
        <f>IFERROR(1/Calculations_APPURT[[#This Row],[Brackets]],0) * cv_M/cv_F * Forces_APPURT[[#This Row],[Beta Fai 60]] * Calculations_APPURT[[#This Row],[Horizontal Offset]]/12</f>
        <v>0</v>
      </c>
      <c r="OI5" s="276">
        <f>IFERROR(1/Calculations_APPURT[[#This Row],[Brackets]],0) * cv_M/cv_F * Forces_APPURT[[#This Row],[Beta Fai 90]] * Calculations_APPURT[[#This Row],[Horizontal Offset]]/12</f>
        <v>0</v>
      </c>
      <c r="OJ5" s="276">
        <f>IFERROR(1/Calculations_APPURT[[#This Row],[Brackets]],0) * cv_M/cv_F * Forces_APPURT[[#This Row],[Beta Fai 120]] * Calculations_APPURT[[#This Row],[Horizontal Offset]]/12</f>
        <v>0</v>
      </c>
      <c r="OK5" s="276">
        <f>IFERROR(1/Calculations_APPURT[[#This Row],[Brackets]],0) * cv_M/cv_F * Forces_APPURT[[#This Row],[Beta Fai 135]] * Calculations_APPURT[[#This Row],[Horizontal Offset]]/12</f>
        <v>0</v>
      </c>
      <c r="OL5" s="276">
        <f>IFERROR(1/Calculations_APPURT[[#This Row],[Brackets]],0) * cv_M/cv_F * Forces_APPURT[[#This Row],[Beta Fai 150]] * Calculations_APPURT[[#This Row],[Horizontal Offset]]/12</f>
        <v>0</v>
      </c>
      <c r="OM5" s="276">
        <f>IFERROR(1/Calculations_APPURT[[#This Row],[Brackets]],0) * cv_M/cv_F * Forces_APPURT[[#This Row],[Beta Fai 180]] * Calculations_APPURT[[#This Row],[Horizontal Offset]]/12</f>
        <v>0</v>
      </c>
      <c r="ON5" s="276">
        <f>IFERROR(1/Calculations_APPURT[[#This Row],[Brackets]],0) * cv_M/cv_F * Forces_APPURT[[#This Row],[Beta Fai 210]] * Calculations_APPURT[[#This Row],[Horizontal Offset]]/12</f>
        <v>0</v>
      </c>
      <c r="OO5" s="276">
        <f>IFERROR(1/Calculations_APPURT[[#This Row],[Brackets]],0) * cv_M/cv_F * Forces_APPURT[[#This Row],[Beta Fai 225]] * Calculations_APPURT[[#This Row],[Horizontal Offset]]/12</f>
        <v>0</v>
      </c>
      <c r="OP5" s="276">
        <f>IFERROR(1/Calculations_APPURT[[#This Row],[Brackets]],0) * cv_M/cv_F * Forces_APPURT[[#This Row],[Beta Fai 240]] * Calculations_APPURT[[#This Row],[Horizontal Offset]]/12</f>
        <v>0</v>
      </c>
      <c r="OQ5" s="276">
        <f>IFERROR(1/Calculations_APPURT[[#This Row],[Brackets]],0) * cv_M/cv_F * Forces_APPURT[[#This Row],[Beta Fai 270]] * Calculations_APPURT[[#This Row],[Horizontal Offset]]/12</f>
        <v>0</v>
      </c>
      <c r="OR5" s="276">
        <f>IFERROR(1/Calculations_APPURT[[#This Row],[Brackets]],0) * cv_M/cv_F * Forces_APPURT[[#This Row],[Beta Fai 300]] * Calculations_APPURT[[#This Row],[Horizontal Offset]]/12</f>
        <v>0</v>
      </c>
      <c r="OS5" s="276">
        <f>IFERROR(1/Calculations_APPURT[[#This Row],[Brackets]],0) * cv_M/cv_F * Forces_APPURT[[#This Row],[Beta Fai 315]] * Calculations_APPURT[[#This Row],[Horizontal Offset]]/12</f>
        <v>0</v>
      </c>
      <c r="OT5" s="276">
        <f>IFERROR(1/Calculations_APPURT[[#This Row],[Brackets]],0) * cv_M/cv_F * Forces_APPURT[[#This Row],[Beta Fai 330]] * Calculations_APPURT[[#This Row],[Horizontal Offset]]/12</f>
        <v>0</v>
      </c>
      <c r="OU5" s="276">
        <f>IFERROR(1/Calculations_APPURT[[#This Row],[Brackets]],0) * cv_M/cv_F * Forces_APPURT[[#This Row],[Gamma Fai 0]] * Calculations_APPURT[[#This Row],[Horizontal Offset]]/12</f>
        <v>0</v>
      </c>
      <c r="OV5" s="276">
        <f>IFERROR(1/Calculations_APPURT[[#This Row],[Brackets]],0) * cv_M/cv_F * Forces_APPURT[[#This Row],[Gamma Fai 30]] * Calculations_APPURT[[#This Row],[Horizontal Offset]]/12</f>
        <v>0</v>
      </c>
      <c r="OW5" s="276">
        <f>IFERROR(1/Calculations_APPURT[[#This Row],[Brackets]],0) * cv_M/cv_F * Forces_APPURT[[#This Row],[Gamma Fai 45]] * Calculations_APPURT[[#This Row],[Horizontal Offset]]/12</f>
        <v>0</v>
      </c>
      <c r="OX5" s="276">
        <f>IFERROR(1/Calculations_APPURT[[#This Row],[Brackets]],0) * cv_M/cv_F * Forces_APPURT[[#This Row],[Gamma Fai 60]] * Calculations_APPURT[[#This Row],[Horizontal Offset]]/12</f>
        <v>0</v>
      </c>
      <c r="OY5" s="276">
        <f>IFERROR(1/Calculations_APPURT[[#This Row],[Brackets]],0) * cv_M/cv_F * Forces_APPURT[[#This Row],[Gamma Fai 90]] * Calculations_APPURT[[#This Row],[Horizontal Offset]]/12</f>
        <v>0</v>
      </c>
      <c r="OZ5" s="276">
        <f>IFERROR(1/Calculations_APPURT[[#This Row],[Brackets]],0) * cv_M/cv_F * Forces_APPURT[[#This Row],[Gamma Fai 120]] * Calculations_APPURT[[#This Row],[Horizontal Offset]]/12</f>
        <v>0</v>
      </c>
      <c r="PA5" s="276">
        <f>IFERROR(1/Calculations_APPURT[[#This Row],[Brackets]],0) * cv_M/cv_F * Forces_APPURT[[#This Row],[Gamma Fai 135]] * Calculations_APPURT[[#This Row],[Horizontal Offset]]/12</f>
        <v>0</v>
      </c>
      <c r="PB5" s="276">
        <f>IFERROR(1/Calculations_APPURT[[#This Row],[Brackets]],0) * cv_M/cv_F * Forces_APPURT[[#This Row],[Gamma Fai 150]] * Calculations_APPURT[[#This Row],[Horizontal Offset]]/12</f>
        <v>0</v>
      </c>
      <c r="PC5" s="276">
        <f>IFERROR(1/Calculations_APPURT[[#This Row],[Brackets]],0) * cv_M/cv_F * Forces_APPURT[[#This Row],[Gamma Fai 180]] * Calculations_APPURT[[#This Row],[Horizontal Offset]]/12</f>
        <v>0</v>
      </c>
      <c r="PD5" s="276">
        <f>IFERROR(1/Calculations_APPURT[[#This Row],[Brackets]],0) * cv_M/cv_F * Forces_APPURT[[#This Row],[Gamma Fai 210]] * Calculations_APPURT[[#This Row],[Horizontal Offset]]/12</f>
        <v>0</v>
      </c>
      <c r="PE5" s="276">
        <f>IFERROR(1/Calculations_APPURT[[#This Row],[Brackets]],0) * cv_M/cv_F * Forces_APPURT[[#This Row],[Gamma Fai 225]] * Calculations_APPURT[[#This Row],[Horizontal Offset]]/12</f>
        <v>0</v>
      </c>
      <c r="PF5" s="276">
        <f>IFERROR(1/Calculations_APPURT[[#This Row],[Brackets]],0) * cv_M/cv_F * Forces_APPURT[[#This Row],[Gamma Fai 240]] * Calculations_APPURT[[#This Row],[Horizontal Offset]]/12</f>
        <v>0</v>
      </c>
      <c r="PG5" s="276">
        <f>IFERROR(1/Calculations_APPURT[[#This Row],[Brackets]],0) * cv_M/cv_F * Forces_APPURT[[#This Row],[Gamma Fai 270]] * Calculations_APPURT[[#This Row],[Horizontal Offset]]/12</f>
        <v>0</v>
      </c>
      <c r="PH5" s="276">
        <f>IFERROR(1/Calculations_APPURT[[#This Row],[Brackets]],0) * cv_M/cv_F * Forces_APPURT[[#This Row],[Gamma Fai 300]] * Calculations_APPURT[[#This Row],[Horizontal Offset]]/12</f>
        <v>0</v>
      </c>
      <c r="PI5" s="276">
        <f>IFERROR(1/Calculations_APPURT[[#This Row],[Brackets]],0) * cv_M/cv_F * Forces_APPURT[[#This Row],[Gamma Fai 315]] * Calculations_APPURT[[#This Row],[Horizontal Offset]]/12</f>
        <v>0</v>
      </c>
      <c r="PJ5" s="276">
        <f>IFERROR(1/Calculations_APPURT[[#This Row],[Brackets]],0) * cv_M/cv_F * Forces_APPURT[[#This Row],[Gamma Fai 330]] * Calculations_APPURT[[#This Row],[Horizontal Offset]]/12</f>
        <v>0</v>
      </c>
      <c r="PK5" s="276">
        <f>IFERROR(1/Calculations_APPURT[[#This Row],[Brackets]],0) * cv_M/cv_F * Forces_APPURT[[#This Row],[Delta Fai 0]] * Calculations_APPURT[[#This Row],[Horizontal Offset]]/12</f>
        <v>0</v>
      </c>
      <c r="PL5" s="276">
        <f>IFERROR(1/Calculations_APPURT[[#This Row],[Brackets]],0) * cv_M/cv_F * Forces_APPURT[[#This Row],[Delta Fai 30]] * Calculations_APPURT[[#This Row],[Horizontal Offset]]/12</f>
        <v>0</v>
      </c>
      <c r="PM5" s="276">
        <f>IFERROR(1/Calculations_APPURT[[#This Row],[Brackets]],0) * cv_M/cv_F * Forces_APPURT[[#This Row],[Delta Fai 45]] * Calculations_APPURT[[#This Row],[Horizontal Offset]]/12</f>
        <v>0</v>
      </c>
      <c r="PN5" s="276">
        <f>IFERROR(1/Calculations_APPURT[[#This Row],[Brackets]],0) * cv_M/cv_F * Forces_APPURT[[#This Row],[Delta Fai 60]] * Calculations_APPURT[[#This Row],[Horizontal Offset]]/12</f>
        <v>0</v>
      </c>
      <c r="PO5" s="276">
        <f>IFERROR(1/Calculations_APPURT[[#This Row],[Brackets]],0) * cv_M/cv_F * Forces_APPURT[[#This Row],[Delta Fai 90]] * Calculations_APPURT[[#This Row],[Horizontal Offset]]/12</f>
        <v>0</v>
      </c>
      <c r="PP5" s="276">
        <f>IFERROR(1/Calculations_APPURT[[#This Row],[Brackets]],0) * cv_M/cv_F * Forces_APPURT[[#This Row],[Delta Fai 120]] * Calculations_APPURT[[#This Row],[Horizontal Offset]]/12</f>
        <v>0</v>
      </c>
      <c r="PQ5" s="276">
        <f>IFERROR(1/Calculations_APPURT[[#This Row],[Brackets]],0) * cv_M/cv_F * Forces_APPURT[[#This Row],[Delta Fai 135]] * Calculations_APPURT[[#This Row],[Horizontal Offset]]/12</f>
        <v>0</v>
      </c>
      <c r="PR5" s="276">
        <f>IFERROR(1/Calculations_APPURT[[#This Row],[Brackets]],0) * cv_M/cv_F * Forces_APPURT[[#This Row],[Delta Fai 150]] * Calculations_APPURT[[#This Row],[Horizontal Offset]]/12</f>
        <v>0</v>
      </c>
      <c r="PS5" s="276">
        <f>IFERROR(1/Calculations_APPURT[[#This Row],[Brackets]],0) * cv_M/cv_F * Forces_APPURT[[#This Row],[Delta Fai 180]] * Calculations_APPURT[[#This Row],[Horizontal Offset]]/12</f>
        <v>0</v>
      </c>
      <c r="PT5" s="276">
        <f>IFERROR(1/Calculations_APPURT[[#This Row],[Brackets]],0) * cv_M/cv_F * Forces_APPURT[[#This Row],[Delta Fai 210]] * Calculations_APPURT[[#This Row],[Horizontal Offset]]/12</f>
        <v>0</v>
      </c>
      <c r="PU5" s="276">
        <f>IFERROR(1/Calculations_APPURT[[#This Row],[Brackets]],0) * cv_M/cv_F * Forces_APPURT[[#This Row],[Delta Fai 225]] * Calculations_APPURT[[#This Row],[Horizontal Offset]]/12</f>
        <v>0</v>
      </c>
      <c r="PV5" s="276">
        <f>IFERROR(1/Calculations_APPURT[[#This Row],[Brackets]],0) * cv_M/cv_F * Forces_APPURT[[#This Row],[Delta Fai 240]] * Calculations_APPURT[[#This Row],[Horizontal Offset]]/12</f>
        <v>0</v>
      </c>
      <c r="PW5" s="276">
        <f>IFERROR(1/Calculations_APPURT[[#This Row],[Brackets]],0) * cv_M/cv_F * Forces_APPURT[[#This Row],[Delta Fai 270]] * Calculations_APPURT[[#This Row],[Horizontal Offset]]/12</f>
        <v>0</v>
      </c>
      <c r="PX5" s="276">
        <f>IFERROR(1/Calculations_APPURT[[#This Row],[Brackets]],0) * cv_M/cv_F * Forces_APPURT[[#This Row],[Delta Fai 300]] * Calculations_APPURT[[#This Row],[Horizontal Offset]]/12</f>
        <v>0</v>
      </c>
      <c r="PY5" s="276">
        <f>IFERROR(1/Calculations_APPURT[[#This Row],[Brackets]],0) * cv_M/cv_F * Forces_APPURT[[#This Row],[Delta Fai 315]] * Calculations_APPURT[[#This Row],[Horizontal Offset]]/12</f>
        <v>0</v>
      </c>
      <c r="PZ5" s="276">
        <f>IFERROR(1/Calculations_APPURT[[#This Row],[Brackets]],0) * cv_M/cv_F * Forces_APPURT[[#This Row],[Delta Fai 330]] * Calculations_APPURT[[#This Row],[Horizontal Offset]]/12</f>
        <v>0</v>
      </c>
      <c r="QA5" s="276">
        <f>IFERROR(1/Calculations_APPURT[[#This Row],[Brackets]],0) * cv_M/cv_F * Forces_APPURT[[#This Row],[Alpha Fa 0]] * Calculations_APPURT[[#This Row],[Lateral Offset]]/12</f>
        <v>0</v>
      </c>
      <c r="QB5" s="276">
        <f>IFERROR(1/Calculations_APPURT[[#This Row],[Brackets]],0) * cv_M/cv_F * Forces_APPURT[[#This Row],[Alpha Fa 30]] * Calculations_APPURT[[#This Row],[Lateral Offset]]/12</f>
        <v>0</v>
      </c>
      <c r="QC5" s="276">
        <f>IFERROR(1/Calculations_APPURT[[#This Row],[Brackets]],0) * cv_M/cv_F * Forces_APPURT[[#This Row],[Alpha Fa 45]] * Calculations_APPURT[[#This Row],[Lateral Offset]]/12</f>
        <v>0</v>
      </c>
      <c r="QD5" s="276">
        <f>IFERROR(1/Calculations_APPURT[[#This Row],[Brackets]],0) * cv_M/cv_F * Forces_APPURT[[#This Row],[Alpha Fa 60]] * Calculations_APPURT[[#This Row],[Lateral Offset]]/12</f>
        <v>0</v>
      </c>
      <c r="QE5" s="276">
        <f>IFERROR(1/Calculations_APPURT[[#This Row],[Brackets]],0) * cv_M/cv_F * Forces_APPURT[[#This Row],[Alpha Fa 90]] * Calculations_APPURT[[#This Row],[Lateral Offset]]/12</f>
        <v>0</v>
      </c>
      <c r="QF5" s="276">
        <f>IFERROR(1/Calculations_APPURT[[#This Row],[Brackets]],0) * cv_M/cv_F * Forces_APPURT[[#This Row],[Alpha Fa 120]] * Calculations_APPURT[[#This Row],[Lateral Offset]]/12</f>
        <v>0</v>
      </c>
      <c r="QG5" s="276">
        <f>IFERROR(1/Calculations_APPURT[[#This Row],[Brackets]],0) * cv_M/cv_F * Forces_APPURT[[#This Row],[Alpha Fa 135]] * Calculations_APPURT[[#This Row],[Lateral Offset]]/12</f>
        <v>0</v>
      </c>
      <c r="QH5" s="276">
        <f>IFERROR(1/Calculations_APPURT[[#This Row],[Brackets]],0) * cv_M/cv_F * Forces_APPURT[[#This Row],[Alpha Fa 150]] * Calculations_APPURT[[#This Row],[Lateral Offset]]/12</f>
        <v>0</v>
      </c>
      <c r="QI5" s="276">
        <f>IFERROR(1/Calculations_APPURT[[#This Row],[Brackets]],0) * cv_M/cv_F * Forces_APPURT[[#This Row],[Alpha Fa 180]] * Calculations_APPURT[[#This Row],[Lateral Offset]]/12</f>
        <v>0</v>
      </c>
      <c r="QJ5" s="276">
        <f>IFERROR(1/Calculations_APPURT[[#This Row],[Brackets]],0) * cv_M/cv_F * Forces_APPURT[[#This Row],[Alpha Fa 210]] * Calculations_APPURT[[#This Row],[Lateral Offset]]/12</f>
        <v>0</v>
      </c>
      <c r="QK5" s="276">
        <f>IFERROR(1/Calculations_APPURT[[#This Row],[Brackets]],0) * cv_M/cv_F * Forces_APPURT[[#This Row],[Alpha Fa 225]] * Calculations_APPURT[[#This Row],[Lateral Offset]]/12</f>
        <v>0</v>
      </c>
      <c r="QL5" s="276">
        <f>IFERROR(1/Calculations_APPURT[[#This Row],[Brackets]],0) * cv_M/cv_F * Forces_APPURT[[#This Row],[Alpha Fa 240]] * Calculations_APPURT[[#This Row],[Lateral Offset]]/12</f>
        <v>0</v>
      </c>
      <c r="QM5" s="276">
        <f>IFERROR(1/Calculations_APPURT[[#This Row],[Brackets]],0) * cv_M/cv_F * Forces_APPURT[[#This Row],[Alpha Fa 270]] * Calculations_APPURT[[#This Row],[Lateral Offset]]/12</f>
        <v>0</v>
      </c>
      <c r="QN5" s="276">
        <f>IFERROR(1/Calculations_APPURT[[#This Row],[Brackets]],0) * cv_M/cv_F * Forces_APPURT[[#This Row],[Alpha Fa 300]] * Calculations_APPURT[[#This Row],[Lateral Offset]]/12</f>
        <v>0</v>
      </c>
      <c r="QO5" s="276">
        <f>IFERROR(1/Calculations_APPURT[[#This Row],[Brackets]],0) * cv_M/cv_F * Forces_APPURT[[#This Row],[Alpha Fa 315]] * Calculations_APPURT[[#This Row],[Lateral Offset]]/12</f>
        <v>0</v>
      </c>
      <c r="QP5" s="276">
        <f>IFERROR(1/Calculations_APPURT[[#This Row],[Brackets]],0) * cv_M/cv_F * Forces_APPURT[[#This Row],[Alpha Fa 330]] * Calculations_APPURT[[#This Row],[Lateral Offset]]/12</f>
        <v>0</v>
      </c>
      <c r="QQ5" s="276">
        <f>IFERROR(1/Calculations_APPURT[[#This Row],[Brackets]],0) * cv_M/cv_F * Forces_APPURT[[#This Row],[Beta Fa 0]] * Calculations_APPURT[[#This Row],[Lateral Offset]]/12</f>
        <v>0</v>
      </c>
      <c r="QR5" s="276">
        <f>IFERROR(1/Calculations_APPURT[[#This Row],[Brackets]],0) * cv_M/cv_F * Forces_APPURT[[#This Row],[Beta Fa 30]] * Calculations_APPURT[[#This Row],[Lateral Offset]]/12</f>
        <v>0</v>
      </c>
      <c r="QS5" s="276">
        <f>IFERROR(1/Calculations_APPURT[[#This Row],[Brackets]],0) * cv_M/cv_F * Forces_APPURT[[#This Row],[Beta Fa 45]] * Calculations_APPURT[[#This Row],[Lateral Offset]]/12</f>
        <v>0</v>
      </c>
      <c r="QT5" s="276">
        <f>IFERROR(1/Calculations_APPURT[[#This Row],[Brackets]],0) * cv_M/cv_F * Forces_APPURT[[#This Row],[Beta Fa 60]] * Calculations_APPURT[[#This Row],[Lateral Offset]]/12</f>
        <v>0</v>
      </c>
      <c r="QU5" s="276">
        <f>IFERROR(1/Calculations_APPURT[[#This Row],[Brackets]],0) * cv_M/cv_F * Forces_APPURT[[#This Row],[Beta Fa 90]] * Calculations_APPURT[[#This Row],[Lateral Offset]]/12</f>
        <v>0</v>
      </c>
      <c r="QV5" s="276">
        <f>IFERROR(1/Calculations_APPURT[[#This Row],[Brackets]],0) * cv_M/cv_F * Forces_APPURT[[#This Row],[Beta Fa 120]] * Calculations_APPURT[[#This Row],[Lateral Offset]]/12</f>
        <v>0</v>
      </c>
      <c r="QW5" s="276">
        <f>IFERROR(1/Calculations_APPURT[[#This Row],[Brackets]],0) * cv_M/cv_F * Forces_APPURT[[#This Row],[Beta Fa 135]] * Calculations_APPURT[[#This Row],[Lateral Offset]]/12</f>
        <v>0</v>
      </c>
      <c r="QX5" s="276">
        <f>IFERROR(1/Calculations_APPURT[[#This Row],[Brackets]],0) * cv_M/cv_F * Forces_APPURT[[#This Row],[Beta Fa 150]] * Calculations_APPURT[[#This Row],[Lateral Offset]]/12</f>
        <v>0</v>
      </c>
      <c r="QY5" s="276">
        <f>IFERROR(1/Calculations_APPURT[[#This Row],[Brackets]],0) * cv_M/cv_F * Forces_APPURT[[#This Row],[Beta Fa 180]] * Calculations_APPURT[[#This Row],[Lateral Offset]]/12</f>
        <v>0</v>
      </c>
      <c r="QZ5" s="276">
        <f>IFERROR(1/Calculations_APPURT[[#This Row],[Brackets]],0) * cv_M/cv_F * Forces_APPURT[[#This Row],[Beta Fa 210]] * Calculations_APPURT[[#This Row],[Lateral Offset]]/12</f>
        <v>0</v>
      </c>
      <c r="RA5" s="276">
        <f>IFERROR(1/Calculations_APPURT[[#This Row],[Brackets]],0) * cv_M/cv_F * Forces_APPURT[[#This Row],[Beta Fa 225]] * Calculations_APPURT[[#This Row],[Lateral Offset]]/12</f>
        <v>0</v>
      </c>
      <c r="RB5" s="276">
        <f>IFERROR(1/Calculations_APPURT[[#This Row],[Brackets]],0) * cv_M/cv_F * Forces_APPURT[[#This Row],[Beta Fa 240]] * Calculations_APPURT[[#This Row],[Lateral Offset]]/12</f>
        <v>0</v>
      </c>
      <c r="RC5" s="276">
        <f>IFERROR(1/Calculations_APPURT[[#This Row],[Brackets]],0) * cv_M/cv_F * Forces_APPURT[[#This Row],[Beta Fa 270]] * Calculations_APPURT[[#This Row],[Lateral Offset]]/12</f>
        <v>0</v>
      </c>
      <c r="RD5" s="276">
        <f>IFERROR(1/Calculations_APPURT[[#This Row],[Brackets]],0) * cv_M/cv_F * Forces_APPURT[[#This Row],[Beta Fa 300]] * Calculations_APPURT[[#This Row],[Lateral Offset]]/12</f>
        <v>0</v>
      </c>
      <c r="RE5" s="276">
        <f>IFERROR(1/Calculations_APPURT[[#This Row],[Brackets]],0) * cv_M/cv_F * Forces_APPURT[[#This Row],[Beta Fa 315]] * Calculations_APPURT[[#This Row],[Lateral Offset]]/12</f>
        <v>0</v>
      </c>
      <c r="RF5" s="276">
        <f>IFERROR(1/Calculations_APPURT[[#This Row],[Brackets]],0) * cv_M/cv_F * Forces_APPURT[[#This Row],[Beta Fa 330]] * Calculations_APPURT[[#This Row],[Lateral Offset]]/12</f>
        <v>0</v>
      </c>
      <c r="RG5" s="276">
        <f>IFERROR(1/Calculations_APPURT[[#This Row],[Brackets]],0) * cv_M/cv_F * Forces_APPURT[[#This Row],[Gamma Fa 0]] * Calculations_APPURT[[#This Row],[Lateral Offset]]/12</f>
        <v>0</v>
      </c>
      <c r="RH5" s="276">
        <f>IFERROR(1/Calculations_APPURT[[#This Row],[Brackets]],0) * cv_M/cv_F * Forces_APPURT[[#This Row],[Gamma Fa 30]] * Calculations_APPURT[[#This Row],[Lateral Offset]]/12</f>
        <v>0</v>
      </c>
      <c r="RI5" s="276">
        <f>IFERROR(1/Calculations_APPURT[[#This Row],[Brackets]],0) * cv_M/cv_F * Forces_APPURT[[#This Row],[Gamma Fa 45]] * Calculations_APPURT[[#This Row],[Lateral Offset]]/12</f>
        <v>0</v>
      </c>
      <c r="RJ5" s="276">
        <f>IFERROR(1/Calculations_APPURT[[#This Row],[Brackets]],0) * cv_M/cv_F * Forces_APPURT[[#This Row],[Gamma Fa 60]] * Calculations_APPURT[[#This Row],[Lateral Offset]]/12</f>
        <v>0</v>
      </c>
      <c r="RK5" s="276">
        <f>IFERROR(1/Calculations_APPURT[[#This Row],[Brackets]],0) * cv_M/cv_F * Forces_APPURT[[#This Row],[Gamma Fa 90]] * Calculations_APPURT[[#This Row],[Lateral Offset]]/12</f>
        <v>0</v>
      </c>
      <c r="RL5" s="276">
        <f>IFERROR(1/Calculations_APPURT[[#This Row],[Brackets]],0) * cv_M/cv_F * Forces_APPURT[[#This Row],[Gamma Fa 120]] * Calculations_APPURT[[#This Row],[Lateral Offset]]/12</f>
        <v>0</v>
      </c>
      <c r="RM5" s="276">
        <f>IFERROR(1/Calculations_APPURT[[#This Row],[Brackets]],0) * cv_M/cv_F * Forces_APPURT[[#This Row],[Gamma Fa 135]] * Calculations_APPURT[[#This Row],[Lateral Offset]]/12</f>
        <v>0</v>
      </c>
      <c r="RN5" s="276">
        <f>IFERROR(1/Calculations_APPURT[[#This Row],[Brackets]],0) * cv_M/cv_F * Forces_APPURT[[#This Row],[Gamma Fa 150]] * Calculations_APPURT[[#This Row],[Lateral Offset]]/12</f>
        <v>0</v>
      </c>
      <c r="RO5" s="276">
        <f>IFERROR(1/Calculations_APPURT[[#This Row],[Brackets]],0) * cv_M/cv_F * Forces_APPURT[[#This Row],[Gamma Fa 180]] * Calculations_APPURT[[#This Row],[Lateral Offset]]/12</f>
        <v>0</v>
      </c>
      <c r="RP5" s="276">
        <f>IFERROR(1/Calculations_APPURT[[#This Row],[Brackets]],0) * cv_M/cv_F * Forces_APPURT[[#This Row],[Gamma Fa 210]] * Calculations_APPURT[[#This Row],[Lateral Offset]]/12</f>
        <v>0</v>
      </c>
      <c r="RQ5" s="276">
        <f>IFERROR(1/Calculations_APPURT[[#This Row],[Brackets]],0) * cv_M/cv_F * Forces_APPURT[[#This Row],[Gamma Fa 225]] * Calculations_APPURT[[#This Row],[Lateral Offset]]/12</f>
        <v>0</v>
      </c>
      <c r="RR5" s="276">
        <f>IFERROR(1/Calculations_APPURT[[#This Row],[Brackets]],0) * cv_M/cv_F * Forces_APPURT[[#This Row],[Gamma Fa 240]] * Calculations_APPURT[[#This Row],[Lateral Offset]]/12</f>
        <v>0</v>
      </c>
      <c r="RS5" s="276">
        <f>IFERROR(1/Calculations_APPURT[[#This Row],[Brackets]],0) * cv_M/cv_F * Forces_APPURT[[#This Row],[Gamma Fa 270]] * Calculations_APPURT[[#This Row],[Lateral Offset]]/12</f>
        <v>0</v>
      </c>
      <c r="RT5" s="276">
        <f>IFERROR(1/Calculations_APPURT[[#This Row],[Brackets]],0) * cv_M/cv_F * Forces_APPURT[[#This Row],[Gamma Fa 300]] * Calculations_APPURT[[#This Row],[Lateral Offset]]/12</f>
        <v>0</v>
      </c>
      <c r="RU5" s="276">
        <f>IFERROR(1/Calculations_APPURT[[#This Row],[Brackets]],0) * cv_M/cv_F * Forces_APPURT[[#This Row],[Gamma Fa 315]] * Calculations_APPURT[[#This Row],[Lateral Offset]]/12</f>
        <v>0</v>
      </c>
      <c r="RV5" s="276">
        <f>IFERROR(1/Calculations_APPURT[[#This Row],[Brackets]],0) * cv_M/cv_F * Forces_APPURT[[#This Row],[Gamma Fa 330]] * Calculations_APPURT[[#This Row],[Lateral Offset]]/12</f>
        <v>0</v>
      </c>
      <c r="RW5" s="276">
        <f>IFERROR(1/Calculations_APPURT[[#This Row],[Brackets]],0) * cv_M/cv_F * Forces_APPURT[[#This Row],[Delta Fa 0]] * Calculations_APPURT[[#This Row],[Lateral Offset]]/12</f>
        <v>0</v>
      </c>
      <c r="RX5" s="276">
        <f>IFERROR(1/Calculations_APPURT[[#This Row],[Brackets]],0) * cv_M/cv_F * Forces_APPURT[[#This Row],[Delta Fa 30]] * Calculations_APPURT[[#This Row],[Lateral Offset]]/12</f>
        <v>0</v>
      </c>
      <c r="RY5" s="276">
        <f>IFERROR(1/Calculations_APPURT[[#This Row],[Brackets]],0) * cv_M/cv_F * Forces_APPURT[[#This Row],[Delta Fa 45]] * Calculations_APPURT[[#This Row],[Lateral Offset]]/12</f>
        <v>0</v>
      </c>
      <c r="RZ5" s="276">
        <f>IFERROR(1/Calculations_APPURT[[#This Row],[Brackets]],0) * cv_M/cv_F * Forces_APPURT[[#This Row],[Delta Fa 60]] * Calculations_APPURT[[#This Row],[Lateral Offset]]/12</f>
        <v>0</v>
      </c>
      <c r="SA5" s="276">
        <f>IFERROR(1/Calculations_APPURT[[#This Row],[Brackets]],0) * cv_M/cv_F * Forces_APPURT[[#This Row],[Delta Fa 90]] * Calculations_APPURT[[#This Row],[Lateral Offset]]/12</f>
        <v>0</v>
      </c>
      <c r="SB5" s="276">
        <f>IFERROR(1/Calculations_APPURT[[#This Row],[Brackets]],0) * cv_M/cv_F * Forces_APPURT[[#This Row],[Delta Fa 120]] * Calculations_APPURT[[#This Row],[Lateral Offset]]/12</f>
        <v>0</v>
      </c>
      <c r="SC5" s="276">
        <f>IFERROR(1/Calculations_APPURT[[#This Row],[Brackets]],0) * cv_M/cv_F * Forces_APPURT[[#This Row],[Delta Fa 135]] * Calculations_APPURT[[#This Row],[Lateral Offset]]/12</f>
        <v>0</v>
      </c>
      <c r="SD5" s="276">
        <f>IFERROR(1/Calculations_APPURT[[#This Row],[Brackets]],0) * cv_M/cv_F * Forces_APPURT[[#This Row],[Delta Fa 150]] * Calculations_APPURT[[#This Row],[Lateral Offset]]/12</f>
        <v>0</v>
      </c>
      <c r="SE5" s="276">
        <f>IFERROR(1/Calculations_APPURT[[#This Row],[Brackets]],0) * cv_M/cv_F * Forces_APPURT[[#This Row],[Delta Fa 180]] * Calculations_APPURT[[#This Row],[Lateral Offset]]/12</f>
        <v>0</v>
      </c>
      <c r="SF5" s="276">
        <f>IFERROR(1/Calculations_APPURT[[#This Row],[Brackets]],0) * cv_M/cv_F * Forces_APPURT[[#This Row],[Delta Fa 210]] * Calculations_APPURT[[#This Row],[Lateral Offset]]/12</f>
        <v>0</v>
      </c>
      <c r="SG5" s="276">
        <f>IFERROR(1/Calculations_APPURT[[#This Row],[Brackets]],0) * cv_M/cv_F * Forces_APPURT[[#This Row],[Delta Fa 225]] * Calculations_APPURT[[#This Row],[Lateral Offset]]/12</f>
        <v>0</v>
      </c>
      <c r="SH5" s="276">
        <f>IFERROR(1/Calculations_APPURT[[#This Row],[Brackets]],0) * cv_M/cv_F * Forces_APPURT[[#This Row],[Delta Fa 240]] * Calculations_APPURT[[#This Row],[Lateral Offset]]/12</f>
        <v>0</v>
      </c>
      <c r="SI5" s="276">
        <f>IFERROR(1/Calculations_APPURT[[#This Row],[Brackets]],0) * cv_M/cv_F * Forces_APPURT[[#This Row],[Delta Fa 270]] * Calculations_APPURT[[#This Row],[Lateral Offset]]/12</f>
        <v>0</v>
      </c>
      <c r="SJ5" s="276">
        <f>IFERROR(1/Calculations_APPURT[[#This Row],[Brackets]],0) * cv_M/cv_F * Forces_APPURT[[#This Row],[Delta Fa 300]] * Calculations_APPURT[[#This Row],[Lateral Offset]]/12</f>
        <v>0</v>
      </c>
      <c r="SK5" s="276">
        <f>IFERROR(1/Calculations_APPURT[[#This Row],[Brackets]],0) * cv_M/cv_F * Forces_APPURT[[#This Row],[Delta Fa 315]] * Calculations_APPURT[[#This Row],[Lateral Offset]]/12</f>
        <v>0</v>
      </c>
      <c r="SL5" s="276">
        <f>IFERROR(1/Calculations_APPURT[[#This Row],[Brackets]],0) * cv_M/cv_F * Forces_APPURT[[#This Row],[Delta Fa 330]] * Calculations_APPURT[[#This Row],[Lateral Offset]]/12</f>
        <v>0</v>
      </c>
      <c r="SM5" s="276">
        <f>IFERROR(1/Calculations_APPURT[[#This Row],[Brackets]],0) * cv_M/cv_F * Forces_APPURT[[#This Row],[Alpha Fai 0]] * Calculations_APPURT[[#This Row],[Lateral Offset]]/12</f>
        <v>0</v>
      </c>
      <c r="SN5" s="276">
        <f>IFERROR(1/Calculations_APPURT[[#This Row],[Brackets]],0) * cv_M/cv_F * Forces_APPURT[[#This Row],[Alpha Fai 30]] * Calculations_APPURT[[#This Row],[Lateral Offset]]/12</f>
        <v>0</v>
      </c>
      <c r="SO5" s="276">
        <f>IFERROR(1/Calculations_APPURT[[#This Row],[Brackets]],0) * cv_M/cv_F * Forces_APPURT[[#This Row],[Alpha Fai 45]] * Calculations_APPURT[[#This Row],[Lateral Offset]]/12</f>
        <v>0</v>
      </c>
      <c r="SP5" s="276">
        <f>IFERROR(1/Calculations_APPURT[[#This Row],[Brackets]],0) * cv_M/cv_F * Forces_APPURT[[#This Row],[Alpha Fai 60]] * Calculations_APPURT[[#This Row],[Lateral Offset]]/12</f>
        <v>0</v>
      </c>
      <c r="SQ5" s="276">
        <f>IFERROR(1/Calculations_APPURT[[#This Row],[Brackets]],0) * cv_M/cv_F * Forces_APPURT[[#This Row],[Alpha Fai 90]] * Calculations_APPURT[[#This Row],[Lateral Offset]]/12</f>
        <v>0</v>
      </c>
      <c r="SR5" s="276">
        <f>IFERROR(1/Calculations_APPURT[[#This Row],[Brackets]],0) * cv_M/cv_F * Forces_APPURT[[#This Row],[Alpha Fai 120]] * Calculations_APPURT[[#This Row],[Lateral Offset]]/12</f>
        <v>0</v>
      </c>
      <c r="SS5" s="276">
        <f>IFERROR(1/Calculations_APPURT[[#This Row],[Brackets]],0) * cv_M/cv_F * Forces_APPURT[[#This Row],[Alpha Fai 135]] * Calculations_APPURT[[#This Row],[Lateral Offset]]/12</f>
        <v>0</v>
      </c>
      <c r="ST5" s="276">
        <f>IFERROR(1/Calculations_APPURT[[#This Row],[Brackets]],0) * cv_M/cv_F * Forces_APPURT[[#This Row],[Alpha Fai 150]] * Calculations_APPURT[[#This Row],[Lateral Offset]]/12</f>
        <v>0</v>
      </c>
      <c r="SU5" s="276">
        <f>IFERROR(1/Calculations_APPURT[[#This Row],[Brackets]],0) * cv_M/cv_F * Forces_APPURT[[#This Row],[Alpha Fai 180]] * Calculations_APPURT[[#This Row],[Lateral Offset]]/12</f>
        <v>0</v>
      </c>
      <c r="SV5" s="276">
        <f>IFERROR(1/Calculations_APPURT[[#This Row],[Brackets]],0) * cv_M/cv_F * Forces_APPURT[[#This Row],[Alpha Fai 210]] * Calculations_APPURT[[#This Row],[Lateral Offset]]/12</f>
        <v>0</v>
      </c>
      <c r="SW5" s="276">
        <f>IFERROR(1/Calculations_APPURT[[#This Row],[Brackets]],0) * cv_M/cv_F * Forces_APPURT[[#This Row],[Alpha Fai 225]] * Calculations_APPURT[[#This Row],[Lateral Offset]]/12</f>
        <v>0</v>
      </c>
      <c r="SX5" s="276">
        <f>IFERROR(1/Calculations_APPURT[[#This Row],[Brackets]],0) * cv_M/cv_F * Forces_APPURT[[#This Row],[Alpha Fai 240]] * Calculations_APPURT[[#This Row],[Lateral Offset]]/12</f>
        <v>0</v>
      </c>
      <c r="SY5" s="276">
        <f>IFERROR(1/Calculations_APPURT[[#This Row],[Brackets]],0) * cv_M/cv_F * Forces_APPURT[[#This Row],[Alpha Fai 270]] * Calculations_APPURT[[#This Row],[Lateral Offset]]/12</f>
        <v>0</v>
      </c>
      <c r="SZ5" s="276">
        <f>IFERROR(1/Calculations_APPURT[[#This Row],[Brackets]],0) * cv_M/cv_F * Forces_APPURT[[#This Row],[Alpha Fai 300]] * Calculations_APPURT[[#This Row],[Lateral Offset]]/12</f>
        <v>0</v>
      </c>
      <c r="TA5" s="276">
        <f>IFERROR(1/Calculations_APPURT[[#This Row],[Brackets]],0) * cv_M/cv_F * Forces_APPURT[[#This Row],[Alpha Fai 315]] * Calculations_APPURT[[#This Row],[Lateral Offset]]/12</f>
        <v>0</v>
      </c>
      <c r="TB5" s="276">
        <f>IFERROR(1/Calculations_APPURT[[#This Row],[Brackets]],0) * cv_M/cv_F * Forces_APPURT[[#This Row],[Alpha Fai 330]] * Calculations_APPURT[[#This Row],[Lateral Offset]]/12</f>
        <v>0</v>
      </c>
      <c r="TC5" s="276">
        <f>IFERROR(1/Calculations_APPURT[[#This Row],[Brackets]],0) * cv_M/cv_F * Forces_APPURT[[#This Row],[Beta Fai 0]] * Calculations_APPURT[[#This Row],[Lateral Offset]]/12</f>
        <v>0</v>
      </c>
      <c r="TD5" s="276">
        <f>IFERROR(1/Calculations_APPURT[[#This Row],[Brackets]],0) * cv_M/cv_F * Forces_APPURT[[#This Row],[Beta Fai 30]] * Calculations_APPURT[[#This Row],[Lateral Offset]]/12</f>
        <v>0</v>
      </c>
      <c r="TE5" s="276">
        <f>IFERROR(1/Calculations_APPURT[[#This Row],[Brackets]],0) * cv_M/cv_F * Forces_APPURT[[#This Row],[Beta Fai 45]] * Calculations_APPURT[[#This Row],[Lateral Offset]]/12</f>
        <v>0</v>
      </c>
      <c r="TF5" s="276">
        <f>IFERROR(1/Calculations_APPURT[[#This Row],[Brackets]],0) * cv_M/cv_F * Forces_APPURT[[#This Row],[Beta Fai 60]] * Calculations_APPURT[[#This Row],[Lateral Offset]]/12</f>
        <v>0</v>
      </c>
      <c r="TG5" s="276">
        <f>IFERROR(1/Calculations_APPURT[[#This Row],[Brackets]],0) * cv_M/cv_F * Forces_APPURT[[#This Row],[Beta Fai 90]] * Calculations_APPURT[[#This Row],[Lateral Offset]]/12</f>
        <v>0</v>
      </c>
      <c r="TH5" s="276">
        <f>IFERROR(1/Calculations_APPURT[[#This Row],[Brackets]],0) * cv_M/cv_F * Forces_APPURT[[#This Row],[Beta Fai 120]] * Calculations_APPURT[[#This Row],[Lateral Offset]]/12</f>
        <v>0</v>
      </c>
      <c r="TI5" s="276">
        <f>IFERROR(1/Calculations_APPURT[[#This Row],[Brackets]],0) * cv_M/cv_F * Forces_APPURT[[#This Row],[Beta Fai 135]] * Calculations_APPURT[[#This Row],[Lateral Offset]]/12</f>
        <v>0</v>
      </c>
      <c r="TJ5" s="276">
        <f>IFERROR(1/Calculations_APPURT[[#This Row],[Brackets]],0) * cv_M/cv_F * Forces_APPURT[[#This Row],[Beta Fai 150]] * Calculations_APPURT[[#This Row],[Lateral Offset]]/12</f>
        <v>0</v>
      </c>
      <c r="TK5" s="276">
        <f>IFERROR(1/Calculations_APPURT[[#This Row],[Brackets]],0) * cv_M/cv_F * Forces_APPURT[[#This Row],[Beta Fai 180]] * Calculations_APPURT[[#This Row],[Lateral Offset]]/12</f>
        <v>0</v>
      </c>
      <c r="TL5" s="276">
        <f>IFERROR(1/Calculations_APPURT[[#This Row],[Brackets]],0) * cv_M/cv_F * Forces_APPURT[[#This Row],[Beta Fai 210]] * Calculations_APPURT[[#This Row],[Lateral Offset]]/12</f>
        <v>0</v>
      </c>
      <c r="TM5" s="276">
        <f>IFERROR(1/Calculations_APPURT[[#This Row],[Brackets]],0) * cv_M/cv_F * Forces_APPURT[[#This Row],[Beta Fai 225]] * Calculations_APPURT[[#This Row],[Lateral Offset]]/12</f>
        <v>0</v>
      </c>
      <c r="TN5" s="276">
        <f>IFERROR(1/Calculations_APPURT[[#This Row],[Brackets]],0) * cv_M/cv_F * Forces_APPURT[[#This Row],[Beta Fai 240]] * Calculations_APPURT[[#This Row],[Lateral Offset]]/12</f>
        <v>0</v>
      </c>
      <c r="TO5" s="276">
        <f>IFERROR(1/Calculations_APPURT[[#This Row],[Brackets]],0) * cv_M/cv_F * Forces_APPURT[[#This Row],[Beta Fai 270]] * Calculations_APPURT[[#This Row],[Lateral Offset]]/12</f>
        <v>0</v>
      </c>
      <c r="TP5" s="276">
        <f>IFERROR(1/Calculations_APPURT[[#This Row],[Brackets]],0) * cv_M/cv_F * Forces_APPURT[[#This Row],[Beta Fai 300]] * Calculations_APPURT[[#This Row],[Lateral Offset]]/12</f>
        <v>0</v>
      </c>
      <c r="TQ5" s="276">
        <f>IFERROR(1/Calculations_APPURT[[#This Row],[Brackets]],0) * cv_M/cv_F * Forces_APPURT[[#This Row],[Beta Fai 315]] * Calculations_APPURT[[#This Row],[Lateral Offset]]/12</f>
        <v>0</v>
      </c>
      <c r="TR5" s="276">
        <f>IFERROR(1/Calculations_APPURT[[#This Row],[Brackets]],0) * cv_M/cv_F * Forces_APPURT[[#This Row],[Beta Fai 330]] * Calculations_APPURT[[#This Row],[Lateral Offset]]/12</f>
        <v>0</v>
      </c>
      <c r="TS5" s="276">
        <f>IFERROR(1/Calculations_APPURT[[#This Row],[Brackets]],0) * cv_M/cv_F * Forces_APPURT[[#This Row],[Gamma Fai 0]] * Calculations_APPURT[[#This Row],[Lateral Offset]]/12</f>
        <v>0</v>
      </c>
      <c r="TT5" s="276">
        <f>IFERROR(1/Calculations_APPURT[[#This Row],[Brackets]],0) * cv_M/cv_F * Forces_APPURT[[#This Row],[Gamma Fai 30]] * Calculations_APPURT[[#This Row],[Lateral Offset]]/12</f>
        <v>0</v>
      </c>
      <c r="TU5" s="276">
        <f>IFERROR(1/Calculations_APPURT[[#This Row],[Brackets]],0) * cv_M/cv_F * Forces_APPURT[[#This Row],[Gamma Fai 45]] * Calculations_APPURT[[#This Row],[Lateral Offset]]/12</f>
        <v>0</v>
      </c>
      <c r="TV5" s="276">
        <f>IFERROR(1/Calculations_APPURT[[#This Row],[Brackets]],0) * cv_M/cv_F * Forces_APPURT[[#This Row],[Gamma Fai 60]] * Calculations_APPURT[[#This Row],[Lateral Offset]]/12</f>
        <v>0</v>
      </c>
      <c r="TW5" s="276">
        <f>IFERROR(1/Calculations_APPURT[[#This Row],[Brackets]],0) * cv_M/cv_F * Forces_APPURT[[#This Row],[Gamma Fai 90]] * Calculations_APPURT[[#This Row],[Lateral Offset]]/12</f>
        <v>0</v>
      </c>
      <c r="TX5" s="276">
        <f>IFERROR(1/Calculations_APPURT[[#This Row],[Brackets]],0) * cv_M/cv_F * Forces_APPURT[[#This Row],[Gamma Fai 120]] * Calculations_APPURT[[#This Row],[Lateral Offset]]/12</f>
        <v>0</v>
      </c>
      <c r="TY5" s="276">
        <f>IFERROR(1/Calculations_APPURT[[#This Row],[Brackets]],0) * cv_M/cv_F * Forces_APPURT[[#This Row],[Gamma Fai 135]] * Calculations_APPURT[[#This Row],[Lateral Offset]]/12</f>
        <v>0</v>
      </c>
      <c r="TZ5" s="276">
        <f>IFERROR(1/Calculations_APPURT[[#This Row],[Brackets]],0) * cv_M/cv_F * Forces_APPURT[[#This Row],[Gamma Fai 150]] * Calculations_APPURT[[#This Row],[Lateral Offset]]/12</f>
        <v>0</v>
      </c>
      <c r="UA5" s="276">
        <f>IFERROR(1/Calculations_APPURT[[#This Row],[Brackets]],0) * cv_M/cv_F * Forces_APPURT[[#This Row],[Gamma Fai 180]] * Calculations_APPURT[[#This Row],[Lateral Offset]]/12</f>
        <v>0</v>
      </c>
      <c r="UB5" s="276">
        <f>IFERROR(1/Calculations_APPURT[[#This Row],[Brackets]],0) * cv_M/cv_F * Forces_APPURT[[#This Row],[Gamma Fai 210]] * Calculations_APPURT[[#This Row],[Lateral Offset]]/12</f>
        <v>0</v>
      </c>
      <c r="UC5" s="276">
        <f>IFERROR(1/Calculations_APPURT[[#This Row],[Brackets]],0) * cv_M/cv_F * Forces_APPURT[[#This Row],[Gamma Fai 225]] * Calculations_APPURT[[#This Row],[Lateral Offset]]/12</f>
        <v>0</v>
      </c>
      <c r="UD5" s="276">
        <f>IFERROR(1/Calculations_APPURT[[#This Row],[Brackets]],0) * cv_M/cv_F * Forces_APPURT[[#This Row],[Gamma Fai 240]] * Calculations_APPURT[[#This Row],[Lateral Offset]]/12</f>
        <v>0</v>
      </c>
      <c r="UE5" s="276">
        <f>IFERROR(1/Calculations_APPURT[[#This Row],[Brackets]],0) * cv_M/cv_F * Forces_APPURT[[#This Row],[Gamma Fai 270]] * Calculations_APPURT[[#This Row],[Lateral Offset]]/12</f>
        <v>0</v>
      </c>
      <c r="UF5" s="276">
        <f>IFERROR(1/Calculations_APPURT[[#This Row],[Brackets]],0) * cv_M/cv_F * Forces_APPURT[[#This Row],[Gamma Fai 300]] * Calculations_APPURT[[#This Row],[Lateral Offset]]/12</f>
        <v>0</v>
      </c>
      <c r="UG5" s="276">
        <f>IFERROR(1/Calculations_APPURT[[#This Row],[Brackets]],0) * cv_M/cv_F * Forces_APPURT[[#This Row],[Gamma Fai 315]] * Calculations_APPURT[[#This Row],[Lateral Offset]]/12</f>
        <v>0</v>
      </c>
      <c r="UH5" s="276">
        <f>IFERROR(1/Calculations_APPURT[[#This Row],[Brackets]],0) * cv_M/cv_F * Forces_APPURT[[#This Row],[Gamma Fai 330]] * Calculations_APPURT[[#This Row],[Lateral Offset]]/12</f>
        <v>0</v>
      </c>
      <c r="UI5" s="276">
        <f>IFERROR(1/Calculations_APPURT[[#This Row],[Brackets]],0) * cv_M/cv_F * Forces_APPURT[[#This Row],[Delta Fai 0]] * Calculations_APPURT[[#This Row],[Lateral Offset]]/12</f>
        <v>0</v>
      </c>
      <c r="UJ5" s="276">
        <f>IFERROR(1/Calculations_APPURT[[#This Row],[Brackets]],0) * cv_M/cv_F * Forces_APPURT[[#This Row],[Delta Fai 30]] * Calculations_APPURT[[#This Row],[Lateral Offset]]/12</f>
        <v>0</v>
      </c>
      <c r="UK5" s="276">
        <f>IFERROR(1/Calculations_APPURT[[#This Row],[Brackets]],0) * cv_M/cv_F * Forces_APPURT[[#This Row],[Delta Fai 45]] * Calculations_APPURT[[#This Row],[Lateral Offset]]/12</f>
        <v>0</v>
      </c>
      <c r="UL5" s="276">
        <f>IFERROR(1/Calculations_APPURT[[#This Row],[Brackets]],0) * cv_M/cv_F * Forces_APPURT[[#This Row],[Delta Fai 60]] * Calculations_APPURT[[#This Row],[Lateral Offset]]/12</f>
        <v>0</v>
      </c>
      <c r="UM5" s="276">
        <f>IFERROR(1/Calculations_APPURT[[#This Row],[Brackets]],0) * cv_M/cv_F * Forces_APPURT[[#This Row],[Delta Fai 90]] * Calculations_APPURT[[#This Row],[Lateral Offset]]/12</f>
        <v>0</v>
      </c>
      <c r="UN5" s="276">
        <f>IFERROR(1/Calculations_APPURT[[#This Row],[Brackets]],0) * cv_M/cv_F * Forces_APPURT[[#This Row],[Delta Fai 120]] * Calculations_APPURT[[#This Row],[Lateral Offset]]/12</f>
        <v>0</v>
      </c>
      <c r="UO5" s="276">
        <f>IFERROR(1/Calculations_APPURT[[#This Row],[Brackets]],0) * cv_M/cv_F * Forces_APPURT[[#This Row],[Delta Fai 135]] * Calculations_APPURT[[#This Row],[Lateral Offset]]/12</f>
        <v>0</v>
      </c>
      <c r="UP5" s="276">
        <f>IFERROR(1/Calculations_APPURT[[#This Row],[Brackets]],0) * cv_M/cv_F * Forces_APPURT[[#This Row],[Delta Fai 150]] * Calculations_APPURT[[#This Row],[Lateral Offset]]/12</f>
        <v>0</v>
      </c>
      <c r="UQ5" s="276">
        <f>IFERROR(1/Calculations_APPURT[[#This Row],[Brackets]],0) * cv_M/cv_F * Forces_APPURT[[#This Row],[Delta Fai 180]] * Calculations_APPURT[[#This Row],[Lateral Offset]]/12</f>
        <v>0</v>
      </c>
      <c r="UR5" s="276">
        <f>IFERROR(1/Calculations_APPURT[[#This Row],[Brackets]],0) * cv_M/cv_F * Forces_APPURT[[#This Row],[Delta Fai 210]] * Calculations_APPURT[[#This Row],[Lateral Offset]]/12</f>
        <v>0</v>
      </c>
      <c r="US5" s="276">
        <f>IFERROR(1/Calculations_APPURT[[#This Row],[Brackets]],0) * cv_M/cv_F * Forces_APPURT[[#This Row],[Delta Fai 225]] * Calculations_APPURT[[#This Row],[Lateral Offset]]/12</f>
        <v>0</v>
      </c>
      <c r="UT5" s="276">
        <f>IFERROR(1/Calculations_APPURT[[#This Row],[Brackets]],0) * cv_M/cv_F * Forces_APPURT[[#This Row],[Delta Fai 240]] * Calculations_APPURT[[#This Row],[Lateral Offset]]/12</f>
        <v>0</v>
      </c>
      <c r="UU5" s="276">
        <f>IFERROR(1/Calculations_APPURT[[#This Row],[Brackets]],0) * cv_M/cv_F * Forces_APPURT[[#This Row],[Delta Fai 270]] * Calculations_APPURT[[#This Row],[Lateral Offset]]/12</f>
        <v>0</v>
      </c>
      <c r="UV5" s="276">
        <f>IFERROR(1/Calculations_APPURT[[#This Row],[Brackets]],0) * cv_M/cv_F * Forces_APPURT[[#This Row],[Delta Fai 300]] * Calculations_APPURT[[#This Row],[Lateral Offset]]/12</f>
        <v>0</v>
      </c>
      <c r="UW5" s="276">
        <f>IFERROR(1/Calculations_APPURT[[#This Row],[Brackets]],0) * cv_M/cv_F * Forces_APPURT[[#This Row],[Delta Fai 315]] * Calculations_APPURT[[#This Row],[Lateral Offset]]/12</f>
        <v>0</v>
      </c>
      <c r="UX5" s="276">
        <f>IFERROR(1/Calculations_APPURT[[#This Row],[Brackets]],0) * cv_M/cv_F * Forces_APPURT[[#This Row],[Delta Fai 330]] * Calculations_APPURT[[#This Row],[Lateral Offset]]/12</f>
        <v>0</v>
      </c>
      <c r="UY5" s="276">
        <f>Dimensions_APPURT[[#This Row],[Weight (lbf)]] * cv_F * AlphaSector[[#This Row],[Quantity]]</f>
        <v>0</v>
      </c>
      <c r="UZ5" s="276">
        <f>Dimensions_APPURT[[#This Row],[Weight (lbf)]] * cv_F * BetaSector[[#This Row],[Quantity]]</f>
        <v>0</v>
      </c>
      <c r="VA5" s="276">
        <f>Dimensions_APPURT[[#This Row],[Weight (lbf)]] * cv_F * GammaSector[[#This Row],[Quantity]]</f>
        <v>0</v>
      </c>
      <c r="VB5" s="276">
        <f>Dimensions_APPURT[[#This Row],[Weight (lbf)]] * cv_F * DeltaSector[[#This Row],[Quantity]]</f>
        <v>0</v>
      </c>
      <c r="VC5" s="209">
        <f>Dimensions_APPURT[[#This Row],[Weight (lbf)]] * cv_M * AlphaSector[[#This Row],[Quantity]] * Calculations_APPURT[[#This Row],[Horizontal Offset]]/12</f>
        <v>0</v>
      </c>
      <c r="VD5" s="209">
        <f>Dimensions_APPURT[[#This Row],[Weight (lbf)]] * cv_M * BetaSector[[#This Row],[Quantity]] * Calculations_APPURT[[#This Row],[Horizontal Offset]]/12</f>
        <v>0</v>
      </c>
      <c r="VE5" s="209">
        <f>Dimensions_APPURT[[#This Row],[Weight (lbf)]] * cv_M * GammaSector[[#This Row],[Quantity]] * Calculations_APPURT[[#This Row],[Horizontal Offset]]/12</f>
        <v>0</v>
      </c>
      <c r="VF5" s="209">
        <f>Dimensions_APPURT[[#This Row],[Weight (lbf)]] * cv_M * DeltaSector[[#This Row],[Quantity]] * Calculations_APPURT[[#This Row],[Horizontal Offset]]/12</f>
        <v>0</v>
      </c>
      <c r="VG5" s="276">
        <f>Hazards_APPURT[[#This Row],[Ice Weight]] * cv_F * AlphaSector[[#This Row],[Quantity]]</f>
        <v>0</v>
      </c>
      <c r="VH5" s="276">
        <f>Hazards_APPURT[[#This Row],[Ice Weight]] * cv_F * BetaSector[[#This Row],[Quantity]]</f>
        <v>0</v>
      </c>
      <c r="VI5" s="276">
        <f>Hazards_APPURT[[#This Row],[Ice Weight]] * cv_F * GammaSector[[#This Row],[Quantity]]</f>
        <v>0</v>
      </c>
      <c r="VJ5" s="276">
        <f>Hazards_APPURT[[#This Row],[Ice Weight]] * cv_F * DeltaSector[[#This Row],[Quantity]]</f>
        <v>0</v>
      </c>
      <c r="VK5" s="209">
        <f>Hazards_APPURT[[#This Row],[Ice Weight]] * cv_M * AlphaSector[[#This Row],[Quantity]] * Calculations_APPURT[[#This Row],[Horizontal Offset]]/12</f>
        <v>0</v>
      </c>
      <c r="VL5" s="209">
        <f>Hazards_APPURT[[#This Row],[Ice Weight]] * cv_M * BetaSector[[#This Row],[Quantity]] * Calculations_APPURT[[#This Row],[Horizontal Offset]]/12</f>
        <v>0</v>
      </c>
      <c r="VM5" s="209">
        <f>Hazards_APPURT[[#This Row],[Ice Weight]] * cv_M * GammaSector[[#This Row],[Quantity]] * Calculations_APPURT[[#This Row],[Horizontal Offset]]/12</f>
        <v>0</v>
      </c>
      <c r="VN5" s="209">
        <f>Hazards_APPURT[[#This Row],[Ice Weight]] * cv_M * DeltaSector[[#This Row],[Quantity]] * Calculations_APPURT[[#This Row],[Horizontal Offset]]/12</f>
        <v>0</v>
      </c>
    </row>
    <row r="6" spans="1:586" ht="15" customHeight="1" x14ac:dyDescent="0.2">
      <c r="A6" s="69"/>
      <c r="E6" s="265"/>
      <c r="L6" s="69"/>
      <c r="R6" s="70"/>
      <c r="T6" s="69"/>
      <c r="W6" s="69"/>
      <c r="Y6" s="69"/>
      <c r="Z6" s="70"/>
      <c r="AB6" s="69"/>
      <c r="AE6" s="69"/>
      <c r="AG6" s="69"/>
      <c r="AH6" s="70"/>
      <c r="AJ6" s="69"/>
      <c r="AM6" s="69"/>
      <c r="AO6" s="69"/>
      <c r="AP6" s="70"/>
      <c r="AR6" s="69"/>
      <c r="AV6" s="277" cm="1">
        <f t="array" ref="AV6">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6" s="209" cm="1">
        <f t="array" ref="AW6">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6" s="209" cm="1">
        <f t="array" ref="AX6">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6" s="209" cm="1">
        <f t="array" ref="AY6">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6"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6" s="209" cm="1">
        <f t="array" ref="BA6">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6" s="209">
        <f>IF(OR(Calculations_APPURT[[#This Row],[Shape]]="CFD",Calculations_APPURT[[#This Row],[Shape]]="CCI"),1,0.95)</f>
        <v>0.95</v>
      </c>
      <c r="BC6" s="209" cm="1">
        <f t="array" ref="BC6">0.00256 * Hazards_APPURT[[#This Row],[Kz]] * Kzt * Ks * I.wind * V^2 * IF(RIGHT(TIA,1)="G",1,Ke) * IF(OR(Calculations_APPURT[[#This Row],[Shape]]="CFD",Calculations_APPURT[[#This Row],[Shape]]="CCI"),1, Hazards_APPURT[[#This Row],[Kd]]) * Gh</f>
        <v>0</v>
      </c>
      <c r="BD6" s="209">
        <f>IF(Risk="I",0,MIN(((z+Calculations_APPURT[[#This Row],[Vertical Offset]]/12)/33)^(0.1),1.4))</f>
        <v>0</v>
      </c>
      <c r="BE6" s="209" cm="1">
        <f t="array" ref="BE6">IF(Risk="I",0,IF(TIA="ANSI/TIA-222-G",2,1*Kes.i)*ti*I.ice*Hazards_APPURT[[#This Row],[Kiz]]*(Kzt/Ks)^(0.35))</f>
        <v>0</v>
      </c>
      <c r="BF6" s="209" cm="1">
        <f t="array" ref="BF6">0.00256 * Hazards_APPURT[[#This Row],[Kz]] * Kzt * Ks * I.wind * Vi^2 * IF(RIGHT(TIA,1)="G",1,Ke) * IF(OR(Calculations_APPURT[[#This Row],[Shape]]="CFD",Calculations_APPURT[[#This Row],[Shape]]="CCI"),1, Kd) * Gh</f>
        <v>0</v>
      </c>
      <c r="BG6"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6"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6"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6"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6"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6"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6"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6"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6"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6"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6"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6"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6"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6"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6"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6"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6"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6"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6"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6"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6"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6"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6"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6"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6"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6"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6"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6"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6"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6"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6"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6"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6"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6"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6"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6"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6"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6"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6"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6"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6"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6"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6"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6"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6"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6"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6"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6"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6"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6"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6"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6"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6"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6"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6"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6"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6"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6"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6"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6"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6"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6"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6"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6"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6" s="338">
        <f>IFERROR(1/Calculations_APPURT[[#This Row],[Brackets]],0) * cv_F * AlphaSector[[#This Row],[Quantity]] * Hazards_APPURT[[#This Row],[qz]] * CaAa_APPURT[[#This Row],[Alpha 0]] * IF(Calculations_APPURT[[#This Row],[Shape]]="CFD",1, Ka)</f>
        <v>0</v>
      </c>
      <c r="GF6" s="338">
        <f>IFERROR(1/Calculations_APPURT[[#This Row],[Brackets]],0) * cv_F * AlphaSector[[#This Row],[Quantity]] * Hazards_APPURT[[#This Row],[qz]] * CaAa_APPURT[[#This Row],[Alpha 30]] * IF(Calculations_APPURT[[#This Row],[Shape]]="CFD",1, Ka)</f>
        <v>0</v>
      </c>
      <c r="GG6" s="338">
        <f>IFERROR(1/Calculations_APPURT[[#This Row],[Brackets]],0) * cv_F * AlphaSector[[#This Row],[Quantity]] * Hazards_APPURT[[#This Row],[qz]] * CaAa_APPURT[[#This Row],[Alpha 45]] * IF(Calculations_APPURT[[#This Row],[Shape]]="CFD",1, Ka)</f>
        <v>0</v>
      </c>
      <c r="GH6" s="338">
        <f>IFERROR(1/Calculations_APPURT[[#This Row],[Brackets]],0) * cv_F * AlphaSector[[#This Row],[Quantity]] * Hazards_APPURT[[#This Row],[qz]] * CaAa_APPURT[[#This Row],[Alpha 60]] * IF(Calculations_APPURT[[#This Row],[Shape]]="CFD",1, Ka)</f>
        <v>0</v>
      </c>
      <c r="GI6" s="338">
        <f>IFERROR(1/Calculations_APPURT[[#This Row],[Brackets]],0) * cv_F * AlphaSector[[#This Row],[Quantity]] * Hazards_APPURT[[#This Row],[qz]] * CaAa_APPURT[[#This Row],[Alpha 90]] * IF(Calculations_APPURT[[#This Row],[Shape]]="CFD",1, Ka)</f>
        <v>0</v>
      </c>
      <c r="GJ6" s="338">
        <f>IFERROR(1/Calculations_APPURT[[#This Row],[Brackets]],0) * cv_F * AlphaSector[[#This Row],[Quantity]] * Hazards_APPURT[[#This Row],[qz]] * CaAa_APPURT[[#This Row],[Alpha 120]] * IF(Calculations_APPURT[[#This Row],[Shape]]="CFD",1, Ka)</f>
        <v>0</v>
      </c>
      <c r="GK6" s="338">
        <f>IFERROR(1/Calculations_APPURT[[#This Row],[Brackets]],0) * cv_F * AlphaSector[[#This Row],[Quantity]] * Hazards_APPURT[[#This Row],[qz]] * CaAa_APPURT[[#This Row],[Alpha 135]] * IF(Calculations_APPURT[[#This Row],[Shape]]="CFD",1, Ka)</f>
        <v>0</v>
      </c>
      <c r="GL6" s="338">
        <f>IFERROR(1/Calculations_APPURT[[#This Row],[Brackets]],0) * cv_F * AlphaSector[[#This Row],[Quantity]] * Hazards_APPURT[[#This Row],[qz]] * CaAa_APPURT[[#This Row],[Alpha 150]] * IF(Calculations_APPURT[[#This Row],[Shape]]="CFD",1, Ka)</f>
        <v>0</v>
      </c>
      <c r="GM6" s="338">
        <f>IFERROR(1/Calculations_APPURT[[#This Row],[Brackets]],0) * cv_F * AlphaSector[[#This Row],[Quantity]] * Hazards_APPURT[[#This Row],[qz]] * CaAa_APPURT[[#This Row],[Alpha 180]] * IF(Calculations_APPURT[[#This Row],[Shape]]="CFD",1, Ka)</f>
        <v>0</v>
      </c>
      <c r="GN6" s="338">
        <f>IFERROR(1/Calculations_APPURT[[#This Row],[Brackets]],0) * cv_F * AlphaSector[[#This Row],[Quantity]] * Hazards_APPURT[[#This Row],[qz]] * CaAa_APPURT[[#This Row],[Alpha 210]] * IF(Calculations_APPURT[[#This Row],[Shape]]="CFD",1, Ka)</f>
        <v>0</v>
      </c>
      <c r="GO6" s="338">
        <f>IFERROR(1/Calculations_APPURT[[#This Row],[Brackets]],0) * cv_F * AlphaSector[[#This Row],[Quantity]] * Hazards_APPURT[[#This Row],[qz]] * CaAa_APPURT[[#This Row],[Alpha 225]] * IF(Calculations_APPURT[[#This Row],[Shape]]="CFD",1, Ka)</f>
        <v>0</v>
      </c>
      <c r="GP6" s="338">
        <f>IFERROR(1/Calculations_APPURT[[#This Row],[Brackets]],0) * cv_F * AlphaSector[[#This Row],[Quantity]] * Hazards_APPURT[[#This Row],[qz]] * CaAa_APPURT[[#This Row],[Alpha 240]] * IF(Calculations_APPURT[[#This Row],[Shape]]="CFD",1, Ka)</f>
        <v>0</v>
      </c>
      <c r="GQ6" s="338">
        <f>IFERROR(1/Calculations_APPURT[[#This Row],[Brackets]],0) * cv_F * AlphaSector[[#This Row],[Quantity]] * Hazards_APPURT[[#This Row],[qz]] * CaAa_APPURT[[#This Row],[Alpha 270]] * IF(Calculations_APPURT[[#This Row],[Shape]]="CFD",1, Ka)</f>
        <v>0</v>
      </c>
      <c r="GR6" s="338">
        <f>IFERROR(1/Calculations_APPURT[[#This Row],[Brackets]],0) * cv_F * AlphaSector[[#This Row],[Quantity]] * Hazards_APPURT[[#This Row],[qz]] * CaAa_APPURT[[#This Row],[Alpha 300]] * IF(Calculations_APPURT[[#This Row],[Shape]]="CFD",1, Ka)</f>
        <v>0</v>
      </c>
      <c r="GS6" s="338">
        <f>IFERROR(1/Calculations_APPURT[[#This Row],[Brackets]],0) * cv_F * AlphaSector[[#This Row],[Quantity]] * Hazards_APPURT[[#This Row],[qz]] * CaAa_APPURT[[#This Row],[Alpha 315]] * IF(Calculations_APPURT[[#This Row],[Shape]]="CFD",1, Ka)</f>
        <v>0</v>
      </c>
      <c r="GT6" s="338">
        <f>IFERROR(1/Calculations_APPURT[[#This Row],[Brackets]],0) * cv_F * AlphaSector[[#This Row],[Quantity]] * Hazards_APPURT[[#This Row],[qz]] * CaAa_APPURT[[#This Row],[Alpha 330]] * IF(Calculations_APPURT[[#This Row],[Shape]]="CFD",1, Ka)</f>
        <v>0</v>
      </c>
      <c r="GU6" s="276">
        <f>IFERROR(1/Calculations_APPURT[[#This Row],[Brackets]],0) * cv_F * BetaSector[[#This Row],[Quantity]] * Hazards_APPURT[[#This Row],[qz]] * CaAa_APPURT[[#This Row],[Beta 0]] * IF(Calculations_APPURT[[#This Row],[Shape]]="CFD",1, Ka)</f>
        <v>0</v>
      </c>
      <c r="GV6" s="276">
        <f>IFERROR(1/Calculations_APPURT[[#This Row],[Brackets]],0) * cv_F * BetaSector[[#This Row],[Quantity]] * Hazards_APPURT[[#This Row],[qz]] * CaAa_APPURT[[#This Row],[Beta 30]] * IF(Calculations_APPURT[[#This Row],[Shape]]="CFD",1, Ka)</f>
        <v>0</v>
      </c>
      <c r="GW6" s="276">
        <f>IFERROR(1/Calculations_APPURT[[#This Row],[Brackets]],0) * cv_F * BetaSector[[#This Row],[Quantity]] * Hazards_APPURT[[#This Row],[qz]] * CaAa_APPURT[[#This Row],[Beta 45]] * IF(Calculations_APPURT[[#This Row],[Shape]]="CFD",1, Ka)</f>
        <v>0</v>
      </c>
      <c r="GX6" s="276">
        <f>IFERROR(1/Calculations_APPURT[[#This Row],[Brackets]],0) * cv_F * BetaSector[[#This Row],[Quantity]] * Hazards_APPURT[[#This Row],[qz]] * CaAa_APPURT[[#This Row],[Beta 60]] * IF(Calculations_APPURT[[#This Row],[Shape]]="CFD",1, Ka)</f>
        <v>0</v>
      </c>
      <c r="GY6" s="276">
        <f>IFERROR(1/Calculations_APPURT[[#This Row],[Brackets]],0) * cv_F * BetaSector[[#This Row],[Quantity]] * Hazards_APPURT[[#This Row],[qz]] * CaAa_APPURT[[#This Row],[Beta 90]] * IF(Calculations_APPURT[[#This Row],[Shape]]="CFD",1, Ka)</f>
        <v>0</v>
      </c>
      <c r="GZ6" s="276">
        <f>IFERROR(1/Calculations_APPURT[[#This Row],[Brackets]],0) * cv_F * BetaSector[[#This Row],[Quantity]] * Hazards_APPURT[[#This Row],[qz]] * CaAa_APPURT[[#This Row],[Beta 120]] * IF(Calculations_APPURT[[#This Row],[Shape]]="CFD",1, Ka)</f>
        <v>0</v>
      </c>
      <c r="HA6" s="276">
        <f>IFERROR(1/Calculations_APPURT[[#This Row],[Brackets]],0) * cv_F * BetaSector[[#This Row],[Quantity]] * Hazards_APPURT[[#This Row],[qz]] * CaAa_APPURT[[#This Row],[Beta 135]] * IF(Calculations_APPURT[[#This Row],[Shape]]="CFD",1, Ka)</f>
        <v>0</v>
      </c>
      <c r="HB6" s="276">
        <f>IFERROR(1/Calculations_APPURT[[#This Row],[Brackets]],0) * cv_F * BetaSector[[#This Row],[Quantity]] * Hazards_APPURT[[#This Row],[qz]] * CaAa_APPURT[[#This Row],[Beta 150]] * IF(Calculations_APPURT[[#This Row],[Shape]]="CFD",1, Ka)</f>
        <v>0</v>
      </c>
      <c r="HC6" s="276">
        <f>IFERROR(1/Calculations_APPURT[[#This Row],[Brackets]],0) * cv_F * BetaSector[[#This Row],[Quantity]] * Hazards_APPURT[[#This Row],[qz]] * CaAa_APPURT[[#This Row],[Beta 180]] * IF(Calculations_APPURT[[#This Row],[Shape]]="CFD",1, Ka)</f>
        <v>0</v>
      </c>
      <c r="HD6" s="276">
        <f>IFERROR(1/Calculations_APPURT[[#This Row],[Brackets]],0) * cv_F * BetaSector[[#This Row],[Quantity]] * Hazards_APPURT[[#This Row],[qz]] * CaAa_APPURT[[#This Row],[Beta 210]] * IF(Calculations_APPURT[[#This Row],[Shape]]="CFD",1, Ka)</f>
        <v>0</v>
      </c>
      <c r="HE6" s="276">
        <f>IFERROR(1/Calculations_APPURT[[#This Row],[Brackets]],0) * cv_F * BetaSector[[#This Row],[Quantity]] * Hazards_APPURT[[#This Row],[qz]] * CaAa_APPURT[[#This Row],[Beta 225]] * IF(Calculations_APPURT[[#This Row],[Shape]]="CFD",1, Ka)</f>
        <v>0</v>
      </c>
      <c r="HF6" s="276">
        <f>IFERROR(1/Calculations_APPURT[[#This Row],[Brackets]],0) * cv_F * BetaSector[[#This Row],[Quantity]] * Hazards_APPURT[[#This Row],[qz]] * CaAa_APPURT[[#This Row],[Beta 240]] * IF(Calculations_APPURT[[#This Row],[Shape]]="CFD",1, Ka)</f>
        <v>0</v>
      </c>
      <c r="HG6" s="276">
        <f>IFERROR(1/Calculations_APPURT[[#This Row],[Brackets]],0) * cv_F * BetaSector[[#This Row],[Quantity]] * Hazards_APPURT[[#This Row],[qz]] * CaAa_APPURT[[#This Row],[Beta 270]] * IF(Calculations_APPURT[[#This Row],[Shape]]="CFD",1, Ka)</f>
        <v>0</v>
      </c>
      <c r="HH6" s="276">
        <f>IFERROR(1/Calculations_APPURT[[#This Row],[Brackets]],0) * cv_F * BetaSector[[#This Row],[Quantity]] * Hazards_APPURT[[#This Row],[qz]] * CaAa_APPURT[[#This Row],[Beta 300]] * IF(Calculations_APPURT[[#This Row],[Shape]]="CFD",1, Ka)</f>
        <v>0</v>
      </c>
      <c r="HI6" s="276">
        <f>IFERROR(1/Calculations_APPURT[[#This Row],[Brackets]],0) * cv_F * BetaSector[[#This Row],[Quantity]] * Hazards_APPURT[[#This Row],[qz]] * CaAa_APPURT[[#This Row],[Beta 315]] * IF(Calculations_APPURT[[#This Row],[Shape]]="CFD",1, Ka)</f>
        <v>0</v>
      </c>
      <c r="HJ6" s="276">
        <f>IFERROR(1/Calculations_APPURT[[#This Row],[Brackets]],0) * cv_F * BetaSector[[#This Row],[Quantity]] * Hazards_APPURT[[#This Row],[qz]] * CaAa_APPURT[[#This Row],[Beta 330]] * IF(Calculations_APPURT[[#This Row],[Shape]]="CFD",1, Ka)</f>
        <v>0</v>
      </c>
      <c r="HK6" s="338">
        <f>IFERROR(1/Calculations_APPURT[[#This Row],[Brackets]],0) * cv_F * GammaSector[[#This Row],[Quantity]] * Hazards_APPURT[[#This Row],[qz]] * CaAa_APPURT[[#This Row],[Gamma 0]] * IF(Calculations_APPURT[[#This Row],[Shape]]="CFD",1, Ka)</f>
        <v>0</v>
      </c>
      <c r="HL6" s="338">
        <f>IFERROR(1/Calculations_APPURT[[#This Row],[Brackets]],0) * cv_F * GammaSector[[#This Row],[Quantity]] * Hazards_APPURT[[#This Row],[qz]] * CaAa_APPURT[[#This Row],[Gamma 30]] * IF(Calculations_APPURT[[#This Row],[Shape]]="CFD",1, Ka)</f>
        <v>0</v>
      </c>
      <c r="HM6" s="338">
        <f>IFERROR(1/Calculations_APPURT[[#This Row],[Brackets]],0) * cv_F * GammaSector[[#This Row],[Quantity]] * Hazards_APPURT[[#This Row],[qz]] * CaAa_APPURT[[#This Row],[Gamma 45]] * IF(Calculations_APPURT[[#This Row],[Shape]]="CFD",1, Ka)</f>
        <v>0</v>
      </c>
      <c r="HN6" s="338">
        <f>IFERROR(1/Calculations_APPURT[[#This Row],[Brackets]],0) * cv_F * GammaSector[[#This Row],[Quantity]] * Hazards_APPURT[[#This Row],[qz]] * CaAa_APPURT[[#This Row],[Gamma 60]] * IF(Calculations_APPURT[[#This Row],[Shape]]="CFD",1, Ka)</f>
        <v>0</v>
      </c>
      <c r="HO6" s="338">
        <f>IFERROR(1/Calculations_APPURT[[#This Row],[Brackets]],0) * cv_F * GammaSector[[#This Row],[Quantity]] * Hazards_APPURT[[#This Row],[qz]] * CaAa_APPURT[[#This Row],[Gamma 90]] * IF(Calculations_APPURT[[#This Row],[Shape]]="CFD",1, Ka)</f>
        <v>0</v>
      </c>
      <c r="HP6" s="338">
        <f>IFERROR(1/Calculations_APPURT[[#This Row],[Brackets]],0) * cv_F * GammaSector[[#This Row],[Quantity]] * Hazards_APPURT[[#This Row],[qz]] * CaAa_APPURT[[#This Row],[Gamma 120]] * IF(Calculations_APPURT[[#This Row],[Shape]]="CFD",1, Ka)</f>
        <v>0</v>
      </c>
      <c r="HQ6" s="338">
        <f>IFERROR(1/Calculations_APPURT[[#This Row],[Brackets]],0) * cv_F * GammaSector[[#This Row],[Quantity]] * Hazards_APPURT[[#This Row],[qz]] * CaAa_APPURT[[#This Row],[Gamma 135]] * IF(Calculations_APPURT[[#This Row],[Shape]]="CFD",1, Ka)</f>
        <v>0</v>
      </c>
      <c r="HR6" s="338">
        <f>IFERROR(1/Calculations_APPURT[[#This Row],[Brackets]],0) * cv_F * GammaSector[[#This Row],[Quantity]] * Hazards_APPURT[[#This Row],[qz]] * CaAa_APPURT[[#This Row],[Gamma 150]] * IF(Calculations_APPURT[[#This Row],[Shape]]="CFD",1, Ka)</f>
        <v>0</v>
      </c>
      <c r="HS6" s="338">
        <f>IFERROR(1/Calculations_APPURT[[#This Row],[Brackets]],0) * cv_F * GammaSector[[#This Row],[Quantity]] * Hazards_APPURT[[#This Row],[qz]] * CaAa_APPURT[[#This Row],[Gamma 180]] * IF(Calculations_APPURT[[#This Row],[Shape]]="CFD",1, Ka)</f>
        <v>0</v>
      </c>
      <c r="HT6" s="338">
        <f>IFERROR(1/Calculations_APPURT[[#This Row],[Brackets]],0) * cv_F * GammaSector[[#This Row],[Quantity]] * Hazards_APPURT[[#This Row],[qz]] * CaAa_APPURT[[#This Row],[Gamma 210]] * IF(Calculations_APPURT[[#This Row],[Shape]]="CFD",1, Ka)</f>
        <v>0</v>
      </c>
      <c r="HU6" s="338">
        <f>IFERROR(1/Calculations_APPURT[[#This Row],[Brackets]],0) * cv_F * GammaSector[[#This Row],[Quantity]] * Hazards_APPURT[[#This Row],[qz]] * CaAa_APPURT[[#This Row],[Gamma 225]] * IF(Calculations_APPURT[[#This Row],[Shape]]="CFD",1, Ka)</f>
        <v>0</v>
      </c>
      <c r="HV6" s="338">
        <f>IFERROR(1/Calculations_APPURT[[#This Row],[Brackets]],0) * cv_F * GammaSector[[#This Row],[Quantity]] * Hazards_APPURT[[#This Row],[qz]] * CaAa_APPURT[[#This Row],[Gamma 240]] * IF(Calculations_APPURT[[#This Row],[Shape]]="CFD",1, Ka)</f>
        <v>0</v>
      </c>
      <c r="HW6" s="338">
        <f>IFERROR(1/Calculations_APPURT[[#This Row],[Brackets]],0) * cv_F * GammaSector[[#This Row],[Quantity]] * Hazards_APPURT[[#This Row],[qz]] * CaAa_APPURT[[#This Row],[Gamma 270]] * IF(Calculations_APPURT[[#This Row],[Shape]]="CFD",1, Ka)</f>
        <v>0</v>
      </c>
      <c r="HX6" s="338">
        <f>IFERROR(1/Calculations_APPURT[[#This Row],[Brackets]],0) * cv_F * GammaSector[[#This Row],[Quantity]] * Hazards_APPURT[[#This Row],[qz]] * CaAa_APPURT[[#This Row],[Gamma 300]] * IF(Calculations_APPURT[[#This Row],[Shape]]="CFD",1, Ka)</f>
        <v>0</v>
      </c>
      <c r="HY6" s="338">
        <f>IFERROR(1/Calculations_APPURT[[#This Row],[Brackets]],0) * cv_F * GammaSector[[#This Row],[Quantity]] * Hazards_APPURT[[#This Row],[qz]] * CaAa_APPURT[[#This Row],[Gamma 315]] * IF(Calculations_APPURT[[#This Row],[Shape]]="CFD",1, Ka)</f>
        <v>0</v>
      </c>
      <c r="HZ6" s="338">
        <f>IFERROR(1/Calculations_APPURT[[#This Row],[Brackets]],0) * cv_F * GammaSector[[#This Row],[Quantity]] * Hazards_APPURT[[#This Row],[qz]] * CaAa_APPURT[[#This Row],[Gamma 330]] * IF(Calculations_APPURT[[#This Row],[Shape]]="CFD",1, Ka)</f>
        <v>0</v>
      </c>
      <c r="IA6" s="276">
        <f>IFERROR(1/Calculations_APPURT[[#This Row],[Brackets]],0) * cv_F * DeltaSector[[#This Row],[Quantity]] * Hazards_APPURT[[#This Row],[qz]] * CaAa_APPURT[[#This Row],[Delta 0]] * IF(Calculations_APPURT[[#This Row],[Shape]]="CFD",1, Ka)</f>
        <v>0</v>
      </c>
      <c r="IB6" s="276">
        <f>IFERROR(1/Calculations_APPURT[[#This Row],[Brackets]],0) * cv_F * DeltaSector[[#This Row],[Quantity]] * Hazards_APPURT[[#This Row],[qz]] * CaAa_APPURT[[#This Row],[Delta 30]] * IF(Calculations_APPURT[[#This Row],[Shape]]="CFD",1, Ka)</f>
        <v>0</v>
      </c>
      <c r="IC6" s="276">
        <f>IFERROR(1/Calculations_APPURT[[#This Row],[Brackets]],0) * cv_F * DeltaSector[[#This Row],[Quantity]] * Hazards_APPURT[[#This Row],[qz]] * CaAa_APPURT[[#This Row],[Delta 45]] * IF(Calculations_APPURT[[#This Row],[Shape]]="CFD",1, Ka)</f>
        <v>0</v>
      </c>
      <c r="ID6" s="276">
        <f>IFERROR(1/Calculations_APPURT[[#This Row],[Brackets]],0) * cv_F * DeltaSector[[#This Row],[Quantity]] * Hazards_APPURT[[#This Row],[qz]] * CaAa_APPURT[[#This Row],[Delta 60]] * IF(Calculations_APPURT[[#This Row],[Shape]]="CFD",1, Ka)</f>
        <v>0</v>
      </c>
      <c r="IE6" s="276">
        <f>IFERROR(1/Calculations_APPURT[[#This Row],[Brackets]],0) * cv_F * DeltaSector[[#This Row],[Quantity]] * Hazards_APPURT[[#This Row],[qz]] * CaAa_APPURT[[#This Row],[Delta 90]] * IF(Calculations_APPURT[[#This Row],[Shape]]="CFD",1, Ka)</f>
        <v>0</v>
      </c>
      <c r="IF6" s="276">
        <f>IFERROR(1/Calculations_APPURT[[#This Row],[Brackets]],0) * cv_F * DeltaSector[[#This Row],[Quantity]] * Hazards_APPURT[[#This Row],[qz]] * CaAa_APPURT[[#This Row],[Delta 120]] * IF(Calculations_APPURT[[#This Row],[Shape]]="CFD",1, Ka)</f>
        <v>0</v>
      </c>
      <c r="IG6" s="276">
        <f>IFERROR(1/Calculations_APPURT[[#This Row],[Brackets]],0) * cv_F * DeltaSector[[#This Row],[Quantity]] * Hazards_APPURT[[#This Row],[qz]] * CaAa_APPURT[[#This Row],[Delta 135]] * IF(Calculations_APPURT[[#This Row],[Shape]]="CFD",1, Ka)</f>
        <v>0</v>
      </c>
      <c r="IH6" s="276">
        <f>IFERROR(1/Calculations_APPURT[[#This Row],[Brackets]],0) * cv_F * DeltaSector[[#This Row],[Quantity]] * Hazards_APPURT[[#This Row],[qz]] * CaAa_APPURT[[#This Row],[Delta 150]] * IF(Calculations_APPURT[[#This Row],[Shape]]="CFD",1, Ka)</f>
        <v>0</v>
      </c>
      <c r="II6" s="276">
        <f>IFERROR(1/Calculations_APPURT[[#This Row],[Brackets]],0) * cv_F * DeltaSector[[#This Row],[Quantity]] * Hazards_APPURT[[#This Row],[qz]] * CaAa_APPURT[[#This Row],[Delta 180]] * IF(Calculations_APPURT[[#This Row],[Shape]]="CFD",1, Ka)</f>
        <v>0</v>
      </c>
      <c r="IJ6" s="276">
        <f>IFERROR(1/Calculations_APPURT[[#This Row],[Brackets]],0) * cv_F * DeltaSector[[#This Row],[Quantity]] * Hazards_APPURT[[#This Row],[qz]] * CaAa_APPURT[[#This Row],[Delta 210]] * IF(Calculations_APPURT[[#This Row],[Shape]]="CFD",1, Ka)</f>
        <v>0</v>
      </c>
      <c r="IK6" s="276">
        <f>IFERROR(1/Calculations_APPURT[[#This Row],[Brackets]],0) * cv_F * DeltaSector[[#This Row],[Quantity]] * Hazards_APPURT[[#This Row],[qz]] * CaAa_APPURT[[#This Row],[Delta 225]] * IF(Calculations_APPURT[[#This Row],[Shape]]="CFD",1, Ka)</f>
        <v>0</v>
      </c>
      <c r="IL6" s="276">
        <f>IFERROR(1/Calculations_APPURT[[#This Row],[Brackets]],0) * cv_F * DeltaSector[[#This Row],[Quantity]] * Hazards_APPURT[[#This Row],[qz]] * CaAa_APPURT[[#This Row],[Delta 240]] * IF(Calculations_APPURT[[#This Row],[Shape]]="CFD",1, Ka)</f>
        <v>0</v>
      </c>
      <c r="IM6" s="276">
        <f>IFERROR(1/Calculations_APPURT[[#This Row],[Brackets]],0) * cv_F * DeltaSector[[#This Row],[Quantity]] * Hazards_APPURT[[#This Row],[qz]] * CaAa_APPURT[[#This Row],[Delta 270]] * IF(Calculations_APPURT[[#This Row],[Shape]]="CFD",1, Ka)</f>
        <v>0</v>
      </c>
      <c r="IN6" s="276">
        <f>IFERROR(1/Calculations_APPURT[[#This Row],[Brackets]],0) * cv_F * DeltaSector[[#This Row],[Quantity]] * Hazards_APPURT[[#This Row],[qz]] * CaAa_APPURT[[#This Row],[Delta 300]] * IF(Calculations_APPURT[[#This Row],[Shape]]="CFD",1, Ka)</f>
        <v>0</v>
      </c>
      <c r="IO6" s="276">
        <f>IFERROR(1/Calculations_APPURT[[#This Row],[Brackets]],0) * cv_F * DeltaSector[[#This Row],[Quantity]] * Hazards_APPURT[[#This Row],[qz]] * CaAa_APPURT[[#This Row],[Delta 315]] * IF(Calculations_APPURT[[#This Row],[Shape]]="CFD",1, Ka)</f>
        <v>0</v>
      </c>
      <c r="IP6" s="276">
        <f>IFERROR(1/Calculations_APPURT[[#This Row],[Brackets]],0) * cv_F * DeltaSector[[#This Row],[Quantity]] * Hazards_APPURT[[#This Row],[qz]] * CaAa_APPURT[[#This Row],[Delta 330]] * IF(Calculations_APPURT[[#This Row],[Shape]]="CFD",1, Ka)</f>
        <v>0</v>
      </c>
      <c r="IQ6" s="338">
        <f>IFERROR(1/Calculations_APPURT[[#This Row],[Brackets]],0) * cv_F * AlphaSector[[#This Row],[Quantity]] * Hazards_APPURT[[#This Row],[qiz]] * CaAa_APPURT[[#This Row],[Alpha Ice 0]]</f>
        <v>0</v>
      </c>
      <c r="IR6" s="338">
        <f>IFERROR(1/Calculations_APPURT[[#This Row],[Brackets]],0) * cv_F * AlphaSector[[#This Row],[Quantity]] * Hazards_APPURT[[#This Row],[qiz]] * CaAa_APPURT[[#This Row],[Alpha Ice 30]]</f>
        <v>0</v>
      </c>
      <c r="IS6" s="338">
        <f>IFERROR(1/Calculations_APPURT[[#This Row],[Brackets]],0) * cv_F * AlphaSector[[#This Row],[Quantity]] * Hazards_APPURT[[#This Row],[qiz]] * CaAa_APPURT[[#This Row],[Alpha Ice 45]]</f>
        <v>0</v>
      </c>
      <c r="IT6" s="338">
        <f>IFERROR(1/Calculations_APPURT[[#This Row],[Brackets]],0) * cv_F * AlphaSector[[#This Row],[Quantity]] * Hazards_APPURT[[#This Row],[qiz]] * CaAa_APPURT[[#This Row],[Alpha Ice 60]]</f>
        <v>0</v>
      </c>
      <c r="IU6" s="338">
        <f>IFERROR(1/Calculations_APPURT[[#This Row],[Brackets]],0) * cv_F * AlphaSector[[#This Row],[Quantity]] * Hazards_APPURT[[#This Row],[qiz]] * CaAa_APPURT[[#This Row],[Alpha Ice 90]]</f>
        <v>0</v>
      </c>
      <c r="IV6" s="338">
        <f>IFERROR(1/Calculations_APPURT[[#This Row],[Brackets]],0) * cv_F * AlphaSector[[#This Row],[Quantity]] * Hazards_APPURT[[#This Row],[qiz]] * CaAa_APPURT[[#This Row],[Alpha Ice 120]]</f>
        <v>0</v>
      </c>
      <c r="IW6" s="338">
        <f>IFERROR(1/Calculations_APPURT[[#This Row],[Brackets]],0) * cv_F * AlphaSector[[#This Row],[Quantity]] * Hazards_APPURT[[#This Row],[qiz]] * CaAa_APPURT[[#This Row],[Alpha Ice 135]]</f>
        <v>0</v>
      </c>
      <c r="IX6" s="338">
        <f>IFERROR(1/Calculations_APPURT[[#This Row],[Brackets]],0) * cv_F * AlphaSector[[#This Row],[Quantity]] * Hazards_APPURT[[#This Row],[qiz]] * CaAa_APPURT[[#This Row],[Alpha Ice 150]]</f>
        <v>0</v>
      </c>
      <c r="IY6" s="338">
        <f>IFERROR(1/Calculations_APPURT[[#This Row],[Brackets]],0) * cv_F * AlphaSector[[#This Row],[Quantity]] * Hazards_APPURT[[#This Row],[qiz]] * CaAa_APPURT[[#This Row],[Alpha Ice 180]]</f>
        <v>0</v>
      </c>
      <c r="IZ6" s="338">
        <f>IFERROR(1/Calculations_APPURT[[#This Row],[Brackets]],0) * cv_F * AlphaSector[[#This Row],[Quantity]] * Hazards_APPURT[[#This Row],[qiz]] * CaAa_APPURT[[#This Row],[Alpha Ice 210]]</f>
        <v>0</v>
      </c>
      <c r="JA6" s="338">
        <f>IFERROR(1/Calculations_APPURT[[#This Row],[Brackets]],0) * cv_F * AlphaSector[[#This Row],[Quantity]] * Hazards_APPURT[[#This Row],[qiz]] * CaAa_APPURT[[#This Row],[Alpha Ice 225]]</f>
        <v>0</v>
      </c>
      <c r="JB6" s="338">
        <f>IFERROR(1/Calculations_APPURT[[#This Row],[Brackets]],0) * cv_F * AlphaSector[[#This Row],[Quantity]] * Hazards_APPURT[[#This Row],[qiz]] * CaAa_APPURT[[#This Row],[Alpha Ice 240]]</f>
        <v>0</v>
      </c>
      <c r="JC6" s="338">
        <f>IFERROR(1/Calculations_APPURT[[#This Row],[Brackets]],0) * cv_F * AlphaSector[[#This Row],[Quantity]] * Hazards_APPURT[[#This Row],[qiz]] * CaAa_APPURT[[#This Row],[Alpha Ice 270]]</f>
        <v>0</v>
      </c>
      <c r="JD6" s="338">
        <f>IFERROR(1/Calculations_APPURT[[#This Row],[Brackets]],0) * cv_F * AlphaSector[[#This Row],[Quantity]] * Hazards_APPURT[[#This Row],[qiz]] * CaAa_APPURT[[#This Row],[Alpha Ice 300]]</f>
        <v>0</v>
      </c>
      <c r="JE6" s="338">
        <f>IFERROR(1/Calculations_APPURT[[#This Row],[Brackets]],0) * cv_F * AlphaSector[[#This Row],[Quantity]] * Hazards_APPURT[[#This Row],[qiz]] * CaAa_APPURT[[#This Row],[Alpha Ice 315]]</f>
        <v>0</v>
      </c>
      <c r="JF6" s="338">
        <f>IFERROR(1/Calculations_APPURT[[#This Row],[Brackets]],0) * cv_F * AlphaSector[[#This Row],[Quantity]] * Hazards_APPURT[[#This Row],[qiz]] * CaAa_APPURT[[#This Row],[Alpha Ice 330]]</f>
        <v>0</v>
      </c>
      <c r="JG6" s="276">
        <f>IFERROR(1/Calculations_APPURT[[#This Row],[Brackets]],0) * cv_F * BetaSector[[#This Row],[Quantity]] * Hazards_APPURT[[#This Row],[qiz]] * CaAa_APPURT[[#This Row],[Beta Ice 0]]</f>
        <v>0</v>
      </c>
      <c r="JH6" s="276">
        <f>IFERROR(1/Calculations_APPURT[[#This Row],[Brackets]],0) * cv_F * BetaSector[[#This Row],[Quantity]] * Hazards_APPURT[[#This Row],[qiz]] * CaAa_APPURT[[#This Row],[Beta Ice 30]]</f>
        <v>0</v>
      </c>
      <c r="JI6" s="276">
        <f>IFERROR(1/Calculations_APPURT[[#This Row],[Brackets]],0) * cv_F * BetaSector[[#This Row],[Quantity]] * Hazards_APPURT[[#This Row],[qiz]] * CaAa_APPURT[[#This Row],[Beta Ice 45]]</f>
        <v>0</v>
      </c>
      <c r="JJ6" s="276">
        <f>IFERROR(1/Calculations_APPURT[[#This Row],[Brackets]],0) * cv_F * BetaSector[[#This Row],[Quantity]] * Hazards_APPURT[[#This Row],[qiz]] * CaAa_APPURT[[#This Row],[Beta Ice 60]]</f>
        <v>0</v>
      </c>
      <c r="JK6" s="276">
        <f>IFERROR(1/Calculations_APPURT[[#This Row],[Brackets]],0) * cv_F * BetaSector[[#This Row],[Quantity]] * Hazards_APPURT[[#This Row],[qiz]] * CaAa_APPURT[[#This Row],[Beta Ice 90]]</f>
        <v>0</v>
      </c>
      <c r="JL6" s="276">
        <f>IFERROR(1/Calculations_APPURT[[#This Row],[Brackets]],0) * cv_F * BetaSector[[#This Row],[Quantity]] * Hazards_APPURT[[#This Row],[qiz]] * CaAa_APPURT[[#This Row],[Beta Ice 120]]</f>
        <v>0</v>
      </c>
      <c r="JM6" s="276">
        <f>IFERROR(1/Calculations_APPURT[[#This Row],[Brackets]],0) * cv_F * BetaSector[[#This Row],[Quantity]] * Hazards_APPURT[[#This Row],[qiz]] * CaAa_APPURT[[#This Row],[Beta Ice 135]]</f>
        <v>0</v>
      </c>
      <c r="JN6" s="276">
        <f>IFERROR(1/Calculations_APPURT[[#This Row],[Brackets]],0) * cv_F * BetaSector[[#This Row],[Quantity]] * Hazards_APPURT[[#This Row],[qiz]] * CaAa_APPURT[[#This Row],[Beta Ice 150]]</f>
        <v>0</v>
      </c>
      <c r="JO6" s="276">
        <f>IFERROR(1/Calculations_APPURT[[#This Row],[Brackets]],0) * cv_F * BetaSector[[#This Row],[Quantity]] * Hazards_APPURT[[#This Row],[qiz]] * CaAa_APPURT[[#This Row],[Beta Ice 180]]</f>
        <v>0</v>
      </c>
      <c r="JP6" s="276">
        <f>IFERROR(1/Calculations_APPURT[[#This Row],[Brackets]],0) * cv_F * BetaSector[[#This Row],[Quantity]] * Hazards_APPURT[[#This Row],[qiz]] * CaAa_APPURT[[#This Row],[Beta Ice 210]]</f>
        <v>0</v>
      </c>
      <c r="JQ6" s="276">
        <f>IFERROR(1/Calculations_APPURT[[#This Row],[Brackets]],0) * cv_F * BetaSector[[#This Row],[Quantity]] * Hazards_APPURT[[#This Row],[qiz]] * CaAa_APPURT[[#This Row],[Beta Ice 225]]</f>
        <v>0</v>
      </c>
      <c r="JR6" s="276">
        <f>IFERROR(1/Calculations_APPURT[[#This Row],[Brackets]],0) * cv_F * BetaSector[[#This Row],[Quantity]] * Hazards_APPURT[[#This Row],[qiz]] * CaAa_APPURT[[#This Row],[Beta Ice 240]]</f>
        <v>0</v>
      </c>
      <c r="JS6" s="276">
        <f>IFERROR(1/Calculations_APPURT[[#This Row],[Brackets]],0) * cv_F * BetaSector[[#This Row],[Quantity]] * Hazards_APPURT[[#This Row],[qiz]] * CaAa_APPURT[[#This Row],[Beta Ice 270]]</f>
        <v>0</v>
      </c>
      <c r="JT6" s="276">
        <f>IFERROR(1/Calculations_APPURT[[#This Row],[Brackets]],0) * cv_F * BetaSector[[#This Row],[Quantity]] * Hazards_APPURT[[#This Row],[qiz]] * CaAa_APPURT[[#This Row],[Beta Ice 300]]</f>
        <v>0</v>
      </c>
      <c r="JU6" s="276">
        <f>IFERROR(1/Calculations_APPURT[[#This Row],[Brackets]],0) * cv_F * BetaSector[[#This Row],[Quantity]] * Hazards_APPURT[[#This Row],[qiz]] * CaAa_APPURT[[#This Row],[Beta Ice 315]]</f>
        <v>0</v>
      </c>
      <c r="JV6" s="276">
        <f>IFERROR(1/Calculations_APPURT[[#This Row],[Brackets]],0) * cv_F * BetaSector[[#This Row],[Quantity]] * Hazards_APPURT[[#This Row],[qiz]] * CaAa_APPURT[[#This Row],[Beta Ice 330]]</f>
        <v>0</v>
      </c>
      <c r="JW6" s="338">
        <f>IFERROR(1/Calculations_APPURT[[#This Row],[Brackets]],0) * cv_F * GammaSector[[#This Row],[Quantity]] * Hazards_APPURT[[#This Row],[qiz]] * CaAa_APPURT[[#This Row],[Gamma Ice 0]]</f>
        <v>0</v>
      </c>
      <c r="JX6" s="338">
        <f>IFERROR(1/Calculations_APPURT[[#This Row],[Brackets]],0) * cv_F * GammaSector[[#This Row],[Quantity]] * Hazards_APPURT[[#This Row],[qiz]] * CaAa_APPURT[[#This Row],[Gamma Ice 30]]</f>
        <v>0</v>
      </c>
      <c r="JY6" s="338">
        <f>IFERROR(1/Calculations_APPURT[[#This Row],[Brackets]],0) * cv_F * GammaSector[[#This Row],[Quantity]] * Hazards_APPURT[[#This Row],[qiz]] * CaAa_APPURT[[#This Row],[Gamma Ice 45]]</f>
        <v>0</v>
      </c>
      <c r="JZ6" s="338">
        <f>IFERROR(1/Calculations_APPURT[[#This Row],[Brackets]],0) * cv_F * GammaSector[[#This Row],[Quantity]] * Hazards_APPURT[[#This Row],[qiz]] * CaAa_APPURT[[#This Row],[Gamma Ice 60]]</f>
        <v>0</v>
      </c>
      <c r="KA6" s="338">
        <f>IFERROR(1/Calculations_APPURT[[#This Row],[Brackets]],0) * cv_F * GammaSector[[#This Row],[Quantity]] * Hazards_APPURT[[#This Row],[qiz]] * CaAa_APPURT[[#This Row],[Gamma Ice 90]]</f>
        <v>0</v>
      </c>
      <c r="KB6" s="338">
        <f>IFERROR(1/Calculations_APPURT[[#This Row],[Brackets]],0) * cv_F * GammaSector[[#This Row],[Quantity]] * Hazards_APPURT[[#This Row],[qiz]] * CaAa_APPURT[[#This Row],[Gamma Ice 120]]</f>
        <v>0</v>
      </c>
      <c r="KC6" s="338">
        <f>IFERROR(1/Calculations_APPURT[[#This Row],[Brackets]],0) * cv_F * GammaSector[[#This Row],[Quantity]] * Hazards_APPURT[[#This Row],[qiz]] * CaAa_APPURT[[#This Row],[Gamma Ice 135]]</f>
        <v>0</v>
      </c>
      <c r="KD6" s="338">
        <f>IFERROR(1/Calculations_APPURT[[#This Row],[Brackets]],0) * cv_F * GammaSector[[#This Row],[Quantity]] * Hazards_APPURT[[#This Row],[qiz]] * CaAa_APPURT[[#This Row],[Gamma Ice 150]]</f>
        <v>0</v>
      </c>
      <c r="KE6" s="338">
        <f>IFERROR(1/Calculations_APPURT[[#This Row],[Brackets]],0) * cv_F * GammaSector[[#This Row],[Quantity]] * Hazards_APPURT[[#This Row],[qiz]] * CaAa_APPURT[[#This Row],[Gamma Ice 180]]</f>
        <v>0</v>
      </c>
      <c r="KF6" s="338">
        <f>IFERROR(1/Calculations_APPURT[[#This Row],[Brackets]],0) * cv_F * GammaSector[[#This Row],[Quantity]] * Hazards_APPURT[[#This Row],[qiz]] * CaAa_APPURT[[#This Row],[Gamma Ice 210]]</f>
        <v>0</v>
      </c>
      <c r="KG6" s="338">
        <f>IFERROR(1/Calculations_APPURT[[#This Row],[Brackets]],0) * cv_F * GammaSector[[#This Row],[Quantity]] * Hazards_APPURT[[#This Row],[qiz]] * CaAa_APPURT[[#This Row],[Gamma Ice 225]]</f>
        <v>0</v>
      </c>
      <c r="KH6" s="338">
        <f>IFERROR(1/Calculations_APPURT[[#This Row],[Brackets]],0) * cv_F * GammaSector[[#This Row],[Quantity]] * Hazards_APPURT[[#This Row],[qiz]] * CaAa_APPURT[[#This Row],[Gamma Ice 240]]</f>
        <v>0</v>
      </c>
      <c r="KI6" s="338">
        <f>IFERROR(1/Calculations_APPURT[[#This Row],[Brackets]],0) * cv_F * GammaSector[[#This Row],[Quantity]] * Hazards_APPURT[[#This Row],[qiz]] * CaAa_APPURT[[#This Row],[Gamma Ice 270]]</f>
        <v>0</v>
      </c>
      <c r="KJ6" s="338">
        <f>IFERROR(1/Calculations_APPURT[[#This Row],[Brackets]],0) * cv_F * GammaSector[[#This Row],[Quantity]] * Hazards_APPURT[[#This Row],[qiz]] * CaAa_APPURT[[#This Row],[Gamma Ice 300]]</f>
        <v>0</v>
      </c>
      <c r="KK6" s="338">
        <f>IFERROR(1/Calculations_APPURT[[#This Row],[Brackets]],0) * cv_F * GammaSector[[#This Row],[Quantity]] * Hazards_APPURT[[#This Row],[qiz]] * CaAa_APPURT[[#This Row],[Gamma Ice 315]]</f>
        <v>0</v>
      </c>
      <c r="KL6" s="338">
        <f>IFERROR(1/Calculations_APPURT[[#This Row],[Brackets]],0) * cv_F * GammaSector[[#This Row],[Quantity]] * Hazards_APPURT[[#This Row],[qiz]] * CaAa_APPURT[[#This Row],[Gamma Ice 330]]</f>
        <v>0</v>
      </c>
      <c r="KM6" s="276">
        <f>IFERROR(1/Calculations_APPURT[[#This Row],[Brackets]],0) * cv_F * DeltaSector[[#This Row],[Quantity]] * Hazards_APPURT[[#This Row],[qiz]] * CaAa_APPURT[[#This Row],[Delta Ice 0]]</f>
        <v>0</v>
      </c>
      <c r="KN6" s="276">
        <f>IFERROR(1/Calculations_APPURT[[#This Row],[Brackets]],0) * cv_F * DeltaSector[[#This Row],[Quantity]] * Hazards_APPURT[[#This Row],[qiz]] * CaAa_APPURT[[#This Row],[Delta Ice 30]]</f>
        <v>0</v>
      </c>
      <c r="KO6" s="276">
        <f>IFERROR(1/Calculations_APPURT[[#This Row],[Brackets]],0) * cv_F * DeltaSector[[#This Row],[Quantity]] * Hazards_APPURT[[#This Row],[qiz]] * CaAa_APPURT[[#This Row],[Delta Ice 45]]</f>
        <v>0</v>
      </c>
      <c r="KP6" s="276">
        <f>IFERROR(1/Calculations_APPURT[[#This Row],[Brackets]],0) * cv_F * DeltaSector[[#This Row],[Quantity]] * Hazards_APPURT[[#This Row],[qiz]] * CaAa_APPURT[[#This Row],[Delta Ice 60]]</f>
        <v>0</v>
      </c>
      <c r="KQ6" s="276">
        <f>IFERROR(1/Calculations_APPURT[[#This Row],[Brackets]],0) * cv_F * DeltaSector[[#This Row],[Quantity]] * Hazards_APPURT[[#This Row],[qiz]] * CaAa_APPURT[[#This Row],[Delta Ice 90]]</f>
        <v>0</v>
      </c>
      <c r="KR6" s="276">
        <f>IFERROR(1/Calculations_APPURT[[#This Row],[Brackets]],0) * cv_F * DeltaSector[[#This Row],[Quantity]] * Hazards_APPURT[[#This Row],[qiz]] * CaAa_APPURT[[#This Row],[Delta Ice 120]]</f>
        <v>0</v>
      </c>
      <c r="KS6" s="276">
        <f>IFERROR(1/Calculations_APPURT[[#This Row],[Brackets]],0) * cv_F * DeltaSector[[#This Row],[Quantity]] * Hazards_APPURT[[#This Row],[qiz]] * CaAa_APPURT[[#This Row],[Delta Ice 135]]</f>
        <v>0</v>
      </c>
      <c r="KT6" s="276">
        <f>IFERROR(1/Calculations_APPURT[[#This Row],[Brackets]],0) * cv_F * DeltaSector[[#This Row],[Quantity]] * Hazards_APPURT[[#This Row],[qiz]] * CaAa_APPURT[[#This Row],[Delta Ice 150]]</f>
        <v>0</v>
      </c>
      <c r="KU6" s="276">
        <f>IFERROR(1/Calculations_APPURT[[#This Row],[Brackets]],0) * cv_F * DeltaSector[[#This Row],[Quantity]] * Hazards_APPURT[[#This Row],[qiz]] * CaAa_APPURT[[#This Row],[Delta Ice 180]]</f>
        <v>0</v>
      </c>
      <c r="KV6" s="276">
        <f>IFERROR(1/Calculations_APPURT[[#This Row],[Brackets]],0) * cv_F * DeltaSector[[#This Row],[Quantity]] * Hazards_APPURT[[#This Row],[qiz]] * CaAa_APPURT[[#This Row],[Delta Ice 210]]</f>
        <v>0</v>
      </c>
      <c r="KW6" s="276">
        <f>IFERROR(1/Calculations_APPURT[[#This Row],[Brackets]],0) * cv_F * DeltaSector[[#This Row],[Quantity]] * Hazards_APPURT[[#This Row],[qiz]] * CaAa_APPURT[[#This Row],[Delta Ice 225]]</f>
        <v>0</v>
      </c>
      <c r="KX6" s="276">
        <f>IFERROR(1/Calculations_APPURT[[#This Row],[Brackets]],0) * cv_F * DeltaSector[[#This Row],[Quantity]] * Hazards_APPURT[[#This Row],[qiz]] * CaAa_APPURT[[#This Row],[Delta Ice 240]]</f>
        <v>0</v>
      </c>
      <c r="KY6" s="276">
        <f>IFERROR(1/Calculations_APPURT[[#This Row],[Brackets]],0) * cv_F * DeltaSector[[#This Row],[Quantity]] * Hazards_APPURT[[#This Row],[qiz]] * CaAa_APPURT[[#This Row],[Delta Ice 270]]</f>
        <v>0</v>
      </c>
      <c r="KZ6" s="276">
        <f>IFERROR(1/Calculations_APPURT[[#This Row],[Brackets]],0) * cv_F * DeltaSector[[#This Row],[Quantity]] * Hazards_APPURT[[#This Row],[qiz]] * CaAa_APPURT[[#This Row],[Delta Ice 300]]</f>
        <v>0</v>
      </c>
      <c r="LA6" s="276">
        <f>IFERROR(1/Calculations_APPURT[[#This Row],[Brackets]],0) * cv_F * DeltaSector[[#This Row],[Quantity]] * Hazards_APPURT[[#This Row],[qiz]] * CaAa_APPURT[[#This Row],[Delta Ice 315]]</f>
        <v>0</v>
      </c>
      <c r="LB6" s="276">
        <f>IFERROR(1/Calculations_APPURT[[#This Row],[Brackets]],0) * cv_F * DeltaSector[[#This Row],[Quantity]] * Hazards_APPURT[[#This Row],[qiz]] * CaAa_APPURT[[#This Row],[Delta Ice 330]]</f>
        <v>0</v>
      </c>
      <c r="LC6" s="338">
        <f>IFERROR(1/Calculations_APPURT[[#This Row],[Brackets]],0) * cv_M/cv_F * Forces_APPURT[[#This Row],[Alpha Fa 0]] * Calculations_APPURT[[#This Row],[Horizontal Offset]]/12</f>
        <v>0</v>
      </c>
      <c r="LD6" s="338">
        <f>IFERROR(1/Calculations_APPURT[[#This Row],[Brackets]],0) * cv_M/cv_F * Forces_APPURT[[#This Row],[Alpha Fa 30]] * Calculations_APPURT[[#This Row],[Horizontal Offset]]/12</f>
        <v>0</v>
      </c>
      <c r="LE6" s="338">
        <f>IFERROR(1/Calculations_APPURT[[#This Row],[Brackets]],0) * cv_M/cv_F * Forces_APPURT[[#This Row],[Alpha Fa 45]] * Calculations_APPURT[[#This Row],[Horizontal Offset]]/12</f>
        <v>0</v>
      </c>
      <c r="LF6" s="338">
        <f>IFERROR(1/Calculations_APPURT[[#This Row],[Brackets]],0) * cv_M/cv_F * Forces_APPURT[[#This Row],[Alpha Fa 60]] * Calculations_APPURT[[#This Row],[Horizontal Offset]]/12</f>
        <v>0</v>
      </c>
      <c r="LG6" s="338">
        <f>IFERROR(1/Calculations_APPURT[[#This Row],[Brackets]],0) * cv_M/cv_F * Forces_APPURT[[#This Row],[Alpha Fa 90]] * Calculations_APPURT[[#This Row],[Horizontal Offset]]/12</f>
        <v>0</v>
      </c>
      <c r="LH6" s="338">
        <f>IFERROR(1/Calculations_APPURT[[#This Row],[Brackets]],0) * cv_M/cv_F * Forces_APPURT[[#This Row],[Alpha Fa 120]] * Calculations_APPURT[[#This Row],[Horizontal Offset]]/12</f>
        <v>0</v>
      </c>
      <c r="LI6" s="338">
        <f>IFERROR(1/Calculations_APPURT[[#This Row],[Brackets]],0) * cv_M/cv_F * Forces_APPURT[[#This Row],[Alpha Fa 135]] * Calculations_APPURT[[#This Row],[Horizontal Offset]]/12</f>
        <v>0</v>
      </c>
      <c r="LJ6" s="338">
        <f>IFERROR(1/Calculations_APPURT[[#This Row],[Brackets]],0) * cv_M/cv_F * Forces_APPURT[[#This Row],[Alpha Fa 150]] * Calculations_APPURT[[#This Row],[Horizontal Offset]]/12</f>
        <v>0</v>
      </c>
      <c r="LK6" s="338">
        <f>IFERROR(1/Calculations_APPURT[[#This Row],[Brackets]],0) * cv_M/cv_F * Forces_APPURT[[#This Row],[Alpha Fa 180]] * Calculations_APPURT[[#This Row],[Horizontal Offset]]/12</f>
        <v>0</v>
      </c>
      <c r="LL6" s="338">
        <f>IFERROR(1/Calculations_APPURT[[#This Row],[Brackets]],0) * cv_M/cv_F * Forces_APPURT[[#This Row],[Alpha Fa 210]] * Calculations_APPURT[[#This Row],[Horizontal Offset]]/12</f>
        <v>0</v>
      </c>
      <c r="LM6" s="338">
        <f>IFERROR(1/Calculations_APPURT[[#This Row],[Brackets]],0) * cv_M/cv_F * Forces_APPURT[[#This Row],[Alpha Fa 225]] * Calculations_APPURT[[#This Row],[Horizontal Offset]]/12</f>
        <v>0</v>
      </c>
      <c r="LN6" s="338">
        <f>IFERROR(1/Calculations_APPURT[[#This Row],[Brackets]],0) * cv_M/cv_F * Forces_APPURT[[#This Row],[Alpha Fa 240]] * Calculations_APPURT[[#This Row],[Horizontal Offset]]/12</f>
        <v>0</v>
      </c>
      <c r="LO6" s="338">
        <f>IFERROR(1/Calculations_APPURT[[#This Row],[Brackets]],0) * cv_M/cv_F * Forces_APPURT[[#This Row],[Alpha Fa 270]] * Calculations_APPURT[[#This Row],[Horizontal Offset]]/12</f>
        <v>0</v>
      </c>
      <c r="LP6" s="338">
        <f>IFERROR(1/Calculations_APPURT[[#This Row],[Brackets]],0) * cv_M/cv_F * Forces_APPURT[[#This Row],[Alpha Fa 300]] * Calculations_APPURT[[#This Row],[Horizontal Offset]]/12</f>
        <v>0</v>
      </c>
      <c r="LQ6" s="338">
        <f>IFERROR(1/Calculations_APPURT[[#This Row],[Brackets]],0) * cv_M/cv_F * Forces_APPURT[[#This Row],[Alpha Fa 315]] * Calculations_APPURT[[#This Row],[Horizontal Offset]]/12</f>
        <v>0</v>
      </c>
      <c r="LR6" s="338">
        <f>IFERROR(1/Calculations_APPURT[[#This Row],[Brackets]],0) * cv_M/cv_F * Forces_APPURT[[#This Row],[Alpha Fa 330]] * Calculations_APPURT[[#This Row],[Horizontal Offset]]/12</f>
        <v>0</v>
      </c>
      <c r="LS6" s="276">
        <f>IFERROR(1/Calculations_APPURT[[#This Row],[Brackets]],0) * cv_M/cv_F * Forces_APPURT[[#This Row],[Beta Fa 0]] * Calculations_APPURT[[#This Row],[Horizontal Offset]]/12</f>
        <v>0</v>
      </c>
      <c r="LT6" s="276">
        <f>IFERROR(1/Calculations_APPURT[[#This Row],[Brackets]],0) * cv_M/cv_F * Forces_APPURT[[#This Row],[Beta Fa 30]] * Calculations_APPURT[[#This Row],[Horizontal Offset]]/12</f>
        <v>0</v>
      </c>
      <c r="LU6" s="276">
        <f>IFERROR(1/Calculations_APPURT[[#This Row],[Brackets]],0) * cv_M/cv_F * Forces_APPURT[[#This Row],[Beta Fa 45]] * Calculations_APPURT[[#This Row],[Horizontal Offset]]/12</f>
        <v>0</v>
      </c>
      <c r="LV6" s="276">
        <f>IFERROR(1/Calculations_APPURT[[#This Row],[Brackets]],0) * cv_M/cv_F * Forces_APPURT[[#This Row],[Beta Fa 60]] * Calculations_APPURT[[#This Row],[Horizontal Offset]]/12</f>
        <v>0</v>
      </c>
      <c r="LW6" s="276">
        <f>IFERROR(1/Calculations_APPURT[[#This Row],[Brackets]],0) * cv_M/cv_F * Forces_APPURT[[#This Row],[Beta Fa 90]] * Calculations_APPURT[[#This Row],[Horizontal Offset]]/12</f>
        <v>0</v>
      </c>
      <c r="LX6" s="276">
        <f>IFERROR(1/Calculations_APPURT[[#This Row],[Brackets]],0) * cv_M/cv_F * Forces_APPURT[[#This Row],[Beta Fa 120]] * Calculations_APPURT[[#This Row],[Horizontal Offset]]/12</f>
        <v>0</v>
      </c>
      <c r="LY6" s="276">
        <f>IFERROR(1/Calculations_APPURT[[#This Row],[Brackets]],0) * cv_M/cv_F * Forces_APPURT[[#This Row],[Beta Fa 135]] * Calculations_APPURT[[#This Row],[Horizontal Offset]]/12</f>
        <v>0</v>
      </c>
      <c r="LZ6" s="276">
        <f>IFERROR(1/Calculations_APPURT[[#This Row],[Brackets]],0) * cv_M/cv_F * Forces_APPURT[[#This Row],[Beta Fa 150]] * Calculations_APPURT[[#This Row],[Horizontal Offset]]/12</f>
        <v>0</v>
      </c>
      <c r="MA6" s="276">
        <f>IFERROR(1/Calculations_APPURT[[#This Row],[Brackets]],0) * cv_M/cv_F * Forces_APPURT[[#This Row],[Beta Fa 180]] * Calculations_APPURT[[#This Row],[Horizontal Offset]]/12</f>
        <v>0</v>
      </c>
      <c r="MB6" s="276">
        <f>IFERROR(1/Calculations_APPURT[[#This Row],[Brackets]],0) * cv_M/cv_F * Forces_APPURT[[#This Row],[Beta Fa 210]] * Calculations_APPURT[[#This Row],[Horizontal Offset]]/12</f>
        <v>0</v>
      </c>
      <c r="MC6" s="276">
        <f>IFERROR(1/Calculations_APPURT[[#This Row],[Brackets]],0) * cv_M/cv_F * Forces_APPURT[[#This Row],[Beta Fa 225]] * Calculations_APPURT[[#This Row],[Horizontal Offset]]/12</f>
        <v>0</v>
      </c>
      <c r="MD6" s="276">
        <f>IFERROR(1/Calculations_APPURT[[#This Row],[Brackets]],0) * cv_M/cv_F * Forces_APPURT[[#This Row],[Beta Fa 240]] * Calculations_APPURT[[#This Row],[Horizontal Offset]]/12</f>
        <v>0</v>
      </c>
      <c r="ME6" s="276">
        <f>IFERROR(1/Calculations_APPURT[[#This Row],[Brackets]],0) * cv_M/cv_F * Forces_APPURT[[#This Row],[Beta Fa 270]] * Calculations_APPURT[[#This Row],[Horizontal Offset]]/12</f>
        <v>0</v>
      </c>
      <c r="MF6" s="276">
        <f>IFERROR(1/Calculations_APPURT[[#This Row],[Brackets]],0) * cv_M/cv_F * Forces_APPURT[[#This Row],[Beta Fa 300]] * Calculations_APPURT[[#This Row],[Horizontal Offset]]/12</f>
        <v>0</v>
      </c>
      <c r="MG6" s="276">
        <f>IFERROR(1/Calculations_APPURT[[#This Row],[Brackets]],0) * cv_M/cv_F * Forces_APPURT[[#This Row],[Beta Fa 315]] * Calculations_APPURT[[#This Row],[Horizontal Offset]]/12</f>
        <v>0</v>
      </c>
      <c r="MH6" s="276">
        <f>IFERROR(1/Calculations_APPURT[[#This Row],[Brackets]],0) * cv_M/cv_F * Forces_APPURT[[#This Row],[Beta Fa 330]] * Calculations_APPURT[[#This Row],[Horizontal Offset]]/12</f>
        <v>0</v>
      </c>
      <c r="MI6" s="338">
        <f>IFERROR(1/Calculations_APPURT[[#This Row],[Brackets]],0) * cv_M/cv_F * Forces_APPURT[[#This Row],[Gamma Fa 0]] * Calculations_APPURT[[#This Row],[Horizontal Offset]]/12</f>
        <v>0</v>
      </c>
      <c r="MJ6" s="338">
        <f>IFERROR(1/Calculations_APPURT[[#This Row],[Brackets]],0) * cv_M/cv_F * Forces_APPURT[[#This Row],[Gamma Fa 30]] * Calculations_APPURT[[#This Row],[Horizontal Offset]]/12</f>
        <v>0</v>
      </c>
      <c r="MK6" s="338">
        <f>IFERROR(1/Calculations_APPURT[[#This Row],[Brackets]],0) * cv_M/cv_F * Forces_APPURT[[#This Row],[Gamma Fa 45]] * Calculations_APPURT[[#This Row],[Horizontal Offset]]/12</f>
        <v>0</v>
      </c>
      <c r="ML6" s="338">
        <f>IFERROR(1/Calculations_APPURT[[#This Row],[Brackets]],0) * cv_M/cv_F * Forces_APPURT[[#This Row],[Gamma Fa 60]] * Calculations_APPURT[[#This Row],[Horizontal Offset]]/12</f>
        <v>0</v>
      </c>
      <c r="MM6" s="338">
        <f>IFERROR(1/Calculations_APPURT[[#This Row],[Brackets]],0) * cv_M/cv_F * Forces_APPURT[[#This Row],[Gamma Fa 90]] * Calculations_APPURT[[#This Row],[Horizontal Offset]]/12</f>
        <v>0</v>
      </c>
      <c r="MN6" s="338">
        <f>IFERROR(1/Calculations_APPURT[[#This Row],[Brackets]],0) * cv_M/cv_F * Forces_APPURT[[#This Row],[Gamma Fa 120]] * Calculations_APPURT[[#This Row],[Horizontal Offset]]/12</f>
        <v>0</v>
      </c>
      <c r="MO6" s="338">
        <f>IFERROR(1/Calculations_APPURT[[#This Row],[Brackets]],0) * cv_M/cv_F * Forces_APPURT[[#This Row],[Gamma Fa 135]] * Calculations_APPURT[[#This Row],[Horizontal Offset]]/12</f>
        <v>0</v>
      </c>
      <c r="MP6" s="338">
        <f>IFERROR(1/Calculations_APPURT[[#This Row],[Brackets]],0) * cv_M/cv_F * Forces_APPURT[[#This Row],[Gamma Fa 150]] * Calculations_APPURT[[#This Row],[Horizontal Offset]]/12</f>
        <v>0</v>
      </c>
      <c r="MQ6" s="338">
        <f>IFERROR(1/Calculations_APPURT[[#This Row],[Brackets]],0) * cv_M/cv_F * Forces_APPURT[[#This Row],[Gamma Fa 180]] * Calculations_APPURT[[#This Row],[Horizontal Offset]]/12</f>
        <v>0</v>
      </c>
      <c r="MR6" s="338">
        <f>IFERROR(1/Calculations_APPURT[[#This Row],[Brackets]],0) * cv_M/cv_F * Forces_APPURT[[#This Row],[Gamma Fa 210]] * Calculations_APPURT[[#This Row],[Horizontal Offset]]/12</f>
        <v>0</v>
      </c>
      <c r="MS6" s="338">
        <f>IFERROR(1/Calculations_APPURT[[#This Row],[Brackets]],0) * cv_M/cv_F * Forces_APPURT[[#This Row],[Gamma Fa 225]] * Calculations_APPURT[[#This Row],[Horizontal Offset]]/12</f>
        <v>0</v>
      </c>
      <c r="MT6" s="338">
        <f>IFERROR(1/Calculations_APPURT[[#This Row],[Brackets]],0) * cv_M/cv_F * Forces_APPURT[[#This Row],[Gamma Fa 240]] * Calculations_APPURT[[#This Row],[Horizontal Offset]]/12</f>
        <v>0</v>
      </c>
      <c r="MU6" s="338">
        <f>IFERROR(1/Calculations_APPURT[[#This Row],[Brackets]],0) * cv_M/cv_F * Forces_APPURT[[#This Row],[Gamma Fa 270]] * Calculations_APPURT[[#This Row],[Horizontal Offset]]/12</f>
        <v>0</v>
      </c>
      <c r="MV6" s="338">
        <f>IFERROR(1/Calculations_APPURT[[#This Row],[Brackets]],0) * cv_M/cv_F * Forces_APPURT[[#This Row],[Gamma Fa 300]] * Calculations_APPURT[[#This Row],[Horizontal Offset]]/12</f>
        <v>0</v>
      </c>
      <c r="MW6" s="338">
        <f>IFERROR(1/Calculations_APPURT[[#This Row],[Brackets]],0) * cv_M/cv_F * Forces_APPURT[[#This Row],[Gamma Fa 315]] * Calculations_APPURT[[#This Row],[Horizontal Offset]]/12</f>
        <v>0</v>
      </c>
      <c r="MX6" s="338">
        <f>IFERROR(1/Calculations_APPURT[[#This Row],[Brackets]],0) * cv_M/cv_F * Forces_APPURT[[#This Row],[Gamma Fa 330]] * Calculations_APPURT[[#This Row],[Horizontal Offset]]/12</f>
        <v>0</v>
      </c>
      <c r="MY6" s="276">
        <f>IFERROR(1/Calculations_APPURT[[#This Row],[Brackets]],0) * cv_M/cv_F * Forces_APPURT[[#This Row],[Delta Fa 0]] * Calculations_APPURT[[#This Row],[Horizontal Offset]]/12</f>
        <v>0</v>
      </c>
      <c r="MZ6" s="276">
        <f>IFERROR(1/Calculations_APPURT[[#This Row],[Brackets]],0) * cv_M/cv_F * Forces_APPURT[[#This Row],[Delta Fa 30]] * Calculations_APPURT[[#This Row],[Horizontal Offset]]/12</f>
        <v>0</v>
      </c>
      <c r="NA6" s="276">
        <f>IFERROR(1/Calculations_APPURT[[#This Row],[Brackets]],0) * cv_M/cv_F * Forces_APPURT[[#This Row],[Delta Fa 45]] * Calculations_APPURT[[#This Row],[Horizontal Offset]]/12</f>
        <v>0</v>
      </c>
      <c r="NB6" s="276">
        <f>IFERROR(1/Calculations_APPURT[[#This Row],[Brackets]],0) * cv_M/cv_F * Forces_APPURT[[#This Row],[Delta Fa 60]] * Calculations_APPURT[[#This Row],[Horizontal Offset]]/12</f>
        <v>0</v>
      </c>
      <c r="NC6" s="276">
        <f>IFERROR(1/Calculations_APPURT[[#This Row],[Brackets]],0) * cv_M/cv_F * Forces_APPURT[[#This Row],[Delta Fa 90]] * Calculations_APPURT[[#This Row],[Horizontal Offset]]/12</f>
        <v>0</v>
      </c>
      <c r="ND6" s="276">
        <f>IFERROR(1/Calculations_APPURT[[#This Row],[Brackets]],0) * cv_M/cv_F * Forces_APPURT[[#This Row],[Delta Fa 120]] * Calculations_APPURT[[#This Row],[Horizontal Offset]]/12</f>
        <v>0</v>
      </c>
      <c r="NE6" s="276">
        <f>IFERROR(1/Calculations_APPURT[[#This Row],[Brackets]],0) * cv_M/cv_F * Forces_APPURT[[#This Row],[Delta Fa 135]] * Calculations_APPURT[[#This Row],[Horizontal Offset]]/12</f>
        <v>0</v>
      </c>
      <c r="NF6" s="276">
        <f>IFERROR(1/Calculations_APPURT[[#This Row],[Brackets]],0) * cv_M/cv_F * Forces_APPURT[[#This Row],[Delta Fa 150]] * Calculations_APPURT[[#This Row],[Horizontal Offset]]/12</f>
        <v>0</v>
      </c>
      <c r="NG6" s="276">
        <f>IFERROR(1/Calculations_APPURT[[#This Row],[Brackets]],0) * cv_M/cv_F * Forces_APPURT[[#This Row],[Delta Fa 180]] * Calculations_APPURT[[#This Row],[Horizontal Offset]]/12</f>
        <v>0</v>
      </c>
      <c r="NH6" s="276">
        <f>IFERROR(1/Calculations_APPURT[[#This Row],[Brackets]],0) * cv_M/cv_F * Forces_APPURT[[#This Row],[Delta Fa 210]] * Calculations_APPURT[[#This Row],[Horizontal Offset]]/12</f>
        <v>0</v>
      </c>
      <c r="NI6" s="276">
        <f>IFERROR(1/Calculations_APPURT[[#This Row],[Brackets]],0) * cv_M/cv_F * Forces_APPURT[[#This Row],[Delta Fa 225]] * Calculations_APPURT[[#This Row],[Horizontal Offset]]/12</f>
        <v>0</v>
      </c>
      <c r="NJ6" s="276">
        <f>IFERROR(1/Calculations_APPURT[[#This Row],[Brackets]],0) * cv_M/cv_F * Forces_APPURT[[#This Row],[Delta Fa 240]] * Calculations_APPURT[[#This Row],[Horizontal Offset]]/12</f>
        <v>0</v>
      </c>
      <c r="NK6" s="276">
        <f>IFERROR(1/Calculations_APPURT[[#This Row],[Brackets]],0) * cv_M/cv_F * Forces_APPURT[[#This Row],[Delta Fa 270]] * Calculations_APPURT[[#This Row],[Horizontal Offset]]/12</f>
        <v>0</v>
      </c>
      <c r="NL6" s="276">
        <f>IFERROR(1/Calculations_APPURT[[#This Row],[Brackets]],0) * cv_M/cv_F * Forces_APPURT[[#This Row],[Delta Fa 300]] * Calculations_APPURT[[#This Row],[Horizontal Offset]]/12</f>
        <v>0</v>
      </c>
      <c r="NM6" s="276">
        <f>IFERROR(1/Calculations_APPURT[[#This Row],[Brackets]],0) * cv_M/cv_F * Forces_APPURT[[#This Row],[Delta Fa 315]] * Calculations_APPURT[[#This Row],[Horizontal Offset]]/12</f>
        <v>0</v>
      </c>
      <c r="NN6" s="276">
        <f>IFERROR(1/Calculations_APPURT[[#This Row],[Brackets]],0) * cv_M/cv_F * Forces_APPURT[[#This Row],[Delta Fa 330]] * Calculations_APPURT[[#This Row],[Horizontal Offset]]/12</f>
        <v>0</v>
      </c>
      <c r="NO6" s="338">
        <f>IFERROR(1/Calculations_APPURT[[#This Row],[Brackets]],0) * cv_M/cv_F * Forces_APPURT[[#This Row],[Alpha Fai 0]] * Calculations_APPURT[[#This Row],[Horizontal Offset]]/12</f>
        <v>0</v>
      </c>
      <c r="NP6" s="338">
        <f>IFERROR(1/Calculations_APPURT[[#This Row],[Brackets]],0) * cv_M/cv_F * Forces_APPURT[[#This Row],[Alpha Fai 30]] * Calculations_APPURT[[#This Row],[Horizontal Offset]]/12</f>
        <v>0</v>
      </c>
      <c r="NQ6" s="338">
        <f>IFERROR(1/Calculations_APPURT[[#This Row],[Brackets]],0) * cv_M/cv_F * Forces_APPURT[[#This Row],[Alpha Fai 45]] * Calculations_APPURT[[#This Row],[Horizontal Offset]]/12</f>
        <v>0</v>
      </c>
      <c r="NR6" s="338">
        <f>IFERROR(1/Calculations_APPURT[[#This Row],[Brackets]],0) * cv_M/cv_F * Forces_APPURT[[#This Row],[Alpha Fai 60]] * Calculations_APPURT[[#This Row],[Horizontal Offset]]/12</f>
        <v>0</v>
      </c>
      <c r="NS6" s="338">
        <f>IFERROR(1/Calculations_APPURT[[#This Row],[Brackets]],0) * cv_M/cv_F * Forces_APPURT[[#This Row],[Alpha Fai 90]] * Calculations_APPURT[[#This Row],[Horizontal Offset]]/12</f>
        <v>0</v>
      </c>
      <c r="NT6" s="338">
        <f>IFERROR(1/Calculations_APPURT[[#This Row],[Brackets]],0) * cv_M/cv_F * Forces_APPURT[[#This Row],[Alpha Fai 120]] * Calculations_APPURT[[#This Row],[Horizontal Offset]]/12</f>
        <v>0</v>
      </c>
      <c r="NU6" s="338">
        <f>IFERROR(1/Calculations_APPURT[[#This Row],[Brackets]],0) * cv_M/cv_F * Forces_APPURT[[#This Row],[Alpha Fai 135]] * Calculations_APPURT[[#This Row],[Horizontal Offset]]/12</f>
        <v>0</v>
      </c>
      <c r="NV6" s="338">
        <f>IFERROR(1/Calculations_APPURT[[#This Row],[Brackets]],0) * cv_M/cv_F * Forces_APPURT[[#This Row],[Alpha Fai 150]] * Calculations_APPURT[[#This Row],[Horizontal Offset]]/12</f>
        <v>0</v>
      </c>
      <c r="NW6" s="338">
        <f>IFERROR(1/Calculations_APPURT[[#This Row],[Brackets]],0) * cv_M/cv_F * Forces_APPURT[[#This Row],[Alpha Fai 180]] * Calculations_APPURT[[#This Row],[Horizontal Offset]]/12</f>
        <v>0</v>
      </c>
      <c r="NX6" s="338">
        <f>IFERROR(1/Calculations_APPURT[[#This Row],[Brackets]],0) * cv_M/cv_F * Forces_APPURT[[#This Row],[Alpha Fai 210]] * Calculations_APPURT[[#This Row],[Horizontal Offset]]/12</f>
        <v>0</v>
      </c>
      <c r="NY6" s="338">
        <f>IFERROR(1/Calculations_APPURT[[#This Row],[Brackets]],0) * cv_M/cv_F * Forces_APPURT[[#This Row],[Alpha Fai 225]] * Calculations_APPURT[[#This Row],[Horizontal Offset]]/12</f>
        <v>0</v>
      </c>
      <c r="NZ6" s="338">
        <f>IFERROR(1/Calculations_APPURT[[#This Row],[Brackets]],0) * cv_M/cv_F * Forces_APPURT[[#This Row],[Alpha Fai 240]] * Calculations_APPURT[[#This Row],[Horizontal Offset]]/12</f>
        <v>0</v>
      </c>
      <c r="OA6" s="338">
        <f>IFERROR(1/Calculations_APPURT[[#This Row],[Brackets]],0) * cv_M/cv_F * Forces_APPURT[[#This Row],[Alpha Fai 270]] * Calculations_APPURT[[#This Row],[Horizontal Offset]]/12</f>
        <v>0</v>
      </c>
      <c r="OB6" s="338">
        <f>IFERROR(1/Calculations_APPURT[[#This Row],[Brackets]],0) * cv_M/cv_F * Forces_APPURT[[#This Row],[Alpha Fai 300]] * Calculations_APPURT[[#This Row],[Horizontal Offset]]/12</f>
        <v>0</v>
      </c>
      <c r="OC6" s="338">
        <f>IFERROR(1/Calculations_APPURT[[#This Row],[Brackets]],0) * cv_M/cv_F * Forces_APPURT[[#This Row],[Alpha Fai 315]] * Calculations_APPURT[[#This Row],[Horizontal Offset]]/12</f>
        <v>0</v>
      </c>
      <c r="OD6" s="338">
        <f>IFERROR(1/Calculations_APPURT[[#This Row],[Brackets]],0) * cv_M/cv_F * Forces_APPURT[[#This Row],[Alpha Fai 330]] * Calculations_APPURT[[#This Row],[Horizontal Offset]]/12</f>
        <v>0</v>
      </c>
      <c r="OE6" s="276">
        <f>IFERROR(1/Calculations_APPURT[[#This Row],[Brackets]],0) * cv_M/cv_F * Forces_APPURT[[#This Row],[Beta Fai 0]] * Calculations_APPURT[[#This Row],[Horizontal Offset]]/12</f>
        <v>0</v>
      </c>
      <c r="OF6" s="276">
        <f>IFERROR(1/Calculations_APPURT[[#This Row],[Brackets]],0) * cv_M/cv_F * Forces_APPURT[[#This Row],[Beta Fai 30]] * Calculations_APPURT[[#This Row],[Horizontal Offset]]/12</f>
        <v>0</v>
      </c>
      <c r="OG6" s="276">
        <f>IFERROR(1/Calculations_APPURT[[#This Row],[Brackets]],0) * cv_M/cv_F * Forces_APPURT[[#This Row],[Beta Fai 45]] * Calculations_APPURT[[#This Row],[Horizontal Offset]]/12</f>
        <v>0</v>
      </c>
      <c r="OH6" s="276">
        <f>IFERROR(1/Calculations_APPURT[[#This Row],[Brackets]],0) * cv_M/cv_F * Forces_APPURT[[#This Row],[Beta Fai 60]] * Calculations_APPURT[[#This Row],[Horizontal Offset]]/12</f>
        <v>0</v>
      </c>
      <c r="OI6" s="276">
        <f>IFERROR(1/Calculations_APPURT[[#This Row],[Brackets]],0) * cv_M/cv_F * Forces_APPURT[[#This Row],[Beta Fai 90]] * Calculations_APPURT[[#This Row],[Horizontal Offset]]/12</f>
        <v>0</v>
      </c>
      <c r="OJ6" s="276">
        <f>IFERROR(1/Calculations_APPURT[[#This Row],[Brackets]],0) * cv_M/cv_F * Forces_APPURT[[#This Row],[Beta Fai 120]] * Calculations_APPURT[[#This Row],[Horizontal Offset]]/12</f>
        <v>0</v>
      </c>
      <c r="OK6" s="276">
        <f>IFERROR(1/Calculations_APPURT[[#This Row],[Brackets]],0) * cv_M/cv_F * Forces_APPURT[[#This Row],[Beta Fai 135]] * Calculations_APPURT[[#This Row],[Horizontal Offset]]/12</f>
        <v>0</v>
      </c>
      <c r="OL6" s="276">
        <f>IFERROR(1/Calculations_APPURT[[#This Row],[Brackets]],0) * cv_M/cv_F * Forces_APPURT[[#This Row],[Beta Fai 150]] * Calculations_APPURT[[#This Row],[Horizontal Offset]]/12</f>
        <v>0</v>
      </c>
      <c r="OM6" s="276">
        <f>IFERROR(1/Calculations_APPURT[[#This Row],[Brackets]],0) * cv_M/cv_F * Forces_APPURT[[#This Row],[Beta Fai 180]] * Calculations_APPURT[[#This Row],[Horizontal Offset]]/12</f>
        <v>0</v>
      </c>
      <c r="ON6" s="276">
        <f>IFERROR(1/Calculations_APPURT[[#This Row],[Brackets]],0) * cv_M/cv_F * Forces_APPURT[[#This Row],[Beta Fai 210]] * Calculations_APPURT[[#This Row],[Horizontal Offset]]/12</f>
        <v>0</v>
      </c>
      <c r="OO6" s="276">
        <f>IFERROR(1/Calculations_APPURT[[#This Row],[Brackets]],0) * cv_M/cv_F * Forces_APPURT[[#This Row],[Beta Fai 225]] * Calculations_APPURT[[#This Row],[Horizontal Offset]]/12</f>
        <v>0</v>
      </c>
      <c r="OP6" s="276">
        <f>IFERROR(1/Calculations_APPURT[[#This Row],[Brackets]],0) * cv_M/cv_F * Forces_APPURT[[#This Row],[Beta Fai 240]] * Calculations_APPURT[[#This Row],[Horizontal Offset]]/12</f>
        <v>0</v>
      </c>
      <c r="OQ6" s="276">
        <f>IFERROR(1/Calculations_APPURT[[#This Row],[Brackets]],0) * cv_M/cv_F * Forces_APPURT[[#This Row],[Beta Fai 270]] * Calculations_APPURT[[#This Row],[Horizontal Offset]]/12</f>
        <v>0</v>
      </c>
      <c r="OR6" s="276">
        <f>IFERROR(1/Calculations_APPURT[[#This Row],[Brackets]],0) * cv_M/cv_F * Forces_APPURT[[#This Row],[Beta Fai 300]] * Calculations_APPURT[[#This Row],[Horizontal Offset]]/12</f>
        <v>0</v>
      </c>
      <c r="OS6" s="276">
        <f>IFERROR(1/Calculations_APPURT[[#This Row],[Brackets]],0) * cv_M/cv_F * Forces_APPURT[[#This Row],[Beta Fai 315]] * Calculations_APPURT[[#This Row],[Horizontal Offset]]/12</f>
        <v>0</v>
      </c>
      <c r="OT6" s="276">
        <f>IFERROR(1/Calculations_APPURT[[#This Row],[Brackets]],0) * cv_M/cv_F * Forces_APPURT[[#This Row],[Beta Fai 330]] * Calculations_APPURT[[#This Row],[Horizontal Offset]]/12</f>
        <v>0</v>
      </c>
      <c r="OU6" s="338">
        <f>IFERROR(1/Calculations_APPURT[[#This Row],[Brackets]],0) * cv_M/cv_F * Forces_APPURT[[#This Row],[Gamma Fai 0]] * Calculations_APPURT[[#This Row],[Horizontal Offset]]/12</f>
        <v>0</v>
      </c>
      <c r="OV6" s="338">
        <f>IFERROR(1/Calculations_APPURT[[#This Row],[Brackets]],0) * cv_M/cv_F * Forces_APPURT[[#This Row],[Gamma Fai 30]] * Calculations_APPURT[[#This Row],[Horizontal Offset]]/12</f>
        <v>0</v>
      </c>
      <c r="OW6" s="338">
        <f>IFERROR(1/Calculations_APPURT[[#This Row],[Brackets]],0) * cv_M/cv_F * Forces_APPURT[[#This Row],[Gamma Fai 45]] * Calculations_APPURT[[#This Row],[Horizontal Offset]]/12</f>
        <v>0</v>
      </c>
      <c r="OX6" s="338">
        <f>IFERROR(1/Calculations_APPURT[[#This Row],[Brackets]],0) * cv_M/cv_F * Forces_APPURT[[#This Row],[Gamma Fai 60]] * Calculations_APPURT[[#This Row],[Horizontal Offset]]/12</f>
        <v>0</v>
      </c>
      <c r="OY6" s="338">
        <f>IFERROR(1/Calculations_APPURT[[#This Row],[Brackets]],0) * cv_M/cv_F * Forces_APPURT[[#This Row],[Gamma Fai 90]] * Calculations_APPURT[[#This Row],[Horizontal Offset]]/12</f>
        <v>0</v>
      </c>
      <c r="OZ6" s="338">
        <f>IFERROR(1/Calculations_APPURT[[#This Row],[Brackets]],0) * cv_M/cv_F * Forces_APPURT[[#This Row],[Gamma Fai 120]] * Calculations_APPURT[[#This Row],[Horizontal Offset]]/12</f>
        <v>0</v>
      </c>
      <c r="PA6" s="338">
        <f>IFERROR(1/Calculations_APPURT[[#This Row],[Brackets]],0) * cv_M/cv_F * Forces_APPURT[[#This Row],[Gamma Fai 135]] * Calculations_APPURT[[#This Row],[Horizontal Offset]]/12</f>
        <v>0</v>
      </c>
      <c r="PB6" s="338">
        <f>IFERROR(1/Calculations_APPURT[[#This Row],[Brackets]],0) * cv_M/cv_F * Forces_APPURT[[#This Row],[Gamma Fai 150]] * Calculations_APPURT[[#This Row],[Horizontal Offset]]/12</f>
        <v>0</v>
      </c>
      <c r="PC6" s="338">
        <f>IFERROR(1/Calculations_APPURT[[#This Row],[Brackets]],0) * cv_M/cv_F * Forces_APPURT[[#This Row],[Gamma Fai 180]] * Calculations_APPURT[[#This Row],[Horizontal Offset]]/12</f>
        <v>0</v>
      </c>
      <c r="PD6" s="338">
        <f>IFERROR(1/Calculations_APPURT[[#This Row],[Brackets]],0) * cv_M/cv_F * Forces_APPURT[[#This Row],[Gamma Fai 210]] * Calculations_APPURT[[#This Row],[Horizontal Offset]]/12</f>
        <v>0</v>
      </c>
      <c r="PE6" s="338">
        <f>IFERROR(1/Calculations_APPURT[[#This Row],[Brackets]],0) * cv_M/cv_F * Forces_APPURT[[#This Row],[Gamma Fai 225]] * Calculations_APPURT[[#This Row],[Horizontal Offset]]/12</f>
        <v>0</v>
      </c>
      <c r="PF6" s="338">
        <f>IFERROR(1/Calculations_APPURT[[#This Row],[Brackets]],0) * cv_M/cv_F * Forces_APPURT[[#This Row],[Gamma Fai 240]] * Calculations_APPURT[[#This Row],[Horizontal Offset]]/12</f>
        <v>0</v>
      </c>
      <c r="PG6" s="338">
        <f>IFERROR(1/Calculations_APPURT[[#This Row],[Brackets]],0) * cv_M/cv_F * Forces_APPURT[[#This Row],[Gamma Fai 270]] * Calculations_APPURT[[#This Row],[Horizontal Offset]]/12</f>
        <v>0</v>
      </c>
      <c r="PH6" s="338">
        <f>IFERROR(1/Calculations_APPURT[[#This Row],[Brackets]],0) * cv_M/cv_F * Forces_APPURT[[#This Row],[Gamma Fai 300]] * Calculations_APPURT[[#This Row],[Horizontal Offset]]/12</f>
        <v>0</v>
      </c>
      <c r="PI6" s="338">
        <f>IFERROR(1/Calculations_APPURT[[#This Row],[Brackets]],0) * cv_M/cv_F * Forces_APPURT[[#This Row],[Gamma Fai 315]] * Calculations_APPURT[[#This Row],[Horizontal Offset]]/12</f>
        <v>0</v>
      </c>
      <c r="PJ6" s="338">
        <f>IFERROR(1/Calculations_APPURT[[#This Row],[Brackets]],0) * cv_M/cv_F * Forces_APPURT[[#This Row],[Gamma Fai 330]] * Calculations_APPURT[[#This Row],[Horizontal Offset]]/12</f>
        <v>0</v>
      </c>
      <c r="PK6" s="276">
        <f>IFERROR(1/Calculations_APPURT[[#This Row],[Brackets]],0) * cv_M/cv_F * Forces_APPURT[[#This Row],[Delta Fai 0]] * Calculations_APPURT[[#This Row],[Horizontal Offset]]/12</f>
        <v>0</v>
      </c>
      <c r="PL6" s="276">
        <f>IFERROR(1/Calculations_APPURT[[#This Row],[Brackets]],0) * cv_M/cv_F * Forces_APPURT[[#This Row],[Delta Fai 30]] * Calculations_APPURT[[#This Row],[Horizontal Offset]]/12</f>
        <v>0</v>
      </c>
      <c r="PM6" s="276">
        <f>IFERROR(1/Calculations_APPURT[[#This Row],[Brackets]],0) * cv_M/cv_F * Forces_APPURT[[#This Row],[Delta Fai 45]] * Calculations_APPURT[[#This Row],[Horizontal Offset]]/12</f>
        <v>0</v>
      </c>
      <c r="PN6" s="276">
        <f>IFERROR(1/Calculations_APPURT[[#This Row],[Brackets]],0) * cv_M/cv_F * Forces_APPURT[[#This Row],[Delta Fai 60]] * Calculations_APPURT[[#This Row],[Horizontal Offset]]/12</f>
        <v>0</v>
      </c>
      <c r="PO6" s="276">
        <f>IFERROR(1/Calculations_APPURT[[#This Row],[Brackets]],0) * cv_M/cv_F * Forces_APPURT[[#This Row],[Delta Fai 90]] * Calculations_APPURT[[#This Row],[Horizontal Offset]]/12</f>
        <v>0</v>
      </c>
      <c r="PP6" s="276">
        <f>IFERROR(1/Calculations_APPURT[[#This Row],[Brackets]],0) * cv_M/cv_F * Forces_APPURT[[#This Row],[Delta Fai 120]] * Calculations_APPURT[[#This Row],[Horizontal Offset]]/12</f>
        <v>0</v>
      </c>
      <c r="PQ6" s="276">
        <f>IFERROR(1/Calculations_APPURT[[#This Row],[Brackets]],0) * cv_M/cv_F * Forces_APPURT[[#This Row],[Delta Fai 135]] * Calculations_APPURT[[#This Row],[Horizontal Offset]]/12</f>
        <v>0</v>
      </c>
      <c r="PR6" s="276">
        <f>IFERROR(1/Calculations_APPURT[[#This Row],[Brackets]],0) * cv_M/cv_F * Forces_APPURT[[#This Row],[Delta Fai 150]] * Calculations_APPURT[[#This Row],[Horizontal Offset]]/12</f>
        <v>0</v>
      </c>
      <c r="PS6" s="276">
        <f>IFERROR(1/Calculations_APPURT[[#This Row],[Brackets]],0) * cv_M/cv_F * Forces_APPURT[[#This Row],[Delta Fai 180]] * Calculations_APPURT[[#This Row],[Horizontal Offset]]/12</f>
        <v>0</v>
      </c>
      <c r="PT6" s="276">
        <f>IFERROR(1/Calculations_APPURT[[#This Row],[Brackets]],0) * cv_M/cv_F * Forces_APPURT[[#This Row],[Delta Fai 210]] * Calculations_APPURT[[#This Row],[Horizontal Offset]]/12</f>
        <v>0</v>
      </c>
      <c r="PU6" s="276">
        <f>IFERROR(1/Calculations_APPURT[[#This Row],[Brackets]],0) * cv_M/cv_F * Forces_APPURT[[#This Row],[Delta Fai 225]] * Calculations_APPURT[[#This Row],[Horizontal Offset]]/12</f>
        <v>0</v>
      </c>
      <c r="PV6" s="276">
        <f>IFERROR(1/Calculations_APPURT[[#This Row],[Brackets]],0) * cv_M/cv_F * Forces_APPURT[[#This Row],[Delta Fai 240]] * Calculations_APPURT[[#This Row],[Horizontal Offset]]/12</f>
        <v>0</v>
      </c>
      <c r="PW6" s="276">
        <f>IFERROR(1/Calculations_APPURT[[#This Row],[Brackets]],0) * cv_M/cv_F * Forces_APPURT[[#This Row],[Delta Fai 270]] * Calculations_APPURT[[#This Row],[Horizontal Offset]]/12</f>
        <v>0</v>
      </c>
      <c r="PX6" s="276">
        <f>IFERROR(1/Calculations_APPURT[[#This Row],[Brackets]],0) * cv_M/cv_F * Forces_APPURT[[#This Row],[Delta Fai 300]] * Calculations_APPURT[[#This Row],[Horizontal Offset]]/12</f>
        <v>0</v>
      </c>
      <c r="PY6" s="276">
        <f>IFERROR(1/Calculations_APPURT[[#This Row],[Brackets]],0) * cv_M/cv_F * Forces_APPURT[[#This Row],[Delta Fai 315]] * Calculations_APPURT[[#This Row],[Horizontal Offset]]/12</f>
        <v>0</v>
      </c>
      <c r="PZ6" s="276">
        <f>IFERROR(1/Calculations_APPURT[[#This Row],[Brackets]],0) * cv_M/cv_F * Forces_APPURT[[#This Row],[Delta Fai 330]] * Calculations_APPURT[[#This Row],[Horizontal Offset]]/12</f>
        <v>0</v>
      </c>
      <c r="QA6" s="338">
        <f>IFERROR(1/Calculations_APPURT[[#This Row],[Brackets]],0) * cv_M/cv_F * Forces_APPURT[[#This Row],[Alpha Fa 0]] * Calculations_APPURT[[#This Row],[Lateral Offset]]/12</f>
        <v>0</v>
      </c>
      <c r="QB6" s="338">
        <f>IFERROR(1/Calculations_APPURT[[#This Row],[Brackets]],0) * cv_M/cv_F * Forces_APPURT[[#This Row],[Alpha Fa 30]] * Calculations_APPURT[[#This Row],[Lateral Offset]]/12</f>
        <v>0</v>
      </c>
      <c r="QC6" s="338">
        <f>IFERROR(1/Calculations_APPURT[[#This Row],[Brackets]],0) * cv_M/cv_F * Forces_APPURT[[#This Row],[Alpha Fa 45]] * Calculations_APPURT[[#This Row],[Lateral Offset]]/12</f>
        <v>0</v>
      </c>
      <c r="QD6" s="338">
        <f>IFERROR(1/Calculations_APPURT[[#This Row],[Brackets]],0) * cv_M/cv_F * Forces_APPURT[[#This Row],[Alpha Fa 60]] * Calculations_APPURT[[#This Row],[Lateral Offset]]/12</f>
        <v>0</v>
      </c>
      <c r="QE6" s="338">
        <f>IFERROR(1/Calculations_APPURT[[#This Row],[Brackets]],0) * cv_M/cv_F * Forces_APPURT[[#This Row],[Alpha Fa 90]] * Calculations_APPURT[[#This Row],[Lateral Offset]]/12</f>
        <v>0</v>
      </c>
      <c r="QF6" s="338">
        <f>IFERROR(1/Calculations_APPURT[[#This Row],[Brackets]],0) * cv_M/cv_F * Forces_APPURT[[#This Row],[Alpha Fa 120]] * Calculations_APPURT[[#This Row],[Lateral Offset]]/12</f>
        <v>0</v>
      </c>
      <c r="QG6" s="338">
        <f>IFERROR(1/Calculations_APPURT[[#This Row],[Brackets]],0) * cv_M/cv_F * Forces_APPURT[[#This Row],[Alpha Fa 135]] * Calculations_APPURT[[#This Row],[Lateral Offset]]/12</f>
        <v>0</v>
      </c>
      <c r="QH6" s="338">
        <f>IFERROR(1/Calculations_APPURT[[#This Row],[Brackets]],0) * cv_M/cv_F * Forces_APPURT[[#This Row],[Alpha Fa 150]] * Calculations_APPURT[[#This Row],[Lateral Offset]]/12</f>
        <v>0</v>
      </c>
      <c r="QI6" s="338">
        <f>IFERROR(1/Calculations_APPURT[[#This Row],[Brackets]],0) * cv_M/cv_F * Forces_APPURT[[#This Row],[Alpha Fa 180]] * Calculations_APPURT[[#This Row],[Lateral Offset]]/12</f>
        <v>0</v>
      </c>
      <c r="QJ6" s="338">
        <f>IFERROR(1/Calculations_APPURT[[#This Row],[Brackets]],0) * cv_M/cv_F * Forces_APPURT[[#This Row],[Alpha Fa 210]] * Calculations_APPURT[[#This Row],[Lateral Offset]]/12</f>
        <v>0</v>
      </c>
      <c r="QK6" s="338">
        <f>IFERROR(1/Calculations_APPURT[[#This Row],[Brackets]],0) * cv_M/cv_F * Forces_APPURT[[#This Row],[Alpha Fa 225]] * Calculations_APPURT[[#This Row],[Lateral Offset]]/12</f>
        <v>0</v>
      </c>
      <c r="QL6" s="338">
        <f>IFERROR(1/Calculations_APPURT[[#This Row],[Brackets]],0) * cv_M/cv_F * Forces_APPURT[[#This Row],[Alpha Fa 240]] * Calculations_APPURT[[#This Row],[Lateral Offset]]/12</f>
        <v>0</v>
      </c>
      <c r="QM6" s="338">
        <f>IFERROR(1/Calculations_APPURT[[#This Row],[Brackets]],0) * cv_M/cv_F * Forces_APPURT[[#This Row],[Alpha Fa 270]] * Calculations_APPURT[[#This Row],[Lateral Offset]]/12</f>
        <v>0</v>
      </c>
      <c r="QN6" s="338">
        <f>IFERROR(1/Calculations_APPURT[[#This Row],[Brackets]],0) * cv_M/cv_F * Forces_APPURT[[#This Row],[Alpha Fa 300]] * Calculations_APPURT[[#This Row],[Lateral Offset]]/12</f>
        <v>0</v>
      </c>
      <c r="QO6" s="338">
        <f>IFERROR(1/Calculations_APPURT[[#This Row],[Brackets]],0) * cv_M/cv_F * Forces_APPURT[[#This Row],[Alpha Fa 315]] * Calculations_APPURT[[#This Row],[Lateral Offset]]/12</f>
        <v>0</v>
      </c>
      <c r="QP6" s="338">
        <f>IFERROR(1/Calculations_APPURT[[#This Row],[Brackets]],0) * cv_M/cv_F * Forces_APPURT[[#This Row],[Alpha Fa 330]] * Calculations_APPURT[[#This Row],[Lateral Offset]]/12</f>
        <v>0</v>
      </c>
      <c r="QQ6" s="276">
        <f>IFERROR(1/Calculations_APPURT[[#This Row],[Brackets]],0) * cv_M/cv_F * Forces_APPURT[[#This Row],[Beta Fa 0]] * Calculations_APPURT[[#This Row],[Lateral Offset]]/12</f>
        <v>0</v>
      </c>
      <c r="QR6" s="276">
        <f>IFERROR(1/Calculations_APPURT[[#This Row],[Brackets]],0) * cv_M/cv_F * Forces_APPURT[[#This Row],[Beta Fa 30]] * Calculations_APPURT[[#This Row],[Lateral Offset]]/12</f>
        <v>0</v>
      </c>
      <c r="QS6" s="276">
        <f>IFERROR(1/Calculations_APPURT[[#This Row],[Brackets]],0) * cv_M/cv_F * Forces_APPURT[[#This Row],[Beta Fa 45]] * Calculations_APPURT[[#This Row],[Lateral Offset]]/12</f>
        <v>0</v>
      </c>
      <c r="QT6" s="276">
        <f>IFERROR(1/Calculations_APPURT[[#This Row],[Brackets]],0) * cv_M/cv_F * Forces_APPURT[[#This Row],[Beta Fa 60]] * Calculations_APPURT[[#This Row],[Lateral Offset]]/12</f>
        <v>0</v>
      </c>
      <c r="QU6" s="276">
        <f>IFERROR(1/Calculations_APPURT[[#This Row],[Brackets]],0) * cv_M/cv_F * Forces_APPURT[[#This Row],[Beta Fa 90]] * Calculations_APPURT[[#This Row],[Lateral Offset]]/12</f>
        <v>0</v>
      </c>
      <c r="QV6" s="276">
        <f>IFERROR(1/Calculations_APPURT[[#This Row],[Brackets]],0) * cv_M/cv_F * Forces_APPURT[[#This Row],[Beta Fa 120]] * Calculations_APPURT[[#This Row],[Lateral Offset]]/12</f>
        <v>0</v>
      </c>
      <c r="QW6" s="276">
        <f>IFERROR(1/Calculations_APPURT[[#This Row],[Brackets]],0) * cv_M/cv_F * Forces_APPURT[[#This Row],[Beta Fa 135]] * Calculations_APPURT[[#This Row],[Lateral Offset]]/12</f>
        <v>0</v>
      </c>
      <c r="QX6" s="276">
        <f>IFERROR(1/Calculations_APPURT[[#This Row],[Brackets]],0) * cv_M/cv_F * Forces_APPURT[[#This Row],[Beta Fa 150]] * Calculations_APPURT[[#This Row],[Lateral Offset]]/12</f>
        <v>0</v>
      </c>
      <c r="QY6" s="276">
        <f>IFERROR(1/Calculations_APPURT[[#This Row],[Brackets]],0) * cv_M/cv_F * Forces_APPURT[[#This Row],[Beta Fa 180]] * Calculations_APPURT[[#This Row],[Lateral Offset]]/12</f>
        <v>0</v>
      </c>
      <c r="QZ6" s="276">
        <f>IFERROR(1/Calculations_APPURT[[#This Row],[Brackets]],0) * cv_M/cv_F * Forces_APPURT[[#This Row],[Beta Fa 210]] * Calculations_APPURT[[#This Row],[Lateral Offset]]/12</f>
        <v>0</v>
      </c>
      <c r="RA6" s="276">
        <f>IFERROR(1/Calculations_APPURT[[#This Row],[Brackets]],0) * cv_M/cv_F * Forces_APPURT[[#This Row],[Beta Fa 225]] * Calculations_APPURT[[#This Row],[Lateral Offset]]/12</f>
        <v>0</v>
      </c>
      <c r="RB6" s="276">
        <f>IFERROR(1/Calculations_APPURT[[#This Row],[Brackets]],0) * cv_M/cv_F * Forces_APPURT[[#This Row],[Beta Fa 240]] * Calculations_APPURT[[#This Row],[Lateral Offset]]/12</f>
        <v>0</v>
      </c>
      <c r="RC6" s="276">
        <f>IFERROR(1/Calculations_APPURT[[#This Row],[Brackets]],0) * cv_M/cv_F * Forces_APPURT[[#This Row],[Beta Fa 270]] * Calculations_APPURT[[#This Row],[Lateral Offset]]/12</f>
        <v>0</v>
      </c>
      <c r="RD6" s="276">
        <f>IFERROR(1/Calculations_APPURT[[#This Row],[Brackets]],0) * cv_M/cv_F * Forces_APPURT[[#This Row],[Beta Fa 300]] * Calculations_APPURT[[#This Row],[Lateral Offset]]/12</f>
        <v>0</v>
      </c>
      <c r="RE6" s="276">
        <f>IFERROR(1/Calculations_APPURT[[#This Row],[Brackets]],0) * cv_M/cv_F * Forces_APPURT[[#This Row],[Beta Fa 315]] * Calculations_APPURT[[#This Row],[Lateral Offset]]/12</f>
        <v>0</v>
      </c>
      <c r="RF6" s="276">
        <f>IFERROR(1/Calculations_APPURT[[#This Row],[Brackets]],0) * cv_M/cv_F * Forces_APPURT[[#This Row],[Beta Fa 330]] * Calculations_APPURT[[#This Row],[Lateral Offset]]/12</f>
        <v>0</v>
      </c>
      <c r="RG6" s="338">
        <f>IFERROR(1/Calculations_APPURT[[#This Row],[Brackets]],0) * cv_M/cv_F * Forces_APPURT[[#This Row],[Gamma Fa 0]] * Calculations_APPURT[[#This Row],[Lateral Offset]]/12</f>
        <v>0</v>
      </c>
      <c r="RH6" s="338">
        <f>IFERROR(1/Calculations_APPURT[[#This Row],[Brackets]],0) * cv_M/cv_F * Forces_APPURT[[#This Row],[Gamma Fa 30]] * Calculations_APPURT[[#This Row],[Lateral Offset]]/12</f>
        <v>0</v>
      </c>
      <c r="RI6" s="338">
        <f>IFERROR(1/Calculations_APPURT[[#This Row],[Brackets]],0) * cv_M/cv_F * Forces_APPURT[[#This Row],[Gamma Fa 45]] * Calculations_APPURT[[#This Row],[Lateral Offset]]/12</f>
        <v>0</v>
      </c>
      <c r="RJ6" s="338">
        <f>IFERROR(1/Calculations_APPURT[[#This Row],[Brackets]],0) * cv_M/cv_F * Forces_APPURT[[#This Row],[Gamma Fa 60]] * Calculations_APPURT[[#This Row],[Lateral Offset]]/12</f>
        <v>0</v>
      </c>
      <c r="RK6" s="338">
        <f>IFERROR(1/Calculations_APPURT[[#This Row],[Brackets]],0) * cv_M/cv_F * Forces_APPURT[[#This Row],[Gamma Fa 90]] * Calculations_APPURT[[#This Row],[Lateral Offset]]/12</f>
        <v>0</v>
      </c>
      <c r="RL6" s="338">
        <f>IFERROR(1/Calculations_APPURT[[#This Row],[Brackets]],0) * cv_M/cv_F * Forces_APPURT[[#This Row],[Gamma Fa 120]] * Calculations_APPURT[[#This Row],[Lateral Offset]]/12</f>
        <v>0</v>
      </c>
      <c r="RM6" s="338">
        <f>IFERROR(1/Calculations_APPURT[[#This Row],[Brackets]],0) * cv_M/cv_F * Forces_APPURT[[#This Row],[Gamma Fa 135]] * Calculations_APPURT[[#This Row],[Lateral Offset]]/12</f>
        <v>0</v>
      </c>
      <c r="RN6" s="338">
        <f>IFERROR(1/Calculations_APPURT[[#This Row],[Brackets]],0) * cv_M/cv_F * Forces_APPURT[[#This Row],[Gamma Fa 150]] * Calculations_APPURT[[#This Row],[Lateral Offset]]/12</f>
        <v>0</v>
      </c>
      <c r="RO6" s="338">
        <f>IFERROR(1/Calculations_APPURT[[#This Row],[Brackets]],0) * cv_M/cv_F * Forces_APPURT[[#This Row],[Gamma Fa 180]] * Calculations_APPURT[[#This Row],[Lateral Offset]]/12</f>
        <v>0</v>
      </c>
      <c r="RP6" s="338">
        <f>IFERROR(1/Calculations_APPURT[[#This Row],[Brackets]],0) * cv_M/cv_F * Forces_APPURT[[#This Row],[Gamma Fa 210]] * Calculations_APPURT[[#This Row],[Lateral Offset]]/12</f>
        <v>0</v>
      </c>
      <c r="RQ6" s="338">
        <f>IFERROR(1/Calculations_APPURT[[#This Row],[Brackets]],0) * cv_M/cv_F * Forces_APPURT[[#This Row],[Gamma Fa 225]] * Calculations_APPURT[[#This Row],[Lateral Offset]]/12</f>
        <v>0</v>
      </c>
      <c r="RR6" s="338">
        <f>IFERROR(1/Calculations_APPURT[[#This Row],[Brackets]],0) * cv_M/cv_F * Forces_APPURT[[#This Row],[Gamma Fa 240]] * Calculations_APPURT[[#This Row],[Lateral Offset]]/12</f>
        <v>0</v>
      </c>
      <c r="RS6" s="338">
        <f>IFERROR(1/Calculations_APPURT[[#This Row],[Brackets]],0) * cv_M/cv_F * Forces_APPURT[[#This Row],[Gamma Fa 270]] * Calculations_APPURT[[#This Row],[Lateral Offset]]/12</f>
        <v>0</v>
      </c>
      <c r="RT6" s="338">
        <f>IFERROR(1/Calculations_APPURT[[#This Row],[Brackets]],0) * cv_M/cv_F * Forces_APPURT[[#This Row],[Gamma Fa 300]] * Calculations_APPURT[[#This Row],[Lateral Offset]]/12</f>
        <v>0</v>
      </c>
      <c r="RU6" s="338">
        <f>IFERROR(1/Calculations_APPURT[[#This Row],[Brackets]],0) * cv_M/cv_F * Forces_APPURT[[#This Row],[Gamma Fa 315]] * Calculations_APPURT[[#This Row],[Lateral Offset]]/12</f>
        <v>0</v>
      </c>
      <c r="RV6" s="338">
        <f>IFERROR(1/Calculations_APPURT[[#This Row],[Brackets]],0) * cv_M/cv_F * Forces_APPURT[[#This Row],[Gamma Fa 330]] * Calculations_APPURT[[#This Row],[Lateral Offset]]/12</f>
        <v>0</v>
      </c>
      <c r="RW6" s="276">
        <f>IFERROR(1/Calculations_APPURT[[#This Row],[Brackets]],0) * cv_M/cv_F * Forces_APPURT[[#This Row],[Delta Fa 0]] * Calculations_APPURT[[#This Row],[Lateral Offset]]/12</f>
        <v>0</v>
      </c>
      <c r="RX6" s="276">
        <f>IFERROR(1/Calculations_APPURT[[#This Row],[Brackets]],0) * cv_M/cv_F * Forces_APPURT[[#This Row],[Delta Fa 30]] * Calculations_APPURT[[#This Row],[Lateral Offset]]/12</f>
        <v>0</v>
      </c>
      <c r="RY6" s="276">
        <f>IFERROR(1/Calculations_APPURT[[#This Row],[Brackets]],0) * cv_M/cv_F * Forces_APPURT[[#This Row],[Delta Fa 45]] * Calculations_APPURT[[#This Row],[Lateral Offset]]/12</f>
        <v>0</v>
      </c>
      <c r="RZ6" s="276">
        <f>IFERROR(1/Calculations_APPURT[[#This Row],[Brackets]],0) * cv_M/cv_F * Forces_APPURT[[#This Row],[Delta Fa 60]] * Calculations_APPURT[[#This Row],[Lateral Offset]]/12</f>
        <v>0</v>
      </c>
      <c r="SA6" s="276">
        <f>IFERROR(1/Calculations_APPURT[[#This Row],[Brackets]],0) * cv_M/cv_F * Forces_APPURT[[#This Row],[Delta Fa 90]] * Calculations_APPURT[[#This Row],[Lateral Offset]]/12</f>
        <v>0</v>
      </c>
      <c r="SB6" s="276">
        <f>IFERROR(1/Calculations_APPURT[[#This Row],[Brackets]],0) * cv_M/cv_F * Forces_APPURT[[#This Row],[Delta Fa 120]] * Calculations_APPURT[[#This Row],[Lateral Offset]]/12</f>
        <v>0</v>
      </c>
      <c r="SC6" s="276">
        <f>IFERROR(1/Calculations_APPURT[[#This Row],[Brackets]],0) * cv_M/cv_F * Forces_APPURT[[#This Row],[Delta Fa 135]] * Calculations_APPURT[[#This Row],[Lateral Offset]]/12</f>
        <v>0</v>
      </c>
      <c r="SD6" s="276">
        <f>IFERROR(1/Calculations_APPURT[[#This Row],[Brackets]],0) * cv_M/cv_F * Forces_APPURT[[#This Row],[Delta Fa 150]] * Calculations_APPURT[[#This Row],[Lateral Offset]]/12</f>
        <v>0</v>
      </c>
      <c r="SE6" s="276">
        <f>IFERROR(1/Calculations_APPURT[[#This Row],[Brackets]],0) * cv_M/cv_F * Forces_APPURT[[#This Row],[Delta Fa 180]] * Calculations_APPURT[[#This Row],[Lateral Offset]]/12</f>
        <v>0</v>
      </c>
      <c r="SF6" s="276">
        <f>IFERROR(1/Calculations_APPURT[[#This Row],[Brackets]],0) * cv_M/cv_F * Forces_APPURT[[#This Row],[Delta Fa 210]] * Calculations_APPURT[[#This Row],[Lateral Offset]]/12</f>
        <v>0</v>
      </c>
      <c r="SG6" s="276">
        <f>IFERROR(1/Calculations_APPURT[[#This Row],[Brackets]],0) * cv_M/cv_F * Forces_APPURT[[#This Row],[Delta Fa 225]] * Calculations_APPURT[[#This Row],[Lateral Offset]]/12</f>
        <v>0</v>
      </c>
      <c r="SH6" s="276">
        <f>IFERROR(1/Calculations_APPURT[[#This Row],[Brackets]],0) * cv_M/cv_F * Forces_APPURT[[#This Row],[Delta Fa 240]] * Calculations_APPURT[[#This Row],[Lateral Offset]]/12</f>
        <v>0</v>
      </c>
      <c r="SI6" s="276">
        <f>IFERROR(1/Calculations_APPURT[[#This Row],[Brackets]],0) * cv_M/cv_F * Forces_APPURT[[#This Row],[Delta Fa 270]] * Calculations_APPURT[[#This Row],[Lateral Offset]]/12</f>
        <v>0</v>
      </c>
      <c r="SJ6" s="276">
        <f>IFERROR(1/Calculations_APPURT[[#This Row],[Brackets]],0) * cv_M/cv_F * Forces_APPURT[[#This Row],[Delta Fa 300]] * Calculations_APPURT[[#This Row],[Lateral Offset]]/12</f>
        <v>0</v>
      </c>
      <c r="SK6" s="276">
        <f>IFERROR(1/Calculations_APPURT[[#This Row],[Brackets]],0) * cv_M/cv_F * Forces_APPURT[[#This Row],[Delta Fa 315]] * Calculations_APPURT[[#This Row],[Lateral Offset]]/12</f>
        <v>0</v>
      </c>
      <c r="SL6" s="276">
        <f>IFERROR(1/Calculations_APPURT[[#This Row],[Brackets]],0) * cv_M/cv_F * Forces_APPURT[[#This Row],[Delta Fa 330]] * Calculations_APPURT[[#This Row],[Lateral Offset]]/12</f>
        <v>0</v>
      </c>
      <c r="SM6" s="338">
        <f>IFERROR(1/Calculations_APPURT[[#This Row],[Brackets]],0) * cv_M/cv_F * Forces_APPURT[[#This Row],[Alpha Fai 0]] * Calculations_APPURT[[#This Row],[Lateral Offset]]/12</f>
        <v>0</v>
      </c>
      <c r="SN6" s="338">
        <f>IFERROR(1/Calculations_APPURT[[#This Row],[Brackets]],0) * cv_M/cv_F * Forces_APPURT[[#This Row],[Alpha Fai 30]] * Calculations_APPURT[[#This Row],[Lateral Offset]]/12</f>
        <v>0</v>
      </c>
      <c r="SO6" s="338">
        <f>IFERROR(1/Calculations_APPURT[[#This Row],[Brackets]],0) * cv_M/cv_F * Forces_APPURT[[#This Row],[Alpha Fai 45]] * Calculations_APPURT[[#This Row],[Lateral Offset]]/12</f>
        <v>0</v>
      </c>
      <c r="SP6" s="338">
        <f>IFERROR(1/Calculations_APPURT[[#This Row],[Brackets]],0) * cv_M/cv_F * Forces_APPURT[[#This Row],[Alpha Fai 60]] * Calculations_APPURT[[#This Row],[Lateral Offset]]/12</f>
        <v>0</v>
      </c>
      <c r="SQ6" s="338">
        <f>IFERROR(1/Calculations_APPURT[[#This Row],[Brackets]],0) * cv_M/cv_F * Forces_APPURT[[#This Row],[Alpha Fai 90]] * Calculations_APPURT[[#This Row],[Lateral Offset]]/12</f>
        <v>0</v>
      </c>
      <c r="SR6" s="338">
        <f>IFERROR(1/Calculations_APPURT[[#This Row],[Brackets]],0) * cv_M/cv_F * Forces_APPURT[[#This Row],[Alpha Fai 120]] * Calculations_APPURT[[#This Row],[Lateral Offset]]/12</f>
        <v>0</v>
      </c>
      <c r="SS6" s="338">
        <f>IFERROR(1/Calculations_APPURT[[#This Row],[Brackets]],0) * cv_M/cv_F * Forces_APPURT[[#This Row],[Alpha Fai 135]] * Calculations_APPURT[[#This Row],[Lateral Offset]]/12</f>
        <v>0</v>
      </c>
      <c r="ST6" s="338">
        <f>IFERROR(1/Calculations_APPURT[[#This Row],[Brackets]],0) * cv_M/cv_F * Forces_APPURT[[#This Row],[Alpha Fai 150]] * Calculations_APPURT[[#This Row],[Lateral Offset]]/12</f>
        <v>0</v>
      </c>
      <c r="SU6" s="338">
        <f>IFERROR(1/Calculations_APPURT[[#This Row],[Brackets]],0) * cv_M/cv_F * Forces_APPURT[[#This Row],[Alpha Fai 180]] * Calculations_APPURT[[#This Row],[Lateral Offset]]/12</f>
        <v>0</v>
      </c>
      <c r="SV6" s="338">
        <f>IFERROR(1/Calculations_APPURT[[#This Row],[Brackets]],0) * cv_M/cv_F * Forces_APPURT[[#This Row],[Alpha Fai 210]] * Calculations_APPURT[[#This Row],[Lateral Offset]]/12</f>
        <v>0</v>
      </c>
      <c r="SW6" s="338">
        <f>IFERROR(1/Calculations_APPURT[[#This Row],[Brackets]],0) * cv_M/cv_F * Forces_APPURT[[#This Row],[Alpha Fai 225]] * Calculations_APPURT[[#This Row],[Lateral Offset]]/12</f>
        <v>0</v>
      </c>
      <c r="SX6" s="338">
        <f>IFERROR(1/Calculations_APPURT[[#This Row],[Brackets]],0) * cv_M/cv_F * Forces_APPURT[[#This Row],[Alpha Fai 240]] * Calculations_APPURT[[#This Row],[Lateral Offset]]/12</f>
        <v>0</v>
      </c>
      <c r="SY6" s="338">
        <f>IFERROR(1/Calculations_APPURT[[#This Row],[Brackets]],0) * cv_M/cv_F * Forces_APPURT[[#This Row],[Alpha Fai 270]] * Calculations_APPURT[[#This Row],[Lateral Offset]]/12</f>
        <v>0</v>
      </c>
      <c r="SZ6" s="338">
        <f>IFERROR(1/Calculations_APPURT[[#This Row],[Brackets]],0) * cv_M/cv_F * Forces_APPURT[[#This Row],[Alpha Fai 300]] * Calculations_APPURT[[#This Row],[Lateral Offset]]/12</f>
        <v>0</v>
      </c>
      <c r="TA6" s="338">
        <f>IFERROR(1/Calculations_APPURT[[#This Row],[Brackets]],0) * cv_M/cv_F * Forces_APPURT[[#This Row],[Alpha Fai 315]] * Calculations_APPURT[[#This Row],[Lateral Offset]]/12</f>
        <v>0</v>
      </c>
      <c r="TB6" s="338">
        <f>IFERROR(1/Calculations_APPURT[[#This Row],[Brackets]],0) * cv_M/cv_F * Forces_APPURT[[#This Row],[Alpha Fai 330]] * Calculations_APPURT[[#This Row],[Lateral Offset]]/12</f>
        <v>0</v>
      </c>
      <c r="TC6" s="276">
        <f>IFERROR(1/Calculations_APPURT[[#This Row],[Brackets]],0) * cv_M/cv_F * Forces_APPURT[[#This Row],[Beta Fai 0]] * Calculations_APPURT[[#This Row],[Lateral Offset]]/12</f>
        <v>0</v>
      </c>
      <c r="TD6" s="276">
        <f>IFERROR(1/Calculations_APPURT[[#This Row],[Brackets]],0) * cv_M/cv_F * Forces_APPURT[[#This Row],[Beta Fai 30]] * Calculations_APPURT[[#This Row],[Lateral Offset]]/12</f>
        <v>0</v>
      </c>
      <c r="TE6" s="276">
        <f>IFERROR(1/Calculations_APPURT[[#This Row],[Brackets]],0) * cv_M/cv_F * Forces_APPURT[[#This Row],[Beta Fai 45]] * Calculations_APPURT[[#This Row],[Lateral Offset]]/12</f>
        <v>0</v>
      </c>
      <c r="TF6" s="276">
        <f>IFERROR(1/Calculations_APPURT[[#This Row],[Brackets]],0) * cv_M/cv_F * Forces_APPURT[[#This Row],[Beta Fai 60]] * Calculations_APPURT[[#This Row],[Lateral Offset]]/12</f>
        <v>0</v>
      </c>
      <c r="TG6" s="276">
        <f>IFERROR(1/Calculations_APPURT[[#This Row],[Brackets]],0) * cv_M/cv_F * Forces_APPURT[[#This Row],[Beta Fai 90]] * Calculations_APPURT[[#This Row],[Lateral Offset]]/12</f>
        <v>0</v>
      </c>
      <c r="TH6" s="276">
        <f>IFERROR(1/Calculations_APPURT[[#This Row],[Brackets]],0) * cv_M/cv_F * Forces_APPURT[[#This Row],[Beta Fai 120]] * Calculations_APPURT[[#This Row],[Lateral Offset]]/12</f>
        <v>0</v>
      </c>
      <c r="TI6" s="276">
        <f>IFERROR(1/Calculations_APPURT[[#This Row],[Brackets]],0) * cv_M/cv_F * Forces_APPURT[[#This Row],[Beta Fai 135]] * Calculations_APPURT[[#This Row],[Lateral Offset]]/12</f>
        <v>0</v>
      </c>
      <c r="TJ6" s="276">
        <f>IFERROR(1/Calculations_APPURT[[#This Row],[Brackets]],0) * cv_M/cv_F * Forces_APPURT[[#This Row],[Beta Fai 150]] * Calculations_APPURT[[#This Row],[Lateral Offset]]/12</f>
        <v>0</v>
      </c>
      <c r="TK6" s="276">
        <f>IFERROR(1/Calculations_APPURT[[#This Row],[Brackets]],0) * cv_M/cv_F * Forces_APPURT[[#This Row],[Beta Fai 180]] * Calculations_APPURT[[#This Row],[Lateral Offset]]/12</f>
        <v>0</v>
      </c>
      <c r="TL6" s="276">
        <f>IFERROR(1/Calculations_APPURT[[#This Row],[Brackets]],0) * cv_M/cv_F * Forces_APPURT[[#This Row],[Beta Fai 210]] * Calculations_APPURT[[#This Row],[Lateral Offset]]/12</f>
        <v>0</v>
      </c>
      <c r="TM6" s="276">
        <f>IFERROR(1/Calculations_APPURT[[#This Row],[Brackets]],0) * cv_M/cv_F * Forces_APPURT[[#This Row],[Beta Fai 225]] * Calculations_APPURT[[#This Row],[Lateral Offset]]/12</f>
        <v>0</v>
      </c>
      <c r="TN6" s="276">
        <f>IFERROR(1/Calculations_APPURT[[#This Row],[Brackets]],0) * cv_M/cv_F * Forces_APPURT[[#This Row],[Beta Fai 240]] * Calculations_APPURT[[#This Row],[Lateral Offset]]/12</f>
        <v>0</v>
      </c>
      <c r="TO6" s="276">
        <f>IFERROR(1/Calculations_APPURT[[#This Row],[Brackets]],0) * cv_M/cv_F * Forces_APPURT[[#This Row],[Beta Fai 270]] * Calculations_APPURT[[#This Row],[Lateral Offset]]/12</f>
        <v>0</v>
      </c>
      <c r="TP6" s="276">
        <f>IFERROR(1/Calculations_APPURT[[#This Row],[Brackets]],0) * cv_M/cv_F * Forces_APPURT[[#This Row],[Beta Fai 300]] * Calculations_APPURT[[#This Row],[Lateral Offset]]/12</f>
        <v>0</v>
      </c>
      <c r="TQ6" s="276">
        <f>IFERROR(1/Calculations_APPURT[[#This Row],[Brackets]],0) * cv_M/cv_F * Forces_APPURT[[#This Row],[Beta Fai 315]] * Calculations_APPURT[[#This Row],[Lateral Offset]]/12</f>
        <v>0</v>
      </c>
      <c r="TR6" s="276">
        <f>IFERROR(1/Calculations_APPURT[[#This Row],[Brackets]],0) * cv_M/cv_F * Forces_APPURT[[#This Row],[Beta Fai 330]] * Calculations_APPURT[[#This Row],[Lateral Offset]]/12</f>
        <v>0</v>
      </c>
      <c r="TS6" s="338">
        <f>IFERROR(1/Calculations_APPURT[[#This Row],[Brackets]],0) * cv_M/cv_F * Forces_APPURT[[#This Row],[Gamma Fai 0]] * Calculations_APPURT[[#This Row],[Lateral Offset]]/12</f>
        <v>0</v>
      </c>
      <c r="TT6" s="338">
        <f>IFERROR(1/Calculations_APPURT[[#This Row],[Brackets]],0) * cv_M/cv_F * Forces_APPURT[[#This Row],[Gamma Fai 30]] * Calculations_APPURT[[#This Row],[Lateral Offset]]/12</f>
        <v>0</v>
      </c>
      <c r="TU6" s="338">
        <f>IFERROR(1/Calculations_APPURT[[#This Row],[Brackets]],0) * cv_M/cv_F * Forces_APPURT[[#This Row],[Gamma Fai 45]] * Calculations_APPURT[[#This Row],[Lateral Offset]]/12</f>
        <v>0</v>
      </c>
      <c r="TV6" s="338">
        <f>IFERROR(1/Calculations_APPURT[[#This Row],[Brackets]],0) * cv_M/cv_F * Forces_APPURT[[#This Row],[Gamma Fai 60]] * Calculations_APPURT[[#This Row],[Lateral Offset]]/12</f>
        <v>0</v>
      </c>
      <c r="TW6" s="338">
        <f>IFERROR(1/Calculations_APPURT[[#This Row],[Brackets]],0) * cv_M/cv_F * Forces_APPURT[[#This Row],[Gamma Fai 90]] * Calculations_APPURT[[#This Row],[Lateral Offset]]/12</f>
        <v>0</v>
      </c>
      <c r="TX6" s="338">
        <f>IFERROR(1/Calculations_APPURT[[#This Row],[Brackets]],0) * cv_M/cv_F * Forces_APPURT[[#This Row],[Gamma Fai 120]] * Calculations_APPURT[[#This Row],[Lateral Offset]]/12</f>
        <v>0</v>
      </c>
      <c r="TY6" s="338">
        <f>IFERROR(1/Calculations_APPURT[[#This Row],[Brackets]],0) * cv_M/cv_F * Forces_APPURT[[#This Row],[Gamma Fai 135]] * Calculations_APPURT[[#This Row],[Lateral Offset]]/12</f>
        <v>0</v>
      </c>
      <c r="TZ6" s="338">
        <f>IFERROR(1/Calculations_APPURT[[#This Row],[Brackets]],0) * cv_M/cv_F * Forces_APPURT[[#This Row],[Gamma Fai 150]] * Calculations_APPURT[[#This Row],[Lateral Offset]]/12</f>
        <v>0</v>
      </c>
      <c r="UA6" s="338">
        <f>IFERROR(1/Calculations_APPURT[[#This Row],[Brackets]],0) * cv_M/cv_F * Forces_APPURT[[#This Row],[Gamma Fai 180]] * Calculations_APPURT[[#This Row],[Lateral Offset]]/12</f>
        <v>0</v>
      </c>
      <c r="UB6" s="338">
        <f>IFERROR(1/Calculations_APPURT[[#This Row],[Brackets]],0) * cv_M/cv_F * Forces_APPURT[[#This Row],[Gamma Fai 210]] * Calculations_APPURT[[#This Row],[Lateral Offset]]/12</f>
        <v>0</v>
      </c>
      <c r="UC6" s="338">
        <f>IFERROR(1/Calculations_APPURT[[#This Row],[Brackets]],0) * cv_M/cv_F * Forces_APPURT[[#This Row],[Gamma Fai 225]] * Calculations_APPURT[[#This Row],[Lateral Offset]]/12</f>
        <v>0</v>
      </c>
      <c r="UD6" s="338">
        <f>IFERROR(1/Calculations_APPURT[[#This Row],[Brackets]],0) * cv_M/cv_F * Forces_APPURT[[#This Row],[Gamma Fai 240]] * Calculations_APPURT[[#This Row],[Lateral Offset]]/12</f>
        <v>0</v>
      </c>
      <c r="UE6" s="338">
        <f>IFERROR(1/Calculations_APPURT[[#This Row],[Brackets]],0) * cv_M/cv_F * Forces_APPURT[[#This Row],[Gamma Fai 270]] * Calculations_APPURT[[#This Row],[Lateral Offset]]/12</f>
        <v>0</v>
      </c>
      <c r="UF6" s="338">
        <f>IFERROR(1/Calculations_APPURT[[#This Row],[Brackets]],0) * cv_M/cv_F * Forces_APPURT[[#This Row],[Gamma Fai 300]] * Calculations_APPURT[[#This Row],[Lateral Offset]]/12</f>
        <v>0</v>
      </c>
      <c r="UG6" s="338">
        <f>IFERROR(1/Calculations_APPURT[[#This Row],[Brackets]],0) * cv_M/cv_F * Forces_APPURT[[#This Row],[Gamma Fai 315]] * Calculations_APPURT[[#This Row],[Lateral Offset]]/12</f>
        <v>0</v>
      </c>
      <c r="UH6" s="338">
        <f>IFERROR(1/Calculations_APPURT[[#This Row],[Brackets]],0) * cv_M/cv_F * Forces_APPURT[[#This Row],[Gamma Fai 330]] * Calculations_APPURT[[#This Row],[Lateral Offset]]/12</f>
        <v>0</v>
      </c>
      <c r="UI6" s="276">
        <f>IFERROR(1/Calculations_APPURT[[#This Row],[Brackets]],0) * cv_M/cv_F * Forces_APPURT[[#This Row],[Delta Fai 0]] * Calculations_APPURT[[#This Row],[Lateral Offset]]/12</f>
        <v>0</v>
      </c>
      <c r="UJ6" s="276">
        <f>IFERROR(1/Calculations_APPURT[[#This Row],[Brackets]],0) * cv_M/cv_F * Forces_APPURT[[#This Row],[Delta Fai 30]] * Calculations_APPURT[[#This Row],[Lateral Offset]]/12</f>
        <v>0</v>
      </c>
      <c r="UK6" s="276">
        <f>IFERROR(1/Calculations_APPURT[[#This Row],[Brackets]],0) * cv_M/cv_F * Forces_APPURT[[#This Row],[Delta Fai 45]] * Calculations_APPURT[[#This Row],[Lateral Offset]]/12</f>
        <v>0</v>
      </c>
      <c r="UL6" s="276">
        <f>IFERROR(1/Calculations_APPURT[[#This Row],[Brackets]],0) * cv_M/cv_F * Forces_APPURT[[#This Row],[Delta Fai 60]] * Calculations_APPURT[[#This Row],[Lateral Offset]]/12</f>
        <v>0</v>
      </c>
      <c r="UM6" s="276">
        <f>IFERROR(1/Calculations_APPURT[[#This Row],[Brackets]],0) * cv_M/cv_F * Forces_APPURT[[#This Row],[Delta Fai 90]] * Calculations_APPURT[[#This Row],[Lateral Offset]]/12</f>
        <v>0</v>
      </c>
      <c r="UN6" s="276">
        <f>IFERROR(1/Calculations_APPURT[[#This Row],[Brackets]],0) * cv_M/cv_F * Forces_APPURT[[#This Row],[Delta Fai 120]] * Calculations_APPURT[[#This Row],[Lateral Offset]]/12</f>
        <v>0</v>
      </c>
      <c r="UO6" s="276">
        <f>IFERROR(1/Calculations_APPURT[[#This Row],[Brackets]],0) * cv_M/cv_F * Forces_APPURT[[#This Row],[Delta Fai 135]] * Calculations_APPURT[[#This Row],[Lateral Offset]]/12</f>
        <v>0</v>
      </c>
      <c r="UP6" s="276">
        <f>IFERROR(1/Calculations_APPURT[[#This Row],[Brackets]],0) * cv_M/cv_F * Forces_APPURT[[#This Row],[Delta Fai 150]] * Calculations_APPURT[[#This Row],[Lateral Offset]]/12</f>
        <v>0</v>
      </c>
      <c r="UQ6" s="276">
        <f>IFERROR(1/Calculations_APPURT[[#This Row],[Brackets]],0) * cv_M/cv_F * Forces_APPURT[[#This Row],[Delta Fai 180]] * Calculations_APPURT[[#This Row],[Lateral Offset]]/12</f>
        <v>0</v>
      </c>
      <c r="UR6" s="276">
        <f>IFERROR(1/Calculations_APPURT[[#This Row],[Brackets]],0) * cv_M/cv_F * Forces_APPURT[[#This Row],[Delta Fai 210]] * Calculations_APPURT[[#This Row],[Lateral Offset]]/12</f>
        <v>0</v>
      </c>
      <c r="US6" s="276">
        <f>IFERROR(1/Calculations_APPURT[[#This Row],[Brackets]],0) * cv_M/cv_F * Forces_APPURT[[#This Row],[Delta Fai 225]] * Calculations_APPURT[[#This Row],[Lateral Offset]]/12</f>
        <v>0</v>
      </c>
      <c r="UT6" s="276">
        <f>IFERROR(1/Calculations_APPURT[[#This Row],[Brackets]],0) * cv_M/cv_F * Forces_APPURT[[#This Row],[Delta Fai 240]] * Calculations_APPURT[[#This Row],[Lateral Offset]]/12</f>
        <v>0</v>
      </c>
      <c r="UU6" s="276">
        <f>IFERROR(1/Calculations_APPURT[[#This Row],[Brackets]],0) * cv_M/cv_F * Forces_APPURT[[#This Row],[Delta Fai 270]] * Calculations_APPURT[[#This Row],[Lateral Offset]]/12</f>
        <v>0</v>
      </c>
      <c r="UV6" s="276">
        <f>IFERROR(1/Calculations_APPURT[[#This Row],[Brackets]],0) * cv_M/cv_F * Forces_APPURT[[#This Row],[Delta Fai 300]] * Calculations_APPURT[[#This Row],[Lateral Offset]]/12</f>
        <v>0</v>
      </c>
      <c r="UW6" s="276">
        <f>IFERROR(1/Calculations_APPURT[[#This Row],[Brackets]],0) * cv_M/cv_F * Forces_APPURT[[#This Row],[Delta Fai 315]] * Calculations_APPURT[[#This Row],[Lateral Offset]]/12</f>
        <v>0</v>
      </c>
      <c r="UX6" s="276">
        <f>IFERROR(1/Calculations_APPURT[[#This Row],[Brackets]],0) * cv_M/cv_F * Forces_APPURT[[#This Row],[Delta Fai 330]] * Calculations_APPURT[[#This Row],[Lateral Offset]]/12</f>
        <v>0</v>
      </c>
      <c r="UY6" s="338">
        <f>Dimensions_APPURT[[#This Row],[Weight (lbf)]] * cv_F * AlphaSector[[#This Row],[Quantity]]</f>
        <v>0</v>
      </c>
      <c r="UZ6" s="338">
        <f>Dimensions_APPURT[[#This Row],[Weight (lbf)]] * cv_F * BetaSector[[#This Row],[Quantity]]</f>
        <v>0</v>
      </c>
      <c r="VA6" s="338">
        <f>Dimensions_APPURT[[#This Row],[Weight (lbf)]] * cv_F * GammaSector[[#This Row],[Quantity]]</f>
        <v>0</v>
      </c>
      <c r="VB6" s="338">
        <f>Dimensions_APPURT[[#This Row],[Weight (lbf)]] * cv_F * DeltaSector[[#This Row],[Quantity]]</f>
        <v>0</v>
      </c>
      <c r="VC6" s="209">
        <f>Dimensions_APPURT[[#This Row],[Weight (lbf)]] * cv_M * AlphaSector[[#This Row],[Quantity]] * Calculations_APPURT[[#This Row],[Horizontal Offset]]/12</f>
        <v>0</v>
      </c>
      <c r="VD6" s="209">
        <f>Dimensions_APPURT[[#This Row],[Weight (lbf)]] * cv_M * BetaSector[[#This Row],[Quantity]] * Calculations_APPURT[[#This Row],[Horizontal Offset]]/12</f>
        <v>0</v>
      </c>
      <c r="VE6" s="209">
        <f>Dimensions_APPURT[[#This Row],[Weight (lbf)]] * cv_M * GammaSector[[#This Row],[Quantity]] * Calculations_APPURT[[#This Row],[Horizontal Offset]]/12</f>
        <v>0</v>
      </c>
      <c r="VF6" s="209">
        <f>Dimensions_APPURT[[#This Row],[Weight (lbf)]] * cv_M * DeltaSector[[#This Row],[Quantity]] * Calculations_APPURT[[#This Row],[Horizontal Offset]]/12</f>
        <v>0</v>
      </c>
      <c r="VG6" s="338">
        <f>Hazards_APPURT[[#This Row],[Ice Weight]] * cv_F * AlphaSector[[#This Row],[Quantity]]</f>
        <v>0</v>
      </c>
      <c r="VH6" s="338">
        <f>Hazards_APPURT[[#This Row],[Ice Weight]] * cv_F * BetaSector[[#This Row],[Quantity]]</f>
        <v>0</v>
      </c>
      <c r="VI6" s="338">
        <f>Hazards_APPURT[[#This Row],[Ice Weight]] * cv_F * GammaSector[[#This Row],[Quantity]]</f>
        <v>0</v>
      </c>
      <c r="VJ6" s="338">
        <f>Hazards_APPURT[[#This Row],[Ice Weight]] * cv_F * DeltaSector[[#This Row],[Quantity]]</f>
        <v>0</v>
      </c>
      <c r="VK6" s="209">
        <f>Hazards_APPURT[[#This Row],[Ice Weight]] * cv_M * AlphaSector[[#This Row],[Quantity]] * Calculations_APPURT[[#This Row],[Horizontal Offset]]/12</f>
        <v>0</v>
      </c>
      <c r="VL6" s="209">
        <f>Hazards_APPURT[[#This Row],[Ice Weight]] * cv_M * BetaSector[[#This Row],[Quantity]] * Calculations_APPURT[[#This Row],[Horizontal Offset]]/12</f>
        <v>0</v>
      </c>
      <c r="VM6" s="209">
        <f>Hazards_APPURT[[#This Row],[Ice Weight]] * cv_M * GammaSector[[#This Row],[Quantity]] * Calculations_APPURT[[#This Row],[Horizontal Offset]]/12</f>
        <v>0</v>
      </c>
      <c r="VN6" s="209">
        <f>Hazards_APPURT[[#This Row],[Ice Weight]] * cv_M * DeltaSector[[#This Row],[Quantity]] * Calculations_APPURT[[#This Row],[Horizontal Offset]]/12</f>
        <v>0</v>
      </c>
    </row>
    <row r="7" spans="1:586" ht="15" customHeight="1" x14ac:dyDescent="0.2">
      <c r="A7" s="69"/>
      <c r="B7" s="275"/>
      <c r="E7" s="265"/>
      <c r="L7" s="69"/>
      <c r="R7" s="70"/>
      <c r="T7" s="69"/>
      <c r="W7" s="69"/>
      <c r="Y7" s="69"/>
      <c r="Z7" s="70"/>
      <c r="AB7" s="69"/>
      <c r="AE7" s="69"/>
      <c r="AG7" s="69"/>
      <c r="AH7" s="70"/>
      <c r="AJ7" s="69"/>
      <c r="AM7" s="69"/>
      <c r="AO7" s="69"/>
      <c r="AP7" s="70"/>
      <c r="AR7" s="69"/>
      <c r="AV7" s="277" cm="1">
        <f t="array" ref="AV7">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7" s="209" cm="1">
        <f t="array" ref="AW7">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7" s="209" cm="1">
        <f t="array" ref="AX7">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7" s="209" cm="1">
        <f t="array" ref="AY7">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7"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7" s="209" cm="1">
        <f t="array" ref="BA7">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7" s="209">
        <f>IF(OR(Calculations_APPURT[[#This Row],[Shape]]="CFD",Calculations_APPURT[[#This Row],[Shape]]="CCI"),1,0.95)</f>
        <v>0.95</v>
      </c>
      <c r="BC7" s="209" cm="1">
        <f t="array" ref="BC7">0.00256 * Hazards_APPURT[[#This Row],[Kz]] * Kzt * Ks * I.wind * V^2 * IF(RIGHT(TIA,1)="G",1,Ke) * IF(OR(Calculations_APPURT[[#This Row],[Shape]]="CFD",Calculations_APPURT[[#This Row],[Shape]]="CCI"),1, Hazards_APPURT[[#This Row],[Kd]]) * Gh</f>
        <v>0</v>
      </c>
      <c r="BD7" s="209">
        <f>IF(Risk="I",0,MIN(((z+Calculations_APPURT[[#This Row],[Vertical Offset]]/12)/33)^(0.1),1.4))</f>
        <v>0</v>
      </c>
      <c r="BE7" s="209" cm="1">
        <f t="array" ref="BE7">IF(Risk="I",0,IF(TIA="ANSI/TIA-222-G",2,1*Kes.i)*ti*I.ice*Hazards_APPURT[[#This Row],[Kiz]]*(Kzt/Ks)^(0.35))</f>
        <v>0</v>
      </c>
      <c r="BF7" s="209" cm="1">
        <f t="array" ref="BF7">0.00256 * Hazards_APPURT[[#This Row],[Kz]] * Kzt * Ks * I.wind * Vi^2 * IF(RIGHT(TIA,1)="G",1,Ke) * IF(OR(Calculations_APPURT[[#This Row],[Shape]]="CFD",Calculations_APPURT[[#This Row],[Shape]]="CCI"),1, Kd) * Gh</f>
        <v>0</v>
      </c>
      <c r="BG7"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7"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7"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7"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7"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7"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7"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7"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7"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7"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7"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7"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7"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7"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7"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7"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7"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7"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7"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7"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7"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7"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7"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7"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7"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7"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7"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7"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7"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7"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7"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7"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7"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7"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7"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7"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7"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7"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7"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7"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7"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7"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7"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7"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7"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7"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7"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7"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7"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7"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7"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7"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7"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7"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7"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7"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7"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7"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7"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7"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7"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7"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7"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7"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7" s="276">
        <f>IFERROR(1/Calculations_APPURT[[#This Row],[Brackets]],0) * cv_F * AlphaSector[[#This Row],[Quantity]] * Hazards_APPURT[[#This Row],[qz]] * CaAa_APPURT[[#This Row],[Alpha 0]] * IF(Calculations_APPURT[[#This Row],[Shape]]="CFD",1, Ka)</f>
        <v>0</v>
      </c>
      <c r="GF7" s="276">
        <f>IFERROR(1/Calculations_APPURT[[#This Row],[Brackets]],0) * cv_F * AlphaSector[[#This Row],[Quantity]] * Hazards_APPURT[[#This Row],[qz]] * CaAa_APPURT[[#This Row],[Alpha 30]] * IF(Calculations_APPURT[[#This Row],[Shape]]="CFD",1, Ka)</f>
        <v>0</v>
      </c>
      <c r="GG7" s="276">
        <f>IFERROR(1/Calculations_APPURT[[#This Row],[Brackets]],0) * cv_F * AlphaSector[[#This Row],[Quantity]] * Hazards_APPURT[[#This Row],[qz]] * CaAa_APPURT[[#This Row],[Alpha 45]] * IF(Calculations_APPURT[[#This Row],[Shape]]="CFD",1, Ka)</f>
        <v>0</v>
      </c>
      <c r="GH7" s="276">
        <f>IFERROR(1/Calculations_APPURT[[#This Row],[Brackets]],0) * cv_F * AlphaSector[[#This Row],[Quantity]] * Hazards_APPURT[[#This Row],[qz]] * CaAa_APPURT[[#This Row],[Alpha 60]] * IF(Calculations_APPURT[[#This Row],[Shape]]="CFD",1, Ka)</f>
        <v>0</v>
      </c>
      <c r="GI7" s="276">
        <f>IFERROR(1/Calculations_APPURT[[#This Row],[Brackets]],0) * cv_F * AlphaSector[[#This Row],[Quantity]] * Hazards_APPURT[[#This Row],[qz]] * CaAa_APPURT[[#This Row],[Alpha 90]] * IF(Calculations_APPURT[[#This Row],[Shape]]="CFD",1, Ka)</f>
        <v>0</v>
      </c>
      <c r="GJ7" s="276">
        <f>IFERROR(1/Calculations_APPURT[[#This Row],[Brackets]],0) * cv_F * AlphaSector[[#This Row],[Quantity]] * Hazards_APPURT[[#This Row],[qz]] * CaAa_APPURT[[#This Row],[Alpha 120]] * IF(Calculations_APPURT[[#This Row],[Shape]]="CFD",1, Ka)</f>
        <v>0</v>
      </c>
      <c r="GK7" s="276">
        <f>IFERROR(1/Calculations_APPURT[[#This Row],[Brackets]],0) * cv_F * AlphaSector[[#This Row],[Quantity]] * Hazards_APPURT[[#This Row],[qz]] * CaAa_APPURT[[#This Row],[Alpha 135]] * IF(Calculations_APPURT[[#This Row],[Shape]]="CFD",1, Ka)</f>
        <v>0</v>
      </c>
      <c r="GL7" s="276">
        <f>IFERROR(1/Calculations_APPURT[[#This Row],[Brackets]],0) * cv_F * AlphaSector[[#This Row],[Quantity]] * Hazards_APPURT[[#This Row],[qz]] * CaAa_APPURT[[#This Row],[Alpha 150]] * IF(Calculations_APPURT[[#This Row],[Shape]]="CFD",1, Ka)</f>
        <v>0</v>
      </c>
      <c r="GM7" s="276">
        <f>IFERROR(1/Calculations_APPURT[[#This Row],[Brackets]],0) * cv_F * AlphaSector[[#This Row],[Quantity]] * Hazards_APPURT[[#This Row],[qz]] * CaAa_APPURT[[#This Row],[Alpha 180]] * IF(Calculations_APPURT[[#This Row],[Shape]]="CFD",1, Ka)</f>
        <v>0</v>
      </c>
      <c r="GN7" s="276">
        <f>IFERROR(1/Calculations_APPURT[[#This Row],[Brackets]],0) * cv_F * AlphaSector[[#This Row],[Quantity]] * Hazards_APPURT[[#This Row],[qz]] * CaAa_APPURT[[#This Row],[Alpha 210]] * IF(Calculations_APPURT[[#This Row],[Shape]]="CFD",1, Ka)</f>
        <v>0</v>
      </c>
      <c r="GO7" s="276">
        <f>IFERROR(1/Calculations_APPURT[[#This Row],[Brackets]],0) * cv_F * AlphaSector[[#This Row],[Quantity]] * Hazards_APPURT[[#This Row],[qz]] * CaAa_APPURT[[#This Row],[Alpha 225]] * IF(Calculations_APPURT[[#This Row],[Shape]]="CFD",1, Ka)</f>
        <v>0</v>
      </c>
      <c r="GP7" s="276">
        <f>IFERROR(1/Calculations_APPURT[[#This Row],[Brackets]],0) * cv_F * AlphaSector[[#This Row],[Quantity]] * Hazards_APPURT[[#This Row],[qz]] * CaAa_APPURT[[#This Row],[Alpha 240]] * IF(Calculations_APPURT[[#This Row],[Shape]]="CFD",1, Ka)</f>
        <v>0</v>
      </c>
      <c r="GQ7" s="276">
        <f>IFERROR(1/Calculations_APPURT[[#This Row],[Brackets]],0) * cv_F * AlphaSector[[#This Row],[Quantity]] * Hazards_APPURT[[#This Row],[qz]] * CaAa_APPURT[[#This Row],[Alpha 270]] * IF(Calculations_APPURT[[#This Row],[Shape]]="CFD",1, Ka)</f>
        <v>0</v>
      </c>
      <c r="GR7" s="276">
        <f>IFERROR(1/Calculations_APPURT[[#This Row],[Brackets]],0) * cv_F * AlphaSector[[#This Row],[Quantity]] * Hazards_APPURT[[#This Row],[qz]] * CaAa_APPURT[[#This Row],[Alpha 300]] * IF(Calculations_APPURT[[#This Row],[Shape]]="CFD",1, Ka)</f>
        <v>0</v>
      </c>
      <c r="GS7" s="276">
        <f>IFERROR(1/Calculations_APPURT[[#This Row],[Brackets]],0) * cv_F * AlphaSector[[#This Row],[Quantity]] * Hazards_APPURT[[#This Row],[qz]] * CaAa_APPURT[[#This Row],[Alpha 315]] * IF(Calculations_APPURT[[#This Row],[Shape]]="CFD",1, Ka)</f>
        <v>0</v>
      </c>
      <c r="GT7" s="276">
        <f>IFERROR(1/Calculations_APPURT[[#This Row],[Brackets]],0) * cv_F * AlphaSector[[#This Row],[Quantity]] * Hazards_APPURT[[#This Row],[qz]] * CaAa_APPURT[[#This Row],[Alpha 330]] * IF(Calculations_APPURT[[#This Row],[Shape]]="CFD",1, Ka)</f>
        <v>0</v>
      </c>
      <c r="GU7" s="276">
        <f>IFERROR(1/Calculations_APPURT[[#This Row],[Brackets]],0) * cv_F * BetaSector[[#This Row],[Quantity]] * Hazards_APPURT[[#This Row],[qz]] * CaAa_APPURT[[#This Row],[Beta 0]] * IF(Calculations_APPURT[[#This Row],[Shape]]="CFD",1, Ka)</f>
        <v>0</v>
      </c>
      <c r="GV7" s="276">
        <f>IFERROR(1/Calculations_APPURT[[#This Row],[Brackets]],0) * cv_F * BetaSector[[#This Row],[Quantity]] * Hazards_APPURT[[#This Row],[qz]] * CaAa_APPURT[[#This Row],[Beta 30]] * IF(Calculations_APPURT[[#This Row],[Shape]]="CFD",1, Ka)</f>
        <v>0</v>
      </c>
      <c r="GW7" s="276">
        <f>IFERROR(1/Calculations_APPURT[[#This Row],[Brackets]],0) * cv_F * BetaSector[[#This Row],[Quantity]] * Hazards_APPURT[[#This Row],[qz]] * CaAa_APPURT[[#This Row],[Beta 45]] * IF(Calculations_APPURT[[#This Row],[Shape]]="CFD",1, Ka)</f>
        <v>0</v>
      </c>
      <c r="GX7" s="276">
        <f>IFERROR(1/Calculations_APPURT[[#This Row],[Brackets]],0) * cv_F * BetaSector[[#This Row],[Quantity]] * Hazards_APPURT[[#This Row],[qz]] * CaAa_APPURT[[#This Row],[Beta 60]] * IF(Calculations_APPURT[[#This Row],[Shape]]="CFD",1, Ka)</f>
        <v>0</v>
      </c>
      <c r="GY7" s="276">
        <f>IFERROR(1/Calculations_APPURT[[#This Row],[Brackets]],0) * cv_F * BetaSector[[#This Row],[Quantity]] * Hazards_APPURT[[#This Row],[qz]] * CaAa_APPURT[[#This Row],[Beta 90]] * IF(Calculations_APPURT[[#This Row],[Shape]]="CFD",1, Ka)</f>
        <v>0</v>
      </c>
      <c r="GZ7" s="276">
        <f>IFERROR(1/Calculations_APPURT[[#This Row],[Brackets]],0) * cv_F * BetaSector[[#This Row],[Quantity]] * Hazards_APPURT[[#This Row],[qz]] * CaAa_APPURT[[#This Row],[Beta 120]] * IF(Calculations_APPURT[[#This Row],[Shape]]="CFD",1, Ka)</f>
        <v>0</v>
      </c>
      <c r="HA7" s="276">
        <f>IFERROR(1/Calculations_APPURT[[#This Row],[Brackets]],0) * cv_F * BetaSector[[#This Row],[Quantity]] * Hazards_APPURT[[#This Row],[qz]] * CaAa_APPURT[[#This Row],[Beta 135]] * IF(Calculations_APPURT[[#This Row],[Shape]]="CFD",1, Ka)</f>
        <v>0</v>
      </c>
      <c r="HB7" s="276">
        <f>IFERROR(1/Calculations_APPURT[[#This Row],[Brackets]],0) * cv_F * BetaSector[[#This Row],[Quantity]] * Hazards_APPURT[[#This Row],[qz]] * CaAa_APPURT[[#This Row],[Beta 150]] * IF(Calculations_APPURT[[#This Row],[Shape]]="CFD",1, Ka)</f>
        <v>0</v>
      </c>
      <c r="HC7" s="276">
        <f>IFERROR(1/Calculations_APPURT[[#This Row],[Brackets]],0) * cv_F * BetaSector[[#This Row],[Quantity]] * Hazards_APPURT[[#This Row],[qz]] * CaAa_APPURT[[#This Row],[Beta 180]] * IF(Calculations_APPURT[[#This Row],[Shape]]="CFD",1, Ka)</f>
        <v>0</v>
      </c>
      <c r="HD7" s="276">
        <f>IFERROR(1/Calculations_APPURT[[#This Row],[Brackets]],0) * cv_F * BetaSector[[#This Row],[Quantity]] * Hazards_APPURT[[#This Row],[qz]] * CaAa_APPURT[[#This Row],[Beta 210]] * IF(Calculations_APPURT[[#This Row],[Shape]]="CFD",1, Ka)</f>
        <v>0</v>
      </c>
      <c r="HE7" s="276">
        <f>IFERROR(1/Calculations_APPURT[[#This Row],[Brackets]],0) * cv_F * BetaSector[[#This Row],[Quantity]] * Hazards_APPURT[[#This Row],[qz]] * CaAa_APPURT[[#This Row],[Beta 225]] * IF(Calculations_APPURT[[#This Row],[Shape]]="CFD",1, Ka)</f>
        <v>0</v>
      </c>
      <c r="HF7" s="276">
        <f>IFERROR(1/Calculations_APPURT[[#This Row],[Brackets]],0) * cv_F * BetaSector[[#This Row],[Quantity]] * Hazards_APPURT[[#This Row],[qz]] * CaAa_APPURT[[#This Row],[Beta 240]] * IF(Calculations_APPURT[[#This Row],[Shape]]="CFD",1, Ka)</f>
        <v>0</v>
      </c>
      <c r="HG7" s="276">
        <f>IFERROR(1/Calculations_APPURT[[#This Row],[Brackets]],0) * cv_F * BetaSector[[#This Row],[Quantity]] * Hazards_APPURT[[#This Row],[qz]] * CaAa_APPURT[[#This Row],[Beta 270]] * IF(Calculations_APPURT[[#This Row],[Shape]]="CFD",1, Ka)</f>
        <v>0</v>
      </c>
      <c r="HH7" s="276">
        <f>IFERROR(1/Calculations_APPURT[[#This Row],[Brackets]],0) * cv_F * BetaSector[[#This Row],[Quantity]] * Hazards_APPURT[[#This Row],[qz]] * CaAa_APPURT[[#This Row],[Beta 300]] * IF(Calculations_APPURT[[#This Row],[Shape]]="CFD",1, Ka)</f>
        <v>0</v>
      </c>
      <c r="HI7" s="276">
        <f>IFERROR(1/Calculations_APPURT[[#This Row],[Brackets]],0) * cv_F * BetaSector[[#This Row],[Quantity]] * Hazards_APPURT[[#This Row],[qz]] * CaAa_APPURT[[#This Row],[Beta 315]] * IF(Calculations_APPURT[[#This Row],[Shape]]="CFD",1, Ka)</f>
        <v>0</v>
      </c>
      <c r="HJ7" s="276">
        <f>IFERROR(1/Calculations_APPURT[[#This Row],[Brackets]],0) * cv_F * BetaSector[[#This Row],[Quantity]] * Hazards_APPURT[[#This Row],[qz]] * CaAa_APPURT[[#This Row],[Beta 330]] * IF(Calculations_APPURT[[#This Row],[Shape]]="CFD",1, Ka)</f>
        <v>0</v>
      </c>
      <c r="HK7" s="276">
        <f>IFERROR(1/Calculations_APPURT[[#This Row],[Brackets]],0) * cv_F * GammaSector[[#This Row],[Quantity]] * Hazards_APPURT[[#This Row],[qz]] * CaAa_APPURT[[#This Row],[Gamma 0]] * IF(Calculations_APPURT[[#This Row],[Shape]]="CFD",1, Ka)</f>
        <v>0</v>
      </c>
      <c r="HL7" s="276">
        <f>IFERROR(1/Calculations_APPURT[[#This Row],[Brackets]],0) * cv_F * GammaSector[[#This Row],[Quantity]] * Hazards_APPURT[[#This Row],[qz]] * CaAa_APPURT[[#This Row],[Gamma 30]] * IF(Calculations_APPURT[[#This Row],[Shape]]="CFD",1, Ka)</f>
        <v>0</v>
      </c>
      <c r="HM7" s="276">
        <f>IFERROR(1/Calculations_APPURT[[#This Row],[Brackets]],0) * cv_F * GammaSector[[#This Row],[Quantity]] * Hazards_APPURT[[#This Row],[qz]] * CaAa_APPURT[[#This Row],[Gamma 45]] * IF(Calculations_APPURT[[#This Row],[Shape]]="CFD",1, Ka)</f>
        <v>0</v>
      </c>
      <c r="HN7" s="276">
        <f>IFERROR(1/Calculations_APPURT[[#This Row],[Brackets]],0) * cv_F * GammaSector[[#This Row],[Quantity]] * Hazards_APPURT[[#This Row],[qz]] * CaAa_APPURT[[#This Row],[Gamma 60]] * IF(Calculations_APPURT[[#This Row],[Shape]]="CFD",1, Ka)</f>
        <v>0</v>
      </c>
      <c r="HO7" s="276">
        <f>IFERROR(1/Calculations_APPURT[[#This Row],[Brackets]],0) * cv_F * GammaSector[[#This Row],[Quantity]] * Hazards_APPURT[[#This Row],[qz]] * CaAa_APPURT[[#This Row],[Gamma 90]] * IF(Calculations_APPURT[[#This Row],[Shape]]="CFD",1, Ka)</f>
        <v>0</v>
      </c>
      <c r="HP7" s="276">
        <f>IFERROR(1/Calculations_APPURT[[#This Row],[Brackets]],0) * cv_F * GammaSector[[#This Row],[Quantity]] * Hazards_APPURT[[#This Row],[qz]] * CaAa_APPURT[[#This Row],[Gamma 120]] * IF(Calculations_APPURT[[#This Row],[Shape]]="CFD",1, Ka)</f>
        <v>0</v>
      </c>
      <c r="HQ7" s="276">
        <f>IFERROR(1/Calculations_APPURT[[#This Row],[Brackets]],0) * cv_F * GammaSector[[#This Row],[Quantity]] * Hazards_APPURT[[#This Row],[qz]] * CaAa_APPURT[[#This Row],[Gamma 135]] * IF(Calculations_APPURT[[#This Row],[Shape]]="CFD",1, Ka)</f>
        <v>0</v>
      </c>
      <c r="HR7" s="276">
        <f>IFERROR(1/Calculations_APPURT[[#This Row],[Brackets]],0) * cv_F * GammaSector[[#This Row],[Quantity]] * Hazards_APPURT[[#This Row],[qz]] * CaAa_APPURT[[#This Row],[Gamma 150]] * IF(Calculations_APPURT[[#This Row],[Shape]]="CFD",1, Ka)</f>
        <v>0</v>
      </c>
      <c r="HS7" s="276">
        <f>IFERROR(1/Calculations_APPURT[[#This Row],[Brackets]],0) * cv_F * GammaSector[[#This Row],[Quantity]] * Hazards_APPURT[[#This Row],[qz]] * CaAa_APPURT[[#This Row],[Gamma 180]] * IF(Calculations_APPURT[[#This Row],[Shape]]="CFD",1, Ka)</f>
        <v>0</v>
      </c>
      <c r="HT7" s="276">
        <f>IFERROR(1/Calculations_APPURT[[#This Row],[Brackets]],0) * cv_F * GammaSector[[#This Row],[Quantity]] * Hazards_APPURT[[#This Row],[qz]] * CaAa_APPURT[[#This Row],[Gamma 210]] * IF(Calculations_APPURT[[#This Row],[Shape]]="CFD",1, Ka)</f>
        <v>0</v>
      </c>
      <c r="HU7" s="276">
        <f>IFERROR(1/Calculations_APPURT[[#This Row],[Brackets]],0) * cv_F * GammaSector[[#This Row],[Quantity]] * Hazards_APPURT[[#This Row],[qz]] * CaAa_APPURT[[#This Row],[Gamma 225]] * IF(Calculations_APPURT[[#This Row],[Shape]]="CFD",1, Ka)</f>
        <v>0</v>
      </c>
      <c r="HV7" s="276">
        <f>IFERROR(1/Calculations_APPURT[[#This Row],[Brackets]],0) * cv_F * GammaSector[[#This Row],[Quantity]] * Hazards_APPURT[[#This Row],[qz]] * CaAa_APPURT[[#This Row],[Gamma 240]] * IF(Calculations_APPURT[[#This Row],[Shape]]="CFD",1, Ka)</f>
        <v>0</v>
      </c>
      <c r="HW7" s="276">
        <f>IFERROR(1/Calculations_APPURT[[#This Row],[Brackets]],0) * cv_F * GammaSector[[#This Row],[Quantity]] * Hazards_APPURT[[#This Row],[qz]] * CaAa_APPURT[[#This Row],[Gamma 270]] * IF(Calculations_APPURT[[#This Row],[Shape]]="CFD",1, Ka)</f>
        <v>0</v>
      </c>
      <c r="HX7" s="276">
        <f>IFERROR(1/Calculations_APPURT[[#This Row],[Brackets]],0) * cv_F * GammaSector[[#This Row],[Quantity]] * Hazards_APPURT[[#This Row],[qz]] * CaAa_APPURT[[#This Row],[Gamma 300]] * IF(Calculations_APPURT[[#This Row],[Shape]]="CFD",1, Ka)</f>
        <v>0</v>
      </c>
      <c r="HY7" s="276">
        <f>IFERROR(1/Calculations_APPURT[[#This Row],[Brackets]],0) * cv_F * GammaSector[[#This Row],[Quantity]] * Hazards_APPURT[[#This Row],[qz]] * CaAa_APPURT[[#This Row],[Gamma 315]] * IF(Calculations_APPURT[[#This Row],[Shape]]="CFD",1, Ka)</f>
        <v>0</v>
      </c>
      <c r="HZ7" s="276">
        <f>IFERROR(1/Calculations_APPURT[[#This Row],[Brackets]],0) * cv_F * GammaSector[[#This Row],[Quantity]] * Hazards_APPURT[[#This Row],[qz]] * CaAa_APPURT[[#This Row],[Gamma 330]] * IF(Calculations_APPURT[[#This Row],[Shape]]="CFD",1, Ka)</f>
        <v>0</v>
      </c>
      <c r="IA7" s="276">
        <f>IFERROR(1/Calculations_APPURT[[#This Row],[Brackets]],0) * cv_F * DeltaSector[[#This Row],[Quantity]] * Hazards_APPURT[[#This Row],[qz]] * CaAa_APPURT[[#This Row],[Delta 0]] * IF(Calculations_APPURT[[#This Row],[Shape]]="CFD",1, Ka)</f>
        <v>0</v>
      </c>
      <c r="IB7" s="276">
        <f>IFERROR(1/Calculations_APPURT[[#This Row],[Brackets]],0) * cv_F * DeltaSector[[#This Row],[Quantity]] * Hazards_APPURT[[#This Row],[qz]] * CaAa_APPURT[[#This Row],[Delta 30]] * IF(Calculations_APPURT[[#This Row],[Shape]]="CFD",1, Ka)</f>
        <v>0</v>
      </c>
      <c r="IC7" s="276">
        <f>IFERROR(1/Calculations_APPURT[[#This Row],[Brackets]],0) * cv_F * DeltaSector[[#This Row],[Quantity]] * Hazards_APPURT[[#This Row],[qz]] * CaAa_APPURT[[#This Row],[Delta 45]] * IF(Calculations_APPURT[[#This Row],[Shape]]="CFD",1, Ka)</f>
        <v>0</v>
      </c>
      <c r="ID7" s="276">
        <f>IFERROR(1/Calculations_APPURT[[#This Row],[Brackets]],0) * cv_F * DeltaSector[[#This Row],[Quantity]] * Hazards_APPURT[[#This Row],[qz]] * CaAa_APPURT[[#This Row],[Delta 60]] * IF(Calculations_APPURT[[#This Row],[Shape]]="CFD",1, Ka)</f>
        <v>0</v>
      </c>
      <c r="IE7" s="276">
        <f>IFERROR(1/Calculations_APPURT[[#This Row],[Brackets]],0) * cv_F * DeltaSector[[#This Row],[Quantity]] * Hazards_APPURT[[#This Row],[qz]] * CaAa_APPURT[[#This Row],[Delta 90]] * IF(Calculations_APPURT[[#This Row],[Shape]]="CFD",1, Ka)</f>
        <v>0</v>
      </c>
      <c r="IF7" s="276">
        <f>IFERROR(1/Calculations_APPURT[[#This Row],[Brackets]],0) * cv_F * DeltaSector[[#This Row],[Quantity]] * Hazards_APPURT[[#This Row],[qz]] * CaAa_APPURT[[#This Row],[Delta 120]] * IF(Calculations_APPURT[[#This Row],[Shape]]="CFD",1, Ka)</f>
        <v>0</v>
      </c>
      <c r="IG7" s="276">
        <f>IFERROR(1/Calculations_APPURT[[#This Row],[Brackets]],0) * cv_F * DeltaSector[[#This Row],[Quantity]] * Hazards_APPURT[[#This Row],[qz]] * CaAa_APPURT[[#This Row],[Delta 135]] * IF(Calculations_APPURT[[#This Row],[Shape]]="CFD",1, Ka)</f>
        <v>0</v>
      </c>
      <c r="IH7" s="276">
        <f>IFERROR(1/Calculations_APPURT[[#This Row],[Brackets]],0) * cv_F * DeltaSector[[#This Row],[Quantity]] * Hazards_APPURT[[#This Row],[qz]] * CaAa_APPURT[[#This Row],[Delta 150]] * IF(Calculations_APPURT[[#This Row],[Shape]]="CFD",1, Ka)</f>
        <v>0</v>
      </c>
      <c r="II7" s="276">
        <f>IFERROR(1/Calculations_APPURT[[#This Row],[Brackets]],0) * cv_F * DeltaSector[[#This Row],[Quantity]] * Hazards_APPURT[[#This Row],[qz]] * CaAa_APPURT[[#This Row],[Delta 180]] * IF(Calculations_APPURT[[#This Row],[Shape]]="CFD",1, Ka)</f>
        <v>0</v>
      </c>
      <c r="IJ7" s="276">
        <f>IFERROR(1/Calculations_APPURT[[#This Row],[Brackets]],0) * cv_F * DeltaSector[[#This Row],[Quantity]] * Hazards_APPURT[[#This Row],[qz]] * CaAa_APPURT[[#This Row],[Delta 210]] * IF(Calculations_APPURT[[#This Row],[Shape]]="CFD",1, Ka)</f>
        <v>0</v>
      </c>
      <c r="IK7" s="276">
        <f>IFERROR(1/Calculations_APPURT[[#This Row],[Brackets]],0) * cv_F * DeltaSector[[#This Row],[Quantity]] * Hazards_APPURT[[#This Row],[qz]] * CaAa_APPURT[[#This Row],[Delta 225]] * IF(Calculations_APPURT[[#This Row],[Shape]]="CFD",1, Ka)</f>
        <v>0</v>
      </c>
      <c r="IL7" s="276">
        <f>IFERROR(1/Calculations_APPURT[[#This Row],[Brackets]],0) * cv_F * DeltaSector[[#This Row],[Quantity]] * Hazards_APPURT[[#This Row],[qz]] * CaAa_APPURT[[#This Row],[Delta 240]] * IF(Calculations_APPURT[[#This Row],[Shape]]="CFD",1, Ka)</f>
        <v>0</v>
      </c>
      <c r="IM7" s="276">
        <f>IFERROR(1/Calculations_APPURT[[#This Row],[Brackets]],0) * cv_F * DeltaSector[[#This Row],[Quantity]] * Hazards_APPURT[[#This Row],[qz]] * CaAa_APPURT[[#This Row],[Delta 270]] * IF(Calculations_APPURT[[#This Row],[Shape]]="CFD",1, Ka)</f>
        <v>0</v>
      </c>
      <c r="IN7" s="276">
        <f>IFERROR(1/Calculations_APPURT[[#This Row],[Brackets]],0) * cv_F * DeltaSector[[#This Row],[Quantity]] * Hazards_APPURT[[#This Row],[qz]] * CaAa_APPURT[[#This Row],[Delta 300]] * IF(Calculations_APPURT[[#This Row],[Shape]]="CFD",1, Ka)</f>
        <v>0</v>
      </c>
      <c r="IO7" s="276">
        <f>IFERROR(1/Calculations_APPURT[[#This Row],[Brackets]],0) * cv_F * DeltaSector[[#This Row],[Quantity]] * Hazards_APPURT[[#This Row],[qz]] * CaAa_APPURT[[#This Row],[Delta 315]] * IF(Calculations_APPURT[[#This Row],[Shape]]="CFD",1, Ka)</f>
        <v>0</v>
      </c>
      <c r="IP7" s="276">
        <f>IFERROR(1/Calculations_APPURT[[#This Row],[Brackets]],0) * cv_F * DeltaSector[[#This Row],[Quantity]] * Hazards_APPURT[[#This Row],[qz]] * CaAa_APPURT[[#This Row],[Delta 330]] * IF(Calculations_APPURT[[#This Row],[Shape]]="CFD",1, Ka)</f>
        <v>0</v>
      </c>
      <c r="IQ7" s="276">
        <f>IFERROR(1/Calculations_APPURT[[#This Row],[Brackets]],0) * cv_F * AlphaSector[[#This Row],[Quantity]] * Hazards_APPURT[[#This Row],[qiz]] * CaAa_APPURT[[#This Row],[Alpha Ice 0]]</f>
        <v>0</v>
      </c>
      <c r="IR7" s="276">
        <f>IFERROR(1/Calculations_APPURT[[#This Row],[Brackets]],0) * cv_F * AlphaSector[[#This Row],[Quantity]] * Hazards_APPURT[[#This Row],[qiz]] * CaAa_APPURT[[#This Row],[Alpha Ice 30]]</f>
        <v>0</v>
      </c>
      <c r="IS7" s="276">
        <f>IFERROR(1/Calculations_APPURT[[#This Row],[Brackets]],0) * cv_F * AlphaSector[[#This Row],[Quantity]] * Hazards_APPURT[[#This Row],[qiz]] * CaAa_APPURT[[#This Row],[Alpha Ice 45]]</f>
        <v>0</v>
      </c>
      <c r="IT7" s="276">
        <f>IFERROR(1/Calculations_APPURT[[#This Row],[Brackets]],0) * cv_F * AlphaSector[[#This Row],[Quantity]] * Hazards_APPURT[[#This Row],[qiz]] * CaAa_APPURT[[#This Row],[Alpha Ice 60]]</f>
        <v>0</v>
      </c>
      <c r="IU7" s="276">
        <f>IFERROR(1/Calculations_APPURT[[#This Row],[Brackets]],0) * cv_F * AlphaSector[[#This Row],[Quantity]] * Hazards_APPURT[[#This Row],[qiz]] * CaAa_APPURT[[#This Row],[Alpha Ice 90]]</f>
        <v>0</v>
      </c>
      <c r="IV7" s="276">
        <f>IFERROR(1/Calculations_APPURT[[#This Row],[Brackets]],0) * cv_F * AlphaSector[[#This Row],[Quantity]] * Hazards_APPURT[[#This Row],[qiz]] * CaAa_APPURT[[#This Row],[Alpha Ice 120]]</f>
        <v>0</v>
      </c>
      <c r="IW7" s="276">
        <f>IFERROR(1/Calculations_APPURT[[#This Row],[Brackets]],0) * cv_F * AlphaSector[[#This Row],[Quantity]] * Hazards_APPURT[[#This Row],[qiz]] * CaAa_APPURT[[#This Row],[Alpha Ice 135]]</f>
        <v>0</v>
      </c>
      <c r="IX7" s="276">
        <f>IFERROR(1/Calculations_APPURT[[#This Row],[Brackets]],0) * cv_F * AlphaSector[[#This Row],[Quantity]] * Hazards_APPURT[[#This Row],[qiz]] * CaAa_APPURT[[#This Row],[Alpha Ice 150]]</f>
        <v>0</v>
      </c>
      <c r="IY7" s="276">
        <f>IFERROR(1/Calculations_APPURT[[#This Row],[Brackets]],0) * cv_F * AlphaSector[[#This Row],[Quantity]] * Hazards_APPURT[[#This Row],[qiz]] * CaAa_APPURT[[#This Row],[Alpha Ice 180]]</f>
        <v>0</v>
      </c>
      <c r="IZ7" s="276">
        <f>IFERROR(1/Calculations_APPURT[[#This Row],[Brackets]],0) * cv_F * AlphaSector[[#This Row],[Quantity]] * Hazards_APPURT[[#This Row],[qiz]] * CaAa_APPURT[[#This Row],[Alpha Ice 210]]</f>
        <v>0</v>
      </c>
      <c r="JA7" s="276">
        <f>IFERROR(1/Calculations_APPURT[[#This Row],[Brackets]],0) * cv_F * AlphaSector[[#This Row],[Quantity]] * Hazards_APPURT[[#This Row],[qiz]] * CaAa_APPURT[[#This Row],[Alpha Ice 225]]</f>
        <v>0</v>
      </c>
      <c r="JB7" s="276">
        <f>IFERROR(1/Calculations_APPURT[[#This Row],[Brackets]],0) * cv_F * AlphaSector[[#This Row],[Quantity]] * Hazards_APPURT[[#This Row],[qiz]] * CaAa_APPURT[[#This Row],[Alpha Ice 240]]</f>
        <v>0</v>
      </c>
      <c r="JC7" s="276">
        <f>IFERROR(1/Calculations_APPURT[[#This Row],[Brackets]],0) * cv_F * AlphaSector[[#This Row],[Quantity]] * Hazards_APPURT[[#This Row],[qiz]] * CaAa_APPURT[[#This Row],[Alpha Ice 270]]</f>
        <v>0</v>
      </c>
      <c r="JD7" s="276">
        <f>IFERROR(1/Calculations_APPURT[[#This Row],[Brackets]],0) * cv_F * AlphaSector[[#This Row],[Quantity]] * Hazards_APPURT[[#This Row],[qiz]] * CaAa_APPURT[[#This Row],[Alpha Ice 300]]</f>
        <v>0</v>
      </c>
      <c r="JE7" s="276">
        <f>IFERROR(1/Calculations_APPURT[[#This Row],[Brackets]],0) * cv_F * AlphaSector[[#This Row],[Quantity]] * Hazards_APPURT[[#This Row],[qiz]] * CaAa_APPURT[[#This Row],[Alpha Ice 315]]</f>
        <v>0</v>
      </c>
      <c r="JF7" s="276">
        <f>IFERROR(1/Calculations_APPURT[[#This Row],[Brackets]],0) * cv_F * AlphaSector[[#This Row],[Quantity]] * Hazards_APPURT[[#This Row],[qiz]] * CaAa_APPURT[[#This Row],[Alpha Ice 330]]</f>
        <v>0</v>
      </c>
      <c r="JG7" s="276">
        <f>IFERROR(1/Calculations_APPURT[[#This Row],[Brackets]],0) * cv_F * BetaSector[[#This Row],[Quantity]] * Hazards_APPURT[[#This Row],[qiz]] * CaAa_APPURT[[#This Row],[Beta Ice 0]]</f>
        <v>0</v>
      </c>
      <c r="JH7" s="276">
        <f>IFERROR(1/Calculations_APPURT[[#This Row],[Brackets]],0) * cv_F * BetaSector[[#This Row],[Quantity]] * Hazards_APPURT[[#This Row],[qiz]] * CaAa_APPURT[[#This Row],[Beta Ice 30]]</f>
        <v>0</v>
      </c>
      <c r="JI7" s="276">
        <f>IFERROR(1/Calculations_APPURT[[#This Row],[Brackets]],0) * cv_F * BetaSector[[#This Row],[Quantity]] * Hazards_APPURT[[#This Row],[qiz]] * CaAa_APPURT[[#This Row],[Beta Ice 45]]</f>
        <v>0</v>
      </c>
      <c r="JJ7" s="276">
        <f>IFERROR(1/Calculations_APPURT[[#This Row],[Brackets]],0) * cv_F * BetaSector[[#This Row],[Quantity]] * Hazards_APPURT[[#This Row],[qiz]] * CaAa_APPURT[[#This Row],[Beta Ice 60]]</f>
        <v>0</v>
      </c>
      <c r="JK7" s="276">
        <f>IFERROR(1/Calculations_APPURT[[#This Row],[Brackets]],0) * cv_F * BetaSector[[#This Row],[Quantity]] * Hazards_APPURT[[#This Row],[qiz]] * CaAa_APPURT[[#This Row],[Beta Ice 90]]</f>
        <v>0</v>
      </c>
      <c r="JL7" s="276">
        <f>IFERROR(1/Calculations_APPURT[[#This Row],[Brackets]],0) * cv_F * BetaSector[[#This Row],[Quantity]] * Hazards_APPURT[[#This Row],[qiz]] * CaAa_APPURT[[#This Row],[Beta Ice 120]]</f>
        <v>0</v>
      </c>
      <c r="JM7" s="276">
        <f>IFERROR(1/Calculations_APPURT[[#This Row],[Brackets]],0) * cv_F * BetaSector[[#This Row],[Quantity]] * Hazards_APPURT[[#This Row],[qiz]] * CaAa_APPURT[[#This Row],[Beta Ice 135]]</f>
        <v>0</v>
      </c>
      <c r="JN7" s="276">
        <f>IFERROR(1/Calculations_APPURT[[#This Row],[Brackets]],0) * cv_F * BetaSector[[#This Row],[Quantity]] * Hazards_APPURT[[#This Row],[qiz]] * CaAa_APPURT[[#This Row],[Beta Ice 150]]</f>
        <v>0</v>
      </c>
      <c r="JO7" s="276">
        <f>IFERROR(1/Calculations_APPURT[[#This Row],[Brackets]],0) * cv_F * BetaSector[[#This Row],[Quantity]] * Hazards_APPURT[[#This Row],[qiz]] * CaAa_APPURT[[#This Row],[Beta Ice 180]]</f>
        <v>0</v>
      </c>
      <c r="JP7" s="276">
        <f>IFERROR(1/Calculations_APPURT[[#This Row],[Brackets]],0) * cv_F * BetaSector[[#This Row],[Quantity]] * Hazards_APPURT[[#This Row],[qiz]] * CaAa_APPURT[[#This Row],[Beta Ice 210]]</f>
        <v>0</v>
      </c>
      <c r="JQ7" s="276">
        <f>IFERROR(1/Calculations_APPURT[[#This Row],[Brackets]],0) * cv_F * BetaSector[[#This Row],[Quantity]] * Hazards_APPURT[[#This Row],[qiz]] * CaAa_APPURT[[#This Row],[Beta Ice 225]]</f>
        <v>0</v>
      </c>
      <c r="JR7" s="276">
        <f>IFERROR(1/Calculations_APPURT[[#This Row],[Brackets]],0) * cv_F * BetaSector[[#This Row],[Quantity]] * Hazards_APPURT[[#This Row],[qiz]] * CaAa_APPURT[[#This Row],[Beta Ice 240]]</f>
        <v>0</v>
      </c>
      <c r="JS7" s="276">
        <f>IFERROR(1/Calculations_APPURT[[#This Row],[Brackets]],0) * cv_F * BetaSector[[#This Row],[Quantity]] * Hazards_APPURT[[#This Row],[qiz]] * CaAa_APPURT[[#This Row],[Beta Ice 270]]</f>
        <v>0</v>
      </c>
      <c r="JT7" s="276">
        <f>IFERROR(1/Calculations_APPURT[[#This Row],[Brackets]],0) * cv_F * BetaSector[[#This Row],[Quantity]] * Hazards_APPURT[[#This Row],[qiz]] * CaAa_APPURT[[#This Row],[Beta Ice 300]]</f>
        <v>0</v>
      </c>
      <c r="JU7" s="276">
        <f>IFERROR(1/Calculations_APPURT[[#This Row],[Brackets]],0) * cv_F * BetaSector[[#This Row],[Quantity]] * Hazards_APPURT[[#This Row],[qiz]] * CaAa_APPURT[[#This Row],[Beta Ice 315]]</f>
        <v>0</v>
      </c>
      <c r="JV7" s="276">
        <f>IFERROR(1/Calculations_APPURT[[#This Row],[Brackets]],0) * cv_F * BetaSector[[#This Row],[Quantity]] * Hazards_APPURT[[#This Row],[qiz]] * CaAa_APPURT[[#This Row],[Beta Ice 330]]</f>
        <v>0</v>
      </c>
      <c r="JW7" s="276">
        <f>IFERROR(1/Calculations_APPURT[[#This Row],[Brackets]],0) * cv_F * GammaSector[[#This Row],[Quantity]] * Hazards_APPURT[[#This Row],[qiz]] * CaAa_APPURT[[#This Row],[Gamma Ice 0]]</f>
        <v>0</v>
      </c>
      <c r="JX7" s="276">
        <f>IFERROR(1/Calculations_APPURT[[#This Row],[Brackets]],0) * cv_F * GammaSector[[#This Row],[Quantity]] * Hazards_APPURT[[#This Row],[qiz]] * CaAa_APPURT[[#This Row],[Gamma Ice 30]]</f>
        <v>0</v>
      </c>
      <c r="JY7" s="276">
        <f>IFERROR(1/Calculations_APPURT[[#This Row],[Brackets]],0) * cv_F * GammaSector[[#This Row],[Quantity]] * Hazards_APPURT[[#This Row],[qiz]] * CaAa_APPURT[[#This Row],[Gamma Ice 45]]</f>
        <v>0</v>
      </c>
      <c r="JZ7" s="276">
        <f>IFERROR(1/Calculations_APPURT[[#This Row],[Brackets]],0) * cv_F * GammaSector[[#This Row],[Quantity]] * Hazards_APPURT[[#This Row],[qiz]] * CaAa_APPURT[[#This Row],[Gamma Ice 60]]</f>
        <v>0</v>
      </c>
      <c r="KA7" s="276">
        <f>IFERROR(1/Calculations_APPURT[[#This Row],[Brackets]],0) * cv_F * GammaSector[[#This Row],[Quantity]] * Hazards_APPURT[[#This Row],[qiz]] * CaAa_APPURT[[#This Row],[Gamma Ice 90]]</f>
        <v>0</v>
      </c>
      <c r="KB7" s="276">
        <f>IFERROR(1/Calculations_APPURT[[#This Row],[Brackets]],0) * cv_F * GammaSector[[#This Row],[Quantity]] * Hazards_APPURT[[#This Row],[qiz]] * CaAa_APPURT[[#This Row],[Gamma Ice 120]]</f>
        <v>0</v>
      </c>
      <c r="KC7" s="276">
        <f>IFERROR(1/Calculations_APPURT[[#This Row],[Brackets]],0) * cv_F * GammaSector[[#This Row],[Quantity]] * Hazards_APPURT[[#This Row],[qiz]] * CaAa_APPURT[[#This Row],[Gamma Ice 135]]</f>
        <v>0</v>
      </c>
      <c r="KD7" s="276">
        <f>IFERROR(1/Calculations_APPURT[[#This Row],[Brackets]],0) * cv_F * GammaSector[[#This Row],[Quantity]] * Hazards_APPURT[[#This Row],[qiz]] * CaAa_APPURT[[#This Row],[Gamma Ice 150]]</f>
        <v>0</v>
      </c>
      <c r="KE7" s="276">
        <f>IFERROR(1/Calculations_APPURT[[#This Row],[Brackets]],0) * cv_F * GammaSector[[#This Row],[Quantity]] * Hazards_APPURT[[#This Row],[qiz]] * CaAa_APPURT[[#This Row],[Gamma Ice 180]]</f>
        <v>0</v>
      </c>
      <c r="KF7" s="276">
        <f>IFERROR(1/Calculations_APPURT[[#This Row],[Brackets]],0) * cv_F * GammaSector[[#This Row],[Quantity]] * Hazards_APPURT[[#This Row],[qiz]] * CaAa_APPURT[[#This Row],[Gamma Ice 210]]</f>
        <v>0</v>
      </c>
      <c r="KG7" s="276">
        <f>IFERROR(1/Calculations_APPURT[[#This Row],[Brackets]],0) * cv_F * GammaSector[[#This Row],[Quantity]] * Hazards_APPURT[[#This Row],[qiz]] * CaAa_APPURT[[#This Row],[Gamma Ice 225]]</f>
        <v>0</v>
      </c>
      <c r="KH7" s="276">
        <f>IFERROR(1/Calculations_APPURT[[#This Row],[Brackets]],0) * cv_F * GammaSector[[#This Row],[Quantity]] * Hazards_APPURT[[#This Row],[qiz]] * CaAa_APPURT[[#This Row],[Gamma Ice 240]]</f>
        <v>0</v>
      </c>
      <c r="KI7" s="276">
        <f>IFERROR(1/Calculations_APPURT[[#This Row],[Brackets]],0) * cv_F * GammaSector[[#This Row],[Quantity]] * Hazards_APPURT[[#This Row],[qiz]] * CaAa_APPURT[[#This Row],[Gamma Ice 270]]</f>
        <v>0</v>
      </c>
      <c r="KJ7" s="276">
        <f>IFERROR(1/Calculations_APPURT[[#This Row],[Brackets]],0) * cv_F * GammaSector[[#This Row],[Quantity]] * Hazards_APPURT[[#This Row],[qiz]] * CaAa_APPURT[[#This Row],[Gamma Ice 300]]</f>
        <v>0</v>
      </c>
      <c r="KK7" s="276">
        <f>IFERROR(1/Calculations_APPURT[[#This Row],[Brackets]],0) * cv_F * GammaSector[[#This Row],[Quantity]] * Hazards_APPURT[[#This Row],[qiz]] * CaAa_APPURT[[#This Row],[Gamma Ice 315]]</f>
        <v>0</v>
      </c>
      <c r="KL7" s="276">
        <f>IFERROR(1/Calculations_APPURT[[#This Row],[Brackets]],0) * cv_F * GammaSector[[#This Row],[Quantity]] * Hazards_APPURT[[#This Row],[qiz]] * CaAa_APPURT[[#This Row],[Gamma Ice 330]]</f>
        <v>0</v>
      </c>
      <c r="KM7" s="276">
        <f>IFERROR(1/Calculations_APPURT[[#This Row],[Brackets]],0) * cv_F * DeltaSector[[#This Row],[Quantity]] * Hazards_APPURT[[#This Row],[qiz]] * CaAa_APPURT[[#This Row],[Delta Ice 0]]</f>
        <v>0</v>
      </c>
      <c r="KN7" s="276">
        <f>IFERROR(1/Calculations_APPURT[[#This Row],[Brackets]],0) * cv_F * DeltaSector[[#This Row],[Quantity]] * Hazards_APPURT[[#This Row],[qiz]] * CaAa_APPURT[[#This Row],[Delta Ice 30]]</f>
        <v>0</v>
      </c>
      <c r="KO7" s="276">
        <f>IFERROR(1/Calculations_APPURT[[#This Row],[Brackets]],0) * cv_F * DeltaSector[[#This Row],[Quantity]] * Hazards_APPURT[[#This Row],[qiz]] * CaAa_APPURT[[#This Row],[Delta Ice 45]]</f>
        <v>0</v>
      </c>
      <c r="KP7" s="276">
        <f>IFERROR(1/Calculations_APPURT[[#This Row],[Brackets]],0) * cv_F * DeltaSector[[#This Row],[Quantity]] * Hazards_APPURT[[#This Row],[qiz]] * CaAa_APPURT[[#This Row],[Delta Ice 60]]</f>
        <v>0</v>
      </c>
      <c r="KQ7" s="276">
        <f>IFERROR(1/Calculations_APPURT[[#This Row],[Brackets]],0) * cv_F * DeltaSector[[#This Row],[Quantity]] * Hazards_APPURT[[#This Row],[qiz]] * CaAa_APPURT[[#This Row],[Delta Ice 90]]</f>
        <v>0</v>
      </c>
      <c r="KR7" s="276">
        <f>IFERROR(1/Calculations_APPURT[[#This Row],[Brackets]],0) * cv_F * DeltaSector[[#This Row],[Quantity]] * Hazards_APPURT[[#This Row],[qiz]] * CaAa_APPURT[[#This Row],[Delta Ice 120]]</f>
        <v>0</v>
      </c>
      <c r="KS7" s="276">
        <f>IFERROR(1/Calculations_APPURT[[#This Row],[Brackets]],0) * cv_F * DeltaSector[[#This Row],[Quantity]] * Hazards_APPURT[[#This Row],[qiz]] * CaAa_APPURT[[#This Row],[Delta Ice 135]]</f>
        <v>0</v>
      </c>
      <c r="KT7" s="276">
        <f>IFERROR(1/Calculations_APPURT[[#This Row],[Brackets]],0) * cv_F * DeltaSector[[#This Row],[Quantity]] * Hazards_APPURT[[#This Row],[qiz]] * CaAa_APPURT[[#This Row],[Delta Ice 150]]</f>
        <v>0</v>
      </c>
      <c r="KU7" s="276">
        <f>IFERROR(1/Calculations_APPURT[[#This Row],[Brackets]],0) * cv_F * DeltaSector[[#This Row],[Quantity]] * Hazards_APPURT[[#This Row],[qiz]] * CaAa_APPURT[[#This Row],[Delta Ice 180]]</f>
        <v>0</v>
      </c>
      <c r="KV7" s="276">
        <f>IFERROR(1/Calculations_APPURT[[#This Row],[Brackets]],0) * cv_F * DeltaSector[[#This Row],[Quantity]] * Hazards_APPURT[[#This Row],[qiz]] * CaAa_APPURT[[#This Row],[Delta Ice 210]]</f>
        <v>0</v>
      </c>
      <c r="KW7" s="276">
        <f>IFERROR(1/Calculations_APPURT[[#This Row],[Brackets]],0) * cv_F * DeltaSector[[#This Row],[Quantity]] * Hazards_APPURT[[#This Row],[qiz]] * CaAa_APPURT[[#This Row],[Delta Ice 225]]</f>
        <v>0</v>
      </c>
      <c r="KX7" s="276">
        <f>IFERROR(1/Calculations_APPURT[[#This Row],[Brackets]],0) * cv_F * DeltaSector[[#This Row],[Quantity]] * Hazards_APPURT[[#This Row],[qiz]] * CaAa_APPURT[[#This Row],[Delta Ice 240]]</f>
        <v>0</v>
      </c>
      <c r="KY7" s="276">
        <f>IFERROR(1/Calculations_APPURT[[#This Row],[Brackets]],0) * cv_F * DeltaSector[[#This Row],[Quantity]] * Hazards_APPURT[[#This Row],[qiz]] * CaAa_APPURT[[#This Row],[Delta Ice 270]]</f>
        <v>0</v>
      </c>
      <c r="KZ7" s="276">
        <f>IFERROR(1/Calculations_APPURT[[#This Row],[Brackets]],0) * cv_F * DeltaSector[[#This Row],[Quantity]] * Hazards_APPURT[[#This Row],[qiz]] * CaAa_APPURT[[#This Row],[Delta Ice 300]]</f>
        <v>0</v>
      </c>
      <c r="LA7" s="276">
        <f>IFERROR(1/Calculations_APPURT[[#This Row],[Brackets]],0) * cv_F * DeltaSector[[#This Row],[Quantity]] * Hazards_APPURT[[#This Row],[qiz]] * CaAa_APPURT[[#This Row],[Delta Ice 315]]</f>
        <v>0</v>
      </c>
      <c r="LB7" s="276">
        <f>IFERROR(1/Calculations_APPURT[[#This Row],[Brackets]],0) * cv_F * DeltaSector[[#This Row],[Quantity]] * Hazards_APPURT[[#This Row],[qiz]] * CaAa_APPURT[[#This Row],[Delta Ice 330]]</f>
        <v>0</v>
      </c>
      <c r="LC7" s="276">
        <f>IFERROR(1/Calculations_APPURT[[#This Row],[Brackets]],0) * cv_M/cv_F * Forces_APPURT[[#This Row],[Alpha Fa 0]] * Calculations_APPURT[[#This Row],[Horizontal Offset]]/12</f>
        <v>0</v>
      </c>
      <c r="LD7" s="276">
        <f>IFERROR(1/Calculations_APPURT[[#This Row],[Brackets]],0) * cv_M/cv_F * Forces_APPURT[[#This Row],[Alpha Fa 30]] * Calculations_APPURT[[#This Row],[Horizontal Offset]]/12</f>
        <v>0</v>
      </c>
      <c r="LE7" s="276">
        <f>IFERROR(1/Calculations_APPURT[[#This Row],[Brackets]],0) * cv_M/cv_F * Forces_APPURT[[#This Row],[Alpha Fa 45]] * Calculations_APPURT[[#This Row],[Horizontal Offset]]/12</f>
        <v>0</v>
      </c>
      <c r="LF7" s="276">
        <f>IFERROR(1/Calculations_APPURT[[#This Row],[Brackets]],0) * cv_M/cv_F * Forces_APPURT[[#This Row],[Alpha Fa 60]] * Calculations_APPURT[[#This Row],[Horizontal Offset]]/12</f>
        <v>0</v>
      </c>
      <c r="LG7" s="276">
        <f>IFERROR(1/Calculations_APPURT[[#This Row],[Brackets]],0) * cv_M/cv_F * Forces_APPURT[[#This Row],[Alpha Fa 90]] * Calculations_APPURT[[#This Row],[Horizontal Offset]]/12</f>
        <v>0</v>
      </c>
      <c r="LH7" s="276">
        <f>IFERROR(1/Calculations_APPURT[[#This Row],[Brackets]],0) * cv_M/cv_F * Forces_APPURT[[#This Row],[Alpha Fa 120]] * Calculations_APPURT[[#This Row],[Horizontal Offset]]/12</f>
        <v>0</v>
      </c>
      <c r="LI7" s="276">
        <f>IFERROR(1/Calculations_APPURT[[#This Row],[Brackets]],0) * cv_M/cv_F * Forces_APPURT[[#This Row],[Alpha Fa 135]] * Calculations_APPURT[[#This Row],[Horizontal Offset]]/12</f>
        <v>0</v>
      </c>
      <c r="LJ7" s="276">
        <f>IFERROR(1/Calculations_APPURT[[#This Row],[Brackets]],0) * cv_M/cv_F * Forces_APPURT[[#This Row],[Alpha Fa 150]] * Calculations_APPURT[[#This Row],[Horizontal Offset]]/12</f>
        <v>0</v>
      </c>
      <c r="LK7" s="276">
        <f>IFERROR(1/Calculations_APPURT[[#This Row],[Brackets]],0) * cv_M/cv_F * Forces_APPURT[[#This Row],[Alpha Fa 180]] * Calculations_APPURT[[#This Row],[Horizontal Offset]]/12</f>
        <v>0</v>
      </c>
      <c r="LL7" s="276">
        <f>IFERROR(1/Calculations_APPURT[[#This Row],[Brackets]],0) * cv_M/cv_F * Forces_APPURT[[#This Row],[Alpha Fa 210]] * Calculations_APPURT[[#This Row],[Horizontal Offset]]/12</f>
        <v>0</v>
      </c>
      <c r="LM7" s="276">
        <f>IFERROR(1/Calculations_APPURT[[#This Row],[Brackets]],0) * cv_M/cv_F * Forces_APPURT[[#This Row],[Alpha Fa 225]] * Calculations_APPURT[[#This Row],[Horizontal Offset]]/12</f>
        <v>0</v>
      </c>
      <c r="LN7" s="276">
        <f>IFERROR(1/Calculations_APPURT[[#This Row],[Brackets]],0) * cv_M/cv_F * Forces_APPURT[[#This Row],[Alpha Fa 240]] * Calculations_APPURT[[#This Row],[Horizontal Offset]]/12</f>
        <v>0</v>
      </c>
      <c r="LO7" s="276">
        <f>IFERROR(1/Calculations_APPURT[[#This Row],[Brackets]],0) * cv_M/cv_F * Forces_APPURT[[#This Row],[Alpha Fa 270]] * Calculations_APPURT[[#This Row],[Horizontal Offset]]/12</f>
        <v>0</v>
      </c>
      <c r="LP7" s="276">
        <f>IFERROR(1/Calculations_APPURT[[#This Row],[Brackets]],0) * cv_M/cv_F * Forces_APPURT[[#This Row],[Alpha Fa 300]] * Calculations_APPURT[[#This Row],[Horizontal Offset]]/12</f>
        <v>0</v>
      </c>
      <c r="LQ7" s="276">
        <f>IFERROR(1/Calculations_APPURT[[#This Row],[Brackets]],0) * cv_M/cv_F * Forces_APPURT[[#This Row],[Alpha Fa 315]] * Calculations_APPURT[[#This Row],[Horizontal Offset]]/12</f>
        <v>0</v>
      </c>
      <c r="LR7" s="276">
        <f>IFERROR(1/Calculations_APPURT[[#This Row],[Brackets]],0) * cv_M/cv_F * Forces_APPURT[[#This Row],[Alpha Fa 330]] * Calculations_APPURT[[#This Row],[Horizontal Offset]]/12</f>
        <v>0</v>
      </c>
      <c r="LS7" s="276">
        <f>IFERROR(1/Calculations_APPURT[[#This Row],[Brackets]],0) * cv_M/cv_F * Forces_APPURT[[#This Row],[Beta Fa 0]] * Calculations_APPURT[[#This Row],[Horizontal Offset]]/12</f>
        <v>0</v>
      </c>
      <c r="LT7" s="276">
        <f>IFERROR(1/Calculations_APPURT[[#This Row],[Brackets]],0) * cv_M/cv_F * Forces_APPURT[[#This Row],[Beta Fa 30]] * Calculations_APPURT[[#This Row],[Horizontal Offset]]/12</f>
        <v>0</v>
      </c>
      <c r="LU7" s="276">
        <f>IFERROR(1/Calculations_APPURT[[#This Row],[Brackets]],0) * cv_M/cv_F * Forces_APPURT[[#This Row],[Beta Fa 45]] * Calculations_APPURT[[#This Row],[Horizontal Offset]]/12</f>
        <v>0</v>
      </c>
      <c r="LV7" s="276">
        <f>IFERROR(1/Calculations_APPURT[[#This Row],[Brackets]],0) * cv_M/cv_F * Forces_APPURT[[#This Row],[Beta Fa 60]] * Calculations_APPURT[[#This Row],[Horizontal Offset]]/12</f>
        <v>0</v>
      </c>
      <c r="LW7" s="276">
        <f>IFERROR(1/Calculations_APPURT[[#This Row],[Brackets]],0) * cv_M/cv_F * Forces_APPURT[[#This Row],[Beta Fa 90]] * Calculations_APPURT[[#This Row],[Horizontal Offset]]/12</f>
        <v>0</v>
      </c>
      <c r="LX7" s="276">
        <f>IFERROR(1/Calculations_APPURT[[#This Row],[Brackets]],0) * cv_M/cv_F * Forces_APPURT[[#This Row],[Beta Fa 120]] * Calculations_APPURT[[#This Row],[Horizontal Offset]]/12</f>
        <v>0</v>
      </c>
      <c r="LY7" s="276">
        <f>IFERROR(1/Calculations_APPURT[[#This Row],[Brackets]],0) * cv_M/cv_F * Forces_APPURT[[#This Row],[Beta Fa 135]] * Calculations_APPURT[[#This Row],[Horizontal Offset]]/12</f>
        <v>0</v>
      </c>
      <c r="LZ7" s="276">
        <f>IFERROR(1/Calculations_APPURT[[#This Row],[Brackets]],0) * cv_M/cv_F * Forces_APPURT[[#This Row],[Beta Fa 150]] * Calculations_APPURT[[#This Row],[Horizontal Offset]]/12</f>
        <v>0</v>
      </c>
      <c r="MA7" s="276">
        <f>IFERROR(1/Calculations_APPURT[[#This Row],[Brackets]],0) * cv_M/cv_F * Forces_APPURT[[#This Row],[Beta Fa 180]] * Calculations_APPURT[[#This Row],[Horizontal Offset]]/12</f>
        <v>0</v>
      </c>
      <c r="MB7" s="276">
        <f>IFERROR(1/Calculations_APPURT[[#This Row],[Brackets]],0) * cv_M/cv_F * Forces_APPURT[[#This Row],[Beta Fa 210]] * Calculations_APPURT[[#This Row],[Horizontal Offset]]/12</f>
        <v>0</v>
      </c>
      <c r="MC7" s="276">
        <f>IFERROR(1/Calculations_APPURT[[#This Row],[Brackets]],0) * cv_M/cv_F * Forces_APPURT[[#This Row],[Beta Fa 225]] * Calculations_APPURT[[#This Row],[Horizontal Offset]]/12</f>
        <v>0</v>
      </c>
      <c r="MD7" s="276">
        <f>IFERROR(1/Calculations_APPURT[[#This Row],[Brackets]],0) * cv_M/cv_F * Forces_APPURT[[#This Row],[Beta Fa 240]] * Calculations_APPURT[[#This Row],[Horizontal Offset]]/12</f>
        <v>0</v>
      </c>
      <c r="ME7" s="276">
        <f>IFERROR(1/Calculations_APPURT[[#This Row],[Brackets]],0) * cv_M/cv_F * Forces_APPURT[[#This Row],[Beta Fa 270]] * Calculations_APPURT[[#This Row],[Horizontal Offset]]/12</f>
        <v>0</v>
      </c>
      <c r="MF7" s="276">
        <f>IFERROR(1/Calculations_APPURT[[#This Row],[Brackets]],0) * cv_M/cv_F * Forces_APPURT[[#This Row],[Beta Fa 300]] * Calculations_APPURT[[#This Row],[Horizontal Offset]]/12</f>
        <v>0</v>
      </c>
      <c r="MG7" s="276">
        <f>IFERROR(1/Calculations_APPURT[[#This Row],[Brackets]],0) * cv_M/cv_F * Forces_APPURT[[#This Row],[Beta Fa 315]] * Calculations_APPURT[[#This Row],[Horizontal Offset]]/12</f>
        <v>0</v>
      </c>
      <c r="MH7" s="276">
        <f>IFERROR(1/Calculations_APPURT[[#This Row],[Brackets]],0) * cv_M/cv_F * Forces_APPURT[[#This Row],[Beta Fa 330]] * Calculations_APPURT[[#This Row],[Horizontal Offset]]/12</f>
        <v>0</v>
      </c>
      <c r="MI7" s="276">
        <f>IFERROR(1/Calculations_APPURT[[#This Row],[Brackets]],0) * cv_M/cv_F * Forces_APPURT[[#This Row],[Gamma Fa 0]] * Calculations_APPURT[[#This Row],[Horizontal Offset]]/12</f>
        <v>0</v>
      </c>
      <c r="MJ7" s="276">
        <f>IFERROR(1/Calculations_APPURT[[#This Row],[Brackets]],0) * cv_M/cv_F * Forces_APPURT[[#This Row],[Gamma Fa 30]] * Calculations_APPURT[[#This Row],[Horizontal Offset]]/12</f>
        <v>0</v>
      </c>
      <c r="MK7" s="276">
        <f>IFERROR(1/Calculations_APPURT[[#This Row],[Brackets]],0) * cv_M/cv_F * Forces_APPURT[[#This Row],[Gamma Fa 45]] * Calculations_APPURT[[#This Row],[Horizontal Offset]]/12</f>
        <v>0</v>
      </c>
      <c r="ML7" s="276">
        <f>IFERROR(1/Calculations_APPURT[[#This Row],[Brackets]],0) * cv_M/cv_F * Forces_APPURT[[#This Row],[Gamma Fa 60]] * Calculations_APPURT[[#This Row],[Horizontal Offset]]/12</f>
        <v>0</v>
      </c>
      <c r="MM7" s="276">
        <f>IFERROR(1/Calculations_APPURT[[#This Row],[Brackets]],0) * cv_M/cv_F * Forces_APPURT[[#This Row],[Gamma Fa 90]] * Calculations_APPURT[[#This Row],[Horizontal Offset]]/12</f>
        <v>0</v>
      </c>
      <c r="MN7" s="276">
        <f>IFERROR(1/Calculations_APPURT[[#This Row],[Brackets]],0) * cv_M/cv_F * Forces_APPURT[[#This Row],[Gamma Fa 120]] * Calculations_APPURT[[#This Row],[Horizontal Offset]]/12</f>
        <v>0</v>
      </c>
      <c r="MO7" s="276">
        <f>IFERROR(1/Calculations_APPURT[[#This Row],[Brackets]],0) * cv_M/cv_F * Forces_APPURT[[#This Row],[Gamma Fa 135]] * Calculations_APPURT[[#This Row],[Horizontal Offset]]/12</f>
        <v>0</v>
      </c>
      <c r="MP7" s="276">
        <f>IFERROR(1/Calculations_APPURT[[#This Row],[Brackets]],0) * cv_M/cv_F * Forces_APPURT[[#This Row],[Gamma Fa 150]] * Calculations_APPURT[[#This Row],[Horizontal Offset]]/12</f>
        <v>0</v>
      </c>
      <c r="MQ7" s="276">
        <f>IFERROR(1/Calculations_APPURT[[#This Row],[Brackets]],0) * cv_M/cv_F * Forces_APPURT[[#This Row],[Gamma Fa 180]] * Calculations_APPURT[[#This Row],[Horizontal Offset]]/12</f>
        <v>0</v>
      </c>
      <c r="MR7" s="276">
        <f>IFERROR(1/Calculations_APPURT[[#This Row],[Brackets]],0) * cv_M/cv_F * Forces_APPURT[[#This Row],[Gamma Fa 210]] * Calculations_APPURT[[#This Row],[Horizontal Offset]]/12</f>
        <v>0</v>
      </c>
      <c r="MS7" s="276">
        <f>IFERROR(1/Calculations_APPURT[[#This Row],[Brackets]],0) * cv_M/cv_F * Forces_APPURT[[#This Row],[Gamma Fa 225]] * Calculations_APPURT[[#This Row],[Horizontal Offset]]/12</f>
        <v>0</v>
      </c>
      <c r="MT7" s="276">
        <f>IFERROR(1/Calculations_APPURT[[#This Row],[Brackets]],0) * cv_M/cv_F * Forces_APPURT[[#This Row],[Gamma Fa 240]] * Calculations_APPURT[[#This Row],[Horizontal Offset]]/12</f>
        <v>0</v>
      </c>
      <c r="MU7" s="276">
        <f>IFERROR(1/Calculations_APPURT[[#This Row],[Brackets]],0) * cv_M/cv_F * Forces_APPURT[[#This Row],[Gamma Fa 270]] * Calculations_APPURT[[#This Row],[Horizontal Offset]]/12</f>
        <v>0</v>
      </c>
      <c r="MV7" s="276">
        <f>IFERROR(1/Calculations_APPURT[[#This Row],[Brackets]],0) * cv_M/cv_F * Forces_APPURT[[#This Row],[Gamma Fa 300]] * Calculations_APPURT[[#This Row],[Horizontal Offset]]/12</f>
        <v>0</v>
      </c>
      <c r="MW7" s="276">
        <f>IFERROR(1/Calculations_APPURT[[#This Row],[Brackets]],0) * cv_M/cv_F * Forces_APPURT[[#This Row],[Gamma Fa 315]] * Calculations_APPURT[[#This Row],[Horizontal Offset]]/12</f>
        <v>0</v>
      </c>
      <c r="MX7" s="276">
        <f>IFERROR(1/Calculations_APPURT[[#This Row],[Brackets]],0) * cv_M/cv_F * Forces_APPURT[[#This Row],[Gamma Fa 330]] * Calculations_APPURT[[#This Row],[Horizontal Offset]]/12</f>
        <v>0</v>
      </c>
      <c r="MY7" s="276">
        <f>IFERROR(1/Calculations_APPURT[[#This Row],[Brackets]],0) * cv_M/cv_F * Forces_APPURT[[#This Row],[Delta Fa 0]] * Calculations_APPURT[[#This Row],[Horizontal Offset]]/12</f>
        <v>0</v>
      </c>
      <c r="MZ7" s="276">
        <f>IFERROR(1/Calculations_APPURT[[#This Row],[Brackets]],0) * cv_M/cv_F * Forces_APPURT[[#This Row],[Delta Fa 30]] * Calculations_APPURT[[#This Row],[Horizontal Offset]]/12</f>
        <v>0</v>
      </c>
      <c r="NA7" s="276">
        <f>IFERROR(1/Calculations_APPURT[[#This Row],[Brackets]],0) * cv_M/cv_F * Forces_APPURT[[#This Row],[Delta Fa 45]] * Calculations_APPURT[[#This Row],[Horizontal Offset]]/12</f>
        <v>0</v>
      </c>
      <c r="NB7" s="276">
        <f>IFERROR(1/Calculations_APPURT[[#This Row],[Brackets]],0) * cv_M/cv_F * Forces_APPURT[[#This Row],[Delta Fa 60]] * Calculations_APPURT[[#This Row],[Horizontal Offset]]/12</f>
        <v>0</v>
      </c>
      <c r="NC7" s="276">
        <f>IFERROR(1/Calculations_APPURT[[#This Row],[Brackets]],0) * cv_M/cv_F * Forces_APPURT[[#This Row],[Delta Fa 90]] * Calculations_APPURT[[#This Row],[Horizontal Offset]]/12</f>
        <v>0</v>
      </c>
      <c r="ND7" s="276">
        <f>IFERROR(1/Calculations_APPURT[[#This Row],[Brackets]],0) * cv_M/cv_F * Forces_APPURT[[#This Row],[Delta Fa 120]] * Calculations_APPURT[[#This Row],[Horizontal Offset]]/12</f>
        <v>0</v>
      </c>
      <c r="NE7" s="276">
        <f>IFERROR(1/Calculations_APPURT[[#This Row],[Brackets]],0) * cv_M/cv_F * Forces_APPURT[[#This Row],[Delta Fa 135]] * Calculations_APPURT[[#This Row],[Horizontal Offset]]/12</f>
        <v>0</v>
      </c>
      <c r="NF7" s="276">
        <f>IFERROR(1/Calculations_APPURT[[#This Row],[Brackets]],0) * cv_M/cv_F * Forces_APPURT[[#This Row],[Delta Fa 150]] * Calculations_APPURT[[#This Row],[Horizontal Offset]]/12</f>
        <v>0</v>
      </c>
      <c r="NG7" s="276">
        <f>IFERROR(1/Calculations_APPURT[[#This Row],[Brackets]],0) * cv_M/cv_F * Forces_APPURT[[#This Row],[Delta Fa 180]] * Calculations_APPURT[[#This Row],[Horizontal Offset]]/12</f>
        <v>0</v>
      </c>
      <c r="NH7" s="276">
        <f>IFERROR(1/Calculations_APPURT[[#This Row],[Brackets]],0) * cv_M/cv_F * Forces_APPURT[[#This Row],[Delta Fa 210]] * Calculations_APPURT[[#This Row],[Horizontal Offset]]/12</f>
        <v>0</v>
      </c>
      <c r="NI7" s="276">
        <f>IFERROR(1/Calculations_APPURT[[#This Row],[Brackets]],0) * cv_M/cv_F * Forces_APPURT[[#This Row],[Delta Fa 225]] * Calculations_APPURT[[#This Row],[Horizontal Offset]]/12</f>
        <v>0</v>
      </c>
      <c r="NJ7" s="276">
        <f>IFERROR(1/Calculations_APPURT[[#This Row],[Brackets]],0) * cv_M/cv_F * Forces_APPURT[[#This Row],[Delta Fa 240]] * Calculations_APPURT[[#This Row],[Horizontal Offset]]/12</f>
        <v>0</v>
      </c>
      <c r="NK7" s="276">
        <f>IFERROR(1/Calculations_APPURT[[#This Row],[Brackets]],0) * cv_M/cv_F * Forces_APPURT[[#This Row],[Delta Fa 270]] * Calculations_APPURT[[#This Row],[Horizontal Offset]]/12</f>
        <v>0</v>
      </c>
      <c r="NL7" s="276">
        <f>IFERROR(1/Calculations_APPURT[[#This Row],[Brackets]],0) * cv_M/cv_F * Forces_APPURT[[#This Row],[Delta Fa 300]] * Calculations_APPURT[[#This Row],[Horizontal Offset]]/12</f>
        <v>0</v>
      </c>
      <c r="NM7" s="276">
        <f>IFERROR(1/Calculations_APPURT[[#This Row],[Brackets]],0) * cv_M/cv_F * Forces_APPURT[[#This Row],[Delta Fa 315]] * Calculations_APPURT[[#This Row],[Horizontal Offset]]/12</f>
        <v>0</v>
      </c>
      <c r="NN7" s="276">
        <f>IFERROR(1/Calculations_APPURT[[#This Row],[Brackets]],0) * cv_M/cv_F * Forces_APPURT[[#This Row],[Delta Fa 330]] * Calculations_APPURT[[#This Row],[Horizontal Offset]]/12</f>
        <v>0</v>
      </c>
      <c r="NO7" s="276">
        <f>IFERROR(1/Calculations_APPURT[[#This Row],[Brackets]],0) * cv_M/cv_F * Forces_APPURT[[#This Row],[Alpha Fai 0]] * Calculations_APPURT[[#This Row],[Horizontal Offset]]/12</f>
        <v>0</v>
      </c>
      <c r="NP7" s="276">
        <f>IFERROR(1/Calculations_APPURT[[#This Row],[Brackets]],0) * cv_M/cv_F * Forces_APPURT[[#This Row],[Alpha Fai 30]] * Calculations_APPURT[[#This Row],[Horizontal Offset]]/12</f>
        <v>0</v>
      </c>
      <c r="NQ7" s="276">
        <f>IFERROR(1/Calculations_APPURT[[#This Row],[Brackets]],0) * cv_M/cv_F * Forces_APPURT[[#This Row],[Alpha Fai 45]] * Calculations_APPURT[[#This Row],[Horizontal Offset]]/12</f>
        <v>0</v>
      </c>
      <c r="NR7" s="276">
        <f>IFERROR(1/Calculations_APPURT[[#This Row],[Brackets]],0) * cv_M/cv_F * Forces_APPURT[[#This Row],[Alpha Fai 60]] * Calculations_APPURT[[#This Row],[Horizontal Offset]]/12</f>
        <v>0</v>
      </c>
      <c r="NS7" s="276">
        <f>IFERROR(1/Calculations_APPURT[[#This Row],[Brackets]],0) * cv_M/cv_F * Forces_APPURT[[#This Row],[Alpha Fai 90]] * Calculations_APPURT[[#This Row],[Horizontal Offset]]/12</f>
        <v>0</v>
      </c>
      <c r="NT7" s="276">
        <f>IFERROR(1/Calculations_APPURT[[#This Row],[Brackets]],0) * cv_M/cv_F * Forces_APPURT[[#This Row],[Alpha Fai 120]] * Calculations_APPURT[[#This Row],[Horizontal Offset]]/12</f>
        <v>0</v>
      </c>
      <c r="NU7" s="276">
        <f>IFERROR(1/Calculations_APPURT[[#This Row],[Brackets]],0) * cv_M/cv_F * Forces_APPURT[[#This Row],[Alpha Fai 135]] * Calculations_APPURT[[#This Row],[Horizontal Offset]]/12</f>
        <v>0</v>
      </c>
      <c r="NV7" s="276">
        <f>IFERROR(1/Calculations_APPURT[[#This Row],[Brackets]],0) * cv_M/cv_F * Forces_APPURT[[#This Row],[Alpha Fai 150]] * Calculations_APPURT[[#This Row],[Horizontal Offset]]/12</f>
        <v>0</v>
      </c>
      <c r="NW7" s="276">
        <f>IFERROR(1/Calculations_APPURT[[#This Row],[Brackets]],0) * cv_M/cv_F * Forces_APPURT[[#This Row],[Alpha Fai 180]] * Calculations_APPURT[[#This Row],[Horizontal Offset]]/12</f>
        <v>0</v>
      </c>
      <c r="NX7" s="276">
        <f>IFERROR(1/Calculations_APPURT[[#This Row],[Brackets]],0) * cv_M/cv_F * Forces_APPURT[[#This Row],[Alpha Fai 210]] * Calculations_APPURT[[#This Row],[Horizontal Offset]]/12</f>
        <v>0</v>
      </c>
      <c r="NY7" s="276">
        <f>IFERROR(1/Calculations_APPURT[[#This Row],[Brackets]],0) * cv_M/cv_F * Forces_APPURT[[#This Row],[Alpha Fai 225]] * Calculations_APPURT[[#This Row],[Horizontal Offset]]/12</f>
        <v>0</v>
      </c>
      <c r="NZ7" s="276">
        <f>IFERROR(1/Calculations_APPURT[[#This Row],[Brackets]],0) * cv_M/cv_F * Forces_APPURT[[#This Row],[Alpha Fai 240]] * Calculations_APPURT[[#This Row],[Horizontal Offset]]/12</f>
        <v>0</v>
      </c>
      <c r="OA7" s="276">
        <f>IFERROR(1/Calculations_APPURT[[#This Row],[Brackets]],0) * cv_M/cv_F * Forces_APPURT[[#This Row],[Alpha Fai 270]] * Calculations_APPURT[[#This Row],[Horizontal Offset]]/12</f>
        <v>0</v>
      </c>
      <c r="OB7" s="276">
        <f>IFERROR(1/Calculations_APPURT[[#This Row],[Brackets]],0) * cv_M/cv_F * Forces_APPURT[[#This Row],[Alpha Fai 300]] * Calculations_APPURT[[#This Row],[Horizontal Offset]]/12</f>
        <v>0</v>
      </c>
      <c r="OC7" s="276">
        <f>IFERROR(1/Calculations_APPURT[[#This Row],[Brackets]],0) * cv_M/cv_F * Forces_APPURT[[#This Row],[Alpha Fai 315]] * Calculations_APPURT[[#This Row],[Horizontal Offset]]/12</f>
        <v>0</v>
      </c>
      <c r="OD7" s="276">
        <f>IFERROR(1/Calculations_APPURT[[#This Row],[Brackets]],0) * cv_M/cv_F * Forces_APPURT[[#This Row],[Alpha Fai 330]] * Calculations_APPURT[[#This Row],[Horizontal Offset]]/12</f>
        <v>0</v>
      </c>
      <c r="OE7" s="276">
        <f>IFERROR(1/Calculations_APPURT[[#This Row],[Brackets]],0) * cv_M/cv_F * Forces_APPURT[[#This Row],[Beta Fai 0]] * Calculations_APPURT[[#This Row],[Horizontal Offset]]/12</f>
        <v>0</v>
      </c>
      <c r="OF7" s="276">
        <f>IFERROR(1/Calculations_APPURT[[#This Row],[Brackets]],0) * cv_M/cv_F * Forces_APPURT[[#This Row],[Beta Fai 30]] * Calculations_APPURT[[#This Row],[Horizontal Offset]]/12</f>
        <v>0</v>
      </c>
      <c r="OG7" s="276">
        <f>IFERROR(1/Calculations_APPURT[[#This Row],[Brackets]],0) * cv_M/cv_F * Forces_APPURT[[#This Row],[Beta Fai 45]] * Calculations_APPURT[[#This Row],[Horizontal Offset]]/12</f>
        <v>0</v>
      </c>
      <c r="OH7" s="276">
        <f>IFERROR(1/Calculations_APPURT[[#This Row],[Brackets]],0) * cv_M/cv_F * Forces_APPURT[[#This Row],[Beta Fai 60]] * Calculations_APPURT[[#This Row],[Horizontal Offset]]/12</f>
        <v>0</v>
      </c>
      <c r="OI7" s="276">
        <f>IFERROR(1/Calculations_APPURT[[#This Row],[Brackets]],0) * cv_M/cv_F * Forces_APPURT[[#This Row],[Beta Fai 90]] * Calculations_APPURT[[#This Row],[Horizontal Offset]]/12</f>
        <v>0</v>
      </c>
      <c r="OJ7" s="276">
        <f>IFERROR(1/Calculations_APPURT[[#This Row],[Brackets]],0) * cv_M/cv_F * Forces_APPURT[[#This Row],[Beta Fai 120]] * Calculations_APPURT[[#This Row],[Horizontal Offset]]/12</f>
        <v>0</v>
      </c>
      <c r="OK7" s="276">
        <f>IFERROR(1/Calculations_APPURT[[#This Row],[Brackets]],0) * cv_M/cv_F * Forces_APPURT[[#This Row],[Beta Fai 135]] * Calculations_APPURT[[#This Row],[Horizontal Offset]]/12</f>
        <v>0</v>
      </c>
      <c r="OL7" s="276">
        <f>IFERROR(1/Calculations_APPURT[[#This Row],[Brackets]],0) * cv_M/cv_F * Forces_APPURT[[#This Row],[Beta Fai 150]] * Calculations_APPURT[[#This Row],[Horizontal Offset]]/12</f>
        <v>0</v>
      </c>
      <c r="OM7" s="276">
        <f>IFERROR(1/Calculations_APPURT[[#This Row],[Brackets]],0) * cv_M/cv_F * Forces_APPURT[[#This Row],[Beta Fai 180]] * Calculations_APPURT[[#This Row],[Horizontal Offset]]/12</f>
        <v>0</v>
      </c>
      <c r="ON7" s="276">
        <f>IFERROR(1/Calculations_APPURT[[#This Row],[Brackets]],0) * cv_M/cv_F * Forces_APPURT[[#This Row],[Beta Fai 210]] * Calculations_APPURT[[#This Row],[Horizontal Offset]]/12</f>
        <v>0</v>
      </c>
      <c r="OO7" s="276">
        <f>IFERROR(1/Calculations_APPURT[[#This Row],[Brackets]],0) * cv_M/cv_F * Forces_APPURT[[#This Row],[Beta Fai 225]] * Calculations_APPURT[[#This Row],[Horizontal Offset]]/12</f>
        <v>0</v>
      </c>
      <c r="OP7" s="276">
        <f>IFERROR(1/Calculations_APPURT[[#This Row],[Brackets]],0) * cv_M/cv_F * Forces_APPURT[[#This Row],[Beta Fai 240]] * Calculations_APPURT[[#This Row],[Horizontal Offset]]/12</f>
        <v>0</v>
      </c>
      <c r="OQ7" s="276">
        <f>IFERROR(1/Calculations_APPURT[[#This Row],[Brackets]],0) * cv_M/cv_F * Forces_APPURT[[#This Row],[Beta Fai 270]] * Calculations_APPURT[[#This Row],[Horizontal Offset]]/12</f>
        <v>0</v>
      </c>
      <c r="OR7" s="276">
        <f>IFERROR(1/Calculations_APPURT[[#This Row],[Brackets]],0) * cv_M/cv_F * Forces_APPURT[[#This Row],[Beta Fai 300]] * Calculations_APPURT[[#This Row],[Horizontal Offset]]/12</f>
        <v>0</v>
      </c>
      <c r="OS7" s="276">
        <f>IFERROR(1/Calculations_APPURT[[#This Row],[Brackets]],0) * cv_M/cv_F * Forces_APPURT[[#This Row],[Beta Fai 315]] * Calculations_APPURT[[#This Row],[Horizontal Offset]]/12</f>
        <v>0</v>
      </c>
      <c r="OT7" s="276">
        <f>IFERROR(1/Calculations_APPURT[[#This Row],[Brackets]],0) * cv_M/cv_F * Forces_APPURT[[#This Row],[Beta Fai 330]] * Calculations_APPURT[[#This Row],[Horizontal Offset]]/12</f>
        <v>0</v>
      </c>
      <c r="OU7" s="276">
        <f>IFERROR(1/Calculations_APPURT[[#This Row],[Brackets]],0) * cv_M/cv_F * Forces_APPURT[[#This Row],[Gamma Fai 0]] * Calculations_APPURT[[#This Row],[Horizontal Offset]]/12</f>
        <v>0</v>
      </c>
      <c r="OV7" s="276">
        <f>IFERROR(1/Calculations_APPURT[[#This Row],[Brackets]],0) * cv_M/cv_F * Forces_APPURT[[#This Row],[Gamma Fai 30]] * Calculations_APPURT[[#This Row],[Horizontal Offset]]/12</f>
        <v>0</v>
      </c>
      <c r="OW7" s="276">
        <f>IFERROR(1/Calculations_APPURT[[#This Row],[Brackets]],0) * cv_M/cv_F * Forces_APPURT[[#This Row],[Gamma Fai 45]] * Calculations_APPURT[[#This Row],[Horizontal Offset]]/12</f>
        <v>0</v>
      </c>
      <c r="OX7" s="276">
        <f>IFERROR(1/Calculations_APPURT[[#This Row],[Brackets]],0) * cv_M/cv_F * Forces_APPURT[[#This Row],[Gamma Fai 60]] * Calculations_APPURT[[#This Row],[Horizontal Offset]]/12</f>
        <v>0</v>
      </c>
      <c r="OY7" s="276">
        <f>IFERROR(1/Calculations_APPURT[[#This Row],[Brackets]],0) * cv_M/cv_F * Forces_APPURT[[#This Row],[Gamma Fai 90]] * Calculations_APPURT[[#This Row],[Horizontal Offset]]/12</f>
        <v>0</v>
      </c>
      <c r="OZ7" s="276">
        <f>IFERROR(1/Calculations_APPURT[[#This Row],[Brackets]],0) * cv_M/cv_F * Forces_APPURT[[#This Row],[Gamma Fai 120]] * Calculations_APPURT[[#This Row],[Horizontal Offset]]/12</f>
        <v>0</v>
      </c>
      <c r="PA7" s="276">
        <f>IFERROR(1/Calculations_APPURT[[#This Row],[Brackets]],0) * cv_M/cv_F * Forces_APPURT[[#This Row],[Gamma Fai 135]] * Calculations_APPURT[[#This Row],[Horizontal Offset]]/12</f>
        <v>0</v>
      </c>
      <c r="PB7" s="276">
        <f>IFERROR(1/Calculations_APPURT[[#This Row],[Brackets]],0) * cv_M/cv_F * Forces_APPURT[[#This Row],[Gamma Fai 150]] * Calculations_APPURT[[#This Row],[Horizontal Offset]]/12</f>
        <v>0</v>
      </c>
      <c r="PC7" s="276">
        <f>IFERROR(1/Calculations_APPURT[[#This Row],[Brackets]],0) * cv_M/cv_F * Forces_APPURT[[#This Row],[Gamma Fai 180]] * Calculations_APPURT[[#This Row],[Horizontal Offset]]/12</f>
        <v>0</v>
      </c>
      <c r="PD7" s="276">
        <f>IFERROR(1/Calculations_APPURT[[#This Row],[Brackets]],0) * cv_M/cv_F * Forces_APPURT[[#This Row],[Gamma Fai 210]] * Calculations_APPURT[[#This Row],[Horizontal Offset]]/12</f>
        <v>0</v>
      </c>
      <c r="PE7" s="276">
        <f>IFERROR(1/Calculations_APPURT[[#This Row],[Brackets]],0) * cv_M/cv_F * Forces_APPURT[[#This Row],[Gamma Fai 225]] * Calculations_APPURT[[#This Row],[Horizontal Offset]]/12</f>
        <v>0</v>
      </c>
      <c r="PF7" s="276">
        <f>IFERROR(1/Calculations_APPURT[[#This Row],[Brackets]],0) * cv_M/cv_F * Forces_APPURT[[#This Row],[Gamma Fai 240]] * Calculations_APPURT[[#This Row],[Horizontal Offset]]/12</f>
        <v>0</v>
      </c>
      <c r="PG7" s="276">
        <f>IFERROR(1/Calculations_APPURT[[#This Row],[Brackets]],0) * cv_M/cv_F * Forces_APPURT[[#This Row],[Gamma Fai 270]] * Calculations_APPURT[[#This Row],[Horizontal Offset]]/12</f>
        <v>0</v>
      </c>
      <c r="PH7" s="276">
        <f>IFERROR(1/Calculations_APPURT[[#This Row],[Brackets]],0) * cv_M/cv_F * Forces_APPURT[[#This Row],[Gamma Fai 300]] * Calculations_APPURT[[#This Row],[Horizontal Offset]]/12</f>
        <v>0</v>
      </c>
      <c r="PI7" s="276">
        <f>IFERROR(1/Calculations_APPURT[[#This Row],[Brackets]],0) * cv_M/cv_F * Forces_APPURT[[#This Row],[Gamma Fai 315]] * Calculations_APPURT[[#This Row],[Horizontal Offset]]/12</f>
        <v>0</v>
      </c>
      <c r="PJ7" s="276">
        <f>IFERROR(1/Calculations_APPURT[[#This Row],[Brackets]],0) * cv_M/cv_F * Forces_APPURT[[#This Row],[Gamma Fai 330]] * Calculations_APPURT[[#This Row],[Horizontal Offset]]/12</f>
        <v>0</v>
      </c>
      <c r="PK7" s="276">
        <f>IFERROR(1/Calculations_APPURT[[#This Row],[Brackets]],0) * cv_M/cv_F * Forces_APPURT[[#This Row],[Delta Fai 0]] * Calculations_APPURT[[#This Row],[Horizontal Offset]]/12</f>
        <v>0</v>
      </c>
      <c r="PL7" s="276">
        <f>IFERROR(1/Calculations_APPURT[[#This Row],[Brackets]],0) * cv_M/cv_F * Forces_APPURT[[#This Row],[Delta Fai 30]] * Calculations_APPURT[[#This Row],[Horizontal Offset]]/12</f>
        <v>0</v>
      </c>
      <c r="PM7" s="276">
        <f>IFERROR(1/Calculations_APPURT[[#This Row],[Brackets]],0) * cv_M/cv_F * Forces_APPURT[[#This Row],[Delta Fai 45]] * Calculations_APPURT[[#This Row],[Horizontal Offset]]/12</f>
        <v>0</v>
      </c>
      <c r="PN7" s="276">
        <f>IFERROR(1/Calculations_APPURT[[#This Row],[Brackets]],0) * cv_M/cv_F * Forces_APPURT[[#This Row],[Delta Fai 60]] * Calculations_APPURT[[#This Row],[Horizontal Offset]]/12</f>
        <v>0</v>
      </c>
      <c r="PO7" s="276">
        <f>IFERROR(1/Calculations_APPURT[[#This Row],[Brackets]],0) * cv_M/cv_F * Forces_APPURT[[#This Row],[Delta Fai 90]] * Calculations_APPURT[[#This Row],[Horizontal Offset]]/12</f>
        <v>0</v>
      </c>
      <c r="PP7" s="276">
        <f>IFERROR(1/Calculations_APPURT[[#This Row],[Brackets]],0) * cv_M/cv_F * Forces_APPURT[[#This Row],[Delta Fai 120]] * Calculations_APPURT[[#This Row],[Horizontal Offset]]/12</f>
        <v>0</v>
      </c>
      <c r="PQ7" s="276">
        <f>IFERROR(1/Calculations_APPURT[[#This Row],[Brackets]],0) * cv_M/cv_F * Forces_APPURT[[#This Row],[Delta Fai 135]] * Calculations_APPURT[[#This Row],[Horizontal Offset]]/12</f>
        <v>0</v>
      </c>
      <c r="PR7" s="276">
        <f>IFERROR(1/Calculations_APPURT[[#This Row],[Brackets]],0) * cv_M/cv_F * Forces_APPURT[[#This Row],[Delta Fai 150]] * Calculations_APPURT[[#This Row],[Horizontal Offset]]/12</f>
        <v>0</v>
      </c>
      <c r="PS7" s="276">
        <f>IFERROR(1/Calculations_APPURT[[#This Row],[Brackets]],0) * cv_M/cv_F * Forces_APPURT[[#This Row],[Delta Fai 180]] * Calculations_APPURT[[#This Row],[Horizontal Offset]]/12</f>
        <v>0</v>
      </c>
      <c r="PT7" s="276">
        <f>IFERROR(1/Calculations_APPURT[[#This Row],[Brackets]],0) * cv_M/cv_F * Forces_APPURT[[#This Row],[Delta Fai 210]] * Calculations_APPURT[[#This Row],[Horizontal Offset]]/12</f>
        <v>0</v>
      </c>
      <c r="PU7" s="276">
        <f>IFERROR(1/Calculations_APPURT[[#This Row],[Brackets]],0) * cv_M/cv_F * Forces_APPURT[[#This Row],[Delta Fai 225]] * Calculations_APPURT[[#This Row],[Horizontal Offset]]/12</f>
        <v>0</v>
      </c>
      <c r="PV7" s="276">
        <f>IFERROR(1/Calculations_APPURT[[#This Row],[Brackets]],0) * cv_M/cv_F * Forces_APPURT[[#This Row],[Delta Fai 240]] * Calculations_APPURT[[#This Row],[Horizontal Offset]]/12</f>
        <v>0</v>
      </c>
      <c r="PW7" s="276">
        <f>IFERROR(1/Calculations_APPURT[[#This Row],[Brackets]],0) * cv_M/cv_F * Forces_APPURT[[#This Row],[Delta Fai 270]] * Calculations_APPURT[[#This Row],[Horizontal Offset]]/12</f>
        <v>0</v>
      </c>
      <c r="PX7" s="276">
        <f>IFERROR(1/Calculations_APPURT[[#This Row],[Brackets]],0) * cv_M/cv_F * Forces_APPURT[[#This Row],[Delta Fai 300]] * Calculations_APPURT[[#This Row],[Horizontal Offset]]/12</f>
        <v>0</v>
      </c>
      <c r="PY7" s="276">
        <f>IFERROR(1/Calculations_APPURT[[#This Row],[Brackets]],0) * cv_M/cv_F * Forces_APPURT[[#This Row],[Delta Fai 315]] * Calculations_APPURT[[#This Row],[Horizontal Offset]]/12</f>
        <v>0</v>
      </c>
      <c r="PZ7" s="276">
        <f>IFERROR(1/Calculations_APPURT[[#This Row],[Brackets]],0) * cv_M/cv_F * Forces_APPURT[[#This Row],[Delta Fai 330]] * Calculations_APPURT[[#This Row],[Horizontal Offset]]/12</f>
        <v>0</v>
      </c>
      <c r="QA7" s="276">
        <f>IFERROR(1/Calculations_APPURT[[#This Row],[Brackets]],0) * cv_M/cv_F * Forces_APPURT[[#This Row],[Alpha Fa 0]] * Calculations_APPURT[[#This Row],[Lateral Offset]]/12</f>
        <v>0</v>
      </c>
      <c r="QB7" s="276">
        <f>IFERROR(1/Calculations_APPURT[[#This Row],[Brackets]],0) * cv_M/cv_F * Forces_APPURT[[#This Row],[Alpha Fa 30]] * Calculations_APPURT[[#This Row],[Lateral Offset]]/12</f>
        <v>0</v>
      </c>
      <c r="QC7" s="276">
        <f>IFERROR(1/Calculations_APPURT[[#This Row],[Brackets]],0) * cv_M/cv_F * Forces_APPURT[[#This Row],[Alpha Fa 45]] * Calculations_APPURT[[#This Row],[Lateral Offset]]/12</f>
        <v>0</v>
      </c>
      <c r="QD7" s="276">
        <f>IFERROR(1/Calculations_APPURT[[#This Row],[Brackets]],0) * cv_M/cv_F * Forces_APPURT[[#This Row],[Alpha Fa 60]] * Calculations_APPURT[[#This Row],[Lateral Offset]]/12</f>
        <v>0</v>
      </c>
      <c r="QE7" s="276">
        <f>IFERROR(1/Calculations_APPURT[[#This Row],[Brackets]],0) * cv_M/cv_F * Forces_APPURT[[#This Row],[Alpha Fa 90]] * Calculations_APPURT[[#This Row],[Lateral Offset]]/12</f>
        <v>0</v>
      </c>
      <c r="QF7" s="276">
        <f>IFERROR(1/Calculations_APPURT[[#This Row],[Brackets]],0) * cv_M/cv_F * Forces_APPURT[[#This Row],[Alpha Fa 120]] * Calculations_APPURT[[#This Row],[Lateral Offset]]/12</f>
        <v>0</v>
      </c>
      <c r="QG7" s="276">
        <f>IFERROR(1/Calculations_APPURT[[#This Row],[Brackets]],0) * cv_M/cv_F * Forces_APPURT[[#This Row],[Alpha Fa 135]] * Calculations_APPURT[[#This Row],[Lateral Offset]]/12</f>
        <v>0</v>
      </c>
      <c r="QH7" s="276">
        <f>IFERROR(1/Calculations_APPURT[[#This Row],[Brackets]],0) * cv_M/cv_F * Forces_APPURT[[#This Row],[Alpha Fa 150]] * Calculations_APPURT[[#This Row],[Lateral Offset]]/12</f>
        <v>0</v>
      </c>
      <c r="QI7" s="276">
        <f>IFERROR(1/Calculations_APPURT[[#This Row],[Brackets]],0) * cv_M/cv_F * Forces_APPURT[[#This Row],[Alpha Fa 180]] * Calculations_APPURT[[#This Row],[Lateral Offset]]/12</f>
        <v>0</v>
      </c>
      <c r="QJ7" s="276">
        <f>IFERROR(1/Calculations_APPURT[[#This Row],[Brackets]],0) * cv_M/cv_F * Forces_APPURT[[#This Row],[Alpha Fa 210]] * Calculations_APPURT[[#This Row],[Lateral Offset]]/12</f>
        <v>0</v>
      </c>
      <c r="QK7" s="276">
        <f>IFERROR(1/Calculations_APPURT[[#This Row],[Brackets]],0) * cv_M/cv_F * Forces_APPURT[[#This Row],[Alpha Fa 225]] * Calculations_APPURT[[#This Row],[Lateral Offset]]/12</f>
        <v>0</v>
      </c>
      <c r="QL7" s="276">
        <f>IFERROR(1/Calculations_APPURT[[#This Row],[Brackets]],0) * cv_M/cv_F * Forces_APPURT[[#This Row],[Alpha Fa 240]] * Calculations_APPURT[[#This Row],[Lateral Offset]]/12</f>
        <v>0</v>
      </c>
      <c r="QM7" s="276">
        <f>IFERROR(1/Calculations_APPURT[[#This Row],[Brackets]],0) * cv_M/cv_F * Forces_APPURT[[#This Row],[Alpha Fa 270]] * Calculations_APPURT[[#This Row],[Lateral Offset]]/12</f>
        <v>0</v>
      </c>
      <c r="QN7" s="276">
        <f>IFERROR(1/Calculations_APPURT[[#This Row],[Brackets]],0) * cv_M/cv_F * Forces_APPURT[[#This Row],[Alpha Fa 300]] * Calculations_APPURT[[#This Row],[Lateral Offset]]/12</f>
        <v>0</v>
      </c>
      <c r="QO7" s="276">
        <f>IFERROR(1/Calculations_APPURT[[#This Row],[Brackets]],0) * cv_M/cv_F * Forces_APPURT[[#This Row],[Alpha Fa 315]] * Calculations_APPURT[[#This Row],[Lateral Offset]]/12</f>
        <v>0</v>
      </c>
      <c r="QP7" s="276">
        <f>IFERROR(1/Calculations_APPURT[[#This Row],[Brackets]],0) * cv_M/cv_F * Forces_APPURT[[#This Row],[Alpha Fa 330]] * Calculations_APPURT[[#This Row],[Lateral Offset]]/12</f>
        <v>0</v>
      </c>
      <c r="QQ7" s="276">
        <f>IFERROR(1/Calculations_APPURT[[#This Row],[Brackets]],0) * cv_M/cv_F * Forces_APPURT[[#This Row],[Beta Fa 0]] * Calculations_APPURT[[#This Row],[Lateral Offset]]/12</f>
        <v>0</v>
      </c>
      <c r="QR7" s="276">
        <f>IFERROR(1/Calculations_APPURT[[#This Row],[Brackets]],0) * cv_M/cv_F * Forces_APPURT[[#This Row],[Beta Fa 30]] * Calculations_APPURT[[#This Row],[Lateral Offset]]/12</f>
        <v>0</v>
      </c>
      <c r="QS7" s="276">
        <f>IFERROR(1/Calculations_APPURT[[#This Row],[Brackets]],0) * cv_M/cv_F * Forces_APPURT[[#This Row],[Beta Fa 45]] * Calculations_APPURT[[#This Row],[Lateral Offset]]/12</f>
        <v>0</v>
      </c>
      <c r="QT7" s="276">
        <f>IFERROR(1/Calculations_APPURT[[#This Row],[Brackets]],0) * cv_M/cv_F * Forces_APPURT[[#This Row],[Beta Fa 60]] * Calculations_APPURT[[#This Row],[Lateral Offset]]/12</f>
        <v>0</v>
      </c>
      <c r="QU7" s="276">
        <f>IFERROR(1/Calculations_APPURT[[#This Row],[Brackets]],0) * cv_M/cv_F * Forces_APPURT[[#This Row],[Beta Fa 90]] * Calculations_APPURT[[#This Row],[Lateral Offset]]/12</f>
        <v>0</v>
      </c>
      <c r="QV7" s="276">
        <f>IFERROR(1/Calculations_APPURT[[#This Row],[Brackets]],0) * cv_M/cv_F * Forces_APPURT[[#This Row],[Beta Fa 120]] * Calculations_APPURT[[#This Row],[Lateral Offset]]/12</f>
        <v>0</v>
      </c>
      <c r="QW7" s="276">
        <f>IFERROR(1/Calculations_APPURT[[#This Row],[Brackets]],0) * cv_M/cv_F * Forces_APPURT[[#This Row],[Beta Fa 135]] * Calculations_APPURT[[#This Row],[Lateral Offset]]/12</f>
        <v>0</v>
      </c>
      <c r="QX7" s="276">
        <f>IFERROR(1/Calculations_APPURT[[#This Row],[Brackets]],0) * cv_M/cv_F * Forces_APPURT[[#This Row],[Beta Fa 150]] * Calculations_APPURT[[#This Row],[Lateral Offset]]/12</f>
        <v>0</v>
      </c>
      <c r="QY7" s="276">
        <f>IFERROR(1/Calculations_APPURT[[#This Row],[Brackets]],0) * cv_M/cv_F * Forces_APPURT[[#This Row],[Beta Fa 180]] * Calculations_APPURT[[#This Row],[Lateral Offset]]/12</f>
        <v>0</v>
      </c>
      <c r="QZ7" s="276">
        <f>IFERROR(1/Calculations_APPURT[[#This Row],[Brackets]],0) * cv_M/cv_F * Forces_APPURT[[#This Row],[Beta Fa 210]] * Calculations_APPURT[[#This Row],[Lateral Offset]]/12</f>
        <v>0</v>
      </c>
      <c r="RA7" s="276">
        <f>IFERROR(1/Calculations_APPURT[[#This Row],[Brackets]],0) * cv_M/cv_F * Forces_APPURT[[#This Row],[Beta Fa 225]] * Calculations_APPURT[[#This Row],[Lateral Offset]]/12</f>
        <v>0</v>
      </c>
      <c r="RB7" s="276">
        <f>IFERROR(1/Calculations_APPURT[[#This Row],[Brackets]],0) * cv_M/cv_F * Forces_APPURT[[#This Row],[Beta Fa 240]] * Calculations_APPURT[[#This Row],[Lateral Offset]]/12</f>
        <v>0</v>
      </c>
      <c r="RC7" s="276">
        <f>IFERROR(1/Calculations_APPURT[[#This Row],[Brackets]],0) * cv_M/cv_F * Forces_APPURT[[#This Row],[Beta Fa 270]] * Calculations_APPURT[[#This Row],[Lateral Offset]]/12</f>
        <v>0</v>
      </c>
      <c r="RD7" s="276">
        <f>IFERROR(1/Calculations_APPURT[[#This Row],[Brackets]],0) * cv_M/cv_F * Forces_APPURT[[#This Row],[Beta Fa 300]] * Calculations_APPURT[[#This Row],[Lateral Offset]]/12</f>
        <v>0</v>
      </c>
      <c r="RE7" s="276">
        <f>IFERROR(1/Calculations_APPURT[[#This Row],[Brackets]],0) * cv_M/cv_F * Forces_APPURT[[#This Row],[Beta Fa 315]] * Calculations_APPURT[[#This Row],[Lateral Offset]]/12</f>
        <v>0</v>
      </c>
      <c r="RF7" s="276">
        <f>IFERROR(1/Calculations_APPURT[[#This Row],[Brackets]],0) * cv_M/cv_F * Forces_APPURT[[#This Row],[Beta Fa 330]] * Calculations_APPURT[[#This Row],[Lateral Offset]]/12</f>
        <v>0</v>
      </c>
      <c r="RG7" s="276">
        <f>IFERROR(1/Calculations_APPURT[[#This Row],[Brackets]],0) * cv_M/cv_F * Forces_APPURT[[#This Row],[Gamma Fa 0]] * Calculations_APPURT[[#This Row],[Lateral Offset]]/12</f>
        <v>0</v>
      </c>
      <c r="RH7" s="276">
        <f>IFERROR(1/Calculations_APPURT[[#This Row],[Brackets]],0) * cv_M/cv_F * Forces_APPURT[[#This Row],[Gamma Fa 30]] * Calculations_APPURT[[#This Row],[Lateral Offset]]/12</f>
        <v>0</v>
      </c>
      <c r="RI7" s="276">
        <f>IFERROR(1/Calculations_APPURT[[#This Row],[Brackets]],0) * cv_M/cv_F * Forces_APPURT[[#This Row],[Gamma Fa 45]] * Calculations_APPURT[[#This Row],[Lateral Offset]]/12</f>
        <v>0</v>
      </c>
      <c r="RJ7" s="276">
        <f>IFERROR(1/Calculations_APPURT[[#This Row],[Brackets]],0) * cv_M/cv_F * Forces_APPURT[[#This Row],[Gamma Fa 60]] * Calculations_APPURT[[#This Row],[Lateral Offset]]/12</f>
        <v>0</v>
      </c>
      <c r="RK7" s="276">
        <f>IFERROR(1/Calculations_APPURT[[#This Row],[Brackets]],0) * cv_M/cv_F * Forces_APPURT[[#This Row],[Gamma Fa 90]] * Calculations_APPURT[[#This Row],[Lateral Offset]]/12</f>
        <v>0</v>
      </c>
      <c r="RL7" s="276">
        <f>IFERROR(1/Calculations_APPURT[[#This Row],[Brackets]],0) * cv_M/cv_F * Forces_APPURT[[#This Row],[Gamma Fa 120]] * Calculations_APPURT[[#This Row],[Lateral Offset]]/12</f>
        <v>0</v>
      </c>
      <c r="RM7" s="276">
        <f>IFERROR(1/Calculations_APPURT[[#This Row],[Brackets]],0) * cv_M/cv_F * Forces_APPURT[[#This Row],[Gamma Fa 135]] * Calculations_APPURT[[#This Row],[Lateral Offset]]/12</f>
        <v>0</v>
      </c>
      <c r="RN7" s="276">
        <f>IFERROR(1/Calculations_APPURT[[#This Row],[Brackets]],0) * cv_M/cv_F * Forces_APPURT[[#This Row],[Gamma Fa 150]] * Calculations_APPURT[[#This Row],[Lateral Offset]]/12</f>
        <v>0</v>
      </c>
      <c r="RO7" s="276">
        <f>IFERROR(1/Calculations_APPURT[[#This Row],[Brackets]],0) * cv_M/cv_F * Forces_APPURT[[#This Row],[Gamma Fa 180]] * Calculations_APPURT[[#This Row],[Lateral Offset]]/12</f>
        <v>0</v>
      </c>
      <c r="RP7" s="276">
        <f>IFERROR(1/Calculations_APPURT[[#This Row],[Brackets]],0) * cv_M/cv_F * Forces_APPURT[[#This Row],[Gamma Fa 210]] * Calculations_APPURT[[#This Row],[Lateral Offset]]/12</f>
        <v>0</v>
      </c>
      <c r="RQ7" s="276">
        <f>IFERROR(1/Calculations_APPURT[[#This Row],[Brackets]],0) * cv_M/cv_F * Forces_APPURT[[#This Row],[Gamma Fa 225]] * Calculations_APPURT[[#This Row],[Lateral Offset]]/12</f>
        <v>0</v>
      </c>
      <c r="RR7" s="276">
        <f>IFERROR(1/Calculations_APPURT[[#This Row],[Brackets]],0) * cv_M/cv_F * Forces_APPURT[[#This Row],[Gamma Fa 240]] * Calculations_APPURT[[#This Row],[Lateral Offset]]/12</f>
        <v>0</v>
      </c>
      <c r="RS7" s="276">
        <f>IFERROR(1/Calculations_APPURT[[#This Row],[Brackets]],0) * cv_M/cv_F * Forces_APPURT[[#This Row],[Gamma Fa 270]] * Calculations_APPURT[[#This Row],[Lateral Offset]]/12</f>
        <v>0</v>
      </c>
      <c r="RT7" s="276">
        <f>IFERROR(1/Calculations_APPURT[[#This Row],[Brackets]],0) * cv_M/cv_F * Forces_APPURT[[#This Row],[Gamma Fa 300]] * Calculations_APPURT[[#This Row],[Lateral Offset]]/12</f>
        <v>0</v>
      </c>
      <c r="RU7" s="276">
        <f>IFERROR(1/Calculations_APPURT[[#This Row],[Brackets]],0) * cv_M/cv_F * Forces_APPURT[[#This Row],[Gamma Fa 315]] * Calculations_APPURT[[#This Row],[Lateral Offset]]/12</f>
        <v>0</v>
      </c>
      <c r="RV7" s="276">
        <f>IFERROR(1/Calculations_APPURT[[#This Row],[Brackets]],0) * cv_M/cv_F * Forces_APPURT[[#This Row],[Gamma Fa 330]] * Calculations_APPURT[[#This Row],[Lateral Offset]]/12</f>
        <v>0</v>
      </c>
      <c r="RW7" s="276">
        <f>IFERROR(1/Calculations_APPURT[[#This Row],[Brackets]],0) * cv_M/cv_F * Forces_APPURT[[#This Row],[Delta Fa 0]] * Calculations_APPURT[[#This Row],[Lateral Offset]]/12</f>
        <v>0</v>
      </c>
      <c r="RX7" s="276">
        <f>IFERROR(1/Calculations_APPURT[[#This Row],[Brackets]],0) * cv_M/cv_F * Forces_APPURT[[#This Row],[Delta Fa 30]] * Calculations_APPURT[[#This Row],[Lateral Offset]]/12</f>
        <v>0</v>
      </c>
      <c r="RY7" s="276">
        <f>IFERROR(1/Calculations_APPURT[[#This Row],[Brackets]],0) * cv_M/cv_F * Forces_APPURT[[#This Row],[Delta Fa 45]] * Calculations_APPURT[[#This Row],[Lateral Offset]]/12</f>
        <v>0</v>
      </c>
      <c r="RZ7" s="276">
        <f>IFERROR(1/Calculations_APPURT[[#This Row],[Brackets]],0) * cv_M/cv_F * Forces_APPURT[[#This Row],[Delta Fa 60]] * Calculations_APPURT[[#This Row],[Lateral Offset]]/12</f>
        <v>0</v>
      </c>
      <c r="SA7" s="276">
        <f>IFERROR(1/Calculations_APPURT[[#This Row],[Brackets]],0) * cv_M/cv_F * Forces_APPURT[[#This Row],[Delta Fa 90]] * Calculations_APPURT[[#This Row],[Lateral Offset]]/12</f>
        <v>0</v>
      </c>
      <c r="SB7" s="276">
        <f>IFERROR(1/Calculations_APPURT[[#This Row],[Brackets]],0) * cv_M/cv_F * Forces_APPURT[[#This Row],[Delta Fa 120]] * Calculations_APPURT[[#This Row],[Lateral Offset]]/12</f>
        <v>0</v>
      </c>
      <c r="SC7" s="276">
        <f>IFERROR(1/Calculations_APPURT[[#This Row],[Brackets]],0) * cv_M/cv_F * Forces_APPURT[[#This Row],[Delta Fa 135]] * Calculations_APPURT[[#This Row],[Lateral Offset]]/12</f>
        <v>0</v>
      </c>
      <c r="SD7" s="276">
        <f>IFERROR(1/Calculations_APPURT[[#This Row],[Brackets]],0) * cv_M/cv_F * Forces_APPURT[[#This Row],[Delta Fa 150]] * Calculations_APPURT[[#This Row],[Lateral Offset]]/12</f>
        <v>0</v>
      </c>
      <c r="SE7" s="276">
        <f>IFERROR(1/Calculations_APPURT[[#This Row],[Brackets]],0) * cv_M/cv_F * Forces_APPURT[[#This Row],[Delta Fa 180]] * Calculations_APPURT[[#This Row],[Lateral Offset]]/12</f>
        <v>0</v>
      </c>
      <c r="SF7" s="276">
        <f>IFERROR(1/Calculations_APPURT[[#This Row],[Brackets]],0) * cv_M/cv_F * Forces_APPURT[[#This Row],[Delta Fa 210]] * Calculations_APPURT[[#This Row],[Lateral Offset]]/12</f>
        <v>0</v>
      </c>
      <c r="SG7" s="276">
        <f>IFERROR(1/Calculations_APPURT[[#This Row],[Brackets]],0) * cv_M/cv_F * Forces_APPURT[[#This Row],[Delta Fa 225]] * Calculations_APPURT[[#This Row],[Lateral Offset]]/12</f>
        <v>0</v>
      </c>
      <c r="SH7" s="276">
        <f>IFERROR(1/Calculations_APPURT[[#This Row],[Brackets]],0) * cv_M/cv_F * Forces_APPURT[[#This Row],[Delta Fa 240]] * Calculations_APPURT[[#This Row],[Lateral Offset]]/12</f>
        <v>0</v>
      </c>
      <c r="SI7" s="276">
        <f>IFERROR(1/Calculations_APPURT[[#This Row],[Brackets]],0) * cv_M/cv_F * Forces_APPURT[[#This Row],[Delta Fa 270]] * Calculations_APPURT[[#This Row],[Lateral Offset]]/12</f>
        <v>0</v>
      </c>
      <c r="SJ7" s="276">
        <f>IFERROR(1/Calculations_APPURT[[#This Row],[Brackets]],0) * cv_M/cv_F * Forces_APPURT[[#This Row],[Delta Fa 300]] * Calculations_APPURT[[#This Row],[Lateral Offset]]/12</f>
        <v>0</v>
      </c>
      <c r="SK7" s="276">
        <f>IFERROR(1/Calculations_APPURT[[#This Row],[Brackets]],0) * cv_M/cv_F * Forces_APPURT[[#This Row],[Delta Fa 315]] * Calculations_APPURT[[#This Row],[Lateral Offset]]/12</f>
        <v>0</v>
      </c>
      <c r="SL7" s="276">
        <f>IFERROR(1/Calculations_APPURT[[#This Row],[Brackets]],0) * cv_M/cv_F * Forces_APPURT[[#This Row],[Delta Fa 330]] * Calculations_APPURT[[#This Row],[Lateral Offset]]/12</f>
        <v>0</v>
      </c>
      <c r="SM7" s="276">
        <f>IFERROR(1/Calculations_APPURT[[#This Row],[Brackets]],0) * cv_M/cv_F * Forces_APPURT[[#This Row],[Alpha Fai 0]] * Calculations_APPURT[[#This Row],[Lateral Offset]]/12</f>
        <v>0</v>
      </c>
      <c r="SN7" s="276">
        <f>IFERROR(1/Calculations_APPURT[[#This Row],[Brackets]],0) * cv_M/cv_F * Forces_APPURT[[#This Row],[Alpha Fai 30]] * Calculations_APPURT[[#This Row],[Lateral Offset]]/12</f>
        <v>0</v>
      </c>
      <c r="SO7" s="276">
        <f>IFERROR(1/Calculations_APPURT[[#This Row],[Brackets]],0) * cv_M/cv_F * Forces_APPURT[[#This Row],[Alpha Fai 45]] * Calculations_APPURT[[#This Row],[Lateral Offset]]/12</f>
        <v>0</v>
      </c>
      <c r="SP7" s="276">
        <f>IFERROR(1/Calculations_APPURT[[#This Row],[Brackets]],0) * cv_M/cv_F * Forces_APPURT[[#This Row],[Alpha Fai 60]] * Calculations_APPURT[[#This Row],[Lateral Offset]]/12</f>
        <v>0</v>
      </c>
      <c r="SQ7" s="276">
        <f>IFERROR(1/Calculations_APPURT[[#This Row],[Brackets]],0) * cv_M/cv_F * Forces_APPURT[[#This Row],[Alpha Fai 90]] * Calculations_APPURT[[#This Row],[Lateral Offset]]/12</f>
        <v>0</v>
      </c>
      <c r="SR7" s="276">
        <f>IFERROR(1/Calculations_APPURT[[#This Row],[Brackets]],0) * cv_M/cv_F * Forces_APPURT[[#This Row],[Alpha Fai 120]] * Calculations_APPURT[[#This Row],[Lateral Offset]]/12</f>
        <v>0</v>
      </c>
      <c r="SS7" s="276">
        <f>IFERROR(1/Calculations_APPURT[[#This Row],[Brackets]],0) * cv_M/cv_F * Forces_APPURT[[#This Row],[Alpha Fai 135]] * Calculations_APPURT[[#This Row],[Lateral Offset]]/12</f>
        <v>0</v>
      </c>
      <c r="ST7" s="276">
        <f>IFERROR(1/Calculations_APPURT[[#This Row],[Brackets]],0) * cv_M/cv_F * Forces_APPURT[[#This Row],[Alpha Fai 150]] * Calculations_APPURT[[#This Row],[Lateral Offset]]/12</f>
        <v>0</v>
      </c>
      <c r="SU7" s="276">
        <f>IFERROR(1/Calculations_APPURT[[#This Row],[Brackets]],0) * cv_M/cv_F * Forces_APPURT[[#This Row],[Alpha Fai 180]] * Calculations_APPURT[[#This Row],[Lateral Offset]]/12</f>
        <v>0</v>
      </c>
      <c r="SV7" s="276">
        <f>IFERROR(1/Calculations_APPURT[[#This Row],[Brackets]],0) * cv_M/cv_F * Forces_APPURT[[#This Row],[Alpha Fai 210]] * Calculations_APPURT[[#This Row],[Lateral Offset]]/12</f>
        <v>0</v>
      </c>
      <c r="SW7" s="276">
        <f>IFERROR(1/Calculations_APPURT[[#This Row],[Brackets]],0) * cv_M/cv_F * Forces_APPURT[[#This Row],[Alpha Fai 225]] * Calculations_APPURT[[#This Row],[Lateral Offset]]/12</f>
        <v>0</v>
      </c>
      <c r="SX7" s="276">
        <f>IFERROR(1/Calculations_APPURT[[#This Row],[Brackets]],0) * cv_M/cv_F * Forces_APPURT[[#This Row],[Alpha Fai 240]] * Calculations_APPURT[[#This Row],[Lateral Offset]]/12</f>
        <v>0</v>
      </c>
      <c r="SY7" s="276">
        <f>IFERROR(1/Calculations_APPURT[[#This Row],[Brackets]],0) * cv_M/cv_F * Forces_APPURT[[#This Row],[Alpha Fai 270]] * Calculations_APPURT[[#This Row],[Lateral Offset]]/12</f>
        <v>0</v>
      </c>
      <c r="SZ7" s="276">
        <f>IFERROR(1/Calculations_APPURT[[#This Row],[Brackets]],0) * cv_M/cv_F * Forces_APPURT[[#This Row],[Alpha Fai 300]] * Calculations_APPURT[[#This Row],[Lateral Offset]]/12</f>
        <v>0</v>
      </c>
      <c r="TA7" s="276">
        <f>IFERROR(1/Calculations_APPURT[[#This Row],[Brackets]],0) * cv_M/cv_F * Forces_APPURT[[#This Row],[Alpha Fai 315]] * Calculations_APPURT[[#This Row],[Lateral Offset]]/12</f>
        <v>0</v>
      </c>
      <c r="TB7" s="276">
        <f>IFERROR(1/Calculations_APPURT[[#This Row],[Brackets]],0) * cv_M/cv_F * Forces_APPURT[[#This Row],[Alpha Fai 330]] * Calculations_APPURT[[#This Row],[Lateral Offset]]/12</f>
        <v>0</v>
      </c>
      <c r="TC7" s="276">
        <f>IFERROR(1/Calculations_APPURT[[#This Row],[Brackets]],0) * cv_M/cv_F * Forces_APPURT[[#This Row],[Beta Fai 0]] * Calculations_APPURT[[#This Row],[Lateral Offset]]/12</f>
        <v>0</v>
      </c>
      <c r="TD7" s="276">
        <f>IFERROR(1/Calculations_APPURT[[#This Row],[Brackets]],0) * cv_M/cv_F * Forces_APPURT[[#This Row],[Beta Fai 30]] * Calculations_APPURT[[#This Row],[Lateral Offset]]/12</f>
        <v>0</v>
      </c>
      <c r="TE7" s="276">
        <f>IFERROR(1/Calculations_APPURT[[#This Row],[Brackets]],0) * cv_M/cv_F * Forces_APPURT[[#This Row],[Beta Fai 45]] * Calculations_APPURT[[#This Row],[Lateral Offset]]/12</f>
        <v>0</v>
      </c>
      <c r="TF7" s="276">
        <f>IFERROR(1/Calculations_APPURT[[#This Row],[Brackets]],0) * cv_M/cv_F * Forces_APPURT[[#This Row],[Beta Fai 60]] * Calculations_APPURT[[#This Row],[Lateral Offset]]/12</f>
        <v>0</v>
      </c>
      <c r="TG7" s="276">
        <f>IFERROR(1/Calculations_APPURT[[#This Row],[Brackets]],0) * cv_M/cv_F * Forces_APPURT[[#This Row],[Beta Fai 90]] * Calculations_APPURT[[#This Row],[Lateral Offset]]/12</f>
        <v>0</v>
      </c>
      <c r="TH7" s="276">
        <f>IFERROR(1/Calculations_APPURT[[#This Row],[Brackets]],0) * cv_M/cv_F * Forces_APPURT[[#This Row],[Beta Fai 120]] * Calculations_APPURT[[#This Row],[Lateral Offset]]/12</f>
        <v>0</v>
      </c>
      <c r="TI7" s="276">
        <f>IFERROR(1/Calculations_APPURT[[#This Row],[Brackets]],0) * cv_M/cv_F * Forces_APPURT[[#This Row],[Beta Fai 135]] * Calculations_APPURT[[#This Row],[Lateral Offset]]/12</f>
        <v>0</v>
      </c>
      <c r="TJ7" s="276">
        <f>IFERROR(1/Calculations_APPURT[[#This Row],[Brackets]],0) * cv_M/cv_F * Forces_APPURT[[#This Row],[Beta Fai 150]] * Calculations_APPURT[[#This Row],[Lateral Offset]]/12</f>
        <v>0</v>
      </c>
      <c r="TK7" s="276">
        <f>IFERROR(1/Calculations_APPURT[[#This Row],[Brackets]],0) * cv_M/cv_F * Forces_APPURT[[#This Row],[Beta Fai 180]] * Calculations_APPURT[[#This Row],[Lateral Offset]]/12</f>
        <v>0</v>
      </c>
      <c r="TL7" s="276">
        <f>IFERROR(1/Calculations_APPURT[[#This Row],[Brackets]],0) * cv_M/cv_F * Forces_APPURT[[#This Row],[Beta Fai 210]] * Calculations_APPURT[[#This Row],[Lateral Offset]]/12</f>
        <v>0</v>
      </c>
      <c r="TM7" s="276">
        <f>IFERROR(1/Calculations_APPURT[[#This Row],[Brackets]],0) * cv_M/cv_F * Forces_APPURT[[#This Row],[Beta Fai 225]] * Calculations_APPURT[[#This Row],[Lateral Offset]]/12</f>
        <v>0</v>
      </c>
      <c r="TN7" s="276">
        <f>IFERROR(1/Calculations_APPURT[[#This Row],[Brackets]],0) * cv_M/cv_F * Forces_APPURT[[#This Row],[Beta Fai 240]] * Calculations_APPURT[[#This Row],[Lateral Offset]]/12</f>
        <v>0</v>
      </c>
      <c r="TO7" s="276">
        <f>IFERROR(1/Calculations_APPURT[[#This Row],[Brackets]],0) * cv_M/cv_F * Forces_APPURT[[#This Row],[Beta Fai 270]] * Calculations_APPURT[[#This Row],[Lateral Offset]]/12</f>
        <v>0</v>
      </c>
      <c r="TP7" s="276">
        <f>IFERROR(1/Calculations_APPURT[[#This Row],[Brackets]],0) * cv_M/cv_F * Forces_APPURT[[#This Row],[Beta Fai 300]] * Calculations_APPURT[[#This Row],[Lateral Offset]]/12</f>
        <v>0</v>
      </c>
      <c r="TQ7" s="276">
        <f>IFERROR(1/Calculations_APPURT[[#This Row],[Brackets]],0) * cv_M/cv_F * Forces_APPURT[[#This Row],[Beta Fai 315]] * Calculations_APPURT[[#This Row],[Lateral Offset]]/12</f>
        <v>0</v>
      </c>
      <c r="TR7" s="276">
        <f>IFERROR(1/Calculations_APPURT[[#This Row],[Brackets]],0) * cv_M/cv_F * Forces_APPURT[[#This Row],[Beta Fai 330]] * Calculations_APPURT[[#This Row],[Lateral Offset]]/12</f>
        <v>0</v>
      </c>
      <c r="TS7" s="276">
        <f>IFERROR(1/Calculations_APPURT[[#This Row],[Brackets]],0) * cv_M/cv_F * Forces_APPURT[[#This Row],[Gamma Fai 0]] * Calculations_APPURT[[#This Row],[Lateral Offset]]/12</f>
        <v>0</v>
      </c>
      <c r="TT7" s="276">
        <f>IFERROR(1/Calculations_APPURT[[#This Row],[Brackets]],0) * cv_M/cv_F * Forces_APPURT[[#This Row],[Gamma Fai 30]] * Calculations_APPURT[[#This Row],[Lateral Offset]]/12</f>
        <v>0</v>
      </c>
      <c r="TU7" s="276">
        <f>IFERROR(1/Calculations_APPURT[[#This Row],[Brackets]],0) * cv_M/cv_F * Forces_APPURT[[#This Row],[Gamma Fai 45]] * Calculations_APPURT[[#This Row],[Lateral Offset]]/12</f>
        <v>0</v>
      </c>
      <c r="TV7" s="276">
        <f>IFERROR(1/Calculations_APPURT[[#This Row],[Brackets]],0) * cv_M/cv_F * Forces_APPURT[[#This Row],[Gamma Fai 60]] * Calculations_APPURT[[#This Row],[Lateral Offset]]/12</f>
        <v>0</v>
      </c>
      <c r="TW7" s="276">
        <f>IFERROR(1/Calculations_APPURT[[#This Row],[Brackets]],0) * cv_M/cv_F * Forces_APPURT[[#This Row],[Gamma Fai 90]] * Calculations_APPURT[[#This Row],[Lateral Offset]]/12</f>
        <v>0</v>
      </c>
      <c r="TX7" s="276">
        <f>IFERROR(1/Calculations_APPURT[[#This Row],[Brackets]],0) * cv_M/cv_F * Forces_APPURT[[#This Row],[Gamma Fai 120]] * Calculations_APPURT[[#This Row],[Lateral Offset]]/12</f>
        <v>0</v>
      </c>
      <c r="TY7" s="276">
        <f>IFERROR(1/Calculations_APPURT[[#This Row],[Brackets]],0) * cv_M/cv_F * Forces_APPURT[[#This Row],[Gamma Fai 135]] * Calculations_APPURT[[#This Row],[Lateral Offset]]/12</f>
        <v>0</v>
      </c>
      <c r="TZ7" s="276">
        <f>IFERROR(1/Calculations_APPURT[[#This Row],[Brackets]],0) * cv_M/cv_F * Forces_APPURT[[#This Row],[Gamma Fai 150]] * Calculations_APPURT[[#This Row],[Lateral Offset]]/12</f>
        <v>0</v>
      </c>
      <c r="UA7" s="276">
        <f>IFERROR(1/Calculations_APPURT[[#This Row],[Brackets]],0) * cv_M/cv_F * Forces_APPURT[[#This Row],[Gamma Fai 180]] * Calculations_APPURT[[#This Row],[Lateral Offset]]/12</f>
        <v>0</v>
      </c>
      <c r="UB7" s="276">
        <f>IFERROR(1/Calculations_APPURT[[#This Row],[Brackets]],0) * cv_M/cv_F * Forces_APPURT[[#This Row],[Gamma Fai 210]] * Calculations_APPURT[[#This Row],[Lateral Offset]]/12</f>
        <v>0</v>
      </c>
      <c r="UC7" s="276">
        <f>IFERROR(1/Calculations_APPURT[[#This Row],[Brackets]],0) * cv_M/cv_F * Forces_APPURT[[#This Row],[Gamma Fai 225]] * Calculations_APPURT[[#This Row],[Lateral Offset]]/12</f>
        <v>0</v>
      </c>
      <c r="UD7" s="276">
        <f>IFERROR(1/Calculations_APPURT[[#This Row],[Brackets]],0) * cv_M/cv_F * Forces_APPURT[[#This Row],[Gamma Fai 240]] * Calculations_APPURT[[#This Row],[Lateral Offset]]/12</f>
        <v>0</v>
      </c>
      <c r="UE7" s="276">
        <f>IFERROR(1/Calculations_APPURT[[#This Row],[Brackets]],0) * cv_M/cv_F * Forces_APPURT[[#This Row],[Gamma Fai 270]] * Calculations_APPURT[[#This Row],[Lateral Offset]]/12</f>
        <v>0</v>
      </c>
      <c r="UF7" s="276">
        <f>IFERROR(1/Calculations_APPURT[[#This Row],[Brackets]],0) * cv_M/cv_F * Forces_APPURT[[#This Row],[Gamma Fai 300]] * Calculations_APPURT[[#This Row],[Lateral Offset]]/12</f>
        <v>0</v>
      </c>
      <c r="UG7" s="276">
        <f>IFERROR(1/Calculations_APPURT[[#This Row],[Brackets]],0) * cv_M/cv_F * Forces_APPURT[[#This Row],[Gamma Fai 315]] * Calculations_APPURT[[#This Row],[Lateral Offset]]/12</f>
        <v>0</v>
      </c>
      <c r="UH7" s="276">
        <f>IFERROR(1/Calculations_APPURT[[#This Row],[Brackets]],0) * cv_M/cv_F * Forces_APPURT[[#This Row],[Gamma Fai 330]] * Calculations_APPURT[[#This Row],[Lateral Offset]]/12</f>
        <v>0</v>
      </c>
      <c r="UI7" s="276">
        <f>IFERROR(1/Calculations_APPURT[[#This Row],[Brackets]],0) * cv_M/cv_F * Forces_APPURT[[#This Row],[Delta Fai 0]] * Calculations_APPURT[[#This Row],[Lateral Offset]]/12</f>
        <v>0</v>
      </c>
      <c r="UJ7" s="276">
        <f>IFERROR(1/Calculations_APPURT[[#This Row],[Brackets]],0) * cv_M/cv_F * Forces_APPURT[[#This Row],[Delta Fai 30]] * Calculations_APPURT[[#This Row],[Lateral Offset]]/12</f>
        <v>0</v>
      </c>
      <c r="UK7" s="276">
        <f>IFERROR(1/Calculations_APPURT[[#This Row],[Brackets]],0) * cv_M/cv_F * Forces_APPURT[[#This Row],[Delta Fai 45]] * Calculations_APPURT[[#This Row],[Lateral Offset]]/12</f>
        <v>0</v>
      </c>
      <c r="UL7" s="276">
        <f>IFERROR(1/Calculations_APPURT[[#This Row],[Brackets]],0) * cv_M/cv_F * Forces_APPURT[[#This Row],[Delta Fai 60]] * Calculations_APPURT[[#This Row],[Lateral Offset]]/12</f>
        <v>0</v>
      </c>
      <c r="UM7" s="276">
        <f>IFERROR(1/Calculations_APPURT[[#This Row],[Brackets]],0) * cv_M/cv_F * Forces_APPURT[[#This Row],[Delta Fai 90]] * Calculations_APPURT[[#This Row],[Lateral Offset]]/12</f>
        <v>0</v>
      </c>
      <c r="UN7" s="276">
        <f>IFERROR(1/Calculations_APPURT[[#This Row],[Brackets]],0) * cv_M/cv_F * Forces_APPURT[[#This Row],[Delta Fai 120]] * Calculations_APPURT[[#This Row],[Lateral Offset]]/12</f>
        <v>0</v>
      </c>
      <c r="UO7" s="276">
        <f>IFERROR(1/Calculations_APPURT[[#This Row],[Brackets]],0) * cv_M/cv_F * Forces_APPURT[[#This Row],[Delta Fai 135]] * Calculations_APPURT[[#This Row],[Lateral Offset]]/12</f>
        <v>0</v>
      </c>
      <c r="UP7" s="276">
        <f>IFERROR(1/Calculations_APPURT[[#This Row],[Brackets]],0) * cv_M/cv_F * Forces_APPURT[[#This Row],[Delta Fai 150]] * Calculations_APPURT[[#This Row],[Lateral Offset]]/12</f>
        <v>0</v>
      </c>
      <c r="UQ7" s="276">
        <f>IFERROR(1/Calculations_APPURT[[#This Row],[Brackets]],0) * cv_M/cv_F * Forces_APPURT[[#This Row],[Delta Fai 180]] * Calculations_APPURT[[#This Row],[Lateral Offset]]/12</f>
        <v>0</v>
      </c>
      <c r="UR7" s="276">
        <f>IFERROR(1/Calculations_APPURT[[#This Row],[Brackets]],0) * cv_M/cv_F * Forces_APPURT[[#This Row],[Delta Fai 210]] * Calculations_APPURT[[#This Row],[Lateral Offset]]/12</f>
        <v>0</v>
      </c>
      <c r="US7" s="276">
        <f>IFERROR(1/Calculations_APPURT[[#This Row],[Brackets]],0) * cv_M/cv_F * Forces_APPURT[[#This Row],[Delta Fai 225]] * Calculations_APPURT[[#This Row],[Lateral Offset]]/12</f>
        <v>0</v>
      </c>
      <c r="UT7" s="276">
        <f>IFERROR(1/Calculations_APPURT[[#This Row],[Brackets]],0) * cv_M/cv_F * Forces_APPURT[[#This Row],[Delta Fai 240]] * Calculations_APPURT[[#This Row],[Lateral Offset]]/12</f>
        <v>0</v>
      </c>
      <c r="UU7" s="276">
        <f>IFERROR(1/Calculations_APPURT[[#This Row],[Brackets]],0) * cv_M/cv_F * Forces_APPURT[[#This Row],[Delta Fai 270]] * Calculations_APPURT[[#This Row],[Lateral Offset]]/12</f>
        <v>0</v>
      </c>
      <c r="UV7" s="276">
        <f>IFERROR(1/Calculations_APPURT[[#This Row],[Brackets]],0) * cv_M/cv_F * Forces_APPURT[[#This Row],[Delta Fai 300]] * Calculations_APPURT[[#This Row],[Lateral Offset]]/12</f>
        <v>0</v>
      </c>
      <c r="UW7" s="276">
        <f>IFERROR(1/Calculations_APPURT[[#This Row],[Brackets]],0) * cv_M/cv_F * Forces_APPURT[[#This Row],[Delta Fai 315]] * Calculations_APPURT[[#This Row],[Lateral Offset]]/12</f>
        <v>0</v>
      </c>
      <c r="UX7" s="276">
        <f>IFERROR(1/Calculations_APPURT[[#This Row],[Brackets]],0) * cv_M/cv_F * Forces_APPURT[[#This Row],[Delta Fai 330]] * Calculations_APPURT[[#This Row],[Lateral Offset]]/12</f>
        <v>0</v>
      </c>
      <c r="UY7" s="276">
        <f>Dimensions_APPURT[[#This Row],[Weight (lbf)]] * cv_F * AlphaSector[[#This Row],[Quantity]]</f>
        <v>0</v>
      </c>
      <c r="UZ7" s="276">
        <f>Dimensions_APPURT[[#This Row],[Weight (lbf)]] * cv_F * BetaSector[[#This Row],[Quantity]]</f>
        <v>0</v>
      </c>
      <c r="VA7" s="276">
        <f>Dimensions_APPURT[[#This Row],[Weight (lbf)]] * cv_F * GammaSector[[#This Row],[Quantity]]</f>
        <v>0</v>
      </c>
      <c r="VB7" s="276">
        <f>Dimensions_APPURT[[#This Row],[Weight (lbf)]] * cv_F * DeltaSector[[#This Row],[Quantity]]</f>
        <v>0</v>
      </c>
      <c r="VC7" s="209">
        <f>Dimensions_APPURT[[#This Row],[Weight (lbf)]] * cv_M * AlphaSector[[#This Row],[Quantity]] * Calculations_APPURT[[#This Row],[Horizontal Offset]]/12</f>
        <v>0</v>
      </c>
      <c r="VD7" s="209">
        <f>Dimensions_APPURT[[#This Row],[Weight (lbf)]] * cv_M * BetaSector[[#This Row],[Quantity]] * Calculations_APPURT[[#This Row],[Horizontal Offset]]/12</f>
        <v>0</v>
      </c>
      <c r="VE7" s="209">
        <f>Dimensions_APPURT[[#This Row],[Weight (lbf)]] * cv_M * GammaSector[[#This Row],[Quantity]] * Calculations_APPURT[[#This Row],[Horizontal Offset]]/12</f>
        <v>0</v>
      </c>
      <c r="VF7" s="209">
        <f>Dimensions_APPURT[[#This Row],[Weight (lbf)]] * cv_M * DeltaSector[[#This Row],[Quantity]] * Calculations_APPURT[[#This Row],[Horizontal Offset]]/12</f>
        <v>0</v>
      </c>
      <c r="VG7" s="276">
        <f>Hazards_APPURT[[#This Row],[Ice Weight]] * cv_F * AlphaSector[[#This Row],[Quantity]]</f>
        <v>0</v>
      </c>
      <c r="VH7" s="276">
        <f>Hazards_APPURT[[#This Row],[Ice Weight]] * cv_F * BetaSector[[#This Row],[Quantity]]</f>
        <v>0</v>
      </c>
      <c r="VI7" s="276">
        <f>Hazards_APPURT[[#This Row],[Ice Weight]] * cv_F * GammaSector[[#This Row],[Quantity]]</f>
        <v>0</v>
      </c>
      <c r="VJ7" s="276">
        <f>Hazards_APPURT[[#This Row],[Ice Weight]] * cv_F * DeltaSector[[#This Row],[Quantity]]</f>
        <v>0</v>
      </c>
      <c r="VK7" s="209">
        <f>Hazards_APPURT[[#This Row],[Ice Weight]] * cv_M * AlphaSector[[#This Row],[Quantity]] * Calculations_APPURT[[#This Row],[Horizontal Offset]]/12</f>
        <v>0</v>
      </c>
      <c r="VL7" s="209">
        <f>Hazards_APPURT[[#This Row],[Ice Weight]] * cv_M * BetaSector[[#This Row],[Quantity]] * Calculations_APPURT[[#This Row],[Horizontal Offset]]/12</f>
        <v>0</v>
      </c>
      <c r="VM7" s="209">
        <f>Hazards_APPURT[[#This Row],[Ice Weight]] * cv_M * GammaSector[[#This Row],[Quantity]] * Calculations_APPURT[[#This Row],[Horizontal Offset]]/12</f>
        <v>0</v>
      </c>
      <c r="VN7" s="209">
        <f>Hazards_APPURT[[#This Row],[Ice Weight]] * cv_M * DeltaSector[[#This Row],[Quantity]] * Calculations_APPURT[[#This Row],[Horizontal Offset]]/12</f>
        <v>0</v>
      </c>
    </row>
    <row r="8" spans="1:586" ht="15" customHeight="1" x14ac:dyDescent="0.2">
      <c r="A8" s="69"/>
      <c r="E8" s="265"/>
      <c r="L8" s="69"/>
      <c r="R8" s="70"/>
      <c r="T8" s="69"/>
      <c r="W8" s="69"/>
      <c r="Y8" s="69"/>
      <c r="Z8" s="70"/>
      <c r="AB8" s="69"/>
      <c r="AE8" s="69"/>
      <c r="AG8" s="69"/>
      <c r="AH8" s="70"/>
      <c r="AJ8" s="69"/>
      <c r="AM8" s="69"/>
      <c r="AO8" s="69"/>
      <c r="AP8" s="70"/>
      <c r="AR8" s="69"/>
      <c r="AV8" s="277" cm="1">
        <f t="array" ref="AV8">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8" s="209" cm="1">
        <f t="array" ref="AW8">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8" s="209" cm="1">
        <f t="array" ref="AX8">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8" s="209" cm="1">
        <f t="array" ref="AY8">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8"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8" s="209" cm="1">
        <f t="array" ref="BA8">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8" s="209">
        <f>IF(OR(Calculations_APPURT[[#This Row],[Shape]]="CFD",Calculations_APPURT[[#This Row],[Shape]]="CCI"),1,0.95)</f>
        <v>0.95</v>
      </c>
      <c r="BC8" s="209" cm="1">
        <f t="array" ref="BC8">0.00256 * Hazards_APPURT[[#This Row],[Kz]] * Kzt * Ks * I.wind * V^2 * IF(RIGHT(TIA,1)="G",1,Ke) * IF(OR(Calculations_APPURT[[#This Row],[Shape]]="CFD",Calculations_APPURT[[#This Row],[Shape]]="CCI"),1, Hazards_APPURT[[#This Row],[Kd]]) * Gh</f>
        <v>0</v>
      </c>
      <c r="BD8" s="209">
        <f>IF(Risk="I",0,MIN(((z+Calculations_APPURT[[#This Row],[Vertical Offset]]/12)/33)^(0.1),1.4))</f>
        <v>0</v>
      </c>
      <c r="BE8" s="209" cm="1">
        <f t="array" ref="BE8">IF(Risk="I",0,IF(TIA="ANSI/TIA-222-G",2,1*Kes.i)*ti*I.ice*Hazards_APPURT[[#This Row],[Kiz]]*(Kzt/Ks)^(0.35))</f>
        <v>0</v>
      </c>
      <c r="BF8" s="209" cm="1">
        <f t="array" ref="BF8">0.00256 * Hazards_APPURT[[#This Row],[Kz]] * Kzt * Ks * I.wind * Vi^2 * IF(RIGHT(TIA,1)="G",1,Ke) * IF(OR(Calculations_APPURT[[#This Row],[Shape]]="CFD",Calculations_APPURT[[#This Row],[Shape]]="CCI"),1, Kd) * Gh</f>
        <v>0</v>
      </c>
      <c r="BG8"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8"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8"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8"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8"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8"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8"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8"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8"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8"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8"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8"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8"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8"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8"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8"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8"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8"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8"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8"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8"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8"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8"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8"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8"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8"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8"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8"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8"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8"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8"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8"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8"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8"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8"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8"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8"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8"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8"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8"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8"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8"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8"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8"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8"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8"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8"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8"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8"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8"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8"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8"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8"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8"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8"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8"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8"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8"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8"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8"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8"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8"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8"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8"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8" s="338">
        <f>IFERROR(1/Calculations_APPURT[[#This Row],[Brackets]],0) * cv_F * AlphaSector[[#This Row],[Quantity]] * Hazards_APPURT[[#This Row],[qz]] * CaAa_APPURT[[#This Row],[Alpha 0]] * IF(Calculations_APPURT[[#This Row],[Shape]]="CFD",1, Ka)</f>
        <v>0</v>
      </c>
      <c r="GF8" s="338">
        <f>IFERROR(1/Calculations_APPURT[[#This Row],[Brackets]],0) * cv_F * AlphaSector[[#This Row],[Quantity]] * Hazards_APPURT[[#This Row],[qz]] * CaAa_APPURT[[#This Row],[Alpha 30]] * IF(Calculations_APPURT[[#This Row],[Shape]]="CFD",1, Ka)</f>
        <v>0</v>
      </c>
      <c r="GG8" s="338">
        <f>IFERROR(1/Calculations_APPURT[[#This Row],[Brackets]],0) * cv_F * AlphaSector[[#This Row],[Quantity]] * Hazards_APPURT[[#This Row],[qz]] * CaAa_APPURT[[#This Row],[Alpha 45]] * IF(Calculations_APPURT[[#This Row],[Shape]]="CFD",1, Ka)</f>
        <v>0</v>
      </c>
      <c r="GH8" s="338">
        <f>IFERROR(1/Calculations_APPURT[[#This Row],[Brackets]],0) * cv_F * AlphaSector[[#This Row],[Quantity]] * Hazards_APPURT[[#This Row],[qz]] * CaAa_APPURT[[#This Row],[Alpha 60]] * IF(Calculations_APPURT[[#This Row],[Shape]]="CFD",1, Ka)</f>
        <v>0</v>
      </c>
      <c r="GI8" s="338">
        <f>IFERROR(1/Calculations_APPURT[[#This Row],[Brackets]],0) * cv_F * AlphaSector[[#This Row],[Quantity]] * Hazards_APPURT[[#This Row],[qz]] * CaAa_APPURT[[#This Row],[Alpha 90]] * IF(Calculations_APPURT[[#This Row],[Shape]]="CFD",1, Ka)</f>
        <v>0</v>
      </c>
      <c r="GJ8" s="338">
        <f>IFERROR(1/Calculations_APPURT[[#This Row],[Brackets]],0) * cv_F * AlphaSector[[#This Row],[Quantity]] * Hazards_APPURT[[#This Row],[qz]] * CaAa_APPURT[[#This Row],[Alpha 120]] * IF(Calculations_APPURT[[#This Row],[Shape]]="CFD",1, Ka)</f>
        <v>0</v>
      </c>
      <c r="GK8" s="338">
        <f>IFERROR(1/Calculations_APPURT[[#This Row],[Brackets]],0) * cv_F * AlphaSector[[#This Row],[Quantity]] * Hazards_APPURT[[#This Row],[qz]] * CaAa_APPURT[[#This Row],[Alpha 135]] * IF(Calculations_APPURT[[#This Row],[Shape]]="CFD",1, Ka)</f>
        <v>0</v>
      </c>
      <c r="GL8" s="338">
        <f>IFERROR(1/Calculations_APPURT[[#This Row],[Brackets]],0) * cv_F * AlphaSector[[#This Row],[Quantity]] * Hazards_APPURT[[#This Row],[qz]] * CaAa_APPURT[[#This Row],[Alpha 150]] * IF(Calculations_APPURT[[#This Row],[Shape]]="CFD",1, Ka)</f>
        <v>0</v>
      </c>
      <c r="GM8" s="338">
        <f>IFERROR(1/Calculations_APPURT[[#This Row],[Brackets]],0) * cv_F * AlphaSector[[#This Row],[Quantity]] * Hazards_APPURT[[#This Row],[qz]] * CaAa_APPURT[[#This Row],[Alpha 180]] * IF(Calculations_APPURT[[#This Row],[Shape]]="CFD",1, Ka)</f>
        <v>0</v>
      </c>
      <c r="GN8" s="338">
        <f>IFERROR(1/Calculations_APPURT[[#This Row],[Brackets]],0) * cv_F * AlphaSector[[#This Row],[Quantity]] * Hazards_APPURT[[#This Row],[qz]] * CaAa_APPURT[[#This Row],[Alpha 210]] * IF(Calculations_APPURT[[#This Row],[Shape]]="CFD",1, Ka)</f>
        <v>0</v>
      </c>
      <c r="GO8" s="338">
        <f>IFERROR(1/Calculations_APPURT[[#This Row],[Brackets]],0) * cv_F * AlphaSector[[#This Row],[Quantity]] * Hazards_APPURT[[#This Row],[qz]] * CaAa_APPURT[[#This Row],[Alpha 225]] * IF(Calculations_APPURT[[#This Row],[Shape]]="CFD",1, Ka)</f>
        <v>0</v>
      </c>
      <c r="GP8" s="338">
        <f>IFERROR(1/Calculations_APPURT[[#This Row],[Brackets]],0) * cv_F * AlphaSector[[#This Row],[Quantity]] * Hazards_APPURT[[#This Row],[qz]] * CaAa_APPURT[[#This Row],[Alpha 240]] * IF(Calculations_APPURT[[#This Row],[Shape]]="CFD",1, Ka)</f>
        <v>0</v>
      </c>
      <c r="GQ8" s="338">
        <f>IFERROR(1/Calculations_APPURT[[#This Row],[Brackets]],0) * cv_F * AlphaSector[[#This Row],[Quantity]] * Hazards_APPURT[[#This Row],[qz]] * CaAa_APPURT[[#This Row],[Alpha 270]] * IF(Calculations_APPURT[[#This Row],[Shape]]="CFD",1, Ka)</f>
        <v>0</v>
      </c>
      <c r="GR8" s="338">
        <f>IFERROR(1/Calculations_APPURT[[#This Row],[Brackets]],0) * cv_F * AlphaSector[[#This Row],[Quantity]] * Hazards_APPURT[[#This Row],[qz]] * CaAa_APPURT[[#This Row],[Alpha 300]] * IF(Calculations_APPURT[[#This Row],[Shape]]="CFD",1, Ka)</f>
        <v>0</v>
      </c>
      <c r="GS8" s="338">
        <f>IFERROR(1/Calculations_APPURT[[#This Row],[Brackets]],0) * cv_F * AlphaSector[[#This Row],[Quantity]] * Hazards_APPURT[[#This Row],[qz]] * CaAa_APPURT[[#This Row],[Alpha 315]] * IF(Calculations_APPURT[[#This Row],[Shape]]="CFD",1, Ka)</f>
        <v>0</v>
      </c>
      <c r="GT8" s="338">
        <f>IFERROR(1/Calculations_APPURT[[#This Row],[Brackets]],0) * cv_F * AlphaSector[[#This Row],[Quantity]] * Hazards_APPURT[[#This Row],[qz]] * CaAa_APPURT[[#This Row],[Alpha 330]] * IF(Calculations_APPURT[[#This Row],[Shape]]="CFD",1, Ka)</f>
        <v>0</v>
      </c>
      <c r="GU8" s="276">
        <f>IFERROR(1/Calculations_APPURT[[#This Row],[Brackets]],0) * cv_F * BetaSector[[#This Row],[Quantity]] * Hazards_APPURT[[#This Row],[qz]] * CaAa_APPURT[[#This Row],[Beta 0]] * IF(Calculations_APPURT[[#This Row],[Shape]]="CFD",1, Ka)</f>
        <v>0</v>
      </c>
      <c r="GV8" s="276">
        <f>IFERROR(1/Calculations_APPURT[[#This Row],[Brackets]],0) * cv_F * BetaSector[[#This Row],[Quantity]] * Hazards_APPURT[[#This Row],[qz]] * CaAa_APPURT[[#This Row],[Beta 30]] * IF(Calculations_APPURT[[#This Row],[Shape]]="CFD",1, Ka)</f>
        <v>0</v>
      </c>
      <c r="GW8" s="276">
        <f>IFERROR(1/Calculations_APPURT[[#This Row],[Brackets]],0) * cv_F * BetaSector[[#This Row],[Quantity]] * Hazards_APPURT[[#This Row],[qz]] * CaAa_APPURT[[#This Row],[Beta 45]] * IF(Calculations_APPURT[[#This Row],[Shape]]="CFD",1, Ka)</f>
        <v>0</v>
      </c>
      <c r="GX8" s="276">
        <f>IFERROR(1/Calculations_APPURT[[#This Row],[Brackets]],0) * cv_F * BetaSector[[#This Row],[Quantity]] * Hazards_APPURT[[#This Row],[qz]] * CaAa_APPURT[[#This Row],[Beta 60]] * IF(Calculations_APPURT[[#This Row],[Shape]]="CFD",1, Ka)</f>
        <v>0</v>
      </c>
      <c r="GY8" s="276">
        <f>IFERROR(1/Calculations_APPURT[[#This Row],[Brackets]],0) * cv_F * BetaSector[[#This Row],[Quantity]] * Hazards_APPURT[[#This Row],[qz]] * CaAa_APPURT[[#This Row],[Beta 90]] * IF(Calculations_APPURT[[#This Row],[Shape]]="CFD",1, Ka)</f>
        <v>0</v>
      </c>
      <c r="GZ8" s="276">
        <f>IFERROR(1/Calculations_APPURT[[#This Row],[Brackets]],0) * cv_F * BetaSector[[#This Row],[Quantity]] * Hazards_APPURT[[#This Row],[qz]] * CaAa_APPURT[[#This Row],[Beta 120]] * IF(Calculations_APPURT[[#This Row],[Shape]]="CFD",1, Ka)</f>
        <v>0</v>
      </c>
      <c r="HA8" s="276">
        <f>IFERROR(1/Calculations_APPURT[[#This Row],[Brackets]],0) * cv_F * BetaSector[[#This Row],[Quantity]] * Hazards_APPURT[[#This Row],[qz]] * CaAa_APPURT[[#This Row],[Beta 135]] * IF(Calculations_APPURT[[#This Row],[Shape]]="CFD",1, Ka)</f>
        <v>0</v>
      </c>
      <c r="HB8" s="276">
        <f>IFERROR(1/Calculations_APPURT[[#This Row],[Brackets]],0) * cv_F * BetaSector[[#This Row],[Quantity]] * Hazards_APPURT[[#This Row],[qz]] * CaAa_APPURT[[#This Row],[Beta 150]] * IF(Calculations_APPURT[[#This Row],[Shape]]="CFD",1, Ka)</f>
        <v>0</v>
      </c>
      <c r="HC8" s="276">
        <f>IFERROR(1/Calculations_APPURT[[#This Row],[Brackets]],0) * cv_F * BetaSector[[#This Row],[Quantity]] * Hazards_APPURT[[#This Row],[qz]] * CaAa_APPURT[[#This Row],[Beta 180]] * IF(Calculations_APPURT[[#This Row],[Shape]]="CFD",1, Ka)</f>
        <v>0</v>
      </c>
      <c r="HD8" s="276">
        <f>IFERROR(1/Calculations_APPURT[[#This Row],[Brackets]],0) * cv_F * BetaSector[[#This Row],[Quantity]] * Hazards_APPURT[[#This Row],[qz]] * CaAa_APPURT[[#This Row],[Beta 210]] * IF(Calculations_APPURT[[#This Row],[Shape]]="CFD",1, Ka)</f>
        <v>0</v>
      </c>
      <c r="HE8" s="276">
        <f>IFERROR(1/Calculations_APPURT[[#This Row],[Brackets]],0) * cv_F * BetaSector[[#This Row],[Quantity]] * Hazards_APPURT[[#This Row],[qz]] * CaAa_APPURT[[#This Row],[Beta 225]] * IF(Calculations_APPURT[[#This Row],[Shape]]="CFD",1, Ka)</f>
        <v>0</v>
      </c>
      <c r="HF8" s="276">
        <f>IFERROR(1/Calculations_APPURT[[#This Row],[Brackets]],0) * cv_F * BetaSector[[#This Row],[Quantity]] * Hazards_APPURT[[#This Row],[qz]] * CaAa_APPURT[[#This Row],[Beta 240]] * IF(Calculations_APPURT[[#This Row],[Shape]]="CFD",1, Ka)</f>
        <v>0</v>
      </c>
      <c r="HG8" s="276">
        <f>IFERROR(1/Calculations_APPURT[[#This Row],[Brackets]],0) * cv_F * BetaSector[[#This Row],[Quantity]] * Hazards_APPURT[[#This Row],[qz]] * CaAa_APPURT[[#This Row],[Beta 270]] * IF(Calculations_APPURT[[#This Row],[Shape]]="CFD",1, Ka)</f>
        <v>0</v>
      </c>
      <c r="HH8" s="276">
        <f>IFERROR(1/Calculations_APPURT[[#This Row],[Brackets]],0) * cv_F * BetaSector[[#This Row],[Quantity]] * Hazards_APPURT[[#This Row],[qz]] * CaAa_APPURT[[#This Row],[Beta 300]] * IF(Calculations_APPURT[[#This Row],[Shape]]="CFD",1, Ka)</f>
        <v>0</v>
      </c>
      <c r="HI8" s="276">
        <f>IFERROR(1/Calculations_APPURT[[#This Row],[Brackets]],0) * cv_F * BetaSector[[#This Row],[Quantity]] * Hazards_APPURT[[#This Row],[qz]] * CaAa_APPURT[[#This Row],[Beta 315]] * IF(Calculations_APPURT[[#This Row],[Shape]]="CFD",1, Ka)</f>
        <v>0</v>
      </c>
      <c r="HJ8" s="276">
        <f>IFERROR(1/Calculations_APPURT[[#This Row],[Brackets]],0) * cv_F * BetaSector[[#This Row],[Quantity]] * Hazards_APPURT[[#This Row],[qz]] * CaAa_APPURT[[#This Row],[Beta 330]] * IF(Calculations_APPURT[[#This Row],[Shape]]="CFD",1, Ka)</f>
        <v>0</v>
      </c>
      <c r="HK8" s="338">
        <f>IFERROR(1/Calculations_APPURT[[#This Row],[Brackets]],0) * cv_F * GammaSector[[#This Row],[Quantity]] * Hazards_APPURT[[#This Row],[qz]] * CaAa_APPURT[[#This Row],[Gamma 0]] * IF(Calculations_APPURT[[#This Row],[Shape]]="CFD",1, Ka)</f>
        <v>0</v>
      </c>
      <c r="HL8" s="338">
        <f>IFERROR(1/Calculations_APPURT[[#This Row],[Brackets]],0) * cv_F * GammaSector[[#This Row],[Quantity]] * Hazards_APPURT[[#This Row],[qz]] * CaAa_APPURT[[#This Row],[Gamma 30]] * IF(Calculations_APPURT[[#This Row],[Shape]]="CFD",1, Ka)</f>
        <v>0</v>
      </c>
      <c r="HM8" s="338">
        <f>IFERROR(1/Calculations_APPURT[[#This Row],[Brackets]],0) * cv_F * GammaSector[[#This Row],[Quantity]] * Hazards_APPURT[[#This Row],[qz]] * CaAa_APPURT[[#This Row],[Gamma 45]] * IF(Calculations_APPURT[[#This Row],[Shape]]="CFD",1, Ka)</f>
        <v>0</v>
      </c>
      <c r="HN8" s="338">
        <f>IFERROR(1/Calculations_APPURT[[#This Row],[Brackets]],0) * cv_F * GammaSector[[#This Row],[Quantity]] * Hazards_APPURT[[#This Row],[qz]] * CaAa_APPURT[[#This Row],[Gamma 60]] * IF(Calculations_APPURT[[#This Row],[Shape]]="CFD",1, Ka)</f>
        <v>0</v>
      </c>
      <c r="HO8" s="338">
        <f>IFERROR(1/Calculations_APPURT[[#This Row],[Brackets]],0) * cv_F * GammaSector[[#This Row],[Quantity]] * Hazards_APPURT[[#This Row],[qz]] * CaAa_APPURT[[#This Row],[Gamma 90]] * IF(Calculations_APPURT[[#This Row],[Shape]]="CFD",1, Ka)</f>
        <v>0</v>
      </c>
      <c r="HP8" s="338">
        <f>IFERROR(1/Calculations_APPURT[[#This Row],[Brackets]],0) * cv_F * GammaSector[[#This Row],[Quantity]] * Hazards_APPURT[[#This Row],[qz]] * CaAa_APPURT[[#This Row],[Gamma 120]] * IF(Calculations_APPURT[[#This Row],[Shape]]="CFD",1, Ka)</f>
        <v>0</v>
      </c>
      <c r="HQ8" s="338">
        <f>IFERROR(1/Calculations_APPURT[[#This Row],[Brackets]],0) * cv_F * GammaSector[[#This Row],[Quantity]] * Hazards_APPURT[[#This Row],[qz]] * CaAa_APPURT[[#This Row],[Gamma 135]] * IF(Calculations_APPURT[[#This Row],[Shape]]="CFD",1, Ka)</f>
        <v>0</v>
      </c>
      <c r="HR8" s="338">
        <f>IFERROR(1/Calculations_APPURT[[#This Row],[Brackets]],0) * cv_F * GammaSector[[#This Row],[Quantity]] * Hazards_APPURT[[#This Row],[qz]] * CaAa_APPURT[[#This Row],[Gamma 150]] * IF(Calculations_APPURT[[#This Row],[Shape]]="CFD",1, Ka)</f>
        <v>0</v>
      </c>
      <c r="HS8" s="338">
        <f>IFERROR(1/Calculations_APPURT[[#This Row],[Brackets]],0) * cv_F * GammaSector[[#This Row],[Quantity]] * Hazards_APPURT[[#This Row],[qz]] * CaAa_APPURT[[#This Row],[Gamma 180]] * IF(Calculations_APPURT[[#This Row],[Shape]]="CFD",1, Ka)</f>
        <v>0</v>
      </c>
      <c r="HT8" s="338">
        <f>IFERROR(1/Calculations_APPURT[[#This Row],[Brackets]],0) * cv_F * GammaSector[[#This Row],[Quantity]] * Hazards_APPURT[[#This Row],[qz]] * CaAa_APPURT[[#This Row],[Gamma 210]] * IF(Calculations_APPURT[[#This Row],[Shape]]="CFD",1, Ka)</f>
        <v>0</v>
      </c>
      <c r="HU8" s="338">
        <f>IFERROR(1/Calculations_APPURT[[#This Row],[Brackets]],0) * cv_F * GammaSector[[#This Row],[Quantity]] * Hazards_APPURT[[#This Row],[qz]] * CaAa_APPURT[[#This Row],[Gamma 225]] * IF(Calculations_APPURT[[#This Row],[Shape]]="CFD",1, Ka)</f>
        <v>0</v>
      </c>
      <c r="HV8" s="338">
        <f>IFERROR(1/Calculations_APPURT[[#This Row],[Brackets]],0) * cv_F * GammaSector[[#This Row],[Quantity]] * Hazards_APPURT[[#This Row],[qz]] * CaAa_APPURT[[#This Row],[Gamma 240]] * IF(Calculations_APPURT[[#This Row],[Shape]]="CFD",1, Ka)</f>
        <v>0</v>
      </c>
      <c r="HW8" s="338">
        <f>IFERROR(1/Calculations_APPURT[[#This Row],[Brackets]],0) * cv_F * GammaSector[[#This Row],[Quantity]] * Hazards_APPURT[[#This Row],[qz]] * CaAa_APPURT[[#This Row],[Gamma 270]] * IF(Calculations_APPURT[[#This Row],[Shape]]="CFD",1, Ka)</f>
        <v>0</v>
      </c>
      <c r="HX8" s="338">
        <f>IFERROR(1/Calculations_APPURT[[#This Row],[Brackets]],0) * cv_F * GammaSector[[#This Row],[Quantity]] * Hazards_APPURT[[#This Row],[qz]] * CaAa_APPURT[[#This Row],[Gamma 300]] * IF(Calculations_APPURT[[#This Row],[Shape]]="CFD",1, Ka)</f>
        <v>0</v>
      </c>
      <c r="HY8" s="338">
        <f>IFERROR(1/Calculations_APPURT[[#This Row],[Brackets]],0) * cv_F * GammaSector[[#This Row],[Quantity]] * Hazards_APPURT[[#This Row],[qz]] * CaAa_APPURT[[#This Row],[Gamma 315]] * IF(Calculations_APPURT[[#This Row],[Shape]]="CFD",1, Ka)</f>
        <v>0</v>
      </c>
      <c r="HZ8" s="338">
        <f>IFERROR(1/Calculations_APPURT[[#This Row],[Brackets]],0) * cv_F * GammaSector[[#This Row],[Quantity]] * Hazards_APPURT[[#This Row],[qz]] * CaAa_APPURT[[#This Row],[Gamma 330]] * IF(Calculations_APPURT[[#This Row],[Shape]]="CFD",1, Ka)</f>
        <v>0</v>
      </c>
      <c r="IA8" s="276">
        <f>IFERROR(1/Calculations_APPURT[[#This Row],[Brackets]],0) * cv_F * DeltaSector[[#This Row],[Quantity]] * Hazards_APPURT[[#This Row],[qz]] * CaAa_APPURT[[#This Row],[Delta 0]] * IF(Calculations_APPURT[[#This Row],[Shape]]="CFD",1, Ka)</f>
        <v>0</v>
      </c>
      <c r="IB8" s="276">
        <f>IFERROR(1/Calculations_APPURT[[#This Row],[Brackets]],0) * cv_F * DeltaSector[[#This Row],[Quantity]] * Hazards_APPURT[[#This Row],[qz]] * CaAa_APPURT[[#This Row],[Delta 30]] * IF(Calculations_APPURT[[#This Row],[Shape]]="CFD",1, Ka)</f>
        <v>0</v>
      </c>
      <c r="IC8" s="276">
        <f>IFERROR(1/Calculations_APPURT[[#This Row],[Brackets]],0) * cv_F * DeltaSector[[#This Row],[Quantity]] * Hazards_APPURT[[#This Row],[qz]] * CaAa_APPURT[[#This Row],[Delta 45]] * IF(Calculations_APPURT[[#This Row],[Shape]]="CFD",1, Ka)</f>
        <v>0</v>
      </c>
      <c r="ID8" s="276">
        <f>IFERROR(1/Calculations_APPURT[[#This Row],[Brackets]],0) * cv_F * DeltaSector[[#This Row],[Quantity]] * Hazards_APPURT[[#This Row],[qz]] * CaAa_APPURT[[#This Row],[Delta 60]] * IF(Calculations_APPURT[[#This Row],[Shape]]="CFD",1, Ka)</f>
        <v>0</v>
      </c>
      <c r="IE8" s="276">
        <f>IFERROR(1/Calculations_APPURT[[#This Row],[Brackets]],0) * cv_F * DeltaSector[[#This Row],[Quantity]] * Hazards_APPURT[[#This Row],[qz]] * CaAa_APPURT[[#This Row],[Delta 90]] * IF(Calculations_APPURT[[#This Row],[Shape]]="CFD",1, Ka)</f>
        <v>0</v>
      </c>
      <c r="IF8" s="276">
        <f>IFERROR(1/Calculations_APPURT[[#This Row],[Brackets]],0) * cv_F * DeltaSector[[#This Row],[Quantity]] * Hazards_APPURT[[#This Row],[qz]] * CaAa_APPURT[[#This Row],[Delta 120]] * IF(Calculations_APPURT[[#This Row],[Shape]]="CFD",1, Ka)</f>
        <v>0</v>
      </c>
      <c r="IG8" s="276">
        <f>IFERROR(1/Calculations_APPURT[[#This Row],[Brackets]],0) * cv_F * DeltaSector[[#This Row],[Quantity]] * Hazards_APPURT[[#This Row],[qz]] * CaAa_APPURT[[#This Row],[Delta 135]] * IF(Calculations_APPURT[[#This Row],[Shape]]="CFD",1, Ka)</f>
        <v>0</v>
      </c>
      <c r="IH8" s="276">
        <f>IFERROR(1/Calculations_APPURT[[#This Row],[Brackets]],0) * cv_F * DeltaSector[[#This Row],[Quantity]] * Hazards_APPURT[[#This Row],[qz]] * CaAa_APPURT[[#This Row],[Delta 150]] * IF(Calculations_APPURT[[#This Row],[Shape]]="CFD",1, Ka)</f>
        <v>0</v>
      </c>
      <c r="II8" s="276">
        <f>IFERROR(1/Calculations_APPURT[[#This Row],[Brackets]],0) * cv_F * DeltaSector[[#This Row],[Quantity]] * Hazards_APPURT[[#This Row],[qz]] * CaAa_APPURT[[#This Row],[Delta 180]] * IF(Calculations_APPURT[[#This Row],[Shape]]="CFD",1, Ka)</f>
        <v>0</v>
      </c>
      <c r="IJ8" s="276">
        <f>IFERROR(1/Calculations_APPURT[[#This Row],[Brackets]],0) * cv_F * DeltaSector[[#This Row],[Quantity]] * Hazards_APPURT[[#This Row],[qz]] * CaAa_APPURT[[#This Row],[Delta 210]] * IF(Calculations_APPURT[[#This Row],[Shape]]="CFD",1, Ka)</f>
        <v>0</v>
      </c>
      <c r="IK8" s="276">
        <f>IFERROR(1/Calculations_APPURT[[#This Row],[Brackets]],0) * cv_F * DeltaSector[[#This Row],[Quantity]] * Hazards_APPURT[[#This Row],[qz]] * CaAa_APPURT[[#This Row],[Delta 225]] * IF(Calculations_APPURT[[#This Row],[Shape]]="CFD",1, Ka)</f>
        <v>0</v>
      </c>
      <c r="IL8" s="276">
        <f>IFERROR(1/Calculations_APPURT[[#This Row],[Brackets]],0) * cv_F * DeltaSector[[#This Row],[Quantity]] * Hazards_APPURT[[#This Row],[qz]] * CaAa_APPURT[[#This Row],[Delta 240]] * IF(Calculations_APPURT[[#This Row],[Shape]]="CFD",1, Ka)</f>
        <v>0</v>
      </c>
      <c r="IM8" s="276">
        <f>IFERROR(1/Calculations_APPURT[[#This Row],[Brackets]],0) * cv_F * DeltaSector[[#This Row],[Quantity]] * Hazards_APPURT[[#This Row],[qz]] * CaAa_APPURT[[#This Row],[Delta 270]] * IF(Calculations_APPURT[[#This Row],[Shape]]="CFD",1, Ka)</f>
        <v>0</v>
      </c>
      <c r="IN8" s="276">
        <f>IFERROR(1/Calculations_APPURT[[#This Row],[Brackets]],0) * cv_F * DeltaSector[[#This Row],[Quantity]] * Hazards_APPURT[[#This Row],[qz]] * CaAa_APPURT[[#This Row],[Delta 300]] * IF(Calculations_APPURT[[#This Row],[Shape]]="CFD",1, Ka)</f>
        <v>0</v>
      </c>
      <c r="IO8" s="276">
        <f>IFERROR(1/Calculations_APPURT[[#This Row],[Brackets]],0) * cv_F * DeltaSector[[#This Row],[Quantity]] * Hazards_APPURT[[#This Row],[qz]] * CaAa_APPURT[[#This Row],[Delta 315]] * IF(Calculations_APPURT[[#This Row],[Shape]]="CFD",1, Ka)</f>
        <v>0</v>
      </c>
      <c r="IP8" s="276">
        <f>IFERROR(1/Calculations_APPURT[[#This Row],[Brackets]],0) * cv_F * DeltaSector[[#This Row],[Quantity]] * Hazards_APPURT[[#This Row],[qz]] * CaAa_APPURT[[#This Row],[Delta 330]] * IF(Calculations_APPURT[[#This Row],[Shape]]="CFD",1, Ka)</f>
        <v>0</v>
      </c>
      <c r="IQ8" s="338">
        <f>IFERROR(1/Calculations_APPURT[[#This Row],[Brackets]],0) * cv_F * AlphaSector[[#This Row],[Quantity]] * Hazards_APPURT[[#This Row],[qiz]] * CaAa_APPURT[[#This Row],[Alpha Ice 0]]</f>
        <v>0</v>
      </c>
      <c r="IR8" s="338">
        <f>IFERROR(1/Calculations_APPURT[[#This Row],[Brackets]],0) * cv_F * AlphaSector[[#This Row],[Quantity]] * Hazards_APPURT[[#This Row],[qiz]] * CaAa_APPURT[[#This Row],[Alpha Ice 30]]</f>
        <v>0</v>
      </c>
      <c r="IS8" s="338">
        <f>IFERROR(1/Calculations_APPURT[[#This Row],[Brackets]],0) * cv_F * AlphaSector[[#This Row],[Quantity]] * Hazards_APPURT[[#This Row],[qiz]] * CaAa_APPURT[[#This Row],[Alpha Ice 45]]</f>
        <v>0</v>
      </c>
      <c r="IT8" s="338">
        <f>IFERROR(1/Calculations_APPURT[[#This Row],[Brackets]],0) * cv_F * AlphaSector[[#This Row],[Quantity]] * Hazards_APPURT[[#This Row],[qiz]] * CaAa_APPURT[[#This Row],[Alpha Ice 60]]</f>
        <v>0</v>
      </c>
      <c r="IU8" s="338">
        <f>IFERROR(1/Calculations_APPURT[[#This Row],[Brackets]],0) * cv_F * AlphaSector[[#This Row],[Quantity]] * Hazards_APPURT[[#This Row],[qiz]] * CaAa_APPURT[[#This Row],[Alpha Ice 90]]</f>
        <v>0</v>
      </c>
      <c r="IV8" s="338">
        <f>IFERROR(1/Calculations_APPURT[[#This Row],[Brackets]],0) * cv_F * AlphaSector[[#This Row],[Quantity]] * Hazards_APPURT[[#This Row],[qiz]] * CaAa_APPURT[[#This Row],[Alpha Ice 120]]</f>
        <v>0</v>
      </c>
      <c r="IW8" s="338">
        <f>IFERROR(1/Calculations_APPURT[[#This Row],[Brackets]],0) * cv_F * AlphaSector[[#This Row],[Quantity]] * Hazards_APPURT[[#This Row],[qiz]] * CaAa_APPURT[[#This Row],[Alpha Ice 135]]</f>
        <v>0</v>
      </c>
      <c r="IX8" s="338">
        <f>IFERROR(1/Calculations_APPURT[[#This Row],[Brackets]],0) * cv_F * AlphaSector[[#This Row],[Quantity]] * Hazards_APPURT[[#This Row],[qiz]] * CaAa_APPURT[[#This Row],[Alpha Ice 150]]</f>
        <v>0</v>
      </c>
      <c r="IY8" s="338">
        <f>IFERROR(1/Calculations_APPURT[[#This Row],[Brackets]],0) * cv_F * AlphaSector[[#This Row],[Quantity]] * Hazards_APPURT[[#This Row],[qiz]] * CaAa_APPURT[[#This Row],[Alpha Ice 180]]</f>
        <v>0</v>
      </c>
      <c r="IZ8" s="338">
        <f>IFERROR(1/Calculations_APPURT[[#This Row],[Brackets]],0) * cv_F * AlphaSector[[#This Row],[Quantity]] * Hazards_APPURT[[#This Row],[qiz]] * CaAa_APPURT[[#This Row],[Alpha Ice 210]]</f>
        <v>0</v>
      </c>
      <c r="JA8" s="338">
        <f>IFERROR(1/Calculations_APPURT[[#This Row],[Brackets]],0) * cv_F * AlphaSector[[#This Row],[Quantity]] * Hazards_APPURT[[#This Row],[qiz]] * CaAa_APPURT[[#This Row],[Alpha Ice 225]]</f>
        <v>0</v>
      </c>
      <c r="JB8" s="338">
        <f>IFERROR(1/Calculations_APPURT[[#This Row],[Brackets]],0) * cv_F * AlphaSector[[#This Row],[Quantity]] * Hazards_APPURT[[#This Row],[qiz]] * CaAa_APPURT[[#This Row],[Alpha Ice 240]]</f>
        <v>0</v>
      </c>
      <c r="JC8" s="338">
        <f>IFERROR(1/Calculations_APPURT[[#This Row],[Brackets]],0) * cv_F * AlphaSector[[#This Row],[Quantity]] * Hazards_APPURT[[#This Row],[qiz]] * CaAa_APPURT[[#This Row],[Alpha Ice 270]]</f>
        <v>0</v>
      </c>
      <c r="JD8" s="338">
        <f>IFERROR(1/Calculations_APPURT[[#This Row],[Brackets]],0) * cv_F * AlphaSector[[#This Row],[Quantity]] * Hazards_APPURT[[#This Row],[qiz]] * CaAa_APPURT[[#This Row],[Alpha Ice 300]]</f>
        <v>0</v>
      </c>
      <c r="JE8" s="338">
        <f>IFERROR(1/Calculations_APPURT[[#This Row],[Brackets]],0) * cv_F * AlphaSector[[#This Row],[Quantity]] * Hazards_APPURT[[#This Row],[qiz]] * CaAa_APPURT[[#This Row],[Alpha Ice 315]]</f>
        <v>0</v>
      </c>
      <c r="JF8" s="338">
        <f>IFERROR(1/Calculations_APPURT[[#This Row],[Brackets]],0) * cv_F * AlphaSector[[#This Row],[Quantity]] * Hazards_APPURT[[#This Row],[qiz]] * CaAa_APPURT[[#This Row],[Alpha Ice 330]]</f>
        <v>0</v>
      </c>
      <c r="JG8" s="276">
        <f>IFERROR(1/Calculations_APPURT[[#This Row],[Brackets]],0) * cv_F * BetaSector[[#This Row],[Quantity]] * Hazards_APPURT[[#This Row],[qiz]] * CaAa_APPURT[[#This Row],[Beta Ice 0]]</f>
        <v>0</v>
      </c>
      <c r="JH8" s="276">
        <f>IFERROR(1/Calculations_APPURT[[#This Row],[Brackets]],0) * cv_F * BetaSector[[#This Row],[Quantity]] * Hazards_APPURT[[#This Row],[qiz]] * CaAa_APPURT[[#This Row],[Beta Ice 30]]</f>
        <v>0</v>
      </c>
      <c r="JI8" s="276">
        <f>IFERROR(1/Calculations_APPURT[[#This Row],[Brackets]],0) * cv_F * BetaSector[[#This Row],[Quantity]] * Hazards_APPURT[[#This Row],[qiz]] * CaAa_APPURT[[#This Row],[Beta Ice 45]]</f>
        <v>0</v>
      </c>
      <c r="JJ8" s="276">
        <f>IFERROR(1/Calculations_APPURT[[#This Row],[Brackets]],0) * cv_F * BetaSector[[#This Row],[Quantity]] * Hazards_APPURT[[#This Row],[qiz]] * CaAa_APPURT[[#This Row],[Beta Ice 60]]</f>
        <v>0</v>
      </c>
      <c r="JK8" s="276">
        <f>IFERROR(1/Calculations_APPURT[[#This Row],[Brackets]],0) * cv_F * BetaSector[[#This Row],[Quantity]] * Hazards_APPURT[[#This Row],[qiz]] * CaAa_APPURT[[#This Row],[Beta Ice 90]]</f>
        <v>0</v>
      </c>
      <c r="JL8" s="276">
        <f>IFERROR(1/Calculations_APPURT[[#This Row],[Brackets]],0) * cv_F * BetaSector[[#This Row],[Quantity]] * Hazards_APPURT[[#This Row],[qiz]] * CaAa_APPURT[[#This Row],[Beta Ice 120]]</f>
        <v>0</v>
      </c>
      <c r="JM8" s="276">
        <f>IFERROR(1/Calculations_APPURT[[#This Row],[Brackets]],0) * cv_F * BetaSector[[#This Row],[Quantity]] * Hazards_APPURT[[#This Row],[qiz]] * CaAa_APPURT[[#This Row],[Beta Ice 135]]</f>
        <v>0</v>
      </c>
      <c r="JN8" s="276">
        <f>IFERROR(1/Calculations_APPURT[[#This Row],[Brackets]],0) * cv_F * BetaSector[[#This Row],[Quantity]] * Hazards_APPURT[[#This Row],[qiz]] * CaAa_APPURT[[#This Row],[Beta Ice 150]]</f>
        <v>0</v>
      </c>
      <c r="JO8" s="276">
        <f>IFERROR(1/Calculations_APPURT[[#This Row],[Brackets]],0) * cv_F * BetaSector[[#This Row],[Quantity]] * Hazards_APPURT[[#This Row],[qiz]] * CaAa_APPURT[[#This Row],[Beta Ice 180]]</f>
        <v>0</v>
      </c>
      <c r="JP8" s="276">
        <f>IFERROR(1/Calculations_APPURT[[#This Row],[Brackets]],0) * cv_F * BetaSector[[#This Row],[Quantity]] * Hazards_APPURT[[#This Row],[qiz]] * CaAa_APPURT[[#This Row],[Beta Ice 210]]</f>
        <v>0</v>
      </c>
      <c r="JQ8" s="276">
        <f>IFERROR(1/Calculations_APPURT[[#This Row],[Brackets]],0) * cv_F * BetaSector[[#This Row],[Quantity]] * Hazards_APPURT[[#This Row],[qiz]] * CaAa_APPURT[[#This Row],[Beta Ice 225]]</f>
        <v>0</v>
      </c>
      <c r="JR8" s="276">
        <f>IFERROR(1/Calculations_APPURT[[#This Row],[Brackets]],0) * cv_F * BetaSector[[#This Row],[Quantity]] * Hazards_APPURT[[#This Row],[qiz]] * CaAa_APPURT[[#This Row],[Beta Ice 240]]</f>
        <v>0</v>
      </c>
      <c r="JS8" s="276">
        <f>IFERROR(1/Calculations_APPURT[[#This Row],[Brackets]],0) * cv_F * BetaSector[[#This Row],[Quantity]] * Hazards_APPURT[[#This Row],[qiz]] * CaAa_APPURT[[#This Row],[Beta Ice 270]]</f>
        <v>0</v>
      </c>
      <c r="JT8" s="276">
        <f>IFERROR(1/Calculations_APPURT[[#This Row],[Brackets]],0) * cv_F * BetaSector[[#This Row],[Quantity]] * Hazards_APPURT[[#This Row],[qiz]] * CaAa_APPURT[[#This Row],[Beta Ice 300]]</f>
        <v>0</v>
      </c>
      <c r="JU8" s="276">
        <f>IFERROR(1/Calculations_APPURT[[#This Row],[Brackets]],0) * cv_F * BetaSector[[#This Row],[Quantity]] * Hazards_APPURT[[#This Row],[qiz]] * CaAa_APPURT[[#This Row],[Beta Ice 315]]</f>
        <v>0</v>
      </c>
      <c r="JV8" s="276">
        <f>IFERROR(1/Calculations_APPURT[[#This Row],[Brackets]],0) * cv_F * BetaSector[[#This Row],[Quantity]] * Hazards_APPURT[[#This Row],[qiz]] * CaAa_APPURT[[#This Row],[Beta Ice 330]]</f>
        <v>0</v>
      </c>
      <c r="JW8" s="338">
        <f>IFERROR(1/Calculations_APPURT[[#This Row],[Brackets]],0) * cv_F * GammaSector[[#This Row],[Quantity]] * Hazards_APPURT[[#This Row],[qiz]] * CaAa_APPURT[[#This Row],[Gamma Ice 0]]</f>
        <v>0</v>
      </c>
      <c r="JX8" s="338">
        <f>IFERROR(1/Calculations_APPURT[[#This Row],[Brackets]],0) * cv_F * GammaSector[[#This Row],[Quantity]] * Hazards_APPURT[[#This Row],[qiz]] * CaAa_APPURT[[#This Row],[Gamma Ice 30]]</f>
        <v>0</v>
      </c>
      <c r="JY8" s="338">
        <f>IFERROR(1/Calculations_APPURT[[#This Row],[Brackets]],0) * cv_F * GammaSector[[#This Row],[Quantity]] * Hazards_APPURT[[#This Row],[qiz]] * CaAa_APPURT[[#This Row],[Gamma Ice 45]]</f>
        <v>0</v>
      </c>
      <c r="JZ8" s="338">
        <f>IFERROR(1/Calculations_APPURT[[#This Row],[Brackets]],0) * cv_F * GammaSector[[#This Row],[Quantity]] * Hazards_APPURT[[#This Row],[qiz]] * CaAa_APPURT[[#This Row],[Gamma Ice 60]]</f>
        <v>0</v>
      </c>
      <c r="KA8" s="338">
        <f>IFERROR(1/Calculations_APPURT[[#This Row],[Brackets]],0) * cv_F * GammaSector[[#This Row],[Quantity]] * Hazards_APPURT[[#This Row],[qiz]] * CaAa_APPURT[[#This Row],[Gamma Ice 90]]</f>
        <v>0</v>
      </c>
      <c r="KB8" s="338">
        <f>IFERROR(1/Calculations_APPURT[[#This Row],[Brackets]],0) * cv_F * GammaSector[[#This Row],[Quantity]] * Hazards_APPURT[[#This Row],[qiz]] * CaAa_APPURT[[#This Row],[Gamma Ice 120]]</f>
        <v>0</v>
      </c>
      <c r="KC8" s="338">
        <f>IFERROR(1/Calculations_APPURT[[#This Row],[Brackets]],0) * cv_F * GammaSector[[#This Row],[Quantity]] * Hazards_APPURT[[#This Row],[qiz]] * CaAa_APPURT[[#This Row],[Gamma Ice 135]]</f>
        <v>0</v>
      </c>
      <c r="KD8" s="338">
        <f>IFERROR(1/Calculations_APPURT[[#This Row],[Brackets]],0) * cv_F * GammaSector[[#This Row],[Quantity]] * Hazards_APPURT[[#This Row],[qiz]] * CaAa_APPURT[[#This Row],[Gamma Ice 150]]</f>
        <v>0</v>
      </c>
      <c r="KE8" s="338">
        <f>IFERROR(1/Calculations_APPURT[[#This Row],[Brackets]],0) * cv_F * GammaSector[[#This Row],[Quantity]] * Hazards_APPURT[[#This Row],[qiz]] * CaAa_APPURT[[#This Row],[Gamma Ice 180]]</f>
        <v>0</v>
      </c>
      <c r="KF8" s="338">
        <f>IFERROR(1/Calculations_APPURT[[#This Row],[Brackets]],0) * cv_F * GammaSector[[#This Row],[Quantity]] * Hazards_APPURT[[#This Row],[qiz]] * CaAa_APPURT[[#This Row],[Gamma Ice 210]]</f>
        <v>0</v>
      </c>
      <c r="KG8" s="338">
        <f>IFERROR(1/Calculations_APPURT[[#This Row],[Brackets]],0) * cv_F * GammaSector[[#This Row],[Quantity]] * Hazards_APPURT[[#This Row],[qiz]] * CaAa_APPURT[[#This Row],[Gamma Ice 225]]</f>
        <v>0</v>
      </c>
      <c r="KH8" s="338">
        <f>IFERROR(1/Calculations_APPURT[[#This Row],[Brackets]],0) * cv_F * GammaSector[[#This Row],[Quantity]] * Hazards_APPURT[[#This Row],[qiz]] * CaAa_APPURT[[#This Row],[Gamma Ice 240]]</f>
        <v>0</v>
      </c>
      <c r="KI8" s="338">
        <f>IFERROR(1/Calculations_APPURT[[#This Row],[Brackets]],0) * cv_F * GammaSector[[#This Row],[Quantity]] * Hazards_APPURT[[#This Row],[qiz]] * CaAa_APPURT[[#This Row],[Gamma Ice 270]]</f>
        <v>0</v>
      </c>
      <c r="KJ8" s="338">
        <f>IFERROR(1/Calculations_APPURT[[#This Row],[Brackets]],0) * cv_F * GammaSector[[#This Row],[Quantity]] * Hazards_APPURT[[#This Row],[qiz]] * CaAa_APPURT[[#This Row],[Gamma Ice 300]]</f>
        <v>0</v>
      </c>
      <c r="KK8" s="338">
        <f>IFERROR(1/Calculations_APPURT[[#This Row],[Brackets]],0) * cv_F * GammaSector[[#This Row],[Quantity]] * Hazards_APPURT[[#This Row],[qiz]] * CaAa_APPURT[[#This Row],[Gamma Ice 315]]</f>
        <v>0</v>
      </c>
      <c r="KL8" s="338">
        <f>IFERROR(1/Calculations_APPURT[[#This Row],[Brackets]],0) * cv_F * GammaSector[[#This Row],[Quantity]] * Hazards_APPURT[[#This Row],[qiz]] * CaAa_APPURT[[#This Row],[Gamma Ice 330]]</f>
        <v>0</v>
      </c>
      <c r="KM8" s="276">
        <f>IFERROR(1/Calculations_APPURT[[#This Row],[Brackets]],0) * cv_F * DeltaSector[[#This Row],[Quantity]] * Hazards_APPURT[[#This Row],[qiz]] * CaAa_APPURT[[#This Row],[Delta Ice 0]]</f>
        <v>0</v>
      </c>
      <c r="KN8" s="276">
        <f>IFERROR(1/Calculations_APPURT[[#This Row],[Brackets]],0) * cv_F * DeltaSector[[#This Row],[Quantity]] * Hazards_APPURT[[#This Row],[qiz]] * CaAa_APPURT[[#This Row],[Delta Ice 30]]</f>
        <v>0</v>
      </c>
      <c r="KO8" s="276">
        <f>IFERROR(1/Calculations_APPURT[[#This Row],[Brackets]],0) * cv_F * DeltaSector[[#This Row],[Quantity]] * Hazards_APPURT[[#This Row],[qiz]] * CaAa_APPURT[[#This Row],[Delta Ice 45]]</f>
        <v>0</v>
      </c>
      <c r="KP8" s="276">
        <f>IFERROR(1/Calculations_APPURT[[#This Row],[Brackets]],0) * cv_F * DeltaSector[[#This Row],[Quantity]] * Hazards_APPURT[[#This Row],[qiz]] * CaAa_APPURT[[#This Row],[Delta Ice 60]]</f>
        <v>0</v>
      </c>
      <c r="KQ8" s="276">
        <f>IFERROR(1/Calculations_APPURT[[#This Row],[Brackets]],0) * cv_F * DeltaSector[[#This Row],[Quantity]] * Hazards_APPURT[[#This Row],[qiz]] * CaAa_APPURT[[#This Row],[Delta Ice 90]]</f>
        <v>0</v>
      </c>
      <c r="KR8" s="276">
        <f>IFERROR(1/Calculations_APPURT[[#This Row],[Brackets]],0) * cv_F * DeltaSector[[#This Row],[Quantity]] * Hazards_APPURT[[#This Row],[qiz]] * CaAa_APPURT[[#This Row],[Delta Ice 120]]</f>
        <v>0</v>
      </c>
      <c r="KS8" s="276">
        <f>IFERROR(1/Calculations_APPURT[[#This Row],[Brackets]],0) * cv_F * DeltaSector[[#This Row],[Quantity]] * Hazards_APPURT[[#This Row],[qiz]] * CaAa_APPURT[[#This Row],[Delta Ice 135]]</f>
        <v>0</v>
      </c>
      <c r="KT8" s="276">
        <f>IFERROR(1/Calculations_APPURT[[#This Row],[Brackets]],0) * cv_F * DeltaSector[[#This Row],[Quantity]] * Hazards_APPURT[[#This Row],[qiz]] * CaAa_APPURT[[#This Row],[Delta Ice 150]]</f>
        <v>0</v>
      </c>
      <c r="KU8" s="276">
        <f>IFERROR(1/Calculations_APPURT[[#This Row],[Brackets]],0) * cv_F * DeltaSector[[#This Row],[Quantity]] * Hazards_APPURT[[#This Row],[qiz]] * CaAa_APPURT[[#This Row],[Delta Ice 180]]</f>
        <v>0</v>
      </c>
      <c r="KV8" s="276">
        <f>IFERROR(1/Calculations_APPURT[[#This Row],[Brackets]],0) * cv_F * DeltaSector[[#This Row],[Quantity]] * Hazards_APPURT[[#This Row],[qiz]] * CaAa_APPURT[[#This Row],[Delta Ice 210]]</f>
        <v>0</v>
      </c>
      <c r="KW8" s="276">
        <f>IFERROR(1/Calculations_APPURT[[#This Row],[Brackets]],0) * cv_F * DeltaSector[[#This Row],[Quantity]] * Hazards_APPURT[[#This Row],[qiz]] * CaAa_APPURT[[#This Row],[Delta Ice 225]]</f>
        <v>0</v>
      </c>
      <c r="KX8" s="276">
        <f>IFERROR(1/Calculations_APPURT[[#This Row],[Brackets]],0) * cv_F * DeltaSector[[#This Row],[Quantity]] * Hazards_APPURT[[#This Row],[qiz]] * CaAa_APPURT[[#This Row],[Delta Ice 240]]</f>
        <v>0</v>
      </c>
      <c r="KY8" s="276">
        <f>IFERROR(1/Calculations_APPURT[[#This Row],[Brackets]],0) * cv_F * DeltaSector[[#This Row],[Quantity]] * Hazards_APPURT[[#This Row],[qiz]] * CaAa_APPURT[[#This Row],[Delta Ice 270]]</f>
        <v>0</v>
      </c>
      <c r="KZ8" s="276">
        <f>IFERROR(1/Calculations_APPURT[[#This Row],[Brackets]],0) * cv_F * DeltaSector[[#This Row],[Quantity]] * Hazards_APPURT[[#This Row],[qiz]] * CaAa_APPURT[[#This Row],[Delta Ice 300]]</f>
        <v>0</v>
      </c>
      <c r="LA8" s="276">
        <f>IFERROR(1/Calculations_APPURT[[#This Row],[Brackets]],0) * cv_F * DeltaSector[[#This Row],[Quantity]] * Hazards_APPURT[[#This Row],[qiz]] * CaAa_APPURT[[#This Row],[Delta Ice 315]]</f>
        <v>0</v>
      </c>
      <c r="LB8" s="276">
        <f>IFERROR(1/Calculations_APPURT[[#This Row],[Brackets]],0) * cv_F * DeltaSector[[#This Row],[Quantity]] * Hazards_APPURT[[#This Row],[qiz]] * CaAa_APPURT[[#This Row],[Delta Ice 330]]</f>
        <v>0</v>
      </c>
      <c r="LC8" s="338">
        <f>IFERROR(1/Calculations_APPURT[[#This Row],[Brackets]],0) * cv_M/cv_F * Forces_APPURT[[#This Row],[Alpha Fa 0]] * Calculations_APPURT[[#This Row],[Horizontal Offset]]/12</f>
        <v>0</v>
      </c>
      <c r="LD8" s="338">
        <f>IFERROR(1/Calculations_APPURT[[#This Row],[Brackets]],0) * cv_M/cv_F * Forces_APPURT[[#This Row],[Alpha Fa 30]] * Calculations_APPURT[[#This Row],[Horizontal Offset]]/12</f>
        <v>0</v>
      </c>
      <c r="LE8" s="338">
        <f>IFERROR(1/Calculations_APPURT[[#This Row],[Brackets]],0) * cv_M/cv_F * Forces_APPURT[[#This Row],[Alpha Fa 45]] * Calculations_APPURT[[#This Row],[Horizontal Offset]]/12</f>
        <v>0</v>
      </c>
      <c r="LF8" s="338">
        <f>IFERROR(1/Calculations_APPURT[[#This Row],[Brackets]],0) * cv_M/cv_F * Forces_APPURT[[#This Row],[Alpha Fa 60]] * Calculations_APPURT[[#This Row],[Horizontal Offset]]/12</f>
        <v>0</v>
      </c>
      <c r="LG8" s="338">
        <f>IFERROR(1/Calculations_APPURT[[#This Row],[Brackets]],0) * cv_M/cv_F * Forces_APPURT[[#This Row],[Alpha Fa 90]] * Calculations_APPURT[[#This Row],[Horizontal Offset]]/12</f>
        <v>0</v>
      </c>
      <c r="LH8" s="338">
        <f>IFERROR(1/Calculations_APPURT[[#This Row],[Brackets]],0) * cv_M/cv_F * Forces_APPURT[[#This Row],[Alpha Fa 120]] * Calculations_APPURT[[#This Row],[Horizontal Offset]]/12</f>
        <v>0</v>
      </c>
      <c r="LI8" s="338">
        <f>IFERROR(1/Calculations_APPURT[[#This Row],[Brackets]],0) * cv_M/cv_F * Forces_APPURT[[#This Row],[Alpha Fa 135]] * Calculations_APPURT[[#This Row],[Horizontal Offset]]/12</f>
        <v>0</v>
      </c>
      <c r="LJ8" s="338">
        <f>IFERROR(1/Calculations_APPURT[[#This Row],[Brackets]],0) * cv_M/cv_F * Forces_APPURT[[#This Row],[Alpha Fa 150]] * Calculations_APPURT[[#This Row],[Horizontal Offset]]/12</f>
        <v>0</v>
      </c>
      <c r="LK8" s="338">
        <f>IFERROR(1/Calculations_APPURT[[#This Row],[Brackets]],0) * cv_M/cv_F * Forces_APPURT[[#This Row],[Alpha Fa 180]] * Calculations_APPURT[[#This Row],[Horizontal Offset]]/12</f>
        <v>0</v>
      </c>
      <c r="LL8" s="338">
        <f>IFERROR(1/Calculations_APPURT[[#This Row],[Brackets]],0) * cv_M/cv_F * Forces_APPURT[[#This Row],[Alpha Fa 210]] * Calculations_APPURT[[#This Row],[Horizontal Offset]]/12</f>
        <v>0</v>
      </c>
      <c r="LM8" s="338">
        <f>IFERROR(1/Calculations_APPURT[[#This Row],[Brackets]],0) * cv_M/cv_F * Forces_APPURT[[#This Row],[Alpha Fa 225]] * Calculations_APPURT[[#This Row],[Horizontal Offset]]/12</f>
        <v>0</v>
      </c>
      <c r="LN8" s="338">
        <f>IFERROR(1/Calculations_APPURT[[#This Row],[Brackets]],0) * cv_M/cv_F * Forces_APPURT[[#This Row],[Alpha Fa 240]] * Calculations_APPURT[[#This Row],[Horizontal Offset]]/12</f>
        <v>0</v>
      </c>
      <c r="LO8" s="338">
        <f>IFERROR(1/Calculations_APPURT[[#This Row],[Brackets]],0) * cv_M/cv_F * Forces_APPURT[[#This Row],[Alpha Fa 270]] * Calculations_APPURT[[#This Row],[Horizontal Offset]]/12</f>
        <v>0</v>
      </c>
      <c r="LP8" s="338">
        <f>IFERROR(1/Calculations_APPURT[[#This Row],[Brackets]],0) * cv_M/cv_F * Forces_APPURT[[#This Row],[Alpha Fa 300]] * Calculations_APPURT[[#This Row],[Horizontal Offset]]/12</f>
        <v>0</v>
      </c>
      <c r="LQ8" s="338">
        <f>IFERROR(1/Calculations_APPURT[[#This Row],[Brackets]],0) * cv_M/cv_F * Forces_APPURT[[#This Row],[Alpha Fa 315]] * Calculations_APPURT[[#This Row],[Horizontal Offset]]/12</f>
        <v>0</v>
      </c>
      <c r="LR8" s="338">
        <f>IFERROR(1/Calculations_APPURT[[#This Row],[Brackets]],0) * cv_M/cv_F * Forces_APPURT[[#This Row],[Alpha Fa 330]] * Calculations_APPURT[[#This Row],[Horizontal Offset]]/12</f>
        <v>0</v>
      </c>
      <c r="LS8" s="276">
        <f>IFERROR(1/Calculations_APPURT[[#This Row],[Brackets]],0) * cv_M/cv_F * Forces_APPURT[[#This Row],[Beta Fa 0]] * Calculations_APPURT[[#This Row],[Horizontal Offset]]/12</f>
        <v>0</v>
      </c>
      <c r="LT8" s="276">
        <f>IFERROR(1/Calculations_APPURT[[#This Row],[Brackets]],0) * cv_M/cv_F * Forces_APPURT[[#This Row],[Beta Fa 30]] * Calculations_APPURT[[#This Row],[Horizontal Offset]]/12</f>
        <v>0</v>
      </c>
      <c r="LU8" s="276">
        <f>IFERROR(1/Calculations_APPURT[[#This Row],[Brackets]],0) * cv_M/cv_F * Forces_APPURT[[#This Row],[Beta Fa 45]] * Calculations_APPURT[[#This Row],[Horizontal Offset]]/12</f>
        <v>0</v>
      </c>
      <c r="LV8" s="276">
        <f>IFERROR(1/Calculations_APPURT[[#This Row],[Brackets]],0) * cv_M/cv_F * Forces_APPURT[[#This Row],[Beta Fa 60]] * Calculations_APPURT[[#This Row],[Horizontal Offset]]/12</f>
        <v>0</v>
      </c>
      <c r="LW8" s="276">
        <f>IFERROR(1/Calculations_APPURT[[#This Row],[Brackets]],0) * cv_M/cv_F * Forces_APPURT[[#This Row],[Beta Fa 90]] * Calculations_APPURT[[#This Row],[Horizontal Offset]]/12</f>
        <v>0</v>
      </c>
      <c r="LX8" s="276">
        <f>IFERROR(1/Calculations_APPURT[[#This Row],[Brackets]],0) * cv_M/cv_F * Forces_APPURT[[#This Row],[Beta Fa 120]] * Calculations_APPURT[[#This Row],[Horizontal Offset]]/12</f>
        <v>0</v>
      </c>
      <c r="LY8" s="276">
        <f>IFERROR(1/Calculations_APPURT[[#This Row],[Brackets]],0) * cv_M/cv_F * Forces_APPURT[[#This Row],[Beta Fa 135]] * Calculations_APPURT[[#This Row],[Horizontal Offset]]/12</f>
        <v>0</v>
      </c>
      <c r="LZ8" s="276">
        <f>IFERROR(1/Calculations_APPURT[[#This Row],[Brackets]],0) * cv_M/cv_F * Forces_APPURT[[#This Row],[Beta Fa 150]] * Calculations_APPURT[[#This Row],[Horizontal Offset]]/12</f>
        <v>0</v>
      </c>
      <c r="MA8" s="276">
        <f>IFERROR(1/Calculations_APPURT[[#This Row],[Brackets]],0) * cv_M/cv_F * Forces_APPURT[[#This Row],[Beta Fa 180]] * Calculations_APPURT[[#This Row],[Horizontal Offset]]/12</f>
        <v>0</v>
      </c>
      <c r="MB8" s="276">
        <f>IFERROR(1/Calculations_APPURT[[#This Row],[Brackets]],0) * cv_M/cv_F * Forces_APPURT[[#This Row],[Beta Fa 210]] * Calculations_APPURT[[#This Row],[Horizontal Offset]]/12</f>
        <v>0</v>
      </c>
      <c r="MC8" s="276">
        <f>IFERROR(1/Calculations_APPURT[[#This Row],[Brackets]],0) * cv_M/cv_F * Forces_APPURT[[#This Row],[Beta Fa 225]] * Calculations_APPURT[[#This Row],[Horizontal Offset]]/12</f>
        <v>0</v>
      </c>
      <c r="MD8" s="276">
        <f>IFERROR(1/Calculations_APPURT[[#This Row],[Brackets]],0) * cv_M/cv_F * Forces_APPURT[[#This Row],[Beta Fa 240]] * Calculations_APPURT[[#This Row],[Horizontal Offset]]/12</f>
        <v>0</v>
      </c>
      <c r="ME8" s="276">
        <f>IFERROR(1/Calculations_APPURT[[#This Row],[Brackets]],0) * cv_M/cv_F * Forces_APPURT[[#This Row],[Beta Fa 270]] * Calculations_APPURT[[#This Row],[Horizontal Offset]]/12</f>
        <v>0</v>
      </c>
      <c r="MF8" s="276">
        <f>IFERROR(1/Calculations_APPURT[[#This Row],[Brackets]],0) * cv_M/cv_F * Forces_APPURT[[#This Row],[Beta Fa 300]] * Calculations_APPURT[[#This Row],[Horizontal Offset]]/12</f>
        <v>0</v>
      </c>
      <c r="MG8" s="276">
        <f>IFERROR(1/Calculations_APPURT[[#This Row],[Brackets]],0) * cv_M/cv_F * Forces_APPURT[[#This Row],[Beta Fa 315]] * Calculations_APPURT[[#This Row],[Horizontal Offset]]/12</f>
        <v>0</v>
      </c>
      <c r="MH8" s="276">
        <f>IFERROR(1/Calculations_APPURT[[#This Row],[Brackets]],0) * cv_M/cv_F * Forces_APPURT[[#This Row],[Beta Fa 330]] * Calculations_APPURT[[#This Row],[Horizontal Offset]]/12</f>
        <v>0</v>
      </c>
      <c r="MI8" s="338">
        <f>IFERROR(1/Calculations_APPURT[[#This Row],[Brackets]],0) * cv_M/cv_F * Forces_APPURT[[#This Row],[Gamma Fa 0]] * Calculations_APPURT[[#This Row],[Horizontal Offset]]/12</f>
        <v>0</v>
      </c>
      <c r="MJ8" s="338">
        <f>IFERROR(1/Calculations_APPURT[[#This Row],[Brackets]],0) * cv_M/cv_F * Forces_APPURT[[#This Row],[Gamma Fa 30]] * Calculations_APPURT[[#This Row],[Horizontal Offset]]/12</f>
        <v>0</v>
      </c>
      <c r="MK8" s="338">
        <f>IFERROR(1/Calculations_APPURT[[#This Row],[Brackets]],0) * cv_M/cv_F * Forces_APPURT[[#This Row],[Gamma Fa 45]] * Calculations_APPURT[[#This Row],[Horizontal Offset]]/12</f>
        <v>0</v>
      </c>
      <c r="ML8" s="338">
        <f>IFERROR(1/Calculations_APPURT[[#This Row],[Brackets]],0) * cv_M/cv_F * Forces_APPURT[[#This Row],[Gamma Fa 60]] * Calculations_APPURT[[#This Row],[Horizontal Offset]]/12</f>
        <v>0</v>
      </c>
      <c r="MM8" s="338">
        <f>IFERROR(1/Calculations_APPURT[[#This Row],[Brackets]],0) * cv_M/cv_F * Forces_APPURT[[#This Row],[Gamma Fa 90]] * Calculations_APPURT[[#This Row],[Horizontal Offset]]/12</f>
        <v>0</v>
      </c>
      <c r="MN8" s="338">
        <f>IFERROR(1/Calculations_APPURT[[#This Row],[Brackets]],0) * cv_M/cv_F * Forces_APPURT[[#This Row],[Gamma Fa 120]] * Calculations_APPURT[[#This Row],[Horizontal Offset]]/12</f>
        <v>0</v>
      </c>
      <c r="MO8" s="338">
        <f>IFERROR(1/Calculations_APPURT[[#This Row],[Brackets]],0) * cv_M/cv_F * Forces_APPURT[[#This Row],[Gamma Fa 135]] * Calculations_APPURT[[#This Row],[Horizontal Offset]]/12</f>
        <v>0</v>
      </c>
      <c r="MP8" s="338">
        <f>IFERROR(1/Calculations_APPURT[[#This Row],[Brackets]],0) * cv_M/cv_F * Forces_APPURT[[#This Row],[Gamma Fa 150]] * Calculations_APPURT[[#This Row],[Horizontal Offset]]/12</f>
        <v>0</v>
      </c>
      <c r="MQ8" s="338">
        <f>IFERROR(1/Calculations_APPURT[[#This Row],[Brackets]],0) * cv_M/cv_F * Forces_APPURT[[#This Row],[Gamma Fa 180]] * Calculations_APPURT[[#This Row],[Horizontal Offset]]/12</f>
        <v>0</v>
      </c>
      <c r="MR8" s="338">
        <f>IFERROR(1/Calculations_APPURT[[#This Row],[Brackets]],0) * cv_M/cv_F * Forces_APPURT[[#This Row],[Gamma Fa 210]] * Calculations_APPURT[[#This Row],[Horizontal Offset]]/12</f>
        <v>0</v>
      </c>
      <c r="MS8" s="338">
        <f>IFERROR(1/Calculations_APPURT[[#This Row],[Brackets]],0) * cv_M/cv_F * Forces_APPURT[[#This Row],[Gamma Fa 225]] * Calculations_APPURT[[#This Row],[Horizontal Offset]]/12</f>
        <v>0</v>
      </c>
      <c r="MT8" s="338">
        <f>IFERROR(1/Calculations_APPURT[[#This Row],[Brackets]],0) * cv_M/cv_F * Forces_APPURT[[#This Row],[Gamma Fa 240]] * Calculations_APPURT[[#This Row],[Horizontal Offset]]/12</f>
        <v>0</v>
      </c>
      <c r="MU8" s="338">
        <f>IFERROR(1/Calculations_APPURT[[#This Row],[Brackets]],0) * cv_M/cv_F * Forces_APPURT[[#This Row],[Gamma Fa 270]] * Calculations_APPURT[[#This Row],[Horizontal Offset]]/12</f>
        <v>0</v>
      </c>
      <c r="MV8" s="338">
        <f>IFERROR(1/Calculations_APPURT[[#This Row],[Brackets]],0) * cv_M/cv_F * Forces_APPURT[[#This Row],[Gamma Fa 300]] * Calculations_APPURT[[#This Row],[Horizontal Offset]]/12</f>
        <v>0</v>
      </c>
      <c r="MW8" s="338">
        <f>IFERROR(1/Calculations_APPURT[[#This Row],[Brackets]],0) * cv_M/cv_F * Forces_APPURT[[#This Row],[Gamma Fa 315]] * Calculations_APPURT[[#This Row],[Horizontal Offset]]/12</f>
        <v>0</v>
      </c>
      <c r="MX8" s="338">
        <f>IFERROR(1/Calculations_APPURT[[#This Row],[Brackets]],0) * cv_M/cv_F * Forces_APPURT[[#This Row],[Gamma Fa 330]] * Calculations_APPURT[[#This Row],[Horizontal Offset]]/12</f>
        <v>0</v>
      </c>
      <c r="MY8" s="276">
        <f>IFERROR(1/Calculations_APPURT[[#This Row],[Brackets]],0) * cv_M/cv_F * Forces_APPURT[[#This Row],[Delta Fa 0]] * Calculations_APPURT[[#This Row],[Horizontal Offset]]/12</f>
        <v>0</v>
      </c>
      <c r="MZ8" s="276">
        <f>IFERROR(1/Calculations_APPURT[[#This Row],[Brackets]],0) * cv_M/cv_F * Forces_APPURT[[#This Row],[Delta Fa 30]] * Calculations_APPURT[[#This Row],[Horizontal Offset]]/12</f>
        <v>0</v>
      </c>
      <c r="NA8" s="276">
        <f>IFERROR(1/Calculations_APPURT[[#This Row],[Brackets]],0) * cv_M/cv_F * Forces_APPURT[[#This Row],[Delta Fa 45]] * Calculations_APPURT[[#This Row],[Horizontal Offset]]/12</f>
        <v>0</v>
      </c>
      <c r="NB8" s="276">
        <f>IFERROR(1/Calculations_APPURT[[#This Row],[Brackets]],0) * cv_M/cv_F * Forces_APPURT[[#This Row],[Delta Fa 60]] * Calculations_APPURT[[#This Row],[Horizontal Offset]]/12</f>
        <v>0</v>
      </c>
      <c r="NC8" s="276">
        <f>IFERROR(1/Calculations_APPURT[[#This Row],[Brackets]],0) * cv_M/cv_F * Forces_APPURT[[#This Row],[Delta Fa 90]] * Calculations_APPURT[[#This Row],[Horizontal Offset]]/12</f>
        <v>0</v>
      </c>
      <c r="ND8" s="276">
        <f>IFERROR(1/Calculations_APPURT[[#This Row],[Brackets]],0) * cv_M/cv_F * Forces_APPURT[[#This Row],[Delta Fa 120]] * Calculations_APPURT[[#This Row],[Horizontal Offset]]/12</f>
        <v>0</v>
      </c>
      <c r="NE8" s="276">
        <f>IFERROR(1/Calculations_APPURT[[#This Row],[Brackets]],0) * cv_M/cv_F * Forces_APPURT[[#This Row],[Delta Fa 135]] * Calculations_APPURT[[#This Row],[Horizontal Offset]]/12</f>
        <v>0</v>
      </c>
      <c r="NF8" s="276">
        <f>IFERROR(1/Calculations_APPURT[[#This Row],[Brackets]],0) * cv_M/cv_F * Forces_APPURT[[#This Row],[Delta Fa 150]] * Calculations_APPURT[[#This Row],[Horizontal Offset]]/12</f>
        <v>0</v>
      </c>
      <c r="NG8" s="276">
        <f>IFERROR(1/Calculations_APPURT[[#This Row],[Brackets]],0) * cv_M/cv_F * Forces_APPURT[[#This Row],[Delta Fa 180]] * Calculations_APPURT[[#This Row],[Horizontal Offset]]/12</f>
        <v>0</v>
      </c>
      <c r="NH8" s="276">
        <f>IFERROR(1/Calculations_APPURT[[#This Row],[Brackets]],0) * cv_M/cv_F * Forces_APPURT[[#This Row],[Delta Fa 210]] * Calculations_APPURT[[#This Row],[Horizontal Offset]]/12</f>
        <v>0</v>
      </c>
      <c r="NI8" s="276">
        <f>IFERROR(1/Calculations_APPURT[[#This Row],[Brackets]],0) * cv_M/cv_F * Forces_APPURT[[#This Row],[Delta Fa 225]] * Calculations_APPURT[[#This Row],[Horizontal Offset]]/12</f>
        <v>0</v>
      </c>
      <c r="NJ8" s="276">
        <f>IFERROR(1/Calculations_APPURT[[#This Row],[Brackets]],0) * cv_M/cv_F * Forces_APPURT[[#This Row],[Delta Fa 240]] * Calculations_APPURT[[#This Row],[Horizontal Offset]]/12</f>
        <v>0</v>
      </c>
      <c r="NK8" s="276">
        <f>IFERROR(1/Calculations_APPURT[[#This Row],[Brackets]],0) * cv_M/cv_F * Forces_APPURT[[#This Row],[Delta Fa 270]] * Calculations_APPURT[[#This Row],[Horizontal Offset]]/12</f>
        <v>0</v>
      </c>
      <c r="NL8" s="276">
        <f>IFERROR(1/Calculations_APPURT[[#This Row],[Brackets]],0) * cv_M/cv_F * Forces_APPURT[[#This Row],[Delta Fa 300]] * Calculations_APPURT[[#This Row],[Horizontal Offset]]/12</f>
        <v>0</v>
      </c>
      <c r="NM8" s="276">
        <f>IFERROR(1/Calculations_APPURT[[#This Row],[Brackets]],0) * cv_M/cv_F * Forces_APPURT[[#This Row],[Delta Fa 315]] * Calculations_APPURT[[#This Row],[Horizontal Offset]]/12</f>
        <v>0</v>
      </c>
      <c r="NN8" s="276">
        <f>IFERROR(1/Calculations_APPURT[[#This Row],[Brackets]],0) * cv_M/cv_F * Forces_APPURT[[#This Row],[Delta Fa 330]] * Calculations_APPURT[[#This Row],[Horizontal Offset]]/12</f>
        <v>0</v>
      </c>
      <c r="NO8" s="338">
        <f>IFERROR(1/Calculations_APPURT[[#This Row],[Brackets]],0) * cv_M/cv_F * Forces_APPURT[[#This Row],[Alpha Fai 0]] * Calculations_APPURT[[#This Row],[Horizontal Offset]]/12</f>
        <v>0</v>
      </c>
      <c r="NP8" s="338">
        <f>IFERROR(1/Calculations_APPURT[[#This Row],[Brackets]],0) * cv_M/cv_F * Forces_APPURT[[#This Row],[Alpha Fai 30]] * Calculations_APPURT[[#This Row],[Horizontal Offset]]/12</f>
        <v>0</v>
      </c>
      <c r="NQ8" s="338">
        <f>IFERROR(1/Calculations_APPURT[[#This Row],[Brackets]],0) * cv_M/cv_F * Forces_APPURT[[#This Row],[Alpha Fai 45]] * Calculations_APPURT[[#This Row],[Horizontal Offset]]/12</f>
        <v>0</v>
      </c>
      <c r="NR8" s="338">
        <f>IFERROR(1/Calculations_APPURT[[#This Row],[Brackets]],0) * cv_M/cv_F * Forces_APPURT[[#This Row],[Alpha Fai 60]] * Calculations_APPURT[[#This Row],[Horizontal Offset]]/12</f>
        <v>0</v>
      </c>
      <c r="NS8" s="338">
        <f>IFERROR(1/Calculations_APPURT[[#This Row],[Brackets]],0) * cv_M/cv_F * Forces_APPURT[[#This Row],[Alpha Fai 90]] * Calculations_APPURT[[#This Row],[Horizontal Offset]]/12</f>
        <v>0</v>
      </c>
      <c r="NT8" s="338">
        <f>IFERROR(1/Calculations_APPURT[[#This Row],[Brackets]],0) * cv_M/cv_F * Forces_APPURT[[#This Row],[Alpha Fai 120]] * Calculations_APPURT[[#This Row],[Horizontal Offset]]/12</f>
        <v>0</v>
      </c>
      <c r="NU8" s="338">
        <f>IFERROR(1/Calculations_APPURT[[#This Row],[Brackets]],0) * cv_M/cv_F * Forces_APPURT[[#This Row],[Alpha Fai 135]] * Calculations_APPURT[[#This Row],[Horizontal Offset]]/12</f>
        <v>0</v>
      </c>
      <c r="NV8" s="338">
        <f>IFERROR(1/Calculations_APPURT[[#This Row],[Brackets]],0) * cv_M/cv_F * Forces_APPURT[[#This Row],[Alpha Fai 150]] * Calculations_APPURT[[#This Row],[Horizontal Offset]]/12</f>
        <v>0</v>
      </c>
      <c r="NW8" s="338">
        <f>IFERROR(1/Calculations_APPURT[[#This Row],[Brackets]],0) * cv_M/cv_F * Forces_APPURT[[#This Row],[Alpha Fai 180]] * Calculations_APPURT[[#This Row],[Horizontal Offset]]/12</f>
        <v>0</v>
      </c>
      <c r="NX8" s="338">
        <f>IFERROR(1/Calculations_APPURT[[#This Row],[Brackets]],0) * cv_M/cv_F * Forces_APPURT[[#This Row],[Alpha Fai 210]] * Calculations_APPURT[[#This Row],[Horizontal Offset]]/12</f>
        <v>0</v>
      </c>
      <c r="NY8" s="338">
        <f>IFERROR(1/Calculations_APPURT[[#This Row],[Brackets]],0) * cv_M/cv_F * Forces_APPURT[[#This Row],[Alpha Fai 225]] * Calculations_APPURT[[#This Row],[Horizontal Offset]]/12</f>
        <v>0</v>
      </c>
      <c r="NZ8" s="338">
        <f>IFERROR(1/Calculations_APPURT[[#This Row],[Brackets]],0) * cv_M/cv_F * Forces_APPURT[[#This Row],[Alpha Fai 240]] * Calculations_APPURT[[#This Row],[Horizontal Offset]]/12</f>
        <v>0</v>
      </c>
      <c r="OA8" s="338">
        <f>IFERROR(1/Calculations_APPURT[[#This Row],[Brackets]],0) * cv_M/cv_F * Forces_APPURT[[#This Row],[Alpha Fai 270]] * Calculations_APPURT[[#This Row],[Horizontal Offset]]/12</f>
        <v>0</v>
      </c>
      <c r="OB8" s="338">
        <f>IFERROR(1/Calculations_APPURT[[#This Row],[Brackets]],0) * cv_M/cv_F * Forces_APPURT[[#This Row],[Alpha Fai 300]] * Calculations_APPURT[[#This Row],[Horizontal Offset]]/12</f>
        <v>0</v>
      </c>
      <c r="OC8" s="338">
        <f>IFERROR(1/Calculations_APPURT[[#This Row],[Brackets]],0) * cv_M/cv_F * Forces_APPURT[[#This Row],[Alpha Fai 315]] * Calculations_APPURT[[#This Row],[Horizontal Offset]]/12</f>
        <v>0</v>
      </c>
      <c r="OD8" s="338">
        <f>IFERROR(1/Calculations_APPURT[[#This Row],[Brackets]],0) * cv_M/cv_F * Forces_APPURT[[#This Row],[Alpha Fai 330]] * Calculations_APPURT[[#This Row],[Horizontal Offset]]/12</f>
        <v>0</v>
      </c>
      <c r="OE8" s="276">
        <f>IFERROR(1/Calculations_APPURT[[#This Row],[Brackets]],0) * cv_M/cv_F * Forces_APPURT[[#This Row],[Beta Fai 0]] * Calculations_APPURT[[#This Row],[Horizontal Offset]]/12</f>
        <v>0</v>
      </c>
      <c r="OF8" s="276">
        <f>IFERROR(1/Calculations_APPURT[[#This Row],[Brackets]],0) * cv_M/cv_F * Forces_APPURT[[#This Row],[Beta Fai 30]] * Calculations_APPURT[[#This Row],[Horizontal Offset]]/12</f>
        <v>0</v>
      </c>
      <c r="OG8" s="276">
        <f>IFERROR(1/Calculations_APPURT[[#This Row],[Brackets]],0) * cv_M/cv_F * Forces_APPURT[[#This Row],[Beta Fai 45]] * Calculations_APPURT[[#This Row],[Horizontal Offset]]/12</f>
        <v>0</v>
      </c>
      <c r="OH8" s="276">
        <f>IFERROR(1/Calculations_APPURT[[#This Row],[Brackets]],0) * cv_M/cv_F * Forces_APPURT[[#This Row],[Beta Fai 60]] * Calculations_APPURT[[#This Row],[Horizontal Offset]]/12</f>
        <v>0</v>
      </c>
      <c r="OI8" s="276">
        <f>IFERROR(1/Calculations_APPURT[[#This Row],[Brackets]],0) * cv_M/cv_F * Forces_APPURT[[#This Row],[Beta Fai 90]] * Calculations_APPURT[[#This Row],[Horizontal Offset]]/12</f>
        <v>0</v>
      </c>
      <c r="OJ8" s="276">
        <f>IFERROR(1/Calculations_APPURT[[#This Row],[Brackets]],0) * cv_M/cv_F * Forces_APPURT[[#This Row],[Beta Fai 120]] * Calculations_APPURT[[#This Row],[Horizontal Offset]]/12</f>
        <v>0</v>
      </c>
      <c r="OK8" s="276">
        <f>IFERROR(1/Calculations_APPURT[[#This Row],[Brackets]],0) * cv_M/cv_F * Forces_APPURT[[#This Row],[Beta Fai 135]] * Calculations_APPURT[[#This Row],[Horizontal Offset]]/12</f>
        <v>0</v>
      </c>
      <c r="OL8" s="276">
        <f>IFERROR(1/Calculations_APPURT[[#This Row],[Brackets]],0) * cv_M/cv_F * Forces_APPURT[[#This Row],[Beta Fai 150]] * Calculations_APPURT[[#This Row],[Horizontal Offset]]/12</f>
        <v>0</v>
      </c>
      <c r="OM8" s="276">
        <f>IFERROR(1/Calculations_APPURT[[#This Row],[Brackets]],0) * cv_M/cv_F * Forces_APPURT[[#This Row],[Beta Fai 180]] * Calculations_APPURT[[#This Row],[Horizontal Offset]]/12</f>
        <v>0</v>
      </c>
      <c r="ON8" s="276">
        <f>IFERROR(1/Calculations_APPURT[[#This Row],[Brackets]],0) * cv_M/cv_F * Forces_APPURT[[#This Row],[Beta Fai 210]] * Calculations_APPURT[[#This Row],[Horizontal Offset]]/12</f>
        <v>0</v>
      </c>
      <c r="OO8" s="276">
        <f>IFERROR(1/Calculations_APPURT[[#This Row],[Brackets]],0) * cv_M/cv_F * Forces_APPURT[[#This Row],[Beta Fai 225]] * Calculations_APPURT[[#This Row],[Horizontal Offset]]/12</f>
        <v>0</v>
      </c>
      <c r="OP8" s="276">
        <f>IFERROR(1/Calculations_APPURT[[#This Row],[Brackets]],0) * cv_M/cv_F * Forces_APPURT[[#This Row],[Beta Fai 240]] * Calculations_APPURT[[#This Row],[Horizontal Offset]]/12</f>
        <v>0</v>
      </c>
      <c r="OQ8" s="276">
        <f>IFERROR(1/Calculations_APPURT[[#This Row],[Brackets]],0) * cv_M/cv_F * Forces_APPURT[[#This Row],[Beta Fai 270]] * Calculations_APPURT[[#This Row],[Horizontal Offset]]/12</f>
        <v>0</v>
      </c>
      <c r="OR8" s="276">
        <f>IFERROR(1/Calculations_APPURT[[#This Row],[Brackets]],0) * cv_M/cv_F * Forces_APPURT[[#This Row],[Beta Fai 300]] * Calculations_APPURT[[#This Row],[Horizontal Offset]]/12</f>
        <v>0</v>
      </c>
      <c r="OS8" s="276">
        <f>IFERROR(1/Calculations_APPURT[[#This Row],[Brackets]],0) * cv_M/cv_F * Forces_APPURT[[#This Row],[Beta Fai 315]] * Calculations_APPURT[[#This Row],[Horizontal Offset]]/12</f>
        <v>0</v>
      </c>
      <c r="OT8" s="276">
        <f>IFERROR(1/Calculations_APPURT[[#This Row],[Brackets]],0) * cv_M/cv_F * Forces_APPURT[[#This Row],[Beta Fai 330]] * Calculations_APPURT[[#This Row],[Horizontal Offset]]/12</f>
        <v>0</v>
      </c>
      <c r="OU8" s="338">
        <f>IFERROR(1/Calculations_APPURT[[#This Row],[Brackets]],0) * cv_M/cv_F * Forces_APPURT[[#This Row],[Gamma Fai 0]] * Calculations_APPURT[[#This Row],[Horizontal Offset]]/12</f>
        <v>0</v>
      </c>
      <c r="OV8" s="338">
        <f>IFERROR(1/Calculations_APPURT[[#This Row],[Brackets]],0) * cv_M/cv_F * Forces_APPURT[[#This Row],[Gamma Fai 30]] * Calculations_APPURT[[#This Row],[Horizontal Offset]]/12</f>
        <v>0</v>
      </c>
      <c r="OW8" s="338">
        <f>IFERROR(1/Calculations_APPURT[[#This Row],[Brackets]],0) * cv_M/cv_F * Forces_APPURT[[#This Row],[Gamma Fai 45]] * Calculations_APPURT[[#This Row],[Horizontal Offset]]/12</f>
        <v>0</v>
      </c>
      <c r="OX8" s="338">
        <f>IFERROR(1/Calculations_APPURT[[#This Row],[Brackets]],0) * cv_M/cv_F * Forces_APPURT[[#This Row],[Gamma Fai 60]] * Calculations_APPURT[[#This Row],[Horizontal Offset]]/12</f>
        <v>0</v>
      </c>
      <c r="OY8" s="338">
        <f>IFERROR(1/Calculations_APPURT[[#This Row],[Brackets]],0) * cv_M/cv_F * Forces_APPURT[[#This Row],[Gamma Fai 90]] * Calculations_APPURT[[#This Row],[Horizontal Offset]]/12</f>
        <v>0</v>
      </c>
      <c r="OZ8" s="338">
        <f>IFERROR(1/Calculations_APPURT[[#This Row],[Brackets]],0) * cv_M/cv_F * Forces_APPURT[[#This Row],[Gamma Fai 120]] * Calculations_APPURT[[#This Row],[Horizontal Offset]]/12</f>
        <v>0</v>
      </c>
      <c r="PA8" s="338">
        <f>IFERROR(1/Calculations_APPURT[[#This Row],[Brackets]],0) * cv_M/cv_F * Forces_APPURT[[#This Row],[Gamma Fai 135]] * Calculations_APPURT[[#This Row],[Horizontal Offset]]/12</f>
        <v>0</v>
      </c>
      <c r="PB8" s="338">
        <f>IFERROR(1/Calculations_APPURT[[#This Row],[Brackets]],0) * cv_M/cv_F * Forces_APPURT[[#This Row],[Gamma Fai 150]] * Calculations_APPURT[[#This Row],[Horizontal Offset]]/12</f>
        <v>0</v>
      </c>
      <c r="PC8" s="338">
        <f>IFERROR(1/Calculations_APPURT[[#This Row],[Brackets]],0) * cv_M/cv_F * Forces_APPURT[[#This Row],[Gamma Fai 180]] * Calculations_APPURT[[#This Row],[Horizontal Offset]]/12</f>
        <v>0</v>
      </c>
      <c r="PD8" s="338">
        <f>IFERROR(1/Calculations_APPURT[[#This Row],[Brackets]],0) * cv_M/cv_F * Forces_APPURT[[#This Row],[Gamma Fai 210]] * Calculations_APPURT[[#This Row],[Horizontal Offset]]/12</f>
        <v>0</v>
      </c>
      <c r="PE8" s="338">
        <f>IFERROR(1/Calculations_APPURT[[#This Row],[Brackets]],0) * cv_M/cv_F * Forces_APPURT[[#This Row],[Gamma Fai 225]] * Calculations_APPURT[[#This Row],[Horizontal Offset]]/12</f>
        <v>0</v>
      </c>
      <c r="PF8" s="338">
        <f>IFERROR(1/Calculations_APPURT[[#This Row],[Brackets]],0) * cv_M/cv_F * Forces_APPURT[[#This Row],[Gamma Fai 240]] * Calculations_APPURT[[#This Row],[Horizontal Offset]]/12</f>
        <v>0</v>
      </c>
      <c r="PG8" s="338">
        <f>IFERROR(1/Calculations_APPURT[[#This Row],[Brackets]],0) * cv_M/cv_F * Forces_APPURT[[#This Row],[Gamma Fai 270]] * Calculations_APPURT[[#This Row],[Horizontal Offset]]/12</f>
        <v>0</v>
      </c>
      <c r="PH8" s="338">
        <f>IFERROR(1/Calculations_APPURT[[#This Row],[Brackets]],0) * cv_M/cv_F * Forces_APPURT[[#This Row],[Gamma Fai 300]] * Calculations_APPURT[[#This Row],[Horizontal Offset]]/12</f>
        <v>0</v>
      </c>
      <c r="PI8" s="338">
        <f>IFERROR(1/Calculations_APPURT[[#This Row],[Brackets]],0) * cv_M/cv_F * Forces_APPURT[[#This Row],[Gamma Fai 315]] * Calculations_APPURT[[#This Row],[Horizontal Offset]]/12</f>
        <v>0</v>
      </c>
      <c r="PJ8" s="338">
        <f>IFERROR(1/Calculations_APPURT[[#This Row],[Brackets]],0) * cv_M/cv_F * Forces_APPURT[[#This Row],[Gamma Fai 330]] * Calculations_APPURT[[#This Row],[Horizontal Offset]]/12</f>
        <v>0</v>
      </c>
      <c r="PK8" s="276">
        <f>IFERROR(1/Calculations_APPURT[[#This Row],[Brackets]],0) * cv_M/cv_F * Forces_APPURT[[#This Row],[Delta Fai 0]] * Calculations_APPURT[[#This Row],[Horizontal Offset]]/12</f>
        <v>0</v>
      </c>
      <c r="PL8" s="276">
        <f>IFERROR(1/Calculations_APPURT[[#This Row],[Brackets]],0) * cv_M/cv_F * Forces_APPURT[[#This Row],[Delta Fai 30]] * Calculations_APPURT[[#This Row],[Horizontal Offset]]/12</f>
        <v>0</v>
      </c>
      <c r="PM8" s="276">
        <f>IFERROR(1/Calculations_APPURT[[#This Row],[Brackets]],0) * cv_M/cv_F * Forces_APPURT[[#This Row],[Delta Fai 45]] * Calculations_APPURT[[#This Row],[Horizontal Offset]]/12</f>
        <v>0</v>
      </c>
      <c r="PN8" s="276">
        <f>IFERROR(1/Calculations_APPURT[[#This Row],[Brackets]],0) * cv_M/cv_F * Forces_APPURT[[#This Row],[Delta Fai 60]] * Calculations_APPURT[[#This Row],[Horizontal Offset]]/12</f>
        <v>0</v>
      </c>
      <c r="PO8" s="276">
        <f>IFERROR(1/Calculations_APPURT[[#This Row],[Brackets]],0) * cv_M/cv_F * Forces_APPURT[[#This Row],[Delta Fai 90]] * Calculations_APPURT[[#This Row],[Horizontal Offset]]/12</f>
        <v>0</v>
      </c>
      <c r="PP8" s="276">
        <f>IFERROR(1/Calculations_APPURT[[#This Row],[Brackets]],0) * cv_M/cv_F * Forces_APPURT[[#This Row],[Delta Fai 120]] * Calculations_APPURT[[#This Row],[Horizontal Offset]]/12</f>
        <v>0</v>
      </c>
      <c r="PQ8" s="276">
        <f>IFERROR(1/Calculations_APPURT[[#This Row],[Brackets]],0) * cv_M/cv_F * Forces_APPURT[[#This Row],[Delta Fai 135]] * Calculations_APPURT[[#This Row],[Horizontal Offset]]/12</f>
        <v>0</v>
      </c>
      <c r="PR8" s="276">
        <f>IFERROR(1/Calculations_APPURT[[#This Row],[Brackets]],0) * cv_M/cv_F * Forces_APPURT[[#This Row],[Delta Fai 150]] * Calculations_APPURT[[#This Row],[Horizontal Offset]]/12</f>
        <v>0</v>
      </c>
      <c r="PS8" s="276">
        <f>IFERROR(1/Calculations_APPURT[[#This Row],[Brackets]],0) * cv_M/cv_F * Forces_APPURT[[#This Row],[Delta Fai 180]] * Calculations_APPURT[[#This Row],[Horizontal Offset]]/12</f>
        <v>0</v>
      </c>
      <c r="PT8" s="276">
        <f>IFERROR(1/Calculations_APPURT[[#This Row],[Brackets]],0) * cv_M/cv_F * Forces_APPURT[[#This Row],[Delta Fai 210]] * Calculations_APPURT[[#This Row],[Horizontal Offset]]/12</f>
        <v>0</v>
      </c>
      <c r="PU8" s="276">
        <f>IFERROR(1/Calculations_APPURT[[#This Row],[Brackets]],0) * cv_M/cv_F * Forces_APPURT[[#This Row],[Delta Fai 225]] * Calculations_APPURT[[#This Row],[Horizontal Offset]]/12</f>
        <v>0</v>
      </c>
      <c r="PV8" s="276">
        <f>IFERROR(1/Calculations_APPURT[[#This Row],[Brackets]],0) * cv_M/cv_F * Forces_APPURT[[#This Row],[Delta Fai 240]] * Calculations_APPURT[[#This Row],[Horizontal Offset]]/12</f>
        <v>0</v>
      </c>
      <c r="PW8" s="276">
        <f>IFERROR(1/Calculations_APPURT[[#This Row],[Brackets]],0) * cv_M/cv_F * Forces_APPURT[[#This Row],[Delta Fai 270]] * Calculations_APPURT[[#This Row],[Horizontal Offset]]/12</f>
        <v>0</v>
      </c>
      <c r="PX8" s="276">
        <f>IFERROR(1/Calculations_APPURT[[#This Row],[Brackets]],0) * cv_M/cv_F * Forces_APPURT[[#This Row],[Delta Fai 300]] * Calculations_APPURT[[#This Row],[Horizontal Offset]]/12</f>
        <v>0</v>
      </c>
      <c r="PY8" s="276">
        <f>IFERROR(1/Calculations_APPURT[[#This Row],[Brackets]],0) * cv_M/cv_F * Forces_APPURT[[#This Row],[Delta Fai 315]] * Calculations_APPURT[[#This Row],[Horizontal Offset]]/12</f>
        <v>0</v>
      </c>
      <c r="PZ8" s="276">
        <f>IFERROR(1/Calculations_APPURT[[#This Row],[Brackets]],0) * cv_M/cv_F * Forces_APPURT[[#This Row],[Delta Fai 330]] * Calculations_APPURT[[#This Row],[Horizontal Offset]]/12</f>
        <v>0</v>
      </c>
      <c r="QA8" s="338">
        <f>IFERROR(1/Calculations_APPURT[[#This Row],[Brackets]],0) * cv_M/cv_F * Forces_APPURT[[#This Row],[Alpha Fa 0]] * Calculations_APPURT[[#This Row],[Lateral Offset]]/12</f>
        <v>0</v>
      </c>
      <c r="QB8" s="338">
        <f>IFERROR(1/Calculations_APPURT[[#This Row],[Brackets]],0) * cv_M/cv_F * Forces_APPURT[[#This Row],[Alpha Fa 30]] * Calculations_APPURT[[#This Row],[Lateral Offset]]/12</f>
        <v>0</v>
      </c>
      <c r="QC8" s="338">
        <f>IFERROR(1/Calculations_APPURT[[#This Row],[Brackets]],0) * cv_M/cv_F * Forces_APPURT[[#This Row],[Alpha Fa 45]] * Calculations_APPURT[[#This Row],[Lateral Offset]]/12</f>
        <v>0</v>
      </c>
      <c r="QD8" s="338">
        <f>IFERROR(1/Calculations_APPURT[[#This Row],[Brackets]],0) * cv_M/cv_F * Forces_APPURT[[#This Row],[Alpha Fa 60]] * Calculations_APPURT[[#This Row],[Lateral Offset]]/12</f>
        <v>0</v>
      </c>
      <c r="QE8" s="338">
        <f>IFERROR(1/Calculations_APPURT[[#This Row],[Brackets]],0) * cv_M/cv_F * Forces_APPURT[[#This Row],[Alpha Fa 90]] * Calculations_APPURT[[#This Row],[Lateral Offset]]/12</f>
        <v>0</v>
      </c>
      <c r="QF8" s="338">
        <f>IFERROR(1/Calculations_APPURT[[#This Row],[Brackets]],0) * cv_M/cv_F * Forces_APPURT[[#This Row],[Alpha Fa 120]] * Calculations_APPURT[[#This Row],[Lateral Offset]]/12</f>
        <v>0</v>
      </c>
      <c r="QG8" s="338">
        <f>IFERROR(1/Calculations_APPURT[[#This Row],[Brackets]],0) * cv_M/cv_F * Forces_APPURT[[#This Row],[Alpha Fa 135]] * Calculations_APPURT[[#This Row],[Lateral Offset]]/12</f>
        <v>0</v>
      </c>
      <c r="QH8" s="338">
        <f>IFERROR(1/Calculations_APPURT[[#This Row],[Brackets]],0) * cv_M/cv_F * Forces_APPURT[[#This Row],[Alpha Fa 150]] * Calculations_APPURT[[#This Row],[Lateral Offset]]/12</f>
        <v>0</v>
      </c>
      <c r="QI8" s="338">
        <f>IFERROR(1/Calculations_APPURT[[#This Row],[Brackets]],0) * cv_M/cv_F * Forces_APPURT[[#This Row],[Alpha Fa 180]] * Calculations_APPURT[[#This Row],[Lateral Offset]]/12</f>
        <v>0</v>
      </c>
      <c r="QJ8" s="338">
        <f>IFERROR(1/Calculations_APPURT[[#This Row],[Brackets]],0) * cv_M/cv_F * Forces_APPURT[[#This Row],[Alpha Fa 210]] * Calculations_APPURT[[#This Row],[Lateral Offset]]/12</f>
        <v>0</v>
      </c>
      <c r="QK8" s="338">
        <f>IFERROR(1/Calculations_APPURT[[#This Row],[Brackets]],0) * cv_M/cv_F * Forces_APPURT[[#This Row],[Alpha Fa 225]] * Calculations_APPURT[[#This Row],[Lateral Offset]]/12</f>
        <v>0</v>
      </c>
      <c r="QL8" s="338">
        <f>IFERROR(1/Calculations_APPURT[[#This Row],[Brackets]],0) * cv_M/cv_F * Forces_APPURT[[#This Row],[Alpha Fa 240]] * Calculations_APPURT[[#This Row],[Lateral Offset]]/12</f>
        <v>0</v>
      </c>
      <c r="QM8" s="338">
        <f>IFERROR(1/Calculations_APPURT[[#This Row],[Brackets]],0) * cv_M/cv_F * Forces_APPURT[[#This Row],[Alpha Fa 270]] * Calculations_APPURT[[#This Row],[Lateral Offset]]/12</f>
        <v>0</v>
      </c>
      <c r="QN8" s="338">
        <f>IFERROR(1/Calculations_APPURT[[#This Row],[Brackets]],0) * cv_M/cv_F * Forces_APPURT[[#This Row],[Alpha Fa 300]] * Calculations_APPURT[[#This Row],[Lateral Offset]]/12</f>
        <v>0</v>
      </c>
      <c r="QO8" s="338">
        <f>IFERROR(1/Calculations_APPURT[[#This Row],[Brackets]],0) * cv_M/cv_F * Forces_APPURT[[#This Row],[Alpha Fa 315]] * Calculations_APPURT[[#This Row],[Lateral Offset]]/12</f>
        <v>0</v>
      </c>
      <c r="QP8" s="338">
        <f>IFERROR(1/Calculations_APPURT[[#This Row],[Brackets]],0) * cv_M/cv_F * Forces_APPURT[[#This Row],[Alpha Fa 330]] * Calculations_APPURT[[#This Row],[Lateral Offset]]/12</f>
        <v>0</v>
      </c>
      <c r="QQ8" s="276">
        <f>IFERROR(1/Calculations_APPURT[[#This Row],[Brackets]],0) * cv_M/cv_F * Forces_APPURT[[#This Row],[Beta Fa 0]] * Calculations_APPURT[[#This Row],[Lateral Offset]]/12</f>
        <v>0</v>
      </c>
      <c r="QR8" s="276">
        <f>IFERROR(1/Calculations_APPURT[[#This Row],[Brackets]],0) * cv_M/cv_F * Forces_APPURT[[#This Row],[Beta Fa 30]] * Calculations_APPURT[[#This Row],[Lateral Offset]]/12</f>
        <v>0</v>
      </c>
      <c r="QS8" s="276">
        <f>IFERROR(1/Calculations_APPURT[[#This Row],[Brackets]],0) * cv_M/cv_F * Forces_APPURT[[#This Row],[Beta Fa 45]] * Calculations_APPURT[[#This Row],[Lateral Offset]]/12</f>
        <v>0</v>
      </c>
      <c r="QT8" s="276">
        <f>IFERROR(1/Calculations_APPURT[[#This Row],[Brackets]],0) * cv_M/cv_F * Forces_APPURT[[#This Row],[Beta Fa 60]] * Calculations_APPURT[[#This Row],[Lateral Offset]]/12</f>
        <v>0</v>
      </c>
      <c r="QU8" s="276">
        <f>IFERROR(1/Calculations_APPURT[[#This Row],[Brackets]],0) * cv_M/cv_F * Forces_APPURT[[#This Row],[Beta Fa 90]] * Calculations_APPURT[[#This Row],[Lateral Offset]]/12</f>
        <v>0</v>
      </c>
      <c r="QV8" s="276">
        <f>IFERROR(1/Calculations_APPURT[[#This Row],[Brackets]],0) * cv_M/cv_F * Forces_APPURT[[#This Row],[Beta Fa 120]] * Calculations_APPURT[[#This Row],[Lateral Offset]]/12</f>
        <v>0</v>
      </c>
      <c r="QW8" s="276">
        <f>IFERROR(1/Calculations_APPURT[[#This Row],[Brackets]],0) * cv_M/cv_F * Forces_APPURT[[#This Row],[Beta Fa 135]] * Calculations_APPURT[[#This Row],[Lateral Offset]]/12</f>
        <v>0</v>
      </c>
      <c r="QX8" s="276">
        <f>IFERROR(1/Calculations_APPURT[[#This Row],[Brackets]],0) * cv_M/cv_F * Forces_APPURT[[#This Row],[Beta Fa 150]] * Calculations_APPURT[[#This Row],[Lateral Offset]]/12</f>
        <v>0</v>
      </c>
      <c r="QY8" s="276">
        <f>IFERROR(1/Calculations_APPURT[[#This Row],[Brackets]],0) * cv_M/cv_F * Forces_APPURT[[#This Row],[Beta Fa 180]] * Calculations_APPURT[[#This Row],[Lateral Offset]]/12</f>
        <v>0</v>
      </c>
      <c r="QZ8" s="276">
        <f>IFERROR(1/Calculations_APPURT[[#This Row],[Brackets]],0) * cv_M/cv_F * Forces_APPURT[[#This Row],[Beta Fa 210]] * Calculations_APPURT[[#This Row],[Lateral Offset]]/12</f>
        <v>0</v>
      </c>
      <c r="RA8" s="276">
        <f>IFERROR(1/Calculations_APPURT[[#This Row],[Brackets]],0) * cv_M/cv_F * Forces_APPURT[[#This Row],[Beta Fa 225]] * Calculations_APPURT[[#This Row],[Lateral Offset]]/12</f>
        <v>0</v>
      </c>
      <c r="RB8" s="276">
        <f>IFERROR(1/Calculations_APPURT[[#This Row],[Brackets]],0) * cv_M/cv_F * Forces_APPURT[[#This Row],[Beta Fa 240]] * Calculations_APPURT[[#This Row],[Lateral Offset]]/12</f>
        <v>0</v>
      </c>
      <c r="RC8" s="276">
        <f>IFERROR(1/Calculations_APPURT[[#This Row],[Brackets]],0) * cv_M/cv_F * Forces_APPURT[[#This Row],[Beta Fa 270]] * Calculations_APPURT[[#This Row],[Lateral Offset]]/12</f>
        <v>0</v>
      </c>
      <c r="RD8" s="276">
        <f>IFERROR(1/Calculations_APPURT[[#This Row],[Brackets]],0) * cv_M/cv_F * Forces_APPURT[[#This Row],[Beta Fa 300]] * Calculations_APPURT[[#This Row],[Lateral Offset]]/12</f>
        <v>0</v>
      </c>
      <c r="RE8" s="276">
        <f>IFERROR(1/Calculations_APPURT[[#This Row],[Brackets]],0) * cv_M/cv_F * Forces_APPURT[[#This Row],[Beta Fa 315]] * Calculations_APPURT[[#This Row],[Lateral Offset]]/12</f>
        <v>0</v>
      </c>
      <c r="RF8" s="276">
        <f>IFERROR(1/Calculations_APPURT[[#This Row],[Brackets]],0) * cv_M/cv_F * Forces_APPURT[[#This Row],[Beta Fa 330]] * Calculations_APPURT[[#This Row],[Lateral Offset]]/12</f>
        <v>0</v>
      </c>
      <c r="RG8" s="338">
        <f>IFERROR(1/Calculations_APPURT[[#This Row],[Brackets]],0) * cv_M/cv_F * Forces_APPURT[[#This Row],[Gamma Fa 0]] * Calculations_APPURT[[#This Row],[Lateral Offset]]/12</f>
        <v>0</v>
      </c>
      <c r="RH8" s="338">
        <f>IFERROR(1/Calculations_APPURT[[#This Row],[Brackets]],0) * cv_M/cv_F * Forces_APPURT[[#This Row],[Gamma Fa 30]] * Calculations_APPURT[[#This Row],[Lateral Offset]]/12</f>
        <v>0</v>
      </c>
      <c r="RI8" s="338">
        <f>IFERROR(1/Calculations_APPURT[[#This Row],[Brackets]],0) * cv_M/cv_F * Forces_APPURT[[#This Row],[Gamma Fa 45]] * Calculations_APPURT[[#This Row],[Lateral Offset]]/12</f>
        <v>0</v>
      </c>
      <c r="RJ8" s="338">
        <f>IFERROR(1/Calculations_APPURT[[#This Row],[Brackets]],0) * cv_M/cv_F * Forces_APPURT[[#This Row],[Gamma Fa 60]] * Calculations_APPURT[[#This Row],[Lateral Offset]]/12</f>
        <v>0</v>
      </c>
      <c r="RK8" s="338">
        <f>IFERROR(1/Calculations_APPURT[[#This Row],[Brackets]],0) * cv_M/cv_F * Forces_APPURT[[#This Row],[Gamma Fa 90]] * Calculations_APPURT[[#This Row],[Lateral Offset]]/12</f>
        <v>0</v>
      </c>
      <c r="RL8" s="338">
        <f>IFERROR(1/Calculations_APPURT[[#This Row],[Brackets]],0) * cv_M/cv_F * Forces_APPURT[[#This Row],[Gamma Fa 120]] * Calculations_APPURT[[#This Row],[Lateral Offset]]/12</f>
        <v>0</v>
      </c>
      <c r="RM8" s="338">
        <f>IFERROR(1/Calculations_APPURT[[#This Row],[Brackets]],0) * cv_M/cv_F * Forces_APPURT[[#This Row],[Gamma Fa 135]] * Calculations_APPURT[[#This Row],[Lateral Offset]]/12</f>
        <v>0</v>
      </c>
      <c r="RN8" s="338">
        <f>IFERROR(1/Calculations_APPURT[[#This Row],[Brackets]],0) * cv_M/cv_F * Forces_APPURT[[#This Row],[Gamma Fa 150]] * Calculations_APPURT[[#This Row],[Lateral Offset]]/12</f>
        <v>0</v>
      </c>
      <c r="RO8" s="338">
        <f>IFERROR(1/Calculations_APPURT[[#This Row],[Brackets]],0) * cv_M/cv_F * Forces_APPURT[[#This Row],[Gamma Fa 180]] * Calculations_APPURT[[#This Row],[Lateral Offset]]/12</f>
        <v>0</v>
      </c>
      <c r="RP8" s="338">
        <f>IFERROR(1/Calculations_APPURT[[#This Row],[Brackets]],0) * cv_M/cv_F * Forces_APPURT[[#This Row],[Gamma Fa 210]] * Calculations_APPURT[[#This Row],[Lateral Offset]]/12</f>
        <v>0</v>
      </c>
      <c r="RQ8" s="338">
        <f>IFERROR(1/Calculations_APPURT[[#This Row],[Brackets]],0) * cv_M/cv_F * Forces_APPURT[[#This Row],[Gamma Fa 225]] * Calculations_APPURT[[#This Row],[Lateral Offset]]/12</f>
        <v>0</v>
      </c>
      <c r="RR8" s="338">
        <f>IFERROR(1/Calculations_APPURT[[#This Row],[Brackets]],0) * cv_M/cv_F * Forces_APPURT[[#This Row],[Gamma Fa 240]] * Calculations_APPURT[[#This Row],[Lateral Offset]]/12</f>
        <v>0</v>
      </c>
      <c r="RS8" s="338">
        <f>IFERROR(1/Calculations_APPURT[[#This Row],[Brackets]],0) * cv_M/cv_F * Forces_APPURT[[#This Row],[Gamma Fa 270]] * Calculations_APPURT[[#This Row],[Lateral Offset]]/12</f>
        <v>0</v>
      </c>
      <c r="RT8" s="338">
        <f>IFERROR(1/Calculations_APPURT[[#This Row],[Brackets]],0) * cv_M/cv_F * Forces_APPURT[[#This Row],[Gamma Fa 300]] * Calculations_APPURT[[#This Row],[Lateral Offset]]/12</f>
        <v>0</v>
      </c>
      <c r="RU8" s="338">
        <f>IFERROR(1/Calculations_APPURT[[#This Row],[Brackets]],0) * cv_M/cv_F * Forces_APPURT[[#This Row],[Gamma Fa 315]] * Calculations_APPURT[[#This Row],[Lateral Offset]]/12</f>
        <v>0</v>
      </c>
      <c r="RV8" s="338">
        <f>IFERROR(1/Calculations_APPURT[[#This Row],[Brackets]],0) * cv_M/cv_F * Forces_APPURT[[#This Row],[Gamma Fa 330]] * Calculations_APPURT[[#This Row],[Lateral Offset]]/12</f>
        <v>0</v>
      </c>
      <c r="RW8" s="276">
        <f>IFERROR(1/Calculations_APPURT[[#This Row],[Brackets]],0) * cv_M/cv_F * Forces_APPURT[[#This Row],[Delta Fa 0]] * Calculations_APPURT[[#This Row],[Lateral Offset]]/12</f>
        <v>0</v>
      </c>
      <c r="RX8" s="276">
        <f>IFERROR(1/Calculations_APPURT[[#This Row],[Brackets]],0) * cv_M/cv_F * Forces_APPURT[[#This Row],[Delta Fa 30]] * Calculations_APPURT[[#This Row],[Lateral Offset]]/12</f>
        <v>0</v>
      </c>
      <c r="RY8" s="276">
        <f>IFERROR(1/Calculations_APPURT[[#This Row],[Brackets]],0) * cv_M/cv_F * Forces_APPURT[[#This Row],[Delta Fa 45]] * Calculations_APPURT[[#This Row],[Lateral Offset]]/12</f>
        <v>0</v>
      </c>
      <c r="RZ8" s="276">
        <f>IFERROR(1/Calculations_APPURT[[#This Row],[Brackets]],0) * cv_M/cv_F * Forces_APPURT[[#This Row],[Delta Fa 60]] * Calculations_APPURT[[#This Row],[Lateral Offset]]/12</f>
        <v>0</v>
      </c>
      <c r="SA8" s="276">
        <f>IFERROR(1/Calculations_APPURT[[#This Row],[Brackets]],0) * cv_M/cv_F * Forces_APPURT[[#This Row],[Delta Fa 90]] * Calculations_APPURT[[#This Row],[Lateral Offset]]/12</f>
        <v>0</v>
      </c>
      <c r="SB8" s="276">
        <f>IFERROR(1/Calculations_APPURT[[#This Row],[Brackets]],0) * cv_M/cv_F * Forces_APPURT[[#This Row],[Delta Fa 120]] * Calculations_APPURT[[#This Row],[Lateral Offset]]/12</f>
        <v>0</v>
      </c>
      <c r="SC8" s="276">
        <f>IFERROR(1/Calculations_APPURT[[#This Row],[Brackets]],0) * cv_M/cv_F * Forces_APPURT[[#This Row],[Delta Fa 135]] * Calculations_APPURT[[#This Row],[Lateral Offset]]/12</f>
        <v>0</v>
      </c>
      <c r="SD8" s="276">
        <f>IFERROR(1/Calculations_APPURT[[#This Row],[Brackets]],0) * cv_M/cv_F * Forces_APPURT[[#This Row],[Delta Fa 150]] * Calculations_APPURT[[#This Row],[Lateral Offset]]/12</f>
        <v>0</v>
      </c>
      <c r="SE8" s="276">
        <f>IFERROR(1/Calculations_APPURT[[#This Row],[Brackets]],0) * cv_M/cv_F * Forces_APPURT[[#This Row],[Delta Fa 180]] * Calculations_APPURT[[#This Row],[Lateral Offset]]/12</f>
        <v>0</v>
      </c>
      <c r="SF8" s="276">
        <f>IFERROR(1/Calculations_APPURT[[#This Row],[Brackets]],0) * cv_M/cv_F * Forces_APPURT[[#This Row],[Delta Fa 210]] * Calculations_APPURT[[#This Row],[Lateral Offset]]/12</f>
        <v>0</v>
      </c>
      <c r="SG8" s="276">
        <f>IFERROR(1/Calculations_APPURT[[#This Row],[Brackets]],0) * cv_M/cv_F * Forces_APPURT[[#This Row],[Delta Fa 225]] * Calculations_APPURT[[#This Row],[Lateral Offset]]/12</f>
        <v>0</v>
      </c>
      <c r="SH8" s="276">
        <f>IFERROR(1/Calculations_APPURT[[#This Row],[Brackets]],0) * cv_M/cv_F * Forces_APPURT[[#This Row],[Delta Fa 240]] * Calculations_APPURT[[#This Row],[Lateral Offset]]/12</f>
        <v>0</v>
      </c>
      <c r="SI8" s="276">
        <f>IFERROR(1/Calculations_APPURT[[#This Row],[Brackets]],0) * cv_M/cv_F * Forces_APPURT[[#This Row],[Delta Fa 270]] * Calculations_APPURT[[#This Row],[Lateral Offset]]/12</f>
        <v>0</v>
      </c>
      <c r="SJ8" s="276">
        <f>IFERROR(1/Calculations_APPURT[[#This Row],[Brackets]],0) * cv_M/cv_F * Forces_APPURT[[#This Row],[Delta Fa 300]] * Calculations_APPURT[[#This Row],[Lateral Offset]]/12</f>
        <v>0</v>
      </c>
      <c r="SK8" s="276">
        <f>IFERROR(1/Calculations_APPURT[[#This Row],[Brackets]],0) * cv_M/cv_F * Forces_APPURT[[#This Row],[Delta Fa 315]] * Calculations_APPURT[[#This Row],[Lateral Offset]]/12</f>
        <v>0</v>
      </c>
      <c r="SL8" s="276">
        <f>IFERROR(1/Calculations_APPURT[[#This Row],[Brackets]],0) * cv_M/cv_F * Forces_APPURT[[#This Row],[Delta Fa 330]] * Calculations_APPURT[[#This Row],[Lateral Offset]]/12</f>
        <v>0</v>
      </c>
      <c r="SM8" s="338">
        <f>IFERROR(1/Calculations_APPURT[[#This Row],[Brackets]],0) * cv_M/cv_F * Forces_APPURT[[#This Row],[Alpha Fai 0]] * Calculations_APPURT[[#This Row],[Lateral Offset]]/12</f>
        <v>0</v>
      </c>
      <c r="SN8" s="338">
        <f>IFERROR(1/Calculations_APPURT[[#This Row],[Brackets]],0) * cv_M/cv_F * Forces_APPURT[[#This Row],[Alpha Fai 30]] * Calculations_APPURT[[#This Row],[Lateral Offset]]/12</f>
        <v>0</v>
      </c>
      <c r="SO8" s="338">
        <f>IFERROR(1/Calculations_APPURT[[#This Row],[Brackets]],0) * cv_M/cv_F * Forces_APPURT[[#This Row],[Alpha Fai 45]] * Calculations_APPURT[[#This Row],[Lateral Offset]]/12</f>
        <v>0</v>
      </c>
      <c r="SP8" s="338">
        <f>IFERROR(1/Calculations_APPURT[[#This Row],[Brackets]],0) * cv_M/cv_F * Forces_APPURT[[#This Row],[Alpha Fai 60]] * Calculations_APPURT[[#This Row],[Lateral Offset]]/12</f>
        <v>0</v>
      </c>
      <c r="SQ8" s="338">
        <f>IFERROR(1/Calculations_APPURT[[#This Row],[Brackets]],0) * cv_M/cv_F * Forces_APPURT[[#This Row],[Alpha Fai 90]] * Calculations_APPURT[[#This Row],[Lateral Offset]]/12</f>
        <v>0</v>
      </c>
      <c r="SR8" s="338">
        <f>IFERROR(1/Calculations_APPURT[[#This Row],[Brackets]],0) * cv_M/cv_F * Forces_APPURT[[#This Row],[Alpha Fai 120]] * Calculations_APPURT[[#This Row],[Lateral Offset]]/12</f>
        <v>0</v>
      </c>
      <c r="SS8" s="338">
        <f>IFERROR(1/Calculations_APPURT[[#This Row],[Brackets]],0) * cv_M/cv_F * Forces_APPURT[[#This Row],[Alpha Fai 135]] * Calculations_APPURT[[#This Row],[Lateral Offset]]/12</f>
        <v>0</v>
      </c>
      <c r="ST8" s="338">
        <f>IFERROR(1/Calculations_APPURT[[#This Row],[Brackets]],0) * cv_M/cv_F * Forces_APPURT[[#This Row],[Alpha Fai 150]] * Calculations_APPURT[[#This Row],[Lateral Offset]]/12</f>
        <v>0</v>
      </c>
      <c r="SU8" s="338">
        <f>IFERROR(1/Calculations_APPURT[[#This Row],[Brackets]],0) * cv_M/cv_F * Forces_APPURT[[#This Row],[Alpha Fai 180]] * Calculations_APPURT[[#This Row],[Lateral Offset]]/12</f>
        <v>0</v>
      </c>
      <c r="SV8" s="338">
        <f>IFERROR(1/Calculations_APPURT[[#This Row],[Brackets]],0) * cv_M/cv_F * Forces_APPURT[[#This Row],[Alpha Fai 210]] * Calculations_APPURT[[#This Row],[Lateral Offset]]/12</f>
        <v>0</v>
      </c>
      <c r="SW8" s="338">
        <f>IFERROR(1/Calculations_APPURT[[#This Row],[Brackets]],0) * cv_M/cv_F * Forces_APPURT[[#This Row],[Alpha Fai 225]] * Calculations_APPURT[[#This Row],[Lateral Offset]]/12</f>
        <v>0</v>
      </c>
      <c r="SX8" s="338">
        <f>IFERROR(1/Calculations_APPURT[[#This Row],[Brackets]],0) * cv_M/cv_F * Forces_APPURT[[#This Row],[Alpha Fai 240]] * Calculations_APPURT[[#This Row],[Lateral Offset]]/12</f>
        <v>0</v>
      </c>
      <c r="SY8" s="338">
        <f>IFERROR(1/Calculations_APPURT[[#This Row],[Brackets]],0) * cv_M/cv_F * Forces_APPURT[[#This Row],[Alpha Fai 270]] * Calculations_APPURT[[#This Row],[Lateral Offset]]/12</f>
        <v>0</v>
      </c>
      <c r="SZ8" s="338">
        <f>IFERROR(1/Calculations_APPURT[[#This Row],[Brackets]],0) * cv_M/cv_F * Forces_APPURT[[#This Row],[Alpha Fai 300]] * Calculations_APPURT[[#This Row],[Lateral Offset]]/12</f>
        <v>0</v>
      </c>
      <c r="TA8" s="338">
        <f>IFERROR(1/Calculations_APPURT[[#This Row],[Brackets]],0) * cv_M/cv_F * Forces_APPURT[[#This Row],[Alpha Fai 315]] * Calculations_APPURT[[#This Row],[Lateral Offset]]/12</f>
        <v>0</v>
      </c>
      <c r="TB8" s="338">
        <f>IFERROR(1/Calculations_APPURT[[#This Row],[Brackets]],0) * cv_M/cv_F * Forces_APPURT[[#This Row],[Alpha Fai 330]] * Calculations_APPURT[[#This Row],[Lateral Offset]]/12</f>
        <v>0</v>
      </c>
      <c r="TC8" s="276">
        <f>IFERROR(1/Calculations_APPURT[[#This Row],[Brackets]],0) * cv_M/cv_F * Forces_APPURT[[#This Row],[Beta Fai 0]] * Calculations_APPURT[[#This Row],[Lateral Offset]]/12</f>
        <v>0</v>
      </c>
      <c r="TD8" s="276">
        <f>IFERROR(1/Calculations_APPURT[[#This Row],[Brackets]],0) * cv_M/cv_F * Forces_APPURT[[#This Row],[Beta Fai 30]] * Calculations_APPURT[[#This Row],[Lateral Offset]]/12</f>
        <v>0</v>
      </c>
      <c r="TE8" s="276">
        <f>IFERROR(1/Calculations_APPURT[[#This Row],[Brackets]],0) * cv_M/cv_F * Forces_APPURT[[#This Row],[Beta Fai 45]] * Calculations_APPURT[[#This Row],[Lateral Offset]]/12</f>
        <v>0</v>
      </c>
      <c r="TF8" s="276">
        <f>IFERROR(1/Calculations_APPURT[[#This Row],[Brackets]],0) * cv_M/cv_F * Forces_APPURT[[#This Row],[Beta Fai 60]] * Calculations_APPURT[[#This Row],[Lateral Offset]]/12</f>
        <v>0</v>
      </c>
      <c r="TG8" s="276">
        <f>IFERROR(1/Calculations_APPURT[[#This Row],[Brackets]],0) * cv_M/cv_F * Forces_APPURT[[#This Row],[Beta Fai 90]] * Calculations_APPURT[[#This Row],[Lateral Offset]]/12</f>
        <v>0</v>
      </c>
      <c r="TH8" s="276">
        <f>IFERROR(1/Calculations_APPURT[[#This Row],[Brackets]],0) * cv_M/cv_F * Forces_APPURT[[#This Row],[Beta Fai 120]] * Calculations_APPURT[[#This Row],[Lateral Offset]]/12</f>
        <v>0</v>
      </c>
      <c r="TI8" s="276">
        <f>IFERROR(1/Calculations_APPURT[[#This Row],[Brackets]],0) * cv_M/cv_F * Forces_APPURT[[#This Row],[Beta Fai 135]] * Calculations_APPURT[[#This Row],[Lateral Offset]]/12</f>
        <v>0</v>
      </c>
      <c r="TJ8" s="276">
        <f>IFERROR(1/Calculations_APPURT[[#This Row],[Brackets]],0) * cv_M/cv_F * Forces_APPURT[[#This Row],[Beta Fai 150]] * Calculations_APPURT[[#This Row],[Lateral Offset]]/12</f>
        <v>0</v>
      </c>
      <c r="TK8" s="276">
        <f>IFERROR(1/Calculations_APPURT[[#This Row],[Brackets]],0) * cv_M/cv_F * Forces_APPURT[[#This Row],[Beta Fai 180]] * Calculations_APPURT[[#This Row],[Lateral Offset]]/12</f>
        <v>0</v>
      </c>
      <c r="TL8" s="276">
        <f>IFERROR(1/Calculations_APPURT[[#This Row],[Brackets]],0) * cv_M/cv_F * Forces_APPURT[[#This Row],[Beta Fai 210]] * Calculations_APPURT[[#This Row],[Lateral Offset]]/12</f>
        <v>0</v>
      </c>
      <c r="TM8" s="276">
        <f>IFERROR(1/Calculations_APPURT[[#This Row],[Brackets]],0) * cv_M/cv_F * Forces_APPURT[[#This Row],[Beta Fai 225]] * Calculations_APPURT[[#This Row],[Lateral Offset]]/12</f>
        <v>0</v>
      </c>
      <c r="TN8" s="276">
        <f>IFERROR(1/Calculations_APPURT[[#This Row],[Brackets]],0) * cv_M/cv_F * Forces_APPURT[[#This Row],[Beta Fai 240]] * Calculations_APPURT[[#This Row],[Lateral Offset]]/12</f>
        <v>0</v>
      </c>
      <c r="TO8" s="276">
        <f>IFERROR(1/Calculations_APPURT[[#This Row],[Brackets]],0) * cv_M/cv_F * Forces_APPURT[[#This Row],[Beta Fai 270]] * Calculations_APPURT[[#This Row],[Lateral Offset]]/12</f>
        <v>0</v>
      </c>
      <c r="TP8" s="276">
        <f>IFERROR(1/Calculations_APPURT[[#This Row],[Brackets]],0) * cv_M/cv_F * Forces_APPURT[[#This Row],[Beta Fai 300]] * Calculations_APPURT[[#This Row],[Lateral Offset]]/12</f>
        <v>0</v>
      </c>
      <c r="TQ8" s="276">
        <f>IFERROR(1/Calculations_APPURT[[#This Row],[Brackets]],0) * cv_M/cv_F * Forces_APPURT[[#This Row],[Beta Fai 315]] * Calculations_APPURT[[#This Row],[Lateral Offset]]/12</f>
        <v>0</v>
      </c>
      <c r="TR8" s="276">
        <f>IFERROR(1/Calculations_APPURT[[#This Row],[Brackets]],0) * cv_M/cv_F * Forces_APPURT[[#This Row],[Beta Fai 330]] * Calculations_APPURT[[#This Row],[Lateral Offset]]/12</f>
        <v>0</v>
      </c>
      <c r="TS8" s="338">
        <f>IFERROR(1/Calculations_APPURT[[#This Row],[Brackets]],0) * cv_M/cv_F * Forces_APPURT[[#This Row],[Gamma Fai 0]] * Calculations_APPURT[[#This Row],[Lateral Offset]]/12</f>
        <v>0</v>
      </c>
      <c r="TT8" s="338">
        <f>IFERROR(1/Calculations_APPURT[[#This Row],[Brackets]],0) * cv_M/cv_F * Forces_APPURT[[#This Row],[Gamma Fai 30]] * Calculations_APPURT[[#This Row],[Lateral Offset]]/12</f>
        <v>0</v>
      </c>
      <c r="TU8" s="338">
        <f>IFERROR(1/Calculations_APPURT[[#This Row],[Brackets]],0) * cv_M/cv_F * Forces_APPURT[[#This Row],[Gamma Fai 45]] * Calculations_APPURT[[#This Row],[Lateral Offset]]/12</f>
        <v>0</v>
      </c>
      <c r="TV8" s="338">
        <f>IFERROR(1/Calculations_APPURT[[#This Row],[Brackets]],0) * cv_M/cv_F * Forces_APPURT[[#This Row],[Gamma Fai 60]] * Calculations_APPURT[[#This Row],[Lateral Offset]]/12</f>
        <v>0</v>
      </c>
      <c r="TW8" s="338">
        <f>IFERROR(1/Calculations_APPURT[[#This Row],[Brackets]],0) * cv_M/cv_F * Forces_APPURT[[#This Row],[Gamma Fai 90]] * Calculations_APPURT[[#This Row],[Lateral Offset]]/12</f>
        <v>0</v>
      </c>
      <c r="TX8" s="338">
        <f>IFERROR(1/Calculations_APPURT[[#This Row],[Brackets]],0) * cv_M/cv_F * Forces_APPURT[[#This Row],[Gamma Fai 120]] * Calculations_APPURT[[#This Row],[Lateral Offset]]/12</f>
        <v>0</v>
      </c>
      <c r="TY8" s="338">
        <f>IFERROR(1/Calculations_APPURT[[#This Row],[Brackets]],0) * cv_M/cv_F * Forces_APPURT[[#This Row],[Gamma Fai 135]] * Calculations_APPURT[[#This Row],[Lateral Offset]]/12</f>
        <v>0</v>
      </c>
      <c r="TZ8" s="338">
        <f>IFERROR(1/Calculations_APPURT[[#This Row],[Brackets]],0) * cv_M/cv_F * Forces_APPURT[[#This Row],[Gamma Fai 150]] * Calculations_APPURT[[#This Row],[Lateral Offset]]/12</f>
        <v>0</v>
      </c>
      <c r="UA8" s="338">
        <f>IFERROR(1/Calculations_APPURT[[#This Row],[Brackets]],0) * cv_M/cv_F * Forces_APPURT[[#This Row],[Gamma Fai 180]] * Calculations_APPURT[[#This Row],[Lateral Offset]]/12</f>
        <v>0</v>
      </c>
      <c r="UB8" s="338">
        <f>IFERROR(1/Calculations_APPURT[[#This Row],[Brackets]],0) * cv_M/cv_F * Forces_APPURT[[#This Row],[Gamma Fai 210]] * Calculations_APPURT[[#This Row],[Lateral Offset]]/12</f>
        <v>0</v>
      </c>
      <c r="UC8" s="338">
        <f>IFERROR(1/Calculations_APPURT[[#This Row],[Brackets]],0) * cv_M/cv_F * Forces_APPURT[[#This Row],[Gamma Fai 225]] * Calculations_APPURT[[#This Row],[Lateral Offset]]/12</f>
        <v>0</v>
      </c>
      <c r="UD8" s="338">
        <f>IFERROR(1/Calculations_APPURT[[#This Row],[Brackets]],0) * cv_M/cv_F * Forces_APPURT[[#This Row],[Gamma Fai 240]] * Calculations_APPURT[[#This Row],[Lateral Offset]]/12</f>
        <v>0</v>
      </c>
      <c r="UE8" s="338">
        <f>IFERROR(1/Calculations_APPURT[[#This Row],[Brackets]],0) * cv_M/cv_F * Forces_APPURT[[#This Row],[Gamma Fai 270]] * Calculations_APPURT[[#This Row],[Lateral Offset]]/12</f>
        <v>0</v>
      </c>
      <c r="UF8" s="338">
        <f>IFERROR(1/Calculations_APPURT[[#This Row],[Brackets]],0) * cv_M/cv_F * Forces_APPURT[[#This Row],[Gamma Fai 300]] * Calculations_APPURT[[#This Row],[Lateral Offset]]/12</f>
        <v>0</v>
      </c>
      <c r="UG8" s="338">
        <f>IFERROR(1/Calculations_APPURT[[#This Row],[Brackets]],0) * cv_M/cv_F * Forces_APPURT[[#This Row],[Gamma Fai 315]] * Calculations_APPURT[[#This Row],[Lateral Offset]]/12</f>
        <v>0</v>
      </c>
      <c r="UH8" s="338">
        <f>IFERROR(1/Calculations_APPURT[[#This Row],[Brackets]],0) * cv_M/cv_F * Forces_APPURT[[#This Row],[Gamma Fai 330]] * Calculations_APPURT[[#This Row],[Lateral Offset]]/12</f>
        <v>0</v>
      </c>
      <c r="UI8" s="276">
        <f>IFERROR(1/Calculations_APPURT[[#This Row],[Brackets]],0) * cv_M/cv_F * Forces_APPURT[[#This Row],[Delta Fai 0]] * Calculations_APPURT[[#This Row],[Lateral Offset]]/12</f>
        <v>0</v>
      </c>
      <c r="UJ8" s="276">
        <f>IFERROR(1/Calculations_APPURT[[#This Row],[Brackets]],0) * cv_M/cv_F * Forces_APPURT[[#This Row],[Delta Fai 30]] * Calculations_APPURT[[#This Row],[Lateral Offset]]/12</f>
        <v>0</v>
      </c>
      <c r="UK8" s="276">
        <f>IFERROR(1/Calculations_APPURT[[#This Row],[Brackets]],0) * cv_M/cv_F * Forces_APPURT[[#This Row],[Delta Fai 45]] * Calculations_APPURT[[#This Row],[Lateral Offset]]/12</f>
        <v>0</v>
      </c>
      <c r="UL8" s="276">
        <f>IFERROR(1/Calculations_APPURT[[#This Row],[Brackets]],0) * cv_M/cv_F * Forces_APPURT[[#This Row],[Delta Fai 60]] * Calculations_APPURT[[#This Row],[Lateral Offset]]/12</f>
        <v>0</v>
      </c>
      <c r="UM8" s="276">
        <f>IFERROR(1/Calculations_APPURT[[#This Row],[Brackets]],0) * cv_M/cv_F * Forces_APPURT[[#This Row],[Delta Fai 90]] * Calculations_APPURT[[#This Row],[Lateral Offset]]/12</f>
        <v>0</v>
      </c>
      <c r="UN8" s="276">
        <f>IFERROR(1/Calculations_APPURT[[#This Row],[Brackets]],0) * cv_M/cv_F * Forces_APPURT[[#This Row],[Delta Fai 120]] * Calculations_APPURT[[#This Row],[Lateral Offset]]/12</f>
        <v>0</v>
      </c>
      <c r="UO8" s="276">
        <f>IFERROR(1/Calculations_APPURT[[#This Row],[Brackets]],0) * cv_M/cv_F * Forces_APPURT[[#This Row],[Delta Fai 135]] * Calculations_APPURT[[#This Row],[Lateral Offset]]/12</f>
        <v>0</v>
      </c>
      <c r="UP8" s="276">
        <f>IFERROR(1/Calculations_APPURT[[#This Row],[Brackets]],0) * cv_M/cv_F * Forces_APPURT[[#This Row],[Delta Fai 150]] * Calculations_APPURT[[#This Row],[Lateral Offset]]/12</f>
        <v>0</v>
      </c>
      <c r="UQ8" s="276">
        <f>IFERROR(1/Calculations_APPURT[[#This Row],[Brackets]],0) * cv_M/cv_F * Forces_APPURT[[#This Row],[Delta Fai 180]] * Calculations_APPURT[[#This Row],[Lateral Offset]]/12</f>
        <v>0</v>
      </c>
      <c r="UR8" s="276">
        <f>IFERROR(1/Calculations_APPURT[[#This Row],[Brackets]],0) * cv_M/cv_F * Forces_APPURT[[#This Row],[Delta Fai 210]] * Calculations_APPURT[[#This Row],[Lateral Offset]]/12</f>
        <v>0</v>
      </c>
      <c r="US8" s="276">
        <f>IFERROR(1/Calculations_APPURT[[#This Row],[Brackets]],0) * cv_M/cv_F * Forces_APPURT[[#This Row],[Delta Fai 225]] * Calculations_APPURT[[#This Row],[Lateral Offset]]/12</f>
        <v>0</v>
      </c>
      <c r="UT8" s="276">
        <f>IFERROR(1/Calculations_APPURT[[#This Row],[Brackets]],0) * cv_M/cv_F * Forces_APPURT[[#This Row],[Delta Fai 240]] * Calculations_APPURT[[#This Row],[Lateral Offset]]/12</f>
        <v>0</v>
      </c>
      <c r="UU8" s="276">
        <f>IFERROR(1/Calculations_APPURT[[#This Row],[Brackets]],0) * cv_M/cv_F * Forces_APPURT[[#This Row],[Delta Fai 270]] * Calculations_APPURT[[#This Row],[Lateral Offset]]/12</f>
        <v>0</v>
      </c>
      <c r="UV8" s="276">
        <f>IFERROR(1/Calculations_APPURT[[#This Row],[Brackets]],0) * cv_M/cv_F * Forces_APPURT[[#This Row],[Delta Fai 300]] * Calculations_APPURT[[#This Row],[Lateral Offset]]/12</f>
        <v>0</v>
      </c>
      <c r="UW8" s="276">
        <f>IFERROR(1/Calculations_APPURT[[#This Row],[Brackets]],0) * cv_M/cv_F * Forces_APPURT[[#This Row],[Delta Fai 315]] * Calculations_APPURT[[#This Row],[Lateral Offset]]/12</f>
        <v>0</v>
      </c>
      <c r="UX8" s="276">
        <f>IFERROR(1/Calculations_APPURT[[#This Row],[Brackets]],0) * cv_M/cv_F * Forces_APPURT[[#This Row],[Delta Fai 330]] * Calculations_APPURT[[#This Row],[Lateral Offset]]/12</f>
        <v>0</v>
      </c>
      <c r="UY8" s="338">
        <f>Dimensions_APPURT[[#This Row],[Weight (lbf)]] * cv_F * AlphaSector[[#This Row],[Quantity]]</f>
        <v>0</v>
      </c>
      <c r="UZ8" s="338">
        <f>Dimensions_APPURT[[#This Row],[Weight (lbf)]] * cv_F * BetaSector[[#This Row],[Quantity]]</f>
        <v>0</v>
      </c>
      <c r="VA8" s="338">
        <f>Dimensions_APPURT[[#This Row],[Weight (lbf)]] * cv_F * GammaSector[[#This Row],[Quantity]]</f>
        <v>0</v>
      </c>
      <c r="VB8" s="338">
        <f>Dimensions_APPURT[[#This Row],[Weight (lbf)]] * cv_F * DeltaSector[[#This Row],[Quantity]]</f>
        <v>0</v>
      </c>
      <c r="VC8" s="209">
        <f>Dimensions_APPURT[[#This Row],[Weight (lbf)]] * cv_M * AlphaSector[[#This Row],[Quantity]] * Calculations_APPURT[[#This Row],[Horizontal Offset]]/12</f>
        <v>0</v>
      </c>
      <c r="VD8" s="209">
        <f>Dimensions_APPURT[[#This Row],[Weight (lbf)]] * cv_M * BetaSector[[#This Row],[Quantity]] * Calculations_APPURT[[#This Row],[Horizontal Offset]]/12</f>
        <v>0</v>
      </c>
      <c r="VE8" s="209">
        <f>Dimensions_APPURT[[#This Row],[Weight (lbf)]] * cv_M * GammaSector[[#This Row],[Quantity]] * Calculations_APPURT[[#This Row],[Horizontal Offset]]/12</f>
        <v>0</v>
      </c>
      <c r="VF8" s="209">
        <f>Dimensions_APPURT[[#This Row],[Weight (lbf)]] * cv_M * DeltaSector[[#This Row],[Quantity]] * Calculations_APPURT[[#This Row],[Horizontal Offset]]/12</f>
        <v>0</v>
      </c>
      <c r="VG8" s="338">
        <f>Hazards_APPURT[[#This Row],[Ice Weight]] * cv_F * AlphaSector[[#This Row],[Quantity]]</f>
        <v>0</v>
      </c>
      <c r="VH8" s="338">
        <f>Hazards_APPURT[[#This Row],[Ice Weight]] * cv_F * BetaSector[[#This Row],[Quantity]]</f>
        <v>0</v>
      </c>
      <c r="VI8" s="338">
        <f>Hazards_APPURT[[#This Row],[Ice Weight]] * cv_F * GammaSector[[#This Row],[Quantity]]</f>
        <v>0</v>
      </c>
      <c r="VJ8" s="338">
        <f>Hazards_APPURT[[#This Row],[Ice Weight]] * cv_F * DeltaSector[[#This Row],[Quantity]]</f>
        <v>0</v>
      </c>
      <c r="VK8" s="209">
        <f>Hazards_APPURT[[#This Row],[Ice Weight]] * cv_M * AlphaSector[[#This Row],[Quantity]] * Calculations_APPURT[[#This Row],[Horizontal Offset]]/12</f>
        <v>0</v>
      </c>
      <c r="VL8" s="209">
        <f>Hazards_APPURT[[#This Row],[Ice Weight]] * cv_M * BetaSector[[#This Row],[Quantity]] * Calculations_APPURT[[#This Row],[Horizontal Offset]]/12</f>
        <v>0</v>
      </c>
      <c r="VM8" s="209">
        <f>Hazards_APPURT[[#This Row],[Ice Weight]] * cv_M * GammaSector[[#This Row],[Quantity]] * Calculations_APPURT[[#This Row],[Horizontal Offset]]/12</f>
        <v>0</v>
      </c>
      <c r="VN8" s="209">
        <f>Hazards_APPURT[[#This Row],[Ice Weight]] * cv_M * DeltaSector[[#This Row],[Quantity]] * Calculations_APPURT[[#This Row],[Horizontal Offset]]/12</f>
        <v>0</v>
      </c>
    </row>
    <row r="9" spans="1:586" ht="15" customHeight="1" x14ac:dyDescent="0.2">
      <c r="A9" s="69"/>
      <c r="B9" s="275"/>
      <c r="E9" s="265"/>
      <c r="L9" s="69"/>
      <c r="R9" s="70"/>
      <c r="T9" s="69"/>
      <c r="V9" s="71"/>
      <c r="W9" s="69"/>
      <c r="X9" s="71"/>
      <c r="Y9" s="69"/>
      <c r="Z9" s="70"/>
      <c r="AB9" s="69"/>
      <c r="AD9" s="71"/>
      <c r="AE9" s="69"/>
      <c r="AF9" s="71"/>
      <c r="AG9" s="69"/>
      <c r="AH9" s="70"/>
      <c r="AJ9" s="69"/>
      <c r="AL9" s="71"/>
      <c r="AM9" s="69"/>
      <c r="AN9" s="71"/>
      <c r="AO9" s="69"/>
      <c r="AP9" s="70"/>
      <c r="AR9" s="69"/>
      <c r="AV9" s="277" cm="1">
        <f t="array" ref="AV9">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9" s="209" cm="1">
        <f t="array" ref="AW9">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9" s="209" cm="1">
        <f t="array" ref="AX9">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9" s="209" cm="1">
        <f t="array" ref="AY9">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9"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9" s="209" cm="1">
        <f t="array" ref="BA9">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9" s="209">
        <f>IF(OR(Calculations_APPURT[[#This Row],[Shape]]="CFD",Calculations_APPURT[[#This Row],[Shape]]="CCI"),1,0.95)</f>
        <v>0.95</v>
      </c>
      <c r="BC9" s="209" cm="1">
        <f t="array" ref="BC9">0.00256 * Hazards_APPURT[[#This Row],[Kz]] * Kzt * Ks * I.wind * V^2 * IF(RIGHT(TIA,1)="G",1,Ke) * IF(OR(Calculations_APPURT[[#This Row],[Shape]]="CFD",Calculations_APPURT[[#This Row],[Shape]]="CCI"),1, Hazards_APPURT[[#This Row],[Kd]]) * Gh</f>
        <v>0</v>
      </c>
      <c r="BD9" s="209">
        <f>IF(Risk="I",0,MIN(((z+Calculations_APPURT[[#This Row],[Vertical Offset]]/12)/33)^(0.1),1.4))</f>
        <v>0</v>
      </c>
      <c r="BE9" s="209" cm="1">
        <f t="array" ref="BE9">IF(Risk="I",0,IF(TIA="ANSI/TIA-222-G",2,1*Kes.i)*ti*I.ice*Hazards_APPURT[[#This Row],[Kiz]]*(Kzt/Ks)^(0.35))</f>
        <v>0</v>
      </c>
      <c r="BF9" s="209" cm="1">
        <f t="array" ref="BF9">0.00256 * Hazards_APPURT[[#This Row],[Kz]] * Kzt * Ks * I.wind * Vi^2 * IF(RIGHT(TIA,1)="G",1,Ke) * IF(OR(Calculations_APPURT[[#This Row],[Shape]]="CFD",Calculations_APPURT[[#This Row],[Shape]]="CCI"),1, Kd) * Gh</f>
        <v>0</v>
      </c>
      <c r="BG9"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9"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9"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9"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9"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9"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9"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9"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9"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9"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9"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9"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9"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9"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9"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9"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9"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9"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9"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9"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9"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9"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9"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9"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9"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9"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9"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9"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9"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9"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9"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9"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9"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9"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9"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9"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9"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9"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9"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9"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9"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9"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9"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9"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9"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9"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9"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9"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9"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9"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9"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9"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9"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9"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9"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9"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9"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9"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9"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9"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9"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9"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9"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9"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9" s="276">
        <f>IFERROR(1/Calculations_APPURT[[#This Row],[Brackets]],0) * cv_F * AlphaSector[[#This Row],[Quantity]] * Hazards_APPURT[[#This Row],[qz]] * CaAa_APPURT[[#This Row],[Alpha 0]] * IF(Calculations_APPURT[[#This Row],[Shape]]="CFD",1, Ka)</f>
        <v>0</v>
      </c>
      <c r="GF9" s="276">
        <f>IFERROR(1/Calculations_APPURT[[#This Row],[Brackets]],0) * cv_F * AlphaSector[[#This Row],[Quantity]] * Hazards_APPURT[[#This Row],[qz]] * CaAa_APPURT[[#This Row],[Alpha 30]] * IF(Calculations_APPURT[[#This Row],[Shape]]="CFD",1, Ka)</f>
        <v>0</v>
      </c>
      <c r="GG9" s="276">
        <f>IFERROR(1/Calculations_APPURT[[#This Row],[Brackets]],0) * cv_F * AlphaSector[[#This Row],[Quantity]] * Hazards_APPURT[[#This Row],[qz]] * CaAa_APPURT[[#This Row],[Alpha 45]] * IF(Calculations_APPURT[[#This Row],[Shape]]="CFD",1, Ka)</f>
        <v>0</v>
      </c>
      <c r="GH9" s="276">
        <f>IFERROR(1/Calculations_APPURT[[#This Row],[Brackets]],0) * cv_F * AlphaSector[[#This Row],[Quantity]] * Hazards_APPURT[[#This Row],[qz]] * CaAa_APPURT[[#This Row],[Alpha 60]] * IF(Calculations_APPURT[[#This Row],[Shape]]="CFD",1, Ka)</f>
        <v>0</v>
      </c>
      <c r="GI9" s="276">
        <f>IFERROR(1/Calculations_APPURT[[#This Row],[Brackets]],0) * cv_F * AlphaSector[[#This Row],[Quantity]] * Hazards_APPURT[[#This Row],[qz]] * CaAa_APPURT[[#This Row],[Alpha 90]] * IF(Calculations_APPURT[[#This Row],[Shape]]="CFD",1, Ka)</f>
        <v>0</v>
      </c>
      <c r="GJ9" s="276">
        <f>IFERROR(1/Calculations_APPURT[[#This Row],[Brackets]],0) * cv_F * AlphaSector[[#This Row],[Quantity]] * Hazards_APPURT[[#This Row],[qz]] * CaAa_APPURT[[#This Row],[Alpha 120]] * IF(Calculations_APPURT[[#This Row],[Shape]]="CFD",1, Ka)</f>
        <v>0</v>
      </c>
      <c r="GK9" s="276">
        <f>IFERROR(1/Calculations_APPURT[[#This Row],[Brackets]],0) * cv_F * AlphaSector[[#This Row],[Quantity]] * Hazards_APPURT[[#This Row],[qz]] * CaAa_APPURT[[#This Row],[Alpha 135]] * IF(Calculations_APPURT[[#This Row],[Shape]]="CFD",1, Ka)</f>
        <v>0</v>
      </c>
      <c r="GL9" s="276">
        <f>IFERROR(1/Calculations_APPURT[[#This Row],[Brackets]],0) * cv_F * AlphaSector[[#This Row],[Quantity]] * Hazards_APPURT[[#This Row],[qz]] * CaAa_APPURT[[#This Row],[Alpha 150]] * IF(Calculations_APPURT[[#This Row],[Shape]]="CFD",1, Ka)</f>
        <v>0</v>
      </c>
      <c r="GM9" s="276">
        <f>IFERROR(1/Calculations_APPURT[[#This Row],[Brackets]],0) * cv_F * AlphaSector[[#This Row],[Quantity]] * Hazards_APPURT[[#This Row],[qz]] * CaAa_APPURT[[#This Row],[Alpha 180]] * IF(Calculations_APPURT[[#This Row],[Shape]]="CFD",1, Ka)</f>
        <v>0</v>
      </c>
      <c r="GN9" s="276">
        <f>IFERROR(1/Calculations_APPURT[[#This Row],[Brackets]],0) * cv_F * AlphaSector[[#This Row],[Quantity]] * Hazards_APPURT[[#This Row],[qz]] * CaAa_APPURT[[#This Row],[Alpha 210]] * IF(Calculations_APPURT[[#This Row],[Shape]]="CFD",1, Ka)</f>
        <v>0</v>
      </c>
      <c r="GO9" s="276">
        <f>IFERROR(1/Calculations_APPURT[[#This Row],[Brackets]],0) * cv_F * AlphaSector[[#This Row],[Quantity]] * Hazards_APPURT[[#This Row],[qz]] * CaAa_APPURT[[#This Row],[Alpha 225]] * IF(Calculations_APPURT[[#This Row],[Shape]]="CFD",1, Ka)</f>
        <v>0</v>
      </c>
      <c r="GP9" s="276">
        <f>IFERROR(1/Calculations_APPURT[[#This Row],[Brackets]],0) * cv_F * AlphaSector[[#This Row],[Quantity]] * Hazards_APPURT[[#This Row],[qz]] * CaAa_APPURT[[#This Row],[Alpha 240]] * IF(Calculations_APPURT[[#This Row],[Shape]]="CFD",1, Ka)</f>
        <v>0</v>
      </c>
      <c r="GQ9" s="276">
        <f>IFERROR(1/Calculations_APPURT[[#This Row],[Brackets]],0) * cv_F * AlphaSector[[#This Row],[Quantity]] * Hazards_APPURT[[#This Row],[qz]] * CaAa_APPURT[[#This Row],[Alpha 270]] * IF(Calculations_APPURT[[#This Row],[Shape]]="CFD",1, Ka)</f>
        <v>0</v>
      </c>
      <c r="GR9" s="276">
        <f>IFERROR(1/Calculations_APPURT[[#This Row],[Brackets]],0) * cv_F * AlphaSector[[#This Row],[Quantity]] * Hazards_APPURT[[#This Row],[qz]] * CaAa_APPURT[[#This Row],[Alpha 300]] * IF(Calculations_APPURT[[#This Row],[Shape]]="CFD",1, Ka)</f>
        <v>0</v>
      </c>
      <c r="GS9" s="276">
        <f>IFERROR(1/Calculations_APPURT[[#This Row],[Brackets]],0) * cv_F * AlphaSector[[#This Row],[Quantity]] * Hazards_APPURT[[#This Row],[qz]] * CaAa_APPURT[[#This Row],[Alpha 315]] * IF(Calculations_APPURT[[#This Row],[Shape]]="CFD",1, Ka)</f>
        <v>0</v>
      </c>
      <c r="GT9" s="276">
        <f>IFERROR(1/Calculations_APPURT[[#This Row],[Brackets]],0) * cv_F * AlphaSector[[#This Row],[Quantity]] * Hazards_APPURT[[#This Row],[qz]] * CaAa_APPURT[[#This Row],[Alpha 330]] * IF(Calculations_APPURT[[#This Row],[Shape]]="CFD",1, Ka)</f>
        <v>0</v>
      </c>
      <c r="GU9" s="276">
        <f>IFERROR(1/Calculations_APPURT[[#This Row],[Brackets]],0) * cv_F * BetaSector[[#This Row],[Quantity]] * Hazards_APPURT[[#This Row],[qz]] * CaAa_APPURT[[#This Row],[Beta 0]] * IF(Calculations_APPURT[[#This Row],[Shape]]="CFD",1, Ka)</f>
        <v>0</v>
      </c>
      <c r="GV9" s="276">
        <f>IFERROR(1/Calculations_APPURT[[#This Row],[Brackets]],0) * cv_F * BetaSector[[#This Row],[Quantity]] * Hazards_APPURT[[#This Row],[qz]] * CaAa_APPURT[[#This Row],[Beta 30]] * IF(Calculations_APPURT[[#This Row],[Shape]]="CFD",1, Ka)</f>
        <v>0</v>
      </c>
      <c r="GW9" s="276">
        <f>IFERROR(1/Calculations_APPURT[[#This Row],[Brackets]],0) * cv_F * BetaSector[[#This Row],[Quantity]] * Hazards_APPURT[[#This Row],[qz]] * CaAa_APPURT[[#This Row],[Beta 45]] * IF(Calculations_APPURT[[#This Row],[Shape]]="CFD",1, Ka)</f>
        <v>0</v>
      </c>
      <c r="GX9" s="276">
        <f>IFERROR(1/Calculations_APPURT[[#This Row],[Brackets]],0) * cv_F * BetaSector[[#This Row],[Quantity]] * Hazards_APPURT[[#This Row],[qz]] * CaAa_APPURT[[#This Row],[Beta 60]] * IF(Calculations_APPURT[[#This Row],[Shape]]="CFD",1, Ka)</f>
        <v>0</v>
      </c>
      <c r="GY9" s="276">
        <f>IFERROR(1/Calculations_APPURT[[#This Row],[Brackets]],0) * cv_F * BetaSector[[#This Row],[Quantity]] * Hazards_APPURT[[#This Row],[qz]] * CaAa_APPURT[[#This Row],[Beta 90]] * IF(Calculations_APPURT[[#This Row],[Shape]]="CFD",1, Ka)</f>
        <v>0</v>
      </c>
      <c r="GZ9" s="276">
        <f>IFERROR(1/Calculations_APPURT[[#This Row],[Brackets]],0) * cv_F * BetaSector[[#This Row],[Quantity]] * Hazards_APPURT[[#This Row],[qz]] * CaAa_APPURT[[#This Row],[Beta 120]] * IF(Calculations_APPURT[[#This Row],[Shape]]="CFD",1, Ka)</f>
        <v>0</v>
      </c>
      <c r="HA9" s="276">
        <f>IFERROR(1/Calculations_APPURT[[#This Row],[Brackets]],0) * cv_F * BetaSector[[#This Row],[Quantity]] * Hazards_APPURT[[#This Row],[qz]] * CaAa_APPURT[[#This Row],[Beta 135]] * IF(Calculations_APPURT[[#This Row],[Shape]]="CFD",1, Ka)</f>
        <v>0</v>
      </c>
      <c r="HB9" s="276">
        <f>IFERROR(1/Calculations_APPURT[[#This Row],[Brackets]],0) * cv_F * BetaSector[[#This Row],[Quantity]] * Hazards_APPURT[[#This Row],[qz]] * CaAa_APPURT[[#This Row],[Beta 150]] * IF(Calculations_APPURT[[#This Row],[Shape]]="CFD",1, Ka)</f>
        <v>0</v>
      </c>
      <c r="HC9" s="276">
        <f>IFERROR(1/Calculations_APPURT[[#This Row],[Brackets]],0) * cv_F * BetaSector[[#This Row],[Quantity]] * Hazards_APPURT[[#This Row],[qz]] * CaAa_APPURT[[#This Row],[Beta 180]] * IF(Calculations_APPURT[[#This Row],[Shape]]="CFD",1, Ka)</f>
        <v>0</v>
      </c>
      <c r="HD9" s="276">
        <f>IFERROR(1/Calculations_APPURT[[#This Row],[Brackets]],0) * cv_F * BetaSector[[#This Row],[Quantity]] * Hazards_APPURT[[#This Row],[qz]] * CaAa_APPURT[[#This Row],[Beta 210]] * IF(Calculations_APPURT[[#This Row],[Shape]]="CFD",1, Ka)</f>
        <v>0</v>
      </c>
      <c r="HE9" s="276">
        <f>IFERROR(1/Calculations_APPURT[[#This Row],[Brackets]],0) * cv_F * BetaSector[[#This Row],[Quantity]] * Hazards_APPURT[[#This Row],[qz]] * CaAa_APPURT[[#This Row],[Beta 225]] * IF(Calculations_APPURT[[#This Row],[Shape]]="CFD",1, Ka)</f>
        <v>0</v>
      </c>
      <c r="HF9" s="276">
        <f>IFERROR(1/Calculations_APPURT[[#This Row],[Brackets]],0) * cv_F * BetaSector[[#This Row],[Quantity]] * Hazards_APPURT[[#This Row],[qz]] * CaAa_APPURT[[#This Row],[Beta 240]] * IF(Calculations_APPURT[[#This Row],[Shape]]="CFD",1, Ka)</f>
        <v>0</v>
      </c>
      <c r="HG9" s="276">
        <f>IFERROR(1/Calculations_APPURT[[#This Row],[Brackets]],0) * cv_F * BetaSector[[#This Row],[Quantity]] * Hazards_APPURT[[#This Row],[qz]] * CaAa_APPURT[[#This Row],[Beta 270]] * IF(Calculations_APPURT[[#This Row],[Shape]]="CFD",1, Ka)</f>
        <v>0</v>
      </c>
      <c r="HH9" s="276">
        <f>IFERROR(1/Calculations_APPURT[[#This Row],[Brackets]],0) * cv_F * BetaSector[[#This Row],[Quantity]] * Hazards_APPURT[[#This Row],[qz]] * CaAa_APPURT[[#This Row],[Beta 300]] * IF(Calculations_APPURT[[#This Row],[Shape]]="CFD",1, Ka)</f>
        <v>0</v>
      </c>
      <c r="HI9" s="276">
        <f>IFERROR(1/Calculations_APPURT[[#This Row],[Brackets]],0) * cv_F * BetaSector[[#This Row],[Quantity]] * Hazards_APPURT[[#This Row],[qz]] * CaAa_APPURT[[#This Row],[Beta 315]] * IF(Calculations_APPURT[[#This Row],[Shape]]="CFD",1, Ka)</f>
        <v>0</v>
      </c>
      <c r="HJ9" s="276">
        <f>IFERROR(1/Calculations_APPURT[[#This Row],[Brackets]],0) * cv_F * BetaSector[[#This Row],[Quantity]] * Hazards_APPURT[[#This Row],[qz]] * CaAa_APPURT[[#This Row],[Beta 330]] * IF(Calculations_APPURT[[#This Row],[Shape]]="CFD",1, Ka)</f>
        <v>0</v>
      </c>
      <c r="HK9" s="276">
        <f>IFERROR(1/Calculations_APPURT[[#This Row],[Brackets]],0) * cv_F * GammaSector[[#This Row],[Quantity]] * Hazards_APPURT[[#This Row],[qz]] * CaAa_APPURT[[#This Row],[Gamma 0]] * IF(Calculations_APPURT[[#This Row],[Shape]]="CFD",1, Ka)</f>
        <v>0</v>
      </c>
      <c r="HL9" s="276">
        <f>IFERROR(1/Calculations_APPURT[[#This Row],[Brackets]],0) * cv_F * GammaSector[[#This Row],[Quantity]] * Hazards_APPURT[[#This Row],[qz]] * CaAa_APPURT[[#This Row],[Gamma 30]] * IF(Calculations_APPURT[[#This Row],[Shape]]="CFD",1, Ka)</f>
        <v>0</v>
      </c>
      <c r="HM9" s="276">
        <f>IFERROR(1/Calculations_APPURT[[#This Row],[Brackets]],0) * cv_F * GammaSector[[#This Row],[Quantity]] * Hazards_APPURT[[#This Row],[qz]] * CaAa_APPURT[[#This Row],[Gamma 45]] * IF(Calculations_APPURT[[#This Row],[Shape]]="CFD",1, Ka)</f>
        <v>0</v>
      </c>
      <c r="HN9" s="276">
        <f>IFERROR(1/Calculations_APPURT[[#This Row],[Brackets]],0) * cv_F * GammaSector[[#This Row],[Quantity]] * Hazards_APPURT[[#This Row],[qz]] * CaAa_APPURT[[#This Row],[Gamma 60]] * IF(Calculations_APPURT[[#This Row],[Shape]]="CFD",1, Ka)</f>
        <v>0</v>
      </c>
      <c r="HO9" s="276">
        <f>IFERROR(1/Calculations_APPURT[[#This Row],[Brackets]],0) * cv_F * GammaSector[[#This Row],[Quantity]] * Hazards_APPURT[[#This Row],[qz]] * CaAa_APPURT[[#This Row],[Gamma 90]] * IF(Calculations_APPURT[[#This Row],[Shape]]="CFD",1, Ka)</f>
        <v>0</v>
      </c>
      <c r="HP9" s="276">
        <f>IFERROR(1/Calculations_APPURT[[#This Row],[Brackets]],0) * cv_F * GammaSector[[#This Row],[Quantity]] * Hazards_APPURT[[#This Row],[qz]] * CaAa_APPURT[[#This Row],[Gamma 120]] * IF(Calculations_APPURT[[#This Row],[Shape]]="CFD",1, Ka)</f>
        <v>0</v>
      </c>
      <c r="HQ9" s="276">
        <f>IFERROR(1/Calculations_APPURT[[#This Row],[Brackets]],0) * cv_F * GammaSector[[#This Row],[Quantity]] * Hazards_APPURT[[#This Row],[qz]] * CaAa_APPURT[[#This Row],[Gamma 135]] * IF(Calculations_APPURT[[#This Row],[Shape]]="CFD",1, Ka)</f>
        <v>0</v>
      </c>
      <c r="HR9" s="276">
        <f>IFERROR(1/Calculations_APPURT[[#This Row],[Brackets]],0) * cv_F * GammaSector[[#This Row],[Quantity]] * Hazards_APPURT[[#This Row],[qz]] * CaAa_APPURT[[#This Row],[Gamma 150]] * IF(Calculations_APPURT[[#This Row],[Shape]]="CFD",1, Ka)</f>
        <v>0</v>
      </c>
      <c r="HS9" s="276">
        <f>IFERROR(1/Calculations_APPURT[[#This Row],[Brackets]],0) * cv_F * GammaSector[[#This Row],[Quantity]] * Hazards_APPURT[[#This Row],[qz]] * CaAa_APPURT[[#This Row],[Gamma 180]] * IF(Calculations_APPURT[[#This Row],[Shape]]="CFD",1, Ka)</f>
        <v>0</v>
      </c>
      <c r="HT9" s="276">
        <f>IFERROR(1/Calculations_APPURT[[#This Row],[Brackets]],0) * cv_F * GammaSector[[#This Row],[Quantity]] * Hazards_APPURT[[#This Row],[qz]] * CaAa_APPURT[[#This Row],[Gamma 210]] * IF(Calculations_APPURT[[#This Row],[Shape]]="CFD",1, Ka)</f>
        <v>0</v>
      </c>
      <c r="HU9" s="276">
        <f>IFERROR(1/Calculations_APPURT[[#This Row],[Brackets]],0) * cv_F * GammaSector[[#This Row],[Quantity]] * Hazards_APPURT[[#This Row],[qz]] * CaAa_APPURT[[#This Row],[Gamma 225]] * IF(Calculations_APPURT[[#This Row],[Shape]]="CFD",1, Ka)</f>
        <v>0</v>
      </c>
      <c r="HV9" s="276">
        <f>IFERROR(1/Calculations_APPURT[[#This Row],[Brackets]],0) * cv_F * GammaSector[[#This Row],[Quantity]] * Hazards_APPURT[[#This Row],[qz]] * CaAa_APPURT[[#This Row],[Gamma 240]] * IF(Calculations_APPURT[[#This Row],[Shape]]="CFD",1, Ka)</f>
        <v>0</v>
      </c>
      <c r="HW9" s="276">
        <f>IFERROR(1/Calculations_APPURT[[#This Row],[Brackets]],0) * cv_F * GammaSector[[#This Row],[Quantity]] * Hazards_APPURT[[#This Row],[qz]] * CaAa_APPURT[[#This Row],[Gamma 270]] * IF(Calculations_APPURT[[#This Row],[Shape]]="CFD",1, Ka)</f>
        <v>0</v>
      </c>
      <c r="HX9" s="276">
        <f>IFERROR(1/Calculations_APPURT[[#This Row],[Brackets]],0) * cv_F * GammaSector[[#This Row],[Quantity]] * Hazards_APPURT[[#This Row],[qz]] * CaAa_APPURT[[#This Row],[Gamma 300]] * IF(Calculations_APPURT[[#This Row],[Shape]]="CFD",1, Ka)</f>
        <v>0</v>
      </c>
      <c r="HY9" s="276">
        <f>IFERROR(1/Calculations_APPURT[[#This Row],[Brackets]],0) * cv_F * GammaSector[[#This Row],[Quantity]] * Hazards_APPURT[[#This Row],[qz]] * CaAa_APPURT[[#This Row],[Gamma 315]] * IF(Calculations_APPURT[[#This Row],[Shape]]="CFD",1, Ka)</f>
        <v>0</v>
      </c>
      <c r="HZ9" s="276">
        <f>IFERROR(1/Calculations_APPURT[[#This Row],[Brackets]],0) * cv_F * GammaSector[[#This Row],[Quantity]] * Hazards_APPURT[[#This Row],[qz]] * CaAa_APPURT[[#This Row],[Gamma 330]] * IF(Calculations_APPURT[[#This Row],[Shape]]="CFD",1, Ka)</f>
        <v>0</v>
      </c>
      <c r="IA9" s="276">
        <f>IFERROR(1/Calculations_APPURT[[#This Row],[Brackets]],0) * cv_F * DeltaSector[[#This Row],[Quantity]] * Hazards_APPURT[[#This Row],[qz]] * CaAa_APPURT[[#This Row],[Delta 0]] * IF(Calculations_APPURT[[#This Row],[Shape]]="CFD",1, Ka)</f>
        <v>0</v>
      </c>
      <c r="IB9" s="276">
        <f>IFERROR(1/Calculations_APPURT[[#This Row],[Brackets]],0) * cv_F * DeltaSector[[#This Row],[Quantity]] * Hazards_APPURT[[#This Row],[qz]] * CaAa_APPURT[[#This Row],[Delta 30]] * IF(Calculations_APPURT[[#This Row],[Shape]]="CFD",1, Ka)</f>
        <v>0</v>
      </c>
      <c r="IC9" s="276">
        <f>IFERROR(1/Calculations_APPURT[[#This Row],[Brackets]],0) * cv_F * DeltaSector[[#This Row],[Quantity]] * Hazards_APPURT[[#This Row],[qz]] * CaAa_APPURT[[#This Row],[Delta 45]] * IF(Calculations_APPURT[[#This Row],[Shape]]="CFD",1, Ka)</f>
        <v>0</v>
      </c>
      <c r="ID9" s="276">
        <f>IFERROR(1/Calculations_APPURT[[#This Row],[Brackets]],0) * cv_F * DeltaSector[[#This Row],[Quantity]] * Hazards_APPURT[[#This Row],[qz]] * CaAa_APPURT[[#This Row],[Delta 60]] * IF(Calculations_APPURT[[#This Row],[Shape]]="CFD",1, Ka)</f>
        <v>0</v>
      </c>
      <c r="IE9" s="276">
        <f>IFERROR(1/Calculations_APPURT[[#This Row],[Brackets]],0) * cv_F * DeltaSector[[#This Row],[Quantity]] * Hazards_APPURT[[#This Row],[qz]] * CaAa_APPURT[[#This Row],[Delta 90]] * IF(Calculations_APPURT[[#This Row],[Shape]]="CFD",1, Ka)</f>
        <v>0</v>
      </c>
      <c r="IF9" s="276">
        <f>IFERROR(1/Calculations_APPURT[[#This Row],[Brackets]],0) * cv_F * DeltaSector[[#This Row],[Quantity]] * Hazards_APPURT[[#This Row],[qz]] * CaAa_APPURT[[#This Row],[Delta 120]] * IF(Calculations_APPURT[[#This Row],[Shape]]="CFD",1, Ka)</f>
        <v>0</v>
      </c>
      <c r="IG9" s="276">
        <f>IFERROR(1/Calculations_APPURT[[#This Row],[Brackets]],0) * cv_F * DeltaSector[[#This Row],[Quantity]] * Hazards_APPURT[[#This Row],[qz]] * CaAa_APPURT[[#This Row],[Delta 135]] * IF(Calculations_APPURT[[#This Row],[Shape]]="CFD",1, Ka)</f>
        <v>0</v>
      </c>
      <c r="IH9" s="276">
        <f>IFERROR(1/Calculations_APPURT[[#This Row],[Brackets]],0) * cv_F * DeltaSector[[#This Row],[Quantity]] * Hazards_APPURT[[#This Row],[qz]] * CaAa_APPURT[[#This Row],[Delta 150]] * IF(Calculations_APPURT[[#This Row],[Shape]]="CFD",1, Ka)</f>
        <v>0</v>
      </c>
      <c r="II9" s="276">
        <f>IFERROR(1/Calculations_APPURT[[#This Row],[Brackets]],0) * cv_F * DeltaSector[[#This Row],[Quantity]] * Hazards_APPURT[[#This Row],[qz]] * CaAa_APPURT[[#This Row],[Delta 180]] * IF(Calculations_APPURT[[#This Row],[Shape]]="CFD",1, Ka)</f>
        <v>0</v>
      </c>
      <c r="IJ9" s="276">
        <f>IFERROR(1/Calculations_APPURT[[#This Row],[Brackets]],0) * cv_F * DeltaSector[[#This Row],[Quantity]] * Hazards_APPURT[[#This Row],[qz]] * CaAa_APPURT[[#This Row],[Delta 210]] * IF(Calculations_APPURT[[#This Row],[Shape]]="CFD",1, Ka)</f>
        <v>0</v>
      </c>
      <c r="IK9" s="276">
        <f>IFERROR(1/Calculations_APPURT[[#This Row],[Brackets]],0) * cv_F * DeltaSector[[#This Row],[Quantity]] * Hazards_APPURT[[#This Row],[qz]] * CaAa_APPURT[[#This Row],[Delta 225]] * IF(Calculations_APPURT[[#This Row],[Shape]]="CFD",1, Ka)</f>
        <v>0</v>
      </c>
      <c r="IL9" s="276">
        <f>IFERROR(1/Calculations_APPURT[[#This Row],[Brackets]],0) * cv_F * DeltaSector[[#This Row],[Quantity]] * Hazards_APPURT[[#This Row],[qz]] * CaAa_APPURT[[#This Row],[Delta 240]] * IF(Calculations_APPURT[[#This Row],[Shape]]="CFD",1, Ka)</f>
        <v>0</v>
      </c>
      <c r="IM9" s="276">
        <f>IFERROR(1/Calculations_APPURT[[#This Row],[Brackets]],0) * cv_F * DeltaSector[[#This Row],[Quantity]] * Hazards_APPURT[[#This Row],[qz]] * CaAa_APPURT[[#This Row],[Delta 270]] * IF(Calculations_APPURT[[#This Row],[Shape]]="CFD",1, Ka)</f>
        <v>0</v>
      </c>
      <c r="IN9" s="276">
        <f>IFERROR(1/Calculations_APPURT[[#This Row],[Brackets]],0) * cv_F * DeltaSector[[#This Row],[Quantity]] * Hazards_APPURT[[#This Row],[qz]] * CaAa_APPURT[[#This Row],[Delta 300]] * IF(Calculations_APPURT[[#This Row],[Shape]]="CFD",1, Ka)</f>
        <v>0</v>
      </c>
      <c r="IO9" s="276">
        <f>IFERROR(1/Calculations_APPURT[[#This Row],[Brackets]],0) * cv_F * DeltaSector[[#This Row],[Quantity]] * Hazards_APPURT[[#This Row],[qz]] * CaAa_APPURT[[#This Row],[Delta 315]] * IF(Calculations_APPURT[[#This Row],[Shape]]="CFD",1, Ka)</f>
        <v>0</v>
      </c>
      <c r="IP9" s="276">
        <f>IFERROR(1/Calculations_APPURT[[#This Row],[Brackets]],0) * cv_F * DeltaSector[[#This Row],[Quantity]] * Hazards_APPURT[[#This Row],[qz]] * CaAa_APPURT[[#This Row],[Delta 330]] * IF(Calculations_APPURT[[#This Row],[Shape]]="CFD",1, Ka)</f>
        <v>0</v>
      </c>
      <c r="IQ9" s="276">
        <f>IFERROR(1/Calculations_APPURT[[#This Row],[Brackets]],0) * cv_F * AlphaSector[[#This Row],[Quantity]] * Hazards_APPURT[[#This Row],[qiz]] * CaAa_APPURT[[#This Row],[Alpha Ice 0]]</f>
        <v>0</v>
      </c>
      <c r="IR9" s="276">
        <f>IFERROR(1/Calculations_APPURT[[#This Row],[Brackets]],0) * cv_F * AlphaSector[[#This Row],[Quantity]] * Hazards_APPURT[[#This Row],[qiz]] * CaAa_APPURT[[#This Row],[Alpha Ice 30]]</f>
        <v>0</v>
      </c>
      <c r="IS9" s="276">
        <f>IFERROR(1/Calculations_APPURT[[#This Row],[Brackets]],0) * cv_F * AlphaSector[[#This Row],[Quantity]] * Hazards_APPURT[[#This Row],[qiz]] * CaAa_APPURT[[#This Row],[Alpha Ice 45]]</f>
        <v>0</v>
      </c>
      <c r="IT9" s="276">
        <f>IFERROR(1/Calculations_APPURT[[#This Row],[Brackets]],0) * cv_F * AlphaSector[[#This Row],[Quantity]] * Hazards_APPURT[[#This Row],[qiz]] * CaAa_APPURT[[#This Row],[Alpha Ice 60]]</f>
        <v>0</v>
      </c>
      <c r="IU9" s="276">
        <f>IFERROR(1/Calculations_APPURT[[#This Row],[Brackets]],0) * cv_F * AlphaSector[[#This Row],[Quantity]] * Hazards_APPURT[[#This Row],[qiz]] * CaAa_APPURT[[#This Row],[Alpha Ice 90]]</f>
        <v>0</v>
      </c>
      <c r="IV9" s="276">
        <f>IFERROR(1/Calculations_APPURT[[#This Row],[Brackets]],0) * cv_F * AlphaSector[[#This Row],[Quantity]] * Hazards_APPURT[[#This Row],[qiz]] * CaAa_APPURT[[#This Row],[Alpha Ice 120]]</f>
        <v>0</v>
      </c>
      <c r="IW9" s="276">
        <f>IFERROR(1/Calculations_APPURT[[#This Row],[Brackets]],0) * cv_F * AlphaSector[[#This Row],[Quantity]] * Hazards_APPURT[[#This Row],[qiz]] * CaAa_APPURT[[#This Row],[Alpha Ice 135]]</f>
        <v>0</v>
      </c>
      <c r="IX9" s="276">
        <f>IFERROR(1/Calculations_APPURT[[#This Row],[Brackets]],0) * cv_F * AlphaSector[[#This Row],[Quantity]] * Hazards_APPURT[[#This Row],[qiz]] * CaAa_APPURT[[#This Row],[Alpha Ice 150]]</f>
        <v>0</v>
      </c>
      <c r="IY9" s="276">
        <f>IFERROR(1/Calculations_APPURT[[#This Row],[Brackets]],0) * cv_F * AlphaSector[[#This Row],[Quantity]] * Hazards_APPURT[[#This Row],[qiz]] * CaAa_APPURT[[#This Row],[Alpha Ice 180]]</f>
        <v>0</v>
      </c>
      <c r="IZ9" s="276">
        <f>IFERROR(1/Calculations_APPURT[[#This Row],[Brackets]],0) * cv_F * AlphaSector[[#This Row],[Quantity]] * Hazards_APPURT[[#This Row],[qiz]] * CaAa_APPURT[[#This Row],[Alpha Ice 210]]</f>
        <v>0</v>
      </c>
      <c r="JA9" s="276">
        <f>IFERROR(1/Calculations_APPURT[[#This Row],[Brackets]],0) * cv_F * AlphaSector[[#This Row],[Quantity]] * Hazards_APPURT[[#This Row],[qiz]] * CaAa_APPURT[[#This Row],[Alpha Ice 225]]</f>
        <v>0</v>
      </c>
      <c r="JB9" s="276">
        <f>IFERROR(1/Calculations_APPURT[[#This Row],[Brackets]],0) * cv_F * AlphaSector[[#This Row],[Quantity]] * Hazards_APPURT[[#This Row],[qiz]] * CaAa_APPURT[[#This Row],[Alpha Ice 240]]</f>
        <v>0</v>
      </c>
      <c r="JC9" s="276">
        <f>IFERROR(1/Calculations_APPURT[[#This Row],[Brackets]],0) * cv_F * AlphaSector[[#This Row],[Quantity]] * Hazards_APPURT[[#This Row],[qiz]] * CaAa_APPURT[[#This Row],[Alpha Ice 270]]</f>
        <v>0</v>
      </c>
      <c r="JD9" s="276">
        <f>IFERROR(1/Calculations_APPURT[[#This Row],[Brackets]],0) * cv_F * AlphaSector[[#This Row],[Quantity]] * Hazards_APPURT[[#This Row],[qiz]] * CaAa_APPURT[[#This Row],[Alpha Ice 300]]</f>
        <v>0</v>
      </c>
      <c r="JE9" s="276">
        <f>IFERROR(1/Calculations_APPURT[[#This Row],[Brackets]],0) * cv_F * AlphaSector[[#This Row],[Quantity]] * Hazards_APPURT[[#This Row],[qiz]] * CaAa_APPURT[[#This Row],[Alpha Ice 315]]</f>
        <v>0</v>
      </c>
      <c r="JF9" s="276">
        <f>IFERROR(1/Calculations_APPURT[[#This Row],[Brackets]],0) * cv_F * AlphaSector[[#This Row],[Quantity]] * Hazards_APPURT[[#This Row],[qiz]] * CaAa_APPURT[[#This Row],[Alpha Ice 330]]</f>
        <v>0</v>
      </c>
      <c r="JG9" s="276">
        <f>IFERROR(1/Calculations_APPURT[[#This Row],[Brackets]],0) * cv_F * BetaSector[[#This Row],[Quantity]] * Hazards_APPURT[[#This Row],[qiz]] * CaAa_APPURT[[#This Row],[Beta Ice 0]]</f>
        <v>0</v>
      </c>
      <c r="JH9" s="276">
        <f>IFERROR(1/Calculations_APPURT[[#This Row],[Brackets]],0) * cv_F * BetaSector[[#This Row],[Quantity]] * Hazards_APPURT[[#This Row],[qiz]] * CaAa_APPURT[[#This Row],[Beta Ice 30]]</f>
        <v>0</v>
      </c>
      <c r="JI9" s="276">
        <f>IFERROR(1/Calculations_APPURT[[#This Row],[Brackets]],0) * cv_F * BetaSector[[#This Row],[Quantity]] * Hazards_APPURT[[#This Row],[qiz]] * CaAa_APPURT[[#This Row],[Beta Ice 45]]</f>
        <v>0</v>
      </c>
      <c r="JJ9" s="276">
        <f>IFERROR(1/Calculations_APPURT[[#This Row],[Brackets]],0) * cv_F * BetaSector[[#This Row],[Quantity]] * Hazards_APPURT[[#This Row],[qiz]] * CaAa_APPURT[[#This Row],[Beta Ice 60]]</f>
        <v>0</v>
      </c>
      <c r="JK9" s="276">
        <f>IFERROR(1/Calculations_APPURT[[#This Row],[Brackets]],0) * cv_F * BetaSector[[#This Row],[Quantity]] * Hazards_APPURT[[#This Row],[qiz]] * CaAa_APPURT[[#This Row],[Beta Ice 90]]</f>
        <v>0</v>
      </c>
      <c r="JL9" s="276">
        <f>IFERROR(1/Calculations_APPURT[[#This Row],[Brackets]],0) * cv_F * BetaSector[[#This Row],[Quantity]] * Hazards_APPURT[[#This Row],[qiz]] * CaAa_APPURT[[#This Row],[Beta Ice 120]]</f>
        <v>0</v>
      </c>
      <c r="JM9" s="276">
        <f>IFERROR(1/Calculations_APPURT[[#This Row],[Brackets]],0) * cv_F * BetaSector[[#This Row],[Quantity]] * Hazards_APPURT[[#This Row],[qiz]] * CaAa_APPURT[[#This Row],[Beta Ice 135]]</f>
        <v>0</v>
      </c>
      <c r="JN9" s="276">
        <f>IFERROR(1/Calculations_APPURT[[#This Row],[Brackets]],0) * cv_F * BetaSector[[#This Row],[Quantity]] * Hazards_APPURT[[#This Row],[qiz]] * CaAa_APPURT[[#This Row],[Beta Ice 150]]</f>
        <v>0</v>
      </c>
      <c r="JO9" s="276">
        <f>IFERROR(1/Calculations_APPURT[[#This Row],[Brackets]],0) * cv_F * BetaSector[[#This Row],[Quantity]] * Hazards_APPURT[[#This Row],[qiz]] * CaAa_APPURT[[#This Row],[Beta Ice 180]]</f>
        <v>0</v>
      </c>
      <c r="JP9" s="276">
        <f>IFERROR(1/Calculations_APPURT[[#This Row],[Brackets]],0) * cv_F * BetaSector[[#This Row],[Quantity]] * Hazards_APPURT[[#This Row],[qiz]] * CaAa_APPURT[[#This Row],[Beta Ice 210]]</f>
        <v>0</v>
      </c>
      <c r="JQ9" s="276">
        <f>IFERROR(1/Calculations_APPURT[[#This Row],[Brackets]],0) * cv_F * BetaSector[[#This Row],[Quantity]] * Hazards_APPURT[[#This Row],[qiz]] * CaAa_APPURT[[#This Row],[Beta Ice 225]]</f>
        <v>0</v>
      </c>
      <c r="JR9" s="276">
        <f>IFERROR(1/Calculations_APPURT[[#This Row],[Brackets]],0) * cv_F * BetaSector[[#This Row],[Quantity]] * Hazards_APPURT[[#This Row],[qiz]] * CaAa_APPURT[[#This Row],[Beta Ice 240]]</f>
        <v>0</v>
      </c>
      <c r="JS9" s="276">
        <f>IFERROR(1/Calculations_APPURT[[#This Row],[Brackets]],0) * cv_F * BetaSector[[#This Row],[Quantity]] * Hazards_APPURT[[#This Row],[qiz]] * CaAa_APPURT[[#This Row],[Beta Ice 270]]</f>
        <v>0</v>
      </c>
      <c r="JT9" s="276">
        <f>IFERROR(1/Calculations_APPURT[[#This Row],[Brackets]],0) * cv_F * BetaSector[[#This Row],[Quantity]] * Hazards_APPURT[[#This Row],[qiz]] * CaAa_APPURT[[#This Row],[Beta Ice 300]]</f>
        <v>0</v>
      </c>
      <c r="JU9" s="276">
        <f>IFERROR(1/Calculations_APPURT[[#This Row],[Brackets]],0) * cv_F * BetaSector[[#This Row],[Quantity]] * Hazards_APPURT[[#This Row],[qiz]] * CaAa_APPURT[[#This Row],[Beta Ice 315]]</f>
        <v>0</v>
      </c>
      <c r="JV9" s="276">
        <f>IFERROR(1/Calculations_APPURT[[#This Row],[Brackets]],0) * cv_F * BetaSector[[#This Row],[Quantity]] * Hazards_APPURT[[#This Row],[qiz]] * CaAa_APPURT[[#This Row],[Beta Ice 330]]</f>
        <v>0</v>
      </c>
      <c r="JW9" s="276">
        <f>IFERROR(1/Calculations_APPURT[[#This Row],[Brackets]],0) * cv_F * GammaSector[[#This Row],[Quantity]] * Hazards_APPURT[[#This Row],[qiz]] * CaAa_APPURT[[#This Row],[Gamma Ice 0]]</f>
        <v>0</v>
      </c>
      <c r="JX9" s="276">
        <f>IFERROR(1/Calculations_APPURT[[#This Row],[Brackets]],0) * cv_F * GammaSector[[#This Row],[Quantity]] * Hazards_APPURT[[#This Row],[qiz]] * CaAa_APPURT[[#This Row],[Gamma Ice 30]]</f>
        <v>0</v>
      </c>
      <c r="JY9" s="276">
        <f>IFERROR(1/Calculations_APPURT[[#This Row],[Brackets]],0) * cv_F * GammaSector[[#This Row],[Quantity]] * Hazards_APPURT[[#This Row],[qiz]] * CaAa_APPURT[[#This Row],[Gamma Ice 45]]</f>
        <v>0</v>
      </c>
      <c r="JZ9" s="276">
        <f>IFERROR(1/Calculations_APPURT[[#This Row],[Brackets]],0) * cv_F * GammaSector[[#This Row],[Quantity]] * Hazards_APPURT[[#This Row],[qiz]] * CaAa_APPURT[[#This Row],[Gamma Ice 60]]</f>
        <v>0</v>
      </c>
      <c r="KA9" s="276">
        <f>IFERROR(1/Calculations_APPURT[[#This Row],[Brackets]],0) * cv_F * GammaSector[[#This Row],[Quantity]] * Hazards_APPURT[[#This Row],[qiz]] * CaAa_APPURT[[#This Row],[Gamma Ice 90]]</f>
        <v>0</v>
      </c>
      <c r="KB9" s="276">
        <f>IFERROR(1/Calculations_APPURT[[#This Row],[Brackets]],0) * cv_F * GammaSector[[#This Row],[Quantity]] * Hazards_APPURT[[#This Row],[qiz]] * CaAa_APPURT[[#This Row],[Gamma Ice 120]]</f>
        <v>0</v>
      </c>
      <c r="KC9" s="276">
        <f>IFERROR(1/Calculations_APPURT[[#This Row],[Brackets]],0) * cv_F * GammaSector[[#This Row],[Quantity]] * Hazards_APPURT[[#This Row],[qiz]] * CaAa_APPURT[[#This Row],[Gamma Ice 135]]</f>
        <v>0</v>
      </c>
      <c r="KD9" s="276">
        <f>IFERROR(1/Calculations_APPURT[[#This Row],[Brackets]],0) * cv_F * GammaSector[[#This Row],[Quantity]] * Hazards_APPURT[[#This Row],[qiz]] * CaAa_APPURT[[#This Row],[Gamma Ice 150]]</f>
        <v>0</v>
      </c>
      <c r="KE9" s="276">
        <f>IFERROR(1/Calculations_APPURT[[#This Row],[Brackets]],0) * cv_F * GammaSector[[#This Row],[Quantity]] * Hazards_APPURT[[#This Row],[qiz]] * CaAa_APPURT[[#This Row],[Gamma Ice 180]]</f>
        <v>0</v>
      </c>
      <c r="KF9" s="276">
        <f>IFERROR(1/Calculations_APPURT[[#This Row],[Brackets]],0) * cv_F * GammaSector[[#This Row],[Quantity]] * Hazards_APPURT[[#This Row],[qiz]] * CaAa_APPURT[[#This Row],[Gamma Ice 210]]</f>
        <v>0</v>
      </c>
      <c r="KG9" s="276">
        <f>IFERROR(1/Calculations_APPURT[[#This Row],[Brackets]],0) * cv_F * GammaSector[[#This Row],[Quantity]] * Hazards_APPURT[[#This Row],[qiz]] * CaAa_APPURT[[#This Row],[Gamma Ice 225]]</f>
        <v>0</v>
      </c>
      <c r="KH9" s="276">
        <f>IFERROR(1/Calculations_APPURT[[#This Row],[Brackets]],0) * cv_F * GammaSector[[#This Row],[Quantity]] * Hazards_APPURT[[#This Row],[qiz]] * CaAa_APPURT[[#This Row],[Gamma Ice 240]]</f>
        <v>0</v>
      </c>
      <c r="KI9" s="276">
        <f>IFERROR(1/Calculations_APPURT[[#This Row],[Brackets]],0) * cv_F * GammaSector[[#This Row],[Quantity]] * Hazards_APPURT[[#This Row],[qiz]] * CaAa_APPURT[[#This Row],[Gamma Ice 270]]</f>
        <v>0</v>
      </c>
      <c r="KJ9" s="276">
        <f>IFERROR(1/Calculations_APPURT[[#This Row],[Brackets]],0) * cv_F * GammaSector[[#This Row],[Quantity]] * Hazards_APPURT[[#This Row],[qiz]] * CaAa_APPURT[[#This Row],[Gamma Ice 300]]</f>
        <v>0</v>
      </c>
      <c r="KK9" s="276">
        <f>IFERROR(1/Calculations_APPURT[[#This Row],[Brackets]],0) * cv_F * GammaSector[[#This Row],[Quantity]] * Hazards_APPURT[[#This Row],[qiz]] * CaAa_APPURT[[#This Row],[Gamma Ice 315]]</f>
        <v>0</v>
      </c>
      <c r="KL9" s="276">
        <f>IFERROR(1/Calculations_APPURT[[#This Row],[Brackets]],0) * cv_F * GammaSector[[#This Row],[Quantity]] * Hazards_APPURT[[#This Row],[qiz]] * CaAa_APPURT[[#This Row],[Gamma Ice 330]]</f>
        <v>0</v>
      </c>
      <c r="KM9" s="276">
        <f>IFERROR(1/Calculations_APPURT[[#This Row],[Brackets]],0) * cv_F * DeltaSector[[#This Row],[Quantity]] * Hazards_APPURT[[#This Row],[qiz]] * CaAa_APPURT[[#This Row],[Delta Ice 0]]</f>
        <v>0</v>
      </c>
      <c r="KN9" s="276">
        <f>IFERROR(1/Calculations_APPURT[[#This Row],[Brackets]],0) * cv_F * DeltaSector[[#This Row],[Quantity]] * Hazards_APPURT[[#This Row],[qiz]] * CaAa_APPURT[[#This Row],[Delta Ice 30]]</f>
        <v>0</v>
      </c>
      <c r="KO9" s="276">
        <f>IFERROR(1/Calculations_APPURT[[#This Row],[Brackets]],0) * cv_F * DeltaSector[[#This Row],[Quantity]] * Hazards_APPURT[[#This Row],[qiz]] * CaAa_APPURT[[#This Row],[Delta Ice 45]]</f>
        <v>0</v>
      </c>
      <c r="KP9" s="276">
        <f>IFERROR(1/Calculations_APPURT[[#This Row],[Brackets]],0) * cv_F * DeltaSector[[#This Row],[Quantity]] * Hazards_APPURT[[#This Row],[qiz]] * CaAa_APPURT[[#This Row],[Delta Ice 60]]</f>
        <v>0</v>
      </c>
      <c r="KQ9" s="276">
        <f>IFERROR(1/Calculations_APPURT[[#This Row],[Brackets]],0) * cv_F * DeltaSector[[#This Row],[Quantity]] * Hazards_APPURT[[#This Row],[qiz]] * CaAa_APPURT[[#This Row],[Delta Ice 90]]</f>
        <v>0</v>
      </c>
      <c r="KR9" s="276">
        <f>IFERROR(1/Calculations_APPURT[[#This Row],[Brackets]],0) * cv_F * DeltaSector[[#This Row],[Quantity]] * Hazards_APPURT[[#This Row],[qiz]] * CaAa_APPURT[[#This Row],[Delta Ice 120]]</f>
        <v>0</v>
      </c>
      <c r="KS9" s="276">
        <f>IFERROR(1/Calculations_APPURT[[#This Row],[Brackets]],0) * cv_F * DeltaSector[[#This Row],[Quantity]] * Hazards_APPURT[[#This Row],[qiz]] * CaAa_APPURT[[#This Row],[Delta Ice 135]]</f>
        <v>0</v>
      </c>
      <c r="KT9" s="276">
        <f>IFERROR(1/Calculations_APPURT[[#This Row],[Brackets]],0) * cv_F * DeltaSector[[#This Row],[Quantity]] * Hazards_APPURT[[#This Row],[qiz]] * CaAa_APPURT[[#This Row],[Delta Ice 150]]</f>
        <v>0</v>
      </c>
      <c r="KU9" s="276">
        <f>IFERROR(1/Calculations_APPURT[[#This Row],[Brackets]],0) * cv_F * DeltaSector[[#This Row],[Quantity]] * Hazards_APPURT[[#This Row],[qiz]] * CaAa_APPURT[[#This Row],[Delta Ice 180]]</f>
        <v>0</v>
      </c>
      <c r="KV9" s="276">
        <f>IFERROR(1/Calculations_APPURT[[#This Row],[Brackets]],0) * cv_F * DeltaSector[[#This Row],[Quantity]] * Hazards_APPURT[[#This Row],[qiz]] * CaAa_APPURT[[#This Row],[Delta Ice 210]]</f>
        <v>0</v>
      </c>
      <c r="KW9" s="276">
        <f>IFERROR(1/Calculations_APPURT[[#This Row],[Brackets]],0) * cv_F * DeltaSector[[#This Row],[Quantity]] * Hazards_APPURT[[#This Row],[qiz]] * CaAa_APPURT[[#This Row],[Delta Ice 225]]</f>
        <v>0</v>
      </c>
      <c r="KX9" s="276">
        <f>IFERROR(1/Calculations_APPURT[[#This Row],[Brackets]],0) * cv_F * DeltaSector[[#This Row],[Quantity]] * Hazards_APPURT[[#This Row],[qiz]] * CaAa_APPURT[[#This Row],[Delta Ice 240]]</f>
        <v>0</v>
      </c>
      <c r="KY9" s="276">
        <f>IFERROR(1/Calculations_APPURT[[#This Row],[Brackets]],0) * cv_F * DeltaSector[[#This Row],[Quantity]] * Hazards_APPURT[[#This Row],[qiz]] * CaAa_APPURT[[#This Row],[Delta Ice 270]]</f>
        <v>0</v>
      </c>
      <c r="KZ9" s="276">
        <f>IFERROR(1/Calculations_APPURT[[#This Row],[Brackets]],0) * cv_F * DeltaSector[[#This Row],[Quantity]] * Hazards_APPURT[[#This Row],[qiz]] * CaAa_APPURT[[#This Row],[Delta Ice 300]]</f>
        <v>0</v>
      </c>
      <c r="LA9" s="276">
        <f>IFERROR(1/Calculations_APPURT[[#This Row],[Brackets]],0) * cv_F * DeltaSector[[#This Row],[Quantity]] * Hazards_APPURT[[#This Row],[qiz]] * CaAa_APPURT[[#This Row],[Delta Ice 315]]</f>
        <v>0</v>
      </c>
      <c r="LB9" s="276">
        <f>IFERROR(1/Calculations_APPURT[[#This Row],[Brackets]],0) * cv_F * DeltaSector[[#This Row],[Quantity]] * Hazards_APPURT[[#This Row],[qiz]] * CaAa_APPURT[[#This Row],[Delta Ice 330]]</f>
        <v>0</v>
      </c>
      <c r="LC9" s="276">
        <f>IFERROR(1/Calculations_APPURT[[#This Row],[Brackets]],0) * cv_M/cv_F * Forces_APPURT[[#This Row],[Alpha Fa 0]] * Calculations_APPURT[[#This Row],[Horizontal Offset]]/12</f>
        <v>0</v>
      </c>
      <c r="LD9" s="276">
        <f>IFERROR(1/Calculations_APPURT[[#This Row],[Brackets]],0) * cv_M/cv_F * Forces_APPURT[[#This Row],[Alpha Fa 30]] * Calculations_APPURT[[#This Row],[Horizontal Offset]]/12</f>
        <v>0</v>
      </c>
      <c r="LE9" s="276">
        <f>IFERROR(1/Calculations_APPURT[[#This Row],[Brackets]],0) * cv_M/cv_F * Forces_APPURT[[#This Row],[Alpha Fa 45]] * Calculations_APPURT[[#This Row],[Horizontal Offset]]/12</f>
        <v>0</v>
      </c>
      <c r="LF9" s="276">
        <f>IFERROR(1/Calculations_APPURT[[#This Row],[Brackets]],0) * cv_M/cv_F * Forces_APPURT[[#This Row],[Alpha Fa 60]] * Calculations_APPURT[[#This Row],[Horizontal Offset]]/12</f>
        <v>0</v>
      </c>
      <c r="LG9" s="276">
        <f>IFERROR(1/Calculations_APPURT[[#This Row],[Brackets]],0) * cv_M/cv_F * Forces_APPURT[[#This Row],[Alpha Fa 90]] * Calculations_APPURT[[#This Row],[Horizontal Offset]]/12</f>
        <v>0</v>
      </c>
      <c r="LH9" s="276">
        <f>IFERROR(1/Calculations_APPURT[[#This Row],[Brackets]],0) * cv_M/cv_F * Forces_APPURT[[#This Row],[Alpha Fa 120]] * Calculations_APPURT[[#This Row],[Horizontal Offset]]/12</f>
        <v>0</v>
      </c>
      <c r="LI9" s="276">
        <f>IFERROR(1/Calculations_APPURT[[#This Row],[Brackets]],0) * cv_M/cv_F * Forces_APPURT[[#This Row],[Alpha Fa 135]] * Calculations_APPURT[[#This Row],[Horizontal Offset]]/12</f>
        <v>0</v>
      </c>
      <c r="LJ9" s="276">
        <f>IFERROR(1/Calculations_APPURT[[#This Row],[Brackets]],0) * cv_M/cv_F * Forces_APPURT[[#This Row],[Alpha Fa 150]] * Calculations_APPURT[[#This Row],[Horizontal Offset]]/12</f>
        <v>0</v>
      </c>
      <c r="LK9" s="276">
        <f>IFERROR(1/Calculations_APPURT[[#This Row],[Brackets]],0) * cv_M/cv_F * Forces_APPURT[[#This Row],[Alpha Fa 180]] * Calculations_APPURT[[#This Row],[Horizontal Offset]]/12</f>
        <v>0</v>
      </c>
      <c r="LL9" s="276">
        <f>IFERROR(1/Calculations_APPURT[[#This Row],[Brackets]],0) * cv_M/cv_F * Forces_APPURT[[#This Row],[Alpha Fa 210]] * Calculations_APPURT[[#This Row],[Horizontal Offset]]/12</f>
        <v>0</v>
      </c>
      <c r="LM9" s="276">
        <f>IFERROR(1/Calculations_APPURT[[#This Row],[Brackets]],0) * cv_M/cv_F * Forces_APPURT[[#This Row],[Alpha Fa 225]] * Calculations_APPURT[[#This Row],[Horizontal Offset]]/12</f>
        <v>0</v>
      </c>
      <c r="LN9" s="276">
        <f>IFERROR(1/Calculations_APPURT[[#This Row],[Brackets]],0) * cv_M/cv_F * Forces_APPURT[[#This Row],[Alpha Fa 240]] * Calculations_APPURT[[#This Row],[Horizontal Offset]]/12</f>
        <v>0</v>
      </c>
      <c r="LO9" s="276">
        <f>IFERROR(1/Calculations_APPURT[[#This Row],[Brackets]],0) * cv_M/cv_F * Forces_APPURT[[#This Row],[Alpha Fa 270]] * Calculations_APPURT[[#This Row],[Horizontal Offset]]/12</f>
        <v>0</v>
      </c>
      <c r="LP9" s="276">
        <f>IFERROR(1/Calculations_APPURT[[#This Row],[Brackets]],0) * cv_M/cv_F * Forces_APPURT[[#This Row],[Alpha Fa 300]] * Calculations_APPURT[[#This Row],[Horizontal Offset]]/12</f>
        <v>0</v>
      </c>
      <c r="LQ9" s="276">
        <f>IFERROR(1/Calculations_APPURT[[#This Row],[Brackets]],0) * cv_M/cv_F * Forces_APPURT[[#This Row],[Alpha Fa 315]] * Calculations_APPURT[[#This Row],[Horizontal Offset]]/12</f>
        <v>0</v>
      </c>
      <c r="LR9" s="276">
        <f>IFERROR(1/Calculations_APPURT[[#This Row],[Brackets]],0) * cv_M/cv_F * Forces_APPURT[[#This Row],[Alpha Fa 330]] * Calculations_APPURT[[#This Row],[Horizontal Offset]]/12</f>
        <v>0</v>
      </c>
      <c r="LS9" s="276">
        <f>IFERROR(1/Calculations_APPURT[[#This Row],[Brackets]],0) * cv_M/cv_F * Forces_APPURT[[#This Row],[Beta Fa 0]] * Calculations_APPURT[[#This Row],[Horizontal Offset]]/12</f>
        <v>0</v>
      </c>
      <c r="LT9" s="276">
        <f>IFERROR(1/Calculations_APPURT[[#This Row],[Brackets]],0) * cv_M/cv_F * Forces_APPURT[[#This Row],[Beta Fa 30]] * Calculations_APPURT[[#This Row],[Horizontal Offset]]/12</f>
        <v>0</v>
      </c>
      <c r="LU9" s="276">
        <f>IFERROR(1/Calculations_APPURT[[#This Row],[Brackets]],0) * cv_M/cv_F * Forces_APPURT[[#This Row],[Beta Fa 45]] * Calculations_APPURT[[#This Row],[Horizontal Offset]]/12</f>
        <v>0</v>
      </c>
      <c r="LV9" s="276">
        <f>IFERROR(1/Calculations_APPURT[[#This Row],[Brackets]],0) * cv_M/cv_F * Forces_APPURT[[#This Row],[Beta Fa 60]] * Calculations_APPURT[[#This Row],[Horizontal Offset]]/12</f>
        <v>0</v>
      </c>
      <c r="LW9" s="276">
        <f>IFERROR(1/Calculations_APPURT[[#This Row],[Brackets]],0) * cv_M/cv_F * Forces_APPURT[[#This Row],[Beta Fa 90]] * Calculations_APPURT[[#This Row],[Horizontal Offset]]/12</f>
        <v>0</v>
      </c>
      <c r="LX9" s="276">
        <f>IFERROR(1/Calculations_APPURT[[#This Row],[Brackets]],0) * cv_M/cv_F * Forces_APPURT[[#This Row],[Beta Fa 120]] * Calculations_APPURT[[#This Row],[Horizontal Offset]]/12</f>
        <v>0</v>
      </c>
      <c r="LY9" s="276">
        <f>IFERROR(1/Calculations_APPURT[[#This Row],[Brackets]],0) * cv_M/cv_F * Forces_APPURT[[#This Row],[Beta Fa 135]] * Calculations_APPURT[[#This Row],[Horizontal Offset]]/12</f>
        <v>0</v>
      </c>
      <c r="LZ9" s="276">
        <f>IFERROR(1/Calculations_APPURT[[#This Row],[Brackets]],0) * cv_M/cv_F * Forces_APPURT[[#This Row],[Beta Fa 150]] * Calculations_APPURT[[#This Row],[Horizontal Offset]]/12</f>
        <v>0</v>
      </c>
      <c r="MA9" s="276">
        <f>IFERROR(1/Calculations_APPURT[[#This Row],[Brackets]],0) * cv_M/cv_F * Forces_APPURT[[#This Row],[Beta Fa 180]] * Calculations_APPURT[[#This Row],[Horizontal Offset]]/12</f>
        <v>0</v>
      </c>
      <c r="MB9" s="276">
        <f>IFERROR(1/Calculations_APPURT[[#This Row],[Brackets]],0) * cv_M/cv_F * Forces_APPURT[[#This Row],[Beta Fa 210]] * Calculations_APPURT[[#This Row],[Horizontal Offset]]/12</f>
        <v>0</v>
      </c>
      <c r="MC9" s="276">
        <f>IFERROR(1/Calculations_APPURT[[#This Row],[Brackets]],0) * cv_M/cv_F * Forces_APPURT[[#This Row],[Beta Fa 225]] * Calculations_APPURT[[#This Row],[Horizontal Offset]]/12</f>
        <v>0</v>
      </c>
      <c r="MD9" s="276">
        <f>IFERROR(1/Calculations_APPURT[[#This Row],[Brackets]],0) * cv_M/cv_F * Forces_APPURT[[#This Row],[Beta Fa 240]] * Calculations_APPURT[[#This Row],[Horizontal Offset]]/12</f>
        <v>0</v>
      </c>
      <c r="ME9" s="276">
        <f>IFERROR(1/Calculations_APPURT[[#This Row],[Brackets]],0) * cv_M/cv_F * Forces_APPURT[[#This Row],[Beta Fa 270]] * Calculations_APPURT[[#This Row],[Horizontal Offset]]/12</f>
        <v>0</v>
      </c>
      <c r="MF9" s="276">
        <f>IFERROR(1/Calculations_APPURT[[#This Row],[Brackets]],0) * cv_M/cv_F * Forces_APPURT[[#This Row],[Beta Fa 300]] * Calculations_APPURT[[#This Row],[Horizontal Offset]]/12</f>
        <v>0</v>
      </c>
      <c r="MG9" s="276">
        <f>IFERROR(1/Calculations_APPURT[[#This Row],[Brackets]],0) * cv_M/cv_F * Forces_APPURT[[#This Row],[Beta Fa 315]] * Calculations_APPURT[[#This Row],[Horizontal Offset]]/12</f>
        <v>0</v>
      </c>
      <c r="MH9" s="276">
        <f>IFERROR(1/Calculations_APPURT[[#This Row],[Brackets]],0) * cv_M/cv_F * Forces_APPURT[[#This Row],[Beta Fa 330]] * Calculations_APPURT[[#This Row],[Horizontal Offset]]/12</f>
        <v>0</v>
      </c>
      <c r="MI9" s="276">
        <f>IFERROR(1/Calculations_APPURT[[#This Row],[Brackets]],0) * cv_M/cv_F * Forces_APPURT[[#This Row],[Gamma Fa 0]] * Calculations_APPURT[[#This Row],[Horizontal Offset]]/12</f>
        <v>0</v>
      </c>
      <c r="MJ9" s="276">
        <f>IFERROR(1/Calculations_APPURT[[#This Row],[Brackets]],0) * cv_M/cv_F * Forces_APPURT[[#This Row],[Gamma Fa 30]] * Calculations_APPURT[[#This Row],[Horizontal Offset]]/12</f>
        <v>0</v>
      </c>
      <c r="MK9" s="276">
        <f>IFERROR(1/Calculations_APPURT[[#This Row],[Brackets]],0) * cv_M/cv_F * Forces_APPURT[[#This Row],[Gamma Fa 45]] * Calculations_APPURT[[#This Row],[Horizontal Offset]]/12</f>
        <v>0</v>
      </c>
      <c r="ML9" s="276">
        <f>IFERROR(1/Calculations_APPURT[[#This Row],[Brackets]],0) * cv_M/cv_F * Forces_APPURT[[#This Row],[Gamma Fa 60]] * Calculations_APPURT[[#This Row],[Horizontal Offset]]/12</f>
        <v>0</v>
      </c>
      <c r="MM9" s="276">
        <f>IFERROR(1/Calculations_APPURT[[#This Row],[Brackets]],0) * cv_M/cv_F * Forces_APPURT[[#This Row],[Gamma Fa 90]] * Calculations_APPURT[[#This Row],[Horizontal Offset]]/12</f>
        <v>0</v>
      </c>
      <c r="MN9" s="276">
        <f>IFERROR(1/Calculations_APPURT[[#This Row],[Brackets]],0) * cv_M/cv_F * Forces_APPURT[[#This Row],[Gamma Fa 120]] * Calculations_APPURT[[#This Row],[Horizontal Offset]]/12</f>
        <v>0</v>
      </c>
      <c r="MO9" s="276">
        <f>IFERROR(1/Calculations_APPURT[[#This Row],[Brackets]],0) * cv_M/cv_F * Forces_APPURT[[#This Row],[Gamma Fa 135]] * Calculations_APPURT[[#This Row],[Horizontal Offset]]/12</f>
        <v>0</v>
      </c>
      <c r="MP9" s="276">
        <f>IFERROR(1/Calculations_APPURT[[#This Row],[Brackets]],0) * cv_M/cv_F * Forces_APPURT[[#This Row],[Gamma Fa 150]] * Calculations_APPURT[[#This Row],[Horizontal Offset]]/12</f>
        <v>0</v>
      </c>
      <c r="MQ9" s="276">
        <f>IFERROR(1/Calculations_APPURT[[#This Row],[Brackets]],0) * cv_M/cv_F * Forces_APPURT[[#This Row],[Gamma Fa 180]] * Calculations_APPURT[[#This Row],[Horizontal Offset]]/12</f>
        <v>0</v>
      </c>
      <c r="MR9" s="276">
        <f>IFERROR(1/Calculations_APPURT[[#This Row],[Brackets]],0) * cv_M/cv_F * Forces_APPURT[[#This Row],[Gamma Fa 210]] * Calculations_APPURT[[#This Row],[Horizontal Offset]]/12</f>
        <v>0</v>
      </c>
      <c r="MS9" s="276">
        <f>IFERROR(1/Calculations_APPURT[[#This Row],[Brackets]],0) * cv_M/cv_F * Forces_APPURT[[#This Row],[Gamma Fa 225]] * Calculations_APPURT[[#This Row],[Horizontal Offset]]/12</f>
        <v>0</v>
      </c>
      <c r="MT9" s="276">
        <f>IFERROR(1/Calculations_APPURT[[#This Row],[Brackets]],0) * cv_M/cv_F * Forces_APPURT[[#This Row],[Gamma Fa 240]] * Calculations_APPURT[[#This Row],[Horizontal Offset]]/12</f>
        <v>0</v>
      </c>
      <c r="MU9" s="276">
        <f>IFERROR(1/Calculations_APPURT[[#This Row],[Brackets]],0) * cv_M/cv_F * Forces_APPURT[[#This Row],[Gamma Fa 270]] * Calculations_APPURT[[#This Row],[Horizontal Offset]]/12</f>
        <v>0</v>
      </c>
      <c r="MV9" s="276">
        <f>IFERROR(1/Calculations_APPURT[[#This Row],[Brackets]],0) * cv_M/cv_F * Forces_APPURT[[#This Row],[Gamma Fa 300]] * Calculations_APPURT[[#This Row],[Horizontal Offset]]/12</f>
        <v>0</v>
      </c>
      <c r="MW9" s="276">
        <f>IFERROR(1/Calculations_APPURT[[#This Row],[Brackets]],0) * cv_M/cv_F * Forces_APPURT[[#This Row],[Gamma Fa 315]] * Calculations_APPURT[[#This Row],[Horizontal Offset]]/12</f>
        <v>0</v>
      </c>
      <c r="MX9" s="276">
        <f>IFERROR(1/Calculations_APPURT[[#This Row],[Brackets]],0) * cv_M/cv_F * Forces_APPURT[[#This Row],[Gamma Fa 330]] * Calculations_APPURT[[#This Row],[Horizontal Offset]]/12</f>
        <v>0</v>
      </c>
      <c r="MY9" s="276">
        <f>IFERROR(1/Calculations_APPURT[[#This Row],[Brackets]],0) * cv_M/cv_F * Forces_APPURT[[#This Row],[Delta Fa 0]] * Calculations_APPURT[[#This Row],[Horizontal Offset]]/12</f>
        <v>0</v>
      </c>
      <c r="MZ9" s="276">
        <f>IFERROR(1/Calculations_APPURT[[#This Row],[Brackets]],0) * cv_M/cv_F * Forces_APPURT[[#This Row],[Delta Fa 30]] * Calculations_APPURT[[#This Row],[Horizontal Offset]]/12</f>
        <v>0</v>
      </c>
      <c r="NA9" s="276">
        <f>IFERROR(1/Calculations_APPURT[[#This Row],[Brackets]],0) * cv_M/cv_F * Forces_APPURT[[#This Row],[Delta Fa 45]] * Calculations_APPURT[[#This Row],[Horizontal Offset]]/12</f>
        <v>0</v>
      </c>
      <c r="NB9" s="276">
        <f>IFERROR(1/Calculations_APPURT[[#This Row],[Brackets]],0) * cv_M/cv_F * Forces_APPURT[[#This Row],[Delta Fa 60]] * Calculations_APPURT[[#This Row],[Horizontal Offset]]/12</f>
        <v>0</v>
      </c>
      <c r="NC9" s="276">
        <f>IFERROR(1/Calculations_APPURT[[#This Row],[Brackets]],0) * cv_M/cv_F * Forces_APPURT[[#This Row],[Delta Fa 90]] * Calculations_APPURT[[#This Row],[Horizontal Offset]]/12</f>
        <v>0</v>
      </c>
      <c r="ND9" s="276">
        <f>IFERROR(1/Calculations_APPURT[[#This Row],[Brackets]],0) * cv_M/cv_F * Forces_APPURT[[#This Row],[Delta Fa 120]] * Calculations_APPURT[[#This Row],[Horizontal Offset]]/12</f>
        <v>0</v>
      </c>
      <c r="NE9" s="276">
        <f>IFERROR(1/Calculations_APPURT[[#This Row],[Brackets]],0) * cv_M/cv_F * Forces_APPURT[[#This Row],[Delta Fa 135]] * Calculations_APPURT[[#This Row],[Horizontal Offset]]/12</f>
        <v>0</v>
      </c>
      <c r="NF9" s="276">
        <f>IFERROR(1/Calculations_APPURT[[#This Row],[Brackets]],0) * cv_M/cv_F * Forces_APPURT[[#This Row],[Delta Fa 150]] * Calculations_APPURT[[#This Row],[Horizontal Offset]]/12</f>
        <v>0</v>
      </c>
      <c r="NG9" s="276">
        <f>IFERROR(1/Calculations_APPURT[[#This Row],[Brackets]],0) * cv_M/cv_F * Forces_APPURT[[#This Row],[Delta Fa 180]] * Calculations_APPURT[[#This Row],[Horizontal Offset]]/12</f>
        <v>0</v>
      </c>
      <c r="NH9" s="276">
        <f>IFERROR(1/Calculations_APPURT[[#This Row],[Brackets]],0) * cv_M/cv_F * Forces_APPURT[[#This Row],[Delta Fa 210]] * Calculations_APPURT[[#This Row],[Horizontal Offset]]/12</f>
        <v>0</v>
      </c>
      <c r="NI9" s="276">
        <f>IFERROR(1/Calculations_APPURT[[#This Row],[Brackets]],0) * cv_M/cv_F * Forces_APPURT[[#This Row],[Delta Fa 225]] * Calculations_APPURT[[#This Row],[Horizontal Offset]]/12</f>
        <v>0</v>
      </c>
      <c r="NJ9" s="276">
        <f>IFERROR(1/Calculations_APPURT[[#This Row],[Brackets]],0) * cv_M/cv_F * Forces_APPURT[[#This Row],[Delta Fa 240]] * Calculations_APPURT[[#This Row],[Horizontal Offset]]/12</f>
        <v>0</v>
      </c>
      <c r="NK9" s="276">
        <f>IFERROR(1/Calculations_APPURT[[#This Row],[Brackets]],0) * cv_M/cv_F * Forces_APPURT[[#This Row],[Delta Fa 270]] * Calculations_APPURT[[#This Row],[Horizontal Offset]]/12</f>
        <v>0</v>
      </c>
      <c r="NL9" s="276">
        <f>IFERROR(1/Calculations_APPURT[[#This Row],[Brackets]],0) * cv_M/cv_F * Forces_APPURT[[#This Row],[Delta Fa 300]] * Calculations_APPURT[[#This Row],[Horizontal Offset]]/12</f>
        <v>0</v>
      </c>
      <c r="NM9" s="276">
        <f>IFERROR(1/Calculations_APPURT[[#This Row],[Brackets]],0) * cv_M/cv_F * Forces_APPURT[[#This Row],[Delta Fa 315]] * Calculations_APPURT[[#This Row],[Horizontal Offset]]/12</f>
        <v>0</v>
      </c>
      <c r="NN9" s="276">
        <f>IFERROR(1/Calculations_APPURT[[#This Row],[Brackets]],0) * cv_M/cv_F * Forces_APPURT[[#This Row],[Delta Fa 330]] * Calculations_APPURT[[#This Row],[Horizontal Offset]]/12</f>
        <v>0</v>
      </c>
      <c r="NO9" s="276">
        <f>IFERROR(1/Calculations_APPURT[[#This Row],[Brackets]],0) * cv_M/cv_F * Forces_APPURT[[#This Row],[Alpha Fai 0]] * Calculations_APPURT[[#This Row],[Horizontal Offset]]/12</f>
        <v>0</v>
      </c>
      <c r="NP9" s="276">
        <f>IFERROR(1/Calculations_APPURT[[#This Row],[Brackets]],0) * cv_M/cv_F * Forces_APPURT[[#This Row],[Alpha Fai 30]] * Calculations_APPURT[[#This Row],[Horizontal Offset]]/12</f>
        <v>0</v>
      </c>
      <c r="NQ9" s="276">
        <f>IFERROR(1/Calculations_APPURT[[#This Row],[Brackets]],0) * cv_M/cv_F * Forces_APPURT[[#This Row],[Alpha Fai 45]] * Calculations_APPURT[[#This Row],[Horizontal Offset]]/12</f>
        <v>0</v>
      </c>
      <c r="NR9" s="276">
        <f>IFERROR(1/Calculations_APPURT[[#This Row],[Brackets]],0) * cv_M/cv_F * Forces_APPURT[[#This Row],[Alpha Fai 60]] * Calculations_APPURT[[#This Row],[Horizontal Offset]]/12</f>
        <v>0</v>
      </c>
      <c r="NS9" s="276">
        <f>IFERROR(1/Calculations_APPURT[[#This Row],[Brackets]],0) * cv_M/cv_F * Forces_APPURT[[#This Row],[Alpha Fai 90]] * Calculations_APPURT[[#This Row],[Horizontal Offset]]/12</f>
        <v>0</v>
      </c>
      <c r="NT9" s="276">
        <f>IFERROR(1/Calculations_APPURT[[#This Row],[Brackets]],0) * cv_M/cv_F * Forces_APPURT[[#This Row],[Alpha Fai 120]] * Calculations_APPURT[[#This Row],[Horizontal Offset]]/12</f>
        <v>0</v>
      </c>
      <c r="NU9" s="276">
        <f>IFERROR(1/Calculations_APPURT[[#This Row],[Brackets]],0) * cv_M/cv_F * Forces_APPURT[[#This Row],[Alpha Fai 135]] * Calculations_APPURT[[#This Row],[Horizontal Offset]]/12</f>
        <v>0</v>
      </c>
      <c r="NV9" s="276">
        <f>IFERROR(1/Calculations_APPURT[[#This Row],[Brackets]],0) * cv_M/cv_F * Forces_APPURT[[#This Row],[Alpha Fai 150]] * Calculations_APPURT[[#This Row],[Horizontal Offset]]/12</f>
        <v>0</v>
      </c>
      <c r="NW9" s="276">
        <f>IFERROR(1/Calculations_APPURT[[#This Row],[Brackets]],0) * cv_M/cv_F * Forces_APPURT[[#This Row],[Alpha Fai 180]] * Calculations_APPURT[[#This Row],[Horizontal Offset]]/12</f>
        <v>0</v>
      </c>
      <c r="NX9" s="276">
        <f>IFERROR(1/Calculations_APPURT[[#This Row],[Brackets]],0) * cv_M/cv_F * Forces_APPURT[[#This Row],[Alpha Fai 210]] * Calculations_APPURT[[#This Row],[Horizontal Offset]]/12</f>
        <v>0</v>
      </c>
      <c r="NY9" s="276">
        <f>IFERROR(1/Calculations_APPURT[[#This Row],[Brackets]],0) * cv_M/cv_F * Forces_APPURT[[#This Row],[Alpha Fai 225]] * Calculations_APPURT[[#This Row],[Horizontal Offset]]/12</f>
        <v>0</v>
      </c>
      <c r="NZ9" s="276">
        <f>IFERROR(1/Calculations_APPURT[[#This Row],[Brackets]],0) * cv_M/cv_F * Forces_APPURT[[#This Row],[Alpha Fai 240]] * Calculations_APPURT[[#This Row],[Horizontal Offset]]/12</f>
        <v>0</v>
      </c>
      <c r="OA9" s="276">
        <f>IFERROR(1/Calculations_APPURT[[#This Row],[Brackets]],0) * cv_M/cv_F * Forces_APPURT[[#This Row],[Alpha Fai 270]] * Calculations_APPURT[[#This Row],[Horizontal Offset]]/12</f>
        <v>0</v>
      </c>
      <c r="OB9" s="276">
        <f>IFERROR(1/Calculations_APPURT[[#This Row],[Brackets]],0) * cv_M/cv_F * Forces_APPURT[[#This Row],[Alpha Fai 300]] * Calculations_APPURT[[#This Row],[Horizontal Offset]]/12</f>
        <v>0</v>
      </c>
      <c r="OC9" s="276">
        <f>IFERROR(1/Calculations_APPURT[[#This Row],[Brackets]],0) * cv_M/cv_F * Forces_APPURT[[#This Row],[Alpha Fai 315]] * Calculations_APPURT[[#This Row],[Horizontal Offset]]/12</f>
        <v>0</v>
      </c>
      <c r="OD9" s="276">
        <f>IFERROR(1/Calculations_APPURT[[#This Row],[Brackets]],0) * cv_M/cv_F * Forces_APPURT[[#This Row],[Alpha Fai 330]] * Calculations_APPURT[[#This Row],[Horizontal Offset]]/12</f>
        <v>0</v>
      </c>
      <c r="OE9" s="276">
        <f>IFERROR(1/Calculations_APPURT[[#This Row],[Brackets]],0) * cv_M/cv_F * Forces_APPURT[[#This Row],[Beta Fai 0]] * Calculations_APPURT[[#This Row],[Horizontal Offset]]/12</f>
        <v>0</v>
      </c>
      <c r="OF9" s="276">
        <f>IFERROR(1/Calculations_APPURT[[#This Row],[Brackets]],0) * cv_M/cv_F * Forces_APPURT[[#This Row],[Beta Fai 30]] * Calculations_APPURT[[#This Row],[Horizontal Offset]]/12</f>
        <v>0</v>
      </c>
      <c r="OG9" s="276">
        <f>IFERROR(1/Calculations_APPURT[[#This Row],[Brackets]],0) * cv_M/cv_F * Forces_APPURT[[#This Row],[Beta Fai 45]] * Calculations_APPURT[[#This Row],[Horizontal Offset]]/12</f>
        <v>0</v>
      </c>
      <c r="OH9" s="276">
        <f>IFERROR(1/Calculations_APPURT[[#This Row],[Brackets]],0) * cv_M/cv_F * Forces_APPURT[[#This Row],[Beta Fai 60]] * Calculations_APPURT[[#This Row],[Horizontal Offset]]/12</f>
        <v>0</v>
      </c>
      <c r="OI9" s="276">
        <f>IFERROR(1/Calculations_APPURT[[#This Row],[Brackets]],0) * cv_M/cv_F * Forces_APPURT[[#This Row],[Beta Fai 90]] * Calculations_APPURT[[#This Row],[Horizontal Offset]]/12</f>
        <v>0</v>
      </c>
      <c r="OJ9" s="276">
        <f>IFERROR(1/Calculations_APPURT[[#This Row],[Brackets]],0) * cv_M/cv_F * Forces_APPURT[[#This Row],[Beta Fai 120]] * Calculations_APPURT[[#This Row],[Horizontal Offset]]/12</f>
        <v>0</v>
      </c>
      <c r="OK9" s="276">
        <f>IFERROR(1/Calculations_APPURT[[#This Row],[Brackets]],0) * cv_M/cv_F * Forces_APPURT[[#This Row],[Beta Fai 135]] * Calculations_APPURT[[#This Row],[Horizontal Offset]]/12</f>
        <v>0</v>
      </c>
      <c r="OL9" s="276">
        <f>IFERROR(1/Calculations_APPURT[[#This Row],[Brackets]],0) * cv_M/cv_F * Forces_APPURT[[#This Row],[Beta Fai 150]] * Calculations_APPURT[[#This Row],[Horizontal Offset]]/12</f>
        <v>0</v>
      </c>
      <c r="OM9" s="276">
        <f>IFERROR(1/Calculations_APPURT[[#This Row],[Brackets]],0) * cv_M/cv_F * Forces_APPURT[[#This Row],[Beta Fai 180]] * Calculations_APPURT[[#This Row],[Horizontal Offset]]/12</f>
        <v>0</v>
      </c>
      <c r="ON9" s="276">
        <f>IFERROR(1/Calculations_APPURT[[#This Row],[Brackets]],0) * cv_M/cv_F * Forces_APPURT[[#This Row],[Beta Fai 210]] * Calculations_APPURT[[#This Row],[Horizontal Offset]]/12</f>
        <v>0</v>
      </c>
      <c r="OO9" s="276">
        <f>IFERROR(1/Calculations_APPURT[[#This Row],[Brackets]],0) * cv_M/cv_F * Forces_APPURT[[#This Row],[Beta Fai 225]] * Calculations_APPURT[[#This Row],[Horizontal Offset]]/12</f>
        <v>0</v>
      </c>
      <c r="OP9" s="276">
        <f>IFERROR(1/Calculations_APPURT[[#This Row],[Brackets]],0) * cv_M/cv_F * Forces_APPURT[[#This Row],[Beta Fai 240]] * Calculations_APPURT[[#This Row],[Horizontal Offset]]/12</f>
        <v>0</v>
      </c>
      <c r="OQ9" s="276">
        <f>IFERROR(1/Calculations_APPURT[[#This Row],[Brackets]],0) * cv_M/cv_F * Forces_APPURT[[#This Row],[Beta Fai 270]] * Calculations_APPURT[[#This Row],[Horizontal Offset]]/12</f>
        <v>0</v>
      </c>
      <c r="OR9" s="276">
        <f>IFERROR(1/Calculations_APPURT[[#This Row],[Brackets]],0) * cv_M/cv_F * Forces_APPURT[[#This Row],[Beta Fai 300]] * Calculations_APPURT[[#This Row],[Horizontal Offset]]/12</f>
        <v>0</v>
      </c>
      <c r="OS9" s="276">
        <f>IFERROR(1/Calculations_APPURT[[#This Row],[Brackets]],0) * cv_M/cv_F * Forces_APPURT[[#This Row],[Beta Fai 315]] * Calculations_APPURT[[#This Row],[Horizontal Offset]]/12</f>
        <v>0</v>
      </c>
      <c r="OT9" s="276">
        <f>IFERROR(1/Calculations_APPURT[[#This Row],[Brackets]],0) * cv_M/cv_F * Forces_APPURT[[#This Row],[Beta Fai 330]] * Calculations_APPURT[[#This Row],[Horizontal Offset]]/12</f>
        <v>0</v>
      </c>
      <c r="OU9" s="276">
        <f>IFERROR(1/Calculations_APPURT[[#This Row],[Brackets]],0) * cv_M/cv_F * Forces_APPURT[[#This Row],[Gamma Fai 0]] * Calculations_APPURT[[#This Row],[Horizontal Offset]]/12</f>
        <v>0</v>
      </c>
      <c r="OV9" s="276">
        <f>IFERROR(1/Calculations_APPURT[[#This Row],[Brackets]],0) * cv_M/cv_F * Forces_APPURT[[#This Row],[Gamma Fai 30]] * Calculations_APPURT[[#This Row],[Horizontal Offset]]/12</f>
        <v>0</v>
      </c>
      <c r="OW9" s="276">
        <f>IFERROR(1/Calculations_APPURT[[#This Row],[Brackets]],0) * cv_M/cv_F * Forces_APPURT[[#This Row],[Gamma Fai 45]] * Calculations_APPURT[[#This Row],[Horizontal Offset]]/12</f>
        <v>0</v>
      </c>
      <c r="OX9" s="276">
        <f>IFERROR(1/Calculations_APPURT[[#This Row],[Brackets]],0) * cv_M/cv_F * Forces_APPURT[[#This Row],[Gamma Fai 60]] * Calculations_APPURT[[#This Row],[Horizontal Offset]]/12</f>
        <v>0</v>
      </c>
      <c r="OY9" s="276">
        <f>IFERROR(1/Calculations_APPURT[[#This Row],[Brackets]],0) * cv_M/cv_F * Forces_APPURT[[#This Row],[Gamma Fai 90]] * Calculations_APPURT[[#This Row],[Horizontal Offset]]/12</f>
        <v>0</v>
      </c>
      <c r="OZ9" s="276">
        <f>IFERROR(1/Calculations_APPURT[[#This Row],[Brackets]],0) * cv_M/cv_F * Forces_APPURT[[#This Row],[Gamma Fai 120]] * Calculations_APPURT[[#This Row],[Horizontal Offset]]/12</f>
        <v>0</v>
      </c>
      <c r="PA9" s="276">
        <f>IFERROR(1/Calculations_APPURT[[#This Row],[Brackets]],0) * cv_M/cv_F * Forces_APPURT[[#This Row],[Gamma Fai 135]] * Calculations_APPURT[[#This Row],[Horizontal Offset]]/12</f>
        <v>0</v>
      </c>
      <c r="PB9" s="276">
        <f>IFERROR(1/Calculations_APPURT[[#This Row],[Brackets]],0) * cv_M/cv_F * Forces_APPURT[[#This Row],[Gamma Fai 150]] * Calculations_APPURT[[#This Row],[Horizontal Offset]]/12</f>
        <v>0</v>
      </c>
      <c r="PC9" s="276">
        <f>IFERROR(1/Calculations_APPURT[[#This Row],[Brackets]],0) * cv_M/cv_F * Forces_APPURT[[#This Row],[Gamma Fai 180]] * Calculations_APPURT[[#This Row],[Horizontal Offset]]/12</f>
        <v>0</v>
      </c>
      <c r="PD9" s="276">
        <f>IFERROR(1/Calculations_APPURT[[#This Row],[Brackets]],0) * cv_M/cv_F * Forces_APPURT[[#This Row],[Gamma Fai 210]] * Calculations_APPURT[[#This Row],[Horizontal Offset]]/12</f>
        <v>0</v>
      </c>
      <c r="PE9" s="276">
        <f>IFERROR(1/Calculations_APPURT[[#This Row],[Brackets]],0) * cv_M/cv_F * Forces_APPURT[[#This Row],[Gamma Fai 225]] * Calculations_APPURT[[#This Row],[Horizontal Offset]]/12</f>
        <v>0</v>
      </c>
      <c r="PF9" s="276">
        <f>IFERROR(1/Calculations_APPURT[[#This Row],[Brackets]],0) * cv_M/cv_F * Forces_APPURT[[#This Row],[Gamma Fai 240]] * Calculations_APPURT[[#This Row],[Horizontal Offset]]/12</f>
        <v>0</v>
      </c>
      <c r="PG9" s="276">
        <f>IFERROR(1/Calculations_APPURT[[#This Row],[Brackets]],0) * cv_M/cv_F * Forces_APPURT[[#This Row],[Gamma Fai 270]] * Calculations_APPURT[[#This Row],[Horizontal Offset]]/12</f>
        <v>0</v>
      </c>
      <c r="PH9" s="276">
        <f>IFERROR(1/Calculations_APPURT[[#This Row],[Brackets]],0) * cv_M/cv_F * Forces_APPURT[[#This Row],[Gamma Fai 300]] * Calculations_APPURT[[#This Row],[Horizontal Offset]]/12</f>
        <v>0</v>
      </c>
      <c r="PI9" s="276">
        <f>IFERROR(1/Calculations_APPURT[[#This Row],[Brackets]],0) * cv_M/cv_F * Forces_APPURT[[#This Row],[Gamma Fai 315]] * Calculations_APPURT[[#This Row],[Horizontal Offset]]/12</f>
        <v>0</v>
      </c>
      <c r="PJ9" s="276">
        <f>IFERROR(1/Calculations_APPURT[[#This Row],[Brackets]],0) * cv_M/cv_F * Forces_APPURT[[#This Row],[Gamma Fai 330]] * Calculations_APPURT[[#This Row],[Horizontal Offset]]/12</f>
        <v>0</v>
      </c>
      <c r="PK9" s="276">
        <f>IFERROR(1/Calculations_APPURT[[#This Row],[Brackets]],0) * cv_M/cv_F * Forces_APPURT[[#This Row],[Delta Fai 0]] * Calculations_APPURT[[#This Row],[Horizontal Offset]]/12</f>
        <v>0</v>
      </c>
      <c r="PL9" s="276">
        <f>IFERROR(1/Calculations_APPURT[[#This Row],[Brackets]],0) * cv_M/cv_F * Forces_APPURT[[#This Row],[Delta Fai 30]] * Calculations_APPURT[[#This Row],[Horizontal Offset]]/12</f>
        <v>0</v>
      </c>
      <c r="PM9" s="276">
        <f>IFERROR(1/Calculations_APPURT[[#This Row],[Brackets]],0) * cv_M/cv_F * Forces_APPURT[[#This Row],[Delta Fai 45]] * Calculations_APPURT[[#This Row],[Horizontal Offset]]/12</f>
        <v>0</v>
      </c>
      <c r="PN9" s="276">
        <f>IFERROR(1/Calculations_APPURT[[#This Row],[Brackets]],0) * cv_M/cv_F * Forces_APPURT[[#This Row],[Delta Fai 60]] * Calculations_APPURT[[#This Row],[Horizontal Offset]]/12</f>
        <v>0</v>
      </c>
      <c r="PO9" s="276">
        <f>IFERROR(1/Calculations_APPURT[[#This Row],[Brackets]],0) * cv_M/cv_F * Forces_APPURT[[#This Row],[Delta Fai 90]] * Calculations_APPURT[[#This Row],[Horizontal Offset]]/12</f>
        <v>0</v>
      </c>
      <c r="PP9" s="276">
        <f>IFERROR(1/Calculations_APPURT[[#This Row],[Brackets]],0) * cv_M/cv_F * Forces_APPURT[[#This Row],[Delta Fai 120]] * Calculations_APPURT[[#This Row],[Horizontal Offset]]/12</f>
        <v>0</v>
      </c>
      <c r="PQ9" s="276">
        <f>IFERROR(1/Calculations_APPURT[[#This Row],[Brackets]],0) * cv_M/cv_F * Forces_APPURT[[#This Row],[Delta Fai 135]] * Calculations_APPURT[[#This Row],[Horizontal Offset]]/12</f>
        <v>0</v>
      </c>
      <c r="PR9" s="276">
        <f>IFERROR(1/Calculations_APPURT[[#This Row],[Brackets]],0) * cv_M/cv_F * Forces_APPURT[[#This Row],[Delta Fai 150]] * Calculations_APPURT[[#This Row],[Horizontal Offset]]/12</f>
        <v>0</v>
      </c>
      <c r="PS9" s="276">
        <f>IFERROR(1/Calculations_APPURT[[#This Row],[Brackets]],0) * cv_M/cv_F * Forces_APPURT[[#This Row],[Delta Fai 180]] * Calculations_APPURT[[#This Row],[Horizontal Offset]]/12</f>
        <v>0</v>
      </c>
      <c r="PT9" s="276">
        <f>IFERROR(1/Calculations_APPURT[[#This Row],[Brackets]],0) * cv_M/cv_F * Forces_APPURT[[#This Row],[Delta Fai 210]] * Calculations_APPURT[[#This Row],[Horizontal Offset]]/12</f>
        <v>0</v>
      </c>
      <c r="PU9" s="276">
        <f>IFERROR(1/Calculations_APPURT[[#This Row],[Brackets]],0) * cv_M/cv_F * Forces_APPURT[[#This Row],[Delta Fai 225]] * Calculations_APPURT[[#This Row],[Horizontal Offset]]/12</f>
        <v>0</v>
      </c>
      <c r="PV9" s="276">
        <f>IFERROR(1/Calculations_APPURT[[#This Row],[Brackets]],0) * cv_M/cv_F * Forces_APPURT[[#This Row],[Delta Fai 240]] * Calculations_APPURT[[#This Row],[Horizontal Offset]]/12</f>
        <v>0</v>
      </c>
      <c r="PW9" s="276">
        <f>IFERROR(1/Calculations_APPURT[[#This Row],[Brackets]],0) * cv_M/cv_F * Forces_APPURT[[#This Row],[Delta Fai 270]] * Calculations_APPURT[[#This Row],[Horizontal Offset]]/12</f>
        <v>0</v>
      </c>
      <c r="PX9" s="276">
        <f>IFERROR(1/Calculations_APPURT[[#This Row],[Brackets]],0) * cv_M/cv_F * Forces_APPURT[[#This Row],[Delta Fai 300]] * Calculations_APPURT[[#This Row],[Horizontal Offset]]/12</f>
        <v>0</v>
      </c>
      <c r="PY9" s="276">
        <f>IFERROR(1/Calculations_APPURT[[#This Row],[Brackets]],0) * cv_M/cv_F * Forces_APPURT[[#This Row],[Delta Fai 315]] * Calculations_APPURT[[#This Row],[Horizontal Offset]]/12</f>
        <v>0</v>
      </c>
      <c r="PZ9" s="276">
        <f>IFERROR(1/Calculations_APPURT[[#This Row],[Brackets]],0) * cv_M/cv_F * Forces_APPURT[[#This Row],[Delta Fai 330]] * Calculations_APPURT[[#This Row],[Horizontal Offset]]/12</f>
        <v>0</v>
      </c>
      <c r="QA9" s="276">
        <f>IFERROR(1/Calculations_APPURT[[#This Row],[Brackets]],0) * cv_M/cv_F * Forces_APPURT[[#This Row],[Alpha Fa 0]] * Calculations_APPURT[[#This Row],[Lateral Offset]]/12</f>
        <v>0</v>
      </c>
      <c r="QB9" s="276">
        <f>IFERROR(1/Calculations_APPURT[[#This Row],[Brackets]],0) * cv_M/cv_F * Forces_APPURT[[#This Row],[Alpha Fa 30]] * Calculations_APPURT[[#This Row],[Lateral Offset]]/12</f>
        <v>0</v>
      </c>
      <c r="QC9" s="276">
        <f>IFERROR(1/Calculations_APPURT[[#This Row],[Brackets]],0) * cv_M/cv_F * Forces_APPURT[[#This Row],[Alpha Fa 45]] * Calculations_APPURT[[#This Row],[Lateral Offset]]/12</f>
        <v>0</v>
      </c>
      <c r="QD9" s="276">
        <f>IFERROR(1/Calculations_APPURT[[#This Row],[Brackets]],0) * cv_M/cv_F * Forces_APPURT[[#This Row],[Alpha Fa 60]] * Calculations_APPURT[[#This Row],[Lateral Offset]]/12</f>
        <v>0</v>
      </c>
      <c r="QE9" s="276">
        <f>IFERROR(1/Calculations_APPURT[[#This Row],[Brackets]],0) * cv_M/cv_F * Forces_APPURT[[#This Row],[Alpha Fa 90]] * Calculations_APPURT[[#This Row],[Lateral Offset]]/12</f>
        <v>0</v>
      </c>
      <c r="QF9" s="276">
        <f>IFERROR(1/Calculations_APPURT[[#This Row],[Brackets]],0) * cv_M/cv_F * Forces_APPURT[[#This Row],[Alpha Fa 120]] * Calculations_APPURT[[#This Row],[Lateral Offset]]/12</f>
        <v>0</v>
      </c>
      <c r="QG9" s="276">
        <f>IFERROR(1/Calculations_APPURT[[#This Row],[Brackets]],0) * cv_M/cv_F * Forces_APPURT[[#This Row],[Alpha Fa 135]] * Calculations_APPURT[[#This Row],[Lateral Offset]]/12</f>
        <v>0</v>
      </c>
      <c r="QH9" s="276">
        <f>IFERROR(1/Calculations_APPURT[[#This Row],[Brackets]],0) * cv_M/cv_F * Forces_APPURT[[#This Row],[Alpha Fa 150]] * Calculations_APPURT[[#This Row],[Lateral Offset]]/12</f>
        <v>0</v>
      </c>
      <c r="QI9" s="276">
        <f>IFERROR(1/Calculations_APPURT[[#This Row],[Brackets]],0) * cv_M/cv_F * Forces_APPURT[[#This Row],[Alpha Fa 180]] * Calculations_APPURT[[#This Row],[Lateral Offset]]/12</f>
        <v>0</v>
      </c>
      <c r="QJ9" s="276">
        <f>IFERROR(1/Calculations_APPURT[[#This Row],[Brackets]],0) * cv_M/cv_F * Forces_APPURT[[#This Row],[Alpha Fa 210]] * Calculations_APPURT[[#This Row],[Lateral Offset]]/12</f>
        <v>0</v>
      </c>
      <c r="QK9" s="276">
        <f>IFERROR(1/Calculations_APPURT[[#This Row],[Brackets]],0) * cv_M/cv_F * Forces_APPURT[[#This Row],[Alpha Fa 225]] * Calculations_APPURT[[#This Row],[Lateral Offset]]/12</f>
        <v>0</v>
      </c>
      <c r="QL9" s="276">
        <f>IFERROR(1/Calculations_APPURT[[#This Row],[Brackets]],0) * cv_M/cv_F * Forces_APPURT[[#This Row],[Alpha Fa 240]] * Calculations_APPURT[[#This Row],[Lateral Offset]]/12</f>
        <v>0</v>
      </c>
      <c r="QM9" s="276">
        <f>IFERROR(1/Calculations_APPURT[[#This Row],[Brackets]],0) * cv_M/cv_F * Forces_APPURT[[#This Row],[Alpha Fa 270]] * Calculations_APPURT[[#This Row],[Lateral Offset]]/12</f>
        <v>0</v>
      </c>
      <c r="QN9" s="276">
        <f>IFERROR(1/Calculations_APPURT[[#This Row],[Brackets]],0) * cv_M/cv_F * Forces_APPURT[[#This Row],[Alpha Fa 300]] * Calculations_APPURT[[#This Row],[Lateral Offset]]/12</f>
        <v>0</v>
      </c>
      <c r="QO9" s="276">
        <f>IFERROR(1/Calculations_APPURT[[#This Row],[Brackets]],0) * cv_M/cv_F * Forces_APPURT[[#This Row],[Alpha Fa 315]] * Calculations_APPURT[[#This Row],[Lateral Offset]]/12</f>
        <v>0</v>
      </c>
      <c r="QP9" s="276">
        <f>IFERROR(1/Calculations_APPURT[[#This Row],[Brackets]],0) * cv_M/cv_F * Forces_APPURT[[#This Row],[Alpha Fa 330]] * Calculations_APPURT[[#This Row],[Lateral Offset]]/12</f>
        <v>0</v>
      </c>
      <c r="QQ9" s="276">
        <f>IFERROR(1/Calculations_APPURT[[#This Row],[Brackets]],0) * cv_M/cv_F * Forces_APPURT[[#This Row],[Beta Fa 0]] * Calculations_APPURT[[#This Row],[Lateral Offset]]/12</f>
        <v>0</v>
      </c>
      <c r="QR9" s="276">
        <f>IFERROR(1/Calculations_APPURT[[#This Row],[Brackets]],0) * cv_M/cv_F * Forces_APPURT[[#This Row],[Beta Fa 30]] * Calculations_APPURT[[#This Row],[Lateral Offset]]/12</f>
        <v>0</v>
      </c>
      <c r="QS9" s="276">
        <f>IFERROR(1/Calculations_APPURT[[#This Row],[Brackets]],0) * cv_M/cv_F * Forces_APPURT[[#This Row],[Beta Fa 45]] * Calculations_APPURT[[#This Row],[Lateral Offset]]/12</f>
        <v>0</v>
      </c>
      <c r="QT9" s="276">
        <f>IFERROR(1/Calculations_APPURT[[#This Row],[Brackets]],0) * cv_M/cv_F * Forces_APPURT[[#This Row],[Beta Fa 60]] * Calculations_APPURT[[#This Row],[Lateral Offset]]/12</f>
        <v>0</v>
      </c>
      <c r="QU9" s="276">
        <f>IFERROR(1/Calculations_APPURT[[#This Row],[Brackets]],0) * cv_M/cv_F * Forces_APPURT[[#This Row],[Beta Fa 90]] * Calculations_APPURT[[#This Row],[Lateral Offset]]/12</f>
        <v>0</v>
      </c>
      <c r="QV9" s="276">
        <f>IFERROR(1/Calculations_APPURT[[#This Row],[Brackets]],0) * cv_M/cv_F * Forces_APPURT[[#This Row],[Beta Fa 120]] * Calculations_APPURT[[#This Row],[Lateral Offset]]/12</f>
        <v>0</v>
      </c>
      <c r="QW9" s="276">
        <f>IFERROR(1/Calculations_APPURT[[#This Row],[Brackets]],0) * cv_M/cv_F * Forces_APPURT[[#This Row],[Beta Fa 135]] * Calculations_APPURT[[#This Row],[Lateral Offset]]/12</f>
        <v>0</v>
      </c>
      <c r="QX9" s="276">
        <f>IFERROR(1/Calculations_APPURT[[#This Row],[Brackets]],0) * cv_M/cv_F * Forces_APPURT[[#This Row],[Beta Fa 150]] * Calculations_APPURT[[#This Row],[Lateral Offset]]/12</f>
        <v>0</v>
      </c>
      <c r="QY9" s="276">
        <f>IFERROR(1/Calculations_APPURT[[#This Row],[Brackets]],0) * cv_M/cv_F * Forces_APPURT[[#This Row],[Beta Fa 180]] * Calculations_APPURT[[#This Row],[Lateral Offset]]/12</f>
        <v>0</v>
      </c>
      <c r="QZ9" s="276">
        <f>IFERROR(1/Calculations_APPURT[[#This Row],[Brackets]],0) * cv_M/cv_F * Forces_APPURT[[#This Row],[Beta Fa 210]] * Calculations_APPURT[[#This Row],[Lateral Offset]]/12</f>
        <v>0</v>
      </c>
      <c r="RA9" s="276">
        <f>IFERROR(1/Calculations_APPURT[[#This Row],[Brackets]],0) * cv_M/cv_F * Forces_APPURT[[#This Row],[Beta Fa 225]] * Calculations_APPURT[[#This Row],[Lateral Offset]]/12</f>
        <v>0</v>
      </c>
      <c r="RB9" s="276">
        <f>IFERROR(1/Calculations_APPURT[[#This Row],[Brackets]],0) * cv_M/cv_F * Forces_APPURT[[#This Row],[Beta Fa 240]] * Calculations_APPURT[[#This Row],[Lateral Offset]]/12</f>
        <v>0</v>
      </c>
      <c r="RC9" s="276">
        <f>IFERROR(1/Calculations_APPURT[[#This Row],[Brackets]],0) * cv_M/cv_F * Forces_APPURT[[#This Row],[Beta Fa 270]] * Calculations_APPURT[[#This Row],[Lateral Offset]]/12</f>
        <v>0</v>
      </c>
      <c r="RD9" s="276">
        <f>IFERROR(1/Calculations_APPURT[[#This Row],[Brackets]],0) * cv_M/cv_F * Forces_APPURT[[#This Row],[Beta Fa 300]] * Calculations_APPURT[[#This Row],[Lateral Offset]]/12</f>
        <v>0</v>
      </c>
      <c r="RE9" s="276">
        <f>IFERROR(1/Calculations_APPURT[[#This Row],[Brackets]],0) * cv_M/cv_F * Forces_APPURT[[#This Row],[Beta Fa 315]] * Calculations_APPURT[[#This Row],[Lateral Offset]]/12</f>
        <v>0</v>
      </c>
      <c r="RF9" s="276">
        <f>IFERROR(1/Calculations_APPURT[[#This Row],[Brackets]],0) * cv_M/cv_F * Forces_APPURT[[#This Row],[Beta Fa 330]] * Calculations_APPURT[[#This Row],[Lateral Offset]]/12</f>
        <v>0</v>
      </c>
      <c r="RG9" s="276">
        <f>IFERROR(1/Calculations_APPURT[[#This Row],[Brackets]],0) * cv_M/cv_F * Forces_APPURT[[#This Row],[Gamma Fa 0]] * Calculations_APPURT[[#This Row],[Lateral Offset]]/12</f>
        <v>0</v>
      </c>
      <c r="RH9" s="276">
        <f>IFERROR(1/Calculations_APPURT[[#This Row],[Brackets]],0) * cv_M/cv_F * Forces_APPURT[[#This Row],[Gamma Fa 30]] * Calculations_APPURT[[#This Row],[Lateral Offset]]/12</f>
        <v>0</v>
      </c>
      <c r="RI9" s="276">
        <f>IFERROR(1/Calculations_APPURT[[#This Row],[Brackets]],0) * cv_M/cv_F * Forces_APPURT[[#This Row],[Gamma Fa 45]] * Calculations_APPURT[[#This Row],[Lateral Offset]]/12</f>
        <v>0</v>
      </c>
      <c r="RJ9" s="276">
        <f>IFERROR(1/Calculations_APPURT[[#This Row],[Brackets]],0) * cv_M/cv_F * Forces_APPURT[[#This Row],[Gamma Fa 60]] * Calculations_APPURT[[#This Row],[Lateral Offset]]/12</f>
        <v>0</v>
      </c>
      <c r="RK9" s="276">
        <f>IFERROR(1/Calculations_APPURT[[#This Row],[Brackets]],0) * cv_M/cv_F * Forces_APPURT[[#This Row],[Gamma Fa 90]] * Calculations_APPURT[[#This Row],[Lateral Offset]]/12</f>
        <v>0</v>
      </c>
      <c r="RL9" s="276">
        <f>IFERROR(1/Calculations_APPURT[[#This Row],[Brackets]],0) * cv_M/cv_F * Forces_APPURT[[#This Row],[Gamma Fa 120]] * Calculations_APPURT[[#This Row],[Lateral Offset]]/12</f>
        <v>0</v>
      </c>
      <c r="RM9" s="276">
        <f>IFERROR(1/Calculations_APPURT[[#This Row],[Brackets]],0) * cv_M/cv_F * Forces_APPURT[[#This Row],[Gamma Fa 135]] * Calculations_APPURT[[#This Row],[Lateral Offset]]/12</f>
        <v>0</v>
      </c>
      <c r="RN9" s="276">
        <f>IFERROR(1/Calculations_APPURT[[#This Row],[Brackets]],0) * cv_M/cv_F * Forces_APPURT[[#This Row],[Gamma Fa 150]] * Calculations_APPURT[[#This Row],[Lateral Offset]]/12</f>
        <v>0</v>
      </c>
      <c r="RO9" s="276">
        <f>IFERROR(1/Calculations_APPURT[[#This Row],[Brackets]],0) * cv_M/cv_F * Forces_APPURT[[#This Row],[Gamma Fa 180]] * Calculations_APPURT[[#This Row],[Lateral Offset]]/12</f>
        <v>0</v>
      </c>
      <c r="RP9" s="276">
        <f>IFERROR(1/Calculations_APPURT[[#This Row],[Brackets]],0) * cv_M/cv_F * Forces_APPURT[[#This Row],[Gamma Fa 210]] * Calculations_APPURT[[#This Row],[Lateral Offset]]/12</f>
        <v>0</v>
      </c>
      <c r="RQ9" s="276">
        <f>IFERROR(1/Calculations_APPURT[[#This Row],[Brackets]],0) * cv_M/cv_F * Forces_APPURT[[#This Row],[Gamma Fa 225]] * Calculations_APPURT[[#This Row],[Lateral Offset]]/12</f>
        <v>0</v>
      </c>
      <c r="RR9" s="276">
        <f>IFERROR(1/Calculations_APPURT[[#This Row],[Brackets]],0) * cv_M/cv_F * Forces_APPURT[[#This Row],[Gamma Fa 240]] * Calculations_APPURT[[#This Row],[Lateral Offset]]/12</f>
        <v>0</v>
      </c>
      <c r="RS9" s="276">
        <f>IFERROR(1/Calculations_APPURT[[#This Row],[Brackets]],0) * cv_M/cv_F * Forces_APPURT[[#This Row],[Gamma Fa 270]] * Calculations_APPURT[[#This Row],[Lateral Offset]]/12</f>
        <v>0</v>
      </c>
      <c r="RT9" s="276">
        <f>IFERROR(1/Calculations_APPURT[[#This Row],[Brackets]],0) * cv_M/cv_F * Forces_APPURT[[#This Row],[Gamma Fa 300]] * Calculations_APPURT[[#This Row],[Lateral Offset]]/12</f>
        <v>0</v>
      </c>
      <c r="RU9" s="276">
        <f>IFERROR(1/Calculations_APPURT[[#This Row],[Brackets]],0) * cv_M/cv_F * Forces_APPURT[[#This Row],[Gamma Fa 315]] * Calculations_APPURT[[#This Row],[Lateral Offset]]/12</f>
        <v>0</v>
      </c>
      <c r="RV9" s="276">
        <f>IFERROR(1/Calculations_APPURT[[#This Row],[Brackets]],0) * cv_M/cv_F * Forces_APPURT[[#This Row],[Gamma Fa 330]] * Calculations_APPURT[[#This Row],[Lateral Offset]]/12</f>
        <v>0</v>
      </c>
      <c r="RW9" s="276">
        <f>IFERROR(1/Calculations_APPURT[[#This Row],[Brackets]],0) * cv_M/cv_F * Forces_APPURT[[#This Row],[Delta Fa 0]] * Calculations_APPURT[[#This Row],[Lateral Offset]]/12</f>
        <v>0</v>
      </c>
      <c r="RX9" s="276">
        <f>IFERROR(1/Calculations_APPURT[[#This Row],[Brackets]],0) * cv_M/cv_F * Forces_APPURT[[#This Row],[Delta Fa 30]] * Calculations_APPURT[[#This Row],[Lateral Offset]]/12</f>
        <v>0</v>
      </c>
      <c r="RY9" s="276">
        <f>IFERROR(1/Calculations_APPURT[[#This Row],[Brackets]],0) * cv_M/cv_F * Forces_APPURT[[#This Row],[Delta Fa 45]] * Calculations_APPURT[[#This Row],[Lateral Offset]]/12</f>
        <v>0</v>
      </c>
      <c r="RZ9" s="276">
        <f>IFERROR(1/Calculations_APPURT[[#This Row],[Brackets]],0) * cv_M/cv_F * Forces_APPURT[[#This Row],[Delta Fa 60]] * Calculations_APPURT[[#This Row],[Lateral Offset]]/12</f>
        <v>0</v>
      </c>
      <c r="SA9" s="276">
        <f>IFERROR(1/Calculations_APPURT[[#This Row],[Brackets]],0) * cv_M/cv_F * Forces_APPURT[[#This Row],[Delta Fa 90]] * Calculations_APPURT[[#This Row],[Lateral Offset]]/12</f>
        <v>0</v>
      </c>
      <c r="SB9" s="276">
        <f>IFERROR(1/Calculations_APPURT[[#This Row],[Brackets]],0) * cv_M/cv_F * Forces_APPURT[[#This Row],[Delta Fa 120]] * Calculations_APPURT[[#This Row],[Lateral Offset]]/12</f>
        <v>0</v>
      </c>
      <c r="SC9" s="276">
        <f>IFERROR(1/Calculations_APPURT[[#This Row],[Brackets]],0) * cv_M/cv_F * Forces_APPURT[[#This Row],[Delta Fa 135]] * Calculations_APPURT[[#This Row],[Lateral Offset]]/12</f>
        <v>0</v>
      </c>
      <c r="SD9" s="276">
        <f>IFERROR(1/Calculations_APPURT[[#This Row],[Brackets]],0) * cv_M/cv_F * Forces_APPURT[[#This Row],[Delta Fa 150]] * Calculations_APPURT[[#This Row],[Lateral Offset]]/12</f>
        <v>0</v>
      </c>
      <c r="SE9" s="276">
        <f>IFERROR(1/Calculations_APPURT[[#This Row],[Brackets]],0) * cv_M/cv_F * Forces_APPURT[[#This Row],[Delta Fa 180]] * Calculations_APPURT[[#This Row],[Lateral Offset]]/12</f>
        <v>0</v>
      </c>
      <c r="SF9" s="276">
        <f>IFERROR(1/Calculations_APPURT[[#This Row],[Brackets]],0) * cv_M/cv_F * Forces_APPURT[[#This Row],[Delta Fa 210]] * Calculations_APPURT[[#This Row],[Lateral Offset]]/12</f>
        <v>0</v>
      </c>
      <c r="SG9" s="276">
        <f>IFERROR(1/Calculations_APPURT[[#This Row],[Brackets]],0) * cv_M/cv_F * Forces_APPURT[[#This Row],[Delta Fa 225]] * Calculations_APPURT[[#This Row],[Lateral Offset]]/12</f>
        <v>0</v>
      </c>
      <c r="SH9" s="276">
        <f>IFERROR(1/Calculations_APPURT[[#This Row],[Brackets]],0) * cv_M/cv_F * Forces_APPURT[[#This Row],[Delta Fa 240]] * Calculations_APPURT[[#This Row],[Lateral Offset]]/12</f>
        <v>0</v>
      </c>
      <c r="SI9" s="276">
        <f>IFERROR(1/Calculations_APPURT[[#This Row],[Brackets]],0) * cv_M/cv_F * Forces_APPURT[[#This Row],[Delta Fa 270]] * Calculations_APPURT[[#This Row],[Lateral Offset]]/12</f>
        <v>0</v>
      </c>
      <c r="SJ9" s="276">
        <f>IFERROR(1/Calculations_APPURT[[#This Row],[Brackets]],0) * cv_M/cv_F * Forces_APPURT[[#This Row],[Delta Fa 300]] * Calculations_APPURT[[#This Row],[Lateral Offset]]/12</f>
        <v>0</v>
      </c>
      <c r="SK9" s="276">
        <f>IFERROR(1/Calculations_APPURT[[#This Row],[Brackets]],0) * cv_M/cv_F * Forces_APPURT[[#This Row],[Delta Fa 315]] * Calculations_APPURT[[#This Row],[Lateral Offset]]/12</f>
        <v>0</v>
      </c>
      <c r="SL9" s="276">
        <f>IFERROR(1/Calculations_APPURT[[#This Row],[Brackets]],0) * cv_M/cv_F * Forces_APPURT[[#This Row],[Delta Fa 330]] * Calculations_APPURT[[#This Row],[Lateral Offset]]/12</f>
        <v>0</v>
      </c>
      <c r="SM9" s="276">
        <f>IFERROR(1/Calculations_APPURT[[#This Row],[Brackets]],0) * cv_M/cv_F * Forces_APPURT[[#This Row],[Alpha Fai 0]] * Calculations_APPURT[[#This Row],[Lateral Offset]]/12</f>
        <v>0</v>
      </c>
      <c r="SN9" s="276">
        <f>IFERROR(1/Calculations_APPURT[[#This Row],[Brackets]],0) * cv_M/cv_F * Forces_APPURT[[#This Row],[Alpha Fai 30]] * Calculations_APPURT[[#This Row],[Lateral Offset]]/12</f>
        <v>0</v>
      </c>
      <c r="SO9" s="276">
        <f>IFERROR(1/Calculations_APPURT[[#This Row],[Brackets]],0) * cv_M/cv_F * Forces_APPURT[[#This Row],[Alpha Fai 45]] * Calculations_APPURT[[#This Row],[Lateral Offset]]/12</f>
        <v>0</v>
      </c>
      <c r="SP9" s="276">
        <f>IFERROR(1/Calculations_APPURT[[#This Row],[Brackets]],0) * cv_M/cv_F * Forces_APPURT[[#This Row],[Alpha Fai 60]] * Calculations_APPURT[[#This Row],[Lateral Offset]]/12</f>
        <v>0</v>
      </c>
      <c r="SQ9" s="276">
        <f>IFERROR(1/Calculations_APPURT[[#This Row],[Brackets]],0) * cv_M/cv_F * Forces_APPURT[[#This Row],[Alpha Fai 90]] * Calculations_APPURT[[#This Row],[Lateral Offset]]/12</f>
        <v>0</v>
      </c>
      <c r="SR9" s="276">
        <f>IFERROR(1/Calculations_APPURT[[#This Row],[Brackets]],0) * cv_M/cv_F * Forces_APPURT[[#This Row],[Alpha Fai 120]] * Calculations_APPURT[[#This Row],[Lateral Offset]]/12</f>
        <v>0</v>
      </c>
      <c r="SS9" s="276">
        <f>IFERROR(1/Calculations_APPURT[[#This Row],[Brackets]],0) * cv_M/cv_F * Forces_APPURT[[#This Row],[Alpha Fai 135]] * Calculations_APPURT[[#This Row],[Lateral Offset]]/12</f>
        <v>0</v>
      </c>
      <c r="ST9" s="276">
        <f>IFERROR(1/Calculations_APPURT[[#This Row],[Brackets]],0) * cv_M/cv_F * Forces_APPURT[[#This Row],[Alpha Fai 150]] * Calculations_APPURT[[#This Row],[Lateral Offset]]/12</f>
        <v>0</v>
      </c>
      <c r="SU9" s="276">
        <f>IFERROR(1/Calculations_APPURT[[#This Row],[Brackets]],0) * cv_M/cv_F * Forces_APPURT[[#This Row],[Alpha Fai 180]] * Calculations_APPURT[[#This Row],[Lateral Offset]]/12</f>
        <v>0</v>
      </c>
      <c r="SV9" s="276">
        <f>IFERROR(1/Calculations_APPURT[[#This Row],[Brackets]],0) * cv_M/cv_F * Forces_APPURT[[#This Row],[Alpha Fai 210]] * Calculations_APPURT[[#This Row],[Lateral Offset]]/12</f>
        <v>0</v>
      </c>
      <c r="SW9" s="276">
        <f>IFERROR(1/Calculations_APPURT[[#This Row],[Brackets]],0) * cv_M/cv_F * Forces_APPURT[[#This Row],[Alpha Fai 225]] * Calculations_APPURT[[#This Row],[Lateral Offset]]/12</f>
        <v>0</v>
      </c>
      <c r="SX9" s="276">
        <f>IFERROR(1/Calculations_APPURT[[#This Row],[Brackets]],0) * cv_M/cv_F * Forces_APPURT[[#This Row],[Alpha Fai 240]] * Calculations_APPURT[[#This Row],[Lateral Offset]]/12</f>
        <v>0</v>
      </c>
      <c r="SY9" s="276">
        <f>IFERROR(1/Calculations_APPURT[[#This Row],[Brackets]],0) * cv_M/cv_F * Forces_APPURT[[#This Row],[Alpha Fai 270]] * Calculations_APPURT[[#This Row],[Lateral Offset]]/12</f>
        <v>0</v>
      </c>
      <c r="SZ9" s="276">
        <f>IFERROR(1/Calculations_APPURT[[#This Row],[Brackets]],0) * cv_M/cv_F * Forces_APPURT[[#This Row],[Alpha Fai 300]] * Calculations_APPURT[[#This Row],[Lateral Offset]]/12</f>
        <v>0</v>
      </c>
      <c r="TA9" s="276">
        <f>IFERROR(1/Calculations_APPURT[[#This Row],[Brackets]],0) * cv_M/cv_F * Forces_APPURT[[#This Row],[Alpha Fai 315]] * Calculations_APPURT[[#This Row],[Lateral Offset]]/12</f>
        <v>0</v>
      </c>
      <c r="TB9" s="276">
        <f>IFERROR(1/Calculations_APPURT[[#This Row],[Brackets]],0) * cv_M/cv_F * Forces_APPURT[[#This Row],[Alpha Fai 330]] * Calculations_APPURT[[#This Row],[Lateral Offset]]/12</f>
        <v>0</v>
      </c>
      <c r="TC9" s="276">
        <f>IFERROR(1/Calculations_APPURT[[#This Row],[Brackets]],0) * cv_M/cv_F * Forces_APPURT[[#This Row],[Beta Fai 0]] * Calculations_APPURT[[#This Row],[Lateral Offset]]/12</f>
        <v>0</v>
      </c>
      <c r="TD9" s="276">
        <f>IFERROR(1/Calculations_APPURT[[#This Row],[Brackets]],0) * cv_M/cv_F * Forces_APPURT[[#This Row],[Beta Fai 30]] * Calculations_APPURT[[#This Row],[Lateral Offset]]/12</f>
        <v>0</v>
      </c>
      <c r="TE9" s="276">
        <f>IFERROR(1/Calculations_APPURT[[#This Row],[Brackets]],0) * cv_M/cv_F * Forces_APPURT[[#This Row],[Beta Fai 45]] * Calculations_APPURT[[#This Row],[Lateral Offset]]/12</f>
        <v>0</v>
      </c>
      <c r="TF9" s="276">
        <f>IFERROR(1/Calculations_APPURT[[#This Row],[Brackets]],0) * cv_M/cv_F * Forces_APPURT[[#This Row],[Beta Fai 60]] * Calculations_APPURT[[#This Row],[Lateral Offset]]/12</f>
        <v>0</v>
      </c>
      <c r="TG9" s="276">
        <f>IFERROR(1/Calculations_APPURT[[#This Row],[Brackets]],0) * cv_M/cv_F * Forces_APPURT[[#This Row],[Beta Fai 90]] * Calculations_APPURT[[#This Row],[Lateral Offset]]/12</f>
        <v>0</v>
      </c>
      <c r="TH9" s="276">
        <f>IFERROR(1/Calculations_APPURT[[#This Row],[Brackets]],0) * cv_M/cv_F * Forces_APPURT[[#This Row],[Beta Fai 120]] * Calculations_APPURT[[#This Row],[Lateral Offset]]/12</f>
        <v>0</v>
      </c>
      <c r="TI9" s="276">
        <f>IFERROR(1/Calculations_APPURT[[#This Row],[Brackets]],0) * cv_M/cv_F * Forces_APPURT[[#This Row],[Beta Fai 135]] * Calculations_APPURT[[#This Row],[Lateral Offset]]/12</f>
        <v>0</v>
      </c>
      <c r="TJ9" s="276">
        <f>IFERROR(1/Calculations_APPURT[[#This Row],[Brackets]],0) * cv_M/cv_F * Forces_APPURT[[#This Row],[Beta Fai 150]] * Calculations_APPURT[[#This Row],[Lateral Offset]]/12</f>
        <v>0</v>
      </c>
      <c r="TK9" s="276">
        <f>IFERROR(1/Calculations_APPURT[[#This Row],[Brackets]],0) * cv_M/cv_F * Forces_APPURT[[#This Row],[Beta Fai 180]] * Calculations_APPURT[[#This Row],[Lateral Offset]]/12</f>
        <v>0</v>
      </c>
      <c r="TL9" s="276">
        <f>IFERROR(1/Calculations_APPURT[[#This Row],[Brackets]],0) * cv_M/cv_F * Forces_APPURT[[#This Row],[Beta Fai 210]] * Calculations_APPURT[[#This Row],[Lateral Offset]]/12</f>
        <v>0</v>
      </c>
      <c r="TM9" s="276">
        <f>IFERROR(1/Calculations_APPURT[[#This Row],[Brackets]],0) * cv_M/cv_F * Forces_APPURT[[#This Row],[Beta Fai 225]] * Calculations_APPURT[[#This Row],[Lateral Offset]]/12</f>
        <v>0</v>
      </c>
      <c r="TN9" s="276">
        <f>IFERROR(1/Calculations_APPURT[[#This Row],[Brackets]],0) * cv_M/cv_F * Forces_APPURT[[#This Row],[Beta Fai 240]] * Calculations_APPURT[[#This Row],[Lateral Offset]]/12</f>
        <v>0</v>
      </c>
      <c r="TO9" s="276">
        <f>IFERROR(1/Calculations_APPURT[[#This Row],[Brackets]],0) * cv_M/cv_F * Forces_APPURT[[#This Row],[Beta Fai 270]] * Calculations_APPURT[[#This Row],[Lateral Offset]]/12</f>
        <v>0</v>
      </c>
      <c r="TP9" s="276">
        <f>IFERROR(1/Calculations_APPURT[[#This Row],[Brackets]],0) * cv_M/cv_F * Forces_APPURT[[#This Row],[Beta Fai 300]] * Calculations_APPURT[[#This Row],[Lateral Offset]]/12</f>
        <v>0</v>
      </c>
      <c r="TQ9" s="276">
        <f>IFERROR(1/Calculations_APPURT[[#This Row],[Brackets]],0) * cv_M/cv_F * Forces_APPURT[[#This Row],[Beta Fai 315]] * Calculations_APPURT[[#This Row],[Lateral Offset]]/12</f>
        <v>0</v>
      </c>
      <c r="TR9" s="276">
        <f>IFERROR(1/Calculations_APPURT[[#This Row],[Brackets]],0) * cv_M/cv_F * Forces_APPURT[[#This Row],[Beta Fai 330]] * Calculations_APPURT[[#This Row],[Lateral Offset]]/12</f>
        <v>0</v>
      </c>
      <c r="TS9" s="276">
        <f>IFERROR(1/Calculations_APPURT[[#This Row],[Brackets]],0) * cv_M/cv_F * Forces_APPURT[[#This Row],[Gamma Fai 0]] * Calculations_APPURT[[#This Row],[Lateral Offset]]/12</f>
        <v>0</v>
      </c>
      <c r="TT9" s="276">
        <f>IFERROR(1/Calculations_APPURT[[#This Row],[Brackets]],0) * cv_M/cv_F * Forces_APPURT[[#This Row],[Gamma Fai 30]] * Calculations_APPURT[[#This Row],[Lateral Offset]]/12</f>
        <v>0</v>
      </c>
      <c r="TU9" s="276">
        <f>IFERROR(1/Calculations_APPURT[[#This Row],[Brackets]],0) * cv_M/cv_F * Forces_APPURT[[#This Row],[Gamma Fai 45]] * Calculations_APPURT[[#This Row],[Lateral Offset]]/12</f>
        <v>0</v>
      </c>
      <c r="TV9" s="276">
        <f>IFERROR(1/Calculations_APPURT[[#This Row],[Brackets]],0) * cv_M/cv_F * Forces_APPURT[[#This Row],[Gamma Fai 60]] * Calculations_APPURT[[#This Row],[Lateral Offset]]/12</f>
        <v>0</v>
      </c>
      <c r="TW9" s="276">
        <f>IFERROR(1/Calculations_APPURT[[#This Row],[Brackets]],0) * cv_M/cv_F * Forces_APPURT[[#This Row],[Gamma Fai 90]] * Calculations_APPURT[[#This Row],[Lateral Offset]]/12</f>
        <v>0</v>
      </c>
      <c r="TX9" s="276">
        <f>IFERROR(1/Calculations_APPURT[[#This Row],[Brackets]],0) * cv_M/cv_F * Forces_APPURT[[#This Row],[Gamma Fai 120]] * Calculations_APPURT[[#This Row],[Lateral Offset]]/12</f>
        <v>0</v>
      </c>
      <c r="TY9" s="276">
        <f>IFERROR(1/Calculations_APPURT[[#This Row],[Brackets]],0) * cv_M/cv_F * Forces_APPURT[[#This Row],[Gamma Fai 135]] * Calculations_APPURT[[#This Row],[Lateral Offset]]/12</f>
        <v>0</v>
      </c>
      <c r="TZ9" s="276">
        <f>IFERROR(1/Calculations_APPURT[[#This Row],[Brackets]],0) * cv_M/cv_F * Forces_APPURT[[#This Row],[Gamma Fai 150]] * Calculations_APPURT[[#This Row],[Lateral Offset]]/12</f>
        <v>0</v>
      </c>
      <c r="UA9" s="276">
        <f>IFERROR(1/Calculations_APPURT[[#This Row],[Brackets]],0) * cv_M/cv_F * Forces_APPURT[[#This Row],[Gamma Fai 180]] * Calculations_APPURT[[#This Row],[Lateral Offset]]/12</f>
        <v>0</v>
      </c>
      <c r="UB9" s="276">
        <f>IFERROR(1/Calculations_APPURT[[#This Row],[Brackets]],0) * cv_M/cv_F * Forces_APPURT[[#This Row],[Gamma Fai 210]] * Calculations_APPURT[[#This Row],[Lateral Offset]]/12</f>
        <v>0</v>
      </c>
      <c r="UC9" s="276">
        <f>IFERROR(1/Calculations_APPURT[[#This Row],[Brackets]],0) * cv_M/cv_F * Forces_APPURT[[#This Row],[Gamma Fai 225]] * Calculations_APPURT[[#This Row],[Lateral Offset]]/12</f>
        <v>0</v>
      </c>
      <c r="UD9" s="276">
        <f>IFERROR(1/Calculations_APPURT[[#This Row],[Brackets]],0) * cv_M/cv_F * Forces_APPURT[[#This Row],[Gamma Fai 240]] * Calculations_APPURT[[#This Row],[Lateral Offset]]/12</f>
        <v>0</v>
      </c>
      <c r="UE9" s="276">
        <f>IFERROR(1/Calculations_APPURT[[#This Row],[Brackets]],0) * cv_M/cv_F * Forces_APPURT[[#This Row],[Gamma Fai 270]] * Calculations_APPURT[[#This Row],[Lateral Offset]]/12</f>
        <v>0</v>
      </c>
      <c r="UF9" s="276">
        <f>IFERROR(1/Calculations_APPURT[[#This Row],[Brackets]],0) * cv_M/cv_F * Forces_APPURT[[#This Row],[Gamma Fai 300]] * Calculations_APPURT[[#This Row],[Lateral Offset]]/12</f>
        <v>0</v>
      </c>
      <c r="UG9" s="276">
        <f>IFERROR(1/Calculations_APPURT[[#This Row],[Brackets]],0) * cv_M/cv_F * Forces_APPURT[[#This Row],[Gamma Fai 315]] * Calculations_APPURT[[#This Row],[Lateral Offset]]/12</f>
        <v>0</v>
      </c>
      <c r="UH9" s="276">
        <f>IFERROR(1/Calculations_APPURT[[#This Row],[Brackets]],0) * cv_M/cv_F * Forces_APPURT[[#This Row],[Gamma Fai 330]] * Calculations_APPURT[[#This Row],[Lateral Offset]]/12</f>
        <v>0</v>
      </c>
      <c r="UI9" s="276">
        <f>IFERROR(1/Calculations_APPURT[[#This Row],[Brackets]],0) * cv_M/cv_F * Forces_APPURT[[#This Row],[Delta Fai 0]] * Calculations_APPURT[[#This Row],[Lateral Offset]]/12</f>
        <v>0</v>
      </c>
      <c r="UJ9" s="276">
        <f>IFERROR(1/Calculations_APPURT[[#This Row],[Brackets]],0) * cv_M/cv_F * Forces_APPURT[[#This Row],[Delta Fai 30]] * Calculations_APPURT[[#This Row],[Lateral Offset]]/12</f>
        <v>0</v>
      </c>
      <c r="UK9" s="276">
        <f>IFERROR(1/Calculations_APPURT[[#This Row],[Brackets]],0) * cv_M/cv_F * Forces_APPURT[[#This Row],[Delta Fai 45]] * Calculations_APPURT[[#This Row],[Lateral Offset]]/12</f>
        <v>0</v>
      </c>
      <c r="UL9" s="276">
        <f>IFERROR(1/Calculations_APPURT[[#This Row],[Brackets]],0) * cv_M/cv_F * Forces_APPURT[[#This Row],[Delta Fai 60]] * Calculations_APPURT[[#This Row],[Lateral Offset]]/12</f>
        <v>0</v>
      </c>
      <c r="UM9" s="276">
        <f>IFERROR(1/Calculations_APPURT[[#This Row],[Brackets]],0) * cv_M/cv_F * Forces_APPURT[[#This Row],[Delta Fai 90]] * Calculations_APPURT[[#This Row],[Lateral Offset]]/12</f>
        <v>0</v>
      </c>
      <c r="UN9" s="276">
        <f>IFERROR(1/Calculations_APPURT[[#This Row],[Brackets]],0) * cv_M/cv_F * Forces_APPURT[[#This Row],[Delta Fai 120]] * Calculations_APPURT[[#This Row],[Lateral Offset]]/12</f>
        <v>0</v>
      </c>
      <c r="UO9" s="276">
        <f>IFERROR(1/Calculations_APPURT[[#This Row],[Brackets]],0) * cv_M/cv_F * Forces_APPURT[[#This Row],[Delta Fai 135]] * Calculations_APPURT[[#This Row],[Lateral Offset]]/12</f>
        <v>0</v>
      </c>
      <c r="UP9" s="276">
        <f>IFERROR(1/Calculations_APPURT[[#This Row],[Brackets]],0) * cv_M/cv_F * Forces_APPURT[[#This Row],[Delta Fai 150]] * Calculations_APPURT[[#This Row],[Lateral Offset]]/12</f>
        <v>0</v>
      </c>
      <c r="UQ9" s="276">
        <f>IFERROR(1/Calculations_APPURT[[#This Row],[Brackets]],0) * cv_M/cv_F * Forces_APPURT[[#This Row],[Delta Fai 180]] * Calculations_APPURT[[#This Row],[Lateral Offset]]/12</f>
        <v>0</v>
      </c>
      <c r="UR9" s="276">
        <f>IFERROR(1/Calculations_APPURT[[#This Row],[Brackets]],0) * cv_M/cv_F * Forces_APPURT[[#This Row],[Delta Fai 210]] * Calculations_APPURT[[#This Row],[Lateral Offset]]/12</f>
        <v>0</v>
      </c>
      <c r="US9" s="276">
        <f>IFERROR(1/Calculations_APPURT[[#This Row],[Brackets]],0) * cv_M/cv_F * Forces_APPURT[[#This Row],[Delta Fai 225]] * Calculations_APPURT[[#This Row],[Lateral Offset]]/12</f>
        <v>0</v>
      </c>
      <c r="UT9" s="276">
        <f>IFERROR(1/Calculations_APPURT[[#This Row],[Brackets]],0) * cv_M/cv_F * Forces_APPURT[[#This Row],[Delta Fai 240]] * Calculations_APPURT[[#This Row],[Lateral Offset]]/12</f>
        <v>0</v>
      </c>
      <c r="UU9" s="276">
        <f>IFERROR(1/Calculations_APPURT[[#This Row],[Brackets]],0) * cv_M/cv_F * Forces_APPURT[[#This Row],[Delta Fai 270]] * Calculations_APPURT[[#This Row],[Lateral Offset]]/12</f>
        <v>0</v>
      </c>
      <c r="UV9" s="276">
        <f>IFERROR(1/Calculations_APPURT[[#This Row],[Brackets]],0) * cv_M/cv_F * Forces_APPURT[[#This Row],[Delta Fai 300]] * Calculations_APPURT[[#This Row],[Lateral Offset]]/12</f>
        <v>0</v>
      </c>
      <c r="UW9" s="276">
        <f>IFERROR(1/Calculations_APPURT[[#This Row],[Brackets]],0) * cv_M/cv_F * Forces_APPURT[[#This Row],[Delta Fai 315]] * Calculations_APPURT[[#This Row],[Lateral Offset]]/12</f>
        <v>0</v>
      </c>
      <c r="UX9" s="276">
        <f>IFERROR(1/Calculations_APPURT[[#This Row],[Brackets]],0) * cv_M/cv_F * Forces_APPURT[[#This Row],[Delta Fai 330]] * Calculations_APPURT[[#This Row],[Lateral Offset]]/12</f>
        <v>0</v>
      </c>
      <c r="UY9" s="276">
        <f>Dimensions_APPURT[[#This Row],[Weight (lbf)]] * cv_F * AlphaSector[[#This Row],[Quantity]]</f>
        <v>0</v>
      </c>
      <c r="UZ9" s="276">
        <f>Dimensions_APPURT[[#This Row],[Weight (lbf)]] * cv_F * BetaSector[[#This Row],[Quantity]]</f>
        <v>0</v>
      </c>
      <c r="VA9" s="276">
        <f>Dimensions_APPURT[[#This Row],[Weight (lbf)]] * cv_F * GammaSector[[#This Row],[Quantity]]</f>
        <v>0</v>
      </c>
      <c r="VB9" s="276">
        <f>Dimensions_APPURT[[#This Row],[Weight (lbf)]] * cv_F * DeltaSector[[#This Row],[Quantity]]</f>
        <v>0</v>
      </c>
      <c r="VC9" s="209">
        <f>Dimensions_APPURT[[#This Row],[Weight (lbf)]] * cv_M * AlphaSector[[#This Row],[Quantity]] * Calculations_APPURT[[#This Row],[Horizontal Offset]]/12</f>
        <v>0</v>
      </c>
      <c r="VD9" s="209">
        <f>Dimensions_APPURT[[#This Row],[Weight (lbf)]] * cv_M * BetaSector[[#This Row],[Quantity]] * Calculations_APPURT[[#This Row],[Horizontal Offset]]/12</f>
        <v>0</v>
      </c>
      <c r="VE9" s="209">
        <f>Dimensions_APPURT[[#This Row],[Weight (lbf)]] * cv_M * GammaSector[[#This Row],[Quantity]] * Calculations_APPURT[[#This Row],[Horizontal Offset]]/12</f>
        <v>0</v>
      </c>
      <c r="VF9" s="209">
        <f>Dimensions_APPURT[[#This Row],[Weight (lbf)]] * cv_M * DeltaSector[[#This Row],[Quantity]] * Calculations_APPURT[[#This Row],[Horizontal Offset]]/12</f>
        <v>0</v>
      </c>
      <c r="VG9" s="276">
        <f>Hazards_APPURT[[#This Row],[Ice Weight]] * cv_F * AlphaSector[[#This Row],[Quantity]]</f>
        <v>0</v>
      </c>
      <c r="VH9" s="276">
        <f>Hazards_APPURT[[#This Row],[Ice Weight]] * cv_F * BetaSector[[#This Row],[Quantity]]</f>
        <v>0</v>
      </c>
      <c r="VI9" s="276">
        <f>Hazards_APPURT[[#This Row],[Ice Weight]] * cv_F * GammaSector[[#This Row],[Quantity]]</f>
        <v>0</v>
      </c>
      <c r="VJ9" s="276">
        <f>Hazards_APPURT[[#This Row],[Ice Weight]] * cv_F * DeltaSector[[#This Row],[Quantity]]</f>
        <v>0</v>
      </c>
      <c r="VK9" s="209">
        <f>Hazards_APPURT[[#This Row],[Ice Weight]] * cv_M * AlphaSector[[#This Row],[Quantity]] * Calculations_APPURT[[#This Row],[Horizontal Offset]]/12</f>
        <v>0</v>
      </c>
      <c r="VL9" s="209">
        <f>Hazards_APPURT[[#This Row],[Ice Weight]] * cv_M * BetaSector[[#This Row],[Quantity]] * Calculations_APPURT[[#This Row],[Horizontal Offset]]/12</f>
        <v>0</v>
      </c>
      <c r="VM9" s="209">
        <f>Hazards_APPURT[[#This Row],[Ice Weight]] * cv_M * GammaSector[[#This Row],[Quantity]] * Calculations_APPURT[[#This Row],[Horizontal Offset]]/12</f>
        <v>0</v>
      </c>
      <c r="VN9" s="209">
        <f>Hazards_APPURT[[#This Row],[Ice Weight]] * cv_M * DeltaSector[[#This Row],[Quantity]] * Calculations_APPURT[[#This Row],[Horizontal Offset]]/12</f>
        <v>0</v>
      </c>
    </row>
    <row r="10" spans="1:586" ht="15" customHeight="1" x14ac:dyDescent="0.2">
      <c r="A10" s="69"/>
      <c r="E10" s="265"/>
      <c r="L10" s="69"/>
      <c r="R10" s="70"/>
      <c r="T10" s="69"/>
      <c r="V10" s="71"/>
      <c r="W10" s="69"/>
      <c r="X10" s="71"/>
      <c r="Y10" s="69"/>
      <c r="Z10" s="70"/>
      <c r="AB10" s="69"/>
      <c r="AD10" s="71"/>
      <c r="AE10" s="69"/>
      <c r="AF10" s="71"/>
      <c r="AG10" s="69"/>
      <c r="AH10" s="70"/>
      <c r="AJ10" s="69"/>
      <c r="AL10" s="71"/>
      <c r="AM10" s="69"/>
      <c r="AN10" s="71"/>
      <c r="AO10" s="69"/>
      <c r="AP10" s="70"/>
      <c r="AR10" s="69"/>
      <c r="AV10" s="277" cm="1">
        <f t="array" ref="AV10">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0" s="209" cm="1">
        <f t="array" ref="AW10">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0" s="209" cm="1">
        <f t="array" ref="AX10">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0" s="209" cm="1">
        <f t="array" ref="AY10">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0"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0" s="209" cm="1">
        <f t="array" ref="BA10">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0" s="209">
        <f>IF(OR(Calculations_APPURT[[#This Row],[Shape]]="CFD",Calculations_APPURT[[#This Row],[Shape]]="CCI"),1,0.95)</f>
        <v>0.95</v>
      </c>
      <c r="BC10" s="209" cm="1">
        <f t="array" ref="BC10">0.00256 * Hazards_APPURT[[#This Row],[Kz]] * Kzt * Ks * I.wind * V^2 * IF(RIGHT(TIA,1)="G",1,Ke) * IF(OR(Calculations_APPURT[[#This Row],[Shape]]="CFD",Calculations_APPURT[[#This Row],[Shape]]="CCI"),1, Hazards_APPURT[[#This Row],[Kd]]) * Gh</f>
        <v>0</v>
      </c>
      <c r="BD10" s="209">
        <f>IF(Risk="I",0,MIN(((z+Calculations_APPURT[[#This Row],[Vertical Offset]]/12)/33)^(0.1),1.4))</f>
        <v>0</v>
      </c>
      <c r="BE10" s="209" cm="1">
        <f t="array" ref="BE10">IF(Risk="I",0,IF(TIA="ANSI/TIA-222-G",2,1*Kes.i)*ti*I.ice*Hazards_APPURT[[#This Row],[Kiz]]*(Kzt/Ks)^(0.35))</f>
        <v>0</v>
      </c>
      <c r="BF10" s="209" cm="1">
        <f t="array" ref="BF10">0.00256 * Hazards_APPURT[[#This Row],[Kz]] * Kzt * Ks * I.wind * Vi^2 * IF(RIGHT(TIA,1)="G",1,Ke) * IF(OR(Calculations_APPURT[[#This Row],[Shape]]="CFD",Calculations_APPURT[[#This Row],[Shape]]="CCI"),1, Kd) * Gh</f>
        <v>0</v>
      </c>
      <c r="BG10"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0"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0"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0"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0"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0"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0"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0"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0"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0"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0"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0"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0"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0"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0"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0"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0"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0"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0"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0"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0"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0"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0"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0"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0"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0"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0"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0"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0"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0"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0"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0"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0"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0"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0"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0"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0"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0"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0"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0"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0"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0"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0"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0"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0"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0"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0"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0"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0"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0"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0"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0"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0"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0"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0"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0"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0"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0"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0"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0"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0"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0"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0"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0"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0" s="338">
        <f>IFERROR(1/Calculations_APPURT[[#This Row],[Brackets]],0) * cv_F * AlphaSector[[#This Row],[Quantity]] * Hazards_APPURT[[#This Row],[qz]] * CaAa_APPURT[[#This Row],[Alpha 0]] * IF(Calculations_APPURT[[#This Row],[Shape]]="CFD",1, Ka)</f>
        <v>0</v>
      </c>
      <c r="GF10" s="338">
        <f>IFERROR(1/Calculations_APPURT[[#This Row],[Brackets]],0) * cv_F * AlphaSector[[#This Row],[Quantity]] * Hazards_APPURT[[#This Row],[qz]] * CaAa_APPURT[[#This Row],[Alpha 30]] * IF(Calculations_APPURT[[#This Row],[Shape]]="CFD",1, Ka)</f>
        <v>0</v>
      </c>
      <c r="GG10" s="338">
        <f>IFERROR(1/Calculations_APPURT[[#This Row],[Brackets]],0) * cv_F * AlphaSector[[#This Row],[Quantity]] * Hazards_APPURT[[#This Row],[qz]] * CaAa_APPURT[[#This Row],[Alpha 45]] * IF(Calculations_APPURT[[#This Row],[Shape]]="CFD",1, Ka)</f>
        <v>0</v>
      </c>
      <c r="GH10" s="338">
        <f>IFERROR(1/Calculations_APPURT[[#This Row],[Brackets]],0) * cv_F * AlphaSector[[#This Row],[Quantity]] * Hazards_APPURT[[#This Row],[qz]] * CaAa_APPURT[[#This Row],[Alpha 60]] * IF(Calculations_APPURT[[#This Row],[Shape]]="CFD",1, Ka)</f>
        <v>0</v>
      </c>
      <c r="GI10" s="338">
        <f>IFERROR(1/Calculations_APPURT[[#This Row],[Brackets]],0) * cv_F * AlphaSector[[#This Row],[Quantity]] * Hazards_APPURT[[#This Row],[qz]] * CaAa_APPURT[[#This Row],[Alpha 90]] * IF(Calculations_APPURT[[#This Row],[Shape]]="CFD",1, Ka)</f>
        <v>0</v>
      </c>
      <c r="GJ10" s="338">
        <f>IFERROR(1/Calculations_APPURT[[#This Row],[Brackets]],0) * cv_F * AlphaSector[[#This Row],[Quantity]] * Hazards_APPURT[[#This Row],[qz]] * CaAa_APPURT[[#This Row],[Alpha 120]] * IF(Calculations_APPURT[[#This Row],[Shape]]="CFD",1, Ka)</f>
        <v>0</v>
      </c>
      <c r="GK10" s="338">
        <f>IFERROR(1/Calculations_APPURT[[#This Row],[Brackets]],0) * cv_F * AlphaSector[[#This Row],[Quantity]] * Hazards_APPURT[[#This Row],[qz]] * CaAa_APPURT[[#This Row],[Alpha 135]] * IF(Calculations_APPURT[[#This Row],[Shape]]="CFD",1, Ka)</f>
        <v>0</v>
      </c>
      <c r="GL10" s="338">
        <f>IFERROR(1/Calculations_APPURT[[#This Row],[Brackets]],0) * cv_F * AlphaSector[[#This Row],[Quantity]] * Hazards_APPURT[[#This Row],[qz]] * CaAa_APPURT[[#This Row],[Alpha 150]] * IF(Calculations_APPURT[[#This Row],[Shape]]="CFD",1, Ka)</f>
        <v>0</v>
      </c>
      <c r="GM10" s="338">
        <f>IFERROR(1/Calculations_APPURT[[#This Row],[Brackets]],0) * cv_F * AlphaSector[[#This Row],[Quantity]] * Hazards_APPURT[[#This Row],[qz]] * CaAa_APPURT[[#This Row],[Alpha 180]] * IF(Calculations_APPURT[[#This Row],[Shape]]="CFD",1, Ka)</f>
        <v>0</v>
      </c>
      <c r="GN10" s="338">
        <f>IFERROR(1/Calculations_APPURT[[#This Row],[Brackets]],0) * cv_F * AlphaSector[[#This Row],[Quantity]] * Hazards_APPURT[[#This Row],[qz]] * CaAa_APPURT[[#This Row],[Alpha 210]] * IF(Calculations_APPURT[[#This Row],[Shape]]="CFD",1, Ka)</f>
        <v>0</v>
      </c>
      <c r="GO10" s="338">
        <f>IFERROR(1/Calculations_APPURT[[#This Row],[Brackets]],0) * cv_F * AlphaSector[[#This Row],[Quantity]] * Hazards_APPURT[[#This Row],[qz]] * CaAa_APPURT[[#This Row],[Alpha 225]] * IF(Calculations_APPURT[[#This Row],[Shape]]="CFD",1, Ka)</f>
        <v>0</v>
      </c>
      <c r="GP10" s="338">
        <f>IFERROR(1/Calculations_APPURT[[#This Row],[Brackets]],0) * cv_F * AlphaSector[[#This Row],[Quantity]] * Hazards_APPURT[[#This Row],[qz]] * CaAa_APPURT[[#This Row],[Alpha 240]] * IF(Calculations_APPURT[[#This Row],[Shape]]="CFD",1, Ka)</f>
        <v>0</v>
      </c>
      <c r="GQ10" s="338">
        <f>IFERROR(1/Calculations_APPURT[[#This Row],[Brackets]],0) * cv_F * AlphaSector[[#This Row],[Quantity]] * Hazards_APPURT[[#This Row],[qz]] * CaAa_APPURT[[#This Row],[Alpha 270]] * IF(Calculations_APPURT[[#This Row],[Shape]]="CFD",1, Ka)</f>
        <v>0</v>
      </c>
      <c r="GR10" s="338">
        <f>IFERROR(1/Calculations_APPURT[[#This Row],[Brackets]],0) * cv_F * AlphaSector[[#This Row],[Quantity]] * Hazards_APPURT[[#This Row],[qz]] * CaAa_APPURT[[#This Row],[Alpha 300]] * IF(Calculations_APPURT[[#This Row],[Shape]]="CFD",1, Ka)</f>
        <v>0</v>
      </c>
      <c r="GS10" s="338">
        <f>IFERROR(1/Calculations_APPURT[[#This Row],[Brackets]],0) * cv_F * AlphaSector[[#This Row],[Quantity]] * Hazards_APPURT[[#This Row],[qz]] * CaAa_APPURT[[#This Row],[Alpha 315]] * IF(Calculations_APPURT[[#This Row],[Shape]]="CFD",1, Ka)</f>
        <v>0</v>
      </c>
      <c r="GT10" s="338">
        <f>IFERROR(1/Calculations_APPURT[[#This Row],[Brackets]],0) * cv_F * AlphaSector[[#This Row],[Quantity]] * Hazards_APPURT[[#This Row],[qz]] * CaAa_APPURT[[#This Row],[Alpha 330]] * IF(Calculations_APPURT[[#This Row],[Shape]]="CFD",1, Ka)</f>
        <v>0</v>
      </c>
      <c r="GU10" s="276">
        <f>IFERROR(1/Calculations_APPURT[[#This Row],[Brackets]],0) * cv_F * BetaSector[[#This Row],[Quantity]] * Hazards_APPURT[[#This Row],[qz]] * CaAa_APPURT[[#This Row],[Beta 0]] * IF(Calculations_APPURT[[#This Row],[Shape]]="CFD",1, Ka)</f>
        <v>0</v>
      </c>
      <c r="GV10" s="276">
        <f>IFERROR(1/Calculations_APPURT[[#This Row],[Brackets]],0) * cv_F * BetaSector[[#This Row],[Quantity]] * Hazards_APPURT[[#This Row],[qz]] * CaAa_APPURT[[#This Row],[Beta 30]] * IF(Calculations_APPURT[[#This Row],[Shape]]="CFD",1, Ka)</f>
        <v>0</v>
      </c>
      <c r="GW10" s="276">
        <f>IFERROR(1/Calculations_APPURT[[#This Row],[Brackets]],0) * cv_F * BetaSector[[#This Row],[Quantity]] * Hazards_APPURT[[#This Row],[qz]] * CaAa_APPURT[[#This Row],[Beta 45]] * IF(Calculations_APPURT[[#This Row],[Shape]]="CFD",1, Ka)</f>
        <v>0</v>
      </c>
      <c r="GX10" s="276">
        <f>IFERROR(1/Calculations_APPURT[[#This Row],[Brackets]],0) * cv_F * BetaSector[[#This Row],[Quantity]] * Hazards_APPURT[[#This Row],[qz]] * CaAa_APPURT[[#This Row],[Beta 60]] * IF(Calculations_APPURT[[#This Row],[Shape]]="CFD",1, Ka)</f>
        <v>0</v>
      </c>
      <c r="GY10" s="276">
        <f>IFERROR(1/Calculations_APPURT[[#This Row],[Brackets]],0) * cv_F * BetaSector[[#This Row],[Quantity]] * Hazards_APPURT[[#This Row],[qz]] * CaAa_APPURT[[#This Row],[Beta 90]] * IF(Calculations_APPURT[[#This Row],[Shape]]="CFD",1, Ka)</f>
        <v>0</v>
      </c>
      <c r="GZ10" s="276">
        <f>IFERROR(1/Calculations_APPURT[[#This Row],[Brackets]],0) * cv_F * BetaSector[[#This Row],[Quantity]] * Hazards_APPURT[[#This Row],[qz]] * CaAa_APPURT[[#This Row],[Beta 120]] * IF(Calculations_APPURT[[#This Row],[Shape]]="CFD",1, Ka)</f>
        <v>0</v>
      </c>
      <c r="HA10" s="276">
        <f>IFERROR(1/Calculations_APPURT[[#This Row],[Brackets]],0) * cv_F * BetaSector[[#This Row],[Quantity]] * Hazards_APPURT[[#This Row],[qz]] * CaAa_APPURT[[#This Row],[Beta 135]] * IF(Calculations_APPURT[[#This Row],[Shape]]="CFD",1, Ka)</f>
        <v>0</v>
      </c>
      <c r="HB10" s="276">
        <f>IFERROR(1/Calculations_APPURT[[#This Row],[Brackets]],0) * cv_F * BetaSector[[#This Row],[Quantity]] * Hazards_APPURT[[#This Row],[qz]] * CaAa_APPURT[[#This Row],[Beta 150]] * IF(Calculations_APPURT[[#This Row],[Shape]]="CFD",1, Ka)</f>
        <v>0</v>
      </c>
      <c r="HC10" s="276">
        <f>IFERROR(1/Calculations_APPURT[[#This Row],[Brackets]],0) * cv_F * BetaSector[[#This Row],[Quantity]] * Hazards_APPURT[[#This Row],[qz]] * CaAa_APPURT[[#This Row],[Beta 180]] * IF(Calculations_APPURT[[#This Row],[Shape]]="CFD",1, Ka)</f>
        <v>0</v>
      </c>
      <c r="HD10" s="276">
        <f>IFERROR(1/Calculations_APPURT[[#This Row],[Brackets]],0) * cv_F * BetaSector[[#This Row],[Quantity]] * Hazards_APPURT[[#This Row],[qz]] * CaAa_APPURT[[#This Row],[Beta 210]] * IF(Calculations_APPURT[[#This Row],[Shape]]="CFD",1, Ka)</f>
        <v>0</v>
      </c>
      <c r="HE10" s="276">
        <f>IFERROR(1/Calculations_APPURT[[#This Row],[Brackets]],0) * cv_F * BetaSector[[#This Row],[Quantity]] * Hazards_APPURT[[#This Row],[qz]] * CaAa_APPURT[[#This Row],[Beta 225]] * IF(Calculations_APPURT[[#This Row],[Shape]]="CFD",1, Ka)</f>
        <v>0</v>
      </c>
      <c r="HF10" s="276">
        <f>IFERROR(1/Calculations_APPURT[[#This Row],[Brackets]],0) * cv_F * BetaSector[[#This Row],[Quantity]] * Hazards_APPURT[[#This Row],[qz]] * CaAa_APPURT[[#This Row],[Beta 240]] * IF(Calculations_APPURT[[#This Row],[Shape]]="CFD",1, Ka)</f>
        <v>0</v>
      </c>
      <c r="HG10" s="276">
        <f>IFERROR(1/Calculations_APPURT[[#This Row],[Brackets]],0) * cv_F * BetaSector[[#This Row],[Quantity]] * Hazards_APPURT[[#This Row],[qz]] * CaAa_APPURT[[#This Row],[Beta 270]] * IF(Calculations_APPURT[[#This Row],[Shape]]="CFD",1, Ka)</f>
        <v>0</v>
      </c>
      <c r="HH10" s="276">
        <f>IFERROR(1/Calculations_APPURT[[#This Row],[Brackets]],0) * cv_F * BetaSector[[#This Row],[Quantity]] * Hazards_APPURT[[#This Row],[qz]] * CaAa_APPURT[[#This Row],[Beta 300]] * IF(Calculations_APPURT[[#This Row],[Shape]]="CFD",1, Ka)</f>
        <v>0</v>
      </c>
      <c r="HI10" s="276">
        <f>IFERROR(1/Calculations_APPURT[[#This Row],[Brackets]],0) * cv_F * BetaSector[[#This Row],[Quantity]] * Hazards_APPURT[[#This Row],[qz]] * CaAa_APPURT[[#This Row],[Beta 315]] * IF(Calculations_APPURT[[#This Row],[Shape]]="CFD",1, Ka)</f>
        <v>0</v>
      </c>
      <c r="HJ10" s="276">
        <f>IFERROR(1/Calculations_APPURT[[#This Row],[Brackets]],0) * cv_F * BetaSector[[#This Row],[Quantity]] * Hazards_APPURT[[#This Row],[qz]] * CaAa_APPURT[[#This Row],[Beta 330]] * IF(Calculations_APPURT[[#This Row],[Shape]]="CFD",1, Ka)</f>
        <v>0</v>
      </c>
      <c r="HK10" s="338">
        <f>IFERROR(1/Calculations_APPURT[[#This Row],[Brackets]],0) * cv_F * GammaSector[[#This Row],[Quantity]] * Hazards_APPURT[[#This Row],[qz]] * CaAa_APPURT[[#This Row],[Gamma 0]] * IF(Calculations_APPURT[[#This Row],[Shape]]="CFD",1, Ka)</f>
        <v>0</v>
      </c>
      <c r="HL10" s="338">
        <f>IFERROR(1/Calculations_APPURT[[#This Row],[Brackets]],0) * cv_F * GammaSector[[#This Row],[Quantity]] * Hazards_APPURT[[#This Row],[qz]] * CaAa_APPURT[[#This Row],[Gamma 30]] * IF(Calculations_APPURT[[#This Row],[Shape]]="CFD",1, Ka)</f>
        <v>0</v>
      </c>
      <c r="HM10" s="338">
        <f>IFERROR(1/Calculations_APPURT[[#This Row],[Brackets]],0) * cv_F * GammaSector[[#This Row],[Quantity]] * Hazards_APPURT[[#This Row],[qz]] * CaAa_APPURT[[#This Row],[Gamma 45]] * IF(Calculations_APPURT[[#This Row],[Shape]]="CFD",1, Ka)</f>
        <v>0</v>
      </c>
      <c r="HN10" s="338">
        <f>IFERROR(1/Calculations_APPURT[[#This Row],[Brackets]],0) * cv_F * GammaSector[[#This Row],[Quantity]] * Hazards_APPURT[[#This Row],[qz]] * CaAa_APPURT[[#This Row],[Gamma 60]] * IF(Calculations_APPURT[[#This Row],[Shape]]="CFD",1, Ka)</f>
        <v>0</v>
      </c>
      <c r="HO10" s="338">
        <f>IFERROR(1/Calculations_APPURT[[#This Row],[Brackets]],0) * cv_F * GammaSector[[#This Row],[Quantity]] * Hazards_APPURT[[#This Row],[qz]] * CaAa_APPURT[[#This Row],[Gamma 90]] * IF(Calculations_APPURT[[#This Row],[Shape]]="CFD",1, Ka)</f>
        <v>0</v>
      </c>
      <c r="HP10" s="338">
        <f>IFERROR(1/Calculations_APPURT[[#This Row],[Brackets]],0) * cv_F * GammaSector[[#This Row],[Quantity]] * Hazards_APPURT[[#This Row],[qz]] * CaAa_APPURT[[#This Row],[Gamma 120]] * IF(Calculations_APPURT[[#This Row],[Shape]]="CFD",1, Ka)</f>
        <v>0</v>
      </c>
      <c r="HQ10" s="338">
        <f>IFERROR(1/Calculations_APPURT[[#This Row],[Brackets]],0) * cv_F * GammaSector[[#This Row],[Quantity]] * Hazards_APPURT[[#This Row],[qz]] * CaAa_APPURT[[#This Row],[Gamma 135]] * IF(Calculations_APPURT[[#This Row],[Shape]]="CFD",1, Ka)</f>
        <v>0</v>
      </c>
      <c r="HR10" s="338">
        <f>IFERROR(1/Calculations_APPURT[[#This Row],[Brackets]],0) * cv_F * GammaSector[[#This Row],[Quantity]] * Hazards_APPURT[[#This Row],[qz]] * CaAa_APPURT[[#This Row],[Gamma 150]] * IF(Calculations_APPURT[[#This Row],[Shape]]="CFD",1, Ka)</f>
        <v>0</v>
      </c>
      <c r="HS10" s="338">
        <f>IFERROR(1/Calculations_APPURT[[#This Row],[Brackets]],0) * cv_F * GammaSector[[#This Row],[Quantity]] * Hazards_APPURT[[#This Row],[qz]] * CaAa_APPURT[[#This Row],[Gamma 180]] * IF(Calculations_APPURT[[#This Row],[Shape]]="CFD",1, Ka)</f>
        <v>0</v>
      </c>
      <c r="HT10" s="338">
        <f>IFERROR(1/Calculations_APPURT[[#This Row],[Brackets]],0) * cv_F * GammaSector[[#This Row],[Quantity]] * Hazards_APPURT[[#This Row],[qz]] * CaAa_APPURT[[#This Row],[Gamma 210]] * IF(Calculations_APPURT[[#This Row],[Shape]]="CFD",1, Ka)</f>
        <v>0</v>
      </c>
      <c r="HU10" s="338">
        <f>IFERROR(1/Calculations_APPURT[[#This Row],[Brackets]],0) * cv_F * GammaSector[[#This Row],[Quantity]] * Hazards_APPURT[[#This Row],[qz]] * CaAa_APPURT[[#This Row],[Gamma 225]] * IF(Calculations_APPURT[[#This Row],[Shape]]="CFD",1, Ka)</f>
        <v>0</v>
      </c>
      <c r="HV10" s="338">
        <f>IFERROR(1/Calculations_APPURT[[#This Row],[Brackets]],0) * cv_F * GammaSector[[#This Row],[Quantity]] * Hazards_APPURT[[#This Row],[qz]] * CaAa_APPURT[[#This Row],[Gamma 240]] * IF(Calculations_APPURT[[#This Row],[Shape]]="CFD",1, Ka)</f>
        <v>0</v>
      </c>
      <c r="HW10" s="338">
        <f>IFERROR(1/Calculations_APPURT[[#This Row],[Brackets]],0) * cv_F * GammaSector[[#This Row],[Quantity]] * Hazards_APPURT[[#This Row],[qz]] * CaAa_APPURT[[#This Row],[Gamma 270]] * IF(Calculations_APPURT[[#This Row],[Shape]]="CFD",1, Ka)</f>
        <v>0</v>
      </c>
      <c r="HX10" s="338">
        <f>IFERROR(1/Calculations_APPURT[[#This Row],[Brackets]],0) * cv_F * GammaSector[[#This Row],[Quantity]] * Hazards_APPURT[[#This Row],[qz]] * CaAa_APPURT[[#This Row],[Gamma 300]] * IF(Calculations_APPURT[[#This Row],[Shape]]="CFD",1, Ka)</f>
        <v>0</v>
      </c>
      <c r="HY10" s="338">
        <f>IFERROR(1/Calculations_APPURT[[#This Row],[Brackets]],0) * cv_F * GammaSector[[#This Row],[Quantity]] * Hazards_APPURT[[#This Row],[qz]] * CaAa_APPURT[[#This Row],[Gamma 315]] * IF(Calculations_APPURT[[#This Row],[Shape]]="CFD",1, Ka)</f>
        <v>0</v>
      </c>
      <c r="HZ10" s="338">
        <f>IFERROR(1/Calculations_APPURT[[#This Row],[Brackets]],0) * cv_F * GammaSector[[#This Row],[Quantity]] * Hazards_APPURT[[#This Row],[qz]] * CaAa_APPURT[[#This Row],[Gamma 330]] * IF(Calculations_APPURT[[#This Row],[Shape]]="CFD",1, Ka)</f>
        <v>0</v>
      </c>
      <c r="IA10" s="276">
        <f>IFERROR(1/Calculations_APPURT[[#This Row],[Brackets]],0) * cv_F * DeltaSector[[#This Row],[Quantity]] * Hazards_APPURT[[#This Row],[qz]] * CaAa_APPURT[[#This Row],[Delta 0]] * IF(Calculations_APPURT[[#This Row],[Shape]]="CFD",1, Ka)</f>
        <v>0</v>
      </c>
      <c r="IB10" s="276">
        <f>IFERROR(1/Calculations_APPURT[[#This Row],[Brackets]],0) * cv_F * DeltaSector[[#This Row],[Quantity]] * Hazards_APPURT[[#This Row],[qz]] * CaAa_APPURT[[#This Row],[Delta 30]] * IF(Calculations_APPURT[[#This Row],[Shape]]="CFD",1, Ka)</f>
        <v>0</v>
      </c>
      <c r="IC10" s="276">
        <f>IFERROR(1/Calculations_APPURT[[#This Row],[Brackets]],0) * cv_F * DeltaSector[[#This Row],[Quantity]] * Hazards_APPURT[[#This Row],[qz]] * CaAa_APPURT[[#This Row],[Delta 45]] * IF(Calculations_APPURT[[#This Row],[Shape]]="CFD",1, Ka)</f>
        <v>0</v>
      </c>
      <c r="ID10" s="276">
        <f>IFERROR(1/Calculations_APPURT[[#This Row],[Brackets]],0) * cv_F * DeltaSector[[#This Row],[Quantity]] * Hazards_APPURT[[#This Row],[qz]] * CaAa_APPURT[[#This Row],[Delta 60]] * IF(Calculations_APPURT[[#This Row],[Shape]]="CFD",1, Ka)</f>
        <v>0</v>
      </c>
      <c r="IE10" s="276">
        <f>IFERROR(1/Calculations_APPURT[[#This Row],[Brackets]],0) * cv_F * DeltaSector[[#This Row],[Quantity]] * Hazards_APPURT[[#This Row],[qz]] * CaAa_APPURT[[#This Row],[Delta 90]] * IF(Calculations_APPURT[[#This Row],[Shape]]="CFD",1, Ka)</f>
        <v>0</v>
      </c>
      <c r="IF10" s="276">
        <f>IFERROR(1/Calculations_APPURT[[#This Row],[Brackets]],0) * cv_F * DeltaSector[[#This Row],[Quantity]] * Hazards_APPURT[[#This Row],[qz]] * CaAa_APPURT[[#This Row],[Delta 120]] * IF(Calculations_APPURT[[#This Row],[Shape]]="CFD",1, Ka)</f>
        <v>0</v>
      </c>
      <c r="IG10" s="276">
        <f>IFERROR(1/Calculations_APPURT[[#This Row],[Brackets]],0) * cv_F * DeltaSector[[#This Row],[Quantity]] * Hazards_APPURT[[#This Row],[qz]] * CaAa_APPURT[[#This Row],[Delta 135]] * IF(Calculations_APPURT[[#This Row],[Shape]]="CFD",1, Ka)</f>
        <v>0</v>
      </c>
      <c r="IH10" s="276">
        <f>IFERROR(1/Calculations_APPURT[[#This Row],[Brackets]],0) * cv_F * DeltaSector[[#This Row],[Quantity]] * Hazards_APPURT[[#This Row],[qz]] * CaAa_APPURT[[#This Row],[Delta 150]] * IF(Calculations_APPURT[[#This Row],[Shape]]="CFD",1, Ka)</f>
        <v>0</v>
      </c>
      <c r="II10" s="276">
        <f>IFERROR(1/Calculations_APPURT[[#This Row],[Brackets]],0) * cv_F * DeltaSector[[#This Row],[Quantity]] * Hazards_APPURT[[#This Row],[qz]] * CaAa_APPURT[[#This Row],[Delta 180]] * IF(Calculations_APPURT[[#This Row],[Shape]]="CFD",1, Ka)</f>
        <v>0</v>
      </c>
      <c r="IJ10" s="276">
        <f>IFERROR(1/Calculations_APPURT[[#This Row],[Brackets]],0) * cv_F * DeltaSector[[#This Row],[Quantity]] * Hazards_APPURT[[#This Row],[qz]] * CaAa_APPURT[[#This Row],[Delta 210]] * IF(Calculations_APPURT[[#This Row],[Shape]]="CFD",1, Ka)</f>
        <v>0</v>
      </c>
      <c r="IK10" s="276">
        <f>IFERROR(1/Calculations_APPURT[[#This Row],[Brackets]],0) * cv_F * DeltaSector[[#This Row],[Quantity]] * Hazards_APPURT[[#This Row],[qz]] * CaAa_APPURT[[#This Row],[Delta 225]] * IF(Calculations_APPURT[[#This Row],[Shape]]="CFD",1, Ka)</f>
        <v>0</v>
      </c>
      <c r="IL10" s="276">
        <f>IFERROR(1/Calculations_APPURT[[#This Row],[Brackets]],0) * cv_F * DeltaSector[[#This Row],[Quantity]] * Hazards_APPURT[[#This Row],[qz]] * CaAa_APPURT[[#This Row],[Delta 240]] * IF(Calculations_APPURT[[#This Row],[Shape]]="CFD",1, Ka)</f>
        <v>0</v>
      </c>
      <c r="IM10" s="276">
        <f>IFERROR(1/Calculations_APPURT[[#This Row],[Brackets]],0) * cv_F * DeltaSector[[#This Row],[Quantity]] * Hazards_APPURT[[#This Row],[qz]] * CaAa_APPURT[[#This Row],[Delta 270]] * IF(Calculations_APPURT[[#This Row],[Shape]]="CFD",1, Ka)</f>
        <v>0</v>
      </c>
      <c r="IN10" s="276">
        <f>IFERROR(1/Calculations_APPURT[[#This Row],[Brackets]],0) * cv_F * DeltaSector[[#This Row],[Quantity]] * Hazards_APPURT[[#This Row],[qz]] * CaAa_APPURT[[#This Row],[Delta 300]] * IF(Calculations_APPURT[[#This Row],[Shape]]="CFD",1, Ka)</f>
        <v>0</v>
      </c>
      <c r="IO10" s="276">
        <f>IFERROR(1/Calculations_APPURT[[#This Row],[Brackets]],0) * cv_F * DeltaSector[[#This Row],[Quantity]] * Hazards_APPURT[[#This Row],[qz]] * CaAa_APPURT[[#This Row],[Delta 315]] * IF(Calculations_APPURT[[#This Row],[Shape]]="CFD",1, Ka)</f>
        <v>0</v>
      </c>
      <c r="IP10" s="276">
        <f>IFERROR(1/Calculations_APPURT[[#This Row],[Brackets]],0) * cv_F * DeltaSector[[#This Row],[Quantity]] * Hazards_APPURT[[#This Row],[qz]] * CaAa_APPURT[[#This Row],[Delta 330]] * IF(Calculations_APPURT[[#This Row],[Shape]]="CFD",1, Ka)</f>
        <v>0</v>
      </c>
      <c r="IQ10" s="338">
        <f>IFERROR(1/Calculations_APPURT[[#This Row],[Brackets]],0) * cv_F * AlphaSector[[#This Row],[Quantity]] * Hazards_APPURT[[#This Row],[qiz]] * CaAa_APPURT[[#This Row],[Alpha Ice 0]]</f>
        <v>0</v>
      </c>
      <c r="IR10" s="338">
        <f>IFERROR(1/Calculations_APPURT[[#This Row],[Brackets]],0) * cv_F * AlphaSector[[#This Row],[Quantity]] * Hazards_APPURT[[#This Row],[qiz]] * CaAa_APPURT[[#This Row],[Alpha Ice 30]]</f>
        <v>0</v>
      </c>
      <c r="IS10" s="338">
        <f>IFERROR(1/Calculations_APPURT[[#This Row],[Brackets]],0) * cv_F * AlphaSector[[#This Row],[Quantity]] * Hazards_APPURT[[#This Row],[qiz]] * CaAa_APPURT[[#This Row],[Alpha Ice 45]]</f>
        <v>0</v>
      </c>
      <c r="IT10" s="338">
        <f>IFERROR(1/Calculations_APPURT[[#This Row],[Brackets]],0) * cv_F * AlphaSector[[#This Row],[Quantity]] * Hazards_APPURT[[#This Row],[qiz]] * CaAa_APPURT[[#This Row],[Alpha Ice 60]]</f>
        <v>0</v>
      </c>
      <c r="IU10" s="338">
        <f>IFERROR(1/Calculations_APPURT[[#This Row],[Brackets]],0) * cv_F * AlphaSector[[#This Row],[Quantity]] * Hazards_APPURT[[#This Row],[qiz]] * CaAa_APPURT[[#This Row],[Alpha Ice 90]]</f>
        <v>0</v>
      </c>
      <c r="IV10" s="338">
        <f>IFERROR(1/Calculations_APPURT[[#This Row],[Brackets]],0) * cv_F * AlphaSector[[#This Row],[Quantity]] * Hazards_APPURT[[#This Row],[qiz]] * CaAa_APPURT[[#This Row],[Alpha Ice 120]]</f>
        <v>0</v>
      </c>
      <c r="IW10" s="338">
        <f>IFERROR(1/Calculations_APPURT[[#This Row],[Brackets]],0) * cv_F * AlphaSector[[#This Row],[Quantity]] * Hazards_APPURT[[#This Row],[qiz]] * CaAa_APPURT[[#This Row],[Alpha Ice 135]]</f>
        <v>0</v>
      </c>
      <c r="IX10" s="338">
        <f>IFERROR(1/Calculations_APPURT[[#This Row],[Brackets]],0) * cv_F * AlphaSector[[#This Row],[Quantity]] * Hazards_APPURT[[#This Row],[qiz]] * CaAa_APPURT[[#This Row],[Alpha Ice 150]]</f>
        <v>0</v>
      </c>
      <c r="IY10" s="338">
        <f>IFERROR(1/Calculations_APPURT[[#This Row],[Brackets]],0) * cv_F * AlphaSector[[#This Row],[Quantity]] * Hazards_APPURT[[#This Row],[qiz]] * CaAa_APPURT[[#This Row],[Alpha Ice 180]]</f>
        <v>0</v>
      </c>
      <c r="IZ10" s="338">
        <f>IFERROR(1/Calculations_APPURT[[#This Row],[Brackets]],0) * cv_F * AlphaSector[[#This Row],[Quantity]] * Hazards_APPURT[[#This Row],[qiz]] * CaAa_APPURT[[#This Row],[Alpha Ice 210]]</f>
        <v>0</v>
      </c>
      <c r="JA10" s="338">
        <f>IFERROR(1/Calculations_APPURT[[#This Row],[Brackets]],0) * cv_F * AlphaSector[[#This Row],[Quantity]] * Hazards_APPURT[[#This Row],[qiz]] * CaAa_APPURT[[#This Row],[Alpha Ice 225]]</f>
        <v>0</v>
      </c>
      <c r="JB10" s="338">
        <f>IFERROR(1/Calculations_APPURT[[#This Row],[Brackets]],0) * cv_F * AlphaSector[[#This Row],[Quantity]] * Hazards_APPURT[[#This Row],[qiz]] * CaAa_APPURT[[#This Row],[Alpha Ice 240]]</f>
        <v>0</v>
      </c>
      <c r="JC10" s="338">
        <f>IFERROR(1/Calculations_APPURT[[#This Row],[Brackets]],0) * cv_F * AlphaSector[[#This Row],[Quantity]] * Hazards_APPURT[[#This Row],[qiz]] * CaAa_APPURT[[#This Row],[Alpha Ice 270]]</f>
        <v>0</v>
      </c>
      <c r="JD10" s="338">
        <f>IFERROR(1/Calculations_APPURT[[#This Row],[Brackets]],0) * cv_F * AlphaSector[[#This Row],[Quantity]] * Hazards_APPURT[[#This Row],[qiz]] * CaAa_APPURT[[#This Row],[Alpha Ice 300]]</f>
        <v>0</v>
      </c>
      <c r="JE10" s="338">
        <f>IFERROR(1/Calculations_APPURT[[#This Row],[Brackets]],0) * cv_F * AlphaSector[[#This Row],[Quantity]] * Hazards_APPURT[[#This Row],[qiz]] * CaAa_APPURT[[#This Row],[Alpha Ice 315]]</f>
        <v>0</v>
      </c>
      <c r="JF10" s="338">
        <f>IFERROR(1/Calculations_APPURT[[#This Row],[Brackets]],0) * cv_F * AlphaSector[[#This Row],[Quantity]] * Hazards_APPURT[[#This Row],[qiz]] * CaAa_APPURT[[#This Row],[Alpha Ice 330]]</f>
        <v>0</v>
      </c>
      <c r="JG10" s="276">
        <f>IFERROR(1/Calculations_APPURT[[#This Row],[Brackets]],0) * cv_F * BetaSector[[#This Row],[Quantity]] * Hazards_APPURT[[#This Row],[qiz]] * CaAa_APPURT[[#This Row],[Beta Ice 0]]</f>
        <v>0</v>
      </c>
      <c r="JH10" s="276">
        <f>IFERROR(1/Calculations_APPURT[[#This Row],[Brackets]],0) * cv_F * BetaSector[[#This Row],[Quantity]] * Hazards_APPURT[[#This Row],[qiz]] * CaAa_APPURT[[#This Row],[Beta Ice 30]]</f>
        <v>0</v>
      </c>
      <c r="JI10" s="276">
        <f>IFERROR(1/Calculations_APPURT[[#This Row],[Brackets]],0) * cv_F * BetaSector[[#This Row],[Quantity]] * Hazards_APPURT[[#This Row],[qiz]] * CaAa_APPURT[[#This Row],[Beta Ice 45]]</f>
        <v>0</v>
      </c>
      <c r="JJ10" s="276">
        <f>IFERROR(1/Calculations_APPURT[[#This Row],[Brackets]],0) * cv_F * BetaSector[[#This Row],[Quantity]] * Hazards_APPURT[[#This Row],[qiz]] * CaAa_APPURT[[#This Row],[Beta Ice 60]]</f>
        <v>0</v>
      </c>
      <c r="JK10" s="276">
        <f>IFERROR(1/Calculations_APPURT[[#This Row],[Brackets]],0) * cv_F * BetaSector[[#This Row],[Quantity]] * Hazards_APPURT[[#This Row],[qiz]] * CaAa_APPURT[[#This Row],[Beta Ice 90]]</f>
        <v>0</v>
      </c>
      <c r="JL10" s="276">
        <f>IFERROR(1/Calculations_APPURT[[#This Row],[Brackets]],0) * cv_F * BetaSector[[#This Row],[Quantity]] * Hazards_APPURT[[#This Row],[qiz]] * CaAa_APPURT[[#This Row],[Beta Ice 120]]</f>
        <v>0</v>
      </c>
      <c r="JM10" s="276">
        <f>IFERROR(1/Calculations_APPURT[[#This Row],[Brackets]],0) * cv_F * BetaSector[[#This Row],[Quantity]] * Hazards_APPURT[[#This Row],[qiz]] * CaAa_APPURT[[#This Row],[Beta Ice 135]]</f>
        <v>0</v>
      </c>
      <c r="JN10" s="276">
        <f>IFERROR(1/Calculations_APPURT[[#This Row],[Brackets]],0) * cv_F * BetaSector[[#This Row],[Quantity]] * Hazards_APPURT[[#This Row],[qiz]] * CaAa_APPURT[[#This Row],[Beta Ice 150]]</f>
        <v>0</v>
      </c>
      <c r="JO10" s="276">
        <f>IFERROR(1/Calculations_APPURT[[#This Row],[Brackets]],0) * cv_F * BetaSector[[#This Row],[Quantity]] * Hazards_APPURT[[#This Row],[qiz]] * CaAa_APPURT[[#This Row],[Beta Ice 180]]</f>
        <v>0</v>
      </c>
      <c r="JP10" s="276">
        <f>IFERROR(1/Calculations_APPURT[[#This Row],[Brackets]],0) * cv_F * BetaSector[[#This Row],[Quantity]] * Hazards_APPURT[[#This Row],[qiz]] * CaAa_APPURT[[#This Row],[Beta Ice 210]]</f>
        <v>0</v>
      </c>
      <c r="JQ10" s="276">
        <f>IFERROR(1/Calculations_APPURT[[#This Row],[Brackets]],0) * cv_F * BetaSector[[#This Row],[Quantity]] * Hazards_APPURT[[#This Row],[qiz]] * CaAa_APPURT[[#This Row],[Beta Ice 225]]</f>
        <v>0</v>
      </c>
      <c r="JR10" s="276">
        <f>IFERROR(1/Calculations_APPURT[[#This Row],[Brackets]],0) * cv_F * BetaSector[[#This Row],[Quantity]] * Hazards_APPURT[[#This Row],[qiz]] * CaAa_APPURT[[#This Row],[Beta Ice 240]]</f>
        <v>0</v>
      </c>
      <c r="JS10" s="276">
        <f>IFERROR(1/Calculations_APPURT[[#This Row],[Brackets]],0) * cv_F * BetaSector[[#This Row],[Quantity]] * Hazards_APPURT[[#This Row],[qiz]] * CaAa_APPURT[[#This Row],[Beta Ice 270]]</f>
        <v>0</v>
      </c>
      <c r="JT10" s="276">
        <f>IFERROR(1/Calculations_APPURT[[#This Row],[Brackets]],0) * cv_F * BetaSector[[#This Row],[Quantity]] * Hazards_APPURT[[#This Row],[qiz]] * CaAa_APPURT[[#This Row],[Beta Ice 300]]</f>
        <v>0</v>
      </c>
      <c r="JU10" s="276">
        <f>IFERROR(1/Calculations_APPURT[[#This Row],[Brackets]],0) * cv_F * BetaSector[[#This Row],[Quantity]] * Hazards_APPURT[[#This Row],[qiz]] * CaAa_APPURT[[#This Row],[Beta Ice 315]]</f>
        <v>0</v>
      </c>
      <c r="JV10" s="276">
        <f>IFERROR(1/Calculations_APPURT[[#This Row],[Brackets]],0) * cv_F * BetaSector[[#This Row],[Quantity]] * Hazards_APPURT[[#This Row],[qiz]] * CaAa_APPURT[[#This Row],[Beta Ice 330]]</f>
        <v>0</v>
      </c>
      <c r="JW10" s="338">
        <f>IFERROR(1/Calculations_APPURT[[#This Row],[Brackets]],0) * cv_F * GammaSector[[#This Row],[Quantity]] * Hazards_APPURT[[#This Row],[qiz]] * CaAa_APPURT[[#This Row],[Gamma Ice 0]]</f>
        <v>0</v>
      </c>
      <c r="JX10" s="338">
        <f>IFERROR(1/Calculations_APPURT[[#This Row],[Brackets]],0) * cv_F * GammaSector[[#This Row],[Quantity]] * Hazards_APPURT[[#This Row],[qiz]] * CaAa_APPURT[[#This Row],[Gamma Ice 30]]</f>
        <v>0</v>
      </c>
      <c r="JY10" s="338">
        <f>IFERROR(1/Calculations_APPURT[[#This Row],[Brackets]],0) * cv_F * GammaSector[[#This Row],[Quantity]] * Hazards_APPURT[[#This Row],[qiz]] * CaAa_APPURT[[#This Row],[Gamma Ice 45]]</f>
        <v>0</v>
      </c>
      <c r="JZ10" s="338">
        <f>IFERROR(1/Calculations_APPURT[[#This Row],[Brackets]],0) * cv_F * GammaSector[[#This Row],[Quantity]] * Hazards_APPURT[[#This Row],[qiz]] * CaAa_APPURT[[#This Row],[Gamma Ice 60]]</f>
        <v>0</v>
      </c>
      <c r="KA10" s="338">
        <f>IFERROR(1/Calculations_APPURT[[#This Row],[Brackets]],0) * cv_F * GammaSector[[#This Row],[Quantity]] * Hazards_APPURT[[#This Row],[qiz]] * CaAa_APPURT[[#This Row],[Gamma Ice 90]]</f>
        <v>0</v>
      </c>
      <c r="KB10" s="338">
        <f>IFERROR(1/Calculations_APPURT[[#This Row],[Brackets]],0) * cv_F * GammaSector[[#This Row],[Quantity]] * Hazards_APPURT[[#This Row],[qiz]] * CaAa_APPURT[[#This Row],[Gamma Ice 120]]</f>
        <v>0</v>
      </c>
      <c r="KC10" s="338">
        <f>IFERROR(1/Calculations_APPURT[[#This Row],[Brackets]],0) * cv_F * GammaSector[[#This Row],[Quantity]] * Hazards_APPURT[[#This Row],[qiz]] * CaAa_APPURT[[#This Row],[Gamma Ice 135]]</f>
        <v>0</v>
      </c>
      <c r="KD10" s="338">
        <f>IFERROR(1/Calculations_APPURT[[#This Row],[Brackets]],0) * cv_F * GammaSector[[#This Row],[Quantity]] * Hazards_APPURT[[#This Row],[qiz]] * CaAa_APPURT[[#This Row],[Gamma Ice 150]]</f>
        <v>0</v>
      </c>
      <c r="KE10" s="338">
        <f>IFERROR(1/Calculations_APPURT[[#This Row],[Brackets]],0) * cv_F * GammaSector[[#This Row],[Quantity]] * Hazards_APPURT[[#This Row],[qiz]] * CaAa_APPURT[[#This Row],[Gamma Ice 180]]</f>
        <v>0</v>
      </c>
      <c r="KF10" s="338">
        <f>IFERROR(1/Calculations_APPURT[[#This Row],[Brackets]],0) * cv_F * GammaSector[[#This Row],[Quantity]] * Hazards_APPURT[[#This Row],[qiz]] * CaAa_APPURT[[#This Row],[Gamma Ice 210]]</f>
        <v>0</v>
      </c>
      <c r="KG10" s="338">
        <f>IFERROR(1/Calculations_APPURT[[#This Row],[Brackets]],0) * cv_F * GammaSector[[#This Row],[Quantity]] * Hazards_APPURT[[#This Row],[qiz]] * CaAa_APPURT[[#This Row],[Gamma Ice 225]]</f>
        <v>0</v>
      </c>
      <c r="KH10" s="338">
        <f>IFERROR(1/Calculations_APPURT[[#This Row],[Brackets]],0) * cv_F * GammaSector[[#This Row],[Quantity]] * Hazards_APPURT[[#This Row],[qiz]] * CaAa_APPURT[[#This Row],[Gamma Ice 240]]</f>
        <v>0</v>
      </c>
      <c r="KI10" s="338">
        <f>IFERROR(1/Calculations_APPURT[[#This Row],[Brackets]],0) * cv_F * GammaSector[[#This Row],[Quantity]] * Hazards_APPURT[[#This Row],[qiz]] * CaAa_APPURT[[#This Row],[Gamma Ice 270]]</f>
        <v>0</v>
      </c>
      <c r="KJ10" s="338">
        <f>IFERROR(1/Calculations_APPURT[[#This Row],[Brackets]],0) * cv_F * GammaSector[[#This Row],[Quantity]] * Hazards_APPURT[[#This Row],[qiz]] * CaAa_APPURT[[#This Row],[Gamma Ice 300]]</f>
        <v>0</v>
      </c>
      <c r="KK10" s="338">
        <f>IFERROR(1/Calculations_APPURT[[#This Row],[Brackets]],0) * cv_F * GammaSector[[#This Row],[Quantity]] * Hazards_APPURT[[#This Row],[qiz]] * CaAa_APPURT[[#This Row],[Gamma Ice 315]]</f>
        <v>0</v>
      </c>
      <c r="KL10" s="338">
        <f>IFERROR(1/Calculations_APPURT[[#This Row],[Brackets]],0) * cv_F * GammaSector[[#This Row],[Quantity]] * Hazards_APPURT[[#This Row],[qiz]] * CaAa_APPURT[[#This Row],[Gamma Ice 330]]</f>
        <v>0</v>
      </c>
      <c r="KM10" s="276">
        <f>IFERROR(1/Calculations_APPURT[[#This Row],[Brackets]],0) * cv_F * DeltaSector[[#This Row],[Quantity]] * Hazards_APPURT[[#This Row],[qiz]] * CaAa_APPURT[[#This Row],[Delta Ice 0]]</f>
        <v>0</v>
      </c>
      <c r="KN10" s="276">
        <f>IFERROR(1/Calculations_APPURT[[#This Row],[Brackets]],0) * cv_F * DeltaSector[[#This Row],[Quantity]] * Hazards_APPURT[[#This Row],[qiz]] * CaAa_APPURT[[#This Row],[Delta Ice 30]]</f>
        <v>0</v>
      </c>
      <c r="KO10" s="276">
        <f>IFERROR(1/Calculations_APPURT[[#This Row],[Brackets]],0) * cv_F * DeltaSector[[#This Row],[Quantity]] * Hazards_APPURT[[#This Row],[qiz]] * CaAa_APPURT[[#This Row],[Delta Ice 45]]</f>
        <v>0</v>
      </c>
      <c r="KP10" s="276">
        <f>IFERROR(1/Calculations_APPURT[[#This Row],[Brackets]],0) * cv_F * DeltaSector[[#This Row],[Quantity]] * Hazards_APPURT[[#This Row],[qiz]] * CaAa_APPURT[[#This Row],[Delta Ice 60]]</f>
        <v>0</v>
      </c>
      <c r="KQ10" s="276">
        <f>IFERROR(1/Calculations_APPURT[[#This Row],[Brackets]],0) * cv_F * DeltaSector[[#This Row],[Quantity]] * Hazards_APPURT[[#This Row],[qiz]] * CaAa_APPURT[[#This Row],[Delta Ice 90]]</f>
        <v>0</v>
      </c>
      <c r="KR10" s="276">
        <f>IFERROR(1/Calculations_APPURT[[#This Row],[Brackets]],0) * cv_F * DeltaSector[[#This Row],[Quantity]] * Hazards_APPURT[[#This Row],[qiz]] * CaAa_APPURT[[#This Row],[Delta Ice 120]]</f>
        <v>0</v>
      </c>
      <c r="KS10" s="276">
        <f>IFERROR(1/Calculations_APPURT[[#This Row],[Brackets]],0) * cv_F * DeltaSector[[#This Row],[Quantity]] * Hazards_APPURT[[#This Row],[qiz]] * CaAa_APPURT[[#This Row],[Delta Ice 135]]</f>
        <v>0</v>
      </c>
      <c r="KT10" s="276">
        <f>IFERROR(1/Calculations_APPURT[[#This Row],[Brackets]],0) * cv_F * DeltaSector[[#This Row],[Quantity]] * Hazards_APPURT[[#This Row],[qiz]] * CaAa_APPURT[[#This Row],[Delta Ice 150]]</f>
        <v>0</v>
      </c>
      <c r="KU10" s="276">
        <f>IFERROR(1/Calculations_APPURT[[#This Row],[Brackets]],0) * cv_F * DeltaSector[[#This Row],[Quantity]] * Hazards_APPURT[[#This Row],[qiz]] * CaAa_APPURT[[#This Row],[Delta Ice 180]]</f>
        <v>0</v>
      </c>
      <c r="KV10" s="276">
        <f>IFERROR(1/Calculations_APPURT[[#This Row],[Brackets]],0) * cv_F * DeltaSector[[#This Row],[Quantity]] * Hazards_APPURT[[#This Row],[qiz]] * CaAa_APPURT[[#This Row],[Delta Ice 210]]</f>
        <v>0</v>
      </c>
      <c r="KW10" s="276">
        <f>IFERROR(1/Calculations_APPURT[[#This Row],[Brackets]],0) * cv_F * DeltaSector[[#This Row],[Quantity]] * Hazards_APPURT[[#This Row],[qiz]] * CaAa_APPURT[[#This Row],[Delta Ice 225]]</f>
        <v>0</v>
      </c>
      <c r="KX10" s="276">
        <f>IFERROR(1/Calculations_APPURT[[#This Row],[Brackets]],0) * cv_F * DeltaSector[[#This Row],[Quantity]] * Hazards_APPURT[[#This Row],[qiz]] * CaAa_APPURT[[#This Row],[Delta Ice 240]]</f>
        <v>0</v>
      </c>
      <c r="KY10" s="276">
        <f>IFERROR(1/Calculations_APPURT[[#This Row],[Brackets]],0) * cv_F * DeltaSector[[#This Row],[Quantity]] * Hazards_APPURT[[#This Row],[qiz]] * CaAa_APPURT[[#This Row],[Delta Ice 270]]</f>
        <v>0</v>
      </c>
      <c r="KZ10" s="276">
        <f>IFERROR(1/Calculations_APPURT[[#This Row],[Brackets]],0) * cv_F * DeltaSector[[#This Row],[Quantity]] * Hazards_APPURT[[#This Row],[qiz]] * CaAa_APPURT[[#This Row],[Delta Ice 300]]</f>
        <v>0</v>
      </c>
      <c r="LA10" s="276">
        <f>IFERROR(1/Calculations_APPURT[[#This Row],[Brackets]],0) * cv_F * DeltaSector[[#This Row],[Quantity]] * Hazards_APPURT[[#This Row],[qiz]] * CaAa_APPURT[[#This Row],[Delta Ice 315]]</f>
        <v>0</v>
      </c>
      <c r="LB10" s="276">
        <f>IFERROR(1/Calculations_APPURT[[#This Row],[Brackets]],0) * cv_F * DeltaSector[[#This Row],[Quantity]] * Hazards_APPURT[[#This Row],[qiz]] * CaAa_APPURT[[#This Row],[Delta Ice 330]]</f>
        <v>0</v>
      </c>
      <c r="LC10" s="338">
        <f>IFERROR(1/Calculations_APPURT[[#This Row],[Brackets]],0) * cv_M/cv_F * Forces_APPURT[[#This Row],[Alpha Fa 0]] * Calculations_APPURT[[#This Row],[Horizontal Offset]]/12</f>
        <v>0</v>
      </c>
      <c r="LD10" s="338">
        <f>IFERROR(1/Calculations_APPURT[[#This Row],[Brackets]],0) * cv_M/cv_F * Forces_APPURT[[#This Row],[Alpha Fa 30]] * Calculations_APPURT[[#This Row],[Horizontal Offset]]/12</f>
        <v>0</v>
      </c>
      <c r="LE10" s="338">
        <f>IFERROR(1/Calculations_APPURT[[#This Row],[Brackets]],0) * cv_M/cv_F * Forces_APPURT[[#This Row],[Alpha Fa 45]] * Calculations_APPURT[[#This Row],[Horizontal Offset]]/12</f>
        <v>0</v>
      </c>
      <c r="LF10" s="338">
        <f>IFERROR(1/Calculations_APPURT[[#This Row],[Brackets]],0) * cv_M/cv_F * Forces_APPURT[[#This Row],[Alpha Fa 60]] * Calculations_APPURT[[#This Row],[Horizontal Offset]]/12</f>
        <v>0</v>
      </c>
      <c r="LG10" s="338">
        <f>IFERROR(1/Calculations_APPURT[[#This Row],[Brackets]],0) * cv_M/cv_F * Forces_APPURT[[#This Row],[Alpha Fa 90]] * Calculations_APPURT[[#This Row],[Horizontal Offset]]/12</f>
        <v>0</v>
      </c>
      <c r="LH10" s="338">
        <f>IFERROR(1/Calculations_APPURT[[#This Row],[Brackets]],0) * cv_M/cv_F * Forces_APPURT[[#This Row],[Alpha Fa 120]] * Calculations_APPURT[[#This Row],[Horizontal Offset]]/12</f>
        <v>0</v>
      </c>
      <c r="LI10" s="338">
        <f>IFERROR(1/Calculations_APPURT[[#This Row],[Brackets]],0) * cv_M/cv_F * Forces_APPURT[[#This Row],[Alpha Fa 135]] * Calculations_APPURT[[#This Row],[Horizontal Offset]]/12</f>
        <v>0</v>
      </c>
      <c r="LJ10" s="338">
        <f>IFERROR(1/Calculations_APPURT[[#This Row],[Brackets]],0) * cv_M/cv_F * Forces_APPURT[[#This Row],[Alpha Fa 150]] * Calculations_APPURT[[#This Row],[Horizontal Offset]]/12</f>
        <v>0</v>
      </c>
      <c r="LK10" s="338">
        <f>IFERROR(1/Calculations_APPURT[[#This Row],[Brackets]],0) * cv_M/cv_F * Forces_APPURT[[#This Row],[Alpha Fa 180]] * Calculations_APPURT[[#This Row],[Horizontal Offset]]/12</f>
        <v>0</v>
      </c>
      <c r="LL10" s="338">
        <f>IFERROR(1/Calculations_APPURT[[#This Row],[Brackets]],0) * cv_M/cv_F * Forces_APPURT[[#This Row],[Alpha Fa 210]] * Calculations_APPURT[[#This Row],[Horizontal Offset]]/12</f>
        <v>0</v>
      </c>
      <c r="LM10" s="338">
        <f>IFERROR(1/Calculations_APPURT[[#This Row],[Brackets]],0) * cv_M/cv_F * Forces_APPURT[[#This Row],[Alpha Fa 225]] * Calculations_APPURT[[#This Row],[Horizontal Offset]]/12</f>
        <v>0</v>
      </c>
      <c r="LN10" s="338">
        <f>IFERROR(1/Calculations_APPURT[[#This Row],[Brackets]],0) * cv_M/cv_F * Forces_APPURT[[#This Row],[Alpha Fa 240]] * Calculations_APPURT[[#This Row],[Horizontal Offset]]/12</f>
        <v>0</v>
      </c>
      <c r="LO10" s="338">
        <f>IFERROR(1/Calculations_APPURT[[#This Row],[Brackets]],0) * cv_M/cv_F * Forces_APPURT[[#This Row],[Alpha Fa 270]] * Calculations_APPURT[[#This Row],[Horizontal Offset]]/12</f>
        <v>0</v>
      </c>
      <c r="LP10" s="338">
        <f>IFERROR(1/Calculations_APPURT[[#This Row],[Brackets]],0) * cv_M/cv_F * Forces_APPURT[[#This Row],[Alpha Fa 300]] * Calculations_APPURT[[#This Row],[Horizontal Offset]]/12</f>
        <v>0</v>
      </c>
      <c r="LQ10" s="338">
        <f>IFERROR(1/Calculations_APPURT[[#This Row],[Brackets]],0) * cv_M/cv_F * Forces_APPURT[[#This Row],[Alpha Fa 315]] * Calculations_APPURT[[#This Row],[Horizontal Offset]]/12</f>
        <v>0</v>
      </c>
      <c r="LR10" s="338">
        <f>IFERROR(1/Calculations_APPURT[[#This Row],[Brackets]],0) * cv_M/cv_F * Forces_APPURT[[#This Row],[Alpha Fa 330]] * Calculations_APPURT[[#This Row],[Horizontal Offset]]/12</f>
        <v>0</v>
      </c>
      <c r="LS10" s="276">
        <f>IFERROR(1/Calculations_APPURT[[#This Row],[Brackets]],0) * cv_M/cv_F * Forces_APPURT[[#This Row],[Beta Fa 0]] * Calculations_APPURT[[#This Row],[Horizontal Offset]]/12</f>
        <v>0</v>
      </c>
      <c r="LT10" s="276">
        <f>IFERROR(1/Calculations_APPURT[[#This Row],[Brackets]],0) * cv_M/cv_F * Forces_APPURT[[#This Row],[Beta Fa 30]] * Calculations_APPURT[[#This Row],[Horizontal Offset]]/12</f>
        <v>0</v>
      </c>
      <c r="LU10" s="276">
        <f>IFERROR(1/Calculations_APPURT[[#This Row],[Brackets]],0) * cv_M/cv_F * Forces_APPURT[[#This Row],[Beta Fa 45]] * Calculations_APPURT[[#This Row],[Horizontal Offset]]/12</f>
        <v>0</v>
      </c>
      <c r="LV10" s="276">
        <f>IFERROR(1/Calculations_APPURT[[#This Row],[Brackets]],0) * cv_M/cv_F * Forces_APPURT[[#This Row],[Beta Fa 60]] * Calculations_APPURT[[#This Row],[Horizontal Offset]]/12</f>
        <v>0</v>
      </c>
      <c r="LW10" s="276">
        <f>IFERROR(1/Calculations_APPURT[[#This Row],[Brackets]],0) * cv_M/cv_F * Forces_APPURT[[#This Row],[Beta Fa 90]] * Calculations_APPURT[[#This Row],[Horizontal Offset]]/12</f>
        <v>0</v>
      </c>
      <c r="LX10" s="276">
        <f>IFERROR(1/Calculations_APPURT[[#This Row],[Brackets]],0) * cv_M/cv_F * Forces_APPURT[[#This Row],[Beta Fa 120]] * Calculations_APPURT[[#This Row],[Horizontal Offset]]/12</f>
        <v>0</v>
      </c>
      <c r="LY10" s="276">
        <f>IFERROR(1/Calculations_APPURT[[#This Row],[Brackets]],0) * cv_M/cv_F * Forces_APPURT[[#This Row],[Beta Fa 135]] * Calculations_APPURT[[#This Row],[Horizontal Offset]]/12</f>
        <v>0</v>
      </c>
      <c r="LZ10" s="276">
        <f>IFERROR(1/Calculations_APPURT[[#This Row],[Brackets]],0) * cv_M/cv_F * Forces_APPURT[[#This Row],[Beta Fa 150]] * Calculations_APPURT[[#This Row],[Horizontal Offset]]/12</f>
        <v>0</v>
      </c>
      <c r="MA10" s="276">
        <f>IFERROR(1/Calculations_APPURT[[#This Row],[Brackets]],0) * cv_M/cv_F * Forces_APPURT[[#This Row],[Beta Fa 180]] * Calculations_APPURT[[#This Row],[Horizontal Offset]]/12</f>
        <v>0</v>
      </c>
      <c r="MB10" s="276">
        <f>IFERROR(1/Calculations_APPURT[[#This Row],[Brackets]],0) * cv_M/cv_F * Forces_APPURT[[#This Row],[Beta Fa 210]] * Calculations_APPURT[[#This Row],[Horizontal Offset]]/12</f>
        <v>0</v>
      </c>
      <c r="MC10" s="276">
        <f>IFERROR(1/Calculations_APPURT[[#This Row],[Brackets]],0) * cv_M/cv_F * Forces_APPURT[[#This Row],[Beta Fa 225]] * Calculations_APPURT[[#This Row],[Horizontal Offset]]/12</f>
        <v>0</v>
      </c>
      <c r="MD10" s="276">
        <f>IFERROR(1/Calculations_APPURT[[#This Row],[Brackets]],0) * cv_M/cv_F * Forces_APPURT[[#This Row],[Beta Fa 240]] * Calculations_APPURT[[#This Row],[Horizontal Offset]]/12</f>
        <v>0</v>
      </c>
      <c r="ME10" s="276">
        <f>IFERROR(1/Calculations_APPURT[[#This Row],[Brackets]],0) * cv_M/cv_F * Forces_APPURT[[#This Row],[Beta Fa 270]] * Calculations_APPURT[[#This Row],[Horizontal Offset]]/12</f>
        <v>0</v>
      </c>
      <c r="MF10" s="276">
        <f>IFERROR(1/Calculations_APPURT[[#This Row],[Brackets]],0) * cv_M/cv_F * Forces_APPURT[[#This Row],[Beta Fa 300]] * Calculations_APPURT[[#This Row],[Horizontal Offset]]/12</f>
        <v>0</v>
      </c>
      <c r="MG10" s="276">
        <f>IFERROR(1/Calculations_APPURT[[#This Row],[Brackets]],0) * cv_M/cv_F * Forces_APPURT[[#This Row],[Beta Fa 315]] * Calculations_APPURT[[#This Row],[Horizontal Offset]]/12</f>
        <v>0</v>
      </c>
      <c r="MH10" s="276">
        <f>IFERROR(1/Calculations_APPURT[[#This Row],[Brackets]],0) * cv_M/cv_F * Forces_APPURT[[#This Row],[Beta Fa 330]] * Calculations_APPURT[[#This Row],[Horizontal Offset]]/12</f>
        <v>0</v>
      </c>
      <c r="MI10" s="338">
        <f>IFERROR(1/Calculations_APPURT[[#This Row],[Brackets]],0) * cv_M/cv_F * Forces_APPURT[[#This Row],[Gamma Fa 0]] * Calculations_APPURT[[#This Row],[Horizontal Offset]]/12</f>
        <v>0</v>
      </c>
      <c r="MJ10" s="338">
        <f>IFERROR(1/Calculations_APPURT[[#This Row],[Brackets]],0) * cv_M/cv_F * Forces_APPURT[[#This Row],[Gamma Fa 30]] * Calculations_APPURT[[#This Row],[Horizontal Offset]]/12</f>
        <v>0</v>
      </c>
      <c r="MK10" s="338">
        <f>IFERROR(1/Calculations_APPURT[[#This Row],[Brackets]],0) * cv_M/cv_F * Forces_APPURT[[#This Row],[Gamma Fa 45]] * Calculations_APPURT[[#This Row],[Horizontal Offset]]/12</f>
        <v>0</v>
      </c>
      <c r="ML10" s="338">
        <f>IFERROR(1/Calculations_APPURT[[#This Row],[Brackets]],0) * cv_M/cv_F * Forces_APPURT[[#This Row],[Gamma Fa 60]] * Calculations_APPURT[[#This Row],[Horizontal Offset]]/12</f>
        <v>0</v>
      </c>
      <c r="MM10" s="338">
        <f>IFERROR(1/Calculations_APPURT[[#This Row],[Brackets]],0) * cv_M/cv_F * Forces_APPURT[[#This Row],[Gamma Fa 90]] * Calculations_APPURT[[#This Row],[Horizontal Offset]]/12</f>
        <v>0</v>
      </c>
      <c r="MN10" s="338">
        <f>IFERROR(1/Calculations_APPURT[[#This Row],[Brackets]],0) * cv_M/cv_F * Forces_APPURT[[#This Row],[Gamma Fa 120]] * Calculations_APPURT[[#This Row],[Horizontal Offset]]/12</f>
        <v>0</v>
      </c>
      <c r="MO10" s="338">
        <f>IFERROR(1/Calculations_APPURT[[#This Row],[Brackets]],0) * cv_M/cv_F * Forces_APPURT[[#This Row],[Gamma Fa 135]] * Calculations_APPURT[[#This Row],[Horizontal Offset]]/12</f>
        <v>0</v>
      </c>
      <c r="MP10" s="338">
        <f>IFERROR(1/Calculations_APPURT[[#This Row],[Brackets]],0) * cv_M/cv_F * Forces_APPURT[[#This Row],[Gamma Fa 150]] * Calculations_APPURT[[#This Row],[Horizontal Offset]]/12</f>
        <v>0</v>
      </c>
      <c r="MQ10" s="338">
        <f>IFERROR(1/Calculations_APPURT[[#This Row],[Brackets]],0) * cv_M/cv_F * Forces_APPURT[[#This Row],[Gamma Fa 180]] * Calculations_APPURT[[#This Row],[Horizontal Offset]]/12</f>
        <v>0</v>
      </c>
      <c r="MR10" s="338">
        <f>IFERROR(1/Calculations_APPURT[[#This Row],[Brackets]],0) * cv_M/cv_F * Forces_APPURT[[#This Row],[Gamma Fa 210]] * Calculations_APPURT[[#This Row],[Horizontal Offset]]/12</f>
        <v>0</v>
      </c>
      <c r="MS10" s="338">
        <f>IFERROR(1/Calculations_APPURT[[#This Row],[Brackets]],0) * cv_M/cv_F * Forces_APPURT[[#This Row],[Gamma Fa 225]] * Calculations_APPURT[[#This Row],[Horizontal Offset]]/12</f>
        <v>0</v>
      </c>
      <c r="MT10" s="338">
        <f>IFERROR(1/Calculations_APPURT[[#This Row],[Brackets]],0) * cv_M/cv_F * Forces_APPURT[[#This Row],[Gamma Fa 240]] * Calculations_APPURT[[#This Row],[Horizontal Offset]]/12</f>
        <v>0</v>
      </c>
      <c r="MU10" s="338">
        <f>IFERROR(1/Calculations_APPURT[[#This Row],[Brackets]],0) * cv_M/cv_F * Forces_APPURT[[#This Row],[Gamma Fa 270]] * Calculations_APPURT[[#This Row],[Horizontal Offset]]/12</f>
        <v>0</v>
      </c>
      <c r="MV10" s="338">
        <f>IFERROR(1/Calculations_APPURT[[#This Row],[Brackets]],0) * cv_M/cv_F * Forces_APPURT[[#This Row],[Gamma Fa 300]] * Calculations_APPURT[[#This Row],[Horizontal Offset]]/12</f>
        <v>0</v>
      </c>
      <c r="MW10" s="338">
        <f>IFERROR(1/Calculations_APPURT[[#This Row],[Brackets]],0) * cv_M/cv_F * Forces_APPURT[[#This Row],[Gamma Fa 315]] * Calculations_APPURT[[#This Row],[Horizontal Offset]]/12</f>
        <v>0</v>
      </c>
      <c r="MX10" s="338">
        <f>IFERROR(1/Calculations_APPURT[[#This Row],[Brackets]],0) * cv_M/cv_F * Forces_APPURT[[#This Row],[Gamma Fa 330]] * Calculations_APPURT[[#This Row],[Horizontal Offset]]/12</f>
        <v>0</v>
      </c>
      <c r="MY10" s="276">
        <f>IFERROR(1/Calculations_APPURT[[#This Row],[Brackets]],0) * cv_M/cv_F * Forces_APPURT[[#This Row],[Delta Fa 0]] * Calculations_APPURT[[#This Row],[Horizontal Offset]]/12</f>
        <v>0</v>
      </c>
      <c r="MZ10" s="276">
        <f>IFERROR(1/Calculations_APPURT[[#This Row],[Brackets]],0) * cv_M/cv_F * Forces_APPURT[[#This Row],[Delta Fa 30]] * Calculations_APPURT[[#This Row],[Horizontal Offset]]/12</f>
        <v>0</v>
      </c>
      <c r="NA10" s="276">
        <f>IFERROR(1/Calculations_APPURT[[#This Row],[Brackets]],0) * cv_M/cv_F * Forces_APPURT[[#This Row],[Delta Fa 45]] * Calculations_APPURT[[#This Row],[Horizontal Offset]]/12</f>
        <v>0</v>
      </c>
      <c r="NB10" s="276">
        <f>IFERROR(1/Calculations_APPURT[[#This Row],[Brackets]],0) * cv_M/cv_F * Forces_APPURT[[#This Row],[Delta Fa 60]] * Calculations_APPURT[[#This Row],[Horizontal Offset]]/12</f>
        <v>0</v>
      </c>
      <c r="NC10" s="276">
        <f>IFERROR(1/Calculations_APPURT[[#This Row],[Brackets]],0) * cv_M/cv_F * Forces_APPURT[[#This Row],[Delta Fa 90]] * Calculations_APPURT[[#This Row],[Horizontal Offset]]/12</f>
        <v>0</v>
      </c>
      <c r="ND10" s="276">
        <f>IFERROR(1/Calculations_APPURT[[#This Row],[Brackets]],0) * cv_M/cv_F * Forces_APPURT[[#This Row],[Delta Fa 120]] * Calculations_APPURT[[#This Row],[Horizontal Offset]]/12</f>
        <v>0</v>
      </c>
      <c r="NE10" s="276">
        <f>IFERROR(1/Calculations_APPURT[[#This Row],[Brackets]],0) * cv_M/cv_F * Forces_APPURT[[#This Row],[Delta Fa 135]] * Calculations_APPURT[[#This Row],[Horizontal Offset]]/12</f>
        <v>0</v>
      </c>
      <c r="NF10" s="276">
        <f>IFERROR(1/Calculations_APPURT[[#This Row],[Brackets]],0) * cv_M/cv_F * Forces_APPURT[[#This Row],[Delta Fa 150]] * Calculations_APPURT[[#This Row],[Horizontal Offset]]/12</f>
        <v>0</v>
      </c>
      <c r="NG10" s="276">
        <f>IFERROR(1/Calculations_APPURT[[#This Row],[Brackets]],0) * cv_M/cv_F * Forces_APPURT[[#This Row],[Delta Fa 180]] * Calculations_APPURT[[#This Row],[Horizontal Offset]]/12</f>
        <v>0</v>
      </c>
      <c r="NH10" s="276">
        <f>IFERROR(1/Calculations_APPURT[[#This Row],[Brackets]],0) * cv_M/cv_F * Forces_APPURT[[#This Row],[Delta Fa 210]] * Calculations_APPURT[[#This Row],[Horizontal Offset]]/12</f>
        <v>0</v>
      </c>
      <c r="NI10" s="276">
        <f>IFERROR(1/Calculations_APPURT[[#This Row],[Brackets]],0) * cv_M/cv_F * Forces_APPURT[[#This Row],[Delta Fa 225]] * Calculations_APPURT[[#This Row],[Horizontal Offset]]/12</f>
        <v>0</v>
      </c>
      <c r="NJ10" s="276">
        <f>IFERROR(1/Calculations_APPURT[[#This Row],[Brackets]],0) * cv_M/cv_F * Forces_APPURT[[#This Row],[Delta Fa 240]] * Calculations_APPURT[[#This Row],[Horizontal Offset]]/12</f>
        <v>0</v>
      </c>
      <c r="NK10" s="276">
        <f>IFERROR(1/Calculations_APPURT[[#This Row],[Brackets]],0) * cv_M/cv_F * Forces_APPURT[[#This Row],[Delta Fa 270]] * Calculations_APPURT[[#This Row],[Horizontal Offset]]/12</f>
        <v>0</v>
      </c>
      <c r="NL10" s="276">
        <f>IFERROR(1/Calculations_APPURT[[#This Row],[Brackets]],0) * cv_M/cv_F * Forces_APPURT[[#This Row],[Delta Fa 300]] * Calculations_APPURT[[#This Row],[Horizontal Offset]]/12</f>
        <v>0</v>
      </c>
      <c r="NM10" s="276">
        <f>IFERROR(1/Calculations_APPURT[[#This Row],[Brackets]],0) * cv_M/cv_F * Forces_APPURT[[#This Row],[Delta Fa 315]] * Calculations_APPURT[[#This Row],[Horizontal Offset]]/12</f>
        <v>0</v>
      </c>
      <c r="NN10" s="276">
        <f>IFERROR(1/Calculations_APPURT[[#This Row],[Brackets]],0) * cv_M/cv_F * Forces_APPURT[[#This Row],[Delta Fa 330]] * Calculations_APPURT[[#This Row],[Horizontal Offset]]/12</f>
        <v>0</v>
      </c>
      <c r="NO10" s="338">
        <f>IFERROR(1/Calculations_APPURT[[#This Row],[Brackets]],0) * cv_M/cv_F * Forces_APPURT[[#This Row],[Alpha Fai 0]] * Calculations_APPURT[[#This Row],[Horizontal Offset]]/12</f>
        <v>0</v>
      </c>
      <c r="NP10" s="338">
        <f>IFERROR(1/Calculations_APPURT[[#This Row],[Brackets]],0) * cv_M/cv_F * Forces_APPURT[[#This Row],[Alpha Fai 30]] * Calculations_APPURT[[#This Row],[Horizontal Offset]]/12</f>
        <v>0</v>
      </c>
      <c r="NQ10" s="338">
        <f>IFERROR(1/Calculations_APPURT[[#This Row],[Brackets]],0) * cv_M/cv_F * Forces_APPURT[[#This Row],[Alpha Fai 45]] * Calculations_APPURT[[#This Row],[Horizontal Offset]]/12</f>
        <v>0</v>
      </c>
      <c r="NR10" s="338">
        <f>IFERROR(1/Calculations_APPURT[[#This Row],[Brackets]],0) * cv_M/cv_F * Forces_APPURT[[#This Row],[Alpha Fai 60]] * Calculations_APPURT[[#This Row],[Horizontal Offset]]/12</f>
        <v>0</v>
      </c>
      <c r="NS10" s="338">
        <f>IFERROR(1/Calculations_APPURT[[#This Row],[Brackets]],0) * cv_M/cv_F * Forces_APPURT[[#This Row],[Alpha Fai 90]] * Calculations_APPURT[[#This Row],[Horizontal Offset]]/12</f>
        <v>0</v>
      </c>
      <c r="NT10" s="338">
        <f>IFERROR(1/Calculations_APPURT[[#This Row],[Brackets]],0) * cv_M/cv_F * Forces_APPURT[[#This Row],[Alpha Fai 120]] * Calculations_APPURT[[#This Row],[Horizontal Offset]]/12</f>
        <v>0</v>
      </c>
      <c r="NU10" s="338">
        <f>IFERROR(1/Calculations_APPURT[[#This Row],[Brackets]],0) * cv_M/cv_F * Forces_APPURT[[#This Row],[Alpha Fai 135]] * Calculations_APPURT[[#This Row],[Horizontal Offset]]/12</f>
        <v>0</v>
      </c>
      <c r="NV10" s="338">
        <f>IFERROR(1/Calculations_APPURT[[#This Row],[Brackets]],0) * cv_M/cv_F * Forces_APPURT[[#This Row],[Alpha Fai 150]] * Calculations_APPURT[[#This Row],[Horizontal Offset]]/12</f>
        <v>0</v>
      </c>
      <c r="NW10" s="338">
        <f>IFERROR(1/Calculations_APPURT[[#This Row],[Brackets]],0) * cv_M/cv_F * Forces_APPURT[[#This Row],[Alpha Fai 180]] * Calculations_APPURT[[#This Row],[Horizontal Offset]]/12</f>
        <v>0</v>
      </c>
      <c r="NX10" s="338">
        <f>IFERROR(1/Calculations_APPURT[[#This Row],[Brackets]],0) * cv_M/cv_F * Forces_APPURT[[#This Row],[Alpha Fai 210]] * Calculations_APPURT[[#This Row],[Horizontal Offset]]/12</f>
        <v>0</v>
      </c>
      <c r="NY10" s="338">
        <f>IFERROR(1/Calculations_APPURT[[#This Row],[Brackets]],0) * cv_M/cv_F * Forces_APPURT[[#This Row],[Alpha Fai 225]] * Calculations_APPURT[[#This Row],[Horizontal Offset]]/12</f>
        <v>0</v>
      </c>
      <c r="NZ10" s="338">
        <f>IFERROR(1/Calculations_APPURT[[#This Row],[Brackets]],0) * cv_M/cv_F * Forces_APPURT[[#This Row],[Alpha Fai 240]] * Calculations_APPURT[[#This Row],[Horizontal Offset]]/12</f>
        <v>0</v>
      </c>
      <c r="OA10" s="338">
        <f>IFERROR(1/Calculations_APPURT[[#This Row],[Brackets]],0) * cv_M/cv_F * Forces_APPURT[[#This Row],[Alpha Fai 270]] * Calculations_APPURT[[#This Row],[Horizontal Offset]]/12</f>
        <v>0</v>
      </c>
      <c r="OB10" s="338">
        <f>IFERROR(1/Calculations_APPURT[[#This Row],[Brackets]],0) * cv_M/cv_F * Forces_APPURT[[#This Row],[Alpha Fai 300]] * Calculations_APPURT[[#This Row],[Horizontal Offset]]/12</f>
        <v>0</v>
      </c>
      <c r="OC10" s="338">
        <f>IFERROR(1/Calculations_APPURT[[#This Row],[Brackets]],0) * cv_M/cv_F * Forces_APPURT[[#This Row],[Alpha Fai 315]] * Calculations_APPURT[[#This Row],[Horizontal Offset]]/12</f>
        <v>0</v>
      </c>
      <c r="OD10" s="338">
        <f>IFERROR(1/Calculations_APPURT[[#This Row],[Brackets]],0) * cv_M/cv_F * Forces_APPURT[[#This Row],[Alpha Fai 330]] * Calculations_APPURT[[#This Row],[Horizontal Offset]]/12</f>
        <v>0</v>
      </c>
      <c r="OE10" s="276">
        <f>IFERROR(1/Calculations_APPURT[[#This Row],[Brackets]],0) * cv_M/cv_F * Forces_APPURT[[#This Row],[Beta Fai 0]] * Calculations_APPURT[[#This Row],[Horizontal Offset]]/12</f>
        <v>0</v>
      </c>
      <c r="OF10" s="276">
        <f>IFERROR(1/Calculations_APPURT[[#This Row],[Brackets]],0) * cv_M/cv_F * Forces_APPURT[[#This Row],[Beta Fai 30]] * Calculations_APPURT[[#This Row],[Horizontal Offset]]/12</f>
        <v>0</v>
      </c>
      <c r="OG10" s="276">
        <f>IFERROR(1/Calculations_APPURT[[#This Row],[Brackets]],0) * cv_M/cv_F * Forces_APPURT[[#This Row],[Beta Fai 45]] * Calculations_APPURT[[#This Row],[Horizontal Offset]]/12</f>
        <v>0</v>
      </c>
      <c r="OH10" s="276">
        <f>IFERROR(1/Calculations_APPURT[[#This Row],[Brackets]],0) * cv_M/cv_F * Forces_APPURT[[#This Row],[Beta Fai 60]] * Calculations_APPURT[[#This Row],[Horizontal Offset]]/12</f>
        <v>0</v>
      </c>
      <c r="OI10" s="276">
        <f>IFERROR(1/Calculations_APPURT[[#This Row],[Brackets]],0) * cv_M/cv_F * Forces_APPURT[[#This Row],[Beta Fai 90]] * Calculations_APPURT[[#This Row],[Horizontal Offset]]/12</f>
        <v>0</v>
      </c>
      <c r="OJ10" s="276">
        <f>IFERROR(1/Calculations_APPURT[[#This Row],[Brackets]],0) * cv_M/cv_F * Forces_APPURT[[#This Row],[Beta Fai 120]] * Calculations_APPURT[[#This Row],[Horizontal Offset]]/12</f>
        <v>0</v>
      </c>
      <c r="OK10" s="276">
        <f>IFERROR(1/Calculations_APPURT[[#This Row],[Brackets]],0) * cv_M/cv_F * Forces_APPURT[[#This Row],[Beta Fai 135]] * Calculations_APPURT[[#This Row],[Horizontal Offset]]/12</f>
        <v>0</v>
      </c>
      <c r="OL10" s="276">
        <f>IFERROR(1/Calculations_APPURT[[#This Row],[Brackets]],0) * cv_M/cv_F * Forces_APPURT[[#This Row],[Beta Fai 150]] * Calculations_APPURT[[#This Row],[Horizontal Offset]]/12</f>
        <v>0</v>
      </c>
      <c r="OM10" s="276">
        <f>IFERROR(1/Calculations_APPURT[[#This Row],[Brackets]],0) * cv_M/cv_F * Forces_APPURT[[#This Row],[Beta Fai 180]] * Calculations_APPURT[[#This Row],[Horizontal Offset]]/12</f>
        <v>0</v>
      </c>
      <c r="ON10" s="276">
        <f>IFERROR(1/Calculations_APPURT[[#This Row],[Brackets]],0) * cv_M/cv_F * Forces_APPURT[[#This Row],[Beta Fai 210]] * Calculations_APPURT[[#This Row],[Horizontal Offset]]/12</f>
        <v>0</v>
      </c>
      <c r="OO10" s="276">
        <f>IFERROR(1/Calculations_APPURT[[#This Row],[Brackets]],0) * cv_M/cv_F * Forces_APPURT[[#This Row],[Beta Fai 225]] * Calculations_APPURT[[#This Row],[Horizontal Offset]]/12</f>
        <v>0</v>
      </c>
      <c r="OP10" s="276">
        <f>IFERROR(1/Calculations_APPURT[[#This Row],[Brackets]],0) * cv_M/cv_F * Forces_APPURT[[#This Row],[Beta Fai 240]] * Calculations_APPURT[[#This Row],[Horizontal Offset]]/12</f>
        <v>0</v>
      </c>
      <c r="OQ10" s="276">
        <f>IFERROR(1/Calculations_APPURT[[#This Row],[Brackets]],0) * cv_M/cv_F * Forces_APPURT[[#This Row],[Beta Fai 270]] * Calculations_APPURT[[#This Row],[Horizontal Offset]]/12</f>
        <v>0</v>
      </c>
      <c r="OR10" s="276">
        <f>IFERROR(1/Calculations_APPURT[[#This Row],[Brackets]],0) * cv_M/cv_F * Forces_APPURT[[#This Row],[Beta Fai 300]] * Calculations_APPURT[[#This Row],[Horizontal Offset]]/12</f>
        <v>0</v>
      </c>
      <c r="OS10" s="276">
        <f>IFERROR(1/Calculations_APPURT[[#This Row],[Brackets]],0) * cv_M/cv_F * Forces_APPURT[[#This Row],[Beta Fai 315]] * Calculations_APPURT[[#This Row],[Horizontal Offset]]/12</f>
        <v>0</v>
      </c>
      <c r="OT10" s="276">
        <f>IFERROR(1/Calculations_APPURT[[#This Row],[Brackets]],0) * cv_M/cv_F * Forces_APPURT[[#This Row],[Beta Fai 330]] * Calculations_APPURT[[#This Row],[Horizontal Offset]]/12</f>
        <v>0</v>
      </c>
      <c r="OU10" s="338">
        <f>IFERROR(1/Calculations_APPURT[[#This Row],[Brackets]],0) * cv_M/cv_F * Forces_APPURT[[#This Row],[Gamma Fai 0]] * Calculations_APPURT[[#This Row],[Horizontal Offset]]/12</f>
        <v>0</v>
      </c>
      <c r="OV10" s="338">
        <f>IFERROR(1/Calculations_APPURT[[#This Row],[Brackets]],0) * cv_M/cv_F * Forces_APPURT[[#This Row],[Gamma Fai 30]] * Calculations_APPURT[[#This Row],[Horizontal Offset]]/12</f>
        <v>0</v>
      </c>
      <c r="OW10" s="338">
        <f>IFERROR(1/Calculations_APPURT[[#This Row],[Brackets]],0) * cv_M/cv_F * Forces_APPURT[[#This Row],[Gamma Fai 45]] * Calculations_APPURT[[#This Row],[Horizontal Offset]]/12</f>
        <v>0</v>
      </c>
      <c r="OX10" s="338">
        <f>IFERROR(1/Calculations_APPURT[[#This Row],[Brackets]],0) * cv_M/cv_F * Forces_APPURT[[#This Row],[Gamma Fai 60]] * Calculations_APPURT[[#This Row],[Horizontal Offset]]/12</f>
        <v>0</v>
      </c>
      <c r="OY10" s="338">
        <f>IFERROR(1/Calculations_APPURT[[#This Row],[Brackets]],0) * cv_M/cv_F * Forces_APPURT[[#This Row],[Gamma Fai 90]] * Calculations_APPURT[[#This Row],[Horizontal Offset]]/12</f>
        <v>0</v>
      </c>
      <c r="OZ10" s="338">
        <f>IFERROR(1/Calculations_APPURT[[#This Row],[Brackets]],0) * cv_M/cv_F * Forces_APPURT[[#This Row],[Gamma Fai 120]] * Calculations_APPURT[[#This Row],[Horizontal Offset]]/12</f>
        <v>0</v>
      </c>
      <c r="PA10" s="338">
        <f>IFERROR(1/Calculations_APPURT[[#This Row],[Brackets]],0) * cv_M/cv_F * Forces_APPURT[[#This Row],[Gamma Fai 135]] * Calculations_APPURT[[#This Row],[Horizontal Offset]]/12</f>
        <v>0</v>
      </c>
      <c r="PB10" s="338">
        <f>IFERROR(1/Calculations_APPURT[[#This Row],[Brackets]],0) * cv_M/cv_F * Forces_APPURT[[#This Row],[Gamma Fai 150]] * Calculations_APPURT[[#This Row],[Horizontal Offset]]/12</f>
        <v>0</v>
      </c>
      <c r="PC10" s="338">
        <f>IFERROR(1/Calculations_APPURT[[#This Row],[Brackets]],0) * cv_M/cv_F * Forces_APPURT[[#This Row],[Gamma Fai 180]] * Calculations_APPURT[[#This Row],[Horizontal Offset]]/12</f>
        <v>0</v>
      </c>
      <c r="PD10" s="338">
        <f>IFERROR(1/Calculations_APPURT[[#This Row],[Brackets]],0) * cv_M/cv_F * Forces_APPURT[[#This Row],[Gamma Fai 210]] * Calculations_APPURT[[#This Row],[Horizontal Offset]]/12</f>
        <v>0</v>
      </c>
      <c r="PE10" s="338">
        <f>IFERROR(1/Calculations_APPURT[[#This Row],[Brackets]],0) * cv_M/cv_F * Forces_APPURT[[#This Row],[Gamma Fai 225]] * Calculations_APPURT[[#This Row],[Horizontal Offset]]/12</f>
        <v>0</v>
      </c>
      <c r="PF10" s="338">
        <f>IFERROR(1/Calculations_APPURT[[#This Row],[Brackets]],0) * cv_M/cv_F * Forces_APPURT[[#This Row],[Gamma Fai 240]] * Calculations_APPURT[[#This Row],[Horizontal Offset]]/12</f>
        <v>0</v>
      </c>
      <c r="PG10" s="338">
        <f>IFERROR(1/Calculations_APPURT[[#This Row],[Brackets]],0) * cv_M/cv_F * Forces_APPURT[[#This Row],[Gamma Fai 270]] * Calculations_APPURT[[#This Row],[Horizontal Offset]]/12</f>
        <v>0</v>
      </c>
      <c r="PH10" s="338">
        <f>IFERROR(1/Calculations_APPURT[[#This Row],[Brackets]],0) * cv_M/cv_F * Forces_APPURT[[#This Row],[Gamma Fai 300]] * Calculations_APPURT[[#This Row],[Horizontal Offset]]/12</f>
        <v>0</v>
      </c>
      <c r="PI10" s="338">
        <f>IFERROR(1/Calculations_APPURT[[#This Row],[Brackets]],0) * cv_M/cv_F * Forces_APPURT[[#This Row],[Gamma Fai 315]] * Calculations_APPURT[[#This Row],[Horizontal Offset]]/12</f>
        <v>0</v>
      </c>
      <c r="PJ10" s="338">
        <f>IFERROR(1/Calculations_APPURT[[#This Row],[Brackets]],0) * cv_M/cv_F * Forces_APPURT[[#This Row],[Gamma Fai 330]] * Calculations_APPURT[[#This Row],[Horizontal Offset]]/12</f>
        <v>0</v>
      </c>
      <c r="PK10" s="276">
        <f>IFERROR(1/Calculations_APPURT[[#This Row],[Brackets]],0) * cv_M/cv_F * Forces_APPURT[[#This Row],[Delta Fai 0]] * Calculations_APPURT[[#This Row],[Horizontal Offset]]/12</f>
        <v>0</v>
      </c>
      <c r="PL10" s="276">
        <f>IFERROR(1/Calculations_APPURT[[#This Row],[Brackets]],0) * cv_M/cv_F * Forces_APPURT[[#This Row],[Delta Fai 30]] * Calculations_APPURT[[#This Row],[Horizontal Offset]]/12</f>
        <v>0</v>
      </c>
      <c r="PM10" s="276">
        <f>IFERROR(1/Calculations_APPURT[[#This Row],[Brackets]],0) * cv_M/cv_F * Forces_APPURT[[#This Row],[Delta Fai 45]] * Calculations_APPURT[[#This Row],[Horizontal Offset]]/12</f>
        <v>0</v>
      </c>
      <c r="PN10" s="276">
        <f>IFERROR(1/Calculations_APPURT[[#This Row],[Brackets]],0) * cv_M/cv_F * Forces_APPURT[[#This Row],[Delta Fai 60]] * Calculations_APPURT[[#This Row],[Horizontal Offset]]/12</f>
        <v>0</v>
      </c>
      <c r="PO10" s="276">
        <f>IFERROR(1/Calculations_APPURT[[#This Row],[Brackets]],0) * cv_M/cv_F * Forces_APPURT[[#This Row],[Delta Fai 90]] * Calculations_APPURT[[#This Row],[Horizontal Offset]]/12</f>
        <v>0</v>
      </c>
      <c r="PP10" s="276">
        <f>IFERROR(1/Calculations_APPURT[[#This Row],[Brackets]],0) * cv_M/cv_F * Forces_APPURT[[#This Row],[Delta Fai 120]] * Calculations_APPURT[[#This Row],[Horizontal Offset]]/12</f>
        <v>0</v>
      </c>
      <c r="PQ10" s="276">
        <f>IFERROR(1/Calculations_APPURT[[#This Row],[Brackets]],0) * cv_M/cv_F * Forces_APPURT[[#This Row],[Delta Fai 135]] * Calculations_APPURT[[#This Row],[Horizontal Offset]]/12</f>
        <v>0</v>
      </c>
      <c r="PR10" s="276">
        <f>IFERROR(1/Calculations_APPURT[[#This Row],[Brackets]],0) * cv_M/cv_F * Forces_APPURT[[#This Row],[Delta Fai 150]] * Calculations_APPURT[[#This Row],[Horizontal Offset]]/12</f>
        <v>0</v>
      </c>
      <c r="PS10" s="276">
        <f>IFERROR(1/Calculations_APPURT[[#This Row],[Brackets]],0) * cv_M/cv_F * Forces_APPURT[[#This Row],[Delta Fai 180]] * Calculations_APPURT[[#This Row],[Horizontal Offset]]/12</f>
        <v>0</v>
      </c>
      <c r="PT10" s="276">
        <f>IFERROR(1/Calculations_APPURT[[#This Row],[Brackets]],0) * cv_M/cv_F * Forces_APPURT[[#This Row],[Delta Fai 210]] * Calculations_APPURT[[#This Row],[Horizontal Offset]]/12</f>
        <v>0</v>
      </c>
      <c r="PU10" s="276">
        <f>IFERROR(1/Calculations_APPURT[[#This Row],[Brackets]],0) * cv_M/cv_F * Forces_APPURT[[#This Row],[Delta Fai 225]] * Calculations_APPURT[[#This Row],[Horizontal Offset]]/12</f>
        <v>0</v>
      </c>
      <c r="PV10" s="276">
        <f>IFERROR(1/Calculations_APPURT[[#This Row],[Brackets]],0) * cv_M/cv_F * Forces_APPURT[[#This Row],[Delta Fai 240]] * Calculations_APPURT[[#This Row],[Horizontal Offset]]/12</f>
        <v>0</v>
      </c>
      <c r="PW10" s="276">
        <f>IFERROR(1/Calculations_APPURT[[#This Row],[Brackets]],0) * cv_M/cv_F * Forces_APPURT[[#This Row],[Delta Fai 270]] * Calculations_APPURT[[#This Row],[Horizontal Offset]]/12</f>
        <v>0</v>
      </c>
      <c r="PX10" s="276">
        <f>IFERROR(1/Calculations_APPURT[[#This Row],[Brackets]],0) * cv_M/cv_F * Forces_APPURT[[#This Row],[Delta Fai 300]] * Calculations_APPURT[[#This Row],[Horizontal Offset]]/12</f>
        <v>0</v>
      </c>
      <c r="PY10" s="276">
        <f>IFERROR(1/Calculations_APPURT[[#This Row],[Brackets]],0) * cv_M/cv_F * Forces_APPURT[[#This Row],[Delta Fai 315]] * Calculations_APPURT[[#This Row],[Horizontal Offset]]/12</f>
        <v>0</v>
      </c>
      <c r="PZ10" s="276">
        <f>IFERROR(1/Calculations_APPURT[[#This Row],[Brackets]],0) * cv_M/cv_F * Forces_APPURT[[#This Row],[Delta Fai 330]] * Calculations_APPURT[[#This Row],[Horizontal Offset]]/12</f>
        <v>0</v>
      </c>
      <c r="QA10" s="338">
        <f>IFERROR(1/Calculations_APPURT[[#This Row],[Brackets]],0) * cv_M/cv_F * Forces_APPURT[[#This Row],[Alpha Fa 0]] * Calculations_APPURT[[#This Row],[Lateral Offset]]/12</f>
        <v>0</v>
      </c>
      <c r="QB10" s="338">
        <f>IFERROR(1/Calculations_APPURT[[#This Row],[Brackets]],0) * cv_M/cv_F * Forces_APPURT[[#This Row],[Alpha Fa 30]] * Calculations_APPURT[[#This Row],[Lateral Offset]]/12</f>
        <v>0</v>
      </c>
      <c r="QC10" s="338">
        <f>IFERROR(1/Calculations_APPURT[[#This Row],[Brackets]],0) * cv_M/cv_F * Forces_APPURT[[#This Row],[Alpha Fa 45]] * Calculations_APPURT[[#This Row],[Lateral Offset]]/12</f>
        <v>0</v>
      </c>
      <c r="QD10" s="338">
        <f>IFERROR(1/Calculations_APPURT[[#This Row],[Brackets]],0) * cv_M/cv_F * Forces_APPURT[[#This Row],[Alpha Fa 60]] * Calculations_APPURT[[#This Row],[Lateral Offset]]/12</f>
        <v>0</v>
      </c>
      <c r="QE10" s="338">
        <f>IFERROR(1/Calculations_APPURT[[#This Row],[Brackets]],0) * cv_M/cv_F * Forces_APPURT[[#This Row],[Alpha Fa 90]] * Calculations_APPURT[[#This Row],[Lateral Offset]]/12</f>
        <v>0</v>
      </c>
      <c r="QF10" s="338">
        <f>IFERROR(1/Calculations_APPURT[[#This Row],[Brackets]],0) * cv_M/cv_F * Forces_APPURT[[#This Row],[Alpha Fa 120]] * Calculations_APPURT[[#This Row],[Lateral Offset]]/12</f>
        <v>0</v>
      </c>
      <c r="QG10" s="338">
        <f>IFERROR(1/Calculations_APPURT[[#This Row],[Brackets]],0) * cv_M/cv_F * Forces_APPURT[[#This Row],[Alpha Fa 135]] * Calculations_APPURT[[#This Row],[Lateral Offset]]/12</f>
        <v>0</v>
      </c>
      <c r="QH10" s="338">
        <f>IFERROR(1/Calculations_APPURT[[#This Row],[Brackets]],0) * cv_M/cv_F * Forces_APPURT[[#This Row],[Alpha Fa 150]] * Calculations_APPURT[[#This Row],[Lateral Offset]]/12</f>
        <v>0</v>
      </c>
      <c r="QI10" s="338">
        <f>IFERROR(1/Calculations_APPURT[[#This Row],[Brackets]],0) * cv_M/cv_F * Forces_APPURT[[#This Row],[Alpha Fa 180]] * Calculations_APPURT[[#This Row],[Lateral Offset]]/12</f>
        <v>0</v>
      </c>
      <c r="QJ10" s="338">
        <f>IFERROR(1/Calculations_APPURT[[#This Row],[Brackets]],0) * cv_M/cv_F * Forces_APPURT[[#This Row],[Alpha Fa 210]] * Calculations_APPURT[[#This Row],[Lateral Offset]]/12</f>
        <v>0</v>
      </c>
      <c r="QK10" s="338">
        <f>IFERROR(1/Calculations_APPURT[[#This Row],[Brackets]],0) * cv_M/cv_F * Forces_APPURT[[#This Row],[Alpha Fa 225]] * Calculations_APPURT[[#This Row],[Lateral Offset]]/12</f>
        <v>0</v>
      </c>
      <c r="QL10" s="338">
        <f>IFERROR(1/Calculations_APPURT[[#This Row],[Brackets]],0) * cv_M/cv_F * Forces_APPURT[[#This Row],[Alpha Fa 240]] * Calculations_APPURT[[#This Row],[Lateral Offset]]/12</f>
        <v>0</v>
      </c>
      <c r="QM10" s="338">
        <f>IFERROR(1/Calculations_APPURT[[#This Row],[Brackets]],0) * cv_M/cv_F * Forces_APPURT[[#This Row],[Alpha Fa 270]] * Calculations_APPURT[[#This Row],[Lateral Offset]]/12</f>
        <v>0</v>
      </c>
      <c r="QN10" s="338">
        <f>IFERROR(1/Calculations_APPURT[[#This Row],[Brackets]],0) * cv_M/cv_F * Forces_APPURT[[#This Row],[Alpha Fa 300]] * Calculations_APPURT[[#This Row],[Lateral Offset]]/12</f>
        <v>0</v>
      </c>
      <c r="QO10" s="338">
        <f>IFERROR(1/Calculations_APPURT[[#This Row],[Brackets]],0) * cv_M/cv_F * Forces_APPURT[[#This Row],[Alpha Fa 315]] * Calculations_APPURT[[#This Row],[Lateral Offset]]/12</f>
        <v>0</v>
      </c>
      <c r="QP10" s="338">
        <f>IFERROR(1/Calculations_APPURT[[#This Row],[Brackets]],0) * cv_M/cv_F * Forces_APPURT[[#This Row],[Alpha Fa 330]] * Calculations_APPURT[[#This Row],[Lateral Offset]]/12</f>
        <v>0</v>
      </c>
      <c r="QQ10" s="276">
        <f>IFERROR(1/Calculations_APPURT[[#This Row],[Brackets]],0) * cv_M/cv_F * Forces_APPURT[[#This Row],[Beta Fa 0]] * Calculations_APPURT[[#This Row],[Lateral Offset]]/12</f>
        <v>0</v>
      </c>
      <c r="QR10" s="276">
        <f>IFERROR(1/Calculations_APPURT[[#This Row],[Brackets]],0) * cv_M/cv_F * Forces_APPURT[[#This Row],[Beta Fa 30]] * Calculations_APPURT[[#This Row],[Lateral Offset]]/12</f>
        <v>0</v>
      </c>
      <c r="QS10" s="276">
        <f>IFERROR(1/Calculations_APPURT[[#This Row],[Brackets]],0) * cv_M/cv_F * Forces_APPURT[[#This Row],[Beta Fa 45]] * Calculations_APPURT[[#This Row],[Lateral Offset]]/12</f>
        <v>0</v>
      </c>
      <c r="QT10" s="276">
        <f>IFERROR(1/Calculations_APPURT[[#This Row],[Brackets]],0) * cv_M/cv_F * Forces_APPURT[[#This Row],[Beta Fa 60]] * Calculations_APPURT[[#This Row],[Lateral Offset]]/12</f>
        <v>0</v>
      </c>
      <c r="QU10" s="276">
        <f>IFERROR(1/Calculations_APPURT[[#This Row],[Brackets]],0) * cv_M/cv_F * Forces_APPURT[[#This Row],[Beta Fa 90]] * Calculations_APPURT[[#This Row],[Lateral Offset]]/12</f>
        <v>0</v>
      </c>
      <c r="QV10" s="276">
        <f>IFERROR(1/Calculations_APPURT[[#This Row],[Brackets]],0) * cv_M/cv_F * Forces_APPURT[[#This Row],[Beta Fa 120]] * Calculations_APPURT[[#This Row],[Lateral Offset]]/12</f>
        <v>0</v>
      </c>
      <c r="QW10" s="276">
        <f>IFERROR(1/Calculations_APPURT[[#This Row],[Brackets]],0) * cv_M/cv_F * Forces_APPURT[[#This Row],[Beta Fa 135]] * Calculations_APPURT[[#This Row],[Lateral Offset]]/12</f>
        <v>0</v>
      </c>
      <c r="QX10" s="276">
        <f>IFERROR(1/Calculations_APPURT[[#This Row],[Brackets]],0) * cv_M/cv_F * Forces_APPURT[[#This Row],[Beta Fa 150]] * Calculations_APPURT[[#This Row],[Lateral Offset]]/12</f>
        <v>0</v>
      </c>
      <c r="QY10" s="276">
        <f>IFERROR(1/Calculations_APPURT[[#This Row],[Brackets]],0) * cv_M/cv_F * Forces_APPURT[[#This Row],[Beta Fa 180]] * Calculations_APPURT[[#This Row],[Lateral Offset]]/12</f>
        <v>0</v>
      </c>
      <c r="QZ10" s="276">
        <f>IFERROR(1/Calculations_APPURT[[#This Row],[Brackets]],0) * cv_M/cv_F * Forces_APPURT[[#This Row],[Beta Fa 210]] * Calculations_APPURT[[#This Row],[Lateral Offset]]/12</f>
        <v>0</v>
      </c>
      <c r="RA10" s="276">
        <f>IFERROR(1/Calculations_APPURT[[#This Row],[Brackets]],0) * cv_M/cv_F * Forces_APPURT[[#This Row],[Beta Fa 225]] * Calculations_APPURT[[#This Row],[Lateral Offset]]/12</f>
        <v>0</v>
      </c>
      <c r="RB10" s="276">
        <f>IFERROR(1/Calculations_APPURT[[#This Row],[Brackets]],0) * cv_M/cv_F * Forces_APPURT[[#This Row],[Beta Fa 240]] * Calculations_APPURT[[#This Row],[Lateral Offset]]/12</f>
        <v>0</v>
      </c>
      <c r="RC10" s="276">
        <f>IFERROR(1/Calculations_APPURT[[#This Row],[Brackets]],0) * cv_M/cv_F * Forces_APPURT[[#This Row],[Beta Fa 270]] * Calculations_APPURT[[#This Row],[Lateral Offset]]/12</f>
        <v>0</v>
      </c>
      <c r="RD10" s="276">
        <f>IFERROR(1/Calculations_APPURT[[#This Row],[Brackets]],0) * cv_M/cv_F * Forces_APPURT[[#This Row],[Beta Fa 300]] * Calculations_APPURT[[#This Row],[Lateral Offset]]/12</f>
        <v>0</v>
      </c>
      <c r="RE10" s="276">
        <f>IFERROR(1/Calculations_APPURT[[#This Row],[Brackets]],0) * cv_M/cv_F * Forces_APPURT[[#This Row],[Beta Fa 315]] * Calculations_APPURT[[#This Row],[Lateral Offset]]/12</f>
        <v>0</v>
      </c>
      <c r="RF10" s="276">
        <f>IFERROR(1/Calculations_APPURT[[#This Row],[Brackets]],0) * cv_M/cv_F * Forces_APPURT[[#This Row],[Beta Fa 330]] * Calculations_APPURT[[#This Row],[Lateral Offset]]/12</f>
        <v>0</v>
      </c>
      <c r="RG10" s="338">
        <f>IFERROR(1/Calculations_APPURT[[#This Row],[Brackets]],0) * cv_M/cv_F * Forces_APPURT[[#This Row],[Gamma Fa 0]] * Calculations_APPURT[[#This Row],[Lateral Offset]]/12</f>
        <v>0</v>
      </c>
      <c r="RH10" s="338">
        <f>IFERROR(1/Calculations_APPURT[[#This Row],[Brackets]],0) * cv_M/cv_F * Forces_APPURT[[#This Row],[Gamma Fa 30]] * Calculations_APPURT[[#This Row],[Lateral Offset]]/12</f>
        <v>0</v>
      </c>
      <c r="RI10" s="338">
        <f>IFERROR(1/Calculations_APPURT[[#This Row],[Brackets]],0) * cv_M/cv_F * Forces_APPURT[[#This Row],[Gamma Fa 45]] * Calculations_APPURT[[#This Row],[Lateral Offset]]/12</f>
        <v>0</v>
      </c>
      <c r="RJ10" s="338">
        <f>IFERROR(1/Calculations_APPURT[[#This Row],[Brackets]],0) * cv_M/cv_F * Forces_APPURT[[#This Row],[Gamma Fa 60]] * Calculations_APPURT[[#This Row],[Lateral Offset]]/12</f>
        <v>0</v>
      </c>
      <c r="RK10" s="338">
        <f>IFERROR(1/Calculations_APPURT[[#This Row],[Brackets]],0) * cv_M/cv_F * Forces_APPURT[[#This Row],[Gamma Fa 90]] * Calculations_APPURT[[#This Row],[Lateral Offset]]/12</f>
        <v>0</v>
      </c>
      <c r="RL10" s="338">
        <f>IFERROR(1/Calculations_APPURT[[#This Row],[Brackets]],0) * cv_M/cv_F * Forces_APPURT[[#This Row],[Gamma Fa 120]] * Calculations_APPURT[[#This Row],[Lateral Offset]]/12</f>
        <v>0</v>
      </c>
      <c r="RM10" s="338">
        <f>IFERROR(1/Calculations_APPURT[[#This Row],[Brackets]],0) * cv_M/cv_F * Forces_APPURT[[#This Row],[Gamma Fa 135]] * Calculations_APPURT[[#This Row],[Lateral Offset]]/12</f>
        <v>0</v>
      </c>
      <c r="RN10" s="338">
        <f>IFERROR(1/Calculations_APPURT[[#This Row],[Brackets]],0) * cv_M/cv_F * Forces_APPURT[[#This Row],[Gamma Fa 150]] * Calculations_APPURT[[#This Row],[Lateral Offset]]/12</f>
        <v>0</v>
      </c>
      <c r="RO10" s="338">
        <f>IFERROR(1/Calculations_APPURT[[#This Row],[Brackets]],0) * cv_M/cv_F * Forces_APPURT[[#This Row],[Gamma Fa 180]] * Calculations_APPURT[[#This Row],[Lateral Offset]]/12</f>
        <v>0</v>
      </c>
      <c r="RP10" s="338">
        <f>IFERROR(1/Calculations_APPURT[[#This Row],[Brackets]],0) * cv_M/cv_F * Forces_APPURT[[#This Row],[Gamma Fa 210]] * Calculations_APPURT[[#This Row],[Lateral Offset]]/12</f>
        <v>0</v>
      </c>
      <c r="RQ10" s="338">
        <f>IFERROR(1/Calculations_APPURT[[#This Row],[Brackets]],0) * cv_M/cv_F * Forces_APPURT[[#This Row],[Gamma Fa 225]] * Calculations_APPURT[[#This Row],[Lateral Offset]]/12</f>
        <v>0</v>
      </c>
      <c r="RR10" s="338">
        <f>IFERROR(1/Calculations_APPURT[[#This Row],[Brackets]],0) * cv_M/cv_F * Forces_APPURT[[#This Row],[Gamma Fa 240]] * Calculations_APPURT[[#This Row],[Lateral Offset]]/12</f>
        <v>0</v>
      </c>
      <c r="RS10" s="338">
        <f>IFERROR(1/Calculations_APPURT[[#This Row],[Brackets]],0) * cv_M/cv_F * Forces_APPURT[[#This Row],[Gamma Fa 270]] * Calculations_APPURT[[#This Row],[Lateral Offset]]/12</f>
        <v>0</v>
      </c>
      <c r="RT10" s="338">
        <f>IFERROR(1/Calculations_APPURT[[#This Row],[Brackets]],0) * cv_M/cv_F * Forces_APPURT[[#This Row],[Gamma Fa 300]] * Calculations_APPURT[[#This Row],[Lateral Offset]]/12</f>
        <v>0</v>
      </c>
      <c r="RU10" s="338">
        <f>IFERROR(1/Calculations_APPURT[[#This Row],[Brackets]],0) * cv_M/cv_F * Forces_APPURT[[#This Row],[Gamma Fa 315]] * Calculations_APPURT[[#This Row],[Lateral Offset]]/12</f>
        <v>0</v>
      </c>
      <c r="RV10" s="338">
        <f>IFERROR(1/Calculations_APPURT[[#This Row],[Brackets]],0) * cv_M/cv_F * Forces_APPURT[[#This Row],[Gamma Fa 330]] * Calculations_APPURT[[#This Row],[Lateral Offset]]/12</f>
        <v>0</v>
      </c>
      <c r="RW10" s="276">
        <f>IFERROR(1/Calculations_APPURT[[#This Row],[Brackets]],0) * cv_M/cv_F * Forces_APPURT[[#This Row],[Delta Fa 0]] * Calculations_APPURT[[#This Row],[Lateral Offset]]/12</f>
        <v>0</v>
      </c>
      <c r="RX10" s="276">
        <f>IFERROR(1/Calculations_APPURT[[#This Row],[Brackets]],0) * cv_M/cv_F * Forces_APPURT[[#This Row],[Delta Fa 30]] * Calculations_APPURT[[#This Row],[Lateral Offset]]/12</f>
        <v>0</v>
      </c>
      <c r="RY10" s="276">
        <f>IFERROR(1/Calculations_APPURT[[#This Row],[Brackets]],0) * cv_M/cv_F * Forces_APPURT[[#This Row],[Delta Fa 45]] * Calculations_APPURT[[#This Row],[Lateral Offset]]/12</f>
        <v>0</v>
      </c>
      <c r="RZ10" s="276">
        <f>IFERROR(1/Calculations_APPURT[[#This Row],[Brackets]],0) * cv_M/cv_F * Forces_APPURT[[#This Row],[Delta Fa 60]] * Calculations_APPURT[[#This Row],[Lateral Offset]]/12</f>
        <v>0</v>
      </c>
      <c r="SA10" s="276">
        <f>IFERROR(1/Calculations_APPURT[[#This Row],[Brackets]],0) * cv_M/cv_F * Forces_APPURT[[#This Row],[Delta Fa 90]] * Calculations_APPURT[[#This Row],[Lateral Offset]]/12</f>
        <v>0</v>
      </c>
      <c r="SB10" s="276">
        <f>IFERROR(1/Calculations_APPURT[[#This Row],[Brackets]],0) * cv_M/cv_F * Forces_APPURT[[#This Row],[Delta Fa 120]] * Calculations_APPURT[[#This Row],[Lateral Offset]]/12</f>
        <v>0</v>
      </c>
      <c r="SC10" s="276">
        <f>IFERROR(1/Calculations_APPURT[[#This Row],[Brackets]],0) * cv_M/cv_F * Forces_APPURT[[#This Row],[Delta Fa 135]] * Calculations_APPURT[[#This Row],[Lateral Offset]]/12</f>
        <v>0</v>
      </c>
      <c r="SD10" s="276">
        <f>IFERROR(1/Calculations_APPURT[[#This Row],[Brackets]],0) * cv_M/cv_F * Forces_APPURT[[#This Row],[Delta Fa 150]] * Calculations_APPURT[[#This Row],[Lateral Offset]]/12</f>
        <v>0</v>
      </c>
      <c r="SE10" s="276">
        <f>IFERROR(1/Calculations_APPURT[[#This Row],[Brackets]],0) * cv_M/cv_F * Forces_APPURT[[#This Row],[Delta Fa 180]] * Calculations_APPURT[[#This Row],[Lateral Offset]]/12</f>
        <v>0</v>
      </c>
      <c r="SF10" s="276">
        <f>IFERROR(1/Calculations_APPURT[[#This Row],[Brackets]],0) * cv_M/cv_F * Forces_APPURT[[#This Row],[Delta Fa 210]] * Calculations_APPURT[[#This Row],[Lateral Offset]]/12</f>
        <v>0</v>
      </c>
      <c r="SG10" s="276">
        <f>IFERROR(1/Calculations_APPURT[[#This Row],[Brackets]],0) * cv_M/cv_F * Forces_APPURT[[#This Row],[Delta Fa 225]] * Calculations_APPURT[[#This Row],[Lateral Offset]]/12</f>
        <v>0</v>
      </c>
      <c r="SH10" s="276">
        <f>IFERROR(1/Calculations_APPURT[[#This Row],[Brackets]],0) * cv_M/cv_F * Forces_APPURT[[#This Row],[Delta Fa 240]] * Calculations_APPURT[[#This Row],[Lateral Offset]]/12</f>
        <v>0</v>
      </c>
      <c r="SI10" s="276">
        <f>IFERROR(1/Calculations_APPURT[[#This Row],[Brackets]],0) * cv_M/cv_F * Forces_APPURT[[#This Row],[Delta Fa 270]] * Calculations_APPURT[[#This Row],[Lateral Offset]]/12</f>
        <v>0</v>
      </c>
      <c r="SJ10" s="276">
        <f>IFERROR(1/Calculations_APPURT[[#This Row],[Brackets]],0) * cv_M/cv_F * Forces_APPURT[[#This Row],[Delta Fa 300]] * Calculations_APPURT[[#This Row],[Lateral Offset]]/12</f>
        <v>0</v>
      </c>
      <c r="SK10" s="276">
        <f>IFERROR(1/Calculations_APPURT[[#This Row],[Brackets]],0) * cv_M/cv_F * Forces_APPURT[[#This Row],[Delta Fa 315]] * Calculations_APPURT[[#This Row],[Lateral Offset]]/12</f>
        <v>0</v>
      </c>
      <c r="SL10" s="276">
        <f>IFERROR(1/Calculations_APPURT[[#This Row],[Brackets]],0) * cv_M/cv_F * Forces_APPURT[[#This Row],[Delta Fa 330]] * Calculations_APPURT[[#This Row],[Lateral Offset]]/12</f>
        <v>0</v>
      </c>
      <c r="SM10" s="338">
        <f>IFERROR(1/Calculations_APPURT[[#This Row],[Brackets]],0) * cv_M/cv_F * Forces_APPURT[[#This Row],[Alpha Fai 0]] * Calculations_APPURT[[#This Row],[Lateral Offset]]/12</f>
        <v>0</v>
      </c>
      <c r="SN10" s="338">
        <f>IFERROR(1/Calculations_APPURT[[#This Row],[Brackets]],0) * cv_M/cv_F * Forces_APPURT[[#This Row],[Alpha Fai 30]] * Calculations_APPURT[[#This Row],[Lateral Offset]]/12</f>
        <v>0</v>
      </c>
      <c r="SO10" s="338">
        <f>IFERROR(1/Calculations_APPURT[[#This Row],[Brackets]],0) * cv_M/cv_F * Forces_APPURT[[#This Row],[Alpha Fai 45]] * Calculations_APPURT[[#This Row],[Lateral Offset]]/12</f>
        <v>0</v>
      </c>
      <c r="SP10" s="338">
        <f>IFERROR(1/Calculations_APPURT[[#This Row],[Brackets]],0) * cv_M/cv_F * Forces_APPURT[[#This Row],[Alpha Fai 60]] * Calculations_APPURT[[#This Row],[Lateral Offset]]/12</f>
        <v>0</v>
      </c>
      <c r="SQ10" s="338">
        <f>IFERROR(1/Calculations_APPURT[[#This Row],[Brackets]],0) * cv_M/cv_F * Forces_APPURT[[#This Row],[Alpha Fai 90]] * Calculations_APPURT[[#This Row],[Lateral Offset]]/12</f>
        <v>0</v>
      </c>
      <c r="SR10" s="338">
        <f>IFERROR(1/Calculations_APPURT[[#This Row],[Brackets]],0) * cv_M/cv_F * Forces_APPURT[[#This Row],[Alpha Fai 120]] * Calculations_APPURT[[#This Row],[Lateral Offset]]/12</f>
        <v>0</v>
      </c>
      <c r="SS10" s="338">
        <f>IFERROR(1/Calculations_APPURT[[#This Row],[Brackets]],0) * cv_M/cv_F * Forces_APPURT[[#This Row],[Alpha Fai 135]] * Calculations_APPURT[[#This Row],[Lateral Offset]]/12</f>
        <v>0</v>
      </c>
      <c r="ST10" s="338">
        <f>IFERROR(1/Calculations_APPURT[[#This Row],[Brackets]],0) * cv_M/cv_F * Forces_APPURT[[#This Row],[Alpha Fai 150]] * Calculations_APPURT[[#This Row],[Lateral Offset]]/12</f>
        <v>0</v>
      </c>
      <c r="SU10" s="338">
        <f>IFERROR(1/Calculations_APPURT[[#This Row],[Brackets]],0) * cv_M/cv_F * Forces_APPURT[[#This Row],[Alpha Fai 180]] * Calculations_APPURT[[#This Row],[Lateral Offset]]/12</f>
        <v>0</v>
      </c>
      <c r="SV10" s="338">
        <f>IFERROR(1/Calculations_APPURT[[#This Row],[Brackets]],0) * cv_M/cv_F * Forces_APPURT[[#This Row],[Alpha Fai 210]] * Calculations_APPURT[[#This Row],[Lateral Offset]]/12</f>
        <v>0</v>
      </c>
      <c r="SW10" s="338">
        <f>IFERROR(1/Calculations_APPURT[[#This Row],[Brackets]],0) * cv_M/cv_F * Forces_APPURT[[#This Row],[Alpha Fai 225]] * Calculations_APPURT[[#This Row],[Lateral Offset]]/12</f>
        <v>0</v>
      </c>
      <c r="SX10" s="338">
        <f>IFERROR(1/Calculations_APPURT[[#This Row],[Brackets]],0) * cv_M/cv_F * Forces_APPURT[[#This Row],[Alpha Fai 240]] * Calculations_APPURT[[#This Row],[Lateral Offset]]/12</f>
        <v>0</v>
      </c>
      <c r="SY10" s="338">
        <f>IFERROR(1/Calculations_APPURT[[#This Row],[Brackets]],0) * cv_M/cv_F * Forces_APPURT[[#This Row],[Alpha Fai 270]] * Calculations_APPURT[[#This Row],[Lateral Offset]]/12</f>
        <v>0</v>
      </c>
      <c r="SZ10" s="338">
        <f>IFERROR(1/Calculations_APPURT[[#This Row],[Brackets]],0) * cv_M/cv_F * Forces_APPURT[[#This Row],[Alpha Fai 300]] * Calculations_APPURT[[#This Row],[Lateral Offset]]/12</f>
        <v>0</v>
      </c>
      <c r="TA10" s="338">
        <f>IFERROR(1/Calculations_APPURT[[#This Row],[Brackets]],0) * cv_M/cv_F * Forces_APPURT[[#This Row],[Alpha Fai 315]] * Calculations_APPURT[[#This Row],[Lateral Offset]]/12</f>
        <v>0</v>
      </c>
      <c r="TB10" s="338">
        <f>IFERROR(1/Calculations_APPURT[[#This Row],[Brackets]],0) * cv_M/cv_F * Forces_APPURT[[#This Row],[Alpha Fai 330]] * Calculations_APPURT[[#This Row],[Lateral Offset]]/12</f>
        <v>0</v>
      </c>
      <c r="TC10" s="276">
        <f>IFERROR(1/Calculations_APPURT[[#This Row],[Brackets]],0) * cv_M/cv_F * Forces_APPURT[[#This Row],[Beta Fai 0]] * Calculations_APPURT[[#This Row],[Lateral Offset]]/12</f>
        <v>0</v>
      </c>
      <c r="TD10" s="276">
        <f>IFERROR(1/Calculations_APPURT[[#This Row],[Brackets]],0) * cv_M/cv_F * Forces_APPURT[[#This Row],[Beta Fai 30]] * Calculations_APPURT[[#This Row],[Lateral Offset]]/12</f>
        <v>0</v>
      </c>
      <c r="TE10" s="276">
        <f>IFERROR(1/Calculations_APPURT[[#This Row],[Brackets]],0) * cv_M/cv_F * Forces_APPURT[[#This Row],[Beta Fai 45]] * Calculations_APPURT[[#This Row],[Lateral Offset]]/12</f>
        <v>0</v>
      </c>
      <c r="TF10" s="276">
        <f>IFERROR(1/Calculations_APPURT[[#This Row],[Brackets]],0) * cv_M/cv_F * Forces_APPURT[[#This Row],[Beta Fai 60]] * Calculations_APPURT[[#This Row],[Lateral Offset]]/12</f>
        <v>0</v>
      </c>
      <c r="TG10" s="276">
        <f>IFERROR(1/Calculations_APPURT[[#This Row],[Brackets]],0) * cv_M/cv_F * Forces_APPURT[[#This Row],[Beta Fai 90]] * Calculations_APPURT[[#This Row],[Lateral Offset]]/12</f>
        <v>0</v>
      </c>
      <c r="TH10" s="276">
        <f>IFERROR(1/Calculations_APPURT[[#This Row],[Brackets]],0) * cv_M/cv_F * Forces_APPURT[[#This Row],[Beta Fai 120]] * Calculations_APPURT[[#This Row],[Lateral Offset]]/12</f>
        <v>0</v>
      </c>
      <c r="TI10" s="276">
        <f>IFERROR(1/Calculations_APPURT[[#This Row],[Brackets]],0) * cv_M/cv_F * Forces_APPURT[[#This Row],[Beta Fai 135]] * Calculations_APPURT[[#This Row],[Lateral Offset]]/12</f>
        <v>0</v>
      </c>
      <c r="TJ10" s="276">
        <f>IFERROR(1/Calculations_APPURT[[#This Row],[Brackets]],0) * cv_M/cv_F * Forces_APPURT[[#This Row],[Beta Fai 150]] * Calculations_APPURT[[#This Row],[Lateral Offset]]/12</f>
        <v>0</v>
      </c>
      <c r="TK10" s="276">
        <f>IFERROR(1/Calculations_APPURT[[#This Row],[Brackets]],0) * cv_M/cv_F * Forces_APPURT[[#This Row],[Beta Fai 180]] * Calculations_APPURT[[#This Row],[Lateral Offset]]/12</f>
        <v>0</v>
      </c>
      <c r="TL10" s="276">
        <f>IFERROR(1/Calculations_APPURT[[#This Row],[Brackets]],0) * cv_M/cv_F * Forces_APPURT[[#This Row],[Beta Fai 210]] * Calculations_APPURT[[#This Row],[Lateral Offset]]/12</f>
        <v>0</v>
      </c>
      <c r="TM10" s="276">
        <f>IFERROR(1/Calculations_APPURT[[#This Row],[Brackets]],0) * cv_M/cv_F * Forces_APPURT[[#This Row],[Beta Fai 225]] * Calculations_APPURT[[#This Row],[Lateral Offset]]/12</f>
        <v>0</v>
      </c>
      <c r="TN10" s="276">
        <f>IFERROR(1/Calculations_APPURT[[#This Row],[Brackets]],0) * cv_M/cv_F * Forces_APPURT[[#This Row],[Beta Fai 240]] * Calculations_APPURT[[#This Row],[Lateral Offset]]/12</f>
        <v>0</v>
      </c>
      <c r="TO10" s="276">
        <f>IFERROR(1/Calculations_APPURT[[#This Row],[Brackets]],0) * cv_M/cv_F * Forces_APPURT[[#This Row],[Beta Fai 270]] * Calculations_APPURT[[#This Row],[Lateral Offset]]/12</f>
        <v>0</v>
      </c>
      <c r="TP10" s="276">
        <f>IFERROR(1/Calculations_APPURT[[#This Row],[Brackets]],0) * cv_M/cv_F * Forces_APPURT[[#This Row],[Beta Fai 300]] * Calculations_APPURT[[#This Row],[Lateral Offset]]/12</f>
        <v>0</v>
      </c>
      <c r="TQ10" s="276">
        <f>IFERROR(1/Calculations_APPURT[[#This Row],[Brackets]],0) * cv_M/cv_F * Forces_APPURT[[#This Row],[Beta Fai 315]] * Calculations_APPURT[[#This Row],[Lateral Offset]]/12</f>
        <v>0</v>
      </c>
      <c r="TR10" s="276">
        <f>IFERROR(1/Calculations_APPURT[[#This Row],[Brackets]],0) * cv_M/cv_F * Forces_APPURT[[#This Row],[Beta Fai 330]] * Calculations_APPURT[[#This Row],[Lateral Offset]]/12</f>
        <v>0</v>
      </c>
      <c r="TS10" s="338">
        <f>IFERROR(1/Calculations_APPURT[[#This Row],[Brackets]],0) * cv_M/cv_F * Forces_APPURT[[#This Row],[Gamma Fai 0]] * Calculations_APPURT[[#This Row],[Lateral Offset]]/12</f>
        <v>0</v>
      </c>
      <c r="TT10" s="338">
        <f>IFERROR(1/Calculations_APPURT[[#This Row],[Brackets]],0) * cv_M/cv_F * Forces_APPURT[[#This Row],[Gamma Fai 30]] * Calculations_APPURT[[#This Row],[Lateral Offset]]/12</f>
        <v>0</v>
      </c>
      <c r="TU10" s="338">
        <f>IFERROR(1/Calculations_APPURT[[#This Row],[Brackets]],0) * cv_M/cv_F * Forces_APPURT[[#This Row],[Gamma Fai 45]] * Calculations_APPURT[[#This Row],[Lateral Offset]]/12</f>
        <v>0</v>
      </c>
      <c r="TV10" s="338">
        <f>IFERROR(1/Calculations_APPURT[[#This Row],[Brackets]],0) * cv_M/cv_F * Forces_APPURT[[#This Row],[Gamma Fai 60]] * Calculations_APPURT[[#This Row],[Lateral Offset]]/12</f>
        <v>0</v>
      </c>
      <c r="TW10" s="338">
        <f>IFERROR(1/Calculations_APPURT[[#This Row],[Brackets]],0) * cv_M/cv_F * Forces_APPURT[[#This Row],[Gamma Fai 90]] * Calculations_APPURT[[#This Row],[Lateral Offset]]/12</f>
        <v>0</v>
      </c>
      <c r="TX10" s="338">
        <f>IFERROR(1/Calculations_APPURT[[#This Row],[Brackets]],0) * cv_M/cv_F * Forces_APPURT[[#This Row],[Gamma Fai 120]] * Calculations_APPURT[[#This Row],[Lateral Offset]]/12</f>
        <v>0</v>
      </c>
      <c r="TY10" s="338">
        <f>IFERROR(1/Calculations_APPURT[[#This Row],[Brackets]],0) * cv_M/cv_F * Forces_APPURT[[#This Row],[Gamma Fai 135]] * Calculations_APPURT[[#This Row],[Lateral Offset]]/12</f>
        <v>0</v>
      </c>
      <c r="TZ10" s="338">
        <f>IFERROR(1/Calculations_APPURT[[#This Row],[Brackets]],0) * cv_M/cv_F * Forces_APPURT[[#This Row],[Gamma Fai 150]] * Calculations_APPURT[[#This Row],[Lateral Offset]]/12</f>
        <v>0</v>
      </c>
      <c r="UA10" s="338">
        <f>IFERROR(1/Calculations_APPURT[[#This Row],[Brackets]],0) * cv_M/cv_F * Forces_APPURT[[#This Row],[Gamma Fai 180]] * Calculations_APPURT[[#This Row],[Lateral Offset]]/12</f>
        <v>0</v>
      </c>
      <c r="UB10" s="338">
        <f>IFERROR(1/Calculations_APPURT[[#This Row],[Brackets]],0) * cv_M/cv_F * Forces_APPURT[[#This Row],[Gamma Fai 210]] * Calculations_APPURT[[#This Row],[Lateral Offset]]/12</f>
        <v>0</v>
      </c>
      <c r="UC10" s="338">
        <f>IFERROR(1/Calculations_APPURT[[#This Row],[Brackets]],0) * cv_M/cv_F * Forces_APPURT[[#This Row],[Gamma Fai 225]] * Calculations_APPURT[[#This Row],[Lateral Offset]]/12</f>
        <v>0</v>
      </c>
      <c r="UD10" s="338">
        <f>IFERROR(1/Calculations_APPURT[[#This Row],[Brackets]],0) * cv_M/cv_F * Forces_APPURT[[#This Row],[Gamma Fai 240]] * Calculations_APPURT[[#This Row],[Lateral Offset]]/12</f>
        <v>0</v>
      </c>
      <c r="UE10" s="338">
        <f>IFERROR(1/Calculations_APPURT[[#This Row],[Brackets]],0) * cv_M/cv_F * Forces_APPURT[[#This Row],[Gamma Fai 270]] * Calculations_APPURT[[#This Row],[Lateral Offset]]/12</f>
        <v>0</v>
      </c>
      <c r="UF10" s="338">
        <f>IFERROR(1/Calculations_APPURT[[#This Row],[Brackets]],0) * cv_M/cv_F * Forces_APPURT[[#This Row],[Gamma Fai 300]] * Calculations_APPURT[[#This Row],[Lateral Offset]]/12</f>
        <v>0</v>
      </c>
      <c r="UG10" s="338">
        <f>IFERROR(1/Calculations_APPURT[[#This Row],[Brackets]],0) * cv_M/cv_F * Forces_APPURT[[#This Row],[Gamma Fai 315]] * Calculations_APPURT[[#This Row],[Lateral Offset]]/12</f>
        <v>0</v>
      </c>
      <c r="UH10" s="338">
        <f>IFERROR(1/Calculations_APPURT[[#This Row],[Brackets]],0) * cv_M/cv_F * Forces_APPURT[[#This Row],[Gamma Fai 330]] * Calculations_APPURT[[#This Row],[Lateral Offset]]/12</f>
        <v>0</v>
      </c>
      <c r="UI10" s="276">
        <f>IFERROR(1/Calculations_APPURT[[#This Row],[Brackets]],0) * cv_M/cv_F * Forces_APPURT[[#This Row],[Delta Fai 0]] * Calculations_APPURT[[#This Row],[Lateral Offset]]/12</f>
        <v>0</v>
      </c>
      <c r="UJ10" s="276">
        <f>IFERROR(1/Calculations_APPURT[[#This Row],[Brackets]],0) * cv_M/cv_F * Forces_APPURT[[#This Row],[Delta Fai 30]] * Calculations_APPURT[[#This Row],[Lateral Offset]]/12</f>
        <v>0</v>
      </c>
      <c r="UK10" s="276">
        <f>IFERROR(1/Calculations_APPURT[[#This Row],[Brackets]],0) * cv_M/cv_F * Forces_APPURT[[#This Row],[Delta Fai 45]] * Calculations_APPURT[[#This Row],[Lateral Offset]]/12</f>
        <v>0</v>
      </c>
      <c r="UL10" s="276">
        <f>IFERROR(1/Calculations_APPURT[[#This Row],[Brackets]],0) * cv_M/cv_F * Forces_APPURT[[#This Row],[Delta Fai 60]] * Calculations_APPURT[[#This Row],[Lateral Offset]]/12</f>
        <v>0</v>
      </c>
      <c r="UM10" s="276">
        <f>IFERROR(1/Calculations_APPURT[[#This Row],[Brackets]],0) * cv_M/cv_F * Forces_APPURT[[#This Row],[Delta Fai 90]] * Calculations_APPURT[[#This Row],[Lateral Offset]]/12</f>
        <v>0</v>
      </c>
      <c r="UN10" s="276">
        <f>IFERROR(1/Calculations_APPURT[[#This Row],[Brackets]],0) * cv_M/cv_F * Forces_APPURT[[#This Row],[Delta Fai 120]] * Calculations_APPURT[[#This Row],[Lateral Offset]]/12</f>
        <v>0</v>
      </c>
      <c r="UO10" s="276">
        <f>IFERROR(1/Calculations_APPURT[[#This Row],[Brackets]],0) * cv_M/cv_F * Forces_APPURT[[#This Row],[Delta Fai 135]] * Calculations_APPURT[[#This Row],[Lateral Offset]]/12</f>
        <v>0</v>
      </c>
      <c r="UP10" s="276">
        <f>IFERROR(1/Calculations_APPURT[[#This Row],[Brackets]],0) * cv_M/cv_F * Forces_APPURT[[#This Row],[Delta Fai 150]] * Calculations_APPURT[[#This Row],[Lateral Offset]]/12</f>
        <v>0</v>
      </c>
      <c r="UQ10" s="276">
        <f>IFERROR(1/Calculations_APPURT[[#This Row],[Brackets]],0) * cv_M/cv_F * Forces_APPURT[[#This Row],[Delta Fai 180]] * Calculations_APPURT[[#This Row],[Lateral Offset]]/12</f>
        <v>0</v>
      </c>
      <c r="UR10" s="276">
        <f>IFERROR(1/Calculations_APPURT[[#This Row],[Brackets]],0) * cv_M/cv_F * Forces_APPURT[[#This Row],[Delta Fai 210]] * Calculations_APPURT[[#This Row],[Lateral Offset]]/12</f>
        <v>0</v>
      </c>
      <c r="US10" s="276">
        <f>IFERROR(1/Calculations_APPURT[[#This Row],[Brackets]],0) * cv_M/cv_F * Forces_APPURT[[#This Row],[Delta Fai 225]] * Calculations_APPURT[[#This Row],[Lateral Offset]]/12</f>
        <v>0</v>
      </c>
      <c r="UT10" s="276">
        <f>IFERROR(1/Calculations_APPURT[[#This Row],[Brackets]],0) * cv_M/cv_F * Forces_APPURT[[#This Row],[Delta Fai 240]] * Calculations_APPURT[[#This Row],[Lateral Offset]]/12</f>
        <v>0</v>
      </c>
      <c r="UU10" s="276">
        <f>IFERROR(1/Calculations_APPURT[[#This Row],[Brackets]],0) * cv_M/cv_F * Forces_APPURT[[#This Row],[Delta Fai 270]] * Calculations_APPURT[[#This Row],[Lateral Offset]]/12</f>
        <v>0</v>
      </c>
      <c r="UV10" s="276">
        <f>IFERROR(1/Calculations_APPURT[[#This Row],[Brackets]],0) * cv_M/cv_F * Forces_APPURT[[#This Row],[Delta Fai 300]] * Calculations_APPURT[[#This Row],[Lateral Offset]]/12</f>
        <v>0</v>
      </c>
      <c r="UW10" s="276">
        <f>IFERROR(1/Calculations_APPURT[[#This Row],[Brackets]],0) * cv_M/cv_F * Forces_APPURT[[#This Row],[Delta Fai 315]] * Calculations_APPURT[[#This Row],[Lateral Offset]]/12</f>
        <v>0</v>
      </c>
      <c r="UX10" s="276">
        <f>IFERROR(1/Calculations_APPURT[[#This Row],[Brackets]],0) * cv_M/cv_F * Forces_APPURT[[#This Row],[Delta Fai 330]] * Calculations_APPURT[[#This Row],[Lateral Offset]]/12</f>
        <v>0</v>
      </c>
      <c r="UY10" s="338">
        <f>Dimensions_APPURT[[#This Row],[Weight (lbf)]] * cv_F * AlphaSector[[#This Row],[Quantity]]</f>
        <v>0</v>
      </c>
      <c r="UZ10" s="338">
        <f>Dimensions_APPURT[[#This Row],[Weight (lbf)]] * cv_F * BetaSector[[#This Row],[Quantity]]</f>
        <v>0</v>
      </c>
      <c r="VA10" s="338">
        <f>Dimensions_APPURT[[#This Row],[Weight (lbf)]] * cv_F * GammaSector[[#This Row],[Quantity]]</f>
        <v>0</v>
      </c>
      <c r="VB10" s="338">
        <f>Dimensions_APPURT[[#This Row],[Weight (lbf)]] * cv_F * DeltaSector[[#This Row],[Quantity]]</f>
        <v>0</v>
      </c>
      <c r="VC10" s="209">
        <f>Dimensions_APPURT[[#This Row],[Weight (lbf)]] * cv_M * AlphaSector[[#This Row],[Quantity]] * Calculations_APPURT[[#This Row],[Horizontal Offset]]/12</f>
        <v>0</v>
      </c>
      <c r="VD10" s="209">
        <f>Dimensions_APPURT[[#This Row],[Weight (lbf)]] * cv_M * BetaSector[[#This Row],[Quantity]] * Calculations_APPURT[[#This Row],[Horizontal Offset]]/12</f>
        <v>0</v>
      </c>
      <c r="VE10" s="209">
        <f>Dimensions_APPURT[[#This Row],[Weight (lbf)]] * cv_M * GammaSector[[#This Row],[Quantity]] * Calculations_APPURT[[#This Row],[Horizontal Offset]]/12</f>
        <v>0</v>
      </c>
      <c r="VF10" s="209">
        <f>Dimensions_APPURT[[#This Row],[Weight (lbf)]] * cv_M * DeltaSector[[#This Row],[Quantity]] * Calculations_APPURT[[#This Row],[Horizontal Offset]]/12</f>
        <v>0</v>
      </c>
      <c r="VG10" s="338">
        <f>Hazards_APPURT[[#This Row],[Ice Weight]] * cv_F * AlphaSector[[#This Row],[Quantity]]</f>
        <v>0</v>
      </c>
      <c r="VH10" s="338">
        <f>Hazards_APPURT[[#This Row],[Ice Weight]] * cv_F * BetaSector[[#This Row],[Quantity]]</f>
        <v>0</v>
      </c>
      <c r="VI10" s="338">
        <f>Hazards_APPURT[[#This Row],[Ice Weight]] * cv_F * GammaSector[[#This Row],[Quantity]]</f>
        <v>0</v>
      </c>
      <c r="VJ10" s="338">
        <f>Hazards_APPURT[[#This Row],[Ice Weight]] * cv_F * DeltaSector[[#This Row],[Quantity]]</f>
        <v>0</v>
      </c>
      <c r="VK10" s="209">
        <f>Hazards_APPURT[[#This Row],[Ice Weight]] * cv_M * AlphaSector[[#This Row],[Quantity]] * Calculations_APPURT[[#This Row],[Horizontal Offset]]/12</f>
        <v>0</v>
      </c>
      <c r="VL10" s="209">
        <f>Hazards_APPURT[[#This Row],[Ice Weight]] * cv_M * BetaSector[[#This Row],[Quantity]] * Calculations_APPURT[[#This Row],[Horizontal Offset]]/12</f>
        <v>0</v>
      </c>
      <c r="VM10" s="209">
        <f>Hazards_APPURT[[#This Row],[Ice Weight]] * cv_M * GammaSector[[#This Row],[Quantity]] * Calculations_APPURT[[#This Row],[Horizontal Offset]]/12</f>
        <v>0</v>
      </c>
      <c r="VN10" s="209">
        <f>Hazards_APPURT[[#This Row],[Ice Weight]] * cv_M * DeltaSector[[#This Row],[Quantity]] * Calculations_APPURT[[#This Row],[Horizontal Offset]]/12</f>
        <v>0</v>
      </c>
    </row>
    <row r="11" spans="1:586" ht="15" customHeight="1" x14ac:dyDescent="0.2">
      <c r="A11" s="69"/>
      <c r="E11" s="265"/>
      <c r="L11" s="69"/>
      <c r="R11" s="70"/>
      <c r="T11" s="69"/>
      <c r="V11" s="71"/>
      <c r="W11" s="69"/>
      <c r="X11" s="71"/>
      <c r="Y11" s="69"/>
      <c r="Z11" s="70"/>
      <c r="AB11" s="69"/>
      <c r="AD11" s="71"/>
      <c r="AE11" s="69"/>
      <c r="AF11" s="71"/>
      <c r="AG11" s="69"/>
      <c r="AH11" s="70"/>
      <c r="AJ11" s="69"/>
      <c r="AL11" s="71"/>
      <c r="AM11" s="69"/>
      <c r="AN11" s="71"/>
      <c r="AO11" s="69"/>
      <c r="AP11" s="70"/>
      <c r="AR11" s="69"/>
      <c r="AV11" s="277" cm="1">
        <f t="array" ref="AV11">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1" s="209" cm="1">
        <f t="array" ref="AW11">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1" s="209" cm="1">
        <f t="array" ref="AX11">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1" s="209" cm="1">
        <f t="array" ref="AY11">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1"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1" s="209" cm="1">
        <f t="array" ref="BA11">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1" s="209">
        <f>IF(OR(Calculations_APPURT[[#This Row],[Shape]]="CFD",Calculations_APPURT[[#This Row],[Shape]]="CCI"),1,0.95)</f>
        <v>0.95</v>
      </c>
      <c r="BC11" s="209" cm="1">
        <f t="array" ref="BC11">0.00256 * Hazards_APPURT[[#This Row],[Kz]] * Kzt * Ks * I.wind * V^2 * IF(RIGHT(TIA,1)="G",1,Ke) * IF(OR(Calculations_APPURT[[#This Row],[Shape]]="CFD",Calculations_APPURT[[#This Row],[Shape]]="CCI"),1, Hazards_APPURT[[#This Row],[Kd]]) * Gh</f>
        <v>0</v>
      </c>
      <c r="BD11" s="209">
        <f>IF(Risk="I",0,MIN(((z+Calculations_APPURT[[#This Row],[Vertical Offset]]/12)/33)^(0.1),1.4))</f>
        <v>0</v>
      </c>
      <c r="BE11" s="209" cm="1">
        <f t="array" ref="BE11">IF(Risk="I",0,IF(TIA="ANSI/TIA-222-G",2,1*Kes.i)*ti*I.ice*Hazards_APPURT[[#This Row],[Kiz]]*(Kzt/Ks)^(0.35))</f>
        <v>0</v>
      </c>
      <c r="BF11" s="209" cm="1">
        <f t="array" ref="BF11">0.00256 * Hazards_APPURT[[#This Row],[Kz]] * Kzt * Ks * I.wind * Vi^2 * IF(RIGHT(TIA,1)="G",1,Ke) * IF(OR(Calculations_APPURT[[#This Row],[Shape]]="CFD",Calculations_APPURT[[#This Row],[Shape]]="CCI"),1, Kd) * Gh</f>
        <v>0</v>
      </c>
      <c r="BG11"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1"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1"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1"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1"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1"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1"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1"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1"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1"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1"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1"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1"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1"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1"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1"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1"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1"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1"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1"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1"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1"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1"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1"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1"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1"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1"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1"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1"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1"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1"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1"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1"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1"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1"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1"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1"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1"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1"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1"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1"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1"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1"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1"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1"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1"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1"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1"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1"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1"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1"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1"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1"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1"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1"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1"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1"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1"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1"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1"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1"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1"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1"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1"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1" s="276">
        <f>IFERROR(1/Calculations_APPURT[[#This Row],[Brackets]],0) * cv_F * AlphaSector[[#This Row],[Quantity]] * Hazards_APPURT[[#This Row],[qz]] * CaAa_APPURT[[#This Row],[Alpha 0]] * IF(Calculations_APPURT[[#This Row],[Shape]]="CFD",1, Ka)</f>
        <v>0</v>
      </c>
      <c r="GF11" s="276">
        <f>IFERROR(1/Calculations_APPURT[[#This Row],[Brackets]],0) * cv_F * AlphaSector[[#This Row],[Quantity]] * Hazards_APPURT[[#This Row],[qz]] * CaAa_APPURT[[#This Row],[Alpha 30]] * IF(Calculations_APPURT[[#This Row],[Shape]]="CFD",1, Ka)</f>
        <v>0</v>
      </c>
      <c r="GG11" s="276">
        <f>IFERROR(1/Calculations_APPURT[[#This Row],[Brackets]],0) * cv_F * AlphaSector[[#This Row],[Quantity]] * Hazards_APPURT[[#This Row],[qz]] * CaAa_APPURT[[#This Row],[Alpha 45]] * IF(Calculations_APPURT[[#This Row],[Shape]]="CFD",1, Ka)</f>
        <v>0</v>
      </c>
      <c r="GH11" s="276">
        <f>IFERROR(1/Calculations_APPURT[[#This Row],[Brackets]],0) * cv_F * AlphaSector[[#This Row],[Quantity]] * Hazards_APPURT[[#This Row],[qz]] * CaAa_APPURT[[#This Row],[Alpha 60]] * IF(Calculations_APPURT[[#This Row],[Shape]]="CFD",1, Ka)</f>
        <v>0</v>
      </c>
      <c r="GI11" s="276">
        <f>IFERROR(1/Calculations_APPURT[[#This Row],[Brackets]],0) * cv_F * AlphaSector[[#This Row],[Quantity]] * Hazards_APPURT[[#This Row],[qz]] * CaAa_APPURT[[#This Row],[Alpha 90]] * IF(Calculations_APPURT[[#This Row],[Shape]]="CFD",1, Ka)</f>
        <v>0</v>
      </c>
      <c r="GJ11" s="276">
        <f>IFERROR(1/Calculations_APPURT[[#This Row],[Brackets]],0) * cv_F * AlphaSector[[#This Row],[Quantity]] * Hazards_APPURT[[#This Row],[qz]] * CaAa_APPURT[[#This Row],[Alpha 120]] * IF(Calculations_APPURT[[#This Row],[Shape]]="CFD",1, Ka)</f>
        <v>0</v>
      </c>
      <c r="GK11" s="276">
        <f>IFERROR(1/Calculations_APPURT[[#This Row],[Brackets]],0) * cv_F * AlphaSector[[#This Row],[Quantity]] * Hazards_APPURT[[#This Row],[qz]] * CaAa_APPURT[[#This Row],[Alpha 135]] * IF(Calculations_APPURT[[#This Row],[Shape]]="CFD",1, Ka)</f>
        <v>0</v>
      </c>
      <c r="GL11" s="276">
        <f>IFERROR(1/Calculations_APPURT[[#This Row],[Brackets]],0) * cv_F * AlphaSector[[#This Row],[Quantity]] * Hazards_APPURT[[#This Row],[qz]] * CaAa_APPURT[[#This Row],[Alpha 150]] * IF(Calculations_APPURT[[#This Row],[Shape]]="CFD",1, Ka)</f>
        <v>0</v>
      </c>
      <c r="GM11" s="276">
        <f>IFERROR(1/Calculations_APPURT[[#This Row],[Brackets]],0) * cv_F * AlphaSector[[#This Row],[Quantity]] * Hazards_APPURT[[#This Row],[qz]] * CaAa_APPURT[[#This Row],[Alpha 180]] * IF(Calculations_APPURT[[#This Row],[Shape]]="CFD",1, Ka)</f>
        <v>0</v>
      </c>
      <c r="GN11" s="276">
        <f>IFERROR(1/Calculations_APPURT[[#This Row],[Brackets]],0) * cv_F * AlphaSector[[#This Row],[Quantity]] * Hazards_APPURT[[#This Row],[qz]] * CaAa_APPURT[[#This Row],[Alpha 210]] * IF(Calculations_APPURT[[#This Row],[Shape]]="CFD",1, Ka)</f>
        <v>0</v>
      </c>
      <c r="GO11" s="276">
        <f>IFERROR(1/Calculations_APPURT[[#This Row],[Brackets]],0) * cv_F * AlphaSector[[#This Row],[Quantity]] * Hazards_APPURT[[#This Row],[qz]] * CaAa_APPURT[[#This Row],[Alpha 225]] * IF(Calculations_APPURT[[#This Row],[Shape]]="CFD",1, Ka)</f>
        <v>0</v>
      </c>
      <c r="GP11" s="276">
        <f>IFERROR(1/Calculations_APPURT[[#This Row],[Brackets]],0) * cv_F * AlphaSector[[#This Row],[Quantity]] * Hazards_APPURT[[#This Row],[qz]] * CaAa_APPURT[[#This Row],[Alpha 240]] * IF(Calculations_APPURT[[#This Row],[Shape]]="CFD",1, Ka)</f>
        <v>0</v>
      </c>
      <c r="GQ11" s="276">
        <f>IFERROR(1/Calculations_APPURT[[#This Row],[Brackets]],0) * cv_F * AlphaSector[[#This Row],[Quantity]] * Hazards_APPURT[[#This Row],[qz]] * CaAa_APPURT[[#This Row],[Alpha 270]] * IF(Calculations_APPURT[[#This Row],[Shape]]="CFD",1, Ka)</f>
        <v>0</v>
      </c>
      <c r="GR11" s="276">
        <f>IFERROR(1/Calculations_APPURT[[#This Row],[Brackets]],0) * cv_F * AlphaSector[[#This Row],[Quantity]] * Hazards_APPURT[[#This Row],[qz]] * CaAa_APPURT[[#This Row],[Alpha 300]] * IF(Calculations_APPURT[[#This Row],[Shape]]="CFD",1, Ka)</f>
        <v>0</v>
      </c>
      <c r="GS11" s="276">
        <f>IFERROR(1/Calculations_APPURT[[#This Row],[Brackets]],0) * cv_F * AlphaSector[[#This Row],[Quantity]] * Hazards_APPURT[[#This Row],[qz]] * CaAa_APPURT[[#This Row],[Alpha 315]] * IF(Calculations_APPURT[[#This Row],[Shape]]="CFD",1, Ka)</f>
        <v>0</v>
      </c>
      <c r="GT11" s="276">
        <f>IFERROR(1/Calculations_APPURT[[#This Row],[Brackets]],0) * cv_F * AlphaSector[[#This Row],[Quantity]] * Hazards_APPURT[[#This Row],[qz]] * CaAa_APPURT[[#This Row],[Alpha 330]] * IF(Calculations_APPURT[[#This Row],[Shape]]="CFD",1, Ka)</f>
        <v>0</v>
      </c>
      <c r="GU11" s="276">
        <f>IFERROR(1/Calculations_APPURT[[#This Row],[Brackets]],0) * cv_F * BetaSector[[#This Row],[Quantity]] * Hazards_APPURT[[#This Row],[qz]] * CaAa_APPURT[[#This Row],[Beta 0]] * IF(Calculations_APPURT[[#This Row],[Shape]]="CFD",1, Ka)</f>
        <v>0</v>
      </c>
      <c r="GV11" s="276">
        <f>IFERROR(1/Calculations_APPURT[[#This Row],[Brackets]],0) * cv_F * BetaSector[[#This Row],[Quantity]] * Hazards_APPURT[[#This Row],[qz]] * CaAa_APPURT[[#This Row],[Beta 30]] * IF(Calculations_APPURT[[#This Row],[Shape]]="CFD",1, Ka)</f>
        <v>0</v>
      </c>
      <c r="GW11" s="276">
        <f>IFERROR(1/Calculations_APPURT[[#This Row],[Brackets]],0) * cv_F * BetaSector[[#This Row],[Quantity]] * Hazards_APPURT[[#This Row],[qz]] * CaAa_APPURT[[#This Row],[Beta 45]] * IF(Calculations_APPURT[[#This Row],[Shape]]="CFD",1, Ka)</f>
        <v>0</v>
      </c>
      <c r="GX11" s="276">
        <f>IFERROR(1/Calculations_APPURT[[#This Row],[Brackets]],0) * cv_F * BetaSector[[#This Row],[Quantity]] * Hazards_APPURT[[#This Row],[qz]] * CaAa_APPURT[[#This Row],[Beta 60]] * IF(Calculations_APPURT[[#This Row],[Shape]]="CFD",1, Ka)</f>
        <v>0</v>
      </c>
      <c r="GY11" s="276">
        <f>IFERROR(1/Calculations_APPURT[[#This Row],[Brackets]],0) * cv_F * BetaSector[[#This Row],[Quantity]] * Hazards_APPURT[[#This Row],[qz]] * CaAa_APPURT[[#This Row],[Beta 90]] * IF(Calculations_APPURT[[#This Row],[Shape]]="CFD",1, Ka)</f>
        <v>0</v>
      </c>
      <c r="GZ11" s="276">
        <f>IFERROR(1/Calculations_APPURT[[#This Row],[Brackets]],0) * cv_F * BetaSector[[#This Row],[Quantity]] * Hazards_APPURT[[#This Row],[qz]] * CaAa_APPURT[[#This Row],[Beta 120]] * IF(Calculations_APPURT[[#This Row],[Shape]]="CFD",1, Ka)</f>
        <v>0</v>
      </c>
      <c r="HA11" s="276">
        <f>IFERROR(1/Calculations_APPURT[[#This Row],[Brackets]],0) * cv_F * BetaSector[[#This Row],[Quantity]] * Hazards_APPURT[[#This Row],[qz]] * CaAa_APPURT[[#This Row],[Beta 135]] * IF(Calculations_APPURT[[#This Row],[Shape]]="CFD",1, Ka)</f>
        <v>0</v>
      </c>
      <c r="HB11" s="276">
        <f>IFERROR(1/Calculations_APPURT[[#This Row],[Brackets]],0) * cv_F * BetaSector[[#This Row],[Quantity]] * Hazards_APPURT[[#This Row],[qz]] * CaAa_APPURT[[#This Row],[Beta 150]] * IF(Calculations_APPURT[[#This Row],[Shape]]="CFD",1, Ka)</f>
        <v>0</v>
      </c>
      <c r="HC11" s="276">
        <f>IFERROR(1/Calculations_APPURT[[#This Row],[Brackets]],0) * cv_F * BetaSector[[#This Row],[Quantity]] * Hazards_APPURT[[#This Row],[qz]] * CaAa_APPURT[[#This Row],[Beta 180]] * IF(Calculations_APPURT[[#This Row],[Shape]]="CFD",1, Ka)</f>
        <v>0</v>
      </c>
      <c r="HD11" s="276">
        <f>IFERROR(1/Calculations_APPURT[[#This Row],[Brackets]],0) * cv_F * BetaSector[[#This Row],[Quantity]] * Hazards_APPURT[[#This Row],[qz]] * CaAa_APPURT[[#This Row],[Beta 210]] * IF(Calculations_APPURT[[#This Row],[Shape]]="CFD",1, Ka)</f>
        <v>0</v>
      </c>
      <c r="HE11" s="276">
        <f>IFERROR(1/Calculations_APPURT[[#This Row],[Brackets]],0) * cv_F * BetaSector[[#This Row],[Quantity]] * Hazards_APPURT[[#This Row],[qz]] * CaAa_APPURT[[#This Row],[Beta 225]] * IF(Calculations_APPURT[[#This Row],[Shape]]="CFD",1, Ka)</f>
        <v>0</v>
      </c>
      <c r="HF11" s="276">
        <f>IFERROR(1/Calculations_APPURT[[#This Row],[Brackets]],0) * cv_F * BetaSector[[#This Row],[Quantity]] * Hazards_APPURT[[#This Row],[qz]] * CaAa_APPURT[[#This Row],[Beta 240]] * IF(Calculations_APPURT[[#This Row],[Shape]]="CFD",1, Ka)</f>
        <v>0</v>
      </c>
      <c r="HG11" s="276">
        <f>IFERROR(1/Calculations_APPURT[[#This Row],[Brackets]],0) * cv_F * BetaSector[[#This Row],[Quantity]] * Hazards_APPURT[[#This Row],[qz]] * CaAa_APPURT[[#This Row],[Beta 270]] * IF(Calculations_APPURT[[#This Row],[Shape]]="CFD",1, Ka)</f>
        <v>0</v>
      </c>
      <c r="HH11" s="276">
        <f>IFERROR(1/Calculations_APPURT[[#This Row],[Brackets]],0) * cv_F * BetaSector[[#This Row],[Quantity]] * Hazards_APPURT[[#This Row],[qz]] * CaAa_APPURT[[#This Row],[Beta 300]] * IF(Calculations_APPURT[[#This Row],[Shape]]="CFD",1, Ka)</f>
        <v>0</v>
      </c>
      <c r="HI11" s="276">
        <f>IFERROR(1/Calculations_APPURT[[#This Row],[Brackets]],0) * cv_F * BetaSector[[#This Row],[Quantity]] * Hazards_APPURT[[#This Row],[qz]] * CaAa_APPURT[[#This Row],[Beta 315]] * IF(Calculations_APPURT[[#This Row],[Shape]]="CFD",1, Ka)</f>
        <v>0</v>
      </c>
      <c r="HJ11" s="276">
        <f>IFERROR(1/Calculations_APPURT[[#This Row],[Brackets]],0) * cv_F * BetaSector[[#This Row],[Quantity]] * Hazards_APPURT[[#This Row],[qz]] * CaAa_APPURT[[#This Row],[Beta 330]] * IF(Calculations_APPURT[[#This Row],[Shape]]="CFD",1, Ka)</f>
        <v>0</v>
      </c>
      <c r="HK11" s="276">
        <f>IFERROR(1/Calculations_APPURT[[#This Row],[Brackets]],0) * cv_F * GammaSector[[#This Row],[Quantity]] * Hazards_APPURT[[#This Row],[qz]] * CaAa_APPURT[[#This Row],[Gamma 0]] * IF(Calculations_APPURT[[#This Row],[Shape]]="CFD",1, Ka)</f>
        <v>0</v>
      </c>
      <c r="HL11" s="276">
        <f>IFERROR(1/Calculations_APPURT[[#This Row],[Brackets]],0) * cv_F * GammaSector[[#This Row],[Quantity]] * Hazards_APPURT[[#This Row],[qz]] * CaAa_APPURT[[#This Row],[Gamma 30]] * IF(Calculations_APPURT[[#This Row],[Shape]]="CFD",1, Ka)</f>
        <v>0</v>
      </c>
      <c r="HM11" s="276">
        <f>IFERROR(1/Calculations_APPURT[[#This Row],[Brackets]],0) * cv_F * GammaSector[[#This Row],[Quantity]] * Hazards_APPURT[[#This Row],[qz]] * CaAa_APPURT[[#This Row],[Gamma 45]] * IF(Calculations_APPURT[[#This Row],[Shape]]="CFD",1, Ka)</f>
        <v>0</v>
      </c>
      <c r="HN11" s="276">
        <f>IFERROR(1/Calculations_APPURT[[#This Row],[Brackets]],0) * cv_F * GammaSector[[#This Row],[Quantity]] * Hazards_APPURT[[#This Row],[qz]] * CaAa_APPURT[[#This Row],[Gamma 60]] * IF(Calculations_APPURT[[#This Row],[Shape]]="CFD",1, Ka)</f>
        <v>0</v>
      </c>
      <c r="HO11" s="276">
        <f>IFERROR(1/Calculations_APPURT[[#This Row],[Brackets]],0) * cv_F * GammaSector[[#This Row],[Quantity]] * Hazards_APPURT[[#This Row],[qz]] * CaAa_APPURT[[#This Row],[Gamma 90]] * IF(Calculations_APPURT[[#This Row],[Shape]]="CFD",1, Ka)</f>
        <v>0</v>
      </c>
      <c r="HP11" s="276">
        <f>IFERROR(1/Calculations_APPURT[[#This Row],[Brackets]],0) * cv_F * GammaSector[[#This Row],[Quantity]] * Hazards_APPURT[[#This Row],[qz]] * CaAa_APPURT[[#This Row],[Gamma 120]] * IF(Calculations_APPURT[[#This Row],[Shape]]="CFD",1, Ka)</f>
        <v>0</v>
      </c>
      <c r="HQ11" s="276">
        <f>IFERROR(1/Calculations_APPURT[[#This Row],[Brackets]],0) * cv_F * GammaSector[[#This Row],[Quantity]] * Hazards_APPURT[[#This Row],[qz]] * CaAa_APPURT[[#This Row],[Gamma 135]] * IF(Calculations_APPURT[[#This Row],[Shape]]="CFD",1, Ka)</f>
        <v>0</v>
      </c>
      <c r="HR11" s="276">
        <f>IFERROR(1/Calculations_APPURT[[#This Row],[Brackets]],0) * cv_F * GammaSector[[#This Row],[Quantity]] * Hazards_APPURT[[#This Row],[qz]] * CaAa_APPURT[[#This Row],[Gamma 150]] * IF(Calculations_APPURT[[#This Row],[Shape]]="CFD",1, Ka)</f>
        <v>0</v>
      </c>
      <c r="HS11" s="276">
        <f>IFERROR(1/Calculations_APPURT[[#This Row],[Brackets]],0) * cv_F * GammaSector[[#This Row],[Quantity]] * Hazards_APPURT[[#This Row],[qz]] * CaAa_APPURT[[#This Row],[Gamma 180]] * IF(Calculations_APPURT[[#This Row],[Shape]]="CFD",1, Ka)</f>
        <v>0</v>
      </c>
      <c r="HT11" s="276">
        <f>IFERROR(1/Calculations_APPURT[[#This Row],[Brackets]],0) * cv_F * GammaSector[[#This Row],[Quantity]] * Hazards_APPURT[[#This Row],[qz]] * CaAa_APPURT[[#This Row],[Gamma 210]] * IF(Calculations_APPURT[[#This Row],[Shape]]="CFD",1, Ka)</f>
        <v>0</v>
      </c>
      <c r="HU11" s="276">
        <f>IFERROR(1/Calculations_APPURT[[#This Row],[Brackets]],0) * cv_F * GammaSector[[#This Row],[Quantity]] * Hazards_APPURT[[#This Row],[qz]] * CaAa_APPURT[[#This Row],[Gamma 225]] * IF(Calculations_APPURT[[#This Row],[Shape]]="CFD",1, Ka)</f>
        <v>0</v>
      </c>
      <c r="HV11" s="276">
        <f>IFERROR(1/Calculations_APPURT[[#This Row],[Brackets]],0) * cv_F * GammaSector[[#This Row],[Quantity]] * Hazards_APPURT[[#This Row],[qz]] * CaAa_APPURT[[#This Row],[Gamma 240]] * IF(Calculations_APPURT[[#This Row],[Shape]]="CFD",1, Ka)</f>
        <v>0</v>
      </c>
      <c r="HW11" s="276">
        <f>IFERROR(1/Calculations_APPURT[[#This Row],[Brackets]],0) * cv_F * GammaSector[[#This Row],[Quantity]] * Hazards_APPURT[[#This Row],[qz]] * CaAa_APPURT[[#This Row],[Gamma 270]] * IF(Calculations_APPURT[[#This Row],[Shape]]="CFD",1, Ka)</f>
        <v>0</v>
      </c>
      <c r="HX11" s="276">
        <f>IFERROR(1/Calculations_APPURT[[#This Row],[Brackets]],0) * cv_F * GammaSector[[#This Row],[Quantity]] * Hazards_APPURT[[#This Row],[qz]] * CaAa_APPURT[[#This Row],[Gamma 300]] * IF(Calculations_APPURT[[#This Row],[Shape]]="CFD",1, Ka)</f>
        <v>0</v>
      </c>
      <c r="HY11" s="276">
        <f>IFERROR(1/Calculations_APPURT[[#This Row],[Brackets]],0) * cv_F * GammaSector[[#This Row],[Quantity]] * Hazards_APPURT[[#This Row],[qz]] * CaAa_APPURT[[#This Row],[Gamma 315]] * IF(Calculations_APPURT[[#This Row],[Shape]]="CFD",1, Ka)</f>
        <v>0</v>
      </c>
      <c r="HZ11" s="276">
        <f>IFERROR(1/Calculations_APPURT[[#This Row],[Brackets]],0) * cv_F * GammaSector[[#This Row],[Quantity]] * Hazards_APPURT[[#This Row],[qz]] * CaAa_APPURT[[#This Row],[Gamma 330]] * IF(Calculations_APPURT[[#This Row],[Shape]]="CFD",1, Ka)</f>
        <v>0</v>
      </c>
      <c r="IA11" s="276">
        <f>IFERROR(1/Calculations_APPURT[[#This Row],[Brackets]],0) * cv_F * DeltaSector[[#This Row],[Quantity]] * Hazards_APPURT[[#This Row],[qz]] * CaAa_APPURT[[#This Row],[Delta 0]] * IF(Calculations_APPURT[[#This Row],[Shape]]="CFD",1, Ka)</f>
        <v>0</v>
      </c>
      <c r="IB11" s="276">
        <f>IFERROR(1/Calculations_APPURT[[#This Row],[Brackets]],0) * cv_F * DeltaSector[[#This Row],[Quantity]] * Hazards_APPURT[[#This Row],[qz]] * CaAa_APPURT[[#This Row],[Delta 30]] * IF(Calculations_APPURT[[#This Row],[Shape]]="CFD",1, Ka)</f>
        <v>0</v>
      </c>
      <c r="IC11" s="276">
        <f>IFERROR(1/Calculations_APPURT[[#This Row],[Brackets]],0) * cv_F * DeltaSector[[#This Row],[Quantity]] * Hazards_APPURT[[#This Row],[qz]] * CaAa_APPURT[[#This Row],[Delta 45]] * IF(Calculations_APPURT[[#This Row],[Shape]]="CFD",1, Ka)</f>
        <v>0</v>
      </c>
      <c r="ID11" s="276">
        <f>IFERROR(1/Calculations_APPURT[[#This Row],[Brackets]],0) * cv_F * DeltaSector[[#This Row],[Quantity]] * Hazards_APPURT[[#This Row],[qz]] * CaAa_APPURT[[#This Row],[Delta 60]] * IF(Calculations_APPURT[[#This Row],[Shape]]="CFD",1, Ka)</f>
        <v>0</v>
      </c>
      <c r="IE11" s="276">
        <f>IFERROR(1/Calculations_APPURT[[#This Row],[Brackets]],0) * cv_F * DeltaSector[[#This Row],[Quantity]] * Hazards_APPURT[[#This Row],[qz]] * CaAa_APPURT[[#This Row],[Delta 90]] * IF(Calculations_APPURT[[#This Row],[Shape]]="CFD",1, Ka)</f>
        <v>0</v>
      </c>
      <c r="IF11" s="276">
        <f>IFERROR(1/Calculations_APPURT[[#This Row],[Brackets]],0) * cv_F * DeltaSector[[#This Row],[Quantity]] * Hazards_APPURT[[#This Row],[qz]] * CaAa_APPURT[[#This Row],[Delta 120]] * IF(Calculations_APPURT[[#This Row],[Shape]]="CFD",1, Ka)</f>
        <v>0</v>
      </c>
      <c r="IG11" s="276">
        <f>IFERROR(1/Calculations_APPURT[[#This Row],[Brackets]],0) * cv_F * DeltaSector[[#This Row],[Quantity]] * Hazards_APPURT[[#This Row],[qz]] * CaAa_APPURT[[#This Row],[Delta 135]] * IF(Calculations_APPURT[[#This Row],[Shape]]="CFD",1, Ka)</f>
        <v>0</v>
      </c>
      <c r="IH11" s="276">
        <f>IFERROR(1/Calculations_APPURT[[#This Row],[Brackets]],0) * cv_F * DeltaSector[[#This Row],[Quantity]] * Hazards_APPURT[[#This Row],[qz]] * CaAa_APPURT[[#This Row],[Delta 150]] * IF(Calculations_APPURT[[#This Row],[Shape]]="CFD",1, Ka)</f>
        <v>0</v>
      </c>
      <c r="II11" s="276">
        <f>IFERROR(1/Calculations_APPURT[[#This Row],[Brackets]],0) * cv_F * DeltaSector[[#This Row],[Quantity]] * Hazards_APPURT[[#This Row],[qz]] * CaAa_APPURT[[#This Row],[Delta 180]] * IF(Calculations_APPURT[[#This Row],[Shape]]="CFD",1, Ka)</f>
        <v>0</v>
      </c>
      <c r="IJ11" s="276">
        <f>IFERROR(1/Calculations_APPURT[[#This Row],[Brackets]],0) * cv_F * DeltaSector[[#This Row],[Quantity]] * Hazards_APPURT[[#This Row],[qz]] * CaAa_APPURT[[#This Row],[Delta 210]] * IF(Calculations_APPURT[[#This Row],[Shape]]="CFD",1, Ka)</f>
        <v>0</v>
      </c>
      <c r="IK11" s="276">
        <f>IFERROR(1/Calculations_APPURT[[#This Row],[Brackets]],0) * cv_F * DeltaSector[[#This Row],[Quantity]] * Hazards_APPURT[[#This Row],[qz]] * CaAa_APPURT[[#This Row],[Delta 225]] * IF(Calculations_APPURT[[#This Row],[Shape]]="CFD",1, Ka)</f>
        <v>0</v>
      </c>
      <c r="IL11" s="276">
        <f>IFERROR(1/Calculations_APPURT[[#This Row],[Brackets]],0) * cv_F * DeltaSector[[#This Row],[Quantity]] * Hazards_APPURT[[#This Row],[qz]] * CaAa_APPURT[[#This Row],[Delta 240]] * IF(Calculations_APPURT[[#This Row],[Shape]]="CFD",1, Ka)</f>
        <v>0</v>
      </c>
      <c r="IM11" s="276">
        <f>IFERROR(1/Calculations_APPURT[[#This Row],[Brackets]],0) * cv_F * DeltaSector[[#This Row],[Quantity]] * Hazards_APPURT[[#This Row],[qz]] * CaAa_APPURT[[#This Row],[Delta 270]] * IF(Calculations_APPURT[[#This Row],[Shape]]="CFD",1, Ka)</f>
        <v>0</v>
      </c>
      <c r="IN11" s="276">
        <f>IFERROR(1/Calculations_APPURT[[#This Row],[Brackets]],0) * cv_F * DeltaSector[[#This Row],[Quantity]] * Hazards_APPURT[[#This Row],[qz]] * CaAa_APPURT[[#This Row],[Delta 300]] * IF(Calculations_APPURT[[#This Row],[Shape]]="CFD",1, Ka)</f>
        <v>0</v>
      </c>
      <c r="IO11" s="276">
        <f>IFERROR(1/Calculations_APPURT[[#This Row],[Brackets]],0) * cv_F * DeltaSector[[#This Row],[Quantity]] * Hazards_APPURT[[#This Row],[qz]] * CaAa_APPURT[[#This Row],[Delta 315]] * IF(Calculations_APPURT[[#This Row],[Shape]]="CFD",1, Ka)</f>
        <v>0</v>
      </c>
      <c r="IP11" s="276">
        <f>IFERROR(1/Calculations_APPURT[[#This Row],[Brackets]],0) * cv_F * DeltaSector[[#This Row],[Quantity]] * Hazards_APPURT[[#This Row],[qz]] * CaAa_APPURT[[#This Row],[Delta 330]] * IF(Calculations_APPURT[[#This Row],[Shape]]="CFD",1, Ka)</f>
        <v>0</v>
      </c>
      <c r="IQ11" s="276">
        <f>IFERROR(1/Calculations_APPURT[[#This Row],[Brackets]],0) * cv_F * AlphaSector[[#This Row],[Quantity]] * Hazards_APPURT[[#This Row],[qiz]] * CaAa_APPURT[[#This Row],[Alpha Ice 0]]</f>
        <v>0</v>
      </c>
      <c r="IR11" s="276">
        <f>IFERROR(1/Calculations_APPURT[[#This Row],[Brackets]],0) * cv_F * AlphaSector[[#This Row],[Quantity]] * Hazards_APPURT[[#This Row],[qiz]] * CaAa_APPURT[[#This Row],[Alpha Ice 30]]</f>
        <v>0</v>
      </c>
      <c r="IS11" s="276">
        <f>IFERROR(1/Calculations_APPURT[[#This Row],[Brackets]],0) * cv_F * AlphaSector[[#This Row],[Quantity]] * Hazards_APPURT[[#This Row],[qiz]] * CaAa_APPURT[[#This Row],[Alpha Ice 45]]</f>
        <v>0</v>
      </c>
      <c r="IT11" s="276">
        <f>IFERROR(1/Calculations_APPURT[[#This Row],[Brackets]],0) * cv_F * AlphaSector[[#This Row],[Quantity]] * Hazards_APPURT[[#This Row],[qiz]] * CaAa_APPURT[[#This Row],[Alpha Ice 60]]</f>
        <v>0</v>
      </c>
      <c r="IU11" s="276">
        <f>IFERROR(1/Calculations_APPURT[[#This Row],[Brackets]],0) * cv_F * AlphaSector[[#This Row],[Quantity]] * Hazards_APPURT[[#This Row],[qiz]] * CaAa_APPURT[[#This Row],[Alpha Ice 90]]</f>
        <v>0</v>
      </c>
      <c r="IV11" s="276">
        <f>IFERROR(1/Calculations_APPURT[[#This Row],[Brackets]],0) * cv_F * AlphaSector[[#This Row],[Quantity]] * Hazards_APPURT[[#This Row],[qiz]] * CaAa_APPURT[[#This Row],[Alpha Ice 120]]</f>
        <v>0</v>
      </c>
      <c r="IW11" s="276">
        <f>IFERROR(1/Calculations_APPURT[[#This Row],[Brackets]],0) * cv_F * AlphaSector[[#This Row],[Quantity]] * Hazards_APPURT[[#This Row],[qiz]] * CaAa_APPURT[[#This Row],[Alpha Ice 135]]</f>
        <v>0</v>
      </c>
      <c r="IX11" s="276">
        <f>IFERROR(1/Calculations_APPURT[[#This Row],[Brackets]],0) * cv_F * AlphaSector[[#This Row],[Quantity]] * Hazards_APPURT[[#This Row],[qiz]] * CaAa_APPURT[[#This Row],[Alpha Ice 150]]</f>
        <v>0</v>
      </c>
      <c r="IY11" s="276">
        <f>IFERROR(1/Calculations_APPURT[[#This Row],[Brackets]],0) * cv_F * AlphaSector[[#This Row],[Quantity]] * Hazards_APPURT[[#This Row],[qiz]] * CaAa_APPURT[[#This Row],[Alpha Ice 180]]</f>
        <v>0</v>
      </c>
      <c r="IZ11" s="276">
        <f>IFERROR(1/Calculations_APPURT[[#This Row],[Brackets]],0) * cv_F * AlphaSector[[#This Row],[Quantity]] * Hazards_APPURT[[#This Row],[qiz]] * CaAa_APPURT[[#This Row],[Alpha Ice 210]]</f>
        <v>0</v>
      </c>
      <c r="JA11" s="276">
        <f>IFERROR(1/Calculations_APPURT[[#This Row],[Brackets]],0) * cv_F * AlphaSector[[#This Row],[Quantity]] * Hazards_APPURT[[#This Row],[qiz]] * CaAa_APPURT[[#This Row],[Alpha Ice 225]]</f>
        <v>0</v>
      </c>
      <c r="JB11" s="276">
        <f>IFERROR(1/Calculations_APPURT[[#This Row],[Brackets]],0) * cv_F * AlphaSector[[#This Row],[Quantity]] * Hazards_APPURT[[#This Row],[qiz]] * CaAa_APPURT[[#This Row],[Alpha Ice 240]]</f>
        <v>0</v>
      </c>
      <c r="JC11" s="276">
        <f>IFERROR(1/Calculations_APPURT[[#This Row],[Brackets]],0) * cv_F * AlphaSector[[#This Row],[Quantity]] * Hazards_APPURT[[#This Row],[qiz]] * CaAa_APPURT[[#This Row],[Alpha Ice 270]]</f>
        <v>0</v>
      </c>
      <c r="JD11" s="276">
        <f>IFERROR(1/Calculations_APPURT[[#This Row],[Brackets]],0) * cv_F * AlphaSector[[#This Row],[Quantity]] * Hazards_APPURT[[#This Row],[qiz]] * CaAa_APPURT[[#This Row],[Alpha Ice 300]]</f>
        <v>0</v>
      </c>
      <c r="JE11" s="276">
        <f>IFERROR(1/Calculations_APPURT[[#This Row],[Brackets]],0) * cv_F * AlphaSector[[#This Row],[Quantity]] * Hazards_APPURT[[#This Row],[qiz]] * CaAa_APPURT[[#This Row],[Alpha Ice 315]]</f>
        <v>0</v>
      </c>
      <c r="JF11" s="276">
        <f>IFERROR(1/Calculations_APPURT[[#This Row],[Brackets]],0) * cv_F * AlphaSector[[#This Row],[Quantity]] * Hazards_APPURT[[#This Row],[qiz]] * CaAa_APPURT[[#This Row],[Alpha Ice 330]]</f>
        <v>0</v>
      </c>
      <c r="JG11" s="276">
        <f>IFERROR(1/Calculations_APPURT[[#This Row],[Brackets]],0) * cv_F * BetaSector[[#This Row],[Quantity]] * Hazards_APPURT[[#This Row],[qiz]] * CaAa_APPURT[[#This Row],[Beta Ice 0]]</f>
        <v>0</v>
      </c>
      <c r="JH11" s="276">
        <f>IFERROR(1/Calculations_APPURT[[#This Row],[Brackets]],0) * cv_F * BetaSector[[#This Row],[Quantity]] * Hazards_APPURT[[#This Row],[qiz]] * CaAa_APPURT[[#This Row],[Beta Ice 30]]</f>
        <v>0</v>
      </c>
      <c r="JI11" s="276">
        <f>IFERROR(1/Calculations_APPURT[[#This Row],[Brackets]],0) * cv_F * BetaSector[[#This Row],[Quantity]] * Hazards_APPURT[[#This Row],[qiz]] * CaAa_APPURT[[#This Row],[Beta Ice 45]]</f>
        <v>0</v>
      </c>
      <c r="JJ11" s="276">
        <f>IFERROR(1/Calculations_APPURT[[#This Row],[Brackets]],0) * cv_F * BetaSector[[#This Row],[Quantity]] * Hazards_APPURT[[#This Row],[qiz]] * CaAa_APPURT[[#This Row],[Beta Ice 60]]</f>
        <v>0</v>
      </c>
      <c r="JK11" s="276">
        <f>IFERROR(1/Calculations_APPURT[[#This Row],[Brackets]],0) * cv_F * BetaSector[[#This Row],[Quantity]] * Hazards_APPURT[[#This Row],[qiz]] * CaAa_APPURT[[#This Row],[Beta Ice 90]]</f>
        <v>0</v>
      </c>
      <c r="JL11" s="276">
        <f>IFERROR(1/Calculations_APPURT[[#This Row],[Brackets]],0) * cv_F * BetaSector[[#This Row],[Quantity]] * Hazards_APPURT[[#This Row],[qiz]] * CaAa_APPURT[[#This Row],[Beta Ice 120]]</f>
        <v>0</v>
      </c>
      <c r="JM11" s="276">
        <f>IFERROR(1/Calculations_APPURT[[#This Row],[Brackets]],0) * cv_F * BetaSector[[#This Row],[Quantity]] * Hazards_APPURT[[#This Row],[qiz]] * CaAa_APPURT[[#This Row],[Beta Ice 135]]</f>
        <v>0</v>
      </c>
      <c r="JN11" s="276">
        <f>IFERROR(1/Calculations_APPURT[[#This Row],[Brackets]],0) * cv_F * BetaSector[[#This Row],[Quantity]] * Hazards_APPURT[[#This Row],[qiz]] * CaAa_APPURT[[#This Row],[Beta Ice 150]]</f>
        <v>0</v>
      </c>
      <c r="JO11" s="276">
        <f>IFERROR(1/Calculations_APPURT[[#This Row],[Brackets]],0) * cv_F * BetaSector[[#This Row],[Quantity]] * Hazards_APPURT[[#This Row],[qiz]] * CaAa_APPURT[[#This Row],[Beta Ice 180]]</f>
        <v>0</v>
      </c>
      <c r="JP11" s="276">
        <f>IFERROR(1/Calculations_APPURT[[#This Row],[Brackets]],0) * cv_F * BetaSector[[#This Row],[Quantity]] * Hazards_APPURT[[#This Row],[qiz]] * CaAa_APPURT[[#This Row],[Beta Ice 210]]</f>
        <v>0</v>
      </c>
      <c r="JQ11" s="276">
        <f>IFERROR(1/Calculations_APPURT[[#This Row],[Brackets]],0) * cv_F * BetaSector[[#This Row],[Quantity]] * Hazards_APPURT[[#This Row],[qiz]] * CaAa_APPURT[[#This Row],[Beta Ice 225]]</f>
        <v>0</v>
      </c>
      <c r="JR11" s="276">
        <f>IFERROR(1/Calculations_APPURT[[#This Row],[Brackets]],0) * cv_F * BetaSector[[#This Row],[Quantity]] * Hazards_APPURT[[#This Row],[qiz]] * CaAa_APPURT[[#This Row],[Beta Ice 240]]</f>
        <v>0</v>
      </c>
      <c r="JS11" s="276">
        <f>IFERROR(1/Calculations_APPURT[[#This Row],[Brackets]],0) * cv_F * BetaSector[[#This Row],[Quantity]] * Hazards_APPURT[[#This Row],[qiz]] * CaAa_APPURT[[#This Row],[Beta Ice 270]]</f>
        <v>0</v>
      </c>
      <c r="JT11" s="276">
        <f>IFERROR(1/Calculations_APPURT[[#This Row],[Brackets]],0) * cv_F * BetaSector[[#This Row],[Quantity]] * Hazards_APPURT[[#This Row],[qiz]] * CaAa_APPURT[[#This Row],[Beta Ice 300]]</f>
        <v>0</v>
      </c>
      <c r="JU11" s="276">
        <f>IFERROR(1/Calculations_APPURT[[#This Row],[Brackets]],0) * cv_F * BetaSector[[#This Row],[Quantity]] * Hazards_APPURT[[#This Row],[qiz]] * CaAa_APPURT[[#This Row],[Beta Ice 315]]</f>
        <v>0</v>
      </c>
      <c r="JV11" s="276">
        <f>IFERROR(1/Calculations_APPURT[[#This Row],[Brackets]],0) * cv_F * BetaSector[[#This Row],[Quantity]] * Hazards_APPURT[[#This Row],[qiz]] * CaAa_APPURT[[#This Row],[Beta Ice 330]]</f>
        <v>0</v>
      </c>
      <c r="JW11" s="276">
        <f>IFERROR(1/Calculations_APPURT[[#This Row],[Brackets]],0) * cv_F * GammaSector[[#This Row],[Quantity]] * Hazards_APPURT[[#This Row],[qiz]] * CaAa_APPURT[[#This Row],[Gamma Ice 0]]</f>
        <v>0</v>
      </c>
      <c r="JX11" s="276">
        <f>IFERROR(1/Calculations_APPURT[[#This Row],[Brackets]],0) * cv_F * GammaSector[[#This Row],[Quantity]] * Hazards_APPURT[[#This Row],[qiz]] * CaAa_APPURT[[#This Row],[Gamma Ice 30]]</f>
        <v>0</v>
      </c>
      <c r="JY11" s="276">
        <f>IFERROR(1/Calculations_APPURT[[#This Row],[Brackets]],0) * cv_F * GammaSector[[#This Row],[Quantity]] * Hazards_APPURT[[#This Row],[qiz]] * CaAa_APPURT[[#This Row],[Gamma Ice 45]]</f>
        <v>0</v>
      </c>
      <c r="JZ11" s="276">
        <f>IFERROR(1/Calculations_APPURT[[#This Row],[Brackets]],0) * cv_F * GammaSector[[#This Row],[Quantity]] * Hazards_APPURT[[#This Row],[qiz]] * CaAa_APPURT[[#This Row],[Gamma Ice 60]]</f>
        <v>0</v>
      </c>
      <c r="KA11" s="276">
        <f>IFERROR(1/Calculations_APPURT[[#This Row],[Brackets]],0) * cv_F * GammaSector[[#This Row],[Quantity]] * Hazards_APPURT[[#This Row],[qiz]] * CaAa_APPURT[[#This Row],[Gamma Ice 90]]</f>
        <v>0</v>
      </c>
      <c r="KB11" s="276">
        <f>IFERROR(1/Calculations_APPURT[[#This Row],[Brackets]],0) * cv_F * GammaSector[[#This Row],[Quantity]] * Hazards_APPURT[[#This Row],[qiz]] * CaAa_APPURT[[#This Row],[Gamma Ice 120]]</f>
        <v>0</v>
      </c>
      <c r="KC11" s="276">
        <f>IFERROR(1/Calculations_APPURT[[#This Row],[Brackets]],0) * cv_F * GammaSector[[#This Row],[Quantity]] * Hazards_APPURT[[#This Row],[qiz]] * CaAa_APPURT[[#This Row],[Gamma Ice 135]]</f>
        <v>0</v>
      </c>
      <c r="KD11" s="276">
        <f>IFERROR(1/Calculations_APPURT[[#This Row],[Brackets]],0) * cv_F * GammaSector[[#This Row],[Quantity]] * Hazards_APPURT[[#This Row],[qiz]] * CaAa_APPURT[[#This Row],[Gamma Ice 150]]</f>
        <v>0</v>
      </c>
      <c r="KE11" s="276">
        <f>IFERROR(1/Calculations_APPURT[[#This Row],[Brackets]],0) * cv_F * GammaSector[[#This Row],[Quantity]] * Hazards_APPURT[[#This Row],[qiz]] * CaAa_APPURT[[#This Row],[Gamma Ice 180]]</f>
        <v>0</v>
      </c>
      <c r="KF11" s="276">
        <f>IFERROR(1/Calculations_APPURT[[#This Row],[Brackets]],0) * cv_F * GammaSector[[#This Row],[Quantity]] * Hazards_APPURT[[#This Row],[qiz]] * CaAa_APPURT[[#This Row],[Gamma Ice 210]]</f>
        <v>0</v>
      </c>
      <c r="KG11" s="276">
        <f>IFERROR(1/Calculations_APPURT[[#This Row],[Brackets]],0) * cv_F * GammaSector[[#This Row],[Quantity]] * Hazards_APPURT[[#This Row],[qiz]] * CaAa_APPURT[[#This Row],[Gamma Ice 225]]</f>
        <v>0</v>
      </c>
      <c r="KH11" s="276">
        <f>IFERROR(1/Calculations_APPURT[[#This Row],[Brackets]],0) * cv_F * GammaSector[[#This Row],[Quantity]] * Hazards_APPURT[[#This Row],[qiz]] * CaAa_APPURT[[#This Row],[Gamma Ice 240]]</f>
        <v>0</v>
      </c>
      <c r="KI11" s="276">
        <f>IFERROR(1/Calculations_APPURT[[#This Row],[Brackets]],0) * cv_F * GammaSector[[#This Row],[Quantity]] * Hazards_APPURT[[#This Row],[qiz]] * CaAa_APPURT[[#This Row],[Gamma Ice 270]]</f>
        <v>0</v>
      </c>
      <c r="KJ11" s="276">
        <f>IFERROR(1/Calculations_APPURT[[#This Row],[Brackets]],0) * cv_F * GammaSector[[#This Row],[Quantity]] * Hazards_APPURT[[#This Row],[qiz]] * CaAa_APPURT[[#This Row],[Gamma Ice 300]]</f>
        <v>0</v>
      </c>
      <c r="KK11" s="276">
        <f>IFERROR(1/Calculations_APPURT[[#This Row],[Brackets]],0) * cv_F * GammaSector[[#This Row],[Quantity]] * Hazards_APPURT[[#This Row],[qiz]] * CaAa_APPURT[[#This Row],[Gamma Ice 315]]</f>
        <v>0</v>
      </c>
      <c r="KL11" s="276">
        <f>IFERROR(1/Calculations_APPURT[[#This Row],[Brackets]],0) * cv_F * GammaSector[[#This Row],[Quantity]] * Hazards_APPURT[[#This Row],[qiz]] * CaAa_APPURT[[#This Row],[Gamma Ice 330]]</f>
        <v>0</v>
      </c>
      <c r="KM11" s="276">
        <f>IFERROR(1/Calculations_APPURT[[#This Row],[Brackets]],0) * cv_F * DeltaSector[[#This Row],[Quantity]] * Hazards_APPURT[[#This Row],[qiz]] * CaAa_APPURT[[#This Row],[Delta Ice 0]]</f>
        <v>0</v>
      </c>
      <c r="KN11" s="276">
        <f>IFERROR(1/Calculations_APPURT[[#This Row],[Brackets]],0) * cv_F * DeltaSector[[#This Row],[Quantity]] * Hazards_APPURT[[#This Row],[qiz]] * CaAa_APPURT[[#This Row],[Delta Ice 30]]</f>
        <v>0</v>
      </c>
      <c r="KO11" s="276">
        <f>IFERROR(1/Calculations_APPURT[[#This Row],[Brackets]],0) * cv_F * DeltaSector[[#This Row],[Quantity]] * Hazards_APPURT[[#This Row],[qiz]] * CaAa_APPURT[[#This Row],[Delta Ice 45]]</f>
        <v>0</v>
      </c>
      <c r="KP11" s="276">
        <f>IFERROR(1/Calculations_APPURT[[#This Row],[Brackets]],0) * cv_F * DeltaSector[[#This Row],[Quantity]] * Hazards_APPURT[[#This Row],[qiz]] * CaAa_APPURT[[#This Row],[Delta Ice 60]]</f>
        <v>0</v>
      </c>
      <c r="KQ11" s="276">
        <f>IFERROR(1/Calculations_APPURT[[#This Row],[Brackets]],0) * cv_F * DeltaSector[[#This Row],[Quantity]] * Hazards_APPURT[[#This Row],[qiz]] * CaAa_APPURT[[#This Row],[Delta Ice 90]]</f>
        <v>0</v>
      </c>
      <c r="KR11" s="276">
        <f>IFERROR(1/Calculations_APPURT[[#This Row],[Brackets]],0) * cv_F * DeltaSector[[#This Row],[Quantity]] * Hazards_APPURT[[#This Row],[qiz]] * CaAa_APPURT[[#This Row],[Delta Ice 120]]</f>
        <v>0</v>
      </c>
      <c r="KS11" s="276">
        <f>IFERROR(1/Calculations_APPURT[[#This Row],[Brackets]],0) * cv_F * DeltaSector[[#This Row],[Quantity]] * Hazards_APPURT[[#This Row],[qiz]] * CaAa_APPURT[[#This Row],[Delta Ice 135]]</f>
        <v>0</v>
      </c>
      <c r="KT11" s="276">
        <f>IFERROR(1/Calculations_APPURT[[#This Row],[Brackets]],0) * cv_F * DeltaSector[[#This Row],[Quantity]] * Hazards_APPURT[[#This Row],[qiz]] * CaAa_APPURT[[#This Row],[Delta Ice 150]]</f>
        <v>0</v>
      </c>
      <c r="KU11" s="276">
        <f>IFERROR(1/Calculations_APPURT[[#This Row],[Brackets]],0) * cv_F * DeltaSector[[#This Row],[Quantity]] * Hazards_APPURT[[#This Row],[qiz]] * CaAa_APPURT[[#This Row],[Delta Ice 180]]</f>
        <v>0</v>
      </c>
      <c r="KV11" s="276">
        <f>IFERROR(1/Calculations_APPURT[[#This Row],[Brackets]],0) * cv_F * DeltaSector[[#This Row],[Quantity]] * Hazards_APPURT[[#This Row],[qiz]] * CaAa_APPURT[[#This Row],[Delta Ice 210]]</f>
        <v>0</v>
      </c>
      <c r="KW11" s="276">
        <f>IFERROR(1/Calculations_APPURT[[#This Row],[Brackets]],0) * cv_F * DeltaSector[[#This Row],[Quantity]] * Hazards_APPURT[[#This Row],[qiz]] * CaAa_APPURT[[#This Row],[Delta Ice 225]]</f>
        <v>0</v>
      </c>
      <c r="KX11" s="276">
        <f>IFERROR(1/Calculations_APPURT[[#This Row],[Brackets]],0) * cv_F * DeltaSector[[#This Row],[Quantity]] * Hazards_APPURT[[#This Row],[qiz]] * CaAa_APPURT[[#This Row],[Delta Ice 240]]</f>
        <v>0</v>
      </c>
      <c r="KY11" s="276">
        <f>IFERROR(1/Calculations_APPURT[[#This Row],[Brackets]],0) * cv_F * DeltaSector[[#This Row],[Quantity]] * Hazards_APPURT[[#This Row],[qiz]] * CaAa_APPURT[[#This Row],[Delta Ice 270]]</f>
        <v>0</v>
      </c>
      <c r="KZ11" s="276">
        <f>IFERROR(1/Calculations_APPURT[[#This Row],[Brackets]],0) * cv_F * DeltaSector[[#This Row],[Quantity]] * Hazards_APPURT[[#This Row],[qiz]] * CaAa_APPURT[[#This Row],[Delta Ice 300]]</f>
        <v>0</v>
      </c>
      <c r="LA11" s="276">
        <f>IFERROR(1/Calculations_APPURT[[#This Row],[Brackets]],0) * cv_F * DeltaSector[[#This Row],[Quantity]] * Hazards_APPURT[[#This Row],[qiz]] * CaAa_APPURT[[#This Row],[Delta Ice 315]]</f>
        <v>0</v>
      </c>
      <c r="LB11" s="276">
        <f>IFERROR(1/Calculations_APPURT[[#This Row],[Brackets]],0) * cv_F * DeltaSector[[#This Row],[Quantity]] * Hazards_APPURT[[#This Row],[qiz]] * CaAa_APPURT[[#This Row],[Delta Ice 330]]</f>
        <v>0</v>
      </c>
      <c r="LC11" s="276">
        <f>IFERROR(1/Calculations_APPURT[[#This Row],[Brackets]],0) * cv_M/cv_F * Forces_APPURT[[#This Row],[Alpha Fa 0]] * Calculations_APPURT[[#This Row],[Horizontal Offset]]/12</f>
        <v>0</v>
      </c>
      <c r="LD11" s="276">
        <f>IFERROR(1/Calculations_APPURT[[#This Row],[Brackets]],0) * cv_M/cv_F * Forces_APPURT[[#This Row],[Alpha Fa 30]] * Calculations_APPURT[[#This Row],[Horizontal Offset]]/12</f>
        <v>0</v>
      </c>
      <c r="LE11" s="276">
        <f>IFERROR(1/Calculations_APPURT[[#This Row],[Brackets]],0) * cv_M/cv_F * Forces_APPURT[[#This Row],[Alpha Fa 45]] * Calculations_APPURT[[#This Row],[Horizontal Offset]]/12</f>
        <v>0</v>
      </c>
      <c r="LF11" s="276">
        <f>IFERROR(1/Calculations_APPURT[[#This Row],[Brackets]],0) * cv_M/cv_F * Forces_APPURT[[#This Row],[Alpha Fa 60]] * Calculations_APPURT[[#This Row],[Horizontal Offset]]/12</f>
        <v>0</v>
      </c>
      <c r="LG11" s="276">
        <f>IFERROR(1/Calculations_APPURT[[#This Row],[Brackets]],0) * cv_M/cv_F * Forces_APPURT[[#This Row],[Alpha Fa 90]] * Calculations_APPURT[[#This Row],[Horizontal Offset]]/12</f>
        <v>0</v>
      </c>
      <c r="LH11" s="276">
        <f>IFERROR(1/Calculations_APPURT[[#This Row],[Brackets]],0) * cv_M/cv_F * Forces_APPURT[[#This Row],[Alpha Fa 120]] * Calculations_APPURT[[#This Row],[Horizontal Offset]]/12</f>
        <v>0</v>
      </c>
      <c r="LI11" s="276">
        <f>IFERROR(1/Calculations_APPURT[[#This Row],[Brackets]],0) * cv_M/cv_F * Forces_APPURT[[#This Row],[Alpha Fa 135]] * Calculations_APPURT[[#This Row],[Horizontal Offset]]/12</f>
        <v>0</v>
      </c>
      <c r="LJ11" s="276">
        <f>IFERROR(1/Calculations_APPURT[[#This Row],[Brackets]],0) * cv_M/cv_F * Forces_APPURT[[#This Row],[Alpha Fa 150]] * Calculations_APPURT[[#This Row],[Horizontal Offset]]/12</f>
        <v>0</v>
      </c>
      <c r="LK11" s="276">
        <f>IFERROR(1/Calculations_APPURT[[#This Row],[Brackets]],0) * cv_M/cv_F * Forces_APPURT[[#This Row],[Alpha Fa 180]] * Calculations_APPURT[[#This Row],[Horizontal Offset]]/12</f>
        <v>0</v>
      </c>
      <c r="LL11" s="276">
        <f>IFERROR(1/Calculations_APPURT[[#This Row],[Brackets]],0) * cv_M/cv_F * Forces_APPURT[[#This Row],[Alpha Fa 210]] * Calculations_APPURT[[#This Row],[Horizontal Offset]]/12</f>
        <v>0</v>
      </c>
      <c r="LM11" s="276">
        <f>IFERROR(1/Calculations_APPURT[[#This Row],[Brackets]],0) * cv_M/cv_F * Forces_APPURT[[#This Row],[Alpha Fa 225]] * Calculations_APPURT[[#This Row],[Horizontal Offset]]/12</f>
        <v>0</v>
      </c>
      <c r="LN11" s="276">
        <f>IFERROR(1/Calculations_APPURT[[#This Row],[Brackets]],0) * cv_M/cv_F * Forces_APPURT[[#This Row],[Alpha Fa 240]] * Calculations_APPURT[[#This Row],[Horizontal Offset]]/12</f>
        <v>0</v>
      </c>
      <c r="LO11" s="276">
        <f>IFERROR(1/Calculations_APPURT[[#This Row],[Brackets]],0) * cv_M/cv_F * Forces_APPURT[[#This Row],[Alpha Fa 270]] * Calculations_APPURT[[#This Row],[Horizontal Offset]]/12</f>
        <v>0</v>
      </c>
      <c r="LP11" s="276">
        <f>IFERROR(1/Calculations_APPURT[[#This Row],[Brackets]],0) * cv_M/cv_F * Forces_APPURT[[#This Row],[Alpha Fa 300]] * Calculations_APPURT[[#This Row],[Horizontal Offset]]/12</f>
        <v>0</v>
      </c>
      <c r="LQ11" s="276">
        <f>IFERROR(1/Calculations_APPURT[[#This Row],[Brackets]],0) * cv_M/cv_F * Forces_APPURT[[#This Row],[Alpha Fa 315]] * Calculations_APPURT[[#This Row],[Horizontal Offset]]/12</f>
        <v>0</v>
      </c>
      <c r="LR11" s="276">
        <f>IFERROR(1/Calculations_APPURT[[#This Row],[Brackets]],0) * cv_M/cv_F * Forces_APPURT[[#This Row],[Alpha Fa 330]] * Calculations_APPURT[[#This Row],[Horizontal Offset]]/12</f>
        <v>0</v>
      </c>
      <c r="LS11" s="276">
        <f>IFERROR(1/Calculations_APPURT[[#This Row],[Brackets]],0) * cv_M/cv_F * Forces_APPURT[[#This Row],[Beta Fa 0]] * Calculations_APPURT[[#This Row],[Horizontal Offset]]/12</f>
        <v>0</v>
      </c>
      <c r="LT11" s="276">
        <f>IFERROR(1/Calculations_APPURT[[#This Row],[Brackets]],0) * cv_M/cv_F * Forces_APPURT[[#This Row],[Beta Fa 30]] * Calculations_APPURT[[#This Row],[Horizontal Offset]]/12</f>
        <v>0</v>
      </c>
      <c r="LU11" s="276">
        <f>IFERROR(1/Calculations_APPURT[[#This Row],[Brackets]],0) * cv_M/cv_F * Forces_APPURT[[#This Row],[Beta Fa 45]] * Calculations_APPURT[[#This Row],[Horizontal Offset]]/12</f>
        <v>0</v>
      </c>
      <c r="LV11" s="276">
        <f>IFERROR(1/Calculations_APPURT[[#This Row],[Brackets]],0) * cv_M/cv_F * Forces_APPURT[[#This Row],[Beta Fa 60]] * Calculations_APPURT[[#This Row],[Horizontal Offset]]/12</f>
        <v>0</v>
      </c>
      <c r="LW11" s="276">
        <f>IFERROR(1/Calculations_APPURT[[#This Row],[Brackets]],0) * cv_M/cv_F * Forces_APPURT[[#This Row],[Beta Fa 90]] * Calculations_APPURT[[#This Row],[Horizontal Offset]]/12</f>
        <v>0</v>
      </c>
      <c r="LX11" s="276">
        <f>IFERROR(1/Calculations_APPURT[[#This Row],[Brackets]],0) * cv_M/cv_F * Forces_APPURT[[#This Row],[Beta Fa 120]] * Calculations_APPURT[[#This Row],[Horizontal Offset]]/12</f>
        <v>0</v>
      </c>
      <c r="LY11" s="276">
        <f>IFERROR(1/Calculations_APPURT[[#This Row],[Brackets]],0) * cv_M/cv_F * Forces_APPURT[[#This Row],[Beta Fa 135]] * Calculations_APPURT[[#This Row],[Horizontal Offset]]/12</f>
        <v>0</v>
      </c>
      <c r="LZ11" s="276">
        <f>IFERROR(1/Calculations_APPURT[[#This Row],[Brackets]],0) * cv_M/cv_F * Forces_APPURT[[#This Row],[Beta Fa 150]] * Calculations_APPURT[[#This Row],[Horizontal Offset]]/12</f>
        <v>0</v>
      </c>
      <c r="MA11" s="276">
        <f>IFERROR(1/Calculations_APPURT[[#This Row],[Brackets]],0) * cv_M/cv_F * Forces_APPURT[[#This Row],[Beta Fa 180]] * Calculations_APPURT[[#This Row],[Horizontal Offset]]/12</f>
        <v>0</v>
      </c>
      <c r="MB11" s="276">
        <f>IFERROR(1/Calculations_APPURT[[#This Row],[Brackets]],0) * cv_M/cv_F * Forces_APPURT[[#This Row],[Beta Fa 210]] * Calculations_APPURT[[#This Row],[Horizontal Offset]]/12</f>
        <v>0</v>
      </c>
      <c r="MC11" s="276">
        <f>IFERROR(1/Calculations_APPURT[[#This Row],[Brackets]],0) * cv_M/cv_F * Forces_APPURT[[#This Row],[Beta Fa 225]] * Calculations_APPURT[[#This Row],[Horizontal Offset]]/12</f>
        <v>0</v>
      </c>
      <c r="MD11" s="276">
        <f>IFERROR(1/Calculations_APPURT[[#This Row],[Brackets]],0) * cv_M/cv_F * Forces_APPURT[[#This Row],[Beta Fa 240]] * Calculations_APPURT[[#This Row],[Horizontal Offset]]/12</f>
        <v>0</v>
      </c>
      <c r="ME11" s="276">
        <f>IFERROR(1/Calculations_APPURT[[#This Row],[Brackets]],0) * cv_M/cv_F * Forces_APPURT[[#This Row],[Beta Fa 270]] * Calculations_APPURT[[#This Row],[Horizontal Offset]]/12</f>
        <v>0</v>
      </c>
      <c r="MF11" s="276">
        <f>IFERROR(1/Calculations_APPURT[[#This Row],[Brackets]],0) * cv_M/cv_F * Forces_APPURT[[#This Row],[Beta Fa 300]] * Calculations_APPURT[[#This Row],[Horizontal Offset]]/12</f>
        <v>0</v>
      </c>
      <c r="MG11" s="276">
        <f>IFERROR(1/Calculations_APPURT[[#This Row],[Brackets]],0) * cv_M/cv_F * Forces_APPURT[[#This Row],[Beta Fa 315]] * Calculations_APPURT[[#This Row],[Horizontal Offset]]/12</f>
        <v>0</v>
      </c>
      <c r="MH11" s="276">
        <f>IFERROR(1/Calculations_APPURT[[#This Row],[Brackets]],0) * cv_M/cv_F * Forces_APPURT[[#This Row],[Beta Fa 330]] * Calculations_APPURT[[#This Row],[Horizontal Offset]]/12</f>
        <v>0</v>
      </c>
      <c r="MI11" s="276">
        <f>IFERROR(1/Calculations_APPURT[[#This Row],[Brackets]],0) * cv_M/cv_F * Forces_APPURT[[#This Row],[Gamma Fa 0]] * Calculations_APPURT[[#This Row],[Horizontal Offset]]/12</f>
        <v>0</v>
      </c>
      <c r="MJ11" s="276">
        <f>IFERROR(1/Calculations_APPURT[[#This Row],[Brackets]],0) * cv_M/cv_F * Forces_APPURT[[#This Row],[Gamma Fa 30]] * Calculations_APPURT[[#This Row],[Horizontal Offset]]/12</f>
        <v>0</v>
      </c>
      <c r="MK11" s="276">
        <f>IFERROR(1/Calculations_APPURT[[#This Row],[Brackets]],0) * cv_M/cv_F * Forces_APPURT[[#This Row],[Gamma Fa 45]] * Calculations_APPURT[[#This Row],[Horizontal Offset]]/12</f>
        <v>0</v>
      </c>
      <c r="ML11" s="276">
        <f>IFERROR(1/Calculations_APPURT[[#This Row],[Brackets]],0) * cv_M/cv_F * Forces_APPURT[[#This Row],[Gamma Fa 60]] * Calculations_APPURT[[#This Row],[Horizontal Offset]]/12</f>
        <v>0</v>
      </c>
      <c r="MM11" s="276">
        <f>IFERROR(1/Calculations_APPURT[[#This Row],[Brackets]],0) * cv_M/cv_F * Forces_APPURT[[#This Row],[Gamma Fa 90]] * Calculations_APPURT[[#This Row],[Horizontal Offset]]/12</f>
        <v>0</v>
      </c>
      <c r="MN11" s="276">
        <f>IFERROR(1/Calculations_APPURT[[#This Row],[Brackets]],0) * cv_M/cv_F * Forces_APPURT[[#This Row],[Gamma Fa 120]] * Calculations_APPURT[[#This Row],[Horizontal Offset]]/12</f>
        <v>0</v>
      </c>
      <c r="MO11" s="276">
        <f>IFERROR(1/Calculations_APPURT[[#This Row],[Brackets]],0) * cv_M/cv_F * Forces_APPURT[[#This Row],[Gamma Fa 135]] * Calculations_APPURT[[#This Row],[Horizontal Offset]]/12</f>
        <v>0</v>
      </c>
      <c r="MP11" s="276">
        <f>IFERROR(1/Calculations_APPURT[[#This Row],[Brackets]],0) * cv_M/cv_F * Forces_APPURT[[#This Row],[Gamma Fa 150]] * Calculations_APPURT[[#This Row],[Horizontal Offset]]/12</f>
        <v>0</v>
      </c>
      <c r="MQ11" s="276">
        <f>IFERROR(1/Calculations_APPURT[[#This Row],[Brackets]],0) * cv_M/cv_F * Forces_APPURT[[#This Row],[Gamma Fa 180]] * Calculations_APPURT[[#This Row],[Horizontal Offset]]/12</f>
        <v>0</v>
      </c>
      <c r="MR11" s="276">
        <f>IFERROR(1/Calculations_APPURT[[#This Row],[Brackets]],0) * cv_M/cv_F * Forces_APPURT[[#This Row],[Gamma Fa 210]] * Calculations_APPURT[[#This Row],[Horizontal Offset]]/12</f>
        <v>0</v>
      </c>
      <c r="MS11" s="276">
        <f>IFERROR(1/Calculations_APPURT[[#This Row],[Brackets]],0) * cv_M/cv_F * Forces_APPURT[[#This Row],[Gamma Fa 225]] * Calculations_APPURT[[#This Row],[Horizontal Offset]]/12</f>
        <v>0</v>
      </c>
      <c r="MT11" s="276">
        <f>IFERROR(1/Calculations_APPURT[[#This Row],[Brackets]],0) * cv_M/cv_F * Forces_APPURT[[#This Row],[Gamma Fa 240]] * Calculations_APPURT[[#This Row],[Horizontal Offset]]/12</f>
        <v>0</v>
      </c>
      <c r="MU11" s="276">
        <f>IFERROR(1/Calculations_APPURT[[#This Row],[Brackets]],0) * cv_M/cv_F * Forces_APPURT[[#This Row],[Gamma Fa 270]] * Calculations_APPURT[[#This Row],[Horizontal Offset]]/12</f>
        <v>0</v>
      </c>
      <c r="MV11" s="276">
        <f>IFERROR(1/Calculations_APPURT[[#This Row],[Brackets]],0) * cv_M/cv_F * Forces_APPURT[[#This Row],[Gamma Fa 300]] * Calculations_APPURT[[#This Row],[Horizontal Offset]]/12</f>
        <v>0</v>
      </c>
      <c r="MW11" s="276">
        <f>IFERROR(1/Calculations_APPURT[[#This Row],[Brackets]],0) * cv_M/cv_F * Forces_APPURT[[#This Row],[Gamma Fa 315]] * Calculations_APPURT[[#This Row],[Horizontal Offset]]/12</f>
        <v>0</v>
      </c>
      <c r="MX11" s="276">
        <f>IFERROR(1/Calculations_APPURT[[#This Row],[Brackets]],0) * cv_M/cv_F * Forces_APPURT[[#This Row],[Gamma Fa 330]] * Calculations_APPURT[[#This Row],[Horizontal Offset]]/12</f>
        <v>0</v>
      </c>
      <c r="MY11" s="276">
        <f>IFERROR(1/Calculations_APPURT[[#This Row],[Brackets]],0) * cv_M/cv_F * Forces_APPURT[[#This Row],[Delta Fa 0]] * Calculations_APPURT[[#This Row],[Horizontal Offset]]/12</f>
        <v>0</v>
      </c>
      <c r="MZ11" s="276">
        <f>IFERROR(1/Calculations_APPURT[[#This Row],[Brackets]],0) * cv_M/cv_F * Forces_APPURT[[#This Row],[Delta Fa 30]] * Calculations_APPURT[[#This Row],[Horizontal Offset]]/12</f>
        <v>0</v>
      </c>
      <c r="NA11" s="276">
        <f>IFERROR(1/Calculations_APPURT[[#This Row],[Brackets]],0) * cv_M/cv_F * Forces_APPURT[[#This Row],[Delta Fa 45]] * Calculations_APPURT[[#This Row],[Horizontal Offset]]/12</f>
        <v>0</v>
      </c>
      <c r="NB11" s="276">
        <f>IFERROR(1/Calculations_APPURT[[#This Row],[Brackets]],0) * cv_M/cv_F * Forces_APPURT[[#This Row],[Delta Fa 60]] * Calculations_APPURT[[#This Row],[Horizontal Offset]]/12</f>
        <v>0</v>
      </c>
      <c r="NC11" s="276">
        <f>IFERROR(1/Calculations_APPURT[[#This Row],[Brackets]],0) * cv_M/cv_F * Forces_APPURT[[#This Row],[Delta Fa 90]] * Calculations_APPURT[[#This Row],[Horizontal Offset]]/12</f>
        <v>0</v>
      </c>
      <c r="ND11" s="276">
        <f>IFERROR(1/Calculations_APPURT[[#This Row],[Brackets]],0) * cv_M/cv_F * Forces_APPURT[[#This Row],[Delta Fa 120]] * Calculations_APPURT[[#This Row],[Horizontal Offset]]/12</f>
        <v>0</v>
      </c>
      <c r="NE11" s="276">
        <f>IFERROR(1/Calculations_APPURT[[#This Row],[Brackets]],0) * cv_M/cv_F * Forces_APPURT[[#This Row],[Delta Fa 135]] * Calculations_APPURT[[#This Row],[Horizontal Offset]]/12</f>
        <v>0</v>
      </c>
      <c r="NF11" s="276">
        <f>IFERROR(1/Calculations_APPURT[[#This Row],[Brackets]],0) * cv_M/cv_F * Forces_APPURT[[#This Row],[Delta Fa 150]] * Calculations_APPURT[[#This Row],[Horizontal Offset]]/12</f>
        <v>0</v>
      </c>
      <c r="NG11" s="276">
        <f>IFERROR(1/Calculations_APPURT[[#This Row],[Brackets]],0) * cv_M/cv_F * Forces_APPURT[[#This Row],[Delta Fa 180]] * Calculations_APPURT[[#This Row],[Horizontal Offset]]/12</f>
        <v>0</v>
      </c>
      <c r="NH11" s="276">
        <f>IFERROR(1/Calculations_APPURT[[#This Row],[Brackets]],0) * cv_M/cv_F * Forces_APPURT[[#This Row],[Delta Fa 210]] * Calculations_APPURT[[#This Row],[Horizontal Offset]]/12</f>
        <v>0</v>
      </c>
      <c r="NI11" s="276">
        <f>IFERROR(1/Calculations_APPURT[[#This Row],[Brackets]],0) * cv_M/cv_F * Forces_APPURT[[#This Row],[Delta Fa 225]] * Calculations_APPURT[[#This Row],[Horizontal Offset]]/12</f>
        <v>0</v>
      </c>
      <c r="NJ11" s="276">
        <f>IFERROR(1/Calculations_APPURT[[#This Row],[Brackets]],0) * cv_M/cv_F * Forces_APPURT[[#This Row],[Delta Fa 240]] * Calculations_APPURT[[#This Row],[Horizontal Offset]]/12</f>
        <v>0</v>
      </c>
      <c r="NK11" s="276">
        <f>IFERROR(1/Calculations_APPURT[[#This Row],[Brackets]],0) * cv_M/cv_F * Forces_APPURT[[#This Row],[Delta Fa 270]] * Calculations_APPURT[[#This Row],[Horizontal Offset]]/12</f>
        <v>0</v>
      </c>
      <c r="NL11" s="276">
        <f>IFERROR(1/Calculations_APPURT[[#This Row],[Brackets]],0) * cv_M/cv_F * Forces_APPURT[[#This Row],[Delta Fa 300]] * Calculations_APPURT[[#This Row],[Horizontal Offset]]/12</f>
        <v>0</v>
      </c>
      <c r="NM11" s="276">
        <f>IFERROR(1/Calculations_APPURT[[#This Row],[Brackets]],0) * cv_M/cv_F * Forces_APPURT[[#This Row],[Delta Fa 315]] * Calculations_APPURT[[#This Row],[Horizontal Offset]]/12</f>
        <v>0</v>
      </c>
      <c r="NN11" s="276">
        <f>IFERROR(1/Calculations_APPURT[[#This Row],[Brackets]],0) * cv_M/cv_F * Forces_APPURT[[#This Row],[Delta Fa 330]] * Calculations_APPURT[[#This Row],[Horizontal Offset]]/12</f>
        <v>0</v>
      </c>
      <c r="NO11" s="276">
        <f>IFERROR(1/Calculations_APPURT[[#This Row],[Brackets]],0) * cv_M/cv_F * Forces_APPURT[[#This Row],[Alpha Fai 0]] * Calculations_APPURT[[#This Row],[Horizontal Offset]]/12</f>
        <v>0</v>
      </c>
      <c r="NP11" s="276">
        <f>IFERROR(1/Calculations_APPURT[[#This Row],[Brackets]],0) * cv_M/cv_F * Forces_APPURT[[#This Row],[Alpha Fai 30]] * Calculations_APPURT[[#This Row],[Horizontal Offset]]/12</f>
        <v>0</v>
      </c>
      <c r="NQ11" s="276">
        <f>IFERROR(1/Calculations_APPURT[[#This Row],[Brackets]],0) * cv_M/cv_F * Forces_APPURT[[#This Row],[Alpha Fai 45]] * Calculations_APPURT[[#This Row],[Horizontal Offset]]/12</f>
        <v>0</v>
      </c>
      <c r="NR11" s="276">
        <f>IFERROR(1/Calculations_APPURT[[#This Row],[Brackets]],0) * cv_M/cv_F * Forces_APPURT[[#This Row],[Alpha Fai 60]] * Calculations_APPURT[[#This Row],[Horizontal Offset]]/12</f>
        <v>0</v>
      </c>
      <c r="NS11" s="276">
        <f>IFERROR(1/Calculations_APPURT[[#This Row],[Brackets]],0) * cv_M/cv_F * Forces_APPURT[[#This Row],[Alpha Fai 90]] * Calculations_APPURT[[#This Row],[Horizontal Offset]]/12</f>
        <v>0</v>
      </c>
      <c r="NT11" s="276">
        <f>IFERROR(1/Calculations_APPURT[[#This Row],[Brackets]],0) * cv_M/cv_F * Forces_APPURT[[#This Row],[Alpha Fai 120]] * Calculations_APPURT[[#This Row],[Horizontal Offset]]/12</f>
        <v>0</v>
      </c>
      <c r="NU11" s="276">
        <f>IFERROR(1/Calculations_APPURT[[#This Row],[Brackets]],0) * cv_M/cv_F * Forces_APPURT[[#This Row],[Alpha Fai 135]] * Calculations_APPURT[[#This Row],[Horizontal Offset]]/12</f>
        <v>0</v>
      </c>
      <c r="NV11" s="276">
        <f>IFERROR(1/Calculations_APPURT[[#This Row],[Brackets]],0) * cv_M/cv_F * Forces_APPURT[[#This Row],[Alpha Fai 150]] * Calculations_APPURT[[#This Row],[Horizontal Offset]]/12</f>
        <v>0</v>
      </c>
      <c r="NW11" s="276">
        <f>IFERROR(1/Calculations_APPURT[[#This Row],[Brackets]],0) * cv_M/cv_F * Forces_APPURT[[#This Row],[Alpha Fai 180]] * Calculations_APPURT[[#This Row],[Horizontal Offset]]/12</f>
        <v>0</v>
      </c>
      <c r="NX11" s="276">
        <f>IFERROR(1/Calculations_APPURT[[#This Row],[Brackets]],0) * cv_M/cv_F * Forces_APPURT[[#This Row],[Alpha Fai 210]] * Calculations_APPURT[[#This Row],[Horizontal Offset]]/12</f>
        <v>0</v>
      </c>
      <c r="NY11" s="276">
        <f>IFERROR(1/Calculations_APPURT[[#This Row],[Brackets]],0) * cv_M/cv_F * Forces_APPURT[[#This Row],[Alpha Fai 225]] * Calculations_APPURT[[#This Row],[Horizontal Offset]]/12</f>
        <v>0</v>
      </c>
      <c r="NZ11" s="276">
        <f>IFERROR(1/Calculations_APPURT[[#This Row],[Brackets]],0) * cv_M/cv_F * Forces_APPURT[[#This Row],[Alpha Fai 240]] * Calculations_APPURT[[#This Row],[Horizontal Offset]]/12</f>
        <v>0</v>
      </c>
      <c r="OA11" s="276">
        <f>IFERROR(1/Calculations_APPURT[[#This Row],[Brackets]],0) * cv_M/cv_F * Forces_APPURT[[#This Row],[Alpha Fai 270]] * Calculations_APPURT[[#This Row],[Horizontal Offset]]/12</f>
        <v>0</v>
      </c>
      <c r="OB11" s="276">
        <f>IFERROR(1/Calculations_APPURT[[#This Row],[Brackets]],0) * cv_M/cv_F * Forces_APPURT[[#This Row],[Alpha Fai 300]] * Calculations_APPURT[[#This Row],[Horizontal Offset]]/12</f>
        <v>0</v>
      </c>
      <c r="OC11" s="276">
        <f>IFERROR(1/Calculations_APPURT[[#This Row],[Brackets]],0) * cv_M/cv_F * Forces_APPURT[[#This Row],[Alpha Fai 315]] * Calculations_APPURT[[#This Row],[Horizontal Offset]]/12</f>
        <v>0</v>
      </c>
      <c r="OD11" s="276">
        <f>IFERROR(1/Calculations_APPURT[[#This Row],[Brackets]],0) * cv_M/cv_F * Forces_APPURT[[#This Row],[Alpha Fai 330]] * Calculations_APPURT[[#This Row],[Horizontal Offset]]/12</f>
        <v>0</v>
      </c>
      <c r="OE11" s="276">
        <f>IFERROR(1/Calculations_APPURT[[#This Row],[Brackets]],0) * cv_M/cv_F * Forces_APPURT[[#This Row],[Beta Fai 0]] * Calculations_APPURT[[#This Row],[Horizontal Offset]]/12</f>
        <v>0</v>
      </c>
      <c r="OF11" s="276">
        <f>IFERROR(1/Calculations_APPURT[[#This Row],[Brackets]],0) * cv_M/cv_F * Forces_APPURT[[#This Row],[Beta Fai 30]] * Calculations_APPURT[[#This Row],[Horizontal Offset]]/12</f>
        <v>0</v>
      </c>
      <c r="OG11" s="276">
        <f>IFERROR(1/Calculations_APPURT[[#This Row],[Brackets]],0) * cv_M/cv_F * Forces_APPURT[[#This Row],[Beta Fai 45]] * Calculations_APPURT[[#This Row],[Horizontal Offset]]/12</f>
        <v>0</v>
      </c>
      <c r="OH11" s="276">
        <f>IFERROR(1/Calculations_APPURT[[#This Row],[Brackets]],0) * cv_M/cv_F * Forces_APPURT[[#This Row],[Beta Fai 60]] * Calculations_APPURT[[#This Row],[Horizontal Offset]]/12</f>
        <v>0</v>
      </c>
      <c r="OI11" s="276">
        <f>IFERROR(1/Calculations_APPURT[[#This Row],[Brackets]],0) * cv_M/cv_F * Forces_APPURT[[#This Row],[Beta Fai 90]] * Calculations_APPURT[[#This Row],[Horizontal Offset]]/12</f>
        <v>0</v>
      </c>
      <c r="OJ11" s="276">
        <f>IFERROR(1/Calculations_APPURT[[#This Row],[Brackets]],0) * cv_M/cv_F * Forces_APPURT[[#This Row],[Beta Fai 120]] * Calculations_APPURT[[#This Row],[Horizontal Offset]]/12</f>
        <v>0</v>
      </c>
      <c r="OK11" s="276">
        <f>IFERROR(1/Calculations_APPURT[[#This Row],[Brackets]],0) * cv_M/cv_F * Forces_APPURT[[#This Row],[Beta Fai 135]] * Calculations_APPURT[[#This Row],[Horizontal Offset]]/12</f>
        <v>0</v>
      </c>
      <c r="OL11" s="276">
        <f>IFERROR(1/Calculations_APPURT[[#This Row],[Brackets]],0) * cv_M/cv_F * Forces_APPURT[[#This Row],[Beta Fai 150]] * Calculations_APPURT[[#This Row],[Horizontal Offset]]/12</f>
        <v>0</v>
      </c>
      <c r="OM11" s="276">
        <f>IFERROR(1/Calculations_APPURT[[#This Row],[Brackets]],0) * cv_M/cv_F * Forces_APPURT[[#This Row],[Beta Fai 180]] * Calculations_APPURT[[#This Row],[Horizontal Offset]]/12</f>
        <v>0</v>
      </c>
      <c r="ON11" s="276">
        <f>IFERROR(1/Calculations_APPURT[[#This Row],[Brackets]],0) * cv_M/cv_F * Forces_APPURT[[#This Row],[Beta Fai 210]] * Calculations_APPURT[[#This Row],[Horizontal Offset]]/12</f>
        <v>0</v>
      </c>
      <c r="OO11" s="276">
        <f>IFERROR(1/Calculations_APPURT[[#This Row],[Brackets]],0) * cv_M/cv_F * Forces_APPURT[[#This Row],[Beta Fai 225]] * Calculations_APPURT[[#This Row],[Horizontal Offset]]/12</f>
        <v>0</v>
      </c>
      <c r="OP11" s="276">
        <f>IFERROR(1/Calculations_APPURT[[#This Row],[Brackets]],0) * cv_M/cv_F * Forces_APPURT[[#This Row],[Beta Fai 240]] * Calculations_APPURT[[#This Row],[Horizontal Offset]]/12</f>
        <v>0</v>
      </c>
      <c r="OQ11" s="276">
        <f>IFERROR(1/Calculations_APPURT[[#This Row],[Brackets]],0) * cv_M/cv_F * Forces_APPURT[[#This Row],[Beta Fai 270]] * Calculations_APPURT[[#This Row],[Horizontal Offset]]/12</f>
        <v>0</v>
      </c>
      <c r="OR11" s="276">
        <f>IFERROR(1/Calculations_APPURT[[#This Row],[Brackets]],0) * cv_M/cv_F * Forces_APPURT[[#This Row],[Beta Fai 300]] * Calculations_APPURT[[#This Row],[Horizontal Offset]]/12</f>
        <v>0</v>
      </c>
      <c r="OS11" s="276">
        <f>IFERROR(1/Calculations_APPURT[[#This Row],[Brackets]],0) * cv_M/cv_F * Forces_APPURT[[#This Row],[Beta Fai 315]] * Calculations_APPURT[[#This Row],[Horizontal Offset]]/12</f>
        <v>0</v>
      </c>
      <c r="OT11" s="276">
        <f>IFERROR(1/Calculations_APPURT[[#This Row],[Brackets]],0) * cv_M/cv_F * Forces_APPURT[[#This Row],[Beta Fai 330]] * Calculations_APPURT[[#This Row],[Horizontal Offset]]/12</f>
        <v>0</v>
      </c>
      <c r="OU11" s="276">
        <f>IFERROR(1/Calculations_APPURT[[#This Row],[Brackets]],0) * cv_M/cv_F * Forces_APPURT[[#This Row],[Gamma Fai 0]] * Calculations_APPURT[[#This Row],[Horizontal Offset]]/12</f>
        <v>0</v>
      </c>
      <c r="OV11" s="276">
        <f>IFERROR(1/Calculations_APPURT[[#This Row],[Brackets]],0) * cv_M/cv_F * Forces_APPURT[[#This Row],[Gamma Fai 30]] * Calculations_APPURT[[#This Row],[Horizontal Offset]]/12</f>
        <v>0</v>
      </c>
      <c r="OW11" s="276">
        <f>IFERROR(1/Calculations_APPURT[[#This Row],[Brackets]],0) * cv_M/cv_F * Forces_APPURT[[#This Row],[Gamma Fai 45]] * Calculations_APPURT[[#This Row],[Horizontal Offset]]/12</f>
        <v>0</v>
      </c>
      <c r="OX11" s="276">
        <f>IFERROR(1/Calculations_APPURT[[#This Row],[Brackets]],0) * cv_M/cv_F * Forces_APPURT[[#This Row],[Gamma Fai 60]] * Calculations_APPURT[[#This Row],[Horizontal Offset]]/12</f>
        <v>0</v>
      </c>
      <c r="OY11" s="276">
        <f>IFERROR(1/Calculations_APPURT[[#This Row],[Brackets]],0) * cv_M/cv_F * Forces_APPURT[[#This Row],[Gamma Fai 90]] * Calculations_APPURT[[#This Row],[Horizontal Offset]]/12</f>
        <v>0</v>
      </c>
      <c r="OZ11" s="276">
        <f>IFERROR(1/Calculations_APPURT[[#This Row],[Brackets]],0) * cv_M/cv_F * Forces_APPURT[[#This Row],[Gamma Fai 120]] * Calculations_APPURT[[#This Row],[Horizontal Offset]]/12</f>
        <v>0</v>
      </c>
      <c r="PA11" s="276">
        <f>IFERROR(1/Calculations_APPURT[[#This Row],[Brackets]],0) * cv_M/cv_F * Forces_APPURT[[#This Row],[Gamma Fai 135]] * Calculations_APPURT[[#This Row],[Horizontal Offset]]/12</f>
        <v>0</v>
      </c>
      <c r="PB11" s="276">
        <f>IFERROR(1/Calculations_APPURT[[#This Row],[Brackets]],0) * cv_M/cv_F * Forces_APPURT[[#This Row],[Gamma Fai 150]] * Calculations_APPURT[[#This Row],[Horizontal Offset]]/12</f>
        <v>0</v>
      </c>
      <c r="PC11" s="276">
        <f>IFERROR(1/Calculations_APPURT[[#This Row],[Brackets]],0) * cv_M/cv_F * Forces_APPURT[[#This Row],[Gamma Fai 180]] * Calculations_APPURT[[#This Row],[Horizontal Offset]]/12</f>
        <v>0</v>
      </c>
      <c r="PD11" s="276">
        <f>IFERROR(1/Calculations_APPURT[[#This Row],[Brackets]],0) * cv_M/cv_F * Forces_APPURT[[#This Row],[Gamma Fai 210]] * Calculations_APPURT[[#This Row],[Horizontal Offset]]/12</f>
        <v>0</v>
      </c>
      <c r="PE11" s="276">
        <f>IFERROR(1/Calculations_APPURT[[#This Row],[Brackets]],0) * cv_M/cv_F * Forces_APPURT[[#This Row],[Gamma Fai 225]] * Calculations_APPURT[[#This Row],[Horizontal Offset]]/12</f>
        <v>0</v>
      </c>
      <c r="PF11" s="276">
        <f>IFERROR(1/Calculations_APPURT[[#This Row],[Brackets]],0) * cv_M/cv_F * Forces_APPURT[[#This Row],[Gamma Fai 240]] * Calculations_APPURT[[#This Row],[Horizontal Offset]]/12</f>
        <v>0</v>
      </c>
      <c r="PG11" s="276">
        <f>IFERROR(1/Calculations_APPURT[[#This Row],[Brackets]],0) * cv_M/cv_F * Forces_APPURT[[#This Row],[Gamma Fai 270]] * Calculations_APPURT[[#This Row],[Horizontal Offset]]/12</f>
        <v>0</v>
      </c>
      <c r="PH11" s="276">
        <f>IFERROR(1/Calculations_APPURT[[#This Row],[Brackets]],0) * cv_M/cv_F * Forces_APPURT[[#This Row],[Gamma Fai 300]] * Calculations_APPURT[[#This Row],[Horizontal Offset]]/12</f>
        <v>0</v>
      </c>
      <c r="PI11" s="276">
        <f>IFERROR(1/Calculations_APPURT[[#This Row],[Brackets]],0) * cv_M/cv_F * Forces_APPURT[[#This Row],[Gamma Fai 315]] * Calculations_APPURT[[#This Row],[Horizontal Offset]]/12</f>
        <v>0</v>
      </c>
      <c r="PJ11" s="276">
        <f>IFERROR(1/Calculations_APPURT[[#This Row],[Brackets]],0) * cv_M/cv_F * Forces_APPURT[[#This Row],[Gamma Fai 330]] * Calculations_APPURT[[#This Row],[Horizontal Offset]]/12</f>
        <v>0</v>
      </c>
      <c r="PK11" s="276">
        <f>IFERROR(1/Calculations_APPURT[[#This Row],[Brackets]],0) * cv_M/cv_F * Forces_APPURT[[#This Row],[Delta Fai 0]] * Calculations_APPURT[[#This Row],[Horizontal Offset]]/12</f>
        <v>0</v>
      </c>
      <c r="PL11" s="276">
        <f>IFERROR(1/Calculations_APPURT[[#This Row],[Brackets]],0) * cv_M/cv_F * Forces_APPURT[[#This Row],[Delta Fai 30]] * Calculations_APPURT[[#This Row],[Horizontal Offset]]/12</f>
        <v>0</v>
      </c>
      <c r="PM11" s="276">
        <f>IFERROR(1/Calculations_APPURT[[#This Row],[Brackets]],0) * cv_M/cv_F * Forces_APPURT[[#This Row],[Delta Fai 45]] * Calculations_APPURT[[#This Row],[Horizontal Offset]]/12</f>
        <v>0</v>
      </c>
      <c r="PN11" s="276">
        <f>IFERROR(1/Calculations_APPURT[[#This Row],[Brackets]],0) * cv_M/cv_F * Forces_APPURT[[#This Row],[Delta Fai 60]] * Calculations_APPURT[[#This Row],[Horizontal Offset]]/12</f>
        <v>0</v>
      </c>
      <c r="PO11" s="276">
        <f>IFERROR(1/Calculations_APPURT[[#This Row],[Brackets]],0) * cv_M/cv_F * Forces_APPURT[[#This Row],[Delta Fai 90]] * Calculations_APPURT[[#This Row],[Horizontal Offset]]/12</f>
        <v>0</v>
      </c>
      <c r="PP11" s="276">
        <f>IFERROR(1/Calculations_APPURT[[#This Row],[Brackets]],0) * cv_M/cv_F * Forces_APPURT[[#This Row],[Delta Fai 120]] * Calculations_APPURT[[#This Row],[Horizontal Offset]]/12</f>
        <v>0</v>
      </c>
      <c r="PQ11" s="276">
        <f>IFERROR(1/Calculations_APPURT[[#This Row],[Brackets]],0) * cv_M/cv_F * Forces_APPURT[[#This Row],[Delta Fai 135]] * Calculations_APPURT[[#This Row],[Horizontal Offset]]/12</f>
        <v>0</v>
      </c>
      <c r="PR11" s="276">
        <f>IFERROR(1/Calculations_APPURT[[#This Row],[Brackets]],0) * cv_M/cv_F * Forces_APPURT[[#This Row],[Delta Fai 150]] * Calculations_APPURT[[#This Row],[Horizontal Offset]]/12</f>
        <v>0</v>
      </c>
      <c r="PS11" s="276">
        <f>IFERROR(1/Calculations_APPURT[[#This Row],[Brackets]],0) * cv_M/cv_F * Forces_APPURT[[#This Row],[Delta Fai 180]] * Calculations_APPURT[[#This Row],[Horizontal Offset]]/12</f>
        <v>0</v>
      </c>
      <c r="PT11" s="276">
        <f>IFERROR(1/Calculations_APPURT[[#This Row],[Brackets]],0) * cv_M/cv_F * Forces_APPURT[[#This Row],[Delta Fai 210]] * Calculations_APPURT[[#This Row],[Horizontal Offset]]/12</f>
        <v>0</v>
      </c>
      <c r="PU11" s="276">
        <f>IFERROR(1/Calculations_APPURT[[#This Row],[Brackets]],0) * cv_M/cv_F * Forces_APPURT[[#This Row],[Delta Fai 225]] * Calculations_APPURT[[#This Row],[Horizontal Offset]]/12</f>
        <v>0</v>
      </c>
      <c r="PV11" s="276">
        <f>IFERROR(1/Calculations_APPURT[[#This Row],[Brackets]],0) * cv_M/cv_F * Forces_APPURT[[#This Row],[Delta Fai 240]] * Calculations_APPURT[[#This Row],[Horizontal Offset]]/12</f>
        <v>0</v>
      </c>
      <c r="PW11" s="276">
        <f>IFERROR(1/Calculations_APPURT[[#This Row],[Brackets]],0) * cv_M/cv_F * Forces_APPURT[[#This Row],[Delta Fai 270]] * Calculations_APPURT[[#This Row],[Horizontal Offset]]/12</f>
        <v>0</v>
      </c>
      <c r="PX11" s="276">
        <f>IFERROR(1/Calculations_APPURT[[#This Row],[Brackets]],0) * cv_M/cv_F * Forces_APPURT[[#This Row],[Delta Fai 300]] * Calculations_APPURT[[#This Row],[Horizontal Offset]]/12</f>
        <v>0</v>
      </c>
      <c r="PY11" s="276">
        <f>IFERROR(1/Calculations_APPURT[[#This Row],[Brackets]],0) * cv_M/cv_F * Forces_APPURT[[#This Row],[Delta Fai 315]] * Calculations_APPURT[[#This Row],[Horizontal Offset]]/12</f>
        <v>0</v>
      </c>
      <c r="PZ11" s="276">
        <f>IFERROR(1/Calculations_APPURT[[#This Row],[Brackets]],0) * cv_M/cv_F * Forces_APPURT[[#This Row],[Delta Fai 330]] * Calculations_APPURT[[#This Row],[Horizontal Offset]]/12</f>
        <v>0</v>
      </c>
      <c r="QA11" s="276">
        <f>IFERROR(1/Calculations_APPURT[[#This Row],[Brackets]],0) * cv_M/cv_F * Forces_APPURT[[#This Row],[Alpha Fa 0]] * Calculations_APPURT[[#This Row],[Lateral Offset]]/12</f>
        <v>0</v>
      </c>
      <c r="QB11" s="276">
        <f>IFERROR(1/Calculations_APPURT[[#This Row],[Brackets]],0) * cv_M/cv_F * Forces_APPURT[[#This Row],[Alpha Fa 30]] * Calculations_APPURT[[#This Row],[Lateral Offset]]/12</f>
        <v>0</v>
      </c>
      <c r="QC11" s="276">
        <f>IFERROR(1/Calculations_APPURT[[#This Row],[Brackets]],0) * cv_M/cv_F * Forces_APPURT[[#This Row],[Alpha Fa 45]] * Calculations_APPURT[[#This Row],[Lateral Offset]]/12</f>
        <v>0</v>
      </c>
      <c r="QD11" s="276">
        <f>IFERROR(1/Calculations_APPURT[[#This Row],[Brackets]],0) * cv_M/cv_F * Forces_APPURT[[#This Row],[Alpha Fa 60]] * Calculations_APPURT[[#This Row],[Lateral Offset]]/12</f>
        <v>0</v>
      </c>
      <c r="QE11" s="276">
        <f>IFERROR(1/Calculations_APPURT[[#This Row],[Brackets]],0) * cv_M/cv_F * Forces_APPURT[[#This Row],[Alpha Fa 90]] * Calculations_APPURT[[#This Row],[Lateral Offset]]/12</f>
        <v>0</v>
      </c>
      <c r="QF11" s="276">
        <f>IFERROR(1/Calculations_APPURT[[#This Row],[Brackets]],0) * cv_M/cv_F * Forces_APPURT[[#This Row],[Alpha Fa 120]] * Calculations_APPURT[[#This Row],[Lateral Offset]]/12</f>
        <v>0</v>
      </c>
      <c r="QG11" s="276">
        <f>IFERROR(1/Calculations_APPURT[[#This Row],[Brackets]],0) * cv_M/cv_F * Forces_APPURT[[#This Row],[Alpha Fa 135]] * Calculations_APPURT[[#This Row],[Lateral Offset]]/12</f>
        <v>0</v>
      </c>
      <c r="QH11" s="276">
        <f>IFERROR(1/Calculations_APPURT[[#This Row],[Brackets]],0) * cv_M/cv_F * Forces_APPURT[[#This Row],[Alpha Fa 150]] * Calculations_APPURT[[#This Row],[Lateral Offset]]/12</f>
        <v>0</v>
      </c>
      <c r="QI11" s="276">
        <f>IFERROR(1/Calculations_APPURT[[#This Row],[Brackets]],0) * cv_M/cv_F * Forces_APPURT[[#This Row],[Alpha Fa 180]] * Calculations_APPURT[[#This Row],[Lateral Offset]]/12</f>
        <v>0</v>
      </c>
      <c r="QJ11" s="276">
        <f>IFERROR(1/Calculations_APPURT[[#This Row],[Brackets]],0) * cv_M/cv_F * Forces_APPURT[[#This Row],[Alpha Fa 210]] * Calculations_APPURT[[#This Row],[Lateral Offset]]/12</f>
        <v>0</v>
      </c>
      <c r="QK11" s="276">
        <f>IFERROR(1/Calculations_APPURT[[#This Row],[Brackets]],0) * cv_M/cv_F * Forces_APPURT[[#This Row],[Alpha Fa 225]] * Calculations_APPURT[[#This Row],[Lateral Offset]]/12</f>
        <v>0</v>
      </c>
      <c r="QL11" s="276">
        <f>IFERROR(1/Calculations_APPURT[[#This Row],[Brackets]],0) * cv_M/cv_F * Forces_APPURT[[#This Row],[Alpha Fa 240]] * Calculations_APPURT[[#This Row],[Lateral Offset]]/12</f>
        <v>0</v>
      </c>
      <c r="QM11" s="276">
        <f>IFERROR(1/Calculations_APPURT[[#This Row],[Brackets]],0) * cv_M/cv_F * Forces_APPURT[[#This Row],[Alpha Fa 270]] * Calculations_APPURT[[#This Row],[Lateral Offset]]/12</f>
        <v>0</v>
      </c>
      <c r="QN11" s="276">
        <f>IFERROR(1/Calculations_APPURT[[#This Row],[Brackets]],0) * cv_M/cv_F * Forces_APPURT[[#This Row],[Alpha Fa 300]] * Calculations_APPURT[[#This Row],[Lateral Offset]]/12</f>
        <v>0</v>
      </c>
      <c r="QO11" s="276">
        <f>IFERROR(1/Calculations_APPURT[[#This Row],[Brackets]],0) * cv_M/cv_F * Forces_APPURT[[#This Row],[Alpha Fa 315]] * Calculations_APPURT[[#This Row],[Lateral Offset]]/12</f>
        <v>0</v>
      </c>
      <c r="QP11" s="276">
        <f>IFERROR(1/Calculations_APPURT[[#This Row],[Brackets]],0) * cv_M/cv_F * Forces_APPURT[[#This Row],[Alpha Fa 330]] * Calculations_APPURT[[#This Row],[Lateral Offset]]/12</f>
        <v>0</v>
      </c>
      <c r="QQ11" s="276">
        <f>IFERROR(1/Calculations_APPURT[[#This Row],[Brackets]],0) * cv_M/cv_F * Forces_APPURT[[#This Row],[Beta Fa 0]] * Calculations_APPURT[[#This Row],[Lateral Offset]]/12</f>
        <v>0</v>
      </c>
      <c r="QR11" s="276">
        <f>IFERROR(1/Calculations_APPURT[[#This Row],[Brackets]],0) * cv_M/cv_F * Forces_APPURT[[#This Row],[Beta Fa 30]] * Calculations_APPURT[[#This Row],[Lateral Offset]]/12</f>
        <v>0</v>
      </c>
      <c r="QS11" s="276">
        <f>IFERROR(1/Calculations_APPURT[[#This Row],[Brackets]],0) * cv_M/cv_F * Forces_APPURT[[#This Row],[Beta Fa 45]] * Calculations_APPURT[[#This Row],[Lateral Offset]]/12</f>
        <v>0</v>
      </c>
      <c r="QT11" s="276">
        <f>IFERROR(1/Calculations_APPURT[[#This Row],[Brackets]],0) * cv_M/cv_F * Forces_APPURT[[#This Row],[Beta Fa 60]] * Calculations_APPURT[[#This Row],[Lateral Offset]]/12</f>
        <v>0</v>
      </c>
      <c r="QU11" s="276">
        <f>IFERROR(1/Calculations_APPURT[[#This Row],[Brackets]],0) * cv_M/cv_F * Forces_APPURT[[#This Row],[Beta Fa 90]] * Calculations_APPURT[[#This Row],[Lateral Offset]]/12</f>
        <v>0</v>
      </c>
      <c r="QV11" s="276">
        <f>IFERROR(1/Calculations_APPURT[[#This Row],[Brackets]],0) * cv_M/cv_F * Forces_APPURT[[#This Row],[Beta Fa 120]] * Calculations_APPURT[[#This Row],[Lateral Offset]]/12</f>
        <v>0</v>
      </c>
      <c r="QW11" s="276">
        <f>IFERROR(1/Calculations_APPURT[[#This Row],[Brackets]],0) * cv_M/cv_F * Forces_APPURT[[#This Row],[Beta Fa 135]] * Calculations_APPURT[[#This Row],[Lateral Offset]]/12</f>
        <v>0</v>
      </c>
      <c r="QX11" s="276">
        <f>IFERROR(1/Calculations_APPURT[[#This Row],[Brackets]],0) * cv_M/cv_F * Forces_APPURT[[#This Row],[Beta Fa 150]] * Calculations_APPURT[[#This Row],[Lateral Offset]]/12</f>
        <v>0</v>
      </c>
      <c r="QY11" s="276">
        <f>IFERROR(1/Calculations_APPURT[[#This Row],[Brackets]],0) * cv_M/cv_F * Forces_APPURT[[#This Row],[Beta Fa 180]] * Calculations_APPURT[[#This Row],[Lateral Offset]]/12</f>
        <v>0</v>
      </c>
      <c r="QZ11" s="276">
        <f>IFERROR(1/Calculations_APPURT[[#This Row],[Brackets]],0) * cv_M/cv_F * Forces_APPURT[[#This Row],[Beta Fa 210]] * Calculations_APPURT[[#This Row],[Lateral Offset]]/12</f>
        <v>0</v>
      </c>
      <c r="RA11" s="276">
        <f>IFERROR(1/Calculations_APPURT[[#This Row],[Brackets]],0) * cv_M/cv_F * Forces_APPURT[[#This Row],[Beta Fa 225]] * Calculations_APPURT[[#This Row],[Lateral Offset]]/12</f>
        <v>0</v>
      </c>
      <c r="RB11" s="276">
        <f>IFERROR(1/Calculations_APPURT[[#This Row],[Brackets]],0) * cv_M/cv_F * Forces_APPURT[[#This Row],[Beta Fa 240]] * Calculations_APPURT[[#This Row],[Lateral Offset]]/12</f>
        <v>0</v>
      </c>
      <c r="RC11" s="276">
        <f>IFERROR(1/Calculations_APPURT[[#This Row],[Brackets]],0) * cv_M/cv_F * Forces_APPURT[[#This Row],[Beta Fa 270]] * Calculations_APPURT[[#This Row],[Lateral Offset]]/12</f>
        <v>0</v>
      </c>
      <c r="RD11" s="276">
        <f>IFERROR(1/Calculations_APPURT[[#This Row],[Brackets]],0) * cv_M/cv_F * Forces_APPURT[[#This Row],[Beta Fa 300]] * Calculations_APPURT[[#This Row],[Lateral Offset]]/12</f>
        <v>0</v>
      </c>
      <c r="RE11" s="276">
        <f>IFERROR(1/Calculations_APPURT[[#This Row],[Brackets]],0) * cv_M/cv_F * Forces_APPURT[[#This Row],[Beta Fa 315]] * Calculations_APPURT[[#This Row],[Lateral Offset]]/12</f>
        <v>0</v>
      </c>
      <c r="RF11" s="276">
        <f>IFERROR(1/Calculations_APPURT[[#This Row],[Brackets]],0) * cv_M/cv_F * Forces_APPURT[[#This Row],[Beta Fa 330]] * Calculations_APPURT[[#This Row],[Lateral Offset]]/12</f>
        <v>0</v>
      </c>
      <c r="RG11" s="276">
        <f>IFERROR(1/Calculations_APPURT[[#This Row],[Brackets]],0) * cv_M/cv_F * Forces_APPURT[[#This Row],[Gamma Fa 0]] * Calculations_APPURT[[#This Row],[Lateral Offset]]/12</f>
        <v>0</v>
      </c>
      <c r="RH11" s="276">
        <f>IFERROR(1/Calculations_APPURT[[#This Row],[Brackets]],0) * cv_M/cv_F * Forces_APPURT[[#This Row],[Gamma Fa 30]] * Calculations_APPURT[[#This Row],[Lateral Offset]]/12</f>
        <v>0</v>
      </c>
      <c r="RI11" s="276">
        <f>IFERROR(1/Calculations_APPURT[[#This Row],[Brackets]],0) * cv_M/cv_F * Forces_APPURT[[#This Row],[Gamma Fa 45]] * Calculations_APPURT[[#This Row],[Lateral Offset]]/12</f>
        <v>0</v>
      </c>
      <c r="RJ11" s="276">
        <f>IFERROR(1/Calculations_APPURT[[#This Row],[Brackets]],0) * cv_M/cv_F * Forces_APPURT[[#This Row],[Gamma Fa 60]] * Calculations_APPURT[[#This Row],[Lateral Offset]]/12</f>
        <v>0</v>
      </c>
      <c r="RK11" s="276">
        <f>IFERROR(1/Calculations_APPURT[[#This Row],[Brackets]],0) * cv_M/cv_F * Forces_APPURT[[#This Row],[Gamma Fa 90]] * Calculations_APPURT[[#This Row],[Lateral Offset]]/12</f>
        <v>0</v>
      </c>
      <c r="RL11" s="276">
        <f>IFERROR(1/Calculations_APPURT[[#This Row],[Brackets]],0) * cv_M/cv_F * Forces_APPURT[[#This Row],[Gamma Fa 120]] * Calculations_APPURT[[#This Row],[Lateral Offset]]/12</f>
        <v>0</v>
      </c>
      <c r="RM11" s="276">
        <f>IFERROR(1/Calculations_APPURT[[#This Row],[Brackets]],0) * cv_M/cv_F * Forces_APPURT[[#This Row],[Gamma Fa 135]] * Calculations_APPURT[[#This Row],[Lateral Offset]]/12</f>
        <v>0</v>
      </c>
      <c r="RN11" s="276">
        <f>IFERROR(1/Calculations_APPURT[[#This Row],[Brackets]],0) * cv_M/cv_F * Forces_APPURT[[#This Row],[Gamma Fa 150]] * Calculations_APPURT[[#This Row],[Lateral Offset]]/12</f>
        <v>0</v>
      </c>
      <c r="RO11" s="276">
        <f>IFERROR(1/Calculations_APPURT[[#This Row],[Brackets]],0) * cv_M/cv_F * Forces_APPURT[[#This Row],[Gamma Fa 180]] * Calculations_APPURT[[#This Row],[Lateral Offset]]/12</f>
        <v>0</v>
      </c>
      <c r="RP11" s="276">
        <f>IFERROR(1/Calculations_APPURT[[#This Row],[Brackets]],0) * cv_M/cv_F * Forces_APPURT[[#This Row],[Gamma Fa 210]] * Calculations_APPURT[[#This Row],[Lateral Offset]]/12</f>
        <v>0</v>
      </c>
      <c r="RQ11" s="276">
        <f>IFERROR(1/Calculations_APPURT[[#This Row],[Brackets]],0) * cv_M/cv_F * Forces_APPURT[[#This Row],[Gamma Fa 225]] * Calculations_APPURT[[#This Row],[Lateral Offset]]/12</f>
        <v>0</v>
      </c>
      <c r="RR11" s="276">
        <f>IFERROR(1/Calculations_APPURT[[#This Row],[Brackets]],0) * cv_M/cv_F * Forces_APPURT[[#This Row],[Gamma Fa 240]] * Calculations_APPURT[[#This Row],[Lateral Offset]]/12</f>
        <v>0</v>
      </c>
      <c r="RS11" s="276">
        <f>IFERROR(1/Calculations_APPURT[[#This Row],[Brackets]],0) * cv_M/cv_F * Forces_APPURT[[#This Row],[Gamma Fa 270]] * Calculations_APPURT[[#This Row],[Lateral Offset]]/12</f>
        <v>0</v>
      </c>
      <c r="RT11" s="276">
        <f>IFERROR(1/Calculations_APPURT[[#This Row],[Brackets]],0) * cv_M/cv_F * Forces_APPURT[[#This Row],[Gamma Fa 300]] * Calculations_APPURT[[#This Row],[Lateral Offset]]/12</f>
        <v>0</v>
      </c>
      <c r="RU11" s="276">
        <f>IFERROR(1/Calculations_APPURT[[#This Row],[Brackets]],0) * cv_M/cv_F * Forces_APPURT[[#This Row],[Gamma Fa 315]] * Calculations_APPURT[[#This Row],[Lateral Offset]]/12</f>
        <v>0</v>
      </c>
      <c r="RV11" s="276">
        <f>IFERROR(1/Calculations_APPURT[[#This Row],[Brackets]],0) * cv_M/cv_F * Forces_APPURT[[#This Row],[Gamma Fa 330]] * Calculations_APPURT[[#This Row],[Lateral Offset]]/12</f>
        <v>0</v>
      </c>
      <c r="RW11" s="276">
        <f>IFERROR(1/Calculations_APPURT[[#This Row],[Brackets]],0) * cv_M/cv_F * Forces_APPURT[[#This Row],[Delta Fa 0]] * Calculations_APPURT[[#This Row],[Lateral Offset]]/12</f>
        <v>0</v>
      </c>
      <c r="RX11" s="276">
        <f>IFERROR(1/Calculations_APPURT[[#This Row],[Brackets]],0) * cv_M/cv_F * Forces_APPURT[[#This Row],[Delta Fa 30]] * Calculations_APPURT[[#This Row],[Lateral Offset]]/12</f>
        <v>0</v>
      </c>
      <c r="RY11" s="276">
        <f>IFERROR(1/Calculations_APPURT[[#This Row],[Brackets]],0) * cv_M/cv_F * Forces_APPURT[[#This Row],[Delta Fa 45]] * Calculations_APPURT[[#This Row],[Lateral Offset]]/12</f>
        <v>0</v>
      </c>
      <c r="RZ11" s="276">
        <f>IFERROR(1/Calculations_APPURT[[#This Row],[Brackets]],0) * cv_M/cv_F * Forces_APPURT[[#This Row],[Delta Fa 60]] * Calculations_APPURT[[#This Row],[Lateral Offset]]/12</f>
        <v>0</v>
      </c>
      <c r="SA11" s="276">
        <f>IFERROR(1/Calculations_APPURT[[#This Row],[Brackets]],0) * cv_M/cv_F * Forces_APPURT[[#This Row],[Delta Fa 90]] * Calculations_APPURT[[#This Row],[Lateral Offset]]/12</f>
        <v>0</v>
      </c>
      <c r="SB11" s="276">
        <f>IFERROR(1/Calculations_APPURT[[#This Row],[Brackets]],0) * cv_M/cv_F * Forces_APPURT[[#This Row],[Delta Fa 120]] * Calculations_APPURT[[#This Row],[Lateral Offset]]/12</f>
        <v>0</v>
      </c>
      <c r="SC11" s="276">
        <f>IFERROR(1/Calculations_APPURT[[#This Row],[Brackets]],0) * cv_M/cv_F * Forces_APPURT[[#This Row],[Delta Fa 135]] * Calculations_APPURT[[#This Row],[Lateral Offset]]/12</f>
        <v>0</v>
      </c>
      <c r="SD11" s="276">
        <f>IFERROR(1/Calculations_APPURT[[#This Row],[Brackets]],0) * cv_M/cv_F * Forces_APPURT[[#This Row],[Delta Fa 150]] * Calculations_APPURT[[#This Row],[Lateral Offset]]/12</f>
        <v>0</v>
      </c>
      <c r="SE11" s="276">
        <f>IFERROR(1/Calculations_APPURT[[#This Row],[Brackets]],0) * cv_M/cv_F * Forces_APPURT[[#This Row],[Delta Fa 180]] * Calculations_APPURT[[#This Row],[Lateral Offset]]/12</f>
        <v>0</v>
      </c>
      <c r="SF11" s="276">
        <f>IFERROR(1/Calculations_APPURT[[#This Row],[Brackets]],0) * cv_M/cv_F * Forces_APPURT[[#This Row],[Delta Fa 210]] * Calculations_APPURT[[#This Row],[Lateral Offset]]/12</f>
        <v>0</v>
      </c>
      <c r="SG11" s="276">
        <f>IFERROR(1/Calculations_APPURT[[#This Row],[Brackets]],0) * cv_M/cv_F * Forces_APPURT[[#This Row],[Delta Fa 225]] * Calculations_APPURT[[#This Row],[Lateral Offset]]/12</f>
        <v>0</v>
      </c>
      <c r="SH11" s="276">
        <f>IFERROR(1/Calculations_APPURT[[#This Row],[Brackets]],0) * cv_M/cv_F * Forces_APPURT[[#This Row],[Delta Fa 240]] * Calculations_APPURT[[#This Row],[Lateral Offset]]/12</f>
        <v>0</v>
      </c>
      <c r="SI11" s="276">
        <f>IFERROR(1/Calculations_APPURT[[#This Row],[Brackets]],0) * cv_M/cv_F * Forces_APPURT[[#This Row],[Delta Fa 270]] * Calculations_APPURT[[#This Row],[Lateral Offset]]/12</f>
        <v>0</v>
      </c>
      <c r="SJ11" s="276">
        <f>IFERROR(1/Calculations_APPURT[[#This Row],[Brackets]],0) * cv_M/cv_F * Forces_APPURT[[#This Row],[Delta Fa 300]] * Calculations_APPURT[[#This Row],[Lateral Offset]]/12</f>
        <v>0</v>
      </c>
      <c r="SK11" s="276">
        <f>IFERROR(1/Calculations_APPURT[[#This Row],[Brackets]],0) * cv_M/cv_F * Forces_APPURT[[#This Row],[Delta Fa 315]] * Calculations_APPURT[[#This Row],[Lateral Offset]]/12</f>
        <v>0</v>
      </c>
      <c r="SL11" s="276">
        <f>IFERROR(1/Calculations_APPURT[[#This Row],[Brackets]],0) * cv_M/cv_F * Forces_APPURT[[#This Row],[Delta Fa 330]] * Calculations_APPURT[[#This Row],[Lateral Offset]]/12</f>
        <v>0</v>
      </c>
      <c r="SM11" s="276">
        <f>IFERROR(1/Calculations_APPURT[[#This Row],[Brackets]],0) * cv_M/cv_F * Forces_APPURT[[#This Row],[Alpha Fai 0]] * Calculations_APPURT[[#This Row],[Lateral Offset]]/12</f>
        <v>0</v>
      </c>
      <c r="SN11" s="276">
        <f>IFERROR(1/Calculations_APPURT[[#This Row],[Brackets]],0) * cv_M/cv_F * Forces_APPURT[[#This Row],[Alpha Fai 30]] * Calculations_APPURT[[#This Row],[Lateral Offset]]/12</f>
        <v>0</v>
      </c>
      <c r="SO11" s="276">
        <f>IFERROR(1/Calculations_APPURT[[#This Row],[Brackets]],0) * cv_M/cv_F * Forces_APPURT[[#This Row],[Alpha Fai 45]] * Calculations_APPURT[[#This Row],[Lateral Offset]]/12</f>
        <v>0</v>
      </c>
      <c r="SP11" s="276">
        <f>IFERROR(1/Calculations_APPURT[[#This Row],[Brackets]],0) * cv_M/cv_F * Forces_APPURT[[#This Row],[Alpha Fai 60]] * Calculations_APPURT[[#This Row],[Lateral Offset]]/12</f>
        <v>0</v>
      </c>
      <c r="SQ11" s="276">
        <f>IFERROR(1/Calculations_APPURT[[#This Row],[Brackets]],0) * cv_M/cv_F * Forces_APPURT[[#This Row],[Alpha Fai 90]] * Calculations_APPURT[[#This Row],[Lateral Offset]]/12</f>
        <v>0</v>
      </c>
      <c r="SR11" s="276">
        <f>IFERROR(1/Calculations_APPURT[[#This Row],[Brackets]],0) * cv_M/cv_F * Forces_APPURT[[#This Row],[Alpha Fai 120]] * Calculations_APPURT[[#This Row],[Lateral Offset]]/12</f>
        <v>0</v>
      </c>
      <c r="SS11" s="276">
        <f>IFERROR(1/Calculations_APPURT[[#This Row],[Brackets]],0) * cv_M/cv_F * Forces_APPURT[[#This Row],[Alpha Fai 135]] * Calculations_APPURT[[#This Row],[Lateral Offset]]/12</f>
        <v>0</v>
      </c>
      <c r="ST11" s="276">
        <f>IFERROR(1/Calculations_APPURT[[#This Row],[Brackets]],0) * cv_M/cv_F * Forces_APPURT[[#This Row],[Alpha Fai 150]] * Calculations_APPURT[[#This Row],[Lateral Offset]]/12</f>
        <v>0</v>
      </c>
      <c r="SU11" s="276">
        <f>IFERROR(1/Calculations_APPURT[[#This Row],[Brackets]],0) * cv_M/cv_F * Forces_APPURT[[#This Row],[Alpha Fai 180]] * Calculations_APPURT[[#This Row],[Lateral Offset]]/12</f>
        <v>0</v>
      </c>
      <c r="SV11" s="276">
        <f>IFERROR(1/Calculations_APPURT[[#This Row],[Brackets]],0) * cv_M/cv_F * Forces_APPURT[[#This Row],[Alpha Fai 210]] * Calculations_APPURT[[#This Row],[Lateral Offset]]/12</f>
        <v>0</v>
      </c>
      <c r="SW11" s="276">
        <f>IFERROR(1/Calculations_APPURT[[#This Row],[Brackets]],0) * cv_M/cv_F * Forces_APPURT[[#This Row],[Alpha Fai 225]] * Calculations_APPURT[[#This Row],[Lateral Offset]]/12</f>
        <v>0</v>
      </c>
      <c r="SX11" s="276">
        <f>IFERROR(1/Calculations_APPURT[[#This Row],[Brackets]],0) * cv_M/cv_F * Forces_APPURT[[#This Row],[Alpha Fai 240]] * Calculations_APPURT[[#This Row],[Lateral Offset]]/12</f>
        <v>0</v>
      </c>
      <c r="SY11" s="276">
        <f>IFERROR(1/Calculations_APPURT[[#This Row],[Brackets]],0) * cv_M/cv_F * Forces_APPURT[[#This Row],[Alpha Fai 270]] * Calculations_APPURT[[#This Row],[Lateral Offset]]/12</f>
        <v>0</v>
      </c>
      <c r="SZ11" s="276">
        <f>IFERROR(1/Calculations_APPURT[[#This Row],[Brackets]],0) * cv_M/cv_F * Forces_APPURT[[#This Row],[Alpha Fai 300]] * Calculations_APPURT[[#This Row],[Lateral Offset]]/12</f>
        <v>0</v>
      </c>
      <c r="TA11" s="276">
        <f>IFERROR(1/Calculations_APPURT[[#This Row],[Brackets]],0) * cv_M/cv_F * Forces_APPURT[[#This Row],[Alpha Fai 315]] * Calculations_APPURT[[#This Row],[Lateral Offset]]/12</f>
        <v>0</v>
      </c>
      <c r="TB11" s="276">
        <f>IFERROR(1/Calculations_APPURT[[#This Row],[Brackets]],0) * cv_M/cv_F * Forces_APPURT[[#This Row],[Alpha Fai 330]] * Calculations_APPURT[[#This Row],[Lateral Offset]]/12</f>
        <v>0</v>
      </c>
      <c r="TC11" s="276">
        <f>IFERROR(1/Calculations_APPURT[[#This Row],[Brackets]],0) * cv_M/cv_F * Forces_APPURT[[#This Row],[Beta Fai 0]] * Calculations_APPURT[[#This Row],[Lateral Offset]]/12</f>
        <v>0</v>
      </c>
      <c r="TD11" s="276">
        <f>IFERROR(1/Calculations_APPURT[[#This Row],[Brackets]],0) * cv_M/cv_F * Forces_APPURT[[#This Row],[Beta Fai 30]] * Calculations_APPURT[[#This Row],[Lateral Offset]]/12</f>
        <v>0</v>
      </c>
      <c r="TE11" s="276">
        <f>IFERROR(1/Calculations_APPURT[[#This Row],[Brackets]],0) * cv_M/cv_F * Forces_APPURT[[#This Row],[Beta Fai 45]] * Calculations_APPURT[[#This Row],[Lateral Offset]]/12</f>
        <v>0</v>
      </c>
      <c r="TF11" s="276">
        <f>IFERROR(1/Calculations_APPURT[[#This Row],[Brackets]],0) * cv_M/cv_F * Forces_APPURT[[#This Row],[Beta Fai 60]] * Calculations_APPURT[[#This Row],[Lateral Offset]]/12</f>
        <v>0</v>
      </c>
      <c r="TG11" s="276">
        <f>IFERROR(1/Calculations_APPURT[[#This Row],[Brackets]],0) * cv_M/cv_F * Forces_APPURT[[#This Row],[Beta Fai 90]] * Calculations_APPURT[[#This Row],[Lateral Offset]]/12</f>
        <v>0</v>
      </c>
      <c r="TH11" s="276">
        <f>IFERROR(1/Calculations_APPURT[[#This Row],[Brackets]],0) * cv_M/cv_F * Forces_APPURT[[#This Row],[Beta Fai 120]] * Calculations_APPURT[[#This Row],[Lateral Offset]]/12</f>
        <v>0</v>
      </c>
      <c r="TI11" s="276">
        <f>IFERROR(1/Calculations_APPURT[[#This Row],[Brackets]],0) * cv_M/cv_F * Forces_APPURT[[#This Row],[Beta Fai 135]] * Calculations_APPURT[[#This Row],[Lateral Offset]]/12</f>
        <v>0</v>
      </c>
      <c r="TJ11" s="276">
        <f>IFERROR(1/Calculations_APPURT[[#This Row],[Brackets]],0) * cv_M/cv_F * Forces_APPURT[[#This Row],[Beta Fai 150]] * Calculations_APPURT[[#This Row],[Lateral Offset]]/12</f>
        <v>0</v>
      </c>
      <c r="TK11" s="276">
        <f>IFERROR(1/Calculations_APPURT[[#This Row],[Brackets]],0) * cv_M/cv_F * Forces_APPURT[[#This Row],[Beta Fai 180]] * Calculations_APPURT[[#This Row],[Lateral Offset]]/12</f>
        <v>0</v>
      </c>
      <c r="TL11" s="276">
        <f>IFERROR(1/Calculations_APPURT[[#This Row],[Brackets]],0) * cv_M/cv_F * Forces_APPURT[[#This Row],[Beta Fai 210]] * Calculations_APPURT[[#This Row],[Lateral Offset]]/12</f>
        <v>0</v>
      </c>
      <c r="TM11" s="276">
        <f>IFERROR(1/Calculations_APPURT[[#This Row],[Brackets]],0) * cv_M/cv_F * Forces_APPURT[[#This Row],[Beta Fai 225]] * Calculations_APPURT[[#This Row],[Lateral Offset]]/12</f>
        <v>0</v>
      </c>
      <c r="TN11" s="276">
        <f>IFERROR(1/Calculations_APPURT[[#This Row],[Brackets]],0) * cv_M/cv_F * Forces_APPURT[[#This Row],[Beta Fai 240]] * Calculations_APPURT[[#This Row],[Lateral Offset]]/12</f>
        <v>0</v>
      </c>
      <c r="TO11" s="276">
        <f>IFERROR(1/Calculations_APPURT[[#This Row],[Brackets]],0) * cv_M/cv_F * Forces_APPURT[[#This Row],[Beta Fai 270]] * Calculations_APPURT[[#This Row],[Lateral Offset]]/12</f>
        <v>0</v>
      </c>
      <c r="TP11" s="276">
        <f>IFERROR(1/Calculations_APPURT[[#This Row],[Brackets]],0) * cv_M/cv_F * Forces_APPURT[[#This Row],[Beta Fai 300]] * Calculations_APPURT[[#This Row],[Lateral Offset]]/12</f>
        <v>0</v>
      </c>
      <c r="TQ11" s="276">
        <f>IFERROR(1/Calculations_APPURT[[#This Row],[Brackets]],0) * cv_M/cv_F * Forces_APPURT[[#This Row],[Beta Fai 315]] * Calculations_APPURT[[#This Row],[Lateral Offset]]/12</f>
        <v>0</v>
      </c>
      <c r="TR11" s="276">
        <f>IFERROR(1/Calculations_APPURT[[#This Row],[Brackets]],0) * cv_M/cv_F * Forces_APPURT[[#This Row],[Beta Fai 330]] * Calculations_APPURT[[#This Row],[Lateral Offset]]/12</f>
        <v>0</v>
      </c>
      <c r="TS11" s="276">
        <f>IFERROR(1/Calculations_APPURT[[#This Row],[Brackets]],0) * cv_M/cv_F * Forces_APPURT[[#This Row],[Gamma Fai 0]] * Calculations_APPURT[[#This Row],[Lateral Offset]]/12</f>
        <v>0</v>
      </c>
      <c r="TT11" s="276">
        <f>IFERROR(1/Calculations_APPURT[[#This Row],[Brackets]],0) * cv_M/cv_F * Forces_APPURT[[#This Row],[Gamma Fai 30]] * Calculations_APPURT[[#This Row],[Lateral Offset]]/12</f>
        <v>0</v>
      </c>
      <c r="TU11" s="276">
        <f>IFERROR(1/Calculations_APPURT[[#This Row],[Brackets]],0) * cv_M/cv_F * Forces_APPURT[[#This Row],[Gamma Fai 45]] * Calculations_APPURT[[#This Row],[Lateral Offset]]/12</f>
        <v>0</v>
      </c>
      <c r="TV11" s="276">
        <f>IFERROR(1/Calculations_APPURT[[#This Row],[Brackets]],0) * cv_M/cv_F * Forces_APPURT[[#This Row],[Gamma Fai 60]] * Calculations_APPURT[[#This Row],[Lateral Offset]]/12</f>
        <v>0</v>
      </c>
      <c r="TW11" s="276">
        <f>IFERROR(1/Calculations_APPURT[[#This Row],[Brackets]],0) * cv_M/cv_F * Forces_APPURT[[#This Row],[Gamma Fai 90]] * Calculations_APPURT[[#This Row],[Lateral Offset]]/12</f>
        <v>0</v>
      </c>
      <c r="TX11" s="276">
        <f>IFERROR(1/Calculations_APPURT[[#This Row],[Brackets]],0) * cv_M/cv_F * Forces_APPURT[[#This Row],[Gamma Fai 120]] * Calculations_APPURT[[#This Row],[Lateral Offset]]/12</f>
        <v>0</v>
      </c>
      <c r="TY11" s="276">
        <f>IFERROR(1/Calculations_APPURT[[#This Row],[Brackets]],0) * cv_M/cv_F * Forces_APPURT[[#This Row],[Gamma Fai 135]] * Calculations_APPURT[[#This Row],[Lateral Offset]]/12</f>
        <v>0</v>
      </c>
      <c r="TZ11" s="276">
        <f>IFERROR(1/Calculations_APPURT[[#This Row],[Brackets]],0) * cv_M/cv_F * Forces_APPURT[[#This Row],[Gamma Fai 150]] * Calculations_APPURT[[#This Row],[Lateral Offset]]/12</f>
        <v>0</v>
      </c>
      <c r="UA11" s="276">
        <f>IFERROR(1/Calculations_APPURT[[#This Row],[Brackets]],0) * cv_M/cv_F * Forces_APPURT[[#This Row],[Gamma Fai 180]] * Calculations_APPURT[[#This Row],[Lateral Offset]]/12</f>
        <v>0</v>
      </c>
      <c r="UB11" s="276">
        <f>IFERROR(1/Calculations_APPURT[[#This Row],[Brackets]],0) * cv_M/cv_F * Forces_APPURT[[#This Row],[Gamma Fai 210]] * Calculations_APPURT[[#This Row],[Lateral Offset]]/12</f>
        <v>0</v>
      </c>
      <c r="UC11" s="276">
        <f>IFERROR(1/Calculations_APPURT[[#This Row],[Brackets]],0) * cv_M/cv_F * Forces_APPURT[[#This Row],[Gamma Fai 225]] * Calculations_APPURT[[#This Row],[Lateral Offset]]/12</f>
        <v>0</v>
      </c>
      <c r="UD11" s="276">
        <f>IFERROR(1/Calculations_APPURT[[#This Row],[Brackets]],0) * cv_M/cv_F * Forces_APPURT[[#This Row],[Gamma Fai 240]] * Calculations_APPURT[[#This Row],[Lateral Offset]]/12</f>
        <v>0</v>
      </c>
      <c r="UE11" s="276">
        <f>IFERROR(1/Calculations_APPURT[[#This Row],[Brackets]],0) * cv_M/cv_F * Forces_APPURT[[#This Row],[Gamma Fai 270]] * Calculations_APPURT[[#This Row],[Lateral Offset]]/12</f>
        <v>0</v>
      </c>
      <c r="UF11" s="276">
        <f>IFERROR(1/Calculations_APPURT[[#This Row],[Brackets]],0) * cv_M/cv_F * Forces_APPURT[[#This Row],[Gamma Fai 300]] * Calculations_APPURT[[#This Row],[Lateral Offset]]/12</f>
        <v>0</v>
      </c>
      <c r="UG11" s="276">
        <f>IFERROR(1/Calculations_APPURT[[#This Row],[Brackets]],0) * cv_M/cv_F * Forces_APPURT[[#This Row],[Gamma Fai 315]] * Calculations_APPURT[[#This Row],[Lateral Offset]]/12</f>
        <v>0</v>
      </c>
      <c r="UH11" s="276">
        <f>IFERROR(1/Calculations_APPURT[[#This Row],[Brackets]],0) * cv_M/cv_F * Forces_APPURT[[#This Row],[Gamma Fai 330]] * Calculations_APPURT[[#This Row],[Lateral Offset]]/12</f>
        <v>0</v>
      </c>
      <c r="UI11" s="276">
        <f>IFERROR(1/Calculations_APPURT[[#This Row],[Brackets]],0) * cv_M/cv_F * Forces_APPURT[[#This Row],[Delta Fai 0]] * Calculations_APPURT[[#This Row],[Lateral Offset]]/12</f>
        <v>0</v>
      </c>
      <c r="UJ11" s="276">
        <f>IFERROR(1/Calculations_APPURT[[#This Row],[Brackets]],0) * cv_M/cv_F * Forces_APPURT[[#This Row],[Delta Fai 30]] * Calculations_APPURT[[#This Row],[Lateral Offset]]/12</f>
        <v>0</v>
      </c>
      <c r="UK11" s="276">
        <f>IFERROR(1/Calculations_APPURT[[#This Row],[Brackets]],0) * cv_M/cv_F * Forces_APPURT[[#This Row],[Delta Fai 45]] * Calculations_APPURT[[#This Row],[Lateral Offset]]/12</f>
        <v>0</v>
      </c>
      <c r="UL11" s="276">
        <f>IFERROR(1/Calculations_APPURT[[#This Row],[Brackets]],0) * cv_M/cv_F * Forces_APPURT[[#This Row],[Delta Fai 60]] * Calculations_APPURT[[#This Row],[Lateral Offset]]/12</f>
        <v>0</v>
      </c>
      <c r="UM11" s="276">
        <f>IFERROR(1/Calculations_APPURT[[#This Row],[Brackets]],0) * cv_M/cv_F * Forces_APPURT[[#This Row],[Delta Fai 90]] * Calculations_APPURT[[#This Row],[Lateral Offset]]/12</f>
        <v>0</v>
      </c>
      <c r="UN11" s="276">
        <f>IFERROR(1/Calculations_APPURT[[#This Row],[Brackets]],0) * cv_M/cv_F * Forces_APPURT[[#This Row],[Delta Fai 120]] * Calculations_APPURT[[#This Row],[Lateral Offset]]/12</f>
        <v>0</v>
      </c>
      <c r="UO11" s="276">
        <f>IFERROR(1/Calculations_APPURT[[#This Row],[Brackets]],0) * cv_M/cv_F * Forces_APPURT[[#This Row],[Delta Fai 135]] * Calculations_APPURT[[#This Row],[Lateral Offset]]/12</f>
        <v>0</v>
      </c>
      <c r="UP11" s="276">
        <f>IFERROR(1/Calculations_APPURT[[#This Row],[Brackets]],0) * cv_M/cv_F * Forces_APPURT[[#This Row],[Delta Fai 150]] * Calculations_APPURT[[#This Row],[Lateral Offset]]/12</f>
        <v>0</v>
      </c>
      <c r="UQ11" s="276">
        <f>IFERROR(1/Calculations_APPURT[[#This Row],[Brackets]],0) * cv_M/cv_F * Forces_APPURT[[#This Row],[Delta Fai 180]] * Calculations_APPURT[[#This Row],[Lateral Offset]]/12</f>
        <v>0</v>
      </c>
      <c r="UR11" s="276">
        <f>IFERROR(1/Calculations_APPURT[[#This Row],[Brackets]],0) * cv_M/cv_F * Forces_APPURT[[#This Row],[Delta Fai 210]] * Calculations_APPURT[[#This Row],[Lateral Offset]]/12</f>
        <v>0</v>
      </c>
      <c r="US11" s="276">
        <f>IFERROR(1/Calculations_APPURT[[#This Row],[Brackets]],0) * cv_M/cv_F * Forces_APPURT[[#This Row],[Delta Fai 225]] * Calculations_APPURT[[#This Row],[Lateral Offset]]/12</f>
        <v>0</v>
      </c>
      <c r="UT11" s="276">
        <f>IFERROR(1/Calculations_APPURT[[#This Row],[Brackets]],0) * cv_M/cv_F * Forces_APPURT[[#This Row],[Delta Fai 240]] * Calculations_APPURT[[#This Row],[Lateral Offset]]/12</f>
        <v>0</v>
      </c>
      <c r="UU11" s="276">
        <f>IFERROR(1/Calculations_APPURT[[#This Row],[Brackets]],0) * cv_M/cv_F * Forces_APPURT[[#This Row],[Delta Fai 270]] * Calculations_APPURT[[#This Row],[Lateral Offset]]/12</f>
        <v>0</v>
      </c>
      <c r="UV11" s="276">
        <f>IFERROR(1/Calculations_APPURT[[#This Row],[Brackets]],0) * cv_M/cv_F * Forces_APPURT[[#This Row],[Delta Fai 300]] * Calculations_APPURT[[#This Row],[Lateral Offset]]/12</f>
        <v>0</v>
      </c>
      <c r="UW11" s="276">
        <f>IFERROR(1/Calculations_APPURT[[#This Row],[Brackets]],0) * cv_M/cv_F * Forces_APPURT[[#This Row],[Delta Fai 315]] * Calculations_APPURT[[#This Row],[Lateral Offset]]/12</f>
        <v>0</v>
      </c>
      <c r="UX11" s="276">
        <f>IFERROR(1/Calculations_APPURT[[#This Row],[Brackets]],0) * cv_M/cv_F * Forces_APPURT[[#This Row],[Delta Fai 330]] * Calculations_APPURT[[#This Row],[Lateral Offset]]/12</f>
        <v>0</v>
      </c>
      <c r="UY11" s="276">
        <f>Dimensions_APPURT[[#This Row],[Weight (lbf)]] * cv_F * AlphaSector[[#This Row],[Quantity]]</f>
        <v>0</v>
      </c>
      <c r="UZ11" s="276">
        <f>Dimensions_APPURT[[#This Row],[Weight (lbf)]] * cv_F * BetaSector[[#This Row],[Quantity]]</f>
        <v>0</v>
      </c>
      <c r="VA11" s="276">
        <f>Dimensions_APPURT[[#This Row],[Weight (lbf)]] * cv_F * GammaSector[[#This Row],[Quantity]]</f>
        <v>0</v>
      </c>
      <c r="VB11" s="276">
        <f>Dimensions_APPURT[[#This Row],[Weight (lbf)]] * cv_F * DeltaSector[[#This Row],[Quantity]]</f>
        <v>0</v>
      </c>
      <c r="VC11" s="209">
        <f>Dimensions_APPURT[[#This Row],[Weight (lbf)]] * cv_M * AlphaSector[[#This Row],[Quantity]] * Calculations_APPURT[[#This Row],[Horizontal Offset]]/12</f>
        <v>0</v>
      </c>
      <c r="VD11" s="209">
        <f>Dimensions_APPURT[[#This Row],[Weight (lbf)]] * cv_M * BetaSector[[#This Row],[Quantity]] * Calculations_APPURT[[#This Row],[Horizontal Offset]]/12</f>
        <v>0</v>
      </c>
      <c r="VE11" s="209">
        <f>Dimensions_APPURT[[#This Row],[Weight (lbf)]] * cv_M * GammaSector[[#This Row],[Quantity]] * Calculations_APPURT[[#This Row],[Horizontal Offset]]/12</f>
        <v>0</v>
      </c>
      <c r="VF11" s="209">
        <f>Dimensions_APPURT[[#This Row],[Weight (lbf)]] * cv_M * DeltaSector[[#This Row],[Quantity]] * Calculations_APPURT[[#This Row],[Horizontal Offset]]/12</f>
        <v>0</v>
      </c>
      <c r="VG11" s="276">
        <f>Hazards_APPURT[[#This Row],[Ice Weight]] * cv_F * AlphaSector[[#This Row],[Quantity]]</f>
        <v>0</v>
      </c>
      <c r="VH11" s="276">
        <f>Hazards_APPURT[[#This Row],[Ice Weight]] * cv_F * BetaSector[[#This Row],[Quantity]]</f>
        <v>0</v>
      </c>
      <c r="VI11" s="276">
        <f>Hazards_APPURT[[#This Row],[Ice Weight]] * cv_F * GammaSector[[#This Row],[Quantity]]</f>
        <v>0</v>
      </c>
      <c r="VJ11" s="276">
        <f>Hazards_APPURT[[#This Row],[Ice Weight]] * cv_F * DeltaSector[[#This Row],[Quantity]]</f>
        <v>0</v>
      </c>
      <c r="VK11" s="209">
        <f>Hazards_APPURT[[#This Row],[Ice Weight]] * cv_M * AlphaSector[[#This Row],[Quantity]] * Calculations_APPURT[[#This Row],[Horizontal Offset]]/12</f>
        <v>0</v>
      </c>
      <c r="VL11" s="209">
        <f>Hazards_APPURT[[#This Row],[Ice Weight]] * cv_M * BetaSector[[#This Row],[Quantity]] * Calculations_APPURT[[#This Row],[Horizontal Offset]]/12</f>
        <v>0</v>
      </c>
      <c r="VM11" s="209">
        <f>Hazards_APPURT[[#This Row],[Ice Weight]] * cv_M * GammaSector[[#This Row],[Quantity]] * Calculations_APPURT[[#This Row],[Horizontal Offset]]/12</f>
        <v>0</v>
      </c>
      <c r="VN11" s="209">
        <f>Hazards_APPURT[[#This Row],[Ice Weight]] * cv_M * DeltaSector[[#This Row],[Quantity]] * Calculations_APPURT[[#This Row],[Horizontal Offset]]/12</f>
        <v>0</v>
      </c>
    </row>
    <row r="12" spans="1:586" ht="15" customHeight="1" x14ac:dyDescent="0.2">
      <c r="A12" s="69"/>
      <c r="B12" s="275"/>
      <c r="E12" s="265"/>
      <c r="L12" s="69"/>
      <c r="R12" s="70"/>
      <c r="T12" s="69"/>
      <c r="V12" s="71"/>
      <c r="W12" s="69"/>
      <c r="X12" s="71"/>
      <c r="Y12" s="69"/>
      <c r="Z12" s="70"/>
      <c r="AB12" s="69"/>
      <c r="AD12" s="71"/>
      <c r="AE12" s="69"/>
      <c r="AF12" s="71"/>
      <c r="AG12" s="69"/>
      <c r="AH12" s="70"/>
      <c r="AJ12" s="69"/>
      <c r="AL12" s="71"/>
      <c r="AM12" s="69"/>
      <c r="AN12" s="71"/>
      <c r="AO12" s="69"/>
      <c r="AP12" s="70"/>
      <c r="AR12" s="69"/>
      <c r="AV12" s="277" cm="1">
        <f t="array" ref="AV12">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2" s="209" cm="1">
        <f t="array" ref="AW12">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2" s="209" cm="1">
        <f t="array" ref="AX12">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2" s="209" cm="1">
        <f t="array" ref="AY12">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2"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2" s="209" cm="1">
        <f t="array" ref="BA12">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2" s="209">
        <f>IF(OR(Calculations_APPURT[[#This Row],[Shape]]="CFD",Calculations_APPURT[[#This Row],[Shape]]="CCI"),1,0.95)</f>
        <v>0.95</v>
      </c>
      <c r="BC12" s="209" cm="1">
        <f t="array" ref="BC12">0.00256 * Hazards_APPURT[[#This Row],[Kz]] * Kzt * Ks * I.wind * V^2 * IF(RIGHT(TIA,1)="G",1,Ke) * IF(OR(Calculations_APPURT[[#This Row],[Shape]]="CFD",Calculations_APPURT[[#This Row],[Shape]]="CCI"),1, Hazards_APPURT[[#This Row],[Kd]]) * Gh</f>
        <v>0</v>
      </c>
      <c r="BD12" s="209">
        <f>IF(Risk="I",0,MIN(((z+Calculations_APPURT[[#This Row],[Vertical Offset]]/12)/33)^(0.1),1.4))</f>
        <v>0</v>
      </c>
      <c r="BE12" s="209" cm="1">
        <f t="array" ref="BE12">IF(Risk="I",0,IF(TIA="ANSI/TIA-222-G",2,1*Kes.i)*ti*I.ice*Hazards_APPURT[[#This Row],[Kiz]]*(Kzt/Ks)^(0.35))</f>
        <v>0</v>
      </c>
      <c r="BF12" s="209" cm="1">
        <f t="array" ref="BF12">0.00256 * Hazards_APPURT[[#This Row],[Kz]] * Kzt * Ks * I.wind * Vi^2 * IF(RIGHT(TIA,1)="G",1,Ke) * IF(OR(Calculations_APPURT[[#This Row],[Shape]]="CFD",Calculations_APPURT[[#This Row],[Shape]]="CCI"),1, Kd) * Gh</f>
        <v>0</v>
      </c>
      <c r="BG12"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2"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2"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2"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2"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2"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2"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2"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2"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2"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2"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2"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2"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2"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2"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2"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2"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2"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2"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2"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2"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2"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2"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2"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2"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2"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2"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2"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2"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2"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2"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2"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2"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2"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2"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2"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2"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2"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2"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2"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2"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2"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2"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2"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2"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2"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2"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2"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2"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2"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2"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2"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2"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2"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2"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2"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2"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2"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2"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2"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2"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2"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2"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2"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2" s="338">
        <f>IFERROR(1/Calculations_APPURT[[#This Row],[Brackets]],0) * cv_F * AlphaSector[[#This Row],[Quantity]] * Hazards_APPURT[[#This Row],[qz]] * CaAa_APPURT[[#This Row],[Alpha 0]] * IF(Calculations_APPURT[[#This Row],[Shape]]="CFD",1, Ka)</f>
        <v>0</v>
      </c>
      <c r="GF12" s="338">
        <f>IFERROR(1/Calculations_APPURT[[#This Row],[Brackets]],0) * cv_F * AlphaSector[[#This Row],[Quantity]] * Hazards_APPURT[[#This Row],[qz]] * CaAa_APPURT[[#This Row],[Alpha 30]] * IF(Calculations_APPURT[[#This Row],[Shape]]="CFD",1, Ka)</f>
        <v>0</v>
      </c>
      <c r="GG12" s="338">
        <f>IFERROR(1/Calculations_APPURT[[#This Row],[Brackets]],0) * cv_F * AlphaSector[[#This Row],[Quantity]] * Hazards_APPURT[[#This Row],[qz]] * CaAa_APPURT[[#This Row],[Alpha 45]] * IF(Calculations_APPURT[[#This Row],[Shape]]="CFD",1, Ka)</f>
        <v>0</v>
      </c>
      <c r="GH12" s="338">
        <f>IFERROR(1/Calculations_APPURT[[#This Row],[Brackets]],0) * cv_F * AlphaSector[[#This Row],[Quantity]] * Hazards_APPURT[[#This Row],[qz]] * CaAa_APPURT[[#This Row],[Alpha 60]] * IF(Calculations_APPURT[[#This Row],[Shape]]="CFD",1, Ka)</f>
        <v>0</v>
      </c>
      <c r="GI12" s="338">
        <f>IFERROR(1/Calculations_APPURT[[#This Row],[Brackets]],0) * cv_F * AlphaSector[[#This Row],[Quantity]] * Hazards_APPURT[[#This Row],[qz]] * CaAa_APPURT[[#This Row],[Alpha 90]] * IF(Calculations_APPURT[[#This Row],[Shape]]="CFD",1, Ka)</f>
        <v>0</v>
      </c>
      <c r="GJ12" s="338">
        <f>IFERROR(1/Calculations_APPURT[[#This Row],[Brackets]],0) * cv_F * AlphaSector[[#This Row],[Quantity]] * Hazards_APPURT[[#This Row],[qz]] * CaAa_APPURT[[#This Row],[Alpha 120]] * IF(Calculations_APPURT[[#This Row],[Shape]]="CFD",1, Ka)</f>
        <v>0</v>
      </c>
      <c r="GK12" s="338">
        <f>IFERROR(1/Calculations_APPURT[[#This Row],[Brackets]],0) * cv_F * AlphaSector[[#This Row],[Quantity]] * Hazards_APPURT[[#This Row],[qz]] * CaAa_APPURT[[#This Row],[Alpha 135]] * IF(Calculations_APPURT[[#This Row],[Shape]]="CFD",1, Ka)</f>
        <v>0</v>
      </c>
      <c r="GL12" s="338">
        <f>IFERROR(1/Calculations_APPURT[[#This Row],[Brackets]],0) * cv_F * AlphaSector[[#This Row],[Quantity]] * Hazards_APPURT[[#This Row],[qz]] * CaAa_APPURT[[#This Row],[Alpha 150]] * IF(Calculations_APPURT[[#This Row],[Shape]]="CFD",1, Ka)</f>
        <v>0</v>
      </c>
      <c r="GM12" s="338">
        <f>IFERROR(1/Calculations_APPURT[[#This Row],[Brackets]],0) * cv_F * AlphaSector[[#This Row],[Quantity]] * Hazards_APPURT[[#This Row],[qz]] * CaAa_APPURT[[#This Row],[Alpha 180]] * IF(Calculations_APPURT[[#This Row],[Shape]]="CFD",1, Ka)</f>
        <v>0</v>
      </c>
      <c r="GN12" s="338">
        <f>IFERROR(1/Calculations_APPURT[[#This Row],[Brackets]],0) * cv_F * AlphaSector[[#This Row],[Quantity]] * Hazards_APPURT[[#This Row],[qz]] * CaAa_APPURT[[#This Row],[Alpha 210]] * IF(Calculations_APPURT[[#This Row],[Shape]]="CFD",1, Ka)</f>
        <v>0</v>
      </c>
      <c r="GO12" s="338">
        <f>IFERROR(1/Calculations_APPURT[[#This Row],[Brackets]],0) * cv_F * AlphaSector[[#This Row],[Quantity]] * Hazards_APPURT[[#This Row],[qz]] * CaAa_APPURT[[#This Row],[Alpha 225]] * IF(Calculations_APPURT[[#This Row],[Shape]]="CFD",1, Ka)</f>
        <v>0</v>
      </c>
      <c r="GP12" s="338">
        <f>IFERROR(1/Calculations_APPURT[[#This Row],[Brackets]],0) * cv_F * AlphaSector[[#This Row],[Quantity]] * Hazards_APPURT[[#This Row],[qz]] * CaAa_APPURT[[#This Row],[Alpha 240]] * IF(Calculations_APPURT[[#This Row],[Shape]]="CFD",1, Ka)</f>
        <v>0</v>
      </c>
      <c r="GQ12" s="338">
        <f>IFERROR(1/Calculations_APPURT[[#This Row],[Brackets]],0) * cv_F * AlphaSector[[#This Row],[Quantity]] * Hazards_APPURT[[#This Row],[qz]] * CaAa_APPURT[[#This Row],[Alpha 270]] * IF(Calculations_APPURT[[#This Row],[Shape]]="CFD",1, Ka)</f>
        <v>0</v>
      </c>
      <c r="GR12" s="338">
        <f>IFERROR(1/Calculations_APPURT[[#This Row],[Brackets]],0) * cv_F * AlphaSector[[#This Row],[Quantity]] * Hazards_APPURT[[#This Row],[qz]] * CaAa_APPURT[[#This Row],[Alpha 300]] * IF(Calculations_APPURT[[#This Row],[Shape]]="CFD",1, Ka)</f>
        <v>0</v>
      </c>
      <c r="GS12" s="338">
        <f>IFERROR(1/Calculations_APPURT[[#This Row],[Brackets]],0) * cv_F * AlphaSector[[#This Row],[Quantity]] * Hazards_APPURT[[#This Row],[qz]] * CaAa_APPURT[[#This Row],[Alpha 315]] * IF(Calculations_APPURT[[#This Row],[Shape]]="CFD",1, Ka)</f>
        <v>0</v>
      </c>
      <c r="GT12" s="338">
        <f>IFERROR(1/Calculations_APPURT[[#This Row],[Brackets]],0) * cv_F * AlphaSector[[#This Row],[Quantity]] * Hazards_APPURT[[#This Row],[qz]] * CaAa_APPURT[[#This Row],[Alpha 330]] * IF(Calculations_APPURT[[#This Row],[Shape]]="CFD",1, Ka)</f>
        <v>0</v>
      </c>
      <c r="GU12" s="276">
        <f>IFERROR(1/Calculations_APPURT[[#This Row],[Brackets]],0) * cv_F * BetaSector[[#This Row],[Quantity]] * Hazards_APPURT[[#This Row],[qz]] * CaAa_APPURT[[#This Row],[Beta 0]] * IF(Calculations_APPURT[[#This Row],[Shape]]="CFD",1, Ka)</f>
        <v>0</v>
      </c>
      <c r="GV12" s="276">
        <f>IFERROR(1/Calculations_APPURT[[#This Row],[Brackets]],0) * cv_F * BetaSector[[#This Row],[Quantity]] * Hazards_APPURT[[#This Row],[qz]] * CaAa_APPURT[[#This Row],[Beta 30]] * IF(Calculations_APPURT[[#This Row],[Shape]]="CFD",1, Ka)</f>
        <v>0</v>
      </c>
      <c r="GW12" s="276">
        <f>IFERROR(1/Calculations_APPURT[[#This Row],[Brackets]],0) * cv_F * BetaSector[[#This Row],[Quantity]] * Hazards_APPURT[[#This Row],[qz]] * CaAa_APPURT[[#This Row],[Beta 45]] * IF(Calculations_APPURT[[#This Row],[Shape]]="CFD",1, Ka)</f>
        <v>0</v>
      </c>
      <c r="GX12" s="276">
        <f>IFERROR(1/Calculations_APPURT[[#This Row],[Brackets]],0) * cv_F * BetaSector[[#This Row],[Quantity]] * Hazards_APPURT[[#This Row],[qz]] * CaAa_APPURT[[#This Row],[Beta 60]] * IF(Calculations_APPURT[[#This Row],[Shape]]="CFD",1, Ka)</f>
        <v>0</v>
      </c>
      <c r="GY12" s="276">
        <f>IFERROR(1/Calculations_APPURT[[#This Row],[Brackets]],0) * cv_F * BetaSector[[#This Row],[Quantity]] * Hazards_APPURT[[#This Row],[qz]] * CaAa_APPURT[[#This Row],[Beta 90]] * IF(Calculations_APPURT[[#This Row],[Shape]]="CFD",1, Ka)</f>
        <v>0</v>
      </c>
      <c r="GZ12" s="276">
        <f>IFERROR(1/Calculations_APPURT[[#This Row],[Brackets]],0) * cv_F * BetaSector[[#This Row],[Quantity]] * Hazards_APPURT[[#This Row],[qz]] * CaAa_APPURT[[#This Row],[Beta 120]] * IF(Calculations_APPURT[[#This Row],[Shape]]="CFD",1, Ka)</f>
        <v>0</v>
      </c>
      <c r="HA12" s="276">
        <f>IFERROR(1/Calculations_APPURT[[#This Row],[Brackets]],0) * cv_F * BetaSector[[#This Row],[Quantity]] * Hazards_APPURT[[#This Row],[qz]] * CaAa_APPURT[[#This Row],[Beta 135]] * IF(Calculations_APPURT[[#This Row],[Shape]]="CFD",1, Ka)</f>
        <v>0</v>
      </c>
      <c r="HB12" s="276">
        <f>IFERROR(1/Calculations_APPURT[[#This Row],[Brackets]],0) * cv_F * BetaSector[[#This Row],[Quantity]] * Hazards_APPURT[[#This Row],[qz]] * CaAa_APPURT[[#This Row],[Beta 150]] * IF(Calculations_APPURT[[#This Row],[Shape]]="CFD",1, Ka)</f>
        <v>0</v>
      </c>
      <c r="HC12" s="276">
        <f>IFERROR(1/Calculations_APPURT[[#This Row],[Brackets]],0) * cv_F * BetaSector[[#This Row],[Quantity]] * Hazards_APPURT[[#This Row],[qz]] * CaAa_APPURT[[#This Row],[Beta 180]] * IF(Calculations_APPURT[[#This Row],[Shape]]="CFD",1, Ka)</f>
        <v>0</v>
      </c>
      <c r="HD12" s="276">
        <f>IFERROR(1/Calculations_APPURT[[#This Row],[Brackets]],0) * cv_F * BetaSector[[#This Row],[Quantity]] * Hazards_APPURT[[#This Row],[qz]] * CaAa_APPURT[[#This Row],[Beta 210]] * IF(Calculations_APPURT[[#This Row],[Shape]]="CFD",1, Ka)</f>
        <v>0</v>
      </c>
      <c r="HE12" s="276">
        <f>IFERROR(1/Calculations_APPURT[[#This Row],[Brackets]],0) * cv_F * BetaSector[[#This Row],[Quantity]] * Hazards_APPURT[[#This Row],[qz]] * CaAa_APPURT[[#This Row],[Beta 225]] * IF(Calculations_APPURT[[#This Row],[Shape]]="CFD",1, Ka)</f>
        <v>0</v>
      </c>
      <c r="HF12" s="276">
        <f>IFERROR(1/Calculations_APPURT[[#This Row],[Brackets]],0) * cv_F * BetaSector[[#This Row],[Quantity]] * Hazards_APPURT[[#This Row],[qz]] * CaAa_APPURT[[#This Row],[Beta 240]] * IF(Calculations_APPURT[[#This Row],[Shape]]="CFD",1, Ka)</f>
        <v>0</v>
      </c>
      <c r="HG12" s="276">
        <f>IFERROR(1/Calculations_APPURT[[#This Row],[Brackets]],0) * cv_F * BetaSector[[#This Row],[Quantity]] * Hazards_APPURT[[#This Row],[qz]] * CaAa_APPURT[[#This Row],[Beta 270]] * IF(Calculations_APPURT[[#This Row],[Shape]]="CFD",1, Ka)</f>
        <v>0</v>
      </c>
      <c r="HH12" s="276">
        <f>IFERROR(1/Calculations_APPURT[[#This Row],[Brackets]],0) * cv_F * BetaSector[[#This Row],[Quantity]] * Hazards_APPURT[[#This Row],[qz]] * CaAa_APPURT[[#This Row],[Beta 300]] * IF(Calculations_APPURT[[#This Row],[Shape]]="CFD",1, Ka)</f>
        <v>0</v>
      </c>
      <c r="HI12" s="276">
        <f>IFERROR(1/Calculations_APPURT[[#This Row],[Brackets]],0) * cv_F * BetaSector[[#This Row],[Quantity]] * Hazards_APPURT[[#This Row],[qz]] * CaAa_APPURT[[#This Row],[Beta 315]] * IF(Calculations_APPURT[[#This Row],[Shape]]="CFD",1, Ka)</f>
        <v>0</v>
      </c>
      <c r="HJ12" s="276">
        <f>IFERROR(1/Calculations_APPURT[[#This Row],[Brackets]],0) * cv_F * BetaSector[[#This Row],[Quantity]] * Hazards_APPURT[[#This Row],[qz]] * CaAa_APPURT[[#This Row],[Beta 330]] * IF(Calculations_APPURT[[#This Row],[Shape]]="CFD",1, Ka)</f>
        <v>0</v>
      </c>
      <c r="HK12" s="338">
        <f>IFERROR(1/Calculations_APPURT[[#This Row],[Brackets]],0) * cv_F * GammaSector[[#This Row],[Quantity]] * Hazards_APPURT[[#This Row],[qz]] * CaAa_APPURT[[#This Row],[Gamma 0]] * IF(Calculations_APPURT[[#This Row],[Shape]]="CFD",1, Ka)</f>
        <v>0</v>
      </c>
      <c r="HL12" s="338">
        <f>IFERROR(1/Calculations_APPURT[[#This Row],[Brackets]],0) * cv_F * GammaSector[[#This Row],[Quantity]] * Hazards_APPURT[[#This Row],[qz]] * CaAa_APPURT[[#This Row],[Gamma 30]] * IF(Calculations_APPURT[[#This Row],[Shape]]="CFD",1, Ka)</f>
        <v>0</v>
      </c>
      <c r="HM12" s="338">
        <f>IFERROR(1/Calculations_APPURT[[#This Row],[Brackets]],0) * cv_F * GammaSector[[#This Row],[Quantity]] * Hazards_APPURT[[#This Row],[qz]] * CaAa_APPURT[[#This Row],[Gamma 45]] * IF(Calculations_APPURT[[#This Row],[Shape]]="CFD",1, Ka)</f>
        <v>0</v>
      </c>
      <c r="HN12" s="338">
        <f>IFERROR(1/Calculations_APPURT[[#This Row],[Brackets]],0) * cv_F * GammaSector[[#This Row],[Quantity]] * Hazards_APPURT[[#This Row],[qz]] * CaAa_APPURT[[#This Row],[Gamma 60]] * IF(Calculations_APPURT[[#This Row],[Shape]]="CFD",1, Ka)</f>
        <v>0</v>
      </c>
      <c r="HO12" s="338">
        <f>IFERROR(1/Calculations_APPURT[[#This Row],[Brackets]],0) * cv_F * GammaSector[[#This Row],[Quantity]] * Hazards_APPURT[[#This Row],[qz]] * CaAa_APPURT[[#This Row],[Gamma 90]] * IF(Calculations_APPURT[[#This Row],[Shape]]="CFD",1, Ka)</f>
        <v>0</v>
      </c>
      <c r="HP12" s="338">
        <f>IFERROR(1/Calculations_APPURT[[#This Row],[Brackets]],0) * cv_F * GammaSector[[#This Row],[Quantity]] * Hazards_APPURT[[#This Row],[qz]] * CaAa_APPURT[[#This Row],[Gamma 120]] * IF(Calculations_APPURT[[#This Row],[Shape]]="CFD",1, Ka)</f>
        <v>0</v>
      </c>
      <c r="HQ12" s="338">
        <f>IFERROR(1/Calculations_APPURT[[#This Row],[Brackets]],0) * cv_F * GammaSector[[#This Row],[Quantity]] * Hazards_APPURT[[#This Row],[qz]] * CaAa_APPURT[[#This Row],[Gamma 135]] * IF(Calculations_APPURT[[#This Row],[Shape]]="CFD",1, Ka)</f>
        <v>0</v>
      </c>
      <c r="HR12" s="338">
        <f>IFERROR(1/Calculations_APPURT[[#This Row],[Brackets]],0) * cv_F * GammaSector[[#This Row],[Quantity]] * Hazards_APPURT[[#This Row],[qz]] * CaAa_APPURT[[#This Row],[Gamma 150]] * IF(Calculations_APPURT[[#This Row],[Shape]]="CFD",1, Ka)</f>
        <v>0</v>
      </c>
      <c r="HS12" s="338">
        <f>IFERROR(1/Calculations_APPURT[[#This Row],[Brackets]],0) * cv_F * GammaSector[[#This Row],[Quantity]] * Hazards_APPURT[[#This Row],[qz]] * CaAa_APPURT[[#This Row],[Gamma 180]] * IF(Calculations_APPURT[[#This Row],[Shape]]="CFD",1, Ka)</f>
        <v>0</v>
      </c>
      <c r="HT12" s="338">
        <f>IFERROR(1/Calculations_APPURT[[#This Row],[Brackets]],0) * cv_F * GammaSector[[#This Row],[Quantity]] * Hazards_APPURT[[#This Row],[qz]] * CaAa_APPURT[[#This Row],[Gamma 210]] * IF(Calculations_APPURT[[#This Row],[Shape]]="CFD",1, Ka)</f>
        <v>0</v>
      </c>
      <c r="HU12" s="338">
        <f>IFERROR(1/Calculations_APPURT[[#This Row],[Brackets]],0) * cv_F * GammaSector[[#This Row],[Quantity]] * Hazards_APPURT[[#This Row],[qz]] * CaAa_APPURT[[#This Row],[Gamma 225]] * IF(Calculations_APPURT[[#This Row],[Shape]]="CFD",1, Ka)</f>
        <v>0</v>
      </c>
      <c r="HV12" s="338">
        <f>IFERROR(1/Calculations_APPURT[[#This Row],[Brackets]],0) * cv_F * GammaSector[[#This Row],[Quantity]] * Hazards_APPURT[[#This Row],[qz]] * CaAa_APPURT[[#This Row],[Gamma 240]] * IF(Calculations_APPURT[[#This Row],[Shape]]="CFD",1, Ka)</f>
        <v>0</v>
      </c>
      <c r="HW12" s="338">
        <f>IFERROR(1/Calculations_APPURT[[#This Row],[Brackets]],0) * cv_F * GammaSector[[#This Row],[Quantity]] * Hazards_APPURT[[#This Row],[qz]] * CaAa_APPURT[[#This Row],[Gamma 270]] * IF(Calculations_APPURT[[#This Row],[Shape]]="CFD",1, Ka)</f>
        <v>0</v>
      </c>
      <c r="HX12" s="338">
        <f>IFERROR(1/Calculations_APPURT[[#This Row],[Brackets]],0) * cv_F * GammaSector[[#This Row],[Quantity]] * Hazards_APPURT[[#This Row],[qz]] * CaAa_APPURT[[#This Row],[Gamma 300]] * IF(Calculations_APPURT[[#This Row],[Shape]]="CFD",1, Ka)</f>
        <v>0</v>
      </c>
      <c r="HY12" s="338">
        <f>IFERROR(1/Calculations_APPURT[[#This Row],[Brackets]],0) * cv_F * GammaSector[[#This Row],[Quantity]] * Hazards_APPURT[[#This Row],[qz]] * CaAa_APPURT[[#This Row],[Gamma 315]] * IF(Calculations_APPURT[[#This Row],[Shape]]="CFD",1, Ka)</f>
        <v>0</v>
      </c>
      <c r="HZ12" s="338">
        <f>IFERROR(1/Calculations_APPURT[[#This Row],[Brackets]],0) * cv_F * GammaSector[[#This Row],[Quantity]] * Hazards_APPURT[[#This Row],[qz]] * CaAa_APPURT[[#This Row],[Gamma 330]] * IF(Calculations_APPURT[[#This Row],[Shape]]="CFD",1, Ka)</f>
        <v>0</v>
      </c>
      <c r="IA12" s="276">
        <f>IFERROR(1/Calculations_APPURT[[#This Row],[Brackets]],0) * cv_F * DeltaSector[[#This Row],[Quantity]] * Hazards_APPURT[[#This Row],[qz]] * CaAa_APPURT[[#This Row],[Delta 0]] * IF(Calculations_APPURT[[#This Row],[Shape]]="CFD",1, Ka)</f>
        <v>0</v>
      </c>
      <c r="IB12" s="276">
        <f>IFERROR(1/Calculations_APPURT[[#This Row],[Brackets]],0) * cv_F * DeltaSector[[#This Row],[Quantity]] * Hazards_APPURT[[#This Row],[qz]] * CaAa_APPURT[[#This Row],[Delta 30]] * IF(Calculations_APPURT[[#This Row],[Shape]]="CFD",1, Ka)</f>
        <v>0</v>
      </c>
      <c r="IC12" s="276">
        <f>IFERROR(1/Calculations_APPURT[[#This Row],[Brackets]],0) * cv_F * DeltaSector[[#This Row],[Quantity]] * Hazards_APPURT[[#This Row],[qz]] * CaAa_APPURT[[#This Row],[Delta 45]] * IF(Calculations_APPURT[[#This Row],[Shape]]="CFD",1, Ka)</f>
        <v>0</v>
      </c>
      <c r="ID12" s="276">
        <f>IFERROR(1/Calculations_APPURT[[#This Row],[Brackets]],0) * cv_F * DeltaSector[[#This Row],[Quantity]] * Hazards_APPURT[[#This Row],[qz]] * CaAa_APPURT[[#This Row],[Delta 60]] * IF(Calculations_APPURT[[#This Row],[Shape]]="CFD",1, Ka)</f>
        <v>0</v>
      </c>
      <c r="IE12" s="276">
        <f>IFERROR(1/Calculations_APPURT[[#This Row],[Brackets]],0) * cv_F * DeltaSector[[#This Row],[Quantity]] * Hazards_APPURT[[#This Row],[qz]] * CaAa_APPURT[[#This Row],[Delta 90]] * IF(Calculations_APPURT[[#This Row],[Shape]]="CFD",1, Ka)</f>
        <v>0</v>
      </c>
      <c r="IF12" s="276">
        <f>IFERROR(1/Calculations_APPURT[[#This Row],[Brackets]],0) * cv_F * DeltaSector[[#This Row],[Quantity]] * Hazards_APPURT[[#This Row],[qz]] * CaAa_APPURT[[#This Row],[Delta 120]] * IF(Calculations_APPURT[[#This Row],[Shape]]="CFD",1, Ka)</f>
        <v>0</v>
      </c>
      <c r="IG12" s="276">
        <f>IFERROR(1/Calculations_APPURT[[#This Row],[Brackets]],0) * cv_F * DeltaSector[[#This Row],[Quantity]] * Hazards_APPURT[[#This Row],[qz]] * CaAa_APPURT[[#This Row],[Delta 135]] * IF(Calculations_APPURT[[#This Row],[Shape]]="CFD",1, Ka)</f>
        <v>0</v>
      </c>
      <c r="IH12" s="276">
        <f>IFERROR(1/Calculations_APPURT[[#This Row],[Brackets]],0) * cv_F * DeltaSector[[#This Row],[Quantity]] * Hazards_APPURT[[#This Row],[qz]] * CaAa_APPURT[[#This Row],[Delta 150]] * IF(Calculations_APPURT[[#This Row],[Shape]]="CFD",1, Ka)</f>
        <v>0</v>
      </c>
      <c r="II12" s="276">
        <f>IFERROR(1/Calculations_APPURT[[#This Row],[Brackets]],0) * cv_F * DeltaSector[[#This Row],[Quantity]] * Hazards_APPURT[[#This Row],[qz]] * CaAa_APPURT[[#This Row],[Delta 180]] * IF(Calculations_APPURT[[#This Row],[Shape]]="CFD",1, Ka)</f>
        <v>0</v>
      </c>
      <c r="IJ12" s="276">
        <f>IFERROR(1/Calculations_APPURT[[#This Row],[Brackets]],0) * cv_F * DeltaSector[[#This Row],[Quantity]] * Hazards_APPURT[[#This Row],[qz]] * CaAa_APPURT[[#This Row],[Delta 210]] * IF(Calculations_APPURT[[#This Row],[Shape]]="CFD",1, Ka)</f>
        <v>0</v>
      </c>
      <c r="IK12" s="276">
        <f>IFERROR(1/Calculations_APPURT[[#This Row],[Brackets]],0) * cv_F * DeltaSector[[#This Row],[Quantity]] * Hazards_APPURT[[#This Row],[qz]] * CaAa_APPURT[[#This Row],[Delta 225]] * IF(Calculations_APPURT[[#This Row],[Shape]]="CFD",1, Ka)</f>
        <v>0</v>
      </c>
      <c r="IL12" s="276">
        <f>IFERROR(1/Calculations_APPURT[[#This Row],[Brackets]],0) * cv_F * DeltaSector[[#This Row],[Quantity]] * Hazards_APPURT[[#This Row],[qz]] * CaAa_APPURT[[#This Row],[Delta 240]] * IF(Calculations_APPURT[[#This Row],[Shape]]="CFD",1, Ka)</f>
        <v>0</v>
      </c>
      <c r="IM12" s="276">
        <f>IFERROR(1/Calculations_APPURT[[#This Row],[Brackets]],0) * cv_F * DeltaSector[[#This Row],[Quantity]] * Hazards_APPURT[[#This Row],[qz]] * CaAa_APPURT[[#This Row],[Delta 270]] * IF(Calculations_APPURT[[#This Row],[Shape]]="CFD",1, Ka)</f>
        <v>0</v>
      </c>
      <c r="IN12" s="276">
        <f>IFERROR(1/Calculations_APPURT[[#This Row],[Brackets]],0) * cv_F * DeltaSector[[#This Row],[Quantity]] * Hazards_APPURT[[#This Row],[qz]] * CaAa_APPURT[[#This Row],[Delta 300]] * IF(Calculations_APPURT[[#This Row],[Shape]]="CFD",1, Ka)</f>
        <v>0</v>
      </c>
      <c r="IO12" s="276">
        <f>IFERROR(1/Calculations_APPURT[[#This Row],[Brackets]],0) * cv_F * DeltaSector[[#This Row],[Quantity]] * Hazards_APPURT[[#This Row],[qz]] * CaAa_APPURT[[#This Row],[Delta 315]] * IF(Calculations_APPURT[[#This Row],[Shape]]="CFD",1, Ka)</f>
        <v>0</v>
      </c>
      <c r="IP12" s="276">
        <f>IFERROR(1/Calculations_APPURT[[#This Row],[Brackets]],0) * cv_F * DeltaSector[[#This Row],[Quantity]] * Hazards_APPURT[[#This Row],[qz]] * CaAa_APPURT[[#This Row],[Delta 330]] * IF(Calculations_APPURT[[#This Row],[Shape]]="CFD",1, Ka)</f>
        <v>0</v>
      </c>
      <c r="IQ12" s="338">
        <f>IFERROR(1/Calculations_APPURT[[#This Row],[Brackets]],0) * cv_F * AlphaSector[[#This Row],[Quantity]] * Hazards_APPURT[[#This Row],[qiz]] * CaAa_APPURT[[#This Row],[Alpha Ice 0]]</f>
        <v>0</v>
      </c>
      <c r="IR12" s="338">
        <f>IFERROR(1/Calculations_APPURT[[#This Row],[Brackets]],0) * cv_F * AlphaSector[[#This Row],[Quantity]] * Hazards_APPURT[[#This Row],[qiz]] * CaAa_APPURT[[#This Row],[Alpha Ice 30]]</f>
        <v>0</v>
      </c>
      <c r="IS12" s="338">
        <f>IFERROR(1/Calculations_APPURT[[#This Row],[Brackets]],0) * cv_F * AlphaSector[[#This Row],[Quantity]] * Hazards_APPURT[[#This Row],[qiz]] * CaAa_APPURT[[#This Row],[Alpha Ice 45]]</f>
        <v>0</v>
      </c>
      <c r="IT12" s="338">
        <f>IFERROR(1/Calculations_APPURT[[#This Row],[Brackets]],0) * cv_F * AlphaSector[[#This Row],[Quantity]] * Hazards_APPURT[[#This Row],[qiz]] * CaAa_APPURT[[#This Row],[Alpha Ice 60]]</f>
        <v>0</v>
      </c>
      <c r="IU12" s="338">
        <f>IFERROR(1/Calculations_APPURT[[#This Row],[Brackets]],0) * cv_F * AlphaSector[[#This Row],[Quantity]] * Hazards_APPURT[[#This Row],[qiz]] * CaAa_APPURT[[#This Row],[Alpha Ice 90]]</f>
        <v>0</v>
      </c>
      <c r="IV12" s="338">
        <f>IFERROR(1/Calculations_APPURT[[#This Row],[Brackets]],0) * cv_F * AlphaSector[[#This Row],[Quantity]] * Hazards_APPURT[[#This Row],[qiz]] * CaAa_APPURT[[#This Row],[Alpha Ice 120]]</f>
        <v>0</v>
      </c>
      <c r="IW12" s="338">
        <f>IFERROR(1/Calculations_APPURT[[#This Row],[Brackets]],0) * cv_F * AlphaSector[[#This Row],[Quantity]] * Hazards_APPURT[[#This Row],[qiz]] * CaAa_APPURT[[#This Row],[Alpha Ice 135]]</f>
        <v>0</v>
      </c>
      <c r="IX12" s="338">
        <f>IFERROR(1/Calculations_APPURT[[#This Row],[Brackets]],0) * cv_F * AlphaSector[[#This Row],[Quantity]] * Hazards_APPURT[[#This Row],[qiz]] * CaAa_APPURT[[#This Row],[Alpha Ice 150]]</f>
        <v>0</v>
      </c>
      <c r="IY12" s="338">
        <f>IFERROR(1/Calculations_APPURT[[#This Row],[Brackets]],0) * cv_F * AlphaSector[[#This Row],[Quantity]] * Hazards_APPURT[[#This Row],[qiz]] * CaAa_APPURT[[#This Row],[Alpha Ice 180]]</f>
        <v>0</v>
      </c>
      <c r="IZ12" s="338">
        <f>IFERROR(1/Calculations_APPURT[[#This Row],[Brackets]],0) * cv_F * AlphaSector[[#This Row],[Quantity]] * Hazards_APPURT[[#This Row],[qiz]] * CaAa_APPURT[[#This Row],[Alpha Ice 210]]</f>
        <v>0</v>
      </c>
      <c r="JA12" s="338">
        <f>IFERROR(1/Calculations_APPURT[[#This Row],[Brackets]],0) * cv_F * AlphaSector[[#This Row],[Quantity]] * Hazards_APPURT[[#This Row],[qiz]] * CaAa_APPURT[[#This Row],[Alpha Ice 225]]</f>
        <v>0</v>
      </c>
      <c r="JB12" s="338">
        <f>IFERROR(1/Calculations_APPURT[[#This Row],[Brackets]],0) * cv_F * AlphaSector[[#This Row],[Quantity]] * Hazards_APPURT[[#This Row],[qiz]] * CaAa_APPURT[[#This Row],[Alpha Ice 240]]</f>
        <v>0</v>
      </c>
      <c r="JC12" s="338">
        <f>IFERROR(1/Calculations_APPURT[[#This Row],[Brackets]],0) * cv_F * AlphaSector[[#This Row],[Quantity]] * Hazards_APPURT[[#This Row],[qiz]] * CaAa_APPURT[[#This Row],[Alpha Ice 270]]</f>
        <v>0</v>
      </c>
      <c r="JD12" s="338">
        <f>IFERROR(1/Calculations_APPURT[[#This Row],[Brackets]],0) * cv_F * AlphaSector[[#This Row],[Quantity]] * Hazards_APPURT[[#This Row],[qiz]] * CaAa_APPURT[[#This Row],[Alpha Ice 300]]</f>
        <v>0</v>
      </c>
      <c r="JE12" s="338">
        <f>IFERROR(1/Calculations_APPURT[[#This Row],[Brackets]],0) * cv_F * AlphaSector[[#This Row],[Quantity]] * Hazards_APPURT[[#This Row],[qiz]] * CaAa_APPURT[[#This Row],[Alpha Ice 315]]</f>
        <v>0</v>
      </c>
      <c r="JF12" s="338">
        <f>IFERROR(1/Calculations_APPURT[[#This Row],[Brackets]],0) * cv_F * AlphaSector[[#This Row],[Quantity]] * Hazards_APPURT[[#This Row],[qiz]] * CaAa_APPURT[[#This Row],[Alpha Ice 330]]</f>
        <v>0</v>
      </c>
      <c r="JG12" s="276">
        <f>IFERROR(1/Calculations_APPURT[[#This Row],[Brackets]],0) * cv_F * BetaSector[[#This Row],[Quantity]] * Hazards_APPURT[[#This Row],[qiz]] * CaAa_APPURT[[#This Row],[Beta Ice 0]]</f>
        <v>0</v>
      </c>
      <c r="JH12" s="276">
        <f>IFERROR(1/Calculations_APPURT[[#This Row],[Brackets]],0) * cv_F * BetaSector[[#This Row],[Quantity]] * Hazards_APPURT[[#This Row],[qiz]] * CaAa_APPURT[[#This Row],[Beta Ice 30]]</f>
        <v>0</v>
      </c>
      <c r="JI12" s="276">
        <f>IFERROR(1/Calculations_APPURT[[#This Row],[Brackets]],0) * cv_F * BetaSector[[#This Row],[Quantity]] * Hazards_APPURT[[#This Row],[qiz]] * CaAa_APPURT[[#This Row],[Beta Ice 45]]</f>
        <v>0</v>
      </c>
      <c r="JJ12" s="276">
        <f>IFERROR(1/Calculations_APPURT[[#This Row],[Brackets]],0) * cv_F * BetaSector[[#This Row],[Quantity]] * Hazards_APPURT[[#This Row],[qiz]] * CaAa_APPURT[[#This Row],[Beta Ice 60]]</f>
        <v>0</v>
      </c>
      <c r="JK12" s="276">
        <f>IFERROR(1/Calculations_APPURT[[#This Row],[Brackets]],0) * cv_F * BetaSector[[#This Row],[Quantity]] * Hazards_APPURT[[#This Row],[qiz]] * CaAa_APPURT[[#This Row],[Beta Ice 90]]</f>
        <v>0</v>
      </c>
      <c r="JL12" s="276">
        <f>IFERROR(1/Calculations_APPURT[[#This Row],[Brackets]],0) * cv_F * BetaSector[[#This Row],[Quantity]] * Hazards_APPURT[[#This Row],[qiz]] * CaAa_APPURT[[#This Row],[Beta Ice 120]]</f>
        <v>0</v>
      </c>
      <c r="JM12" s="276">
        <f>IFERROR(1/Calculations_APPURT[[#This Row],[Brackets]],0) * cv_F * BetaSector[[#This Row],[Quantity]] * Hazards_APPURT[[#This Row],[qiz]] * CaAa_APPURT[[#This Row],[Beta Ice 135]]</f>
        <v>0</v>
      </c>
      <c r="JN12" s="276">
        <f>IFERROR(1/Calculations_APPURT[[#This Row],[Brackets]],0) * cv_F * BetaSector[[#This Row],[Quantity]] * Hazards_APPURT[[#This Row],[qiz]] * CaAa_APPURT[[#This Row],[Beta Ice 150]]</f>
        <v>0</v>
      </c>
      <c r="JO12" s="276">
        <f>IFERROR(1/Calculations_APPURT[[#This Row],[Brackets]],0) * cv_F * BetaSector[[#This Row],[Quantity]] * Hazards_APPURT[[#This Row],[qiz]] * CaAa_APPURT[[#This Row],[Beta Ice 180]]</f>
        <v>0</v>
      </c>
      <c r="JP12" s="276">
        <f>IFERROR(1/Calculations_APPURT[[#This Row],[Brackets]],0) * cv_F * BetaSector[[#This Row],[Quantity]] * Hazards_APPURT[[#This Row],[qiz]] * CaAa_APPURT[[#This Row],[Beta Ice 210]]</f>
        <v>0</v>
      </c>
      <c r="JQ12" s="276">
        <f>IFERROR(1/Calculations_APPURT[[#This Row],[Brackets]],0) * cv_F * BetaSector[[#This Row],[Quantity]] * Hazards_APPURT[[#This Row],[qiz]] * CaAa_APPURT[[#This Row],[Beta Ice 225]]</f>
        <v>0</v>
      </c>
      <c r="JR12" s="276">
        <f>IFERROR(1/Calculations_APPURT[[#This Row],[Brackets]],0) * cv_F * BetaSector[[#This Row],[Quantity]] * Hazards_APPURT[[#This Row],[qiz]] * CaAa_APPURT[[#This Row],[Beta Ice 240]]</f>
        <v>0</v>
      </c>
      <c r="JS12" s="276">
        <f>IFERROR(1/Calculations_APPURT[[#This Row],[Brackets]],0) * cv_F * BetaSector[[#This Row],[Quantity]] * Hazards_APPURT[[#This Row],[qiz]] * CaAa_APPURT[[#This Row],[Beta Ice 270]]</f>
        <v>0</v>
      </c>
      <c r="JT12" s="276">
        <f>IFERROR(1/Calculations_APPURT[[#This Row],[Brackets]],0) * cv_F * BetaSector[[#This Row],[Quantity]] * Hazards_APPURT[[#This Row],[qiz]] * CaAa_APPURT[[#This Row],[Beta Ice 300]]</f>
        <v>0</v>
      </c>
      <c r="JU12" s="276">
        <f>IFERROR(1/Calculations_APPURT[[#This Row],[Brackets]],0) * cv_F * BetaSector[[#This Row],[Quantity]] * Hazards_APPURT[[#This Row],[qiz]] * CaAa_APPURT[[#This Row],[Beta Ice 315]]</f>
        <v>0</v>
      </c>
      <c r="JV12" s="276">
        <f>IFERROR(1/Calculations_APPURT[[#This Row],[Brackets]],0) * cv_F * BetaSector[[#This Row],[Quantity]] * Hazards_APPURT[[#This Row],[qiz]] * CaAa_APPURT[[#This Row],[Beta Ice 330]]</f>
        <v>0</v>
      </c>
      <c r="JW12" s="338">
        <f>IFERROR(1/Calculations_APPURT[[#This Row],[Brackets]],0) * cv_F * GammaSector[[#This Row],[Quantity]] * Hazards_APPURT[[#This Row],[qiz]] * CaAa_APPURT[[#This Row],[Gamma Ice 0]]</f>
        <v>0</v>
      </c>
      <c r="JX12" s="338">
        <f>IFERROR(1/Calculations_APPURT[[#This Row],[Brackets]],0) * cv_F * GammaSector[[#This Row],[Quantity]] * Hazards_APPURT[[#This Row],[qiz]] * CaAa_APPURT[[#This Row],[Gamma Ice 30]]</f>
        <v>0</v>
      </c>
      <c r="JY12" s="338">
        <f>IFERROR(1/Calculations_APPURT[[#This Row],[Brackets]],0) * cv_F * GammaSector[[#This Row],[Quantity]] * Hazards_APPURT[[#This Row],[qiz]] * CaAa_APPURT[[#This Row],[Gamma Ice 45]]</f>
        <v>0</v>
      </c>
      <c r="JZ12" s="338">
        <f>IFERROR(1/Calculations_APPURT[[#This Row],[Brackets]],0) * cv_F * GammaSector[[#This Row],[Quantity]] * Hazards_APPURT[[#This Row],[qiz]] * CaAa_APPURT[[#This Row],[Gamma Ice 60]]</f>
        <v>0</v>
      </c>
      <c r="KA12" s="338">
        <f>IFERROR(1/Calculations_APPURT[[#This Row],[Brackets]],0) * cv_F * GammaSector[[#This Row],[Quantity]] * Hazards_APPURT[[#This Row],[qiz]] * CaAa_APPURT[[#This Row],[Gamma Ice 90]]</f>
        <v>0</v>
      </c>
      <c r="KB12" s="338">
        <f>IFERROR(1/Calculations_APPURT[[#This Row],[Brackets]],0) * cv_F * GammaSector[[#This Row],[Quantity]] * Hazards_APPURT[[#This Row],[qiz]] * CaAa_APPURT[[#This Row],[Gamma Ice 120]]</f>
        <v>0</v>
      </c>
      <c r="KC12" s="338">
        <f>IFERROR(1/Calculations_APPURT[[#This Row],[Brackets]],0) * cv_F * GammaSector[[#This Row],[Quantity]] * Hazards_APPURT[[#This Row],[qiz]] * CaAa_APPURT[[#This Row],[Gamma Ice 135]]</f>
        <v>0</v>
      </c>
      <c r="KD12" s="338">
        <f>IFERROR(1/Calculations_APPURT[[#This Row],[Brackets]],0) * cv_F * GammaSector[[#This Row],[Quantity]] * Hazards_APPURT[[#This Row],[qiz]] * CaAa_APPURT[[#This Row],[Gamma Ice 150]]</f>
        <v>0</v>
      </c>
      <c r="KE12" s="338">
        <f>IFERROR(1/Calculations_APPURT[[#This Row],[Brackets]],0) * cv_F * GammaSector[[#This Row],[Quantity]] * Hazards_APPURT[[#This Row],[qiz]] * CaAa_APPURT[[#This Row],[Gamma Ice 180]]</f>
        <v>0</v>
      </c>
      <c r="KF12" s="338">
        <f>IFERROR(1/Calculations_APPURT[[#This Row],[Brackets]],0) * cv_F * GammaSector[[#This Row],[Quantity]] * Hazards_APPURT[[#This Row],[qiz]] * CaAa_APPURT[[#This Row],[Gamma Ice 210]]</f>
        <v>0</v>
      </c>
      <c r="KG12" s="338">
        <f>IFERROR(1/Calculations_APPURT[[#This Row],[Brackets]],0) * cv_F * GammaSector[[#This Row],[Quantity]] * Hazards_APPURT[[#This Row],[qiz]] * CaAa_APPURT[[#This Row],[Gamma Ice 225]]</f>
        <v>0</v>
      </c>
      <c r="KH12" s="338">
        <f>IFERROR(1/Calculations_APPURT[[#This Row],[Brackets]],0) * cv_F * GammaSector[[#This Row],[Quantity]] * Hazards_APPURT[[#This Row],[qiz]] * CaAa_APPURT[[#This Row],[Gamma Ice 240]]</f>
        <v>0</v>
      </c>
      <c r="KI12" s="338">
        <f>IFERROR(1/Calculations_APPURT[[#This Row],[Brackets]],0) * cv_F * GammaSector[[#This Row],[Quantity]] * Hazards_APPURT[[#This Row],[qiz]] * CaAa_APPURT[[#This Row],[Gamma Ice 270]]</f>
        <v>0</v>
      </c>
      <c r="KJ12" s="338">
        <f>IFERROR(1/Calculations_APPURT[[#This Row],[Brackets]],0) * cv_F * GammaSector[[#This Row],[Quantity]] * Hazards_APPURT[[#This Row],[qiz]] * CaAa_APPURT[[#This Row],[Gamma Ice 300]]</f>
        <v>0</v>
      </c>
      <c r="KK12" s="338">
        <f>IFERROR(1/Calculations_APPURT[[#This Row],[Brackets]],0) * cv_F * GammaSector[[#This Row],[Quantity]] * Hazards_APPURT[[#This Row],[qiz]] * CaAa_APPURT[[#This Row],[Gamma Ice 315]]</f>
        <v>0</v>
      </c>
      <c r="KL12" s="338">
        <f>IFERROR(1/Calculations_APPURT[[#This Row],[Brackets]],0) * cv_F * GammaSector[[#This Row],[Quantity]] * Hazards_APPURT[[#This Row],[qiz]] * CaAa_APPURT[[#This Row],[Gamma Ice 330]]</f>
        <v>0</v>
      </c>
      <c r="KM12" s="276">
        <f>IFERROR(1/Calculations_APPURT[[#This Row],[Brackets]],0) * cv_F * DeltaSector[[#This Row],[Quantity]] * Hazards_APPURT[[#This Row],[qiz]] * CaAa_APPURT[[#This Row],[Delta Ice 0]]</f>
        <v>0</v>
      </c>
      <c r="KN12" s="276">
        <f>IFERROR(1/Calculations_APPURT[[#This Row],[Brackets]],0) * cv_F * DeltaSector[[#This Row],[Quantity]] * Hazards_APPURT[[#This Row],[qiz]] * CaAa_APPURT[[#This Row],[Delta Ice 30]]</f>
        <v>0</v>
      </c>
      <c r="KO12" s="276">
        <f>IFERROR(1/Calculations_APPURT[[#This Row],[Brackets]],0) * cv_F * DeltaSector[[#This Row],[Quantity]] * Hazards_APPURT[[#This Row],[qiz]] * CaAa_APPURT[[#This Row],[Delta Ice 45]]</f>
        <v>0</v>
      </c>
      <c r="KP12" s="276">
        <f>IFERROR(1/Calculations_APPURT[[#This Row],[Brackets]],0) * cv_F * DeltaSector[[#This Row],[Quantity]] * Hazards_APPURT[[#This Row],[qiz]] * CaAa_APPURT[[#This Row],[Delta Ice 60]]</f>
        <v>0</v>
      </c>
      <c r="KQ12" s="276">
        <f>IFERROR(1/Calculations_APPURT[[#This Row],[Brackets]],0) * cv_F * DeltaSector[[#This Row],[Quantity]] * Hazards_APPURT[[#This Row],[qiz]] * CaAa_APPURT[[#This Row],[Delta Ice 90]]</f>
        <v>0</v>
      </c>
      <c r="KR12" s="276">
        <f>IFERROR(1/Calculations_APPURT[[#This Row],[Brackets]],0) * cv_F * DeltaSector[[#This Row],[Quantity]] * Hazards_APPURT[[#This Row],[qiz]] * CaAa_APPURT[[#This Row],[Delta Ice 120]]</f>
        <v>0</v>
      </c>
      <c r="KS12" s="276">
        <f>IFERROR(1/Calculations_APPURT[[#This Row],[Brackets]],0) * cv_F * DeltaSector[[#This Row],[Quantity]] * Hazards_APPURT[[#This Row],[qiz]] * CaAa_APPURT[[#This Row],[Delta Ice 135]]</f>
        <v>0</v>
      </c>
      <c r="KT12" s="276">
        <f>IFERROR(1/Calculations_APPURT[[#This Row],[Brackets]],0) * cv_F * DeltaSector[[#This Row],[Quantity]] * Hazards_APPURT[[#This Row],[qiz]] * CaAa_APPURT[[#This Row],[Delta Ice 150]]</f>
        <v>0</v>
      </c>
      <c r="KU12" s="276">
        <f>IFERROR(1/Calculations_APPURT[[#This Row],[Brackets]],0) * cv_F * DeltaSector[[#This Row],[Quantity]] * Hazards_APPURT[[#This Row],[qiz]] * CaAa_APPURT[[#This Row],[Delta Ice 180]]</f>
        <v>0</v>
      </c>
      <c r="KV12" s="276">
        <f>IFERROR(1/Calculations_APPURT[[#This Row],[Brackets]],0) * cv_F * DeltaSector[[#This Row],[Quantity]] * Hazards_APPURT[[#This Row],[qiz]] * CaAa_APPURT[[#This Row],[Delta Ice 210]]</f>
        <v>0</v>
      </c>
      <c r="KW12" s="276">
        <f>IFERROR(1/Calculations_APPURT[[#This Row],[Brackets]],0) * cv_F * DeltaSector[[#This Row],[Quantity]] * Hazards_APPURT[[#This Row],[qiz]] * CaAa_APPURT[[#This Row],[Delta Ice 225]]</f>
        <v>0</v>
      </c>
      <c r="KX12" s="276">
        <f>IFERROR(1/Calculations_APPURT[[#This Row],[Brackets]],0) * cv_F * DeltaSector[[#This Row],[Quantity]] * Hazards_APPURT[[#This Row],[qiz]] * CaAa_APPURT[[#This Row],[Delta Ice 240]]</f>
        <v>0</v>
      </c>
      <c r="KY12" s="276">
        <f>IFERROR(1/Calculations_APPURT[[#This Row],[Brackets]],0) * cv_F * DeltaSector[[#This Row],[Quantity]] * Hazards_APPURT[[#This Row],[qiz]] * CaAa_APPURT[[#This Row],[Delta Ice 270]]</f>
        <v>0</v>
      </c>
      <c r="KZ12" s="276">
        <f>IFERROR(1/Calculations_APPURT[[#This Row],[Brackets]],0) * cv_F * DeltaSector[[#This Row],[Quantity]] * Hazards_APPURT[[#This Row],[qiz]] * CaAa_APPURT[[#This Row],[Delta Ice 300]]</f>
        <v>0</v>
      </c>
      <c r="LA12" s="276">
        <f>IFERROR(1/Calculations_APPURT[[#This Row],[Brackets]],0) * cv_F * DeltaSector[[#This Row],[Quantity]] * Hazards_APPURT[[#This Row],[qiz]] * CaAa_APPURT[[#This Row],[Delta Ice 315]]</f>
        <v>0</v>
      </c>
      <c r="LB12" s="276">
        <f>IFERROR(1/Calculations_APPURT[[#This Row],[Brackets]],0) * cv_F * DeltaSector[[#This Row],[Quantity]] * Hazards_APPURT[[#This Row],[qiz]] * CaAa_APPURT[[#This Row],[Delta Ice 330]]</f>
        <v>0</v>
      </c>
      <c r="LC12" s="338">
        <f>IFERROR(1/Calculations_APPURT[[#This Row],[Brackets]],0) * cv_M/cv_F * Forces_APPURT[[#This Row],[Alpha Fa 0]] * Calculations_APPURT[[#This Row],[Horizontal Offset]]/12</f>
        <v>0</v>
      </c>
      <c r="LD12" s="338">
        <f>IFERROR(1/Calculations_APPURT[[#This Row],[Brackets]],0) * cv_M/cv_F * Forces_APPURT[[#This Row],[Alpha Fa 30]] * Calculations_APPURT[[#This Row],[Horizontal Offset]]/12</f>
        <v>0</v>
      </c>
      <c r="LE12" s="338">
        <f>IFERROR(1/Calculations_APPURT[[#This Row],[Brackets]],0) * cv_M/cv_F * Forces_APPURT[[#This Row],[Alpha Fa 45]] * Calculations_APPURT[[#This Row],[Horizontal Offset]]/12</f>
        <v>0</v>
      </c>
      <c r="LF12" s="338">
        <f>IFERROR(1/Calculations_APPURT[[#This Row],[Brackets]],0) * cv_M/cv_F * Forces_APPURT[[#This Row],[Alpha Fa 60]] * Calculations_APPURT[[#This Row],[Horizontal Offset]]/12</f>
        <v>0</v>
      </c>
      <c r="LG12" s="338">
        <f>IFERROR(1/Calculations_APPURT[[#This Row],[Brackets]],0) * cv_M/cv_F * Forces_APPURT[[#This Row],[Alpha Fa 90]] * Calculations_APPURT[[#This Row],[Horizontal Offset]]/12</f>
        <v>0</v>
      </c>
      <c r="LH12" s="338">
        <f>IFERROR(1/Calculations_APPURT[[#This Row],[Brackets]],0) * cv_M/cv_F * Forces_APPURT[[#This Row],[Alpha Fa 120]] * Calculations_APPURT[[#This Row],[Horizontal Offset]]/12</f>
        <v>0</v>
      </c>
      <c r="LI12" s="338">
        <f>IFERROR(1/Calculations_APPURT[[#This Row],[Brackets]],0) * cv_M/cv_F * Forces_APPURT[[#This Row],[Alpha Fa 135]] * Calculations_APPURT[[#This Row],[Horizontal Offset]]/12</f>
        <v>0</v>
      </c>
      <c r="LJ12" s="338">
        <f>IFERROR(1/Calculations_APPURT[[#This Row],[Brackets]],0) * cv_M/cv_F * Forces_APPURT[[#This Row],[Alpha Fa 150]] * Calculations_APPURT[[#This Row],[Horizontal Offset]]/12</f>
        <v>0</v>
      </c>
      <c r="LK12" s="338">
        <f>IFERROR(1/Calculations_APPURT[[#This Row],[Brackets]],0) * cv_M/cv_F * Forces_APPURT[[#This Row],[Alpha Fa 180]] * Calculations_APPURT[[#This Row],[Horizontal Offset]]/12</f>
        <v>0</v>
      </c>
      <c r="LL12" s="338">
        <f>IFERROR(1/Calculations_APPURT[[#This Row],[Brackets]],0) * cv_M/cv_F * Forces_APPURT[[#This Row],[Alpha Fa 210]] * Calculations_APPURT[[#This Row],[Horizontal Offset]]/12</f>
        <v>0</v>
      </c>
      <c r="LM12" s="338">
        <f>IFERROR(1/Calculations_APPURT[[#This Row],[Brackets]],0) * cv_M/cv_F * Forces_APPURT[[#This Row],[Alpha Fa 225]] * Calculations_APPURT[[#This Row],[Horizontal Offset]]/12</f>
        <v>0</v>
      </c>
      <c r="LN12" s="338">
        <f>IFERROR(1/Calculations_APPURT[[#This Row],[Brackets]],0) * cv_M/cv_F * Forces_APPURT[[#This Row],[Alpha Fa 240]] * Calculations_APPURT[[#This Row],[Horizontal Offset]]/12</f>
        <v>0</v>
      </c>
      <c r="LO12" s="338">
        <f>IFERROR(1/Calculations_APPURT[[#This Row],[Brackets]],0) * cv_M/cv_F * Forces_APPURT[[#This Row],[Alpha Fa 270]] * Calculations_APPURT[[#This Row],[Horizontal Offset]]/12</f>
        <v>0</v>
      </c>
      <c r="LP12" s="338">
        <f>IFERROR(1/Calculations_APPURT[[#This Row],[Brackets]],0) * cv_M/cv_F * Forces_APPURT[[#This Row],[Alpha Fa 300]] * Calculations_APPURT[[#This Row],[Horizontal Offset]]/12</f>
        <v>0</v>
      </c>
      <c r="LQ12" s="338">
        <f>IFERROR(1/Calculations_APPURT[[#This Row],[Brackets]],0) * cv_M/cv_F * Forces_APPURT[[#This Row],[Alpha Fa 315]] * Calculations_APPURT[[#This Row],[Horizontal Offset]]/12</f>
        <v>0</v>
      </c>
      <c r="LR12" s="338">
        <f>IFERROR(1/Calculations_APPURT[[#This Row],[Brackets]],0) * cv_M/cv_F * Forces_APPURT[[#This Row],[Alpha Fa 330]] * Calculations_APPURT[[#This Row],[Horizontal Offset]]/12</f>
        <v>0</v>
      </c>
      <c r="LS12" s="276">
        <f>IFERROR(1/Calculations_APPURT[[#This Row],[Brackets]],0) * cv_M/cv_F * Forces_APPURT[[#This Row],[Beta Fa 0]] * Calculations_APPURT[[#This Row],[Horizontal Offset]]/12</f>
        <v>0</v>
      </c>
      <c r="LT12" s="276">
        <f>IFERROR(1/Calculations_APPURT[[#This Row],[Brackets]],0) * cv_M/cv_F * Forces_APPURT[[#This Row],[Beta Fa 30]] * Calculations_APPURT[[#This Row],[Horizontal Offset]]/12</f>
        <v>0</v>
      </c>
      <c r="LU12" s="276">
        <f>IFERROR(1/Calculations_APPURT[[#This Row],[Brackets]],0) * cv_M/cv_F * Forces_APPURT[[#This Row],[Beta Fa 45]] * Calculations_APPURT[[#This Row],[Horizontal Offset]]/12</f>
        <v>0</v>
      </c>
      <c r="LV12" s="276">
        <f>IFERROR(1/Calculations_APPURT[[#This Row],[Brackets]],0) * cv_M/cv_F * Forces_APPURT[[#This Row],[Beta Fa 60]] * Calculations_APPURT[[#This Row],[Horizontal Offset]]/12</f>
        <v>0</v>
      </c>
      <c r="LW12" s="276">
        <f>IFERROR(1/Calculations_APPURT[[#This Row],[Brackets]],0) * cv_M/cv_F * Forces_APPURT[[#This Row],[Beta Fa 90]] * Calculations_APPURT[[#This Row],[Horizontal Offset]]/12</f>
        <v>0</v>
      </c>
      <c r="LX12" s="276">
        <f>IFERROR(1/Calculations_APPURT[[#This Row],[Brackets]],0) * cv_M/cv_F * Forces_APPURT[[#This Row],[Beta Fa 120]] * Calculations_APPURT[[#This Row],[Horizontal Offset]]/12</f>
        <v>0</v>
      </c>
      <c r="LY12" s="276">
        <f>IFERROR(1/Calculations_APPURT[[#This Row],[Brackets]],0) * cv_M/cv_F * Forces_APPURT[[#This Row],[Beta Fa 135]] * Calculations_APPURT[[#This Row],[Horizontal Offset]]/12</f>
        <v>0</v>
      </c>
      <c r="LZ12" s="276">
        <f>IFERROR(1/Calculations_APPURT[[#This Row],[Brackets]],0) * cv_M/cv_F * Forces_APPURT[[#This Row],[Beta Fa 150]] * Calculations_APPURT[[#This Row],[Horizontal Offset]]/12</f>
        <v>0</v>
      </c>
      <c r="MA12" s="276">
        <f>IFERROR(1/Calculations_APPURT[[#This Row],[Brackets]],0) * cv_M/cv_F * Forces_APPURT[[#This Row],[Beta Fa 180]] * Calculations_APPURT[[#This Row],[Horizontal Offset]]/12</f>
        <v>0</v>
      </c>
      <c r="MB12" s="276">
        <f>IFERROR(1/Calculations_APPURT[[#This Row],[Brackets]],0) * cv_M/cv_F * Forces_APPURT[[#This Row],[Beta Fa 210]] * Calculations_APPURT[[#This Row],[Horizontal Offset]]/12</f>
        <v>0</v>
      </c>
      <c r="MC12" s="276">
        <f>IFERROR(1/Calculations_APPURT[[#This Row],[Brackets]],0) * cv_M/cv_F * Forces_APPURT[[#This Row],[Beta Fa 225]] * Calculations_APPURT[[#This Row],[Horizontal Offset]]/12</f>
        <v>0</v>
      </c>
      <c r="MD12" s="276">
        <f>IFERROR(1/Calculations_APPURT[[#This Row],[Brackets]],0) * cv_M/cv_F * Forces_APPURT[[#This Row],[Beta Fa 240]] * Calculations_APPURT[[#This Row],[Horizontal Offset]]/12</f>
        <v>0</v>
      </c>
      <c r="ME12" s="276">
        <f>IFERROR(1/Calculations_APPURT[[#This Row],[Brackets]],0) * cv_M/cv_F * Forces_APPURT[[#This Row],[Beta Fa 270]] * Calculations_APPURT[[#This Row],[Horizontal Offset]]/12</f>
        <v>0</v>
      </c>
      <c r="MF12" s="276">
        <f>IFERROR(1/Calculations_APPURT[[#This Row],[Brackets]],0) * cv_M/cv_F * Forces_APPURT[[#This Row],[Beta Fa 300]] * Calculations_APPURT[[#This Row],[Horizontal Offset]]/12</f>
        <v>0</v>
      </c>
      <c r="MG12" s="276">
        <f>IFERROR(1/Calculations_APPURT[[#This Row],[Brackets]],0) * cv_M/cv_F * Forces_APPURT[[#This Row],[Beta Fa 315]] * Calculations_APPURT[[#This Row],[Horizontal Offset]]/12</f>
        <v>0</v>
      </c>
      <c r="MH12" s="276">
        <f>IFERROR(1/Calculations_APPURT[[#This Row],[Brackets]],0) * cv_M/cv_F * Forces_APPURT[[#This Row],[Beta Fa 330]] * Calculations_APPURT[[#This Row],[Horizontal Offset]]/12</f>
        <v>0</v>
      </c>
      <c r="MI12" s="338">
        <f>IFERROR(1/Calculations_APPURT[[#This Row],[Brackets]],0) * cv_M/cv_F * Forces_APPURT[[#This Row],[Gamma Fa 0]] * Calculations_APPURT[[#This Row],[Horizontal Offset]]/12</f>
        <v>0</v>
      </c>
      <c r="MJ12" s="338">
        <f>IFERROR(1/Calculations_APPURT[[#This Row],[Brackets]],0) * cv_M/cv_F * Forces_APPURT[[#This Row],[Gamma Fa 30]] * Calculations_APPURT[[#This Row],[Horizontal Offset]]/12</f>
        <v>0</v>
      </c>
      <c r="MK12" s="338">
        <f>IFERROR(1/Calculations_APPURT[[#This Row],[Brackets]],0) * cv_M/cv_F * Forces_APPURT[[#This Row],[Gamma Fa 45]] * Calculations_APPURT[[#This Row],[Horizontal Offset]]/12</f>
        <v>0</v>
      </c>
      <c r="ML12" s="338">
        <f>IFERROR(1/Calculations_APPURT[[#This Row],[Brackets]],0) * cv_M/cv_F * Forces_APPURT[[#This Row],[Gamma Fa 60]] * Calculations_APPURT[[#This Row],[Horizontal Offset]]/12</f>
        <v>0</v>
      </c>
      <c r="MM12" s="338">
        <f>IFERROR(1/Calculations_APPURT[[#This Row],[Brackets]],0) * cv_M/cv_F * Forces_APPURT[[#This Row],[Gamma Fa 90]] * Calculations_APPURT[[#This Row],[Horizontal Offset]]/12</f>
        <v>0</v>
      </c>
      <c r="MN12" s="338">
        <f>IFERROR(1/Calculations_APPURT[[#This Row],[Brackets]],0) * cv_M/cv_F * Forces_APPURT[[#This Row],[Gamma Fa 120]] * Calculations_APPURT[[#This Row],[Horizontal Offset]]/12</f>
        <v>0</v>
      </c>
      <c r="MO12" s="338">
        <f>IFERROR(1/Calculations_APPURT[[#This Row],[Brackets]],0) * cv_M/cv_F * Forces_APPURT[[#This Row],[Gamma Fa 135]] * Calculations_APPURT[[#This Row],[Horizontal Offset]]/12</f>
        <v>0</v>
      </c>
      <c r="MP12" s="338">
        <f>IFERROR(1/Calculations_APPURT[[#This Row],[Brackets]],0) * cv_M/cv_F * Forces_APPURT[[#This Row],[Gamma Fa 150]] * Calculations_APPURT[[#This Row],[Horizontal Offset]]/12</f>
        <v>0</v>
      </c>
      <c r="MQ12" s="338">
        <f>IFERROR(1/Calculations_APPURT[[#This Row],[Brackets]],0) * cv_M/cv_F * Forces_APPURT[[#This Row],[Gamma Fa 180]] * Calculations_APPURT[[#This Row],[Horizontal Offset]]/12</f>
        <v>0</v>
      </c>
      <c r="MR12" s="338">
        <f>IFERROR(1/Calculations_APPURT[[#This Row],[Brackets]],0) * cv_M/cv_F * Forces_APPURT[[#This Row],[Gamma Fa 210]] * Calculations_APPURT[[#This Row],[Horizontal Offset]]/12</f>
        <v>0</v>
      </c>
      <c r="MS12" s="338">
        <f>IFERROR(1/Calculations_APPURT[[#This Row],[Brackets]],0) * cv_M/cv_F * Forces_APPURT[[#This Row],[Gamma Fa 225]] * Calculations_APPURT[[#This Row],[Horizontal Offset]]/12</f>
        <v>0</v>
      </c>
      <c r="MT12" s="338">
        <f>IFERROR(1/Calculations_APPURT[[#This Row],[Brackets]],0) * cv_M/cv_F * Forces_APPURT[[#This Row],[Gamma Fa 240]] * Calculations_APPURT[[#This Row],[Horizontal Offset]]/12</f>
        <v>0</v>
      </c>
      <c r="MU12" s="338">
        <f>IFERROR(1/Calculations_APPURT[[#This Row],[Brackets]],0) * cv_M/cv_F * Forces_APPURT[[#This Row],[Gamma Fa 270]] * Calculations_APPURT[[#This Row],[Horizontal Offset]]/12</f>
        <v>0</v>
      </c>
      <c r="MV12" s="338">
        <f>IFERROR(1/Calculations_APPURT[[#This Row],[Brackets]],0) * cv_M/cv_F * Forces_APPURT[[#This Row],[Gamma Fa 300]] * Calculations_APPURT[[#This Row],[Horizontal Offset]]/12</f>
        <v>0</v>
      </c>
      <c r="MW12" s="338">
        <f>IFERROR(1/Calculations_APPURT[[#This Row],[Brackets]],0) * cv_M/cv_F * Forces_APPURT[[#This Row],[Gamma Fa 315]] * Calculations_APPURT[[#This Row],[Horizontal Offset]]/12</f>
        <v>0</v>
      </c>
      <c r="MX12" s="338">
        <f>IFERROR(1/Calculations_APPURT[[#This Row],[Brackets]],0) * cv_M/cv_F * Forces_APPURT[[#This Row],[Gamma Fa 330]] * Calculations_APPURT[[#This Row],[Horizontal Offset]]/12</f>
        <v>0</v>
      </c>
      <c r="MY12" s="276">
        <f>IFERROR(1/Calculations_APPURT[[#This Row],[Brackets]],0) * cv_M/cv_F * Forces_APPURT[[#This Row],[Delta Fa 0]] * Calculations_APPURT[[#This Row],[Horizontal Offset]]/12</f>
        <v>0</v>
      </c>
      <c r="MZ12" s="276">
        <f>IFERROR(1/Calculations_APPURT[[#This Row],[Brackets]],0) * cv_M/cv_F * Forces_APPURT[[#This Row],[Delta Fa 30]] * Calculations_APPURT[[#This Row],[Horizontal Offset]]/12</f>
        <v>0</v>
      </c>
      <c r="NA12" s="276">
        <f>IFERROR(1/Calculations_APPURT[[#This Row],[Brackets]],0) * cv_M/cv_F * Forces_APPURT[[#This Row],[Delta Fa 45]] * Calculations_APPURT[[#This Row],[Horizontal Offset]]/12</f>
        <v>0</v>
      </c>
      <c r="NB12" s="276">
        <f>IFERROR(1/Calculations_APPURT[[#This Row],[Brackets]],0) * cv_M/cv_F * Forces_APPURT[[#This Row],[Delta Fa 60]] * Calculations_APPURT[[#This Row],[Horizontal Offset]]/12</f>
        <v>0</v>
      </c>
      <c r="NC12" s="276">
        <f>IFERROR(1/Calculations_APPURT[[#This Row],[Brackets]],0) * cv_M/cv_F * Forces_APPURT[[#This Row],[Delta Fa 90]] * Calculations_APPURT[[#This Row],[Horizontal Offset]]/12</f>
        <v>0</v>
      </c>
      <c r="ND12" s="276">
        <f>IFERROR(1/Calculations_APPURT[[#This Row],[Brackets]],0) * cv_M/cv_F * Forces_APPURT[[#This Row],[Delta Fa 120]] * Calculations_APPURT[[#This Row],[Horizontal Offset]]/12</f>
        <v>0</v>
      </c>
      <c r="NE12" s="276">
        <f>IFERROR(1/Calculations_APPURT[[#This Row],[Brackets]],0) * cv_M/cv_F * Forces_APPURT[[#This Row],[Delta Fa 135]] * Calculations_APPURT[[#This Row],[Horizontal Offset]]/12</f>
        <v>0</v>
      </c>
      <c r="NF12" s="276">
        <f>IFERROR(1/Calculations_APPURT[[#This Row],[Brackets]],0) * cv_M/cv_F * Forces_APPURT[[#This Row],[Delta Fa 150]] * Calculations_APPURT[[#This Row],[Horizontal Offset]]/12</f>
        <v>0</v>
      </c>
      <c r="NG12" s="276">
        <f>IFERROR(1/Calculations_APPURT[[#This Row],[Brackets]],0) * cv_M/cv_F * Forces_APPURT[[#This Row],[Delta Fa 180]] * Calculations_APPURT[[#This Row],[Horizontal Offset]]/12</f>
        <v>0</v>
      </c>
      <c r="NH12" s="276">
        <f>IFERROR(1/Calculations_APPURT[[#This Row],[Brackets]],0) * cv_M/cv_F * Forces_APPURT[[#This Row],[Delta Fa 210]] * Calculations_APPURT[[#This Row],[Horizontal Offset]]/12</f>
        <v>0</v>
      </c>
      <c r="NI12" s="276">
        <f>IFERROR(1/Calculations_APPURT[[#This Row],[Brackets]],0) * cv_M/cv_F * Forces_APPURT[[#This Row],[Delta Fa 225]] * Calculations_APPURT[[#This Row],[Horizontal Offset]]/12</f>
        <v>0</v>
      </c>
      <c r="NJ12" s="276">
        <f>IFERROR(1/Calculations_APPURT[[#This Row],[Brackets]],0) * cv_M/cv_F * Forces_APPURT[[#This Row],[Delta Fa 240]] * Calculations_APPURT[[#This Row],[Horizontal Offset]]/12</f>
        <v>0</v>
      </c>
      <c r="NK12" s="276">
        <f>IFERROR(1/Calculations_APPURT[[#This Row],[Brackets]],0) * cv_M/cv_F * Forces_APPURT[[#This Row],[Delta Fa 270]] * Calculations_APPURT[[#This Row],[Horizontal Offset]]/12</f>
        <v>0</v>
      </c>
      <c r="NL12" s="276">
        <f>IFERROR(1/Calculations_APPURT[[#This Row],[Brackets]],0) * cv_M/cv_F * Forces_APPURT[[#This Row],[Delta Fa 300]] * Calculations_APPURT[[#This Row],[Horizontal Offset]]/12</f>
        <v>0</v>
      </c>
      <c r="NM12" s="276">
        <f>IFERROR(1/Calculations_APPURT[[#This Row],[Brackets]],0) * cv_M/cv_F * Forces_APPURT[[#This Row],[Delta Fa 315]] * Calculations_APPURT[[#This Row],[Horizontal Offset]]/12</f>
        <v>0</v>
      </c>
      <c r="NN12" s="276">
        <f>IFERROR(1/Calculations_APPURT[[#This Row],[Brackets]],0) * cv_M/cv_F * Forces_APPURT[[#This Row],[Delta Fa 330]] * Calculations_APPURT[[#This Row],[Horizontal Offset]]/12</f>
        <v>0</v>
      </c>
      <c r="NO12" s="338">
        <f>IFERROR(1/Calculations_APPURT[[#This Row],[Brackets]],0) * cv_M/cv_F * Forces_APPURT[[#This Row],[Alpha Fai 0]] * Calculations_APPURT[[#This Row],[Horizontal Offset]]/12</f>
        <v>0</v>
      </c>
      <c r="NP12" s="338">
        <f>IFERROR(1/Calculations_APPURT[[#This Row],[Brackets]],0) * cv_M/cv_F * Forces_APPURT[[#This Row],[Alpha Fai 30]] * Calculations_APPURT[[#This Row],[Horizontal Offset]]/12</f>
        <v>0</v>
      </c>
      <c r="NQ12" s="338">
        <f>IFERROR(1/Calculations_APPURT[[#This Row],[Brackets]],0) * cv_M/cv_F * Forces_APPURT[[#This Row],[Alpha Fai 45]] * Calculations_APPURT[[#This Row],[Horizontal Offset]]/12</f>
        <v>0</v>
      </c>
      <c r="NR12" s="338">
        <f>IFERROR(1/Calculations_APPURT[[#This Row],[Brackets]],0) * cv_M/cv_F * Forces_APPURT[[#This Row],[Alpha Fai 60]] * Calculations_APPURT[[#This Row],[Horizontal Offset]]/12</f>
        <v>0</v>
      </c>
      <c r="NS12" s="338">
        <f>IFERROR(1/Calculations_APPURT[[#This Row],[Brackets]],0) * cv_M/cv_F * Forces_APPURT[[#This Row],[Alpha Fai 90]] * Calculations_APPURT[[#This Row],[Horizontal Offset]]/12</f>
        <v>0</v>
      </c>
      <c r="NT12" s="338">
        <f>IFERROR(1/Calculations_APPURT[[#This Row],[Brackets]],0) * cv_M/cv_F * Forces_APPURT[[#This Row],[Alpha Fai 120]] * Calculations_APPURT[[#This Row],[Horizontal Offset]]/12</f>
        <v>0</v>
      </c>
      <c r="NU12" s="338">
        <f>IFERROR(1/Calculations_APPURT[[#This Row],[Brackets]],0) * cv_M/cv_F * Forces_APPURT[[#This Row],[Alpha Fai 135]] * Calculations_APPURT[[#This Row],[Horizontal Offset]]/12</f>
        <v>0</v>
      </c>
      <c r="NV12" s="338">
        <f>IFERROR(1/Calculations_APPURT[[#This Row],[Brackets]],0) * cv_M/cv_F * Forces_APPURT[[#This Row],[Alpha Fai 150]] * Calculations_APPURT[[#This Row],[Horizontal Offset]]/12</f>
        <v>0</v>
      </c>
      <c r="NW12" s="338">
        <f>IFERROR(1/Calculations_APPURT[[#This Row],[Brackets]],0) * cv_M/cv_F * Forces_APPURT[[#This Row],[Alpha Fai 180]] * Calculations_APPURT[[#This Row],[Horizontal Offset]]/12</f>
        <v>0</v>
      </c>
      <c r="NX12" s="338">
        <f>IFERROR(1/Calculations_APPURT[[#This Row],[Brackets]],0) * cv_M/cv_F * Forces_APPURT[[#This Row],[Alpha Fai 210]] * Calculations_APPURT[[#This Row],[Horizontal Offset]]/12</f>
        <v>0</v>
      </c>
      <c r="NY12" s="338">
        <f>IFERROR(1/Calculations_APPURT[[#This Row],[Brackets]],0) * cv_M/cv_F * Forces_APPURT[[#This Row],[Alpha Fai 225]] * Calculations_APPURT[[#This Row],[Horizontal Offset]]/12</f>
        <v>0</v>
      </c>
      <c r="NZ12" s="338">
        <f>IFERROR(1/Calculations_APPURT[[#This Row],[Brackets]],0) * cv_M/cv_F * Forces_APPURT[[#This Row],[Alpha Fai 240]] * Calculations_APPURT[[#This Row],[Horizontal Offset]]/12</f>
        <v>0</v>
      </c>
      <c r="OA12" s="338">
        <f>IFERROR(1/Calculations_APPURT[[#This Row],[Brackets]],0) * cv_M/cv_F * Forces_APPURT[[#This Row],[Alpha Fai 270]] * Calculations_APPURT[[#This Row],[Horizontal Offset]]/12</f>
        <v>0</v>
      </c>
      <c r="OB12" s="338">
        <f>IFERROR(1/Calculations_APPURT[[#This Row],[Brackets]],0) * cv_M/cv_F * Forces_APPURT[[#This Row],[Alpha Fai 300]] * Calculations_APPURT[[#This Row],[Horizontal Offset]]/12</f>
        <v>0</v>
      </c>
      <c r="OC12" s="338">
        <f>IFERROR(1/Calculations_APPURT[[#This Row],[Brackets]],0) * cv_M/cv_F * Forces_APPURT[[#This Row],[Alpha Fai 315]] * Calculations_APPURT[[#This Row],[Horizontal Offset]]/12</f>
        <v>0</v>
      </c>
      <c r="OD12" s="338">
        <f>IFERROR(1/Calculations_APPURT[[#This Row],[Brackets]],0) * cv_M/cv_F * Forces_APPURT[[#This Row],[Alpha Fai 330]] * Calculations_APPURT[[#This Row],[Horizontal Offset]]/12</f>
        <v>0</v>
      </c>
      <c r="OE12" s="276">
        <f>IFERROR(1/Calculations_APPURT[[#This Row],[Brackets]],0) * cv_M/cv_F * Forces_APPURT[[#This Row],[Beta Fai 0]] * Calculations_APPURT[[#This Row],[Horizontal Offset]]/12</f>
        <v>0</v>
      </c>
      <c r="OF12" s="276">
        <f>IFERROR(1/Calculations_APPURT[[#This Row],[Brackets]],0) * cv_M/cv_F * Forces_APPURT[[#This Row],[Beta Fai 30]] * Calculations_APPURT[[#This Row],[Horizontal Offset]]/12</f>
        <v>0</v>
      </c>
      <c r="OG12" s="276">
        <f>IFERROR(1/Calculations_APPURT[[#This Row],[Brackets]],0) * cv_M/cv_F * Forces_APPURT[[#This Row],[Beta Fai 45]] * Calculations_APPURT[[#This Row],[Horizontal Offset]]/12</f>
        <v>0</v>
      </c>
      <c r="OH12" s="276">
        <f>IFERROR(1/Calculations_APPURT[[#This Row],[Brackets]],0) * cv_M/cv_F * Forces_APPURT[[#This Row],[Beta Fai 60]] * Calculations_APPURT[[#This Row],[Horizontal Offset]]/12</f>
        <v>0</v>
      </c>
      <c r="OI12" s="276">
        <f>IFERROR(1/Calculations_APPURT[[#This Row],[Brackets]],0) * cv_M/cv_F * Forces_APPURT[[#This Row],[Beta Fai 90]] * Calculations_APPURT[[#This Row],[Horizontal Offset]]/12</f>
        <v>0</v>
      </c>
      <c r="OJ12" s="276">
        <f>IFERROR(1/Calculations_APPURT[[#This Row],[Brackets]],0) * cv_M/cv_F * Forces_APPURT[[#This Row],[Beta Fai 120]] * Calculations_APPURT[[#This Row],[Horizontal Offset]]/12</f>
        <v>0</v>
      </c>
      <c r="OK12" s="276">
        <f>IFERROR(1/Calculations_APPURT[[#This Row],[Brackets]],0) * cv_M/cv_F * Forces_APPURT[[#This Row],[Beta Fai 135]] * Calculations_APPURT[[#This Row],[Horizontal Offset]]/12</f>
        <v>0</v>
      </c>
      <c r="OL12" s="276">
        <f>IFERROR(1/Calculations_APPURT[[#This Row],[Brackets]],0) * cv_M/cv_F * Forces_APPURT[[#This Row],[Beta Fai 150]] * Calculations_APPURT[[#This Row],[Horizontal Offset]]/12</f>
        <v>0</v>
      </c>
      <c r="OM12" s="276">
        <f>IFERROR(1/Calculations_APPURT[[#This Row],[Brackets]],0) * cv_M/cv_F * Forces_APPURT[[#This Row],[Beta Fai 180]] * Calculations_APPURT[[#This Row],[Horizontal Offset]]/12</f>
        <v>0</v>
      </c>
      <c r="ON12" s="276">
        <f>IFERROR(1/Calculations_APPURT[[#This Row],[Brackets]],0) * cv_M/cv_F * Forces_APPURT[[#This Row],[Beta Fai 210]] * Calculations_APPURT[[#This Row],[Horizontal Offset]]/12</f>
        <v>0</v>
      </c>
      <c r="OO12" s="276">
        <f>IFERROR(1/Calculations_APPURT[[#This Row],[Brackets]],0) * cv_M/cv_F * Forces_APPURT[[#This Row],[Beta Fai 225]] * Calculations_APPURT[[#This Row],[Horizontal Offset]]/12</f>
        <v>0</v>
      </c>
      <c r="OP12" s="276">
        <f>IFERROR(1/Calculations_APPURT[[#This Row],[Brackets]],0) * cv_M/cv_F * Forces_APPURT[[#This Row],[Beta Fai 240]] * Calculations_APPURT[[#This Row],[Horizontal Offset]]/12</f>
        <v>0</v>
      </c>
      <c r="OQ12" s="276">
        <f>IFERROR(1/Calculations_APPURT[[#This Row],[Brackets]],0) * cv_M/cv_F * Forces_APPURT[[#This Row],[Beta Fai 270]] * Calculations_APPURT[[#This Row],[Horizontal Offset]]/12</f>
        <v>0</v>
      </c>
      <c r="OR12" s="276">
        <f>IFERROR(1/Calculations_APPURT[[#This Row],[Brackets]],0) * cv_M/cv_F * Forces_APPURT[[#This Row],[Beta Fai 300]] * Calculations_APPURT[[#This Row],[Horizontal Offset]]/12</f>
        <v>0</v>
      </c>
      <c r="OS12" s="276">
        <f>IFERROR(1/Calculations_APPURT[[#This Row],[Brackets]],0) * cv_M/cv_F * Forces_APPURT[[#This Row],[Beta Fai 315]] * Calculations_APPURT[[#This Row],[Horizontal Offset]]/12</f>
        <v>0</v>
      </c>
      <c r="OT12" s="276">
        <f>IFERROR(1/Calculations_APPURT[[#This Row],[Brackets]],0) * cv_M/cv_F * Forces_APPURT[[#This Row],[Beta Fai 330]] * Calculations_APPURT[[#This Row],[Horizontal Offset]]/12</f>
        <v>0</v>
      </c>
      <c r="OU12" s="338">
        <f>IFERROR(1/Calculations_APPURT[[#This Row],[Brackets]],0) * cv_M/cv_F * Forces_APPURT[[#This Row],[Gamma Fai 0]] * Calculations_APPURT[[#This Row],[Horizontal Offset]]/12</f>
        <v>0</v>
      </c>
      <c r="OV12" s="338">
        <f>IFERROR(1/Calculations_APPURT[[#This Row],[Brackets]],0) * cv_M/cv_F * Forces_APPURT[[#This Row],[Gamma Fai 30]] * Calculations_APPURT[[#This Row],[Horizontal Offset]]/12</f>
        <v>0</v>
      </c>
      <c r="OW12" s="338">
        <f>IFERROR(1/Calculations_APPURT[[#This Row],[Brackets]],0) * cv_M/cv_F * Forces_APPURT[[#This Row],[Gamma Fai 45]] * Calculations_APPURT[[#This Row],[Horizontal Offset]]/12</f>
        <v>0</v>
      </c>
      <c r="OX12" s="338">
        <f>IFERROR(1/Calculations_APPURT[[#This Row],[Brackets]],0) * cv_M/cv_F * Forces_APPURT[[#This Row],[Gamma Fai 60]] * Calculations_APPURT[[#This Row],[Horizontal Offset]]/12</f>
        <v>0</v>
      </c>
      <c r="OY12" s="338">
        <f>IFERROR(1/Calculations_APPURT[[#This Row],[Brackets]],0) * cv_M/cv_F * Forces_APPURT[[#This Row],[Gamma Fai 90]] * Calculations_APPURT[[#This Row],[Horizontal Offset]]/12</f>
        <v>0</v>
      </c>
      <c r="OZ12" s="338">
        <f>IFERROR(1/Calculations_APPURT[[#This Row],[Brackets]],0) * cv_M/cv_F * Forces_APPURT[[#This Row],[Gamma Fai 120]] * Calculations_APPURT[[#This Row],[Horizontal Offset]]/12</f>
        <v>0</v>
      </c>
      <c r="PA12" s="338">
        <f>IFERROR(1/Calculations_APPURT[[#This Row],[Brackets]],0) * cv_M/cv_F * Forces_APPURT[[#This Row],[Gamma Fai 135]] * Calculations_APPURT[[#This Row],[Horizontal Offset]]/12</f>
        <v>0</v>
      </c>
      <c r="PB12" s="338">
        <f>IFERROR(1/Calculations_APPURT[[#This Row],[Brackets]],0) * cv_M/cv_F * Forces_APPURT[[#This Row],[Gamma Fai 150]] * Calculations_APPURT[[#This Row],[Horizontal Offset]]/12</f>
        <v>0</v>
      </c>
      <c r="PC12" s="338">
        <f>IFERROR(1/Calculations_APPURT[[#This Row],[Brackets]],0) * cv_M/cv_F * Forces_APPURT[[#This Row],[Gamma Fai 180]] * Calculations_APPURT[[#This Row],[Horizontal Offset]]/12</f>
        <v>0</v>
      </c>
      <c r="PD12" s="338">
        <f>IFERROR(1/Calculations_APPURT[[#This Row],[Brackets]],0) * cv_M/cv_F * Forces_APPURT[[#This Row],[Gamma Fai 210]] * Calculations_APPURT[[#This Row],[Horizontal Offset]]/12</f>
        <v>0</v>
      </c>
      <c r="PE12" s="338">
        <f>IFERROR(1/Calculations_APPURT[[#This Row],[Brackets]],0) * cv_M/cv_F * Forces_APPURT[[#This Row],[Gamma Fai 225]] * Calculations_APPURT[[#This Row],[Horizontal Offset]]/12</f>
        <v>0</v>
      </c>
      <c r="PF12" s="338">
        <f>IFERROR(1/Calculations_APPURT[[#This Row],[Brackets]],0) * cv_M/cv_F * Forces_APPURT[[#This Row],[Gamma Fai 240]] * Calculations_APPURT[[#This Row],[Horizontal Offset]]/12</f>
        <v>0</v>
      </c>
      <c r="PG12" s="338">
        <f>IFERROR(1/Calculations_APPURT[[#This Row],[Brackets]],0) * cv_M/cv_F * Forces_APPURT[[#This Row],[Gamma Fai 270]] * Calculations_APPURT[[#This Row],[Horizontal Offset]]/12</f>
        <v>0</v>
      </c>
      <c r="PH12" s="338">
        <f>IFERROR(1/Calculations_APPURT[[#This Row],[Brackets]],0) * cv_M/cv_F * Forces_APPURT[[#This Row],[Gamma Fai 300]] * Calculations_APPURT[[#This Row],[Horizontal Offset]]/12</f>
        <v>0</v>
      </c>
      <c r="PI12" s="338">
        <f>IFERROR(1/Calculations_APPURT[[#This Row],[Brackets]],0) * cv_M/cv_F * Forces_APPURT[[#This Row],[Gamma Fai 315]] * Calculations_APPURT[[#This Row],[Horizontal Offset]]/12</f>
        <v>0</v>
      </c>
      <c r="PJ12" s="338">
        <f>IFERROR(1/Calculations_APPURT[[#This Row],[Brackets]],0) * cv_M/cv_F * Forces_APPURT[[#This Row],[Gamma Fai 330]] * Calculations_APPURT[[#This Row],[Horizontal Offset]]/12</f>
        <v>0</v>
      </c>
      <c r="PK12" s="276">
        <f>IFERROR(1/Calculations_APPURT[[#This Row],[Brackets]],0) * cv_M/cv_F * Forces_APPURT[[#This Row],[Delta Fai 0]] * Calculations_APPURT[[#This Row],[Horizontal Offset]]/12</f>
        <v>0</v>
      </c>
      <c r="PL12" s="276">
        <f>IFERROR(1/Calculations_APPURT[[#This Row],[Brackets]],0) * cv_M/cv_F * Forces_APPURT[[#This Row],[Delta Fai 30]] * Calculations_APPURT[[#This Row],[Horizontal Offset]]/12</f>
        <v>0</v>
      </c>
      <c r="PM12" s="276">
        <f>IFERROR(1/Calculations_APPURT[[#This Row],[Brackets]],0) * cv_M/cv_F * Forces_APPURT[[#This Row],[Delta Fai 45]] * Calculations_APPURT[[#This Row],[Horizontal Offset]]/12</f>
        <v>0</v>
      </c>
      <c r="PN12" s="276">
        <f>IFERROR(1/Calculations_APPURT[[#This Row],[Brackets]],0) * cv_M/cv_F * Forces_APPURT[[#This Row],[Delta Fai 60]] * Calculations_APPURT[[#This Row],[Horizontal Offset]]/12</f>
        <v>0</v>
      </c>
      <c r="PO12" s="276">
        <f>IFERROR(1/Calculations_APPURT[[#This Row],[Brackets]],0) * cv_M/cv_F * Forces_APPURT[[#This Row],[Delta Fai 90]] * Calculations_APPURT[[#This Row],[Horizontal Offset]]/12</f>
        <v>0</v>
      </c>
      <c r="PP12" s="276">
        <f>IFERROR(1/Calculations_APPURT[[#This Row],[Brackets]],0) * cv_M/cv_F * Forces_APPURT[[#This Row],[Delta Fai 120]] * Calculations_APPURT[[#This Row],[Horizontal Offset]]/12</f>
        <v>0</v>
      </c>
      <c r="PQ12" s="276">
        <f>IFERROR(1/Calculations_APPURT[[#This Row],[Brackets]],0) * cv_M/cv_F * Forces_APPURT[[#This Row],[Delta Fai 135]] * Calculations_APPURT[[#This Row],[Horizontal Offset]]/12</f>
        <v>0</v>
      </c>
      <c r="PR12" s="276">
        <f>IFERROR(1/Calculations_APPURT[[#This Row],[Brackets]],0) * cv_M/cv_F * Forces_APPURT[[#This Row],[Delta Fai 150]] * Calculations_APPURT[[#This Row],[Horizontal Offset]]/12</f>
        <v>0</v>
      </c>
      <c r="PS12" s="276">
        <f>IFERROR(1/Calculations_APPURT[[#This Row],[Brackets]],0) * cv_M/cv_F * Forces_APPURT[[#This Row],[Delta Fai 180]] * Calculations_APPURT[[#This Row],[Horizontal Offset]]/12</f>
        <v>0</v>
      </c>
      <c r="PT12" s="276">
        <f>IFERROR(1/Calculations_APPURT[[#This Row],[Brackets]],0) * cv_M/cv_F * Forces_APPURT[[#This Row],[Delta Fai 210]] * Calculations_APPURT[[#This Row],[Horizontal Offset]]/12</f>
        <v>0</v>
      </c>
      <c r="PU12" s="276">
        <f>IFERROR(1/Calculations_APPURT[[#This Row],[Brackets]],0) * cv_M/cv_F * Forces_APPURT[[#This Row],[Delta Fai 225]] * Calculations_APPURT[[#This Row],[Horizontal Offset]]/12</f>
        <v>0</v>
      </c>
      <c r="PV12" s="276">
        <f>IFERROR(1/Calculations_APPURT[[#This Row],[Brackets]],0) * cv_M/cv_F * Forces_APPURT[[#This Row],[Delta Fai 240]] * Calculations_APPURT[[#This Row],[Horizontal Offset]]/12</f>
        <v>0</v>
      </c>
      <c r="PW12" s="276">
        <f>IFERROR(1/Calculations_APPURT[[#This Row],[Brackets]],0) * cv_M/cv_F * Forces_APPURT[[#This Row],[Delta Fai 270]] * Calculations_APPURT[[#This Row],[Horizontal Offset]]/12</f>
        <v>0</v>
      </c>
      <c r="PX12" s="276">
        <f>IFERROR(1/Calculations_APPURT[[#This Row],[Brackets]],0) * cv_M/cv_F * Forces_APPURT[[#This Row],[Delta Fai 300]] * Calculations_APPURT[[#This Row],[Horizontal Offset]]/12</f>
        <v>0</v>
      </c>
      <c r="PY12" s="276">
        <f>IFERROR(1/Calculations_APPURT[[#This Row],[Brackets]],0) * cv_M/cv_F * Forces_APPURT[[#This Row],[Delta Fai 315]] * Calculations_APPURT[[#This Row],[Horizontal Offset]]/12</f>
        <v>0</v>
      </c>
      <c r="PZ12" s="276">
        <f>IFERROR(1/Calculations_APPURT[[#This Row],[Brackets]],0) * cv_M/cv_F * Forces_APPURT[[#This Row],[Delta Fai 330]] * Calculations_APPURT[[#This Row],[Horizontal Offset]]/12</f>
        <v>0</v>
      </c>
      <c r="QA12" s="338">
        <f>IFERROR(1/Calculations_APPURT[[#This Row],[Brackets]],0) * cv_M/cv_F * Forces_APPURT[[#This Row],[Alpha Fa 0]] * Calculations_APPURT[[#This Row],[Lateral Offset]]/12</f>
        <v>0</v>
      </c>
      <c r="QB12" s="338">
        <f>IFERROR(1/Calculations_APPURT[[#This Row],[Brackets]],0) * cv_M/cv_F * Forces_APPURT[[#This Row],[Alpha Fa 30]] * Calculations_APPURT[[#This Row],[Lateral Offset]]/12</f>
        <v>0</v>
      </c>
      <c r="QC12" s="338">
        <f>IFERROR(1/Calculations_APPURT[[#This Row],[Brackets]],0) * cv_M/cv_F * Forces_APPURT[[#This Row],[Alpha Fa 45]] * Calculations_APPURT[[#This Row],[Lateral Offset]]/12</f>
        <v>0</v>
      </c>
      <c r="QD12" s="338">
        <f>IFERROR(1/Calculations_APPURT[[#This Row],[Brackets]],0) * cv_M/cv_F * Forces_APPURT[[#This Row],[Alpha Fa 60]] * Calculations_APPURT[[#This Row],[Lateral Offset]]/12</f>
        <v>0</v>
      </c>
      <c r="QE12" s="338">
        <f>IFERROR(1/Calculations_APPURT[[#This Row],[Brackets]],0) * cv_M/cv_F * Forces_APPURT[[#This Row],[Alpha Fa 90]] * Calculations_APPURT[[#This Row],[Lateral Offset]]/12</f>
        <v>0</v>
      </c>
      <c r="QF12" s="338">
        <f>IFERROR(1/Calculations_APPURT[[#This Row],[Brackets]],0) * cv_M/cv_F * Forces_APPURT[[#This Row],[Alpha Fa 120]] * Calculations_APPURT[[#This Row],[Lateral Offset]]/12</f>
        <v>0</v>
      </c>
      <c r="QG12" s="338">
        <f>IFERROR(1/Calculations_APPURT[[#This Row],[Brackets]],0) * cv_M/cv_F * Forces_APPURT[[#This Row],[Alpha Fa 135]] * Calculations_APPURT[[#This Row],[Lateral Offset]]/12</f>
        <v>0</v>
      </c>
      <c r="QH12" s="338">
        <f>IFERROR(1/Calculations_APPURT[[#This Row],[Brackets]],0) * cv_M/cv_F * Forces_APPURT[[#This Row],[Alpha Fa 150]] * Calculations_APPURT[[#This Row],[Lateral Offset]]/12</f>
        <v>0</v>
      </c>
      <c r="QI12" s="338">
        <f>IFERROR(1/Calculations_APPURT[[#This Row],[Brackets]],0) * cv_M/cv_F * Forces_APPURT[[#This Row],[Alpha Fa 180]] * Calculations_APPURT[[#This Row],[Lateral Offset]]/12</f>
        <v>0</v>
      </c>
      <c r="QJ12" s="338">
        <f>IFERROR(1/Calculations_APPURT[[#This Row],[Brackets]],0) * cv_M/cv_F * Forces_APPURT[[#This Row],[Alpha Fa 210]] * Calculations_APPURT[[#This Row],[Lateral Offset]]/12</f>
        <v>0</v>
      </c>
      <c r="QK12" s="338">
        <f>IFERROR(1/Calculations_APPURT[[#This Row],[Brackets]],0) * cv_M/cv_F * Forces_APPURT[[#This Row],[Alpha Fa 225]] * Calculations_APPURT[[#This Row],[Lateral Offset]]/12</f>
        <v>0</v>
      </c>
      <c r="QL12" s="338">
        <f>IFERROR(1/Calculations_APPURT[[#This Row],[Brackets]],0) * cv_M/cv_F * Forces_APPURT[[#This Row],[Alpha Fa 240]] * Calculations_APPURT[[#This Row],[Lateral Offset]]/12</f>
        <v>0</v>
      </c>
      <c r="QM12" s="338">
        <f>IFERROR(1/Calculations_APPURT[[#This Row],[Brackets]],0) * cv_M/cv_F * Forces_APPURT[[#This Row],[Alpha Fa 270]] * Calculations_APPURT[[#This Row],[Lateral Offset]]/12</f>
        <v>0</v>
      </c>
      <c r="QN12" s="338">
        <f>IFERROR(1/Calculations_APPURT[[#This Row],[Brackets]],0) * cv_M/cv_F * Forces_APPURT[[#This Row],[Alpha Fa 300]] * Calculations_APPURT[[#This Row],[Lateral Offset]]/12</f>
        <v>0</v>
      </c>
      <c r="QO12" s="338">
        <f>IFERROR(1/Calculations_APPURT[[#This Row],[Brackets]],0) * cv_M/cv_F * Forces_APPURT[[#This Row],[Alpha Fa 315]] * Calculations_APPURT[[#This Row],[Lateral Offset]]/12</f>
        <v>0</v>
      </c>
      <c r="QP12" s="338">
        <f>IFERROR(1/Calculations_APPURT[[#This Row],[Brackets]],0) * cv_M/cv_F * Forces_APPURT[[#This Row],[Alpha Fa 330]] * Calculations_APPURT[[#This Row],[Lateral Offset]]/12</f>
        <v>0</v>
      </c>
      <c r="QQ12" s="276">
        <f>IFERROR(1/Calculations_APPURT[[#This Row],[Brackets]],0) * cv_M/cv_F * Forces_APPURT[[#This Row],[Beta Fa 0]] * Calculations_APPURT[[#This Row],[Lateral Offset]]/12</f>
        <v>0</v>
      </c>
      <c r="QR12" s="276">
        <f>IFERROR(1/Calculations_APPURT[[#This Row],[Brackets]],0) * cv_M/cv_F * Forces_APPURT[[#This Row],[Beta Fa 30]] * Calculations_APPURT[[#This Row],[Lateral Offset]]/12</f>
        <v>0</v>
      </c>
      <c r="QS12" s="276">
        <f>IFERROR(1/Calculations_APPURT[[#This Row],[Brackets]],0) * cv_M/cv_F * Forces_APPURT[[#This Row],[Beta Fa 45]] * Calculations_APPURT[[#This Row],[Lateral Offset]]/12</f>
        <v>0</v>
      </c>
      <c r="QT12" s="276">
        <f>IFERROR(1/Calculations_APPURT[[#This Row],[Brackets]],0) * cv_M/cv_F * Forces_APPURT[[#This Row],[Beta Fa 60]] * Calculations_APPURT[[#This Row],[Lateral Offset]]/12</f>
        <v>0</v>
      </c>
      <c r="QU12" s="276">
        <f>IFERROR(1/Calculations_APPURT[[#This Row],[Brackets]],0) * cv_M/cv_F * Forces_APPURT[[#This Row],[Beta Fa 90]] * Calculations_APPURT[[#This Row],[Lateral Offset]]/12</f>
        <v>0</v>
      </c>
      <c r="QV12" s="276">
        <f>IFERROR(1/Calculations_APPURT[[#This Row],[Brackets]],0) * cv_M/cv_F * Forces_APPURT[[#This Row],[Beta Fa 120]] * Calculations_APPURT[[#This Row],[Lateral Offset]]/12</f>
        <v>0</v>
      </c>
      <c r="QW12" s="276">
        <f>IFERROR(1/Calculations_APPURT[[#This Row],[Brackets]],0) * cv_M/cv_F * Forces_APPURT[[#This Row],[Beta Fa 135]] * Calculations_APPURT[[#This Row],[Lateral Offset]]/12</f>
        <v>0</v>
      </c>
      <c r="QX12" s="276">
        <f>IFERROR(1/Calculations_APPURT[[#This Row],[Brackets]],0) * cv_M/cv_F * Forces_APPURT[[#This Row],[Beta Fa 150]] * Calculations_APPURT[[#This Row],[Lateral Offset]]/12</f>
        <v>0</v>
      </c>
      <c r="QY12" s="276">
        <f>IFERROR(1/Calculations_APPURT[[#This Row],[Brackets]],0) * cv_M/cv_F * Forces_APPURT[[#This Row],[Beta Fa 180]] * Calculations_APPURT[[#This Row],[Lateral Offset]]/12</f>
        <v>0</v>
      </c>
      <c r="QZ12" s="276">
        <f>IFERROR(1/Calculations_APPURT[[#This Row],[Brackets]],0) * cv_M/cv_F * Forces_APPURT[[#This Row],[Beta Fa 210]] * Calculations_APPURT[[#This Row],[Lateral Offset]]/12</f>
        <v>0</v>
      </c>
      <c r="RA12" s="276">
        <f>IFERROR(1/Calculations_APPURT[[#This Row],[Brackets]],0) * cv_M/cv_F * Forces_APPURT[[#This Row],[Beta Fa 225]] * Calculations_APPURT[[#This Row],[Lateral Offset]]/12</f>
        <v>0</v>
      </c>
      <c r="RB12" s="276">
        <f>IFERROR(1/Calculations_APPURT[[#This Row],[Brackets]],0) * cv_M/cv_F * Forces_APPURT[[#This Row],[Beta Fa 240]] * Calculations_APPURT[[#This Row],[Lateral Offset]]/12</f>
        <v>0</v>
      </c>
      <c r="RC12" s="276">
        <f>IFERROR(1/Calculations_APPURT[[#This Row],[Brackets]],0) * cv_M/cv_F * Forces_APPURT[[#This Row],[Beta Fa 270]] * Calculations_APPURT[[#This Row],[Lateral Offset]]/12</f>
        <v>0</v>
      </c>
      <c r="RD12" s="276">
        <f>IFERROR(1/Calculations_APPURT[[#This Row],[Brackets]],0) * cv_M/cv_F * Forces_APPURT[[#This Row],[Beta Fa 300]] * Calculations_APPURT[[#This Row],[Lateral Offset]]/12</f>
        <v>0</v>
      </c>
      <c r="RE12" s="276">
        <f>IFERROR(1/Calculations_APPURT[[#This Row],[Brackets]],0) * cv_M/cv_F * Forces_APPURT[[#This Row],[Beta Fa 315]] * Calculations_APPURT[[#This Row],[Lateral Offset]]/12</f>
        <v>0</v>
      </c>
      <c r="RF12" s="276">
        <f>IFERROR(1/Calculations_APPURT[[#This Row],[Brackets]],0) * cv_M/cv_F * Forces_APPURT[[#This Row],[Beta Fa 330]] * Calculations_APPURT[[#This Row],[Lateral Offset]]/12</f>
        <v>0</v>
      </c>
      <c r="RG12" s="338">
        <f>IFERROR(1/Calculations_APPURT[[#This Row],[Brackets]],0) * cv_M/cv_F * Forces_APPURT[[#This Row],[Gamma Fa 0]] * Calculations_APPURT[[#This Row],[Lateral Offset]]/12</f>
        <v>0</v>
      </c>
      <c r="RH12" s="338">
        <f>IFERROR(1/Calculations_APPURT[[#This Row],[Brackets]],0) * cv_M/cv_F * Forces_APPURT[[#This Row],[Gamma Fa 30]] * Calculations_APPURT[[#This Row],[Lateral Offset]]/12</f>
        <v>0</v>
      </c>
      <c r="RI12" s="338">
        <f>IFERROR(1/Calculations_APPURT[[#This Row],[Brackets]],0) * cv_M/cv_F * Forces_APPURT[[#This Row],[Gamma Fa 45]] * Calculations_APPURT[[#This Row],[Lateral Offset]]/12</f>
        <v>0</v>
      </c>
      <c r="RJ12" s="338">
        <f>IFERROR(1/Calculations_APPURT[[#This Row],[Brackets]],0) * cv_M/cv_F * Forces_APPURT[[#This Row],[Gamma Fa 60]] * Calculations_APPURT[[#This Row],[Lateral Offset]]/12</f>
        <v>0</v>
      </c>
      <c r="RK12" s="338">
        <f>IFERROR(1/Calculations_APPURT[[#This Row],[Brackets]],0) * cv_M/cv_F * Forces_APPURT[[#This Row],[Gamma Fa 90]] * Calculations_APPURT[[#This Row],[Lateral Offset]]/12</f>
        <v>0</v>
      </c>
      <c r="RL12" s="338">
        <f>IFERROR(1/Calculations_APPURT[[#This Row],[Brackets]],0) * cv_M/cv_F * Forces_APPURT[[#This Row],[Gamma Fa 120]] * Calculations_APPURT[[#This Row],[Lateral Offset]]/12</f>
        <v>0</v>
      </c>
      <c r="RM12" s="338">
        <f>IFERROR(1/Calculations_APPURT[[#This Row],[Brackets]],0) * cv_M/cv_F * Forces_APPURT[[#This Row],[Gamma Fa 135]] * Calculations_APPURT[[#This Row],[Lateral Offset]]/12</f>
        <v>0</v>
      </c>
      <c r="RN12" s="338">
        <f>IFERROR(1/Calculations_APPURT[[#This Row],[Brackets]],0) * cv_M/cv_F * Forces_APPURT[[#This Row],[Gamma Fa 150]] * Calculations_APPURT[[#This Row],[Lateral Offset]]/12</f>
        <v>0</v>
      </c>
      <c r="RO12" s="338">
        <f>IFERROR(1/Calculations_APPURT[[#This Row],[Brackets]],0) * cv_M/cv_F * Forces_APPURT[[#This Row],[Gamma Fa 180]] * Calculations_APPURT[[#This Row],[Lateral Offset]]/12</f>
        <v>0</v>
      </c>
      <c r="RP12" s="338">
        <f>IFERROR(1/Calculations_APPURT[[#This Row],[Brackets]],0) * cv_M/cv_F * Forces_APPURT[[#This Row],[Gamma Fa 210]] * Calculations_APPURT[[#This Row],[Lateral Offset]]/12</f>
        <v>0</v>
      </c>
      <c r="RQ12" s="338">
        <f>IFERROR(1/Calculations_APPURT[[#This Row],[Brackets]],0) * cv_M/cv_F * Forces_APPURT[[#This Row],[Gamma Fa 225]] * Calculations_APPURT[[#This Row],[Lateral Offset]]/12</f>
        <v>0</v>
      </c>
      <c r="RR12" s="338">
        <f>IFERROR(1/Calculations_APPURT[[#This Row],[Brackets]],0) * cv_M/cv_F * Forces_APPURT[[#This Row],[Gamma Fa 240]] * Calculations_APPURT[[#This Row],[Lateral Offset]]/12</f>
        <v>0</v>
      </c>
      <c r="RS12" s="338">
        <f>IFERROR(1/Calculations_APPURT[[#This Row],[Brackets]],0) * cv_M/cv_F * Forces_APPURT[[#This Row],[Gamma Fa 270]] * Calculations_APPURT[[#This Row],[Lateral Offset]]/12</f>
        <v>0</v>
      </c>
      <c r="RT12" s="338">
        <f>IFERROR(1/Calculations_APPURT[[#This Row],[Brackets]],0) * cv_M/cv_F * Forces_APPURT[[#This Row],[Gamma Fa 300]] * Calculations_APPURT[[#This Row],[Lateral Offset]]/12</f>
        <v>0</v>
      </c>
      <c r="RU12" s="338">
        <f>IFERROR(1/Calculations_APPURT[[#This Row],[Brackets]],0) * cv_M/cv_F * Forces_APPURT[[#This Row],[Gamma Fa 315]] * Calculations_APPURT[[#This Row],[Lateral Offset]]/12</f>
        <v>0</v>
      </c>
      <c r="RV12" s="338">
        <f>IFERROR(1/Calculations_APPURT[[#This Row],[Brackets]],0) * cv_M/cv_F * Forces_APPURT[[#This Row],[Gamma Fa 330]] * Calculations_APPURT[[#This Row],[Lateral Offset]]/12</f>
        <v>0</v>
      </c>
      <c r="RW12" s="276">
        <f>IFERROR(1/Calculations_APPURT[[#This Row],[Brackets]],0) * cv_M/cv_F * Forces_APPURT[[#This Row],[Delta Fa 0]] * Calculations_APPURT[[#This Row],[Lateral Offset]]/12</f>
        <v>0</v>
      </c>
      <c r="RX12" s="276">
        <f>IFERROR(1/Calculations_APPURT[[#This Row],[Brackets]],0) * cv_M/cv_F * Forces_APPURT[[#This Row],[Delta Fa 30]] * Calculations_APPURT[[#This Row],[Lateral Offset]]/12</f>
        <v>0</v>
      </c>
      <c r="RY12" s="276">
        <f>IFERROR(1/Calculations_APPURT[[#This Row],[Brackets]],0) * cv_M/cv_F * Forces_APPURT[[#This Row],[Delta Fa 45]] * Calculations_APPURT[[#This Row],[Lateral Offset]]/12</f>
        <v>0</v>
      </c>
      <c r="RZ12" s="276">
        <f>IFERROR(1/Calculations_APPURT[[#This Row],[Brackets]],0) * cv_M/cv_F * Forces_APPURT[[#This Row],[Delta Fa 60]] * Calculations_APPURT[[#This Row],[Lateral Offset]]/12</f>
        <v>0</v>
      </c>
      <c r="SA12" s="276">
        <f>IFERROR(1/Calculations_APPURT[[#This Row],[Brackets]],0) * cv_M/cv_F * Forces_APPURT[[#This Row],[Delta Fa 90]] * Calculations_APPURT[[#This Row],[Lateral Offset]]/12</f>
        <v>0</v>
      </c>
      <c r="SB12" s="276">
        <f>IFERROR(1/Calculations_APPURT[[#This Row],[Brackets]],0) * cv_M/cv_F * Forces_APPURT[[#This Row],[Delta Fa 120]] * Calculations_APPURT[[#This Row],[Lateral Offset]]/12</f>
        <v>0</v>
      </c>
      <c r="SC12" s="276">
        <f>IFERROR(1/Calculations_APPURT[[#This Row],[Brackets]],0) * cv_M/cv_F * Forces_APPURT[[#This Row],[Delta Fa 135]] * Calculations_APPURT[[#This Row],[Lateral Offset]]/12</f>
        <v>0</v>
      </c>
      <c r="SD12" s="276">
        <f>IFERROR(1/Calculations_APPURT[[#This Row],[Brackets]],0) * cv_M/cv_F * Forces_APPURT[[#This Row],[Delta Fa 150]] * Calculations_APPURT[[#This Row],[Lateral Offset]]/12</f>
        <v>0</v>
      </c>
      <c r="SE12" s="276">
        <f>IFERROR(1/Calculations_APPURT[[#This Row],[Brackets]],0) * cv_M/cv_F * Forces_APPURT[[#This Row],[Delta Fa 180]] * Calculations_APPURT[[#This Row],[Lateral Offset]]/12</f>
        <v>0</v>
      </c>
      <c r="SF12" s="276">
        <f>IFERROR(1/Calculations_APPURT[[#This Row],[Brackets]],0) * cv_M/cv_F * Forces_APPURT[[#This Row],[Delta Fa 210]] * Calculations_APPURT[[#This Row],[Lateral Offset]]/12</f>
        <v>0</v>
      </c>
      <c r="SG12" s="276">
        <f>IFERROR(1/Calculations_APPURT[[#This Row],[Brackets]],0) * cv_M/cv_F * Forces_APPURT[[#This Row],[Delta Fa 225]] * Calculations_APPURT[[#This Row],[Lateral Offset]]/12</f>
        <v>0</v>
      </c>
      <c r="SH12" s="276">
        <f>IFERROR(1/Calculations_APPURT[[#This Row],[Brackets]],0) * cv_M/cv_F * Forces_APPURT[[#This Row],[Delta Fa 240]] * Calculations_APPURT[[#This Row],[Lateral Offset]]/12</f>
        <v>0</v>
      </c>
      <c r="SI12" s="276">
        <f>IFERROR(1/Calculations_APPURT[[#This Row],[Brackets]],0) * cv_M/cv_F * Forces_APPURT[[#This Row],[Delta Fa 270]] * Calculations_APPURT[[#This Row],[Lateral Offset]]/12</f>
        <v>0</v>
      </c>
      <c r="SJ12" s="276">
        <f>IFERROR(1/Calculations_APPURT[[#This Row],[Brackets]],0) * cv_M/cv_F * Forces_APPURT[[#This Row],[Delta Fa 300]] * Calculations_APPURT[[#This Row],[Lateral Offset]]/12</f>
        <v>0</v>
      </c>
      <c r="SK12" s="276">
        <f>IFERROR(1/Calculations_APPURT[[#This Row],[Brackets]],0) * cv_M/cv_F * Forces_APPURT[[#This Row],[Delta Fa 315]] * Calculations_APPURT[[#This Row],[Lateral Offset]]/12</f>
        <v>0</v>
      </c>
      <c r="SL12" s="276">
        <f>IFERROR(1/Calculations_APPURT[[#This Row],[Brackets]],0) * cv_M/cv_F * Forces_APPURT[[#This Row],[Delta Fa 330]] * Calculations_APPURT[[#This Row],[Lateral Offset]]/12</f>
        <v>0</v>
      </c>
      <c r="SM12" s="338">
        <f>IFERROR(1/Calculations_APPURT[[#This Row],[Brackets]],0) * cv_M/cv_F * Forces_APPURT[[#This Row],[Alpha Fai 0]] * Calculations_APPURT[[#This Row],[Lateral Offset]]/12</f>
        <v>0</v>
      </c>
      <c r="SN12" s="338">
        <f>IFERROR(1/Calculations_APPURT[[#This Row],[Brackets]],0) * cv_M/cv_F * Forces_APPURT[[#This Row],[Alpha Fai 30]] * Calculations_APPURT[[#This Row],[Lateral Offset]]/12</f>
        <v>0</v>
      </c>
      <c r="SO12" s="338">
        <f>IFERROR(1/Calculations_APPURT[[#This Row],[Brackets]],0) * cv_M/cv_F * Forces_APPURT[[#This Row],[Alpha Fai 45]] * Calculations_APPURT[[#This Row],[Lateral Offset]]/12</f>
        <v>0</v>
      </c>
      <c r="SP12" s="338">
        <f>IFERROR(1/Calculations_APPURT[[#This Row],[Brackets]],0) * cv_M/cv_F * Forces_APPURT[[#This Row],[Alpha Fai 60]] * Calculations_APPURT[[#This Row],[Lateral Offset]]/12</f>
        <v>0</v>
      </c>
      <c r="SQ12" s="338">
        <f>IFERROR(1/Calculations_APPURT[[#This Row],[Brackets]],0) * cv_M/cv_F * Forces_APPURT[[#This Row],[Alpha Fai 90]] * Calculations_APPURT[[#This Row],[Lateral Offset]]/12</f>
        <v>0</v>
      </c>
      <c r="SR12" s="338">
        <f>IFERROR(1/Calculations_APPURT[[#This Row],[Brackets]],0) * cv_M/cv_F * Forces_APPURT[[#This Row],[Alpha Fai 120]] * Calculations_APPURT[[#This Row],[Lateral Offset]]/12</f>
        <v>0</v>
      </c>
      <c r="SS12" s="338">
        <f>IFERROR(1/Calculations_APPURT[[#This Row],[Brackets]],0) * cv_M/cv_F * Forces_APPURT[[#This Row],[Alpha Fai 135]] * Calculations_APPURT[[#This Row],[Lateral Offset]]/12</f>
        <v>0</v>
      </c>
      <c r="ST12" s="338">
        <f>IFERROR(1/Calculations_APPURT[[#This Row],[Brackets]],0) * cv_M/cv_F * Forces_APPURT[[#This Row],[Alpha Fai 150]] * Calculations_APPURT[[#This Row],[Lateral Offset]]/12</f>
        <v>0</v>
      </c>
      <c r="SU12" s="338">
        <f>IFERROR(1/Calculations_APPURT[[#This Row],[Brackets]],0) * cv_M/cv_F * Forces_APPURT[[#This Row],[Alpha Fai 180]] * Calculations_APPURT[[#This Row],[Lateral Offset]]/12</f>
        <v>0</v>
      </c>
      <c r="SV12" s="338">
        <f>IFERROR(1/Calculations_APPURT[[#This Row],[Brackets]],0) * cv_M/cv_F * Forces_APPURT[[#This Row],[Alpha Fai 210]] * Calculations_APPURT[[#This Row],[Lateral Offset]]/12</f>
        <v>0</v>
      </c>
      <c r="SW12" s="338">
        <f>IFERROR(1/Calculations_APPURT[[#This Row],[Brackets]],0) * cv_M/cv_F * Forces_APPURT[[#This Row],[Alpha Fai 225]] * Calculations_APPURT[[#This Row],[Lateral Offset]]/12</f>
        <v>0</v>
      </c>
      <c r="SX12" s="338">
        <f>IFERROR(1/Calculations_APPURT[[#This Row],[Brackets]],0) * cv_M/cv_F * Forces_APPURT[[#This Row],[Alpha Fai 240]] * Calculations_APPURT[[#This Row],[Lateral Offset]]/12</f>
        <v>0</v>
      </c>
      <c r="SY12" s="338">
        <f>IFERROR(1/Calculations_APPURT[[#This Row],[Brackets]],0) * cv_M/cv_F * Forces_APPURT[[#This Row],[Alpha Fai 270]] * Calculations_APPURT[[#This Row],[Lateral Offset]]/12</f>
        <v>0</v>
      </c>
      <c r="SZ12" s="338">
        <f>IFERROR(1/Calculations_APPURT[[#This Row],[Brackets]],0) * cv_M/cv_F * Forces_APPURT[[#This Row],[Alpha Fai 300]] * Calculations_APPURT[[#This Row],[Lateral Offset]]/12</f>
        <v>0</v>
      </c>
      <c r="TA12" s="338">
        <f>IFERROR(1/Calculations_APPURT[[#This Row],[Brackets]],0) * cv_M/cv_F * Forces_APPURT[[#This Row],[Alpha Fai 315]] * Calculations_APPURT[[#This Row],[Lateral Offset]]/12</f>
        <v>0</v>
      </c>
      <c r="TB12" s="338">
        <f>IFERROR(1/Calculations_APPURT[[#This Row],[Brackets]],0) * cv_M/cv_F * Forces_APPURT[[#This Row],[Alpha Fai 330]] * Calculations_APPURT[[#This Row],[Lateral Offset]]/12</f>
        <v>0</v>
      </c>
      <c r="TC12" s="276">
        <f>IFERROR(1/Calculations_APPURT[[#This Row],[Brackets]],0) * cv_M/cv_F * Forces_APPURT[[#This Row],[Beta Fai 0]] * Calculations_APPURT[[#This Row],[Lateral Offset]]/12</f>
        <v>0</v>
      </c>
      <c r="TD12" s="276">
        <f>IFERROR(1/Calculations_APPURT[[#This Row],[Brackets]],0) * cv_M/cv_F * Forces_APPURT[[#This Row],[Beta Fai 30]] * Calculations_APPURT[[#This Row],[Lateral Offset]]/12</f>
        <v>0</v>
      </c>
      <c r="TE12" s="276">
        <f>IFERROR(1/Calculations_APPURT[[#This Row],[Brackets]],0) * cv_M/cv_F * Forces_APPURT[[#This Row],[Beta Fai 45]] * Calculations_APPURT[[#This Row],[Lateral Offset]]/12</f>
        <v>0</v>
      </c>
      <c r="TF12" s="276">
        <f>IFERROR(1/Calculations_APPURT[[#This Row],[Brackets]],0) * cv_M/cv_F * Forces_APPURT[[#This Row],[Beta Fai 60]] * Calculations_APPURT[[#This Row],[Lateral Offset]]/12</f>
        <v>0</v>
      </c>
      <c r="TG12" s="276">
        <f>IFERROR(1/Calculations_APPURT[[#This Row],[Brackets]],0) * cv_M/cv_F * Forces_APPURT[[#This Row],[Beta Fai 90]] * Calculations_APPURT[[#This Row],[Lateral Offset]]/12</f>
        <v>0</v>
      </c>
      <c r="TH12" s="276">
        <f>IFERROR(1/Calculations_APPURT[[#This Row],[Brackets]],0) * cv_M/cv_F * Forces_APPURT[[#This Row],[Beta Fai 120]] * Calculations_APPURT[[#This Row],[Lateral Offset]]/12</f>
        <v>0</v>
      </c>
      <c r="TI12" s="276">
        <f>IFERROR(1/Calculations_APPURT[[#This Row],[Brackets]],0) * cv_M/cv_F * Forces_APPURT[[#This Row],[Beta Fai 135]] * Calculations_APPURT[[#This Row],[Lateral Offset]]/12</f>
        <v>0</v>
      </c>
      <c r="TJ12" s="276">
        <f>IFERROR(1/Calculations_APPURT[[#This Row],[Brackets]],0) * cv_M/cv_F * Forces_APPURT[[#This Row],[Beta Fai 150]] * Calculations_APPURT[[#This Row],[Lateral Offset]]/12</f>
        <v>0</v>
      </c>
      <c r="TK12" s="276">
        <f>IFERROR(1/Calculations_APPURT[[#This Row],[Brackets]],0) * cv_M/cv_F * Forces_APPURT[[#This Row],[Beta Fai 180]] * Calculations_APPURT[[#This Row],[Lateral Offset]]/12</f>
        <v>0</v>
      </c>
      <c r="TL12" s="276">
        <f>IFERROR(1/Calculations_APPURT[[#This Row],[Brackets]],0) * cv_M/cv_F * Forces_APPURT[[#This Row],[Beta Fai 210]] * Calculations_APPURT[[#This Row],[Lateral Offset]]/12</f>
        <v>0</v>
      </c>
      <c r="TM12" s="276">
        <f>IFERROR(1/Calculations_APPURT[[#This Row],[Brackets]],0) * cv_M/cv_F * Forces_APPURT[[#This Row],[Beta Fai 225]] * Calculations_APPURT[[#This Row],[Lateral Offset]]/12</f>
        <v>0</v>
      </c>
      <c r="TN12" s="276">
        <f>IFERROR(1/Calculations_APPURT[[#This Row],[Brackets]],0) * cv_M/cv_F * Forces_APPURT[[#This Row],[Beta Fai 240]] * Calculations_APPURT[[#This Row],[Lateral Offset]]/12</f>
        <v>0</v>
      </c>
      <c r="TO12" s="276">
        <f>IFERROR(1/Calculations_APPURT[[#This Row],[Brackets]],0) * cv_M/cv_F * Forces_APPURT[[#This Row],[Beta Fai 270]] * Calculations_APPURT[[#This Row],[Lateral Offset]]/12</f>
        <v>0</v>
      </c>
      <c r="TP12" s="276">
        <f>IFERROR(1/Calculations_APPURT[[#This Row],[Brackets]],0) * cv_M/cv_F * Forces_APPURT[[#This Row],[Beta Fai 300]] * Calculations_APPURT[[#This Row],[Lateral Offset]]/12</f>
        <v>0</v>
      </c>
      <c r="TQ12" s="276">
        <f>IFERROR(1/Calculations_APPURT[[#This Row],[Brackets]],0) * cv_M/cv_F * Forces_APPURT[[#This Row],[Beta Fai 315]] * Calculations_APPURT[[#This Row],[Lateral Offset]]/12</f>
        <v>0</v>
      </c>
      <c r="TR12" s="276">
        <f>IFERROR(1/Calculations_APPURT[[#This Row],[Brackets]],0) * cv_M/cv_F * Forces_APPURT[[#This Row],[Beta Fai 330]] * Calculations_APPURT[[#This Row],[Lateral Offset]]/12</f>
        <v>0</v>
      </c>
      <c r="TS12" s="338">
        <f>IFERROR(1/Calculations_APPURT[[#This Row],[Brackets]],0) * cv_M/cv_F * Forces_APPURT[[#This Row],[Gamma Fai 0]] * Calculations_APPURT[[#This Row],[Lateral Offset]]/12</f>
        <v>0</v>
      </c>
      <c r="TT12" s="338">
        <f>IFERROR(1/Calculations_APPURT[[#This Row],[Brackets]],0) * cv_M/cv_F * Forces_APPURT[[#This Row],[Gamma Fai 30]] * Calculations_APPURT[[#This Row],[Lateral Offset]]/12</f>
        <v>0</v>
      </c>
      <c r="TU12" s="338">
        <f>IFERROR(1/Calculations_APPURT[[#This Row],[Brackets]],0) * cv_M/cv_F * Forces_APPURT[[#This Row],[Gamma Fai 45]] * Calculations_APPURT[[#This Row],[Lateral Offset]]/12</f>
        <v>0</v>
      </c>
      <c r="TV12" s="338">
        <f>IFERROR(1/Calculations_APPURT[[#This Row],[Brackets]],0) * cv_M/cv_F * Forces_APPURT[[#This Row],[Gamma Fai 60]] * Calculations_APPURT[[#This Row],[Lateral Offset]]/12</f>
        <v>0</v>
      </c>
      <c r="TW12" s="338">
        <f>IFERROR(1/Calculations_APPURT[[#This Row],[Brackets]],0) * cv_M/cv_F * Forces_APPURT[[#This Row],[Gamma Fai 90]] * Calculations_APPURT[[#This Row],[Lateral Offset]]/12</f>
        <v>0</v>
      </c>
      <c r="TX12" s="338">
        <f>IFERROR(1/Calculations_APPURT[[#This Row],[Brackets]],0) * cv_M/cv_F * Forces_APPURT[[#This Row],[Gamma Fai 120]] * Calculations_APPURT[[#This Row],[Lateral Offset]]/12</f>
        <v>0</v>
      </c>
      <c r="TY12" s="338">
        <f>IFERROR(1/Calculations_APPURT[[#This Row],[Brackets]],0) * cv_M/cv_F * Forces_APPURT[[#This Row],[Gamma Fai 135]] * Calculations_APPURT[[#This Row],[Lateral Offset]]/12</f>
        <v>0</v>
      </c>
      <c r="TZ12" s="338">
        <f>IFERROR(1/Calculations_APPURT[[#This Row],[Brackets]],0) * cv_M/cv_F * Forces_APPURT[[#This Row],[Gamma Fai 150]] * Calculations_APPURT[[#This Row],[Lateral Offset]]/12</f>
        <v>0</v>
      </c>
      <c r="UA12" s="338">
        <f>IFERROR(1/Calculations_APPURT[[#This Row],[Brackets]],0) * cv_M/cv_F * Forces_APPURT[[#This Row],[Gamma Fai 180]] * Calculations_APPURT[[#This Row],[Lateral Offset]]/12</f>
        <v>0</v>
      </c>
      <c r="UB12" s="338">
        <f>IFERROR(1/Calculations_APPURT[[#This Row],[Brackets]],0) * cv_M/cv_F * Forces_APPURT[[#This Row],[Gamma Fai 210]] * Calculations_APPURT[[#This Row],[Lateral Offset]]/12</f>
        <v>0</v>
      </c>
      <c r="UC12" s="338">
        <f>IFERROR(1/Calculations_APPURT[[#This Row],[Brackets]],0) * cv_M/cv_F * Forces_APPURT[[#This Row],[Gamma Fai 225]] * Calculations_APPURT[[#This Row],[Lateral Offset]]/12</f>
        <v>0</v>
      </c>
      <c r="UD12" s="338">
        <f>IFERROR(1/Calculations_APPURT[[#This Row],[Brackets]],0) * cv_M/cv_F * Forces_APPURT[[#This Row],[Gamma Fai 240]] * Calculations_APPURT[[#This Row],[Lateral Offset]]/12</f>
        <v>0</v>
      </c>
      <c r="UE12" s="338">
        <f>IFERROR(1/Calculations_APPURT[[#This Row],[Brackets]],0) * cv_M/cv_F * Forces_APPURT[[#This Row],[Gamma Fai 270]] * Calculations_APPURT[[#This Row],[Lateral Offset]]/12</f>
        <v>0</v>
      </c>
      <c r="UF12" s="338">
        <f>IFERROR(1/Calculations_APPURT[[#This Row],[Brackets]],0) * cv_M/cv_F * Forces_APPURT[[#This Row],[Gamma Fai 300]] * Calculations_APPURT[[#This Row],[Lateral Offset]]/12</f>
        <v>0</v>
      </c>
      <c r="UG12" s="338">
        <f>IFERROR(1/Calculations_APPURT[[#This Row],[Brackets]],0) * cv_M/cv_F * Forces_APPURT[[#This Row],[Gamma Fai 315]] * Calculations_APPURT[[#This Row],[Lateral Offset]]/12</f>
        <v>0</v>
      </c>
      <c r="UH12" s="338">
        <f>IFERROR(1/Calculations_APPURT[[#This Row],[Brackets]],0) * cv_M/cv_F * Forces_APPURT[[#This Row],[Gamma Fai 330]] * Calculations_APPURT[[#This Row],[Lateral Offset]]/12</f>
        <v>0</v>
      </c>
      <c r="UI12" s="276">
        <f>IFERROR(1/Calculations_APPURT[[#This Row],[Brackets]],0) * cv_M/cv_F * Forces_APPURT[[#This Row],[Delta Fai 0]] * Calculations_APPURT[[#This Row],[Lateral Offset]]/12</f>
        <v>0</v>
      </c>
      <c r="UJ12" s="276">
        <f>IFERROR(1/Calculations_APPURT[[#This Row],[Brackets]],0) * cv_M/cv_F * Forces_APPURT[[#This Row],[Delta Fai 30]] * Calculations_APPURT[[#This Row],[Lateral Offset]]/12</f>
        <v>0</v>
      </c>
      <c r="UK12" s="276">
        <f>IFERROR(1/Calculations_APPURT[[#This Row],[Brackets]],0) * cv_M/cv_F * Forces_APPURT[[#This Row],[Delta Fai 45]] * Calculations_APPURT[[#This Row],[Lateral Offset]]/12</f>
        <v>0</v>
      </c>
      <c r="UL12" s="276">
        <f>IFERROR(1/Calculations_APPURT[[#This Row],[Brackets]],0) * cv_M/cv_F * Forces_APPURT[[#This Row],[Delta Fai 60]] * Calculations_APPURT[[#This Row],[Lateral Offset]]/12</f>
        <v>0</v>
      </c>
      <c r="UM12" s="276">
        <f>IFERROR(1/Calculations_APPURT[[#This Row],[Brackets]],0) * cv_M/cv_F * Forces_APPURT[[#This Row],[Delta Fai 90]] * Calculations_APPURT[[#This Row],[Lateral Offset]]/12</f>
        <v>0</v>
      </c>
      <c r="UN12" s="276">
        <f>IFERROR(1/Calculations_APPURT[[#This Row],[Brackets]],0) * cv_M/cv_F * Forces_APPURT[[#This Row],[Delta Fai 120]] * Calculations_APPURT[[#This Row],[Lateral Offset]]/12</f>
        <v>0</v>
      </c>
      <c r="UO12" s="276">
        <f>IFERROR(1/Calculations_APPURT[[#This Row],[Brackets]],0) * cv_M/cv_F * Forces_APPURT[[#This Row],[Delta Fai 135]] * Calculations_APPURT[[#This Row],[Lateral Offset]]/12</f>
        <v>0</v>
      </c>
      <c r="UP12" s="276">
        <f>IFERROR(1/Calculations_APPURT[[#This Row],[Brackets]],0) * cv_M/cv_F * Forces_APPURT[[#This Row],[Delta Fai 150]] * Calculations_APPURT[[#This Row],[Lateral Offset]]/12</f>
        <v>0</v>
      </c>
      <c r="UQ12" s="276">
        <f>IFERROR(1/Calculations_APPURT[[#This Row],[Brackets]],0) * cv_M/cv_F * Forces_APPURT[[#This Row],[Delta Fai 180]] * Calculations_APPURT[[#This Row],[Lateral Offset]]/12</f>
        <v>0</v>
      </c>
      <c r="UR12" s="276">
        <f>IFERROR(1/Calculations_APPURT[[#This Row],[Brackets]],0) * cv_M/cv_F * Forces_APPURT[[#This Row],[Delta Fai 210]] * Calculations_APPURT[[#This Row],[Lateral Offset]]/12</f>
        <v>0</v>
      </c>
      <c r="US12" s="276">
        <f>IFERROR(1/Calculations_APPURT[[#This Row],[Brackets]],0) * cv_M/cv_F * Forces_APPURT[[#This Row],[Delta Fai 225]] * Calculations_APPURT[[#This Row],[Lateral Offset]]/12</f>
        <v>0</v>
      </c>
      <c r="UT12" s="276">
        <f>IFERROR(1/Calculations_APPURT[[#This Row],[Brackets]],0) * cv_M/cv_F * Forces_APPURT[[#This Row],[Delta Fai 240]] * Calculations_APPURT[[#This Row],[Lateral Offset]]/12</f>
        <v>0</v>
      </c>
      <c r="UU12" s="276">
        <f>IFERROR(1/Calculations_APPURT[[#This Row],[Brackets]],0) * cv_M/cv_F * Forces_APPURT[[#This Row],[Delta Fai 270]] * Calculations_APPURT[[#This Row],[Lateral Offset]]/12</f>
        <v>0</v>
      </c>
      <c r="UV12" s="276">
        <f>IFERROR(1/Calculations_APPURT[[#This Row],[Brackets]],0) * cv_M/cv_F * Forces_APPURT[[#This Row],[Delta Fai 300]] * Calculations_APPURT[[#This Row],[Lateral Offset]]/12</f>
        <v>0</v>
      </c>
      <c r="UW12" s="276">
        <f>IFERROR(1/Calculations_APPURT[[#This Row],[Brackets]],0) * cv_M/cv_F * Forces_APPURT[[#This Row],[Delta Fai 315]] * Calculations_APPURT[[#This Row],[Lateral Offset]]/12</f>
        <v>0</v>
      </c>
      <c r="UX12" s="276">
        <f>IFERROR(1/Calculations_APPURT[[#This Row],[Brackets]],0) * cv_M/cv_F * Forces_APPURT[[#This Row],[Delta Fai 330]] * Calculations_APPURT[[#This Row],[Lateral Offset]]/12</f>
        <v>0</v>
      </c>
      <c r="UY12" s="338">
        <f>Dimensions_APPURT[[#This Row],[Weight (lbf)]] * cv_F * AlphaSector[[#This Row],[Quantity]]</f>
        <v>0</v>
      </c>
      <c r="UZ12" s="338">
        <f>Dimensions_APPURT[[#This Row],[Weight (lbf)]] * cv_F * BetaSector[[#This Row],[Quantity]]</f>
        <v>0</v>
      </c>
      <c r="VA12" s="338">
        <f>Dimensions_APPURT[[#This Row],[Weight (lbf)]] * cv_F * GammaSector[[#This Row],[Quantity]]</f>
        <v>0</v>
      </c>
      <c r="VB12" s="338">
        <f>Dimensions_APPURT[[#This Row],[Weight (lbf)]] * cv_F * DeltaSector[[#This Row],[Quantity]]</f>
        <v>0</v>
      </c>
      <c r="VC12" s="209">
        <f>Dimensions_APPURT[[#This Row],[Weight (lbf)]] * cv_M * AlphaSector[[#This Row],[Quantity]] * Calculations_APPURT[[#This Row],[Horizontal Offset]]/12</f>
        <v>0</v>
      </c>
      <c r="VD12" s="209">
        <f>Dimensions_APPURT[[#This Row],[Weight (lbf)]] * cv_M * BetaSector[[#This Row],[Quantity]] * Calculations_APPURT[[#This Row],[Horizontal Offset]]/12</f>
        <v>0</v>
      </c>
      <c r="VE12" s="209">
        <f>Dimensions_APPURT[[#This Row],[Weight (lbf)]] * cv_M * GammaSector[[#This Row],[Quantity]] * Calculations_APPURT[[#This Row],[Horizontal Offset]]/12</f>
        <v>0</v>
      </c>
      <c r="VF12" s="209">
        <f>Dimensions_APPURT[[#This Row],[Weight (lbf)]] * cv_M * DeltaSector[[#This Row],[Quantity]] * Calculations_APPURT[[#This Row],[Horizontal Offset]]/12</f>
        <v>0</v>
      </c>
      <c r="VG12" s="338">
        <f>Hazards_APPURT[[#This Row],[Ice Weight]] * cv_F * AlphaSector[[#This Row],[Quantity]]</f>
        <v>0</v>
      </c>
      <c r="VH12" s="338">
        <f>Hazards_APPURT[[#This Row],[Ice Weight]] * cv_F * BetaSector[[#This Row],[Quantity]]</f>
        <v>0</v>
      </c>
      <c r="VI12" s="338">
        <f>Hazards_APPURT[[#This Row],[Ice Weight]] * cv_F * GammaSector[[#This Row],[Quantity]]</f>
        <v>0</v>
      </c>
      <c r="VJ12" s="338">
        <f>Hazards_APPURT[[#This Row],[Ice Weight]] * cv_F * DeltaSector[[#This Row],[Quantity]]</f>
        <v>0</v>
      </c>
      <c r="VK12" s="209">
        <f>Hazards_APPURT[[#This Row],[Ice Weight]] * cv_M * AlphaSector[[#This Row],[Quantity]] * Calculations_APPURT[[#This Row],[Horizontal Offset]]/12</f>
        <v>0</v>
      </c>
      <c r="VL12" s="209">
        <f>Hazards_APPURT[[#This Row],[Ice Weight]] * cv_M * BetaSector[[#This Row],[Quantity]] * Calculations_APPURT[[#This Row],[Horizontal Offset]]/12</f>
        <v>0</v>
      </c>
      <c r="VM12" s="209">
        <f>Hazards_APPURT[[#This Row],[Ice Weight]] * cv_M * GammaSector[[#This Row],[Quantity]] * Calculations_APPURT[[#This Row],[Horizontal Offset]]/12</f>
        <v>0</v>
      </c>
      <c r="VN12" s="209">
        <f>Hazards_APPURT[[#This Row],[Ice Weight]] * cv_M * DeltaSector[[#This Row],[Quantity]] * Calculations_APPURT[[#This Row],[Horizontal Offset]]/12</f>
        <v>0</v>
      </c>
    </row>
    <row r="13" spans="1:586" ht="15" customHeight="1" x14ac:dyDescent="0.2">
      <c r="A13" s="69"/>
      <c r="E13" s="265"/>
      <c r="L13" s="69"/>
      <c r="O13" s="142"/>
      <c r="R13" s="70"/>
      <c r="T13" s="69"/>
      <c r="V13" s="71"/>
      <c r="W13" s="69"/>
      <c r="X13" s="71"/>
      <c r="Y13" s="69"/>
      <c r="Z13" s="70"/>
      <c r="AB13" s="69"/>
      <c r="AD13" s="71"/>
      <c r="AE13" s="69"/>
      <c r="AF13" s="71"/>
      <c r="AG13" s="69"/>
      <c r="AH13" s="70"/>
      <c r="AJ13" s="69"/>
      <c r="AL13" s="71"/>
      <c r="AM13" s="69"/>
      <c r="AN13" s="71"/>
      <c r="AO13" s="69"/>
      <c r="AP13" s="70"/>
      <c r="AR13" s="69"/>
      <c r="AV13" s="277" cm="1">
        <f t="array" ref="AV13">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3" s="209" cm="1">
        <f t="array" ref="AW13">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3" s="209" cm="1">
        <f t="array" ref="AX13">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3" s="209" cm="1">
        <f t="array" ref="AY13">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3"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3" s="209" cm="1">
        <f t="array" ref="BA13">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3" s="209">
        <f>IF(OR(Calculations_APPURT[[#This Row],[Shape]]="CFD",Calculations_APPURT[[#This Row],[Shape]]="CCI"),1,0.95)</f>
        <v>0.95</v>
      </c>
      <c r="BC13" s="209" cm="1">
        <f t="array" ref="BC13">0.00256 * Hazards_APPURT[[#This Row],[Kz]] * Kzt * Ks * I.wind * V^2 * IF(RIGHT(TIA,1)="G",1,Ke) * IF(OR(Calculations_APPURT[[#This Row],[Shape]]="CFD",Calculations_APPURT[[#This Row],[Shape]]="CCI"),1, Hazards_APPURT[[#This Row],[Kd]]) * Gh</f>
        <v>0</v>
      </c>
      <c r="BD13" s="209">
        <f>IF(Risk="I",0,MIN(((z+Calculations_APPURT[[#This Row],[Vertical Offset]]/12)/33)^(0.1),1.4))</f>
        <v>0</v>
      </c>
      <c r="BE13" s="209" cm="1">
        <f t="array" ref="BE13">IF(Risk="I",0,IF(TIA="ANSI/TIA-222-G",2,1*Kes.i)*ti*I.ice*Hazards_APPURT[[#This Row],[Kiz]]*(Kzt/Ks)^(0.35))</f>
        <v>0</v>
      </c>
      <c r="BF13" s="209" cm="1">
        <f t="array" ref="BF13">0.00256 * Hazards_APPURT[[#This Row],[Kz]] * Kzt * Ks * I.wind * Vi^2 * IF(RIGHT(TIA,1)="G",1,Ke) * IF(OR(Calculations_APPURT[[#This Row],[Shape]]="CFD",Calculations_APPURT[[#This Row],[Shape]]="CCI"),1, Kd) * Gh</f>
        <v>0</v>
      </c>
      <c r="BG13"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3"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3"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3"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3"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3"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3"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3"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3"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3"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3"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3"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3"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3"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3"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3"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3"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3"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3"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3"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3"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3"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3"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3"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3"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3"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3"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3"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3"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3"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3"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3"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3"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3"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3"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3"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3"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3"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3"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3"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3"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3"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3"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3"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3"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3"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3"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3"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3"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3"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3"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3"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3"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3"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3"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3"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3"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3"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3"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3"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3"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3"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3"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3"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3" s="276">
        <f>IFERROR(1/Calculations_APPURT[[#This Row],[Brackets]],0) * cv_F * AlphaSector[[#This Row],[Quantity]] * Hazards_APPURT[[#This Row],[qz]] * CaAa_APPURT[[#This Row],[Alpha 0]] * IF(Calculations_APPURT[[#This Row],[Shape]]="CFD",1, Ka)</f>
        <v>0</v>
      </c>
      <c r="GF13" s="276">
        <f>IFERROR(1/Calculations_APPURT[[#This Row],[Brackets]],0) * cv_F * AlphaSector[[#This Row],[Quantity]] * Hazards_APPURT[[#This Row],[qz]] * CaAa_APPURT[[#This Row],[Alpha 30]] * IF(Calculations_APPURT[[#This Row],[Shape]]="CFD",1, Ka)</f>
        <v>0</v>
      </c>
      <c r="GG13" s="276">
        <f>IFERROR(1/Calculations_APPURT[[#This Row],[Brackets]],0) * cv_F * AlphaSector[[#This Row],[Quantity]] * Hazards_APPURT[[#This Row],[qz]] * CaAa_APPURT[[#This Row],[Alpha 45]] * IF(Calculations_APPURT[[#This Row],[Shape]]="CFD",1, Ka)</f>
        <v>0</v>
      </c>
      <c r="GH13" s="276">
        <f>IFERROR(1/Calculations_APPURT[[#This Row],[Brackets]],0) * cv_F * AlphaSector[[#This Row],[Quantity]] * Hazards_APPURT[[#This Row],[qz]] * CaAa_APPURT[[#This Row],[Alpha 60]] * IF(Calculations_APPURT[[#This Row],[Shape]]="CFD",1, Ka)</f>
        <v>0</v>
      </c>
      <c r="GI13" s="276">
        <f>IFERROR(1/Calculations_APPURT[[#This Row],[Brackets]],0) * cv_F * AlphaSector[[#This Row],[Quantity]] * Hazards_APPURT[[#This Row],[qz]] * CaAa_APPURT[[#This Row],[Alpha 90]] * IF(Calculations_APPURT[[#This Row],[Shape]]="CFD",1, Ka)</f>
        <v>0</v>
      </c>
      <c r="GJ13" s="276">
        <f>IFERROR(1/Calculations_APPURT[[#This Row],[Brackets]],0) * cv_F * AlphaSector[[#This Row],[Quantity]] * Hazards_APPURT[[#This Row],[qz]] * CaAa_APPURT[[#This Row],[Alpha 120]] * IF(Calculations_APPURT[[#This Row],[Shape]]="CFD",1, Ka)</f>
        <v>0</v>
      </c>
      <c r="GK13" s="276">
        <f>IFERROR(1/Calculations_APPURT[[#This Row],[Brackets]],0) * cv_F * AlphaSector[[#This Row],[Quantity]] * Hazards_APPURT[[#This Row],[qz]] * CaAa_APPURT[[#This Row],[Alpha 135]] * IF(Calculations_APPURT[[#This Row],[Shape]]="CFD",1, Ka)</f>
        <v>0</v>
      </c>
      <c r="GL13" s="276">
        <f>IFERROR(1/Calculations_APPURT[[#This Row],[Brackets]],0) * cv_F * AlphaSector[[#This Row],[Quantity]] * Hazards_APPURT[[#This Row],[qz]] * CaAa_APPURT[[#This Row],[Alpha 150]] * IF(Calculations_APPURT[[#This Row],[Shape]]="CFD",1, Ka)</f>
        <v>0</v>
      </c>
      <c r="GM13" s="276">
        <f>IFERROR(1/Calculations_APPURT[[#This Row],[Brackets]],0) * cv_F * AlphaSector[[#This Row],[Quantity]] * Hazards_APPURT[[#This Row],[qz]] * CaAa_APPURT[[#This Row],[Alpha 180]] * IF(Calculations_APPURT[[#This Row],[Shape]]="CFD",1, Ka)</f>
        <v>0</v>
      </c>
      <c r="GN13" s="276">
        <f>IFERROR(1/Calculations_APPURT[[#This Row],[Brackets]],0) * cv_F * AlphaSector[[#This Row],[Quantity]] * Hazards_APPURT[[#This Row],[qz]] * CaAa_APPURT[[#This Row],[Alpha 210]] * IF(Calculations_APPURT[[#This Row],[Shape]]="CFD",1, Ka)</f>
        <v>0</v>
      </c>
      <c r="GO13" s="276">
        <f>IFERROR(1/Calculations_APPURT[[#This Row],[Brackets]],0) * cv_F * AlphaSector[[#This Row],[Quantity]] * Hazards_APPURT[[#This Row],[qz]] * CaAa_APPURT[[#This Row],[Alpha 225]] * IF(Calculations_APPURT[[#This Row],[Shape]]="CFD",1, Ka)</f>
        <v>0</v>
      </c>
      <c r="GP13" s="276">
        <f>IFERROR(1/Calculations_APPURT[[#This Row],[Brackets]],0) * cv_F * AlphaSector[[#This Row],[Quantity]] * Hazards_APPURT[[#This Row],[qz]] * CaAa_APPURT[[#This Row],[Alpha 240]] * IF(Calculations_APPURT[[#This Row],[Shape]]="CFD",1, Ka)</f>
        <v>0</v>
      </c>
      <c r="GQ13" s="276">
        <f>IFERROR(1/Calculations_APPURT[[#This Row],[Brackets]],0) * cv_F * AlphaSector[[#This Row],[Quantity]] * Hazards_APPURT[[#This Row],[qz]] * CaAa_APPURT[[#This Row],[Alpha 270]] * IF(Calculations_APPURT[[#This Row],[Shape]]="CFD",1, Ka)</f>
        <v>0</v>
      </c>
      <c r="GR13" s="276">
        <f>IFERROR(1/Calculations_APPURT[[#This Row],[Brackets]],0) * cv_F * AlphaSector[[#This Row],[Quantity]] * Hazards_APPURT[[#This Row],[qz]] * CaAa_APPURT[[#This Row],[Alpha 300]] * IF(Calculations_APPURT[[#This Row],[Shape]]="CFD",1, Ka)</f>
        <v>0</v>
      </c>
      <c r="GS13" s="276">
        <f>IFERROR(1/Calculations_APPURT[[#This Row],[Brackets]],0) * cv_F * AlphaSector[[#This Row],[Quantity]] * Hazards_APPURT[[#This Row],[qz]] * CaAa_APPURT[[#This Row],[Alpha 315]] * IF(Calculations_APPURT[[#This Row],[Shape]]="CFD",1, Ka)</f>
        <v>0</v>
      </c>
      <c r="GT13" s="276">
        <f>IFERROR(1/Calculations_APPURT[[#This Row],[Brackets]],0) * cv_F * AlphaSector[[#This Row],[Quantity]] * Hazards_APPURT[[#This Row],[qz]] * CaAa_APPURT[[#This Row],[Alpha 330]] * IF(Calculations_APPURT[[#This Row],[Shape]]="CFD",1, Ka)</f>
        <v>0</v>
      </c>
      <c r="GU13" s="276">
        <f>IFERROR(1/Calculations_APPURT[[#This Row],[Brackets]],0) * cv_F * BetaSector[[#This Row],[Quantity]] * Hazards_APPURT[[#This Row],[qz]] * CaAa_APPURT[[#This Row],[Beta 0]] * IF(Calculations_APPURT[[#This Row],[Shape]]="CFD",1, Ka)</f>
        <v>0</v>
      </c>
      <c r="GV13" s="276">
        <f>IFERROR(1/Calculations_APPURT[[#This Row],[Brackets]],0) * cv_F * BetaSector[[#This Row],[Quantity]] * Hazards_APPURT[[#This Row],[qz]] * CaAa_APPURT[[#This Row],[Beta 30]] * IF(Calculations_APPURT[[#This Row],[Shape]]="CFD",1, Ka)</f>
        <v>0</v>
      </c>
      <c r="GW13" s="276">
        <f>IFERROR(1/Calculations_APPURT[[#This Row],[Brackets]],0) * cv_F * BetaSector[[#This Row],[Quantity]] * Hazards_APPURT[[#This Row],[qz]] * CaAa_APPURT[[#This Row],[Beta 45]] * IF(Calculations_APPURT[[#This Row],[Shape]]="CFD",1, Ka)</f>
        <v>0</v>
      </c>
      <c r="GX13" s="276">
        <f>IFERROR(1/Calculations_APPURT[[#This Row],[Brackets]],0) * cv_F * BetaSector[[#This Row],[Quantity]] * Hazards_APPURT[[#This Row],[qz]] * CaAa_APPURT[[#This Row],[Beta 60]] * IF(Calculations_APPURT[[#This Row],[Shape]]="CFD",1, Ka)</f>
        <v>0</v>
      </c>
      <c r="GY13" s="276">
        <f>IFERROR(1/Calculations_APPURT[[#This Row],[Brackets]],0) * cv_F * BetaSector[[#This Row],[Quantity]] * Hazards_APPURT[[#This Row],[qz]] * CaAa_APPURT[[#This Row],[Beta 90]] * IF(Calculations_APPURT[[#This Row],[Shape]]="CFD",1, Ka)</f>
        <v>0</v>
      </c>
      <c r="GZ13" s="276">
        <f>IFERROR(1/Calculations_APPURT[[#This Row],[Brackets]],0) * cv_F * BetaSector[[#This Row],[Quantity]] * Hazards_APPURT[[#This Row],[qz]] * CaAa_APPURT[[#This Row],[Beta 120]] * IF(Calculations_APPURT[[#This Row],[Shape]]="CFD",1, Ka)</f>
        <v>0</v>
      </c>
      <c r="HA13" s="276">
        <f>IFERROR(1/Calculations_APPURT[[#This Row],[Brackets]],0) * cv_F * BetaSector[[#This Row],[Quantity]] * Hazards_APPURT[[#This Row],[qz]] * CaAa_APPURT[[#This Row],[Beta 135]] * IF(Calculations_APPURT[[#This Row],[Shape]]="CFD",1, Ka)</f>
        <v>0</v>
      </c>
      <c r="HB13" s="276">
        <f>IFERROR(1/Calculations_APPURT[[#This Row],[Brackets]],0) * cv_F * BetaSector[[#This Row],[Quantity]] * Hazards_APPURT[[#This Row],[qz]] * CaAa_APPURT[[#This Row],[Beta 150]] * IF(Calculations_APPURT[[#This Row],[Shape]]="CFD",1, Ka)</f>
        <v>0</v>
      </c>
      <c r="HC13" s="276">
        <f>IFERROR(1/Calculations_APPURT[[#This Row],[Brackets]],0) * cv_F * BetaSector[[#This Row],[Quantity]] * Hazards_APPURT[[#This Row],[qz]] * CaAa_APPURT[[#This Row],[Beta 180]] * IF(Calculations_APPURT[[#This Row],[Shape]]="CFD",1, Ka)</f>
        <v>0</v>
      </c>
      <c r="HD13" s="276">
        <f>IFERROR(1/Calculations_APPURT[[#This Row],[Brackets]],0) * cv_F * BetaSector[[#This Row],[Quantity]] * Hazards_APPURT[[#This Row],[qz]] * CaAa_APPURT[[#This Row],[Beta 210]] * IF(Calculations_APPURT[[#This Row],[Shape]]="CFD",1, Ka)</f>
        <v>0</v>
      </c>
      <c r="HE13" s="276">
        <f>IFERROR(1/Calculations_APPURT[[#This Row],[Brackets]],0) * cv_F * BetaSector[[#This Row],[Quantity]] * Hazards_APPURT[[#This Row],[qz]] * CaAa_APPURT[[#This Row],[Beta 225]] * IF(Calculations_APPURT[[#This Row],[Shape]]="CFD",1, Ka)</f>
        <v>0</v>
      </c>
      <c r="HF13" s="276">
        <f>IFERROR(1/Calculations_APPURT[[#This Row],[Brackets]],0) * cv_F * BetaSector[[#This Row],[Quantity]] * Hazards_APPURT[[#This Row],[qz]] * CaAa_APPURT[[#This Row],[Beta 240]] * IF(Calculations_APPURT[[#This Row],[Shape]]="CFD",1, Ka)</f>
        <v>0</v>
      </c>
      <c r="HG13" s="276">
        <f>IFERROR(1/Calculations_APPURT[[#This Row],[Brackets]],0) * cv_F * BetaSector[[#This Row],[Quantity]] * Hazards_APPURT[[#This Row],[qz]] * CaAa_APPURT[[#This Row],[Beta 270]] * IF(Calculations_APPURT[[#This Row],[Shape]]="CFD",1, Ka)</f>
        <v>0</v>
      </c>
      <c r="HH13" s="276">
        <f>IFERROR(1/Calculations_APPURT[[#This Row],[Brackets]],0) * cv_F * BetaSector[[#This Row],[Quantity]] * Hazards_APPURT[[#This Row],[qz]] * CaAa_APPURT[[#This Row],[Beta 300]] * IF(Calculations_APPURT[[#This Row],[Shape]]="CFD",1, Ka)</f>
        <v>0</v>
      </c>
      <c r="HI13" s="276">
        <f>IFERROR(1/Calculations_APPURT[[#This Row],[Brackets]],0) * cv_F * BetaSector[[#This Row],[Quantity]] * Hazards_APPURT[[#This Row],[qz]] * CaAa_APPURT[[#This Row],[Beta 315]] * IF(Calculations_APPURT[[#This Row],[Shape]]="CFD",1, Ka)</f>
        <v>0</v>
      </c>
      <c r="HJ13" s="276">
        <f>IFERROR(1/Calculations_APPURT[[#This Row],[Brackets]],0) * cv_F * BetaSector[[#This Row],[Quantity]] * Hazards_APPURT[[#This Row],[qz]] * CaAa_APPURT[[#This Row],[Beta 330]] * IF(Calculations_APPURT[[#This Row],[Shape]]="CFD",1, Ka)</f>
        <v>0</v>
      </c>
      <c r="HK13" s="276">
        <f>IFERROR(1/Calculations_APPURT[[#This Row],[Brackets]],0) * cv_F * GammaSector[[#This Row],[Quantity]] * Hazards_APPURT[[#This Row],[qz]] * CaAa_APPURT[[#This Row],[Gamma 0]] * IF(Calculations_APPURT[[#This Row],[Shape]]="CFD",1, Ka)</f>
        <v>0</v>
      </c>
      <c r="HL13" s="276">
        <f>IFERROR(1/Calculations_APPURT[[#This Row],[Brackets]],0) * cv_F * GammaSector[[#This Row],[Quantity]] * Hazards_APPURT[[#This Row],[qz]] * CaAa_APPURT[[#This Row],[Gamma 30]] * IF(Calculations_APPURT[[#This Row],[Shape]]="CFD",1, Ka)</f>
        <v>0</v>
      </c>
      <c r="HM13" s="276">
        <f>IFERROR(1/Calculations_APPURT[[#This Row],[Brackets]],0) * cv_F * GammaSector[[#This Row],[Quantity]] * Hazards_APPURT[[#This Row],[qz]] * CaAa_APPURT[[#This Row],[Gamma 45]] * IF(Calculations_APPURT[[#This Row],[Shape]]="CFD",1, Ka)</f>
        <v>0</v>
      </c>
      <c r="HN13" s="276">
        <f>IFERROR(1/Calculations_APPURT[[#This Row],[Brackets]],0) * cv_F * GammaSector[[#This Row],[Quantity]] * Hazards_APPURT[[#This Row],[qz]] * CaAa_APPURT[[#This Row],[Gamma 60]] * IF(Calculations_APPURT[[#This Row],[Shape]]="CFD",1, Ka)</f>
        <v>0</v>
      </c>
      <c r="HO13" s="276">
        <f>IFERROR(1/Calculations_APPURT[[#This Row],[Brackets]],0) * cv_F * GammaSector[[#This Row],[Quantity]] * Hazards_APPURT[[#This Row],[qz]] * CaAa_APPURT[[#This Row],[Gamma 90]] * IF(Calculations_APPURT[[#This Row],[Shape]]="CFD",1, Ka)</f>
        <v>0</v>
      </c>
      <c r="HP13" s="276">
        <f>IFERROR(1/Calculations_APPURT[[#This Row],[Brackets]],0) * cv_F * GammaSector[[#This Row],[Quantity]] * Hazards_APPURT[[#This Row],[qz]] * CaAa_APPURT[[#This Row],[Gamma 120]] * IF(Calculations_APPURT[[#This Row],[Shape]]="CFD",1, Ka)</f>
        <v>0</v>
      </c>
      <c r="HQ13" s="276">
        <f>IFERROR(1/Calculations_APPURT[[#This Row],[Brackets]],0) * cv_F * GammaSector[[#This Row],[Quantity]] * Hazards_APPURT[[#This Row],[qz]] * CaAa_APPURT[[#This Row],[Gamma 135]] * IF(Calculations_APPURT[[#This Row],[Shape]]="CFD",1, Ka)</f>
        <v>0</v>
      </c>
      <c r="HR13" s="276">
        <f>IFERROR(1/Calculations_APPURT[[#This Row],[Brackets]],0) * cv_F * GammaSector[[#This Row],[Quantity]] * Hazards_APPURT[[#This Row],[qz]] * CaAa_APPURT[[#This Row],[Gamma 150]] * IF(Calculations_APPURT[[#This Row],[Shape]]="CFD",1, Ka)</f>
        <v>0</v>
      </c>
      <c r="HS13" s="276">
        <f>IFERROR(1/Calculations_APPURT[[#This Row],[Brackets]],0) * cv_F * GammaSector[[#This Row],[Quantity]] * Hazards_APPURT[[#This Row],[qz]] * CaAa_APPURT[[#This Row],[Gamma 180]] * IF(Calculations_APPURT[[#This Row],[Shape]]="CFD",1, Ka)</f>
        <v>0</v>
      </c>
      <c r="HT13" s="276">
        <f>IFERROR(1/Calculations_APPURT[[#This Row],[Brackets]],0) * cv_F * GammaSector[[#This Row],[Quantity]] * Hazards_APPURT[[#This Row],[qz]] * CaAa_APPURT[[#This Row],[Gamma 210]] * IF(Calculations_APPURT[[#This Row],[Shape]]="CFD",1, Ka)</f>
        <v>0</v>
      </c>
      <c r="HU13" s="276">
        <f>IFERROR(1/Calculations_APPURT[[#This Row],[Brackets]],0) * cv_F * GammaSector[[#This Row],[Quantity]] * Hazards_APPURT[[#This Row],[qz]] * CaAa_APPURT[[#This Row],[Gamma 225]] * IF(Calculations_APPURT[[#This Row],[Shape]]="CFD",1, Ka)</f>
        <v>0</v>
      </c>
      <c r="HV13" s="276">
        <f>IFERROR(1/Calculations_APPURT[[#This Row],[Brackets]],0) * cv_F * GammaSector[[#This Row],[Quantity]] * Hazards_APPURT[[#This Row],[qz]] * CaAa_APPURT[[#This Row],[Gamma 240]] * IF(Calculations_APPURT[[#This Row],[Shape]]="CFD",1, Ka)</f>
        <v>0</v>
      </c>
      <c r="HW13" s="276">
        <f>IFERROR(1/Calculations_APPURT[[#This Row],[Brackets]],0) * cv_F * GammaSector[[#This Row],[Quantity]] * Hazards_APPURT[[#This Row],[qz]] * CaAa_APPURT[[#This Row],[Gamma 270]] * IF(Calculations_APPURT[[#This Row],[Shape]]="CFD",1, Ka)</f>
        <v>0</v>
      </c>
      <c r="HX13" s="276">
        <f>IFERROR(1/Calculations_APPURT[[#This Row],[Brackets]],0) * cv_F * GammaSector[[#This Row],[Quantity]] * Hazards_APPURT[[#This Row],[qz]] * CaAa_APPURT[[#This Row],[Gamma 300]] * IF(Calculations_APPURT[[#This Row],[Shape]]="CFD",1, Ka)</f>
        <v>0</v>
      </c>
      <c r="HY13" s="276">
        <f>IFERROR(1/Calculations_APPURT[[#This Row],[Brackets]],0) * cv_F * GammaSector[[#This Row],[Quantity]] * Hazards_APPURT[[#This Row],[qz]] * CaAa_APPURT[[#This Row],[Gamma 315]] * IF(Calculations_APPURT[[#This Row],[Shape]]="CFD",1, Ka)</f>
        <v>0</v>
      </c>
      <c r="HZ13" s="276">
        <f>IFERROR(1/Calculations_APPURT[[#This Row],[Brackets]],0) * cv_F * GammaSector[[#This Row],[Quantity]] * Hazards_APPURT[[#This Row],[qz]] * CaAa_APPURT[[#This Row],[Gamma 330]] * IF(Calculations_APPURT[[#This Row],[Shape]]="CFD",1, Ka)</f>
        <v>0</v>
      </c>
      <c r="IA13" s="276">
        <f>IFERROR(1/Calculations_APPURT[[#This Row],[Brackets]],0) * cv_F * DeltaSector[[#This Row],[Quantity]] * Hazards_APPURT[[#This Row],[qz]] * CaAa_APPURT[[#This Row],[Delta 0]] * IF(Calculations_APPURT[[#This Row],[Shape]]="CFD",1, Ka)</f>
        <v>0</v>
      </c>
      <c r="IB13" s="276">
        <f>IFERROR(1/Calculations_APPURT[[#This Row],[Brackets]],0) * cv_F * DeltaSector[[#This Row],[Quantity]] * Hazards_APPURT[[#This Row],[qz]] * CaAa_APPURT[[#This Row],[Delta 30]] * IF(Calculations_APPURT[[#This Row],[Shape]]="CFD",1, Ka)</f>
        <v>0</v>
      </c>
      <c r="IC13" s="276">
        <f>IFERROR(1/Calculations_APPURT[[#This Row],[Brackets]],0) * cv_F * DeltaSector[[#This Row],[Quantity]] * Hazards_APPURT[[#This Row],[qz]] * CaAa_APPURT[[#This Row],[Delta 45]] * IF(Calculations_APPURT[[#This Row],[Shape]]="CFD",1, Ka)</f>
        <v>0</v>
      </c>
      <c r="ID13" s="276">
        <f>IFERROR(1/Calculations_APPURT[[#This Row],[Brackets]],0) * cv_F * DeltaSector[[#This Row],[Quantity]] * Hazards_APPURT[[#This Row],[qz]] * CaAa_APPURT[[#This Row],[Delta 60]] * IF(Calculations_APPURT[[#This Row],[Shape]]="CFD",1, Ka)</f>
        <v>0</v>
      </c>
      <c r="IE13" s="276">
        <f>IFERROR(1/Calculations_APPURT[[#This Row],[Brackets]],0) * cv_F * DeltaSector[[#This Row],[Quantity]] * Hazards_APPURT[[#This Row],[qz]] * CaAa_APPURT[[#This Row],[Delta 90]] * IF(Calculations_APPURT[[#This Row],[Shape]]="CFD",1, Ka)</f>
        <v>0</v>
      </c>
      <c r="IF13" s="276">
        <f>IFERROR(1/Calculations_APPURT[[#This Row],[Brackets]],0) * cv_F * DeltaSector[[#This Row],[Quantity]] * Hazards_APPURT[[#This Row],[qz]] * CaAa_APPURT[[#This Row],[Delta 120]] * IF(Calculations_APPURT[[#This Row],[Shape]]="CFD",1, Ka)</f>
        <v>0</v>
      </c>
      <c r="IG13" s="276">
        <f>IFERROR(1/Calculations_APPURT[[#This Row],[Brackets]],0) * cv_F * DeltaSector[[#This Row],[Quantity]] * Hazards_APPURT[[#This Row],[qz]] * CaAa_APPURT[[#This Row],[Delta 135]] * IF(Calculations_APPURT[[#This Row],[Shape]]="CFD",1, Ka)</f>
        <v>0</v>
      </c>
      <c r="IH13" s="276">
        <f>IFERROR(1/Calculations_APPURT[[#This Row],[Brackets]],0) * cv_F * DeltaSector[[#This Row],[Quantity]] * Hazards_APPURT[[#This Row],[qz]] * CaAa_APPURT[[#This Row],[Delta 150]] * IF(Calculations_APPURT[[#This Row],[Shape]]="CFD",1, Ka)</f>
        <v>0</v>
      </c>
      <c r="II13" s="276">
        <f>IFERROR(1/Calculations_APPURT[[#This Row],[Brackets]],0) * cv_F * DeltaSector[[#This Row],[Quantity]] * Hazards_APPURT[[#This Row],[qz]] * CaAa_APPURT[[#This Row],[Delta 180]] * IF(Calculations_APPURT[[#This Row],[Shape]]="CFD",1, Ka)</f>
        <v>0</v>
      </c>
      <c r="IJ13" s="276">
        <f>IFERROR(1/Calculations_APPURT[[#This Row],[Brackets]],0) * cv_F * DeltaSector[[#This Row],[Quantity]] * Hazards_APPURT[[#This Row],[qz]] * CaAa_APPURT[[#This Row],[Delta 210]] * IF(Calculations_APPURT[[#This Row],[Shape]]="CFD",1, Ka)</f>
        <v>0</v>
      </c>
      <c r="IK13" s="276">
        <f>IFERROR(1/Calculations_APPURT[[#This Row],[Brackets]],0) * cv_F * DeltaSector[[#This Row],[Quantity]] * Hazards_APPURT[[#This Row],[qz]] * CaAa_APPURT[[#This Row],[Delta 225]] * IF(Calculations_APPURT[[#This Row],[Shape]]="CFD",1, Ka)</f>
        <v>0</v>
      </c>
      <c r="IL13" s="276">
        <f>IFERROR(1/Calculations_APPURT[[#This Row],[Brackets]],0) * cv_F * DeltaSector[[#This Row],[Quantity]] * Hazards_APPURT[[#This Row],[qz]] * CaAa_APPURT[[#This Row],[Delta 240]] * IF(Calculations_APPURT[[#This Row],[Shape]]="CFD",1, Ka)</f>
        <v>0</v>
      </c>
      <c r="IM13" s="276">
        <f>IFERROR(1/Calculations_APPURT[[#This Row],[Brackets]],0) * cv_F * DeltaSector[[#This Row],[Quantity]] * Hazards_APPURT[[#This Row],[qz]] * CaAa_APPURT[[#This Row],[Delta 270]] * IF(Calculations_APPURT[[#This Row],[Shape]]="CFD",1, Ka)</f>
        <v>0</v>
      </c>
      <c r="IN13" s="276">
        <f>IFERROR(1/Calculations_APPURT[[#This Row],[Brackets]],0) * cv_F * DeltaSector[[#This Row],[Quantity]] * Hazards_APPURT[[#This Row],[qz]] * CaAa_APPURT[[#This Row],[Delta 300]] * IF(Calculations_APPURT[[#This Row],[Shape]]="CFD",1, Ka)</f>
        <v>0</v>
      </c>
      <c r="IO13" s="276">
        <f>IFERROR(1/Calculations_APPURT[[#This Row],[Brackets]],0) * cv_F * DeltaSector[[#This Row],[Quantity]] * Hazards_APPURT[[#This Row],[qz]] * CaAa_APPURT[[#This Row],[Delta 315]] * IF(Calculations_APPURT[[#This Row],[Shape]]="CFD",1, Ka)</f>
        <v>0</v>
      </c>
      <c r="IP13" s="276">
        <f>IFERROR(1/Calculations_APPURT[[#This Row],[Brackets]],0) * cv_F * DeltaSector[[#This Row],[Quantity]] * Hazards_APPURT[[#This Row],[qz]] * CaAa_APPURT[[#This Row],[Delta 330]] * IF(Calculations_APPURT[[#This Row],[Shape]]="CFD",1, Ka)</f>
        <v>0</v>
      </c>
      <c r="IQ13" s="276">
        <f>IFERROR(1/Calculations_APPURT[[#This Row],[Brackets]],0) * cv_F * AlphaSector[[#This Row],[Quantity]] * Hazards_APPURT[[#This Row],[qiz]] * CaAa_APPURT[[#This Row],[Alpha Ice 0]]</f>
        <v>0</v>
      </c>
      <c r="IR13" s="276">
        <f>IFERROR(1/Calculations_APPURT[[#This Row],[Brackets]],0) * cv_F * AlphaSector[[#This Row],[Quantity]] * Hazards_APPURT[[#This Row],[qiz]] * CaAa_APPURT[[#This Row],[Alpha Ice 30]]</f>
        <v>0</v>
      </c>
      <c r="IS13" s="276">
        <f>IFERROR(1/Calculations_APPURT[[#This Row],[Brackets]],0) * cv_F * AlphaSector[[#This Row],[Quantity]] * Hazards_APPURT[[#This Row],[qiz]] * CaAa_APPURT[[#This Row],[Alpha Ice 45]]</f>
        <v>0</v>
      </c>
      <c r="IT13" s="276">
        <f>IFERROR(1/Calculations_APPURT[[#This Row],[Brackets]],0) * cv_F * AlphaSector[[#This Row],[Quantity]] * Hazards_APPURT[[#This Row],[qiz]] * CaAa_APPURT[[#This Row],[Alpha Ice 60]]</f>
        <v>0</v>
      </c>
      <c r="IU13" s="276">
        <f>IFERROR(1/Calculations_APPURT[[#This Row],[Brackets]],0) * cv_F * AlphaSector[[#This Row],[Quantity]] * Hazards_APPURT[[#This Row],[qiz]] * CaAa_APPURT[[#This Row],[Alpha Ice 90]]</f>
        <v>0</v>
      </c>
      <c r="IV13" s="276">
        <f>IFERROR(1/Calculations_APPURT[[#This Row],[Brackets]],0) * cv_F * AlphaSector[[#This Row],[Quantity]] * Hazards_APPURT[[#This Row],[qiz]] * CaAa_APPURT[[#This Row],[Alpha Ice 120]]</f>
        <v>0</v>
      </c>
      <c r="IW13" s="276">
        <f>IFERROR(1/Calculations_APPURT[[#This Row],[Brackets]],0) * cv_F * AlphaSector[[#This Row],[Quantity]] * Hazards_APPURT[[#This Row],[qiz]] * CaAa_APPURT[[#This Row],[Alpha Ice 135]]</f>
        <v>0</v>
      </c>
      <c r="IX13" s="276">
        <f>IFERROR(1/Calculations_APPURT[[#This Row],[Brackets]],0) * cv_F * AlphaSector[[#This Row],[Quantity]] * Hazards_APPURT[[#This Row],[qiz]] * CaAa_APPURT[[#This Row],[Alpha Ice 150]]</f>
        <v>0</v>
      </c>
      <c r="IY13" s="276">
        <f>IFERROR(1/Calculations_APPURT[[#This Row],[Brackets]],0) * cv_F * AlphaSector[[#This Row],[Quantity]] * Hazards_APPURT[[#This Row],[qiz]] * CaAa_APPURT[[#This Row],[Alpha Ice 180]]</f>
        <v>0</v>
      </c>
      <c r="IZ13" s="276">
        <f>IFERROR(1/Calculations_APPURT[[#This Row],[Brackets]],0) * cv_F * AlphaSector[[#This Row],[Quantity]] * Hazards_APPURT[[#This Row],[qiz]] * CaAa_APPURT[[#This Row],[Alpha Ice 210]]</f>
        <v>0</v>
      </c>
      <c r="JA13" s="276">
        <f>IFERROR(1/Calculations_APPURT[[#This Row],[Brackets]],0) * cv_F * AlphaSector[[#This Row],[Quantity]] * Hazards_APPURT[[#This Row],[qiz]] * CaAa_APPURT[[#This Row],[Alpha Ice 225]]</f>
        <v>0</v>
      </c>
      <c r="JB13" s="276">
        <f>IFERROR(1/Calculations_APPURT[[#This Row],[Brackets]],0) * cv_F * AlphaSector[[#This Row],[Quantity]] * Hazards_APPURT[[#This Row],[qiz]] * CaAa_APPURT[[#This Row],[Alpha Ice 240]]</f>
        <v>0</v>
      </c>
      <c r="JC13" s="276">
        <f>IFERROR(1/Calculations_APPURT[[#This Row],[Brackets]],0) * cv_F * AlphaSector[[#This Row],[Quantity]] * Hazards_APPURT[[#This Row],[qiz]] * CaAa_APPURT[[#This Row],[Alpha Ice 270]]</f>
        <v>0</v>
      </c>
      <c r="JD13" s="276">
        <f>IFERROR(1/Calculations_APPURT[[#This Row],[Brackets]],0) * cv_F * AlphaSector[[#This Row],[Quantity]] * Hazards_APPURT[[#This Row],[qiz]] * CaAa_APPURT[[#This Row],[Alpha Ice 300]]</f>
        <v>0</v>
      </c>
      <c r="JE13" s="276">
        <f>IFERROR(1/Calculations_APPURT[[#This Row],[Brackets]],0) * cv_F * AlphaSector[[#This Row],[Quantity]] * Hazards_APPURT[[#This Row],[qiz]] * CaAa_APPURT[[#This Row],[Alpha Ice 315]]</f>
        <v>0</v>
      </c>
      <c r="JF13" s="276">
        <f>IFERROR(1/Calculations_APPURT[[#This Row],[Brackets]],0) * cv_F * AlphaSector[[#This Row],[Quantity]] * Hazards_APPURT[[#This Row],[qiz]] * CaAa_APPURT[[#This Row],[Alpha Ice 330]]</f>
        <v>0</v>
      </c>
      <c r="JG13" s="276">
        <f>IFERROR(1/Calculations_APPURT[[#This Row],[Brackets]],0) * cv_F * BetaSector[[#This Row],[Quantity]] * Hazards_APPURT[[#This Row],[qiz]] * CaAa_APPURT[[#This Row],[Beta Ice 0]]</f>
        <v>0</v>
      </c>
      <c r="JH13" s="276">
        <f>IFERROR(1/Calculations_APPURT[[#This Row],[Brackets]],0) * cv_F * BetaSector[[#This Row],[Quantity]] * Hazards_APPURT[[#This Row],[qiz]] * CaAa_APPURT[[#This Row],[Beta Ice 30]]</f>
        <v>0</v>
      </c>
      <c r="JI13" s="276">
        <f>IFERROR(1/Calculations_APPURT[[#This Row],[Brackets]],0) * cv_F * BetaSector[[#This Row],[Quantity]] * Hazards_APPURT[[#This Row],[qiz]] * CaAa_APPURT[[#This Row],[Beta Ice 45]]</f>
        <v>0</v>
      </c>
      <c r="JJ13" s="276">
        <f>IFERROR(1/Calculations_APPURT[[#This Row],[Brackets]],0) * cv_F * BetaSector[[#This Row],[Quantity]] * Hazards_APPURT[[#This Row],[qiz]] * CaAa_APPURT[[#This Row],[Beta Ice 60]]</f>
        <v>0</v>
      </c>
      <c r="JK13" s="276">
        <f>IFERROR(1/Calculations_APPURT[[#This Row],[Brackets]],0) * cv_F * BetaSector[[#This Row],[Quantity]] * Hazards_APPURT[[#This Row],[qiz]] * CaAa_APPURT[[#This Row],[Beta Ice 90]]</f>
        <v>0</v>
      </c>
      <c r="JL13" s="276">
        <f>IFERROR(1/Calculations_APPURT[[#This Row],[Brackets]],0) * cv_F * BetaSector[[#This Row],[Quantity]] * Hazards_APPURT[[#This Row],[qiz]] * CaAa_APPURT[[#This Row],[Beta Ice 120]]</f>
        <v>0</v>
      </c>
      <c r="JM13" s="276">
        <f>IFERROR(1/Calculations_APPURT[[#This Row],[Brackets]],0) * cv_F * BetaSector[[#This Row],[Quantity]] * Hazards_APPURT[[#This Row],[qiz]] * CaAa_APPURT[[#This Row],[Beta Ice 135]]</f>
        <v>0</v>
      </c>
      <c r="JN13" s="276">
        <f>IFERROR(1/Calculations_APPURT[[#This Row],[Brackets]],0) * cv_F * BetaSector[[#This Row],[Quantity]] * Hazards_APPURT[[#This Row],[qiz]] * CaAa_APPURT[[#This Row],[Beta Ice 150]]</f>
        <v>0</v>
      </c>
      <c r="JO13" s="276">
        <f>IFERROR(1/Calculations_APPURT[[#This Row],[Brackets]],0) * cv_F * BetaSector[[#This Row],[Quantity]] * Hazards_APPURT[[#This Row],[qiz]] * CaAa_APPURT[[#This Row],[Beta Ice 180]]</f>
        <v>0</v>
      </c>
      <c r="JP13" s="276">
        <f>IFERROR(1/Calculations_APPURT[[#This Row],[Brackets]],0) * cv_F * BetaSector[[#This Row],[Quantity]] * Hazards_APPURT[[#This Row],[qiz]] * CaAa_APPURT[[#This Row],[Beta Ice 210]]</f>
        <v>0</v>
      </c>
      <c r="JQ13" s="276">
        <f>IFERROR(1/Calculations_APPURT[[#This Row],[Brackets]],0) * cv_F * BetaSector[[#This Row],[Quantity]] * Hazards_APPURT[[#This Row],[qiz]] * CaAa_APPURT[[#This Row],[Beta Ice 225]]</f>
        <v>0</v>
      </c>
      <c r="JR13" s="276">
        <f>IFERROR(1/Calculations_APPURT[[#This Row],[Brackets]],0) * cv_F * BetaSector[[#This Row],[Quantity]] * Hazards_APPURT[[#This Row],[qiz]] * CaAa_APPURT[[#This Row],[Beta Ice 240]]</f>
        <v>0</v>
      </c>
      <c r="JS13" s="276">
        <f>IFERROR(1/Calculations_APPURT[[#This Row],[Brackets]],0) * cv_F * BetaSector[[#This Row],[Quantity]] * Hazards_APPURT[[#This Row],[qiz]] * CaAa_APPURT[[#This Row],[Beta Ice 270]]</f>
        <v>0</v>
      </c>
      <c r="JT13" s="276">
        <f>IFERROR(1/Calculations_APPURT[[#This Row],[Brackets]],0) * cv_F * BetaSector[[#This Row],[Quantity]] * Hazards_APPURT[[#This Row],[qiz]] * CaAa_APPURT[[#This Row],[Beta Ice 300]]</f>
        <v>0</v>
      </c>
      <c r="JU13" s="276">
        <f>IFERROR(1/Calculations_APPURT[[#This Row],[Brackets]],0) * cv_F * BetaSector[[#This Row],[Quantity]] * Hazards_APPURT[[#This Row],[qiz]] * CaAa_APPURT[[#This Row],[Beta Ice 315]]</f>
        <v>0</v>
      </c>
      <c r="JV13" s="276">
        <f>IFERROR(1/Calculations_APPURT[[#This Row],[Brackets]],0) * cv_F * BetaSector[[#This Row],[Quantity]] * Hazards_APPURT[[#This Row],[qiz]] * CaAa_APPURT[[#This Row],[Beta Ice 330]]</f>
        <v>0</v>
      </c>
      <c r="JW13" s="276">
        <f>IFERROR(1/Calculations_APPURT[[#This Row],[Brackets]],0) * cv_F * GammaSector[[#This Row],[Quantity]] * Hazards_APPURT[[#This Row],[qiz]] * CaAa_APPURT[[#This Row],[Gamma Ice 0]]</f>
        <v>0</v>
      </c>
      <c r="JX13" s="276">
        <f>IFERROR(1/Calculations_APPURT[[#This Row],[Brackets]],0) * cv_F * GammaSector[[#This Row],[Quantity]] * Hazards_APPURT[[#This Row],[qiz]] * CaAa_APPURT[[#This Row],[Gamma Ice 30]]</f>
        <v>0</v>
      </c>
      <c r="JY13" s="276">
        <f>IFERROR(1/Calculations_APPURT[[#This Row],[Brackets]],0) * cv_F * GammaSector[[#This Row],[Quantity]] * Hazards_APPURT[[#This Row],[qiz]] * CaAa_APPURT[[#This Row],[Gamma Ice 45]]</f>
        <v>0</v>
      </c>
      <c r="JZ13" s="276">
        <f>IFERROR(1/Calculations_APPURT[[#This Row],[Brackets]],0) * cv_F * GammaSector[[#This Row],[Quantity]] * Hazards_APPURT[[#This Row],[qiz]] * CaAa_APPURT[[#This Row],[Gamma Ice 60]]</f>
        <v>0</v>
      </c>
      <c r="KA13" s="276">
        <f>IFERROR(1/Calculations_APPURT[[#This Row],[Brackets]],0) * cv_F * GammaSector[[#This Row],[Quantity]] * Hazards_APPURT[[#This Row],[qiz]] * CaAa_APPURT[[#This Row],[Gamma Ice 90]]</f>
        <v>0</v>
      </c>
      <c r="KB13" s="276">
        <f>IFERROR(1/Calculations_APPURT[[#This Row],[Brackets]],0) * cv_F * GammaSector[[#This Row],[Quantity]] * Hazards_APPURT[[#This Row],[qiz]] * CaAa_APPURT[[#This Row],[Gamma Ice 120]]</f>
        <v>0</v>
      </c>
      <c r="KC13" s="276">
        <f>IFERROR(1/Calculations_APPURT[[#This Row],[Brackets]],0) * cv_F * GammaSector[[#This Row],[Quantity]] * Hazards_APPURT[[#This Row],[qiz]] * CaAa_APPURT[[#This Row],[Gamma Ice 135]]</f>
        <v>0</v>
      </c>
      <c r="KD13" s="276">
        <f>IFERROR(1/Calculations_APPURT[[#This Row],[Brackets]],0) * cv_F * GammaSector[[#This Row],[Quantity]] * Hazards_APPURT[[#This Row],[qiz]] * CaAa_APPURT[[#This Row],[Gamma Ice 150]]</f>
        <v>0</v>
      </c>
      <c r="KE13" s="276">
        <f>IFERROR(1/Calculations_APPURT[[#This Row],[Brackets]],0) * cv_F * GammaSector[[#This Row],[Quantity]] * Hazards_APPURT[[#This Row],[qiz]] * CaAa_APPURT[[#This Row],[Gamma Ice 180]]</f>
        <v>0</v>
      </c>
      <c r="KF13" s="276">
        <f>IFERROR(1/Calculations_APPURT[[#This Row],[Brackets]],0) * cv_F * GammaSector[[#This Row],[Quantity]] * Hazards_APPURT[[#This Row],[qiz]] * CaAa_APPURT[[#This Row],[Gamma Ice 210]]</f>
        <v>0</v>
      </c>
      <c r="KG13" s="276">
        <f>IFERROR(1/Calculations_APPURT[[#This Row],[Brackets]],0) * cv_F * GammaSector[[#This Row],[Quantity]] * Hazards_APPURT[[#This Row],[qiz]] * CaAa_APPURT[[#This Row],[Gamma Ice 225]]</f>
        <v>0</v>
      </c>
      <c r="KH13" s="276">
        <f>IFERROR(1/Calculations_APPURT[[#This Row],[Brackets]],0) * cv_F * GammaSector[[#This Row],[Quantity]] * Hazards_APPURT[[#This Row],[qiz]] * CaAa_APPURT[[#This Row],[Gamma Ice 240]]</f>
        <v>0</v>
      </c>
      <c r="KI13" s="276">
        <f>IFERROR(1/Calculations_APPURT[[#This Row],[Brackets]],0) * cv_F * GammaSector[[#This Row],[Quantity]] * Hazards_APPURT[[#This Row],[qiz]] * CaAa_APPURT[[#This Row],[Gamma Ice 270]]</f>
        <v>0</v>
      </c>
      <c r="KJ13" s="276">
        <f>IFERROR(1/Calculations_APPURT[[#This Row],[Brackets]],0) * cv_F * GammaSector[[#This Row],[Quantity]] * Hazards_APPURT[[#This Row],[qiz]] * CaAa_APPURT[[#This Row],[Gamma Ice 300]]</f>
        <v>0</v>
      </c>
      <c r="KK13" s="276">
        <f>IFERROR(1/Calculations_APPURT[[#This Row],[Brackets]],0) * cv_F * GammaSector[[#This Row],[Quantity]] * Hazards_APPURT[[#This Row],[qiz]] * CaAa_APPURT[[#This Row],[Gamma Ice 315]]</f>
        <v>0</v>
      </c>
      <c r="KL13" s="276">
        <f>IFERROR(1/Calculations_APPURT[[#This Row],[Brackets]],0) * cv_F * GammaSector[[#This Row],[Quantity]] * Hazards_APPURT[[#This Row],[qiz]] * CaAa_APPURT[[#This Row],[Gamma Ice 330]]</f>
        <v>0</v>
      </c>
      <c r="KM13" s="276">
        <f>IFERROR(1/Calculations_APPURT[[#This Row],[Brackets]],0) * cv_F * DeltaSector[[#This Row],[Quantity]] * Hazards_APPURT[[#This Row],[qiz]] * CaAa_APPURT[[#This Row],[Delta Ice 0]]</f>
        <v>0</v>
      </c>
      <c r="KN13" s="276">
        <f>IFERROR(1/Calculations_APPURT[[#This Row],[Brackets]],0) * cv_F * DeltaSector[[#This Row],[Quantity]] * Hazards_APPURT[[#This Row],[qiz]] * CaAa_APPURT[[#This Row],[Delta Ice 30]]</f>
        <v>0</v>
      </c>
      <c r="KO13" s="276">
        <f>IFERROR(1/Calculations_APPURT[[#This Row],[Brackets]],0) * cv_F * DeltaSector[[#This Row],[Quantity]] * Hazards_APPURT[[#This Row],[qiz]] * CaAa_APPURT[[#This Row],[Delta Ice 45]]</f>
        <v>0</v>
      </c>
      <c r="KP13" s="276">
        <f>IFERROR(1/Calculations_APPURT[[#This Row],[Brackets]],0) * cv_F * DeltaSector[[#This Row],[Quantity]] * Hazards_APPURT[[#This Row],[qiz]] * CaAa_APPURT[[#This Row],[Delta Ice 60]]</f>
        <v>0</v>
      </c>
      <c r="KQ13" s="276">
        <f>IFERROR(1/Calculations_APPURT[[#This Row],[Brackets]],0) * cv_F * DeltaSector[[#This Row],[Quantity]] * Hazards_APPURT[[#This Row],[qiz]] * CaAa_APPURT[[#This Row],[Delta Ice 90]]</f>
        <v>0</v>
      </c>
      <c r="KR13" s="276">
        <f>IFERROR(1/Calculations_APPURT[[#This Row],[Brackets]],0) * cv_F * DeltaSector[[#This Row],[Quantity]] * Hazards_APPURT[[#This Row],[qiz]] * CaAa_APPURT[[#This Row],[Delta Ice 120]]</f>
        <v>0</v>
      </c>
      <c r="KS13" s="276">
        <f>IFERROR(1/Calculations_APPURT[[#This Row],[Brackets]],0) * cv_F * DeltaSector[[#This Row],[Quantity]] * Hazards_APPURT[[#This Row],[qiz]] * CaAa_APPURT[[#This Row],[Delta Ice 135]]</f>
        <v>0</v>
      </c>
      <c r="KT13" s="276">
        <f>IFERROR(1/Calculations_APPURT[[#This Row],[Brackets]],0) * cv_F * DeltaSector[[#This Row],[Quantity]] * Hazards_APPURT[[#This Row],[qiz]] * CaAa_APPURT[[#This Row],[Delta Ice 150]]</f>
        <v>0</v>
      </c>
      <c r="KU13" s="276">
        <f>IFERROR(1/Calculations_APPURT[[#This Row],[Brackets]],0) * cv_F * DeltaSector[[#This Row],[Quantity]] * Hazards_APPURT[[#This Row],[qiz]] * CaAa_APPURT[[#This Row],[Delta Ice 180]]</f>
        <v>0</v>
      </c>
      <c r="KV13" s="276">
        <f>IFERROR(1/Calculations_APPURT[[#This Row],[Brackets]],0) * cv_F * DeltaSector[[#This Row],[Quantity]] * Hazards_APPURT[[#This Row],[qiz]] * CaAa_APPURT[[#This Row],[Delta Ice 210]]</f>
        <v>0</v>
      </c>
      <c r="KW13" s="276">
        <f>IFERROR(1/Calculations_APPURT[[#This Row],[Brackets]],0) * cv_F * DeltaSector[[#This Row],[Quantity]] * Hazards_APPURT[[#This Row],[qiz]] * CaAa_APPURT[[#This Row],[Delta Ice 225]]</f>
        <v>0</v>
      </c>
      <c r="KX13" s="276">
        <f>IFERROR(1/Calculations_APPURT[[#This Row],[Brackets]],0) * cv_F * DeltaSector[[#This Row],[Quantity]] * Hazards_APPURT[[#This Row],[qiz]] * CaAa_APPURT[[#This Row],[Delta Ice 240]]</f>
        <v>0</v>
      </c>
      <c r="KY13" s="276">
        <f>IFERROR(1/Calculations_APPURT[[#This Row],[Brackets]],0) * cv_F * DeltaSector[[#This Row],[Quantity]] * Hazards_APPURT[[#This Row],[qiz]] * CaAa_APPURT[[#This Row],[Delta Ice 270]]</f>
        <v>0</v>
      </c>
      <c r="KZ13" s="276">
        <f>IFERROR(1/Calculations_APPURT[[#This Row],[Brackets]],0) * cv_F * DeltaSector[[#This Row],[Quantity]] * Hazards_APPURT[[#This Row],[qiz]] * CaAa_APPURT[[#This Row],[Delta Ice 300]]</f>
        <v>0</v>
      </c>
      <c r="LA13" s="276">
        <f>IFERROR(1/Calculations_APPURT[[#This Row],[Brackets]],0) * cv_F * DeltaSector[[#This Row],[Quantity]] * Hazards_APPURT[[#This Row],[qiz]] * CaAa_APPURT[[#This Row],[Delta Ice 315]]</f>
        <v>0</v>
      </c>
      <c r="LB13" s="276">
        <f>IFERROR(1/Calculations_APPURT[[#This Row],[Brackets]],0) * cv_F * DeltaSector[[#This Row],[Quantity]] * Hazards_APPURT[[#This Row],[qiz]] * CaAa_APPURT[[#This Row],[Delta Ice 330]]</f>
        <v>0</v>
      </c>
      <c r="LC13" s="276">
        <f>IFERROR(1/Calculations_APPURT[[#This Row],[Brackets]],0) * cv_M/cv_F * Forces_APPURT[[#This Row],[Alpha Fa 0]] * Calculations_APPURT[[#This Row],[Horizontal Offset]]/12</f>
        <v>0</v>
      </c>
      <c r="LD13" s="276">
        <f>IFERROR(1/Calculations_APPURT[[#This Row],[Brackets]],0) * cv_M/cv_F * Forces_APPURT[[#This Row],[Alpha Fa 30]] * Calculations_APPURT[[#This Row],[Horizontal Offset]]/12</f>
        <v>0</v>
      </c>
      <c r="LE13" s="276">
        <f>IFERROR(1/Calculations_APPURT[[#This Row],[Brackets]],0) * cv_M/cv_F * Forces_APPURT[[#This Row],[Alpha Fa 45]] * Calculations_APPURT[[#This Row],[Horizontal Offset]]/12</f>
        <v>0</v>
      </c>
      <c r="LF13" s="276">
        <f>IFERROR(1/Calculations_APPURT[[#This Row],[Brackets]],0) * cv_M/cv_F * Forces_APPURT[[#This Row],[Alpha Fa 60]] * Calculations_APPURT[[#This Row],[Horizontal Offset]]/12</f>
        <v>0</v>
      </c>
      <c r="LG13" s="276">
        <f>IFERROR(1/Calculations_APPURT[[#This Row],[Brackets]],0) * cv_M/cv_F * Forces_APPURT[[#This Row],[Alpha Fa 90]] * Calculations_APPURT[[#This Row],[Horizontal Offset]]/12</f>
        <v>0</v>
      </c>
      <c r="LH13" s="276">
        <f>IFERROR(1/Calculations_APPURT[[#This Row],[Brackets]],0) * cv_M/cv_F * Forces_APPURT[[#This Row],[Alpha Fa 120]] * Calculations_APPURT[[#This Row],[Horizontal Offset]]/12</f>
        <v>0</v>
      </c>
      <c r="LI13" s="276">
        <f>IFERROR(1/Calculations_APPURT[[#This Row],[Brackets]],0) * cv_M/cv_F * Forces_APPURT[[#This Row],[Alpha Fa 135]] * Calculations_APPURT[[#This Row],[Horizontal Offset]]/12</f>
        <v>0</v>
      </c>
      <c r="LJ13" s="276">
        <f>IFERROR(1/Calculations_APPURT[[#This Row],[Brackets]],0) * cv_M/cv_F * Forces_APPURT[[#This Row],[Alpha Fa 150]] * Calculations_APPURT[[#This Row],[Horizontal Offset]]/12</f>
        <v>0</v>
      </c>
      <c r="LK13" s="276">
        <f>IFERROR(1/Calculations_APPURT[[#This Row],[Brackets]],0) * cv_M/cv_F * Forces_APPURT[[#This Row],[Alpha Fa 180]] * Calculations_APPURT[[#This Row],[Horizontal Offset]]/12</f>
        <v>0</v>
      </c>
      <c r="LL13" s="276">
        <f>IFERROR(1/Calculations_APPURT[[#This Row],[Brackets]],0) * cv_M/cv_F * Forces_APPURT[[#This Row],[Alpha Fa 210]] * Calculations_APPURT[[#This Row],[Horizontal Offset]]/12</f>
        <v>0</v>
      </c>
      <c r="LM13" s="276">
        <f>IFERROR(1/Calculations_APPURT[[#This Row],[Brackets]],0) * cv_M/cv_F * Forces_APPURT[[#This Row],[Alpha Fa 225]] * Calculations_APPURT[[#This Row],[Horizontal Offset]]/12</f>
        <v>0</v>
      </c>
      <c r="LN13" s="276">
        <f>IFERROR(1/Calculations_APPURT[[#This Row],[Brackets]],0) * cv_M/cv_F * Forces_APPURT[[#This Row],[Alpha Fa 240]] * Calculations_APPURT[[#This Row],[Horizontal Offset]]/12</f>
        <v>0</v>
      </c>
      <c r="LO13" s="276">
        <f>IFERROR(1/Calculations_APPURT[[#This Row],[Brackets]],0) * cv_M/cv_F * Forces_APPURT[[#This Row],[Alpha Fa 270]] * Calculations_APPURT[[#This Row],[Horizontal Offset]]/12</f>
        <v>0</v>
      </c>
      <c r="LP13" s="276">
        <f>IFERROR(1/Calculations_APPURT[[#This Row],[Brackets]],0) * cv_M/cv_F * Forces_APPURT[[#This Row],[Alpha Fa 300]] * Calculations_APPURT[[#This Row],[Horizontal Offset]]/12</f>
        <v>0</v>
      </c>
      <c r="LQ13" s="276">
        <f>IFERROR(1/Calculations_APPURT[[#This Row],[Brackets]],0) * cv_M/cv_F * Forces_APPURT[[#This Row],[Alpha Fa 315]] * Calculations_APPURT[[#This Row],[Horizontal Offset]]/12</f>
        <v>0</v>
      </c>
      <c r="LR13" s="276">
        <f>IFERROR(1/Calculations_APPURT[[#This Row],[Brackets]],0) * cv_M/cv_F * Forces_APPURT[[#This Row],[Alpha Fa 330]] * Calculations_APPURT[[#This Row],[Horizontal Offset]]/12</f>
        <v>0</v>
      </c>
      <c r="LS13" s="276">
        <f>IFERROR(1/Calculations_APPURT[[#This Row],[Brackets]],0) * cv_M/cv_F * Forces_APPURT[[#This Row],[Beta Fa 0]] * Calculations_APPURT[[#This Row],[Horizontal Offset]]/12</f>
        <v>0</v>
      </c>
      <c r="LT13" s="276">
        <f>IFERROR(1/Calculations_APPURT[[#This Row],[Brackets]],0) * cv_M/cv_F * Forces_APPURT[[#This Row],[Beta Fa 30]] * Calculations_APPURT[[#This Row],[Horizontal Offset]]/12</f>
        <v>0</v>
      </c>
      <c r="LU13" s="276">
        <f>IFERROR(1/Calculations_APPURT[[#This Row],[Brackets]],0) * cv_M/cv_F * Forces_APPURT[[#This Row],[Beta Fa 45]] * Calculations_APPURT[[#This Row],[Horizontal Offset]]/12</f>
        <v>0</v>
      </c>
      <c r="LV13" s="276">
        <f>IFERROR(1/Calculations_APPURT[[#This Row],[Brackets]],0) * cv_M/cv_F * Forces_APPURT[[#This Row],[Beta Fa 60]] * Calculations_APPURT[[#This Row],[Horizontal Offset]]/12</f>
        <v>0</v>
      </c>
      <c r="LW13" s="276">
        <f>IFERROR(1/Calculations_APPURT[[#This Row],[Brackets]],0) * cv_M/cv_F * Forces_APPURT[[#This Row],[Beta Fa 90]] * Calculations_APPURT[[#This Row],[Horizontal Offset]]/12</f>
        <v>0</v>
      </c>
      <c r="LX13" s="276">
        <f>IFERROR(1/Calculations_APPURT[[#This Row],[Brackets]],0) * cv_M/cv_F * Forces_APPURT[[#This Row],[Beta Fa 120]] * Calculations_APPURT[[#This Row],[Horizontal Offset]]/12</f>
        <v>0</v>
      </c>
      <c r="LY13" s="276">
        <f>IFERROR(1/Calculations_APPURT[[#This Row],[Brackets]],0) * cv_M/cv_F * Forces_APPURT[[#This Row],[Beta Fa 135]] * Calculations_APPURT[[#This Row],[Horizontal Offset]]/12</f>
        <v>0</v>
      </c>
      <c r="LZ13" s="276">
        <f>IFERROR(1/Calculations_APPURT[[#This Row],[Brackets]],0) * cv_M/cv_F * Forces_APPURT[[#This Row],[Beta Fa 150]] * Calculations_APPURT[[#This Row],[Horizontal Offset]]/12</f>
        <v>0</v>
      </c>
      <c r="MA13" s="276">
        <f>IFERROR(1/Calculations_APPURT[[#This Row],[Brackets]],0) * cv_M/cv_F * Forces_APPURT[[#This Row],[Beta Fa 180]] * Calculations_APPURT[[#This Row],[Horizontal Offset]]/12</f>
        <v>0</v>
      </c>
      <c r="MB13" s="276">
        <f>IFERROR(1/Calculations_APPURT[[#This Row],[Brackets]],0) * cv_M/cv_F * Forces_APPURT[[#This Row],[Beta Fa 210]] * Calculations_APPURT[[#This Row],[Horizontal Offset]]/12</f>
        <v>0</v>
      </c>
      <c r="MC13" s="276">
        <f>IFERROR(1/Calculations_APPURT[[#This Row],[Brackets]],0) * cv_M/cv_F * Forces_APPURT[[#This Row],[Beta Fa 225]] * Calculations_APPURT[[#This Row],[Horizontal Offset]]/12</f>
        <v>0</v>
      </c>
      <c r="MD13" s="276">
        <f>IFERROR(1/Calculations_APPURT[[#This Row],[Brackets]],0) * cv_M/cv_F * Forces_APPURT[[#This Row],[Beta Fa 240]] * Calculations_APPURT[[#This Row],[Horizontal Offset]]/12</f>
        <v>0</v>
      </c>
      <c r="ME13" s="276">
        <f>IFERROR(1/Calculations_APPURT[[#This Row],[Brackets]],0) * cv_M/cv_F * Forces_APPURT[[#This Row],[Beta Fa 270]] * Calculations_APPURT[[#This Row],[Horizontal Offset]]/12</f>
        <v>0</v>
      </c>
      <c r="MF13" s="276">
        <f>IFERROR(1/Calculations_APPURT[[#This Row],[Brackets]],0) * cv_M/cv_F * Forces_APPURT[[#This Row],[Beta Fa 300]] * Calculations_APPURT[[#This Row],[Horizontal Offset]]/12</f>
        <v>0</v>
      </c>
      <c r="MG13" s="276">
        <f>IFERROR(1/Calculations_APPURT[[#This Row],[Brackets]],0) * cv_M/cv_F * Forces_APPURT[[#This Row],[Beta Fa 315]] * Calculations_APPURT[[#This Row],[Horizontal Offset]]/12</f>
        <v>0</v>
      </c>
      <c r="MH13" s="276">
        <f>IFERROR(1/Calculations_APPURT[[#This Row],[Brackets]],0) * cv_M/cv_F * Forces_APPURT[[#This Row],[Beta Fa 330]] * Calculations_APPURT[[#This Row],[Horizontal Offset]]/12</f>
        <v>0</v>
      </c>
      <c r="MI13" s="276">
        <f>IFERROR(1/Calculations_APPURT[[#This Row],[Brackets]],0) * cv_M/cv_F * Forces_APPURT[[#This Row],[Gamma Fa 0]] * Calculations_APPURT[[#This Row],[Horizontal Offset]]/12</f>
        <v>0</v>
      </c>
      <c r="MJ13" s="276">
        <f>IFERROR(1/Calculations_APPURT[[#This Row],[Brackets]],0) * cv_M/cv_F * Forces_APPURT[[#This Row],[Gamma Fa 30]] * Calculations_APPURT[[#This Row],[Horizontal Offset]]/12</f>
        <v>0</v>
      </c>
      <c r="MK13" s="276">
        <f>IFERROR(1/Calculations_APPURT[[#This Row],[Brackets]],0) * cv_M/cv_F * Forces_APPURT[[#This Row],[Gamma Fa 45]] * Calculations_APPURT[[#This Row],[Horizontal Offset]]/12</f>
        <v>0</v>
      </c>
      <c r="ML13" s="276">
        <f>IFERROR(1/Calculations_APPURT[[#This Row],[Brackets]],0) * cv_M/cv_F * Forces_APPURT[[#This Row],[Gamma Fa 60]] * Calculations_APPURT[[#This Row],[Horizontal Offset]]/12</f>
        <v>0</v>
      </c>
      <c r="MM13" s="276">
        <f>IFERROR(1/Calculations_APPURT[[#This Row],[Brackets]],0) * cv_M/cv_F * Forces_APPURT[[#This Row],[Gamma Fa 90]] * Calculations_APPURT[[#This Row],[Horizontal Offset]]/12</f>
        <v>0</v>
      </c>
      <c r="MN13" s="276">
        <f>IFERROR(1/Calculations_APPURT[[#This Row],[Brackets]],0) * cv_M/cv_F * Forces_APPURT[[#This Row],[Gamma Fa 120]] * Calculations_APPURT[[#This Row],[Horizontal Offset]]/12</f>
        <v>0</v>
      </c>
      <c r="MO13" s="276">
        <f>IFERROR(1/Calculations_APPURT[[#This Row],[Brackets]],0) * cv_M/cv_F * Forces_APPURT[[#This Row],[Gamma Fa 135]] * Calculations_APPURT[[#This Row],[Horizontal Offset]]/12</f>
        <v>0</v>
      </c>
      <c r="MP13" s="276">
        <f>IFERROR(1/Calculations_APPURT[[#This Row],[Brackets]],0) * cv_M/cv_F * Forces_APPURT[[#This Row],[Gamma Fa 150]] * Calculations_APPURT[[#This Row],[Horizontal Offset]]/12</f>
        <v>0</v>
      </c>
      <c r="MQ13" s="276">
        <f>IFERROR(1/Calculations_APPURT[[#This Row],[Brackets]],0) * cv_M/cv_F * Forces_APPURT[[#This Row],[Gamma Fa 180]] * Calculations_APPURT[[#This Row],[Horizontal Offset]]/12</f>
        <v>0</v>
      </c>
      <c r="MR13" s="276">
        <f>IFERROR(1/Calculations_APPURT[[#This Row],[Brackets]],0) * cv_M/cv_F * Forces_APPURT[[#This Row],[Gamma Fa 210]] * Calculations_APPURT[[#This Row],[Horizontal Offset]]/12</f>
        <v>0</v>
      </c>
      <c r="MS13" s="276">
        <f>IFERROR(1/Calculations_APPURT[[#This Row],[Brackets]],0) * cv_M/cv_F * Forces_APPURT[[#This Row],[Gamma Fa 225]] * Calculations_APPURT[[#This Row],[Horizontal Offset]]/12</f>
        <v>0</v>
      </c>
      <c r="MT13" s="276">
        <f>IFERROR(1/Calculations_APPURT[[#This Row],[Brackets]],0) * cv_M/cv_F * Forces_APPURT[[#This Row],[Gamma Fa 240]] * Calculations_APPURT[[#This Row],[Horizontal Offset]]/12</f>
        <v>0</v>
      </c>
      <c r="MU13" s="276">
        <f>IFERROR(1/Calculations_APPURT[[#This Row],[Brackets]],0) * cv_M/cv_F * Forces_APPURT[[#This Row],[Gamma Fa 270]] * Calculations_APPURT[[#This Row],[Horizontal Offset]]/12</f>
        <v>0</v>
      </c>
      <c r="MV13" s="276">
        <f>IFERROR(1/Calculations_APPURT[[#This Row],[Brackets]],0) * cv_M/cv_F * Forces_APPURT[[#This Row],[Gamma Fa 300]] * Calculations_APPURT[[#This Row],[Horizontal Offset]]/12</f>
        <v>0</v>
      </c>
      <c r="MW13" s="276">
        <f>IFERROR(1/Calculations_APPURT[[#This Row],[Brackets]],0) * cv_M/cv_F * Forces_APPURT[[#This Row],[Gamma Fa 315]] * Calculations_APPURT[[#This Row],[Horizontal Offset]]/12</f>
        <v>0</v>
      </c>
      <c r="MX13" s="276">
        <f>IFERROR(1/Calculations_APPURT[[#This Row],[Brackets]],0) * cv_M/cv_F * Forces_APPURT[[#This Row],[Gamma Fa 330]] * Calculations_APPURT[[#This Row],[Horizontal Offset]]/12</f>
        <v>0</v>
      </c>
      <c r="MY13" s="276">
        <f>IFERROR(1/Calculations_APPURT[[#This Row],[Brackets]],0) * cv_M/cv_F * Forces_APPURT[[#This Row],[Delta Fa 0]] * Calculations_APPURT[[#This Row],[Horizontal Offset]]/12</f>
        <v>0</v>
      </c>
      <c r="MZ13" s="276">
        <f>IFERROR(1/Calculations_APPURT[[#This Row],[Brackets]],0) * cv_M/cv_F * Forces_APPURT[[#This Row],[Delta Fa 30]] * Calculations_APPURT[[#This Row],[Horizontal Offset]]/12</f>
        <v>0</v>
      </c>
      <c r="NA13" s="276">
        <f>IFERROR(1/Calculations_APPURT[[#This Row],[Brackets]],0) * cv_M/cv_F * Forces_APPURT[[#This Row],[Delta Fa 45]] * Calculations_APPURT[[#This Row],[Horizontal Offset]]/12</f>
        <v>0</v>
      </c>
      <c r="NB13" s="276">
        <f>IFERROR(1/Calculations_APPURT[[#This Row],[Brackets]],0) * cv_M/cv_F * Forces_APPURT[[#This Row],[Delta Fa 60]] * Calculations_APPURT[[#This Row],[Horizontal Offset]]/12</f>
        <v>0</v>
      </c>
      <c r="NC13" s="276">
        <f>IFERROR(1/Calculations_APPURT[[#This Row],[Brackets]],0) * cv_M/cv_F * Forces_APPURT[[#This Row],[Delta Fa 90]] * Calculations_APPURT[[#This Row],[Horizontal Offset]]/12</f>
        <v>0</v>
      </c>
      <c r="ND13" s="276">
        <f>IFERROR(1/Calculations_APPURT[[#This Row],[Brackets]],0) * cv_M/cv_F * Forces_APPURT[[#This Row],[Delta Fa 120]] * Calculations_APPURT[[#This Row],[Horizontal Offset]]/12</f>
        <v>0</v>
      </c>
      <c r="NE13" s="276">
        <f>IFERROR(1/Calculations_APPURT[[#This Row],[Brackets]],0) * cv_M/cv_F * Forces_APPURT[[#This Row],[Delta Fa 135]] * Calculations_APPURT[[#This Row],[Horizontal Offset]]/12</f>
        <v>0</v>
      </c>
      <c r="NF13" s="276">
        <f>IFERROR(1/Calculations_APPURT[[#This Row],[Brackets]],0) * cv_M/cv_F * Forces_APPURT[[#This Row],[Delta Fa 150]] * Calculations_APPURT[[#This Row],[Horizontal Offset]]/12</f>
        <v>0</v>
      </c>
      <c r="NG13" s="276">
        <f>IFERROR(1/Calculations_APPURT[[#This Row],[Brackets]],0) * cv_M/cv_F * Forces_APPURT[[#This Row],[Delta Fa 180]] * Calculations_APPURT[[#This Row],[Horizontal Offset]]/12</f>
        <v>0</v>
      </c>
      <c r="NH13" s="276">
        <f>IFERROR(1/Calculations_APPURT[[#This Row],[Brackets]],0) * cv_M/cv_F * Forces_APPURT[[#This Row],[Delta Fa 210]] * Calculations_APPURT[[#This Row],[Horizontal Offset]]/12</f>
        <v>0</v>
      </c>
      <c r="NI13" s="276">
        <f>IFERROR(1/Calculations_APPURT[[#This Row],[Brackets]],0) * cv_M/cv_F * Forces_APPURT[[#This Row],[Delta Fa 225]] * Calculations_APPURT[[#This Row],[Horizontal Offset]]/12</f>
        <v>0</v>
      </c>
      <c r="NJ13" s="276">
        <f>IFERROR(1/Calculations_APPURT[[#This Row],[Brackets]],0) * cv_M/cv_F * Forces_APPURT[[#This Row],[Delta Fa 240]] * Calculations_APPURT[[#This Row],[Horizontal Offset]]/12</f>
        <v>0</v>
      </c>
      <c r="NK13" s="276">
        <f>IFERROR(1/Calculations_APPURT[[#This Row],[Brackets]],0) * cv_M/cv_F * Forces_APPURT[[#This Row],[Delta Fa 270]] * Calculations_APPURT[[#This Row],[Horizontal Offset]]/12</f>
        <v>0</v>
      </c>
      <c r="NL13" s="276">
        <f>IFERROR(1/Calculations_APPURT[[#This Row],[Brackets]],0) * cv_M/cv_F * Forces_APPURT[[#This Row],[Delta Fa 300]] * Calculations_APPURT[[#This Row],[Horizontal Offset]]/12</f>
        <v>0</v>
      </c>
      <c r="NM13" s="276">
        <f>IFERROR(1/Calculations_APPURT[[#This Row],[Brackets]],0) * cv_M/cv_F * Forces_APPURT[[#This Row],[Delta Fa 315]] * Calculations_APPURT[[#This Row],[Horizontal Offset]]/12</f>
        <v>0</v>
      </c>
      <c r="NN13" s="276">
        <f>IFERROR(1/Calculations_APPURT[[#This Row],[Brackets]],0) * cv_M/cv_F * Forces_APPURT[[#This Row],[Delta Fa 330]] * Calculations_APPURT[[#This Row],[Horizontal Offset]]/12</f>
        <v>0</v>
      </c>
      <c r="NO13" s="276">
        <f>IFERROR(1/Calculations_APPURT[[#This Row],[Brackets]],0) * cv_M/cv_F * Forces_APPURT[[#This Row],[Alpha Fai 0]] * Calculations_APPURT[[#This Row],[Horizontal Offset]]/12</f>
        <v>0</v>
      </c>
      <c r="NP13" s="276">
        <f>IFERROR(1/Calculations_APPURT[[#This Row],[Brackets]],0) * cv_M/cv_F * Forces_APPURT[[#This Row],[Alpha Fai 30]] * Calculations_APPURT[[#This Row],[Horizontal Offset]]/12</f>
        <v>0</v>
      </c>
      <c r="NQ13" s="276">
        <f>IFERROR(1/Calculations_APPURT[[#This Row],[Brackets]],0) * cv_M/cv_F * Forces_APPURT[[#This Row],[Alpha Fai 45]] * Calculations_APPURT[[#This Row],[Horizontal Offset]]/12</f>
        <v>0</v>
      </c>
      <c r="NR13" s="276">
        <f>IFERROR(1/Calculations_APPURT[[#This Row],[Brackets]],0) * cv_M/cv_F * Forces_APPURT[[#This Row],[Alpha Fai 60]] * Calculations_APPURT[[#This Row],[Horizontal Offset]]/12</f>
        <v>0</v>
      </c>
      <c r="NS13" s="276">
        <f>IFERROR(1/Calculations_APPURT[[#This Row],[Brackets]],0) * cv_M/cv_F * Forces_APPURT[[#This Row],[Alpha Fai 90]] * Calculations_APPURT[[#This Row],[Horizontal Offset]]/12</f>
        <v>0</v>
      </c>
      <c r="NT13" s="276">
        <f>IFERROR(1/Calculations_APPURT[[#This Row],[Brackets]],0) * cv_M/cv_F * Forces_APPURT[[#This Row],[Alpha Fai 120]] * Calculations_APPURT[[#This Row],[Horizontal Offset]]/12</f>
        <v>0</v>
      </c>
      <c r="NU13" s="276">
        <f>IFERROR(1/Calculations_APPURT[[#This Row],[Brackets]],0) * cv_M/cv_F * Forces_APPURT[[#This Row],[Alpha Fai 135]] * Calculations_APPURT[[#This Row],[Horizontal Offset]]/12</f>
        <v>0</v>
      </c>
      <c r="NV13" s="276">
        <f>IFERROR(1/Calculations_APPURT[[#This Row],[Brackets]],0) * cv_M/cv_F * Forces_APPURT[[#This Row],[Alpha Fai 150]] * Calculations_APPURT[[#This Row],[Horizontal Offset]]/12</f>
        <v>0</v>
      </c>
      <c r="NW13" s="276">
        <f>IFERROR(1/Calculations_APPURT[[#This Row],[Brackets]],0) * cv_M/cv_F * Forces_APPURT[[#This Row],[Alpha Fai 180]] * Calculations_APPURT[[#This Row],[Horizontal Offset]]/12</f>
        <v>0</v>
      </c>
      <c r="NX13" s="276">
        <f>IFERROR(1/Calculations_APPURT[[#This Row],[Brackets]],0) * cv_M/cv_F * Forces_APPURT[[#This Row],[Alpha Fai 210]] * Calculations_APPURT[[#This Row],[Horizontal Offset]]/12</f>
        <v>0</v>
      </c>
      <c r="NY13" s="276">
        <f>IFERROR(1/Calculations_APPURT[[#This Row],[Brackets]],0) * cv_M/cv_F * Forces_APPURT[[#This Row],[Alpha Fai 225]] * Calculations_APPURT[[#This Row],[Horizontal Offset]]/12</f>
        <v>0</v>
      </c>
      <c r="NZ13" s="276">
        <f>IFERROR(1/Calculations_APPURT[[#This Row],[Brackets]],0) * cv_M/cv_F * Forces_APPURT[[#This Row],[Alpha Fai 240]] * Calculations_APPURT[[#This Row],[Horizontal Offset]]/12</f>
        <v>0</v>
      </c>
      <c r="OA13" s="276">
        <f>IFERROR(1/Calculations_APPURT[[#This Row],[Brackets]],0) * cv_M/cv_F * Forces_APPURT[[#This Row],[Alpha Fai 270]] * Calculations_APPURT[[#This Row],[Horizontal Offset]]/12</f>
        <v>0</v>
      </c>
      <c r="OB13" s="276">
        <f>IFERROR(1/Calculations_APPURT[[#This Row],[Brackets]],0) * cv_M/cv_F * Forces_APPURT[[#This Row],[Alpha Fai 300]] * Calculations_APPURT[[#This Row],[Horizontal Offset]]/12</f>
        <v>0</v>
      </c>
      <c r="OC13" s="276">
        <f>IFERROR(1/Calculations_APPURT[[#This Row],[Brackets]],0) * cv_M/cv_F * Forces_APPURT[[#This Row],[Alpha Fai 315]] * Calculations_APPURT[[#This Row],[Horizontal Offset]]/12</f>
        <v>0</v>
      </c>
      <c r="OD13" s="276">
        <f>IFERROR(1/Calculations_APPURT[[#This Row],[Brackets]],0) * cv_M/cv_F * Forces_APPURT[[#This Row],[Alpha Fai 330]] * Calculations_APPURT[[#This Row],[Horizontal Offset]]/12</f>
        <v>0</v>
      </c>
      <c r="OE13" s="276">
        <f>IFERROR(1/Calculations_APPURT[[#This Row],[Brackets]],0) * cv_M/cv_F * Forces_APPURT[[#This Row],[Beta Fai 0]] * Calculations_APPURT[[#This Row],[Horizontal Offset]]/12</f>
        <v>0</v>
      </c>
      <c r="OF13" s="276">
        <f>IFERROR(1/Calculations_APPURT[[#This Row],[Brackets]],0) * cv_M/cv_F * Forces_APPURT[[#This Row],[Beta Fai 30]] * Calculations_APPURT[[#This Row],[Horizontal Offset]]/12</f>
        <v>0</v>
      </c>
      <c r="OG13" s="276">
        <f>IFERROR(1/Calculations_APPURT[[#This Row],[Brackets]],0) * cv_M/cv_F * Forces_APPURT[[#This Row],[Beta Fai 45]] * Calculations_APPURT[[#This Row],[Horizontal Offset]]/12</f>
        <v>0</v>
      </c>
      <c r="OH13" s="276">
        <f>IFERROR(1/Calculations_APPURT[[#This Row],[Brackets]],0) * cv_M/cv_F * Forces_APPURT[[#This Row],[Beta Fai 60]] * Calculations_APPURT[[#This Row],[Horizontal Offset]]/12</f>
        <v>0</v>
      </c>
      <c r="OI13" s="276">
        <f>IFERROR(1/Calculations_APPURT[[#This Row],[Brackets]],0) * cv_M/cv_F * Forces_APPURT[[#This Row],[Beta Fai 90]] * Calculations_APPURT[[#This Row],[Horizontal Offset]]/12</f>
        <v>0</v>
      </c>
      <c r="OJ13" s="276">
        <f>IFERROR(1/Calculations_APPURT[[#This Row],[Brackets]],0) * cv_M/cv_F * Forces_APPURT[[#This Row],[Beta Fai 120]] * Calculations_APPURT[[#This Row],[Horizontal Offset]]/12</f>
        <v>0</v>
      </c>
      <c r="OK13" s="276">
        <f>IFERROR(1/Calculations_APPURT[[#This Row],[Brackets]],0) * cv_M/cv_F * Forces_APPURT[[#This Row],[Beta Fai 135]] * Calculations_APPURT[[#This Row],[Horizontal Offset]]/12</f>
        <v>0</v>
      </c>
      <c r="OL13" s="276">
        <f>IFERROR(1/Calculations_APPURT[[#This Row],[Brackets]],0) * cv_M/cv_F * Forces_APPURT[[#This Row],[Beta Fai 150]] * Calculations_APPURT[[#This Row],[Horizontal Offset]]/12</f>
        <v>0</v>
      </c>
      <c r="OM13" s="276">
        <f>IFERROR(1/Calculations_APPURT[[#This Row],[Brackets]],0) * cv_M/cv_F * Forces_APPURT[[#This Row],[Beta Fai 180]] * Calculations_APPURT[[#This Row],[Horizontal Offset]]/12</f>
        <v>0</v>
      </c>
      <c r="ON13" s="276">
        <f>IFERROR(1/Calculations_APPURT[[#This Row],[Brackets]],0) * cv_M/cv_F * Forces_APPURT[[#This Row],[Beta Fai 210]] * Calculations_APPURT[[#This Row],[Horizontal Offset]]/12</f>
        <v>0</v>
      </c>
      <c r="OO13" s="276">
        <f>IFERROR(1/Calculations_APPURT[[#This Row],[Brackets]],0) * cv_M/cv_F * Forces_APPURT[[#This Row],[Beta Fai 225]] * Calculations_APPURT[[#This Row],[Horizontal Offset]]/12</f>
        <v>0</v>
      </c>
      <c r="OP13" s="276">
        <f>IFERROR(1/Calculations_APPURT[[#This Row],[Brackets]],0) * cv_M/cv_F * Forces_APPURT[[#This Row],[Beta Fai 240]] * Calculations_APPURT[[#This Row],[Horizontal Offset]]/12</f>
        <v>0</v>
      </c>
      <c r="OQ13" s="276">
        <f>IFERROR(1/Calculations_APPURT[[#This Row],[Brackets]],0) * cv_M/cv_F * Forces_APPURT[[#This Row],[Beta Fai 270]] * Calculations_APPURT[[#This Row],[Horizontal Offset]]/12</f>
        <v>0</v>
      </c>
      <c r="OR13" s="276">
        <f>IFERROR(1/Calculations_APPURT[[#This Row],[Brackets]],0) * cv_M/cv_F * Forces_APPURT[[#This Row],[Beta Fai 300]] * Calculations_APPURT[[#This Row],[Horizontal Offset]]/12</f>
        <v>0</v>
      </c>
      <c r="OS13" s="276">
        <f>IFERROR(1/Calculations_APPURT[[#This Row],[Brackets]],0) * cv_M/cv_F * Forces_APPURT[[#This Row],[Beta Fai 315]] * Calculations_APPURT[[#This Row],[Horizontal Offset]]/12</f>
        <v>0</v>
      </c>
      <c r="OT13" s="276">
        <f>IFERROR(1/Calculations_APPURT[[#This Row],[Brackets]],0) * cv_M/cv_F * Forces_APPURT[[#This Row],[Beta Fai 330]] * Calculations_APPURT[[#This Row],[Horizontal Offset]]/12</f>
        <v>0</v>
      </c>
      <c r="OU13" s="276">
        <f>IFERROR(1/Calculations_APPURT[[#This Row],[Brackets]],0) * cv_M/cv_F * Forces_APPURT[[#This Row],[Gamma Fai 0]] * Calculations_APPURT[[#This Row],[Horizontal Offset]]/12</f>
        <v>0</v>
      </c>
      <c r="OV13" s="276">
        <f>IFERROR(1/Calculations_APPURT[[#This Row],[Brackets]],0) * cv_M/cv_F * Forces_APPURT[[#This Row],[Gamma Fai 30]] * Calculations_APPURT[[#This Row],[Horizontal Offset]]/12</f>
        <v>0</v>
      </c>
      <c r="OW13" s="276">
        <f>IFERROR(1/Calculations_APPURT[[#This Row],[Brackets]],0) * cv_M/cv_F * Forces_APPURT[[#This Row],[Gamma Fai 45]] * Calculations_APPURT[[#This Row],[Horizontal Offset]]/12</f>
        <v>0</v>
      </c>
      <c r="OX13" s="276">
        <f>IFERROR(1/Calculations_APPURT[[#This Row],[Brackets]],0) * cv_M/cv_F * Forces_APPURT[[#This Row],[Gamma Fai 60]] * Calculations_APPURT[[#This Row],[Horizontal Offset]]/12</f>
        <v>0</v>
      </c>
      <c r="OY13" s="276">
        <f>IFERROR(1/Calculations_APPURT[[#This Row],[Brackets]],0) * cv_M/cv_F * Forces_APPURT[[#This Row],[Gamma Fai 90]] * Calculations_APPURT[[#This Row],[Horizontal Offset]]/12</f>
        <v>0</v>
      </c>
      <c r="OZ13" s="276">
        <f>IFERROR(1/Calculations_APPURT[[#This Row],[Brackets]],0) * cv_M/cv_F * Forces_APPURT[[#This Row],[Gamma Fai 120]] * Calculations_APPURT[[#This Row],[Horizontal Offset]]/12</f>
        <v>0</v>
      </c>
      <c r="PA13" s="276">
        <f>IFERROR(1/Calculations_APPURT[[#This Row],[Brackets]],0) * cv_M/cv_F * Forces_APPURT[[#This Row],[Gamma Fai 135]] * Calculations_APPURT[[#This Row],[Horizontal Offset]]/12</f>
        <v>0</v>
      </c>
      <c r="PB13" s="276">
        <f>IFERROR(1/Calculations_APPURT[[#This Row],[Brackets]],0) * cv_M/cv_F * Forces_APPURT[[#This Row],[Gamma Fai 150]] * Calculations_APPURT[[#This Row],[Horizontal Offset]]/12</f>
        <v>0</v>
      </c>
      <c r="PC13" s="276">
        <f>IFERROR(1/Calculations_APPURT[[#This Row],[Brackets]],0) * cv_M/cv_F * Forces_APPURT[[#This Row],[Gamma Fai 180]] * Calculations_APPURT[[#This Row],[Horizontal Offset]]/12</f>
        <v>0</v>
      </c>
      <c r="PD13" s="276">
        <f>IFERROR(1/Calculations_APPURT[[#This Row],[Brackets]],0) * cv_M/cv_F * Forces_APPURT[[#This Row],[Gamma Fai 210]] * Calculations_APPURT[[#This Row],[Horizontal Offset]]/12</f>
        <v>0</v>
      </c>
      <c r="PE13" s="276">
        <f>IFERROR(1/Calculations_APPURT[[#This Row],[Brackets]],0) * cv_M/cv_F * Forces_APPURT[[#This Row],[Gamma Fai 225]] * Calculations_APPURT[[#This Row],[Horizontal Offset]]/12</f>
        <v>0</v>
      </c>
      <c r="PF13" s="276">
        <f>IFERROR(1/Calculations_APPURT[[#This Row],[Brackets]],0) * cv_M/cv_F * Forces_APPURT[[#This Row],[Gamma Fai 240]] * Calculations_APPURT[[#This Row],[Horizontal Offset]]/12</f>
        <v>0</v>
      </c>
      <c r="PG13" s="276">
        <f>IFERROR(1/Calculations_APPURT[[#This Row],[Brackets]],0) * cv_M/cv_F * Forces_APPURT[[#This Row],[Gamma Fai 270]] * Calculations_APPURT[[#This Row],[Horizontal Offset]]/12</f>
        <v>0</v>
      </c>
      <c r="PH13" s="276">
        <f>IFERROR(1/Calculations_APPURT[[#This Row],[Brackets]],0) * cv_M/cv_F * Forces_APPURT[[#This Row],[Gamma Fai 300]] * Calculations_APPURT[[#This Row],[Horizontal Offset]]/12</f>
        <v>0</v>
      </c>
      <c r="PI13" s="276">
        <f>IFERROR(1/Calculations_APPURT[[#This Row],[Brackets]],0) * cv_M/cv_F * Forces_APPURT[[#This Row],[Gamma Fai 315]] * Calculations_APPURT[[#This Row],[Horizontal Offset]]/12</f>
        <v>0</v>
      </c>
      <c r="PJ13" s="276">
        <f>IFERROR(1/Calculations_APPURT[[#This Row],[Brackets]],0) * cv_M/cv_F * Forces_APPURT[[#This Row],[Gamma Fai 330]] * Calculations_APPURT[[#This Row],[Horizontal Offset]]/12</f>
        <v>0</v>
      </c>
      <c r="PK13" s="276">
        <f>IFERROR(1/Calculations_APPURT[[#This Row],[Brackets]],0) * cv_M/cv_F * Forces_APPURT[[#This Row],[Delta Fai 0]] * Calculations_APPURT[[#This Row],[Horizontal Offset]]/12</f>
        <v>0</v>
      </c>
      <c r="PL13" s="276">
        <f>IFERROR(1/Calculations_APPURT[[#This Row],[Brackets]],0) * cv_M/cv_F * Forces_APPURT[[#This Row],[Delta Fai 30]] * Calculations_APPURT[[#This Row],[Horizontal Offset]]/12</f>
        <v>0</v>
      </c>
      <c r="PM13" s="276">
        <f>IFERROR(1/Calculations_APPURT[[#This Row],[Brackets]],0) * cv_M/cv_F * Forces_APPURT[[#This Row],[Delta Fai 45]] * Calculations_APPURT[[#This Row],[Horizontal Offset]]/12</f>
        <v>0</v>
      </c>
      <c r="PN13" s="276">
        <f>IFERROR(1/Calculations_APPURT[[#This Row],[Brackets]],0) * cv_M/cv_F * Forces_APPURT[[#This Row],[Delta Fai 60]] * Calculations_APPURT[[#This Row],[Horizontal Offset]]/12</f>
        <v>0</v>
      </c>
      <c r="PO13" s="276">
        <f>IFERROR(1/Calculations_APPURT[[#This Row],[Brackets]],0) * cv_M/cv_F * Forces_APPURT[[#This Row],[Delta Fai 90]] * Calculations_APPURT[[#This Row],[Horizontal Offset]]/12</f>
        <v>0</v>
      </c>
      <c r="PP13" s="276">
        <f>IFERROR(1/Calculations_APPURT[[#This Row],[Brackets]],0) * cv_M/cv_F * Forces_APPURT[[#This Row],[Delta Fai 120]] * Calculations_APPURT[[#This Row],[Horizontal Offset]]/12</f>
        <v>0</v>
      </c>
      <c r="PQ13" s="276">
        <f>IFERROR(1/Calculations_APPURT[[#This Row],[Brackets]],0) * cv_M/cv_F * Forces_APPURT[[#This Row],[Delta Fai 135]] * Calculations_APPURT[[#This Row],[Horizontal Offset]]/12</f>
        <v>0</v>
      </c>
      <c r="PR13" s="276">
        <f>IFERROR(1/Calculations_APPURT[[#This Row],[Brackets]],0) * cv_M/cv_F * Forces_APPURT[[#This Row],[Delta Fai 150]] * Calculations_APPURT[[#This Row],[Horizontal Offset]]/12</f>
        <v>0</v>
      </c>
      <c r="PS13" s="276">
        <f>IFERROR(1/Calculations_APPURT[[#This Row],[Brackets]],0) * cv_M/cv_F * Forces_APPURT[[#This Row],[Delta Fai 180]] * Calculations_APPURT[[#This Row],[Horizontal Offset]]/12</f>
        <v>0</v>
      </c>
      <c r="PT13" s="276">
        <f>IFERROR(1/Calculations_APPURT[[#This Row],[Brackets]],0) * cv_M/cv_F * Forces_APPURT[[#This Row],[Delta Fai 210]] * Calculations_APPURT[[#This Row],[Horizontal Offset]]/12</f>
        <v>0</v>
      </c>
      <c r="PU13" s="276">
        <f>IFERROR(1/Calculations_APPURT[[#This Row],[Brackets]],0) * cv_M/cv_F * Forces_APPURT[[#This Row],[Delta Fai 225]] * Calculations_APPURT[[#This Row],[Horizontal Offset]]/12</f>
        <v>0</v>
      </c>
      <c r="PV13" s="276">
        <f>IFERROR(1/Calculations_APPURT[[#This Row],[Brackets]],0) * cv_M/cv_F * Forces_APPURT[[#This Row],[Delta Fai 240]] * Calculations_APPURT[[#This Row],[Horizontal Offset]]/12</f>
        <v>0</v>
      </c>
      <c r="PW13" s="276">
        <f>IFERROR(1/Calculations_APPURT[[#This Row],[Brackets]],0) * cv_M/cv_F * Forces_APPURT[[#This Row],[Delta Fai 270]] * Calculations_APPURT[[#This Row],[Horizontal Offset]]/12</f>
        <v>0</v>
      </c>
      <c r="PX13" s="276">
        <f>IFERROR(1/Calculations_APPURT[[#This Row],[Brackets]],0) * cv_M/cv_F * Forces_APPURT[[#This Row],[Delta Fai 300]] * Calculations_APPURT[[#This Row],[Horizontal Offset]]/12</f>
        <v>0</v>
      </c>
      <c r="PY13" s="276">
        <f>IFERROR(1/Calculations_APPURT[[#This Row],[Brackets]],0) * cv_M/cv_F * Forces_APPURT[[#This Row],[Delta Fai 315]] * Calculations_APPURT[[#This Row],[Horizontal Offset]]/12</f>
        <v>0</v>
      </c>
      <c r="PZ13" s="276">
        <f>IFERROR(1/Calculations_APPURT[[#This Row],[Brackets]],0) * cv_M/cv_F * Forces_APPURT[[#This Row],[Delta Fai 330]] * Calculations_APPURT[[#This Row],[Horizontal Offset]]/12</f>
        <v>0</v>
      </c>
      <c r="QA13" s="276">
        <f>IFERROR(1/Calculations_APPURT[[#This Row],[Brackets]],0) * cv_M/cv_F * Forces_APPURT[[#This Row],[Alpha Fa 0]] * Calculations_APPURT[[#This Row],[Lateral Offset]]/12</f>
        <v>0</v>
      </c>
      <c r="QB13" s="276">
        <f>IFERROR(1/Calculations_APPURT[[#This Row],[Brackets]],0) * cv_M/cv_F * Forces_APPURT[[#This Row],[Alpha Fa 30]] * Calculations_APPURT[[#This Row],[Lateral Offset]]/12</f>
        <v>0</v>
      </c>
      <c r="QC13" s="276">
        <f>IFERROR(1/Calculations_APPURT[[#This Row],[Brackets]],0) * cv_M/cv_F * Forces_APPURT[[#This Row],[Alpha Fa 45]] * Calculations_APPURT[[#This Row],[Lateral Offset]]/12</f>
        <v>0</v>
      </c>
      <c r="QD13" s="276">
        <f>IFERROR(1/Calculations_APPURT[[#This Row],[Brackets]],0) * cv_M/cv_F * Forces_APPURT[[#This Row],[Alpha Fa 60]] * Calculations_APPURT[[#This Row],[Lateral Offset]]/12</f>
        <v>0</v>
      </c>
      <c r="QE13" s="276">
        <f>IFERROR(1/Calculations_APPURT[[#This Row],[Brackets]],0) * cv_M/cv_F * Forces_APPURT[[#This Row],[Alpha Fa 90]] * Calculations_APPURT[[#This Row],[Lateral Offset]]/12</f>
        <v>0</v>
      </c>
      <c r="QF13" s="276">
        <f>IFERROR(1/Calculations_APPURT[[#This Row],[Brackets]],0) * cv_M/cv_F * Forces_APPURT[[#This Row],[Alpha Fa 120]] * Calculations_APPURT[[#This Row],[Lateral Offset]]/12</f>
        <v>0</v>
      </c>
      <c r="QG13" s="276">
        <f>IFERROR(1/Calculations_APPURT[[#This Row],[Brackets]],0) * cv_M/cv_F * Forces_APPURT[[#This Row],[Alpha Fa 135]] * Calculations_APPURT[[#This Row],[Lateral Offset]]/12</f>
        <v>0</v>
      </c>
      <c r="QH13" s="276">
        <f>IFERROR(1/Calculations_APPURT[[#This Row],[Brackets]],0) * cv_M/cv_F * Forces_APPURT[[#This Row],[Alpha Fa 150]] * Calculations_APPURT[[#This Row],[Lateral Offset]]/12</f>
        <v>0</v>
      </c>
      <c r="QI13" s="276">
        <f>IFERROR(1/Calculations_APPURT[[#This Row],[Brackets]],0) * cv_M/cv_F * Forces_APPURT[[#This Row],[Alpha Fa 180]] * Calculations_APPURT[[#This Row],[Lateral Offset]]/12</f>
        <v>0</v>
      </c>
      <c r="QJ13" s="276">
        <f>IFERROR(1/Calculations_APPURT[[#This Row],[Brackets]],0) * cv_M/cv_F * Forces_APPURT[[#This Row],[Alpha Fa 210]] * Calculations_APPURT[[#This Row],[Lateral Offset]]/12</f>
        <v>0</v>
      </c>
      <c r="QK13" s="276">
        <f>IFERROR(1/Calculations_APPURT[[#This Row],[Brackets]],0) * cv_M/cv_F * Forces_APPURT[[#This Row],[Alpha Fa 225]] * Calculations_APPURT[[#This Row],[Lateral Offset]]/12</f>
        <v>0</v>
      </c>
      <c r="QL13" s="276">
        <f>IFERROR(1/Calculations_APPURT[[#This Row],[Brackets]],0) * cv_M/cv_F * Forces_APPURT[[#This Row],[Alpha Fa 240]] * Calculations_APPURT[[#This Row],[Lateral Offset]]/12</f>
        <v>0</v>
      </c>
      <c r="QM13" s="276">
        <f>IFERROR(1/Calculations_APPURT[[#This Row],[Brackets]],0) * cv_M/cv_F * Forces_APPURT[[#This Row],[Alpha Fa 270]] * Calculations_APPURT[[#This Row],[Lateral Offset]]/12</f>
        <v>0</v>
      </c>
      <c r="QN13" s="276">
        <f>IFERROR(1/Calculations_APPURT[[#This Row],[Brackets]],0) * cv_M/cv_F * Forces_APPURT[[#This Row],[Alpha Fa 300]] * Calculations_APPURT[[#This Row],[Lateral Offset]]/12</f>
        <v>0</v>
      </c>
      <c r="QO13" s="276">
        <f>IFERROR(1/Calculations_APPURT[[#This Row],[Brackets]],0) * cv_M/cv_F * Forces_APPURT[[#This Row],[Alpha Fa 315]] * Calculations_APPURT[[#This Row],[Lateral Offset]]/12</f>
        <v>0</v>
      </c>
      <c r="QP13" s="276">
        <f>IFERROR(1/Calculations_APPURT[[#This Row],[Brackets]],0) * cv_M/cv_F * Forces_APPURT[[#This Row],[Alpha Fa 330]] * Calculations_APPURT[[#This Row],[Lateral Offset]]/12</f>
        <v>0</v>
      </c>
      <c r="QQ13" s="276">
        <f>IFERROR(1/Calculations_APPURT[[#This Row],[Brackets]],0) * cv_M/cv_F * Forces_APPURT[[#This Row],[Beta Fa 0]] * Calculations_APPURT[[#This Row],[Lateral Offset]]/12</f>
        <v>0</v>
      </c>
      <c r="QR13" s="276">
        <f>IFERROR(1/Calculations_APPURT[[#This Row],[Brackets]],0) * cv_M/cv_F * Forces_APPURT[[#This Row],[Beta Fa 30]] * Calculations_APPURT[[#This Row],[Lateral Offset]]/12</f>
        <v>0</v>
      </c>
      <c r="QS13" s="276">
        <f>IFERROR(1/Calculations_APPURT[[#This Row],[Brackets]],0) * cv_M/cv_F * Forces_APPURT[[#This Row],[Beta Fa 45]] * Calculations_APPURT[[#This Row],[Lateral Offset]]/12</f>
        <v>0</v>
      </c>
      <c r="QT13" s="276">
        <f>IFERROR(1/Calculations_APPURT[[#This Row],[Brackets]],0) * cv_M/cv_F * Forces_APPURT[[#This Row],[Beta Fa 60]] * Calculations_APPURT[[#This Row],[Lateral Offset]]/12</f>
        <v>0</v>
      </c>
      <c r="QU13" s="276">
        <f>IFERROR(1/Calculations_APPURT[[#This Row],[Brackets]],0) * cv_M/cv_F * Forces_APPURT[[#This Row],[Beta Fa 90]] * Calculations_APPURT[[#This Row],[Lateral Offset]]/12</f>
        <v>0</v>
      </c>
      <c r="QV13" s="276">
        <f>IFERROR(1/Calculations_APPURT[[#This Row],[Brackets]],0) * cv_M/cv_F * Forces_APPURT[[#This Row],[Beta Fa 120]] * Calculations_APPURT[[#This Row],[Lateral Offset]]/12</f>
        <v>0</v>
      </c>
      <c r="QW13" s="276">
        <f>IFERROR(1/Calculations_APPURT[[#This Row],[Brackets]],0) * cv_M/cv_F * Forces_APPURT[[#This Row],[Beta Fa 135]] * Calculations_APPURT[[#This Row],[Lateral Offset]]/12</f>
        <v>0</v>
      </c>
      <c r="QX13" s="276">
        <f>IFERROR(1/Calculations_APPURT[[#This Row],[Brackets]],0) * cv_M/cv_F * Forces_APPURT[[#This Row],[Beta Fa 150]] * Calculations_APPURT[[#This Row],[Lateral Offset]]/12</f>
        <v>0</v>
      </c>
      <c r="QY13" s="276">
        <f>IFERROR(1/Calculations_APPURT[[#This Row],[Brackets]],0) * cv_M/cv_F * Forces_APPURT[[#This Row],[Beta Fa 180]] * Calculations_APPURT[[#This Row],[Lateral Offset]]/12</f>
        <v>0</v>
      </c>
      <c r="QZ13" s="276">
        <f>IFERROR(1/Calculations_APPURT[[#This Row],[Brackets]],0) * cv_M/cv_F * Forces_APPURT[[#This Row],[Beta Fa 210]] * Calculations_APPURT[[#This Row],[Lateral Offset]]/12</f>
        <v>0</v>
      </c>
      <c r="RA13" s="276">
        <f>IFERROR(1/Calculations_APPURT[[#This Row],[Brackets]],0) * cv_M/cv_F * Forces_APPURT[[#This Row],[Beta Fa 225]] * Calculations_APPURT[[#This Row],[Lateral Offset]]/12</f>
        <v>0</v>
      </c>
      <c r="RB13" s="276">
        <f>IFERROR(1/Calculations_APPURT[[#This Row],[Brackets]],0) * cv_M/cv_F * Forces_APPURT[[#This Row],[Beta Fa 240]] * Calculations_APPURT[[#This Row],[Lateral Offset]]/12</f>
        <v>0</v>
      </c>
      <c r="RC13" s="276">
        <f>IFERROR(1/Calculations_APPURT[[#This Row],[Brackets]],0) * cv_M/cv_F * Forces_APPURT[[#This Row],[Beta Fa 270]] * Calculations_APPURT[[#This Row],[Lateral Offset]]/12</f>
        <v>0</v>
      </c>
      <c r="RD13" s="276">
        <f>IFERROR(1/Calculations_APPURT[[#This Row],[Brackets]],0) * cv_M/cv_F * Forces_APPURT[[#This Row],[Beta Fa 300]] * Calculations_APPURT[[#This Row],[Lateral Offset]]/12</f>
        <v>0</v>
      </c>
      <c r="RE13" s="276">
        <f>IFERROR(1/Calculations_APPURT[[#This Row],[Brackets]],0) * cv_M/cv_F * Forces_APPURT[[#This Row],[Beta Fa 315]] * Calculations_APPURT[[#This Row],[Lateral Offset]]/12</f>
        <v>0</v>
      </c>
      <c r="RF13" s="276">
        <f>IFERROR(1/Calculations_APPURT[[#This Row],[Brackets]],0) * cv_M/cv_F * Forces_APPURT[[#This Row],[Beta Fa 330]] * Calculations_APPURT[[#This Row],[Lateral Offset]]/12</f>
        <v>0</v>
      </c>
      <c r="RG13" s="276">
        <f>IFERROR(1/Calculations_APPURT[[#This Row],[Brackets]],0) * cv_M/cv_F * Forces_APPURT[[#This Row],[Gamma Fa 0]] * Calculations_APPURT[[#This Row],[Lateral Offset]]/12</f>
        <v>0</v>
      </c>
      <c r="RH13" s="276">
        <f>IFERROR(1/Calculations_APPURT[[#This Row],[Brackets]],0) * cv_M/cv_F * Forces_APPURT[[#This Row],[Gamma Fa 30]] * Calculations_APPURT[[#This Row],[Lateral Offset]]/12</f>
        <v>0</v>
      </c>
      <c r="RI13" s="276">
        <f>IFERROR(1/Calculations_APPURT[[#This Row],[Brackets]],0) * cv_M/cv_F * Forces_APPURT[[#This Row],[Gamma Fa 45]] * Calculations_APPURT[[#This Row],[Lateral Offset]]/12</f>
        <v>0</v>
      </c>
      <c r="RJ13" s="276">
        <f>IFERROR(1/Calculations_APPURT[[#This Row],[Brackets]],0) * cv_M/cv_F * Forces_APPURT[[#This Row],[Gamma Fa 60]] * Calculations_APPURT[[#This Row],[Lateral Offset]]/12</f>
        <v>0</v>
      </c>
      <c r="RK13" s="276">
        <f>IFERROR(1/Calculations_APPURT[[#This Row],[Brackets]],0) * cv_M/cv_F * Forces_APPURT[[#This Row],[Gamma Fa 90]] * Calculations_APPURT[[#This Row],[Lateral Offset]]/12</f>
        <v>0</v>
      </c>
      <c r="RL13" s="276">
        <f>IFERROR(1/Calculations_APPURT[[#This Row],[Brackets]],0) * cv_M/cv_F * Forces_APPURT[[#This Row],[Gamma Fa 120]] * Calculations_APPURT[[#This Row],[Lateral Offset]]/12</f>
        <v>0</v>
      </c>
      <c r="RM13" s="276">
        <f>IFERROR(1/Calculations_APPURT[[#This Row],[Brackets]],0) * cv_M/cv_F * Forces_APPURT[[#This Row],[Gamma Fa 135]] * Calculations_APPURT[[#This Row],[Lateral Offset]]/12</f>
        <v>0</v>
      </c>
      <c r="RN13" s="276">
        <f>IFERROR(1/Calculations_APPURT[[#This Row],[Brackets]],0) * cv_M/cv_F * Forces_APPURT[[#This Row],[Gamma Fa 150]] * Calculations_APPURT[[#This Row],[Lateral Offset]]/12</f>
        <v>0</v>
      </c>
      <c r="RO13" s="276">
        <f>IFERROR(1/Calculations_APPURT[[#This Row],[Brackets]],0) * cv_M/cv_F * Forces_APPURT[[#This Row],[Gamma Fa 180]] * Calculations_APPURT[[#This Row],[Lateral Offset]]/12</f>
        <v>0</v>
      </c>
      <c r="RP13" s="276">
        <f>IFERROR(1/Calculations_APPURT[[#This Row],[Brackets]],0) * cv_M/cv_F * Forces_APPURT[[#This Row],[Gamma Fa 210]] * Calculations_APPURT[[#This Row],[Lateral Offset]]/12</f>
        <v>0</v>
      </c>
      <c r="RQ13" s="276">
        <f>IFERROR(1/Calculations_APPURT[[#This Row],[Brackets]],0) * cv_M/cv_F * Forces_APPURT[[#This Row],[Gamma Fa 225]] * Calculations_APPURT[[#This Row],[Lateral Offset]]/12</f>
        <v>0</v>
      </c>
      <c r="RR13" s="276">
        <f>IFERROR(1/Calculations_APPURT[[#This Row],[Brackets]],0) * cv_M/cv_F * Forces_APPURT[[#This Row],[Gamma Fa 240]] * Calculations_APPURT[[#This Row],[Lateral Offset]]/12</f>
        <v>0</v>
      </c>
      <c r="RS13" s="276">
        <f>IFERROR(1/Calculations_APPURT[[#This Row],[Brackets]],0) * cv_M/cv_F * Forces_APPURT[[#This Row],[Gamma Fa 270]] * Calculations_APPURT[[#This Row],[Lateral Offset]]/12</f>
        <v>0</v>
      </c>
      <c r="RT13" s="276">
        <f>IFERROR(1/Calculations_APPURT[[#This Row],[Brackets]],0) * cv_M/cv_F * Forces_APPURT[[#This Row],[Gamma Fa 300]] * Calculations_APPURT[[#This Row],[Lateral Offset]]/12</f>
        <v>0</v>
      </c>
      <c r="RU13" s="276">
        <f>IFERROR(1/Calculations_APPURT[[#This Row],[Brackets]],0) * cv_M/cv_F * Forces_APPURT[[#This Row],[Gamma Fa 315]] * Calculations_APPURT[[#This Row],[Lateral Offset]]/12</f>
        <v>0</v>
      </c>
      <c r="RV13" s="276">
        <f>IFERROR(1/Calculations_APPURT[[#This Row],[Brackets]],0) * cv_M/cv_F * Forces_APPURT[[#This Row],[Gamma Fa 330]] * Calculations_APPURT[[#This Row],[Lateral Offset]]/12</f>
        <v>0</v>
      </c>
      <c r="RW13" s="276">
        <f>IFERROR(1/Calculations_APPURT[[#This Row],[Brackets]],0) * cv_M/cv_F * Forces_APPURT[[#This Row],[Delta Fa 0]] * Calculations_APPURT[[#This Row],[Lateral Offset]]/12</f>
        <v>0</v>
      </c>
      <c r="RX13" s="276">
        <f>IFERROR(1/Calculations_APPURT[[#This Row],[Brackets]],0) * cv_M/cv_F * Forces_APPURT[[#This Row],[Delta Fa 30]] * Calculations_APPURT[[#This Row],[Lateral Offset]]/12</f>
        <v>0</v>
      </c>
      <c r="RY13" s="276">
        <f>IFERROR(1/Calculations_APPURT[[#This Row],[Brackets]],0) * cv_M/cv_F * Forces_APPURT[[#This Row],[Delta Fa 45]] * Calculations_APPURT[[#This Row],[Lateral Offset]]/12</f>
        <v>0</v>
      </c>
      <c r="RZ13" s="276">
        <f>IFERROR(1/Calculations_APPURT[[#This Row],[Brackets]],0) * cv_M/cv_F * Forces_APPURT[[#This Row],[Delta Fa 60]] * Calculations_APPURT[[#This Row],[Lateral Offset]]/12</f>
        <v>0</v>
      </c>
      <c r="SA13" s="276">
        <f>IFERROR(1/Calculations_APPURT[[#This Row],[Brackets]],0) * cv_M/cv_F * Forces_APPURT[[#This Row],[Delta Fa 90]] * Calculations_APPURT[[#This Row],[Lateral Offset]]/12</f>
        <v>0</v>
      </c>
      <c r="SB13" s="276">
        <f>IFERROR(1/Calculations_APPURT[[#This Row],[Brackets]],0) * cv_M/cv_F * Forces_APPURT[[#This Row],[Delta Fa 120]] * Calculations_APPURT[[#This Row],[Lateral Offset]]/12</f>
        <v>0</v>
      </c>
      <c r="SC13" s="276">
        <f>IFERROR(1/Calculations_APPURT[[#This Row],[Brackets]],0) * cv_M/cv_F * Forces_APPURT[[#This Row],[Delta Fa 135]] * Calculations_APPURT[[#This Row],[Lateral Offset]]/12</f>
        <v>0</v>
      </c>
      <c r="SD13" s="276">
        <f>IFERROR(1/Calculations_APPURT[[#This Row],[Brackets]],0) * cv_M/cv_F * Forces_APPURT[[#This Row],[Delta Fa 150]] * Calculations_APPURT[[#This Row],[Lateral Offset]]/12</f>
        <v>0</v>
      </c>
      <c r="SE13" s="276">
        <f>IFERROR(1/Calculations_APPURT[[#This Row],[Brackets]],0) * cv_M/cv_F * Forces_APPURT[[#This Row],[Delta Fa 180]] * Calculations_APPURT[[#This Row],[Lateral Offset]]/12</f>
        <v>0</v>
      </c>
      <c r="SF13" s="276">
        <f>IFERROR(1/Calculations_APPURT[[#This Row],[Brackets]],0) * cv_M/cv_F * Forces_APPURT[[#This Row],[Delta Fa 210]] * Calculations_APPURT[[#This Row],[Lateral Offset]]/12</f>
        <v>0</v>
      </c>
      <c r="SG13" s="276">
        <f>IFERROR(1/Calculations_APPURT[[#This Row],[Brackets]],0) * cv_M/cv_F * Forces_APPURT[[#This Row],[Delta Fa 225]] * Calculations_APPURT[[#This Row],[Lateral Offset]]/12</f>
        <v>0</v>
      </c>
      <c r="SH13" s="276">
        <f>IFERROR(1/Calculations_APPURT[[#This Row],[Brackets]],0) * cv_M/cv_F * Forces_APPURT[[#This Row],[Delta Fa 240]] * Calculations_APPURT[[#This Row],[Lateral Offset]]/12</f>
        <v>0</v>
      </c>
      <c r="SI13" s="276">
        <f>IFERROR(1/Calculations_APPURT[[#This Row],[Brackets]],0) * cv_M/cv_F * Forces_APPURT[[#This Row],[Delta Fa 270]] * Calculations_APPURT[[#This Row],[Lateral Offset]]/12</f>
        <v>0</v>
      </c>
      <c r="SJ13" s="276">
        <f>IFERROR(1/Calculations_APPURT[[#This Row],[Brackets]],0) * cv_M/cv_F * Forces_APPURT[[#This Row],[Delta Fa 300]] * Calculations_APPURT[[#This Row],[Lateral Offset]]/12</f>
        <v>0</v>
      </c>
      <c r="SK13" s="276">
        <f>IFERROR(1/Calculations_APPURT[[#This Row],[Brackets]],0) * cv_M/cv_F * Forces_APPURT[[#This Row],[Delta Fa 315]] * Calculations_APPURT[[#This Row],[Lateral Offset]]/12</f>
        <v>0</v>
      </c>
      <c r="SL13" s="276">
        <f>IFERROR(1/Calculations_APPURT[[#This Row],[Brackets]],0) * cv_M/cv_F * Forces_APPURT[[#This Row],[Delta Fa 330]] * Calculations_APPURT[[#This Row],[Lateral Offset]]/12</f>
        <v>0</v>
      </c>
      <c r="SM13" s="276">
        <f>IFERROR(1/Calculations_APPURT[[#This Row],[Brackets]],0) * cv_M/cv_F * Forces_APPURT[[#This Row],[Alpha Fai 0]] * Calculations_APPURT[[#This Row],[Lateral Offset]]/12</f>
        <v>0</v>
      </c>
      <c r="SN13" s="276">
        <f>IFERROR(1/Calculations_APPURT[[#This Row],[Brackets]],0) * cv_M/cv_F * Forces_APPURT[[#This Row],[Alpha Fai 30]] * Calculations_APPURT[[#This Row],[Lateral Offset]]/12</f>
        <v>0</v>
      </c>
      <c r="SO13" s="276">
        <f>IFERROR(1/Calculations_APPURT[[#This Row],[Brackets]],0) * cv_M/cv_F * Forces_APPURT[[#This Row],[Alpha Fai 45]] * Calculations_APPURT[[#This Row],[Lateral Offset]]/12</f>
        <v>0</v>
      </c>
      <c r="SP13" s="276">
        <f>IFERROR(1/Calculations_APPURT[[#This Row],[Brackets]],0) * cv_M/cv_F * Forces_APPURT[[#This Row],[Alpha Fai 60]] * Calculations_APPURT[[#This Row],[Lateral Offset]]/12</f>
        <v>0</v>
      </c>
      <c r="SQ13" s="276">
        <f>IFERROR(1/Calculations_APPURT[[#This Row],[Brackets]],0) * cv_M/cv_F * Forces_APPURT[[#This Row],[Alpha Fai 90]] * Calculations_APPURT[[#This Row],[Lateral Offset]]/12</f>
        <v>0</v>
      </c>
      <c r="SR13" s="276">
        <f>IFERROR(1/Calculations_APPURT[[#This Row],[Brackets]],0) * cv_M/cv_F * Forces_APPURT[[#This Row],[Alpha Fai 120]] * Calculations_APPURT[[#This Row],[Lateral Offset]]/12</f>
        <v>0</v>
      </c>
      <c r="SS13" s="276">
        <f>IFERROR(1/Calculations_APPURT[[#This Row],[Brackets]],0) * cv_M/cv_F * Forces_APPURT[[#This Row],[Alpha Fai 135]] * Calculations_APPURT[[#This Row],[Lateral Offset]]/12</f>
        <v>0</v>
      </c>
      <c r="ST13" s="276">
        <f>IFERROR(1/Calculations_APPURT[[#This Row],[Brackets]],0) * cv_M/cv_F * Forces_APPURT[[#This Row],[Alpha Fai 150]] * Calculations_APPURT[[#This Row],[Lateral Offset]]/12</f>
        <v>0</v>
      </c>
      <c r="SU13" s="276">
        <f>IFERROR(1/Calculations_APPURT[[#This Row],[Brackets]],0) * cv_M/cv_F * Forces_APPURT[[#This Row],[Alpha Fai 180]] * Calculations_APPURT[[#This Row],[Lateral Offset]]/12</f>
        <v>0</v>
      </c>
      <c r="SV13" s="276">
        <f>IFERROR(1/Calculations_APPURT[[#This Row],[Brackets]],0) * cv_M/cv_F * Forces_APPURT[[#This Row],[Alpha Fai 210]] * Calculations_APPURT[[#This Row],[Lateral Offset]]/12</f>
        <v>0</v>
      </c>
      <c r="SW13" s="276">
        <f>IFERROR(1/Calculations_APPURT[[#This Row],[Brackets]],0) * cv_M/cv_F * Forces_APPURT[[#This Row],[Alpha Fai 225]] * Calculations_APPURT[[#This Row],[Lateral Offset]]/12</f>
        <v>0</v>
      </c>
      <c r="SX13" s="276">
        <f>IFERROR(1/Calculations_APPURT[[#This Row],[Brackets]],0) * cv_M/cv_F * Forces_APPURT[[#This Row],[Alpha Fai 240]] * Calculations_APPURT[[#This Row],[Lateral Offset]]/12</f>
        <v>0</v>
      </c>
      <c r="SY13" s="276">
        <f>IFERROR(1/Calculations_APPURT[[#This Row],[Brackets]],0) * cv_M/cv_F * Forces_APPURT[[#This Row],[Alpha Fai 270]] * Calculations_APPURT[[#This Row],[Lateral Offset]]/12</f>
        <v>0</v>
      </c>
      <c r="SZ13" s="276">
        <f>IFERROR(1/Calculations_APPURT[[#This Row],[Brackets]],0) * cv_M/cv_F * Forces_APPURT[[#This Row],[Alpha Fai 300]] * Calculations_APPURT[[#This Row],[Lateral Offset]]/12</f>
        <v>0</v>
      </c>
      <c r="TA13" s="276">
        <f>IFERROR(1/Calculations_APPURT[[#This Row],[Brackets]],0) * cv_M/cv_F * Forces_APPURT[[#This Row],[Alpha Fai 315]] * Calculations_APPURT[[#This Row],[Lateral Offset]]/12</f>
        <v>0</v>
      </c>
      <c r="TB13" s="276">
        <f>IFERROR(1/Calculations_APPURT[[#This Row],[Brackets]],0) * cv_M/cv_F * Forces_APPURT[[#This Row],[Alpha Fai 330]] * Calculations_APPURT[[#This Row],[Lateral Offset]]/12</f>
        <v>0</v>
      </c>
      <c r="TC13" s="276">
        <f>IFERROR(1/Calculations_APPURT[[#This Row],[Brackets]],0) * cv_M/cv_F * Forces_APPURT[[#This Row],[Beta Fai 0]] * Calculations_APPURT[[#This Row],[Lateral Offset]]/12</f>
        <v>0</v>
      </c>
      <c r="TD13" s="276">
        <f>IFERROR(1/Calculations_APPURT[[#This Row],[Brackets]],0) * cv_M/cv_F * Forces_APPURT[[#This Row],[Beta Fai 30]] * Calculations_APPURT[[#This Row],[Lateral Offset]]/12</f>
        <v>0</v>
      </c>
      <c r="TE13" s="276">
        <f>IFERROR(1/Calculations_APPURT[[#This Row],[Brackets]],0) * cv_M/cv_F * Forces_APPURT[[#This Row],[Beta Fai 45]] * Calculations_APPURT[[#This Row],[Lateral Offset]]/12</f>
        <v>0</v>
      </c>
      <c r="TF13" s="276">
        <f>IFERROR(1/Calculations_APPURT[[#This Row],[Brackets]],0) * cv_M/cv_F * Forces_APPURT[[#This Row],[Beta Fai 60]] * Calculations_APPURT[[#This Row],[Lateral Offset]]/12</f>
        <v>0</v>
      </c>
      <c r="TG13" s="276">
        <f>IFERROR(1/Calculations_APPURT[[#This Row],[Brackets]],0) * cv_M/cv_F * Forces_APPURT[[#This Row],[Beta Fai 90]] * Calculations_APPURT[[#This Row],[Lateral Offset]]/12</f>
        <v>0</v>
      </c>
      <c r="TH13" s="276">
        <f>IFERROR(1/Calculations_APPURT[[#This Row],[Brackets]],0) * cv_M/cv_F * Forces_APPURT[[#This Row],[Beta Fai 120]] * Calculations_APPURT[[#This Row],[Lateral Offset]]/12</f>
        <v>0</v>
      </c>
      <c r="TI13" s="276">
        <f>IFERROR(1/Calculations_APPURT[[#This Row],[Brackets]],0) * cv_M/cv_F * Forces_APPURT[[#This Row],[Beta Fai 135]] * Calculations_APPURT[[#This Row],[Lateral Offset]]/12</f>
        <v>0</v>
      </c>
      <c r="TJ13" s="276">
        <f>IFERROR(1/Calculations_APPURT[[#This Row],[Brackets]],0) * cv_M/cv_F * Forces_APPURT[[#This Row],[Beta Fai 150]] * Calculations_APPURT[[#This Row],[Lateral Offset]]/12</f>
        <v>0</v>
      </c>
      <c r="TK13" s="276">
        <f>IFERROR(1/Calculations_APPURT[[#This Row],[Brackets]],0) * cv_M/cv_F * Forces_APPURT[[#This Row],[Beta Fai 180]] * Calculations_APPURT[[#This Row],[Lateral Offset]]/12</f>
        <v>0</v>
      </c>
      <c r="TL13" s="276">
        <f>IFERROR(1/Calculations_APPURT[[#This Row],[Brackets]],0) * cv_M/cv_F * Forces_APPURT[[#This Row],[Beta Fai 210]] * Calculations_APPURT[[#This Row],[Lateral Offset]]/12</f>
        <v>0</v>
      </c>
      <c r="TM13" s="276">
        <f>IFERROR(1/Calculations_APPURT[[#This Row],[Brackets]],0) * cv_M/cv_F * Forces_APPURT[[#This Row],[Beta Fai 225]] * Calculations_APPURT[[#This Row],[Lateral Offset]]/12</f>
        <v>0</v>
      </c>
      <c r="TN13" s="276">
        <f>IFERROR(1/Calculations_APPURT[[#This Row],[Brackets]],0) * cv_M/cv_F * Forces_APPURT[[#This Row],[Beta Fai 240]] * Calculations_APPURT[[#This Row],[Lateral Offset]]/12</f>
        <v>0</v>
      </c>
      <c r="TO13" s="276">
        <f>IFERROR(1/Calculations_APPURT[[#This Row],[Brackets]],0) * cv_M/cv_F * Forces_APPURT[[#This Row],[Beta Fai 270]] * Calculations_APPURT[[#This Row],[Lateral Offset]]/12</f>
        <v>0</v>
      </c>
      <c r="TP13" s="276">
        <f>IFERROR(1/Calculations_APPURT[[#This Row],[Brackets]],0) * cv_M/cv_F * Forces_APPURT[[#This Row],[Beta Fai 300]] * Calculations_APPURT[[#This Row],[Lateral Offset]]/12</f>
        <v>0</v>
      </c>
      <c r="TQ13" s="276">
        <f>IFERROR(1/Calculations_APPURT[[#This Row],[Brackets]],0) * cv_M/cv_F * Forces_APPURT[[#This Row],[Beta Fai 315]] * Calculations_APPURT[[#This Row],[Lateral Offset]]/12</f>
        <v>0</v>
      </c>
      <c r="TR13" s="276">
        <f>IFERROR(1/Calculations_APPURT[[#This Row],[Brackets]],0) * cv_M/cv_F * Forces_APPURT[[#This Row],[Beta Fai 330]] * Calculations_APPURT[[#This Row],[Lateral Offset]]/12</f>
        <v>0</v>
      </c>
      <c r="TS13" s="276">
        <f>IFERROR(1/Calculations_APPURT[[#This Row],[Brackets]],0) * cv_M/cv_F * Forces_APPURT[[#This Row],[Gamma Fai 0]] * Calculations_APPURT[[#This Row],[Lateral Offset]]/12</f>
        <v>0</v>
      </c>
      <c r="TT13" s="276">
        <f>IFERROR(1/Calculations_APPURT[[#This Row],[Brackets]],0) * cv_M/cv_F * Forces_APPURT[[#This Row],[Gamma Fai 30]] * Calculations_APPURT[[#This Row],[Lateral Offset]]/12</f>
        <v>0</v>
      </c>
      <c r="TU13" s="276">
        <f>IFERROR(1/Calculations_APPURT[[#This Row],[Brackets]],0) * cv_M/cv_F * Forces_APPURT[[#This Row],[Gamma Fai 45]] * Calculations_APPURT[[#This Row],[Lateral Offset]]/12</f>
        <v>0</v>
      </c>
      <c r="TV13" s="276">
        <f>IFERROR(1/Calculations_APPURT[[#This Row],[Brackets]],0) * cv_M/cv_F * Forces_APPURT[[#This Row],[Gamma Fai 60]] * Calculations_APPURT[[#This Row],[Lateral Offset]]/12</f>
        <v>0</v>
      </c>
      <c r="TW13" s="276">
        <f>IFERROR(1/Calculations_APPURT[[#This Row],[Brackets]],0) * cv_M/cv_F * Forces_APPURT[[#This Row],[Gamma Fai 90]] * Calculations_APPURT[[#This Row],[Lateral Offset]]/12</f>
        <v>0</v>
      </c>
      <c r="TX13" s="276">
        <f>IFERROR(1/Calculations_APPURT[[#This Row],[Brackets]],0) * cv_M/cv_F * Forces_APPURT[[#This Row],[Gamma Fai 120]] * Calculations_APPURT[[#This Row],[Lateral Offset]]/12</f>
        <v>0</v>
      </c>
      <c r="TY13" s="276">
        <f>IFERROR(1/Calculations_APPURT[[#This Row],[Brackets]],0) * cv_M/cv_F * Forces_APPURT[[#This Row],[Gamma Fai 135]] * Calculations_APPURT[[#This Row],[Lateral Offset]]/12</f>
        <v>0</v>
      </c>
      <c r="TZ13" s="276">
        <f>IFERROR(1/Calculations_APPURT[[#This Row],[Brackets]],0) * cv_M/cv_F * Forces_APPURT[[#This Row],[Gamma Fai 150]] * Calculations_APPURT[[#This Row],[Lateral Offset]]/12</f>
        <v>0</v>
      </c>
      <c r="UA13" s="276">
        <f>IFERROR(1/Calculations_APPURT[[#This Row],[Brackets]],0) * cv_M/cv_F * Forces_APPURT[[#This Row],[Gamma Fai 180]] * Calculations_APPURT[[#This Row],[Lateral Offset]]/12</f>
        <v>0</v>
      </c>
      <c r="UB13" s="276">
        <f>IFERROR(1/Calculations_APPURT[[#This Row],[Brackets]],0) * cv_M/cv_F * Forces_APPURT[[#This Row],[Gamma Fai 210]] * Calculations_APPURT[[#This Row],[Lateral Offset]]/12</f>
        <v>0</v>
      </c>
      <c r="UC13" s="276">
        <f>IFERROR(1/Calculations_APPURT[[#This Row],[Brackets]],0) * cv_M/cv_F * Forces_APPURT[[#This Row],[Gamma Fai 225]] * Calculations_APPURT[[#This Row],[Lateral Offset]]/12</f>
        <v>0</v>
      </c>
      <c r="UD13" s="276">
        <f>IFERROR(1/Calculations_APPURT[[#This Row],[Brackets]],0) * cv_M/cv_F * Forces_APPURT[[#This Row],[Gamma Fai 240]] * Calculations_APPURT[[#This Row],[Lateral Offset]]/12</f>
        <v>0</v>
      </c>
      <c r="UE13" s="276">
        <f>IFERROR(1/Calculations_APPURT[[#This Row],[Brackets]],0) * cv_M/cv_F * Forces_APPURT[[#This Row],[Gamma Fai 270]] * Calculations_APPURT[[#This Row],[Lateral Offset]]/12</f>
        <v>0</v>
      </c>
      <c r="UF13" s="276">
        <f>IFERROR(1/Calculations_APPURT[[#This Row],[Brackets]],0) * cv_M/cv_F * Forces_APPURT[[#This Row],[Gamma Fai 300]] * Calculations_APPURT[[#This Row],[Lateral Offset]]/12</f>
        <v>0</v>
      </c>
      <c r="UG13" s="276">
        <f>IFERROR(1/Calculations_APPURT[[#This Row],[Brackets]],0) * cv_M/cv_F * Forces_APPURT[[#This Row],[Gamma Fai 315]] * Calculations_APPURT[[#This Row],[Lateral Offset]]/12</f>
        <v>0</v>
      </c>
      <c r="UH13" s="276">
        <f>IFERROR(1/Calculations_APPURT[[#This Row],[Brackets]],0) * cv_M/cv_F * Forces_APPURT[[#This Row],[Gamma Fai 330]] * Calculations_APPURT[[#This Row],[Lateral Offset]]/12</f>
        <v>0</v>
      </c>
      <c r="UI13" s="276">
        <f>IFERROR(1/Calculations_APPURT[[#This Row],[Brackets]],0) * cv_M/cv_F * Forces_APPURT[[#This Row],[Delta Fai 0]] * Calculations_APPURT[[#This Row],[Lateral Offset]]/12</f>
        <v>0</v>
      </c>
      <c r="UJ13" s="276">
        <f>IFERROR(1/Calculations_APPURT[[#This Row],[Brackets]],0) * cv_M/cv_F * Forces_APPURT[[#This Row],[Delta Fai 30]] * Calculations_APPURT[[#This Row],[Lateral Offset]]/12</f>
        <v>0</v>
      </c>
      <c r="UK13" s="276">
        <f>IFERROR(1/Calculations_APPURT[[#This Row],[Brackets]],0) * cv_M/cv_F * Forces_APPURT[[#This Row],[Delta Fai 45]] * Calculations_APPURT[[#This Row],[Lateral Offset]]/12</f>
        <v>0</v>
      </c>
      <c r="UL13" s="276">
        <f>IFERROR(1/Calculations_APPURT[[#This Row],[Brackets]],0) * cv_M/cv_F * Forces_APPURT[[#This Row],[Delta Fai 60]] * Calculations_APPURT[[#This Row],[Lateral Offset]]/12</f>
        <v>0</v>
      </c>
      <c r="UM13" s="276">
        <f>IFERROR(1/Calculations_APPURT[[#This Row],[Brackets]],0) * cv_M/cv_F * Forces_APPURT[[#This Row],[Delta Fai 90]] * Calculations_APPURT[[#This Row],[Lateral Offset]]/12</f>
        <v>0</v>
      </c>
      <c r="UN13" s="276">
        <f>IFERROR(1/Calculations_APPURT[[#This Row],[Brackets]],0) * cv_M/cv_F * Forces_APPURT[[#This Row],[Delta Fai 120]] * Calculations_APPURT[[#This Row],[Lateral Offset]]/12</f>
        <v>0</v>
      </c>
      <c r="UO13" s="276">
        <f>IFERROR(1/Calculations_APPURT[[#This Row],[Brackets]],0) * cv_M/cv_F * Forces_APPURT[[#This Row],[Delta Fai 135]] * Calculations_APPURT[[#This Row],[Lateral Offset]]/12</f>
        <v>0</v>
      </c>
      <c r="UP13" s="276">
        <f>IFERROR(1/Calculations_APPURT[[#This Row],[Brackets]],0) * cv_M/cv_F * Forces_APPURT[[#This Row],[Delta Fai 150]] * Calculations_APPURT[[#This Row],[Lateral Offset]]/12</f>
        <v>0</v>
      </c>
      <c r="UQ13" s="276">
        <f>IFERROR(1/Calculations_APPURT[[#This Row],[Brackets]],0) * cv_M/cv_F * Forces_APPURT[[#This Row],[Delta Fai 180]] * Calculations_APPURT[[#This Row],[Lateral Offset]]/12</f>
        <v>0</v>
      </c>
      <c r="UR13" s="276">
        <f>IFERROR(1/Calculations_APPURT[[#This Row],[Brackets]],0) * cv_M/cv_F * Forces_APPURT[[#This Row],[Delta Fai 210]] * Calculations_APPURT[[#This Row],[Lateral Offset]]/12</f>
        <v>0</v>
      </c>
      <c r="US13" s="276">
        <f>IFERROR(1/Calculations_APPURT[[#This Row],[Brackets]],0) * cv_M/cv_F * Forces_APPURT[[#This Row],[Delta Fai 225]] * Calculations_APPURT[[#This Row],[Lateral Offset]]/12</f>
        <v>0</v>
      </c>
      <c r="UT13" s="276">
        <f>IFERROR(1/Calculations_APPURT[[#This Row],[Brackets]],0) * cv_M/cv_F * Forces_APPURT[[#This Row],[Delta Fai 240]] * Calculations_APPURT[[#This Row],[Lateral Offset]]/12</f>
        <v>0</v>
      </c>
      <c r="UU13" s="276">
        <f>IFERROR(1/Calculations_APPURT[[#This Row],[Brackets]],0) * cv_M/cv_F * Forces_APPURT[[#This Row],[Delta Fai 270]] * Calculations_APPURT[[#This Row],[Lateral Offset]]/12</f>
        <v>0</v>
      </c>
      <c r="UV13" s="276">
        <f>IFERROR(1/Calculations_APPURT[[#This Row],[Brackets]],0) * cv_M/cv_F * Forces_APPURT[[#This Row],[Delta Fai 300]] * Calculations_APPURT[[#This Row],[Lateral Offset]]/12</f>
        <v>0</v>
      </c>
      <c r="UW13" s="276">
        <f>IFERROR(1/Calculations_APPURT[[#This Row],[Brackets]],0) * cv_M/cv_F * Forces_APPURT[[#This Row],[Delta Fai 315]] * Calculations_APPURT[[#This Row],[Lateral Offset]]/12</f>
        <v>0</v>
      </c>
      <c r="UX13" s="276">
        <f>IFERROR(1/Calculations_APPURT[[#This Row],[Brackets]],0) * cv_M/cv_F * Forces_APPURT[[#This Row],[Delta Fai 330]] * Calculations_APPURT[[#This Row],[Lateral Offset]]/12</f>
        <v>0</v>
      </c>
      <c r="UY13" s="276">
        <f>Dimensions_APPURT[[#This Row],[Weight (lbf)]] * cv_F * AlphaSector[[#This Row],[Quantity]]</f>
        <v>0</v>
      </c>
      <c r="UZ13" s="276">
        <f>Dimensions_APPURT[[#This Row],[Weight (lbf)]] * cv_F * BetaSector[[#This Row],[Quantity]]</f>
        <v>0</v>
      </c>
      <c r="VA13" s="276">
        <f>Dimensions_APPURT[[#This Row],[Weight (lbf)]] * cv_F * GammaSector[[#This Row],[Quantity]]</f>
        <v>0</v>
      </c>
      <c r="VB13" s="276">
        <f>Dimensions_APPURT[[#This Row],[Weight (lbf)]] * cv_F * DeltaSector[[#This Row],[Quantity]]</f>
        <v>0</v>
      </c>
      <c r="VC13" s="209">
        <f>Dimensions_APPURT[[#This Row],[Weight (lbf)]] * cv_M * AlphaSector[[#This Row],[Quantity]] * Calculations_APPURT[[#This Row],[Horizontal Offset]]/12</f>
        <v>0</v>
      </c>
      <c r="VD13" s="209">
        <f>Dimensions_APPURT[[#This Row],[Weight (lbf)]] * cv_M * BetaSector[[#This Row],[Quantity]] * Calculations_APPURT[[#This Row],[Horizontal Offset]]/12</f>
        <v>0</v>
      </c>
      <c r="VE13" s="209">
        <f>Dimensions_APPURT[[#This Row],[Weight (lbf)]] * cv_M * GammaSector[[#This Row],[Quantity]] * Calculations_APPURT[[#This Row],[Horizontal Offset]]/12</f>
        <v>0</v>
      </c>
      <c r="VF13" s="209">
        <f>Dimensions_APPURT[[#This Row],[Weight (lbf)]] * cv_M * DeltaSector[[#This Row],[Quantity]] * Calculations_APPURT[[#This Row],[Horizontal Offset]]/12</f>
        <v>0</v>
      </c>
      <c r="VG13" s="276">
        <f>Hazards_APPURT[[#This Row],[Ice Weight]] * cv_F * AlphaSector[[#This Row],[Quantity]]</f>
        <v>0</v>
      </c>
      <c r="VH13" s="276">
        <f>Hazards_APPURT[[#This Row],[Ice Weight]] * cv_F * BetaSector[[#This Row],[Quantity]]</f>
        <v>0</v>
      </c>
      <c r="VI13" s="276">
        <f>Hazards_APPURT[[#This Row],[Ice Weight]] * cv_F * GammaSector[[#This Row],[Quantity]]</f>
        <v>0</v>
      </c>
      <c r="VJ13" s="276">
        <f>Hazards_APPURT[[#This Row],[Ice Weight]] * cv_F * DeltaSector[[#This Row],[Quantity]]</f>
        <v>0</v>
      </c>
      <c r="VK13" s="209">
        <f>Hazards_APPURT[[#This Row],[Ice Weight]] * cv_M * AlphaSector[[#This Row],[Quantity]] * Calculations_APPURT[[#This Row],[Horizontal Offset]]/12</f>
        <v>0</v>
      </c>
      <c r="VL13" s="209">
        <f>Hazards_APPURT[[#This Row],[Ice Weight]] * cv_M * BetaSector[[#This Row],[Quantity]] * Calculations_APPURT[[#This Row],[Horizontal Offset]]/12</f>
        <v>0</v>
      </c>
      <c r="VM13" s="209">
        <f>Hazards_APPURT[[#This Row],[Ice Weight]] * cv_M * GammaSector[[#This Row],[Quantity]] * Calculations_APPURT[[#This Row],[Horizontal Offset]]/12</f>
        <v>0</v>
      </c>
      <c r="VN13" s="209">
        <f>Hazards_APPURT[[#This Row],[Ice Weight]] * cv_M * DeltaSector[[#This Row],[Quantity]] * Calculations_APPURT[[#This Row],[Horizontal Offset]]/12</f>
        <v>0</v>
      </c>
    </row>
    <row r="14" spans="1:586" ht="15" customHeight="1" x14ac:dyDescent="0.2">
      <c r="A14" s="69"/>
      <c r="B14" s="275"/>
      <c r="E14" s="265"/>
      <c r="L14" s="69"/>
      <c r="R14" s="70"/>
      <c r="T14" s="69"/>
      <c r="V14" s="71"/>
      <c r="W14" s="69"/>
      <c r="X14" s="71"/>
      <c r="Y14" s="69"/>
      <c r="Z14" s="70"/>
      <c r="AB14" s="69"/>
      <c r="AD14" s="71"/>
      <c r="AE14" s="69"/>
      <c r="AF14" s="71"/>
      <c r="AG14" s="69"/>
      <c r="AH14" s="70"/>
      <c r="AJ14" s="69"/>
      <c r="AL14" s="71"/>
      <c r="AM14" s="69"/>
      <c r="AN14" s="71"/>
      <c r="AO14" s="69"/>
      <c r="AP14" s="70"/>
      <c r="AR14" s="69"/>
      <c r="AV14" s="277" cm="1">
        <f t="array" ref="AV14">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4" s="209" cm="1">
        <f t="array" ref="AW14">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4" s="209" cm="1">
        <f t="array" ref="AX14">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4" s="209" cm="1">
        <f t="array" ref="AY14">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4"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4" s="209" cm="1">
        <f t="array" ref="BA14">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4" s="209">
        <f>IF(OR(Calculations_APPURT[[#This Row],[Shape]]="CFD",Calculations_APPURT[[#This Row],[Shape]]="CCI"),1,0.95)</f>
        <v>0.95</v>
      </c>
      <c r="BC14" s="209" cm="1">
        <f t="array" ref="BC14">0.00256 * Hazards_APPURT[[#This Row],[Kz]] * Kzt * Ks * I.wind * V^2 * IF(RIGHT(TIA,1)="G",1,Ke) * IF(OR(Calculations_APPURT[[#This Row],[Shape]]="CFD",Calculations_APPURT[[#This Row],[Shape]]="CCI"),1, Hazards_APPURT[[#This Row],[Kd]]) * Gh</f>
        <v>0</v>
      </c>
      <c r="BD14" s="209">
        <f>IF(Risk="I",0,MIN(((z+Calculations_APPURT[[#This Row],[Vertical Offset]]/12)/33)^(0.1),1.4))</f>
        <v>0</v>
      </c>
      <c r="BE14" s="209" cm="1">
        <f t="array" ref="BE14">IF(Risk="I",0,IF(TIA="ANSI/TIA-222-G",2,1*Kes.i)*ti*I.ice*Hazards_APPURT[[#This Row],[Kiz]]*(Kzt/Ks)^(0.35))</f>
        <v>0</v>
      </c>
      <c r="BF14" s="209" cm="1">
        <f t="array" ref="BF14">0.00256 * Hazards_APPURT[[#This Row],[Kz]] * Kzt * Ks * I.wind * Vi^2 * IF(RIGHT(TIA,1)="G",1,Ke) * IF(OR(Calculations_APPURT[[#This Row],[Shape]]="CFD",Calculations_APPURT[[#This Row],[Shape]]="CCI"),1, Kd) * Gh</f>
        <v>0</v>
      </c>
      <c r="BG14"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4"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4"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4"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4"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4"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4"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4"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4"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4"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4"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4"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4"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4"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4"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4"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4"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4"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4"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4"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4"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4"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4"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4"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4"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4"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4"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4"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4"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4"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4"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4"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4"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4"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4"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4"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4"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4"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4"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4"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4"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4"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4"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4"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4"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4"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4"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4"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4"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4"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4"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4"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4"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4"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4"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4"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4"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4"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4"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4"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4"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4"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4"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4"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4" s="338">
        <f>IFERROR(1/Calculations_APPURT[[#This Row],[Brackets]],0) * cv_F * AlphaSector[[#This Row],[Quantity]] * Hazards_APPURT[[#This Row],[qz]] * CaAa_APPURT[[#This Row],[Alpha 0]] * IF(Calculations_APPURT[[#This Row],[Shape]]="CFD",1, Ka)</f>
        <v>0</v>
      </c>
      <c r="GF14" s="338">
        <f>IFERROR(1/Calculations_APPURT[[#This Row],[Brackets]],0) * cv_F * AlphaSector[[#This Row],[Quantity]] * Hazards_APPURT[[#This Row],[qz]] * CaAa_APPURT[[#This Row],[Alpha 30]] * IF(Calculations_APPURT[[#This Row],[Shape]]="CFD",1, Ka)</f>
        <v>0</v>
      </c>
      <c r="GG14" s="338">
        <f>IFERROR(1/Calculations_APPURT[[#This Row],[Brackets]],0) * cv_F * AlphaSector[[#This Row],[Quantity]] * Hazards_APPURT[[#This Row],[qz]] * CaAa_APPURT[[#This Row],[Alpha 45]] * IF(Calculations_APPURT[[#This Row],[Shape]]="CFD",1, Ka)</f>
        <v>0</v>
      </c>
      <c r="GH14" s="338">
        <f>IFERROR(1/Calculations_APPURT[[#This Row],[Brackets]],0) * cv_F * AlphaSector[[#This Row],[Quantity]] * Hazards_APPURT[[#This Row],[qz]] * CaAa_APPURT[[#This Row],[Alpha 60]] * IF(Calculations_APPURT[[#This Row],[Shape]]="CFD",1, Ka)</f>
        <v>0</v>
      </c>
      <c r="GI14" s="338">
        <f>IFERROR(1/Calculations_APPURT[[#This Row],[Brackets]],0) * cv_F * AlphaSector[[#This Row],[Quantity]] * Hazards_APPURT[[#This Row],[qz]] * CaAa_APPURT[[#This Row],[Alpha 90]] * IF(Calculations_APPURT[[#This Row],[Shape]]="CFD",1, Ka)</f>
        <v>0</v>
      </c>
      <c r="GJ14" s="338">
        <f>IFERROR(1/Calculations_APPURT[[#This Row],[Brackets]],0) * cv_F * AlphaSector[[#This Row],[Quantity]] * Hazards_APPURT[[#This Row],[qz]] * CaAa_APPURT[[#This Row],[Alpha 120]] * IF(Calculations_APPURT[[#This Row],[Shape]]="CFD",1, Ka)</f>
        <v>0</v>
      </c>
      <c r="GK14" s="338">
        <f>IFERROR(1/Calculations_APPURT[[#This Row],[Brackets]],0) * cv_F * AlphaSector[[#This Row],[Quantity]] * Hazards_APPURT[[#This Row],[qz]] * CaAa_APPURT[[#This Row],[Alpha 135]] * IF(Calculations_APPURT[[#This Row],[Shape]]="CFD",1, Ka)</f>
        <v>0</v>
      </c>
      <c r="GL14" s="338">
        <f>IFERROR(1/Calculations_APPURT[[#This Row],[Brackets]],0) * cv_F * AlphaSector[[#This Row],[Quantity]] * Hazards_APPURT[[#This Row],[qz]] * CaAa_APPURT[[#This Row],[Alpha 150]] * IF(Calculations_APPURT[[#This Row],[Shape]]="CFD",1, Ka)</f>
        <v>0</v>
      </c>
      <c r="GM14" s="338">
        <f>IFERROR(1/Calculations_APPURT[[#This Row],[Brackets]],0) * cv_F * AlphaSector[[#This Row],[Quantity]] * Hazards_APPURT[[#This Row],[qz]] * CaAa_APPURT[[#This Row],[Alpha 180]] * IF(Calculations_APPURT[[#This Row],[Shape]]="CFD",1, Ka)</f>
        <v>0</v>
      </c>
      <c r="GN14" s="338">
        <f>IFERROR(1/Calculations_APPURT[[#This Row],[Brackets]],0) * cv_F * AlphaSector[[#This Row],[Quantity]] * Hazards_APPURT[[#This Row],[qz]] * CaAa_APPURT[[#This Row],[Alpha 210]] * IF(Calculations_APPURT[[#This Row],[Shape]]="CFD",1, Ka)</f>
        <v>0</v>
      </c>
      <c r="GO14" s="338">
        <f>IFERROR(1/Calculations_APPURT[[#This Row],[Brackets]],0) * cv_F * AlphaSector[[#This Row],[Quantity]] * Hazards_APPURT[[#This Row],[qz]] * CaAa_APPURT[[#This Row],[Alpha 225]] * IF(Calculations_APPURT[[#This Row],[Shape]]="CFD",1, Ka)</f>
        <v>0</v>
      </c>
      <c r="GP14" s="338">
        <f>IFERROR(1/Calculations_APPURT[[#This Row],[Brackets]],0) * cv_F * AlphaSector[[#This Row],[Quantity]] * Hazards_APPURT[[#This Row],[qz]] * CaAa_APPURT[[#This Row],[Alpha 240]] * IF(Calculations_APPURT[[#This Row],[Shape]]="CFD",1, Ka)</f>
        <v>0</v>
      </c>
      <c r="GQ14" s="338">
        <f>IFERROR(1/Calculations_APPURT[[#This Row],[Brackets]],0) * cv_F * AlphaSector[[#This Row],[Quantity]] * Hazards_APPURT[[#This Row],[qz]] * CaAa_APPURT[[#This Row],[Alpha 270]] * IF(Calculations_APPURT[[#This Row],[Shape]]="CFD",1, Ka)</f>
        <v>0</v>
      </c>
      <c r="GR14" s="338">
        <f>IFERROR(1/Calculations_APPURT[[#This Row],[Brackets]],0) * cv_F * AlphaSector[[#This Row],[Quantity]] * Hazards_APPURT[[#This Row],[qz]] * CaAa_APPURT[[#This Row],[Alpha 300]] * IF(Calculations_APPURT[[#This Row],[Shape]]="CFD",1, Ka)</f>
        <v>0</v>
      </c>
      <c r="GS14" s="338">
        <f>IFERROR(1/Calculations_APPURT[[#This Row],[Brackets]],0) * cv_F * AlphaSector[[#This Row],[Quantity]] * Hazards_APPURT[[#This Row],[qz]] * CaAa_APPURT[[#This Row],[Alpha 315]] * IF(Calculations_APPURT[[#This Row],[Shape]]="CFD",1, Ka)</f>
        <v>0</v>
      </c>
      <c r="GT14" s="338">
        <f>IFERROR(1/Calculations_APPURT[[#This Row],[Brackets]],0) * cv_F * AlphaSector[[#This Row],[Quantity]] * Hazards_APPURT[[#This Row],[qz]] * CaAa_APPURT[[#This Row],[Alpha 330]] * IF(Calculations_APPURT[[#This Row],[Shape]]="CFD",1, Ka)</f>
        <v>0</v>
      </c>
      <c r="GU14" s="276">
        <f>IFERROR(1/Calculations_APPURT[[#This Row],[Brackets]],0) * cv_F * BetaSector[[#This Row],[Quantity]] * Hazards_APPURT[[#This Row],[qz]] * CaAa_APPURT[[#This Row],[Beta 0]] * IF(Calculations_APPURT[[#This Row],[Shape]]="CFD",1, Ka)</f>
        <v>0</v>
      </c>
      <c r="GV14" s="276">
        <f>IFERROR(1/Calculations_APPURT[[#This Row],[Brackets]],0) * cv_F * BetaSector[[#This Row],[Quantity]] * Hazards_APPURT[[#This Row],[qz]] * CaAa_APPURT[[#This Row],[Beta 30]] * IF(Calculations_APPURT[[#This Row],[Shape]]="CFD",1, Ka)</f>
        <v>0</v>
      </c>
      <c r="GW14" s="276">
        <f>IFERROR(1/Calculations_APPURT[[#This Row],[Brackets]],0) * cv_F * BetaSector[[#This Row],[Quantity]] * Hazards_APPURT[[#This Row],[qz]] * CaAa_APPURT[[#This Row],[Beta 45]] * IF(Calculations_APPURT[[#This Row],[Shape]]="CFD",1, Ka)</f>
        <v>0</v>
      </c>
      <c r="GX14" s="276">
        <f>IFERROR(1/Calculations_APPURT[[#This Row],[Brackets]],0) * cv_F * BetaSector[[#This Row],[Quantity]] * Hazards_APPURT[[#This Row],[qz]] * CaAa_APPURT[[#This Row],[Beta 60]] * IF(Calculations_APPURT[[#This Row],[Shape]]="CFD",1, Ka)</f>
        <v>0</v>
      </c>
      <c r="GY14" s="276">
        <f>IFERROR(1/Calculations_APPURT[[#This Row],[Brackets]],0) * cv_F * BetaSector[[#This Row],[Quantity]] * Hazards_APPURT[[#This Row],[qz]] * CaAa_APPURT[[#This Row],[Beta 90]] * IF(Calculations_APPURT[[#This Row],[Shape]]="CFD",1, Ka)</f>
        <v>0</v>
      </c>
      <c r="GZ14" s="276">
        <f>IFERROR(1/Calculations_APPURT[[#This Row],[Brackets]],0) * cv_F * BetaSector[[#This Row],[Quantity]] * Hazards_APPURT[[#This Row],[qz]] * CaAa_APPURT[[#This Row],[Beta 120]] * IF(Calculations_APPURT[[#This Row],[Shape]]="CFD",1, Ka)</f>
        <v>0</v>
      </c>
      <c r="HA14" s="276">
        <f>IFERROR(1/Calculations_APPURT[[#This Row],[Brackets]],0) * cv_F * BetaSector[[#This Row],[Quantity]] * Hazards_APPURT[[#This Row],[qz]] * CaAa_APPURT[[#This Row],[Beta 135]] * IF(Calculations_APPURT[[#This Row],[Shape]]="CFD",1, Ka)</f>
        <v>0</v>
      </c>
      <c r="HB14" s="276">
        <f>IFERROR(1/Calculations_APPURT[[#This Row],[Brackets]],0) * cv_F * BetaSector[[#This Row],[Quantity]] * Hazards_APPURT[[#This Row],[qz]] * CaAa_APPURT[[#This Row],[Beta 150]] * IF(Calculations_APPURT[[#This Row],[Shape]]="CFD",1, Ka)</f>
        <v>0</v>
      </c>
      <c r="HC14" s="276">
        <f>IFERROR(1/Calculations_APPURT[[#This Row],[Brackets]],0) * cv_F * BetaSector[[#This Row],[Quantity]] * Hazards_APPURT[[#This Row],[qz]] * CaAa_APPURT[[#This Row],[Beta 180]] * IF(Calculations_APPURT[[#This Row],[Shape]]="CFD",1, Ka)</f>
        <v>0</v>
      </c>
      <c r="HD14" s="276">
        <f>IFERROR(1/Calculations_APPURT[[#This Row],[Brackets]],0) * cv_F * BetaSector[[#This Row],[Quantity]] * Hazards_APPURT[[#This Row],[qz]] * CaAa_APPURT[[#This Row],[Beta 210]] * IF(Calculations_APPURT[[#This Row],[Shape]]="CFD",1, Ka)</f>
        <v>0</v>
      </c>
      <c r="HE14" s="276">
        <f>IFERROR(1/Calculations_APPURT[[#This Row],[Brackets]],0) * cv_F * BetaSector[[#This Row],[Quantity]] * Hazards_APPURT[[#This Row],[qz]] * CaAa_APPURT[[#This Row],[Beta 225]] * IF(Calculations_APPURT[[#This Row],[Shape]]="CFD",1, Ka)</f>
        <v>0</v>
      </c>
      <c r="HF14" s="276">
        <f>IFERROR(1/Calculations_APPURT[[#This Row],[Brackets]],0) * cv_F * BetaSector[[#This Row],[Quantity]] * Hazards_APPURT[[#This Row],[qz]] * CaAa_APPURT[[#This Row],[Beta 240]] * IF(Calculations_APPURT[[#This Row],[Shape]]="CFD",1, Ka)</f>
        <v>0</v>
      </c>
      <c r="HG14" s="276">
        <f>IFERROR(1/Calculations_APPURT[[#This Row],[Brackets]],0) * cv_F * BetaSector[[#This Row],[Quantity]] * Hazards_APPURT[[#This Row],[qz]] * CaAa_APPURT[[#This Row],[Beta 270]] * IF(Calculations_APPURT[[#This Row],[Shape]]="CFD",1, Ka)</f>
        <v>0</v>
      </c>
      <c r="HH14" s="276">
        <f>IFERROR(1/Calculations_APPURT[[#This Row],[Brackets]],0) * cv_F * BetaSector[[#This Row],[Quantity]] * Hazards_APPURT[[#This Row],[qz]] * CaAa_APPURT[[#This Row],[Beta 300]] * IF(Calculations_APPURT[[#This Row],[Shape]]="CFD",1, Ka)</f>
        <v>0</v>
      </c>
      <c r="HI14" s="276">
        <f>IFERROR(1/Calculations_APPURT[[#This Row],[Brackets]],0) * cv_F * BetaSector[[#This Row],[Quantity]] * Hazards_APPURT[[#This Row],[qz]] * CaAa_APPURT[[#This Row],[Beta 315]] * IF(Calculations_APPURT[[#This Row],[Shape]]="CFD",1, Ka)</f>
        <v>0</v>
      </c>
      <c r="HJ14" s="276">
        <f>IFERROR(1/Calculations_APPURT[[#This Row],[Brackets]],0) * cv_F * BetaSector[[#This Row],[Quantity]] * Hazards_APPURT[[#This Row],[qz]] * CaAa_APPURT[[#This Row],[Beta 330]] * IF(Calculations_APPURT[[#This Row],[Shape]]="CFD",1, Ka)</f>
        <v>0</v>
      </c>
      <c r="HK14" s="338">
        <f>IFERROR(1/Calculations_APPURT[[#This Row],[Brackets]],0) * cv_F * GammaSector[[#This Row],[Quantity]] * Hazards_APPURT[[#This Row],[qz]] * CaAa_APPURT[[#This Row],[Gamma 0]] * IF(Calculations_APPURT[[#This Row],[Shape]]="CFD",1, Ka)</f>
        <v>0</v>
      </c>
      <c r="HL14" s="338">
        <f>IFERROR(1/Calculations_APPURT[[#This Row],[Brackets]],0) * cv_F * GammaSector[[#This Row],[Quantity]] * Hazards_APPURT[[#This Row],[qz]] * CaAa_APPURT[[#This Row],[Gamma 30]] * IF(Calculations_APPURT[[#This Row],[Shape]]="CFD",1, Ka)</f>
        <v>0</v>
      </c>
      <c r="HM14" s="338">
        <f>IFERROR(1/Calculations_APPURT[[#This Row],[Brackets]],0) * cv_F * GammaSector[[#This Row],[Quantity]] * Hazards_APPURT[[#This Row],[qz]] * CaAa_APPURT[[#This Row],[Gamma 45]] * IF(Calculations_APPURT[[#This Row],[Shape]]="CFD",1, Ka)</f>
        <v>0</v>
      </c>
      <c r="HN14" s="338">
        <f>IFERROR(1/Calculations_APPURT[[#This Row],[Brackets]],0) * cv_F * GammaSector[[#This Row],[Quantity]] * Hazards_APPURT[[#This Row],[qz]] * CaAa_APPURT[[#This Row],[Gamma 60]] * IF(Calculations_APPURT[[#This Row],[Shape]]="CFD",1, Ka)</f>
        <v>0</v>
      </c>
      <c r="HO14" s="338">
        <f>IFERROR(1/Calculations_APPURT[[#This Row],[Brackets]],0) * cv_F * GammaSector[[#This Row],[Quantity]] * Hazards_APPURT[[#This Row],[qz]] * CaAa_APPURT[[#This Row],[Gamma 90]] * IF(Calculations_APPURT[[#This Row],[Shape]]="CFD",1, Ka)</f>
        <v>0</v>
      </c>
      <c r="HP14" s="338">
        <f>IFERROR(1/Calculations_APPURT[[#This Row],[Brackets]],0) * cv_F * GammaSector[[#This Row],[Quantity]] * Hazards_APPURT[[#This Row],[qz]] * CaAa_APPURT[[#This Row],[Gamma 120]] * IF(Calculations_APPURT[[#This Row],[Shape]]="CFD",1, Ka)</f>
        <v>0</v>
      </c>
      <c r="HQ14" s="338">
        <f>IFERROR(1/Calculations_APPURT[[#This Row],[Brackets]],0) * cv_F * GammaSector[[#This Row],[Quantity]] * Hazards_APPURT[[#This Row],[qz]] * CaAa_APPURT[[#This Row],[Gamma 135]] * IF(Calculations_APPURT[[#This Row],[Shape]]="CFD",1, Ka)</f>
        <v>0</v>
      </c>
      <c r="HR14" s="338">
        <f>IFERROR(1/Calculations_APPURT[[#This Row],[Brackets]],0) * cv_F * GammaSector[[#This Row],[Quantity]] * Hazards_APPURT[[#This Row],[qz]] * CaAa_APPURT[[#This Row],[Gamma 150]] * IF(Calculations_APPURT[[#This Row],[Shape]]="CFD",1, Ka)</f>
        <v>0</v>
      </c>
      <c r="HS14" s="338">
        <f>IFERROR(1/Calculations_APPURT[[#This Row],[Brackets]],0) * cv_F * GammaSector[[#This Row],[Quantity]] * Hazards_APPURT[[#This Row],[qz]] * CaAa_APPURT[[#This Row],[Gamma 180]] * IF(Calculations_APPURT[[#This Row],[Shape]]="CFD",1, Ka)</f>
        <v>0</v>
      </c>
      <c r="HT14" s="338">
        <f>IFERROR(1/Calculations_APPURT[[#This Row],[Brackets]],0) * cv_F * GammaSector[[#This Row],[Quantity]] * Hazards_APPURT[[#This Row],[qz]] * CaAa_APPURT[[#This Row],[Gamma 210]] * IF(Calculations_APPURT[[#This Row],[Shape]]="CFD",1, Ka)</f>
        <v>0</v>
      </c>
      <c r="HU14" s="338">
        <f>IFERROR(1/Calculations_APPURT[[#This Row],[Brackets]],0) * cv_F * GammaSector[[#This Row],[Quantity]] * Hazards_APPURT[[#This Row],[qz]] * CaAa_APPURT[[#This Row],[Gamma 225]] * IF(Calculations_APPURT[[#This Row],[Shape]]="CFD",1, Ka)</f>
        <v>0</v>
      </c>
      <c r="HV14" s="338">
        <f>IFERROR(1/Calculations_APPURT[[#This Row],[Brackets]],0) * cv_F * GammaSector[[#This Row],[Quantity]] * Hazards_APPURT[[#This Row],[qz]] * CaAa_APPURT[[#This Row],[Gamma 240]] * IF(Calculations_APPURT[[#This Row],[Shape]]="CFD",1, Ka)</f>
        <v>0</v>
      </c>
      <c r="HW14" s="338">
        <f>IFERROR(1/Calculations_APPURT[[#This Row],[Brackets]],0) * cv_F * GammaSector[[#This Row],[Quantity]] * Hazards_APPURT[[#This Row],[qz]] * CaAa_APPURT[[#This Row],[Gamma 270]] * IF(Calculations_APPURT[[#This Row],[Shape]]="CFD",1, Ka)</f>
        <v>0</v>
      </c>
      <c r="HX14" s="338">
        <f>IFERROR(1/Calculations_APPURT[[#This Row],[Brackets]],0) * cv_F * GammaSector[[#This Row],[Quantity]] * Hazards_APPURT[[#This Row],[qz]] * CaAa_APPURT[[#This Row],[Gamma 300]] * IF(Calculations_APPURT[[#This Row],[Shape]]="CFD",1, Ka)</f>
        <v>0</v>
      </c>
      <c r="HY14" s="338">
        <f>IFERROR(1/Calculations_APPURT[[#This Row],[Brackets]],0) * cv_F * GammaSector[[#This Row],[Quantity]] * Hazards_APPURT[[#This Row],[qz]] * CaAa_APPURT[[#This Row],[Gamma 315]] * IF(Calculations_APPURT[[#This Row],[Shape]]="CFD",1, Ka)</f>
        <v>0</v>
      </c>
      <c r="HZ14" s="338">
        <f>IFERROR(1/Calculations_APPURT[[#This Row],[Brackets]],0) * cv_F * GammaSector[[#This Row],[Quantity]] * Hazards_APPURT[[#This Row],[qz]] * CaAa_APPURT[[#This Row],[Gamma 330]] * IF(Calculations_APPURT[[#This Row],[Shape]]="CFD",1, Ka)</f>
        <v>0</v>
      </c>
      <c r="IA14" s="276">
        <f>IFERROR(1/Calculations_APPURT[[#This Row],[Brackets]],0) * cv_F * DeltaSector[[#This Row],[Quantity]] * Hazards_APPURT[[#This Row],[qz]] * CaAa_APPURT[[#This Row],[Delta 0]] * IF(Calculations_APPURT[[#This Row],[Shape]]="CFD",1, Ka)</f>
        <v>0</v>
      </c>
      <c r="IB14" s="276">
        <f>IFERROR(1/Calculations_APPURT[[#This Row],[Brackets]],0) * cv_F * DeltaSector[[#This Row],[Quantity]] * Hazards_APPURT[[#This Row],[qz]] * CaAa_APPURT[[#This Row],[Delta 30]] * IF(Calculations_APPURT[[#This Row],[Shape]]="CFD",1, Ka)</f>
        <v>0</v>
      </c>
      <c r="IC14" s="276">
        <f>IFERROR(1/Calculations_APPURT[[#This Row],[Brackets]],0) * cv_F * DeltaSector[[#This Row],[Quantity]] * Hazards_APPURT[[#This Row],[qz]] * CaAa_APPURT[[#This Row],[Delta 45]] * IF(Calculations_APPURT[[#This Row],[Shape]]="CFD",1, Ka)</f>
        <v>0</v>
      </c>
      <c r="ID14" s="276">
        <f>IFERROR(1/Calculations_APPURT[[#This Row],[Brackets]],0) * cv_F * DeltaSector[[#This Row],[Quantity]] * Hazards_APPURT[[#This Row],[qz]] * CaAa_APPURT[[#This Row],[Delta 60]] * IF(Calculations_APPURT[[#This Row],[Shape]]="CFD",1, Ka)</f>
        <v>0</v>
      </c>
      <c r="IE14" s="276">
        <f>IFERROR(1/Calculations_APPURT[[#This Row],[Brackets]],0) * cv_F * DeltaSector[[#This Row],[Quantity]] * Hazards_APPURT[[#This Row],[qz]] * CaAa_APPURT[[#This Row],[Delta 90]] * IF(Calculations_APPURT[[#This Row],[Shape]]="CFD",1, Ka)</f>
        <v>0</v>
      </c>
      <c r="IF14" s="276">
        <f>IFERROR(1/Calculations_APPURT[[#This Row],[Brackets]],0) * cv_F * DeltaSector[[#This Row],[Quantity]] * Hazards_APPURT[[#This Row],[qz]] * CaAa_APPURT[[#This Row],[Delta 120]] * IF(Calculations_APPURT[[#This Row],[Shape]]="CFD",1, Ka)</f>
        <v>0</v>
      </c>
      <c r="IG14" s="276">
        <f>IFERROR(1/Calculations_APPURT[[#This Row],[Brackets]],0) * cv_F * DeltaSector[[#This Row],[Quantity]] * Hazards_APPURT[[#This Row],[qz]] * CaAa_APPURT[[#This Row],[Delta 135]] * IF(Calculations_APPURT[[#This Row],[Shape]]="CFD",1, Ka)</f>
        <v>0</v>
      </c>
      <c r="IH14" s="276">
        <f>IFERROR(1/Calculations_APPURT[[#This Row],[Brackets]],0) * cv_F * DeltaSector[[#This Row],[Quantity]] * Hazards_APPURT[[#This Row],[qz]] * CaAa_APPURT[[#This Row],[Delta 150]] * IF(Calculations_APPURT[[#This Row],[Shape]]="CFD",1, Ka)</f>
        <v>0</v>
      </c>
      <c r="II14" s="276">
        <f>IFERROR(1/Calculations_APPURT[[#This Row],[Brackets]],0) * cv_F * DeltaSector[[#This Row],[Quantity]] * Hazards_APPURT[[#This Row],[qz]] * CaAa_APPURT[[#This Row],[Delta 180]] * IF(Calculations_APPURT[[#This Row],[Shape]]="CFD",1, Ka)</f>
        <v>0</v>
      </c>
      <c r="IJ14" s="276">
        <f>IFERROR(1/Calculations_APPURT[[#This Row],[Brackets]],0) * cv_F * DeltaSector[[#This Row],[Quantity]] * Hazards_APPURT[[#This Row],[qz]] * CaAa_APPURT[[#This Row],[Delta 210]] * IF(Calculations_APPURT[[#This Row],[Shape]]="CFD",1, Ka)</f>
        <v>0</v>
      </c>
      <c r="IK14" s="276">
        <f>IFERROR(1/Calculations_APPURT[[#This Row],[Brackets]],0) * cv_F * DeltaSector[[#This Row],[Quantity]] * Hazards_APPURT[[#This Row],[qz]] * CaAa_APPURT[[#This Row],[Delta 225]] * IF(Calculations_APPURT[[#This Row],[Shape]]="CFD",1, Ka)</f>
        <v>0</v>
      </c>
      <c r="IL14" s="276">
        <f>IFERROR(1/Calculations_APPURT[[#This Row],[Brackets]],0) * cv_F * DeltaSector[[#This Row],[Quantity]] * Hazards_APPURT[[#This Row],[qz]] * CaAa_APPURT[[#This Row],[Delta 240]] * IF(Calculations_APPURT[[#This Row],[Shape]]="CFD",1, Ka)</f>
        <v>0</v>
      </c>
      <c r="IM14" s="276">
        <f>IFERROR(1/Calculations_APPURT[[#This Row],[Brackets]],0) * cv_F * DeltaSector[[#This Row],[Quantity]] * Hazards_APPURT[[#This Row],[qz]] * CaAa_APPURT[[#This Row],[Delta 270]] * IF(Calculations_APPURT[[#This Row],[Shape]]="CFD",1, Ka)</f>
        <v>0</v>
      </c>
      <c r="IN14" s="276">
        <f>IFERROR(1/Calculations_APPURT[[#This Row],[Brackets]],0) * cv_F * DeltaSector[[#This Row],[Quantity]] * Hazards_APPURT[[#This Row],[qz]] * CaAa_APPURT[[#This Row],[Delta 300]] * IF(Calculations_APPURT[[#This Row],[Shape]]="CFD",1, Ka)</f>
        <v>0</v>
      </c>
      <c r="IO14" s="276">
        <f>IFERROR(1/Calculations_APPURT[[#This Row],[Brackets]],0) * cv_F * DeltaSector[[#This Row],[Quantity]] * Hazards_APPURT[[#This Row],[qz]] * CaAa_APPURT[[#This Row],[Delta 315]] * IF(Calculations_APPURT[[#This Row],[Shape]]="CFD",1, Ka)</f>
        <v>0</v>
      </c>
      <c r="IP14" s="276">
        <f>IFERROR(1/Calculations_APPURT[[#This Row],[Brackets]],0) * cv_F * DeltaSector[[#This Row],[Quantity]] * Hazards_APPURT[[#This Row],[qz]] * CaAa_APPURT[[#This Row],[Delta 330]] * IF(Calculations_APPURT[[#This Row],[Shape]]="CFD",1, Ka)</f>
        <v>0</v>
      </c>
      <c r="IQ14" s="338">
        <f>IFERROR(1/Calculations_APPURT[[#This Row],[Brackets]],0) * cv_F * AlphaSector[[#This Row],[Quantity]] * Hazards_APPURT[[#This Row],[qiz]] * CaAa_APPURT[[#This Row],[Alpha Ice 0]]</f>
        <v>0</v>
      </c>
      <c r="IR14" s="338">
        <f>IFERROR(1/Calculations_APPURT[[#This Row],[Brackets]],0) * cv_F * AlphaSector[[#This Row],[Quantity]] * Hazards_APPURT[[#This Row],[qiz]] * CaAa_APPURT[[#This Row],[Alpha Ice 30]]</f>
        <v>0</v>
      </c>
      <c r="IS14" s="338">
        <f>IFERROR(1/Calculations_APPURT[[#This Row],[Brackets]],0) * cv_F * AlphaSector[[#This Row],[Quantity]] * Hazards_APPURT[[#This Row],[qiz]] * CaAa_APPURT[[#This Row],[Alpha Ice 45]]</f>
        <v>0</v>
      </c>
      <c r="IT14" s="338">
        <f>IFERROR(1/Calculations_APPURT[[#This Row],[Brackets]],0) * cv_F * AlphaSector[[#This Row],[Quantity]] * Hazards_APPURT[[#This Row],[qiz]] * CaAa_APPURT[[#This Row],[Alpha Ice 60]]</f>
        <v>0</v>
      </c>
      <c r="IU14" s="338">
        <f>IFERROR(1/Calculations_APPURT[[#This Row],[Brackets]],0) * cv_F * AlphaSector[[#This Row],[Quantity]] * Hazards_APPURT[[#This Row],[qiz]] * CaAa_APPURT[[#This Row],[Alpha Ice 90]]</f>
        <v>0</v>
      </c>
      <c r="IV14" s="338">
        <f>IFERROR(1/Calculations_APPURT[[#This Row],[Brackets]],0) * cv_F * AlphaSector[[#This Row],[Quantity]] * Hazards_APPURT[[#This Row],[qiz]] * CaAa_APPURT[[#This Row],[Alpha Ice 120]]</f>
        <v>0</v>
      </c>
      <c r="IW14" s="338">
        <f>IFERROR(1/Calculations_APPURT[[#This Row],[Brackets]],0) * cv_F * AlphaSector[[#This Row],[Quantity]] * Hazards_APPURT[[#This Row],[qiz]] * CaAa_APPURT[[#This Row],[Alpha Ice 135]]</f>
        <v>0</v>
      </c>
      <c r="IX14" s="338">
        <f>IFERROR(1/Calculations_APPURT[[#This Row],[Brackets]],0) * cv_F * AlphaSector[[#This Row],[Quantity]] * Hazards_APPURT[[#This Row],[qiz]] * CaAa_APPURT[[#This Row],[Alpha Ice 150]]</f>
        <v>0</v>
      </c>
      <c r="IY14" s="338">
        <f>IFERROR(1/Calculations_APPURT[[#This Row],[Brackets]],0) * cv_F * AlphaSector[[#This Row],[Quantity]] * Hazards_APPURT[[#This Row],[qiz]] * CaAa_APPURT[[#This Row],[Alpha Ice 180]]</f>
        <v>0</v>
      </c>
      <c r="IZ14" s="338">
        <f>IFERROR(1/Calculations_APPURT[[#This Row],[Brackets]],0) * cv_F * AlphaSector[[#This Row],[Quantity]] * Hazards_APPURT[[#This Row],[qiz]] * CaAa_APPURT[[#This Row],[Alpha Ice 210]]</f>
        <v>0</v>
      </c>
      <c r="JA14" s="338">
        <f>IFERROR(1/Calculations_APPURT[[#This Row],[Brackets]],0) * cv_F * AlphaSector[[#This Row],[Quantity]] * Hazards_APPURT[[#This Row],[qiz]] * CaAa_APPURT[[#This Row],[Alpha Ice 225]]</f>
        <v>0</v>
      </c>
      <c r="JB14" s="338">
        <f>IFERROR(1/Calculations_APPURT[[#This Row],[Brackets]],0) * cv_F * AlphaSector[[#This Row],[Quantity]] * Hazards_APPURT[[#This Row],[qiz]] * CaAa_APPURT[[#This Row],[Alpha Ice 240]]</f>
        <v>0</v>
      </c>
      <c r="JC14" s="338">
        <f>IFERROR(1/Calculations_APPURT[[#This Row],[Brackets]],0) * cv_F * AlphaSector[[#This Row],[Quantity]] * Hazards_APPURT[[#This Row],[qiz]] * CaAa_APPURT[[#This Row],[Alpha Ice 270]]</f>
        <v>0</v>
      </c>
      <c r="JD14" s="338">
        <f>IFERROR(1/Calculations_APPURT[[#This Row],[Brackets]],0) * cv_F * AlphaSector[[#This Row],[Quantity]] * Hazards_APPURT[[#This Row],[qiz]] * CaAa_APPURT[[#This Row],[Alpha Ice 300]]</f>
        <v>0</v>
      </c>
      <c r="JE14" s="338">
        <f>IFERROR(1/Calculations_APPURT[[#This Row],[Brackets]],0) * cv_F * AlphaSector[[#This Row],[Quantity]] * Hazards_APPURT[[#This Row],[qiz]] * CaAa_APPURT[[#This Row],[Alpha Ice 315]]</f>
        <v>0</v>
      </c>
      <c r="JF14" s="338">
        <f>IFERROR(1/Calculations_APPURT[[#This Row],[Brackets]],0) * cv_F * AlphaSector[[#This Row],[Quantity]] * Hazards_APPURT[[#This Row],[qiz]] * CaAa_APPURT[[#This Row],[Alpha Ice 330]]</f>
        <v>0</v>
      </c>
      <c r="JG14" s="276">
        <f>IFERROR(1/Calculations_APPURT[[#This Row],[Brackets]],0) * cv_F * BetaSector[[#This Row],[Quantity]] * Hazards_APPURT[[#This Row],[qiz]] * CaAa_APPURT[[#This Row],[Beta Ice 0]]</f>
        <v>0</v>
      </c>
      <c r="JH14" s="276">
        <f>IFERROR(1/Calculations_APPURT[[#This Row],[Brackets]],0) * cv_F * BetaSector[[#This Row],[Quantity]] * Hazards_APPURT[[#This Row],[qiz]] * CaAa_APPURT[[#This Row],[Beta Ice 30]]</f>
        <v>0</v>
      </c>
      <c r="JI14" s="276">
        <f>IFERROR(1/Calculations_APPURT[[#This Row],[Brackets]],0) * cv_F * BetaSector[[#This Row],[Quantity]] * Hazards_APPURT[[#This Row],[qiz]] * CaAa_APPURT[[#This Row],[Beta Ice 45]]</f>
        <v>0</v>
      </c>
      <c r="JJ14" s="276">
        <f>IFERROR(1/Calculations_APPURT[[#This Row],[Brackets]],0) * cv_F * BetaSector[[#This Row],[Quantity]] * Hazards_APPURT[[#This Row],[qiz]] * CaAa_APPURT[[#This Row],[Beta Ice 60]]</f>
        <v>0</v>
      </c>
      <c r="JK14" s="276">
        <f>IFERROR(1/Calculations_APPURT[[#This Row],[Brackets]],0) * cv_F * BetaSector[[#This Row],[Quantity]] * Hazards_APPURT[[#This Row],[qiz]] * CaAa_APPURT[[#This Row],[Beta Ice 90]]</f>
        <v>0</v>
      </c>
      <c r="JL14" s="276">
        <f>IFERROR(1/Calculations_APPURT[[#This Row],[Brackets]],0) * cv_F * BetaSector[[#This Row],[Quantity]] * Hazards_APPURT[[#This Row],[qiz]] * CaAa_APPURT[[#This Row],[Beta Ice 120]]</f>
        <v>0</v>
      </c>
      <c r="JM14" s="276">
        <f>IFERROR(1/Calculations_APPURT[[#This Row],[Brackets]],0) * cv_F * BetaSector[[#This Row],[Quantity]] * Hazards_APPURT[[#This Row],[qiz]] * CaAa_APPURT[[#This Row],[Beta Ice 135]]</f>
        <v>0</v>
      </c>
      <c r="JN14" s="276">
        <f>IFERROR(1/Calculations_APPURT[[#This Row],[Brackets]],0) * cv_F * BetaSector[[#This Row],[Quantity]] * Hazards_APPURT[[#This Row],[qiz]] * CaAa_APPURT[[#This Row],[Beta Ice 150]]</f>
        <v>0</v>
      </c>
      <c r="JO14" s="276">
        <f>IFERROR(1/Calculations_APPURT[[#This Row],[Brackets]],0) * cv_F * BetaSector[[#This Row],[Quantity]] * Hazards_APPURT[[#This Row],[qiz]] * CaAa_APPURT[[#This Row],[Beta Ice 180]]</f>
        <v>0</v>
      </c>
      <c r="JP14" s="276">
        <f>IFERROR(1/Calculations_APPURT[[#This Row],[Brackets]],0) * cv_F * BetaSector[[#This Row],[Quantity]] * Hazards_APPURT[[#This Row],[qiz]] * CaAa_APPURT[[#This Row],[Beta Ice 210]]</f>
        <v>0</v>
      </c>
      <c r="JQ14" s="276">
        <f>IFERROR(1/Calculations_APPURT[[#This Row],[Brackets]],0) * cv_F * BetaSector[[#This Row],[Quantity]] * Hazards_APPURT[[#This Row],[qiz]] * CaAa_APPURT[[#This Row],[Beta Ice 225]]</f>
        <v>0</v>
      </c>
      <c r="JR14" s="276">
        <f>IFERROR(1/Calculations_APPURT[[#This Row],[Brackets]],0) * cv_F * BetaSector[[#This Row],[Quantity]] * Hazards_APPURT[[#This Row],[qiz]] * CaAa_APPURT[[#This Row],[Beta Ice 240]]</f>
        <v>0</v>
      </c>
      <c r="JS14" s="276">
        <f>IFERROR(1/Calculations_APPURT[[#This Row],[Brackets]],0) * cv_F * BetaSector[[#This Row],[Quantity]] * Hazards_APPURT[[#This Row],[qiz]] * CaAa_APPURT[[#This Row],[Beta Ice 270]]</f>
        <v>0</v>
      </c>
      <c r="JT14" s="276">
        <f>IFERROR(1/Calculations_APPURT[[#This Row],[Brackets]],0) * cv_F * BetaSector[[#This Row],[Quantity]] * Hazards_APPURT[[#This Row],[qiz]] * CaAa_APPURT[[#This Row],[Beta Ice 300]]</f>
        <v>0</v>
      </c>
      <c r="JU14" s="276">
        <f>IFERROR(1/Calculations_APPURT[[#This Row],[Brackets]],0) * cv_F * BetaSector[[#This Row],[Quantity]] * Hazards_APPURT[[#This Row],[qiz]] * CaAa_APPURT[[#This Row],[Beta Ice 315]]</f>
        <v>0</v>
      </c>
      <c r="JV14" s="276">
        <f>IFERROR(1/Calculations_APPURT[[#This Row],[Brackets]],0) * cv_F * BetaSector[[#This Row],[Quantity]] * Hazards_APPURT[[#This Row],[qiz]] * CaAa_APPURT[[#This Row],[Beta Ice 330]]</f>
        <v>0</v>
      </c>
      <c r="JW14" s="338">
        <f>IFERROR(1/Calculations_APPURT[[#This Row],[Brackets]],0) * cv_F * GammaSector[[#This Row],[Quantity]] * Hazards_APPURT[[#This Row],[qiz]] * CaAa_APPURT[[#This Row],[Gamma Ice 0]]</f>
        <v>0</v>
      </c>
      <c r="JX14" s="338">
        <f>IFERROR(1/Calculations_APPURT[[#This Row],[Brackets]],0) * cv_F * GammaSector[[#This Row],[Quantity]] * Hazards_APPURT[[#This Row],[qiz]] * CaAa_APPURT[[#This Row],[Gamma Ice 30]]</f>
        <v>0</v>
      </c>
      <c r="JY14" s="338">
        <f>IFERROR(1/Calculations_APPURT[[#This Row],[Brackets]],0) * cv_F * GammaSector[[#This Row],[Quantity]] * Hazards_APPURT[[#This Row],[qiz]] * CaAa_APPURT[[#This Row],[Gamma Ice 45]]</f>
        <v>0</v>
      </c>
      <c r="JZ14" s="338">
        <f>IFERROR(1/Calculations_APPURT[[#This Row],[Brackets]],0) * cv_F * GammaSector[[#This Row],[Quantity]] * Hazards_APPURT[[#This Row],[qiz]] * CaAa_APPURT[[#This Row],[Gamma Ice 60]]</f>
        <v>0</v>
      </c>
      <c r="KA14" s="338">
        <f>IFERROR(1/Calculations_APPURT[[#This Row],[Brackets]],0) * cv_F * GammaSector[[#This Row],[Quantity]] * Hazards_APPURT[[#This Row],[qiz]] * CaAa_APPURT[[#This Row],[Gamma Ice 90]]</f>
        <v>0</v>
      </c>
      <c r="KB14" s="338">
        <f>IFERROR(1/Calculations_APPURT[[#This Row],[Brackets]],0) * cv_F * GammaSector[[#This Row],[Quantity]] * Hazards_APPURT[[#This Row],[qiz]] * CaAa_APPURT[[#This Row],[Gamma Ice 120]]</f>
        <v>0</v>
      </c>
      <c r="KC14" s="338">
        <f>IFERROR(1/Calculations_APPURT[[#This Row],[Brackets]],0) * cv_F * GammaSector[[#This Row],[Quantity]] * Hazards_APPURT[[#This Row],[qiz]] * CaAa_APPURT[[#This Row],[Gamma Ice 135]]</f>
        <v>0</v>
      </c>
      <c r="KD14" s="338">
        <f>IFERROR(1/Calculations_APPURT[[#This Row],[Brackets]],0) * cv_F * GammaSector[[#This Row],[Quantity]] * Hazards_APPURT[[#This Row],[qiz]] * CaAa_APPURT[[#This Row],[Gamma Ice 150]]</f>
        <v>0</v>
      </c>
      <c r="KE14" s="338">
        <f>IFERROR(1/Calculations_APPURT[[#This Row],[Brackets]],0) * cv_F * GammaSector[[#This Row],[Quantity]] * Hazards_APPURT[[#This Row],[qiz]] * CaAa_APPURT[[#This Row],[Gamma Ice 180]]</f>
        <v>0</v>
      </c>
      <c r="KF14" s="338">
        <f>IFERROR(1/Calculations_APPURT[[#This Row],[Brackets]],0) * cv_F * GammaSector[[#This Row],[Quantity]] * Hazards_APPURT[[#This Row],[qiz]] * CaAa_APPURT[[#This Row],[Gamma Ice 210]]</f>
        <v>0</v>
      </c>
      <c r="KG14" s="338">
        <f>IFERROR(1/Calculations_APPURT[[#This Row],[Brackets]],0) * cv_F * GammaSector[[#This Row],[Quantity]] * Hazards_APPURT[[#This Row],[qiz]] * CaAa_APPURT[[#This Row],[Gamma Ice 225]]</f>
        <v>0</v>
      </c>
      <c r="KH14" s="338">
        <f>IFERROR(1/Calculations_APPURT[[#This Row],[Brackets]],0) * cv_F * GammaSector[[#This Row],[Quantity]] * Hazards_APPURT[[#This Row],[qiz]] * CaAa_APPURT[[#This Row],[Gamma Ice 240]]</f>
        <v>0</v>
      </c>
      <c r="KI14" s="338">
        <f>IFERROR(1/Calculations_APPURT[[#This Row],[Brackets]],0) * cv_F * GammaSector[[#This Row],[Quantity]] * Hazards_APPURT[[#This Row],[qiz]] * CaAa_APPURT[[#This Row],[Gamma Ice 270]]</f>
        <v>0</v>
      </c>
      <c r="KJ14" s="338">
        <f>IFERROR(1/Calculations_APPURT[[#This Row],[Brackets]],0) * cv_F * GammaSector[[#This Row],[Quantity]] * Hazards_APPURT[[#This Row],[qiz]] * CaAa_APPURT[[#This Row],[Gamma Ice 300]]</f>
        <v>0</v>
      </c>
      <c r="KK14" s="338">
        <f>IFERROR(1/Calculations_APPURT[[#This Row],[Brackets]],0) * cv_F * GammaSector[[#This Row],[Quantity]] * Hazards_APPURT[[#This Row],[qiz]] * CaAa_APPURT[[#This Row],[Gamma Ice 315]]</f>
        <v>0</v>
      </c>
      <c r="KL14" s="338">
        <f>IFERROR(1/Calculations_APPURT[[#This Row],[Brackets]],0) * cv_F * GammaSector[[#This Row],[Quantity]] * Hazards_APPURT[[#This Row],[qiz]] * CaAa_APPURT[[#This Row],[Gamma Ice 330]]</f>
        <v>0</v>
      </c>
      <c r="KM14" s="276">
        <f>IFERROR(1/Calculations_APPURT[[#This Row],[Brackets]],0) * cv_F * DeltaSector[[#This Row],[Quantity]] * Hazards_APPURT[[#This Row],[qiz]] * CaAa_APPURT[[#This Row],[Delta Ice 0]]</f>
        <v>0</v>
      </c>
      <c r="KN14" s="276">
        <f>IFERROR(1/Calculations_APPURT[[#This Row],[Brackets]],0) * cv_F * DeltaSector[[#This Row],[Quantity]] * Hazards_APPURT[[#This Row],[qiz]] * CaAa_APPURT[[#This Row],[Delta Ice 30]]</f>
        <v>0</v>
      </c>
      <c r="KO14" s="276">
        <f>IFERROR(1/Calculations_APPURT[[#This Row],[Brackets]],0) * cv_F * DeltaSector[[#This Row],[Quantity]] * Hazards_APPURT[[#This Row],[qiz]] * CaAa_APPURT[[#This Row],[Delta Ice 45]]</f>
        <v>0</v>
      </c>
      <c r="KP14" s="276">
        <f>IFERROR(1/Calculations_APPURT[[#This Row],[Brackets]],0) * cv_F * DeltaSector[[#This Row],[Quantity]] * Hazards_APPURT[[#This Row],[qiz]] * CaAa_APPURT[[#This Row],[Delta Ice 60]]</f>
        <v>0</v>
      </c>
      <c r="KQ14" s="276">
        <f>IFERROR(1/Calculations_APPURT[[#This Row],[Brackets]],0) * cv_F * DeltaSector[[#This Row],[Quantity]] * Hazards_APPURT[[#This Row],[qiz]] * CaAa_APPURT[[#This Row],[Delta Ice 90]]</f>
        <v>0</v>
      </c>
      <c r="KR14" s="276">
        <f>IFERROR(1/Calculations_APPURT[[#This Row],[Brackets]],0) * cv_F * DeltaSector[[#This Row],[Quantity]] * Hazards_APPURT[[#This Row],[qiz]] * CaAa_APPURT[[#This Row],[Delta Ice 120]]</f>
        <v>0</v>
      </c>
      <c r="KS14" s="276">
        <f>IFERROR(1/Calculations_APPURT[[#This Row],[Brackets]],0) * cv_F * DeltaSector[[#This Row],[Quantity]] * Hazards_APPURT[[#This Row],[qiz]] * CaAa_APPURT[[#This Row],[Delta Ice 135]]</f>
        <v>0</v>
      </c>
      <c r="KT14" s="276">
        <f>IFERROR(1/Calculations_APPURT[[#This Row],[Brackets]],0) * cv_F * DeltaSector[[#This Row],[Quantity]] * Hazards_APPURT[[#This Row],[qiz]] * CaAa_APPURT[[#This Row],[Delta Ice 150]]</f>
        <v>0</v>
      </c>
      <c r="KU14" s="276">
        <f>IFERROR(1/Calculations_APPURT[[#This Row],[Brackets]],0) * cv_F * DeltaSector[[#This Row],[Quantity]] * Hazards_APPURT[[#This Row],[qiz]] * CaAa_APPURT[[#This Row],[Delta Ice 180]]</f>
        <v>0</v>
      </c>
      <c r="KV14" s="276">
        <f>IFERROR(1/Calculations_APPURT[[#This Row],[Brackets]],0) * cv_F * DeltaSector[[#This Row],[Quantity]] * Hazards_APPURT[[#This Row],[qiz]] * CaAa_APPURT[[#This Row],[Delta Ice 210]]</f>
        <v>0</v>
      </c>
      <c r="KW14" s="276">
        <f>IFERROR(1/Calculations_APPURT[[#This Row],[Brackets]],0) * cv_F * DeltaSector[[#This Row],[Quantity]] * Hazards_APPURT[[#This Row],[qiz]] * CaAa_APPURT[[#This Row],[Delta Ice 225]]</f>
        <v>0</v>
      </c>
      <c r="KX14" s="276">
        <f>IFERROR(1/Calculations_APPURT[[#This Row],[Brackets]],0) * cv_F * DeltaSector[[#This Row],[Quantity]] * Hazards_APPURT[[#This Row],[qiz]] * CaAa_APPURT[[#This Row],[Delta Ice 240]]</f>
        <v>0</v>
      </c>
      <c r="KY14" s="276">
        <f>IFERROR(1/Calculations_APPURT[[#This Row],[Brackets]],0) * cv_F * DeltaSector[[#This Row],[Quantity]] * Hazards_APPURT[[#This Row],[qiz]] * CaAa_APPURT[[#This Row],[Delta Ice 270]]</f>
        <v>0</v>
      </c>
      <c r="KZ14" s="276">
        <f>IFERROR(1/Calculations_APPURT[[#This Row],[Brackets]],0) * cv_F * DeltaSector[[#This Row],[Quantity]] * Hazards_APPURT[[#This Row],[qiz]] * CaAa_APPURT[[#This Row],[Delta Ice 300]]</f>
        <v>0</v>
      </c>
      <c r="LA14" s="276">
        <f>IFERROR(1/Calculations_APPURT[[#This Row],[Brackets]],0) * cv_F * DeltaSector[[#This Row],[Quantity]] * Hazards_APPURT[[#This Row],[qiz]] * CaAa_APPURT[[#This Row],[Delta Ice 315]]</f>
        <v>0</v>
      </c>
      <c r="LB14" s="276">
        <f>IFERROR(1/Calculations_APPURT[[#This Row],[Brackets]],0) * cv_F * DeltaSector[[#This Row],[Quantity]] * Hazards_APPURT[[#This Row],[qiz]] * CaAa_APPURT[[#This Row],[Delta Ice 330]]</f>
        <v>0</v>
      </c>
      <c r="LC14" s="338">
        <f>IFERROR(1/Calculations_APPURT[[#This Row],[Brackets]],0) * cv_M/cv_F * Forces_APPURT[[#This Row],[Alpha Fa 0]] * Calculations_APPURT[[#This Row],[Horizontal Offset]]/12</f>
        <v>0</v>
      </c>
      <c r="LD14" s="338">
        <f>IFERROR(1/Calculations_APPURT[[#This Row],[Brackets]],0) * cv_M/cv_F * Forces_APPURT[[#This Row],[Alpha Fa 30]] * Calculations_APPURT[[#This Row],[Horizontal Offset]]/12</f>
        <v>0</v>
      </c>
      <c r="LE14" s="338">
        <f>IFERROR(1/Calculations_APPURT[[#This Row],[Brackets]],0) * cv_M/cv_F * Forces_APPURT[[#This Row],[Alpha Fa 45]] * Calculations_APPURT[[#This Row],[Horizontal Offset]]/12</f>
        <v>0</v>
      </c>
      <c r="LF14" s="338">
        <f>IFERROR(1/Calculations_APPURT[[#This Row],[Brackets]],0) * cv_M/cv_F * Forces_APPURT[[#This Row],[Alpha Fa 60]] * Calculations_APPURT[[#This Row],[Horizontal Offset]]/12</f>
        <v>0</v>
      </c>
      <c r="LG14" s="338">
        <f>IFERROR(1/Calculations_APPURT[[#This Row],[Brackets]],0) * cv_M/cv_F * Forces_APPURT[[#This Row],[Alpha Fa 90]] * Calculations_APPURT[[#This Row],[Horizontal Offset]]/12</f>
        <v>0</v>
      </c>
      <c r="LH14" s="338">
        <f>IFERROR(1/Calculations_APPURT[[#This Row],[Brackets]],0) * cv_M/cv_F * Forces_APPURT[[#This Row],[Alpha Fa 120]] * Calculations_APPURT[[#This Row],[Horizontal Offset]]/12</f>
        <v>0</v>
      </c>
      <c r="LI14" s="338">
        <f>IFERROR(1/Calculations_APPURT[[#This Row],[Brackets]],0) * cv_M/cv_F * Forces_APPURT[[#This Row],[Alpha Fa 135]] * Calculations_APPURT[[#This Row],[Horizontal Offset]]/12</f>
        <v>0</v>
      </c>
      <c r="LJ14" s="338">
        <f>IFERROR(1/Calculations_APPURT[[#This Row],[Brackets]],0) * cv_M/cv_F * Forces_APPURT[[#This Row],[Alpha Fa 150]] * Calculations_APPURT[[#This Row],[Horizontal Offset]]/12</f>
        <v>0</v>
      </c>
      <c r="LK14" s="338">
        <f>IFERROR(1/Calculations_APPURT[[#This Row],[Brackets]],0) * cv_M/cv_F * Forces_APPURT[[#This Row],[Alpha Fa 180]] * Calculations_APPURT[[#This Row],[Horizontal Offset]]/12</f>
        <v>0</v>
      </c>
      <c r="LL14" s="338">
        <f>IFERROR(1/Calculations_APPURT[[#This Row],[Brackets]],0) * cv_M/cv_F * Forces_APPURT[[#This Row],[Alpha Fa 210]] * Calculations_APPURT[[#This Row],[Horizontal Offset]]/12</f>
        <v>0</v>
      </c>
      <c r="LM14" s="338">
        <f>IFERROR(1/Calculations_APPURT[[#This Row],[Brackets]],0) * cv_M/cv_F * Forces_APPURT[[#This Row],[Alpha Fa 225]] * Calculations_APPURT[[#This Row],[Horizontal Offset]]/12</f>
        <v>0</v>
      </c>
      <c r="LN14" s="338">
        <f>IFERROR(1/Calculations_APPURT[[#This Row],[Brackets]],0) * cv_M/cv_F * Forces_APPURT[[#This Row],[Alpha Fa 240]] * Calculations_APPURT[[#This Row],[Horizontal Offset]]/12</f>
        <v>0</v>
      </c>
      <c r="LO14" s="338">
        <f>IFERROR(1/Calculations_APPURT[[#This Row],[Brackets]],0) * cv_M/cv_F * Forces_APPURT[[#This Row],[Alpha Fa 270]] * Calculations_APPURT[[#This Row],[Horizontal Offset]]/12</f>
        <v>0</v>
      </c>
      <c r="LP14" s="338">
        <f>IFERROR(1/Calculations_APPURT[[#This Row],[Brackets]],0) * cv_M/cv_F * Forces_APPURT[[#This Row],[Alpha Fa 300]] * Calculations_APPURT[[#This Row],[Horizontal Offset]]/12</f>
        <v>0</v>
      </c>
      <c r="LQ14" s="338">
        <f>IFERROR(1/Calculations_APPURT[[#This Row],[Brackets]],0) * cv_M/cv_F * Forces_APPURT[[#This Row],[Alpha Fa 315]] * Calculations_APPURT[[#This Row],[Horizontal Offset]]/12</f>
        <v>0</v>
      </c>
      <c r="LR14" s="338">
        <f>IFERROR(1/Calculations_APPURT[[#This Row],[Brackets]],0) * cv_M/cv_F * Forces_APPURT[[#This Row],[Alpha Fa 330]] * Calculations_APPURT[[#This Row],[Horizontal Offset]]/12</f>
        <v>0</v>
      </c>
      <c r="LS14" s="276">
        <f>IFERROR(1/Calculations_APPURT[[#This Row],[Brackets]],0) * cv_M/cv_F * Forces_APPURT[[#This Row],[Beta Fa 0]] * Calculations_APPURT[[#This Row],[Horizontal Offset]]/12</f>
        <v>0</v>
      </c>
      <c r="LT14" s="276">
        <f>IFERROR(1/Calculations_APPURT[[#This Row],[Brackets]],0) * cv_M/cv_F * Forces_APPURT[[#This Row],[Beta Fa 30]] * Calculations_APPURT[[#This Row],[Horizontal Offset]]/12</f>
        <v>0</v>
      </c>
      <c r="LU14" s="276">
        <f>IFERROR(1/Calculations_APPURT[[#This Row],[Brackets]],0) * cv_M/cv_F * Forces_APPURT[[#This Row],[Beta Fa 45]] * Calculations_APPURT[[#This Row],[Horizontal Offset]]/12</f>
        <v>0</v>
      </c>
      <c r="LV14" s="276">
        <f>IFERROR(1/Calculations_APPURT[[#This Row],[Brackets]],0) * cv_M/cv_F * Forces_APPURT[[#This Row],[Beta Fa 60]] * Calculations_APPURT[[#This Row],[Horizontal Offset]]/12</f>
        <v>0</v>
      </c>
      <c r="LW14" s="276">
        <f>IFERROR(1/Calculations_APPURT[[#This Row],[Brackets]],0) * cv_M/cv_F * Forces_APPURT[[#This Row],[Beta Fa 90]] * Calculations_APPURT[[#This Row],[Horizontal Offset]]/12</f>
        <v>0</v>
      </c>
      <c r="LX14" s="276">
        <f>IFERROR(1/Calculations_APPURT[[#This Row],[Brackets]],0) * cv_M/cv_F * Forces_APPURT[[#This Row],[Beta Fa 120]] * Calculations_APPURT[[#This Row],[Horizontal Offset]]/12</f>
        <v>0</v>
      </c>
      <c r="LY14" s="276">
        <f>IFERROR(1/Calculations_APPURT[[#This Row],[Brackets]],0) * cv_M/cv_F * Forces_APPURT[[#This Row],[Beta Fa 135]] * Calculations_APPURT[[#This Row],[Horizontal Offset]]/12</f>
        <v>0</v>
      </c>
      <c r="LZ14" s="276">
        <f>IFERROR(1/Calculations_APPURT[[#This Row],[Brackets]],0) * cv_M/cv_F * Forces_APPURT[[#This Row],[Beta Fa 150]] * Calculations_APPURT[[#This Row],[Horizontal Offset]]/12</f>
        <v>0</v>
      </c>
      <c r="MA14" s="276">
        <f>IFERROR(1/Calculations_APPURT[[#This Row],[Brackets]],0) * cv_M/cv_F * Forces_APPURT[[#This Row],[Beta Fa 180]] * Calculations_APPURT[[#This Row],[Horizontal Offset]]/12</f>
        <v>0</v>
      </c>
      <c r="MB14" s="276">
        <f>IFERROR(1/Calculations_APPURT[[#This Row],[Brackets]],0) * cv_M/cv_F * Forces_APPURT[[#This Row],[Beta Fa 210]] * Calculations_APPURT[[#This Row],[Horizontal Offset]]/12</f>
        <v>0</v>
      </c>
      <c r="MC14" s="276">
        <f>IFERROR(1/Calculations_APPURT[[#This Row],[Brackets]],0) * cv_M/cv_F * Forces_APPURT[[#This Row],[Beta Fa 225]] * Calculations_APPURT[[#This Row],[Horizontal Offset]]/12</f>
        <v>0</v>
      </c>
      <c r="MD14" s="276">
        <f>IFERROR(1/Calculations_APPURT[[#This Row],[Brackets]],0) * cv_M/cv_F * Forces_APPURT[[#This Row],[Beta Fa 240]] * Calculations_APPURT[[#This Row],[Horizontal Offset]]/12</f>
        <v>0</v>
      </c>
      <c r="ME14" s="276">
        <f>IFERROR(1/Calculations_APPURT[[#This Row],[Brackets]],0) * cv_M/cv_F * Forces_APPURT[[#This Row],[Beta Fa 270]] * Calculations_APPURT[[#This Row],[Horizontal Offset]]/12</f>
        <v>0</v>
      </c>
      <c r="MF14" s="276">
        <f>IFERROR(1/Calculations_APPURT[[#This Row],[Brackets]],0) * cv_M/cv_F * Forces_APPURT[[#This Row],[Beta Fa 300]] * Calculations_APPURT[[#This Row],[Horizontal Offset]]/12</f>
        <v>0</v>
      </c>
      <c r="MG14" s="276">
        <f>IFERROR(1/Calculations_APPURT[[#This Row],[Brackets]],0) * cv_M/cv_F * Forces_APPURT[[#This Row],[Beta Fa 315]] * Calculations_APPURT[[#This Row],[Horizontal Offset]]/12</f>
        <v>0</v>
      </c>
      <c r="MH14" s="276">
        <f>IFERROR(1/Calculations_APPURT[[#This Row],[Brackets]],0) * cv_M/cv_F * Forces_APPURT[[#This Row],[Beta Fa 330]] * Calculations_APPURT[[#This Row],[Horizontal Offset]]/12</f>
        <v>0</v>
      </c>
      <c r="MI14" s="338">
        <f>IFERROR(1/Calculations_APPURT[[#This Row],[Brackets]],0) * cv_M/cv_F * Forces_APPURT[[#This Row],[Gamma Fa 0]] * Calculations_APPURT[[#This Row],[Horizontal Offset]]/12</f>
        <v>0</v>
      </c>
      <c r="MJ14" s="338">
        <f>IFERROR(1/Calculations_APPURT[[#This Row],[Brackets]],0) * cv_M/cv_F * Forces_APPURT[[#This Row],[Gamma Fa 30]] * Calculations_APPURT[[#This Row],[Horizontal Offset]]/12</f>
        <v>0</v>
      </c>
      <c r="MK14" s="338">
        <f>IFERROR(1/Calculations_APPURT[[#This Row],[Brackets]],0) * cv_M/cv_F * Forces_APPURT[[#This Row],[Gamma Fa 45]] * Calculations_APPURT[[#This Row],[Horizontal Offset]]/12</f>
        <v>0</v>
      </c>
      <c r="ML14" s="338">
        <f>IFERROR(1/Calculations_APPURT[[#This Row],[Brackets]],0) * cv_M/cv_F * Forces_APPURT[[#This Row],[Gamma Fa 60]] * Calculations_APPURT[[#This Row],[Horizontal Offset]]/12</f>
        <v>0</v>
      </c>
      <c r="MM14" s="338">
        <f>IFERROR(1/Calculations_APPURT[[#This Row],[Brackets]],0) * cv_M/cv_F * Forces_APPURT[[#This Row],[Gamma Fa 90]] * Calculations_APPURT[[#This Row],[Horizontal Offset]]/12</f>
        <v>0</v>
      </c>
      <c r="MN14" s="338">
        <f>IFERROR(1/Calculations_APPURT[[#This Row],[Brackets]],0) * cv_M/cv_F * Forces_APPURT[[#This Row],[Gamma Fa 120]] * Calculations_APPURT[[#This Row],[Horizontal Offset]]/12</f>
        <v>0</v>
      </c>
      <c r="MO14" s="338">
        <f>IFERROR(1/Calculations_APPURT[[#This Row],[Brackets]],0) * cv_M/cv_F * Forces_APPURT[[#This Row],[Gamma Fa 135]] * Calculations_APPURT[[#This Row],[Horizontal Offset]]/12</f>
        <v>0</v>
      </c>
      <c r="MP14" s="338">
        <f>IFERROR(1/Calculations_APPURT[[#This Row],[Brackets]],0) * cv_M/cv_F * Forces_APPURT[[#This Row],[Gamma Fa 150]] * Calculations_APPURT[[#This Row],[Horizontal Offset]]/12</f>
        <v>0</v>
      </c>
      <c r="MQ14" s="338">
        <f>IFERROR(1/Calculations_APPURT[[#This Row],[Brackets]],0) * cv_M/cv_F * Forces_APPURT[[#This Row],[Gamma Fa 180]] * Calculations_APPURT[[#This Row],[Horizontal Offset]]/12</f>
        <v>0</v>
      </c>
      <c r="MR14" s="338">
        <f>IFERROR(1/Calculations_APPURT[[#This Row],[Brackets]],0) * cv_M/cv_F * Forces_APPURT[[#This Row],[Gamma Fa 210]] * Calculations_APPURT[[#This Row],[Horizontal Offset]]/12</f>
        <v>0</v>
      </c>
      <c r="MS14" s="338">
        <f>IFERROR(1/Calculations_APPURT[[#This Row],[Brackets]],0) * cv_M/cv_F * Forces_APPURT[[#This Row],[Gamma Fa 225]] * Calculations_APPURT[[#This Row],[Horizontal Offset]]/12</f>
        <v>0</v>
      </c>
      <c r="MT14" s="338">
        <f>IFERROR(1/Calculations_APPURT[[#This Row],[Brackets]],0) * cv_M/cv_F * Forces_APPURT[[#This Row],[Gamma Fa 240]] * Calculations_APPURT[[#This Row],[Horizontal Offset]]/12</f>
        <v>0</v>
      </c>
      <c r="MU14" s="338">
        <f>IFERROR(1/Calculations_APPURT[[#This Row],[Brackets]],0) * cv_M/cv_F * Forces_APPURT[[#This Row],[Gamma Fa 270]] * Calculations_APPURT[[#This Row],[Horizontal Offset]]/12</f>
        <v>0</v>
      </c>
      <c r="MV14" s="338">
        <f>IFERROR(1/Calculations_APPURT[[#This Row],[Brackets]],0) * cv_M/cv_F * Forces_APPURT[[#This Row],[Gamma Fa 300]] * Calculations_APPURT[[#This Row],[Horizontal Offset]]/12</f>
        <v>0</v>
      </c>
      <c r="MW14" s="338">
        <f>IFERROR(1/Calculations_APPURT[[#This Row],[Brackets]],0) * cv_M/cv_F * Forces_APPURT[[#This Row],[Gamma Fa 315]] * Calculations_APPURT[[#This Row],[Horizontal Offset]]/12</f>
        <v>0</v>
      </c>
      <c r="MX14" s="338">
        <f>IFERROR(1/Calculations_APPURT[[#This Row],[Brackets]],0) * cv_M/cv_F * Forces_APPURT[[#This Row],[Gamma Fa 330]] * Calculations_APPURT[[#This Row],[Horizontal Offset]]/12</f>
        <v>0</v>
      </c>
      <c r="MY14" s="276">
        <f>IFERROR(1/Calculations_APPURT[[#This Row],[Brackets]],0) * cv_M/cv_F * Forces_APPURT[[#This Row],[Delta Fa 0]] * Calculations_APPURT[[#This Row],[Horizontal Offset]]/12</f>
        <v>0</v>
      </c>
      <c r="MZ14" s="276">
        <f>IFERROR(1/Calculations_APPURT[[#This Row],[Brackets]],0) * cv_M/cv_F * Forces_APPURT[[#This Row],[Delta Fa 30]] * Calculations_APPURT[[#This Row],[Horizontal Offset]]/12</f>
        <v>0</v>
      </c>
      <c r="NA14" s="276">
        <f>IFERROR(1/Calculations_APPURT[[#This Row],[Brackets]],0) * cv_M/cv_F * Forces_APPURT[[#This Row],[Delta Fa 45]] * Calculations_APPURT[[#This Row],[Horizontal Offset]]/12</f>
        <v>0</v>
      </c>
      <c r="NB14" s="276">
        <f>IFERROR(1/Calculations_APPURT[[#This Row],[Brackets]],0) * cv_M/cv_F * Forces_APPURT[[#This Row],[Delta Fa 60]] * Calculations_APPURT[[#This Row],[Horizontal Offset]]/12</f>
        <v>0</v>
      </c>
      <c r="NC14" s="276">
        <f>IFERROR(1/Calculations_APPURT[[#This Row],[Brackets]],0) * cv_M/cv_F * Forces_APPURT[[#This Row],[Delta Fa 90]] * Calculations_APPURT[[#This Row],[Horizontal Offset]]/12</f>
        <v>0</v>
      </c>
      <c r="ND14" s="276">
        <f>IFERROR(1/Calculations_APPURT[[#This Row],[Brackets]],0) * cv_M/cv_F * Forces_APPURT[[#This Row],[Delta Fa 120]] * Calculations_APPURT[[#This Row],[Horizontal Offset]]/12</f>
        <v>0</v>
      </c>
      <c r="NE14" s="276">
        <f>IFERROR(1/Calculations_APPURT[[#This Row],[Brackets]],0) * cv_M/cv_F * Forces_APPURT[[#This Row],[Delta Fa 135]] * Calculations_APPURT[[#This Row],[Horizontal Offset]]/12</f>
        <v>0</v>
      </c>
      <c r="NF14" s="276">
        <f>IFERROR(1/Calculations_APPURT[[#This Row],[Brackets]],0) * cv_M/cv_F * Forces_APPURT[[#This Row],[Delta Fa 150]] * Calculations_APPURT[[#This Row],[Horizontal Offset]]/12</f>
        <v>0</v>
      </c>
      <c r="NG14" s="276">
        <f>IFERROR(1/Calculations_APPURT[[#This Row],[Brackets]],0) * cv_M/cv_F * Forces_APPURT[[#This Row],[Delta Fa 180]] * Calculations_APPURT[[#This Row],[Horizontal Offset]]/12</f>
        <v>0</v>
      </c>
      <c r="NH14" s="276">
        <f>IFERROR(1/Calculations_APPURT[[#This Row],[Brackets]],0) * cv_M/cv_F * Forces_APPURT[[#This Row],[Delta Fa 210]] * Calculations_APPURT[[#This Row],[Horizontal Offset]]/12</f>
        <v>0</v>
      </c>
      <c r="NI14" s="276">
        <f>IFERROR(1/Calculations_APPURT[[#This Row],[Brackets]],0) * cv_M/cv_F * Forces_APPURT[[#This Row],[Delta Fa 225]] * Calculations_APPURT[[#This Row],[Horizontal Offset]]/12</f>
        <v>0</v>
      </c>
      <c r="NJ14" s="276">
        <f>IFERROR(1/Calculations_APPURT[[#This Row],[Brackets]],0) * cv_M/cv_F * Forces_APPURT[[#This Row],[Delta Fa 240]] * Calculations_APPURT[[#This Row],[Horizontal Offset]]/12</f>
        <v>0</v>
      </c>
      <c r="NK14" s="276">
        <f>IFERROR(1/Calculations_APPURT[[#This Row],[Brackets]],0) * cv_M/cv_F * Forces_APPURT[[#This Row],[Delta Fa 270]] * Calculations_APPURT[[#This Row],[Horizontal Offset]]/12</f>
        <v>0</v>
      </c>
      <c r="NL14" s="276">
        <f>IFERROR(1/Calculations_APPURT[[#This Row],[Brackets]],0) * cv_M/cv_F * Forces_APPURT[[#This Row],[Delta Fa 300]] * Calculations_APPURT[[#This Row],[Horizontal Offset]]/12</f>
        <v>0</v>
      </c>
      <c r="NM14" s="276">
        <f>IFERROR(1/Calculations_APPURT[[#This Row],[Brackets]],0) * cv_M/cv_F * Forces_APPURT[[#This Row],[Delta Fa 315]] * Calculations_APPURT[[#This Row],[Horizontal Offset]]/12</f>
        <v>0</v>
      </c>
      <c r="NN14" s="276">
        <f>IFERROR(1/Calculations_APPURT[[#This Row],[Brackets]],0) * cv_M/cv_F * Forces_APPURT[[#This Row],[Delta Fa 330]] * Calculations_APPURT[[#This Row],[Horizontal Offset]]/12</f>
        <v>0</v>
      </c>
      <c r="NO14" s="338">
        <f>IFERROR(1/Calculations_APPURT[[#This Row],[Brackets]],0) * cv_M/cv_F * Forces_APPURT[[#This Row],[Alpha Fai 0]] * Calculations_APPURT[[#This Row],[Horizontal Offset]]/12</f>
        <v>0</v>
      </c>
      <c r="NP14" s="338">
        <f>IFERROR(1/Calculations_APPURT[[#This Row],[Brackets]],0) * cv_M/cv_F * Forces_APPURT[[#This Row],[Alpha Fai 30]] * Calculations_APPURT[[#This Row],[Horizontal Offset]]/12</f>
        <v>0</v>
      </c>
      <c r="NQ14" s="338">
        <f>IFERROR(1/Calculations_APPURT[[#This Row],[Brackets]],0) * cv_M/cv_F * Forces_APPURT[[#This Row],[Alpha Fai 45]] * Calculations_APPURT[[#This Row],[Horizontal Offset]]/12</f>
        <v>0</v>
      </c>
      <c r="NR14" s="338">
        <f>IFERROR(1/Calculations_APPURT[[#This Row],[Brackets]],0) * cv_M/cv_F * Forces_APPURT[[#This Row],[Alpha Fai 60]] * Calculations_APPURT[[#This Row],[Horizontal Offset]]/12</f>
        <v>0</v>
      </c>
      <c r="NS14" s="338">
        <f>IFERROR(1/Calculations_APPURT[[#This Row],[Brackets]],0) * cv_M/cv_F * Forces_APPURT[[#This Row],[Alpha Fai 90]] * Calculations_APPURT[[#This Row],[Horizontal Offset]]/12</f>
        <v>0</v>
      </c>
      <c r="NT14" s="338">
        <f>IFERROR(1/Calculations_APPURT[[#This Row],[Brackets]],0) * cv_M/cv_F * Forces_APPURT[[#This Row],[Alpha Fai 120]] * Calculations_APPURT[[#This Row],[Horizontal Offset]]/12</f>
        <v>0</v>
      </c>
      <c r="NU14" s="338">
        <f>IFERROR(1/Calculations_APPURT[[#This Row],[Brackets]],0) * cv_M/cv_F * Forces_APPURT[[#This Row],[Alpha Fai 135]] * Calculations_APPURT[[#This Row],[Horizontal Offset]]/12</f>
        <v>0</v>
      </c>
      <c r="NV14" s="338">
        <f>IFERROR(1/Calculations_APPURT[[#This Row],[Brackets]],0) * cv_M/cv_F * Forces_APPURT[[#This Row],[Alpha Fai 150]] * Calculations_APPURT[[#This Row],[Horizontal Offset]]/12</f>
        <v>0</v>
      </c>
      <c r="NW14" s="338">
        <f>IFERROR(1/Calculations_APPURT[[#This Row],[Brackets]],0) * cv_M/cv_F * Forces_APPURT[[#This Row],[Alpha Fai 180]] * Calculations_APPURT[[#This Row],[Horizontal Offset]]/12</f>
        <v>0</v>
      </c>
      <c r="NX14" s="338">
        <f>IFERROR(1/Calculations_APPURT[[#This Row],[Brackets]],0) * cv_M/cv_F * Forces_APPURT[[#This Row],[Alpha Fai 210]] * Calculations_APPURT[[#This Row],[Horizontal Offset]]/12</f>
        <v>0</v>
      </c>
      <c r="NY14" s="338">
        <f>IFERROR(1/Calculations_APPURT[[#This Row],[Brackets]],0) * cv_M/cv_F * Forces_APPURT[[#This Row],[Alpha Fai 225]] * Calculations_APPURT[[#This Row],[Horizontal Offset]]/12</f>
        <v>0</v>
      </c>
      <c r="NZ14" s="338">
        <f>IFERROR(1/Calculations_APPURT[[#This Row],[Brackets]],0) * cv_M/cv_F * Forces_APPURT[[#This Row],[Alpha Fai 240]] * Calculations_APPURT[[#This Row],[Horizontal Offset]]/12</f>
        <v>0</v>
      </c>
      <c r="OA14" s="338">
        <f>IFERROR(1/Calculations_APPURT[[#This Row],[Brackets]],0) * cv_M/cv_F * Forces_APPURT[[#This Row],[Alpha Fai 270]] * Calculations_APPURT[[#This Row],[Horizontal Offset]]/12</f>
        <v>0</v>
      </c>
      <c r="OB14" s="338">
        <f>IFERROR(1/Calculations_APPURT[[#This Row],[Brackets]],0) * cv_M/cv_F * Forces_APPURT[[#This Row],[Alpha Fai 300]] * Calculations_APPURT[[#This Row],[Horizontal Offset]]/12</f>
        <v>0</v>
      </c>
      <c r="OC14" s="338">
        <f>IFERROR(1/Calculations_APPURT[[#This Row],[Brackets]],0) * cv_M/cv_F * Forces_APPURT[[#This Row],[Alpha Fai 315]] * Calculations_APPURT[[#This Row],[Horizontal Offset]]/12</f>
        <v>0</v>
      </c>
      <c r="OD14" s="338">
        <f>IFERROR(1/Calculations_APPURT[[#This Row],[Brackets]],0) * cv_M/cv_F * Forces_APPURT[[#This Row],[Alpha Fai 330]] * Calculations_APPURT[[#This Row],[Horizontal Offset]]/12</f>
        <v>0</v>
      </c>
      <c r="OE14" s="276">
        <f>IFERROR(1/Calculations_APPURT[[#This Row],[Brackets]],0) * cv_M/cv_F * Forces_APPURT[[#This Row],[Beta Fai 0]] * Calculations_APPURT[[#This Row],[Horizontal Offset]]/12</f>
        <v>0</v>
      </c>
      <c r="OF14" s="276">
        <f>IFERROR(1/Calculations_APPURT[[#This Row],[Brackets]],0) * cv_M/cv_F * Forces_APPURT[[#This Row],[Beta Fai 30]] * Calculations_APPURT[[#This Row],[Horizontal Offset]]/12</f>
        <v>0</v>
      </c>
      <c r="OG14" s="276">
        <f>IFERROR(1/Calculations_APPURT[[#This Row],[Brackets]],0) * cv_M/cv_F * Forces_APPURT[[#This Row],[Beta Fai 45]] * Calculations_APPURT[[#This Row],[Horizontal Offset]]/12</f>
        <v>0</v>
      </c>
      <c r="OH14" s="276">
        <f>IFERROR(1/Calculations_APPURT[[#This Row],[Brackets]],0) * cv_M/cv_F * Forces_APPURT[[#This Row],[Beta Fai 60]] * Calculations_APPURT[[#This Row],[Horizontal Offset]]/12</f>
        <v>0</v>
      </c>
      <c r="OI14" s="276">
        <f>IFERROR(1/Calculations_APPURT[[#This Row],[Brackets]],0) * cv_M/cv_F * Forces_APPURT[[#This Row],[Beta Fai 90]] * Calculations_APPURT[[#This Row],[Horizontal Offset]]/12</f>
        <v>0</v>
      </c>
      <c r="OJ14" s="276">
        <f>IFERROR(1/Calculations_APPURT[[#This Row],[Brackets]],0) * cv_M/cv_F * Forces_APPURT[[#This Row],[Beta Fai 120]] * Calculations_APPURT[[#This Row],[Horizontal Offset]]/12</f>
        <v>0</v>
      </c>
      <c r="OK14" s="276">
        <f>IFERROR(1/Calculations_APPURT[[#This Row],[Brackets]],0) * cv_M/cv_F * Forces_APPURT[[#This Row],[Beta Fai 135]] * Calculations_APPURT[[#This Row],[Horizontal Offset]]/12</f>
        <v>0</v>
      </c>
      <c r="OL14" s="276">
        <f>IFERROR(1/Calculations_APPURT[[#This Row],[Brackets]],0) * cv_M/cv_F * Forces_APPURT[[#This Row],[Beta Fai 150]] * Calculations_APPURT[[#This Row],[Horizontal Offset]]/12</f>
        <v>0</v>
      </c>
      <c r="OM14" s="276">
        <f>IFERROR(1/Calculations_APPURT[[#This Row],[Brackets]],0) * cv_M/cv_F * Forces_APPURT[[#This Row],[Beta Fai 180]] * Calculations_APPURT[[#This Row],[Horizontal Offset]]/12</f>
        <v>0</v>
      </c>
      <c r="ON14" s="276">
        <f>IFERROR(1/Calculations_APPURT[[#This Row],[Brackets]],0) * cv_M/cv_F * Forces_APPURT[[#This Row],[Beta Fai 210]] * Calculations_APPURT[[#This Row],[Horizontal Offset]]/12</f>
        <v>0</v>
      </c>
      <c r="OO14" s="276">
        <f>IFERROR(1/Calculations_APPURT[[#This Row],[Brackets]],0) * cv_M/cv_F * Forces_APPURT[[#This Row],[Beta Fai 225]] * Calculations_APPURT[[#This Row],[Horizontal Offset]]/12</f>
        <v>0</v>
      </c>
      <c r="OP14" s="276">
        <f>IFERROR(1/Calculations_APPURT[[#This Row],[Brackets]],0) * cv_M/cv_F * Forces_APPURT[[#This Row],[Beta Fai 240]] * Calculations_APPURT[[#This Row],[Horizontal Offset]]/12</f>
        <v>0</v>
      </c>
      <c r="OQ14" s="276">
        <f>IFERROR(1/Calculations_APPURT[[#This Row],[Brackets]],0) * cv_M/cv_F * Forces_APPURT[[#This Row],[Beta Fai 270]] * Calculations_APPURT[[#This Row],[Horizontal Offset]]/12</f>
        <v>0</v>
      </c>
      <c r="OR14" s="276">
        <f>IFERROR(1/Calculations_APPURT[[#This Row],[Brackets]],0) * cv_M/cv_F * Forces_APPURT[[#This Row],[Beta Fai 300]] * Calculations_APPURT[[#This Row],[Horizontal Offset]]/12</f>
        <v>0</v>
      </c>
      <c r="OS14" s="276">
        <f>IFERROR(1/Calculations_APPURT[[#This Row],[Brackets]],0) * cv_M/cv_F * Forces_APPURT[[#This Row],[Beta Fai 315]] * Calculations_APPURT[[#This Row],[Horizontal Offset]]/12</f>
        <v>0</v>
      </c>
      <c r="OT14" s="276">
        <f>IFERROR(1/Calculations_APPURT[[#This Row],[Brackets]],0) * cv_M/cv_F * Forces_APPURT[[#This Row],[Beta Fai 330]] * Calculations_APPURT[[#This Row],[Horizontal Offset]]/12</f>
        <v>0</v>
      </c>
      <c r="OU14" s="338">
        <f>IFERROR(1/Calculations_APPURT[[#This Row],[Brackets]],0) * cv_M/cv_F * Forces_APPURT[[#This Row],[Gamma Fai 0]] * Calculations_APPURT[[#This Row],[Horizontal Offset]]/12</f>
        <v>0</v>
      </c>
      <c r="OV14" s="338">
        <f>IFERROR(1/Calculations_APPURT[[#This Row],[Brackets]],0) * cv_M/cv_F * Forces_APPURT[[#This Row],[Gamma Fai 30]] * Calculations_APPURT[[#This Row],[Horizontal Offset]]/12</f>
        <v>0</v>
      </c>
      <c r="OW14" s="338">
        <f>IFERROR(1/Calculations_APPURT[[#This Row],[Brackets]],0) * cv_M/cv_F * Forces_APPURT[[#This Row],[Gamma Fai 45]] * Calculations_APPURT[[#This Row],[Horizontal Offset]]/12</f>
        <v>0</v>
      </c>
      <c r="OX14" s="338">
        <f>IFERROR(1/Calculations_APPURT[[#This Row],[Brackets]],0) * cv_M/cv_F * Forces_APPURT[[#This Row],[Gamma Fai 60]] * Calculations_APPURT[[#This Row],[Horizontal Offset]]/12</f>
        <v>0</v>
      </c>
      <c r="OY14" s="338">
        <f>IFERROR(1/Calculations_APPURT[[#This Row],[Brackets]],0) * cv_M/cv_F * Forces_APPURT[[#This Row],[Gamma Fai 90]] * Calculations_APPURT[[#This Row],[Horizontal Offset]]/12</f>
        <v>0</v>
      </c>
      <c r="OZ14" s="338">
        <f>IFERROR(1/Calculations_APPURT[[#This Row],[Brackets]],0) * cv_M/cv_F * Forces_APPURT[[#This Row],[Gamma Fai 120]] * Calculations_APPURT[[#This Row],[Horizontal Offset]]/12</f>
        <v>0</v>
      </c>
      <c r="PA14" s="338">
        <f>IFERROR(1/Calculations_APPURT[[#This Row],[Brackets]],0) * cv_M/cv_F * Forces_APPURT[[#This Row],[Gamma Fai 135]] * Calculations_APPURT[[#This Row],[Horizontal Offset]]/12</f>
        <v>0</v>
      </c>
      <c r="PB14" s="338">
        <f>IFERROR(1/Calculations_APPURT[[#This Row],[Brackets]],0) * cv_M/cv_F * Forces_APPURT[[#This Row],[Gamma Fai 150]] * Calculations_APPURT[[#This Row],[Horizontal Offset]]/12</f>
        <v>0</v>
      </c>
      <c r="PC14" s="338">
        <f>IFERROR(1/Calculations_APPURT[[#This Row],[Brackets]],0) * cv_M/cv_F * Forces_APPURT[[#This Row],[Gamma Fai 180]] * Calculations_APPURT[[#This Row],[Horizontal Offset]]/12</f>
        <v>0</v>
      </c>
      <c r="PD14" s="338">
        <f>IFERROR(1/Calculations_APPURT[[#This Row],[Brackets]],0) * cv_M/cv_F * Forces_APPURT[[#This Row],[Gamma Fai 210]] * Calculations_APPURT[[#This Row],[Horizontal Offset]]/12</f>
        <v>0</v>
      </c>
      <c r="PE14" s="338">
        <f>IFERROR(1/Calculations_APPURT[[#This Row],[Brackets]],0) * cv_M/cv_F * Forces_APPURT[[#This Row],[Gamma Fai 225]] * Calculations_APPURT[[#This Row],[Horizontal Offset]]/12</f>
        <v>0</v>
      </c>
      <c r="PF14" s="338">
        <f>IFERROR(1/Calculations_APPURT[[#This Row],[Brackets]],0) * cv_M/cv_F * Forces_APPURT[[#This Row],[Gamma Fai 240]] * Calculations_APPURT[[#This Row],[Horizontal Offset]]/12</f>
        <v>0</v>
      </c>
      <c r="PG14" s="338">
        <f>IFERROR(1/Calculations_APPURT[[#This Row],[Brackets]],0) * cv_M/cv_F * Forces_APPURT[[#This Row],[Gamma Fai 270]] * Calculations_APPURT[[#This Row],[Horizontal Offset]]/12</f>
        <v>0</v>
      </c>
      <c r="PH14" s="338">
        <f>IFERROR(1/Calculations_APPURT[[#This Row],[Brackets]],0) * cv_M/cv_F * Forces_APPURT[[#This Row],[Gamma Fai 300]] * Calculations_APPURT[[#This Row],[Horizontal Offset]]/12</f>
        <v>0</v>
      </c>
      <c r="PI14" s="338">
        <f>IFERROR(1/Calculations_APPURT[[#This Row],[Brackets]],0) * cv_M/cv_F * Forces_APPURT[[#This Row],[Gamma Fai 315]] * Calculations_APPURT[[#This Row],[Horizontal Offset]]/12</f>
        <v>0</v>
      </c>
      <c r="PJ14" s="338">
        <f>IFERROR(1/Calculations_APPURT[[#This Row],[Brackets]],0) * cv_M/cv_F * Forces_APPURT[[#This Row],[Gamma Fai 330]] * Calculations_APPURT[[#This Row],[Horizontal Offset]]/12</f>
        <v>0</v>
      </c>
      <c r="PK14" s="276">
        <f>IFERROR(1/Calculations_APPURT[[#This Row],[Brackets]],0) * cv_M/cv_F * Forces_APPURT[[#This Row],[Delta Fai 0]] * Calculations_APPURT[[#This Row],[Horizontal Offset]]/12</f>
        <v>0</v>
      </c>
      <c r="PL14" s="276">
        <f>IFERROR(1/Calculations_APPURT[[#This Row],[Brackets]],0) * cv_M/cv_F * Forces_APPURT[[#This Row],[Delta Fai 30]] * Calculations_APPURT[[#This Row],[Horizontal Offset]]/12</f>
        <v>0</v>
      </c>
      <c r="PM14" s="276">
        <f>IFERROR(1/Calculations_APPURT[[#This Row],[Brackets]],0) * cv_M/cv_F * Forces_APPURT[[#This Row],[Delta Fai 45]] * Calculations_APPURT[[#This Row],[Horizontal Offset]]/12</f>
        <v>0</v>
      </c>
      <c r="PN14" s="276">
        <f>IFERROR(1/Calculations_APPURT[[#This Row],[Brackets]],0) * cv_M/cv_F * Forces_APPURT[[#This Row],[Delta Fai 60]] * Calculations_APPURT[[#This Row],[Horizontal Offset]]/12</f>
        <v>0</v>
      </c>
      <c r="PO14" s="276">
        <f>IFERROR(1/Calculations_APPURT[[#This Row],[Brackets]],0) * cv_M/cv_F * Forces_APPURT[[#This Row],[Delta Fai 90]] * Calculations_APPURT[[#This Row],[Horizontal Offset]]/12</f>
        <v>0</v>
      </c>
      <c r="PP14" s="276">
        <f>IFERROR(1/Calculations_APPURT[[#This Row],[Brackets]],0) * cv_M/cv_F * Forces_APPURT[[#This Row],[Delta Fai 120]] * Calculations_APPURT[[#This Row],[Horizontal Offset]]/12</f>
        <v>0</v>
      </c>
      <c r="PQ14" s="276">
        <f>IFERROR(1/Calculations_APPURT[[#This Row],[Brackets]],0) * cv_M/cv_F * Forces_APPURT[[#This Row],[Delta Fai 135]] * Calculations_APPURT[[#This Row],[Horizontal Offset]]/12</f>
        <v>0</v>
      </c>
      <c r="PR14" s="276">
        <f>IFERROR(1/Calculations_APPURT[[#This Row],[Brackets]],0) * cv_M/cv_F * Forces_APPURT[[#This Row],[Delta Fai 150]] * Calculations_APPURT[[#This Row],[Horizontal Offset]]/12</f>
        <v>0</v>
      </c>
      <c r="PS14" s="276">
        <f>IFERROR(1/Calculations_APPURT[[#This Row],[Brackets]],0) * cv_M/cv_F * Forces_APPURT[[#This Row],[Delta Fai 180]] * Calculations_APPURT[[#This Row],[Horizontal Offset]]/12</f>
        <v>0</v>
      </c>
      <c r="PT14" s="276">
        <f>IFERROR(1/Calculations_APPURT[[#This Row],[Brackets]],0) * cv_M/cv_F * Forces_APPURT[[#This Row],[Delta Fai 210]] * Calculations_APPURT[[#This Row],[Horizontal Offset]]/12</f>
        <v>0</v>
      </c>
      <c r="PU14" s="276">
        <f>IFERROR(1/Calculations_APPURT[[#This Row],[Brackets]],0) * cv_M/cv_F * Forces_APPURT[[#This Row],[Delta Fai 225]] * Calculations_APPURT[[#This Row],[Horizontal Offset]]/12</f>
        <v>0</v>
      </c>
      <c r="PV14" s="276">
        <f>IFERROR(1/Calculations_APPURT[[#This Row],[Brackets]],0) * cv_M/cv_F * Forces_APPURT[[#This Row],[Delta Fai 240]] * Calculations_APPURT[[#This Row],[Horizontal Offset]]/12</f>
        <v>0</v>
      </c>
      <c r="PW14" s="276">
        <f>IFERROR(1/Calculations_APPURT[[#This Row],[Brackets]],0) * cv_M/cv_F * Forces_APPURT[[#This Row],[Delta Fai 270]] * Calculations_APPURT[[#This Row],[Horizontal Offset]]/12</f>
        <v>0</v>
      </c>
      <c r="PX14" s="276">
        <f>IFERROR(1/Calculations_APPURT[[#This Row],[Brackets]],0) * cv_M/cv_F * Forces_APPURT[[#This Row],[Delta Fai 300]] * Calculations_APPURT[[#This Row],[Horizontal Offset]]/12</f>
        <v>0</v>
      </c>
      <c r="PY14" s="276">
        <f>IFERROR(1/Calculations_APPURT[[#This Row],[Brackets]],0) * cv_M/cv_F * Forces_APPURT[[#This Row],[Delta Fai 315]] * Calculations_APPURT[[#This Row],[Horizontal Offset]]/12</f>
        <v>0</v>
      </c>
      <c r="PZ14" s="276">
        <f>IFERROR(1/Calculations_APPURT[[#This Row],[Brackets]],0) * cv_M/cv_F * Forces_APPURT[[#This Row],[Delta Fai 330]] * Calculations_APPURT[[#This Row],[Horizontal Offset]]/12</f>
        <v>0</v>
      </c>
      <c r="QA14" s="338">
        <f>IFERROR(1/Calculations_APPURT[[#This Row],[Brackets]],0) * cv_M/cv_F * Forces_APPURT[[#This Row],[Alpha Fa 0]] * Calculations_APPURT[[#This Row],[Lateral Offset]]/12</f>
        <v>0</v>
      </c>
      <c r="QB14" s="338">
        <f>IFERROR(1/Calculations_APPURT[[#This Row],[Brackets]],0) * cv_M/cv_F * Forces_APPURT[[#This Row],[Alpha Fa 30]] * Calculations_APPURT[[#This Row],[Lateral Offset]]/12</f>
        <v>0</v>
      </c>
      <c r="QC14" s="338">
        <f>IFERROR(1/Calculations_APPURT[[#This Row],[Brackets]],0) * cv_M/cv_F * Forces_APPURT[[#This Row],[Alpha Fa 45]] * Calculations_APPURT[[#This Row],[Lateral Offset]]/12</f>
        <v>0</v>
      </c>
      <c r="QD14" s="338">
        <f>IFERROR(1/Calculations_APPURT[[#This Row],[Brackets]],0) * cv_M/cv_F * Forces_APPURT[[#This Row],[Alpha Fa 60]] * Calculations_APPURT[[#This Row],[Lateral Offset]]/12</f>
        <v>0</v>
      </c>
      <c r="QE14" s="338">
        <f>IFERROR(1/Calculations_APPURT[[#This Row],[Brackets]],0) * cv_M/cv_F * Forces_APPURT[[#This Row],[Alpha Fa 90]] * Calculations_APPURT[[#This Row],[Lateral Offset]]/12</f>
        <v>0</v>
      </c>
      <c r="QF14" s="338">
        <f>IFERROR(1/Calculations_APPURT[[#This Row],[Brackets]],0) * cv_M/cv_F * Forces_APPURT[[#This Row],[Alpha Fa 120]] * Calculations_APPURT[[#This Row],[Lateral Offset]]/12</f>
        <v>0</v>
      </c>
      <c r="QG14" s="338">
        <f>IFERROR(1/Calculations_APPURT[[#This Row],[Brackets]],0) * cv_M/cv_F * Forces_APPURT[[#This Row],[Alpha Fa 135]] * Calculations_APPURT[[#This Row],[Lateral Offset]]/12</f>
        <v>0</v>
      </c>
      <c r="QH14" s="338">
        <f>IFERROR(1/Calculations_APPURT[[#This Row],[Brackets]],0) * cv_M/cv_F * Forces_APPURT[[#This Row],[Alpha Fa 150]] * Calculations_APPURT[[#This Row],[Lateral Offset]]/12</f>
        <v>0</v>
      </c>
      <c r="QI14" s="338">
        <f>IFERROR(1/Calculations_APPURT[[#This Row],[Brackets]],0) * cv_M/cv_F * Forces_APPURT[[#This Row],[Alpha Fa 180]] * Calculations_APPURT[[#This Row],[Lateral Offset]]/12</f>
        <v>0</v>
      </c>
      <c r="QJ14" s="338">
        <f>IFERROR(1/Calculations_APPURT[[#This Row],[Brackets]],0) * cv_M/cv_F * Forces_APPURT[[#This Row],[Alpha Fa 210]] * Calculations_APPURT[[#This Row],[Lateral Offset]]/12</f>
        <v>0</v>
      </c>
      <c r="QK14" s="338">
        <f>IFERROR(1/Calculations_APPURT[[#This Row],[Brackets]],0) * cv_M/cv_F * Forces_APPURT[[#This Row],[Alpha Fa 225]] * Calculations_APPURT[[#This Row],[Lateral Offset]]/12</f>
        <v>0</v>
      </c>
      <c r="QL14" s="338">
        <f>IFERROR(1/Calculations_APPURT[[#This Row],[Brackets]],0) * cv_M/cv_F * Forces_APPURT[[#This Row],[Alpha Fa 240]] * Calculations_APPURT[[#This Row],[Lateral Offset]]/12</f>
        <v>0</v>
      </c>
      <c r="QM14" s="338">
        <f>IFERROR(1/Calculations_APPURT[[#This Row],[Brackets]],0) * cv_M/cv_F * Forces_APPURT[[#This Row],[Alpha Fa 270]] * Calculations_APPURT[[#This Row],[Lateral Offset]]/12</f>
        <v>0</v>
      </c>
      <c r="QN14" s="338">
        <f>IFERROR(1/Calculations_APPURT[[#This Row],[Brackets]],0) * cv_M/cv_F * Forces_APPURT[[#This Row],[Alpha Fa 300]] * Calculations_APPURT[[#This Row],[Lateral Offset]]/12</f>
        <v>0</v>
      </c>
      <c r="QO14" s="338">
        <f>IFERROR(1/Calculations_APPURT[[#This Row],[Brackets]],0) * cv_M/cv_F * Forces_APPURT[[#This Row],[Alpha Fa 315]] * Calculations_APPURT[[#This Row],[Lateral Offset]]/12</f>
        <v>0</v>
      </c>
      <c r="QP14" s="338">
        <f>IFERROR(1/Calculations_APPURT[[#This Row],[Brackets]],0) * cv_M/cv_F * Forces_APPURT[[#This Row],[Alpha Fa 330]] * Calculations_APPURT[[#This Row],[Lateral Offset]]/12</f>
        <v>0</v>
      </c>
      <c r="QQ14" s="276">
        <f>IFERROR(1/Calculations_APPURT[[#This Row],[Brackets]],0) * cv_M/cv_F * Forces_APPURT[[#This Row],[Beta Fa 0]] * Calculations_APPURT[[#This Row],[Lateral Offset]]/12</f>
        <v>0</v>
      </c>
      <c r="QR14" s="276">
        <f>IFERROR(1/Calculations_APPURT[[#This Row],[Brackets]],0) * cv_M/cv_F * Forces_APPURT[[#This Row],[Beta Fa 30]] * Calculations_APPURT[[#This Row],[Lateral Offset]]/12</f>
        <v>0</v>
      </c>
      <c r="QS14" s="276">
        <f>IFERROR(1/Calculations_APPURT[[#This Row],[Brackets]],0) * cv_M/cv_F * Forces_APPURT[[#This Row],[Beta Fa 45]] * Calculations_APPURT[[#This Row],[Lateral Offset]]/12</f>
        <v>0</v>
      </c>
      <c r="QT14" s="276">
        <f>IFERROR(1/Calculations_APPURT[[#This Row],[Brackets]],0) * cv_M/cv_F * Forces_APPURT[[#This Row],[Beta Fa 60]] * Calculations_APPURT[[#This Row],[Lateral Offset]]/12</f>
        <v>0</v>
      </c>
      <c r="QU14" s="276">
        <f>IFERROR(1/Calculations_APPURT[[#This Row],[Brackets]],0) * cv_M/cv_F * Forces_APPURT[[#This Row],[Beta Fa 90]] * Calculations_APPURT[[#This Row],[Lateral Offset]]/12</f>
        <v>0</v>
      </c>
      <c r="QV14" s="276">
        <f>IFERROR(1/Calculations_APPURT[[#This Row],[Brackets]],0) * cv_M/cv_F * Forces_APPURT[[#This Row],[Beta Fa 120]] * Calculations_APPURT[[#This Row],[Lateral Offset]]/12</f>
        <v>0</v>
      </c>
      <c r="QW14" s="276">
        <f>IFERROR(1/Calculations_APPURT[[#This Row],[Brackets]],0) * cv_M/cv_F * Forces_APPURT[[#This Row],[Beta Fa 135]] * Calculations_APPURT[[#This Row],[Lateral Offset]]/12</f>
        <v>0</v>
      </c>
      <c r="QX14" s="276">
        <f>IFERROR(1/Calculations_APPURT[[#This Row],[Brackets]],0) * cv_M/cv_F * Forces_APPURT[[#This Row],[Beta Fa 150]] * Calculations_APPURT[[#This Row],[Lateral Offset]]/12</f>
        <v>0</v>
      </c>
      <c r="QY14" s="276">
        <f>IFERROR(1/Calculations_APPURT[[#This Row],[Brackets]],0) * cv_M/cv_F * Forces_APPURT[[#This Row],[Beta Fa 180]] * Calculations_APPURT[[#This Row],[Lateral Offset]]/12</f>
        <v>0</v>
      </c>
      <c r="QZ14" s="276">
        <f>IFERROR(1/Calculations_APPURT[[#This Row],[Brackets]],0) * cv_M/cv_F * Forces_APPURT[[#This Row],[Beta Fa 210]] * Calculations_APPURT[[#This Row],[Lateral Offset]]/12</f>
        <v>0</v>
      </c>
      <c r="RA14" s="276">
        <f>IFERROR(1/Calculations_APPURT[[#This Row],[Brackets]],0) * cv_M/cv_F * Forces_APPURT[[#This Row],[Beta Fa 225]] * Calculations_APPURT[[#This Row],[Lateral Offset]]/12</f>
        <v>0</v>
      </c>
      <c r="RB14" s="276">
        <f>IFERROR(1/Calculations_APPURT[[#This Row],[Brackets]],0) * cv_M/cv_F * Forces_APPURT[[#This Row],[Beta Fa 240]] * Calculations_APPURT[[#This Row],[Lateral Offset]]/12</f>
        <v>0</v>
      </c>
      <c r="RC14" s="276">
        <f>IFERROR(1/Calculations_APPURT[[#This Row],[Brackets]],0) * cv_M/cv_F * Forces_APPURT[[#This Row],[Beta Fa 270]] * Calculations_APPURT[[#This Row],[Lateral Offset]]/12</f>
        <v>0</v>
      </c>
      <c r="RD14" s="276">
        <f>IFERROR(1/Calculations_APPURT[[#This Row],[Brackets]],0) * cv_M/cv_F * Forces_APPURT[[#This Row],[Beta Fa 300]] * Calculations_APPURT[[#This Row],[Lateral Offset]]/12</f>
        <v>0</v>
      </c>
      <c r="RE14" s="276">
        <f>IFERROR(1/Calculations_APPURT[[#This Row],[Brackets]],0) * cv_M/cv_F * Forces_APPURT[[#This Row],[Beta Fa 315]] * Calculations_APPURT[[#This Row],[Lateral Offset]]/12</f>
        <v>0</v>
      </c>
      <c r="RF14" s="276">
        <f>IFERROR(1/Calculations_APPURT[[#This Row],[Brackets]],0) * cv_M/cv_F * Forces_APPURT[[#This Row],[Beta Fa 330]] * Calculations_APPURT[[#This Row],[Lateral Offset]]/12</f>
        <v>0</v>
      </c>
      <c r="RG14" s="338">
        <f>IFERROR(1/Calculations_APPURT[[#This Row],[Brackets]],0) * cv_M/cv_F * Forces_APPURT[[#This Row],[Gamma Fa 0]] * Calculations_APPURT[[#This Row],[Lateral Offset]]/12</f>
        <v>0</v>
      </c>
      <c r="RH14" s="338">
        <f>IFERROR(1/Calculations_APPURT[[#This Row],[Brackets]],0) * cv_M/cv_F * Forces_APPURT[[#This Row],[Gamma Fa 30]] * Calculations_APPURT[[#This Row],[Lateral Offset]]/12</f>
        <v>0</v>
      </c>
      <c r="RI14" s="338">
        <f>IFERROR(1/Calculations_APPURT[[#This Row],[Brackets]],0) * cv_M/cv_F * Forces_APPURT[[#This Row],[Gamma Fa 45]] * Calculations_APPURT[[#This Row],[Lateral Offset]]/12</f>
        <v>0</v>
      </c>
      <c r="RJ14" s="338">
        <f>IFERROR(1/Calculations_APPURT[[#This Row],[Brackets]],0) * cv_M/cv_F * Forces_APPURT[[#This Row],[Gamma Fa 60]] * Calculations_APPURT[[#This Row],[Lateral Offset]]/12</f>
        <v>0</v>
      </c>
      <c r="RK14" s="338">
        <f>IFERROR(1/Calculations_APPURT[[#This Row],[Brackets]],0) * cv_M/cv_F * Forces_APPURT[[#This Row],[Gamma Fa 90]] * Calculations_APPURT[[#This Row],[Lateral Offset]]/12</f>
        <v>0</v>
      </c>
      <c r="RL14" s="338">
        <f>IFERROR(1/Calculations_APPURT[[#This Row],[Brackets]],0) * cv_M/cv_F * Forces_APPURT[[#This Row],[Gamma Fa 120]] * Calculations_APPURT[[#This Row],[Lateral Offset]]/12</f>
        <v>0</v>
      </c>
      <c r="RM14" s="338">
        <f>IFERROR(1/Calculations_APPURT[[#This Row],[Brackets]],0) * cv_M/cv_F * Forces_APPURT[[#This Row],[Gamma Fa 135]] * Calculations_APPURT[[#This Row],[Lateral Offset]]/12</f>
        <v>0</v>
      </c>
      <c r="RN14" s="338">
        <f>IFERROR(1/Calculations_APPURT[[#This Row],[Brackets]],0) * cv_M/cv_F * Forces_APPURT[[#This Row],[Gamma Fa 150]] * Calculations_APPURT[[#This Row],[Lateral Offset]]/12</f>
        <v>0</v>
      </c>
      <c r="RO14" s="338">
        <f>IFERROR(1/Calculations_APPURT[[#This Row],[Brackets]],0) * cv_M/cv_F * Forces_APPURT[[#This Row],[Gamma Fa 180]] * Calculations_APPURT[[#This Row],[Lateral Offset]]/12</f>
        <v>0</v>
      </c>
      <c r="RP14" s="338">
        <f>IFERROR(1/Calculations_APPURT[[#This Row],[Brackets]],0) * cv_M/cv_F * Forces_APPURT[[#This Row],[Gamma Fa 210]] * Calculations_APPURT[[#This Row],[Lateral Offset]]/12</f>
        <v>0</v>
      </c>
      <c r="RQ14" s="338">
        <f>IFERROR(1/Calculations_APPURT[[#This Row],[Brackets]],0) * cv_M/cv_F * Forces_APPURT[[#This Row],[Gamma Fa 225]] * Calculations_APPURT[[#This Row],[Lateral Offset]]/12</f>
        <v>0</v>
      </c>
      <c r="RR14" s="338">
        <f>IFERROR(1/Calculations_APPURT[[#This Row],[Brackets]],0) * cv_M/cv_F * Forces_APPURT[[#This Row],[Gamma Fa 240]] * Calculations_APPURT[[#This Row],[Lateral Offset]]/12</f>
        <v>0</v>
      </c>
      <c r="RS14" s="338">
        <f>IFERROR(1/Calculations_APPURT[[#This Row],[Brackets]],0) * cv_M/cv_F * Forces_APPURT[[#This Row],[Gamma Fa 270]] * Calculations_APPURT[[#This Row],[Lateral Offset]]/12</f>
        <v>0</v>
      </c>
      <c r="RT14" s="338">
        <f>IFERROR(1/Calculations_APPURT[[#This Row],[Brackets]],0) * cv_M/cv_F * Forces_APPURT[[#This Row],[Gamma Fa 300]] * Calculations_APPURT[[#This Row],[Lateral Offset]]/12</f>
        <v>0</v>
      </c>
      <c r="RU14" s="338">
        <f>IFERROR(1/Calculations_APPURT[[#This Row],[Brackets]],0) * cv_M/cv_F * Forces_APPURT[[#This Row],[Gamma Fa 315]] * Calculations_APPURT[[#This Row],[Lateral Offset]]/12</f>
        <v>0</v>
      </c>
      <c r="RV14" s="338">
        <f>IFERROR(1/Calculations_APPURT[[#This Row],[Brackets]],0) * cv_M/cv_F * Forces_APPURT[[#This Row],[Gamma Fa 330]] * Calculations_APPURT[[#This Row],[Lateral Offset]]/12</f>
        <v>0</v>
      </c>
      <c r="RW14" s="276">
        <f>IFERROR(1/Calculations_APPURT[[#This Row],[Brackets]],0) * cv_M/cv_F * Forces_APPURT[[#This Row],[Delta Fa 0]] * Calculations_APPURT[[#This Row],[Lateral Offset]]/12</f>
        <v>0</v>
      </c>
      <c r="RX14" s="276">
        <f>IFERROR(1/Calculations_APPURT[[#This Row],[Brackets]],0) * cv_M/cv_F * Forces_APPURT[[#This Row],[Delta Fa 30]] * Calculations_APPURT[[#This Row],[Lateral Offset]]/12</f>
        <v>0</v>
      </c>
      <c r="RY14" s="276">
        <f>IFERROR(1/Calculations_APPURT[[#This Row],[Brackets]],0) * cv_M/cv_F * Forces_APPURT[[#This Row],[Delta Fa 45]] * Calculations_APPURT[[#This Row],[Lateral Offset]]/12</f>
        <v>0</v>
      </c>
      <c r="RZ14" s="276">
        <f>IFERROR(1/Calculations_APPURT[[#This Row],[Brackets]],0) * cv_M/cv_F * Forces_APPURT[[#This Row],[Delta Fa 60]] * Calculations_APPURT[[#This Row],[Lateral Offset]]/12</f>
        <v>0</v>
      </c>
      <c r="SA14" s="276">
        <f>IFERROR(1/Calculations_APPURT[[#This Row],[Brackets]],0) * cv_M/cv_F * Forces_APPURT[[#This Row],[Delta Fa 90]] * Calculations_APPURT[[#This Row],[Lateral Offset]]/12</f>
        <v>0</v>
      </c>
      <c r="SB14" s="276">
        <f>IFERROR(1/Calculations_APPURT[[#This Row],[Brackets]],0) * cv_M/cv_F * Forces_APPURT[[#This Row],[Delta Fa 120]] * Calculations_APPURT[[#This Row],[Lateral Offset]]/12</f>
        <v>0</v>
      </c>
      <c r="SC14" s="276">
        <f>IFERROR(1/Calculations_APPURT[[#This Row],[Brackets]],0) * cv_M/cv_F * Forces_APPURT[[#This Row],[Delta Fa 135]] * Calculations_APPURT[[#This Row],[Lateral Offset]]/12</f>
        <v>0</v>
      </c>
      <c r="SD14" s="276">
        <f>IFERROR(1/Calculations_APPURT[[#This Row],[Brackets]],0) * cv_M/cv_F * Forces_APPURT[[#This Row],[Delta Fa 150]] * Calculations_APPURT[[#This Row],[Lateral Offset]]/12</f>
        <v>0</v>
      </c>
      <c r="SE14" s="276">
        <f>IFERROR(1/Calculations_APPURT[[#This Row],[Brackets]],0) * cv_M/cv_F * Forces_APPURT[[#This Row],[Delta Fa 180]] * Calculations_APPURT[[#This Row],[Lateral Offset]]/12</f>
        <v>0</v>
      </c>
      <c r="SF14" s="276">
        <f>IFERROR(1/Calculations_APPURT[[#This Row],[Brackets]],0) * cv_M/cv_F * Forces_APPURT[[#This Row],[Delta Fa 210]] * Calculations_APPURT[[#This Row],[Lateral Offset]]/12</f>
        <v>0</v>
      </c>
      <c r="SG14" s="276">
        <f>IFERROR(1/Calculations_APPURT[[#This Row],[Brackets]],0) * cv_M/cv_F * Forces_APPURT[[#This Row],[Delta Fa 225]] * Calculations_APPURT[[#This Row],[Lateral Offset]]/12</f>
        <v>0</v>
      </c>
      <c r="SH14" s="276">
        <f>IFERROR(1/Calculations_APPURT[[#This Row],[Brackets]],0) * cv_M/cv_F * Forces_APPURT[[#This Row],[Delta Fa 240]] * Calculations_APPURT[[#This Row],[Lateral Offset]]/12</f>
        <v>0</v>
      </c>
      <c r="SI14" s="276">
        <f>IFERROR(1/Calculations_APPURT[[#This Row],[Brackets]],0) * cv_M/cv_F * Forces_APPURT[[#This Row],[Delta Fa 270]] * Calculations_APPURT[[#This Row],[Lateral Offset]]/12</f>
        <v>0</v>
      </c>
      <c r="SJ14" s="276">
        <f>IFERROR(1/Calculations_APPURT[[#This Row],[Brackets]],0) * cv_M/cv_F * Forces_APPURT[[#This Row],[Delta Fa 300]] * Calculations_APPURT[[#This Row],[Lateral Offset]]/12</f>
        <v>0</v>
      </c>
      <c r="SK14" s="276">
        <f>IFERROR(1/Calculations_APPURT[[#This Row],[Brackets]],0) * cv_M/cv_F * Forces_APPURT[[#This Row],[Delta Fa 315]] * Calculations_APPURT[[#This Row],[Lateral Offset]]/12</f>
        <v>0</v>
      </c>
      <c r="SL14" s="276">
        <f>IFERROR(1/Calculations_APPURT[[#This Row],[Brackets]],0) * cv_M/cv_F * Forces_APPURT[[#This Row],[Delta Fa 330]] * Calculations_APPURT[[#This Row],[Lateral Offset]]/12</f>
        <v>0</v>
      </c>
      <c r="SM14" s="338">
        <f>IFERROR(1/Calculations_APPURT[[#This Row],[Brackets]],0) * cv_M/cv_F * Forces_APPURT[[#This Row],[Alpha Fai 0]] * Calculations_APPURT[[#This Row],[Lateral Offset]]/12</f>
        <v>0</v>
      </c>
      <c r="SN14" s="338">
        <f>IFERROR(1/Calculations_APPURT[[#This Row],[Brackets]],0) * cv_M/cv_F * Forces_APPURT[[#This Row],[Alpha Fai 30]] * Calculations_APPURT[[#This Row],[Lateral Offset]]/12</f>
        <v>0</v>
      </c>
      <c r="SO14" s="338">
        <f>IFERROR(1/Calculations_APPURT[[#This Row],[Brackets]],0) * cv_M/cv_F * Forces_APPURT[[#This Row],[Alpha Fai 45]] * Calculations_APPURT[[#This Row],[Lateral Offset]]/12</f>
        <v>0</v>
      </c>
      <c r="SP14" s="338">
        <f>IFERROR(1/Calculations_APPURT[[#This Row],[Brackets]],0) * cv_M/cv_F * Forces_APPURT[[#This Row],[Alpha Fai 60]] * Calculations_APPURT[[#This Row],[Lateral Offset]]/12</f>
        <v>0</v>
      </c>
      <c r="SQ14" s="338">
        <f>IFERROR(1/Calculations_APPURT[[#This Row],[Brackets]],0) * cv_M/cv_F * Forces_APPURT[[#This Row],[Alpha Fai 90]] * Calculations_APPURT[[#This Row],[Lateral Offset]]/12</f>
        <v>0</v>
      </c>
      <c r="SR14" s="338">
        <f>IFERROR(1/Calculations_APPURT[[#This Row],[Brackets]],0) * cv_M/cv_F * Forces_APPURT[[#This Row],[Alpha Fai 120]] * Calculations_APPURT[[#This Row],[Lateral Offset]]/12</f>
        <v>0</v>
      </c>
      <c r="SS14" s="338">
        <f>IFERROR(1/Calculations_APPURT[[#This Row],[Brackets]],0) * cv_M/cv_F * Forces_APPURT[[#This Row],[Alpha Fai 135]] * Calculations_APPURT[[#This Row],[Lateral Offset]]/12</f>
        <v>0</v>
      </c>
      <c r="ST14" s="338">
        <f>IFERROR(1/Calculations_APPURT[[#This Row],[Brackets]],0) * cv_M/cv_F * Forces_APPURT[[#This Row],[Alpha Fai 150]] * Calculations_APPURT[[#This Row],[Lateral Offset]]/12</f>
        <v>0</v>
      </c>
      <c r="SU14" s="338">
        <f>IFERROR(1/Calculations_APPURT[[#This Row],[Brackets]],0) * cv_M/cv_F * Forces_APPURT[[#This Row],[Alpha Fai 180]] * Calculations_APPURT[[#This Row],[Lateral Offset]]/12</f>
        <v>0</v>
      </c>
      <c r="SV14" s="338">
        <f>IFERROR(1/Calculations_APPURT[[#This Row],[Brackets]],0) * cv_M/cv_F * Forces_APPURT[[#This Row],[Alpha Fai 210]] * Calculations_APPURT[[#This Row],[Lateral Offset]]/12</f>
        <v>0</v>
      </c>
      <c r="SW14" s="338">
        <f>IFERROR(1/Calculations_APPURT[[#This Row],[Brackets]],0) * cv_M/cv_F * Forces_APPURT[[#This Row],[Alpha Fai 225]] * Calculations_APPURT[[#This Row],[Lateral Offset]]/12</f>
        <v>0</v>
      </c>
      <c r="SX14" s="338">
        <f>IFERROR(1/Calculations_APPURT[[#This Row],[Brackets]],0) * cv_M/cv_F * Forces_APPURT[[#This Row],[Alpha Fai 240]] * Calculations_APPURT[[#This Row],[Lateral Offset]]/12</f>
        <v>0</v>
      </c>
      <c r="SY14" s="338">
        <f>IFERROR(1/Calculations_APPURT[[#This Row],[Brackets]],0) * cv_M/cv_F * Forces_APPURT[[#This Row],[Alpha Fai 270]] * Calculations_APPURT[[#This Row],[Lateral Offset]]/12</f>
        <v>0</v>
      </c>
      <c r="SZ14" s="338">
        <f>IFERROR(1/Calculations_APPURT[[#This Row],[Brackets]],0) * cv_M/cv_F * Forces_APPURT[[#This Row],[Alpha Fai 300]] * Calculations_APPURT[[#This Row],[Lateral Offset]]/12</f>
        <v>0</v>
      </c>
      <c r="TA14" s="338">
        <f>IFERROR(1/Calculations_APPURT[[#This Row],[Brackets]],0) * cv_M/cv_F * Forces_APPURT[[#This Row],[Alpha Fai 315]] * Calculations_APPURT[[#This Row],[Lateral Offset]]/12</f>
        <v>0</v>
      </c>
      <c r="TB14" s="338">
        <f>IFERROR(1/Calculations_APPURT[[#This Row],[Brackets]],0) * cv_M/cv_F * Forces_APPURT[[#This Row],[Alpha Fai 330]] * Calculations_APPURT[[#This Row],[Lateral Offset]]/12</f>
        <v>0</v>
      </c>
      <c r="TC14" s="276">
        <f>IFERROR(1/Calculations_APPURT[[#This Row],[Brackets]],0) * cv_M/cv_F * Forces_APPURT[[#This Row],[Beta Fai 0]] * Calculations_APPURT[[#This Row],[Lateral Offset]]/12</f>
        <v>0</v>
      </c>
      <c r="TD14" s="276">
        <f>IFERROR(1/Calculations_APPURT[[#This Row],[Brackets]],0) * cv_M/cv_F * Forces_APPURT[[#This Row],[Beta Fai 30]] * Calculations_APPURT[[#This Row],[Lateral Offset]]/12</f>
        <v>0</v>
      </c>
      <c r="TE14" s="276">
        <f>IFERROR(1/Calculations_APPURT[[#This Row],[Brackets]],0) * cv_M/cv_F * Forces_APPURT[[#This Row],[Beta Fai 45]] * Calculations_APPURT[[#This Row],[Lateral Offset]]/12</f>
        <v>0</v>
      </c>
      <c r="TF14" s="276">
        <f>IFERROR(1/Calculations_APPURT[[#This Row],[Brackets]],0) * cv_M/cv_F * Forces_APPURT[[#This Row],[Beta Fai 60]] * Calculations_APPURT[[#This Row],[Lateral Offset]]/12</f>
        <v>0</v>
      </c>
      <c r="TG14" s="276">
        <f>IFERROR(1/Calculations_APPURT[[#This Row],[Brackets]],0) * cv_M/cv_F * Forces_APPURT[[#This Row],[Beta Fai 90]] * Calculations_APPURT[[#This Row],[Lateral Offset]]/12</f>
        <v>0</v>
      </c>
      <c r="TH14" s="276">
        <f>IFERROR(1/Calculations_APPURT[[#This Row],[Brackets]],0) * cv_M/cv_F * Forces_APPURT[[#This Row],[Beta Fai 120]] * Calculations_APPURT[[#This Row],[Lateral Offset]]/12</f>
        <v>0</v>
      </c>
      <c r="TI14" s="276">
        <f>IFERROR(1/Calculations_APPURT[[#This Row],[Brackets]],0) * cv_M/cv_F * Forces_APPURT[[#This Row],[Beta Fai 135]] * Calculations_APPURT[[#This Row],[Lateral Offset]]/12</f>
        <v>0</v>
      </c>
      <c r="TJ14" s="276">
        <f>IFERROR(1/Calculations_APPURT[[#This Row],[Brackets]],0) * cv_M/cv_F * Forces_APPURT[[#This Row],[Beta Fai 150]] * Calculations_APPURT[[#This Row],[Lateral Offset]]/12</f>
        <v>0</v>
      </c>
      <c r="TK14" s="276">
        <f>IFERROR(1/Calculations_APPURT[[#This Row],[Brackets]],0) * cv_M/cv_F * Forces_APPURT[[#This Row],[Beta Fai 180]] * Calculations_APPURT[[#This Row],[Lateral Offset]]/12</f>
        <v>0</v>
      </c>
      <c r="TL14" s="276">
        <f>IFERROR(1/Calculations_APPURT[[#This Row],[Brackets]],0) * cv_M/cv_F * Forces_APPURT[[#This Row],[Beta Fai 210]] * Calculations_APPURT[[#This Row],[Lateral Offset]]/12</f>
        <v>0</v>
      </c>
      <c r="TM14" s="276">
        <f>IFERROR(1/Calculations_APPURT[[#This Row],[Brackets]],0) * cv_M/cv_F * Forces_APPURT[[#This Row],[Beta Fai 225]] * Calculations_APPURT[[#This Row],[Lateral Offset]]/12</f>
        <v>0</v>
      </c>
      <c r="TN14" s="276">
        <f>IFERROR(1/Calculations_APPURT[[#This Row],[Brackets]],0) * cv_M/cv_F * Forces_APPURT[[#This Row],[Beta Fai 240]] * Calculations_APPURT[[#This Row],[Lateral Offset]]/12</f>
        <v>0</v>
      </c>
      <c r="TO14" s="276">
        <f>IFERROR(1/Calculations_APPURT[[#This Row],[Brackets]],0) * cv_M/cv_F * Forces_APPURT[[#This Row],[Beta Fai 270]] * Calculations_APPURT[[#This Row],[Lateral Offset]]/12</f>
        <v>0</v>
      </c>
      <c r="TP14" s="276">
        <f>IFERROR(1/Calculations_APPURT[[#This Row],[Brackets]],0) * cv_M/cv_F * Forces_APPURT[[#This Row],[Beta Fai 300]] * Calculations_APPURT[[#This Row],[Lateral Offset]]/12</f>
        <v>0</v>
      </c>
      <c r="TQ14" s="276">
        <f>IFERROR(1/Calculations_APPURT[[#This Row],[Brackets]],0) * cv_M/cv_F * Forces_APPURT[[#This Row],[Beta Fai 315]] * Calculations_APPURT[[#This Row],[Lateral Offset]]/12</f>
        <v>0</v>
      </c>
      <c r="TR14" s="276">
        <f>IFERROR(1/Calculations_APPURT[[#This Row],[Brackets]],0) * cv_M/cv_F * Forces_APPURT[[#This Row],[Beta Fai 330]] * Calculations_APPURT[[#This Row],[Lateral Offset]]/12</f>
        <v>0</v>
      </c>
      <c r="TS14" s="338">
        <f>IFERROR(1/Calculations_APPURT[[#This Row],[Brackets]],0) * cv_M/cv_F * Forces_APPURT[[#This Row],[Gamma Fai 0]] * Calculations_APPURT[[#This Row],[Lateral Offset]]/12</f>
        <v>0</v>
      </c>
      <c r="TT14" s="338">
        <f>IFERROR(1/Calculations_APPURT[[#This Row],[Brackets]],0) * cv_M/cv_F * Forces_APPURT[[#This Row],[Gamma Fai 30]] * Calculations_APPURT[[#This Row],[Lateral Offset]]/12</f>
        <v>0</v>
      </c>
      <c r="TU14" s="338">
        <f>IFERROR(1/Calculations_APPURT[[#This Row],[Brackets]],0) * cv_M/cv_F * Forces_APPURT[[#This Row],[Gamma Fai 45]] * Calculations_APPURT[[#This Row],[Lateral Offset]]/12</f>
        <v>0</v>
      </c>
      <c r="TV14" s="338">
        <f>IFERROR(1/Calculations_APPURT[[#This Row],[Brackets]],0) * cv_M/cv_F * Forces_APPURT[[#This Row],[Gamma Fai 60]] * Calculations_APPURT[[#This Row],[Lateral Offset]]/12</f>
        <v>0</v>
      </c>
      <c r="TW14" s="338">
        <f>IFERROR(1/Calculations_APPURT[[#This Row],[Brackets]],0) * cv_M/cv_F * Forces_APPURT[[#This Row],[Gamma Fai 90]] * Calculations_APPURT[[#This Row],[Lateral Offset]]/12</f>
        <v>0</v>
      </c>
      <c r="TX14" s="338">
        <f>IFERROR(1/Calculations_APPURT[[#This Row],[Brackets]],0) * cv_M/cv_F * Forces_APPURT[[#This Row],[Gamma Fai 120]] * Calculations_APPURT[[#This Row],[Lateral Offset]]/12</f>
        <v>0</v>
      </c>
      <c r="TY14" s="338">
        <f>IFERROR(1/Calculations_APPURT[[#This Row],[Brackets]],0) * cv_M/cv_F * Forces_APPURT[[#This Row],[Gamma Fai 135]] * Calculations_APPURT[[#This Row],[Lateral Offset]]/12</f>
        <v>0</v>
      </c>
      <c r="TZ14" s="338">
        <f>IFERROR(1/Calculations_APPURT[[#This Row],[Brackets]],0) * cv_M/cv_F * Forces_APPURT[[#This Row],[Gamma Fai 150]] * Calculations_APPURT[[#This Row],[Lateral Offset]]/12</f>
        <v>0</v>
      </c>
      <c r="UA14" s="338">
        <f>IFERROR(1/Calculations_APPURT[[#This Row],[Brackets]],0) * cv_M/cv_F * Forces_APPURT[[#This Row],[Gamma Fai 180]] * Calculations_APPURT[[#This Row],[Lateral Offset]]/12</f>
        <v>0</v>
      </c>
      <c r="UB14" s="338">
        <f>IFERROR(1/Calculations_APPURT[[#This Row],[Brackets]],0) * cv_M/cv_F * Forces_APPURT[[#This Row],[Gamma Fai 210]] * Calculations_APPURT[[#This Row],[Lateral Offset]]/12</f>
        <v>0</v>
      </c>
      <c r="UC14" s="338">
        <f>IFERROR(1/Calculations_APPURT[[#This Row],[Brackets]],0) * cv_M/cv_F * Forces_APPURT[[#This Row],[Gamma Fai 225]] * Calculations_APPURT[[#This Row],[Lateral Offset]]/12</f>
        <v>0</v>
      </c>
      <c r="UD14" s="338">
        <f>IFERROR(1/Calculations_APPURT[[#This Row],[Brackets]],0) * cv_M/cv_F * Forces_APPURT[[#This Row],[Gamma Fai 240]] * Calculations_APPURT[[#This Row],[Lateral Offset]]/12</f>
        <v>0</v>
      </c>
      <c r="UE14" s="338">
        <f>IFERROR(1/Calculations_APPURT[[#This Row],[Brackets]],0) * cv_M/cv_F * Forces_APPURT[[#This Row],[Gamma Fai 270]] * Calculations_APPURT[[#This Row],[Lateral Offset]]/12</f>
        <v>0</v>
      </c>
      <c r="UF14" s="338">
        <f>IFERROR(1/Calculations_APPURT[[#This Row],[Brackets]],0) * cv_M/cv_F * Forces_APPURT[[#This Row],[Gamma Fai 300]] * Calculations_APPURT[[#This Row],[Lateral Offset]]/12</f>
        <v>0</v>
      </c>
      <c r="UG14" s="338">
        <f>IFERROR(1/Calculations_APPURT[[#This Row],[Brackets]],0) * cv_M/cv_F * Forces_APPURT[[#This Row],[Gamma Fai 315]] * Calculations_APPURT[[#This Row],[Lateral Offset]]/12</f>
        <v>0</v>
      </c>
      <c r="UH14" s="338">
        <f>IFERROR(1/Calculations_APPURT[[#This Row],[Brackets]],0) * cv_M/cv_F * Forces_APPURT[[#This Row],[Gamma Fai 330]] * Calculations_APPURT[[#This Row],[Lateral Offset]]/12</f>
        <v>0</v>
      </c>
      <c r="UI14" s="276">
        <f>IFERROR(1/Calculations_APPURT[[#This Row],[Brackets]],0) * cv_M/cv_F * Forces_APPURT[[#This Row],[Delta Fai 0]] * Calculations_APPURT[[#This Row],[Lateral Offset]]/12</f>
        <v>0</v>
      </c>
      <c r="UJ14" s="276">
        <f>IFERROR(1/Calculations_APPURT[[#This Row],[Brackets]],0) * cv_M/cv_F * Forces_APPURT[[#This Row],[Delta Fai 30]] * Calculations_APPURT[[#This Row],[Lateral Offset]]/12</f>
        <v>0</v>
      </c>
      <c r="UK14" s="276">
        <f>IFERROR(1/Calculations_APPURT[[#This Row],[Brackets]],0) * cv_M/cv_F * Forces_APPURT[[#This Row],[Delta Fai 45]] * Calculations_APPURT[[#This Row],[Lateral Offset]]/12</f>
        <v>0</v>
      </c>
      <c r="UL14" s="276">
        <f>IFERROR(1/Calculations_APPURT[[#This Row],[Brackets]],0) * cv_M/cv_F * Forces_APPURT[[#This Row],[Delta Fai 60]] * Calculations_APPURT[[#This Row],[Lateral Offset]]/12</f>
        <v>0</v>
      </c>
      <c r="UM14" s="276">
        <f>IFERROR(1/Calculations_APPURT[[#This Row],[Brackets]],0) * cv_M/cv_F * Forces_APPURT[[#This Row],[Delta Fai 90]] * Calculations_APPURT[[#This Row],[Lateral Offset]]/12</f>
        <v>0</v>
      </c>
      <c r="UN14" s="276">
        <f>IFERROR(1/Calculations_APPURT[[#This Row],[Brackets]],0) * cv_M/cv_F * Forces_APPURT[[#This Row],[Delta Fai 120]] * Calculations_APPURT[[#This Row],[Lateral Offset]]/12</f>
        <v>0</v>
      </c>
      <c r="UO14" s="276">
        <f>IFERROR(1/Calculations_APPURT[[#This Row],[Brackets]],0) * cv_M/cv_F * Forces_APPURT[[#This Row],[Delta Fai 135]] * Calculations_APPURT[[#This Row],[Lateral Offset]]/12</f>
        <v>0</v>
      </c>
      <c r="UP14" s="276">
        <f>IFERROR(1/Calculations_APPURT[[#This Row],[Brackets]],0) * cv_M/cv_F * Forces_APPURT[[#This Row],[Delta Fai 150]] * Calculations_APPURT[[#This Row],[Lateral Offset]]/12</f>
        <v>0</v>
      </c>
      <c r="UQ14" s="276">
        <f>IFERROR(1/Calculations_APPURT[[#This Row],[Brackets]],0) * cv_M/cv_F * Forces_APPURT[[#This Row],[Delta Fai 180]] * Calculations_APPURT[[#This Row],[Lateral Offset]]/12</f>
        <v>0</v>
      </c>
      <c r="UR14" s="276">
        <f>IFERROR(1/Calculations_APPURT[[#This Row],[Brackets]],0) * cv_M/cv_F * Forces_APPURT[[#This Row],[Delta Fai 210]] * Calculations_APPURT[[#This Row],[Lateral Offset]]/12</f>
        <v>0</v>
      </c>
      <c r="US14" s="276">
        <f>IFERROR(1/Calculations_APPURT[[#This Row],[Brackets]],0) * cv_M/cv_F * Forces_APPURT[[#This Row],[Delta Fai 225]] * Calculations_APPURT[[#This Row],[Lateral Offset]]/12</f>
        <v>0</v>
      </c>
      <c r="UT14" s="276">
        <f>IFERROR(1/Calculations_APPURT[[#This Row],[Brackets]],0) * cv_M/cv_F * Forces_APPURT[[#This Row],[Delta Fai 240]] * Calculations_APPURT[[#This Row],[Lateral Offset]]/12</f>
        <v>0</v>
      </c>
      <c r="UU14" s="276">
        <f>IFERROR(1/Calculations_APPURT[[#This Row],[Brackets]],0) * cv_M/cv_F * Forces_APPURT[[#This Row],[Delta Fai 270]] * Calculations_APPURT[[#This Row],[Lateral Offset]]/12</f>
        <v>0</v>
      </c>
      <c r="UV14" s="276">
        <f>IFERROR(1/Calculations_APPURT[[#This Row],[Brackets]],0) * cv_M/cv_F * Forces_APPURT[[#This Row],[Delta Fai 300]] * Calculations_APPURT[[#This Row],[Lateral Offset]]/12</f>
        <v>0</v>
      </c>
      <c r="UW14" s="276">
        <f>IFERROR(1/Calculations_APPURT[[#This Row],[Brackets]],0) * cv_M/cv_F * Forces_APPURT[[#This Row],[Delta Fai 315]] * Calculations_APPURT[[#This Row],[Lateral Offset]]/12</f>
        <v>0</v>
      </c>
      <c r="UX14" s="276">
        <f>IFERROR(1/Calculations_APPURT[[#This Row],[Brackets]],0) * cv_M/cv_F * Forces_APPURT[[#This Row],[Delta Fai 330]] * Calculations_APPURT[[#This Row],[Lateral Offset]]/12</f>
        <v>0</v>
      </c>
      <c r="UY14" s="338">
        <f>Dimensions_APPURT[[#This Row],[Weight (lbf)]] * cv_F * AlphaSector[[#This Row],[Quantity]]</f>
        <v>0</v>
      </c>
      <c r="UZ14" s="338">
        <f>Dimensions_APPURT[[#This Row],[Weight (lbf)]] * cv_F * BetaSector[[#This Row],[Quantity]]</f>
        <v>0</v>
      </c>
      <c r="VA14" s="338">
        <f>Dimensions_APPURT[[#This Row],[Weight (lbf)]] * cv_F * GammaSector[[#This Row],[Quantity]]</f>
        <v>0</v>
      </c>
      <c r="VB14" s="338">
        <f>Dimensions_APPURT[[#This Row],[Weight (lbf)]] * cv_F * DeltaSector[[#This Row],[Quantity]]</f>
        <v>0</v>
      </c>
      <c r="VC14" s="209">
        <f>Dimensions_APPURT[[#This Row],[Weight (lbf)]] * cv_M * AlphaSector[[#This Row],[Quantity]] * Calculations_APPURT[[#This Row],[Horizontal Offset]]/12</f>
        <v>0</v>
      </c>
      <c r="VD14" s="209">
        <f>Dimensions_APPURT[[#This Row],[Weight (lbf)]] * cv_M * BetaSector[[#This Row],[Quantity]] * Calculations_APPURT[[#This Row],[Horizontal Offset]]/12</f>
        <v>0</v>
      </c>
      <c r="VE14" s="209">
        <f>Dimensions_APPURT[[#This Row],[Weight (lbf)]] * cv_M * GammaSector[[#This Row],[Quantity]] * Calculations_APPURT[[#This Row],[Horizontal Offset]]/12</f>
        <v>0</v>
      </c>
      <c r="VF14" s="209">
        <f>Dimensions_APPURT[[#This Row],[Weight (lbf)]] * cv_M * DeltaSector[[#This Row],[Quantity]] * Calculations_APPURT[[#This Row],[Horizontal Offset]]/12</f>
        <v>0</v>
      </c>
      <c r="VG14" s="338">
        <f>Hazards_APPURT[[#This Row],[Ice Weight]] * cv_F * AlphaSector[[#This Row],[Quantity]]</f>
        <v>0</v>
      </c>
      <c r="VH14" s="338">
        <f>Hazards_APPURT[[#This Row],[Ice Weight]] * cv_F * BetaSector[[#This Row],[Quantity]]</f>
        <v>0</v>
      </c>
      <c r="VI14" s="338">
        <f>Hazards_APPURT[[#This Row],[Ice Weight]] * cv_F * GammaSector[[#This Row],[Quantity]]</f>
        <v>0</v>
      </c>
      <c r="VJ14" s="338">
        <f>Hazards_APPURT[[#This Row],[Ice Weight]] * cv_F * DeltaSector[[#This Row],[Quantity]]</f>
        <v>0</v>
      </c>
      <c r="VK14" s="209">
        <f>Hazards_APPURT[[#This Row],[Ice Weight]] * cv_M * AlphaSector[[#This Row],[Quantity]] * Calculations_APPURT[[#This Row],[Horizontal Offset]]/12</f>
        <v>0</v>
      </c>
      <c r="VL14" s="209">
        <f>Hazards_APPURT[[#This Row],[Ice Weight]] * cv_M * BetaSector[[#This Row],[Quantity]] * Calculations_APPURT[[#This Row],[Horizontal Offset]]/12</f>
        <v>0</v>
      </c>
      <c r="VM14" s="209">
        <f>Hazards_APPURT[[#This Row],[Ice Weight]] * cv_M * GammaSector[[#This Row],[Quantity]] * Calculations_APPURT[[#This Row],[Horizontal Offset]]/12</f>
        <v>0</v>
      </c>
      <c r="VN14" s="209">
        <f>Hazards_APPURT[[#This Row],[Ice Weight]] * cv_M * DeltaSector[[#This Row],[Quantity]] * Calculations_APPURT[[#This Row],[Horizontal Offset]]/12</f>
        <v>0</v>
      </c>
    </row>
    <row r="15" spans="1:586" ht="15" customHeight="1" x14ac:dyDescent="0.2">
      <c r="A15" s="69"/>
      <c r="E15" s="265"/>
      <c r="L15" s="69"/>
      <c r="R15" s="70"/>
      <c r="T15" s="69"/>
      <c r="V15" s="71"/>
      <c r="W15" s="69"/>
      <c r="X15" s="71"/>
      <c r="Y15" s="69"/>
      <c r="Z15" s="70"/>
      <c r="AB15" s="69"/>
      <c r="AD15" s="71"/>
      <c r="AE15" s="69"/>
      <c r="AF15" s="71"/>
      <c r="AG15" s="69"/>
      <c r="AH15" s="70"/>
      <c r="AJ15" s="69"/>
      <c r="AL15" s="71"/>
      <c r="AM15" s="69"/>
      <c r="AN15" s="71"/>
      <c r="AO15" s="69"/>
      <c r="AP15" s="70"/>
      <c r="AR15" s="69"/>
      <c r="AV15" s="277" cm="1">
        <f t="array" ref="AV15">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5" s="209" cm="1">
        <f t="array" ref="AW15">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5" s="209" cm="1">
        <f t="array" ref="AX15">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5" s="209" cm="1">
        <f t="array" ref="AY15">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5"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5" s="209" cm="1">
        <f t="array" ref="BA15">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5" s="209">
        <f>IF(OR(Calculations_APPURT[[#This Row],[Shape]]="CFD",Calculations_APPURT[[#This Row],[Shape]]="CCI"),1,0.95)</f>
        <v>0.95</v>
      </c>
      <c r="BC15" s="209" cm="1">
        <f t="array" ref="BC15">0.00256 * Hazards_APPURT[[#This Row],[Kz]] * Kzt * Ks * I.wind * V^2 * IF(RIGHT(TIA,1)="G",1,Ke) * IF(OR(Calculations_APPURT[[#This Row],[Shape]]="CFD",Calculations_APPURT[[#This Row],[Shape]]="CCI"),1, Hazards_APPURT[[#This Row],[Kd]]) * Gh</f>
        <v>0</v>
      </c>
      <c r="BD15" s="209">
        <f>IF(Risk="I",0,MIN(((z+Calculations_APPURT[[#This Row],[Vertical Offset]]/12)/33)^(0.1),1.4))</f>
        <v>0</v>
      </c>
      <c r="BE15" s="209" cm="1">
        <f t="array" ref="BE15">IF(Risk="I",0,IF(TIA="ANSI/TIA-222-G",2,1*Kes.i)*ti*I.ice*Hazards_APPURT[[#This Row],[Kiz]]*(Kzt/Ks)^(0.35))</f>
        <v>0</v>
      </c>
      <c r="BF15" s="209" cm="1">
        <f t="array" ref="BF15">0.00256 * Hazards_APPURT[[#This Row],[Kz]] * Kzt * Ks * I.wind * Vi^2 * IF(RIGHT(TIA,1)="G",1,Ke) * IF(OR(Calculations_APPURT[[#This Row],[Shape]]="CFD",Calculations_APPURT[[#This Row],[Shape]]="CCI"),1, Kd) * Gh</f>
        <v>0</v>
      </c>
      <c r="BG15"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5"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5"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5"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5"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5"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5"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5"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5"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5"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5"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5"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5"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5"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5"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5"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5"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5"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5"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5"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5"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5"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5"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5"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5"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5"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5"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5"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5"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5"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5"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5"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5"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5"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5"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5"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5"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5"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5"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5"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5"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5"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5"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5"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5"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5"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5"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5"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5"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5"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5"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5"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5"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5"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5"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5"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5"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5"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5"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5"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5"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5"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5"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5"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5" s="276">
        <f>IFERROR(1/Calculations_APPURT[[#This Row],[Brackets]],0) * cv_F * AlphaSector[[#This Row],[Quantity]] * Hazards_APPURT[[#This Row],[qz]] * CaAa_APPURT[[#This Row],[Alpha 0]] * IF(Calculations_APPURT[[#This Row],[Shape]]="CFD",1, Ka)</f>
        <v>0</v>
      </c>
      <c r="GF15" s="276">
        <f>IFERROR(1/Calculations_APPURT[[#This Row],[Brackets]],0) * cv_F * AlphaSector[[#This Row],[Quantity]] * Hazards_APPURT[[#This Row],[qz]] * CaAa_APPURT[[#This Row],[Alpha 30]] * IF(Calculations_APPURT[[#This Row],[Shape]]="CFD",1, Ka)</f>
        <v>0</v>
      </c>
      <c r="GG15" s="276">
        <f>IFERROR(1/Calculations_APPURT[[#This Row],[Brackets]],0) * cv_F * AlphaSector[[#This Row],[Quantity]] * Hazards_APPURT[[#This Row],[qz]] * CaAa_APPURT[[#This Row],[Alpha 45]] * IF(Calculations_APPURT[[#This Row],[Shape]]="CFD",1, Ka)</f>
        <v>0</v>
      </c>
      <c r="GH15" s="276">
        <f>IFERROR(1/Calculations_APPURT[[#This Row],[Brackets]],0) * cv_F * AlphaSector[[#This Row],[Quantity]] * Hazards_APPURT[[#This Row],[qz]] * CaAa_APPURT[[#This Row],[Alpha 60]] * IF(Calculations_APPURT[[#This Row],[Shape]]="CFD",1, Ka)</f>
        <v>0</v>
      </c>
      <c r="GI15" s="276">
        <f>IFERROR(1/Calculations_APPURT[[#This Row],[Brackets]],0) * cv_F * AlphaSector[[#This Row],[Quantity]] * Hazards_APPURT[[#This Row],[qz]] * CaAa_APPURT[[#This Row],[Alpha 90]] * IF(Calculations_APPURT[[#This Row],[Shape]]="CFD",1, Ka)</f>
        <v>0</v>
      </c>
      <c r="GJ15" s="276">
        <f>IFERROR(1/Calculations_APPURT[[#This Row],[Brackets]],0) * cv_F * AlphaSector[[#This Row],[Quantity]] * Hazards_APPURT[[#This Row],[qz]] * CaAa_APPURT[[#This Row],[Alpha 120]] * IF(Calculations_APPURT[[#This Row],[Shape]]="CFD",1, Ka)</f>
        <v>0</v>
      </c>
      <c r="GK15" s="276">
        <f>IFERROR(1/Calculations_APPURT[[#This Row],[Brackets]],0) * cv_F * AlphaSector[[#This Row],[Quantity]] * Hazards_APPURT[[#This Row],[qz]] * CaAa_APPURT[[#This Row],[Alpha 135]] * IF(Calculations_APPURT[[#This Row],[Shape]]="CFD",1, Ka)</f>
        <v>0</v>
      </c>
      <c r="GL15" s="276">
        <f>IFERROR(1/Calculations_APPURT[[#This Row],[Brackets]],0) * cv_F * AlphaSector[[#This Row],[Quantity]] * Hazards_APPURT[[#This Row],[qz]] * CaAa_APPURT[[#This Row],[Alpha 150]] * IF(Calculations_APPURT[[#This Row],[Shape]]="CFD",1, Ka)</f>
        <v>0</v>
      </c>
      <c r="GM15" s="276">
        <f>IFERROR(1/Calculations_APPURT[[#This Row],[Brackets]],0) * cv_F * AlphaSector[[#This Row],[Quantity]] * Hazards_APPURT[[#This Row],[qz]] * CaAa_APPURT[[#This Row],[Alpha 180]] * IF(Calculations_APPURT[[#This Row],[Shape]]="CFD",1, Ka)</f>
        <v>0</v>
      </c>
      <c r="GN15" s="276">
        <f>IFERROR(1/Calculations_APPURT[[#This Row],[Brackets]],0) * cv_F * AlphaSector[[#This Row],[Quantity]] * Hazards_APPURT[[#This Row],[qz]] * CaAa_APPURT[[#This Row],[Alpha 210]] * IF(Calculations_APPURT[[#This Row],[Shape]]="CFD",1, Ka)</f>
        <v>0</v>
      </c>
      <c r="GO15" s="276">
        <f>IFERROR(1/Calculations_APPURT[[#This Row],[Brackets]],0) * cv_F * AlphaSector[[#This Row],[Quantity]] * Hazards_APPURT[[#This Row],[qz]] * CaAa_APPURT[[#This Row],[Alpha 225]] * IF(Calculations_APPURT[[#This Row],[Shape]]="CFD",1, Ka)</f>
        <v>0</v>
      </c>
      <c r="GP15" s="276">
        <f>IFERROR(1/Calculations_APPURT[[#This Row],[Brackets]],0) * cv_F * AlphaSector[[#This Row],[Quantity]] * Hazards_APPURT[[#This Row],[qz]] * CaAa_APPURT[[#This Row],[Alpha 240]] * IF(Calculations_APPURT[[#This Row],[Shape]]="CFD",1, Ka)</f>
        <v>0</v>
      </c>
      <c r="GQ15" s="276">
        <f>IFERROR(1/Calculations_APPURT[[#This Row],[Brackets]],0) * cv_F * AlphaSector[[#This Row],[Quantity]] * Hazards_APPURT[[#This Row],[qz]] * CaAa_APPURT[[#This Row],[Alpha 270]] * IF(Calculations_APPURT[[#This Row],[Shape]]="CFD",1, Ka)</f>
        <v>0</v>
      </c>
      <c r="GR15" s="276">
        <f>IFERROR(1/Calculations_APPURT[[#This Row],[Brackets]],0) * cv_F * AlphaSector[[#This Row],[Quantity]] * Hazards_APPURT[[#This Row],[qz]] * CaAa_APPURT[[#This Row],[Alpha 300]] * IF(Calculations_APPURT[[#This Row],[Shape]]="CFD",1, Ka)</f>
        <v>0</v>
      </c>
      <c r="GS15" s="276">
        <f>IFERROR(1/Calculations_APPURT[[#This Row],[Brackets]],0) * cv_F * AlphaSector[[#This Row],[Quantity]] * Hazards_APPURT[[#This Row],[qz]] * CaAa_APPURT[[#This Row],[Alpha 315]] * IF(Calculations_APPURT[[#This Row],[Shape]]="CFD",1, Ka)</f>
        <v>0</v>
      </c>
      <c r="GT15" s="276">
        <f>IFERROR(1/Calculations_APPURT[[#This Row],[Brackets]],0) * cv_F * AlphaSector[[#This Row],[Quantity]] * Hazards_APPURT[[#This Row],[qz]] * CaAa_APPURT[[#This Row],[Alpha 330]] * IF(Calculations_APPURT[[#This Row],[Shape]]="CFD",1, Ka)</f>
        <v>0</v>
      </c>
      <c r="GU15" s="276">
        <f>IFERROR(1/Calculations_APPURT[[#This Row],[Brackets]],0) * cv_F * BetaSector[[#This Row],[Quantity]] * Hazards_APPURT[[#This Row],[qz]] * CaAa_APPURT[[#This Row],[Beta 0]] * IF(Calculations_APPURT[[#This Row],[Shape]]="CFD",1, Ka)</f>
        <v>0</v>
      </c>
      <c r="GV15" s="276">
        <f>IFERROR(1/Calculations_APPURT[[#This Row],[Brackets]],0) * cv_F * BetaSector[[#This Row],[Quantity]] * Hazards_APPURT[[#This Row],[qz]] * CaAa_APPURT[[#This Row],[Beta 30]] * IF(Calculations_APPURT[[#This Row],[Shape]]="CFD",1, Ka)</f>
        <v>0</v>
      </c>
      <c r="GW15" s="276">
        <f>IFERROR(1/Calculations_APPURT[[#This Row],[Brackets]],0) * cv_F * BetaSector[[#This Row],[Quantity]] * Hazards_APPURT[[#This Row],[qz]] * CaAa_APPURT[[#This Row],[Beta 45]] * IF(Calculations_APPURT[[#This Row],[Shape]]="CFD",1, Ka)</f>
        <v>0</v>
      </c>
      <c r="GX15" s="276">
        <f>IFERROR(1/Calculations_APPURT[[#This Row],[Brackets]],0) * cv_F * BetaSector[[#This Row],[Quantity]] * Hazards_APPURT[[#This Row],[qz]] * CaAa_APPURT[[#This Row],[Beta 60]] * IF(Calculations_APPURT[[#This Row],[Shape]]="CFD",1, Ka)</f>
        <v>0</v>
      </c>
      <c r="GY15" s="276">
        <f>IFERROR(1/Calculations_APPURT[[#This Row],[Brackets]],0) * cv_F * BetaSector[[#This Row],[Quantity]] * Hazards_APPURT[[#This Row],[qz]] * CaAa_APPURT[[#This Row],[Beta 90]] * IF(Calculations_APPURT[[#This Row],[Shape]]="CFD",1, Ka)</f>
        <v>0</v>
      </c>
      <c r="GZ15" s="276">
        <f>IFERROR(1/Calculations_APPURT[[#This Row],[Brackets]],0) * cv_F * BetaSector[[#This Row],[Quantity]] * Hazards_APPURT[[#This Row],[qz]] * CaAa_APPURT[[#This Row],[Beta 120]] * IF(Calculations_APPURT[[#This Row],[Shape]]="CFD",1, Ka)</f>
        <v>0</v>
      </c>
      <c r="HA15" s="276">
        <f>IFERROR(1/Calculations_APPURT[[#This Row],[Brackets]],0) * cv_F * BetaSector[[#This Row],[Quantity]] * Hazards_APPURT[[#This Row],[qz]] * CaAa_APPURT[[#This Row],[Beta 135]] * IF(Calculations_APPURT[[#This Row],[Shape]]="CFD",1, Ka)</f>
        <v>0</v>
      </c>
      <c r="HB15" s="276">
        <f>IFERROR(1/Calculations_APPURT[[#This Row],[Brackets]],0) * cv_F * BetaSector[[#This Row],[Quantity]] * Hazards_APPURT[[#This Row],[qz]] * CaAa_APPURT[[#This Row],[Beta 150]] * IF(Calculations_APPURT[[#This Row],[Shape]]="CFD",1, Ka)</f>
        <v>0</v>
      </c>
      <c r="HC15" s="276">
        <f>IFERROR(1/Calculations_APPURT[[#This Row],[Brackets]],0) * cv_F * BetaSector[[#This Row],[Quantity]] * Hazards_APPURT[[#This Row],[qz]] * CaAa_APPURT[[#This Row],[Beta 180]] * IF(Calculations_APPURT[[#This Row],[Shape]]="CFD",1, Ka)</f>
        <v>0</v>
      </c>
      <c r="HD15" s="276">
        <f>IFERROR(1/Calculations_APPURT[[#This Row],[Brackets]],0) * cv_F * BetaSector[[#This Row],[Quantity]] * Hazards_APPURT[[#This Row],[qz]] * CaAa_APPURT[[#This Row],[Beta 210]] * IF(Calculations_APPURT[[#This Row],[Shape]]="CFD",1, Ka)</f>
        <v>0</v>
      </c>
      <c r="HE15" s="276">
        <f>IFERROR(1/Calculations_APPURT[[#This Row],[Brackets]],0) * cv_F * BetaSector[[#This Row],[Quantity]] * Hazards_APPURT[[#This Row],[qz]] * CaAa_APPURT[[#This Row],[Beta 225]] * IF(Calculations_APPURT[[#This Row],[Shape]]="CFD",1, Ka)</f>
        <v>0</v>
      </c>
      <c r="HF15" s="276">
        <f>IFERROR(1/Calculations_APPURT[[#This Row],[Brackets]],0) * cv_F * BetaSector[[#This Row],[Quantity]] * Hazards_APPURT[[#This Row],[qz]] * CaAa_APPURT[[#This Row],[Beta 240]] * IF(Calculations_APPURT[[#This Row],[Shape]]="CFD",1, Ka)</f>
        <v>0</v>
      </c>
      <c r="HG15" s="276">
        <f>IFERROR(1/Calculations_APPURT[[#This Row],[Brackets]],0) * cv_F * BetaSector[[#This Row],[Quantity]] * Hazards_APPURT[[#This Row],[qz]] * CaAa_APPURT[[#This Row],[Beta 270]] * IF(Calculations_APPURT[[#This Row],[Shape]]="CFD",1, Ka)</f>
        <v>0</v>
      </c>
      <c r="HH15" s="276">
        <f>IFERROR(1/Calculations_APPURT[[#This Row],[Brackets]],0) * cv_F * BetaSector[[#This Row],[Quantity]] * Hazards_APPURT[[#This Row],[qz]] * CaAa_APPURT[[#This Row],[Beta 300]] * IF(Calculations_APPURT[[#This Row],[Shape]]="CFD",1, Ka)</f>
        <v>0</v>
      </c>
      <c r="HI15" s="276">
        <f>IFERROR(1/Calculations_APPURT[[#This Row],[Brackets]],0) * cv_F * BetaSector[[#This Row],[Quantity]] * Hazards_APPURT[[#This Row],[qz]] * CaAa_APPURT[[#This Row],[Beta 315]] * IF(Calculations_APPURT[[#This Row],[Shape]]="CFD",1, Ka)</f>
        <v>0</v>
      </c>
      <c r="HJ15" s="276">
        <f>IFERROR(1/Calculations_APPURT[[#This Row],[Brackets]],0) * cv_F * BetaSector[[#This Row],[Quantity]] * Hazards_APPURT[[#This Row],[qz]] * CaAa_APPURT[[#This Row],[Beta 330]] * IF(Calculations_APPURT[[#This Row],[Shape]]="CFD",1, Ka)</f>
        <v>0</v>
      </c>
      <c r="HK15" s="276">
        <f>IFERROR(1/Calculations_APPURT[[#This Row],[Brackets]],0) * cv_F * GammaSector[[#This Row],[Quantity]] * Hazards_APPURT[[#This Row],[qz]] * CaAa_APPURT[[#This Row],[Gamma 0]] * IF(Calculations_APPURT[[#This Row],[Shape]]="CFD",1, Ka)</f>
        <v>0</v>
      </c>
      <c r="HL15" s="276">
        <f>IFERROR(1/Calculations_APPURT[[#This Row],[Brackets]],0) * cv_F * GammaSector[[#This Row],[Quantity]] * Hazards_APPURT[[#This Row],[qz]] * CaAa_APPURT[[#This Row],[Gamma 30]] * IF(Calculations_APPURT[[#This Row],[Shape]]="CFD",1, Ka)</f>
        <v>0</v>
      </c>
      <c r="HM15" s="276">
        <f>IFERROR(1/Calculations_APPURT[[#This Row],[Brackets]],0) * cv_F * GammaSector[[#This Row],[Quantity]] * Hazards_APPURT[[#This Row],[qz]] * CaAa_APPURT[[#This Row],[Gamma 45]] * IF(Calculations_APPURT[[#This Row],[Shape]]="CFD",1, Ka)</f>
        <v>0</v>
      </c>
      <c r="HN15" s="276">
        <f>IFERROR(1/Calculations_APPURT[[#This Row],[Brackets]],0) * cv_F * GammaSector[[#This Row],[Quantity]] * Hazards_APPURT[[#This Row],[qz]] * CaAa_APPURT[[#This Row],[Gamma 60]] * IF(Calculations_APPURT[[#This Row],[Shape]]="CFD",1, Ka)</f>
        <v>0</v>
      </c>
      <c r="HO15" s="276">
        <f>IFERROR(1/Calculations_APPURT[[#This Row],[Brackets]],0) * cv_F * GammaSector[[#This Row],[Quantity]] * Hazards_APPURT[[#This Row],[qz]] * CaAa_APPURT[[#This Row],[Gamma 90]] * IF(Calculations_APPURT[[#This Row],[Shape]]="CFD",1, Ka)</f>
        <v>0</v>
      </c>
      <c r="HP15" s="276">
        <f>IFERROR(1/Calculations_APPURT[[#This Row],[Brackets]],0) * cv_F * GammaSector[[#This Row],[Quantity]] * Hazards_APPURT[[#This Row],[qz]] * CaAa_APPURT[[#This Row],[Gamma 120]] * IF(Calculations_APPURT[[#This Row],[Shape]]="CFD",1, Ka)</f>
        <v>0</v>
      </c>
      <c r="HQ15" s="276">
        <f>IFERROR(1/Calculations_APPURT[[#This Row],[Brackets]],0) * cv_F * GammaSector[[#This Row],[Quantity]] * Hazards_APPURT[[#This Row],[qz]] * CaAa_APPURT[[#This Row],[Gamma 135]] * IF(Calculations_APPURT[[#This Row],[Shape]]="CFD",1, Ka)</f>
        <v>0</v>
      </c>
      <c r="HR15" s="276">
        <f>IFERROR(1/Calculations_APPURT[[#This Row],[Brackets]],0) * cv_F * GammaSector[[#This Row],[Quantity]] * Hazards_APPURT[[#This Row],[qz]] * CaAa_APPURT[[#This Row],[Gamma 150]] * IF(Calculations_APPURT[[#This Row],[Shape]]="CFD",1, Ka)</f>
        <v>0</v>
      </c>
      <c r="HS15" s="276">
        <f>IFERROR(1/Calculations_APPURT[[#This Row],[Brackets]],0) * cv_F * GammaSector[[#This Row],[Quantity]] * Hazards_APPURT[[#This Row],[qz]] * CaAa_APPURT[[#This Row],[Gamma 180]] * IF(Calculations_APPURT[[#This Row],[Shape]]="CFD",1, Ka)</f>
        <v>0</v>
      </c>
      <c r="HT15" s="276">
        <f>IFERROR(1/Calculations_APPURT[[#This Row],[Brackets]],0) * cv_F * GammaSector[[#This Row],[Quantity]] * Hazards_APPURT[[#This Row],[qz]] * CaAa_APPURT[[#This Row],[Gamma 210]] * IF(Calculations_APPURT[[#This Row],[Shape]]="CFD",1, Ka)</f>
        <v>0</v>
      </c>
      <c r="HU15" s="276">
        <f>IFERROR(1/Calculations_APPURT[[#This Row],[Brackets]],0) * cv_F * GammaSector[[#This Row],[Quantity]] * Hazards_APPURT[[#This Row],[qz]] * CaAa_APPURT[[#This Row],[Gamma 225]] * IF(Calculations_APPURT[[#This Row],[Shape]]="CFD",1, Ka)</f>
        <v>0</v>
      </c>
      <c r="HV15" s="276">
        <f>IFERROR(1/Calculations_APPURT[[#This Row],[Brackets]],0) * cv_F * GammaSector[[#This Row],[Quantity]] * Hazards_APPURT[[#This Row],[qz]] * CaAa_APPURT[[#This Row],[Gamma 240]] * IF(Calculations_APPURT[[#This Row],[Shape]]="CFD",1, Ka)</f>
        <v>0</v>
      </c>
      <c r="HW15" s="276">
        <f>IFERROR(1/Calculations_APPURT[[#This Row],[Brackets]],0) * cv_F * GammaSector[[#This Row],[Quantity]] * Hazards_APPURT[[#This Row],[qz]] * CaAa_APPURT[[#This Row],[Gamma 270]] * IF(Calculations_APPURT[[#This Row],[Shape]]="CFD",1, Ka)</f>
        <v>0</v>
      </c>
      <c r="HX15" s="276">
        <f>IFERROR(1/Calculations_APPURT[[#This Row],[Brackets]],0) * cv_F * GammaSector[[#This Row],[Quantity]] * Hazards_APPURT[[#This Row],[qz]] * CaAa_APPURT[[#This Row],[Gamma 300]] * IF(Calculations_APPURT[[#This Row],[Shape]]="CFD",1, Ka)</f>
        <v>0</v>
      </c>
      <c r="HY15" s="276">
        <f>IFERROR(1/Calculations_APPURT[[#This Row],[Brackets]],0) * cv_F * GammaSector[[#This Row],[Quantity]] * Hazards_APPURT[[#This Row],[qz]] * CaAa_APPURT[[#This Row],[Gamma 315]] * IF(Calculations_APPURT[[#This Row],[Shape]]="CFD",1, Ka)</f>
        <v>0</v>
      </c>
      <c r="HZ15" s="276">
        <f>IFERROR(1/Calculations_APPURT[[#This Row],[Brackets]],0) * cv_F * GammaSector[[#This Row],[Quantity]] * Hazards_APPURT[[#This Row],[qz]] * CaAa_APPURT[[#This Row],[Gamma 330]] * IF(Calculations_APPURT[[#This Row],[Shape]]="CFD",1, Ka)</f>
        <v>0</v>
      </c>
      <c r="IA15" s="276">
        <f>IFERROR(1/Calculations_APPURT[[#This Row],[Brackets]],0) * cv_F * DeltaSector[[#This Row],[Quantity]] * Hazards_APPURT[[#This Row],[qz]] * CaAa_APPURT[[#This Row],[Delta 0]] * IF(Calculations_APPURT[[#This Row],[Shape]]="CFD",1, Ka)</f>
        <v>0</v>
      </c>
      <c r="IB15" s="276">
        <f>IFERROR(1/Calculations_APPURT[[#This Row],[Brackets]],0) * cv_F * DeltaSector[[#This Row],[Quantity]] * Hazards_APPURT[[#This Row],[qz]] * CaAa_APPURT[[#This Row],[Delta 30]] * IF(Calculations_APPURT[[#This Row],[Shape]]="CFD",1, Ka)</f>
        <v>0</v>
      </c>
      <c r="IC15" s="276">
        <f>IFERROR(1/Calculations_APPURT[[#This Row],[Brackets]],0) * cv_F * DeltaSector[[#This Row],[Quantity]] * Hazards_APPURT[[#This Row],[qz]] * CaAa_APPURT[[#This Row],[Delta 45]] * IF(Calculations_APPURT[[#This Row],[Shape]]="CFD",1, Ka)</f>
        <v>0</v>
      </c>
      <c r="ID15" s="276">
        <f>IFERROR(1/Calculations_APPURT[[#This Row],[Brackets]],0) * cv_F * DeltaSector[[#This Row],[Quantity]] * Hazards_APPURT[[#This Row],[qz]] * CaAa_APPURT[[#This Row],[Delta 60]] * IF(Calculations_APPURT[[#This Row],[Shape]]="CFD",1, Ka)</f>
        <v>0</v>
      </c>
      <c r="IE15" s="276">
        <f>IFERROR(1/Calculations_APPURT[[#This Row],[Brackets]],0) * cv_F * DeltaSector[[#This Row],[Quantity]] * Hazards_APPURT[[#This Row],[qz]] * CaAa_APPURT[[#This Row],[Delta 90]] * IF(Calculations_APPURT[[#This Row],[Shape]]="CFD",1, Ka)</f>
        <v>0</v>
      </c>
      <c r="IF15" s="276">
        <f>IFERROR(1/Calculations_APPURT[[#This Row],[Brackets]],0) * cv_F * DeltaSector[[#This Row],[Quantity]] * Hazards_APPURT[[#This Row],[qz]] * CaAa_APPURT[[#This Row],[Delta 120]] * IF(Calculations_APPURT[[#This Row],[Shape]]="CFD",1, Ka)</f>
        <v>0</v>
      </c>
      <c r="IG15" s="276">
        <f>IFERROR(1/Calculations_APPURT[[#This Row],[Brackets]],0) * cv_F * DeltaSector[[#This Row],[Quantity]] * Hazards_APPURT[[#This Row],[qz]] * CaAa_APPURT[[#This Row],[Delta 135]] * IF(Calculations_APPURT[[#This Row],[Shape]]="CFD",1, Ka)</f>
        <v>0</v>
      </c>
      <c r="IH15" s="276">
        <f>IFERROR(1/Calculations_APPURT[[#This Row],[Brackets]],0) * cv_F * DeltaSector[[#This Row],[Quantity]] * Hazards_APPURT[[#This Row],[qz]] * CaAa_APPURT[[#This Row],[Delta 150]] * IF(Calculations_APPURT[[#This Row],[Shape]]="CFD",1, Ka)</f>
        <v>0</v>
      </c>
      <c r="II15" s="276">
        <f>IFERROR(1/Calculations_APPURT[[#This Row],[Brackets]],0) * cv_F * DeltaSector[[#This Row],[Quantity]] * Hazards_APPURT[[#This Row],[qz]] * CaAa_APPURT[[#This Row],[Delta 180]] * IF(Calculations_APPURT[[#This Row],[Shape]]="CFD",1, Ka)</f>
        <v>0</v>
      </c>
      <c r="IJ15" s="276">
        <f>IFERROR(1/Calculations_APPURT[[#This Row],[Brackets]],0) * cv_F * DeltaSector[[#This Row],[Quantity]] * Hazards_APPURT[[#This Row],[qz]] * CaAa_APPURT[[#This Row],[Delta 210]] * IF(Calculations_APPURT[[#This Row],[Shape]]="CFD",1, Ka)</f>
        <v>0</v>
      </c>
      <c r="IK15" s="276">
        <f>IFERROR(1/Calculations_APPURT[[#This Row],[Brackets]],0) * cv_F * DeltaSector[[#This Row],[Quantity]] * Hazards_APPURT[[#This Row],[qz]] * CaAa_APPURT[[#This Row],[Delta 225]] * IF(Calculations_APPURT[[#This Row],[Shape]]="CFD",1, Ka)</f>
        <v>0</v>
      </c>
      <c r="IL15" s="276">
        <f>IFERROR(1/Calculations_APPURT[[#This Row],[Brackets]],0) * cv_F * DeltaSector[[#This Row],[Quantity]] * Hazards_APPURT[[#This Row],[qz]] * CaAa_APPURT[[#This Row],[Delta 240]] * IF(Calculations_APPURT[[#This Row],[Shape]]="CFD",1, Ka)</f>
        <v>0</v>
      </c>
      <c r="IM15" s="276">
        <f>IFERROR(1/Calculations_APPURT[[#This Row],[Brackets]],0) * cv_F * DeltaSector[[#This Row],[Quantity]] * Hazards_APPURT[[#This Row],[qz]] * CaAa_APPURT[[#This Row],[Delta 270]] * IF(Calculations_APPURT[[#This Row],[Shape]]="CFD",1, Ka)</f>
        <v>0</v>
      </c>
      <c r="IN15" s="276">
        <f>IFERROR(1/Calculations_APPURT[[#This Row],[Brackets]],0) * cv_F * DeltaSector[[#This Row],[Quantity]] * Hazards_APPURT[[#This Row],[qz]] * CaAa_APPURT[[#This Row],[Delta 300]] * IF(Calculations_APPURT[[#This Row],[Shape]]="CFD",1, Ka)</f>
        <v>0</v>
      </c>
      <c r="IO15" s="276">
        <f>IFERROR(1/Calculations_APPURT[[#This Row],[Brackets]],0) * cv_F * DeltaSector[[#This Row],[Quantity]] * Hazards_APPURT[[#This Row],[qz]] * CaAa_APPURT[[#This Row],[Delta 315]] * IF(Calculations_APPURT[[#This Row],[Shape]]="CFD",1, Ka)</f>
        <v>0</v>
      </c>
      <c r="IP15" s="276">
        <f>IFERROR(1/Calculations_APPURT[[#This Row],[Brackets]],0) * cv_F * DeltaSector[[#This Row],[Quantity]] * Hazards_APPURT[[#This Row],[qz]] * CaAa_APPURT[[#This Row],[Delta 330]] * IF(Calculations_APPURT[[#This Row],[Shape]]="CFD",1, Ka)</f>
        <v>0</v>
      </c>
      <c r="IQ15" s="276">
        <f>IFERROR(1/Calculations_APPURT[[#This Row],[Brackets]],0) * cv_F * AlphaSector[[#This Row],[Quantity]] * Hazards_APPURT[[#This Row],[qiz]] * CaAa_APPURT[[#This Row],[Alpha Ice 0]]</f>
        <v>0</v>
      </c>
      <c r="IR15" s="276">
        <f>IFERROR(1/Calculations_APPURT[[#This Row],[Brackets]],0) * cv_F * AlphaSector[[#This Row],[Quantity]] * Hazards_APPURT[[#This Row],[qiz]] * CaAa_APPURT[[#This Row],[Alpha Ice 30]]</f>
        <v>0</v>
      </c>
      <c r="IS15" s="276">
        <f>IFERROR(1/Calculations_APPURT[[#This Row],[Brackets]],0) * cv_F * AlphaSector[[#This Row],[Quantity]] * Hazards_APPURT[[#This Row],[qiz]] * CaAa_APPURT[[#This Row],[Alpha Ice 45]]</f>
        <v>0</v>
      </c>
      <c r="IT15" s="276">
        <f>IFERROR(1/Calculations_APPURT[[#This Row],[Brackets]],0) * cv_F * AlphaSector[[#This Row],[Quantity]] * Hazards_APPURT[[#This Row],[qiz]] * CaAa_APPURT[[#This Row],[Alpha Ice 60]]</f>
        <v>0</v>
      </c>
      <c r="IU15" s="276">
        <f>IFERROR(1/Calculations_APPURT[[#This Row],[Brackets]],0) * cv_F * AlphaSector[[#This Row],[Quantity]] * Hazards_APPURT[[#This Row],[qiz]] * CaAa_APPURT[[#This Row],[Alpha Ice 90]]</f>
        <v>0</v>
      </c>
      <c r="IV15" s="276">
        <f>IFERROR(1/Calculations_APPURT[[#This Row],[Brackets]],0) * cv_F * AlphaSector[[#This Row],[Quantity]] * Hazards_APPURT[[#This Row],[qiz]] * CaAa_APPURT[[#This Row],[Alpha Ice 120]]</f>
        <v>0</v>
      </c>
      <c r="IW15" s="276">
        <f>IFERROR(1/Calculations_APPURT[[#This Row],[Brackets]],0) * cv_F * AlphaSector[[#This Row],[Quantity]] * Hazards_APPURT[[#This Row],[qiz]] * CaAa_APPURT[[#This Row],[Alpha Ice 135]]</f>
        <v>0</v>
      </c>
      <c r="IX15" s="276">
        <f>IFERROR(1/Calculations_APPURT[[#This Row],[Brackets]],0) * cv_F * AlphaSector[[#This Row],[Quantity]] * Hazards_APPURT[[#This Row],[qiz]] * CaAa_APPURT[[#This Row],[Alpha Ice 150]]</f>
        <v>0</v>
      </c>
      <c r="IY15" s="276">
        <f>IFERROR(1/Calculations_APPURT[[#This Row],[Brackets]],0) * cv_F * AlphaSector[[#This Row],[Quantity]] * Hazards_APPURT[[#This Row],[qiz]] * CaAa_APPURT[[#This Row],[Alpha Ice 180]]</f>
        <v>0</v>
      </c>
      <c r="IZ15" s="276">
        <f>IFERROR(1/Calculations_APPURT[[#This Row],[Brackets]],0) * cv_F * AlphaSector[[#This Row],[Quantity]] * Hazards_APPURT[[#This Row],[qiz]] * CaAa_APPURT[[#This Row],[Alpha Ice 210]]</f>
        <v>0</v>
      </c>
      <c r="JA15" s="276">
        <f>IFERROR(1/Calculations_APPURT[[#This Row],[Brackets]],0) * cv_F * AlphaSector[[#This Row],[Quantity]] * Hazards_APPURT[[#This Row],[qiz]] * CaAa_APPURT[[#This Row],[Alpha Ice 225]]</f>
        <v>0</v>
      </c>
      <c r="JB15" s="276">
        <f>IFERROR(1/Calculations_APPURT[[#This Row],[Brackets]],0) * cv_F * AlphaSector[[#This Row],[Quantity]] * Hazards_APPURT[[#This Row],[qiz]] * CaAa_APPURT[[#This Row],[Alpha Ice 240]]</f>
        <v>0</v>
      </c>
      <c r="JC15" s="276">
        <f>IFERROR(1/Calculations_APPURT[[#This Row],[Brackets]],0) * cv_F * AlphaSector[[#This Row],[Quantity]] * Hazards_APPURT[[#This Row],[qiz]] * CaAa_APPURT[[#This Row],[Alpha Ice 270]]</f>
        <v>0</v>
      </c>
      <c r="JD15" s="276">
        <f>IFERROR(1/Calculations_APPURT[[#This Row],[Brackets]],0) * cv_F * AlphaSector[[#This Row],[Quantity]] * Hazards_APPURT[[#This Row],[qiz]] * CaAa_APPURT[[#This Row],[Alpha Ice 300]]</f>
        <v>0</v>
      </c>
      <c r="JE15" s="276">
        <f>IFERROR(1/Calculations_APPURT[[#This Row],[Brackets]],0) * cv_F * AlphaSector[[#This Row],[Quantity]] * Hazards_APPURT[[#This Row],[qiz]] * CaAa_APPURT[[#This Row],[Alpha Ice 315]]</f>
        <v>0</v>
      </c>
      <c r="JF15" s="276">
        <f>IFERROR(1/Calculations_APPURT[[#This Row],[Brackets]],0) * cv_F * AlphaSector[[#This Row],[Quantity]] * Hazards_APPURT[[#This Row],[qiz]] * CaAa_APPURT[[#This Row],[Alpha Ice 330]]</f>
        <v>0</v>
      </c>
      <c r="JG15" s="276">
        <f>IFERROR(1/Calculations_APPURT[[#This Row],[Brackets]],0) * cv_F * BetaSector[[#This Row],[Quantity]] * Hazards_APPURT[[#This Row],[qiz]] * CaAa_APPURT[[#This Row],[Beta Ice 0]]</f>
        <v>0</v>
      </c>
      <c r="JH15" s="276">
        <f>IFERROR(1/Calculations_APPURT[[#This Row],[Brackets]],0) * cv_F * BetaSector[[#This Row],[Quantity]] * Hazards_APPURT[[#This Row],[qiz]] * CaAa_APPURT[[#This Row],[Beta Ice 30]]</f>
        <v>0</v>
      </c>
      <c r="JI15" s="276">
        <f>IFERROR(1/Calculations_APPURT[[#This Row],[Brackets]],0) * cv_F * BetaSector[[#This Row],[Quantity]] * Hazards_APPURT[[#This Row],[qiz]] * CaAa_APPURT[[#This Row],[Beta Ice 45]]</f>
        <v>0</v>
      </c>
      <c r="JJ15" s="276">
        <f>IFERROR(1/Calculations_APPURT[[#This Row],[Brackets]],0) * cv_F * BetaSector[[#This Row],[Quantity]] * Hazards_APPURT[[#This Row],[qiz]] * CaAa_APPURT[[#This Row],[Beta Ice 60]]</f>
        <v>0</v>
      </c>
      <c r="JK15" s="276">
        <f>IFERROR(1/Calculations_APPURT[[#This Row],[Brackets]],0) * cv_F * BetaSector[[#This Row],[Quantity]] * Hazards_APPURT[[#This Row],[qiz]] * CaAa_APPURT[[#This Row],[Beta Ice 90]]</f>
        <v>0</v>
      </c>
      <c r="JL15" s="276">
        <f>IFERROR(1/Calculations_APPURT[[#This Row],[Brackets]],0) * cv_F * BetaSector[[#This Row],[Quantity]] * Hazards_APPURT[[#This Row],[qiz]] * CaAa_APPURT[[#This Row],[Beta Ice 120]]</f>
        <v>0</v>
      </c>
      <c r="JM15" s="276">
        <f>IFERROR(1/Calculations_APPURT[[#This Row],[Brackets]],0) * cv_F * BetaSector[[#This Row],[Quantity]] * Hazards_APPURT[[#This Row],[qiz]] * CaAa_APPURT[[#This Row],[Beta Ice 135]]</f>
        <v>0</v>
      </c>
      <c r="JN15" s="276">
        <f>IFERROR(1/Calculations_APPURT[[#This Row],[Brackets]],0) * cv_F * BetaSector[[#This Row],[Quantity]] * Hazards_APPURT[[#This Row],[qiz]] * CaAa_APPURT[[#This Row],[Beta Ice 150]]</f>
        <v>0</v>
      </c>
      <c r="JO15" s="276">
        <f>IFERROR(1/Calculations_APPURT[[#This Row],[Brackets]],0) * cv_F * BetaSector[[#This Row],[Quantity]] * Hazards_APPURT[[#This Row],[qiz]] * CaAa_APPURT[[#This Row],[Beta Ice 180]]</f>
        <v>0</v>
      </c>
      <c r="JP15" s="276">
        <f>IFERROR(1/Calculations_APPURT[[#This Row],[Brackets]],0) * cv_F * BetaSector[[#This Row],[Quantity]] * Hazards_APPURT[[#This Row],[qiz]] * CaAa_APPURT[[#This Row],[Beta Ice 210]]</f>
        <v>0</v>
      </c>
      <c r="JQ15" s="276">
        <f>IFERROR(1/Calculations_APPURT[[#This Row],[Brackets]],0) * cv_F * BetaSector[[#This Row],[Quantity]] * Hazards_APPURT[[#This Row],[qiz]] * CaAa_APPURT[[#This Row],[Beta Ice 225]]</f>
        <v>0</v>
      </c>
      <c r="JR15" s="276">
        <f>IFERROR(1/Calculations_APPURT[[#This Row],[Brackets]],0) * cv_F * BetaSector[[#This Row],[Quantity]] * Hazards_APPURT[[#This Row],[qiz]] * CaAa_APPURT[[#This Row],[Beta Ice 240]]</f>
        <v>0</v>
      </c>
      <c r="JS15" s="276">
        <f>IFERROR(1/Calculations_APPURT[[#This Row],[Brackets]],0) * cv_F * BetaSector[[#This Row],[Quantity]] * Hazards_APPURT[[#This Row],[qiz]] * CaAa_APPURT[[#This Row],[Beta Ice 270]]</f>
        <v>0</v>
      </c>
      <c r="JT15" s="276">
        <f>IFERROR(1/Calculations_APPURT[[#This Row],[Brackets]],0) * cv_F * BetaSector[[#This Row],[Quantity]] * Hazards_APPURT[[#This Row],[qiz]] * CaAa_APPURT[[#This Row],[Beta Ice 300]]</f>
        <v>0</v>
      </c>
      <c r="JU15" s="276">
        <f>IFERROR(1/Calculations_APPURT[[#This Row],[Brackets]],0) * cv_F * BetaSector[[#This Row],[Quantity]] * Hazards_APPURT[[#This Row],[qiz]] * CaAa_APPURT[[#This Row],[Beta Ice 315]]</f>
        <v>0</v>
      </c>
      <c r="JV15" s="276">
        <f>IFERROR(1/Calculations_APPURT[[#This Row],[Brackets]],0) * cv_F * BetaSector[[#This Row],[Quantity]] * Hazards_APPURT[[#This Row],[qiz]] * CaAa_APPURT[[#This Row],[Beta Ice 330]]</f>
        <v>0</v>
      </c>
      <c r="JW15" s="276">
        <f>IFERROR(1/Calculations_APPURT[[#This Row],[Brackets]],0) * cv_F * GammaSector[[#This Row],[Quantity]] * Hazards_APPURT[[#This Row],[qiz]] * CaAa_APPURT[[#This Row],[Gamma Ice 0]]</f>
        <v>0</v>
      </c>
      <c r="JX15" s="276">
        <f>IFERROR(1/Calculations_APPURT[[#This Row],[Brackets]],0) * cv_F * GammaSector[[#This Row],[Quantity]] * Hazards_APPURT[[#This Row],[qiz]] * CaAa_APPURT[[#This Row],[Gamma Ice 30]]</f>
        <v>0</v>
      </c>
      <c r="JY15" s="276">
        <f>IFERROR(1/Calculations_APPURT[[#This Row],[Brackets]],0) * cv_F * GammaSector[[#This Row],[Quantity]] * Hazards_APPURT[[#This Row],[qiz]] * CaAa_APPURT[[#This Row],[Gamma Ice 45]]</f>
        <v>0</v>
      </c>
      <c r="JZ15" s="276">
        <f>IFERROR(1/Calculations_APPURT[[#This Row],[Brackets]],0) * cv_F * GammaSector[[#This Row],[Quantity]] * Hazards_APPURT[[#This Row],[qiz]] * CaAa_APPURT[[#This Row],[Gamma Ice 60]]</f>
        <v>0</v>
      </c>
      <c r="KA15" s="276">
        <f>IFERROR(1/Calculations_APPURT[[#This Row],[Brackets]],0) * cv_F * GammaSector[[#This Row],[Quantity]] * Hazards_APPURT[[#This Row],[qiz]] * CaAa_APPURT[[#This Row],[Gamma Ice 90]]</f>
        <v>0</v>
      </c>
      <c r="KB15" s="276">
        <f>IFERROR(1/Calculations_APPURT[[#This Row],[Brackets]],0) * cv_F * GammaSector[[#This Row],[Quantity]] * Hazards_APPURT[[#This Row],[qiz]] * CaAa_APPURT[[#This Row],[Gamma Ice 120]]</f>
        <v>0</v>
      </c>
      <c r="KC15" s="276">
        <f>IFERROR(1/Calculations_APPURT[[#This Row],[Brackets]],0) * cv_F * GammaSector[[#This Row],[Quantity]] * Hazards_APPURT[[#This Row],[qiz]] * CaAa_APPURT[[#This Row],[Gamma Ice 135]]</f>
        <v>0</v>
      </c>
      <c r="KD15" s="276">
        <f>IFERROR(1/Calculations_APPURT[[#This Row],[Brackets]],0) * cv_F * GammaSector[[#This Row],[Quantity]] * Hazards_APPURT[[#This Row],[qiz]] * CaAa_APPURT[[#This Row],[Gamma Ice 150]]</f>
        <v>0</v>
      </c>
      <c r="KE15" s="276">
        <f>IFERROR(1/Calculations_APPURT[[#This Row],[Brackets]],0) * cv_F * GammaSector[[#This Row],[Quantity]] * Hazards_APPURT[[#This Row],[qiz]] * CaAa_APPURT[[#This Row],[Gamma Ice 180]]</f>
        <v>0</v>
      </c>
      <c r="KF15" s="276">
        <f>IFERROR(1/Calculations_APPURT[[#This Row],[Brackets]],0) * cv_F * GammaSector[[#This Row],[Quantity]] * Hazards_APPURT[[#This Row],[qiz]] * CaAa_APPURT[[#This Row],[Gamma Ice 210]]</f>
        <v>0</v>
      </c>
      <c r="KG15" s="276">
        <f>IFERROR(1/Calculations_APPURT[[#This Row],[Brackets]],0) * cv_F * GammaSector[[#This Row],[Quantity]] * Hazards_APPURT[[#This Row],[qiz]] * CaAa_APPURT[[#This Row],[Gamma Ice 225]]</f>
        <v>0</v>
      </c>
      <c r="KH15" s="276">
        <f>IFERROR(1/Calculations_APPURT[[#This Row],[Brackets]],0) * cv_F * GammaSector[[#This Row],[Quantity]] * Hazards_APPURT[[#This Row],[qiz]] * CaAa_APPURT[[#This Row],[Gamma Ice 240]]</f>
        <v>0</v>
      </c>
      <c r="KI15" s="276">
        <f>IFERROR(1/Calculations_APPURT[[#This Row],[Brackets]],0) * cv_F * GammaSector[[#This Row],[Quantity]] * Hazards_APPURT[[#This Row],[qiz]] * CaAa_APPURT[[#This Row],[Gamma Ice 270]]</f>
        <v>0</v>
      </c>
      <c r="KJ15" s="276">
        <f>IFERROR(1/Calculations_APPURT[[#This Row],[Brackets]],0) * cv_F * GammaSector[[#This Row],[Quantity]] * Hazards_APPURT[[#This Row],[qiz]] * CaAa_APPURT[[#This Row],[Gamma Ice 300]]</f>
        <v>0</v>
      </c>
      <c r="KK15" s="276">
        <f>IFERROR(1/Calculations_APPURT[[#This Row],[Brackets]],0) * cv_F * GammaSector[[#This Row],[Quantity]] * Hazards_APPURT[[#This Row],[qiz]] * CaAa_APPURT[[#This Row],[Gamma Ice 315]]</f>
        <v>0</v>
      </c>
      <c r="KL15" s="276">
        <f>IFERROR(1/Calculations_APPURT[[#This Row],[Brackets]],0) * cv_F * GammaSector[[#This Row],[Quantity]] * Hazards_APPURT[[#This Row],[qiz]] * CaAa_APPURT[[#This Row],[Gamma Ice 330]]</f>
        <v>0</v>
      </c>
      <c r="KM15" s="276">
        <f>IFERROR(1/Calculations_APPURT[[#This Row],[Brackets]],0) * cv_F * DeltaSector[[#This Row],[Quantity]] * Hazards_APPURT[[#This Row],[qiz]] * CaAa_APPURT[[#This Row],[Delta Ice 0]]</f>
        <v>0</v>
      </c>
      <c r="KN15" s="276">
        <f>IFERROR(1/Calculations_APPURT[[#This Row],[Brackets]],0) * cv_F * DeltaSector[[#This Row],[Quantity]] * Hazards_APPURT[[#This Row],[qiz]] * CaAa_APPURT[[#This Row],[Delta Ice 30]]</f>
        <v>0</v>
      </c>
      <c r="KO15" s="276">
        <f>IFERROR(1/Calculations_APPURT[[#This Row],[Brackets]],0) * cv_F * DeltaSector[[#This Row],[Quantity]] * Hazards_APPURT[[#This Row],[qiz]] * CaAa_APPURT[[#This Row],[Delta Ice 45]]</f>
        <v>0</v>
      </c>
      <c r="KP15" s="276">
        <f>IFERROR(1/Calculations_APPURT[[#This Row],[Brackets]],0) * cv_F * DeltaSector[[#This Row],[Quantity]] * Hazards_APPURT[[#This Row],[qiz]] * CaAa_APPURT[[#This Row],[Delta Ice 60]]</f>
        <v>0</v>
      </c>
      <c r="KQ15" s="276">
        <f>IFERROR(1/Calculations_APPURT[[#This Row],[Brackets]],0) * cv_F * DeltaSector[[#This Row],[Quantity]] * Hazards_APPURT[[#This Row],[qiz]] * CaAa_APPURT[[#This Row],[Delta Ice 90]]</f>
        <v>0</v>
      </c>
      <c r="KR15" s="276">
        <f>IFERROR(1/Calculations_APPURT[[#This Row],[Brackets]],0) * cv_F * DeltaSector[[#This Row],[Quantity]] * Hazards_APPURT[[#This Row],[qiz]] * CaAa_APPURT[[#This Row],[Delta Ice 120]]</f>
        <v>0</v>
      </c>
      <c r="KS15" s="276">
        <f>IFERROR(1/Calculations_APPURT[[#This Row],[Brackets]],0) * cv_F * DeltaSector[[#This Row],[Quantity]] * Hazards_APPURT[[#This Row],[qiz]] * CaAa_APPURT[[#This Row],[Delta Ice 135]]</f>
        <v>0</v>
      </c>
      <c r="KT15" s="276">
        <f>IFERROR(1/Calculations_APPURT[[#This Row],[Brackets]],0) * cv_F * DeltaSector[[#This Row],[Quantity]] * Hazards_APPURT[[#This Row],[qiz]] * CaAa_APPURT[[#This Row],[Delta Ice 150]]</f>
        <v>0</v>
      </c>
      <c r="KU15" s="276">
        <f>IFERROR(1/Calculations_APPURT[[#This Row],[Brackets]],0) * cv_F * DeltaSector[[#This Row],[Quantity]] * Hazards_APPURT[[#This Row],[qiz]] * CaAa_APPURT[[#This Row],[Delta Ice 180]]</f>
        <v>0</v>
      </c>
      <c r="KV15" s="276">
        <f>IFERROR(1/Calculations_APPURT[[#This Row],[Brackets]],0) * cv_F * DeltaSector[[#This Row],[Quantity]] * Hazards_APPURT[[#This Row],[qiz]] * CaAa_APPURT[[#This Row],[Delta Ice 210]]</f>
        <v>0</v>
      </c>
      <c r="KW15" s="276">
        <f>IFERROR(1/Calculations_APPURT[[#This Row],[Brackets]],0) * cv_F * DeltaSector[[#This Row],[Quantity]] * Hazards_APPURT[[#This Row],[qiz]] * CaAa_APPURT[[#This Row],[Delta Ice 225]]</f>
        <v>0</v>
      </c>
      <c r="KX15" s="276">
        <f>IFERROR(1/Calculations_APPURT[[#This Row],[Brackets]],0) * cv_F * DeltaSector[[#This Row],[Quantity]] * Hazards_APPURT[[#This Row],[qiz]] * CaAa_APPURT[[#This Row],[Delta Ice 240]]</f>
        <v>0</v>
      </c>
      <c r="KY15" s="276">
        <f>IFERROR(1/Calculations_APPURT[[#This Row],[Brackets]],0) * cv_F * DeltaSector[[#This Row],[Quantity]] * Hazards_APPURT[[#This Row],[qiz]] * CaAa_APPURT[[#This Row],[Delta Ice 270]]</f>
        <v>0</v>
      </c>
      <c r="KZ15" s="276">
        <f>IFERROR(1/Calculations_APPURT[[#This Row],[Brackets]],0) * cv_F * DeltaSector[[#This Row],[Quantity]] * Hazards_APPURT[[#This Row],[qiz]] * CaAa_APPURT[[#This Row],[Delta Ice 300]]</f>
        <v>0</v>
      </c>
      <c r="LA15" s="276">
        <f>IFERROR(1/Calculations_APPURT[[#This Row],[Brackets]],0) * cv_F * DeltaSector[[#This Row],[Quantity]] * Hazards_APPURT[[#This Row],[qiz]] * CaAa_APPURT[[#This Row],[Delta Ice 315]]</f>
        <v>0</v>
      </c>
      <c r="LB15" s="276">
        <f>IFERROR(1/Calculations_APPURT[[#This Row],[Brackets]],0) * cv_F * DeltaSector[[#This Row],[Quantity]] * Hazards_APPURT[[#This Row],[qiz]] * CaAa_APPURT[[#This Row],[Delta Ice 330]]</f>
        <v>0</v>
      </c>
      <c r="LC15" s="276">
        <f>IFERROR(1/Calculations_APPURT[[#This Row],[Brackets]],0) * cv_M/cv_F * Forces_APPURT[[#This Row],[Alpha Fa 0]] * Calculations_APPURT[[#This Row],[Horizontal Offset]]/12</f>
        <v>0</v>
      </c>
      <c r="LD15" s="276">
        <f>IFERROR(1/Calculations_APPURT[[#This Row],[Brackets]],0) * cv_M/cv_F * Forces_APPURT[[#This Row],[Alpha Fa 30]] * Calculations_APPURT[[#This Row],[Horizontal Offset]]/12</f>
        <v>0</v>
      </c>
      <c r="LE15" s="276">
        <f>IFERROR(1/Calculations_APPURT[[#This Row],[Brackets]],0) * cv_M/cv_F * Forces_APPURT[[#This Row],[Alpha Fa 45]] * Calculations_APPURT[[#This Row],[Horizontal Offset]]/12</f>
        <v>0</v>
      </c>
      <c r="LF15" s="276">
        <f>IFERROR(1/Calculations_APPURT[[#This Row],[Brackets]],0) * cv_M/cv_F * Forces_APPURT[[#This Row],[Alpha Fa 60]] * Calculations_APPURT[[#This Row],[Horizontal Offset]]/12</f>
        <v>0</v>
      </c>
      <c r="LG15" s="276">
        <f>IFERROR(1/Calculations_APPURT[[#This Row],[Brackets]],0) * cv_M/cv_F * Forces_APPURT[[#This Row],[Alpha Fa 90]] * Calculations_APPURT[[#This Row],[Horizontal Offset]]/12</f>
        <v>0</v>
      </c>
      <c r="LH15" s="276">
        <f>IFERROR(1/Calculations_APPURT[[#This Row],[Brackets]],0) * cv_M/cv_F * Forces_APPURT[[#This Row],[Alpha Fa 120]] * Calculations_APPURT[[#This Row],[Horizontal Offset]]/12</f>
        <v>0</v>
      </c>
      <c r="LI15" s="276">
        <f>IFERROR(1/Calculations_APPURT[[#This Row],[Brackets]],0) * cv_M/cv_F * Forces_APPURT[[#This Row],[Alpha Fa 135]] * Calculations_APPURT[[#This Row],[Horizontal Offset]]/12</f>
        <v>0</v>
      </c>
      <c r="LJ15" s="276">
        <f>IFERROR(1/Calculations_APPURT[[#This Row],[Brackets]],0) * cv_M/cv_F * Forces_APPURT[[#This Row],[Alpha Fa 150]] * Calculations_APPURT[[#This Row],[Horizontal Offset]]/12</f>
        <v>0</v>
      </c>
      <c r="LK15" s="276">
        <f>IFERROR(1/Calculations_APPURT[[#This Row],[Brackets]],0) * cv_M/cv_F * Forces_APPURT[[#This Row],[Alpha Fa 180]] * Calculations_APPURT[[#This Row],[Horizontal Offset]]/12</f>
        <v>0</v>
      </c>
      <c r="LL15" s="276">
        <f>IFERROR(1/Calculations_APPURT[[#This Row],[Brackets]],0) * cv_M/cv_F * Forces_APPURT[[#This Row],[Alpha Fa 210]] * Calculations_APPURT[[#This Row],[Horizontal Offset]]/12</f>
        <v>0</v>
      </c>
      <c r="LM15" s="276">
        <f>IFERROR(1/Calculations_APPURT[[#This Row],[Brackets]],0) * cv_M/cv_F * Forces_APPURT[[#This Row],[Alpha Fa 225]] * Calculations_APPURT[[#This Row],[Horizontal Offset]]/12</f>
        <v>0</v>
      </c>
      <c r="LN15" s="276">
        <f>IFERROR(1/Calculations_APPURT[[#This Row],[Brackets]],0) * cv_M/cv_F * Forces_APPURT[[#This Row],[Alpha Fa 240]] * Calculations_APPURT[[#This Row],[Horizontal Offset]]/12</f>
        <v>0</v>
      </c>
      <c r="LO15" s="276">
        <f>IFERROR(1/Calculations_APPURT[[#This Row],[Brackets]],0) * cv_M/cv_F * Forces_APPURT[[#This Row],[Alpha Fa 270]] * Calculations_APPURT[[#This Row],[Horizontal Offset]]/12</f>
        <v>0</v>
      </c>
      <c r="LP15" s="276">
        <f>IFERROR(1/Calculations_APPURT[[#This Row],[Brackets]],0) * cv_M/cv_F * Forces_APPURT[[#This Row],[Alpha Fa 300]] * Calculations_APPURT[[#This Row],[Horizontal Offset]]/12</f>
        <v>0</v>
      </c>
      <c r="LQ15" s="276">
        <f>IFERROR(1/Calculations_APPURT[[#This Row],[Brackets]],0) * cv_M/cv_F * Forces_APPURT[[#This Row],[Alpha Fa 315]] * Calculations_APPURT[[#This Row],[Horizontal Offset]]/12</f>
        <v>0</v>
      </c>
      <c r="LR15" s="276">
        <f>IFERROR(1/Calculations_APPURT[[#This Row],[Brackets]],0) * cv_M/cv_F * Forces_APPURT[[#This Row],[Alpha Fa 330]] * Calculations_APPURT[[#This Row],[Horizontal Offset]]/12</f>
        <v>0</v>
      </c>
      <c r="LS15" s="276">
        <f>IFERROR(1/Calculations_APPURT[[#This Row],[Brackets]],0) * cv_M/cv_F * Forces_APPURT[[#This Row],[Beta Fa 0]] * Calculations_APPURT[[#This Row],[Horizontal Offset]]/12</f>
        <v>0</v>
      </c>
      <c r="LT15" s="276">
        <f>IFERROR(1/Calculations_APPURT[[#This Row],[Brackets]],0) * cv_M/cv_F * Forces_APPURT[[#This Row],[Beta Fa 30]] * Calculations_APPURT[[#This Row],[Horizontal Offset]]/12</f>
        <v>0</v>
      </c>
      <c r="LU15" s="276">
        <f>IFERROR(1/Calculations_APPURT[[#This Row],[Brackets]],0) * cv_M/cv_F * Forces_APPURT[[#This Row],[Beta Fa 45]] * Calculations_APPURT[[#This Row],[Horizontal Offset]]/12</f>
        <v>0</v>
      </c>
      <c r="LV15" s="276">
        <f>IFERROR(1/Calculations_APPURT[[#This Row],[Brackets]],0) * cv_M/cv_F * Forces_APPURT[[#This Row],[Beta Fa 60]] * Calculations_APPURT[[#This Row],[Horizontal Offset]]/12</f>
        <v>0</v>
      </c>
      <c r="LW15" s="276">
        <f>IFERROR(1/Calculations_APPURT[[#This Row],[Brackets]],0) * cv_M/cv_F * Forces_APPURT[[#This Row],[Beta Fa 90]] * Calculations_APPURT[[#This Row],[Horizontal Offset]]/12</f>
        <v>0</v>
      </c>
      <c r="LX15" s="276">
        <f>IFERROR(1/Calculations_APPURT[[#This Row],[Brackets]],0) * cv_M/cv_F * Forces_APPURT[[#This Row],[Beta Fa 120]] * Calculations_APPURT[[#This Row],[Horizontal Offset]]/12</f>
        <v>0</v>
      </c>
      <c r="LY15" s="276">
        <f>IFERROR(1/Calculations_APPURT[[#This Row],[Brackets]],0) * cv_M/cv_F * Forces_APPURT[[#This Row],[Beta Fa 135]] * Calculations_APPURT[[#This Row],[Horizontal Offset]]/12</f>
        <v>0</v>
      </c>
      <c r="LZ15" s="276">
        <f>IFERROR(1/Calculations_APPURT[[#This Row],[Brackets]],0) * cv_M/cv_F * Forces_APPURT[[#This Row],[Beta Fa 150]] * Calculations_APPURT[[#This Row],[Horizontal Offset]]/12</f>
        <v>0</v>
      </c>
      <c r="MA15" s="276">
        <f>IFERROR(1/Calculations_APPURT[[#This Row],[Brackets]],0) * cv_M/cv_F * Forces_APPURT[[#This Row],[Beta Fa 180]] * Calculations_APPURT[[#This Row],[Horizontal Offset]]/12</f>
        <v>0</v>
      </c>
      <c r="MB15" s="276">
        <f>IFERROR(1/Calculations_APPURT[[#This Row],[Brackets]],0) * cv_M/cv_F * Forces_APPURT[[#This Row],[Beta Fa 210]] * Calculations_APPURT[[#This Row],[Horizontal Offset]]/12</f>
        <v>0</v>
      </c>
      <c r="MC15" s="276">
        <f>IFERROR(1/Calculations_APPURT[[#This Row],[Brackets]],0) * cv_M/cv_F * Forces_APPURT[[#This Row],[Beta Fa 225]] * Calculations_APPURT[[#This Row],[Horizontal Offset]]/12</f>
        <v>0</v>
      </c>
      <c r="MD15" s="276">
        <f>IFERROR(1/Calculations_APPURT[[#This Row],[Brackets]],0) * cv_M/cv_F * Forces_APPURT[[#This Row],[Beta Fa 240]] * Calculations_APPURT[[#This Row],[Horizontal Offset]]/12</f>
        <v>0</v>
      </c>
      <c r="ME15" s="276">
        <f>IFERROR(1/Calculations_APPURT[[#This Row],[Brackets]],0) * cv_M/cv_F * Forces_APPURT[[#This Row],[Beta Fa 270]] * Calculations_APPURT[[#This Row],[Horizontal Offset]]/12</f>
        <v>0</v>
      </c>
      <c r="MF15" s="276">
        <f>IFERROR(1/Calculations_APPURT[[#This Row],[Brackets]],0) * cv_M/cv_F * Forces_APPURT[[#This Row],[Beta Fa 300]] * Calculations_APPURT[[#This Row],[Horizontal Offset]]/12</f>
        <v>0</v>
      </c>
      <c r="MG15" s="276">
        <f>IFERROR(1/Calculations_APPURT[[#This Row],[Brackets]],0) * cv_M/cv_F * Forces_APPURT[[#This Row],[Beta Fa 315]] * Calculations_APPURT[[#This Row],[Horizontal Offset]]/12</f>
        <v>0</v>
      </c>
      <c r="MH15" s="276">
        <f>IFERROR(1/Calculations_APPURT[[#This Row],[Brackets]],0) * cv_M/cv_F * Forces_APPURT[[#This Row],[Beta Fa 330]] * Calculations_APPURT[[#This Row],[Horizontal Offset]]/12</f>
        <v>0</v>
      </c>
      <c r="MI15" s="276">
        <f>IFERROR(1/Calculations_APPURT[[#This Row],[Brackets]],0) * cv_M/cv_F * Forces_APPURT[[#This Row],[Gamma Fa 0]] * Calculations_APPURT[[#This Row],[Horizontal Offset]]/12</f>
        <v>0</v>
      </c>
      <c r="MJ15" s="276">
        <f>IFERROR(1/Calculations_APPURT[[#This Row],[Brackets]],0) * cv_M/cv_F * Forces_APPURT[[#This Row],[Gamma Fa 30]] * Calculations_APPURT[[#This Row],[Horizontal Offset]]/12</f>
        <v>0</v>
      </c>
      <c r="MK15" s="276">
        <f>IFERROR(1/Calculations_APPURT[[#This Row],[Brackets]],0) * cv_M/cv_F * Forces_APPURT[[#This Row],[Gamma Fa 45]] * Calculations_APPURT[[#This Row],[Horizontal Offset]]/12</f>
        <v>0</v>
      </c>
      <c r="ML15" s="276">
        <f>IFERROR(1/Calculations_APPURT[[#This Row],[Brackets]],0) * cv_M/cv_F * Forces_APPURT[[#This Row],[Gamma Fa 60]] * Calculations_APPURT[[#This Row],[Horizontal Offset]]/12</f>
        <v>0</v>
      </c>
      <c r="MM15" s="276">
        <f>IFERROR(1/Calculations_APPURT[[#This Row],[Brackets]],0) * cv_M/cv_F * Forces_APPURT[[#This Row],[Gamma Fa 90]] * Calculations_APPURT[[#This Row],[Horizontal Offset]]/12</f>
        <v>0</v>
      </c>
      <c r="MN15" s="276">
        <f>IFERROR(1/Calculations_APPURT[[#This Row],[Brackets]],0) * cv_M/cv_F * Forces_APPURT[[#This Row],[Gamma Fa 120]] * Calculations_APPURT[[#This Row],[Horizontal Offset]]/12</f>
        <v>0</v>
      </c>
      <c r="MO15" s="276">
        <f>IFERROR(1/Calculations_APPURT[[#This Row],[Brackets]],0) * cv_M/cv_F * Forces_APPURT[[#This Row],[Gamma Fa 135]] * Calculations_APPURT[[#This Row],[Horizontal Offset]]/12</f>
        <v>0</v>
      </c>
      <c r="MP15" s="276">
        <f>IFERROR(1/Calculations_APPURT[[#This Row],[Brackets]],0) * cv_M/cv_F * Forces_APPURT[[#This Row],[Gamma Fa 150]] * Calculations_APPURT[[#This Row],[Horizontal Offset]]/12</f>
        <v>0</v>
      </c>
      <c r="MQ15" s="276">
        <f>IFERROR(1/Calculations_APPURT[[#This Row],[Brackets]],0) * cv_M/cv_F * Forces_APPURT[[#This Row],[Gamma Fa 180]] * Calculations_APPURT[[#This Row],[Horizontal Offset]]/12</f>
        <v>0</v>
      </c>
      <c r="MR15" s="276">
        <f>IFERROR(1/Calculations_APPURT[[#This Row],[Brackets]],0) * cv_M/cv_F * Forces_APPURT[[#This Row],[Gamma Fa 210]] * Calculations_APPURT[[#This Row],[Horizontal Offset]]/12</f>
        <v>0</v>
      </c>
      <c r="MS15" s="276">
        <f>IFERROR(1/Calculations_APPURT[[#This Row],[Brackets]],0) * cv_M/cv_F * Forces_APPURT[[#This Row],[Gamma Fa 225]] * Calculations_APPURT[[#This Row],[Horizontal Offset]]/12</f>
        <v>0</v>
      </c>
      <c r="MT15" s="276">
        <f>IFERROR(1/Calculations_APPURT[[#This Row],[Brackets]],0) * cv_M/cv_F * Forces_APPURT[[#This Row],[Gamma Fa 240]] * Calculations_APPURT[[#This Row],[Horizontal Offset]]/12</f>
        <v>0</v>
      </c>
      <c r="MU15" s="276">
        <f>IFERROR(1/Calculations_APPURT[[#This Row],[Brackets]],0) * cv_M/cv_F * Forces_APPURT[[#This Row],[Gamma Fa 270]] * Calculations_APPURT[[#This Row],[Horizontal Offset]]/12</f>
        <v>0</v>
      </c>
      <c r="MV15" s="276">
        <f>IFERROR(1/Calculations_APPURT[[#This Row],[Brackets]],0) * cv_M/cv_F * Forces_APPURT[[#This Row],[Gamma Fa 300]] * Calculations_APPURT[[#This Row],[Horizontal Offset]]/12</f>
        <v>0</v>
      </c>
      <c r="MW15" s="276">
        <f>IFERROR(1/Calculations_APPURT[[#This Row],[Brackets]],0) * cv_M/cv_F * Forces_APPURT[[#This Row],[Gamma Fa 315]] * Calculations_APPURT[[#This Row],[Horizontal Offset]]/12</f>
        <v>0</v>
      </c>
      <c r="MX15" s="276">
        <f>IFERROR(1/Calculations_APPURT[[#This Row],[Brackets]],0) * cv_M/cv_F * Forces_APPURT[[#This Row],[Gamma Fa 330]] * Calculations_APPURT[[#This Row],[Horizontal Offset]]/12</f>
        <v>0</v>
      </c>
      <c r="MY15" s="276">
        <f>IFERROR(1/Calculations_APPURT[[#This Row],[Brackets]],0) * cv_M/cv_F * Forces_APPURT[[#This Row],[Delta Fa 0]] * Calculations_APPURT[[#This Row],[Horizontal Offset]]/12</f>
        <v>0</v>
      </c>
      <c r="MZ15" s="276">
        <f>IFERROR(1/Calculations_APPURT[[#This Row],[Brackets]],0) * cv_M/cv_F * Forces_APPURT[[#This Row],[Delta Fa 30]] * Calculations_APPURT[[#This Row],[Horizontal Offset]]/12</f>
        <v>0</v>
      </c>
      <c r="NA15" s="276">
        <f>IFERROR(1/Calculations_APPURT[[#This Row],[Brackets]],0) * cv_M/cv_F * Forces_APPURT[[#This Row],[Delta Fa 45]] * Calculations_APPURT[[#This Row],[Horizontal Offset]]/12</f>
        <v>0</v>
      </c>
      <c r="NB15" s="276">
        <f>IFERROR(1/Calculations_APPURT[[#This Row],[Brackets]],0) * cv_M/cv_F * Forces_APPURT[[#This Row],[Delta Fa 60]] * Calculations_APPURT[[#This Row],[Horizontal Offset]]/12</f>
        <v>0</v>
      </c>
      <c r="NC15" s="276">
        <f>IFERROR(1/Calculations_APPURT[[#This Row],[Brackets]],0) * cv_M/cv_F * Forces_APPURT[[#This Row],[Delta Fa 90]] * Calculations_APPURT[[#This Row],[Horizontal Offset]]/12</f>
        <v>0</v>
      </c>
      <c r="ND15" s="276">
        <f>IFERROR(1/Calculations_APPURT[[#This Row],[Brackets]],0) * cv_M/cv_F * Forces_APPURT[[#This Row],[Delta Fa 120]] * Calculations_APPURT[[#This Row],[Horizontal Offset]]/12</f>
        <v>0</v>
      </c>
      <c r="NE15" s="276">
        <f>IFERROR(1/Calculations_APPURT[[#This Row],[Brackets]],0) * cv_M/cv_F * Forces_APPURT[[#This Row],[Delta Fa 135]] * Calculations_APPURT[[#This Row],[Horizontal Offset]]/12</f>
        <v>0</v>
      </c>
      <c r="NF15" s="276">
        <f>IFERROR(1/Calculations_APPURT[[#This Row],[Brackets]],0) * cv_M/cv_F * Forces_APPURT[[#This Row],[Delta Fa 150]] * Calculations_APPURT[[#This Row],[Horizontal Offset]]/12</f>
        <v>0</v>
      </c>
      <c r="NG15" s="276">
        <f>IFERROR(1/Calculations_APPURT[[#This Row],[Brackets]],0) * cv_M/cv_F * Forces_APPURT[[#This Row],[Delta Fa 180]] * Calculations_APPURT[[#This Row],[Horizontal Offset]]/12</f>
        <v>0</v>
      </c>
      <c r="NH15" s="276">
        <f>IFERROR(1/Calculations_APPURT[[#This Row],[Brackets]],0) * cv_M/cv_F * Forces_APPURT[[#This Row],[Delta Fa 210]] * Calculations_APPURT[[#This Row],[Horizontal Offset]]/12</f>
        <v>0</v>
      </c>
      <c r="NI15" s="276">
        <f>IFERROR(1/Calculations_APPURT[[#This Row],[Brackets]],0) * cv_M/cv_F * Forces_APPURT[[#This Row],[Delta Fa 225]] * Calculations_APPURT[[#This Row],[Horizontal Offset]]/12</f>
        <v>0</v>
      </c>
      <c r="NJ15" s="276">
        <f>IFERROR(1/Calculations_APPURT[[#This Row],[Brackets]],0) * cv_M/cv_F * Forces_APPURT[[#This Row],[Delta Fa 240]] * Calculations_APPURT[[#This Row],[Horizontal Offset]]/12</f>
        <v>0</v>
      </c>
      <c r="NK15" s="276">
        <f>IFERROR(1/Calculations_APPURT[[#This Row],[Brackets]],0) * cv_M/cv_F * Forces_APPURT[[#This Row],[Delta Fa 270]] * Calculations_APPURT[[#This Row],[Horizontal Offset]]/12</f>
        <v>0</v>
      </c>
      <c r="NL15" s="276">
        <f>IFERROR(1/Calculations_APPURT[[#This Row],[Brackets]],0) * cv_M/cv_F * Forces_APPURT[[#This Row],[Delta Fa 300]] * Calculations_APPURT[[#This Row],[Horizontal Offset]]/12</f>
        <v>0</v>
      </c>
      <c r="NM15" s="276">
        <f>IFERROR(1/Calculations_APPURT[[#This Row],[Brackets]],0) * cv_M/cv_F * Forces_APPURT[[#This Row],[Delta Fa 315]] * Calculations_APPURT[[#This Row],[Horizontal Offset]]/12</f>
        <v>0</v>
      </c>
      <c r="NN15" s="276">
        <f>IFERROR(1/Calculations_APPURT[[#This Row],[Brackets]],0) * cv_M/cv_F * Forces_APPURT[[#This Row],[Delta Fa 330]] * Calculations_APPURT[[#This Row],[Horizontal Offset]]/12</f>
        <v>0</v>
      </c>
      <c r="NO15" s="276">
        <f>IFERROR(1/Calculations_APPURT[[#This Row],[Brackets]],0) * cv_M/cv_F * Forces_APPURT[[#This Row],[Alpha Fai 0]] * Calculations_APPURT[[#This Row],[Horizontal Offset]]/12</f>
        <v>0</v>
      </c>
      <c r="NP15" s="276">
        <f>IFERROR(1/Calculations_APPURT[[#This Row],[Brackets]],0) * cv_M/cv_F * Forces_APPURT[[#This Row],[Alpha Fai 30]] * Calculations_APPURT[[#This Row],[Horizontal Offset]]/12</f>
        <v>0</v>
      </c>
      <c r="NQ15" s="276">
        <f>IFERROR(1/Calculations_APPURT[[#This Row],[Brackets]],0) * cv_M/cv_F * Forces_APPURT[[#This Row],[Alpha Fai 45]] * Calculations_APPURT[[#This Row],[Horizontal Offset]]/12</f>
        <v>0</v>
      </c>
      <c r="NR15" s="276">
        <f>IFERROR(1/Calculations_APPURT[[#This Row],[Brackets]],0) * cv_M/cv_F * Forces_APPURT[[#This Row],[Alpha Fai 60]] * Calculations_APPURT[[#This Row],[Horizontal Offset]]/12</f>
        <v>0</v>
      </c>
      <c r="NS15" s="276">
        <f>IFERROR(1/Calculations_APPURT[[#This Row],[Brackets]],0) * cv_M/cv_F * Forces_APPURT[[#This Row],[Alpha Fai 90]] * Calculations_APPURT[[#This Row],[Horizontal Offset]]/12</f>
        <v>0</v>
      </c>
      <c r="NT15" s="276">
        <f>IFERROR(1/Calculations_APPURT[[#This Row],[Brackets]],0) * cv_M/cv_F * Forces_APPURT[[#This Row],[Alpha Fai 120]] * Calculations_APPURT[[#This Row],[Horizontal Offset]]/12</f>
        <v>0</v>
      </c>
      <c r="NU15" s="276">
        <f>IFERROR(1/Calculations_APPURT[[#This Row],[Brackets]],0) * cv_M/cv_F * Forces_APPURT[[#This Row],[Alpha Fai 135]] * Calculations_APPURT[[#This Row],[Horizontal Offset]]/12</f>
        <v>0</v>
      </c>
      <c r="NV15" s="276">
        <f>IFERROR(1/Calculations_APPURT[[#This Row],[Brackets]],0) * cv_M/cv_F * Forces_APPURT[[#This Row],[Alpha Fai 150]] * Calculations_APPURT[[#This Row],[Horizontal Offset]]/12</f>
        <v>0</v>
      </c>
      <c r="NW15" s="276">
        <f>IFERROR(1/Calculations_APPURT[[#This Row],[Brackets]],0) * cv_M/cv_F * Forces_APPURT[[#This Row],[Alpha Fai 180]] * Calculations_APPURT[[#This Row],[Horizontal Offset]]/12</f>
        <v>0</v>
      </c>
      <c r="NX15" s="276">
        <f>IFERROR(1/Calculations_APPURT[[#This Row],[Brackets]],0) * cv_M/cv_F * Forces_APPURT[[#This Row],[Alpha Fai 210]] * Calculations_APPURT[[#This Row],[Horizontal Offset]]/12</f>
        <v>0</v>
      </c>
      <c r="NY15" s="276">
        <f>IFERROR(1/Calculations_APPURT[[#This Row],[Brackets]],0) * cv_M/cv_F * Forces_APPURT[[#This Row],[Alpha Fai 225]] * Calculations_APPURT[[#This Row],[Horizontal Offset]]/12</f>
        <v>0</v>
      </c>
      <c r="NZ15" s="276">
        <f>IFERROR(1/Calculations_APPURT[[#This Row],[Brackets]],0) * cv_M/cv_F * Forces_APPURT[[#This Row],[Alpha Fai 240]] * Calculations_APPURT[[#This Row],[Horizontal Offset]]/12</f>
        <v>0</v>
      </c>
      <c r="OA15" s="276">
        <f>IFERROR(1/Calculations_APPURT[[#This Row],[Brackets]],0) * cv_M/cv_F * Forces_APPURT[[#This Row],[Alpha Fai 270]] * Calculations_APPURT[[#This Row],[Horizontal Offset]]/12</f>
        <v>0</v>
      </c>
      <c r="OB15" s="276">
        <f>IFERROR(1/Calculations_APPURT[[#This Row],[Brackets]],0) * cv_M/cv_F * Forces_APPURT[[#This Row],[Alpha Fai 300]] * Calculations_APPURT[[#This Row],[Horizontal Offset]]/12</f>
        <v>0</v>
      </c>
      <c r="OC15" s="276">
        <f>IFERROR(1/Calculations_APPURT[[#This Row],[Brackets]],0) * cv_M/cv_F * Forces_APPURT[[#This Row],[Alpha Fai 315]] * Calculations_APPURT[[#This Row],[Horizontal Offset]]/12</f>
        <v>0</v>
      </c>
      <c r="OD15" s="276">
        <f>IFERROR(1/Calculations_APPURT[[#This Row],[Brackets]],0) * cv_M/cv_F * Forces_APPURT[[#This Row],[Alpha Fai 330]] * Calculations_APPURT[[#This Row],[Horizontal Offset]]/12</f>
        <v>0</v>
      </c>
      <c r="OE15" s="276">
        <f>IFERROR(1/Calculations_APPURT[[#This Row],[Brackets]],0) * cv_M/cv_F * Forces_APPURT[[#This Row],[Beta Fai 0]] * Calculations_APPURT[[#This Row],[Horizontal Offset]]/12</f>
        <v>0</v>
      </c>
      <c r="OF15" s="276">
        <f>IFERROR(1/Calculations_APPURT[[#This Row],[Brackets]],0) * cv_M/cv_F * Forces_APPURT[[#This Row],[Beta Fai 30]] * Calculations_APPURT[[#This Row],[Horizontal Offset]]/12</f>
        <v>0</v>
      </c>
      <c r="OG15" s="276">
        <f>IFERROR(1/Calculations_APPURT[[#This Row],[Brackets]],0) * cv_M/cv_F * Forces_APPURT[[#This Row],[Beta Fai 45]] * Calculations_APPURT[[#This Row],[Horizontal Offset]]/12</f>
        <v>0</v>
      </c>
      <c r="OH15" s="276">
        <f>IFERROR(1/Calculations_APPURT[[#This Row],[Brackets]],0) * cv_M/cv_F * Forces_APPURT[[#This Row],[Beta Fai 60]] * Calculations_APPURT[[#This Row],[Horizontal Offset]]/12</f>
        <v>0</v>
      </c>
      <c r="OI15" s="276">
        <f>IFERROR(1/Calculations_APPURT[[#This Row],[Brackets]],0) * cv_M/cv_F * Forces_APPURT[[#This Row],[Beta Fai 90]] * Calculations_APPURT[[#This Row],[Horizontal Offset]]/12</f>
        <v>0</v>
      </c>
      <c r="OJ15" s="276">
        <f>IFERROR(1/Calculations_APPURT[[#This Row],[Brackets]],0) * cv_M/cv_F * Forces_APPURT[[#This Row],[Beta Fai 120]] * Calculations_APPURT[[#This Row],[Horizontal Offset]]/12</f>
        <v>0</v>
      </c>
      <c r="OK15" s="276">
        <f>IFERROR(1/Calculations_APPURT[[#This Row],[Brackets]],0) * cv_M/cv_F * Forces_APPURT[[#This Row],[Beta Fai 135]] * Calculations_APPURT[[#This Row],[Horizontal Offset]]/12</f>
        <v>0</v>
      </c>
      <c r="OL15" s="276">
        <f>IFERROR(1/Calculations_APPURT[[#This Row],[Brackets]],0) * cv_M/cv_F * Forces_APPURT[[#This Row],[Beta Fai 150]] * Calculations_APPURT[[#This Row],[Horizontal Offset]]/12</f>
        <v>0</v>
      </c>
      <c r="OM15" s="276">
        <f>IFERROR(1/Calculations_APPURT[[#This Row],[Brackets]],0) * cv_M/cv_F * Forces_APPURT[[#This Row],[Beta Fai 180]] * Calculations_APPURT[[#This Row],[Horizontal Offset]]/12</f>
        <v>0</v>
      </c>
      <c r="ON15" s="276">
        <f>IFERROR(1/Calculations_APPURT[[#This Row],[Brackets]],0) * cv_M/cv_F * Forces_APPURT[[#This Row],[Beta Fai 210]] * Calculations_APPURT[[#This Row],[Horizontal Offset]]/12</f>
        <v>0</v>
      </c>
      <c r="OO15" s="276">
        <f>IFERROR(1/Calculations_APPURT[[#This Row],[Brackets]],0) * cv_M/cv_F * Forces_APPURT[[#This Row],[Beta Fai 225]] * Calculations_APPURT[[#This Row],[Horizontal Offset]]/12</f>
        <v>0</v>
      </c>
      <c r="OP15" s="276">
        <f>IFERROR(1/Calculations_APPURT[[#This Row],[Brackets]],0) * cv_M/cv_F * Forces_APPURT[[#This Row],[Beta Fai 240]] * Calculations_APPURT[[#This Row],[Horizontal Offset]]/12</f>
        <v>0</v>
      </c>
      <c r="OQ15" s="276">
        <f>IFERROR(1/Calculations_APPURT[[#This Row],[Brackets]],0) * cv_M/cv_F * Forces_APPURT[[#This Row],[Beta Fai 270]] * Calculations_APPURT[[#This Row],[Horizontal Offset]]/12</f>
        <v>0</v>
      </c>
      <c r="OR15" s="276">
        <f>IFERROR(1/Calculations_APPURT[[#This Row],[Brackets]],0) * cv_M/cv_F * Forces_APPURT[[#This Row],[Beta Fai 300]] * Calculations_APPURT[[#This Row],[Horizontal Offset]]/12</f>
        <v>0</v>
      </c>
      <c r="OS15" s="276">
        <f>IFERROR(1/Calculations_APPURT[[#This Row],[Brackets]],0) * cv_M/cv_F * Forces_APPURT[[#This Row],[Beta Fai 315]] * Calculations_APPURT[[#This Row],[Horizontal Offset]]/12</f>
        <v>0</v>
      </c>
      <c r="OT15" s="276">
        <f>IFERROR(1/Calculations_APPURT[[#This Row],[Brackets]],0) * cv_M/cv_F * Forces_APPURT[[#This Row],[Beta Fai 330]] * Calculations_APPURT[[#This Row],[Horizontal Offset]]/12</f>
        <v>0</v>
      </c>
      <c r="OU15" s="276">
        <f>IFERROR(1/Calculations_APPURT[[#This Row],[Brackets]],0) * cv_M/cv_F * Forces_APPURT[[#This Row],[Gamma Fai 0]] * Calculations_APPURT[[#This Row],[Horizontal Offset]]/12</f>
        <v>0</v>
      </c>
      <c r="OV15" s="276">
        <f>IFERROR(1/Calculations_APPURT[[#This Row],[Brackets]],0) * cv_M/cv_F * Forces_APPURT[[#This Row],[Gamma Fai 30]] * Calculations_APPURT[[#This Row],[Horizontal Offset]]/12</f>
        <v>0</v>
      </c>
      <c r="OW15" s="276">
        <f>IFERROR(1/Calculations_APPURT[[#This Row],[Brackets]],0) * cv_M/cv_F * Forces_APPURT[[#This Row],[Gamma Fai 45]] * Calculations_APPURT[[#This Row],[Horizontal Offset]]/12</f>
        <v>0</v>
      </c>
      <c r="OX15" s="276">
        <f>IFERROR(1/Calculations_APPURT[[#This Row],[Brackets]],0) * cv_M/cv_F * Forces_APPURT[[#This Row],[Gamma Fai 60]] * Calculations_APPURT[[#This Row],[Horizontal Offset]]/12</f>
        <v>0</v>
      </c>
      <c r="OY15" s="276">
        <f>IFERROR(1/Calculations_APPURT[[#This Row],[Brackets]],0) * cv_M/cv_F * Forces_APPURT[[#This Row],[Gamma Fai 90]] * Calculations_APPURT[[#This Row],[Horizontal Offset]]/12</f>
        <v>0</v>
      </c>
      <c r="OZ15" s="276">
        <f>IFERROR(1/Calculations_APPURT[[#This Row],[Brackets]],0) * cv_M/cv_F * Forces_APPURT[[#This Row],[Gamma Fai 120]] * Calculations_APPURT[[#This Row],[Horizontal Offset]]/12</f>
        <v>0</v>
      </c>
      <c r="PA15" s="276">
        <f>IFERROR(1/Calculations_APPURT[[#This Row],[Brackets]],0) * cv_M/cv_F * Forces_APPURT[[#This Row],[Gamma Fai 135]] * Calculations_APPURT[[#This Row],[Horizontal Offset]]/12</f>
        <v>0</v>
      </c>
      <c r="PB15" s="276">
        <f>IFERROR(1/Calculations_APPURT[[#This Row],[Brackets]],0) * cv_M/cv_F * Forces_APPURT[[#This Row],[Gamma Fai 150]] * Calculations_APPURT[[#This Row],[Horizontal Offset]]/12</f>
        <v>0</v>
      </c>
      <c r="PC15" s="276">
        <f>IFERROR(1/Calculations_APPURT[[#This Row],[Brackets]],0) * cv_M/cv_F * Forces_APPURT[[#This Row],[Gamma Fai 180]] * Calculations_APPURT[[#This Row],[Horizontal Offset]]/12</f>
        <v>0</v>
      </c>
      <c r="PD15" s="276">
        <f>IFERROR(1/Calculations_APPURT[[#This Row],[Brackets]],0) * cv_M/cv_F * Forces_APPURT[[#This Row],[Gamma Fai 210]] * Calculations_APPURT[[#This Row],[Horizontal Offset]]/12</f>
        <v>0</v>
      </c>
      <c r="PE15" s="276">
        <f>IFERROR(1/Calculations_APPURT[[#This Row],[Brackets]],0) * cv_M/cv_F * Forces_APPURT[[#This Row],[Gamma Fai 225]] * Calculations_APPURT[[#This Row],[Horizontal Offset]]/12</f>
        <v>0</v>
      </c>
      <c r="PF15" s="276">
        <f>IFERROR(1/Calculations_APPURT[[#This Row],[Brackets]],0) * cv_M/cv_F * Forces_APPURT[[#This Row],[Gamma Fai 240]] * Calculations_APPURT[[#This Row],[Horizontal Offset]]/12</f>
        <v>0</v>
      </c>
      <c r="PG15" s="276">
        <f>IFERROR(1/Calculations_APPURT[[#This Row],[Brackets]],0) * cv_M/cv_F * Forces_APPURT[[#This Row],[Gamma Fai 270]] * Calculations_APPURT[[#This Row],[Horizontal Offset]]/12</f>
        <v>0</v>
      </c>
      <c r="PH15" s="276">
        <f>IFERROR(1/Calculations_APPURT[[#This Row],[Brackets]],0) * cv_M/cv_F * Forces_APPURT[[#This Row],[Gamma Fai 300]] * Calculations_APPURT[[#This Row],[Horizontal Offset]]/12</f>
        <v>0</v>
      </c>
      <c r="PI15" s="276">
        <f>IFERROR(1/Calculations_APPURT[[#This Row],[Brackets]],0) * cv_M/cv_F * Forces_APPURT[[#This Row],[Gamma Fai 315]] * Calculations_APPURT[[#This Row],[Horizontal Offset]]/12</f>
        <v>0</v>
      </c>
      <c r="PJ15" s="276">
        <f>IFERROR(1/Calculations_APPURT[[#This Row],[Brackets]],0) * cv_M/cv_F * Forces_APPURT[[#This Row],[Gamma Fai 330]] * Calculations_APPURT[[#This Row],[Horizontal Offset]]/12</f>
        <v>0</v>
      </c>
      <c r="PK15" s="276">
        <f>IFERROR(1/Calculations_APPURT[[#This Row],[Brackets]],0) * cv_M/cv_F * Forces_APPURT[[#This Row],[Delta Fai 0]] * Calculations_APPURT[[#This Row],[Horizontal Offset]]/12</f>
        <v>0</v>
      </c>
      <c r="PL15" s="276">
        <f>IFERROR(1/Calculations_APPURT[[#This Row],[Brackets]],0) * cv_M/cv_F * Forces_APPURT[[#This Row],[Delta Fai 30]] * Calculations_APPURT[[#This Row],[Horizontal Offset]]/12</f>
        <v>0</v>
      </c>
      <c r="PM15" s="276">
        <f>IFERROR(1/Calculations_APPURT[[#This Row],[Brackets]],0) * cv_M/cv_F * Forces_APPURT[[#This Row],[Delta Fai 45]] * Calculations_APPURT[[#This Row],[Horizontal Offset]]/12</f>
        <v>0</v>
      </c>
      <c r="PN15" s="276">
        <f>IFERROR(1/Calculations_APPURT[[#This Row],[Brackets]],0) * cv_M/cv_F * Forces_APPURT[[#This Row],[Delta Fai 60]] * Calculations_APPURT[[#This Row],[Horizontal Offset]]/12</f>
        <v>0</v>
      </c>
      <c r="PO15" s="276">
        <f>IFERROR(1/Calculations_APPURT[[#This Row],[Brackets]],0) * cv_M/cv_F * Forces_APPURT[[#This Row],[Delta Fai 90]] * Calculations_APPURT[[#This Row],[Horizontal Offset]]/12</f>
        <v>0</v>
      </c>
      <c r="PP15" s="276">
        <f>IFERROR(1/Calculations_APPURT[[#This Row],[Brackets]],0) * cv_M/cv_F * Forces_APPURT[[#This Row],[Delta Fai 120]] * Calculations_APPURT[[#This Row],[Horizontal Offset]]/12</f>
        <v>0</v>
      </c>
      <c r="PQ15" s="276">
        <f>IFERROR(1/Calculations_APPURT[[#This Row],[Brackets]],0) * cv_M/cv_F * Forces_APPURT[[#This Row],[Delta Fai 135]] * Calculations_APPURT[[#This Row],[Horizontal Offset]]/12</f>
        <v>0</v>
      </c>
      <c r="PR15" s="276">
        <f>IFERROR(1/Calculations_APPURT[[#This Row],[Brackets]],0) * cv_M/cv_F * Forces_APPURT[[#This Row],[Delta Fai 150]] * Calculations_APPURT[[#This Row],[Horizontal Offset]]/12</f>
        <v>0</v>
      </c>
      <c r="PS15" s="276">
        <f>IFERROR(1/Calculations_APPURT[[#This Row],[Brackets]],0) * cv_M/cv_F * Forces_APPURT[[#This Row],[Delta Fai 180]] * Calculations_APPURT[[#This Row],[Horizontal Offset]]/12</f>
        <v>0</v>
      </c>
      <c r="PT15" s="276">
        <f>IFERROR(1/Calculations_APPURT[[#This Row],[Brackets]],0) * cv_M/cv_F * Forces_APPURT[[#This Row],[Delta Fai 210]] * Calculations_APPURT[[#This Row],[Horizontal Offset]]/12</f>
        <v>0</v>
      </c>
      <c r="PU15" s="276">
        <f>IFERROR(1/Calculations_APPURT[[#This Row],[Brackets]],0) * cv_M/cv_F * Forces_APPURT[[#This Row],[Delta Fai 225]] * Calculations_APPURT[[#This Row],[Horizontal Offset]]/12</f>
        <v>0</v>
      </c>
      <c r="PV15" s="276">
        <f>IFERROR(1/Calculations_APPURT[[#This Row],[Brackets]],0) * cv_M/cv_F * Forces_APPURT[[#This Row],[Delta Fai 240]] * Calculations_APPURT[[#This Row],[Horizontal Offset]]/12</f>
        <v>0</v>
      </c>
      <c r="PW15" s="276">
        <f>IFERROR(1/Calculations_APPURT[[#This Row],[Brackets]],0) * cv_M/cv_F * Forces_APPURT[[#This Row],[Delta Fai 270]] * Calculations_APPURT[[#This Row],[Horizontal Offset]]/12</f>
        <v>0</v>
      </c>
      <c r="PX15" s="276">
        <f>IFERROR(1/Calculations_APPURT[[#This Row],[Brackets]],0) * cv_M/cv_F * Forces_APPURT[[#This Row],[Delta Fai 300]] * Calculations_APPURT[[#This Row],[Horizontal Offset]]/12</f>
        <v>0</v>
      </c>
      <c r="PY15" s="276">
        <f>IFERROR(1/Calculations_APPURT[[#This Row],[Brackets]],0) * cv_M/cv_F * Forces_APPURT[[#This Row],[Delta Fai 315]] * Calculations_APPURT[[#This Row],[Horizontal Offset]]/12</f>
        <v>0</v>
      </c>
      <c r="PZ15" s="276">
        <f>IFERROR(1/Calculations_APPURT[[#This Row],[Brackets]],0) * cv_M/cv_F * Forces_APPURT[[#This Row],[Delta Fai 330]] * Calculations_APPURT[[#This Row],[Horizontal Offset]]/12</f>
        <v>0</v>
      </c>
      <c r="QA15" s="276">
        <f>IFERROR(1/Calculations_APPURT[[#This Row],[Brackets]],0) * cv_M/cv_F * Forces_APPURT[[#This Row],[Alpha Fa 0]] * Calculations_APPURT[[#This Row],[Lateral Offset]]/12</f>
        <v>0</v>
      </c>
      <c r="QB15" s="276">
        <f>IFERROR(1/Calculations_APPURT[[#This Row],[Brackets]],0) * cv_M/cv_F * Forces_APPURT[[#This Row],[Alpha Fa 30]] * Calculations_APPURT[[#This Row],[Lateral Offset]]/12</f>
        <v>0</v>
      </c>
      <c r="QC15" s="276">
        <f>IFERROR(1/Calculations_APPURT[[#This Row],[Brackets]],0) * cv_M/cv_F * Forces_APPURT[[#This Row],[Alpha Fa 45]] * Calculations_APPURT[[#This Row],[Lateral Offset]]/12</f>
        <v>0</v>
      </c>
      <c r="QD15" s="276">
        <f>IFERROR(1/Calculations_APPURT[[#This Row],[Brackets]],0) * cv_M/cv_F * Forces_APPURT[[#This Row],[Alpha Fa 60]] * Calculations_APPURT[[#This Row],[Lateral Offset]]/12</f>
        <v>0</v>
      </c>
      <c r="QE15" s="276">
        <f>IFERROR(1/Calculations_APPURT[[#This Row],[Brackets]],0) * cv_M/cv_F * Forces_APPURT[[#This Row],[Alpha Fa 90]] * Calculations_APPURT[[#This Row],[Lateral Offset]]/12</f>
        <v>0</v>
      </c>
      <c r="QF15" s="276">
        <f>IFERROR(1/Calculations_APPURT[[#This Row],[Brackets]],0) * cv_M/cv_F * Forces_APPURT[[#This Row],[Alpha Fa 120]] * Calculations_APPURT[[#This Row],[Lateral Offset]]/12</f>
        <v>0</v>
      </c>
      <c r="QG15" s="276">
        <f>IFERROR(1/Calculations_APPURT[[#This Row],[Brackets]],0) * cv_M/cv_F * Forces_APPURT[[#This Row],[Alpha Fa 135]] * Calculations_APPURT[[#This Row],[Lateral Offset]]/12</f>
        <v>0</v>
      </c>
      <c r="QH15" s="276">
        <f>IFERROR(1/Calculations_APPURT[[#This Row],[Brackets]],0) * cv_M/cv_F * Forces_APPURT[[#This Row],[Alpha Fa 150]] * Calculations_APPURT[[#This Row],[Lateral Offset]]/12</f>
        <v>0</v>
      </c>
      <c r="QI15" s="276">
        <f>IFERROR(1/Calculations_APPURT[[#This Row],[Brackets]],0) * cv_M/cv_F * Forces_APPURT[[#This Row],[Alpha Fa 180]] * Calculations_APPURT[[#This Row],[Lateral Offset]]/12</f>
        <v>0</v>
      </c>
      <c r="QJ15" s="276">
        <f>IFERROR(1/Calculations_APPURT[[#This Row],[Brackets]],0) * cv_M/cv_F * Forces_APPURT[[#This Row],[Alpha Fa 210]] * Calculations_APPURT[[#This Row],[Lateral Offset]]/12</f>
        <v>0</v>
      </c>
      <c r="QK15" s="276">
        <f>IFERROR(1/Calculations_APPURT[[#This Row],[Brackets]],0) * cv_M/cv_F * Forces_APPURT[[#This Row],[Alpha Fa 225]] * Calculations_APPURT[[#This Row],[Lateral Offset]]/12</f>
        <v>0</v>
      </c>
      <c r="QL15" s="276">
        <f>IFERROR(1/Calculations_APPURT[[#This Row],[Brackets]],0) * cv_M/cv_F * Forces_APPURT[[#This Row],[Alpha Fa 240]] * Calculations_APPURT[[#This Row],[Lateral Offset]]/12</f>
        <v>0</v>
      </c>
      <c r="QM15" s="276">
        <f>IFERROR(1/Calculations_APPURT[[#This Row],[Brackets]],0) * cv_M/cv_F * Forces_APPURT[[#This Row],[Alpha Fa 270]] * Calculations_APPURT[[#This Row],[Lateral Offset]]/12</f>
        <v>0</v>
      </c>
      <c r="QN15" s="276">
        <f>IFERROR(1/Calculations_APPURT[[#This Row],[Brackets]],0) * cv_M/cv_F * Forces_APPURT[[#This Row],[Alpha Fa 300]] * Calculations_APPURT[[#This Row],[Lateral Offset]]/12</f>
        <v>0</v>
      </c>
      <c r="QO15" s="276">
        <f>IFERROR(1/Calculations_APPURT[[#This Row],[Brackets]],0) * cv_M/cv_F * Forces_APPURT[[#This Row],[Alpha Fa 315]] * Calculations_APPURT[[#This Row],[Lateral Offset]]/12</f>
        <v>0</v>
      </c>
      <c r="QP15" s="276">
        <f>IFERROR(1/Calculations_APPURT[[#This Row],[Brackets]],0) * cv_M/cv_F * Forces_APPURT[[#This Row],[Alpha Fa 330]] * Calculations_APPURT[[#This Row],[Lateral Offset]]/12</f>
        <v>0</v>
      </c>
      <c r="QQ15" s="276">
        <f>IFERROR(1/Calculations_APPURT[[#This Row],[Brackets]],0) * cv_M/cv_F * Forces_APPURT[[#This Row],[Beta Fa 0]] * Calculations_APPURT[[#This Row],[Lateral Offset]]/12</f>
        <v>0</v>
      </c>
      <c r="QR15" s="276">
        <f>IFERROR(1/Calculations_APPURT[[#This Row],[Brackets]],0) * cv_M/cv_F * Forces_APPURT[[#This Row],[Beta Fa 30]] * Calculations_APPURT[[#This Row],[Lateral Offset]]/12</f>
        <v>0</v>
      </c>
      <c r="QS15" s="276">
        <f>IFERROR(1/Calculations_APPURT[[#This Row],[Brackets]],0) * cv_M/cv_F * Forces_APPURT[[#This Row],[Beta Fa 45]] * Calculations_APPURT[[#This Row],[Lateral Offset]]/12</f>
        <v>0</v>
      </c>
      <c r="QT15" s="276">
        <f>IFERROR(1/Calculations_APPURT[[#This Row],[Brackets]],0) * cv_M/cv_F * Forces_APPURT[[#This Row],[Beta Fa 60]] * Calculations_APPURT[[#This Row],[Lateral Offset]]/12</f>
        <v>0</v>
      </c>
      <c r="QU15" s="276">
        <f>IFERROR(1/Calculations_APPURT[[#This Row],[Brackets]],0) * cv_M/cv_F * Forces_APPURT[[#This Row],[Beta Fa 90]] * Calculations_APPURT[[#This Row],[Lateral Offset]]/12</f>
        <v>0</v>
      </c>
      <c r="QV15" s="276">
        <f>IFERROR(1/Calculations_APPURT[[#This Row],[Brackets]],0) * cv_M/cv_F * Forces_APPURT[[#This Row],[Beta Fa 120]] * Calculations_APPURT[[#This Row],[Lateral Offset]]/12</f>
        <v>0</v>
      </c>
      <c r="QW15" s="276">
        <f>IFERROR(1/Calculations_APPURT[[#This Row],[Brackets]],0) * cv_M/cv_F * Forces_APPURT[[#This Row],[Beta Fa 135]] * Calculations_APPURT[[#This Row],[Lateral Offset]]/12</f>
        <v>0</v>
      </c>
      <c r="QX15" s="276">
        <f>IFERROR(1/Calculations_APPURT[[#This Row],[Brackets]],0) * cv_M/cv_F * Forces_APPURT[[#This Row],[Beta Fa 150]] * Calculations_APPURT[[#This Row],[Lateral Offset]]/12</f>
        <v>0</v>
      </c>
      <c r="QY15" s="276">
        <f>IFERROR(1/Calculations_APPURT[[#This Row],[Brackets]],0) * cv_M/cv_F * Forces_APPURT[[#This Row],[Beta Fa 180]] * Calculations_APPURT[[#This Row],[Lateral Offset]]/12</f>
        <v>0</v>
      </c>
      <c r="QZ15" s="276">
        <f>IFERROR(1/Calculations_APPURT[[#This Row],[Brackets]],0) * cv_M/cv_F * Forces_APPURT[[#This Row],[Beta Fa 210]] * Calculations_APPURT[[#This Row],[Lateral Offset]]/12</f>
        <v>0</v>
      </c>
      <c r="RA15" s="276">
        <f>IFERROR(1/Calculations_APPURT[[#This Row],[Brackets]],0) * cv_M/cv_F * Forces_APPURT[[#This Row],[Beta Fa 225]] * Calculations_APPURT[[#This Row],[Lateral Offset]]/12</f>
        <v>0</v>
      </c>
      <c r="RB15" s="276">
        <f>IFERROR(1/Calculations_APPURT[[#This Row],[Brackets]],0) * cv_M/cv_F * Forces_APPURT[[#This Row],[Beta Fa 240]] * Calculations_APPURT[[#This Row],[Lateral Offset]]/12</f>
        <v>0</v>
      </c>
      <c r="RC15" s="276">
        <f>IFERROR(1/Calculations_APPURT[[#This Row],[Brackets]],0) * cv_M/cv_F * Forces_APPURT[[#This Row],[Beta Fa 270]] * Calculations_APPURT[[#This Row],[Lateral Offset]]/12</f>
        <v>0</v>
      </c>
      <c r="RD15" s="276">
        <f>IFERROR(1/Calculations_APPURT[[#This Row],[Brackets]],0) * cv_M/cv_F * Forces_APPURT[[#This Row],[Beta Fa 300]] * Calculations_APPURT[[#This Row],[Lateral Offset]]/12</f>
        <v>0</v>
      </c>
      <c r="RE15" s="276">
        <f>IFERROR(1/Calculations_APPURT[[#This Row],[Brackets]],0) * cv_M/cv_F * Forces_APPURT[[#This Row],[Beta Fa 315]] * Calculations_APPURT[[#This Row],[Lateral Offset]]/12</f>
        <v>0</v>
      </c>
      <c r="RF15" s="276">
        <f>IFERROR(1/Calculations_APPURT[[#This Row],[Brackets]],0) * cv_M/cv_F * Forces_APPURT[[#This Row],[Beta Fa 330]] * Calculations_APPURT[[#This Row],[Lateral Offset]]/12</f>
        <v>0</v>
      </c>
      <c r="RG15" s="276">
        <f>IFERROR(1/Calculations_APPURT[[#This Row],[Brackets]],0) * cv_M/cv_F * Forces_APPURT[[#This Row],[Gamma Fa 0]] * Calculations_APPURT[[#This Row],[Lateral Offset]]/12</f>
        <v>0</v>
      </c>
      <c r="RH15" s="276">
        <f>IFERROR(1/Calculations_APPURT[[#This Row],[Brackets]],0) * cv_M/cv_F * Forces_APPURT[[#This Row],[Gamma Fa 30]] * Calculations_APPURT[[#This Row],[Lateral Offset]]/12</f>
        <v>0</v>
      </c>
      <c r="RI15" s="276">
        <f>IFERROR(1/Calculations_APPURT[[#This Row],[Brackets]],0) * cv_M/cv_F * Forces_APPURT[[#This Row],[Gamma Fa 45]] * Calculations_APPURT[[#This Row],[Lateral Offset]]/12</f>
        <v>0</v>
      </c>
      <c r="RJ15" s="276">
        <f>IFERROR(1/Calculations_APPURT[[#This Row],[Brackets]],0) * cv_M/cv_F * Forces_APPURT[[#This Row],[Gamma Fa 60]] * Calculations_APPURT[[#This Row],[Lateral Offset]]/12</f>
        <v>0</v>
      </c>
      <c r="RK15" s="276">
        <f>IFERROR(1/Calculations_APPURT[[#This Row],[Brackets]],0) * cv_M/cv_F * Forces_APPURT[[#This Row],[Gamma Fa 90]] * Calculations_APPURT[[#This Row],[Lateral Offset]]/12</f>
        <v>0</v>
      </c>
      <c r="RL15" s="276">
        <f>IFERROR(1/Calculations_APPURT[[#This Row],[Brackets]],0) * cv_M/cv_F * Forces_APPURT[[#This Row],[Gamma Fa 120]] * Calculations_APPURT[[#This Row],[Lateral Offset]]/12</f>
        <v>0</v>
      </c>
      <c r="RM15" s="276">
        <f>IFERROR(1/Calculations_APPURT[[#This Row],[Brackets]],0) * cv_M/cv_F * Forces_APPURT[[#This Row],[Gamma Fa 135]] * Calculations_APPURT[[#This Row],[Lateral Offset]]/12</f>
        <v>0</v>
      </c>
      <c r="RN15" s="276">
        <f>IFERROR(1/Calculations_APPURT[[#This Row],[Brackets]],0) * cv_M/cv_F * Forces_APPURT[[#This Row],[Gamma Fa 150]] * Calculations_APPURT[[#This Row],[Lateral Offset]]/12</f>
        <v>0</v>
      </c>
      <c r="RO15" s="276">
        <f>IFERROR(1/Calculations_APPURT[[#This Row],[Brackets]],0) * cv_M/cv_F * Forces_APPURT[[#This Row],[Gamma Fa 180]] * Calculations_APPURT[[#This Row],[Lateral Offset]]/12</f>
        <v>0</v>
      </c>
      <c r="RP15" s="276">
        <f>IFERROR(1/Calculations_APPURT[[#This Row],[Brackets]],0) * cv_M/cv_F * Forces_APPURT[[#This Row],[Gamma Fa 210]] * Calculations_APPURT[[#This Row],[Lateral Offset]]/12</f>
        <v>0</v>
      </c>
      <c r="RQ15" s="276">
        <f>IFERROR(1/Calculations_APPURT[[#This Row],[Brackets]],0) * cv_M/cv_F * Forces_APPURT[[#This Row],[Gamma Fa 225]] * Calculations_APPURT[[#This Row],[Lateral Offset]]/12</f>
        <v>0</v>
      </c>
      <c r="RR15" s="276">
        <f>IFERROR(1/Calculations_APPURT[[#This Row],[Brackets]],0) * cv_M/cv_F * Forces_APPURT[[#This Row],[Gamma Fa 240]] * Calculations_APPURT[[#This Row],[Lateral Offset]]/12</f>
        <v>0</v>
      </c>
      <c r="RS15" s="276">
        <f>IFERROR(1/Calculations_APPURT[[#This Row],[Brackets]],0) * cv_M/cv_F * Forces_APPURT[[#This Row],[Gamma Fa 270]] * Calculations_APPURT[[#This Row],[Lateral Offset]]/12</f>
        <v>0</v>
      </c>
      <c r="RT15" s="276">
        <f>IFERROR(1/Calculations_APPURT[[#This Row],[Brackets]],0) * cv_M/cv_F * Forces_APPURT[[#This Row],[Gamma Fa 300]] * Calculations_APPURT[[#This Row],[Lateral Offset]]/12</f>
        <v>0</v>
      </c>
      <c r="RU15" s="276">
        <f>IFERROR(1/Calculations_APPURT[[#This Row],[Brackets]],0) * cv_M/cv_F * Forces_APPURT[[#This Row],[Gamma Fa 315]] * Calculations_APPURT[[#This Row],[Lateral Offset]]/12</f>
        <v>0</v>
      </c>
      <c r="RV15" s="276">
        <f>IFERROR(1/Calculations_APPURT[[#This Row],[Brackets]],0) * cv_M/cv_F * Forces_APPURT[[#This Row],[Gamma Fa 330]] * Calculations_APPURT[[#This Row],[Lateral Offset]]/12</f>
        <v>0</v>
      </c>
      <c r="RW15" s="276">
        <f>IFERROR(1/Calculations_APPURT[[#This Row],[Brackets]],0) * cv_M/cv_F * Forces_APPURT[[#This Row],[Delta Fa 0]] * Calculations_APPURT[[#This Row],[Lateral Offset]]/12</f>
        <v>0</v>
      </c>
      <c r="RX15" s="276">
        <f>IFERROR(1/Calculations_APPURT[[#This Row],[Brackets]],0) * cv_M/cv_F * Forces_APPURT[[#This Row],[Delta Fa 30]] * Calculations_APPURT[[#This Row],[Lateral Offset]]/12</f>
        <v>0</v>
      </c>
      <c r="RY15" s="276">
        <f>IFERROR(1/Calculations_APPURT[[#This Row],[Brackets]],0) * cv_M/cv_F * Forces_APPURT[[#This Row],[Delta Fa 45]] * Calculations_APPURT[[#This Row],[Lateral Offset]]/12</f>
        <v>0</v>
      </c>
      <c r="RZ15" s="276">
        <f>IFERROR(1/Calculations_APPURT[[#This Row],[Brackets]],0) * cv_M/cv_F * Forces_APPURT[[#This Row],[Delta Fa 60]] * Calculations_APPURT[[#This Row],[Lateral Offset]]/12</f>
        <v>0</v>
      </c>
      <c r="SA15" s="276">
        <f>IFERROR(1/Calculations_APPURT[[#This Row],[Brackets]],0) * cv_M/cv_F * Forces_APPURT[[#This Row],[Delta Fa 90]] * Calculations_APPURT[[#This Row],[Lateral Offset]]/12</f>
        <v>0</v>
      </c>
      <c r="SB15" s="276">
        <f>IFERROR(1/Calculations_APPURT[[#This Row],[Brackets]],0) * cv_M/cv_F * Forces_APPURT[[#This Row],[Delta Fa 120]] * Calculations_APPURT[[#This Row],[Lateral Offset]]/12</f>
        <v>0</v>
      </c>
      <c r="SC15" s="276">
        <f>IFERROR(1/Calculations_APPURT[[#This Row],[Brackets]],0) * cv_M/cv_F * Forces_APPURT[[#This Row],[Delta Fa 135]] * Calculations_APPURT[[#This Row],[Lateral Offset]]/12</f>
        <v>0</v>
      </c>
      <c r="SD15" s="276">
        <f>IFERROR(1/Calculations_APPURT[[#This Row],[Brackets]],0) * cv_M/cv_F * Forces_APPURT[[#This Row],[Delta Fa 150]] * Calculations_APPURT[[#This Row],[Lateral Offset]]/12</f>
        <v>0</v>
      </c>
      <c r="SE15" s="276">
        <f>IFERROR(1/Calculations_APPURT[[#This Row],[Brackets]],0) * cv_M/cv_F * Forces_APPURT[[#This Row],[Delta Fa 180]] * Calculations_APPURT[[#This Row],[Lateral Offset]]/12</f>
        <v>0</v>
      </c>
      <c r="SF15" s="276">
        <f>IFERROR(1/Calculations_APPURT[[#This Row],[Brackets]],0) * cv_M/cv_F * Forces_APPURT[[#This Row],[Delta Fa 210]] * Calculations_APPURT[[#This Row],[Lateral Offset]]/12</f>
        <v>0</v>
      </c>
      <c r="SG15" s="276">
        <f>IFERROR(1/Calculations_APPURT[[#This Row],[Brackets]],0) * cv_M/cv_F * Forces_APPURT[[#This Row],[Delta Fa 225]] * Calculations_APPURT[[#This Row],[Lateral Offset]]/12</f>
        <v>0</v>
      </c>
      <c r="SH15" s="276">
        <f>IFERROR(1/Calculations_APPURT[[#This Row],[Brackets]],0) * cv_M/cv_F * Forces_APPURT[[#This Row],[Delta Fa 240]] * Calculations_APPURT[[#This Row],[Lateral Offset]]/12</f>
        <v>0</v>
      </c>
      <c r="SI15" s="276">
        <f>IFERROR(1/Calculations_APPURT[[#This Row],[Brackets]],0) * cv_M/cv_F * Forces_APPURT[[#This Row],[Delta Fa 270]] * Calculations_APPURT[[#This Row],[Lateral Offset]]/12</f>
        <v>0</v>
      </c>
      <c r="SJ15" s="276">
        <f>IFERROR(1/Calculations_APPURT[[#This Row],[Brackets]],0) * cv_M/cv_F * Forces_APPURT[[#This Row],[Delta Fa 300]] * Calculations_APPURT[[#This Row],[Lateral Offset]]/12</f>
        <v>0</v>
      </c>
      <c r="SK15" s="276">
        <f>IFERROR(1/Calculations_APPURT[[#This Row],[Brackets]],0) * cv_M/cv_F * Forces_APPURT[[#This Row],[Delta Fa 315]] * Calculations_APPURT[[#This Row],[Lateral Offset]]/12</f>
        <v>0</v>
      </c>
      <c r="SL15" s="276">
        <f>IFERROR(1/Calculations_APPURT[[#This Row],[Brackets]],0) * cv_M/cv_F * Forces_APPURT[[#This Row],[Delta Fa 330]] * Calculations_APPURT[[#This Row],[Lateral Offset]]/12</f>
        <v>0</v>
      </c>
      <c r="SM15" s="276">
        <f>IFERROR(1/Calculations_APPURT[[#This Row],[Brackets]],0) * cv_M/cv_F * Forces_APPURT[[#This Row],[Alpha Fai 0]] * Calculations_APPURT[[#This Row],[Lateral Offset]]/12</f>
        <v>0</v>
      </c>
      <c r="SN15" s="276">
        <f>IFERROR(1/Calculations_APPURT[[#This Row],[Brackets]],0) * cv_M/cv_F * Forces_APPURT[[#This Row],[Alpha Fai 30]] * Calculations_APPURT[[#This Row],[Lateral Offset]]/12</f>
        <v>0</v>
      </c>
      <c r="SO15" s="276">
        <f>IFERROR(1/Calculations_APPURT[[#This Row],[Brackets]],0) * cv_M/cv_F * Forces_APPURT[[#This Row],[Alpha Fai 45]] * Calculations_APPURT[[#This Row],[Lateral Offset]]/12</f>
        <v>0</v>
      </c>
      <c r="SP15" s="276">
        <f>IFERROR(1/Calculations_APPURT[[#This Row],[Brackets]],0) * cv_M/cv_F * Forces_APPURT[[#This Row],[Alpha Fai 60]] * Calculations_APPURT[[#This Row],[Lateral Offset]]/12</f>
        <v>0</v>
      </c>
      <c r="SQ15" s="276">
        <f>IFERROR(1/Calculations_APPURT[[#This Row],[Brackets]],0) * cv_M/cv_F * Forces_APPURT[[#This Row],[Alpha Fai 90]] * Calculations_APPURT[[#This Row],[Lateral Offset]]/12</f>
        <v>0</v>
      </c>
      <c r="SR15" s="276">
        <f>IFERROR(1/Calculations_APPURT[[#This Row],[Brackets]],0) * cv_M/cv_F * Forces_APPURT[[#This Row],[Alpha Fai 120]] * Calculations_APPURT[[#This Row],[Lateral Offset]]/12</f>
        <v>0</v>
      </c>
      <c r="SS15" s="276">
        <f>IFERROR(1/Calculations_APPURT[[#This Row],[Brackets]],0) * cv_M/cv_F * Forces_APPURT[[#This Row],[Alpha Fai 135]] * Calculations_APPURT[[#This Row],[Lateral Offset]]/12</f>
        <v>0</v>
      </c>
      <c r="ST15" s="276">
        <f>IFERROR(1/Calculations_APPURT[[#This Row],[Brackets]],0) * cv_M/cv_F * Forces_APPURT[[#This Row],[Alpha Fai 150]] * Calculations_APPURT[[#This Row],[Lateral Offset]]/12</f>
        <v>0</v>
      </c>
      <c r="SU15" s="276">
        <f>IFERROR(1/Calculations_APPURT[[#This Row],[Brackets]],0) * cv_M/cv_F * Forces_APPURT[[#This Row],[Alpha Fai 180]] * Calculations_APPURT[[#This Row],[Lateral Offset]]/12</f>
        <v>0</v>
      </c>
      <c r="SV15" s="276">
        <f>IFERROR(1/Calculations_APPURT[[#This Row],[Brackets]],0) * cv_M/cv_F * Forces_APPURT[[#This Row],[Alpha Fai 210]] * Calculations_APPURT[[#This Row],[Lateral Offset]]/12</f>
        <v>0</v>
      </c>
      <c r="SW15" s="276">
        <f>IFERROR(1/Calculations_APPURT[[#This Row],[Brackets]],0) * cv_M/cv_F * Forces_APPURT[[#This Row],[Alpha Fai 225]] * Calculations_APPURT[[#This Row],[Lateral Offset]]/12</f>
        <v>0</v>
      </c>
      <c r="SX15" s="276">
        <f>IFERROR(1/Calculations_APPURT[[#This Row],[Brackets]],0) * cv_M/cv_F * Forces_APPURT[[#This Row],[Alpha Fai 240]] * Calculations_APPURT[[#This Row],[Lateral Offset]]/12</f>
        <v>0</v>
      </c>
      <c r="SY15" s="276">
        <f>IFERROR(1/Calculations_APPURT[[#This Row],[Brackets]],0) * cv_M/cv_F * Forces_APPURT[[#This Row],[Alpha Fai 270]] * Calculations_APPURT[[#This Row],[Lateral Offset]]/12</f>
        <v>0</v>
      </c>
      <c r="SZ15" s="276">
        <f>IFERROR(1/Calculations_APPURT[[#This Row],[Brackets]],0) * cv_M/cv_F * Forces_APPURT[[#This Row],[Alpha Fai 300]] * Calculations_APPURT[[#This Row],[Lateral Offset]]/12</f>
        <v>0</v>
      </c>
      <c r="TA15" s="276">
        <f>IFERROR(1/Calculations_APPURT[[#This Row],[Brackets]],0) * cv_M/cv_F * Forces_APPURT[[#This Row],[Alpha Fai 315]] * Calculations_APPURT[[#This Row],[Lateral Offset]]/12</f>
        <v>0</v>
      </c>
      <c r="TB15" s="276">
        <f>IFERROR(1/Calculations_APPURT[[#This Row],[Brackets]],0) * cv_M/cv_F * Forces_APPURT[[#This Row],[Alpha Fai 330]] * Calculations_APPURT[[#This Row],[Lateral Offset]]/12</f>
        <v>0</v>
      </c>
      <c r="TC15" s="276">
        <f>IFERROR(1/Calculations_APPURT[[#This Row],[Brackets]],0) * cv_M/cv_F * Forces_APPURT[[#This Row],[Beta Fai 0]] * Calculations_APPURT[[#This Row],[Lateral Offset]]/12</f>
        <v>0</v>
      </c>
      <c r="TD15" s="276">
        <f>IFERROR(1/Calculations_APPURT[[#This Row],[Brackets]],0) * cv_M/cv_F * Forces_APPURT[[#This Row],[Beta Fai 30]] * Calculations_APPURT[[#This Row],[Lateral Offset]]/12</f>
        <v>0</v>
      </c>
      <c r="TE15" s="276">
        <f>IFERROR(1/Calculations_APPURT[[#This Row],[Brackets]],0) * cv_M/cv_F * Forces_APPURT[[#This Row],[Beta Fai 45]] * Calculations_APPURT[[#This Row],[Lateral Offset]]/12</f>
        <v>0</v>
      </c>
      <c r="TF15" s="276">
        <f>IFERROR(1/Calculations_APPURT[[#This Row],[Brackets]],0) * cv_M/cv_F * Forces_APPURT[[#This Row],[Beta Fai 60]] * Calculations_APPURT[[#This Row],[Lateral Offset]]/12</f>
        <v>0</v>
      </c>
      <c r="TG15" s="276">
        <f>IFERROR(1/Calculations_APPURT[[#This Row],[Brackets]],0) * cv_M/cv_F * Forces_APPURT[[#This Row],[Beta Fai 90]] * Calculations_APPURT[[#This Row],[Lateral Offset]]/12</f>
        <v>0</v>
      </c>
      <c r="TH15" s="276">
        <f>IFERROR(1/Calculations_APPURT[[#This Row],[Brackets]],0) * cv_M/cv_F * Forces_APPURT[[#This Row],[Beta Fai 120]] * Calculations_APPURT[[#This Row],[Lateral Offset]]/12</f>
        <v>0</v>
      </c>
      <c r="TI15" s="276">
        <f>IFERROR(1/Calculations_APPURT[[#This Row],[Brackets]],0) * cv_M/cv_F * Forces_APPURT[[#This Row],[Beta Fai 135]] * Calculations_APPURT[[#This Row],[Lateral Offset]]/12</f>
        <v>0</v>
      </c>
      <c r="TJ15" s="276">
        <f>IFERROR(1/Calculations_APPURT[[#This Row],[Brackets]],0) * cv_M/cv_F * Forces_APPURT[[#This Row],[Beta Fai 150]] * Calculations_APPURT[[#This Row],[Lateral Offset]]/12</f>
        <v>0</v>
      </c>
      <c r="TK15" s="276">
        <f>IFERROR(1/Calculations_APPURT[[#This Row],[Brackets]],0) * cv_M/cv_F * Forces_APPURT[[#This Row],[Beta Fai 180]] * Calculations_APPURT[[#This Row],[Lateral Offset]]/12</f>
        <v>0</v>
      </c>
      <c r="TL15" s="276">
        <f>IFERROR(1/Calculations_APPURT[[#This Row],[Brackets]],0) * cv_M/cv_F * Forces_APPURT[[#This Row],[Beta Fai 210]] * Calculations_APPURT[[#This Row],[Lateral Offset]]/12</f>
        <v>0</v>
      </c>
      <c r="TM15" s="276">
        <f>IFERROR(1/Calculations_APPURT[[#This Row],[Brackets]],0) * cv_M/cv_F * Forces_APPURT[[#This Row],[Beta Fai 225]] * Calculations_APPURT[[#This Row],[Lateral Offset]]/12</f>
        <v>0</v>
      </c>
      <c r="TN15" s="276">
        <f>IFERROR(1/Calculations_APPURT[[#This Row],[Brackets]],0) * cv_M/cv_F * Forces_APPURT[[#This Row],[Beta Fai 240]] * Calculations_APPURT[[#This Row],[Lateral Offset]]/12</f>
        <v>0</v>
      </c>
      <c r="TO15" s="276">
        <f>IFERROR(1/Calculations_APPURT[[#This Row],[Brackets]],0) * cv_M/cv_F * Forces_APPURT[[#This Row],[Beta Fai 270]] * Calculations_APPURT[[#This Row],[Lateral Offset]]/12</f>
        <v>0</v>
      </c>
      <c r="TP15" s="276">
        <f>IFERROR(1/Calculations_APPURT[[#This Row],[Brackets]],0) * cv_M/cv_F * Forces_APPURT[[#This Row],[Beta Fai 300]] * Calculations_APPURT[[#This Row],[Lateral Offset]]/12</f>
        <v>0</v>
      </c>
      <c r="TQ15" s="276">
        <f>IFERROR(1/Calculations_APPURT[[#This Row],[Brackets]],0) * cv_M/cv_F * Forces_APPURT[[#This Row],[Beta Fai 315]] * Calculations_APPURT[[#This Row],[Lateral Offset]]/12</f>
        <v>0</v>
      </c>
      <c r="TR15" s="276">
        <f>IFERROR(1/Calculations_APPURT[[#This Row],[Brackets]],0) * cv_M/cv_F * Forces_APPURT[[#This Row],[Beta Fai 330]] * Calculations_APPURT[[#This Row],[Lateral Offset]]/12</f>
        <v>0</v>
      </c>
      <c r="TS15" s="276">
        <f>IFERROR(1/Calculations_APPURT[[#This Row],[Brackets]],0) * cv_M/cv_F * Forces_APPURT[[#This Row],[Gamma Fai 0]] * Calculations_APPURT[[#This Row],[Lateral Offset]]/12</f>
        <v>0</v>
      </c>
      <c r="TT15" s="276">
        <f>IFERROR(1/Calculations_APPURT[[#This Row],[Brackets]],0) * cv_M/cv_F * Forces_APPURT[[#This Row],[Gamma Fai 30]] * Calculations_APPURT[[#This Row],[Lateral Offset]]/12</f>
        <v>0</v>
      </c>
      <c r="TU15" s="276">
        <f>IFERROR(1/Calculations_APPURT[[#This Row],[Brackets]],0) * cv_M/cv_F * Forces_APPURT[[#This Row],[Gamma Fai 45]] * Calculations_APPURT[[#This Row],[Lateral Offset]]/12</f>
        <v>0</v>
      </c>
      <c r="TV15" s="276">
        <f>IFERROR(1/Calculations_APPURT[[#This Row],[Brackets]],0) * cv_M/cv_F * Forces_APPURT[[#This Row],[Gamma Fai 60]] * Calculations_APPURT[[#This Row],[Lateral Offset]]/12</f>
        <v>0</v>
      </c>
      <c r="TW15" s="276">
        <f>IFERROR(1/Calculations_APPURT[[#This Row],[Brackets]],0) * cv_M/cv_F * Forces_APPURT[[#This Row],[Gamma Fai 90]] * Calculations_APPURT[[#This Row],[Lateral Offset]]/12</f>
        <v>0</v>
      </c>
      <c r="TX15" s="276">
        <f>IFERROR(1/Calculations_APPURT[[#This Row],[Brackets]],0) * cv_M/cv_F * Forces_APPURT[[#This Row],[Gamma Fai 120]] * Calculations_APPURT[[#This Row],[Lateral Offset]]/12</f>
        <v>0</v>
      </c>
      <c r="TY15" s="276">
        <f>IFERROR(1/Calculations_APPURT[[#This Row],[Brackets]],0) * cv_M/cv_F * Forces_APPURT[[#This Row],[Gamma Fai 135]] * Calculations_APPURT[[#This Row],[Lateral Offset]]/12</f>
        <v>0</v>
      </c>
      <c r="TZ15" s="276">
        <f>IFERROR(1/Calculations_APPURT[[#This Row],[Brackets]],0) * cv_M/cv_F * Forces_APPURT[[#This Row],[Gamma Fai 150]] * Calculations_APPURT[[#This Row],[Lateral Offset]]/12</f>
        <v>0</v>
      </c>
      <c r="UA15" s="276">
        <f>IFERROR(1/Calculations_APPURT[[#This Row],[Brackets]],0) * cv_M/cv_F * Forces_APPURT[[#This Row],[Gamma Fai 180]] * Calculations_APPURT[[#This Row],[Lateral Offset]]/12</f>
        <v>0</v>
      </c>
      <c r="UB15" s="276">
        <f>IFERROR(1/Calculations_APPURT[[#This Row],[Brackets]],0) * cv_M/cv_F * Forces_APPURT[[#This Row],[Gamma Fai 210]] * Calculations_APPURT[[#This Row],[Lateral Offset]]/12</f>
        <v>0</v>
      </c>
      <c r="UC15" s="276">
        <f>IFERROR(1/Calculations_APPURT[[#This Row],[Brackets]],0) * cv_M/cv_F * Forces_APPURT[[#This Row],[Gamma Fai 225]] * Calculations_APPURT[[#This Row],[Lateral Offset]]/12</f>
        <v>0</v>
      </c>
      <c r="UD15" s="276">
        <f>IFERROR(1/Calculations_APPURT[[#This Row],[Brackets]],0) * cv_M/cv_F * Forces_APPURT[[#This Row],[Gamma Fai 240]] * Calculations_APPURT[[#This Row],[Lateral Offset]]/12</f>
        <v>0</v>
      </c>
      <c r="UE15" s="276">
        <f>IFERROR(1/Calculations_APPURT[[#This Row],[Brackets]],0) * cv_M/cv_F * Forces_APPURT[[#This Row],[Gamma Fai 270]] * Calculations_APPURT[[#This Row],[Lateral Offset]]/12</f>
        <v>0</v>
      </c>
      <c r="UF15" s="276">
        <f>IFERROR(1/Calculations_APPURT[[#This Row],[Brackets]],0) * cv_M/cv_F * Forces_APPURT[[#This Row],[Gamma Fai 300]] * Calculations_APPURT[[#This Row],[Lateral Offset]]/12</f>
        <v>0</v>
      </c>
      <c r="UG15" s="276">
        <f>IFERROR(1/Calculations_APPURT[[#This Row],[Brackets]],0) * cv_M/cv_F * Forces_APPURT[[#This Row],[Gamma Fai 315]] * Calculations_APPURT[[#This Row],[Lateral Offset]]/12</f>
        <v>0</v>
      </c>
      <c r="UH15" s="276">
        <f>IFERROR(1/Calculations_APPURT[[#This Row],[Brackets]],0) * cv_M/cv_F * Forces_APPURT[[#This Row],[Gamma Fai 330]] * Calculations_APPURT[[#This Row],[Lateral Offset]]/12</f>
        <v>0</v>
      </c>
      <c r="UI15" s="276">
        <f>IFERROR(1/Calculations_APPURT[[#This Row],[Brackets]],0) * cv_M/cv_F * Forces_APPURT[[#This Row],[Delta Fai 0]] * Calculations_APPURT[[#This Row],[Lateral Offset]]/12</f>
        <v>0</v>
      </c>
      <c r="UJ15" s="276">
        <f>IFERROR(1/Calculations_APPURT[[#This Row],[Brackets]],0) * cv_M/cv_F * Forces_APPURT[[#This Row],[Delta Fai 30]] * Calculations_APPURT[[#This Row],[Lateral Offset]]/12</f>
        <v>0</v>
      </c>
      <c r="UK15" s="276">
        <f>IFERROR(1/Calculations_APPURT[[#This Row],[Brackets]],0) * cv_M/cv_F * Forces_APPURT[[#This Row],[Delta Fai 45]] * Calculations_APPURT[[#This Row],[Lateral Offset]]/12</f>
        <v>0</v>
      </c>
      <c r="UL15" s="276">
        <f>IFERROR(1/Calculations_APPURT[[#This Row],[Brackets]],0) * cv_M/cv_F * Forces_APPURT[[#This Row],[Delta Fai 60]] * Calculations_APPURT[[#This Row],[Lateral Offset]]/12</f>
        <v>0</v>
      </c>
      <c r="UM15" s="276">
        <f>IFERROR(1/Calculations_APPURT[[#This Row],[Brackets]],0) * cv_M/cv_F * Forces_APPURT[[#This Row],[Delta Fai 90]] * Calculations_APPURT[[#This Row],[Lateral Offset]]/12</f>
        <v>0</v>
      </c>
      <c r="UN15" s="276">
        <f>IFERROR(1/Calculations_APPURT[[#This Row],[Brackets]],0) * cv_M/cv_F * Forces_APPURT[[#This Row],[Delta Fai 120]] * Calculations_APPURT[[#This Row],[Lateral Offset]]/12</f>
        <v>0</v>
      </c>
      <c r="UO15" s="276">
        <f>IFERROR(1/Calculations_APPURT[[#This Row],[Brackets]],0) * cv_M/cv_F * Forces_APPURT[[#This Row],[Delta Fai 135]] * Calculations_APPURT[[#This Row],[Lateral Offset]]/12</f>
        <v>0</v>
      </c>
      <c r="UP15" s="276">
        <f>IFERROR(1/Calculations_APPURT[[#This Row],[Brackets]],0) * cv_M/cv_F * Forces_APPURT[[#This Row],[Delta Fai 150]] * Calculations_APPURT[[#This Row],[Lateral Offset]]/12</f>
        <v>0</v>
      </c>
      <c r="UQ15" s="276">
        <f>IFERROR(1/Calculations_APPURT[[#This Row],[Brackets]],0) * cv_M/cv_F * Forces_APPURT[[#This Row],[Delta Fai 180]] * Calculations_APPURT[[#This Row],[Lateral Offset]]/12</f>
        <v>0</v>
      </c>
      <c r="UR15" s="276">
        <f>IFERROR(1/Calculations_APPURT[[#This Row],[Brackets]],0) * cv_M/cv_F * Forces_APPURT[[#This Row],[Delta Fai 210]] * Calculations_APPURT[[#This Row],[Lateral Offset]]/12</f>
        <v>0</v>
      </c>
      <c r="US15" s="276">
        <f>IFERROR(1/Calculations_APPURT[[#This Row],[Brackets]],0) * cv_M/cv_F * Forces_APPURT[[#This Row],[Delta Fai 225]] * Calculations_APPURT[[#This Row],[Lateral Offset]]/12</f>
        <v>0</v>
      </c>
      <c r="UT15" s="276">
        <f>IFERROR(1/Calculations_APPURT[[#This Row],[Brackets]],0) * cv_M/cv_F * Forces_APPURT[[#This Row],[Delta Fai 240]] * Calculations_APPURT[[#This Row],[Lateral Offset]]/12</f>
        <v>0</v>
      </c>
      <c r="UU15" s="276">
        <f>IFERROR(1/Calculations_APPURT[[#This Row],[Brackets]],0) * cv_M/cv_F * Forces_APPURT[[#This Row],[Delta Fai 270]] * Calculations_APPURT[[#This Row],[Lateral Offset]]/12</f>
        <v>0</v>
      </c>
      <c r="UV15" s="276">
        <f>IFERROR(1/Calculations_APPURT[[#This Row],[Brackets]],0) * cv_M/cv_F * Forces_APPURT[[#This Row],[Delta Fai 300]] * Calculations_APPURT[[#This Row],[Lateral Offset]]/12</f>
        <v>0</v>
      </c>
      <c r="UW15" s="276">
        <f>IFERROR(1/Calculations_APPURT[[#This Row],[Brackets]],0) * cv_M/cv_F * Forces_APPURT[[#This Row],[Delta Fai 315]] * Calculations_APPURT[[#This Row],[Lateral Offset]]/12</f>
        <v>0</v>
      </c>
      <c r="UX15" s="276">
        <f>IFERROR(1/Calculations_APPURT[[#This Row],[Brackets]],0) * cv_M/cv_F * Forces_APPURT[[#This Row],[Delta Fai 330]] * Calculations_APPURT[[#This Row],[Lateral Offset]]/12</f>
        <v>0</v>
      </c>
      <c r="UY15" s="276">
        <f>Dimensions_APPURT[[#This Row],[Weight (lbf)]] * cv_F * AlphaSector[[#This Row],[Quantity]]</f>
        <v>0</v>
      </c>
      <c r="UZ15" s="276">
        <f>Dimensions_APPURT[[#This Row],[Weight (lbf)]] * cv_F * BetaSector[[#This Row],[Quantity]]</f>
        <v>0</v>
      </c>
      <c r="VA15" s="276">
        <f>Dimensions_APPURT[[#This Row],[Weight (lbf)]] * cv_F * GammaSector[[#This Row],[Quantity]]</f>
        <v>0</v>
      </c>
      <c r="VB15" s="276">
        <f>Dimensions_APPURT[[#This Row],[Weight (lbf)]] * cv_F * DeltaSector[[#This Row],[Quantity]]</f>
        <v>0</v>
      </c>
      <c r="VC15" s="209">
        <f>Dimensions_APPURT[[#This Row],[Weight (lbf)]] * cv_M * AlphaSector[[#This Row],[Quantity]] * Calculations_APPURT[[#This Row],[Horizontal Offset]]/12</f>
        <v>0</v>
      </c>
      <c r="VD15" s="209">
        <f>Dimensions_APPURT[[#This Row],[Weight (lbf)]] * cv_M * BetaSector[[#This Row],[Quantity]] * Calculations_APPURT[[#This Row],[Horizontal Offset]]/12</f>
        <v>0</v>
      </c>
      <c r="VE15" s="209">
        <f>Dimensions_APPURT[[#This Row],[Weight (lbf)]] * cv_M * GammaSector[[#This Row],[Quantity]] * Calculations_APPURT[[#This Row],[Horizontal Offset]]/12</f>
        <v>0</v>
      </c>
      <c r="VF15" s="209">
        <f>Dimensions_APPURT[[#This Row],[Weight (lbf)]] * cv_M * DeltaSector[[#This Row],[Quantity]] * Calculations_APPURT[[#This Row],[Horizontal Offset]]/12</f>
        <v>0</v>
      </c>
      <c r="VG15" s="276">
        <f>Hazards_APPURT[[#This Row],[Ice Weight]] * cv_F * AlphaSector[[#This Row],[Quantity]]</f>
        <v>0</v>
      </c>
      <c r="VH15" s="276">
        <f>Hazards_APPURT[[#This Row],[Ice Weight]] * cv_F * BetaSector[[#This Row],[Quantity]]</f>
        <v>0</v>
      </c>
      <c r="VI15" s="276">
        <f>Hazards_APPURT[[#This Row],[Ice Weight]] * cv_F * GammaSector[[#This Row],[Quantity]]</f>
        <v>0</v>
      </c>
      <c r="VJ15" s="276">
        <f>Hazards_APPURT[[#This Row],[Ice Weight]] * cv_F * DeltaSector[[#This Row],[Quantity]]</f>
        <v>0</v>
      </c>
      <c r="VK15" s="209">
        <f>Hazards_APPURT[[#This Row],[Ice Weight]] * cv_M * AlphaSector[[#This Row],[Quantity]] * Calculations_APPURT[[#This Row],[Horizontal Offset]]/12</f>
        <v>0</v>
      </c>
      <c r="VL15" s="209">
        <f>Hazards_APPURT[[#This Row],[Ice Weight]] * cv_M * BetaSector[[#This Row],[Quantity]] * Calculations_APPURT[[#This Row],[Horizontal Offset]]/12</f>
        <v>0</v>
      </c>
      <c r="VM15" s="209">
        <f>Hazards_APPURT[[#This Row],[Ice Weight]] * cv_M * GammaSector[[#This Row],[Quantity]] * Calculations_APPURT[[#This Row],[Horizontal Offset]]/12</f>
        <v>0</v>
      </c>
      <c r="VN15" s="209">
        <f>Hazards_APPURT[[#This Row],[Ice Weight]] * cv_M * DeltaSector[[#This Row],[Quantity]] * Calculations_APPURT[[#This Row],[Horizontal Offset]]/12</f>
        <v>0</v>
      </c>
    </row>
    <row r="16" spans="1:586" ht="15" customHeight="1" x14ac:dyDescent="0.2">
      <c r="A16" s="69"/>
      <c r="E16" s="265"/>
      <c r="L16" s="69"/>
      <c r="R16" s="70"/>
      <c r="T16" s="69"/>
      <c r="V16" s="71"/>
      <c r="W16" s="69"/>
      <c r="X16" s="71"/>
      <c r="Y16" s="69"/>
      <c r="Z16" s="70"/>
      <c r="AB16" s="69"/>
      <c r="AD16" s="71"/>
      <c r="AE16" s="69"/>
      <c r="AF16" s="71"/>
      <c r="AG16" s="69"/>
      <c r="AH16" s="70"/>
      <c r="AJ16" s="69"/>
      <c r="AL16" s="71"/>
      <c r="AM16" s="69"/>
      <c r="AN16" s="71"/>
      <c r="AO16" s="69"/>
      <c r="AP16" s="70"/>
      <c r="AR16" s="69"/>
      <c r="AV16" s="277" cm="1">
        <f t="array" ref="AV16">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6" s="209" cm="1">
        <f t="array" ref="AW16">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6" s="209" cm="1">
        <f t="array" ref="AX16">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6" s="209" cm="1">
        <f t="array" ref="AY16">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6"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6" s="209" cm="1">
        <f t="array" ref="BA16">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6" s="209">
        <f>IF(OR(Calculations_APPURT[[#This Row],[Shape]]="CFD",Calculations_APPURT[[#This Row],[Shape]]="CCI"),1,0.95)</f>
        <v>0.95</v>
      </c>
      <c r="BC16" s="209" cm="1">
        <f t="array" ref="BC16">0.00256 * Hazards_APPURT[[#This Row],[Kz]] * Kzt * Ks * I.wind * V^2 * IF(RIGHT(TIA,1)="G",1,Ke) * IF(OR(Calculations_APPURT[[#This Row],[Shape]]="CFD",Calculations_APPURT[[#This Row],[Shape]]="CCI"),1, Hazards_APPURT[[#This Row],[Kd]]) * Gh</f>
        <v>0</v>
      </c>
      <c r="BD16" s="209">
        <f>IF(Risk="I",0,MIN(((z+Calculations_APPURT[[#This Row],[Vertical Offset]]/12)/33)^(0.1),1.4))</f>
        <v>0</v>
      </c>
      <c r="BE16" s="209" cm="1">
        <f t="array" ref="BE16">IF(Risk="I",0,IF(TIA="ANSI/TIA-222-G",2,1*Kes.i)*ti*I.ice*Hazards_APPURT[[#This Row],[Kiz]]*(Kzt/Ks)^(0.35))</f>
        <v>0</v>
      </c>
      <c r="BF16" s="209" cm="1">
        <f t="array" ref="BF16">0.00256 * Hazards_APPURT[[#This Row],[Kz]] * Kzt * Ks * I.wind * Vi^2 * IF(RIGHT(TIA,1)="G",1,Ke) * IF(OR(Calculations_APPURT[[#This Row],[Shape]]="CFD",Calculations_APPURT[[#This Row],[Shape]]="CCI"),1, Kd) * Gh</f>
        <v>0</v>
      </c>
      <c r="BG16"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6"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6"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6"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6"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6"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6"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6"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6"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6"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6"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6"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6"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6"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6"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6"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6"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6"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6"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6"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6"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6"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6"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6"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6"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6"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6"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6"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6"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6"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6"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6"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6"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6"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6"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6"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6"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6"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6"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6"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6"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6"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6"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6"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6"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6"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6"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6"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6"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6"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6"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6"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6"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6"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6"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6"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6"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6"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6"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6"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6"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6"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6"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6"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6" s="338">
        <f>IFERROR(1/Calculations_APPURT[[#This Row],[Brackets]],0) * cv_F * AlphaSector[[#This Row],[Quantity]] * Hazards_APPURT[[#This Row],[qz]] * CaAa_APPURT[[#This Row],[Alpha 0]] * IF(Calculations_APPURT[[#This Row],[Shape]]="CFD",1, Ka)</f>
        <v>0</v>
      </c>
      <c r="GF16" s="338">
        <f>IFERROR(1/Calculations_APPURT[[#This Row],[Brackets]],0) * cv_F * AlphaSector[[#This Row],[Quantity]] * Hazards_APPURT[[#This Row],[qz]] * CaAa_APPURT[[#This Row],[Alpha 30]] * IF(Calculations_APPURT[[#This Row],[Shape]]="CFD",1, Ka)</f>
        <v>0</v>
      </c>
      <c r="GG16" s="338">
        <f>IFERROR(1/Calculations_APPURT[[#This Row],[Brackets]],0) * cv_F * AlphaSector[[#This Row],[Quantity]] * Hazards_APPURT[[#This Row],[qz]] * CaAa_APPURT[[#This Row],[Alpha 45]] * IF(Calculations_APPURT[[#This Row],[Shape]]="CFD",1, Ka)</f>
        <v>0</v>
      </c>
      <c r="GH16" s="338">
        <f>IFERROR(1/Calculations_APPURT[[#This Row],[Brackets]],0) * cv_F * AlphaSector[[#This Row],[Quantity]] * Hazards_APPURT[[#This Row],[qz]] * CaAa_APPURT[[#This Row],[Alpha 60]] * IF(Calculations_APPURT[[#This Row],[Shape]]="CFD",1, Ka)</f>
        <v>0</v>
      </c>
      <c r="GI16" s="338">
        <f>IFERROR(1/Calculations_APPURT[[#This Row],[Brackets]],0) * cv_F * AlphaSector[[#This Row],[Quantity]] * Hazards_APPURT[[#This Row],[qz]] * CaAa_APPURT[[#This Row],[Alpha 90]] * IF(Calculations_APPURT[[#This Row],[Shape]]="CFD",1, Ka)</f>
        <v>0</v>
      </c>
      <c r="GJ16" s="338">
        <f>IFERROR(1/Calculations_APPURT[[#This Row],[Brackets]],0) * cv_F * AlphaSector[[#This Row],[Quantity]] * Hazards_APPURT[[#This Row],[qz]] * CaAa_APPURT[[#This Row],[Alpha 120]] * IF(Calculations_APPURT[[#This Row],[Shape]]="CFD",1, Ka)</f>
        <v>0</v>
      </c>
      <c r="GK16" s="338">
        <f>IFERROR(1/Calculations_APPURT[[#This Row],[Brackets]],0) * cv_F * AlphaSector[[#This Row],[Quantity]] * Hazards_APPURT[[#This Row],[qz]] * CaAa_APPURT[[#This Row],[Alpha 135]] * IF(Calculations_APPURT[[#This Row],[Shape]]="CFD",1, Ka)</f>
        <v>0</v>
      </c>
      <c r="GL16" s="338">
        <f>IFERROR(1/Calculations_APPURT[[#This Row],[Brackets]],0) * cv_F * AlphaSector[[#This Row],[Quantity]] * Hazards_APPURT[[#This Row],[qz]] * CaAa_APPURT[[#This Row],[Alpha 150]] * IF(Calculations_APPURT[[#This Row],[Shape]]="CFD",1, Ka)</f>
        <v>0</v>
      </c>
      <c r="GM16" s="338">
        <f>IFERROR(1/Calculations_APPURT[[#This Row],[Brackets]],0) * cv_F * AlphaSector[[#This Row],[Quantity]] * Hazards_APPURT[[#This Row],[qz]] * CaAa_APPURT[[#This Row],[Alpha 180]] * IF(Calculations_APPURT[[#This Row],[Shape]]="CFD",1, Ka)</f>
        <v>0</v>
      </c>
      <c r="GN16" s="338">
        <f>IFERROR(1/Calculations_APPURT[[#This Row],[Brackets]],0) * cv_F * AlphaSector[[#This Row],[Quantity]] * Hazards_APPURT[[#This Row],[qz]] * CaAa_APPURT[[#This Row],[Alpha 210]] * IF(Calculations_APPURT[[#This Row],[Shape]]="CFD",1, Ka)</f>
        <v>0</v>
      </c>
      <c r="GO16" s="338">
        <f>IFERROR(1/Calculations_APPURT[[#This Row],[Brackets]],0) * cv_F * AlphaSector[[#This Row],[Quantity]] * Hazards_APPURT[[#This Row],[qz]] * CaAa_APPURT[[#This Row],[Alpha 225]] * IF(Calculations_APPURT[[#This Row],[Shape]]="CFD",1, Ka)</f>
        <v>0</v>
      </c>
      <c r="GP16" s="338">
        <f>IFERROR(1/Calculations_APPURT[[#This Row],[Brackets]],0) * cv_F * AlphaSector[[#This Row],[Quantity]] * Hazards_APPURT[[#This Row],[qz]] * CaAa_APPURT[[#This Row],[Alpha 240]] * IF(Calculations_APPURT[[#This Row],[Shape]]="CFD",1, Ka)</f>
        <v>0</v>
      </c>
      <c r="GQ16" s="338">
        <f>IFERROR(1/Calculations_APPURT[[#This Row],[Brackets]],0) * cv_F * AlphaSector[[#This Row],[Quantity]] * Hazards_APPURT[[#This Row],[qz]] * CaAa_APPURT[[#This Row],[Alpha 270]] * IF(Calculations_APPURT[[#This Row],[Shape]]="CFD",1, Ka)</f>
        <v>0</v>
      </c>
      <c r="GR16" s="338">
        <f>IFERROR(1/Calculations_APPURT[[#This Row],[Brackets]],0) * cv_F * AlphaSector[[#This Row],[Quantity]] * Hazards_APPURT[[#This Row],[qz]] * CaAa_APPURT[[#This Row],[Alpha 300]] * IF(Calculations_APPURT[[#This Row],[Shape]]="CFD",1, Ka)</f>
        <v>0</v>
      </c>
      <c r="GS16" s="338">
        <f>IFERROR(1/Calculations_APPURT[[#This Row],[Brackets]],0) * cv_F * AlphaSector[[#This Row],[Quantity]] * Hazards_APPURT[[#This Row],[qz]] * CaAa_APPURT[[#This Row],[Alpha 315]] * IF(Calculations_APPURT[[#This Row],[Shape]]="CFD",1, Ka)</f>
        <v>0</v>
      </c>
      <c r="GT16" s="338">
        <f>IFERROR(1/Calculations_APPURT[[#This Row],[Brackets]],0) * cv_F * AlphaSector[[#This Row],[Quantity]] * Hazards_APPURT[[#This Row],[qz]] * CaAa_APPURT[[#This Row],[Alpha 330]] * IF(Calculations_APPURT[[#This Row],[Shape]]="CFD",1, Ka)</f>
        <v>0</v>
      </c>
      <c r="GU16" s="276">
        <f>IFERROR(1/Calculations_APPURT[[#This Row],[Brackets]],0) * cv_F * BetaSector[[#This Row],[Quantity]] * Hazards_APPURT[[#This Row],[qz]] * CaAa_APPURT[[#This Row],[Beta 0]] * IF(Calculations_APPURT[[#This Row],[Shape]]="CFD",1, Ka)</f>
        <v>0</v>
      </c>
      <c r="GV16" s="276">
        <f>IFERROR(1/Calculations_APPURT[[#This Row],[Brackets]],0) * cv_F * BetaSector[[#This Row],[Quantity]] * Hazards_APPURT[[#This Row],[qz]] * CaAa_APPURT[[#This Row],[Beta 30]] * IF(Calculations_APPURT[[#This Row],[Shape]]="CFD",1, Ka)</f>
        <v>0</v>
      </c>
      <c r="GW16" s="276">
        <f>IFERROR(1/Calculations_APPURT[[#This Row],[Brackets]],0) * cv_F * BetaSector[[#This Row],[Quantity]] * Hazards_APPURT[[#This Row],[qz]] * CaAa_APPURT[[#This Row],[Beta 45]] * IF(Calculations_APPURT[[#This Row],[Shape]]="CFD",1, Ka)</f>
        <v>0</v>
      </c>
      <c r="GX16" s="276">
        <f>IFERROR(1/Calculations_APPURT[[#This Row],[Brackets]],0) * cv_F * BetaSector[[#This Row],[Quantity]] * Hazards_APPURT[[#This Row],[qz]] * CaAa_APPURT[[#This Row],[Beta 60]] * IF(Calculations_APPURT[[#This Row],[Shape]]="CFD",1, Ka)</f>
        <v>0</v>
      </c>
      <c r="GY16" s="276">
        <f>IFERROR(1/Calculations_APPURT[[#This Row],[Brackets]],0) * cv_F * BetaSector[[#This Row],[Quantity]] * Hazards_APPURT[[#This Row],[qz]] * CaAa_APPURT[[#This Row],[Beta 90]] * IF(Calculations_APPURT[[#This Row],[Shape]]="CFD",1, Ka)</f>
        <v>0</v>
      </c>
      <c r="GZ16" s="276">
        <f>IFERROR(1/Calculations_APPURT[[#This Row],[Brackets]],0) * cv_F * BetaSector[[#This Row],[Quantity]] * Hazards_APPURT[[#This Row],[qz]] * CaAa_APPURT[[#This Row],[Beta 120]] * IF(Calculations_APPURT[[#This Row],[Shape]]="CFD",1, Ka)</f>
        <v>0</v>
      </c>
      <c r="HA16" s="276">
        <f>IFERROR(1/Calculations_APPURT[[#This Row],[Brackets]],0) * cv_F * BetaSector[[#This Row],[Quantity]] * Hazards_APPURT[[#This Row],[qz]] * CaAa_APPURT[[#This Row],[Beta 135]] * IF(Calculations_APPURT[[#This Row],[Shape]]="CFD",1, Ka)</f>
        <v>0</v>
      </c>
      <c r="HB16" s="276">
        <f>IFERROR(1/Calculations_APPURT[[#This Row],[Brackets]],0) * cv_F * BetaSector[[#This Row],[Quantity]] * Hazards_APPURT[[#This Row],[qz]] * CaAa_APPURT[[#This Row],[Beta 150]] * IF(Calculations_APPURT[[#This Row],[Shape]]="CFD",1, Ka)</f>
        <v>0</v>
      </c>
      <c r="HC16" s="276">
        <f>IFERROR(1/Calculations_APPURT[[#This Row],[Brackets]],0) * cv_F * BetaSector[[#This Row],[Quantity]] * Hazards_APPURT[[#This Row],[qz]] * CaAa_APPURT[[#This Row],[Beta 180]] * IF(Calculations_APPURT[[#This Row],[Shape]]="CFD",1, Ka)</f>
        <v>0</v>
      </c>
      <c r="HD16" s="276">
        <f>IFERROR(1/Calculations_APPURT[[#This Row],[Brackets]],0) * cv_F * BetaSector[[#This Row],[Quantity]] * Hazards_APPURT[[#This Row],[qz]] * CaAa_APPURT[[#This Row],[Beta 210]] * IF(Calculations_APPURT[[#This Row],[Shape]]="CFD",1, Ka)</f>
        <v>0</v>
      </c>
      <c r="HE16" s="276">
        <f>IFERROR(1/Calculations_APPURT[[#This Row],[Brackets]],0) * cv_F * BetaSector[[#This Row],[Quantity]] * Hazards_APPURT[[#This Row],[qz]] * CaAa_APPURT[[#This Row],[Beta 225]] * IF(Calculations_APPURT[[#This Row],[Shape]]="CFD",1, Ka)</f>
        <v>0</v>
      </c>
      <c r="HF16" s="276">
        <f>IFERROR(1/Calculations_APPURT[[#This Row],[Brackets]],0) * cv_F * BetaSector[[#This Row],[Quantity]] * Hazards_APPURT[[#This Row],[qz]] * CaAa_APPURT[[#This Row],[Beta 240]] * IF(Calculations_APPURT[[#This Row],[Shape]]="CFD",1, Ka)</f>
        <v>0</v>
      </c>
      <c r="HG16" s="276">
        <f>IFERROR(1/Calculations_APPURT[[#This Row],[Brackets]],0) * cv_F * BetaSector[[#This Row],[Quantity]] * Hazards_APPURT[[#This Row],[qz]] * CaAa_APPURT[[#This Row],[Beta 270]] * IF(Calculations_APPURT[[#This Row],[Shape]]="CFD",1, Ka)</f>
        <v>0</v>
      </c>
      <c r="HH16" s="276">
        <f>IFERROR(1/Calculations_APPURT[[#This Row],[Brackets]],0) * cv_F * BetaSector[[#This Row],[Quantity]] * Hazards_APPURT[[#This Row],[qz]] * CaAa_APPURT[[#This Row],[Beta 300]] * IF(Calculations_APPURT[[#This Row],[Shape]]="CFD",1, Ka)</f>
        <v>0</v>
      </c>
      <c r="HI16" s="276">
        <f>IFERROR(1/Calculations_APPURT[[#This Row],[Brackets]],0) * cv_F * BetaSector[[#This Row],[Quantity]] * Hazards_APPURT[[#This Row],[qz]] * CaAa_APPURT[[#This Row],[Beta 315]] * IF(Calculations_APPURT[[#This Row],[Shape]]="CFD",1, Ka)</f>
        <v>0</v>
      </c>
      <c r="HJ16" s="276">
        <f>IFERROR(1/Calculations_APPURT[[#This Row],[Brackets]],0) * cv_F * BetaSector[[#This Row],[Quantity]] * Hazards_APPURT[[#This Row],[qz]] * CaAa_APPURT[[#This Row],[Beta 330]] * IF(Calculations_APPURT[[#This Row],[Shape]]="CFD",1, Ka)</f>
        <v>0</v>
      </c>
      <c r="HK16" s="338">
        <f>IFERROR(1/Calculations_APPURT[[#This Row],[Brackets]],0) * cv_F * GammaSector[[#This Row],[Quantity]] * Hazards_APPURT[[#This Row],[qz]] * CaAa_APPURT[[#This Row],[Gamma 0]] * IF(Calculations_APPURT[[#This Row],[Shape]]="CFD",1, Ka)</f>
        <v>0</v>
      </c>
      <c r="HL16" s="338">
        <f>IFERROR(1/Calculations_APPURT[[#This Row],[Brackets]],0) * cv_F * GammaSector[[#This Row],[Quantity]] * Hazards_APPURT[[#This Row],[qz]] * CaAa_APPURT[[#This Row],[Gamma 30]] * IF(Calculations_APPURT[[#This Row],[Shape]]="CFD",1, Ka)</f>
        <v>0</v>
      </c>
      <c r="HM16" s="338">
        <f>IFERROR(1/Calculations_APPURT[[#This Row],[Brackets]],0) * cv_F * GammaSector[[#This Row],[Quantity]] * Hazards_APPURT[[#This Row],[qz]] * CaAa_APPURT[[#This Row],[Gamma 45]] * IF(Calculations_APPURT[[#This Row],[Shape]]="CFD",1, Ka)</f>
        <v>0</v>
      </c>
      <c r="HN16" s="338">
        <f>IFERROR(1/Calculations_APPURT[[#This Row],[Brackets]],0) * cv_F * GammaSector[[#This Row],[Quantity]] * Hazards_APPURT[[#This Row],[qz]] * CaAa_APPURT[[#This Row],[Gamma 60]] * IF(Calculations_APPURT[[#This Row],[Shape]]="CFD",1, Ka)</f>
        <v>0</v>
      </c>
      <c r="HO16" s="338">
        <f>IFERROR(1/Calculations_APPURT[[#This Row],[Brackets]],0) * cv_F * GammaSector[[#This Row],[Quantity]] * Hazards_APPURT[[#This Row],[qz]] * CaAa_APPURT[[#This Row],[Gamma 90]] * IF(Calculations_APPURT[[#This Row],[Shape]]="CFD",1, Ka)</f>
        <v>0</v>
      </c>
      <c r="HP16" s="338">
        <f>IFERROR(1/Calculations_APPURT[[#This Row],[Brackets]],0) * cv_F * GammaSector[[#This Row],[Quantity]] * Hazards_APPURT[[#This Row],[qz]] * CaAa_APPURT[[#This Row],[Gamma 120]] * IF(Calculations_APPURT[[#This Row],[Shape]]="CFD",1, Ka)</f>
        <v>0</v>
      </c>
      <c r="HQ16" s="338">
        <f>IFERROR(1/Calculations_APPURT[[#This Row],[Brackets]],0) * cv_F * GammaSector[[#This Row],[Quantity]] * Hazards_APPURT[[#This Row],[qz]] * CaAa_APPURT[[#This Row],[Gamma 135]] * IF(Calculations_APPURT[[#This Row],[Shape]]="CFD",1, Ka)</f>
        <v>0</v>
      </c>
      <c r="HR16" s="338">
        <f>IFERROR(1/Calculations_APPURT[[#This Row],[Brackets]],0) * cv_F * GammaSector[[#This Row],[Quantity]] * Hazards_APPURT[[#This Row],[qz]] * CaAa_APPURT[[#This Row],[Gamma 150]] * IF(Calculations_APPURT[[#This Row],[Shape]]="CFD",1, Ka)</f>
        <v>0</v>
      </c>
      <c r="HS16" s="338">
        <f>IFERROR(1/Calculations_APPURT[[#This Row],[Brackets]],0) * cv_F * GammaSector[[#This Row],[Quantity]] * Hazards_APPURT[[#This Row],[qz]] * CaAa_APPURT[[#This Row],[Gamma 180]] * IF(Calculations_APPURT[[#This Row],[Shape]]="CFD",1, Ka)</f>
        <v>0</v>
      </c>
      <c r="HT16" s="338">
        <f>IFERROR(1/Calculations_APPURT[[#This Row],[Brackets]],0) * cv_F * GammaSector[[#This Row],[Quantity]] * Hazards_APPURT[[#This Row],[qz]] * CaAa_APPURT[[#This Row],[Gamma 210]] * IF(Calculations_APPURT[[#This Row],[Shape]]="CFD",1, Ka)</f>
        <v>0</v>
      </c>
      <c r="HU16" s="338">
        <f>IFERROR(1/Calculations_APPURT[[#This Row],[Brackets]],0) * cv_F * GammaSector[[#This Row],[Quantity]] * Hazards_APPURT[[#This Row],[qz]] * CaAa_APPURT[[#This Row],[Gamma 225]] * IF(Calculations_APPURT[[#This Row],[Shape]]="CFD",1, Ka)</f>
        <v>0</v>
      </c>
      <c r="HV16" s="338">
        <f>IFERROR(1/Calculations_APPURT[[#This Row],[Brackets]],0) * cv_F * GammaSector[[#This Row],[Quantity]] * Hazards_APPURT[[#This Row],[qz]] * CaAa_APPURT[[#This Row],[Gamma 240]] * IF(Calculations_APPURT[[#This Row],[Shape]]="CFD",1, Ka)</f>
        <v>0</v>
      </c>
      <c r="HW16" s="338">
        <f>IFERROR(1/Calculations_APPURT[[#This Row],[Brackets]],0) * cv_F * GammaSector[[#This Row],[Quantity]] * Hazards_APPURT[[#This Row],[qz]] * CaAa_APPURT[[#This Row],[Gamma 270]] * IF(Calculations_APPURT[[#This Row],[Shape]]="CFD",1, Ka)</f>
        <v>0</v>
      </c>
      <c r="HX16" s="338">
        <f>IFERROR(1/Calculations_APPURT[[#This Row],[Brackets]],0) * cv_F * GammaSector[[#This Row],[Quantity]] * Hazards_APPURT[[#This Row],[qz]] * CaAa_APPURT[[#This Row],[Gamma 300]] * IF(Calculations_APPURT[[#This Row],[Shape]]="CFD",1, Ka)</f>
        <v>0</v>
      </c>
      <c r="HY16" s="338">
        <f>IFERROR(1/Calculations_APPURT[[#This Row],[Brackets]],0) * cv_F * GammaSector[[#This Row],[Quantity]] * Hazards_APPURT[[#This Row],[qz]] * CaAa_APPURT[[#This Row],[Gamma 315]] * IF(Calculations_APPURT[[#This Row],[Shape]]="CFD",1, Ka)</f>
        <v>0</v>
      </c>
      <c r="HZ16" s="338">
        <f>IFERROR(1/Calculations_APPURT[[#This Row],[Brackets]],0) * cv_F * GammaSector[[#This Row],[Quantity]] * Hazards_APPURT[[#This Row],[qz]] * CaAa_APPURT[[#This Row],[Gamma 330]] * IF(Calculations_APPURT[[#This Row],[Shape]]="CFD",1, Ka)</f>
        <v>0</v>
      </c>
      <c r="IA16" s="276">
        <f>IFERROR(1/Calculations_APPURT[[#This Row],[Brackets]],0) * cv_F * DeltaSector[[#This Row],[Quantity]] * Hazards_APPURT[[#This Row],[qz]] * CaAa_APPURT[[#This Row],[Delta 0]] * IF(Calculations_APPURT[[#This Row],[Shape]]="CFD",1, Ka)</f>
        <v>0</v>
      </c>
      <c r="IB16" s="276">
        <f>IFERROR(1/Calculations_APPURT[[#This Row],[Brackets]],0) * cv_F * DeltaSector[[#This Row],[Quantity]] * Hazards_APPURT[[#This Row],[qz]] * CaAa_APPURT[[#This Row],[Delta 30]] * IF(Calculations_APPURT[[#This Row],[Shape]]="CFD",1, Ka)</f>
        <v>0</v>
      </c>
      <c r="IC16" s="276">
        <f>IFERROR(1/Calculations_APPURT[[#This Row],[Brackets]],0) * cv_F * DeltaSector[[#This Row],[Quantity]] * Hazards_APPURT[[#This Row],[qz]] * CaAa_APPURT[[#This Row],[Delta 45]] * IF(Calculations_APPURT[[#This Row],[Shape]]="CFD",1, Ka)</f>
        <v>0</v>
      </c>
      <c r="ID16" s="276">
        <f>IFERROR(1/Calculations_APPURT[[#This Row],[Brackets]],0) * cv_F * DeltaSector[[#This Row],[Quantity]] * Hazards_APPURT[[#This Row],[qz]] * CaAa_APPURT[[#This Row],[Delta 60]] * IF(Calculations_APPURT[[#This Row],[Shape]]="CFD",1, Ka)</f>
        <v>0</v>
      </c>
      <c r="IE16" s="276">
        <f>IFERROR(1/Calculations_APPURT[[#This Row],[Brackets]],0) * cv_F * DeltaSector[[#This Row],[Quantity]] * Hazards_APPURT[[#This Row],[qz]] * CaAa_APPURT[[#This Row],[Delta 90]] * IF(Calculations_APPURT[[#This Row],[Shape]]="CFD",1, Ka)</f>
        <v>0</v>
      </c>
      <c r="IF16" s="276">
        <f>IFERROR(1/Calculations_APPURT[[#This Row],[Brackets]],0) * cv_F * DeltaSector[[#This Row],[Quantity]] * Hazards_APPURT[[#This Row],[qz]] * CaAa_APPURT[[#This Row],[Delta 120]] * IF(Calculations_APPURT[[#This Row],[Shape]]="CFD",1, Ka)</f>
        <v>0</v>
      </c>
      <c r="IG16" s="276">
        <f>IFERROR(1/Calculations_APPURT[[#This Row],[Brackets]],0) * cv_F * DeltaSector[[#This Row],[Quantity]] * Hazards_APPURT[[#This Row],[qz]] * CaAa_APPURT[[#This Row],[Delta 135]] * IF(Calculations_APPURT[[#This Row],[Shape]]="CFD",1, Ka)</f>
        <v>0</v>
      </c>
      <c r="IH16" s="276">
        <f>IFERROR(1/Calculations_APPURT[[#This Row],[Brackets]],0) * cv_F * DeltaSector[[#This Row],[Quantity]] * Hazards_APPURT[[#This Row],[qz]] * CaAa_APPURT[[#This Row],[Delta 150]] * IF(Calculations_APPURT[[#This Row],[Shape]]="CFD",1, Ka)</f>
        <v>0</v>
      </c>
      <c r="II16" s="276">
        <f>IFERROR(1/Calculations_APPURT[[#This Row],[Brackets]],0) * cv_F * DeltaSector[[#This Row],[Quantity]] * Hazards_APPURT[[#This Row],[qz]] * CaAa_APPURT[[#This Row],[Delta 180]] * IF(Calculations_APPURT[[#This Row],[Shape]]="CFD",1, Ka)</f>
        <v>0</v>
      </c>
      <c r="IJ16" s="276">
        <f>IFERROR(1/Calculations_APPURT[[#This Row],[Brackets]],0) * cv_F * DeltaSector[[#This Row],[Quantity]] * Hazards_APPURT[[#This Row],[qz]] * CaAa_APPURT[[#This Row],[Delta 210]] * IF(Calculations_APPURT[[#This Row],[Shape]]="CFD",1, Ka)</f>
        <v>0</v>
      </c>
      <c r="IK16" s="276">
        <f>IFERROR(1/Calculations_APPURT[[#This Row],[Brackets]],0) * cv_F * DeltaSector[[#This Row],[Quantity]] * Hazards_APPURT[[#This Row],[qz]] * CaAa_APPURT[[#This Row],[Delta 225]] * IF(Calculations_APPURT[[#This Row],[Shape]]="CFD",1, Ka)</f>
        <v>0</v>
      </c>
      <c r="IL16" s="276">
        <f>IFERROR(1/Calculations_APPURT[[#This Row],[Brackets]],0) * cv_F * DeltaSector[[#This Row],[Quantity]] * Hazards_APPURT[[#This Row],[qz]] * CaAa_APPURT[[#This Row],[Delta 240]] * IF(Calculations_APPURT[[#This Row],[Shape]]="CFD",1, Ka)</f>
        <v>0</v>
      </c>
      <c r="IM16" s="276">
        <f>IFERROR(1/Calculations_APPURT[[#This Row],[Brackets]],0) * cv_F * DeltaSector[[#This Row],[Quantity]] * Hazards_APPURT[[#This Row],[qz]] * CaAa_APPURT[[#This Row],[Delta 270]] * IF(Calculations_APPURT[[#This Row],[Shape]]="CFD",1, Ka)</f>
        <v>0</v>
      </c>
      <c r="IN16" s="276">
        <f>IFERROR(1/Calculations_APPURT[[#This Row],[Brackets]],0) * cv_F * DeltaSector[[#This Row],[Quantity]] * Hazards_APPURT[[#This Row],[qz]] * CaAa_APPURT[[#This Row],[Delta 300]] * IF(Calculations_APPURT[[#This Row],[Shape]]="CFD",1, Ka)</f>
        <v>0</v>
      </c>
      <c r="IO16" s="276">
        <f>IFERROR(1/Calculations_APPURT[[#This Row],[Brackets]],0) * cv_F * DeltaSector[[#This Row],[Quantity]] * Hazards_APPURT[[#This Row],[qz]] * CaAa_APPURT[[#This Row],[Delta 315]] * IF(Calculations_APPURT[[#This Row],[Shape]]="CFD",1, Ka)</f>
        <v>0</v>
      </c>
      <c r="IP16" s="276">
        <f>IFERROR(1/Calculations_APPURT[[#This Row],[Brackets]],0) * cv_F * DeltaSector[[#This Row],[Quantity]] * Hazards_APPURT[[#This Row],[qz]] * CaAa_APPURT[[#This Row],[Delta 330]] * IF(Calculations_APPURT[[#This Row],[Shape]]="CFD",1, Ka)</f>
        <v>0</v>
      </c>
      <c r="IQ16" s="338">
        <f>IFERROR(1/Calculations_APPURT[[#This Row],[Brackets]],0) * cv_F * AlphaSector[[#This Row],[Quantity]] * Hazards_APPURT[[#This Row],[qiz]] * CaAa_APPURT[[#This Row],[Alpha Ice 0]]</f>
        <v>0</v>
      </c>
      <c r="IR16" s="338">
        <f>IFERROR(1/Calculations_APPURT[[#This Row],[Brackets]],0) * cv_F * AlphaSector[[#This Row],[Quantity]] * Hazards_APPURT[[#This Row],[qiz]] * CaAa_APPURT[[#This Row],[Alpha Ice 30]]</f>
        <v>0</v>
      </c>
      <c r="IS16" s="338">
        <f>IFERROR(1/Calculations_APPURT[[#This Row],[Brackets]],0) * cv_F * AlphaSector[[#This Row],[Quantity]] * Hazards_APPURT[[#This Row],[qiz]] * CaAa_APPURT[[#This Row],[Alpha Ice 45]]</f>
        <v>0</v>
      </c>
      <c r="IT16" s="338">
        <f>IFERROR(1/Calculations_APPURT[[#This Row],[Brackets]],0) * cv_F * AlphaSector[[#This Row],[Quantity]] * Hazards_APPURT[[#This Row],[qiz]] * CaAa_APPURT[[#This Row],[Alpha Ice 60]]</f>
        <v>0</v>
      </c>
      <c r="IU16" s="338">
        <f>IFERROR(1/Calculations_APPURT[[#This Row],[Brackets]],0) * cv_F * AlphaSector[[#This Row],[Quantity]] * Hazards_APPURT[[#This Row],[qiz]] * CaAa_APPURT[[#This Row],[Alpha Ice 90]]</f>
        <v>0</v>
      </c>
      <c r="IV16" s="338">
        <f>IFERROR(1/Calculations_APPURT[[#This Row],[Brackets]],0) * cv_F * AlphaSector[[#This Row],[Quantity]] * Hazards_APPURT[[#This Row],[qiz]] * CaAa_APPURT[[#This Row],[Alpha Ice 120]]</f>
        <v>0</v>
      </c>
      <c r="IW16" s="338">
        <f>IFERROR(1/Calculations_APPURT[[#This Row],[Brackets]],0) * cv_F * AlphaSector[[#This Row],[Quantity]] * Hazards_APPURT[[#This Row],[qiz]] * CaAa_APPURT[[#This Row],[Alpha Ice 135]]</f>
        <v>0</v>
      </c>
      <c r="IX16" s="338">
        <f>IFERROR(1/Calculations_APPURT[[#This Row],[Brackets]],0) * cv_F * AlphaSector[[#This Row],[Quantity]] * Hazards_APPURT[[#This Row],[qiz]] * CaAa_APPURT[[#This Row],[Alpha Ice 150]]</f>
        <v>0</v>
      </c>
      <c r="IY16" s="338">
        <f>IFERROR(1/Calculations_APPURT[[#This Row],[Brackets]],0) * cv_F * AlphaSector[[#This Row],[Quantity]] * Hazards_APPURT[[#This Row],[qiz]] * CaAa_APPURT[[#This Row],[Alpha Ice 180]]</f>
        <v>0</v>
      </c>
      <c r="IZ16" s="338">
        <f>IFERROR(1/Calculations_APPURT[[#This Row],[Brackets]],0) * cv_F * AlphaSector[[#This Row],[Quantity]] * Hazards_APPURT[[#This Row],[qiz]] * CaAa_APPURT[[#This Row],[Alpha Ice 210]]</f>
        <v>0</v>
      </c>
      <c r="JA16" s="338">
        <f>IFERROR(1/Calculations_APPURT[[#This Row],[Brackets]],0) * cv_F * AlphaSector[[#This Row],[Quantity]] * Hazards_APPURT[[#This Row],[qiz]] * CaAa_APPURT[[#This Row],[Alpha Ice 225]]</f>
        <v>0</v>
      </c>
      <c r="JB16" s="338">
        <f>IFERROR(1/Calculations_APPURT[[#This Row],[Brackets]],0) * cv_F * AlphaSector[[#This Row],[Quantity]] * Hazards_APPURT[[#This Row],[qiz]] * CaAa_APPURT[[#This Row],[Alpha Ice 240]]</f>
        <v>0</v>
      </c>
      <c r="JC16" s="338">
        <f>IFERROR(1/Calculations_APPURT[[#This Row],[Brackets]],0) * cv_F * AlphaSector[[#This Row],[Quantity]] * Hazards_APPURT[[#This Row],[qiz]] * CaAa_APPURT[[#This Row],[Alpha Ice 270]]</f>
        <v>0</v>
      </c>
      <c r="JD16" s="338">
        <f>IFERROR(1/Calculations_APPURT[[#This Row],[Brackets]],0) * cv_F * AlphaSector[[#This Row],[Quantity]] * Hazards_APPURT[[#This Row],[qiz]] * CaAa_APPURT[[#This Row],[Alpha Ice 300]]</f>
        <v>0</v>
      </c>
      <c r="JE16" s="338">
        <f>IFERROR(1/Calculations_APPURT[[#This Row],[Brackets]],0) * cv_F * AlphaSector[[#This Row],[Quantity]] * Hazards_APPURT[[#This Row],[qiz]] * CaAa_APPURT[[#This Row],[Alpha Ice 315]]</f>
        <v>0</v>
      </c>
      <c r="JF16" s="338">
        <f>IFERROR(1/Calculations_APPURT[[#This Row],[Brackets]],0) * cv_F * AlphaSector[[#This Row],[Quantity]] * Hazards_APPURT[[#This Row],[qiz]] * CaAa_APPURT[[#This Row],[Alpha Ice 330]]</f>
        <v>0</v>
      </c>
      <c r="JG16" s="276">
        <f>IFERROR(1/Calculations_APPURT[[#This Row],[Brackets]],0) * cv_F * BetaSector[[#This Row],[Quantity]] * Hazards_APPURT[[#This Row],[qiz]] * CaAa_APPURT[[#This Row],[Beta Ice 0]]</f>
        <v>0</v>
      </c>
      <c r="JH16" s="276">
        <f>IFERROR(1/Calculations_APPURT[[#This Row],[Brackets]],0) * cv_F * BetaSector[[#This Row],[Quantity]] * Hazards_APPURT[[#This Row],[qiz]] * CaAa_APPURT[[#This Row],[Beta Ice 30]]</f>
        <v>0</v>
      </c>
      <c r="JI16" s="276">
        <f>IFERROR(1/Calculations_APPURT[[#This Row],[Brackets]],0) * cv_F * BetaSector[[#This Row],[Quantity]] * Hazards_APPURT[[#This Row],[qiz]] * CaAa_APPURT[[#This Row],[Beta Ice 45]]</f>
        <v>0</v>
      </c>
      <c r="JJ16" s="276">
        <f>IFERROR(1/Calculations_APPURT[[#This Row],[Brackets]],0) * cv_F * BetaSector[[#This Row],[Quantity]] * Hazards_APPURT[[#This Row],[qiz]] * CaAa_APPURT[[#This Row],[Beta Ice 60]]</f>
        <v>0</v>
      </c>
      <c r="JK16" s="276">
        <f>IFERROR(1/Calculations_APPURT[[#This Row],[Brackets]],0) * cv_F * BetaSector[[#This Row],[Quantity]] * Hazards_APPURT[[#This Row],[qiz]] * CaAa_APPURT[[#This Row],[Beta Ice 90]]</f>
        <v>0</v>
      </c>
      <c r="JL16" s="276">
        <f>IFERROR(1/Calculations_APPURT[[#This Row],[Brackets]],0) * cv_F * BetaSector[[#This Row],[Quantity]] * Hazards_APPURT[[#This Row],[qiz]] * CaAa_APPURT[[#This Row],[Beta Ice 120]]</f>
        <v>0</v>
      </c>
      <c r="JM16" s="276">
        <f>IFERROR(1/Calculations_APPURT[[#This Row],[Brackets]],0) * cv_F * BetaSector[[#This Row],[Quantity]] * Hazards_APPURT[[#This Row],[qiz]] * CaAa_APPURT[[#This Row],[Beta Ice 135]]</f>
        <v>0</v>
      </c>
      <c r="JN16" s="276">
        <f>IFERROR(1/Calculations_APPURT[[#This Row],[Brackets]],0) * cv_F * BetaSector[[#This Row],[Quantity]] * Hazards_APPURT[[#This Row],[qiz]] * CaAa_APPURT[[#This Row],[Beta Ice 150]]</f>
        <v>0</v>
      </c>
      <c r="JO16" s="276">
        <f>IFERROR(1/Calculations_APPURT[[#This Row],[Brackets]],0) * cv_F * BetaSector[[#This Row],[Quantity]] * Hazards_APPURT[[#This Row],[qiz]] * CaAa_APPURT[[#This Row],[Beta Ice 180]]</f>
        <v>0</v>
      </c>
      <c r="JP16" s="276">
        <f>IFERROR(1/Calculations_APPURT[[#This Row],[Brackets]],0) * cv_F * BetaSector[[#This Row],[Quantity]] * Hazards_APPURT[[#This Row],[qiz]] * CaAa_APPURT[[#This Row],[Beta Ice 210]]</f>
        <v>0</v>
      </c>
      <c r="JQ16" s="276">
        <f>IFERROR(1/Calculations_APPURT[[#This Row],[Brackets]],0) * cv_F * BetaSector[[#This Row],[Quantity]] * Hazards_APPURT[[#This Row],[qiz]] * CaAa_APPURT[[#This Row],[Beta Ice 225]]</f>
        <v>0</v>
      </c>
      <c r="JR16" s="276">
        <f>IFERROR(1/Calculations_APPURT[[#This Row],[Brackets]],0) * cv_F * BetaSector[[#This Row],[Quantity]] * Hazards_APPURT[[#This Row],[qiz]] * CaAa_APPURT[[#This Row],[Beta Ice 240]]</f>
        <v>0</v>
      </c>
      <c r="JS16" s="276">
        <f>IFERROR(1/Calculations_APPURT[[#This Row],[Brackets]],0) * cv_F * BetaSector[[#This Row],[Quantity]] * Hazards_APPURT[[#This Row],[qiz]] * CaAa_APPURT[[#This Row],[Beta Ice 270]]</f>
        <v>0</v>
      </c>
      <c r="JT16" s="276">
        <f>IFERROR(1/Calculations_APPURT[[#This Row],[Brackets]],0) * cv_F * BetaSector[[#This Row],[Quantity]] * Hazards_APPURT[[#This Row],[qiz]] * CaAa_APPURT[[#This Row],[Beta Ice 300]]</f>
        <v>0</v>
      </c>
      <c r="JU16" s="276">
        <f>IFERROR(1/Calculations_APPURT[[#This Row],[Brackets]],0) * cv_F * BetaSector[[#This Row],[Quantity]] * Hazards_APPURT[[#This Row],[qiz]] * CaAa_APPURT[[#This Row],[Beta Ice 315]]</f>
        <v>0</v>
      </c>
      <c r="JV16" s="276">
        <f>IFERROR(1/Calculations_APPURT[[#This Row],[Brackets]],0) * cv_F * BetaSector[[#This Row],[Quantity]] * Hazards_APPURT[[#This Row],[qiz]] * CaAa_APPURT[[#This Row],[Beta Ice 330]]</f>
        <v>0</v>
      </c>
      <c r="JW16" s="338">
        <f>IFERROR(1/Calculations_APPURT[[#This Row],[Brackets]],0) * cv_F * GammaSector[[#This Row],[Quantity]] * Hazards_APPURT[[#This Row],[qiz]] * CaAa_APPURT[[#This Row],[Gamma Ice 0]]</f>
        <v>0</v>
      </c>
      <c r="JX16" s="338">
        <f>IFERROR(1/Calculations_APPURT[[#This Row],[Brackets]],0) * cv_F * GammaSector[[#This Row],[Quantity]] * Hazards_APPURT[[#This Row],[qiz]] * CaAa_APPURT[[#This Row],[Gamma Ice 30]]</f>
        <v>0</v>
      </c>
      <c r="JY16" s="338">
        <f>IFERROR(1/Calculations_APPURT[[#This Row],[Brackets]],0) * cv_F * GammaSector[[#This Row],[Quantity]] * Hazards_APPURT[[#This Row],[qiz]] * CaAa_APPURT[[#This Row],[Gamma Ice 45]]</f>
        <v>0</v>
      </c>
      <c r="JZ16" s="338">
        <f>IFERROR(1/Calculations_APPURT[[#This Row],[Brackets]],0) * cv_F * GammaSector[[#This Row],[Quantity]] * Hazards_APPURT[[#This Row],[qiz]] * CaAa_APPURT[[#This Row],[Gamma Ice 60]]</f>
        <v>0</v>
      </c>
      <c r="KA16" s="338">
        <f>IFERROR(1/Calculations_APPURT[[#This Row],[Brackets]],0) * cv_F * GammaSector[[#This Row],[Quantity]] * Hazards_APPURT[[#This Row],[qiz]] * CaAa_APPURT[[#This Row],[Gamma Ice 90]]</f>
        <v>0</v>
      </c>
      <c r="KB16" s="338">
        <f>IFERROR(1/Calculations_APPURT[[#This Row],[Brackets]],0) * cv_F * GammaSector[[#This Row],[Quantity]] * Hazards_APPURT[[#This Row],[qiz]] * CaAa_APPURT[[#This Row],[Gamma Ice 120]]</f>
        <v>0</v>
      </c>
      <c r="KC16" s="338">
        <f>IFERROR(1/Calculations_APPURT[[#This Row],[Brackets]],0) * cv_F * GammaSector[[#This Row],[Quantity]] * Hazards_APPURT[[#This Row],[qiz]] * CaAa_APPURT[[#This Row],[Gamma Ice 135]]</f>
        <v>0</v>
      </c>
      <c r="KD16" s="338">
        <f>IFERROR(1/Calculations_APPURT[[#This Row],[Brackets]],0) * cv_F * GammaSector[[#This Row],[Quantity]] * Hazards_APPURT[[#This Row],[qiz]] * CaAa_APPURT[[#This Row],[Gamma Ice 150]]</f>
        <v>0</v>
      </c>
      <c r="KE16" s="338">
        <f>IFERROR(1/Calculations_APPURT[[#This Row],[Brackets]],0) * cv_F * GammaSector[[#This Row],[Quantity]] * Hazards_APPURT[[#This Row],[qiz]] * CaAa_APPURT[[#This Row],[Gamma Ice 180]]</f>
        <v>0</v>
      </c>
      <c r="KF16" s="338">
        <f>IFERROR(1/Calculations_APPURT[[#This Row],[Brackets]],0) * cv_F * GammaSector[[#This Row],[Quantity]] * Hazards_APPURT[[#This Row],[qiz]] * CaAa_APPURT[[#This Row],[Gamma Ice 210]]</f>
        <v>0</v>
      </c>
      <c r="KG16" s="338">
        <f>IFERROR(1/Calculations_APPURT[[#This Row],[Brackets]],0) * cv_F * GammaSector[[#This Row],[Quantity]] * Hazards_APPURT[[#This Row],[qiz]] * CaAa_APPURT[[#This Row],[Gamma Ice 225]]</f>
        <v>0</v>
      </c>
      <c r="KH16" s="338">
        <f>IFERROR(1/Calculations_APPURT[[#This Row],[Brackets]],0) * cv_F * GammaSector[[#This Row],[Quantity]] * Hazards_APPURT[[#This Row],[qiz]] * CaAa_APPURT[[#This Row],[Gamma Ice 240]]</f>
        <v>0</v>
      </c>
      <c r="KI16" s="338">
        <f>IFERROR(1/Calculations_APPURT[[#This Row],[Brackets]],0) * cv_F * GammaSector[[#This Row],[Quantity]] * Hazards_APPURT[[#This Row],[qiz]] * CaAa_APPURT[[#This Row],[Gamma Ice 270]]</f>
        <v>0</v>
      </c>
      <c r="KJ16" s="338">
        <f>IFERROR(1/Calculations_APPURT[[#This Row],[Brackets]],0) * cv_F * GammaSector[[#This Row],[Quantity]] * Hazards_APPURT[[#This Row],[qiz]] * CaAa_APPURT[[#This Row],[Gamma Ice 300]]</f>
        <v>0</v>
      </c>
      <c r="KK16" s="338">
        <f>IFERROR(1/Calculations_APPURT[[#This Row],[Brackets]],0) * cv_F * GammaSector[[#This Row],[Quantity]] * Hazards_APPURT[[#This Row],[qiz]] * CaAa_APPURT[[#This Row],[Gamma Ice 315]]</f>
        <v>0</v>
      </c>
      <c r="KL16" s="338">
        <f>IFERROR(1/Calculations_APPURT[[#This Row],[Brackets]],0) * cv_F * GammaSector[[#This Row],[Quantity]] * Hazards_APPURT[[#This Row],[qiz]] * CaAa_APPURT[[#This Row],[Gamma Ice 330]]</f>
        <v>0</v>
      </c>
      <c r="KM16" s="276">
        <f>IFERROR(1/Calculations_APPURT[[#This Row],[Brackets]],0) * cv_F * DeltaSector[[#This Row],[Quantity]] * Hazards_APPURT[[#This Row],[qiz]] * CaAa_APPURT[[#This Row],[Delta Ice 0]]</f>
        <v>0</v>
      </c>
      <c r="KN16" s="276">
        <f>IFERROR(1/Calculations_APPURT[[#This Row],[Brackets]],0) * cv_F * DeltaSector[[#This Row],[Quantity]] * Hazards_APPURT[[#This Row],[qiz]] * CaAa_APPURT[[#This Row],[Delta Ice 30]]</f>
        <v>0</v>
      </c>
      <c r="KO16" s="276">
        <f>IFERROR(1/Calculations_APPURT[[#This Row],[Brackets]],0) * cv_F * DeltaSector[[#This Row],[Quantity]] * Hazards_APPURT[[#This Row],[qiz]] * CaAa_APPURT[[#This Row],[Delta Ice 45]]</f>
        <v>0</v>
      </c>
      <c r="KP16" s="276">
        <f>IFERROR(1/Calculations_APPURT[[#This Row],[Brackets]],0) * cv_F * DeltaSector[[#This Row],[Quantity]] * Hazards_APPURT[[#This Row],[qiz]] * CaAa_APPURT[[#This Row],[Delta Ice 60]]</f>
        <v>0</v>
      </c>
      <c r="KQ16" s="276">
        <f>IFERROR(1/Calculations_APPURT[[#This Row],[Brackets]],0) * cv_F * DeltaSector[[#This Row],[Quantity]] * Hazards_APPURT[[#This Row],[qiz]] * CaAa_APPURT[[#This Row],[Delta Ice 90]]</f>
        <v>0</v>
      </c>
      <c r="KR16" s="276">
        <f>IFERROR(1/Calculations_APPURT[[#This Row],[Brackets]],0) * cv_F * DeltaSector[[#This Row],[Quantity]] * Hazards_APPURT[[#This Row],[qiz]] * CaAa_APPURT[[#This Row],[Delta Ice 120]]</f>
        <v>0</v>
      </c>
      <c r="KS16" s="276">
        <f>IFERROR(1/Calculations_APPURT[[#This Row],[Brackets]],0) * cv_F * DeltaSector[[#This Row],[Quantity]] * Hazards_APPURT[[#This Row],[qiz]] * CaAa_APPURT[[#This Row],[Delta Ice 135]]</f>
        <v>0</v>
      </c>
      <c r="KT16" s="276">
        <f>IFERROR(1/Calculations_APPURT[[#This Row],[Brackets]],0) * cv_F * DeltaSector[[#This Row],[Quantity]] * Hazards_APPURT[[#This Row],[qiz]] * CaAa_APPURT[[#This Row],[Delta Ice 150]]</f>
        <v>0</v>
      </c>
      <c r="KU16" s="276">
        <f>IFERROR(1/Calculations_APPURT[[#This Row],[Brackets]],0) * cv_F * DeltaSector[[#This Row],[Quantity]] * Hazards_APPURT[[#This Row],[qiz]] * CaAa_APPURT[[#This Row],[Delta Ice 180]]</f>
        <v>0</v>
      </c>
      <c r="KV16" s="276">
        <f>IFERROR(1/Calculations_APPURT[[#This Row],[Brackets]],0) * cv_F * DeltaSector[[#This Row],[Quantity]] * Hazards_APPURT[[#This Row],[qiz]] * CaAa_APPURT[[#This Row],[Delta Ice 210]]</f>
        <v>0</v>
      </c>
      <c r="KW16" s="276">
        <f>IFERROR(1/Calculations_APPURT[[#This Row],[Brackets]],0) * cv_F * DeltaSector[[#This Row],[Quantity]] * Hazards_APPURT[[#This Row],[qiz]] * CaAa_APPURT[[#This Row],[Delta Ice 225]]</f>
        <v>0</v>
      </c>
      <c r="KX16" s="276">
        <f>IFERROR(1/Calculations_APPURT[[#This Row],[Brackets]],0) * cv_F * DeltaSector[[#This Row],[Quantity]] * Hazards_APPURT[[#This Row],[qiz]] * CaAa_APPURT[[#This Row],[Delta Ice 240]]</f>
        <v>0</v>
      </c>
      <c r="KY16" s="276">
        <f>IFERROR(1/Calculations_APPURT[[#This Row],[Brackets]],0) * cv_F * DeltaSector[[#This Row],[Quantity]] * Hazards_APPURT[[#This Row],[qiz]] * CaAa_APPURT[[#This Row],[Delta Ice 270]]</f>
        <v>0</v>
      </c>
      <c r="KZ16" s="276">
        <f>IFERROR(1/Calculations_APPURT[[#This Row],[Brackets]],0) * cv_F * DeltaSector[[#This Row],[Quantity]] * Hazards_APPURT[[#This Row],[qiz]] * CaAa_APPURT[[#This Row],[Delta Ice 300]]</f>
        <v>0</v>
      </c>
      <c r="LA16" s="276">
        <f>IFERROR(1/Calculations_APPURT[[#This Row],[Brackets]],0) * cv_F * DeltaSector[[#This Row],[Quantity]] * Hazards_APPURT[[#This Row],[qiz]] * CaAa_APPURT[[#This Row],[Delta Ice 315]]</f>
        <v>0</v>
      </c>
      <c r="LB16" s="276">
        <f>IFERROR(1/Calculations_APPURT[[#This Row],[Brackets]],0) * cv_F * DeltaSector[[#This Row],[Quantity]] * Hazards_APPURT[[#This Row],[qiz]] * CaAa_APPURT[[#This Row],[Delta Ice 330]]</f>
        <v>0</v>
      </c>
      <c r="LC16" s="338">
        <f>IFERROR(1/Calculations_APPURT[[#This Row],[Brackets]],0) * cv_M/cv_F * Forces_APPURT[[#This Row],[Alpha Fa 0]] * Calculations_APPURT[[#This Row],[Horizontal Offset]]/12</f>
        <v>0</v>
      </c>
      <c r="LD16" s="338">
        <f>IFERROR(1/Calculations_APPURT[[#This Row],[Brackets]],0) * cv_M/cv_F * Forces_APPURT[[#This Row],[Alpha Fa 30]] * Calculations_APPURT[[#This Row],[Horizontal Offset]]/12</f>
        <v>0</v>
      </c>
      <c r="LE16" s="338">
        <f>IFERROR(1/Calculations_APPURT[[#This Row],[Brackets]],0) * cv_M/cv_F * Forces_APPURT[[#This Row],[Alpha Fa 45]] * Calculations_APPURT[[#This Row],[Horizontal Offset]]/12</f>
        <v>0</v>
      </c>
      <c r="LF16" s="338">
        <f>IFERROR(1/Calculations_APPURT[[#This Row],[Brackets]],0) * cv_M/cv_F * Forces_APPURT[[#This Row],[Alpha Fa 60]] * Calculations_APPURT[[#This Row],[Horizontal Offset]]/12</f>
        <v>0</v>
      </c>
      <c r="LG16" s="338">
        <f>IFERROR(1/Calculations_APPURT[[#This Row],[Brackets]],0) * cv_M/cv_F * Forces_APPURT[[#This Row],[Alpha Fa 90]] * Calculations_APPURT[[#This Row],[Horizontal Offset]]/12</f>
        <v>0</v>
      </c>
      <c r="LH16" s="338">
        <f>IFERROR(1/Calculations_APPURT[[#This Row],[Brackets]],0) * cv_M/cv_F * Forces_APPURT[[#This Row],[Alpha Fa 120]] * Calculations_APPURT[[#This Row],[Horizontal Offset]]/12</f>
        <v>0</v>
      </c>
      <c r="LI16" s="338">
        <f>IFERROR(1/Calculations_APPURT[[#This Row],[Brackets]],0) * cv_M/cv_F * Forces_APPURT[[#This Row],[Alpha Fa 135]] * Calculations_APPURT[[#This Row],[Horizontal Offset]]/12</f>
        <v>0</v>
      </c>
      <c r="LJ16" s="338">
        <f>IFERROR(1/Calculations_APPURT[[#This Row],[Brackets]],0) * cv_M/cv_F * Forces_APPURT[[#This Row],[Alpha Fa 150]] * Calculations_APPURT[[#This Row],[Horizontal Offset]]/12</f>
        <v>0</v>
      </c>
      <c r="LK16" s="338">
        <f>IFERROR(1/Calculations_APPURT[[#This Row],[Brackets]],0) * cv_M/cv_F * Forces_APPURT[[#This Row],[Alpha Fa 180]] * Calculations_APPURT[[#This Row],[Horizontal Offset]]/12</f>
        <v>0</v>
      </c>
      <c r="LL16" s="338">
        <f>IFERROR(1/Calculations_APPURT[[#This Row],[Brackets]],0) * cv_M/cv_F * Forces_APPURT[[#This Row],[Alpha Fa 210]] * Calculations_APPURT[[#This Row],[Horizontal Offset]]/12</f>
        <v>0</v>
      </c>
      <c r="LM16" s="338">
        <f>IFERROR(1/Calculations_APPURT[[#This Row],[Brackets]],0) * cv_M/cv_F * Forces_APPURT[[#This Row],[Alpha Fa 225]] * Calculations_APPURT[[#This Row],[Horizontal Offset]]/12</f>
        <v>0</v>
      </c>
      <c r="LN16" s="338">
        <f>IFERROR(1/Calculations_APPURT[[#This Row],[Brackets]],0) * cv_M/cv_F * Forces_APPURT[[#This Row],[Alpha Fa 240]] * Calculations_APPURT[[#This Row],[Horizontal Offset]]/12</f>
        <v>0</v>
      </c>
      <c r="LO16" s="338">
        <f>IFERROR(1/Calculations_APPURT[[#This Row],[Brackets]],0) * cv_M/cv_F * Forces_APPURT[[#This Row],[Alpha Fa 270]] * Calculations_APPURT[[#This Row],[Horizontal Offset]]/12</f>
        <v>0</v>
      </c>
      <c r="LP16" s="338">
        <f>IFERROR(1/Calculations_APPURT[[#This Row],[Brackets]],0) * cv_M/cv_F * Forces_APPURT[[#This Row],[Alpha Fa 300]] * Calculations_APPURT[[#This Row],[Horizontal Offset]]/12</f>
        <v>0</v>
      </c>
      <c r="LQ16" s="338">
        <f>IFERROR(1/Calculations_APPURT[[#This Row],[Brackets]],0) * cv_M/cv_F * Forces_APPURT[[#This Row],[Alpha Fa 315]] * Calculations_APPURT[[#This Row],[Horizontal Offset]]/12</f>
        <v>0</v>
      </c>
      <c r="LR16" s="338">
        <f>IFERROR(1/Calculations_APPURT[[#This Row],[Brackets]],0) * cv_M/cv_F * Forces_APPURT[[#This Row],[Alpha Fa 330]] * Calculations_APPURT[[#This Row],[Horizontal Offset]]/12</f>
        <v>0</v>
      </c>
      <c r="LS16" s="276">
        <f>IFERROR(1/Calculations_APPURT[[#This Row],[Brackets]],0) * cv_M/cv_F * Forces_APPURT[[#This Row],[Beta Fa 0]] * Calculations_APPURT[[#This Row],[Horizontal Offset]]/12</f>
        <v>0</v>
      </c>
      <c r="LT16" s="276">
        <f>IFERROR(1/Calculations_APPURT[[#This Row],[Brackets]],0) * cv_M/cv_F * Forces_APPURT[[#This Row],[Beta Fa 30]] * Calculations_APPURT[[#This Row],[Horizontal Offset]]/12</f>
        <v>0</v>
      </c>
      <c r="LU16" s="276">
        <f>IFERROR(1/Calculations_APPURT[[#This Row],[Brackets]],0) * cv_M/cv_F * Forces_APPURT[[#This Row],[Beta Fa 45]] * Calculations_APPURT[[#This Row],[Horizontal Offset]]/12</f>
        <v>0</v>
      </c>
      <c r="LV16" s="276">
        <f>IFERROR(1/Calculations_APPURT[[#This Row],[Brackets]],0) * cv_M/cv_F * Forces_APPURT[[#This Row],[Beta Fa 60]] * Calculations_APPURT[[#This Row],[Horizontal Offset]]/12</f>
        <v>0</v>
      </c>
      <c r="LW16" s="276">
        <f>IFERROR(1/Calculations_APPURT[[#This Row],[Brackets]],0) * cv_M/cv_F * Forces_APPURT[[#This Row],[Beta Fa 90]] * Calculations_APPURT[[#This Row],[Horizontal Offset]]/12</f>
        <v>0</v>
      </c>
      <c r="LX16" s="276">
        <f>IFERROR(1/Calculations_APPURT[[#This Row],[Brackets]],0) * cv_M/cv_F * Forces_APPURT[[#This Row],[Beta Fa 120]] * Calculations_APPURT[[#This Row],[Horizontal Offset]]/12</f>
        <v>0</v>
      </c>
      <c r="LY16" s="276">
        <f>IFERROR(1/Calculations_APPURT[[#This Row],[Brackets]],0) * cv_M/cv_F * Forces_APPURT[[#This Row],[Beta Fa 135]] * Calculations_APPURT[[#This Row],[Horizontal Offset]]/12</f>
        <v>0</v>
      </c>
      <c r="LZ16" s="276">
        <f>IFERROR(1/Calculations_APPURT[[#This Row],[Brackets]],0) * cv_M/cv_F * Forces_APPURT[[#This Row],[Beta Fa 150]] * Calculations_APPURT[[#This Row],[Horizontal Offset]]/12</f>
        <v>0</v>
      </c>
      <c r="MA16" s="276">
        <f>IFERROR(1/Calculations_APPURT[[#This Row],[Brackets]],0) * cv_M/cv_F * Forces_APPURT[[#This Row],[Beta Fa 180]] * Calculations_APPURT[[#This Row],[Horizontal Offset]]/12</f>
        <v>0</v>
      </c>
      <c r="MB16" s="276">
        <f>IFERROR(1/Calculations_APPURT[[#This Row],[Brackets]],0) * cv_M/cv_F * Forces_APPURT[[#This Row],[Beta Fa 210]] * Calculations_APPURT[[#This Row],[Horizontal Offset]]/12</f>
        <v>0</v>
      </c>
      <c r="MC16" s="276">
        <f>IFERROR(1/Calculations_APPURT[[#This Row],[Brackets]],0) * cv_M/cv_F * Forces_APPURT[[#This Row],[Beta Fa 225]] * Calculations_APPURT[[#This Row],[Horizontal Offset]]/12</f>
        <v>0</v>
      </c>
      <c r="MD16" s="276">
        <f>IFERROR(1/Calculations_APPURT[[#This Row],[Brackets]],0) * cv_M/cv_F * Forces_APPURT[[#This Row],[Beta Fa 240]] * Calculations_APPURT[[#This Row],[Horizontal Offset]]/12</f>
        <v>0</v>
      </c>
      <c r="ME16" s="276">
        <f>IFERROR(1/Calculations_APPURT[[#This Row],[Brackets]],0) * cv_M/cv_F * Forces_APPURT[[#This Row],[Beta Fa 270]] * Calculations_APPURT[[#This Row],[Horizontal Offset]]/12</f>
        <v>0</v>
      </c>
      <c r="MF16" s="276">
        <f>IFERROR(1/Calculations_APPURT[[#This Row],[Brackets]],0) * cv_M/cv_F * Forces_APPURT[[#This Row],[Beta Fa 300]] * Calculations_APPURT[[#This Row],[Horizontal Offset]]/12</f>
        <v>0</v>
      </c>
      <c r="MG16" s="276">
        <f>IFERROR(1/Calculations_APPURT[[#This Row],[Brackets]],0) * cv_M/cv_F * Forces_APPURT[[#This Row],[Beta Fa 315]] * Calculations_APPURT[[#This Row],[Horizontal Offset]]/12</f>
        <v>0</v>
      </c>
      <c r="MH16" s="276">
        <f>IFERROR(1/Calculations_APPURT[[#This Row],[Brackets]],0) * cv_M/cv_F * Forces_APPURT[[#This Row],[Beta Fa 330]] * Calculations_APPURT[[#This Row],[Horizontal Offset]]/12</f>
        <v>0</v>
      </c>
      <c r="MI16" s="338">
        <f>IFERROR(1/Calculations_APPURT[[#This Row],[Brackets]],0) * cv_M/cv_F * Forces_APPURT[[#This Row],[Gamma Fa 0]] * Calculations_APPURT[[#This Row],[Horizontal Offset]]/12</f>
        <v>0</v>
      </c>
      <c r="MJ16" s="338">
        <f>IFERROR(1/Calculations_APPURT[[#This Row],[Brackets]],0) * cv_M/cv_F * Forces_APPURT[[#This Row],[Gamma Fa 30]] * Calculations_APPURT[[#This Row],[Horizontal Offset]]/12</f>
        <v>0</v>
      </c>
      <c r="MK16" s="338">
        <f>IFERROR(1/Calculations_APPURT[[#This Row],[Brackets]],0) * cv_M/cv_F * Forces_APPURT[[#This Row],[Gamma Fa 45]] * Calculations_APPURT[[#This Row],[Horizontal Offset]]/12</f>
        <v>0</v>
      </c>
      <c r="ML16" s="338">
        <f>IFERROR(1/Calculations_APPURT[[#This Row],[Brackets]],0) * cv_M/cv_F * Forces_APPURT[[#This Row],[Gamma Fa 60]] * Calculations_APPURT[[#This Row],[Horizontal Offset]]/12</f>
        <v>0</v>
      </c>
      <c r="MM16" s="338">
        <f>IFERROR(1/Calculations_APPURT[[#This Row],[Brackets]],0) * cv_M/cv_F * Forces_APPURT[[#This Row],[Gamma Fa 90]] * Calculations_APPURT[[#This Row],[Horizontal Offset]]/12</f>
        <v>0</v>
      </c>
      <c r="MN16" s="338">
        <f>IFERROR(1/Calculations_APPURT[[#This Row],[Brackets]],0) * cv_M/cv_F * Forces_APPURT[[#This Row],[Gamma Fa 120]] * Calculations_APPURT[[#This Row],[Horizontal Offset]]/12</f>
        <v>0</v>
      </c>
      <c r="MO16" s="338">
        <f>IFERROR(1/Calculations_APPURT[[#This Row],[Brackets]],0) * cv_M/cv_F * Forces_APPURT[[#This Row],[Gamma Fa 135]] * Calculations_APPURT[[#This Row],[Horizontal Offset]]/12</f>
        <v>0</v>
      </c>
      <c r="MP16" s="338">
        <f>IFERROR(1/Calculations_APPURT[[#This Row],[Brackets]],0) * cv_M/cv_F * Forces_APPURT[[#This Row],[Gamma Fa 150]] * Calculations_APPURT[[#This Row],[Horizontal Offset]]/12</f>
        <v>0</v>
      </c>
      <c r="MQ16" s="338">
        <f>IFERROR(1/Calculations_APPURT[[#This Row],[Brackets]],0) * cv_M/cv_F * Forces_APPURT[[#This Row],[Gamma Fa 180]] * Calculations_APPURT[[#This Row],[Horizontal Offset]]/12</f>
        <v>0</v>
      </c>
      <c r="MR16" s="338">
        <f>IFERROR(1/Calculations_APPURT[[#This Row],[Brackets]],0) * cv_M/cv_F * Forces_APPURT[[#This Row],[Gamma Fa 210]] * Calculations_APPURT[[#This Row],[Horizontal Offset]]/12</f>
        <v>0</v>
      </c>
      <c r="MS16" s="338">
        <f>IFERROR(1/Calculations_APPURT[[#This Row],[Brackets]],0) * cv_M/cv_F * Forces_APPURT[[#This Row],[Gamma Fa 225]] * Calculations_APPURT[[#This Row],[Horizontal Offset]]/12</f>
        <v>0</v>
      </c>
      <c r="MT16" s="338">
        <f>IFERROR(1/Calculations_APPURT[[#This Row],[Brackets]],0) * cv_M/cv_F * Forces_APPURT[[#This Row],[Gamma Fa 240]] * Calculations_APPURT[[#This Row],[Horizontal Offset]]/12</f>
        <v>0</v>
      </c>
      <c r="MU16" s="338">
        <f>IFERROR(1/Calculations_APPURT[[#This Row],[Brackets]],0) * cv_M/cv_F * Forces_APPURT[[#This Row],[Gamma Fa 270]] * Calculations_APPURT[[#This Row],[Horizontal Offset]]/12</f>
        <v>0</v>
      </c>
      <c r="MV16" s="338">
        <f>IFERROR(1/Calculations_APPURT[[#This Row],[Brackets]],0) * cv_M/cv_F * Forces_APPURT[[#This Row],[Gamma Fa 300]] * Calculations_APPURT[[#This Row],[Horizontal Offset]]/12</f>
        <v>0</v>
      </c>
      <c r="MW16" s="338">
        <f>IFERROR(1/Calculations_APPURT[[#This Row],[Brackets]],0) * cv_M/cv_F * Forces_APPURT[[#This Row],[Gamma Fa 315]] * Calculations_APPURT[[#This Row],[Horizontal Offset]]/12</f>
        <v>0</v>
      </c>
      <c r="MX16" s="338">
        <f>IFERROR(1/Calculations_APPURT[[#This Row],[Brackets]],0) * cv_M/cv_F * Forces_APPURT[[#This Row],[Gamma Fa 330]] * Calculations_APPURT[[#This Row],[Horizontal Offset]]/12</f>
        <v>0</v>
      </c>
      <c r="MY16" s="276">
        <f>IFERROR(1/Calculations_APPURT[[#This Row],[Brackets]],0) * cv_M/cv_F * Forces_APPURT[[#This Row],[Delta Fa 0]] * Calculations_APPURT[[#This Row],[Horizontal Offset]]/12</f>
        <v>0</v>
      </c>
      <c r="MZ16" s="276">
        <f>IFERROR(1/Calculations_APPURT[[#This Row],[Brackets]],0) * cv_M/cv_F * Forces_APPURT[[#This Row],[Delta Fa 30]] * Calculations_APPURT[[#This Row],[Horizontal Offset]]/12</f>
        <v>0</v>
      </c>
      <c r="NA16" s="276">
        <f>IFERROR(1/Calculations_APPURT[[#This Row],[Brackets]],0) * cv_M/cv_F * Forces_APPURT[[#This Row],[Delta Fa 45]] * Calculations_APPURT[[#This Row],[Horizontal Offset]]/12</f>
        <v>0</v>
      </c>
      <c r="NB16" s="276">
        <f>IFERROR(1/Calculations_APPURT[[#This Row],[Brackets]],0) * cv_M/cv_F * Forces_APPURT[[#This Row],[Delta Fa 60]] * Calculations_APPURT[[#This Row],[Horizontal Offset]]/12</f>
        <v>0</v>
      </c>
      <c r="NC16" s="276">
        <f>IFERROR(1/Calculations_APPURT[[#This Row],[Brackets]],0) * cv_M/cv_F * Forces_APPURT[[#This Row],[Delta Fa 90]] * Calculations_APPURT[[#This Row],[Horizontal Offset]]/12</f>
        <v>0</v>
      </c>
      <c r="ND16" s="276">
        <f>IFERROR(1/Calculations_APPURT[[#This Row],[Brackets]],0) * cv_M/cv_F * Forces_APPURT[[#This Row],[Delta Fa 120]] * Calculations_APPURT[[#This Row],[Horizontal Offset]]/12</f>
        <v>0</v>
      </c>
      <c r="NE16" s="276">
        <f>IFERROR(1/Calculations_APPURT[[#This Row],[Brackets]],0) * cv_M/cv_F * Forces_APPURT[[#This Row],[Delta Fa 135]] * Calculations_APPURT[[#This Row],[Horizontal Offset]]/12</f>
        <v>0</v>
      </c>
      <c r="NF16" s="276">
        <f>IFERROR(1/Calculations_APPURT[[#This Row],[Brackets]],0) * cv_M/cv_F * Forces_APPURT[[#This Row],[Delta Fa 150]] * Calculations_APPURT[[#This Row],[Horizontal Offset]]/12</f>
        <v>0</v>
      </c>
      <c r="NG16" s="276">
        <f>IFERROR(1/Calculations_APPURT[[#This Row],[Brackets]],0) * cv_M/cv_F * Forces_APPURT[[#This Row],[Delta Fa 180]] * Calculations_APPURT[[#This Row],[Horizontal Offset]]/12</f>
        <v>0</v>
      </c>
      <c r="NH16" s="276">
        <f>IFERROR(1/Calculations_APPURT[[#This Row],[Brackets]],0) * cv_M/cv_F * Forces_APPURT[[#This Row],[Delta Fa 210]] * Calculations_APPURT[[#This Row],[Horizontal Offset]]/12</f>
        <v>0</v>
      </c>
      <c r="NI16" s="276">
        <f>IFERROR(1/Calculations_APPURT[[#This Row],[Brackets]],0) * cv_M/cv_F * Forces_APPURT[[#This Row],[Delta Fa 225]] * Calculations_APPURT[[#This Row],[Horizontal Offset]]/12</f>
        <v>0</v>
      </c>
      <c r="NJ16" s="276">
        <f>IFERROR(1/Calculations_APPURT[[#This Row],[Brackets]],0) * cv_M/cv_F * Forces_APPURT[[#This Row],[Delta Fa 240]] * Calculations_APPURT[[#This Row],[Horizontal Offset]]/12</f>
        <v>0</v>
      </c>
      <c r="NK16" s="276">
        <f>IFERROR(1/Calculations_APPURT[[#This Row],[Brackets]],0) * cv_M/cv_F * Forces_APPURT[[#This Row],[Delta Fa 270]] * Calculations_APPURT[[#This Row],[Horizontal Offset]]/12</f>
        <v>0</v>
      </c>
      <c r="NL16" s="276">
        <f>IFERROR(1/Calculations_APPURT[[#This Row],[Brackets]],0) * cv_M/cv_F * Forces_APPURT[[#This Row],[Delta Fa 300]] * Calculations_APPURT[[#This Row],[Horizontal Offset]]/12</f>
        <v>0</v>
      </c>
      <c r="NM16" s="276">
        <f>IFERROR(1/Calculations_APPURT[[#This Row],[Brackets]],0) * cv_M/cv_F * Forces_APPURT[[#This Row],[Delta Fa 315]] * Calculations_APPURT[[#This Row],[Horizontal Offset]]/12</f>
        <v>0</v>
      </c>
      <c r="NN16" s="276">
        <f>IFERROR(1/Calculations_APPURT[[#This Row],[Brackets]],0) * cv_M/cv_F * Forces_APPURT[[#This Row],[Delta Fa 330]] * Calculations_APPURT[[#This Row],[Horizontal Offset]]/12</f>
        <v>0</v>
      </c>
      <c r="NO16" s="338">
        <f>IFERROR(1/Calculations_APPURT[[#This Row],[Brackets]],0) * cv_M/cv_F * Forces_APPURT[[#This Row],[Alpha Fai 0]] * Calculations_APPURT[[#This Row],[Horizontal Offset]]/12</f>
        <v>0</v>
      </c>
      <c r="NP16" s="338">
        <f>IFERROR(1/Calculations_APPURT[[#This Row],[Brackets]],0) * cv_M/cv_F * Forces_APPURT[[#This Row],[Alpha Fai 30]] * Calculations_APPURT[[#This Row],[Horizontal Offset]]/12</f>
        <v>0</v>
      </c>
      <c r="NQ16" s="338">
        <f>IFERROR(1/Calculations_APPURT[[#This Row],[Brackets]],0) * cv_M/cv_F * Forces_APPURT[[#This Row],[Alpha Fai 45]] * Calculations_APPURT[[#This Row],[Horizontal Offset]]/12</f>
        <v>0</v>
      </c>
      <c r="NR16" s="338">
        <f>IFERROR(1/Calculations_APPURT[[#This Row],[Brackets]],0) * cv_M/cv_F * Forces_APPURT[[#This Row],[Alpha Fai 60]] * Calculations_APPURT[[#This Row],[Horizontal Offset]]/12</f>
        <v>0</v>
      </c>
      <c r="NS16" s="338">
        <f>IFERROR(1/Calculations_APPURT[[#This Row],[Brackets]],0) * cv_M/cv_F * Forces_APPURT[[#This Row],[Alpha Fai 90]] * Calculations_APPURT[[#This Row],[Horizontal Offset]]/12</f>
        <v>0</v>
      </c>
      <c r="NT16" s="338">
        <f>IFERROR(1/Calculations_APPURT[[#This Row],[Brackets]],0) * cv_M/cv_F * Forces_APPURT[[#This Row],[Alpha Fai 120]] * Calculations_APPURT[[#This Row],[Horizontal Offset]]/12</f>
        <v>0</v>
      </c>
      <c r="NU16" s="338">
        <f>IFERROR(1/Calculations_APPURT[[#This Row],[Brackets]],0) * cv_M/cv_F * Forces_APPURT[[#This Row],[Alpha Fai 135]] * Calculations_APPURT[[#This Row],[Horizontal Offset]]/12</f>
        <v>0</v>
      </c>
      <c r="NV16" s="338">
        <f>IFERROR(1/Calculations_APPURT[[#This Row],[Brackets]],0) * cv_M/cv_F * Forces_APPURT[[#This Row],[Alpha Fai 150]] * Calculations_APPURT[[#This Row],[Horizontal Offset]]/12</f>
        <v>0</v>
      </c>
      <c r="NW16" s="338">
        <f>IFERROR(1/Calculations_APPURT[[#This Row],[Brackets]],0) * cv_M/cv_F * Forces_APPURT[[#This Row],[Alpha Fai 180]] * Calculations_APPURT[[#This Row],[Horizontal Offset]]/12</f>
        <v>0</v>
      </c>
      <c r="NX16" s="338">
        <f>IFERROR(1/Calculations_APPURT[[#This Row],[Brackets]],0) * cv_M/cv_F * Forces_APPURT[[#This Row],[Alpha Fai 210]] * Calculations_APPURT[[#This Row],[Horizontal Offset]]/12</f>
        <v>0</v>
      </c>
      <c r="NY16" s="338">
        <f>IFERROR(1/Calculations_APPURT[[#This Row],[Brackets]],0) * cv_M/cv_F * Forces_APPURT[[#This Row],[Alpha Fai 225]] * Calculations_APPURT[[#This Row],[Horizontal Offset]]/12</f>
        <v>0</v>
      </c>
      <c r="NZ16" s="338">
        <f>IFERROR(1/Calculations_APPURT[[#This Row],[Brackets]],0) * cv_M/cv_F * Forces_APPURT[[#This Row],[Alpha Fai 240]] * Calculations_APPURT[[#This Row],[Horizontal Offset]]/12</f>
        <v>0</v>
      </c>
      <c r="OA16" s="338">
        <f>IFERROR(1/Calculations_APPURT[[#This Row],[Brackets]],0) * cv_M/cv_F * Forces_APPURT[[#This Row],[Alpha Fai 270]] * Calculations_APPURT[[#This Row],[Horizontal Offset]]/12</f>
        <v>0</v>
      </c>
      <c r="OB16" s="338">
        <f>IFERROR(1/Calculations_APPURT[[#This Row],[Brackets]],0) * cv_M/cv_F * Forces_APPURT[[#This Row],[Alpha Fai 300]] * Calculations_APPURT[[#This Row],[Horizontal Offset]]/12</f>
        <v>0</v>
      </c>
      <c r="OC16" s="338">
        <f>IFERROR(1/Calculations_APPURT[[#This Row],[Brackets]],0) * cv_M/cv_F * Forces_APPURT[[#This Row],[Alpha Fai 315]] * Calculations_APPURT[[#This Row],[Horizontal Offset]]/12</f>
        <v>0</v>
      </c>
      <c r="OD16" s="338">
        <f>IFERROR(1/Calculations_APPURT[[#This Row],[Brackets]],0) * cv_M/cv_F * Forces_APPURT[[#This Row],[Alpha Fai 330]] * Calculations_APPURT[[#This Row],[Horizontal Offset]]/12</f>
        <v>0</v>
      </c>
      <c r="OE16" s="276">
        <f>IFERROR(1/Calculations_APPURT[[#This Row],[Brackets]],0) * cv_M/cv_F * Forces_APPURT[[#This Row],[Beta Fai 0]] * Calculations_APPURT[[#This Row],[Horizontal Offset]]/12</f>
        <v>0</v>
      </c>
      <c r="OF16" s="276">
        <f>IFERROR(1/Calculations_APPURT[[#This Row],[Brackets]],0) * cv_M/cv_F * Forces_APPURT[[#This Row],[Beta Fai 30]] * Calculations_APPURT[[#This Row],[Horizontal Offset]]/12</f>
        <v>0</v>
      </c>
      <c r="OG16" s="276">
        <f>IFERROR(1/Calculations_APPURT[[#This Row],[Brackets]],0) * cv_M/cv_F * Forces_APPURT[[#This Row],[Beta Fai 45]] * Calculations_APPURT[[#This Row],[Horizontal Offset]]/12</f>
        <v>0</v>
      </c>
      <c r="OH16" s="276">
        <f>IFERROR(1/Calculations_APPURT[[#This Row],[Brackets]],0) * cv_M/cv_F * Forces_APPURT[[#This Row],[Beta Fai 60]] * Calculations_APPURT[[#This Row],[Horizontal Offset]]/12</f>
        <v>0</v>
      </c>
      <c r="OI16" s="276">
        <f>IFERROR(1/Calculations_APPURT[[#This Row],[Brackets]],0) * cv_M/cv_F * Forces_APPURT[[#This Row],[Beta Fai 90]] * Calculations_APPURT[[#This Row],[Horizontal Offset]]/12</f>
        <v>0</v>
      </c>
      <c r="OJ16" s="276">
        <f>IFERROR(1/Calculations_APPURT[[#This Row],[Brackets]],0) * cv_M/cv_F * Forces_APPURT[[#This Row],[Beta Fai 120]] * Calculations_APPURT[[#This Row],[Horizontal Offset]]/12</f>
        <v>0</v>
      </c>
      <c r="OK16" s="276">
        <f>IFERROR(1/Calculations_APPURT[[#This Row],[Brackets]],0) * cv_M/cv_F * Forces_APPURT[[#This Row],[Beta Fai 135]] * Calculations_APPURT[[#This Row],[Horizontal Offset]]/12</f>
        <v>0</v>
      </c>
      <c r="OL16" s="276">
        <f>IFERROR(1/Calculations_APPURT[[#This Row],[Brackets]],0) * cv_M/cv_F * Forces_APPURT[[#This Row],[Beta Fai 150]] * Calculations_APPURT[[#This Row],[Horizontal Offset]]/12</f>
        <v>0</v>
      </c>
      <c r="OM16" s="276">
        <f>IFERROR(1/Calculations_APPURT[[#This Row],[Brackets]],0) * cv_M/cv_F * Forces_APPURT[[#This Row],[Beta Fai 180]] * Calculations_APPURT[[#This Row],[Horizontal Offset]]/12</f>
        <v>0</v>
      </c>
      <c r="ON16" s="276">
        <f>IFERROR(1/Calculations_APPURT[[#This Row],[Brackets]],0) * cv_M/cv_F * Forces_APPURT[[#This Row],[Beta Fai 210]] * Calculations_APPURT[[#This Row],[Horizontal Offset]]/12</f>
        <v>0</v>
      </c>
      <c r="OO16" s="276">
        <f>IFERROR(1/Calculations_APPURT[[#This Row],[Brackets]],0) * cv_M/cv_F * Forces_APPURT[[#This Row],[Beta Fai 225]] * Calculations_APPURT[[#This Row],[Horizontal Offset]]/12</f>
        <v>0</v>
      </c>
      <c r="OP16" s="276">
        <f>IFERROR(1/Calculations_APPURT[[#This Row],[Brackets]],0) * cv_M/cv_F * Forces_APPURT[[#This Row],[Beta Fai 240]] * Calculations_APPURT[[#This Row],[Horizontal Offset]]/12</f>
        <v>0</v>
      </c>
      <c r="OQ16" s="276">
        <f>IFERROR(1/Calculations_APPURT[[#This Row],[Brackets]],0) * cv_M/cv_F * Forces_APPURT[[#This Row],[Beta Fai 270]] * Calculations_APPURT[[#This Row],[Horizontal Offset]]/12</f>
        <v>0</v>
      </c>
      <c r="OR16" s="276">
        <f>IFERROR(1/Calculations_APPURT[[#This Row],[Brackets]],0) * cv_M/cv_F * Forces_APPURT[[#This Row],[Beta Fai 300]] * Calculations_APPURT[[#This Row],[Horizontal Offset]]/12</f>
        <v>0</v>
      </c>
      <c r="OS16" s="276">
        <f>IFERROR(1/Calculations_APPURT[[#This Row],[Brackets]],0) * cv_M/cv_F * Forces_APPURT[[#This Row],[Beta Fai 315]] * Calculations_APPURT[[#This Row],[Horizontal Offset]]/12</f>
        <v>0</v>
      </c>
      <c r="OT16" s="276">
        <f>IFERROR(1/Calculations_APPURT[[#This Row],[Brackets]],0) * cv_M/cv_F * Forces_APPURT[[#This Row],[Beta Fai 330]] * Calculations_APPURT[[#This Row],[Horizontal Offset]]/12</f>
        <v>0</v>
      </c>
      <c r="OU16" s="338">
        <f>IFERROR(1/Calculations_APPURT[[#This Row],[Brackets]],0) * cv_M/cv_F * Forces_APPURT[[#This Row],[Gamma Fai 0]] * Calculations_APPURT[[#This Row],[Horizontal Offset]]/12</f>
        <v>0</v>
      </c>
      <c r="OV16" s="338">
        <f>IFERROR(1/Calculations_APPURT[[#This Row],[Brackets]],0) * cv_M/cv_F * Forces_APPURT[[#This Row],[Gamma Fai 30]] * Calculations_APPURT[[#This Row],[Horizontal Offset]]/12</f>
        <v>0</v>
      </c>
      <c r="OW16" s="338">
        <f>IFERROR(1/Calculations_APPURT[[#This Row],[Brackets]],0) * cv_M/cv_F * Forces_APPURT[[#This Row],[Gamma Fai 45]] * Calculations_APPURT[[#This Row],[Horizontal Offset]]/12</f>
        <v>0</v>
      </c>
      <c r="OX16" s="338">
        <f>IFERROR(1/Calculations_APPURT[[#This Row],[Brackets]],0) * cv_M/cv_F * Forces_APPURT[[#This Row],[Gamma Fai 60]] * Calculations_APPURT[[#This Row],[Horizontal Offset]]/12</f>
        <v>0</v>
      </c>
      <c r="OY16" s="338">
        <f>IFERROR(1/Calculations_APPURT[[#This Row],[Brackets]],0) * cv_M/cv_F * Forces_APPURT[[#This Row],[Gamma Fai 90]] * Calculations_APPURT[[#This Row],[Horizontal Offset]]/12</f>
        <v>0</v>
      </c>
      <c r="OZ16" s="338">
        <f>IFERROR(1/Calculations_APPURT[[#This Row],[Brackets]],0) * cv_M/cv_F * Forces_APPURT[[#This Row],[Gamma Fai 120]] * Calculations_APPURT[[#This Row],[Horizontal Offset]]/12</f>
        <v>0</v>
      </c>
      <c r="PA16" s="338">
        <f>IFERROR(1/Calculations_APPURT[[#This Row],[Brackets]],0) * cv_M/cv_F * Forces_APPURT[[#This Row],[Gamma Fai 135]] * Calculations_APPURT[[#This Row],[Horizontal Offset]]/12</f>
        <v>0</v>
      </c>
      <c r="PB16" s="338">
        <f>IFERROR(1/Calculations_APPURT[[#This Row],[Brackets]],0) * cv_M/cv_F * Forces_APPURT[[#This Row],[Gamma Fai 150]] * Calculations_APPURT[[#This Row],[Horizontal Offset]]/12</f>
        <v>0</v>
      </c>
      <c r="PC16" s="338">
        <f>IFERROR(1/Calculations_APPURT[[#This Row],[Brackets]],0) * cv_M/cv_F * Forces_APPURT[[#This Row],[Gamma Fai 180]] * Calculations_APPURT[[#This Row],[Horizontal Offset]]/12</f>
        <v>0</v>
      </c>
      <c r="PD16" s="338">
        <f>IFERROR(1/Calculations_APPURT[[#This Row],[Brackets]],0) * cv_M/cv_F * Forces_APPURT[[#This Row],[Gamma Fai 210]] * Calculations_APPURT[[#This Row],[Horizontal Offset]]/12</f>
        <v>0</v>
      </c>
      <c r="PE16" s="338">
        <f>IFERROR(1/Calculations_APPURT[[#This Row],[Brackets]],0) * cv_M/cv_F * Forces_APPURT[[#This Row],[Gamma Fai 225]] * Calculations_APPURT[[#This Row],[Horizontal Offset]]/12</f>
        <v>0</v>
      </c>
      <c r="PF16" s="338">
        <f>IFERROR(1/Calculations_APPURT[[#This Row],[Brackets]],0) * cv_M/cv_F * Forces_APPURT[[#This Row],[Gamma Fai 240]] * Calculations_APPURT[[#This Row],[Horizontal Offset]]/12</f>
        <v>0</v>
      </c>
      <c r="PG16" s="338">
        <f>IFERROR(1/Calculations_APPURT[[#This Row],[Brackets]],0) * cv_M/cv_F * Forces_APPURT[[#This Row],[Gamma Fai 270]] * Calculations_APPURT[[#This Row],[Horizontal Offset]]/12</f>
        <v>0</v>
      </c>
      <c r="PH16" s="338">
        <f>IFERROR(1/Calculations_APPURT[[#This Row],[Brackets]],0) * cv_M/cv_F * Forces_APPURT[[#This Row],[Gamma Fai 300]] * Calculations_APPURT[[#This Row],[Horizontal Offset]]/12</f>
        <v>0</v>
      </c>
      <c r="PI16" s="338">
        <f>IFERROR(1/Calculations_APPURT[[#This Row],[Brackets]],0) * cv_M/cv_F * Forces_APPURT[[#This Row],[Gamma Fai 315]] * Calculations_APPURT[[#This Row],[Horizontal Offset]]/12</f>
        <v>0</v>
      </c>
      <c r="PJ16" s="338">
        <f>IFERROR(1/Calculations_APPURT[[#This Row],[Brackets]],0) * cv_M/cv_F * Forces_APPURT[[#This Row],[Gamma Fai 330]] * Calculations_APPURT[[#This Row],[Horizontal Offset]]/12</f>
        <v>0</v>
      </c>
      <c r="PK16" s="276">
        <f>IFERROR(1/Calculations_APPURT[[#This Row],[Brackets]],0) * cv_M/cv_F * Forces_APPURT[[#This Row],[Delta Fai 0]] * Calculations_APPURT[[#This Row],[Horizontal Offset]]/12</f>
        <v>0</v>
      </c>
      <c r="PL16" s="276">
        <f>IFERROR(1/Calculations_APPURT[[#This Row],[Brackets]],0) * cv_M/cv_F * Forces_APPURT[[#This Row],[Delta Fai 30]] * Calculations_APPURT[[#This Row],[Horizontal Offset]]/12</f>
        <v>0</v>
      </c>
      <c r="PM16" s="276">
        <f>IFERROR(1/Calculations_APPURT[[#This Row],[Brackets]],0) * cv_M/cv_F * Forces_APPURT[[#This Row],[Delta Fai 45]] * Calculations_APPURT[[#This Row],[Horizontal Offset]]/12</f>
        <v>0</v>
      </c>
      <c r="PN16" s="276">
        <f>IFERROR(1/Calculations_APPURT[[#This Row],[Brackets]],0) * cv_M/cv_F * Forces_APPURT[[#This Row],[Delta Fai 60]] * Calculations_APPURT[[#This Row],[Horizontal Offset]]/12</f>
        <v>0</v>
      </c>
      <c r="PO16" s="276">
        <f>IFERROR(1/Calculations_APPURT[[#This Row],[Brackets]],0) * cv_M/cv_F * Forces_APPURT[[#This Row],[Delta Fai 90]] * Calculations_APPURT[[#This Row],[Horizontal Offset]]/12</f>
        <v>0</v>
      </c>
      <c r="PP16" s="276">
        <f>IFERROR(1/Calculations_APPURT[[#This Row],[Brackets]],0) * cv_M/cv_F * Forces_APPURT[[#This Row],[Delta Fai 120]] * Calculations_APPURT[[#This Row],[Horizontal Offset]]/12</f>
        <v>0</v>
      </c>
      <c r="PQ16" s="276">
        <f>IFERROR(1/Calculations_APPURT[[#This Row],[Brackets]],0) * cv_M/cv_F * Forces_APPURT[[#This Row],[Delta Fai 135]] * Calculations_APPURT[[#This Row],[Horizontal Offset]]/12</f>
        <v>0</v>
      </c>
      <c r="PR16" s="276">
        <f>IFERROR(1/Calculations_APPURT[[#This Row],[Brackets]],0) * cv_M/cv_F * Forces_APPURT[[#This Row],[Delta Fai 150]] * Calculations_APPURT[[#This Row],[Horizontal Offset]]/12</f>
        <v>0</v>
      </c>
      <c r="PS16" s="276">
        <f>IFERROR(1/Calculations_APPURT[[#This Row],[Brackets]],0) * cv_M/cv_F * Forces_APPURT[[#This Row],[Delta Fai 180]] * Calculations_APPURT[[#This Row],[Horizontal Offset]]/12</f>
        <v>0</v>
      </c>
      <c r="PT16" s="276">
        <f>IFERROR(1/Calculations_APPURT[[#This Row],[Brackets]],0) * cv_M/cv_F * Forces_APPURT[[#This Row],[Delta Fai 210]] * Calculations_APPURT[[#This Row],[Horizontal Offset]]/12</f>
        <v>0</v>
      </c>
      <c r="PU16" s="276">
        <f>IFERROR(1/Calculations_APPURT[[#This Row],[Brackets]],0) * cv_M/cv_F * Forces_APPURT[[#This Row],[Delta Fai 225]] * Calculations_APPURT[[#This Row],[Horizontal Offset]]/12</f>
        <v>0</v>
      </c>
      <c r="PV16" s="276">
        <f>IFERROR(1/Calculations_APPURT[[#This Row],[Brackets]],0) * cv_M/cv_F * Forces_APPURT[[#This Row],[Delta Fai 240]] * Calculations_APPURT[[#This Row],[Horizontal Offset]]/12</f>
        <v>0</v>
      </c>
      <c r="PW16" s="276">
        <f>IFERROR(1/Calculations_APPURT[[#This Row],[Brackets]],0) * cv_M/cv_F * Forces_APPURT[[#This Row],[Delta Fai 270]] * Calculations_APPURT[[#This Row],[Horizontal Offset]]/12</f>
        <v>0</v>
      </c>
      <c r="PX16" s="276">
        <f>IFERROR(1/Calculations_APPURT[[#This Row],[Brackets]],0) * cv_M/cv_F * Forces_APPURT[[#This Row],[Delta Fai 300]] * Calculations_APPURT[[#This Row],[Horizontal Offset]]/12</f>
        <v>0</v>
      </c>
      <c r="PY16" s="276">
        <f>IFERROR(1/Calculations_APPURT[[#This Row],[Brackets]],0) * cv_M/cv_F * Forces_APPURT[[#This Row],[Delta Fai 315]] * Calculations_APPURT[[#This Row],[Horizontal Offset]]/12</f>
        <v>0</v>
      </c>
      <c r="PZ16" s="276">
        <f>IFERROR(1/Calculations_APPURT[[#This Row],[Brackets]],0) * cv_M/cv_F * Forces_APPURT[[#This Row],[Delta Fai 330]] * Calculations_APPURT[[#This Row],[Horizontal Offset]]/12</f>
        <v>0</v>
      </c>
      <c r="QA16" s="338">
        <f>IFERROR(1/Calculations_APPURT[[#This Row],[Brackets]],0) * cv_M/cv_F * Forces_APPURT[[#This Row],[Alpha Fa 0]] * Calculations_APPURT[[#This Row],[Lateral Offset]]/12</f>
        <v>0</v>
      </c>
      <c r="QB16" s="338">
        <f>IFERROR(1/Calculations_APPURT[[#This Row],[Brackets]],0) * cv_M/cv_F * Forces_APPURT[[#This Row],[Alpha Fa 30]] * Calculations_APPURT[[#This Row],[Lateral Offset]]/12</f>
        <v>0</v>
      </c>
      <c r="QC16" s="338">
        <f>IFERROR(1/Calculations_APPURT[[#This Row],[Brackets]],0) * cv_M/cv_F * Forces_APPURT[[#This Row],[Alpha Fa 45]] * Calculations_APPURT[[#This Row],[Lateral Offset]]/12</f>
        <v>0</v>
      </c>
      <c r="QD16" s="338">
        <f>IFERROR(1/Calculations_APPURT[[#This Row],[Brackets]],0) * cv_M/cv_F * Forces_APPURT[[#This Row],[Alpha Fa 60]] * Calculations_APPURT[[#This Row],[Lateral Offset]]/12</f>
        <v>0</v>
      </c>
      <c r="QE16" s="338">
        <f>IFERROR(1/Calculations_APPURT[[#This Row],[Brackets]],0) * cv_M/cv_F * Forces_APPURT[[#This Row],[Alpha Fa 90]] * Calculations_APPURT[[#This Row],[Lateral Offset]]/12</f>
        <v>0</v>
      </c>
      <c r="QF16" s="338">
        <f>IFERROR(1/Calculations_APPURT[[#This Row],[Brackets]],0) * cv_M/cv_F * Forces_APPURT[[#This Row],[Alpha Fa 120]] * Calculations_APPURT[[#This Row],[Lateral Offset]]/12</f>
        <v>0</v>
      </c>
      <c r="QG16" s="338">
        <f>IFERROR(1/Calculations_APPURT[[#This Row],[Brackets]],0) * cv_M/cv_F * Forces_APPURT[[#This Row],[Alpha Fa 135]] * Calculations_APPURT[[#This Row],[Lateral Offset]]/12</f>
        <v>0</v>
      </c>
      <c r="QH16" s="338">
        <f>IFERROR(1/Calculations_APPURT[[#This Row],[Brackets]],0) * cv_M/cv_F * Forces_APPURT[[#This Row],[Alpha Fa 150]] * Calculations_APPURT[[#This Row],[Lateral Offset]]/12</f>
        <v>0</v>
      </c>
      <c r="QI16" s="338">
        <f>IFERROR(1/Calculations_APPURT[[#This Row],[Brackets]],0) * cv_M/cv_F * Forces_APPURT[[#This Row],[Alpha Fa 180]] * Calculations_APPURT[[#This Row],[Lateral Offset]]/12</f>
        <v>0</v>
      </c>
      <c r="QJ16" s="338">
        <f>IFERROR(1/Calculations_APPURT[[#This Row],[Brackets]],0) * cv_M/cv_F * Forces_APPURT[[#This Row],[Alpha Fa 210]] * Calculations_APPURT[[#This Row],[Lateral Offset]]/12</f>
        <v>0</v>
      </c>
      <c r="QK16" s="338">
        <f>IFERROR(1/Calculations_APPURT[[#This Row],[Brackets]],0) * cv_M/cv_F * Forces_APPURT[[#This Row],[Alpha Fa 225]] * Calculations_APPURT[[#This Row],[Lateral Offset]]/12</f>
        <v>0</v>
      </c>
      <c r="QL16" s="338">
        <f>IFERROR(1/Calculations_APPURT[[#This Row],[Brackets]],0) * cv_M/cv_F * Forces_APPURT[[#This Row],[Alpha Fa 240]] * Calculations_APPURT[[#This Row],[Lateral Offset]]/12</f>
        <v>0</v>
      </c>
      <c r="QM16" s="338">
        <f>IFERROR(1/Calculations_APPURT[[#This Row],[Brackets]],0) * cv_M/cv_F * Forces_APPURT[[#This Row],[Alpha Fa 270]] * Calculations_APPURT[[#This Row],[Lateral Offset]]/12</f>
        <v>0</v>
      </c>
      <c r="QN16" s="338">
        <f>IFERROR(1/Calculations_APPURT[[#This Row],[Brackets]],0) * cv_M/cv_F * Forces_APPURT[[#This Row],[Alpha Fa 300]] * Calculations_APPURT[[#This Row],[Lateral Offset]]/12</f>
        <v>0</v>
      </c>
      <c r="QO16" s="338">
        <f>IFERROR(1/Calculations_APPURT[[#This Row],[Brackets]],0) * cv_M/cv_F * Forces_APPURT[[#This Row],[Alpha Fa 315]] * Calculations_APPURT[[#This Row],[Lateral Offset]]/12</f>
        <v>0</v>
      </c>
      <c r="QP16" s="338">
        <f>IFERROR(1/Calculations_APPURT[[#This Row],[Brackets]],0) * cv_M/cv_F * Forces_APPURT[[#This Row],[Alpha Fa 330]] * Calculations_APPURT[[#This Row],[Lateral Offset]]/12</f>
        <v>0</v>
      </c>
      <c r="QQ16" s="276">
        <f>IFERROR(1/Calculations_APPURT[[#This Row],[Brackets]],0) * cv_M/cv_F * Forces_APPURT[[#This Row],[Beta Fa 0]] * Calculations_APPURT[[#This Row],[Lateral Offset]]/12</f>
        <v>0</v>
      </c>
      <c r="QR16" s="276">
        <f>IFERROR(1/Calculations_APPURT[[#This Row],[Brackets]],0) * cv_M/cv_F * Forces_APPURT[[#This Row],[Beta Fa 30]] * Calculations_APPURT[[#This Row],[Lateral Offset]]/12</f>
        <v>0</v>
      </c>
      <c r="QS16" s="276">
        <f>IFERROR(1/Calculations_APPURT[[#This Row],[Brackets]],0) * cv_M/cv_F * Forces_APPURT[[#This Row],[Beta Fa 45]] * Calculations_APPURT[[#This Row],[Lateral Offset]]/12</f>
        <v>0</v>
      </c>
      <c r="QT16" s="276">
        <f>IFERROR(1/Calculations_APPURT[[#This Row],[Brackets]],0) * cv_M/cv_F * Forces_APPURT[[#This Row],[Beta Fa 60]] * Calculations_APPURT[[#This Row],[Lateral Offset]]/12</f>
        <v>0</v>
      </c>
      <c r="QU16" s="276">
        <f>IFERROR(1/Calculations_APPURT[[#This Row],[Brackets]],0) * cv_M/cv_F * Forces_APPURT[[#This Row],[Beta Fa 90]] * Calculations_APPURT[[#This Row],[Lateral Offset]]/12</f>
        <v>0</v>
      </c>
      <c r="QV16" s="276">
        <f>IFERROR(1/Calculations_APPURT[[#This Row],[Brackets]],0) * cv_M/cv_F * Forces_APPURT[[#This Row],[Beta Fa 120]] * Calculations_APPURT[[#This Row],[Lateral Offset]]/12</f>
        <v>0</v>
      </c>
      <c r="QW16" s="276">
        <f>IFERROR(1/Calculations_APPURT[[#This Row],[Brackets]],0) * cv_M/cv_F * Forces_APPURT[[#This Row],[Beta Fa 135]] * Calculations_APPURT[[#This Row],[Lateral Offset]]/12</f>
        <v>0</v>
      </c>
      <c r="QX16" s="276">
        <f>IFERROR(1/Calculations_APPURT[[#This Row],[Brackets]],0) * cv_M/cv_F * Forces_APPURT[[#This Row],[Beta Fa 150]] * Calculations_APPURT[[#This Row],[Lateral Offset]]/12</f>
        <v>0</v>
      </c>
      <c r="QY16" s="276">
        <f>IFERROR(1/Calculations_APPURT[[#This Row],[Brackets]],0) * cv_M/cv_F * Forces_APPURT[[#This Row],[Beta Fa 180]] * Calculations_APPURT[[#This Row],[Lateral Offset]]/12</f>
        <v>0</v>
      </c>
      <c r="QZ16" s="276">
        <f>IFERROR(1/Calculations_APPURT[[#This Row],[Brackets]],0) * cv_M/cv_F * Forces_APPURT[[#This Row],[Beta Fa 210]] * Calculations_APPURT[[#This Row],[Lateral Offset]]/12</f>
        <v>0</v>
      </c>
      <c r="RA16" s="276">
        <f>IFERROR(1/Calculations_APPURT[[#This Row],[Brackets]],0) * cv_M/cv_F * Forces_APPURT[[#This Row],[Beta Fa 225]] * Calculations_APPURT[[#This Row],[Lateral Offset]]/12</f>
        <v>0</v>
      </c>
      <c r="RB16" s="276">
        <f>IFERROR(1/Calculations_APPURT[[#This Row],[Brackets]],0) * cv_M/cv_F * Forces_APPURT[[#This Row],[Beta Fa 240]] * Calculations_APPURT[[#This Row],[Lateral Offset]]/12</f>
        <v>0</v>
      </c>
      <c r="RC16" s="276">
        <f>IFERROR(1/Calculations_APPURT[[#This Row],[Brackets]],0) * cv_M/cv_F * Forces_APPURT[[#This Row],[Beta Fa 270]] * Calculations_APPURT[[#This Row],[Lateral Offset]]/12</f>
        <v>0</v>
      </c>
      <c r="RD16" s="276">
        <f>IFERROR(1/Calculations_APPURT[[#This Row],[Brackets]],0) * cv_M/cv_F * Forces_APPURT[[#This Row],[Beta Fa 300]] * Calculations_APPURT[[#This Row],[Lateral Offset]]/12</f>
        <v>0</v>
      </c>
      <c r="RE16" s="276">
        <f>IFERROR(1/Calculations_APPURT[[#This Row],[Brackets]],0) * cv_M/cv_F * Forces_APPURT[[#This Row],[Beta Fa 315]] * Calculations_APPURT[[#This Row],[Lateral Offset]]/12</f>
        <v>0</v>
      </c>
      <c r="RF16" s="276">
        <f>IFERROR(1/Calculations_APPURT[[#This Row],[Brackets]],0) * cv_M/cv_F * Forces_APPURT[[#This Row],[Beta Fa 330]] * Calculations_APPURT[[#This Row],[Lateral Offset]]/12</f>
        <v>0</v>
      </c>
      <c r="RG16" s="338">
        <f>IFERROR(1/Calculations_APPURT[[#This Row],[Brackets]],0) * cv_M/cv_F * Forces_APPURT[[#This Row],[Gamma Fa 0]] * Calculations_APPURT[[#This Row],[Lateral Offset]]/12</f>
        <v>0</v>
      </c>
      <c r="RH16" s="338">
        <f>IFERROR(1/Calculations_APPURT[[#This Row],[Brackets]],0) * cv_M/cv_F * Forces_APPURT[[#This Row],[Gamma Fa 30]] * Calculations_APPURT[[#This Row],[Lateral Offset]]/12</f>
        <v>0</v>
      </c>
      <c r="RI16" s="338">
        <f>IFERROR(1/Calculations_APPURT[[#This Row],[Brackets]],0) * cv_M/cv_F * Forces_APPURT[[#This Row],[Gamma Fa 45]] * Calculations_APPURT[[#This Row],[Lateral Offset]]/12</f>
        <v>0</v>
      </c>
      <c r="RJ16" s="338">
        <f>IFERROR(1/Calculations_APPURT[[#This Row],[Brackets]],0) * cv_M/cv_F * Forces_APPURT[[#This Row],[Gamma Fa 60]] * Calculations_APPURT[[#This Row],[Lateral Offset]]/12</f>
        <v>0</v>
      </c>
      <c r="RK16" s="338">
        <f>IFERROR(1/Calculations_APPURT[[#This Row],[Brackets]],0) * cv_M/cv_F * Forces_APPURT[[#This Row],[Gamma Fa 90]] * Calculations_APPURT[[#This Row],[Lateral Offset]]/12</f>
        <v>0</v>
      </c>
      <c r="RL16" s="338">
        <f>IFERROR(1/Calculations_APPURT[[#This Row],[Brackets]],0) * cv_M/cv_F * Forces_APPURT[[#This Row],[Gamma Fa 120]] * Calculations_APPURT[[#This Row],[Lateral Offset]]/12</f>
        <v>0</v>
      </c>
      <c r="RM16" s="338">
        <f>IFERROR(1/Calculations_APPURT[[#This Row],[Brackets]],0) * cv_M/cv_F * Forces_APPURT[[#This Row],[Gamma Fa 135]] * Calculations_APPURT[[#This Row],[Lateral Offset]]/12</f>
        <v>0</v>
      </c>
      <c r="RN16" s="338">
        <f>IFERROR(1/Calculations_APPURT[[#This Row],[Brackets]],0) * cv_M/cv_F * Forces_APPURT[[#This Row],[Gamma Fa 150]] * Calculations_APPURT[[#This Row],[Lateral Offset]]/12</f>
        <v>0</v>
      </c>
      <c r="RO16" s="338">
        <f>IFERROR(1/Calculations_APPURT[[#This Row],[Brackets]],0) * cv_M/cv_F * Forces_APPURT[[#This Row],[Gamma Fa 180]] * Calculations_APPURT[[#This Row],[Lateral Offset]]/12</f>
        <v>0</v>
      </c>
      <c r="RP16" s="338">
        <f>IFERROR(1/Calculations_APPURT[[#This Row],[Brackets]],0) * cv_M/cv_F * Forces_APPURT[[#This Row],[Gamma Fa 210]] * Calculations_APPURT[[#This Row],[Lateral Offset]]/12</f>
        <v>0</v>
      </c>
      <c r="RQ16" s="338">
        <f>IFERROR(1/Calculations_APPURT[[#This Row],[Brackets]],0) * cv_M/cv_F * Forces_APPURT[[#This Row],[Gamma Fa 225]] * Calculations_APPURT[[#This Row],[Lateral Offset]]/12</f>
        <v>0</v>
      </c>
      <c r="RR16" s="338">
        <f>IFERROR(1/Calculations_APPURT[[#This Row],[Brackets]],0) * cv_M/cv_F * Forces_APPURT[[#This Row],[Gamma Fa 240]] * Calculations_APPURT[[#This Row],[Lateral Offset]]/12</f>
        <v>0</v>
      </c>
      <c r="RS16" s="338">
        <f>IFERROR(1/Calculations_APPURT[[#This Row],[Brackets]],0) * cv_M/cv_F * Forces_APPURT[[#This Row],[Gamma Fa 270]] * Calculations_APPURT[[#This Row],[Lateral Offset]]/12</f>
        <v>0</v>
      </c>
      <c r="RT16" s="338">
        <f>IFERROR(1/Calculations_APPURT[[#This Row],[Brackets]],0) * cv_M/cv_F * Forces_APPURT[[#This Row],[Gamma Fa 300]] * Calculations_APPURT[[#This Row],[Lateral Offset]]/12</f>
        <v>0</v>
      </c>
      <c r="RU16" s="338">
        <f>IFERROR(1/Calculations_APPURT[[#This Row],[Brackets]],0) * cv_M/cv_F * Forces_APPURT[[#This Row],[Gamma Fa 315]] * Calculations_APPURT[[#This Row],[Lateral Offset]]/12</f>
        <v>0</v>
      </c>
      <c r="RV16" s="338">
        <f>IFERROR(1/Calculations_APPURT[[#This Row],[Brackets]],0) * cv_M/cv_F * Forces_APPURT[[#This Row],[Gamma Fa 330]] * Calculations_APPURT[[#This Row],[Lateral Offset]]/12</f>
        <v>0</v>
      </c>
      <c r="RW16" s="276">
        <f>IFERROR(1/Calculations_APPURT[[#This Row],[Brackets]],0) * cv_M/cv_F * Forces_APPURT[[#This Row],[Delta Fa 0]] * Calculations_APPURT[[#This Row],[Lateral Offset]]/12</f>
        <v>0</v>
      </c>
      <c r="RX16" s="276">
        <f>IFERROR(1/Calculations_APPURT[[#This Row],[Brackets]],0) * cv_M/cv_F * Forces_APPURT[[#This Row],[Delta Fa 30]] * Calculations_APPURT[[#This Row],[Lateral Offset]]/12</f>
        <v>0</v>
      </c>
      <c r="RY16" s="276">
        <f>IFERROR(1/Calculations_APPURT[[#This Row],[Brackets]],0) * cv_M/cv_F * Forces_APPURT[[#This Row],[Delta Fa 45]] * Calculations_APPURT[[#This Row],[Lateral Offset]]/12</f>
        <v>0</v>
      </c>
      <c r="RZ16" s="276">
        <f>IFERROR(1/Calculations_APPURT[[#This Row],[Brackets]],0) * cv_M/cv_F * Forces_APPURT[[#This Row],[Delta Fa 60]] * Calculations_APPURT[[#This Row],[Lateral Offset]]/12</f>
        <v>0</v>
      </c>
      <c r="SA16" s="276">
        <f>IFERROR(1/Calculations_APPURT[[#This Row],[Brackets]],0) * cv_M/cv_F * Forces_APPURT[[#This Row],[Delta Fa 90]] * Calculations_APPURT[[#This Row],[Lateral Offset]]/12</f>
        <v>0</v>
      </c>
      <c r="SB16" s="276">
        <f>IFERROR(1/Calculations_APPURT[[#This Row],[Brackets]],0) * cv_M/cv_F * Forces_APPURT[[#This Row],[Delta Fa 120]] * Calculations_APPURT[[#This Row],[Lateral Offset]]/12</f>
        <v>0</v>
      </c>
      <c r="SC16" s="276">
        <f>IFERROR(1/Calculations_APPURT[[#This Row],[Brackets]],0) * cv_M/cv_F * Forces_APPURT[[#This Row],[Delta Fa 135]] * Calculations_APPURT[[#This Row],[Lateral Offset]]/12</f>
        <v>0</v>
      </c>
      <c r="SD16" s="276">
        <f>IFERROR(1/Calculations_APPURT[[#This Row],[Brackets]],0) * cv_M/cv_F * Forces_APPURT[[#This Row],[Delta Fa 150]] * Calculations_APPURT[[#This Row],[Lateral Offset]]/12</f>
        <v>0</v>
      </c>
      <c r="SE16" s="276">
        <f>IFERROR(1/Calculations_APPURT[[#This Row],[Brackets]],0) * cv_M/cv_F * Forces_APPURT[[#This Row],[Delta Fa 180]] * Calculations_APPURT[[#This Row],[Lateral Offset]]/12</f>
        <v>0</v>
      </c>
      <c r="SF16" s="276">
        <f>IFERROR(1/Calculations_APPURT[[#This Row],[Brackets]],0) * cv_M/cv_F * Forces_APPURT[[#This Row],[Delta Fa 210]] * Calculations_APPURT[[#This Row],[Lateral Offset]]/12</f>
        <v>0</v>
      </c>
      <c r="SG16" s="276">
        <f>IFERROR(1/Calculations_APPURT[[#This Row],[Brackets]],0) * cv_M/cv_F * Forces_APPURT[[#This Row],[Delta Fa 225]] * Calculations_APPURT[[#This Row],[Lateral Offset]]/12</f>
        <v>0</v>
      </c>
      <c r="SH16" s="276">
        <f>IFERROR(1/Calculations_APPURT[[#This Row],[Brackets]],0) * cv_M/cv_F * Forces_APPURT[[#This Row],[Delta Fa 240]] * Calculations_APPURT[[#This Row],[Lateral Offset]]/12</f>
        <v>0</v>
      </c>
      <c r="SI16" s="276">
        <f>IFERROR(1/Calculations_APPURT[[#This Row],[Brackets]],0) * cv_M/cv_F * Forces_APPURT[[#This Row],[Delta Fa 270]] * Calculations_APPURT[[#This Row],[Lateral Offset]]/12</f>
        <v>0</v>
      </c>
      <c r="SJ16" s="276">
        <f>IFERROR(1/Calculations_APPURT[[#This Row],[Brackets]],0) * cv_M/cv_F * Forces_APPURT[[#This Row],[Delta Fa 300]] * Calculations_APPURT[[#This Row],[Lateral Offset]]/12</f>
        <v>0</v>
      </c>
      <c r="SK16" s="276">
        <f>IFERROR(1/Calculations_APPURT[[#This Row],[Brackets]],0) * cv_M/cv_F * Forces_APPURT[[#This Row],[Delta Fa 315]] * Calculations_APPURT[[#This Row],[Lateral Offset]]/12</f>
        <v>0</v>
      </c>
      <c r="SL16" s="276">
        <f>IFERROR(1/Calculations_APPURT[[#This Row],[Brackets]],0) * cv_M/cv_F * Forces_APPURT[[#This Row],[Delta Fa 330]] * Calculations_APPURT[[#This Row],[Lateral Offset]]/12</f>
        <v>0</v>
      </c>
      <c r="SM16" s="338">
        <f>IFERROR(1/Calculations_APPURT[[#This Row],[Brackets]],0) * cv_M/cv_F * Forces_APPURT[[#This Row],[Alpha Fai 0]] * Calculations_APPURT[[#This Row],[Lateral Offset]]/12</f>
        <v>0</v>
      </c>
      <c r="SN16" s="338">
        <f>IFERROR(1/Calculations_APPURT[[#This Row],[Brackets]],0) * cv_M/cv_F * Forces_APPURT[[#This Row],[Alpha Fai 30]] * Calculations_APPURT[[#This Row],[Lateral Offset]]/12</f>
        <v>0</v>
      </c>
      <c r="SO16" s="338">
        <f>IFERROR(1/Calculations_APPURT[[#This Row],[Brackets]],0) * cv_M/cv_F * Forces_APPURT[[#This Row],[Alpha Fai 45]] * Calculations_APPURT[[#This Row],[Lateral Offset]]/12</f>
        <v>0</v>
      </c>
      <c r="SP16" s="338">
        <f>IFERROR(1/Calculations_APPURT[[#This Row],[Brackets]],0) * cv_M/cv_F * Forces_APPURT[[#This Row],[Alpha Fai 60]] * Calculations_APPURT[[#This Row],[Lateral Offset]]/12</f>
        <v>0</v>
      </c>
      <c r="SQ16" s="338">
        <f>IFERROR(1/Calculations_APPURT[[#This Row],[Brackets]],0) * cv_M/cv_F * Forces_APPURT[[#This Row],[Alpha Fai 90]] * Calculations_APPURT[[#This Row],[Lateral Offset]]/12</f>
        <v>0</v>
      </c>
      <c r="SR16" s="338">
        <f>IFERROR(1/Calculations_APPURT[[#This Row],[Brackets]],0) * cv_M/cv_F * Forces_APPURT[[#This Row],[Alpha Fai 120]] * Calculations_APPURT[[#This Row],[Lateral Offset]]/12</f>
        <v>0</v>
      </c>
      <c r="SS16" s="338">
        <f>IFERROR(1/Calculations_APPURT[[#This Row],[Brackets]],0) * cv_M/cv_F * Forces_APPURT[[#This Row],[Alpha Fai 135]] * Calculations_APPURT[[#This Row],[Lateral Offset]]/12</f>
        <v>0</v>
      </c>
      <c r="ST16" s="338">
        <f>IFERROR(1/Calculations_APPURT[[#This Row],[Brackets]],0) * cv_M/cv_F * Forces_APPURT[[#This Row],[Alpha Fai 150]] * Calculations_APPURT[[#This Row],[Lateral Offset]]/12</f>
        <v>0</v>
      </c>
      <c r="SU16" s="338">
        <f>IFERROR(1/Calculations_APPURT[[#This Row],[Brackets]],0) * cv_M/cv_F * Forces_APPURT[[#This Row],[Alpha Fai 180]] * Calculations_APPURT[[#This Row],[Lateral Offset]]/12</f>
        <v>0</v>
      </c>
      <c r="SV16" s="338">
        <f>IFERROR(1/Calculations_APPURT[[#This Row],[Brackets]],0) * cv_M/cv_F * Forces_APPURT[[#This Row],[Alpha Fai 210]] * Calculations_APPURT[[#This Row],[Lateral Offset]]/12</f>
        <v>0</v>
      </c>
      <c r="SW16" s="338">
        <f>IFERROR(1/Calculations_APPURT[[#This Row],[Brackets]],0) * cv_M/cv_F * Forces_APPURT[[#This Row],[Alpha Fai 225]] * Calculations_APPURT[[#This Row],[Lateral Offset]]/12</f>
        <v>0</v>
      </c>
      <c r="SX16" s="338">
        <f>IFERROR(1/Calculations_APPURT[[#This Row],[Brackets]],0) * cv_M/cv_F * Forces_APPURT[[#This Row],[Alpha Fai 240]] * Calculations_APPURT[[#This Row],[Lateral Offset]]/12</f>
        <v>0</v>
      </c>
      <c r="SY16" s="338">
        <f>IFERROR(1/Calculations_APPURT[[#This Row],[Brackets]],0) * cv_M/cv_F * Forces_APPURT[[#This Row],[Alpha Fai 270]] * Calculations_APPURT[[#This Row],[Lateral Offset]]/12</f>
        <v>0</v>
      </c>
      <c r="SZ16" s="338">
        <f>IFERROR(1/Calculations_APPURT[[#This Row],[Brackets]],0) * cv_M/cv_F * Forces_APPURT[[#This Row],[Alpha Fai 300]] * Calculations_APPURT[[#This Row],[Lateral Offset]]/12</f>
        <v>0</v>
      </c>
      <c r="TA16" s="338">
        <f>IFERROR(1/Calculations_APPURT[[#This Row],[Brackets]],0) * cv_M/cv_F * Forces_APPURT[[#This Row],[Alpha Fai 315]] * Calculations_APPURT[[#This Row],[Lateral Offset]]/12</f>
        <v>0</v>
      </c>
      <c r="TB16" s="338">
        <f>IFERROR(1/Calculations_APPURT[[#This Row],[Brackets]],0) * cv_M/cv_F * Forces_APPURT[[#This Row],[Alpha Fai 330]] * Calculations_APPURT[[#This Row],[Lateral Offset]]/12</f>
        <v>0</v>
      </c>
      <c r="TC16" s="276">
        <f>IFERROR(1/Calculations_APPURT[[#This Row],[Brackets]],0) * cv_M/cv_F * Forces_APPURT[[#This Row],[Beta Fai 0]] * Calculations_APPURT[[#This Row],[Lateral Offset]]/12</f>
        <v>0</v>
      </c>
      <c r="TD16" s="276">
        <f>IFERROR(1/Calculations_APPURT[[#This Row],[Brackets]],0) * cv_M/cv_F * Forces_APPURT[[#This Row],[Beta Fai 30]] * Calculations_APPURT[[#This Row],[Lateral Offset]]/12</f>
        <v>0</v>
      </c>
      <c r="TE16" s="276">
        <f>IFERROR(1/Calculations_APPURT[[#This Row],[Brackets]],0) * cv_M/cv_F * Forces_APPURT[[#This Row],[Beta Fai 45]] * Calculations_APPURT[[#This Row],[Lateral Offset]]/12</f>
        <v>0</v>
      </c>
      <c r="TF16" s="276">
        <f>IFERROR(1/Calculations_APPURT[[#This Row],[Brackets]],0) * cv_M/cv_F * Forces_APPURT[[#This Row],[Beta Fai 60]] * Calculations_APPURT[[#This Row],[Lateral Offset]]/12</f>
        <v>0</v>
      </c>
      <c r="TG16" s="276">
        <f>IFERROR(1/Calculations_APPURT[[#This Row],[Brackets]],0) * cv_M/cv_F * Forces_APPURT[[#This Row],[Beta Fai 90]] * Calculations_APPURT[[#This Row],[Lateral Offset]]/12</f>
        <v>0</v>
      </c>
      <c r="TH16" s="276">
        <f>IFERROR(1/Calculations_APPURT[[#This Row],[Brackets]],0) * cv_M/cv_F * Forces_APPURT[[#This Row],[Beta Fai 120]] * Calculations_APPURT[[#This Row],[Lateral Offset]]/12</f>
        <v>0</v>
      </c>
      <c r="TI16" s="276">
        <f>IFERROR(1/Calculations_APPURT[[#This Row],[Brackets]],0) * cv_M/cv_F * Forces_APPURT[[#This Row],[Beta Fai 135]] * Calculations_APPURT[[#This Row],[Lateral Offset]]/12</f>
        <v>0</v>
      </c>
      <c r="TJ16" s="276">
        <f>IFERROR(1/Calculations_APPURT[[#This Row],[Brackets]],0) * cv_M/cv_F * Forces_APPURT[[#This Row],[Beta Fai 150]] * Calculations_APPURT[[#This Row],[Lateral Offset]]/12</f>
        <v>0</v>
      </c>
      <c r="TK16" s="276">
        <f>IFERROR(1/Calculations_APPURT[[#This Row],[Brackets]],0) * cv_M/cv_F * Forces_APPURT[[#This Row],[Beta Fai 180]] * Calculations_APPURT[[#This Row],[Lateral Offset]]/12</f>
        <v>0</v>
      </c>
      <c r="TL16" s="276">
        <f>IFERROR(1/Calculations_APPURT[[#This Row],[Brackets]],0) * cv_M/cv_F * Forces_APPURT[[#This Row],[Beta Fai 210]] * Calculations_APPURT[[#This Row],[Lateral Offset]]/12</f>
        <v>0</v>
      </c>
      <c r="TM16" s="276">
        <f>IFERROR(1/Calculations_APPURT[[#This Row],[Brackets]],0) * cv_M/cv_F * Forces_APPURT[[#This Row],[Beta Fai 225]] * Calculations_APPURT[[#This Row],[Lateral Offset]]/12</f>
        <v>0</v>
      </c>
      <c r="TN16" s="276">
        <f>IFERROR(1/Calculations_APPURT[[#This Row],[Brackets]],0) * cv_M/cv_F * Forces_APPURT[[#This Row],[Beta Fai 240]] * Calculations_APPURT[[#This Row],[Lateral Offset]]/12</f>
        <v>0</v>
      </c>
      <c r="TO16" s="276">
        <f>IFERROR(1/Calculations_APPURT[[#This Row],[Brackets]],0) * cv_M/cv_F * Forces_APPURT[[#This Row],[Beta Fai 270]] * Calculations_APPURT[[#This Row],[Lateral Offset]]/12</f>
        <v>0</v>
      </c>
      <c r="TP16" s="276">
        <f>IFERROR(1/Calculations_APPURT[[#This Row],[Brackets]],0) * cv_M/cv_F * Forces_APPURT[[#This Row],[Beta Fai 300]] * Calculations_APPURT[[#This Row],[Lateral Offset]]/12</f>
        <v>0</v>
      </c>
      <c r="TQ16" s="276">
        <f>IFERROR(1/Calculations_APPURT[[#This Row],[Brackets]],0) * cv_M/cv_F * Forces_APPURT[[#This Row],[Beta Fai 315]] * Calculations_APPURT[[#This Row],[Lateral Offset]]/12</f>
        <v>0</v>
      </c>
      <c r="TR16" s="276">
        <f>IFERROR(1/Calculations_APPURT[[#This Row],[Brackets]],0) * cv_M/cv_F * Forces_APPURT[[#This Row],[Beta Fai 330]] * Calculations_APPURT[[#This Row],[Lateral Offset]]/12</f>
        <v>0</v>
      </c>
      <c r="TS16" s="338">
        <f>IFERROR(1/Calculations_APPURT[[#This Row],[Brackets]],0) * cv_M/cv_F * Forces_APPURT[[#This Row],[Gamma Fai 0]] * Calculations_APPURT[[#This Row],[Lateral Offset]]/12</f>
        <v>0</v>
      </c>
      <c r="TT16" s="338">
        <f>IFERROR(1/Calculations_APPURT[[#This Row],[Brackets]],0) * cv_M/cv_F * Forces_APPURT[[#This Row],[Gamma Fai 30]] * Calculations_APPURT[[#This Row],[Lateral Offset]]/12</f>
        <v>0</v>
      </c>
      <c r="TU16" s="338">
        <f>IFERROR(1/Calculations_APPURT[[#This Row],[Brackets]],0) * cv_M/cv_F * Forces_APPURT[[#This Row],[Gamma Fai 45]] * Calculations_APPURT[[#This Row],[Lateral Offset]]/12</f>
        <v>0</v>
      </c>
      <c r="TV16" s="338">
        <f>IFERROR(1/Calculations_APPURT[[#This Row],[Brackets]],0) * cv_M/cv_F * Forces_APPURT[[#This Row],[Gamma Fai 60]] * Calculations_APPURT[[#This Row],[Lateral Offset]]/12</f>
        <v>0</v>
      </c>
      <c r="TW16" s="338">
        <f>IFERROR(1/Calculations_APPURT[[#This Row],[Brackets]],0) * cv_M/cv_F * Forces_APPURT[[#This Row],[Gamma Fai 90]] * Calculations_APPURT[[#This Row],[Lateral Offset]]/12</f>
        <v>0</v>
      </c>
      <c r="TX16" s="338">
        <f>IFERROR(1/Calculations_APPURT[[#This Row],[Brackets]],0) * cv_M/cv_F * Forces_APPURT[[#This Row],[Gamma Fai 120]] * Calculations_APPURT[[#This Row],[Lateral Offset]]/12</f>
        <v>0</v>
      </c>
      <c r="TY16" s="338">
        <f>IFERROR(1/Calculations_APPURT[[#This Row],[Brackets]],0) * cv_M/cv_F * Forces_APPURT[[#This Row],[Gamma Fai 135]] * Calculations_APPURT[[#This Row],[Lateral Offset]]/12</f>
        <v>0</v>
      </c>
      <c r="TZ16" s="338">
        <f>IFERROR(1/Calculations_APPURT[[#This Row],[Brackets]],0) * cv_M/cv_F * Forces_APPURT[[#This Row],[Gamma Fai 150]] * Calculations_APPURT[[#This Row],[Lateral Offset]]/12</f>
        <v>0</v>
      </c>
      <c r="UA16" s="338">
        <f>IFERROR(1/Calculations_APPURT[[#This Row],[Brackets]],0) * cv_M/cv_F * Forces_APPURT[[#This Row],[Gamma Fai 180]] * Calculations_APPURT[[#This Row],[Lateral Offset]]/12</f>
        <v>0</v>
      </c>
      <c r="UB16" s="338">
        <f>IFERROR(1/Calculations_APPURT[[#This Row],[Brackets]],0) * cv_M/cv_F * Forces_APPURT[[#This Row],[Gamma Fai 210]] * Calculations_APPURT[[#This Row],[Lateral Offset]]/12</f>
        <v>0</v>
      </c>
      <c r="UC16" s="338">
        <f>IFERROR(1/Calculations_APPURT[[#This Row],[Brackets]],0) * cv_M/cv_F * Forces_APPURT[[#This Row],[Gamma Fai 225]] * Calculations_APPURT[[#This Row],[Lateral Offset]]/12</f>
        <v>0</v>
      </c>
      <c r="UD16" s="338">
        <f>IFERROR(1/Calculations_APPURT[[#This Row],[Brackets]],0) * cv_M/cv_F * Forces_APPURT[[#This Row],[Gamma Fai 240]] * Calculations_APPURT[[#This Row],[Lateral Offset]]/12</f>
        <v>0</v>
      </c>
      <c r="UE16" s="338">
        <f>IFERROR(1/Calculations_APPURT[[#This Row],[Brackets]],0) * cv_M/cv_F * Forces_APPURT[[#This Row],[Gamma Fai 270]] * Calculations_APPURT[[#This Row],[Lateral Offset]]/12</f>
        <v>0</v>
      </c>
      <c r="UF16" s="338">
        <f>IFERROR(1/Calculations_APPURT[[#This Row],[Brackets]],0) * cv_M/cv_F * Forces_APPURT[[#This Row],[Gamma Fai 300]] * Calculations_APPURT[[#This Row],[Lateral Offset]]/12</f>
        <v>0</v>
      </c>
      <c r="UG16" s="338">
        <f>IFERROR(1/Calculations_APPURT[[#This Row],[Brackets]],0) * cv_M/cv_F * Forces_APPURT[[#This Row],[Gamma Fai 315]] * Calculations_APPURT[[#This Row],[Lateral Offset]]/12</f>
        <v>0</v>
      </c>
      <c r="UH16" s="338">
        <f>IFERROR(1/Calculations_APPURT[[#This Row],[Brackets]],0) * cv_M/cv_F * Forces_APPURT[[#This Row],[Gamma Fai 330]] * Calculations_APPURT[[#This Row],[Lateral Offset]]/12</f>
        <v>0</v>
      </c>
      <c r="UI16" s="276">
        <f>IFERROR(1/Calculations_APPURT[[#This Row],[Brackets]],0) * cv_M/cv_F * Forces_APPURT[[#This Row],[Delta Fai 0]] * Calculations_APPURT[[#This Row],[Lateral Offset]]/12</f>
        <v>0</v>
      </c>
      <c r="UJ16" s="276">
        <f>IFERROR(1/Calculations_APPURT[[#This Row],[Brackets]],0) * cv_M/cv_F * Forces_APPURT[[#This Row],[Delta Fai 30]] * Calculations_APPURT[[#This Row],[Lateral Offset]]/12</f>
        <v>0</v>
      </c>
      <c r="UK16" s="276">
        <f>IFERROR(1/Calculations_APPURT[[#This Row],[Brackets]],0) * cv_M/cv_F * Forces_APPURT[[#This Row],[Delta Fai 45]] * Calculations_APPURT[[#This Row],[Lateral Offset]]/12</f>
        <v>0</v>
      </c>
      <c r="UL16" s="276">
        <f>IFERROR(1/Calculations_APPURT[[#This Row],[Brackets]],0) * cv_M/cv_F * Forces_APPURT[[#This Row],[Delta Fai 60]] * Calculations_APPURT[[#This Row],[Lateral Offset]]/12</f>
        <v>0</v>
      </c>
      <c r="UM16" s="276">
        <f>IFERROR(1/Calculations_APPURT[[#This Row],[Brackets]],0) * cv_M/cv_F * Forces_APPURT[[#This Row],[Delta Fai 90]] * Calculations_APPURT[[#This Row],[Lateral Offset]]/12</f>
        <v>0</v>
      </c>
      <c r="UN16" s="276">
        <f>IFERROR(1/Calculations_APPURT[[#This Row],[Brackets]],0) * cv_M/cv_F * Forces_APPURT[[#This Row],[Delta Fai 120]] * Calculations_APPURT[[#This Row],[Lateral Offset]]/12</f>
        <v>0</v>
      </c>
      <c r="UO16" s="276">
        <f>IFERROR(1/Calculations_APPURT[[#This Row],[Brackets]],0) * cv_M/cv_F * Forces_APPURT[[#This Row],[Delta Fai 135]] * Calculations_APPURT[[#This Row],[Lateral Offset]]/12</f>
        <v>0</v>
      </c>
      <c r="UP16" s="276">
        <f>IFERROR(1/Calculations_APPURT[[#This Row],[Brackets]],0) * cv_M/cv_F * Forces_APPURT[[#This Row],[Delta Fai 150]] * Calculations_APPURT[[#This Row],[Lateral Offset]]/12</f>
        <v>0</v>
      </c>
      <c r="UQ16" s="276">
        <f>IFERROR(1/Calculations_APPURT[[#This Row],[Brackets]],0) * cv_M/cv_F * Forces_APPURT[[#This Row],[Delta Fai 180]] * Calculations_APPURT[[#This Row],[Lateral Offset]]/12</f>
        <v>0</v>
      </c>
      <c r="UR16" s="276">
        <f>IFERROR(1/Calculations_APPURT[[#This Row],[Brackets]],0) * cv_M/cv_F * Forces_APPURT[[#This Row],[Delta Fai 210]] * Calculations_APPURT[[#This Row],[Lateral Offset]]/12</f>
        <v>0</v>
      </c>
      <c r="US16" s="276">
        <f>IFERROR(1/Calculations_APPURT[[#This Row],[Brackets]],0) * cv_M/cv_F * Forces_APPURT[[#This Row],[Delta Fai 225]] * Calculations_APPURT[[#This Row],[Lateral Offset]]/12</f>
        <v>0</v>
      </c>
      <c r="UT16" s="276">
        <f>IFERROR(1/Calculations_APPURT[[#This Row],[Brackets]],0) * cv_M/cv_F * Forces_APPURT[[#This Row],[Delta Fai 240]] * Calculations_APPURT[[#This Row],[Lateral Offset]]/12</f>
        <v>0</v>
      </c>
      <c r="UU16" s="276">
        <f>IFERROR(1/Calculations_APPURT[[#This Row],[Brackets]],0) * cv_M/cv_F * Forces_APPURT[[#This Row],[Delta Fai 270]] * Calculations_APPURT[[#This Row],[Lateral Offset]]/12</f>
        <v>0</v>
      </c>
      <c r="UV16" s="276">
        <f>IFERROR(1/Calculations_APPURT[[#This Row],[Brackets]],0) * cv_M/cv_F * Forces_APPURT[[#This Row],[Delta Fai 300]] * Calculations_APPURT[[#This Row],[Lateral Offset]]/12</f>
        <v>0</v>
      </c>
      <c r="UW16" s="276">
        <f>IFERROR(1/Calculations_APPURT[[#This Row],[Brackets]],0) * cv_M/cv_F * Forces_APPURT[[#This Row],[Delta Fai 315]] * Calculations_APPURT[[#This Row],[Lateral Offset]]/12</f>
        <v>0</v>
      </c>
      <c r="UX16" s="276">
        <f>IFERROR(1/Calculations_APPURT[[#This Row],[Brackets]],0) * cv_M/cv_F * Forces_APPURT[[#This Row],[Delta Fai 330]] * Calculations_APPURT[[#This Row],[Lateral Offset]]/12</f>
        <v>0</v>
      </c>
      <c r="UY16" s="338">
        <f>Dimensions_APPURT[[#This Row],[Weight (lbf)]] * cv_F * AlphaSector[[#This Row],[Quantity]]</f>
        <v>0</v>
      </c>
      <c r="UZ16" s="338">
        <f>Dimensions_APPURT[[#This Row],[Weight (lbf)]] * cv_F * BetaSector[[#This Row],[Quantity]]</f>
        <v>0</v>
      </c>
      <c r="VA16" s="338">
        <f>Dimensions_APPURT[[#This Row],[Weight (lbf)]] * cv_F * GammaSector[[#This Row],[Quantity]]</f>
        <v>0</v>
      </c>
      <c r="VB16" s="338">
        <f>Dimensions_APPURT[[#This Row],[Weight (lbf)]] * cv_F * DeltaSector[[#This Row],[Quantity]]</f>
        <v>0</v>
      </c>
      <c r="VC16" s="209">
        <f>Dimensions_APPURT[[#This Row],[Weight (lbf)]] * cv_M * AlphaSector[[#This Row],[Quantity]] * Calculations_APPURT[[#This Row],[Horizontal Offset]]/12</f>
        <v>0</v>
      </c>
      <c r="VD16" s="209">
        <f>Dimensions_APPURT[[#This Row],[Weight (lbf)]] * cv_M * BetaSector[[#This Row],[Quantity]] * Calculations_APPURT[[#This Row],[Horizontal Offset]]/12</f>
        <v>0</v>
      </c>
      <c r="VE16" s="209">
        <f>Dimensions_APPURT[[#This Row],[Weight (lbf)]] * cv_M * GammaSector[[#This Row],[Quantity]] * Calculations_APPURT[[#This Row],[Horizontal Offset]]/12</f>
        <v>0</v>
      </c>
      <c r="VF16" s="209">
        <f>Dimensions_APPURT[[#This Row],[Weight (lbf)]] * cv_M * DeltaSector[[#This Row],[Quantity]] * Calculations_APPURT[[#This Row],[Horizontal Offset]]/12</f>
        <v>0</v>
      </c>
      <c r="VG16" s="338">
        <f>Hazards_APPURT[[#This Row],[Ice Weight]] * cv_F * AlphaSector[[#This Row],[Quantity]]</f>
        <v>0</v>
      </c>
      <c r="VH16" s="338">
        <f>Hazards_APPURT[[#This Row],[Ice Weight]] * cv_F * BetaSector[[#This Row],[Quantity]]</f>
        <v>0</v>
      </c>
      <c r="VI16" s="338">
        <f>Hazards_APPURT[[#This Row],[Ice Weight]] * cv_F * GammaSector[[#This Row],[Quantity]]</f>
        <v>0</v>
      </c>
      <c r="VJ16" s="338">
        <f>Hazards_APPURT[[#This Row],[Ice Weight]] * cv_F * DeltaSector[[#This Row],[Quantity]]</f>
        <v>0</v>
      </c>
      <c r="VK16" s="209">
        <f>Hazards_APPURT[[#This Row],[Ice Weight]] * cv_M * AlphaSector[[#This Row],[Quantity]] * Calculations_APPURT[[#This Row],[Horizontal Offset]]/12</f>
        <v>0</v>
      </c>
      <c r="VL16" s="209">
        <f>Hazards_APPURT[[#This Row],[Ice Weight]] * cv_M * BetaSector[[#This Row],[Quantity]] * Calculations_APPURT[[#This Row],[Horizontal Offset]]/12</f>
        <v>0</v>
      </c>
      <c r="VM16" s="209">
        <f>Hazards_APPURT[[#This Row],[Ice Weight]] * cv_M * GammaSector[[#This Row],[Quantity]] * Calculations_APPURT[[#This Row],[Horizontal Offset]]/12</f>
        <v>0</v>
      </c>
      <c r="VN16" s="209">
        <f>Hazards_APPURT[[#This Row],[Ice Weight]] * cv_M * DeltaSector[[#This Row],[Quantity]] * Calculations_APPURT[[#This Row],[Horizontal Offset]]/12</f>
        <v>0</v>
      </c>
    </row>
    <row r="17" spans="1:586" ht="15" customHeight="1" x14ac:dyDescent="0.2">
      <c r="A17" s="69"/>
      <c r="E17" s="265"/>
      <c r="L17" s="69"/>
      <c r="R17" s="70"/>
      <c r="T17" s="69"/>
      <c r="V17" s="71"/>
      <c r="W17" s="69"/>
      <c r="X17" s="71"/>
      <c r="Y17" s="69"/>
      <c r="Z17" s="70"/>
      <c r="AB17" s="69"/>
      <c r="AD17" s="71"/>
      <c r="AE17" s="69"/>
      <c r="AF17" s="71"/>
      <c r="AG17" s="69"/>
      <c r="AH17" s="70"/>
      <c r="AJ17" s="69"/>
      <c r="AL17" s="71"/>
      <c r="AM17" s="69"/>
      <c r="AN17" s="71"/>
      <c r="AO17" s="69"/>
      <c r="AP17" s="70"/>
      <c r="AR17" s="69"/>
      <c r="AV17" s="277" cm="1">
        <f t="array" ref="AV17">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7" s="209" cm="1">
        <f t="array" ref="AW17">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7" s="209" cm="1">
        <f t="array" ref="AX17">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7" s="209" cm="1">
        <f t="array" ref="AY17">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7"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7" s="209" cm="1">
        <f t="array" ref="BA17">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7" s="209">
        <f>IF(OR(Calculations_APPURT[[#This Row],[Shape]]="CFD",Calculations_APPURT[[#This Row],[Shape]]="CCI"),1,0.95)</f>
        <v>0.95</v>
      </c>
      <c r="BC17" s="209" cm="1">
        <f t="array" ref="BC17">0.00256 * Hazards_APPURT[[#This Row],[Kz]] * Kzt * Ks * I.wind * V^2 * IF(RIGHT(TIA,1)="G",1,Ke) * IF(OR(Calculations_APPURT[[#This Row],[Shape]]="CFD",Calculations_APPURT[[#This Row],[Shape]]="CCI"),1, Hazards_APPURT[[#This Row],[Kd]]) * Gh</f>
        <v>0</v>
      </c>
      <c r="BD17" s="209">
        <f>IF(Risk="I",0,MIN(((z+Calculations_APPURT[[#This Row],[Vertical Offset]]/12)/33)^(0.1),1.4))</f>
        <v>0</v>
      </c>
      <c r="BE17" s="209" cm="1">
        <f t="array" ref="BE17">IF(Risk="I",0,IF(TIA="ANSI/TIA-222-G",2,1*Kes.i)*ti*I.ice*Hazards_APPURT[[#This Row],[Kiz]]*(Kzt/Ks)^(0.35))</f>
        <v>0</v>
      </c>
      <c r="BF17" s="209" cm="1">
        <f t="array" ref="BF17">0.00256 * Hazards_APPURT[[#This Row],[Kz]] * Kzt * Ks * I.wind * Vi^2 * IF(RIGHT(TIA,1)="G",1,Ke) * IF(OR(Calculations_APPURT[[#This Row],[Shape]]="CFD",Calculations_APPURT[[#This Row],[Shape]]="CCI"),1, Kd) * Gh</f>
        <v>0</v>
      </c>
      <c r="BG17"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7"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7"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7"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7"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7"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7"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7"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7"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7"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7"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7"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7"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7"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7"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7"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7"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7"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7"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7"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7"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7"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7"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7"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7"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7"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7"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7"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7"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7"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7"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7"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7"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7"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7"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7"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7"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7"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7"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7"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7"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7"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7"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7"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7"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7"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7"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7"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7"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7"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7"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7"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7"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7"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7"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7"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7"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7"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7"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7"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7"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7"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7"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7"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7" s="276">
        <f>IFERROR(1/Calculations_APPURT[[#This Row],[Brackets]],0) * cv_F * AlphaSector[[#This Row],[Quantity]] * Hazards_APPURT[[#This Row],[qz]] * CaAa_APPURT[[#This Row],[Alpha 0]] * IF(Calculations_APPURT[[#This Row],[Shape]]="CFD",1, Ka)</f>
        <v>0</v>
      </c>
      <c r="GF17" s="276">
        <f>IFERROR(1/Calculations_APPURT[[#This Row],[Brackets]],0) * cv_F * AlphaSector[[#This Row],[Quantity]] * Hazards_APPURT[[#This Row],[qz]] * CaAa_APPURT[[#This Row],[Alpha 30]] * IF(Calculations_APPURT[[#This Row],[Shape]]="CFD",1, Ka)</f>
        <v>0</v>
      </c>
      <c r="GG17" s="276">
        <f>IFERROR(1/Calculations_APPURT[[#This Row],[Brackets]],0) * cv_F * AlphaSector[[#This Row],[Quantity]] * Hazards_APPURT[[#This Row],[qz]] * CaAa_APPURT[[#This Row],[Alpha 45]] * IF(Calculations_APPURT[[#This Row],[Shape]]="CFD",1, Ka)</f>
        <v>0</v>
      </c>
      <c r="GH17" s="276">
        <f>IFERROR(1/Calculations_APPURT[[#This Row],[Brackets]],0) * cv_F * AlphaSector[[#This Row],[Quantity]] * Hazards_APPURT[[#This Row],[qz]] * CaAa_APPURT[[#This Row],[Alpha 60]] * IF(Calculations_APPURT[[#This Row],[Shape]]="CFD",1, Ka)</f>
        <v>0</v>
      </c>
      <c r="GI17" s="276">
        <f>IFERROR(1/Calculations_APPURT[[#This Row],[Brackets]],0) * cv_F * AlphaSector[[#This Row],[Quantity]] * Hazards_APPURT[[#This Row],[qz]] * CaAa_APPURT[[#This Row],[Alpha 90]] * IF(Calculations_APPURT[[#This Row],[Shape]]="CFD",1, Ka)</f>
        <v>0</v>
      </c>
      <c r="GJ17" s="276">
        <f>IFERROR(1/Calculations_APPURT[[#This Row],[Brackets]],0) * cv_F * AlphaSector[[#This Row],[Quantity]] * Hazards_APPURT[[#This Row],[qz]] * CaAa_APPURT[[#This Row],[Alpha 120]] * IF(Calculations_APPURT[[#This Row],[Shape]]="CFD",1, Ka)</f>
        <v>0</v>
      </c>
      <c r="GK17" s="276">
        <f>IFERROR(1/Calculations_APPURT[[#This Row],[Brackets]],0) * cv_F * AlphaSector[[#This Row],[Quantity]] * Hazards_APPURT[[#This Row],[qz]] * CaAa_APPURT[[#This Row],[Alpha 135]] * IF(Calculations_APPURT[[#This Row],[Shape]]="CFD",1, Ka)</f>
        <v>0</v>
      </c>
      <c r="GL17" s="276">
        <f>IFERROR(1/Calculations_APPURT[[#This Row],[Brackets]],0) * cv_F * AlphaSector[[#This Row],[Quantity]] * Hazards_APPURT[[#This Row],[qz]] * CaAa_APPURT[[#This Row],[Alpha 150]] * IF(Calculations_APPURT[[#This Row],[Shape]]="CFD",1, Ka)</f>
        <v>0</v>
      </c>
      <c r="GM17" s="276">
        <f>IFERROR(1/Calculations_APPURT[[#This Row],[Brackets]],0) * cv_F * AlphaSector[[#This Row],[Quantity]] * Hazards_APPURT[[#This Row],[qz]] * CaAa_APPURT[[#This Row],[Alpha 180]] * IF(Calculations_APPURT[[#This Row],[Shape]]="CFD",1, Ka)</f>
        <v>0</v>
      </c>
      <c r="GN17" s="276">
        <f>IFERROR(1/Calculations_APPURT[[#This Row],[Brackets]],0) * cv_F * AlphaSector[[#This Row],[Quantity]] * Hazards_APPURT[[#This Row],[qz]] * CaAa_APPURT[[#This Row],[Alpha 210]] * IF(Calculations_APPURT[[#This Row],[Shape]]="CFD",1, Ka)</f>
        <v>0</v>
      </c>
      <c r="GO17" s="276">
        <f>IFERROR(1/Calculations_APPURT[[#This Row],[Brackets]],0) * cv_F * AlphaSector[[#This Row],[Quantity]] * Hazards_APPURT[[#This Row],[qz]] * CaAa_APPURT[[#This Row],[Alpha 225]] * IF(Calculations_APPURT[[#This Row],[Shape]]="CFD",1, Ka)</f>
        <v>0</v>
      </c>
      <c r="GP17" s="276">
        <f>IFERROR(1/Calculations_APPURT[[#This Row],[Brackets]],0) * cv_F * AlphaSector[[#This Row],[Quantity]] * Hazards_APPURT[[#This Row],[qz]] * CaAa_APPURT[[#This Row],[Alpha 240]] * IF(Calculations_APPURT[[#This Row],[Shape]]="CFD",1, Ka)</f>
        <v>0</v>
      </c>
      <c r="GQ17" s="276">
        <f>IFERROR(1/Calculations_APPURT[[#This Row],[Brackets]],0) * cv_F * AlphaSector[[#This Row],[Quantity]] * Hazards_APPURT[[#This Row],[qz]] * CaAa_APPURT[[#This Row],[Alpha 270]] * IF(Calculations_APPURT[[#This Row],[Shape]]="CFD",1, Ka)</f>
        <v>0</v>
      </c>
      <c r="GR17" s="276">
        <f>IFERROR(1/Calculations_APPURT[[#This Row],[Brackets]],0) * cv_F * AlphaSector[[#This Row],[Quantity]] * Hazards_APPURT[[#This Row],[qz]] * CaAa_APPURT[[#This Row],[Alpha 300]] * IF(Calculations_APPURT[[#This Row],[Shape]]="CFD",1, Ka)</f>
        <v>0</v>
      </c>
      <c r="GS17" s="276">
        <f>IFERROR(1/Calculations_APPURT[[#This Row],[Brackets]],0) * cv_F * AlphaSector[[#This Row],[Quantity]] * Hazards_APPURT[[#This Row],[qz]] * CaAa_APPURT[[#This Row],[Alpha 315]] * IF(Calculations_APPURT[[#This Row],[Shape]]="CFD",1, Ka)</f>
        <v>0</v>
      </c>
      <c r="GT17" s="276">
        <f>IFERROR(1/Calculations_APPURT[[#This Row],[Brackets]],0) * cv_F * AlphaSector[[#This Row],[Quantity]] * Hazards_APPURT[[#This Row],[qz]] * CaAa_APPURT[[#This Row],[Alpha 330]] * IF(Calculations_APPURT[[#This Row],[Shape]]="CFD",1, Ka)</f>
        <v>0</v>
      </c>
      <c r="GU17" s="276">
        <f>IFERROR(1/Calculations_APPURT[[#This Row],[Brackets]],0) * cv_F * BetaSector[[#This Row],[Quantity]] * Hazards_APPURT[[#This Row],[qz]] * CaAa_APPURT[[#This Row],[Beta 0]] * IF(Calculations_APPURT[[#This Row],[Shape]]="CFD",1, Ka)</f>
        <v>0</v>
      </c>
      <c r="GV17" s="276">
        <f>IFERROR(1/Calculations_APPURT[[#This Row],[Brackets]],0) * cv_F * BetaSector[[#This Row],[Quantity]] * Hazards_APPURT[[#This Row],[qz]] * CaAa_APPURT[[#This Row],[Beta 30]] * IF(Calculations_APPURT[[#This Row],[Shape]]="CFD",1, Ka)</f>
        <v>0</v>
      </c>
      <c r="GW17" s="276">
        <f>IFERROR(1/Calculations_APPURT[[#This Row],[Brackets]],0) * cv_F * BetaSector[[#This Row],[Quantity]] * Hazards_APPURT[[#This Row],[qz]] * CaAa_APPURT[[#This Row],[Beta 45]] * IF(Calculations_APPURT[[#This Row],[Shape]]="CFD",1, Ka)</f>
        <v>0</v>
      </c>
      <c r="GX17" s="276">
        <f>IFERROR(1/Calculations_APPURT[[#This Row],[Brackets]],0) * cv_F * BetaSector[[#This Row],[Quantity]] * Hazards_APPURT[[#This Row],[qz]] * CaAa_APPURT[[#This Row],[Beta 60]] * IF(Calculations_APPURT[[#This Row],[Shape]]="CFD",1, Ka)</f>
        <v>0</v>
      </c>
      <c r="GY17" s="276">
        <f>IFERROR(1/Calculations_APPURT[[#This Row],[Brackets]],0) * cv_F * BetaSector[[#This Row],[Quantity]] * Hazards_APPURT[[#This Row],[qz]] * CaAa_APPURT[[#This Row],[Beta 90]] * IF(Calculations_APPURT[[#This Row],[Shape]]="CFD",1, Ka)</f>
        <v>0</v>
      </c>
      <c r="GZ17" s="276">
        <f>IFERROR(1/Calculations_APPURT[[#This Row],[Brackets]],0) * cv_F * BetaSector[[#This Row],[Quantity]] * Hazards_APPURT[[#This Row],[qz]] * CaAa_APPURT[[#This Row],[Beta 120]] * IF(Calculations_APPURT[[#This Row],[Shape]]="CFD",1, Ka)</f>
        <v>0</v>
      </c>
      <c r="HA17" s="276">
        <f>IFERROR(1/Calculations_APPURT[[#This Row],[Brackets]],0) * cv_F * BetaSector[[#This Row],[Quantity]] * Hazards_APPURT[[#This Row],[qz]] * CaAa_APPURT[[#This Row],[Beta 135]] * IF(Calculations_APPURT[[#This Row],[Shape]]="CFD",1, Ka)</f>
        <v>0</v>
      </c>
      <c r="HB17" s="276">
        <f>IFERROR(1/Calculations_APPURT[[#This Row],[Brackets]],0) * cv_F * BetaSector[[#This Row],[Quantity]] * Hazards_APPURT[[#This Row],[qz]] * CaAa_APPURT[[#This Row],[Beta 150]] * IF(Calculations_APPURT[[#This Row],[Shape]]="CFD",1, Ka)</f>
        <v>0</v>
      </c>
      <c r="HC17" s="276">
        <f>IFERROR(1/Calculations_APPURT[[#This Row],[Brackets]],0) * cv_F * BetaSector[[#This Row],[Quantity]] * Hazards_APPURT[[#This Row],[qz]] * CaAa_APPURT[[#This Row],[Beta 180]] * IF(Calculations_APPURT[[#This Row],[Shape]]="CFD",1, Ka)</f>
        <v>0</v>
      </c>
      <c r="HD17" s="276">
        <f>IFERROR(1/Calculations_APPURT[[#This Row],[Brackets]],0) * cv_F * BetaSector[[#This Row],[Quantity]] * Hazards_APPURT[[#This Row],[qz]] * CaAa_APPURT[[#This Row],[Beta 210]] * IF(Calculations_APPURT[[#This Row],[Shape]]="CFD",1, Ka)</f>
        <v>0</v>
      </c>
      <c r="HE17" s="276">
        <f>IFERROR(1/Calculations_APPURT[[#This Row],[Brackets]],0) * cv_F * BetaSector[[#This Row],[Quantity]] * Hazards_APPURT[[#This Row],[qz]] * CaAa_APPURT[[#This Row],[Beta 225]] * IF(Calculations_APPURT[[#This Row],[Shape]]="CFD",1, Ka)</f>
        <v>0</v>
      </c>
      <c r="HF17" s="276">
        <f>IFERROR(1/Calculations_APPURT[[#This Row],[Brackets]],0) * cv_F * BetaSector[[#This Row],[Quantity]] * Hazards_APPURT[[#This Row],[qz]] * CaAa_APPURT[[#This Row],[Beta 240]] * IF(Calculations_APPURT[[#This Row],[Shape]]="CFD",1, Ka)</f>
        <v>0</v>
      </c>
      <c r="HG17" s="276">
        <f>IFERROR(1/Calculations_APPURT[[#This Row],[Brackets]],0) * cv_F * BetaSector[[#This Row],[Quantity]] * Hazards_APPURT[[#This Row],[qz]] * CaAa_APPURT[[#This Row],[Beta 270]] * IF(Calculations_APPURT[[#This Row],[Shape]]="CFD",1, Ka)</f>
        <v>0</v>
      </c>
      <c r="HH17" s="276">
        <f>IFERROR(1/Calculations_APPURT[[#This Row],[Brackets]],0) * cv_F * BetaSector[[#This Row],[Quantity]] * Hazards_APPURT[[#This Row],[qz]] * CaAa_APPURT[[#This Row],[Beta 300]] * IF(Calculations_APPURT[[#This Row],[Shape]]="CFD",1, Ka)</f>
        <v>0</v>
      </c>
      <c r="HI17" s="276">
        <f>IFERROR(1/Calculations_APPURT[[#This Row],[Brackets]],0) * cv_F * BetaSector[[#This Row],[Quantity]] * Hazards_APPURT[[#This Row],[qz]] * CaAa_APPURT[[#This Row],[Beta 315]] * IF(Calculations_APPURT[[#This Row],[Shape]]="CFD",1, Ka)</f>
        <v>0</v>
      </c>
      <c r="HJ17" s="276">
        <f>IFERROR(1/Calculations_APPURT[[#This Row],[Brackets]],0) * cv_F * BetaSector[[#This Row],[Quantity]] * Hazards_APPURT[[#This Row],[qz]] * CaAa_APPURT[[#This Row],[Beta 330]] * IF(Calculations_APPURT[[#This Row],[Shape]]="CFD",1, Ka)</f>
        <v>0</v>
      </c>
      <c r="HK17" s="276">
        <f>IFERROR(1/Calculations_APPURT[[#This Row],[Brackets]],0) * cv_F * GammaSector[[#This Row],[Quantity]] * Hazards_APPURT[[#This Row],[qz]] * CaAa_APPURT[[#This Row],[Gamma 0]] * IF(Calculations_APPURT[[#This Row],[Shape]]="CFD",1, Ka)</f>
        <v>0</v>
      </c>
      <c r="HL17" s="276">
        <f>IFERROR(1/Calculations_APPURT[[#This Row],[Brackets]],0) * cv_F * GammaSector[[#This Row],[Quantity]] * Hazards_APPURT[[#This Row],[qz]] * CaAa_APPURT[[#This Row],[Gamma 30]] * IF(Calculations_APPURT[[#This Row],[Shape]]="CFD",1, Ka)</f>
        <v>0</v>
      </c>
      <c r="HM17" s="276">
        <f>IFERROR(1/Calculations_APPURT[[#This Row],[Brackets]],0) * cv_F * GammaSector[[#This Row],[Quantity]] * Hazards_APPURT[[#This Row],[qz]] * CaAa_APPURT[[#This Row],[Gamma 45]] * IF(Calculations_APPURT[[#This Row],[Shape]]="CFD",1, Ka)</f>
        <v>0</v>
      </c>
      <c r="HN17" s="276">
        <f>IFERROR(1/Calculations_APPURT[[#This Row],[Brackets]],0) * cv_F * GammaSector[[#This Row],[Quantity]] * Hazards_APPURT[[#This Row],[qz]] * CaAa_APPURT[[#This Row],[Gamma 60]] * IF(Calculations_APPURT[[#This Row],[Shape]]="CFD",1, Ka)</f>
        <v>0</v>
      </c>
      <c r="HO17" s="276">
        <f>IFERROR(1/Calculations_APPURT[[#This Row],[Brackets]],0) * cv_F * GammaSector[[#This Row],[Quantity]] * Hazards_APPURT[[#This Row],[qz]] * CaAa_APPURT[[#This Row],[Gamma 90]] * IF(Calculations_APPURT[[#This Row],[Shape]]="CFD",1, Ka)</f>
        <v>0</v>
      </c>
      <c r="HP17" s="276">
        <f>IFERROR(1/Calculations_APPURT[[#This Row],[Brackets]],0) * cv_F * GammaSector[[#This Row],[Quantity]] * Hazards_APPURT[[#This Row],[qz]] * CaAa_APPURT[[#This Row],[Gamma 120]] * IF(Calculations_APPURT[[#This Row],[Shape]]="CFD",1, Ka)</f>
        <v>0</v>
      </c>
      <c r="HQ17" s="276">
        <f>IFERROR(1/Calculations_APPURT[[#This Row],[Brackets]],0) * cv_F * GammaSector[[#This Row],[Quantity]] * Hazards_APPURT[[#This Row],[qz]] * CaAa_APPURT[[#This Row],[Gamma 135]] * IF(Calculations_APPURT[[#This Row],[Shape]]="CFD",1, Ka)</f>
        <v>0</v>
      </c>
      <c r="HR17" s="276">
        <f>IFERROR(1/Calculations_APPURT[[#This Row],[Brackets]],0) * cv_F * GammaSector[[#This Row],[Quantity]] * Hazards_APPURT[[#This Row],[qz]] * CaAa_APPURT[[#This Row],[Gamma 150]] * IF(Calculations_APPURT[[#This Row],[Shape]]="CFD",1, Ka)</f>
        <v>0</v>
      </c>
      <c r="HS17" s="276">
        <f>IFERROR(1/Calculations_APPURT[[#This Row],[Brackets]],0) * cv_F * GammaSector[[#This Row],[Quantity]] * Hazards_APPURT[[#This Row],[qz]] * CaAa_APPURT[[#This Row],[Gamma 180]] * IF(Calculations_APPURT[[#This Row],[Shape]]="CFD",1, Ka)</f>
        <v>0</v>
      </c>
      <c r="HT17" s="276">
        <f>IFERROR(1/Calculations_APPURT[[#This Row],[Brackets]],0) * cv_F * GammaSector[[#This Row],[Quantity]] * Hazards_APPURT[[#This Row],[qz]] * CaAa_APPURT[[#This Row],[Gamma 210]] * IF(Calculations_APPURT[[#This Row],[Shape]]="CFD",1, Ka)</f>
        <v>0</v>
      </c>
      <c r="HU17" s="276">
        <f>IFERROR(1/Calculations_APPURT[[#This Row],[Brackets]],0) * cv_F * GammaSector[[#This Row],[Quantity]] * Hazards_APPURT[[#This Row],[qz]] * CaAa_APPURT[[#This Row],[Gamma 225]] * IF(Calculations_APPURT[[#This Row],[Shape]]="CFD",1, Ka)</f>
        <v>0</v>
      </c>
      <c r="HV17" s="276">
        <f>IFERROR(1/Calculations_APPURT[[#This Row],[Brackets]],0) * cv_F * GammaSector[[#This Row],[Quantity]] * Hazards_APPURT[[#This Row],[qz]] * CaAa_APPURT[[#This Row],[Gamma 240]] * IF(Calculations_APPURT[[#This Row],[Shape]]="CFD",1, Ka)</f>
        <v>0</v>
      </c>
      <c r="HW17" s="276">
        <f>IFERROR(1/Calculations_APPURT[[#This Row],[Brackets]],0) * cv_F * GammaSector[[#This Row],[Quantity]] * Hazards_APPURT[[#This Row],[qz]] * CaAa_APPURT[[#This Row],[Gamma 270]] * IF(Calculations_APPURT[[#This Row],[Shape]]="CFD",1, Ka)</f>
        <v>0</v>
      </c>
      <c r="HX17" s="276">
        <f>IFERROR(1/Calculations_APPURT[[#This Row],[Brackets]],0) * cv_F * GammaSector[[#This Row],[Quantity]] * Hazards_APPURT[[#This Row],[qz]] * CaAa_APPURT[[#This Row],[Gamma 300]] * IF(Calculations_APPURT[[#This Row],[Shape]]="CFD",1, Ka)</f>
        <v>0</v>
      </c>
      <c r="HY17" s="276">
        <f>IFERROR(1/Calculations_APPURT[[#This Row],[Brackets]],0) * cv_F * GammaSector[[#This Row],[Quantity]] * Hazards_APPURT[[#This Row],[qz]] * CaAa_APPURT[[#This Row],[Gamma 315]] * IF(Calculations_APPURT[[#This Row],[Shape]]="CFD",1, Ka)</f>
        <v>0</v>
      </c>
      <c r="HZ17" s="276">
        <f>IFERROR(1/Calculations_APPURT[[#This Row],[Brackets]],0) * cv_F * GammaSector[[#This Row],[Quantity]] * Hazards_APPURT[[#This Row],[qz]] * CaAa_APPURT[[#This Row],[Gamma 330]] * IF(Calculations_APPURT[[#This Row],[Shape]]="CFD",1, Ka)</f>
        <v>0</v>
      </c>
      <c r="IA17" s="276">
        <f>IFERROR(1/Calculations_APPURT[[#This Row],[Brackets]],0) * cv_F * DeltaSector[[#This Row],[Quantity]] * Hazards_APPURT[[#This Row],[qz]] * CaAa_APPURT[[#This Row],[Delta 0]] * IF(Calculations_APPURT[[#This Row],[Shape]]="CFD",1, Ka)</f>
        <v>0</v>
      </c>
      <c r="IB17" s="276">
        <f>IFERROR(1/Calculations_APPURT[[#This Row],[Brackets]],0) * cv_F * DeltaSector[[#This Row],[Quantity]] * Hazards_APPURT[[#This Row],[qz]] * CaAa_APPURT[[#This Row],[Delta 30]] * IF(Calculations_APPURT[[#This Row],[Shape]]="CFD",1, Ka)</f>
        <v>0</v>
      </c>
      <c r="IC17" s="276">
        <f>IFERROR(1/Calculations_APPURT[[#This Row],[Brackets]],0) * cv_F * DeltaSector[[#This Row],[Quantity]] * Hazards_APPURT[[#This Row],[qz]] * CaAa_APPURT[[#This Row],[Delta 45]] * IF(Calculations_APPURT[[#This Row],[Shape]]="CFD",1, Ka)</f>
        <v>0</v>
      </c>
      <c r="ID17" s="276">
        <f>IFERROR(1/Calculations_APPURT[[#This Row],[Brackets]],0) * cv_F * DeltaSector[[#This Row],[Quantity]] * Hazards_APPURT[[#This Row],[qz]] * CaAa_APPURT[[#This Row],[Delta 60]] * IF(Calculations_APPURT[[#This Row],[Shape]]="CFD",1, Ka)</f>
        <v>0</v>
      </c>
      <c r="IE17" s="276">
        <f>IFERROR(1/Calculations_APPURT[[#This Row],[Brackets]],0) * cv_F * DeltaSector[[#This Row],[Quantity]] * Hazards_APPURT[[#This Row],[qz]] * CaAa_APPURT[[#This Row],[Delta 90]] * IF(Calculations_APPURT[[#This Row],[Shape]]="CFD",1, Ka)</f>
        <v>0</v>
      </c>
      <c r="IF17" s="276">
        <f>IFERROR(1/Calculations_APPURT[[#This Row],[Brackets]],0) * cv_F * DeltaSector[[#This Row],[Quantity]] * Hazards_APPURT[[#This Row],[qz]] * CaAa_APPURT[[#This Row],[Delta 120]] * IF(Calculations_APPURT[[#This Row],[Shape]]="CFD",1, Ka)</f>
        <v>0</v>
      </c>
      <c r="IG17" s="276">
        <f>IFERROR(1/Calculations_APPURT[[#This Row],[Brackets]],0) * cv_F * DeltaSector[[#This Row],[Quantity]] * Hazards_APPURT[[#This Row],[qz]] * CaAa_APPURT[[#This Row],[Delta 135]] * IF(Calculations_APPURT[[#This Row],[Shape]]="CFD",1, Ka)</f>
        <v>0</v>
      </c>
      <c r="IH17" s="276">
        <f>IFERROR(1/Calculations_APPURT[[#This Row],[Brackets]],0) * cv_F * DeltaSector[[#This Row],[Quantity]] * Hazards_APPURT[[#This Row],[qz]] * CaAa_APPURT[[#This Row],[Delta 150]] * IF(Calculations_APPURT[[#This Row],[Shape]]="CFD",1, Ka)</f>
        <v>0</v>
      </c>
      <c r="II17" s="276">
        <f>IFERROR(1/Calculations_APPURT[[#This Row],[Brackets]],0) * cv_F * DeltaSector[[#This Row],[Quantity]] * Hazards_APPURT[[#This Row],[qz]] * CaAa_APPURT[[#This Row],[Delta 180]] * IF(Calculations_APPURT[[#This Row],[Shape]]="CFD",1, Ka)</f>
        <v>0</v>
      </c>
      <c r="IJ17" s="276">
        <f>IFERROR(1/Calculations_APPURT[[#This Row],[Brackets]],0) * cv_F * DeltaSector[[#This Row],[Quantity]] * Hazards_APPURT[[#This Row],[qz]] * CaAa_APPURT[[#This Row],[Delta 210]] * IF(Calculations_APPURT[[#This Row],[Shape]]="CFD",1, Ka)</f>
        <v>0</v>
      </c>
      <c r="IK17" s="276">
        <f>IFERROR(1/Calculations_APPURT[[#This Row],[Brackets]],0) * cv_F * DeltaSector[[#This Row],[Quantity]] * Hazards_APPURT[[#This Row],[qz]] * CaAa_APPURT[[#This Row],[Delta 225]] * IF(Calculations_APPURT[[#This Row],[Shape]]="CFD",1, Ka)</f>
        <v>0</v>
      </c>
      <c r="IL17" s="276">
        <f>IFERROR(1/Calculations_APPURT[[#This Row],[Brackets]],0) * cv_F * DeltaSector[[#This Row],[Quantity]] * Hazards_APPURT[[#This Row],[qz]] * CaAa_APPURT[[#This Row],[Delta 240]] * IF(Calculations_APPURT[[#This Row],[Shape]]="CFD",1, Ka)</f>
        <v>0</v>
      </c>
      <c r="IM17" s="276">
        <f>IFERROR(1/Calculations_APPURT[[#This Row],[Brackets]],0) * cv_F * DeltaSector[[#This Row],[Quantity]] * Hazards_APPURT[[#This Row],[qz]] * CaAa_APPURT[[#This Row],[Delta 270]] * IF(Calculations_APPURT[[#This Row],[Shape]]="CFD",1, Ka)</f>
        <v>0</v>
      </c>
      <c r="IN17" s="276">
        <f>IFERROR(1/Calculations_APPURT[[#This Row],[Brackets]],0) * cv_F * DeltaSector[[#This Row],[Quantity]] * Hazards_APPURT[[#This Row],[qz]] * CaAa_APPURT[[#This Row],[Delta 300]] * IF(Calculations_APPURT[[#This Row],[Shape]]="CFD",1, Ka)</f>
        <v>0</v>
      </c>
      <c r="IO17" s="276">
        <f>IFERROR(1/Calculations_APPURT[[#This Row],[Brackets]],0) * cv_F * DeltaSector[[#This Row],[Quantity]] * Hazards_APPURT[[#This Row],[qz]] * CaAa_APPURT[[#This Row],[Delta 315]] * IF(Calculations_APPURT[[#This Row],[Shape]]="CFD",1, Ka)</f>
        <v>0</v>
      </c>
      <c r="IP17" s="276">
        <f>IFERROR(1/Calculations_APPURT[[#This Row],[Brackets]],0) * cv_F * DeltaSector[[#This Row],[Quantity]] * Hazards_APPURT[[#This Row],[qz]] * CaAa_APPURT[[#This Row],[Delta 330]] * IF(Calculations_APPURT[[#This Row],[Shape]]="CFD",1, Ka)</f>
        <v>0</v>
      </c>
      <c r="IQ17" s="276">
        <f>IFERROR(1/Calculations_APPURT[[#This Row],[Brackets]],0) * cv_F * AlphaSector[[#This Row],[Quantity]] * Hazards_APPURT[[#This Row],[qiz]] * CaAa_APPURT[[#This Row],[Alpha Ice 0]]</f>
        <v>0</v>
      </c>
      <c r="IR17" s="276">
        <f>IFERROR(1/Calculations_APPURT[[#This Row],[Brackets]],0) * cv_F * AlphaSector[[#This Row],[Quantity]] * Hazards_APPURT[[#This Row],[qiz]] * CaAa_APPURT[[#This Row],[Alpha Ice 30]]</f>
        <v>0</v>
      </c>
      <c r="IS17" s="276">
        <f>IFERROR(1/Calculations_APPURT[[#This Row],[Brackets]],0) * cv_F * AlphaSector[[#This Row],[Quantity]] * Hazards_APPURT[[#This Row],[qiz]] * CaAa_APPURT[[#This Row],[Alpha Ice 45]]</f>
        <v>0</v>
      </c>
      <c r="IT17" s="276">
        <f>IFERROR(1/Calculations_APPURT[[#This Row],[Brackets]],0) * cv_F * AlphaSector[[#This Row],[Quantity]] * Hazards_APPURT[[#This Row],[qiz]] * CaAa_APPURT[[#This Row],[Alpha Ice 60]]</f>
        <v>0</v>
      </c>
      <c r="IU17" s="276">
        <f>IFERROR(1/Calculations_APPURT[[#This Row],[Brackets]],0) * cv_F * AlphaSector[[#This Row],[Quantity]] * Hazards_APPURT[[#This Row],[qiz]] * CaAa_APPURT[[#This Row],[Alpha Ice 90]]</f>
        <v>0</v>
      </c>
      <c r="IV17" s="276">
        <f>IFERROR(1/Calculations_APPURT[[#This Row],[Brackets]],0) * cv_F * AlphaSector[[#This Row],[Quantity]] * Hazards_APPURT[[#This Row],[qiz]] * CaAa_APPURT[[#This Row],[Alpha Ice 120]]</f>
        <v>0</v>
      </c>
      <c r="IW17" s="276">
        <f>IFERROR(1/Calculations_APPURT[[#This Row],[Brackets]],0) * cv_F * AlphaSector[[#This Row],[Quantity]] * Hazards_APPURT[[#This Row],[qiz]] * CaAa_APPURT[[#This Row],[Alpha Ice 135]]</f>
        <v>0</v>
      </c>
      <c r="IX17" s="276">
        <f>IFERROR(1/Calculations_APPURT[[#This Row],[Brackets]],0) * cv_F * AlphaSector[[#This Row],[Quantity]] * Hazards_APPURT[[#This Row],[qiz]] * CaAa_APPURT[[#This Row],[Alpha Ice 150]]</f>
        <v>0</v>
      </c>
      <c r="IY17" s="276">
        <f>IFERROR(1/Calculations_APPURT[[#This Row],[Brackets]],0) * cv_F * AlphaSector[[#This Row],[Quantity]] * Hazards_APPURT[[#This Row],[qiz]] * CaAa_APPURT[[#This Row],[Alpha Ice 180]]</f>
        <v>0</v>
      </c>
      <c r="IZ17" s="276">
        <f>IFERROR(1/Calculations_APPURT[[#This Row],[Brackets]],0) * cv_F * AlphaSector[[#This Row],[Quantity]] * Hazards_APPURT[[#This Row],[qiz]] * CaAa_APPURT[[#This Row],[Alpha Ice 210]]</f>
        <v>0</v>
      </c>
      <c r="JA17" s="276">
        <f>IFERROR(1/Calculations_APPURT[[#This Row],[Brackets]],0) * cv_F * AlphaSector[[#This Row],[Quantity]] * Hazards_APPURT[[#This Row],[qiz]] * CaAa_APPURT[[#This Row],[Alpha Ice 225]]</f>
        <v>0</v>
      </c>
      <c r="JB17" s="276">
        <f>IFERROR(1/Calculations_APPURT[[#This Row],[Brackets]],0) * cv_F * AlphaSector[[#This Row],[Quantity]] * Hazards_APPURT[[#This Row],[qiz]] * CaAa_APPURT[[#This Row],[Alpha Ice 240]]</f>
        <v>0</v>
      </c>
      <c r="JC17" s="276">
        <f>IFERROR(1/Calculations_APPURT[[#This Row],[Brackets]],0) * cv_F * AlphaSector[[#This Row],[Quantity]] * Hazards_APPURT[[#This Row],[qiz]] * CaAa_APPURT[[#This Row],[Alpha Ice 270]]</f>
        <v>0</v>
      </c>
      <c r="JD17" s="276">
        <f>IFERROR(1/Calculations_APPURT[[#This Row],[Brackets]],0) * cv_F * AlphaSector[[#This Row],[Quantity]] * Hazards_APPURT[[#This Row],[qiz]] * CaAa_APPURT[[#This Row],[Alpha Ice 300]]</f>
        <v>0</v>
      </c>
      <c r="JE17" s="276">
        <f>IFERROR(1/Calculations_APPURT[[#This Row],[Brackets]],0) * cv_F * AlphaSector[[#This Row],[Quantity]] * Hazards_APPURT[[#This Row],[qiz]] * CaAa_APPURT[[#This Row],[Alpha Ice 315]]</f>
        <v>0</v>
      </c>
      <c r="JF17" s="276">
        <f>IFERROR(1/Calculations_APPURT[[#This Row],[Brackets]],0) * cv_F * AlphaSector[[#This Row],[Quantity]] * Hazards_APPURT[[#This Row],[qiz]] * CaAa_APPURT[[#This Row],[Alpha Ice 330]]</f>
        <v>0</v>
      </c>
      <c r="JG17" s="276">
        <f>IFERROR(1/Calculations_APPURT[[#This Row],[Brackets]],0) * cv_F * BetaSector[[#This Row],[Quantity]] * Hazards_APPURT[[#This Row],[qiz]] * CaAa_APPURT[[#This Row],[Beta Ice 0]]</f>
        <v>0</v>
      </c>
      <c r="JH17" s="276">
        <f>IFERROR(1/Calculations_APPURT[[#This Row],[Brackets]],0) * cv_F * BetaSector[[#This Row],[Quantity]] * Hazards_APPURT[[#This Row],[qiz]] * CaAa_APPURT[[#This Row],[Beta Ice 30]]</f>
        <v>0</v>
      </c>
      <c r="JI17" s="276">
        <f>IFERROR(1/Calculations_APPURT[[#This Row],[Brackets]],0) * cv_F * BetaSector[[#This Row],[Quantity]] * Hazards_APPURT[[#This Row],[qiz]] * CaAa_APPURT[[#This Row],[Beta Ice 45]]</f>
        <v>0</v>
      </c>
      <c r="JJ17" s="276">
        <f>IFERROR(1/Calculations_APPURT[[#This Row],[Brackets]],0) * cv_F * BetaSector[[#This Row],[Quantity]] * Hazards_APPURT[[#This Row],[qiz]] * CaAa_APPURT[[#This Row],[Beta Ice 60]]</f>
        <v>0</v>
      </c>
      <c r="JK17" s="276">
        <f>IFERROR(1/Calculations_APPURT[[#This Row],[Brackets]],0) * cv_F * BetaSector[[#This Row],[Quantity]] * Hazards_APPURT[[#This Row],[qiz]] * CaAa_APPURT[[#This Row],[Beta Ice 90]]</f>
        <v>0</v>
      </c>
      <c r="JL17" s="276">
        <f>IFERROR(1/Calculations_APPURT[[#This Row],[Brackets]],0) * cv_F * BetaSector[[#This Row],[Quantity]] * Hazards_APPURT[[#This Row],[qiz]] * CaAa_APPURT[[#This Row],[Beta Ice 120]]</f>
        <v>0</v>
      </c>
      <c r="JM17" s="276">
        <f>IFERROR(1/Calculations_APPURT[[#This Row],[Brackets]],0) * cv_F * BetaSector[[#This Row],[Quantity]] * Hazards_APPURT[[#This Row],[qiz]] * CaAa_APPURT[[#This Row],[Beta Ice 135]]</f>
        <v>0</v>
      </c>
      <c r="JN17" s="276">
        <f>IFERROR(1/Calculations_APPURT[[#This Row],[Brackets]],0) * cv_F * BetaSector[[#This Row],[Quantity]] * Hazards_APPURT[[#This Row],[qiz]] * CaAa_APPURT[[#This Row],[Beta Ice 150]]</f>
        <v>0</v>
      </c>
      <c r="JO17" s="276">
        <f>IFERROR(1/Calculations_APPURT[[#This Row],[Brackets]],0) * cv_F * BetaSector[[#This Row],[Quantity]] * Hazards_APPURT[[#This Row],[qiz]] * CaAa_APPURT[[#This Row],[Beta Ice 180]]</f>
        <v>0</v>
      </c>
      <c r="JP17" s="276">
        <f>IFERROR(1/Calculations_APPURT[[#This Row],[Brackets]],0) * cv_F * BetaSector[[#This Row],[Quantity]] * Hazards_APPURT[[#This Row],[qiz]] * CaAa_APPURT[[#This Row],[Beta Ice 210]]</f>
        <v>0</v>
      </c>
      <c r="JQ17" s="276">
        <f>IFERROR(1/Calculations_APPURT[[#This Row],[Brackets]],0) * cv_F * BetaSector[[#This Row],[Quantity]] * Hazards_APPURT[[#This Row],[qiz]] * CaAa_APPURT[[#This Row],[Beta Ice 225]]</f>
        <v>0</v>
      </c>
      <c r="JR17" s="276">
        <f>IFERROR(1/Calculations_APPURT[[#This Row],[Brackets]],0) * cv_F * BetaSector[[#This Row],[Quantity]] * Hazards_APPURT[[#This Row],[qiz]] * CaAa_APPURT[[#This Row],[Beta Ice 240]]</f>
        <v>0</v>
      </c>
      <c r="JS17" s="276">
        <f>IFERROR(1/Calculations_APPURT[[#This Row],[Brackets]],0) * cv_F * BetaSector[[#This Row],[Quantity]] * Hazards_APPURT[[#This Row],[qiz]] * CaAa_APPURT[[#This Row],[Beta Ice 270]]</f>
        <v>0</v>
      </c>
      <c r="JT17" s="276">
        <f>IFERROR(1/Calculations_APPURT[[#This Row],[Brackets]],0) * cv_F * BetaSector[[#This Row],[Quantity]] * Hazards_APPURT[[#This Row],[qiz]] * CaAa_APPURT[[#This Row],[Beta Ice 300]]</f>
        <v>0</v>
      </c>
      <c r="JU17" s="276">
        <f>IFERROR(1/Calculations_APPURT[[#This Row],[Brackets]],0) * cv_F * BetaSector[[#This Row],[Quantity]] * Hazards_APPURT[[#This Row],[qiz]] * CaAa_APPURT[[#This Row],[Beta Ice 315]]</f>
        <v>0</v>
      </c>
      <c r="JV17" s="276">
        <f>IFERROR(1/Calculations_APPURT[[#This Row],[Brackets]],0) * cv_F * BetaSector[[#This Row],[Quantity]] * Hazards_APPURT[[#This Row],[qiz]] * CaAa_APPURT[[#This Row],[Beta Ice 330]]</f>
        <v>0</v>
      </c>
      <c r="JW17" s="276">
        <f>IFERROR(1/Calculations_APPURT[[#This Row],[Brackets]],0) * cv_F * GammaSector[[#This Row],[Quantity]] * Hazards_APPURT[[#This Row],[qiz]] * CaAa_APPURT[[#This Row],[Gamma Ice 0]]</f>
        <v>0</v>
      </c>
      <c r="JX17" s="276">
        <f>IFERROR(1/Calculations_APPURT[[#This Row],[Brackets]],0) * cv_F * GammaSector[[#This Row],[Quantity]] * Hazards_APPURT[[#This Row],[qiz]] * CaAa_APPURT[[#This Row],[Gamma Ice 30]]</f>
        <v>0</v>
      </c>
      <c r="JY17" s="276">
        <f>IFERROR(1/Calculations_APPURT[[#This Row],[Brackets]],0) * cv_F * GammaSector[[#This Row],[Quantity]] * Hazards_APPURT[[#This Row],[qiz]] * CaAa_APPURT[[#This Row],[Gamma Ice 45]]</f>
        <v>0</v>
      </c>
      <c r="JZ17" s="276">
        <f>IFERROR(1/Calculations_APPURT[[#This Row],[Brackets]],0) * cv_F * GammaSector[[#This Row],[Quantity]] * Hazards_APPURT[[#This Row],[qiz]] * CaAa_APPURT[[#This Row],[Gamma Ice 60]]</f>
        <v>0</v>
      </c>
      <c r="KA17" s="276">
        <f>IFERROR(1/Calculations_APPURT[[#This Row],[Brackets]],0) * cv_F * GammaSector[[#This Row],[Quantity]] * Hazards_APPURT[[#This Row],[qiz]] * CaAa_APPURT[[#This Row],[Gamma Ice 90]]</f>
        <v>0</v>
      </c>
      <c r="KB17" s="276">
        <f>IFERROR(1/Calculations_APPURT[[#This Row],[Brackets]],0) * cv_F * GammaSector[[#This Row],[Quantity]] * Hazards_APPURT[[#This Row],[qiz]] * CaAa_APPURT[[#This Row],[Gamma Ice 120]]</f>
        <v>0</v>
      </c>
      <c r="KC17" s="276">
        <f>IFERROR(1/Calculations_APPURT[[#This Row],[Brackets]],0) * cv_F * GammaSector[[#This Row],[Quantity]] * Hazards_APPURT[[#This Row],[qiz]] * CaAa_APPURT[[#This Row],[Gamma Ice 135]]</f>
        <v>0</v>
      </c>
      <c r="KD17" s="276">
        <f>IFERROR(1/Calculations_APPURT[[#This Row],[Brackets]],0) * cv_F * GammaSector[[#This Row],[Quantity]] * Hazards_APPURT[[#This Row],[qiz]] * CaAa_APPURT[[#This Row],[Gamma Ice 150]]</f>
        <v>0</v>
      </c>
      <c r="KE17" s="276">
        <f>IFERROR(1/Calculations_APPURT[[#This Row],[Brackets]],0) * cv_F * GammaSector[[#This Row],[Quantity]] * Hazards_APPURT[[#This Row],[qiz]] * CaAa_APPURT[[#This Row],[Gamma Ice 180]]</f>
        <v>0</v>
      </c>
      <c r="KF17" s="276">
        <f>IFERROR(1/Calculations_APPURT[[#This Row],[Brackets]],0) * cv_F * GammaSector[[#This Row],[Quantity]] * Hazards_APPURT[[#This Row],[qiz]] * CaAa_APPURT[[#This Row],[Gamma Ice 210]]</f>
        <v>0</v>
      </c>
      <c r="KG17" s="276">
        <f>IFERROR(1/Calculations_APPURT[[#This Row],[Brackets]],0) * cv_F * GammaSector[[#This Row],[Quantity]] * Hazards_APPURT[[#This Row],[qiz]] * CaAa_APPURT[[#This Row],[Gamma Ice 225]]</f>
        <v>0</v>
      </c>
      <c r="KH17" s="276">
        <f>IFERROR(1/Calculations_APPURT[[#This Row],[Brackets]],0) * cv_F * GammaSector[[#This Row],[Quantity]] * Hazards_APPURT[[#This Row],[qiz]] * CaAa_APPURT[[#This Row],[Gamma Ice 240]]</f>
        <v>0</v>
      </c>
      <c r="KI17" s="276">
        <f>IFERROR(1/Calculations_APPURT[[#This Row],[Brackets]],0) * cv_F * GammaSector[[#This Row],[Quantity]] * Hazards_APPURT[[#This Row],[qiz]] * CaAa_APPURT[[#This Row],[Gamma Ice 270]]</f>
        <v>0</v>
      </c>
      <c r="KJ17" s="276">
        <f>IFERROR(1/Calculations_APPURT[[#This Row],[Brackets]],0) * cv_F * GammaSector[[#This Row],[Quantity]] * Hazards_APPURT[[#This Row],[qiz]] * CaAa_APPURT[[#This Row],[Gamma Ice 300]]</f>
        <v>0</v>
      </c>
      <c r="KK17" s="276">
        <f>IFERROR(1/Calculations_APPURT[[#This Row],[Brackets]],0) * cv_F * GammaSector[[#This Row],[Quantity]] * Hazards_APPURT[[#This Row],[qiz]] * CaAa_APPURT[[#This Row],[Gamma Ice 315]]</f>
        <v>0</v>
      </c>
      <c r="KL17" s="276">
        <f>IFERROR(1/Calculations_APPURT[[#This Row],[Brackets]],0) * cv_F * GammaSector[[#This Row],[Quantity]] * Hazards_APPURT[[#This Row],[qiz]] * CaAa_APPURT[[#This Row],[Gamma Ice 330]]</f>
        <v>0</v>
      </c>
      <c r="KM17" s="276">
        <f>IFERROR(1/Calculations_APPURT[[#This Row],[Brackets]],0) * cv_F * DeltaSector[[#This Row],[Quantity]] * Hazards_APPURT[[#This Row],[qiz]] * CaAa_APPURT[[#This Row],[Delta Ice 0]]</f>
        <v>0</v>
      </c>
      <c r="KN17" s="276">
        <f>IFERROR(1/Calculations_APPURT[[#This Row],[Brackets]],0) * cv_F * DeltaSector[[#This Row],[Quantity]] * Hazards_APPURT[[#This Row],[qiz]] * CaAa_APPURT[[#This Row],[Delta Ice 30]]</f>
        <v>0</v>
      </c>
      <c r="KO17" s="276">
        <f>IFERROR(1/Calculations_APPURT[[#This Row],[Brackets]],0) * cv_F * DeltaSector[[#This Row],[Quantity]] * Hazards_APPURT[[#This Row],[qiz]] * CaAa_APPURT[[#This Row],[Delta Ice 45]]</f>
        <v>0</v>
      </c>
      <c r="KP17" s="276">
        <f>IFERROR(1/Calculations_APPURT[[#This Row],[Brackets]],0) * cv_F * DeltaSector[[#This Row],[Quantity]] * Hazards_APPURT[[#This Row],[qiz]] * CaAa_APPURT[[#This Row],[Delta Ice 60]]</f>
        <v>0</v>
      </c>
      <c r="KQ17" s="276">
        <f>IFERROR(1/Calculations_APPURT[[#This Row],[Brackets]],0) * cv_F * DeltaSector[[#This Row],[Quantity]] * Hazards_APPURT[[#This Row],[qiz]] * CaAa_APPURT[[#This Row],[Delta Ice 90]]</f>
        <v>0</v>
      </c>
      <c r="KR17" s="276">
        <f>IFERROR(1/Calculations_APPURT[[#This Row],[Brackets]],0) * cv_F * DeltaSector[[#This Row],[Quantity]] * Hazards_APPURT[[#This Row],[qiz]] * CaAa_APPURT[[#This Row],[Delta Ice 120]]</f>
        <v>0</v>
      </c>
      <c r="KS17" s="276">
        <f>IFERROR(1/Calculations_APPURT[[#This Row],[Brackets]],0) * cv_F * DeltaSector[[#This Row],[Quantity]] * Hazards_APPURT[[#This Row],[qiz]] * CaAa_APPURT[[#This Row],[Delta Ice 135]]</f>
        <v>0</v>
      </c>
      <c r="KT17" s="276">
        <f>IFERROR(1/Calculations_APPURT[[#This Row],[Brackets]],0) * cv_F * DeltaSector[[#This Row],[Quantity]] * Hazards_APPURT[[#This Row],[qiz]] * CaAa_APPURT[[#This Row],[Delta Ice 150]]</f>
        <v>0</v>
      </c>
      <c r="KU17" s="276">
        <f>IFERROR(1/Calculations_APPURT[[#This Row],[Brackets]],0) * cv_F * DeltaSector[[#This Row],[Quantity]] * Hazards_APPURT[[#This Row],[qiz]] * CaAa_APPURT[[#This Row],[Delta Ice 180]]</f>
        <v>0</v>
      </c>
      <c r="KV17" s="276">
        <f>IFERROR(1/Calculations_APPURT[[#This Row],[Brackets]],0) * cv_F * DeltaSector[[#This Row],[Quantity]] * Hazards_APPURT[[#This Row],[qiz]] * CaAa_APPURT[[#This Row],[Delta Ice 210]]</f>
        <v>0</v>
      </c>
      <c r="KW17" s="276">
        <f>IFERROR(1/Calculations_APPURT[[#This Row],[Brackets]],0) * cv_F * DeltaSector[[#This Row],[Quantity]] * Hazards_APPURT[[#This Row],[qiz]] * CaAa_APPURT[[#This Row],[Delta Ice 225]]</f>
        <v>0</v>
      </c>
      <c r="KX17" s="276">
        <f>IFERROR(1/Calculations_APPURT[[#This Row],[Brackets]],0) * cv_F * DeltaSector[[#This Row],[Quantity]] * Hazards_APPURT[[#This Row],[qiz]] * CaAa_APPURT[[#This Row],[Delta Ice 240]]</f>
        <v>0</v>
      </c>
      <c r="KY17" s="276">
        <f>IFERROR(1/Calculations_APPURT[[#This Row],[Brackets]],0) * cv_F * DeltaSector[[#This Row],[Quantity]] * Hazards_APPURT[[#This Row],[qiz]] * CaAa_APPURT[[#This Row],[Delta Ice 270]]</f>
        <v>0</v>
      </c>
      <c r="KZ17" s="276">
        <f>IFERROR(1/Calculations_APPURT[[#This Row],[Brackets]],0) * cv_F * DeltaSector[[#This Row],[Quantity]] * Hazards_APPURT[[#This Row],[qiz]] * CaAa_APPURT[[#This Row],[Delta Ice 300]]</f>
        <v>0</v>
      </c>
      <c r="LA17" s="276">
        <f>IFERROR(1/Calculations_APPURT[[#This Row],[Brackets]],0) * cv_F * DeltaSector[[#This Row],[Quantity]] * Hazards_APPURT[[#This Row],[qiz]] * CaAa_APPURT[[#This Row],[Delta Ice 315]]</f>
        <v>0</v>
      </c>
      <c r="LB17" s="276">
        <f>IFERROR(1/Calculations_APPURT[[#This Row],[Brackets]],0) * cv_F * DeltaSector[[#This Row],[Quantity]] * Hazards_APPURT[[#This Row],[qiz]] * CaAa_APPURT[[#This Row],[Delta Ice 330]]</f>
        <v>0</v>
      </c>
      <c r="LC17" s="276">
        <f>IFERROR(1/Calculations_APPURT[[#This Row],[Brackets]],0) * cv_M/cv_F * Forces_APPURT[[#This Row],[Alpha Fa 0]] * Calculations_APPURT[[#This Row],[Horizontal Offset]]/12</f>
        <v>0</v>
      </c>
      <c r="LD17" s="276">
        <f>IFERROR(1/Calculations_APPURT[[#This Row],[Brackets]],0) * cv_M/cv_F * Forces_APPURT[[#This Row],[Alpha Fa 30]] * Calculations_APPURT[[#This Row],[Horizontal Offset]]/12</f>
        <v>0</v>
      </c>
      <c r="LE17" s="276">
        <f>IFERROR(1/Calculations_APPURT[[#This Row],[Brackets]],0) * cv_M/cv_F * Forces_APPURT[[#This Row],[Alpha Fa 45]] * Calculations_APPURT[[#This Row],[Horizontal Offset]]/12</f>
        <v>0</v>
      </c>
      <c r="LF17" s="276">
        <f>IFERROR(1/Calculations_APPURT[[#This Row],[Brackets]],0) * cv_M/cv_F * Forces_APPURT[[#This Row],[Alpha Fa 60]] * Calculations_APPURT[[#This Row],[Horizontal Offset]]/12</f>
        <v>0</v>
      </c>
      <c r="LG17" s="276">
        <f>IFERROR(1/Calculations_APPURT[[#This Row],[Brackets]],0) * cv_M/cv_F * Forces_APPURT[[#This Row],[Alpha Fa 90]] * Calculations_APPURT[[#This Row],[Horizontal Offset]]/12</f>
        <v>0</v>
      </c>
      <c r="LH17" s="276">
        <f>IFERROR(1/Calculations_APPURT[[#This Row],[Brackets]],0) * cv_M/cv_F * Forces_APPURT[[#This Row],[Alpha Fa 120]] * Calculations_APPURT[[#This Row],[Horizontal Offset]]/12</f>
        <v>0</v>
      </c>
      <c r="LI17" s="276">
        <f>IFERROR(1/Calculations_APPURT[[#This Row],[Brackets]],0) * cv_M/cv_F * Forces_APPURT[[#This Row],[Alpha Fa 135]] * Calculations_APPURT[[#This Row],[Horizontal Offset]]/12</f>
        <v>0</v>
      </c>
      <c r="LJ17" s="276">
        <f>IFERROR(1/Calculations_APPURT[[#This Row],[Brackets]],0) * cv_M/cv_F * Forces_APPURT[[#This Row],[Alpha Fa 150]] * Calculations_APPURT[[#This Row],[Horizontal Offset]]/12</f>
        <v>0</v>
      </c>
      <c r="LK17" s="276">
        <f>IFERROR(1/Calculations_APPURT[[#This Row],[Brackets]],0) * cv_M/cv_F * Forces_APPURT[[#This Row],[Alpha Fa 180]] * Calculations_APPURT[[#This Row],[Horizontal Offset]]/12</f>
        <v>0</v>
      </c>
      <c r="LL17" s="276">
        <f>IFERROR(1/Calculations_APPURT[[#This Row],[Brackets]],0) * cv_M/cv_F * Forces_APPURT[[#This Row],[Alpha Fa 210]] * Calculations_APPURT[[#This Row],[Horizontal Offset]]/12</f>
        <v>0</v>
      </c>
      <c r="LM17" s="276">
        <f>IFERROR(1/Calculations_APPURT[[#This Row],[Brackets]],0) * cv_M/cv_F * Forces_APPURT[[#This Row],[Alpha Fa 225]] * Calculations_APPURT[[#This Row],[Horizontal Offset]]/12</f>
        <v>0</v>
      </c>
      <c r="LN17" s="276">
        <f>IFERROR(1/Calculations_APPURT[[#This Row],[Brackets]],0) * cv_M/cv_F * Forces_APPURT[[#This Row],[Alpha Fa 240]] * Calculations_APPURT[[#This Row],[Horizontal Offset]]/12</f>
        <v>0</v>
      </c>
      <c r="LO17" s="276">
        <f>IFERROR(1/Calculations_APPURT[[#This Row],[Brackets]],0) * cv_M/cv_F * Forces_APPURT[[#This Row],[Alpha Fa 270]] * Calculations_APPURT[[#This Row],[Horizontal Offset]]/12</f>
        <v>0</v>
      </c>
      <c r="LP17" s="276">
        <f>IFERROR(1/Calculations_APPURT[[#This Row],[Brackets]],0) * cv_M/cv_F * Forces_APPURT[[#This Row],[Alpha Fa 300]] * Calculations_APPURT[[#This Row],[Horizontal Offset]]/12</f>
        <v>0</v>
      </c>
      <c r="LQ17" s="276">
        <f>IFERROR(1/Calculations_APPURT[[#This Row],[Brackets]],0) * cv_M/cv_F * Forces_APPURT[[#This Row],[Alpha Fa 315]] * Calculations_APPURT[[#This Row],[Horizontal Offset]]/12</f>
        <v>0</v>
      </c>
      <c r="LR17" s="276">
        <f>IFERROR(1/Calculations_APPURT[[#This Row],[Brackets]],0) * cv_M/cv_F * Forces_APPURT[[#This Row],[Alpha Fa 330]] * Calculations_APPURT[[#This Row],[Horizontal Offset]]/12</f>
        <v>0</v>
      </c>
      <c r="LS17" s="276">
        <f>IFERROR(1/Calculations_APPURT[[#This Row],[Brackets]],0) * cv_M/cv_F * Forces_APPURT[[#This Row],[Beta Fa 0]] * Calculations_APPURT[[#This Row],[Horizontal Offset]]/12</f>
        <v>0</v>
      </c>
      <c r="LT17" s="276">
        <f>IFERROR(1/Calculations_APPURT[[#This Row],[Brackets]],0) * cv_M/cv_F * Forces_APPURT[[#This Row],[Beta Fa 30]] * Calculations_APPURT[[#This Row],[Horizontal Offset]]/12</f>
        <v>0</v>
      </c>
      <c r="LU17" s="276">
        <f>IFERROR(1/Calculations_APPURT[[#This Row],[Brackets]],0) * cv_M/cv_F * Forces_APPURT[[#This Row],[Beta Fa 45]] * Calculations_APPURT[[#This Row],[Horizontal Offset]]/12</f>
        <v>0</v>
      </c>
      <c r="LV17" s="276">
        <f>IFERROR(1/Calculations_APPURT[[#This Row],[Brackets]],0) * cv_M/cv_F * Forces_APPURT[[#This Row],[Beta Fa 60]] * Calculations_APPURT[[#This Row],[Horizontal Offset]]/12</f>
        <v>0</v>
      </c>
      <c r="LW17" s="276">
        <f>IFERROR(1/Calculations_APPURT[[#This Row],[Brackets]],0) * cv_M/cv_F * Forces_APPURT[[#This Row],[Beta Fa 90]] * Calculations_APPURT[[#This Row],[Horizontal Offset]]/12</f>
        <v>0</v>
      </c>
      <c r="LX17" s="276">
        <f>IFERROR(1/Calculations_APPURT[[#This Row],[Brackets]],0) * cv_M/cv_F * Forces_APPURT[[#This Row],[Beta Fa 120]] * Calculations_APPURT[[#This Row],[Horizontal Offset]]/12</f>
        <v>0</v>
      </c>
      <c r="LY17" s="276">
        <f>IFERROR(1/Calculations_APPURT[[#This Row],[Brackets]],0) * cv_M/cv_F * Forces_APPURT[[#This Row],[Beta Fa 135]] * Calculations_APPURT[[#This Row],[Horizontal Offset]]/12</f>
        <v>0</v>
      </c>
      <c r="LZ17" s="276">
        <f>IFERROR(1/Calculations_APPURT[[#This Row],[Brackets]],0) * cv_M/cv_F * Forces_APPURT[[#This Row],[Beta Fa 150]] * Calculations_APPURT[[#This Row],[Horizontal Offset]]/12</f>
        <v>0</v>
      </c>
      <c r="MA17" s="276">
        <f>IFERROR(1/Calculations_APPURT[[#This Row],[Brackets]],0) * cv_M/cv_F * Forces_APPURT[[#This Row],[Beta Fa 180]] * Calculations_APPURT[[#This Row],[Horizontal Offset]]/12</f>
        <v>0</v>
      </c>
      <c r="MB17" s="276">
        <f>IFERROR(1/Calculations_APPURT[[#This Row],[Brackets]],0) * cv_M/cv_F * Forces_APPURT[[#This Row],[Beta Fa 210]] * Calculations_APPURT[[#This Row],[Horizontal Offset]]/12</f>
        <v>0</v>
      </c>
      <c r="MC17" s="276">
        <f>IFERROR(1/Calculations_APPURT[[#This Row],[Brackets]],0) * cv_M/cv_F * Forces_APPURT[[#This Row],[Beta Fa 225]] * Calculations_APPURT[[#This Row],[Horizontal Offset]]/12</f>
        <v>0</v>
      </c>
      <c r="MD17" s="276">
        <f>IFERROR(1/Calculations_APPURT[[#This Row],[Brackets]],0) * cv_M/cv_F * Forces_APPURT[[#This Row],[Beta Fa 240]] * Calculations_APPURT[[#This Row],[Horizontal Offset]]/12</f>
        <v>0</v>
      </c>
      <c r="ME17" s="276">
        <f>IFERROR(1/Calculations_APPURT[[#This Row],[Brackets]],0) * cv_M/cv_F * Forces_APPURT[[#This Row],[Beta Fa 270]] * Calculations_APPURT[[#This Row],[Horizontal Offset]]/12</f>
        <v>0</v>
      </c>
      <c r="MF17" s="276">
        <f>IFERROR(1/Calculations_APPURT[[#This Row],[Brackets]],0) * cv_M/cv_F * Forces_APPURT[[#This Row],[Beta Fa 300]] * Calculations_APPURT[[#This Row],[Horizontal Offset]]/12</f>
        <v>0</v>
      </c>
      <c r="MG17" s="276">
        <f>IFERROR(1/Calculations_APPURT[[#This Row],[Brackets]],0) * cv_M/cv_F * Forces_APPURT[[#This Row],[Beta Fa 315]] * Calculations_APPURT[[#This Row],[Horizontal Offset]]/12</f>
        <v>0</v>
      </c>
      <c r="MH17" s="276">
        <f>IFERROR(1/Calculations_APPURT[[#This Row],[Brackets]],0) * cv_M/cv_F * Forces_APPURT[[#This Row],[Beta Fa 330]] * Calculations_APPURT[[#This Row],[Horizontal Offset]]/12</f>
        <v>0</v>
      </c>
      <c r="MI17" s="276">
        <f>IFERROR(1/Calculations_APPURT[[#This Row],[Brackets]],0) * cv_M/cv_F * Forces_APPURT[[#This Row],[Gamma Fa 0]] * Calculations_APPURT[[#This Row],[Horizontal Offset]]/12</f>
        <v>0</v>
      </c>
      <c r="MJ17" s="276">
        <f>IFERROR(1/Calculations_APPURT[[#This Row],[Brackets]],0) * cv_M/cv_F * Forces_APPURT[[#This Row],[Gamma Fa 30]] * Calculations_APPURT[[#This Row],[Horizontal Offset]]/12</f>
        <v>0</v>
      </c>
      <c r="MK17" s="276">
        <f>IFERROR(1/Calculations_APPURT[[#This Row],[Brackets]],0) * cv_M/cv_F * Forces_APPURT[[#This Row],[Gamma Fa 45]] * Calculations_APPURT[[#This Row],[Horizontal Offset]]/12</f>
        <v>0</v>
      </c>
      <c r="ML17" s="276">
        <f>IFERROR(1/Calculations_APPURT[[#This Row],[Brackets]],0) * cv_M/cv_F * Forces_APPURT[[#This Row],[Gamma Fa 60]] * Calculations_APPURT[[#This Row],[Horizontal Offset]]/12</f>
        <v>0</v>
      </c>
      <c r="MM17" s="276">
        <f>IFERROR(1/Calculations_APPURT[[#This Row],[Brackets]],0) * cv_M/cv_F * Forces_APPURT[[#This Row],[Gamma Fa 90]] * Calculations_APPURT[[#This Row],[Horizontal Offset]]/12</f>
        <v>0</v>
      </c>
      <c r="MN17" s="276">
        <f>IFERROR(1/Calculations_APPURT[[#This Row],[Brackets]],0) * cv_M/cv_F * Forces_APPURT[[#This Row],[Gamma Fa 120]] * Calculations_APPURT[[#This Row],[Horizontal Offset]]/12</f>
        <v>0</v>
      </c>
      <c r="MO17" s="276">
        <f>IFERROR(1/Calculations_APPURT[[#This Row],[Brackets]],0) * cv_M/cv_F * Forces_APPURT[[#This Row],[Gamma Fa 135]] * Calculations_APPURT[[#This Row],[Horizontal Offset]]/12</f>
        <v>0</v>
      </c>
      <c r="MP17" s="276">
        <f>IFERROR(1/Calculations_APPURT[[#This Row],[Brackets]],0) * cv_M/cv_F * Forces_APPURT[[#This Row],[Gamma Fa 150]] * Calculations_APPURT[[#This Row],[Horizontal Offset]]/12</f>
        <v>0</v>
      </c>
      <c r="MQ17" s="276">
        <f>IFERROR(1/Calculations_APPURT[[#This Row],[Brackets]],0) * cv_M/cv_F * Forces_APPURT[[#This Row],[Gamma Fa 180]] * Calculations_APPURT[[#This Row],[Horizontal Offset]]/12</f>
        <v>0</v>
      </c>
      <c r="MR17" s="276">
        <f>IFERROR(1/Calculations_APPURT[[#This Row],[Brackets]],0) * cv_M/cv_F * Forces_APPURT[[#This Row],[Gamma Fa 210]] * Calculations_APPURT[[#This Row],[Horizontal Offset]]/12</f>
        <v>0</v>
      </c>
      <c r="MS17" s="276">
        <f>IFERROR(1/Calculations_APPURT[[#This Row],[Brackets]],0) * cv_M/cv_F * Forces_APPURT[[#This Row],[Gamma Fa 225]] * Calculations_APPURT[[#This Row],[Horizontal Offset]]/12</f>
        <v>0</v>
      </c>
      <c r="MT17" s="276">
        <f>IFERROR(1/Calculations_APPURT[[#This Row],[Brackets]],0) * cv_M/cv_F * Forces_APPURT[[#This Row],[Gamma Fa 240]] * Calculations_APPURT[[#This Row],[Horizontal Offset]]/12</f>
        <v>0</v>
      </c>
      <c r="MU17" s="276">
        <f>IFERROR(1/Calculations_APPURT[[#This Row],[Brackets]],0) * cv_M/cv_F * Forces_APPURT[[#This Row],[Gamma Fa 270]] * Calculations_APPURT[[#This Row],[Horizontal Offset]]/12</f>
        <v>0</v>
      </c>
      <c r="MV17" s="276">
        <f>IFERROR(1/Calculations_APPURT[[#This Row],[Brackets]],0) * cv_M/cv_F * Forces_APPURT[[#This Row],[Gamma Fa 300]] * Calculations_APPURT[[#This Row],[Horizontal Offset]]/12</f>
        <v>0</v>
      </c>
      <c r="MW17" s="276">
        <f>IFERROR(1/Calculations_APPURT[[#This Row],[Brackets]],0) * cv_M/cv_F * Forces_APPURT[[#This Row],[Gamma Fa 315]] * Calculations_APPURT[[#This Row],[Horizontal Offset]]/12</f>
        <v>0</v>
      </c>
      <c r="MX17" s="276">
        <f>IFERROR(1/Calculations_APPURT[[#This Row],[Brackets]],0) * cv_M/cv_F * Forces_APPURT[[#This Row],[Gamma Fa 330]] * Calculations_APPURT[[#This Row],[Horizontal Offset]]/12</f>
        <v>0</v>
      </c>
      <c r="MY17" s="276">
        <f>IFERROR(1/Calculations_APPURT[[#This Row],[Brackets]],0) * cv_M/cv_F * Forces_APPURT[[#This Row],[Delta Fa 0]] * Calculations_APPURT[[#This Row],[Horizontal Offset]]/12</f>
        <v>0</v>
      </c>
      <c r="MZ17" s="276">
        <f>IFERROR(1/Calculations_APPURT[[#This Row],[Brackets]],0) * cv_M/cv_F * Forces_APPURT[[#This Row],[Delta Fa 30]] * Calculations_APPURT[[#This Row],[Horizontal Offset]]/12</f>
        <v>0</v>
      </c>
      <c r="NA17" s="276">
        <f>IFERROR(1/Calculations_APPURT[[#This Row],[Brackets]],0) * cv_M/cv_F * Forces_APPURT[[#This Row],[Delta Fa 45]] * Calculations_APPURT[[#This Row],[Horizontal Offset]]/12</f>
        <v>0</v>
      </c>
      <c r="NB17" s="276">
        <f>IFERROR(1/Calculations_APPURT[[#This Row],[Brackets]],0) * cv_M/cv_F * Forces_APPURT[[#This Row],[Delta Fa 60]] * Calculations_APPURT[[#This Row],[Horizontal Offset]]/12</f>
        <v>0</v>
      </c>
      <c r="NC17" s="276">
        <f>IFERROR(1/Calculations_APPURT[[#This Row],[Brackets]],0) * cv_M/cv_F * Forces_APPURT[[#This Row],[Delta Fa 90]] * Calculations_APPURT[[#This Row],[Horizontal Offset]]/12</f>
        <v>0</v>
      </c>
      <c r="ND17" s="276">
        <f>IFERROR(1/Calculations_APPURT[[#This Row],[Brackets]],0) * cv_M/cv_F * Forces_APPURT[[#This Row],[Delta Fa 120]] * Calculations_APPURT[[#This Row],[Horizontal Offset]]/12</f>
        <v>0</v>
      </c>
      <c r="NE17" s="276">
        <f>IFERROR(1/Calculations_APPURT[[#This Row],[Brackets]],0) * cv_M/cv_F * Forces_APPURT[[#This Row],[Delta Fa 135]] * Calculations_APPURT[[#This Row],[Horizontal Offset]]/12</f>
        <v>0</v>
      </c>
      <c r="NF17" s="276">
        <f>IFERROR(1/Calculations_APPURT[[#This Row],[Brackets]],0) * cv_M/cv_F * Forces_APPURT[[#This Row],[Delta Fa 150]] * Calculations_APPURT[[#This Row],[Horizontal Offset]]/12</f>
        <v>0</v>
      </c>
      <c r="NG17" s="276">
        <f>IFERROR(1/Calculations_APPURT[[#This Row],[Brackets]],0) * cv_M/cv_F * Forces_APPURT[[#This Row],[Delta Fa 180]] * Calculations_APPURT[[#This Row],[Horizontal Offset]]/12</f>
        <v>0</v>
      </c>
      <c r="NH17" s="276">
        <f>IFERROR(1/Calculations_APPURT[[#This Row],[Brackets]],0) * cv_M/cv_F * Forces_APPURT[[#This Row],[Delta Fa 210]] * Calculations_APPURT[[#This Row],[Horizontal Offset]]/12</f>
        <v>0</v>
      </c>
      <c r="NI17" s="276">
        <f>IFERROR(1/Calculations_APPURT[[#This Row],[Brackets]],0) * cv_M/cv_F * Forces_APPURT[[#This Row],[Delta Fa 225]] * Calculations_APPURT[[#This Row],[Horizontal Offset]]/12</f>
        <v>0</v>
      </c>
      <c r="NJ17" s="276">
        <f>IFERROR(1/Calculations_APPURT[[#This Row],[Brackets]],0) * cv_M/cv_F * Forces_APPURT[[#This Row],[Delta Fa 240]] * Calculations_APPURT[[#This Row],[Horizontal Offset]]/12</f>
        <v>0</v>
      </c>
      <c r="NK17" s="276">
        <f>IFERROR(1/Calculations_APPURT[[#This Row],[Brackets]],0) * cv_M/cv_F * Forces_APPURT[[#This Row],[Delta Fa 270]] * Calculations_APPURT[[#This Row],[Horizontal Offset]]/12</f>
        <v>0</v>
      </c>
      <c r="NL17" s="276">
        <f>IFERROR(1/Calculations_APPURT[[#This Row],[Brackets]],0) * cv_M/cv_F * Forces_APPURT[[#This Row],[Delta Fa 300]] * Calculations_APPURT[[#This Row],[Horizontal Offset]]/12</f>
        <v>0</v>
      </c>
      <c r="NM17" s="276">
        <f>IFERROR(1/Calculations_APPURT[[#This Row],[Brackets]],0) * cv_M/cv_F * Forces_APPURT[[#This Row],[Delta Fa 315]] * Calculations_APPURT[[#This Row],[Horizontal Offset]]/12</f>
        <v>0</v>
      </c>
      <c r="NN17" s="276">
        <f>IFERROR(1/Calculations_APPURT[[#This Row],[Brackets]],0) * cv_M/cv_F * Forces_APPURT[[#This Row],[Delta Fa 330]] * Calculations_APPURT[[#This Row],[Horizontal Offset]]/12</f>
        <v>0</v>
      </c>
      <c r="NO17" s="276">
        <f>IFERROR(1/Calculations_APPURT[[#This Row],[Brackets]],0) * cv_M/cv_F * Forces_APPURT[[#This Row],[Alpha Fai 0]] * Calculations_APPURT[[#This Row],[Horizontal Offset]]/12</f>
        <v>0</v>
      </c>
      <c r="NP17" s="276">
        <f>IFERROR(1/Calculations_APPURT[[#This Row],[Brackets]],0) * cv_M/cv_F * Forces_APPURT[[#This Row],[Alpha Fai 30]] * Calculations_APPURT[[#This Row],[Horizontal Offset]]/12</f>
        <v>0</v>
      </c>
      <c r="NQ17" s="276">
        <f>IFERROR(1/Calculations_APPURT[[#This Row],[Brackets]],0) * cv_M/cv_F * Forces_APPURT[[#This Row],[Alpha Fai 45]] * Calculations_APPURT[[#This Row],[Horizontal Offset]]/12</f>
        <v>0</v>
      </c>
      <c r="NR17" s="276">
        <f>IFERROR(1/Calculations_APPURT[[#This Row],[Brackets]],0) * cv_M/cv_F * Forces_APPURT[[#This Row],[Alpha Fai 60]] * Calculations_APPURT[[#This Row],[Horizontal Offset]]/12</f>
        <v>0</v>
      </c>
      <c r="NS17" s="276">
        <f>IFERROR(1/Calculations_APPURT[[#This Row],[Brackets]],0) * cv_M/cv_F * Forces_APPURT[[#This Row],[Alpha Fai 90]] * Calculations_APPURT[[#This Row],[Horizontal Offset]]/12</f>
        <v>0</v>
      </c>
      <c r="NT17" s="276">
        <f>IFERROR(1/Calculations_APPURT[[#This Row],[Brackets]],0) * cv_M/cv_F * Forces_APPURT[[#This Row],[Alpha Fai 120]] * Calculations_APPURT[[#This Row],[Horizontal Offset]]/12</f>
        <v>0</v>
      </c>
      <c r="NU17" s="276">
        <f>IFERROR(1/Calculations_APPURT[[#This Row],[Brackets]],0) * cv_M/cv_F * Forces_APPURT[[#This Row],[Alpha Fai 135]] * Calculations_APPURT[[#This Row],[Horizontal Offset]]/12</f>
        <v>0</v>
      </c>
      <c r="NV17" s="276">
        <f>IFERROR(1/Calculations_APPURT[[#This Row],[Brackets]],0) * cv_M/cv_F * Forces_APPURT[[#This Row],[Alpha Fai 150]] * Calculations_APPURT[[#This Row],[Horizontal Offset]]/12</f>
        <v>0</v>
      </c>
      <c r="NW17" s="276">
        <f>IFERROR(1/Calculations_APPURT[[#This Row],[Brackets]],0) * cv_M/cv_F * Forces_APPURT[[#This Row],[Alpha Fai 180]] * Calculations_APPURT[[#This Row],[Horizontal Offset]]/12</f>
        <v>0</v>
      </c>
      <c r="NX17" s="276">
        <f>IFERROR(1/Calculations_APPURT[[#This Row],[Brackets]],0) * cv_M/cv_F * Forces_APPURT[[#This Row],[Alpha Fai 210]] * Calculations_APPURT[[#This Row],[Horizontal Offset]]/12</f>
        <v>0</v>
      </c>
      <c r="NY17" s="276">
        <f>IFERROR(1/Calculations_APPURT[[#This Row],[Brackets]],0) * cv_M/cv_F * Forces_APPURT[[#This Row],[Alpha Fai 225]] * Calculations_APPURT[[#This Row],[Horizontal Offset]]/12</f>
        <v>0</v>
      </c>
      <c r="NZ17" s="276">
        <f>IFERROR(1/Calculations_APPURT[[#This Row],[Brackets]],0) * cv_M/cv_F * Forces_APPURT[[#This Row],[Alpha Fai 240]] * Calculations_APPURT[[#This Row],[Horizontal Offset]]/12</f>
        <v>0</v>
      </c>
      <c r="OA17" s="276">
        <f>IFERROR(1/Calculations_APPURT[[#This Row],[Brackets]],0) * cv_M/cv_F * Forces_APPURT[[#This Row],[Alpha Fai 270]] * Calculations_APPURT[[#This Row],[Horizontal Offset]]/12</f>
        <v>0</v>
      </c>
      <c r="OB17" s="276">
        <f>IFERROR(1/Calculations_APPURT[[#This Row],[Brackets]],0) * cv_M/cv_F * Forces_APPURT[[#This Row],[Alpha Fai 300]] * Calculations_APPURT[[#This Row],[Horizontal Offset]]/12</f>
        <v>0</v>
      </c>
      <c r="OC17" s="276">
        <f>IFERROR(1/Calculations_APPURT[[#This Row],[Brackets]],0) * cv_M/cv_F * Forces_APPURT[[#This Row],[Alpha Fai 315]] * Calculations_APPURT[[#This Row],[Horizontal Offset]]/12</f>
        <v>0</v>
      </c>
      <c r="OD17" s="276">
        <f>IFERROR(1/Calculations_APPURT[[#This Row],[Brackets]],0) * cv_M/cv_F * Forces_APPURT[[#This Row],[Alpha Fai 330]] * Calculations_APPURT[[#This Row],[Horizontal Offset]]/12</f>
        <v>0</v>
      </c>
      <c r="OE17" s="276">
        <f>IFERROR(1/Calculations_APPURT[[#This Row],[Brackets]],0) * cv_M/cv_F * Forces_APPURT[[#This Row],[Beta Fai 0]] * Calculations_APPURT[[#This Row],[Horizontal Offset]]/12</f>
        <v>0</v>
      </c>
      <c r="OF17" s="276">
        <f>IFERROR(1/Calculations_APPURT[[#This Row],[Brackets]],0) * cv_M/cv_F * Forces_APPURT[[#This Row],[Beta Fai 30]] * Calculations_APPURT[[#This Row],[Horizontal Offset]]/12</f>
        <v>0</v>
      </c>
      <c r="OG17" s="276">
        <f>IFERROR(1/Calculations_APPURT[[#This Row],[Brackets]],0) * cv_M/cv_F * Forces_APPURT[[#This Row],[Beta Fai 45]] * Calculations_APPURT[[#This Row],[Horizontal Offset]]/12</f>
        <v>0</v>
      </c>
      <c r="OH17" s="276">
        <f>IFERROR(1/Calculations_APPURT[[#This Row],[Brackets]],0) * cv_M/cv_F * Forces_APPURT[[#This Row],[Beta Fai 60]] * Calculations_APPURT[[#This Row],[Horizontal Offset]]/12</f>
        <v>0</v>
      </c>
      <c r="OI17" s="276">
        <f>IFERROR(1/Calculations_APPURT[[#This Row],[Brackets]],0) * cv_M/cv_F * Forces_APPURT[[#This Row],[Beta Fai 90]] * Calculations_APPURT[[#This Row],[Horizontal Offset]]/12</f>
        <v>0</v>
      </c>
      <c r="OJ17" s="276">
        <f>IFERROR(1/Calculations_APPURT[[#This Row],[Brackets]],0) * cv_M/cv_F * Forces_APPURT[[#This Row],[Beta Fai 120]] * Calculations_APPURT[[#This Row],[Horizontal Offset]]/12</f>
        <v>0</v>
      </c>
      <c r="OK17" s="276">
        <f>IFERROR(1/Calculations_APPURT[[#This Row],[Brackets]],0) * cv_M/cv_F * Forces_APPURT[[#This Row],[Beta Fai 135]] * Calculations_APPURT[[#This Row],[Horizontal Offset]]/12</f>
        <v>0</v>
      </c>
      <c r="OL17" s="276">
        <f>IFERROR(1/Calculations_APPURT[[#This Row],[Brackets]],0) * cv_M/cv_F * Forces_APPURT[[#This Row],[Beta Fai 150]] * Calculations_APPURT[[#This Row],[Horizontal Offset]]/12</f>
        <v>0</v>
      </c>
      <c r="OM17" s="276">
        <f>IFERROR(1/Calculations_APPURT[[#This Row],[Brackets]],0) * cv_M/cv_F * Forces_APPURT[[#This Row],[Beta Fai 180]] * Calculations_APPURT[[#This Row],[Horizontal Offset]]/12</f>
        <v>0</v>
      </c>
      <c r="ON17" s="276">
        <f>IFERROR(1/Calculations_APPURT[[#This Row],[Brackets]],0) * cv_M/cv_F * Forces_APPURT[[#This Row],[Beta Fai 210]] * Calculations_APPURT[[#This Row],[Horizontal Offset]]/12</f>
        <v>0</v>
      </c>
      <c r="OO17" s="276">
        <f>IFERROR(1/Calculations_APPURT[[#This Row],[Brackets]],0) * cv_M/cv_F * Forces_APPURT[[#This Row],[Beta Fai 225]] * Calculations_APPURT[[#This Row],[Horizontal Offset]]/12</f>
        <v>0</v>
      </c>
      <c r="OP17" s="276">
        <f>IFERROR(1/Calculations_APPURT[[#This Row],[Brackets]],0) * cv_M/cv_F * Forces_APPURT[[#This Row],[Beta Fai 240]] * Calculations_APPURT[[#This Row],[Horizontal Offset]]/12</f>
        <v>0</v>
      </c>
      <c r="OQ17" s="276">
        <f>IFERROR(1/Calculations_APPURT[[#This Row],[Brackets]],0) * cv_M/cv_F * Forces_APPURT[[#This Row],[Beta Fai 270]] * Calculations_APPURT[[#This Row],[Horizontal Offset]]/12</f>
        <v>0</v>
      </c>
      <c r="OR17" s="276">
        <f>IFERROR(1/Calculations_APPURT[[#This Row],[Brackets]],0) * cv_M/cv_F * Forces_APPURT[[#This Row],[Beta Fai 300]] * Calculations_APPURT[[#This Row],[Horizontal Offset]]/12</f>
        <v>0</v>
      </c>
      <c r="OS17" s="276">
        <f>IFERROR(1/Calculations_APPURT[[#This Row],[Brackets]],0) * cv_M/cv_F * Forces_APPURT[[#This Row],[Beta Fai 315]] * Calculations_APPURT[[#This Row],[Horizontal Offset]]/12</f>
        <v>0</v>
      </c>
      <c r="OT17" s="276">
        <f>IFERROR(1/Calculations_APPURT[[#This Row],[Brackets]],0) * cv_M/cv_F * Forces_APPURT[[#This Row],[Beta Fai 330]] * Calculations_APPURT[[#This Row],[Horizontal Offset]]/12</f>
        <v>0</v>
      </c>
      <c r="OU17" s="276">
        <f>IFERROR(1/Calculations_APPURT[[#This Row],[Brackets]],0) * cv_M/cv_F * Forces_APPURT[[#This Row],[Gamma Fai 0]] * Calculations_APPURT[[#This Row],[Horizontal Offset]]/12</f>
        <v>0</v>
      </c>
      <c r="OV17" s="276">
        <f>IFERROR(1/Calculations_APPURT[[#This Row],[Brackets]],0) * cv_M/cv_F * Forces_APPURT[[#This Row],[Gamma Fai 30]] * Calculations_APPURT[[#This Row],[Horizontal Offset]]/12</f>
        <v>0</v>
      </c>
      <c r="OW17" s="276">
        <f>IFERROR(1/Calculations_APPURT[[#This Row],[Brackets]],0) * cv_M/cv_F * Forces_APPURT[[#This Row],[Gamma Fai 45]] * Calculations_APPURT[[#This Row],[Horizontal Offset]]/12</f>
        <v>0</v>
      </c>
      <c r="OX17" s="276">
        <f>IFERROR(1/Calculations_APPURT[[#This Row],[Brackets]],0) * cv_M/cv_F * Forces_APPURT[[#This Row],[Gamma Fai 60]] * Calculations_APPURT[[#This Row],[Horizontal Offset]]/12</f>
        <v>0</v>
      </c>
      <c r="OY17" s="276">
        <f>IFERROR(1/Calculations_APPURT[[#This Row],[Brackets]],0) * cv_M/cv_F * Forces_APPURT[[#This Row],[Gamma Fai 90]] * Calculations_APPURT[[#This Row],[Horizontal Offset]]/12</f>
        <v>0</v>
      </c>
      <c r="OZ17" s="276">
        <f>IFERROR(1/Calculations_APPURT[[#This Row],[Brackets]],0) * cv_M/cv_F * Forces_APPURT[[#This Row],[Gamma Fai 120]] * Calculations_APPURT[[#This Row],[Horizontal Offset]]/12</f>
        <v>0</v>
      </c>
      <c r="PA17" s="276">
        <f>IFERROR(1/Calculations_APPURT[[#This Row],[Brackets]],0) * cv_M/cv_F * Forces_APPURT[[#This Row],[Gamma Fai 135]] * Calculations_APPURT[[#This Row],[Horizontal Offset]]/12</f>
        <v>0</v>
      </c>
      <c r="PB17" s="276">
        <f>IFERROR(1/Calculations_APPURT[[#This Row],[Brackets]],0) * cv_M/cv_F * Forces_APPURT[[#This Row],[Gamma Fai 150]] * Calculations_APPURT[[#This Row],[Horizontal Offset]]/12</f>
        <v>0</v>
      </c>
      <c r="PC17" s="276">
        <f>IFERROR(1/Calculations_APPURT[[#This Row],[Brackets]],0) * cv_M/cv_F * Forces_APPURT[[#This Row],[Gamma Fai 180]] * Calculations_APPURT[[#This Row],[Horizontal Offset]]/12</f>
        <v>0</v>
      </c>
      <c r="PD17" s="276">
        <f>IFERROR(1/Calculations_APPURT[[#This Row],[Brackets]],0) * cv_M/cv_F * Forces_APPURT[[#This Row],[Gamma Fai 210]] * Calculations_APPURT[[#This Row],[Horizontal Offset]]/12</f>
        <v>0</v>
      </c>
      <c r="PE17" s="276">
        <f>IFERROR(1/Calculations_APPURT[[#This Row],[Brackets]],0) * cv_M/cv_F * Forces_APPURT[[#This Row],[Gamma Fai 225]] * Calculations_APPURT[[#This Row],[Horizontal Offset]]/12</f>
        <v>0</v>
      </c>
      <c r="PF17" s="276">
        <f>IFERROR(1/Calculations_APPURT[[#This Row],[Brackets]],0) * cv_M/cv_F * Forces_APPURT[[#This Row],[Gamma Fai 240]] * Calculations_APPURT[[#This Row],[Horizontal Offset]]/12</f>
        <v>0</v>
      </c>
      <c r="PG17" s="276">
        <f>IFERROR(1/Calculations_APPURT[[#This Row],[Brackets]],0) * cv_M/cv_F * Forces_APPURT[[#This Row],[Gamma Fai 270]] * Calculations_APPURT[[#This Row],[Horizontal Offset]]/12</f>
        <v>0</v>
      </c>
      <c r="PH17" s="276">
        <f>IFERROR(1/Calculations_APPURT[[#This Row],[Brackets]],0) * cv_M/cv_F * Forces_APPURT[[#This Row],[Gamma Fai 300]] * Calculations_APPURT[[#This Row],[Horizontal Offset]]/12</f>
        <v>0</v>
      </c>
      <c r="PI17" s="276">
        <f>IFERROR(1/Calculations_APPURT[[#This Row],[Brackets]],0) * cv_M/cv_F * Forces_APPURT[[#This Row],[Gamma Fai 315]] * Calculations_APPURT[[#This Row],[Horizontal Offset]]/12</f>
        <v>0</v>
      </c>
      <c r="PJ17" s="276">
        <f>IFERROR(1/Calculations_APPURT[[#This Row],[Brackets]],0) * cv_M/cv_F * Forces_APPURT[[#This Row],[Gamma Fai 330]] * Calculations_APPURT[[#This Row],[Horizontal Offset]]/12</f>
        <v>0</v>
      </c>
      <c r="PK17" s="276">
        <f>IFERROR(1/Calculations_APPURT[[#This Row],[Brackets]],0) * cv_M/cv_F * Forces_APPURT[[#This Row],[Delta Fai 0]] * Calculations_APPURT[[#This Row],[Horizontal Offset]]/12</f>
        <v>0</v>
      </c>
      <c r="PL17" s="276">
        <f>IFERROR(1/Calculations_APPURT[[#This Row],[Brackets]],0) * cv_M/cv_F * Forces_APPURT[[#This Row],[Delta Fai 30]] * Calculations_APPURT[[#This Row],[Horizontal Offset]]/12</f>
        <v>0</v>
      </c>
      <c r="PM17" s="276">
        <f>IFERROR(1/Calculations_APPURT[[#This Row],[Brackets]],0) * cv_M/cv_F * Forces_APPURT[[#This Row],[Delta Fai 45]] * Calculations_APPURT[[#This Row],[Horizontal Offset]]/12</f>
        <v>0</v>
      </c>
      <c r="PN17" s="276">
        <f>IFERROR(1/Calculations_APPURT[[#This Row],[Brackets]],0) * cv_M/cv_F * Forces_APPURT[[#This Row],[Delta Fai 60]] * Calculations_APPURT[[#This Row],[Horizontal Offset]]/12</f>
        <v>0</v>
      </c>
      <c r="PO17" s="276">
        <f>IFERROR(1/Calculations_APPURT[[#This Row],[Brackets]],0) * cv_M/cv_F * Forces_APPURT[[#This Row],[Delta Fai 90]] * Calculations_APPURT[[#This Row],[Horizontal Offset]]/12</f>
        <v>0</v>
      </c>
      <c r="PP17" s="276">
        <f>IFERROR(1/Calculations_APPURT[[#This Row],[Brackets]],0) * cv_M/cv_F * Forces_APPURT[[#This Row],[Delta Fai 120]] * Calculations_APPURT[[#This Row],[Horizontal Offset]]/12</f>
        <v>0</v>
      </c>
      <c r="PQ17" s="276">
        <f>IFERROR(1/Calculations_APPURT[[#This Row],[Brackets]],0) * cv_M/cv_F * Forces_APPURT[[#This Row],[Delta Fai 135]] * Calculations_APPURT[[#This Row],[Horizontal Offset]]/12</f>
        <v>0</v>
      </c>
      <c r="PR17" s="276">
        <f>IFERROR(1/Calculations_APPURT[[#This Row],[Brackets]],0) * cv_M/cv_F * Forces_APPURT[[#This Row],[Delta Fai 150]] * Calculations_APPURT[[#This Row],[Horizontal Offset]]/12</f>
        <v>0</v>
      </c>
      <c r="PS17" s="276">
        <f>IFERROR(1/Calculations_APPURT[[#This Row],[Brackets]],0) * cv_M/cv_F * Forces_APPURT[[#This Row],[Delta Fai 180]] * Calculations_APPURT[[#This Row],[Horizontal Offset]]/12</f>
        <v>0</v>
      </c>
      <c r="PT17" s="276">
        <f>IFERROR(1/Calculations_APPURT[[#This Row],[Brackets]],0) * cv_M/cv_F * Forces_APPURT[[#This Row],[Delta Fai 210]] * Calculations_APPURT[[#This Row],[Horizontal Offset]]/12</f>
        <v>0</v>
      </c>
      <c r="PU17" s="276">
        <f>IFERROR(1/Calculations_APPURT[[#This Row],[Brackets]],0) * cv_M/cv_F * Forces_APPURT[[#This Row],[Delta Fai 225]] * Calculations_APPURT[[#This Row],[Horizontal Offset]]/12</f>
        <v>0</v>
      </c>
      <c r="PV17" s="276">
        <f>IFERROR(1/Calculations_APPURT[[#This Row],[Brackets]],0) * cv_M/cv_F * Forces_APPURT[[#This Row],[Delta Fai 240]] * Calculations_APPURT[[#This Row],[Horizontal Offset]]/12</f>
        <v>0</v>
      </c>
      <c r="PW17" s="276">
        <f>IFERROR(1/Calculations_APPURT[[#This Row],[Brackets]],0) * cv_M/cv_F * Forces_APPURT[[#This Row],[Delta Fai 270]] * Calculations_APPURT[[#This Row],[Horizontal Offset]]/12</f>
        <v>0</v>
      </c>
      <c r="PX17" s="276">
        <f>IFERROR(1/Calculations_APPURT[[#This Row],[Brackets]],0) * cv_M/cv_F * Forces_APPURT[[#This Row],[Delta Fai 300]] * Calculations_APPURT[[#This Row],[Horizontal Offset]]/12</f>
        <v>0</v>
      </c>
      <c r="PY17" s="276">
        <f>IFERROR(1/Calculations_APPURT[[#This Row],[Brackets]],0) * cv_M/cv_F * Forces_APPURT[[#This Row],[Delta Fai 315]] * Calculations_APPURT[[#This Row],[Horizontal Offset]]/12</f>
        <v>0</v>
      </c>
      <c r="PZ17" s="276">
        <f>IFERROR(1/Calculations_APPURT[[#This Row],[Brackets]],0) * cv_M/cv_F * Forces_APPURT[[#This Row],[Delta Fai 330]] * Calculations_APPURT[[#This Row],[Horizontal Offset]]/12</f>
        <v>0</v>
      </c>
      <c r="QA17" s="276">
        <f>IFERROR(1/Calculations_APPURT[[#This Row],[Brackets]],0) * cv_M/cv_F * Forces_APPURT[[#This Row],[Alpha Fa 0]] * Calculations_APPURT[[#This Row],[Lateral Offset]]/12</f>
        <v>0</v>
      </c>
      <c r="QB17" s="276">
        <f>IFERROR(1/Calculations_APPURT[[#This Row],[Brackets]],0) * cv_M/cv_F * Forces_APPURT[[#This Row],[Alpha Fa 30]] * Calculations_APPURT[[#This Row],[Lateral Offset]]/12</f>
        <v>0</v>
      </c>
      <c r="QC17" s="276">
        <f>IFERROR(1/Calculations_APPURT[[#This Row],[Brackets]],0) * cv_M/cv_F * Forces_APPURT[[#This Row],[Alpha Fa 45]] * Calculations_APPURT[[#This Row],[Lateral Offset]]/12</f>
        <v>0</v>
      </c>
      <c r="QD17" s="276">
        <f>IFERROR(1/Calculations_APPURT[[#This Row],[Brackets]],0) * cv_M/cv_F * Forces_APPURT[[#This Row],[Alpha Fa 60]] * Calculations_APPURT[[#This Row],[Lateral Offset]]/12</f>
        <v>0</v>
      </c>
      <c r="QE17" s="276">
        <f>IFERROR(1/Calculations_APPURT[[#This Row],[Brackets]],0) * cv_M/cv_F * Forces_APPURT[[#This Row],[Alpha Fa 90]] * Calculations_APPURT[[#This Row],[Lateral Offset]]/12</f>
        <v>0</v>
      </c>
      <c r="QF17" s="276">
        <f>IFERROR(1/Calculations_APPURT[[#This Row],[Brackets]],0) * cv_M/cv_F * Forces_APPURT[[#This Row],[Alpha Fa 120]] * Calculations_APPURT[[#This Row],[Lateral Offset]]/12</f>
        <v>0</v>
      </c>
      <c r="QG17" s="276">
        <f>IFERROR(1/Calculations_APPURT[[#This Row],[Brackets]],0) * cv_M/cv_F * Forces_APPURT[[#This Row],[Alpha Fa 135]] * Calculations_APPURT[[#This Row],[Lateral Offset]]/12</f>
        <v>0</v>
      </c>
      <c r="QH17" s="276">
        <f>IFERROR(1/Calculations_APPURT[[#This Row],[Brackets]],0) * cv_M/cv_F * Forces_APPURT[[#This Row],[Alpha Fa 150]] * Calculations_APPURT[[#This Row],[Lateral Offset]]/12</f>
        <v>0</v>
      </c>
      <c r="QI17" s="276">
        <f>IFERROR(1/Calculations_APPURT[[#This Row],[Brackets]],0) * cv_M/cv_F * Forces_APPURT[[#This Row],[Alpha Fa 180]] * Calculations_APPURT[[#This Row],[Lateral Offset]]/12</f>
        <v>0</v>
      </c>
      <c r="QJ17" s="276">
        <f>IFERROR(1/Calculations_APPURT[[#This Row],[Brackets]],0) * cv_M/cv_F * Forces_APPURT[[#This Row],[Alpha Fa 210]] * Calculations_APPURT[[#This Row],[Lateral Offset]]/12</f>
        <v>0</v>
      </c>
      <c r="QK17" s="276">
        <f>IFERROR(1/Calculations_APPURT[[#This Row],[Brackets]],0) * cv_M/cv_F * Forces_APPURT[[#This Row],[Alpha Fa 225]] * Calculations_APPURT[[#This Row],[Lateral Offset]]/12</f>
        <v>0</v>
      </c>
      <c r="QL17" s="276">
        <f>IFERROR(1/Calculations_APPURT[[#This Row],[Brackets]],0) * cv_M/cv_F * Forces_APPURT[[#This Row],[Alpha Fa 240]] * Calculations_APPURT[[#This Row],[Lateral Offset]]/12</f>
        <v>0</v>
      </c>
      <c r="QM17" s="276">
        <f>IFERROR(1/Calculations_APPURT[[#This Row],[Brackets]],0) * cv_M/cv_F * Forces_APPURT[[#This Row],[Alpha Fa 270]] * Calculations_APPURT[[#This Row],[Lateral Offset]]/12</f>
        <v>0</v>
      </c>
      <c r="QN17" s="276">
        <f>IFERROR(1/Calculations_APPURT[[#This Row],[Brackets]],0) * cv_M/cv_F * Forces_APPURT[[#This Row],[Alpha Fa 300]] * Calculations_APPURT[[#This Row],[Lateral Offset]]/12</f>
        <v>0</v>
      </c>
      <c r="QO17" s="276">
        <f>IFERROR(1/Calculations_APPURT[[#This Row],[Brackets]],0) * cv_M/cv_F * Forces_APPURT[[#This Row],[Alpha Fa 315]] * Calculations_APPURT[[#This Row],[Lateral Offset]]/12</f>
        <v>0</v>
      </c>
      <c r="QP17" s="276">
        <f>IFERROR(1/Calculations_APPURT[[#This Row],[Brackets]],0) * cv_M/cv_F * Forces_APPURT[[#This Row],[Alpha Fa 330]] * Calculations_APPURT[[#This Row],[Lateral Offset]]/12</f>
        <v>0</v>
      </c>
      <c r="QQ17" s="276">
        <f>IFERROR(1/Calculations_APPURT[[#This Row],[Brackets]],0) * cv_M/cv_F * Forces_APPURT[[#This Row],[Beta Fa 0]] * Calculations_APPURT[[#This Row],[Lateral Offset]]/12</f>
        <v>0</v>
      </c>
      <c r="QR17" s="276">
        <f>IFERROR(1/Calculations_APPURT[[#This Row],[Brackets]],0) * cv_M/cv_F * Forces_APPURT[[#This Row],[Beta Fa 30]] * Calculations_APPURT[[#This Row],[Lateral Offset]]/12</f>
        <v>0</v>
      </c>
      <c r="QS17" s="276">
        <f>IFERROR(1/Calculations_APPURT[[#This Row],[Brackets]],0) * cv_M/cv_F * Forces_APPURT[[#This Row],[Beta Fa 45]] * Calculations_APPURT[[#This Row],[Lateral Offset]]/12</f>
        <v>0</v>
      </c>
      <c r="QT17" s="276">
        <f>IFERROR(1/Calculations_APPURT[[#This Row],[Brackets]],0) * cv_M/cv_F * Forces_APPURT[[#This Row],[Beta Fa 60]] * Calculations_APPURT[[#This Row],[Lateral Offset]]/12</f>
        <v>0</v>
      </c>
      <c r="QU17" s="276">
        <f>IFERROR(1/Calculations_APPURT[[#This Row],[Brackets]],0) * cv_M/cv_F * Forces_APPURT[[#This Row],[Beta Fa 90]] * Calculations_APPURT[[#This Row],[Lateral Offset]]/12</f>
        <v>0</v>
      </c>
      <c r="QV17" s="276">
        <f>IFERROR(1/Calculations_APPURT[[#This Row],[Brackets]],0) * cv_M/cv_F * Forces_APPURT[[#This Row],[Beta Fa 120]] * Calculations_APPURT[[#This Row],[Lateral Offset]]/12</f>
        <v>0</v>
      </c>
      <c r="QW17" s="276">
        <f>IFERROR(1/Calculations_APPURT[[#This Row],[Brackets]],0) * cv_M/cv_F * Forces_APPURT[[#This Row],[Beta Fa 135]] * Calculations_APPURT[[#This Row],[Lateral Offset]]/12</f>
        <v>0</v>
      </c>
      <c r="QX17" s="276">
        <f>IFERROR(1/Calculations_APPURT[[#This Row],[Brackets]],0) * cv_M/cv_F * Forces_APPURT[[#This Row],[Beta Fa 150]] * Calculations_APPURT[[#This Row],[Lateral Offset]]/12</f>
        <v>0</v>
      </c>
      <c r="QY17" s="276">
        <f>IFERROR(1/Calculations_APPURT[[#This Row],[Brackets]],0) * cv_M/cv_F * Forces_APPURT[[#This Row],[Beta Fa 180]] * Calculations_APPURT[[#This Row],[Lateral Offset]]/12</f>
        <v>0</v>
      </c>
      <c r="QZ17" s="276">
        <f>IFERROR(1/Calculations_APPURT[[#This Row],[Brackets]],0) * cv_M/cv_F * Forces_APPURT[[#This Row],[Beta Fa 210]] * Calculations_APPURT[[#This Row],[Lateral Offset]]/12</f>
        <v>0</v>
      </c>
      <c r="RA17" s="276">
        <f>IFERROR(1/Calculations_APPURT[[#This Row],[Brackets]],0) * cv_M/cv_F * Forces_APPURT[[#This Row],[Beta Fa 225]] * Calculations_APPURT[[#This Row],[Lateral Offset]]/12</f>
        <v>0</v>
      </c>
      <c r="RB17" s="276">
        <f>IFERROR(1/Calculations_APPURT[[#This Row],[Brackets]],0) * cv_M/cv_F * Forces_APPURT[[#This Row],[Beta Fa 240]] * Calculations_APPURT[[#This Row],[Lateral Offset]]/12</f>
        <v>0</v>
      </c>
      <c r="RC17" s="276">
        <f>IFERROR(1/Calculations_APPURT[[#This Row],[Brackets]],0) * cv_M/cv_F * Forces_APPURT[[#This Row],[Beta Fa 270]] * Calculations_APPURT[[#This Row],[Lateral Offset]]/12</f>
        <v>0</v>
      </c>
      <c r="RD17" s="276">
        <f>IFERROR(1/Calculations_APPURT[[#This Row],[Brackets]],0) * cv_M/cv_F * Forces_APPURT[[#This Row],[Beta Fa 300]] * Calculations_APPURT[[#This Row],[Lateral Offset]]/12</f>
        <v>0</v>
      </c>
      <c r="RE17" s="276">
        <f>IFERROR(1/Calculations_APPURT[[#This Row],[Brackets]],0) * cv_M/cv_F * Forces_APPURT[[#This Row],[Beta Fa 315]] * Calculations_APPURT[[#This Row],[Lateral Offset]]/12</f>
        <v>0</v>
      </c>
      <c r="RF17" s="276">
        <f>IFERROR(1/Calculations_APPURT[[#This Row],[Brackets]],0) * cv_M/cv_F * Forces_APPURT[[#This Row],[Beta Fa 330]] * Calculations_APPURT[[#This Row],[Lateral Offset]]/12</f>
        <v>0</v>
      </c>
      <c r="RG17" s="276">
        <f>IFERROR(1/Calculations_APPURT[[#This Row],[Brackets]],0) * cv_M/cv_F * Forces_APPURT[[#This Row],[Gamma Fa 0]] * Calculations_APPURT[[#This Row],[Lateral Offset]]/12</f>
        <v>0</v>
      </c>
      <c r="RH17" s="276">
        <f>IFERROR(1/Calculations_APPURT[[#This Row],[Brackets]],0) * cv_M/cv_F * Forces_APPURT[[#This Row],[Gamma Fa 30]] * Calculations_APPURT[[#This Row],[Lateral Offset]]/12</f>
        <v>0</v>
      </c>
      <c r="RI17" s="276">
        <f>IFERROR(1/Calculations_APPURT[[#This Row],[Brackets]],0) * cv_M/cv_F * Forces_APPURT[[#This Row],[Gamma Fa 45]] * Calculations_APPURT[[#This Row],[Lateral Offset]]/12</f>
        <v>0</v>
      </c>
      <c r="RJ17" s="276">
        <f>IFERROR(1/Calculations_APPURT[[#This Row],[Brackets]],0) * cv_M/cv_F * Forces_APPURT[[#This Row],[Gamma Fa 60]] * Calculations_APPURT[[#This Row],[Lateral Offset]]/12</f>
        <v>0</v>
      </c>
      <c r="RK17" s="276">
        <f>IFERROR(1/Calculations_APPURT[[#This Row],[Brackets]],0) * cv_M/cv_F * Forces_APPURT[[#This Row],[Gamma Fa 90]] * Calculations_APPURT[[#This Row],[Lateral Offset]]/12</f>
        <v>0</v>
      </c>
      <c r="RL17" s="276">
        <f>IFERROR(1/Calculations_APPURT[[#This Row],[Brackets]],0) * cv_M/cv_F * Forces_APPURT[[#This Row],[Gamma Fa 120]] * Calculations_APPURT[[#This Row],[Lateral Offset]]/12</f>
        <v>0</v>
      </c>
      <c r="RM17" s="276">
        <f>IFERROR(1/Calculations_APPURT[[#This Row],[Brackets]],0) * cv_M/cv_F * Forces_APPURT[[#This Row],[Gamma Fa 135]] * Calculations_APPURT[[#This Row],[Lateral Offset]]/12</f>
        <v>0</v>
      </c>
      <c r="RN17" s="276">
        <f>IFERROR(1/Calculations_APPURT[[#This Row],[Brackets]],0) * cv_M/cv_F * Forces_APPURT[[#This Row],[Gamma Fa 150]] * Calculations_APPURT[[#This Row],[Lateral Offset]]/12</f>
        <v>0</v>
      </c>
      <c r="RO17" s="276">
        <f>IFERROR(1/Calculations_APPURT[[#This Row],[Brackets]],0) * cv_M/cv_F * Forces_APPURT[[#This Row],[Gamma Fa 180]] * Calculations_APPURT[[#This Row],[Lateral Offset]]/12</f>
        <v>0</v>
      </c>
      <c r="RP17" s="276">
        <f>IFERROR(1/Calculations_APPURT[[#This Row],[Brackets]],0) * cv_M/cv_F * Forces_APPURT[[#This Row],[Gamma Fa 210]] * Calculations_APPURT[[#This Row],[Lateral Offset]]/12</f>
        <v>0</v>
      </c>
      <c r="RQ17" s="276">
        <f>IFERROR(1/Calculations_APPURT[[#This Row],[Brackets]],0) * cv_M/cv_F * Forces_APPURT[[#This Row],[Gamma Fa 225]] * Calculations_APPURT[[#This Row],[Lateral Offset]]/12</f>
        <v>0</v>
      </c>
      <c r="RR17" s="276">
        <f>IFERROR(1/Calculations_APPURT[[#This Row],[Brackets]],0) * cv_M/cv_F * Forces_APPURT[[#This Row],[Gamma Fa 240]] * Calculations_APPURT[[#This Row],[Lateral Offset]]/12</f>
        <v>0</v>
      </c>
      <c r="RS17" s="276">
        <f>IFERROR(1/Calculations_APPURT[[#This Row],[Brackets]],0) * cv_M/cv_F * Forces_APPURT[[#This Row],[Gamma Fa 270]] * Calculations_APPURT[[#This Row],[Lateral Offset]]/12</f>
        <v>0</v>
      </c>
      <c r="RT17" s="276">
        <f>IFERROR(1/Calculations_APPURT[[#This Row],[Brackets]],0) * cv_M/cv_F * Forces_APPURT[[#This Row],[Gamma Fa 300]] * Calculations_APPURT[[#This Row],[Lateral Offset]]/12</f>
        <v>0</v>
      </c>
      <c r="RU17" s="276">
        <f>IFERROR(1/Calculations_APPURT[[#This Row],[Brackets]],0) * cv_M/cv_F * Forces_APPURT[[#This Row],[Gamma Fa 315]] * Calculations_APPURT[[#This Row],[Lateral Offset]]/12</f>
        <v>0</v>
      </c>
      <c r="RV17" s="276">
        <f>IFERROR(1/Calculations_APPURT[[#This Row],[Brackets]],0) * cv_M/cv_F * Forces_APPURT[[#This Row],[Gamma Fa 330]] * Calculations_APPURT[[#This Row],[Lateral Offset]]/12</f>
        <v>0</v>
      </c>
      <c r="RW17" s="276">
        <f>IFERROR(1/Calculations_APPURT[[#This Row],[Brackets]],0) * cv_M/cv_F * Forces_APPURT[[#This Row],[Delta Fa 0]] * Calculations_APPURT[[#This Row],[Lateral Offset]]/12</f>
        <v>0</v>
      </c>
      <c r="RX17" s="276">
        <f>IFERROR(1/Calculations_APPURT[[#This Row],[Brackets]],0) * cv_M/cv_F * Forces_APPURT[[#This Row],[Delta Fa 30]] * Calculations_APPURT[[#This Row],[Lateral Offset]]/12</f>
        <v>0</v>
      </c>
      <c r="RY17" s="276">
        <f>IFERROR(1/Calculations_APPURT[[#This Row],[Brackets]],0) * cv_M/cv_F * Forces_APPURT[[#This Row],[Delta Fa 45]] * Calculations_APPURT[[#This Row],[Lateral Offset]]/12</f>
        <v>0</v>
      </c>
      <c r="RZ17" s="276">
        <f>IFERROR(1/Calculations_APPURT[[#This Row],[Brackets]],0) * cv_M/cv_F * Forces_APPURT[[#This Row],[Delta Fa 60]] * Calculations_APPURT[[#This Row],[Lateral Offset]]/12</f>
        <v>0</v>
      </c>
      <c r="SA17" s="276">
        <f>IFERROR(1/Calculations_APPURT[[#This Row],[Brackets]],0) * cv_M/cv_F * Forces_APPURT[[#This Row],[Delta Fa 90]] * Calculations_APPURT[[#This Row],[Lateral Offset]]/12</f>
        <v>0</v>
      </c>
      <c r="SB17" s="276">
        <f>IFERROR(1/Calculations_APPURT[[#This Row],[Brackets]],0) * cv_M/cv_F * Forces_APPURT[[#This Row],[Delta Fa 120]] * Calculations_APPURT[[#This Row],[Lateral Offset]]/12</f>
        <v>0</v>
      </c>
      <c r="SC17" s="276">
        <f>IFERROR(1/Calculations_APPURT[[#This Row],[Brackets]],0) * cv_M/cv_F * Forces_APPURT[[#This Row],[Delta Fa 135]] * Calculations_APPURT[[#This Row],[Lateral Offset]]/12</f>
        <v>0</v>
      </c>
      <c r="SD17" s="276">
        <f>IFERROR(1/Calculations_APPURT[[#This Row],[Brackets]],0) * cv_M/cv_F * Forces_APPURT[[#This Row],[Delta Fa 150]] * Calculations_APPURT[[#This Row],[Lateral Offset]]/12</f>
        <v>0</v>
      </c>
      <c r="SE17" s="276">
        <f>IFERROR(1/Calculations_APPURT[[#This Row],[Brackets]],0) * cv_M/cv_F * Forces_APPURT[[#This Row],[Delta Fa 180]] * Calculations_APPURT[[#This Row],[Lateral Offset]]/12</f>
        <v>0</v>
      </c>
      <c r="SF17" s="276">
        <f>IFERROR(1/Calculations_APPURT[[#This Row],[Brackets]],0) * cv_M/cv_F * Forces_APPURT[[#This Row],[Delta Fa 210]] * Calculations_APPURT[[#This Row],[Lateral Offset]]/12</f>
        <v>0</v>
      </c>
      <c r="SG17" s="276">
        <f>IFERROR(1/Calculations_APPURT[[#This Row],[Brackets]],0) * cv_M/cv_F * Forces_APPURT[[#This Row],[Delta Fa 225]] * Calculations_APPURT[[#This Row],[Lateral Offset]]/12</f>
        <v>0</v>
      </c>
      <c r="SH17" s="276">
        <f>IFERROR(1/Calculations_APPURT[[#This Row],[Brackets]],0) * cv_M/cv_F * Forces_APPURT[[#This Row],[Delta Fa 240]] * Calculations_APPURT[[#This Row],[Lateral Offset]]/12</f>
        <v>0</v>
      </c>
      <c r="SI17" s="276">
        <f>IFERROR(1/Calculations_APPURT[[#This Row],[Brackets]],0) * cv_M/cv_F * Forces_APPURT[[#This Row],[Delta Fa 270]] * Calculations_APPURT[[#This Row],[Lateral Offset]]/12</f>
        <v>0</v>
      </c>
      <c r="SJ17" s="276">
        <f>IFERROR(1/Calculations_APPURT[[#This Row],[Brackets]],0) * cv_M/cv_F * Forces_APPURT[[#This Row],[Delta Fa 300]] * Calculations_APPURT[[#This Row],[Lateral Offset]]/12</f>
        <v>0</v>
      </c>
      <c r="SK17" s="276">
        <f>IFERROR(1/Calculations_APPURT[[#This Row],[Brackets]],0) * cv_M/cv_F * Forces_APPURT[[#This Row],[Delta Fa 315]] * Calculations_APPURT[[#This Row],[Lateral Offset]]/12</f>
        <v>0</v>
      </c>
      <c r="SL17" s="276">
        <f>IFERROR(1/Calculations_APPURT[[#This Row],[Brackets]],0) * cv_M/cv_F * Forces_APPURT[[#This Row],[Delta Fa 330]] * Calculations_APPURT[[#This Row],[Lateral Offset]]/12</f>
        <v>0</v>
      </c>
      <c r="SM17" s="276">
        <f>IFERROR(1/Calculations_APPURT[[#This Row],[Brackets]],0) * cv_M/cv_F * Forces_APPURT[[#This Row],[Alpha Fai 0]] * Calculations_APPURT[[#This Row],[Lateral Offset]]/12</f>
        <v>0</v>
      </c>
      <c r="SN17" s="276">
        <f>IFERROR(1/Calculations_APPURT[[#This Row],[Brackets]],0) * cv_M/cv_F * Forces_APPURT[[#This Row],[Alpha Fai 30]] * Calculations_APPURT[[#This Row],[Lateral Offset]]/12</f>
        <v>0</v>
      </c>
      <c r="SO17" s="276">
        <f>IFERROR(1/Calculations_APPURT[[#This Row],[Brackets]],0) * cv_M/cv_F * Forces_APPURT[[#This Row],[Alpha Fai 45]] * Calculations_APPURT[[#This Row],[Lateral Offset]]/12</f>
        <v>0</v>
      </c>
      <c r="SP17" s="276">
        <f>IFERROR(1/Calculations_APPURT[[#This Row],[Brackets]],0) * cv_M/cv_F * Forces_APPURT[[#This Row],[Alpha Fai 60]] * Calculations_APPURT[[#This Row],[Lateral Offset]]/12</f>
        <v>0</v>
      </c>
      <c r="SQ17" s="276">
        <f>IFERROR(1/Calculations_APPURT[[#This Row],[Brackets]],0) * cv_M/cv_F * Forces_APPURT[[#This Row],[Alpha Fai 90]] * Calculations_APPURT[[#This Row],[Lateral Offset]]/12</f>
        <v>0</v>
      </c>
      <c r="SR17" s="276">
        <f>IFERROR(1/Calculations_APPURT[[#This Row],[Brackets]],0) * cv_M/cv_F * Forces_APPURT[[#This Row],[Alpha Fai 120]] * Calculations_APPURT[[#This Row],[Lateral Offset]]/12</f>
        <v>0</v>
      </c>
      <c r="SS17" s="276">
        <f>IFERROR(1/Calculations_APPURT[[#This Row],[Brackets]],0) * cv_M/cv_F * Forces_APPURT[[#This Row],[Alpha Fai 135]] * Calculations_APPURT[[#This Row],[Lateral Offset]]/12</f>
        <v>0</v>
      </c>
      <c r="ST17" s="276">
        <f>IFERROR(1/Calculations_APPURT[[#This Row],[Brackets]],0) * cv_M/cv_F * Forces_APPURT[[#This Row],[Alpha Fai 150]] * Calculations_APPURT[[#This Row],[Lateral Offset]]/12</f>
        <v>0</v>
      </c>
      <c r="SU17" s="276">
        <f>IFERROR(1/Calculations_APPURT[[#This Row],[Brackets]],0) * cv_M/cv_F * Forces_APPURT[[#This Row],[Alpha Fai 180]] * Calculations_APPURT[[#This Row],[Lateral Offset]]/12</f>
        <v>0</v>
      </c>
      <c r="SV17" s="276">
        <f>IFERROR(1/Calculations_APPURT[[#This Row],[Brackets]],0) * cv_M/cv_F * Forces_APPURT[[#This Row],[Alpha Fai 210]] * Calculations_APPURT[[#This Row],[Lateral Offset]]/12</f>
        <v>0</v>
      </c>
      <c r="SW17" s="276">
        <f>IFERROR(1/Calculations_APPURT[[#This Row],[Brackets]],0) * cv_M/cv_F * Forces_APPURT[[#This Row],[Alpha Fai 225]] * Calculations_APPURT[[#This Row],[Lateral Offset]]/12</f>
        <v>0</v>
      </c>
      <c r="SX17" s="276">
        <f>IFERROR(1/Calculations_APPURT[[#This Row],[Brackets]],0) * cv_M/cv_F * Forces_APPURT[[#This Row],[Alpha Fai 240]] * Calculations_APPURT[[#This Row],[Lateral Offset]]/12</f>
        <v>0</v>
      </c>
      <c r="SY17" s="276">
        <f>IFERROR(1/Calculations_APPURT[[#This Row],[Brackets]],0) * cv_M/cv_F * Forces_APPURT[[#This Row],[Alpha Fai 270]] * Calculations_APPURT[[#This Row],[Lateral Offset]]/12</f>
        <v>0</v>
      </c>
      <c r="SZ17" s="276">
        <f>IFERROR(1/Calculations_APPURT[[#This Row],[Brackets]],0) * cv_M/cv_F * Forces_APPURT[[#This Row],[Alpha Fai 300]] * Calculations_APPURT[[#This Row],[Lateral Offset]]/12</f>
        <v>0</v>
      </c>
      <c r="TA17" s="276">
        <f>IFERROR(1/Calculations_APPURT[[#This Row],[Brackets]],0) * cv_M/cv_F * Forces_APPURT[[#This Row],[Alpha Fai 315]] * Calculations_APPURT[[#This Row],[Lateral Offset]]/12</f>
        <v>0</v>
      </c>
      <c r="TB17" s="276">
        <f>IFERROR(1/Calculations_APPURT[[#This Row],[Brackets]],0) * cv_M/cv_F * Forces_APPURT[[#This Row],[Alpha Fai 330]] * Calculations_APPURT[[#This Row],[Lateral Offset]]/12</f>
        <v>0</v>
      </c>
      <c r="TC17" s="276">
        <f>IFERROR(1/Calculations_APPURT[[#This Row],[Brackets]],0) * cv_M/cv_F * Forces_APPURT[[#This Row],[Beta Fai 0]] * Calculations_APPURT[[#This Row],[Lateral Offset]]/12</f>
        <v>0</v>
      </c>
      <c r="TD17" s="276">
        <f>IFERROR(1/Calculations_APPURT[[#This Row],[Brackets]],0) * cv_M/cv_F * Forces_APPURT[[#This Row],[Beta Fai 30]] * Calculations_APPURT[[#This Row],[Lateral Offset]]/12</f>
        <v>0</v>
      </c>
      <c r="TE17" s="276">
        <f>IFERROR(1/Calculations_APPURT[[#This Row],[Brackets]],0) * cv_M/cv_F * Forces_APPURT[[#This Row],[Beta Fai 45]] * Calculations_APPURT[[#This Row],[Lateral Offset]]/12</f>
        <v>0</v>
      </c>
      <c r="TF17" s="276">
        <f>IFERROR(1/Calculations_APPURT[[#This Row],[Brackets]],0) * cv_M/cv_F * Forces_APPURT[[#This Row],[Beta Fai 60]] * Calculations_APPURT[[#This Row],[Lateral Offset]]/12</f>
        <v>0</v>
      </c>
      <c r="TG17" s="276">
        <f>IFERROR(1/Calculations_APPURT[[#This Row],[Brackets]],0) * cv_M/cv_F * Forces_APPURT[[#This Row],[Beta Fai 90]] * Calculations_APPURT[[#This Row],[Lateral Offset]]/12</f>
        <v>0</v>
      </c>
      <c r="TH17" s="276">
        <f>IFERROR(1/Calculations_APPURT[[#This Row],[Brackets]],0) * cv_M/cv_F * Forces_APPURT[[#This Row],[Beta Fai 120]] * Calculations_APPURT[[#This Row],[Lateral Offset]]/12</f>
        <v>0</v>
      </c>
      <c r="TI17" s="276">
        <f>IFERROR(1/Calculations_APPURT[[#This Row],[Brackets]],0) * cv_M/cv_F * Forces_APPURT[[#This Row],[Beta Fai 135]] * Calculations_APPURT[[#This Row],[Lateral Offset]]/12</f>
        <v>0</v>
      </c>
      <c r="TJ17" s="276">
        <f>IFERROR(1/Calculations_APPURT[[#This Row],[Brackets]],0) * cv_M/cv_F * Forces_APPURT[[#This Row],[Beta Fai 150]] * Calculations_APPURT[[#This Row],[Lateral Offset]]/12</f>
        <v>0</v>
      </c>
      <c r="TK17" s="276">
        <f>IFERROR(1/Calculations_APPURT[[#This Row],[Brackets]],0) * cv_M/cv_F * Forces_APPURT[[#This Row],[Beta Fai 180]] * Calculations_APPURT[[#This Row],[Lateral Offset]]/12</f>
        <v>0</v>
      </c>
      <c r="TL17" s="276">
        <f>IFERROR(1/Calculations_APPURT[[#This Row],[Brackets]],0) * cv_M/cv_F * Forces_APPURT[[#This Row],[Beta Fai 210]] * Calculations_APPURT[[#This Row],[Lateral Offset]]/12</f>
        <v>0</v>
      </c>
      <c r="TM17" s="276">
        <f>IFERROR(1/Calculations_APPURT[[#This Row],[Brackets]],0) * cv_M/cv_F * Forces_APPURT[[#This Row],[Beta Fai 225]] * Calculations_APPURT[[#This Row],[Lateral Offset]]/12</f>
        <v>0</v>
      </c>
      <c r="TN17" s="276">
        <f>IFERROR(1/Calculations_APPURT[[#This Row],[Brackets]],0) * cv_M/cv_F * Forces_APPURT[[#This Row],[Beta Fai 240]] * Calculations_APPURT[[#This Row],[Lateral Offset]]/12</f>
        <v>0</v>
      </c>
      <c r="TO17" s="276">
        <f>IFERROR(1/Calculations_APPURT[[#This Row],[Brackets]],0) * cv_M/cv_F * Forces_APPURT[[#This Row],[Beta Fai 270]] * Calculations_APPURT[[#This Row],[Lateral Offset]]/12</f>
        <v>0</v>
      </c>
      <c r="TP17" s="276">
        <f>IFERROR(1/Calculations_APPURT[[#This Row],[Brackets]],0) * cv_M/cv_F * Forces_APPURT[[#This Row],[Beta Fai 300]] * Calculations_APPURT[[#This Row],[Lateral Offset]]/12</f>
        <v>0</v>
      </c>
      <c r="TQ17" s="276">
        <f>IFERROR(1/Calculations_APPURT[[#This Row],[Brackets]],0) * cv_M/cv_F * Forces_APPURT[[#This Row],[Beta Fai 315]] * Calculations_APPURT[[#This Row],[Lateral Offset]]/12</f>
        <v>0</v>
      </c>
      <c r="TR17" s="276">
        <f>IFERROR(1/Calculations_APPURT[[#This Row],[Brackets]],0) * cv_M/cv_F * Forces_APPURT[[#This Row],[Beta Fai 330]] * Calculations_APPURT[[#This Row],[Lateral Offset]]/12</f>
        <v>0</v>
      </c>
      <c r="TS17" s="276">
        <f>IFERROR(1/Calculations_APPURT[[#This Row],[Brackets]],0) * cv_M/cv_F * Forces_APPURT[[#This Row],[Gamma Fai 0]] * Calculations_APPURT[[#This Row],[Lateral Offset]]/12</f>
        <v>0</v>
      </c>
      <c r="TT17" s="276">
        <f>IFERROR(1/Calculations_APPURT[[#This Row],[Brackets]],0) * cv_M/cv_F * Forces_APPURT[[#This Row],[Gamma Fai 30]] * Calculations_APPURT[[#This Row],[Lateral Offset]]/12</f>
        <v>0</v>
      </c>
      <c r="TU17" s="276">
        <f>IFERROR(1/Calculations_APPURT[[#This Row],[Brackets]],0) * cv_M/cv_F * Forces_APPURT[[#This Row],[Gamma Fai 45]] * Calculations_APPURT[[#This Row],[Lateral Offset]]/12</f>
        <v>0</v>
      </c>
      <c r="TV17" s="276">
        <f>IFERROR(1/Calculations_APPURT[[#This Row],[Brackets]],0) * cv_M/cv_F * Forces_APPURT[[#This Row],[Gamma Fai 60]] * Calculations_APPURT[[#This Row],[Lateral Offset]]/12</f>
        <v>0</v>
      </c>
      <c r="TW17" s="276">
        <f>IFERROR(1/Calculations_APPURT[[#This Row],[Brackets]],0) * cv_M/cv_F * Forces_APPURT[[#This Row],[Gamma Fai 90]] * Calculations_APPURT[[#This Row],[Lateral Offset]]/12</f>
        <v>0</v>
      </c>
      <c r="TX17" s="276">
        <f>IFERROR(1/Calculations_APPURT[[#This Row],[Brackets]],0) * cv_M/cv_F * Forces_APPURT[[#This Row],[Gamma Fai 120]] * Calculations_APPURT[[#This Row],[Lateral Offset]]/12</f>
        <v>0</v>
      </c>
      <c r="TY17" s="276">
        <f>IFERROR(1/Calculations_APPURT[[#This Row],[Brackets]],0) * cv_M/cv_F * Forces_APPURT[[#This Row],[Gamma Fai 135]] * Calculations_APPURT[[#This Row],[Lateral Offset]]/12</f>
        <v>0</v>
      </c>
      <c r="TZ17" s="276">
        <f>IFERROR(1/Calculations_APPURT[[#This Row],[Brackets]],0) * cv_M/cv_F * Forces_APPURT[[#This Row],[Gamma Fai 150]] * Calculations_APPURT[[#This Row],[Lateral Offset]]/12</f>
        <v>0</v>
      </c>
      <c r="UA17" s="276">
        <f>IFERROR(1/Calculations_APPURT[[#This Row],[Brackets]],0) * cv_M/cv_F * Forces_APPURT[[#This Row],[Gamma Fai 180]] * Calculations_APPURT[[#This Row],[Lateral Offset]]/12</f>
        <v>0</v>
      </c>
      <c r="UB17" s="276">
        <f>IFERROR(1/Calculations_APPURT[[#This Row],[Brackets]],0) * cv_M/cv_F * Forces_APPURT[[#This Row],[Gamma Fai 210]] * Calculations_APPURT[[#This Row],[Lateral Offset]]/12</f>
        <v>0</v>
      </c>
      <c r="UC17" s="276">
        <f>IFERROR(1/Calculations_APPURT[[#This Row],[Brackets]],0) * cv_M/cv_F * Forces_APPURT[[#This Row],[Gamma Fai 225]] * Calculations_APPURT[[#This Row],[Lateral Offset]]/12</f>
        <v>0</v>
      </c>
      <c r="UD17" s="276">
        <f>IFERROR(1/Calculations_APPURT[[#This Row],[Brackets]],0) * cv_M/cv_F * Forces_APPURT[[#This Row],[Gamma Fai 240]] * Calculations_APPURT[[#This Row],[Lateral Offset]]/12</f>
        <v>0</v>
      </c>
      <c r="UE17" s="276">
        <f>IFERROR(1/Calculations_APPURT[[#This Row],[Brackets]],0) * cv_M/cv_F * Forces_APPURT[[#This Row],[Gamma Fai 270]] * Calculations_APPURT[[#This Row],[Lateral Offset]]/12</f>
        <v>0</v>
      </c>
      <c r="UF17" s="276">
        <f>IFERROR(1/Calculations_APPURT[[#This Row],[Brackets]],0) * cv_M/cv_F * Forces_APPURT[[#This Row],[Gamma Fai 300]] * Calculations_APPURT[[#This Row],[Lateral Offset]]/12</f>
        <v>0</v>
      </c>
      <c r="UG17" s="276">
        <f>IFERROR(1/Calculations_APPURT[[#This Row],[Brackets]],0) * cv_M/cv_F * Forces_APPURT[[#This Row],[Gamma Fai 315]] * Calculations_APPURT[[#This Row],[Lateral Offset]]/12</f>
        <v>0</v>
      </c>
      <c r="UH17" s="276">
        <f>IFERROR(1/Calculations_APPURT[[#This Row],[Brackets]],0) * cv_M/cv_F * Forces_APPURT[[#This Row],[Gamma Fai 330]] * Calculations_APPURT[[#This Row],[Lateral Offset]]/12</f>
        <v>0</v>
      </c>
      <c r="UI17" s="276">
        <f>IFERROR(1/Calculations_APPURT[[#This Row],[Brackets]],0) * cv_M/cv_F * Forces_APPURT[[#This Row],[Delta Fai 0]] * Calculations_APPURT[[#This Row],[Lateral Offset]]/12</f>
        <v>0</v>
      </c>
      <c r="UJ17" s="276">
        <f>IFERROR(1/Calculations_APPURT[[#This Row],[Brackets]],0) * cv_M/cv_F * Forces_APPURT[[#This Row],[Delta Fai 30]] * Calculations_APPURT[[#This Row],[Lateral Offset]]/12</f>
        <v>0</v>
      </c>
      <c r="UK17" s="276">
        <f>IFERROR(1/Calculations_APPURT[[#This Row],[Brackets]],0) * cv_M/cv_F * Forces_APPURT[[#This Row],[Delta Fai 45]] * Calculations_APPURT[[#This Row],[Lateral Offset]]/12</f>
        <v>0</v>
      </c>
      <c r="UL17" s="276">
        <f>IFERROR(1/Calculations_APPURT[[#This Row],[Brackets]],0) * cv_M/cv_F * Forces_APPURT[[#This Row],[Delta Fai 60]] * Calculations_APPURT[[#This Row],[Lateral Offset]]/12</f>
        <v>0</v>
      </c>
      <c r="UM17" s="276">
        <f>IFERROR(1/Calculations_APPURT[[#This Row],[Brackets]],0) * cv_M/cv_F * Forces_APPURT[[#This Row],[Delta Fai 90]] * Calculations_APPURT[[#This Row],[Lateral Offset]]/12</f>
        <v>0</v>
      </c>
      <c r="UN17" s="276">
        <f>IFERROR(1/Calculations_APPURT[[#This Row],[Brackets]],0) * cv_M/cv_F * Forces_APPURT[[#This Row],[Delta Fai 120]] * Calculations_APPURT[[#This Row],[Lateral Offset]]/12</f>
        <v>0</v>
      </c>
      <c r="UO17" s="276">
        <f>IFERROR(1/Calculations_APPURT[[#This Row],[Brackets]],0) * cv_M/cv_F * Forces_APPURT[[#This Row],[Delta Fai 135]] * Calculations_APPURT[[#This Row],[Lateral Offset]]/12</f>
        <v>0</v>
      </c>
      <c r="UP17" s="276">
        <f>IFERROR(1/Calculations_APPURT[[#This Row],[Brackets]],0) * cv_M/cv_F * Forces_APPURT[[#This Row],[Delta Fai 150]] * Calculations_APPURT[[#This Row],[Lateral Offset]]/12</f>
        <v>0</v>
      </c>
      <c r="UQ17" s="276">
        <f>IFERROR(1/Calculations_APPURT[[#This Row],[Brackets]],0) * cv_M/cv_F * Forces_APPURT[[#This Row],[Delta Fai 180]] * Calculations_APPURT[[#This Row],[Lateral Offset]]/12</f>
        <v>0</v>
      </c>
      <c r="UR17" s="276">
        <f>IFERROR(1/Calculations_APPURT[[#This Row],[Brackets]],0) * cv_M/cv_F * Forces_APPURT[[#This Row],[Delta Fai 210]] * Calculations_APPURT[[#This Row],[Lateral Offset]]/12</f>
        <v>0</v>
      </c>
      <c r="US17" s="276">
        <f>IFERROR(1/Calculations_APPURT[[#This Row],[Brackets]],0) * cv_M/cv_F * Forces_APPURT[[#This Row],[Delta Fai 225]] * Calculations_APPURT[[#This Row],[Lateral Offset]]/12</f>
        <v>0</v>
      </c>
      <c r="UT17" s="276">
        <f>IFERROR(1/Calculations_APPURT[[#This Row],[Brackets]],0) * cv_M/cv_F * Forces_APPURT[[#This Row],[Delta Fai 240]] * Calculations_APPURT[[#This Row],[Lateral Offset]]/12</f>
        <v>0</v>
      </c>
      <c r="UU17" s="276">
        <f>IFERROR(1/Calculations_APPURT[[#This Row],[Brackets]],0) * cv_M/cv_F * Forces_APPURT[[#This Row],[Delta Fai 270]] * Calculations_APPURT[[#This Row],[Lateral Offset]]/12</f>
        <v>0</v>
      </c>
      <c r="UV17" s="276">
        <f>IFERROR(1/Calculations_APPURT[[#This Row],[Brackets]],0) * cv_M/cv_F * Forces_APPURT[[#This Row],[Delta Fai 300]] * Calculations_APPURT[[#This Row],[Lateral Offset]]/12</f>
        <v>0</v>
      </c>
      <c r="UW17" s="276">
        <f>IFERROR(1/Calculations_APPURT[[#This Row],[Brackets]],0) * cv_M/cv_F * Forces_APPURT[[#This Row],[Delta Fai 315]] * Calculations_APPURT[[#This Row],[Lateral Offset]]/12</f>
        <v>0</v>
      </c>
      <c r="UX17" s="276">
        <f>IFERROR(1/Calculations_APPURT[[#This Row],[Brackets]],0) * cv_M/cv_F * Forces_APPURT[[#This Row],[Delta Fai 330]] * Calculations_APPURT[[#This Row],[Lateral Offset]]/12</f>
        <v>0</v>
      </c>
      <c r="UY17" s="276">
        <f>Dimensions_APPURT[[#This Row],[Weight (lbf)]] * cv_F * AlphaSector[[#This Row],[Quantity]]</f>
        <v>0</v>
      </c>
      <c r="UZ17" s="276">
        <f>Dimensions_APPURT[[#This Row],[Weight (lbf)]] * cv_F * BetaSector[[#This Row],[Quantity]]</f>
        <v>0</v>
      </c>
      <c r="VA17" s="276">
        <f>Dimensions_APPURT[[#This Row],[Weight (lbf)]] * cv_F * GammaSector[[#This Row],[Quantity]]</f>
        <v>0</v>
      </c>
      <c r="VB17" s="276">
        <f>Dimensions_APPURT[[#This Row],[Weight (lbf)]] * cv_F * DeltaSector[[#This Row],[Quantity]]</f>
        <v>0</v>
      </c>
      <c r="VC17" s="209">
        <f>Dimensions_APPURT[[#This Row],[Weight (lbf)]] * cv_M * AlphaSector[[#This Row],[Quantity]] * Calculations_APPURT[[#This Row],[Horizontal Offset]]/12</f>
        <v>0</v>
      </c>
      <c r="VD17" s="209">
        <f>Dimensions_APPURT[[#This Row],[Weight (lbf)]] * cv_M * BetaSector[[#This Row],[Quantity]] * Calculations_APPURT[[#This Row],[Horizontal Offset]]/12</f>
        <v>0</v>
      </c>
      <c r="VE17" s="209">
        <f>Dimensions_APPURT[[#This Row],[Weight (lbf)]] * cv_M * GammaSector[[#This Row],[Quantity]] * Calculations_APPURT[[#This Row],[Horizontal Offset]]/12</f>
        <v>0</v>
      </c>
      <c r="VF17" s="209">
        <f>Dimensions_APPURT[[#This Row],[Weight (lbf)]] * cv_M * DeltaSector[[#This Row],[Quantity]] * Calculations_APPURT[[#This Row],[Horizontal Offset]]/12</f>
        <v>0</v>
      </c>
      <c r="VG17" s="276">
        <f>Hazards_APPURT[[#This Row],[Ice Weight]] * cv_F * AlphaSector[[#This Row],[Quantity]]</f>
        <v>0</v>
      </c>
      <c r="VH17" s="276">
        <f>Hazards_APPURT[[#This Row],[Ice Weight]] * cv_F * BetaSector[[#This Row],[Quantity]]</f>
        <v>0</v>
      </c>
      <c r="VI17" s="276">
        <f>Hazards_APPURT[[#This Row],[Ice Weight]] * cv_F * GammaSector[[#This Row],[Quantity]]</f>
        <v>0</v>
      </c>
      <c r="VJ17" s="276">
        <f>Hazards_APPURT[[#This Row],[Ice Weight]] * cv_F * DeltaSector[[#This Row],[Quantity]]</f>
        <v>0</v>
      </c>
      <c r="VK17" s="209">
        <f>Hazards_APPURT[[#This Row],[Ice Weight]] * cv_M * AlphaSector[[#This Row],[Quantity]] * Calculations_APPURT[[#This Row],[Horizontal Offset]]/12</f>
        <v>0</v>
      </c>
      <c r="VL17" s="209">
        <f>Hazards_APPURT[[#This Row],[Ice Weight]] * cv_M * BetaSector[[#This Row],[Quantity]] * Calculations_APPURT[[#This Row],[Horizontal Offset]]/12</f>
        <v>0</v>
      </c>
      <c r="VM17" s="209">
        <f>Hazards_APPURT[[#This Row],[Ice Weight]] * cv_M * GammaSector[[#This Row],[Quantity]] * Calculations_APPURT[[#This Row],[Horizontal Offset]]/12</f>
        <v>0</v>
      </c>
      <c r="VN17" s="209">
        <f>Hazards_APPURT[[#This Row],[Ice Weight]] * cv_M * DeltaSector[[#This Row],[Quantity]] * Calculations_APPURT[[#This Row],[Horizontal Offset]]/12</f>
        <v>0</v>
      </c>
    </row>
    <row r="18" spans="1:586" ht="15" customHeight="1" x14ac:dyDescent="0.2">
      <c r="A18" s="69"/>
      <c r="E18" s="265"/>
      <c r="L18" s="69"/>
      <c r="R18" s="70"/>
      <c r="T18" s="69"/>
      <c r="V18" s="71"/>
      <c r="W18" s="69"/>
      <c r="X18" s="71"/>
      <c r="Y18" s="69"/>
      <c r="Z18" s="70"/>
      <c r="AB18" s="69"/>
      <c r="AD18" s="71"/>
      <c r="AE18" s="69"/>
      <c r="AF18" s="71"/>
      <c r="AG18" s="69"/>
      <c r="AH18" s="70"/>
      <c r="AJ18" s="69"/>
      <c r="AL18" s="71"/>
      <c r="AM18" s="69"/>
      <c r="AN18" s="71"/>
      <c r="AO18" s="69"/>
      <c r="AP18" s="70"/>
      <c r="AR18" s="69"/>
      <c r="AV18" s="277" cm="1">
        <f t="array" ref="AV18">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8" s="209" cm="1">
        <f t="array" ref="AW18">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8" s="209" cm="1">
        <f t="array" ref="AX18">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8" s="209" cm="1">
        <f t="array" ref="AY18">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8"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8" s="209" cm="1">
        <f t="array" ref="BA18">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8" s="209">
        <f>IF(OR(Calculations_APPURT[[#This Row],[Shape]]="CFD",Calculations_APPURT[[#This Row],[Shape]]="CCI"),1,0.95)</f>
        <v>0.95</v>
      </c>
      <c r="BC18" s="209" cm="1">
        <f t="array" ref="BC18">0.00256 * Hazards_APPURT[[#This Row],[Kz]] * Kzt * Ks * I.wind * V^2 * IF(RIGHT(TIA,1)="G",1,Ke) * IF(OR(Calculations_APPURT[[#This Row],[Shape]]="CFD",Calculations_APPURT[[#This Row],[Shape]]="CCI"),1, Hazards_APPURT[[#This Row],[Kd]]) * Gh</f>
        <v>0</v>
      </c>
      <c r="BD18" s="209">
        <f>IF(Risk="I",0,MIN(((z+Calculations_APPURT[[#This Row],[Vertical Offset]]/12)/33)^(0.1),1.4))</f>
        <v>0</v>
      </c>
      <c r="BE18" s="209" cm="1">
        <f t="array" ref="BE18">IF(Risk="I",0,IF(TIA="ANSI/TIA-222-G",2,1*Kes.i)*ti*I.ice*Hazards_APPURT[[#This Row],[Kiz]]*(Kzt/Ks)^(0.35))</f>
        <v>0</v>
      </c>
      <c r="BF18" s="209" cm="1">
        <f t="array" ref="BF18">0.00256 * Hazards_APPURT[[#This Row],[Kz]] * Kzt * Ks * I.wind * Vi^2 * IF(RIGHT(TIA,1)="G",1,Ke) * IF(OR(Calculations_APPURT[[#This Row],[Shape]]="CFD",Calculations_APPURT[[#This Row],[Shape]]="CCI"),1, Kd) * Gh</f>
        <v>0</v>
      </c>
      <c r="BG18"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8"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8"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8"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8"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8"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8"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8"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8"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8"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8"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8"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8"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8"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8"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8"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8"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8"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8"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8"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8"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8"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8"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8"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8"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8"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8"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8"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8"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8"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8"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8"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8"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8"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8"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8"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8"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8"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8"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8"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8"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8"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8"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8"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8"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8"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8"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8"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8"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8"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8"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8"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8"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8"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8"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8"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8"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8"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8"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8"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8"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8"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8"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8"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8" s="338">
        <f>IFERROR(1/Calculations_APPURT[[#This Row],[Brackets]],0) * cv_F * AlphaSector[[#This Row],[Quantity]] * Hazards_APPURT[[#This Row],[qz]] * CaAa_APPURT[[#This Row],[Alpha 0]] * IF(Calculations_APPURT[[#This Row],[Shape]]="CFD",1, Ka)</f>
        <v>0</v>
      </c>
      <c r="GF18" s="338">
        <f>IFERROR(1/Calculations_APPURT[[#This Row],[Brackets]],0) * cv_F * AlphaSector[[#This Row],[Quantity]] * Hazards_APPURT[[#This Row],[qz]] * CaAa_APPURT[[#This Row],[Alpha 30]] * IF(Calculations_APPURT[[#This Row],[Shape]]="CFD",1, Ka)</f>
        <v>0</v>
      </c>
      <c r="GG18" s="338">
        <f>IFERROR(1/Calculations_APPURT[[#This Row],[Brackets]],0) * cv_F * AlphaSector[[#This Row],[Quantity]] * Hazards_APPURT[[#This Row],[qz]] * CaAa_APPURT[[#This Row],[Alpha 45]] * IF(Calculations_APPURT[[#This Row],[Shape]]="CFD",1, Ka)</f>
        <v>0</v>
      </c>
      <c r="GH18" s="338">
        <f>IFERROR(1/Calculations_APPURT[[#This Row],[Brackets]],0) * cv_F * AlphaSector[[#This Row],[Quantity]] * Hazards_APPURT[[#This Row],[qz]] * CaAa_APPURT[[#This Row],[Alpha 60]] * IF(Calculations_APPURT[[#This Row],[Shape]]="CFD",1, Ka)</f>
        <v>0</v>
      </c>
      <c r="GI18" s="338">
        <f>IFERROR(1/Calculations_APPURT[[#This Row],[Brackets]],0) * cv_F * AlphaSector[[#This Row],[Quantity]] * Hazards_APPURT[[#This Row],[qz]] * CaAa_APPURT[[#This Row],[Alpha 90]] * IF(Calculations_APPURT[[#This Row],[Shape]]="CFD",1, Ka)</f>
        <v>0</v>
      </c>
      <c r="GJ18" s="338">
        <f>IFERROR(1/Calculations_APPURT[[#This Row],[Brackets]],0) * cv_F * AlphaSector[[#This Row],[Quantity]] * Hazards_APPURT[[#This Row],[qz]] * CaAa_APPURT[[#This Row],[Alpha 120]] * IF(Calculations_APPURT[[#This Row],[Shape]]="CFD",1, Ka)</f>
        <v>0</v>
      </c>
      <c r="GK18" s="338">
        <f>IFERROR(1/Calculations_APPURT[[#This Row],[Brackets]],0) * cv_F * AlphaSector[[#This Row],[Quantity]] * Hazards_APPURT[[#This Row],[qz]] * CaAa_APPURT[[#This Row],[Alpha 135]] * IF(Calculations_APPURT[[#This Row],[Shape]]="CFD",1, Ka)</f>
        <v>0</v>
      </c>
      <c r="GL18" s="338">
        <f>IFERROR(1/Calculations_APPURT[[#This Row],[Brackets]],0) * cv_F * AlphaSector[[#This Row],[Quantity]] * Hazards_APPURT[[#This Row],[qz]] * CaAa_APPURT[[#This Row],[Alpha 150]] * IF(Calculations_APPURT[[#This Row],[Shape]]="CFD",1, Ka)</f>
        <v>0</v>
      </c>
      <c r="GM18" s="338">
        <f>IFERROR(1/Calculations_APPURT[[#This Row],[Brackets]],0) * cv_F * AlphaSector[[#This Row],[Quantity]] * Hazards_APPURT[[#This Row],[qz]] * CaAa_APPURT[[#This Row],[Alpha 180]] * IF(Calculations_APPURT[[#This Row],[Shape]]="CFD",1, Ka)</f>
        <v>0</v>
      </c>
      <c r="GN18" s="338">
        <f>IFERROR(1/Calculations_APPURT[[#This Row],[Brackets]],0) * cv_F * AlphaSector[[#This Row],[Quantity]] * Hazards_APPURT[[#This Row],[qz]] * CaAa_APPURT[[#This Row],[Alpha 210]] * IF(Calculations_APPURT[[#This Row],[Shape]]="CFD",1, Ka)</f>
        <v>0</v>
      </c>
      <c r="GO18" s="338">
        <f>IFERROR(1/Calculations_APPURT[[#This Row],[Brackets]],0) * cv_F * AlphaSector[[#This Row],[Quantity]] * Hazards_APPURT[[#This Row],[qz]] * CaAa_APPURT[[#This Row],[Alpha 225]] * IF(Calculations_APPURT[[#This Row],[Shape]]="CFD",1, Ka)</f>
        <v>0</v>
      </c>
      <c r="GP18" s="338">
        <f>IFERROR(1/Calculations_APPURT[[#This Row],[Brackets]],0) * cv_F * AlphaSector[[#This Row],[Quantity]] * Hazards_APPURT[[#This Row],[qz]] * CaAa_APPURT[[#This Row],[Alpha 240]] * IF(Calculations_APPURT[[#This Row],[Shape]]="CFD",1, Ka)</f>
        <v>0</v>
      </c>
      <c r="GQ18" s="338">
        <f>IFERROR(1/Calculations_APPURT[[#This Row],[Brackets]],0) * cv_F * AlphaSector[[#This Row],[Quantity]] * Hazards_APPURT[[#This Row],[qz]] * CaAa_APPURT[[#This Row],[Alpha 270]] * IF(Calculations_APPURT[[#This Row],[Shape]]="CFD",1, Ka)</f>
        <v>0</v>
      </c>
      <c r="GR18" s="338">
        <f>IFERROR(1/Calculations_APPURT[[#This Row],[Brackets]],0) * cv_F * AlphaSector[[#This Row],[Quantity]] * Hazards_APPURT[[#This Row],[qz]] * CaAa_APPURT[[#This Row],[Alpha 300]] * IF(Calculations_APPURT[[#This Row],[Shape]]="CFD",1, Ka)</f>
        <v>0</v>
      </c>
      <c r="GS18" s="338">
        <f>IFERROR(1/Calculations_APPURT[[#This Row],[Brackets]],0) * cv_F * AlphaSector[[#This Row],[Quantity]] * Hazards_APPURT[[#This Row],[qz]] * CaAa_APPURT[[#This Row],[Alpha 315]] * IF(Calculations_APPURT[[#This Row],[Shape]]="CFD",1, Ka)</f>
        <v>0</v>
      </c>
      <c r="GT18" s="338">
        <f>IFERROR(1/Calculations_APPURT[[#This Row],[Brackets]],0) * cv_F * AlphaSector[[#This Row],[Quantity]] * Hazards_APPURT[[#This Row],[qz]] * CaAa_APPURT[[#This Row],[Alpha 330]] * IF(Calculations_APPURT[[#This Row],[Shape]]="CFD",1, Ka)</f>
        <v>0</v>
      </c>
      <c r="GU18" s="276">
        <f>IFERROR(1/Calculations_APPURT[[#This Row],[Brackets]],0) * cv_F * BetaSector[[#This Row],[Quantity]] * Hazards_APPURT[[#This Row],[qz]] * CaAa_APPURT[[#This Row],[Beta 0]] * IF(Calculations_APPURT[[#This Row],[Shape]]="CFD",1, Ka)</f>
        <v>0</v>
      </c>
      <c r="GV18" s="276">
        <f>IFERROR(1/Calculations_APPURT[[#This Row],[Brackets]],0) * cv_F * BetaSector[[#This Row],[Quantity]] * Hazards_APPURT[[#This Row],[qz]] * CaAa_APPURT[[#This Row],[Beta 30]] * IF(Calculations_APPURT[[#This Row],[Shape]]="CFD",1, Ka)</f>
        <v>0</v>
      </c>
      <c r="GW18" s="276">
        <f>IFERROR(1/Calculations_APPURT[[#This Row],[Brackets]],0) * cv_F * BetaSector[[#This Row],[Quantity]] * Hazards_APPURT[[#This Row],[qz]] * CaAa_APPURT[[#This Row],[Beta 45]] * IF(Calculations_APPURT[[#This Row],[Shape]]="CFD",1, Ka)</f>
        <v>0</v>
      </c>
      <c r="GX18" s="276">
        <f>IFERROR(1/Calculations_APPURT[[#This Row],[Brackets]],0) * cv_F * BetaSector[[#This Row],[Quantity]] * Hazards_APPURT[[#This Row],[qz]] * CaAa_APPURT[[#This Row],[Beta 60]] * IF(Calculations_APPURT[[#This Row],[Shape]]="CFD",1, Ka)</f>
        <v>0</v>
      </c>
      <c r="GY18" s="276">
        <f>IFERROR(1/Calculations_APPURT[[#This Row],[Brackets]],0) * cv_F * BetaSector[[#This Row],[Quantity]] * Hazards_APPURT[[#This Row],[qz]] * CaAa_APPURT[[#This Row],[Beta 90]] * IF(Calculations_APPURT[[#This Row],[Shape]]="CFD",1, Ka)</f>
        <v>0</v>
      </c>
      <c r="GZ18" s="276">
        <f>IFERROR(1/Calculations_APPURT[[#This Row],[Brackets]],0) * cv_F * BetaSector[[#This Row],[Quantity]] * Hazards_APPURT[[#This Row],[qz]] * CaAa_APPURT[[#This Row],[Beta 120]] * IF(Calculations_APPURT[[#This Row],[Shape]]="CFD",1, Ka)</f>
        <v>0</v>
      </c>
      <c r="HA18" s="276">
        <f>IFERROR(1/Calculations_APPURT[[#This Row],[Brackets]],0) * cv_F * BetaSector[[#This Row],[Quantity]] * Hazards_APPURT[[#This Row],[qz]] * CaAa_APPURT[[#This Row],[Beta 135]] * IF(Calculations_APPURT[[#This Row],[Shape]]="CFD",1, Ka)</f>
        <v>0</v>
      </c>
      <c r="HB18" s="276">
        <f>IFERROR(1/Calculations_APPURT[[#This Row],[Brackets]],0) * cv_F * BetaSector[[#This Row],[Quantity]] * Hazards_APPURT[[#This Row],[qz]] * CaAa_APPURT[[#This Row],[Beta 150]] * IF(Calculations_APPURT[[#This Row],[Shape]]="CFD",1, Ka)</f>
        <v>0</v>
      </c>
      <c r="HC18" s="276">
        <f>IFERROR(1/Calculations_APPURT[[#This Row],[Brackets]],0) * cv_F * BetaSector[[#This Row],[Quantity]] * Hazards_APPURT[[#This Row],[qz]] * CaAa_APPURT[[#This Row],[Beta 180]] * IF(Calculations_APPURT[[#This Row],[Shape]]="CFD",1, Ka)</f>
        <v>0</v>
      </c>
      <c r="HD18" s="276">
        <f>IFERROR(1/Calculations_APPURT[[#This Row],[Brackets]],0) * cv_F * BetaSector[[#This Row],[Quantity]] * Hazards_APPURT[[#This Row],[qz]] * CaAa_APPURT[[#This Row],[Beta 210]] * IF(Calculations_APPURT[[#This Row],[Shape]]="CFD",1, Ka)</f>
        <v>0</v>
      </c>
      <c r="HE18" s="276">
        <f>IFERROR(1/Calculations_APPURT[[#This Row],[Brackets]],0) * cv_F * BetaSector[[#This Row],[Quantity]] * Hazards_APPURT[[#This Row],[qz]] * CaAa_APPURT[[#This Row],[Beta 225]] * IF(Calculations_APPURT[[#This Row],[Shape]]="CFD",1, Ka)</f>
        <v>0</v>
      </c>
      <c r="HF18" s="276">
        <f>IFERROR(1/Calculations_APPURT[[#This Row],[Brackets]],0) * cv_F * BetaSector[[#This Row],[Quantity]] * Hazards_APPURT[[#This Row],[qz]] * CaAa_APPURT[[#This Row],[Beta 240]] * IF(Calculations_APPURT[[#This Row],[Shape]]="CFD",1, Ka)</f>
        <v>0</v>
      </c>
      <c r="HG18" s="276">
        <f>IFERROR(1/Calculations_APPURT[[#This Row],[Brackets]],0) * cv_F * BetaSector[[#This Row],[Quantity]] * Hazards_APPURT[[#This Row],[qz]] * CaAa_APPURT[[#This Row],[Beta 270]] * IF(Calculations_APPURT[[#This Row],[Shape]]="CFD",1, Ka)</f>
        <v>0</v>
      </c>
      <c r="HH18" s="276">
        <f>IFERROR(1/Calculations_APPURT[[#This Row],[Brackets]],0) * cv_F * BetaSector[[#This Row],[Quantity]] * Hazards_APPURT[[#This Row],[qz]] * CaAa_APPURT[[#This Row],[Beta 300]] * IF(Calculations_APPURT[[#This Row],[Shape]]="CFD",1, Ka)</f>
        <v>0</v>
      </c>
      <c r="HI18" s="276">
        <f>IFERROR(1/Calculations_APPURT[[#This Row],[Brackets]],0) * cv_F * BetaSector[[#This Row],[Quantity]] * Hazards_APPURT[[#This Row],[qz]] * CaAa_APPURT[[#This Row],[Beta 315]] * IF(Calculations_APPURT[[#This Row],[Shape]]="CFD",1, Ka)</f>
        <v>0</v>
      </c>
      <c r="HJ18" s="276">
        <f>IFERROR(1/Calculations_APPURT[[#This Row],[Brackets]],0) * cv_F * BetaSector[[#This Row],[Quantity]] * Hazards_APPURT[[#This Row],[qz]] * CaAa_APPURT[[#This Row],[Beta 330]] * IF(Calculations_APPURT[[#This Row],[Shape]]="CFD",1, Ka)</f>
        <v>0</v>
      </c>
      <c r="HK18" s="338">
        <f>IFERROR(1/Calculations_APPURT[[#This Row],[Brackets]],0) * cv_F * GammaSector[[#This Row],[Quantity]] * Hazards_APPURT[[#This Row],[qz]] * CaAa_APPURT[[#This Row],[Gamma 0]] * IF(Calculations_APPURT[[#This Row],[Shape]]="CFD",1, Ka)</f>
        <v>0</v>
      </c>
      <c r="HL18" s="338">
        <f>IFERROR(1/Calculations_APPURT[[#This Row],[Brackets]],0) * cv_F * GammaSector[[#This Row],[Quantity]] * Hazards_APPURT[[#This Row],[qz]] * CaAa_APPURT[[#This Row],[Gamma 30]] * IF(Calculations_APPURT[[#This Row],[Shape]]="CFD",1, Ka)</f>
        <v>0</v>
      </c>
      <c r="HM18" s="338">
        <f>IFERROR(1/Calculations_APPURT[[#This Row],[Brackets]],0) * cv_F * GammaSector[[#This Row],[Quantity]] * Hazards_APPURT[[#This Row],[qz]] * CaAa_APPURT[[#This Row],[Gamma 45]] * IF(Calculations_APPURT[[#This Row],[Shape]]="CFD",1, Ka)</f>
        <v>0</v>
      </c>
      <c r="HN18" s="338">
        <f>IFERROR(1/Calculations_APPURT[[#This Row],[Brackets]],0) * cv_F * GammaSector[[#This Row],[Quantity]] * Hazards_APPURT[[#This Row],[qz]] * CaAa_APPURT[[#This Row],[Gamma 60]] * IF(Calculations_APPURT[[#This Row],[Shape]]="CFD",1, Ka)</f>
        <v>0</v>
      </c>
      <c r="HO18" s="338">
        <f>IFERROR(1/Calculations_APPURT[[#This Row],[Brackets]],0) * cv_F * GammaSector[[#This Row],[Quantity]] * Hazards_APPURT[[#This Row],[qz]] * CaAa_APPURT[[#This Row],[Gamma 90]] * IF(Calculations_APPURT[[#This Row],[Shape]]="CFD",1, Ka)</f>
        <v>0</v>
      </c>
      <c r="HP18" s="338">
        <f>IFERROR(1/Calculations_APPURT[[#This Row],[Brackets]],0) * cv_F * GammaSector[[#This Row],[Quantity]] * Hazards_APPURT[[#This Row],[qz]] * CaAa_APPURT[[#This Row],[Gamma 120]] * IF(Calculations_APPURT[[#This Row],[Shape]]="CFD",1, Ka)</f>
        <v>0</v>
      </c>
      <c r="HQ18" s="338">
        <f>IFERROR(1/Calculations_APPURT[[#This Row],[Brackets]],0) * cv_F * GammaSector[[#This Row],[Quantity]] * Hazards_APPURT[[#This Row],[qz]] * CaAa_APPURT[[#This Row],[Gamma 135]] * IF(Calculations_APPURT[[#This Row],[Shape]]="CFD",1, Ka)</f>
        <v>0</v>
      </c>
      <c r="HR18" s="338">
        <f>IFERROR(1/Calculations_APPURT[[#This Row],[Brackets]],0) * cv_F * GammaSector[[#This Row],[Quantity]] * Hazards_APPURT[[#This Row],[qz]] * CaAa_APPURT[[#This Row],[Gamma 150]] * IF(Calculations_APPURT[[#This Row],[Shape]]="CFD",1, Ka)</f>
        <v>0</v>
      </c>
      <c r="HS18" s="338">
        <f>IFERROR(1/Calculations_APPURT[[#This Row],[Brackets]],0) * cv_F * GammaSector[[#This Row],[Quantity]] * Hazards_APPURT[[#This Row],[qz]] * CaAa_APPURT[[#This Row],[Gamma 180]] * IF(Calculations_APPURT[[#This Row],[Shape]]="CFD",1, Ka)</f>
        <v>0</v>
      </c>
      <c r="HT18" s="338">
        <f>IFERROR(1/Calculations_APPURT[[#This Row],[Brackets]],0) * cv_F * GammaSector[[#This Row],[Quantity]] * Hazards_APPURT[[#This Row],[qz]] * CaAa_APPURT[[#This Row],[Gamma 210]] * IF(Calculations_APPURT[[#This Row],[Shape]]="CFD",1, Ka)</f>
        <v>0</v>
      </c>
      <c r="HU18" s="338">
        <f>IFERROR(1/Calculations_APPURT[[#This Row],[Brackets]],0) * cv_F * GammaSector[[#This Row],[Quantity]] * Hazards_APPURT[[#This Row],[qz]] * CaAa_APPURT[[#This Row],[Gamma 225]] * IF(Calculations_APPURT[[#This Row],[Shape]]="CFD",1, Ka)</f>
        <v>0</v>
      </c>
      <c r="HV18" s="338">
        <f>IFERROR(1/Calculations_APPURT[[#This Row],[Brackets]],0) * cv_F * GammaSector[[#This Row],[Quantity]] * Hazards_APPURT[[#This Row],[qz]] * CaAa_APPURT[[#This Row],[Gamma 240]] * IF(Calculations_APPURT[[#This Row],[Shape]]="CFD",1, Ka)</f>
        <v>0</v>
      </c>
      <c r="HW18" s="338">
        <f>IFERROR(1/Calculations_APPURT[[#This Row],[Brackets]],0) * cv_F * GammaSector[[#This Row],[Quantity]] * Hazards_APPURT[[#This Row],[qz]] * CaAa_APPURT[[#This Row],[Gamma 270]] * IF(Calculations_APPURT[[#This Row],[Shape]]="CFD",1, Ka)</f>
        <v>0</v>
      </c>
      <c r="HX18" s="338">
        <f>IFERROR(1/Calculations_APPURT[[#This Row],[Brackets]],0) * cv_F * GammaSector[[#This Row],[Quantity]] * Hazards_APPURT[[#This Row],[qz]] * CaAa_APPURT[[#This Row],[Gamma 300]] * IF(Calculations_APPURT[[#This Row],[Shape]]="CFD",1, Ka)</f>
        <v>0</v>
      </c>
      <c r="HY18" s="338">
        <f>IFERROR(1/Calculations_APPURT[[#This Row],[Brackets]],0) * cv_F * GammaSector[[#This Row],[Quantity]] * Hazards_APPURT[[#This Row],[qz]] * CaAa_APPURT[[#This Row],[Gamma 315]] * IF(Calculations_APPURT[[#This Row],[Shape]]="CFD",1, Ka)</f>
        <v>0</v>
      </c>
      <c r="HZ18" s="338">
        <f>IFERROR(1/Calculations_APPURT[[#This Row],[Brackets]],0) * cv_F * GammaSector[[#This Row],[Quantity]] * Hazards_APPURT[[#This Row],[qz]] * CaAa_APPURT[[#This Row],[Gamma 330]] * IF(Calculations_APPURT[[#This Row],[Shape]]="CFD",1, Ka)</f>
        <v>0</v>
      </c>
      <c r="IA18" s="276">
        <f>IFERROR(1/Calculations_APPURT[[#This Row],[Brackets]],0) * cv_F * DeltaSector[[#This Row],[Quantity]] * Hazards_APPURT[[#This Row],[qz]] * CaAa_APPURT[[#This Row],[Delta 0]] * IF(Calculations_APPURT[[#This Row],[Shape]]="CFD",1, Ka)</f>
        <v>0</v>
      </c>
      <c r="IB18" s="276">
        <f>IFERROR(1/Calculations_APPURT[[#This Row],[Brackets]],0) * cv_F * DeltaSector[[#This Row],[Quantity]] * Hazards_APPURT[[#This Row],[qz]] * CaAa_APPURT[[#This Row],[Delta 30]] * IF(Calculations_APPURT[[#This Row],[Shape]]="CFD",1, Ka)</f>
        <v>0</v>
      </c>
      <c r="IC18" s="276">
        <f>IFERROR(1/Calculations_APPURT[[#This Row],[Brackets]],0) * cv_F * DeltaSector[[#This Row],[Quantity]] * Hazards_APPURT[[#This Row],[qz]] * CaAa_APPURT[[#This Row],[Delta 45]] * IF(Calculations_APPURT[[#This Row],[Shape]]="CFD",1, Ka)</f>
        <v>0</v>
      </c>
      <c r="ID18" s="276">
        <f>IFERROR(1/Calculations_APPURT[[#This Row],[Brackets]],0) * cv_F * DeltaSector[[#This Row],[Quantity]] * Hazards_APPURT[[#This Row],[qz]] * CaAa_APPURT[[#This Row],[Delta 60]] * IF(Calculations_APPURT[[#This Row],[Shape]]="CFD",1, Ka)</f>
        <v>0</v>
      </c>
      <c r="IE18" s="276">
        <f>IFERROR(1/Calculations_APPURT[[#This Row],[Brackets]],0) * cv_F * DeltaSector[[#This Row],[Quantity]] * Hazards_APPURT[[#This Row],[qz]] * CaAa_APPURT[[#This Row],[Delta 90]] * IF(Calculations_APPURT[[#This Row],[Shape]]="CFD",1, Ka)</f>
        <v>0</v>
      </c>
      <c r="IF18" s="276">
        <f>IFERROR(1/Calculations_APPURT[[#This Row],[Brackets]],0) * cv_F * DeltaSector[[#This Row],[Quantity]] * Hazards_APPURT[[#This Row],[qz]] * CaAa_APPURT[[#This Row],[Delta 120]] * IF(Calculations_APPURT[[#This Row],[Shape]]="CFD",1, Ka)</f>
        <v>0</v>
      </c>
      <c r="IG18" s="276">
        <f>IFERROR(1/Calculations_APPURT[[#This Row],[Brackets]],0) * cv_F * DeltaSector[[#This Row],[Quantity]] * Hazards_APPURT[[#This Row],[qz]] * CaAa_APPURT[[#This Row],[Delta 135]] * IF(Calculations_APPURT[[#This Row],[Shape]]="CFD",1, Ka)</f>
        <v>0</v>
      </c>
      <c r="IH18" s="276">
        <f>IFERROR(1/Calculations_APPURT[[#This Row],[Brackets]],0) * cv_F * DeltaSector[[#This Row],[Quantity]] * Hazards_APPURT[[#This Row],[qz]] * CaAa_APPURT[[#This Row],[Delta 150]] * IF(Calculations_APPURT[[#This Row],[Shape]]="CFD",1, Ka)</f>
        <v>0</v>
      </c>
      <c r="II18" s="276">
        <f>IFERROR(1/Calculations_APPURT[[#This Row],[Brackets]],0) * cv_F * DeltaSector[[#This Row],[Quantity]] * Hazards_APPURT[[#This Row],[qz]] * CaAa_APPURT[[#This Row],[Delta 180]] * IF(Calculations_APPURT[[#This Row],[Shape]]="CFD",1, Ka)</f>
        <v>0</v>
      </c>
      <c r="IJ18" s="276">
        <f>IFERROR(1/Calculations_APPURT[[#This Row],[Brackets]],0) * cv_F * DeltaSector[[#This Row],[Quantity]] * Hazards_APPURT[[#This Row],[qz]] * CaAa_APPURT[[#This Row],[Delta 210]] * IF(Calculations_APPURT[[#This Row],[Shape]]="CFD",1, Ka)</f>
        <v>0</v>
      </c>
      <c r="IK18" s="276">
        <f>IFERROR(1/Calculations_APPURT[[#This Row],[Brackets]],0) * cv_F * DeltaSector[[#This Row],[Quantity]] * Hazards_APPURT[[#This Row],[qz]] * CaAa_APPURT[[#This Row],[Delta 225]] * IF(Calculations_APPURT[[#This Row],[Shape]]="CFD",1, Ka)</f>
        <v>0</v>
      </c>
      <c r="IL18" s="276">
        <f>IFERROR(1/Calculations_APPURT[[#This Row],[Brackets]],0) * cv_F * DeltaSector[[#This Row],[Quantity]] * Hazards_APPURT[[#This Row],[qz]] * CaAa_APPURT[[#This Row],[Delta 240]] * IF(Calculations_APPURT[[#This Row],[Shape]]="CFD",1, Ka)</f>
        <v>0</v>
      </c>
      <c r="IM18" s="276">
        <f>IFERROR(1/Calculations_APPURT[[#This Row],[Brackets]],0) * cv_F * DeltaSector[[#This Row],[Quantity]] * Hazards_APPURT[[#This Row],[qz]] * CaAa_APPURT[[#This Row],[Delta 270]] * IF(Calculations_APPURT[[#This Row],[Shape]]="CFD",1, Ka)</f>
        <v>0</v>
      </c>
      <c r="IN18" s="276">
        <f>IFERROR(1/Calculations_APPURT[[#This Row],[Brackets]],0) * cv_F * DeltaSector[[#This Row],[Quantity]] * Hazards_APPURT[[#This Row],[qz]] * CaAa_APPURT[[#This Row],[Delta 300]] * IF(Calculations_APPURT[[#This Row],[Shape]]="CFD",1, Ka)</f>
        <v>0</v>
      </c>
      <c r="IO18" s="276">
        <f>IFERROR(1/Calculations_APPURT[[#This Row],[Brackets]],0) * cv_F * DeltaSector[[#This Row],[Quantity]] * Hazards_APPURT[[#This Row],[qz]] * CaAa_APPURT[[#This Row],[Delta 315]] * IF(Calculations_APPURT[[#This Row],[Shape]]="CFD",1, Ka)</f>
        <v>0</v>
      </c>
      <c r="IP18" s="276">
        <f>IFERROR(1/Calculations_APPURT[[#This Row],[Brackets]],0) * cv_F * DeltaSector[[#This Row],[Quantity]] * Hazards_APPURT[[#This Row],[qz]] * CaAa_APPURT[[#This Row],[Delta 330]] * IF(Calculations_APPURT[[#This Row],[Shape]]="CFD",1, Ka)</f>
        <v>0</v>
      </c>
      <c r="IQ18" s="338">
        <f>IFERROR(1/Calculations_APPURT[[#This Row],[Brackets]],0) * cv_F * AlphaSector[[#This Row],[Quantity]] * Hazards_APPURT[[#This Row],[qiz]] * CaAa_APPURT[[#This Row],[Alpha Ice 0]]</f>
        <v>0</v>
      </c>
      <c r="IR18" s="338">
        <f>IFERROR(1/Calculations_APPURT[[#This Row],[Brackets]],0) * cv_F * AlphaSector[[#This Row],[Quantity]] * Hazards_APPURT[[#This Row],[qiz]] * CaAa_APPURT[[#This Row],[Alpha Ice 30]]</f>
        <v>0</v>
      </c>
      <c r="IS18" s="338">
        <f>IFERROR(1/Calculations_APPURT[[#This Row],[Brackets]],0) * cv_F * AlphaSector[[#This Row],[Quantity]] * Hazards_APPURT[[#This Row],[qiz]] * CaAa_APPURT[[#This Row],[Alpha Ice 45]]</f>
        <v>0</v>
      </c>
      <c r="IT18" s="338">
        <f>IFERROR(1/Calculations_APPURT[[#This Row],[Brackets]],0) * cv_F * AlphaSector[[#This Row],[Quantity]] * Hazards_APPURT[[#This Row],[qiz]] * CaAa_APPURT[[#This Row],[Alpha Ice 60]]</f>
        <v>0</v>
      </c>
      <c r="IU18" s="338">
        <f>IFERROR(1/Calculations_APPURT[[#This Row],[Brackets]],0) * cv_F * AlphaSector[[#This Row],[Quantity]] * Hazards_APPURT[[#This Row],[qiz]] * CaAa_APPURT[[#This Row],[Alpha Ice 90]]</f>
        <v>0</v>
      </c>
      <c r="IV18" s="338">
        <f>IFERROR(1/Calculations_APPURT[[#This Row],[Brackets]],0) * cv_F * AlphaSector[[#This Row],[Quantity]] * Hazards_APPURT[[#This Row],[qiz]] * CaAa_APPURT[[#This Row],[Alpha Ice 120]]</f>
        <v>0</v>
      </c>
      <c r="IW18" s="338">
        <f>IFERROR(1/Calculations_APPURT[[#This Row],[Brackets]],0) * cv_F * AlphaSector[[#This Row],[Quantity]] * Hazards_APPURT[[#This Row],[qiz]] * CaAa_APPURT[[#This Row],[Alpha Ice 135]]</f>
        <v>0</v>
      </c>
      <c r="IX18" s="338">
        <f>IFERROR(1/Calculations_APPURT[[#This Row],[Brackets]],0) * cv_F * AlphaSector[[#This Row],[Quantity]] * Hazards_APPURT[[#This Row],[qiz]] * CaAa_APPURT[[#This Row],[Alpha Ice 150]]</f>
        <v>0</v>
      </c>
      <c r="IY18" s="338">
        <f>IFERROR(1/Calculations_APPURT[[#This Row],[Brackets]],0) * cv_F * AlphaSector[[#This Row],[Quantity]] * Hazards_APPURT[[#This Row],[qiz]] * CaAa_APPURT[[#This Row],[Alpha Ice 180]]</f>
        <v>0</v>
      </c>
      <c r="IZ18" s="338">
        <f>IFERROR(1/Calculations_APPURT[[#This Row],[Brackets]],0) * cv_F * AlphaSector[[#This Row],[Quantity]] * Hazards_APPURT[[#This Row],[qiz]] * CaAa_APPURT[[#This Row],[Alpha Ice 210]]</f>
        <v>0</v>
      </c>
      <c r="JA18" s="338">
        <f>IFERROR(1/Calculations_APPURT[[#This Row],[Brackets]],0) * cv_F * AlphaSector[[#This Row],[Quantity]] * Hazards_APPURT[[#This Row],[qiz]] * CaAa_APPURT[[#This Row],[Alpha Ice 225]]</f>
        <v>0</v>
      </c>
      <c r="JB18" s="338">
        <f>IFERROR(1/Calculations_APPURT[[#This Row],[Brackets]],0) * cv_F * AlphaSector[[#This Row],[Quantity]] * Hazards_APPURT[[#This Row],[qiz]] * CaAa_APPURT[[#This Row],[Alpha Ice 240]]</f>
        <v>0</v>
      </c>
      <c r="JC18" s="338">
        <f>IFERROR(1/Calculations_APPURT[[#This Row],[Brackets]],0) * cv_F * AlphaSector[[#This Row],[Quantity]] * Hazards_APPURT[[#This Row],[qiz]] * CaAa_APPURT[[#This Row],[Alpha Ice 270]]</f>
        <v>0</v>
      </c>
      <c r="JD18" s="338">
        <f>IFERROR(1/Calculations_APPURT[[#This Row],[Brackets]],0) * cv_F * AlphaSector[[#This Row],[Quantity]] * Hazards_APPURT[[#This Row],[qiz]] * CaAa_APPURT[[#This Row],[Alpha Ice 300]]</f>
        <v>0</v>
      </c>
      <c r="JE18" s="338">
        <f>IFERROR(1/Calculations_APPURT[[#This Row],[Brackets]],0) * cv_F * AlphaSector[[#This Row],[Quantity]] * Hazards_APPURT[[#This Row],[qiz]] * CaAa_APPURT[[#This Row],[Alpha Ice 315]]</f>
        <v>0</v>
      </c>
      <c r="JF18" s="338">
        <f>IFERROR(1/Calculations_APPURT[[#This Row],[Brackets]],0) * cv_F * AlphaSector[[#This Row],[Quantity]] * Hazards_APPURT[[#This Row],[qiz]] * CaAa_APPURT[[#This Row],[Alpha Ice 330]]</f>
        <v>0</v>
      </c>
      <c r="JG18" s="276">
        <f>IFERROR(1/Calculations_APPURT[[#This Row],[Brackets]],0) * cv_F * BetaSector[[#This Row],[Quantity]] * Hazards_APPURT[[#This Row],[qiz]] * CaAa_APPURT[[#This Row],[Beta Ice 0]]</f>
        <v>0</v>
      </c>
      <c r="JH18" s="276">
        <f>IFERROR(1/Calculations_APPURT[[#This Row],[Brackets]],0) * cv_F * BetaSector[[#This Row],[Quantity]] * Hazards_APPURT[[#This Row],[qiz]] * CaAa_APPURT[[#This Row],[Beta Ice 30]]</f>
        <v>0</v>
      </c>
      <c r="JI18" s="276">
        <f>IFERROR(1/Calculations_APPURT[[#This Row],[Brackets]],0) * cv_F * BetaSector[[#This Row],[Quantity]] * Hazards_APPURT[[#This Row],[qiz]] * CaAa_APPURT[[#This Row],[Beta Ice 45]]</f>
        <v>0</v>
      </c>
      <c r="JJ18" s="276">
        <f>IFERROR(1/Calculations_APPURT[[#This Row],[Brackets]],0) * cv_F * BetaSector[[#This Row],[Quantity]] * Hazards_APPURT[[#This Row],[qiz]] * CaAa_APPURT[[#This Row],[Beta Ice 60]]</f>
        <v>0</v>
      </c>
      <c r="JK18" s="276">
        <f>IFERROR(1/Calculations_APPURT[[#This Row],[Brackets]],0) * cv_F * BetaSector[[#This Row],[Quantity]] * Hazards_APPURT[[#This Row],[qiz]] * CaAa_APPURT[[#This Row],[Beta Ice 90]]</f>
        <v>0</v>
      </c>
      <c r="JL18" s="276">
        <f>IFERROR(1/Calculations_APPURT[[#This Row],[Brackets]],0) * cv_F * BetaSector[[#This Row],[Quantity]] * Hazards_APPURT[[#This Row],[qiz]] * CaAa_APPURT[[#This Row],[Beta Ice 120]]</f>
        <v>0</v>
      </c>
      <c r="JM18" s="276">
        <f>IFERROR(1/Calculations_APPURT[[#This Row],[Brackets]],0) * cv_F * BetaSector[[#This Row],[Quantity]] * Hazards_APPURT[[#This Row],[qiz]] * CaAa_APPURT[[#This Row],[Beta Ice 135]]</f>
        <v>0</v>
      </c>
      <c r="JN18" s="276">
        <f>IFERROR(1/Calculations_APPURT[[#This Row],[Brackets]],0) * cv_F * BetaSector[[#This Row],[Quantity]] * Hazards_APPURT[[#This Row],[qiz]] * CaAa_APPURT[[#This Row],[Beta Ice 150]]</f>
        <v>0</v>
      </c>
      <c r="JO18" s="276">
        <f>IFERROR(1/Calculations_APPURT[[#This Row],[Brackets]],0) * cv_F * BetaSector[[#This Row],[Quantity]] * Hazards_APPURT[[#This Row],[qiz]] * CaAa_APPURT[[#This Row],[Beta Ice 180]]</f>
        <v>0</v>
      </c>
      <c r="JP18" s="276">
        <f>IFERROR(1/Calculations_APPURT[[#This Row],[Brackets]],0) * cv_F * BetaSector[[#This Row],[Quantity]] * Hazards_APPURT[[#This Row],[qiz]] * CaAa_APPURT[[#This Row],[Beta Ice 210]]</f>
        <v>0</v>
      </c>
      <c r="JQ18" s="276">
        <f>IFERROR(1/Calculations_APPURT[[#This Row],[Brackets]],0) * cv_F * BetaSector[[#This Row],[Quantity]] * Hazards_APPURT[[#This Row],[qiz]] * CaAa_APPURT[[#This Row],[Beta Ice 225]]</f>
        <v>0</v>
      </c>
      <c r="JR18" s="276">
        <f>IFERROR(1/Calculations_APPURT[[#This Row],[Brackets]],0) * cv_F * BetaSector[[#This Row],[Quantity]] * Hazards_APPURT[[#This Row],[qiz]] * CaAa_APPURT[[#This Row],[Beta Ice 240]]</f>
        <v>0</v>
      </c>
      <c r="JS18" s="276">
        <f>IFERROR(1/Calculations_APPURT[[#This Row],[Brackets]],0) * cv_F * BetaSector[[#This Row],[Quantity]] * Hazards_APPURT[[#This Row],[qiz]] * CaAa_APPURT[[#This Row],[Beta Ice 270]]</f>
        <v>0</v>
      </c>
      <c r="JT18" s="276">
        <f>IFERROR(1/Calculations_APPURT[[#This Row],[Brackets]],0) * cv_F * BetaSector[[#This Row],[Quantity]] * Hazards_APPURT[[#This Row],[qiz]] * CaAa_APPURT[[#This Row],[Beta Ice 300]]</f>
        <v>0</v>
      </c>
      <c r="JU18" s="276">
        <f>IFERROR(1/Calculations_APPURT[[#This Row],[Brackets]],0) * cv_F * BetaSector[[#This Row],[Quantity]] * Hazards_APPURT[[#This Row],[qiz]] * CaAa_APPURT[[#This Row],[Beta Ice 315]]</f>
        <v>0</v>
      </c>
      <c r="JV18" s="276">
        <f>IFERROR(1/Calculations_APPURT[[#This Row],[Brackets]],0) * cv_F * BetaSector[[#This Row],[Quantity]] * Hazards_APPURT[[#This Row],[qiz]] * CaAa_APPURT[[#This Row],[Beta Ice 330]]</f>
        <v>0</v>
      </c>
      <c r="JW18" s="338">
        <f>IFERROR(1/Calculations_APPURT[[#This Row],[Brackets]],0) * cv_F * GammaSector[[#This Row],[Quantity]] * Hazards_APPURT[[#This Row],[qiz]] * CaAa_APPURT[[#This Row],[Gamma Ice 0]]</f>
        <v>0</v>
      </c>
      <c r="JX18" s="338">
        <f>IFERROR(1/Calculations_APPURT[[#This Row],[Brackets]],0) * cv_F * GammaSector[[#This Row],[Quantity]] * Hazards_APPURT[[#This Row],[qiz]] * CaAa_APPURT[[#This Row],[Gamma Ice 30]]</f>
        <v>0</v>
      </c>
      <c r="JY18" s="338">
        <f>IFERROR(1/Calculations_APPURT[[#This Row],[Brackets]],0) * cv_F * GammaSector[[#This Row],[Quantity]] * Hazards_APPURT[[#This Row],[qiz]] * CaAa_APPURT[[#This Row],[Gamma Ice 45]]</f>
        <v>0</v>
      </c>
      <c r="JZ18" s="338">
        <f>IFERROR(1/Calculations_APPURT[[#This Row],[Brackets]],0) * cv_F * GammaSector[[#This Row],[Quantity]] * Hazards_APPURT[[#This Row],[qiz]] * CaAa_APPURT[[#This Row],[Gamma Ice 60]]</f>
        <v>0</v>
      </c>
      <c r="KA18" s="338">
        <f>IFERROR(1/Calculations_APPURT[[#This Row],[Brackets]],0) * cv_F * GammaSector[[#This Row],[Quantity]] * Hazards_APPURT[[#This Row],[qiz]] * CaAa_APPURT[[#This Row],[Gamma Ice 90]]</f>
        <v>0</v>
      </c>
      <c r="KB18" s="338">
        <f>IFERROR(1/Calculations_APPURT[[#This Row],[Brackets]],0) * cv_F * GammaSector[[#This Row],[Quantity]] * Hazards_APPURT[[#This Row],[qiz]] * CaAa_APPURT[[#This Row],[Gamma Ice 120]]</f>
        <v>0</v>
      </c>
      <c r="KC18" s="338">
        <f>IFERROR(1/Calculations_APPURT[[#This Row],[Brackets]],0) * cv_F * GammaSector[[#This Row],[Quantity]] * Hazards_APPURT[[#This Row],[qiz]] * CaAa_APPURT[[#This Row],[Gamma Ice 135]]</f>
        <v>0</v>
      </c>
      <c r="KD18" s="338">
        <f>IFERROR(1/Calculations_APPURT[[#This Row],[Brackets]],0) * cv_F * GammaSector[[#This Row],[Quantity]] * Hazards_APPURT[[#This Row],[qiz]] * CaAa_APPURT[[#This Row],[Gamma Ice 150]]</f>
        <v>0</v>
      </c>
      <c r="KE18" s="338">
        <f>IFERROR(1/Calculations_APPURT[[#This Row],[Brackets]],0) * cv_F * GammaSector[[#This Row],[Quantity]] * Hazards_APPURT[[#This Row],[qiz]] * CaAa_APPURT[[#This Row],[Gamma Ice 180]]</f>
        <v>0</v>
      </c>
      <c r="KF18" s="338">
        <f>IFERROR(1/Calculations_APPURT[[#This Row],[Brackets]],0) * cv_F * GammaSector[[#This Row],[Quantity]] * Hazards_APPURT[[#This Row],[qiz]] * CaAa_APPURT[[#This Row],[Gamma Ice 210]]</f>
        <v>0</v>
      </c>
      <c r="KG18" s="338">
        <f>IFERROR(1/Calculations_APPURT[[#This Row],[Brackets]],0) * cv_F * GammaSector[[#This Row],[Quantity]] * Hazards_APPURT[[#This Row],[qiz]] * CaAa_APPURT[[#This Row],[Gamma Ice 225]]</f>
        <v>0</v>
      </c>
      <c r="KH18" s="338">
        <f>IFERROR(1/Calculations_APPURT[[#This Row],[Brackets]],0) * cv_F * GammaSector[[#This Row],[Quantity]] * Hazards_APPURT[[#This Row],[qiz]] * CaAa_APPURT[[#This Row],[Gamma Ice 240]]</f>
        <v>0</v>
      </c>
      <c r="KI18" s="338">
        <f>IFERROR(1/Calculations_APPURT[[#This Row],[Brackets]],0) * cv_F * GammaSector[[#This Row],[Quantity]] * Hazards_APPURT[[#This Row],[qiz]] * CaAa_APPURT[[#This Row],[Gamma Ice 270]]</f>
        <v>0</v>
      </c>
      <c r="KJ18" s="338">
        <f>IFERROR(1/Calculations_APPURT[[#This Row],[Brackets]],0) * cv_F * GammaSector[[#This Row],[Quantity]] * Hazards_APPURT[[#This Row],[qiz]] * CaAa_APPURT[[#This Row],[Gamma Ice 300]]</f>
        <v>0</v>
      </c>
      <c r="KK18" s="338">
        <f>IFERROR(1/Calculations_APPURT[[#This Row],[Brackets]],0) * cv_F * GammaSector[[#This Row],[Quantity]] * Hazards_APPURT[[#This Row],[qiz]] * CaAa_APPURT[[#This Row],[Gamma Ice 315]]</f>
        <v>0</v>
      </c>
      <c r="KL18" s="338">
        <f>IFERROR(1/Calculations_APPURT[[#This Row],[Brackets]],0) * cv_F * GammaSector[[#This Row],[Quantity]] * Hazards_APPURT[[#This Row],[qiz]] * CaAa_APPURT[[#This Row],[Gamma Ice 330]]</f>
        <v>0</v>
      </c>
      <c r="KM18" s="276">
        <f>IFERROR(1/Calculations_APPURT[[#This Row],[Brackets]],0) * cv_F * DeltaSector[[#This Row],[Quantity]] * Hazards_APPURT[[#This Row],[qiz]] * CaAa_APPURT[[#This Row],[Delta Ice 0]]</f>
        <v>0</v>
      </c>
      <c r="KN18" s="276">
        <f>IFERROR(1/Calculations_APPURT[[#This Row],[Brackets]],0) * cv_F * DeltaSector[[#This Row],[Quantity]] * Hazards_APPURT[[#This Row],[qiz]] * CaAa_APPURT[[#This Row],[Delta Ice 30]]</f>
        <v>0</v>
      </c>
      <c r="KO18" s="276">
        <f>IFERROR(1/Calculations_APPURT[[#This Row],[Brackets]],0) * cv_F * DeltaSector[[#This Row],[Quantity]] * Hazards_APPURT[[#This Row],[qiz]] * CaAa_APPURT[[#This Row],[Delta Ice 45]]</f>
        <v>0</v>
      </c>
      <c r="KP18" s="276">
        <f>IFERROR(1/Calculations_APPURT[[#This Row],[Brackets]],0) * cv_F * DeltaSector[[#This Row],[Quantity]] * Hazards_APPURT[[#This Row],[qiz]] * CaAa_APPURT[[#This Row],[Delta Ice 60]]</f>
        <v>0</v>
      </c>
      <c r="KQ18" s="276">
        <f>IFERROR(1/Calculations_APPURT[[#This Row],[Brackets]],0) * cv_F * DeltaSector[[#This Row],[Quantity]] * Hazards_APPURT[[#This Row],[qiz]] * CaAa_APPURT[[#This Row],[Delta Ice 90]]</f>
        <v>0</v>
      </c>
      <c r="KR18" s="276">
        <f>IFERROR(1/Calculations_APPURT[[#This Row],[Brackets]],0) * cv_F * DeltaSector[[#This Row],[Quantity]] * Hazards_APPURT[[#This Row],[qiz]] * CaAa_APPURT[[#This Row],[Delta Ice 120]]</f>
        <v>0</v>
      </c>
      <c r="KS18" s="276">
        <f>IFERROR(1/Calculations_APPURT[[#This Row],[Brackets]],0) * cv_F * DeltaSector[[#This Row],[Quantity]] * Hazards_APPURT[[#This Row],[qiz]] * CaAa_APPURT[[#This Row],[Delta Ice 135]]</f>
        <v>0</v>
      </c>
      <c r="KT18" s="276">
        <f>IFERROR(1/Calculations_APPURT[[#This Row],[Brackets]],0) * cv_F * DeltaSector[[#This Row],[Quantity]] * Hazards_APPURT[[#This Row],[qiz]] * CaAa_APPURT[[#This Row],[Delta Ice 150]]</f>
        <v>0</v>
      </c>
      <c r="KU18" s="276">
        <f>IFERROR(1/Calculations_APPURT[[#This Row],[Brackets]],0) * cv_F * DeltaSector[[#This Row],[Quantity]] * Hazards_APPURT[[#This Row],[qiz]] * CaAa_APPURT[[#This Row],[Delta Ice 180]]</f>
        <v>0</v>
      </c>
      <c r="KV18" s="276">
        <f>IFERROR(1/Calculations_APPURT[[#This Row],[Brackets]],0) * cv_F * DeltaSector[[#This Row],[Quantity]] * Hazards_APPURT[[#This Row],[qiz]] * CaAa_APPURT[[#This Row],[Delta Ice 210]]</f>
        <v>0</v>
      </c>
      <c r="KW18" s="276">
        <f>IFERROR(1/Calculations_APPURT[[#This Row],[Brackets]],0) * cv_F * DeltaSector[[#This Row],[Quantity]] * Hazards_APPURT[[#This Row],[qiz]] * CaAa_APPURT[[#This Row],[Delta Ice 225]]</f>
        <v>0</v>
      </c>
      <c r="KX18" s="276">
        <f>IFERROR(1/Calculations_APPURT[[#This Row],[Brackets]],0) * cv_F * DeltaSector[[#This Row],[Quantity]] * Hazards_APPURT[[#This Row],[qiz]] * CaAa_APPURT[[#This Row],[Delta Ice 240]]</f>
        <v>0</v>
      </c>
      <c r="KY18" s="276">
        <f>IFERROR(1/Calculations_APPURT[[#This Row],[Brackets]],0) * cv_F * DeltaSector[[#This Row],[Quantity]] * Hazards_APPURT[[#This Row],[qiz]] * CaAa_APPURT[[#This Row],[Delta Ice 270]]</f>
        <v>0</v>
      </c>
      <c r="KZ18" s="276">
        <f>IFERROR(1/Calculations_APPURT[[#This Row],[Brackets]],0) * cv_F * DeltaSector[[#This Row],[Quantity]] * Hazards_APPURT[[#This Row],[qiz]] * CaAa_APPURT[[#This Row],[Delta Ice 300]]</f>
        <v>0</v>
      </c>
      <c r="LA18" s="276">
        <f>IFERROR(1/Calculations_APPURT[[#This Row],[Brackets]],0) * cv_F * DeltaSector[[#This Row],[Quantity]] * Hazards_APPURT[[#This Row],[qiz]] * CaAa_APPURT[[#This Row],[Delta Ice 315]]</f>
        <v>0</v>
      </c>
      <c r="LB18" s="276">
        <f>IFERROR(1/Calculations_APPURT[[#This Row],[Brackets]],0) * cv_F * DeltaSector[[#This Row],[Quantity]] * Hazards_APPURT[[#This Row],[qiz]] * CaAa_APPURT[[#This Row],[Delta Ice 330]]</f>
        <v>0</v>
      </c>
      <c r="LC18" s="338">
        <f>IFERROR(1/Calculations_APPURT[[#This Row],[Brackets]],0) * cv_M/cv_F * Forces_APPURT[[#This Row],[Alpha Fa 0]] * Calculations_APPURT[[#This Row],[Horizontal Offset]]/12</f>
        <v>0</v>
      </c>
      <c r="LD18" s="338">
        <f>IFERROR(1/Calculations_APPURT[[#This Row],[Brackets]],0) * cv_M/cv_F * Forces_APPURT[[#This Row],[Alpha Fa 30]] * Calculations_APPURT[[#This Row],[Horizontal Offset]]/12</f>
        <v>0</v>
      </c>
      <c r="LE18" s="338">
        <f>IFERROR(1/Calculations_APPURT[[#This Row],[Brackets]],0) * cv_M/cv_F * Forces_APPURT[[#This Row],[Alpha Fa 45]] * Calculations_APPURT[[#This Row],[Horizontal Offset]]/12</f>
        <v>0</v>
      </c>
      <c r="LF18" s="338">
        <f>IFERROR(1/Calculations_APPURT[[#This Row],[Brackets]],0) * cv_M/cv_F * Forces_APPURT[[#This Row],[Alpha Fa 60]] * Calculations_APPURT[[#This Row],[Horizontal Offset]]/12</f>
        <v>0</v>
      </c>
      <c r="LG18" s="338">
        <f>IFERROR(1/Calculations_APPURT[[#This Row],[Brackets]],0) * cv_M/cv_F * Forces_APPURT[[#This Row],[Alpha Fa 90]] * Calculations_APPURT[[#This Row],[Horizontal Offset]]/12</f>
        <v>0</v>
      </c>
      <c r="LH18" s="338">
        <f>IFERROR(1/Calculations_APPURT[[#This Row],[Brackets]],0) * cv_M/cv_F * Forces_APPURT[[#This Row],[Alpha Fa 120]] * Calculations_APPURT[[#This Row],[Horizontal Offset]]/12</f>
        <v>0</v>
      </c>
      <c r="LI18" s="338">
        <f>IFERROR(1/Calculations_APPURT[[#This Row],[Brackets]],0) * cv_M/cv_F * Forces_APPURT[[#This Row],[Alpha Fa 135]] * Calculations_APPURT[[#This Row],[Horizontal Offset]]/12</f>
        <v>0</v>
      </c>
      <c r="LJ18" s="338">
        <f>IFERROR(1/Calculations_APPURT[[#This Row],[Brackets]],0) * cv_M/cv_F * Forces_APPURT[[#This Row],[Alpha Fa 150]] * Calculations_APPURT[[#This Row],[Horizontal Offset]]/12</f>
        <v>0</v>
      </c>
      <c r="LK18" s="338">
        <f>IFERROR(1/Calculations_APPURT[[#This Row],[Brackets]],0) * cv_M/cv_F * Forces_APPURT[[#This Row],[Alpha Fa 180]] * Calculations_APPURT[[#This Row],[Horizontal Offset]]/12</f>
        <v>0</v>
      </c>
      <c r="LL18" s="338">
        <f>IFERROR(1/Calculations_APPURT[[#This Row],[Brackets]],0) * cv_M/cv_F * Forces_APPURT[[#This Row],[Alpha Fa 210]] * Calculations_APPURT[[#This Row],[Horizontal Offset]]/12</f>
        <v>0</v>
      </c>
      <c r="LM18" s="338">
        <f>IFERROR(1/Calculations_APPURT[[#This Row],[Brackets]],0) * cv_M/cv_F * Forces_APPURT[[#This Row],[Alpha Fa 225]] * Calculations_APPURT[[#This Row],[Horizontal Offset]]/12</f>
        <v>0</v>
      </c>
      <c r="LN18" s="338">
        <f>IFERROR(1/Calculations_APPURT[[#This Row],[Brackets]],0) * cv_M/cv_F * Forces_APPURT[[#This Row],[Alpha Fa 240]] * Calculations_APPURT[[#This Row],[Horizontal Offset]]/12</f>
        <v>0</v>
      </c>
      <c r="LO18" s="338">
        <f>IFERROR(1/Calculations_APPURT[[#This Row],[Brackets]],0) * cv_M/cv_F * Forces_APPURT[[#This Row],[Alpha Fa 270]] * Calculations_APPURT[[#This Row],[Horizontal Offset]]/12</f>
        <v>0</v>
      </c>
      <c r="LP18" s="338">
        <f>IFERROR(1/Calculations_APPURT[[#This Row],[Brackets]],0) * cv_M/cv_F * Forces_APPURT[[#This Row],[Alpha Fa 300]] * Calculations_APPURT[[#This Row],[Horizontal Offset]]/12</f>
        <v>0</v>
      </c>
      <c r="LQ18" s="338">
        <f>IFERROR(1/Calculations_APPURT[[#This Row],[Brackets]],0) * cv_M/cv_F * Forces_APPURT[[#This Row],[Alpha Fa 315]] * Calculations_APPURT[[#This Row],[Horizontal Offset]]/12</f>
        <v>0</v>
      </c>
      <c r="LR18" s="338">
        <f>IFERROR(1/Calculations_APPURT[[#This Row],[Brackets]],0) * cv_M/cv_F * Forces_APPURT[[#This Row],[Alpha Fa 330]] * Calculations_APPURT[[#This Row],[Horizontal Offset]]/12</f>
        <v>0</v>
      </c>
      <c r="LS18" s="276">
        <f>IFERROR(1/Calculations_APPURT[[#This Row],[Brackets]],0) * cv_M/cv_F * Forces_APPURT[[#This Row],[Beta Fa 0]] * Calculations_APPURT[[#This Row],[Horizontal Offset]]/12</f>
        <v>0</v>
      </c>
      <c r="LT18" s="276">
        <f>IFERROR(1/Calculations_APPURT[[#This Row],[Brackets]],0) * cv_M/cv_F * Forces_APPURT[[#This Row],[Beta Fa 30]] * Calculations_APPURT[[#This Row],[Horizontal Offset]]/12</f>
        <v>0</v>
      </c>
      <c r="LU18" s="276">
        <f>IFERROR(1/Calculations_APPURT[[#This Row],[Brackets]],0) * cv_M/cv_F * Forces_APPURT[[#This Row],[Beta Fa 45]] * Calculations_APPURT[[#This Row],[Horizontal Offset]]/12</f>
        <v>0</v>
      </c>
      <c r="LV18" s="276">
        <f>IFERROR(1/Calculations_APPURT[[#This Row],[Brackets]],0) * cv_M/cv_F * Forces_APPURT[[#This Row],[Beta Fa 60]] * Calculations_APPURT[[#This Row],[Horizontal Offset]]/12</f>
        <v>0</v>
      </c>
      <c r="LW18" s="276">
        <f>IFERROR(1/Calculations_APPURT[[#This Row],[Brackets]],0) * cv_M/cv_F * Forces_APPURT[[#This Row],[Beta Fa 90]] * Calculations_APPURT[[#This Row],[Horizontal Offset]]/12</f>
        <v>0</v>
      </c>
      <c r="LX18" s="276">
        <f>IFERROR(1/Calculations_APPURT[[#This Row],[Brackets]],0) * cv_M/cv_F * Forces_APPURT[[#This Row],[Beta Fa 120]] * Calculations_APPURT[[#This Row],[Horizontal Offset]]/12</f>
        <v>0</v>
      </c>
      <c r="LY18" s="276">
        <f>IFERROR(1/Calculations_APPURT[[#This Row],[Brackets]],0) * cv_M/cv_F * Forces_APPURT[[#This Row],[Beta Fa 135]] * Calculations_APPURT[[#This Row],[Horizontal Offset]]/12</f>
        <v>0</v>
      </c>
      <c r="LZ18" s="276">
        <f>IFERROR(1/Calculations_APPURT[[#This Row],[Brackets]],0) * cv_M/cv_F * Forces_APPURT[[#This Row],[Beta Fa 150]] * Calculations_APPURT[[#This Row],[Horizontal Offset]]/12</f>
        <v>0</v>
      </c>
      <c r="MA18" s="276">
        <f>IFERROR(1/Calculations_APPURT[[#This Row],[Brackets]],0) * cv_M/cv_F * Forces_APPURT[[#This Row],[Beta Fa 180]] * Calculations_APPURT[[#This Row],[Horizontal Offset]]/12</f>
        <v>0</v>
      </c>
      <c r="MB18" s="276">
        <f>IFERROR(1/Calculations_APPURT[[#This Row],[Brackets]],0) * cv_M/cv_F * Forces_APPURT[[#This Row],[Beta Fa 210]] * Calculations_APPURT[[#This Row],[Horizontal Offset]]/12</f>
        <v>0</v>
      </c>
      <c r="MC18" s="276">
        <f>IFERROR(1/Calculations_APPURT[[#This Row],[Brackets]],0) * cv_M/cv_F * Forces_APPURT[[#This Row],[Beta Fa 225]] * Calculations_APPURT[[#This Row],[Horizontal Offset]]/12</f>
        <v>0</v>
      </c>
      <c r="MD18" s="276">
        <f>IFERROR(1/Calculations_APPURT[[#This Row],[Brackets]],0) * cv_M/cv_F * Forces_APPURT[[#This Row],[Beta Fa 240]] * Calculations_APPURT[[#This Row],[Horizontal Offset]]/12</f>
        <v>0</v>
      </c>
      <c r="ME18" s="276">
        <f>IFERROR(1/Calculations_APPURT[[#This Row],[Brackets]],0) * cv_M/cv_F * Forces_APPURT[[#This Row],[Beta Fa 270]] * Calculations_APPURT[[#This Row],[Horizontal Offset]]/12</f>
        <v>0</v>
      </c>
      <c r="MF18" s="276">
        <f>IFERROR(1/Calculations_APPURT[[#This Row],[Brackets]],0) * cv_M/cv_F * Forces_APPURT[[#This Row],[Beta Fa 300]] * Calculations_APPURT[[#This Row],[Horizontal Offset]]/12</f>
        <v>0</v>
      </c>
      <c r="MG18" s="276">
        <f>IFERROR(1/Calculations_APPURT[[#This Row],[Brackets]],0) * cv_M/cv_F * Forces_APPURT[[#This Row],[Beta Fa 315]] * Calculations_APPURT[[#This Row],[Horizontal Offset]]/12</f>
        <v>0</v>
      </c>
      <c r="MH18" s="276">
        <f>IFERROR(1/Calculations_APPURT[[#This Row],[Brackets]],0) * cv_M/cv_F * Forces_APPURT[[#This Row],[Beta Fa 330]] * Calculations_APPURT[[#This Row],[Horizontal Offset]]/12</f>
        <v>0</v>
      </c>
      <c r="MI18" s="338">
        <f>IFERROR(1/Calculations_APPURT[[#This Row],[Brackets]],0) * cv_M/cv_F * Forces_APPURT[[#This Row],[Gamma Fa 0]] * Calculations_APPURT[[#This Row],[Horizontal Offset]]/12</f>
        <v>0</v>
      </c>
      <c r="MJ18" s="338">
        <f>IFERROR(1/Calculations_APPURT[[#This Row],[Brackets]],0) * cv_M/cv_F * Forces_APPURT[[#This Row],[Gamma Fa 30]] * Calculations_APPURT[[#This Row],[Horizontal Offset]]/12</f>
        <v>0</v>
      </c>
      <c r="MK18" s="338">
        <f>IFERROR(1/Calculations_APPURT[[#This Row],[Brackets]],0) * cv_M/cv_F * Forces_APPURT[[#This Row],[Gamma Fa 45]] * Calculations_APPURT[[#This Row],[Horizontal Offset]]/12</f>
        <v>0</v>
      </c>
      <c r="ML18" s="338">
        <f>IFERROR(1/Calculations_APPURT[[#This Row],[Brackets]],0) * cv_M/cv_F * Forces_APPURT[[#This Row],[Gamma Fa 60]] * Calculations_APPURT[[#This Row],[Horizontal Offset]]/12</f>
        <v>0</v>
      </c>
      <c r="MM18" s="338">
        <f>IFERROR(1/Calculations_APPURT[[#This Row],[Brackets]],0) * cv_M/cv_F * Forces_APPURT[[#This Row],[Gamma Fa 90]] * Calculations_APPURT[[#This Row],[Horizontal Offset]]/12</f>
        <v>0</v>
      </c>
      <c r="MN18" s="338">
        <f>IFERROR(1/Calculations_APPURT[[#This Row],[Brackets]],0) * cv_M/cv_F * Forces_APPURT[[#This Row],[Gamma Fa 120]] * Calculations_APPURT[[#This Row],[Horizontal Offset]]/12</f>
        <v>0</v>
      </c>
      <c r="MO18" s="338">
        <f>IFERROR(1/Calculations_APPURT[[#This Row],[Brackets]],0) * cv_M/cv_F * Forces_APPURT[[#This Row],[Gamma Fa 135]] * Calculations_APPURT[[#This Row],[Horizontal Offset]]/12</f>
        <v>0</v>
      </c>
      <c r="MP18" s="338">
        <f>IFERROR(1/Calculations_APPURT[[#This Row],[Brackets]],0) * cv_M/cv_F * Forces_APPURT[[#This Row],[Gamma Fa 150]] * Calculations_APPURT[[#This Row],[Horizontal Offset]]/12</f>
        <v>0</v>
      </c>
      <c r="MQ18" s="338">
        <f>IFERROR(1/Calculations_APPURT[[#This Row],[Brackets]],0) * cv_M/cv_F * Forces_APPURT[[#This Row],[Gamma Fa 180]] * Calculations_APPURT[[#This Row],[Horizontal Offset]]/12</f>
        <v>0</v>
      </c>
      <c r="MR18" s="338">
        <f>IFERROR(1/Calculations_APPURT[[#This Row],[Brackets]],0) * cv_M/cv_F * Forces_APPURT[[#This Row],[Gamma Fa 210]] * Calculations_APPURT[[#This Row],[Horizontal Offset]]/12</f>
        <v>0</v>
      </c>
      <c r="MS18" s="338">
        <f>IFERROR(1/Calculations_APPURT[[#This Row],[Brackets]],0) * cv_M/cv_F * Forces_APPURT[[#This Row],[Gamma Fa 225]] * Calculations_APPURT[[#This Row],[Horizontal Offset]]/12</f>
        <v>0</v>
      </c>
      <c r="MT18" s="338">
        <f>IFERROR(1/Calculations_APPURT[[#This Row],[Brackets]],0) * cv_M/cv_F * Forces_APPURT[[#This Row],[Gamma Fa 240]] * Calculations_APPURT[[#This Row],[Horizontal Offset]]/12</f>
        <v>0</v>
      </c>
      <c r="MU18" s="338">
        <f>IFERROR(1/Calculations_APPURT[[#This Row],[Brackets]],0) * cv_M/cv_F * Forces_APPURT[[#This Row],[Gamma Fa 270]] * Calculations_APPURT[[#This Row],[Horizontal Offset]]/12</f>
        <v>0</v>
      </c>
      <c r="MV18" s="338">
        <f>IFERROR(1/Calculations_APPURT[[#This Row],[Brackets]],0) * cv_M/cv_F * Forces_APPURT[[#This Row],[Gamma Fa 300]] * Calculations_APPURT[[#This Row],[Horizontal Offset]]/12</f>
        <v>0</v>
      </c>
      <c r="MW18" s="338">
        <f>IFERROR(1/Calculations_APPURT[[#This Row],[Brackets]],0) * cv_M/cv_F * Forces_APPURT[[#This Row],[Gamma Fa 315]] * Calculations_APPURT[[#This Row],[Horizontal Offset]]/12</f>
        <v>0</v>
      </c>
      <c r="MX18" s="338">
        <f>IFERROR(1/Calculations_APPURT[[#This Row],[Brackets]],0) * cv_M/cv_F * Forces_APPURT[[#This Row],[Gamma Fa 330]] * Calculations_APPURT[[#This Row],[Horizontal Offset]]/12</f>
        <v>0</v>
      </c>
      <c r="MY18" s="276">
        <f>IFERROR(1/Calculations_APPURT[[#This Row],[Brackets]],0) * cv_M/cv_F * Forces_APPURT[[#This Row],[Delta Fa 0]] * Calculations_APPURT[[#This Row],[Horizontal Offset]]/12</f>
        <v>0</v>
      </c>
      <c r="MZ18" s="276">
        <f>IFERROR(1/Calculations_APPURT[[#This Row],[Brackets]],0) * cv_M/cv_F * Forces_APPURT[[#This Row],[Delta Fa 30]] * Calculations_APPURT[[#This Row],[Horizontal Offset]]/12</f>
        <v>0</v>
      </c>
      <c r="NA18" s="276">
        <f>IFERROR(1/Calculations_APPURT[[#This Row],[Brackets]],0) * cv_M/cv_F * Forces_APPURT[[#This Row],[Delta Fa 45]] * Calculations_APPURT[[#This Row],[Horizontal Offset]]/12</f>
        <v>0</v>
      </c>
      <c r="NB18" s="276">
        <f>IFERROR(1/Calculations_APPURT[[#This Row],[Brackets]],0) * cv_M/cv_F * Forces_APPURT[[#This Row],[Delta Fa 60]] * Calculations_APPURT[[#This Row],[Horizontal Offset]]/12</f>
        <v>0</v>
      </c>
      <c r="NC18" s="276">
        <f>IFERROR(1/Calculations_APPURT[[#This Row],[Brackets]],0) * cv_M/cv_F * Forces_APPURT[[#This Row],[Delta Fa 90]] * Calculations_APPURT[[#This Row],[Horizontal Offset]]/12</f>
        <v>0</v>
      </c>
      <c r="ND18" s="276">
        <f>IFERROR(1/Calculations_APPURT[[#This Row],[Brackets]],0) * cv_M/cv_F * Forces_APPURT[[#This Row],[Delta Fa 120]] * Calculations_APPURT[[#This Row],[Horizontal Offset]]/12</f>
        <v>0</v>
      </c>
      <c r="NE18" s="276">
        <f>IFERROR(1/Calculations_APPURT[[#This Row],[Brackets]],0) * cv_M/cv_F * Forces_APPURT[[#This Row],[Delta Fa 135]] * Calculations_APPURT[[#This Row],[Horizontal Offset]]/12</f>
        <v>0</v>
      </c>
      <c r="NF18" s="276">
        <f>IFERROR(1/Calculations_APPURT[[#This Row],[Brackets]],0) * cv_M/cv_F * Forces_APPURT[[#This Row],[Delta Fa 150]] * Calculations_APPURT[[#This Row],[Horizontal Offset]]/12</f>
        <v>0</v>
      </c>
      <c r="NG18" s="276">
        <f>IFERROR(1/Calculations_APPURT[[#This Row],[Brackets]],0) * cv_M/cv_F * Forces_APPURT[[#This Row],[Delta Fa 180]] * Calculations_APPURT[[#This Row],[Horizontal Offset]]/12</f>
        <v>0</v>
      </c>
      <c r="NH18" s="276">
        <f>IFERROR(1/Calculations_APPURT[[#This Row],[Brackets]],0) * cv_M/cv_F * Forces_APPURT[[#This Row],[Delta Fa 210]] * Calculations_APPURT[[#This Row],[Horizontal Offset]]/12</f>
        <v>0</v>
      </c>
      <c r="NI18" s="276">
        <f>IFERROR(1/Calculations_APPURT[[#This Row],[Brackets]],0) * cv_M/cv_F * Forces_APPURT[[#This Row],[Delta Fa 225]] * Calculations_APPURT[[#This Row],[Horizontal Offset]]/12</f>
        <v>0</v>
      </c>
      <c r="NJ18" s="276">
        <f>IFERROR(1/Calculations_APPURT[[#This Row],[Brackets]],0) * cv_M/cv_F * Forces_APPURT[[#This Row],[Delta Fa 240]] * Calculations_APPURT[[#This Row],[Horizontal Offset]]/12</f>
        <v>0</v>
      </c>
      <c r="NK18" s="276">
        <f>IFERROR(1/Calculations_APPURT[[#This Row],[Brackets]],0) * cv_M/cv_F * Forces_APPURT[[#This Row],[Delta Fa 270]] * Calculations_APPURT[[#This Row],[Horizontal Offset]]/12</f>
        <v>0</v>
      </c>
      <c r="NL18" s="276">
        <f>IFERROR(1/Calculations_APPURT[[#This Row],[Brackets]],0) * cv_M/cv_F * Forces_APPURT[[#This Row],[Delta Fa 300]] * Calculations_APPURT[[#This Row],[Horizontal Offset]]/12</f>
        <v>0</v>
      </c>
      <c r="NM18" s="276">
        <f>IFERROR(1/Calculations_APPURT[[#This Row],[Brackets]],0) * cv_M/cv_F * Forces_APPURT[[#This Row],[Delta Fa 315]] * Calculations_APPURT[[#This Row],[Horizontal Offset]]/12</f>
        <v>0</v>
      </c>
      <c r="NN18" s="276">
        <f>IFERROR(1/Calculations_APPURT[[#This Row],[Brackets]],0) * cv_M/cv_F * Forces_APPURT[[#This Row],[Delta Fa 330]] * Calculations_APPURT[[#This Row],[Horizontal Offset]]/12</f>
        <v>0</v>
      </c>
      <c r="NO18" s="338">
        <f>IFERROR(1/Calculations_APPURT[[#This Row],[Brackets]],0) * cv_M/cv_F * Forces_APPURT[[#This Row],[Alpha Fai 0]] * Calculations_APPURT[[#This Row],[Horizontal Offset]]/12</f>
        <v>0</v>
      </c>
      <c r="NP18" s="338">
        <f>IFERROR(1/Calculations_APPURT[[#This Row],[Brackets]],0) * cv_M/cv_F * Forces_APPURT[[#This Row],[Alpha Fai 30]] * Calculations_APPURT[[#This Row],[Horizontal Offset]]/12</f>
        <v>0</v>
      </c>
      <c r="NQ18" s="338">
        <f>IFERROR(1/Calculations_APPURT[[#This Row],[Brackets]],0) * cv_M/cv_F * Forces_APPURT[[#This Row],[Alpha Fai 45]] * Calculations_APPURT[[#This Row],[Horizontal Offset]]/12</f>
        <v>0</v>
      </c>
      <c r="NR18" s="338">
        <f>IFERROR(1/Calculations_APPURT[[#This Row],[Brackets]],0) * cv_M/cv_F * Forces_APPURT[[#This Row],[Alpha Fai 60]] * Calculations_APPURT[[#This Row],[Horizontal Offset]]/12</f>
        <v>0</v>
      </c>
      <c r="NS18" s="338">
        <f>IFERROR(1/Calculations_APPURT[[#This Row],[Brackets]],0) * cv_M/cv_F * Forces_APPURT[[#This Row],[Alpha Fai 90]] * Calculations_APPURT[[#This Row],[Horizontal Offset]]/12</f>
        <v>0</v>
      </c>
      <c r="NT18" s="338">
        <f>IFERROR(1/Calculations_APPURT[[#This Row],[Brackets]],0) * cv_M/cv_F * Forces_APPURT[[#This Row],[Alpha Fai 120]] * Calculations_APPURT[[#This Row],[Horizontal Offset]]/12</f>
        <v>0</v>
      </c>
      <c r="NU18" s="338">
        <f>IFERROR(1/Calculations_APPURT[[#This Row],[Brackets]],0) * cv_M/cv_F * Forces_APPURT[[#This Row],[Alpha Fai 135]] * Calculations_APPURT[[#This Row],[Horizontal Offset]]/12</f>
        <v>0</v>
      </c>
      <c r="NV18" s="338">
        <f>IFERROR(1/Calculations_APPURT[[#This Row],[Brackets]],0) * cv_M/cv_F * Forces_APPURT[[#This Row],[Alpha Fai 150]] * Calculations_APPURT[[#This Row],[Horizontal Offset]]/12</f>
        <v>0</v>
      </c>
      <c r="NW18" s="338">
        <f>IFERROR(1/Calculations_APPURT[[#This Row],[Brackets]],0) * cv_M/cv_F * Forces_APPURT[[#This Row],[Alpha Fai 180]] * Calculations_APPURT[[#This Row],[Horizontal Offset]]/12</f>
        <v>0</v>
      </c>
      <c r="NX18" s="338">
        <f>IFERROR(1/Calculations_APPURT[[#This Row],[Brackets]],0) * cv_M/cv_F * Forces_APPURT[[#This Row],[Alpha Fai 210]] * Calculations_APPURT[[#This Row],[Horizontal Offset]]/12</f>
        <v>0</v>
      </c>
      <c r="NY18" s="338">
        <f>IFERROR(1/Calculations_APPURT[[#This Row],[Brackets]],0) * cv_M/cv_F * Forces_APPURT[[#This Row],[Alpha Fai 225]] * Calculations_APPURT[[#This Row],[Horizontal Offset]]/12</f>
        <v>0</v>
      </c>
      <c r="NZ18" s="338">
        <f>IFERROR(1/Calculations_APPURT[[#This Row],[Brackets]],0) * cv_M/cv_F * Forces_APPURT[[#This Row],[Alpha Fai 240]] * Calculations_APPURT[[#This Row],[Horizontal Offset]]/12</f>
        <v>0</v>
      </c>
      <c r="OA18" s="338">
        <f>IFERROR(1/Calculations_APPURT[[#This Row],[Brackets]],0) * cv_M/cv_F * Forces_APPURT[[#This Row],[Alpha Fai 270]] * Calculations_APPURT[[#This Row],[Horizontal Offset]]/12</f>
        <v>0</v>
      </c>
      <c r="OB18" s="338">
        <f>IFERROR(1/Calculations_APPURT[[#This Row],[Brackets]],0) * cv_M/cv_F * Forces_APPURT[[#This Row],[Alpha Fai 300]] * Calculations_APPURT[[#This Row],[Horizontal Offset]]/12</f>
        <v>0</v>
      </c>
      <c r="OC18" s="338">
        <f>IFERROR(1/Calculations_APPURT[[#This Row],[Brackets]],0) * cv_M/cv_F * Forces_APPURT[[#This Row],[Alpha Fai 315]] * Calculations_APPURT[[#This Row],[Horizontal Offset]]/12</f>
        <v>0</v>
      </c>
      <c r="OD18" s="338">
        <f>IFERROR(1/Calculations_APPURT[[#This Row],[Brackets]],0) * cv_M/cv_F * Forces_APPURT[[#This Row],[Alpha Fai 330]] * Calculations_APPURT[[#This Row],[Horizontal Offset]]/12</f>
        <v>0</v>
      </c>
      <c r="OE18" s="276">
        <f>IFERROR(1/Calculations_APPURT[[#This Row],[Brackets]],0) * cv_M/cv_F * Forces_APPURT[[#This Row],[Beta Fai 0]] * Calculations_APPURT[[#This Row],[Horizontal Offset]]/12</f>
        <v>0</v>
      </c>
      <c r="OF18" s="276">
        <f>IFERROR(1/Calculations_APPURT[[#This Row],[Brackets]],0) * cv_M/cv_F * Forces_APPURT[[#This Row],[Beta Fai 30]] * Calculations_APPURT[[#This Row],[Horizontal Offset]]/12</f>
        <v>0</v>
      </c>
      <c r="OG18" s="276">
        <f>IFERROR(1/Calculations_APPURT[[#This Row],[Brackets]],0) * cv_M/cv_F * Forces_APPURT[[#This Row],[Beta Fai 45]] * Calculations_APPURT[[#This Row],[Horizontal Offset]]/12</f>
        <v>0</v>
      </c>
      <c r="OH18" s="276">
        <f>IFERROR(1/Calculations_APPURT[[#This Row],[Brackets]],0) * cv_M/cv_F * Forces_APPURT[[#This Row],[Beta Fai 60]] * Calculations_APPURT[[#This Row],[Horizontal Offset]]/12</f>
        <v>0</v>
      </c>
      <c r="OI18" s="276">
        <f>IFERROR(1/Calculations_APPURT[[#This Row],[Brackets]],0) * cv_M/cv_F * Forces_APPURT[[#This Row],[Beta Fai 90]] * Calculations_APPURT[[#This Row],[Horizontal Offset]]/12</f>
        <v>0</v>
      </c>
      <c r="OJ18" s="276">
        <f>IFERROR(1/Calculations_APPURT[[#This Row],[Brackets]],0) * cv_M/cv_F * Forces_APPURT[[#This Row],[Beta Fai 120]] * Calculations_APPURT[[#This Row],[Horizontal Offset]]/12</f>
        <v>0</v>
      </c>
      <c r="OK18" s="276">
        <f>IFERROR(1/Calculations_APPURT[[#This Row],[Brackets]],0) * cv_M/cv_F * Forces_APPURT[[#This Row],[Beta Fai 135]] * Calculations_APPURT[[#This Row],[Horizontal Offset]]/12</f>
        <v>0</v>
      </c>
      <c r="OL18" s="276">
        <f>IFERROR(1/Calculations_APPURT[[#This Row],[Brackets]],0) * cv_M/cv_F * Forces_APPURT[[#This Row],[Beta Fai 150]] * Calculations_APPURT[[#This Row],[Horizontal Offset]]/12</f>
        <v>0</v>
      </c>
      <c r="OM18" s="276">
        <f>IFERROR(1/Calculations_APPURT[[#This Row],[Brackets]],0) * cv_M/cv_F * Forces_APPURT[[#This Row],[Beta Fai 180]] * Calculations_APPURT[[#This Row],[Horizontal Offset]]/12</f>
        <v>0</v>
      </c>
      <c r="ON18" s="276">
        <f>IFERROR(1/Calculations_APPURT[[#This Row],[Brackets]],0) * cv_M/cv_F * Forces_APPURT[[#This Row],[Beta Fai 210]] * Calculations_APPURT[[#This Row],[Horizontal Offset]]/12</f>
        <v>0</v>
      </c>
      <c r="OO18" s="276">
        <f>IFERROR(1/Calculations_APPURT[[#This Row],[Brackets]],0) * cv_M/cv_F * Forces_APPURT[[#This Row],[Beta Fai 225]] * Calculations_APPURT[[#This Row],[Horizontal Offset]]/12</f>
        <v>0</v>
      </c>
      <c r="OP18" s="276">
        <f>IFERROR(1/Calculations_APPURT[[#This Row],[Brackets]],0) * cv_M/cv_F * Forces_APPURT[[#This Row],[Beta Fai 240]] * Calculations_APPURT[[#This Row],[Horizontal Offset]]/12</f>
        <v>0</v>
      </c>
      <c r="OQ18" s="276">
        <f>IFERROR(1/Calculations_APPURT[[#This Row],[Brackets]],0) * cv_M/cv_F * Forces_APPURT[[#This Row],[Beta Fai 270]] * Calculations_APPURT[[#This Row],[Horizontal Offset]]/12</f>
        <v>0</v>
      </c>
      <c r="OR18" s="276">
        <f>IFERROR(1/Calculations_APPURT[[#This Row],[Brackets]],0) * cv_M/cv_F * Forces_APPURT[[#This Row],[Beta Fai 300]] * Calculations_APPURT[[#This Row],[Horizontal Offset]]/12</f>
        <v>0</v>
      </c>
      <c r="OS18" s="276">
        <f>IFERROR(1/Calculations_APPURT[[#This Row],[Brackets]],0) * cv_M/cv_F * Forces_APPURT[[#This Row],[Beta Fai 315]] * Calculations_APPURT[[#This Row],[Horizontal Offset]]/12</f>
        <v>0</v>
      </c>
      <c r="OT18" s="276">
        <f>IFERROR(1/Calculations_APPURT[[#This Row],[Brackets]],0) * cv_M/cv_F * Forces_APPURT[[#This Row],[Beta Fai 330]] * Calculations_APPURT[[#This Row],[Horizontal Offset]]/12</f>
        <v>0</v>
      </c>
      <c r="OU18" s="338">
        <f>IFERROR(1/Calculations_APPURT[[#This Row],[Brackets]],0) * cv_M/cv_F * Forces_APPURT[[#This Row],[Gamma Fai 0]] * Calculations_APPURT[[#This Row],[Horizontal Offset]]/12</f>
        <v>0</v>
      </c>
      <c r="OV18" s="338">
        <f>IFERROR(1/Calculations_APPURT[[#This Row],[Brackets]],0) * cv_M/cv_F * Forces_APPURT[[#This Row],[Gamma Fai 30]] * Calculations_APPURT[[#This Row],[Horizontal Offset]]/12</f>
        <v>0</v>
      </c>
      <c r="OW18" s="338">
        <f>IFERROR(1/Calculations_APPURT[[#This Row],[Brackets]],0) * cv_M/cv_F * Forces_APPURT[[#This Row],[Gamma Fai 45]] * Calculations_APPURT[[#This Row],[Horizontal Offset]]/12</f>
        <v>0</v>
      </c>
      <c r="OX18" s="338">
        <f>IFERROR(1/Calculations_APPURT[[#This Row],[Brackets]],0) * cv_M/cv_F * Forces_APPURT[[#This Row],[Gamma Fai 60]] * Calculations_APPURT[[#This Row],[Horizontal Offset]]/12</f>
        <v>0</v>
      </c>
      <c r="OY18" s="338">
        <f>IFERROR(1/Calculations_APPURT[[#This Row],[Brackets]],0) * cv_M/cv_F * Forces_APPURT[[#This Row],[Gamma Fai 90]] * Calculations_APPURT[[#This Row],[Horizontal Offset]]/12</f>
        <v>0</v>
      </c>
      <c r="OZ18" s="338">
        <f>IFERROR(1/Calculations_APPURT[[#This Row],[Brackets]],0) * cv_M/cv_F * Forces_APPURT[[#This Row],[Gamma Fai 120]] * Calculations_APPURT[[#This Row],[Horizontal Offset]]/12</f>
        <v>0</v>
      </c>
      <c r="PA18" s="338">
        <f>IFERROR(1/Calculations_APPURT[[#This Row],[Brackets]],0) * cv_M/cv_F * Forces_APPURT[[#This Row],[Gamma Fai 135]] * Calculations_APPURT[[#This Row],[Horizontal Offset]]/12</f>
        <v>0</v>
      </c>
      <c r="PB18" s="338">
        <f>IFERROR(1/Calculations_APPURT[[#This Row],[Brackets]],0) * cv_M/cv_F * Forces_APPURT[[#This Row],[Gamma Fai 150]] * Calculations_APPURT[[#This Row],[Horizontal Offset]]/12</f>
        <v>0</v>
      </c>
      <c r="PC18" s="338">
        <f>IFERROR(1/Calculations_APPURT[[#This Row],[Brackets]],0) * cv_M/cv_F * Forces_APPURT[[#This Row],[Gamma Fai 180]] * Calculations_APPURT[[#This Row],[Horizontal Offset]]/12</f>
        <v>0</v>
      </c>
      <c r="PD18" s="338">
        <f>IFERROR(1/Calculations_APPURT[[#This Row],[Brackets]],0) * cv_M/cv_F * Forces_APPURT[[#This Row],[Gamma Fai 210]] * Calculations_APPURT[[#This Row],[Horizontal Offset]]/12</f>
        <v>0</v>
      </c>
      <c r="PE18" s="338">
        <f>IFERROR(1/Calculations_APPURT[[#This Row],[Brackets]],0) * cv_M/cv_F * Forces_APPURT[[#This Row],[Gamma Fai 225]] * Calculations_APPURT[[#This Row],[Horizontal Offset]]/12</f>
        <v>0</v>
      </c>
      <c r="PF18" s="338">
        <f>IFERROR(1/Calculations_APPURT[[#This Row],[Brackets]],0) * cv_M/cv_F * Forces_APPURT[[#This Row],[Gamma Fai 240]] * Calculations_APPURT[[#This Row],[Horizontal Offset]]/12</f>
        <v>0</v>
      </c>
      <c r="PG18" s="338">
        <f>IFERROR(1/Calculations_APPURT[[#This Row],[Brackets]],0) * cv_M/cv_F * Forces_APPURT[[#This Row],[Gamma Fai 270]] * Calculations_APPURT[[#This Row],[Horizontal Offset]]/12</f>
        <v>0</v>
      </c>
      <c r="PH18" s="338">
        <f>IFERROR(1/Calculations_APPURT[[#This Row],[Brackets]],0) * cv_M/cv_F * Forces_APPURT[[#This Row],[Gamma Fai 300]] * Calculations_APPURT[[#This Row],[Horizontal Offset]]/12</f>
        <v>0</v>
      </c>
      <c r="PI18" s="338">
        <f>IFERROR(1/Calculations_APPURT[[#This Row],[Brackets]],0) * cv_M/cv_F * Forces_APPURT[[#This Row],[Gamma Fai 315]] * Calculations_APPURT[[#This Row],[Horizontal Offset]]/12</f>
        <v>0</v>
      </c>
      <c r="PJ18" s="338">
        <f>IFERROR(1/Calculations_APPURT[[#This Row],[Brackets]],0) * cv_M/cv_F * Forces_APPURT[[#This Row],[Gamma Fai 330]] * Calculations_APPURT[[#This Row],[Horizontal Offset]]/12</f>
        <v>0</v>
      </c>
      <c r="PK18" s="276">
        <f>IFERROR(1/Calculations_APPURT[[#This Row],[Brackets]],0) * cv_M/cv_F * Forces_APPURT[[#This Row],[Delta Fai 0]] * Calculations_APPURT[[#This Row],[Horizontal Offset]]/12</f>
        <v>0</v>
      </c>
      <c r="PL18" s="276">
        <f>IFERROR(1/Calculations_APPURT[[#This Row],[Brackets]],0) * cv_M/cv_F * Forces_APPURT[[#This Row],[Delta Fai 30]] * Calculations_APPURT[[#This Row],[Horizontal Offset]]/12</f>
        <v>0</v>
      </c>
      <c r="PM18" s="276">
        <f>IFERROR(1/Calculations_APPURT[[#This Row],[Brackets]],0) * cv_M/cv_F * Forces_APPURT[[#This Row],[Delta Fai 45]] * Calculations_APPURT[[#This Row],[Horizontal Offset]]/12</f>
        <v>0</v>
      </c>
      <c r="PN18" s="276">
        <f>IFERROR(1/Calculations_APPURT[[#This Row],[Brackets]],0) * cv_M/cv_F * Forces_APPURT[[#This Row],[Delta Fai 60]] * Calculations_APPURT[[#This Row],[Horizontal Offset]]/12</f>
        <v>0</v>
      </c>
      <c r="PO18" s="276">
        <f>IFERROR(1/Calculations_APPURT[[#This Row],[Brackets]],0) * cv_M/cv_F * Forces_APPURT[[#This Row],[Delta Fai 90]] * Calculations_APPURT[[#This Row],[Horizontal Offset]]/12</f>
        <v>0</v>
      </c>
      <c r="PP18" s="276">
        <f>IFERROR(1/Calculations_APPURT[[#This Row],[Brackets]],0) * cv_M/cv_F * Forces_APPURT[[#This Row],[Delta Fai 120]] * Calculations_APPURT[[#This Row],[Horizontal Offset]]/12</f>
        <v>0</v>
      </c>
      <c r="PQ18" s="276">
        <f>IFERROR(1/Calculations_APPURT[[#This Row],[Brackets]],0) * cv_M/cv_F * Forces_APPURT[[#This Row],[Delta Fai 135]] * Calculations_APPURT[[#This Row],[Horizontal Offset]]/12</f>
        <v>0</v>
      </c>
      <c r="PR18" s="276">
        <f>IFERROR(1/Calculations_APPURT[[#This Row],[Brackets]],0) * cv_M/cv_F * Forces_APPURT[[#This Row],[Delta Fai 150]] * Calculations_APPURT[[#This Row],[Horizontal Offset]]/12</f>
        <v>0</v>
      </c>
      <c r="PS18" s="276">
        <f>IFERROR(1/Calculations_APPURT[[#This Row],[Brackets]],0) * cv_M/cv_F * Forces_APPURT[[#This Row],[Delta Fai 180]] * Calculations_APPURT[[#This Row],[Horizontal Offset]]/12</f>
        <v>0</v>
      </c>
      <c r="PT18" s="276">
        <f>IFERROR(1/Calculations_APPURT[[#This Row],[Brackets]],0) * cv_M/cv_F * Forces_APPURT[[#This Row],[Delta Fai 210]] * Calculations_APPURT[[#This Row],[Horizontal Offset]]/12</f>
        <v>0</v>
      </c>
      <c r="PU18" s="276">
        <f>IFERROR(1/Calculations_APPURT[[#This Row],[Brackets]],0) * cv_M/cv_F * Forces_APPURT[[#This Row],[Delta Fai 225]] * Calculations_APPURT[[#This Row],[Horizontal Offset]]/12</f>
        <v>0</v>
      </c>
      <c r="PV18" s="276">
        <f>IFERROR(1/Calculations_APPURT[[#This Row],[Brackets]],0) * cv_M/cv_F * Forces_APPURT[[#This Row],[Delta Fai 240]] * Calculations_APPURT[[#This Row],[Horizontal Offset]]/12</f>
        <v>0</v>
      </c>
      <c r="PW18" s="276">
        <f>IFERROR(1/Calculations_APPURT[[#This Row],[Brackets]],0) * cv_M/cv_F * Forces_APPURT[[#This Row],[Delta Fai 270]] * Calculations_APPURT[[#This Row],[Horizontal Offset]]/12</f>
        <v>0</v>
      </c>
      <c r="PX18" s="276">
        <f>IFERROR(1/Calculations_APPURT[[#This Row],[Brackets]],0) * cv_M/cv_F * Forces_APPURT[[#This Row],[Delta Fai 300]] * Calculations_APPURT[[#This Row],[Horizontal Offset]]/12</f>
        <v>0</v>
      </c>
      <c r="PY18" s="276">
        <f>IFERROR(1/Calculations_APPURT[[#This Row],[Brackets]],0) * cv_M/cv_F * Forces_APPURT[[#This Row],[Delta Fai 315]] * Calculations_APPURT[[#This Row],[Horizontal Offset]]/12</f>
        <v>0</v>
      </c>
      <c r="PZ18" s="276">
        <f>IFERROR(1/Calculations_APPURT[[#This Row],[Brackets]],0) * cv_M/cv_F * Forces_APPURT[[#This Row],[Delta Fai 330]] * Calculations_APPURT[[#This Row],[Horizontal Offset]]/12</f>
        <v>0</v>
      </c>
      <c r="QA18" s="338">
        <f>IFERROR(1/Calculations_APPURT[[#This Row],[Brackets]],0) * cv_M/cv_F * Forces_APPURT[[#This Row],[Alpha Fa 0]] * Calculations_APPURT[[#This Row],[Lateral Offset]]/12</f>
        <v>0</v>
      </c>
      <c r="QB18" s="338">
        <f>IFERROR(1/Calculations_APPURT[[#This Row],[Brackets]],0) * cv_M/cv_F * Forces_APPURT[[#This Row],[Alpha Fa 30]] * Calculations_APPURT[[#This Row],[Lateral Offset]]/12</f>
        <v>0</v>
      </c>
      <c r="QC18" s="338">
        <f>IFERROR(1/Calculations_APPURT[[#This Row],[Brackets]],0) * cv_M/cv_F * Forces_APPURT[[#This Row],[Alpha Fa 45]] * Calculations_APPURT[[#This Row],[Lateral Offset]]/12</f>
        <v>0</v>
      </c>
      <c r="QD18" s="338">
        <f>IFERROR(1/Calculations_APPURT[[#This Row],[Brackets]],0) * cv_M/cv_F * Forces_APPURT[[#This Row],[Alpha Fa 60]] * Calculations_APPURT[[#This Row],[Lateral Offset]]/12</f>
        <v>0</v>
      </c>
      <c r="QE18" s="338">
        <f>IFERROR(1/Calculations_APPURT[[#This Row],[Brackets]],0) * cv_M/cv_F * Forces_APPURT[[#This Row],[Alpha Fa 90]] * Calculations_APPURT[[#This Row],[Lateral Offset]]/12</f>
        <v>0</v>
      </c>
      <c r="QF18" s="338">
        <f>IFERROR(1/Calculations_APPURT[[#This Row],[Brackets]],0) * cv_M/cv_F * Forces_APPURT[[#This Row],[Alpha Fa 120]] * Calculations_APPURT[[#This Row],[Lateral Offset]]/12</f>
        <v>0</v>
      </c>
      <c r="QG18" s="338">
        <f>IFERROR(1/Calculations_APPURT[[#This Row],[Brackets]],0) * cv_M/cv_F * Forces_APPURT[[#This Row],[Alpha Fa 135]] * Calculations_APPURT[[#This Row],[Lateral Offset]]/12</f>
        <v>0</v>
      </c>
      <c r="QH18" s="338">
        <f>IFERROR(1/Calculations_APPURT[[#This Row],[Brackets]],0) * cv_M/cv_F * Forces_APPURT[[#This Row],[Alpha Fa 150]] * Calculations_APPURT[[#This Row],[Lateral Offset]]/12</f>
        <v>0</v>
      </c>
      <c r="QI18" s="338">
        <f>IFERROR(1/Calculations_APPURT[[#This Row],[Brackets]],0) * cv_M/cv_F * Forces_APPURT[[#This Row],[Alpha Fa 180]] * Calculations_APPURT[[#This Row],[Lateral Offset]]/12</f>
        <v>0</v>
      </c>
      <c r="QJ18" s="338">
        <f>IFERROR(1/Calculations_APPURT[[#This Row],[Brackets]],0) * cv_M/cv_F * Forces_APPURT[[#This Row],[Alpha Fa 210]] * Calculations_APPURT[[#This Row],[Lateral Offset]]/12</f>
        <v>0</v>
      </c>
      <c r="QK18" s="338">
        <f>IFERROR(1/Calculations_APPURT[[#This Row],[Brackets]],0) * cv_M/cv_F * Forces_APPURT[[#This Row],[Alpha Fa 225]] * Calculations_APPURT[[#This Row],[Lateral Offset]]/12</f>
        <v>0</v>
      </c>
      <c r="QL18" s="338">
        <f>IFERROR(1/Calculations_APPURT[[#This Row],[Brackets]],0) * cv_M/cv_F * Forces_APPURT[[#This Row],[Alpha Fa 240]] * Calculations_APPURT[[#This Row],[Lateral Offset]]/12</f>
        <v>0</v>
      </c>
      <c r="QM18" s="338">
        <f>IFERROR(1/Calculations_APPURT[[#This Row],[Brackets]],0) * cv_M/cv_F * Forces_APPURT[[#This Row],[Alpha Fa 270]] * Calculations_APPURT[[#This Row],[Lateral Offset]]/12</f>
        <v>0</v>
      </c>
      <c r="QN18" s="338">
        <f>IFERROR(1/Calculations_APPURT[[#This Row],[Brackets]],0) * cv_M/cv_F * Forces_APPURT[[#This Row],[Alpha Fa 300]] * Calculations_APPURT[[#This Row],[Lateral Offset]]/12</f>
        <v>0</v>
      </c>
      <c r="QO18" s="338">
        <f>IFERROR(1/Calculations_APPURT[[#This Row],[Brackets]],0) * cv_M/cv_F * Forces_APPURT[[#This Row],[Alpha Fa 315]] * Calculations_APPURT[[#This Row],[Lateral Offset]]/12</f>
        <v>0</v>
      </c>
      <c r="QP18" s="338">
        <f>IFERROR(1/Calculations_APPURT[[#This Row],[Brackets]],0) * cv_M/cv_F * Forces_APPURT[[#This Row],[Alpha Fa 330]] * Calculations_APPURT[[#This Row],[Lateral Offset]]/12</f>
        <v>0</v>
      </c>
      <c r="QQ18" s="276">
        <f>IFERROR(1/Calculations_APPURT[[#This Row],[Brackets]],0) * cv_M/cv_F * Forces_APPURT[[#This Row],[Beta Fa 0]] * Calculations_APPURT[[#This Row],[Lateral Offset]]/12</f>
        <v>0</v>
      </c>
      <c r="QR18" s="276">
        <f>IFERROR(1/Calculations_APPURT[[#This Row],[Brackets]],0) * cv_M/cv_F * Forces_APPURT[[#This Row],[Beta Fa 30]] * Calculations_APPURT[[#This Row],[Lateral Offset]]/12</f>
        <v>0</v>
      </c>
      <c r="QS18" s="276">
        <f>IFERROR(1/Calculations_APPURT[[#This Row],[Brackets]],0) * cv_M/cv_F * Forces_APPURT[[#This Row],[Beta Fa 45]] * Calculations_APPURT[[#This Row],[Lateral Offset]]/12</f>
        <v>0</v>
      </c>
      <c r="QT18" s="276">
        <f>IFERROR(1/Calculations_APPURT[[#This Row],[Brackets]],0) * cv_M/cv_F * Forces_APPURT[[#This Row],[Beta Fa 60]] * Calculations_APPURT[[#This Row],[Lateral Offset]]/12</f>
        <v>0</v>
      </c>
      <c r="QU18" s="276">
        <f>IFERROR(1/Calculations_APPURT[[#This Row],[Brackets]],0) * cv_M/cv_F * Forces_APPURT[[#This Row],[Beta Fa 90]] * Calculations_APPURT[[#This Row],[Lateral Offset]]/12</f>
        <v>0</v>
      </c>
      <c r="QV18" s="276">
        <f>IFERROR(1/Calculations_APPURT[[#This Row],[Brackets]],0) * cv_M/cv_F * Forces_APPURT[[#This Row],[Beta Fa 120]] * Calculations_APPURT[[#This Row],[Lateral Offset]]/12</f>
        <v>0</v>
      </c>
      <c r="QW18" s="276">
        <f>IFERROR(1/Calculations_APPURT[[#This Row],[Brackets]],0) * cv_M/cv_F * Forces_APPURT[[#This Row],[Beta Fa 135]] * Calculations_APPURT[[#This Row],[Lateral Offset]]/12</f>
        <v>0</v>
      </c>
      <c r="QX18" s="276">
        <f>IFERROR(1/Calculations_APPURT[[#This Row],[Brackets]],0) * cv_M/cv_F * Forces_APPURT[[#This Row],[Beta Fa 150]] * Calculations_APPURT[[#This Row],[Lateral Offset]]/12</f>
        <v>0</v>
      </c>
      <c r="QY18" s="276">
        <f>IFERROR(1/Calculations_APPURT[[#This Row],[Brackets]],0) * cv_M/cv_F * Forces_APPURT[[#This Row],[Beta Fa 180]] * Calculations_APPURT[[#This Row],[Lateral Offset]]/12</f>
        <v>0</v>
      </c>
      <c r="QZ18" s="276">
        <f>IFERROR(1/Calculations_APPURT[[#This Row],[Brackets]],0) * cv_M/cv_F * Forces_APPURT[[#This Row],[Beta Fa 210]] * Calculations_APPURT[[#This Row],[Lateral Offset]]/12</f>
        <v>0</v>
      </c>
      <c r="RA18" s="276">
        <f>IFERROR(1/Calculations_APPURT[[#This Row],[Brackets]],0) * cv_M/cv_F * Forces_APPURT[[#This Row],[Beta Fa 225]] * Calculations_APPURT[[#This Row],[Lateral Offset]]/12</f>
        <v>0</v>
      </c>
      <c r="RB18" s="276">
        <f>IFERROR(1/Calculations_APPURT[[#This Row],[Brackets]],0) * cv_M/cv_F * Forces_APPURT[[#This Row],[Beta Fa 240]] * Calculations_APPURT[[#This Row],[Lateral Offset]]/12</f>
        <v>0</v>
      </c>
      <c r="RC18" s="276">
        <f>IFERROR(1/Calculations_APPURT[[#This Row],[Brackets]],0) * cv_M/cv_F * Forces_APPURT[[#This Row],[Beta Fa 270]] * Calculations_APPURT[[#This Row],[Lateral Offset]]/12</f>
        <v>0</v>
      </c>
      <c r="RD18" s="276">
        <f>IFERROR(1/Calculations_APPURT[[#This Row],[Brackets]],0) * cv_M/cv_F * Forces_APPURT[[#This Row],[Beta Fa 300]] * Calculations_APPURT[[#This Row],[Lateral Offset]]/12</f>
        <v>0</v>
      </c>
      <c r="RE18" s="276">
        <f>IFERROR(1/Calculations_APPURT[[#This Row],[Brackets]],0) * cv_M/cv_F * Forces_APPURT[[#This Row],[Beta Fa 315]] * Calculations_APPURT[[#This Row],[Lateral Offset]]/12</f>
        <v>0</v>
      </c>
      <c r="RF18" s="276">
        <f>IFERROR(1/Calculations_APPURT[[#This Row],[Brackets]],0) * cv_M/cv_F * Forces_APPURT[[#This Row],[Beta Fa 330]] * Calculations_APPURT[[#This Row],[Lateral Offset]]/12</f>
        <v>0</v>
      </c>
      <c r="RG18" s="338">
        <f>IFERROR(1/Calculations_APPURT[[#This Row],[Brackets]],0) * cv_M/cv_F * Forces_APPURT[[#This Row],[Gamma Fa 0]] * Calculations_APPURT[[#This Row],[Lateral Offset]]/12</f>
        <v>0</v>
      </c>
      <c r="RH18" s="338">
        <f>IFERROR(1/Calculations_APPURT[[#This Row],[Brackets]],0) * cv_M/cv_F * Forces_APPURT[[#This Row],[Gamma Fa 30]] * Calculations_APPURT[[#This Row],[Lateral Offset]]/12</f>
        <v>0</v>
      </c>
      <c r="RI18" s="338">
        <f>IFERROR(1/Calculations_APPURT[[#This Row],[Brackets]],0) * cv_M/cv_F * Forces_APPURT[[#This Row],[Gamma Fa 45]] * Calculations_APPURT[[#This Row],[Lateral Offset]]/12</f>
        <v>0</v>
      </c>
      <c r="RJ18" s="338">
        <f>IFERROR(1/Calculations_APPURT[[#This Row],[Brackets]],0) * cv_M/cv_F * Forces_APPURT[[#This Row],[Gamma Fa 60]] * Calculations_APPURT[[#This Row],[Lateral Offset]]/12</f>
        <v>0</v>
      </c>
      <c r="RK18" s="338">
        <f>IFERROR(1/Calculations_APPURT[[#This Row],[Brackets]],0) * cv_M/cv_F * Forces_APPURT[[#This Row],[Gamma Fa 90]] * Calculations_APPURT[[#This Row],[Lateral Offset]]/12</f>
        <v>0</v>
      </c>
      <c r="RL18" s="338">
        <f>IFERROR(1/Calculations_APPURT[[#This Row],[Brackets]],0) * cv_M/cv_F * Forces_APPURT[[#This Row],[Gamma Fa 120]] * Calculations_APPURT[[#This Row],[Lateral Offset]]/12</f>
        <v>0</v>
      </c>
      <c r="RM18" s="338">
        <f>IFERROR(1/Calculations_APPURT[[#This Row],[Brackets]],0) * cv_M/cv_F * Forces_APPURT[[#This Row],[Gamma Fa 135]] * Calculations_APPURT[[#This Row],[Lateral Offset]]/12</f>
        <v>0</v>
      </c>
      <c r="RN18" s="338">
        <f>IFERROR(1/Calculations_APPURT[[#This Row],[Brackets]],0) * cv_M/cv_F * Forces_APPURT[[#This Row],[Gamma Fa 150]] * Calculations_APPURT[[#This Row],[Lateral Offset]]/12</f>
        <v>0</v>
      </c>
      <c r="RO18" s="338">
        <f>IFERROR(1/Calculations_APPURT[[#This Row],[Brackets]],0) * cv_M/cv_F * Forces_APPURT[[#This Row],[Gamma Fa 180]] * Calculations_APPURT[[#This Row],[Lateral Offset]]/12</f>
        <v>0</v>
      </c>
      <c r="RP18" s="338">
        <f>IFERROR(1/Calculations_APPURT[[#This Row],[Brackets]],0) * cv_M/cv_F * Forces_APPURT[[#This Row],[Gamma Fa 210]] * Calculations_APPURT[[#This Row],[Lateral Offset]]/12</f>
        <v>0</v>
      </c>
      <c r="RQ18" s="338">
        <f>IFERROR(1/Calculations_APPURT[[#This Row],[Brackets]],0) * cv_M/cv_F * Forces_APPURT[[#This Row],[Gamma Fa 225]] * Calculations_APPURT[[#This Row],[Lateral Offset]]/12</f>
        <v>0</v>
      </c>
      <c r="RR18" s="338">
        <f>IFERROR(1/Calculations_APPURT[[#This Row],[Brackets]],0) * cv_M/cv_F * Forces_APPURT[[#This Row],[Gamma Fa 240]] * Calculations_APPURT[[#This Row],[Lateral Offset]]/12</f>
        <v>0</v>
      </c>
      <c r="RS18" s="338">
        <f>IFERROR(1/Calculations_APPURT[[#This Row],[Brackets]],0) * cv_M/cv_F * Forces_APPURT[[#This Row],[Gamma Fa 270]] * Calculations_APPURT[[#This Row],[Lateral Offset]]/12</f>
        <v>0</v>
      </c>
      <c r="RT18" s="338">
        <f>IFERROR(1/Calculations_APPURT[[#This Row],[Brackets]],0) * cv_M/cv_F * Forces_APPURT[[#This Row],[Gamma Fa 300]] * Calculations_APPURT[[#This Row],[Lateral Offset]]/12</f>
        <v>0</v>
      </c>
      <c r="RU18" s="338">
        <f>IFERROR(1/Calculations_APPURT[[#This Row],[Brackets]],0) * cv_M/cv_F * Forces_APPURT[[#This Row],[Gamma Fa 315]] * Calculations_APPURT[[#This Row],[Lateral Offset]]/12</f>
        <v>0</v>
      </c>
      <c r="RV18" s="338">
        <f>IFERROR(1/Calculations_APPURT[[#This Row],[Brackets]],0) * cv_M/cv_F * Forces_APPURT[[#This Row],[Gamma Fa 330]] * Calculations_APPURT[[#This Row],[Lateral Offset]]/12</f>
        <v>0</v>
      </c>
      <c r="RW18" s="276">
        <f>IFERROR(1/Calculations_APPURT[[#This Row],[Brackets]],0) * cv_M/cv_F * Forces_APPURT[[#This Row],[Delta Fa 0]] * Calculations_APPURT[[#This Row],[Lateral Offset]]/12</f>
        <v>0</v>
      </c>
      <c r="RX18" s="276">
        <f>IFERROR(1/Calculations_APPURT[[#This Row],[Brackets]],0) * cv_M/cv_F * Forces_APPURT[[#This Row],[Delta Fa 30]] * Calculations_APPURT[[#This Row],[Lateral Offset]]/12</f>
        <v>0</v>
      </c>
      <c r="RY18" s="276">
        <f>IFERROR(1/Calculations_APPURT[[#This Row],[Brackets]],0) * cv_M/cv_F * Forces_APPURT[[#This Row],[Delta Fa 45]] * Calculations_APPURT[[#This Row],[Lateral Offset]]/12</f>
        <v>0</v>
      </c>
      <c r="RZ18" s="276">
        <f>IFERROR(1/Calculations_APPURT[[#This Row],[Brackets]],0) * cv_M/cv_F * Forces_APPURT[[#This Row],[Delta Fa 60]] * Calculations_APPURT[[#This Row],[Lateral Offset]]/12</f>
        <v>0</v>
      </c>
      <c r="SA18" s="276">
        <f>IFERROR(1/Calculations_APPURT[[#This Row],[Brackets]],0) * cv_M/cv_F * Forces_APPURT[[#This Row],[Delta Fa 90]] * Calculations_APPURT[[#This Row],[Lateral Offset]]/12</f>
        <v>0</v>
      </c>
      <c r="SB18" s="276">
        <f>IFERROR(1/Calculations_APPURT[[#This Row],[Brackets]],0) * cv_M/cv_F * Forces_APPURT[[#This Row],[Delta Fa 120]] * Calculations_APPURT[[#This Row],[Lateral Offset]]/12</f>
        <v>0</v>
      </c>
      <c r="SC18" s="276">
        <f>IFERROR(1/Calculations_APPURT[[#This Row],[Brackets]],0) * cv_M/cv_F * Forces_APPURT[[#This Row],[Delta Fa 135]] * Calculations_APPURT[[#This Row],[Lateral Offset]]/12</f>
        <v>0</v>
      </c>
      <c r="SD18" s="276">
        <f>IFERROR(1/Calculations_APPURT[[#This Row],[Brackets]],0) * cv_M/cv_F * Forces_APPURT[[#This Row],[Delta Fa 150]] * Calculations_APPURT[[#This Row],[Lateral Offset]]/12</f>
        <v>0</v>
      </c>
      <c r="SE18" s="276">
        <f>IFERROR(1/Calculations_APPURT[[#This Row],[Brackets]],0) * cv_M/cv_F * Forces_APPURT[[#This Row],[Delta Fa 180]] * Calculations_APPURT[[#This Row],[Lateral Offset]]/12</f>
        <v>0</v>
      </c>
      <c r="SF18" s="276">
        <f>IFERROR(1/Calculations_APPURT[[#This Row],[Brackets]],0) * cv_M/cv_F * Forces_APPURT[[#This Row],[Delta Fa 210]] * Calculations_APPURT[[#This Row],[Lateral Offset]]/12</f>
        <v>0</v>
      </c>
      <c r="SG18" s="276">
        <f>IFERROR(1/Calculations_APPURT[[#This Row],[Brackets]],0) * cv_M/cv_F * Forces_APPURT[[#This Row],[Delta Fa 225]] * Calculations_APPURT[[#This Row],[Lateral Offset]]/12</f>
        <v>0</v>
      </c>
      <c r="SH18" s="276">
        <f>IFERROR(1/Calculations_APPURT[[#This Row],[Brackets]],0) * cv_M/cv_F * Forces_APPURT[[#This Row],[Delta Fa 240]] * Calculations_APPURT[[#This Row],[Lateral Offset]]/12</f>
        <v>0</v>
      </c>
      <c r="SI18" s="276">
        <f>IFERROR(1/Calculations_APPURT[[#This Row],[Brackets]],0) * cv_M/cv_F * Forces_APPURT[[#This Row],[Delta Fa 270]] * Calculations_APPURT[[#This Row],[Lateral Offset]]/12</f>
        <v>0</v>
      </c>
      <c r="SJ18" s="276">
        <f>IFERROR(1/Calculations_APPURT[[#This Row],[Brackets]],0) * cv_M/cv_F * Forces_APPURT[[#This Row],[Delta Fa 300]] * Calculations_APPURT[[#This Row],[Lateral Offset]]/12</f>
        <v>0</v>
      </c>
      <c r="SK18" s="276">
        <f>IFERROR(1/Calculations_APPURT[[#This Row],[Brackets]],0) * cv_M/cv_F * Forces_APPURT[[#This Row],[Delta Fa 315]] * Calculations_APPURT[[#This Row],[Lateral Offset]]/12</f>
        <v>0</v>
      </c>
      <c r="SL18" s="276">
        <f>IFERROR(1/Calculations_APPURT[[#This Row],[Brackets]],0) * cv_M/cv_F * Forces_APPURT[[#This Row],[Delta Fa 330]] * Calculations_APPURT[[#This Row],[Lateral Offset]]/12</f>
        <v>0</v>
      </c>
      <c r="SM18" s="338">
        <f>IFERROR(1/Calculations_APPURT[[#This Row],[Brackets]],0) * cv_M/cv_F * Forces_APPURT[[#This Row],[Alpha Fai 0]] * Calculations_APPURT[[#This Row],[Lateral Offset]]/12</f>
        <v>0</v>
      </c>
      <c r="SN18" s="338">
        <f>IFERROR(1/Calculations_APPURT[[#This Row],[Brackets]],0) * cv_M/cv_F * Forces_APPURT[[#This Row],[Alpha Fai 30]] * Calculations_APPURT[[#This Row],[Lateral Offset]]/12</f>
        <v>0</v>
      </c>
      <c r="SO18" s="338">
        <f>IFERROR(1/Calculations_APPURT[[#This Row],[Brackets]],0) * cv_M/cv_F * Forces_APPURT[[#This Row],[Alpha Fai 45]] * Calculations_APPURT[[#This Row],[Lateral Offset]]/12</f>
        <v>0</v>
      </c>
      <c r="SP18" s="338">
        <f>IFERROR(1/Calculations_APPURT[[#This Row],[Brackets]],0) * cv_M/cv_F * Forces_APPURT[[#This Row],[Alpha Fai 60]] * Calculations_APPURT[[#This Row],[Lateral Offset]]/12</f>
        <v>0</v>
      </c>
      <c r="SQ18" s="338">
        <f>IFERROR(1/Calculations_APPURT[[#This Row],[Brackets]],0) * cv_M/cv_F * Forces_APPURT[[#This Row],[Alpha Fai 90]] * Calculations_APPURT[[#This Row],[Lateral Offset]]/12</f>
        <v>0</v>
      </c>
      <c r="SR18" s="338">
        <f>IFERROR(1/Calculations_APPURT[[#This Row],[Brackets]],0) * cv_M/cv_F * Forces_APPURT[[#This Row],[Alpha Fai 120]] * Calculations_APPURT[[#This Row],[Lateral Offset]]/12</f>
        <v>0</v>
      </c>
      <c r="SS18" s="338">
        <f>IFERROR(1/Calculations_APPURT[[#This Row],[Brackets]],0) * cv_M/cv_F * Forces_APPURT[[#This Row],[Alpha Fai 135]] * Calculations_APPURT[[#This Row],[Lateral Offset]]/12</f>
        <v>0</v>
      </c>
      <c r="ST18" s="338">
        <f>IFERROR(1/Calculations_APPURT[[#This Row],[Brackets]],0) * cv_M/cv_F * Forces_APPURT[[#This Row],[Alpha Fai 150]] * Calculations_APPURT[[#This Row],[Lateral Offset]]/12</f>
        <v>0</v>
      </c>
      <c r="SU18" s="338">
        <f>IFERROR(1/Calculations_APPURT[[#This Row],[Brackets]],0) * cv_M/cv_F * Forces_APPURT[[#This Row],[Alpha Fai 180]] * Calculations_APPURT[[#This Row],[Lateral Offset]]/12</f>
        <v>0</v>
      </c>
      <c r="SV18" s="338">
        <f>IFERROR(1/Calculations_APPURT[[#This Row],[Brackets]],0) * cv_M/cv_F * Forces_APPURT[[#This Row],[Alpha Fai 210]] * Calculations_APPURT[[#This Row],[Lateral Offset]]/12</f>
        <v>0</v>
      </c>
      <c r="SW18" s="338">
        <f>IFERROR(1/Calculations_APPURT[[#This Row],[Brackets]],0) * cv_M/cv_F * Forces_APPURT[[#This Row],[Alpha Fai 225]] * Calculations_APPURT[[#This Row],[Lateral Offset]]/12</f>
        <v>0</v>
      </c>
      <c r="SX18" s="338">
        <f>IFERROR(1/Calculations_APPURT[[#This Row],[Brackets]],0) * cv_M/cv_F * Forces_APPURT[[#This Row],[Alpha Fai 240]] * Calculations_APPURT[[#This Row],[Lateral Offset]]/12</f>
        <v>0</v>
      </c>
      <c r="SY18" s="338">
        <f>IFERROR(1/Calculations_APPURT[[#This Row],[Brackets]],0) * cv_M/cv_F * Forces_APPURT[[#This Row],[Alpha Fai 270]] * Calculations_APPURT[[#This Row],[Lateral Offset]]/12</f>
        <v>0</v>
      </c>
      <c r="SZ18" s="338">
        <f>IFERROR(1/Calculations_APPURT[[#This Row],[Brackets]],0) * cv_M/cv_F * Forces_APPURT[[#This Row],[Alpha Fai 300]] * Calculations_APPURT[[#This Row],[Lateral Offset]]/12</f>
        <v>0</v>
      </c>
      <c r="TA18" s="338">
        <f>IFERROR(1/Calculations_APPURT[[#This Row],[Brackets]],0) * cv_M/cv_F * Forces_APPURT[[#This Row],[Alpha Fai 315]] * Calculations_APPURT[[#This Row],[Lateral Offset]]/12</f>
        <v>0</v>
      </c>
      <c r="TB18" s="338">
        <f>IFERROR(1/Calculations_APPURT[[#This Row],[Brackets]],0) * cv_M/cv_F * Forces_APPURT[[#This Row],[Alpha Fai 330]] * Calculations_APPURT[[#This Row],[Lateral Offset]]/12</f>
        <v>0</v>
      </c>
      <c r="TC18" s="276">
        <f>IFERROR(1/Calculations_APPURT[[#This Row],[Brackets]],0) * cv_M/cv_F * Forces_APPURT[[#This Row],[Beta Fai 0]] * Calculations_APPURT[[#This Row],[Lateral Offset]]/12</f>
        <v>0</v>
      </c>
      <c r="TD18" s="276">
        <f>IFERROR(1/Calculations_APPURT[[#This Row],[Brackets]],0) * cv_M/cv_F * Forces_APPURT[[#This Row],[Beta Fai 30]] * Calculations_APPURT[[#This Row],[Lateral Offset]]/12</f>
        <v>0</v>
      </c>
      <c r="TE18" s="276">
        <f>IFERROR(1/Calculations_APPURT[[#This Row],[Brackets]],0) * cv_M/cv_F * Forces_APPURT[[#This Row],[Beta Fai 45]] * Calculations_APPURT[[#This Row],[Lateral Offset]]/12</f>
        <v>0</v>
      </c>
      <c r="TF18" s="276">
        <f>IFERROR(1/Calculations_APPURT[[#This Row],[Brackets]],0) * cv_M/cv_F * Forces_APPURT[[#This Row],[Beta Fai 60]] * Calculations_APPURT[[#This Row],[Lateral Offset]]/12</f>
        <v>0</v>
      </c>
      <c r="TG18" s="276">
        <f>IFERROR(1/Calculations_APPURT[[#This Row],[Brackets]],0) * cv_M/cv_F * Forces_APPURT[[#This Row],[Beta Fai 90]] * Calculations_APPURT[[#This Row],[Lateral Offset]]/12</f>
        <v>0</v>
      </c>
      <c r="TH18" s="276">
        <f>IFERROR(1/Calculations_APPURT[[#This Row],[Brackets]],0) * cv_M/cv_F * Forces_APPURT[[#This Row],[Beta Fai 120]] * Calculations_APPURT[[#This Row],[Lateral Offset]]/12</f>
        <v>0</v>
      </c>
      <c r="TI18" s="276">
        <f>IFERROR(1/Calculations_APPURT[[#This Row],[Brackets]],0) * cv_M/cv_F * Forces_APPURT[[#This Row],[Beta Fai 135]] * Calculations_APPURT[[#This Row],[Lateral Offset]]/12</f>
        <v>0</v>
      </c>
      <c r="TJ18" s="276">
        <f>IFERROR(1/Calculations_APPURT[[#This Row],[Brackets]],0) * cv_M/cv_F * Forces_APPURT[[#This Row],[Beta Fai 150]] * Calculations_APPURT[[#This Row],[Lateral Offset]]/12</f>
        <v>0</v>
      </c>
      <c r="TK18" s="276">
        <f>IFERROR(1/Calculations_APPURT[[#This Row],[Brackets]],0) * cv_M/cv_F * Forces_APPURT[[#This Row],[Beta Fai 180]] * Calculations_APPURT[[#This Row],[Lateral Offset]]/12</f>
        <v>0</v>
      </c>
      <c r="TL18" s="276">
        <f>IFERROR(1/Calculations_APPURT[[#This Row],[Brackets]],0) * cv_M/cv_F * Forces_APPURT[[#This Row],[Beta Fai 210]] * Calculations_APPURT[[#This Row],[Lateral Offset]]/12</f>
        <v>0</v>
      </c>
      <c r="TM18" s="276">
        <f>IFERROR(1/Calculations_APPURT[[#This Row],[Brackets]],0) * cv_M/cv_F * Forces_APPURT[[#This Row],[Beta Fai 225]] * Calculations_APPURT[[#This Row],[Lateral Offset]]/12</f>
        <v>0</v>
      </c>
      <c r="TN18" s="276">
        <f>IFERROR(1/Calculations_APPURT[[#This Row],[Brackets]],0) * cv_M/cv_F * Forces_APPURT[[#This Row],[Beta Fai 240]] * Calculations_APPURT[[#This Row],[Lateral Offset]]/12</f>
        <v>0</v>
      </c>
      <c r="TO18" s="276">
        <f>IFERROR(1/Calculations_APPURT[[#This Row],[Brackets]],0) * cv_M/cv_F * Forces_APPURT[[#This Row],[Beta Fai 270]] * Calculations_APPURT[[#This Row],[Lateral Offset]]/12</f>
        <v>0</v>
      </c>
      <c r="TP18" s="276">
        <f>IFERROR(1/Calculations_APPURT[[#This Row],[Brackets]],0) * cv_M/cv_F * Forces_APPURT[[#This Row],[Beta Fai 300]] * Calculations_APPURT[[#This Row],[Lateral Offset]]/12</f>
        <v>0</v>
      </c>
      <c r="TQ18" s="276">
        <f>IFERROR(1/Calculations_APPURT[[#This Row],[Brackets]],0) * cv_M/cv_F * Forces_APPURT[[#This Row],[Beta Fai 315]] * Calculations_APPURT[[#This Row],[Lateral Offset]]/12</f>
        <v>0</v>
      </c>
      <c r="TR18" s="276">
        <f>IFERROR(1/Calculations_APPURT[[#This Row],[Brackets]],0) * cv_M/cv_F * Forces_APPURT[[#This Row],[Beta Fai 330]] * Calculations_APPURT[[#This Row],[Lateral Offset]]/12</f>
        <v>0</v>
      </c>
      <c r="TS18" s="338">
        <f>IFERROR(1/Calculations_APPURT[[#This Row],[Brackets]],0) * cv_M/cv_F * Forces_APPURT[[#This Row],[Gamma Fai 0]] * Calculations_APPURT[[#This Row],[Lateral Offset]]/12</f>
        <v>0</v>
      </c>
      <c r="TT18" s="338">
        <f>IFERROR(1/Calculations_APPURT[[#This Row],[Brackets]],0) * cv_M/cv_F * Forces_APPURT[[#This Row],[Gamma Fai 30]] * Calculations_APPURT[[#This Row],[Lateral Offset]]/12</f>
        <v>0</v>
      </c>
      <c r="TU18" s="338">
        <f>IFERROR(1/Calculations_APPURT[[#This Row],[Brackets]],0) * cv_M/cv_F * Forces_APPURT[[#This Row],[Gamma Fai 45]] * Calculations_APPURT[[#This Row],[Lateral Offset]]/12</f>
        <v>0</v>
      </c>
      <c r="TV18" s="338">
        <f>IFERROR(1/Calculations_APPURT[[#This Row],[Brackets]],0) * cv_M/cv_F * Forces_APPURT[[#This Row],[Gamma Fai 60]] * Calculations_APPURT[[#This Row],[Lateral Offset]]/12</f>
        <v>0</v>
      </c>
      <c r="TW18" s="338">
        <f>IFERROR(1/Calculations_APPURT[[#This Row],[Brackets]],0) * cv_M/cv_F * Forces_APPURT[[#This Row],[Gamma Fai 90]] * Calculations_APPURT[[#This Row],[Lateral Offset]]/12</f>
        <v>0</v>
      </c>
      <c r="TX18" s="338">
        <f>IFERROR(1/Calculations_APPURT[[#This Row],[Brackets]],0) * cv_M/cv_F * Forces_APPURT[[#This Row],[Gamma Fai 120]] * Calculations_APPURT[[#This Row],[Lateral Offset]]/12</f>
        <v>0</v>
      </c>
      <c r="TY18" s="338">
        <f>IFERROR(1/Calculations_APPURT[[#This Row],[Brackets]],0) * cv_M/cv_F * Forces_APPURT[[#This Row],[Gamma Fai 135]] * Calculations_APPURT[[#This Row],[Lateral Offset]]/12</f>
        <v>0</v>
      </c>
      <c r="TZ18" s="338">
        <f>IFERROR(1/Calculations_APPURT[[#This Row],[Brackets]],0) * cv_M/cv_F * Forces_APPURT[[#This Row],[Gamma Fai 150]] * Calculations_APPURT[[#This Row],[Lateral Offset]]/12</f>
        <v>0</v>
      </c>
      <c r="UA18" s="338">
        <f>IFERROR(1/Calculations_APPURT[[#This Row],[Brackets]],0) * cv_M/cv_F * Forces_APPURT[[#This Row],[Gamma Fai 180]] * Calculations_APPURT[[#This Row],[Lateral Offset]]/12</f>
        <v>0</v>
      </c>
      <c r="UB18" s="338">
        <f>IFERROR(1/Calculations_APPURT[[#This Row],[Brackets]],0) * cv_M/cv_F * Forces_APPURT[[#This Row],[Gamma Fai 210]] * Calculations_APPURT[[#This Row],[Lateral Offset]]/12</f>
        <v>0</v>
      </c>
      <c r="UC18" s="338">
        <f>IFERROR(1/Calculations_APPURT[[#This Row],[Brackets]],0) * cv_M/cv_F * Forces_APPURT[[#This Row],[Gamma Fai 225]] * Calculations_APPURT[[#This Row],[Lateral Offset]]/12</f>
        <v>0</v>
      </c>
      <c r="UD18" s="338">
        <f>IFERROR(1/Calculations_APPURT[[#This Row],[Brackets]],0) * cv_M/cv_F * Forces_APPURT[[#This Row],[Gamma Fai 240]] * Calculations_APPURT[[#This Row],[Lateral Offset]]/12</f>
        <v>0</v>
      </c>
      <c r="UE18" s="338">
        <f>IFERROR(1/Calculations_APPURT[[#This Row],[Brackets]],0) * cv_M/cv_F * Forces_APPURT[[#This Row],[Gamma Fai 270]] * Calculations_APPURT[[#This Row],[Lateral Offset]]/12</f>
        <v>0</v>
      </c>
      <c r="UF18" s="338">
        <f>IFERROR(1/Calculations_APPURT[[#This Row],[Brackets]],0) * cv_M/cv_F * Forces_APPURT[[#This Row],[Gamma Fai 300]] * Calculations_APPURT[[#This Row],[Lateral Offset]]/12</f>
        <v>0</v>
      </c>
      <c r="UG18" s="338">
        <f>IFERROR(1/Calculations_APPURT[[#This Row],[Brackets]],0) * cv_M/cv_F * Forces_APPURT[[#This Row],[Gamma Fai 315]] * Calculations_APPURT[[#This Row],[Lateral Offset]]/12</f>
        <v>0</v>
      </c>
      <c r="UH18" s="338">
        <f>IFERROR(1/Calculations_APPURT[[#This Row],[Brackets]],0) * cv_M/cv_F * Forces_APPURT[[#This Row],[Gamma Fai 330]] * Calculations_APPURT[[#This Row],[Lateral Offset]]/12</f>
        <v>0</v>
      </c>
      <c r="UI18" s="276">
        <f>IFERROR(1/Calculations_APPURT[[#This Row],[Brackets]],0) * cv_M/cv_F * Forces_APPURT[[#This Row],[Delta Fai 0]] * Calculations_APPURT[[#This Row],[Lateral Offset]]/12</f>
        <v>0</v>
      </c>
      <c r="UJ18" s="276">
        <f>IFERROR(1/Calculations_APPURT[[#This Row],[Brackets]],0) * cv_M/cv_F * Forces_APPURT[[#This Row],[Delta Fai 30]] * Calculations_APPURT[[#This Row],[Lateral Offset]]/12</f>
        <v>0</v>
      </c>
      <c r="UK18" s="276">
        <f>IFERROR(1/Calculations_APPURT[[#This Row],[Brackets]],0) * cv_M/cv_F * Forces_APPURT[[#This Row],[Delta Fai 45]] * Calculations_APPURT[[#This Row],[Lateral Offset]]/12</f>
        <v>0</v>
      </c>
      <c r="UL18" s="276">
        <f>IFERROR(1/Calculations_APPURT[[#This Row],[Brackets]],0) * cv_M/cv_F * Forces_APPURT[[#This Row],[Delta Fai 60]] * Calculations_APPURT[[#This Row],[Lateral Offset]]/12</f>
        <v>0</v>
      </c>
      <c r="UM18" s="276">
        <f>IFERROR(1/Calculations_APPURT[[#This Row],[Brackets]],0) * cv_M/cv_F * Forces_APPURT[[#This Row],[Delta Fai 90]] * Calculations_APPURT[[#This Row],[Lateral Offset]]/12</f>
        <v>0</v>
      </c>
      <c r="UN18" s="276">
        <f>IFERROR(1/Calculations_APPURT[[#This Row],[Brackets]],0) * cv_M/cv_F * Forces_APPURT[[#This Row],[Delta Fai 120]] * Calculations_APPURT[[#This Row],[Lateral Offset]]/12</f>
        <v>0</v>
      </c>
      <c r="UO18" s="276">
        <f>IFERROR(1/Calculations_APPURT[[#This Row],[Brackets]],0) * cv_M/cv_F * Forces_APPURT[[#This Row],[Delta Fai 135]] * Calculations_APPURT[[#This Row],[Lateral Offset]]/12</f>
        <v>0</v>
      </c>
      <c r="UP18" s="276">
        <f>IFERROR(1/Calculations_APPURT[[#This Row],[Brackets]],0) * cv_M/cv_F * Forces_APPURT[[#This Row],[Delta Fai 150]] * Calculations_APPURT[[#This Row],[Lateral Offset]]/12</f>
        <v>0</v>
      </c>
      <c r="UQ18" s="276">
        <f>IFERROR(1/Calculations_APPURT[[#This Row],[Brackets]],0) * cv_M/cv_F * Forces_APPURT[[#This Row],[Delta Fai 180]] * Calculations_APPURT[[#This Row],[Lateral Offset]]/12</f>
        <v>0</v>
      </c>
      <c r="UR18" s="276">
        <f>IFERROR(1/Calculations_APPURT[[#This Row],[Brackets]],0) * cv_M/cv_F * Forces_APPURT[[#This Row],[Delta Fai 210]] * Calculations_APPURT[[#This Row],[Lateral Offset]]/12</f>
        <v>0</v>
      </c>
      <c r="US18" s="276">
        <f>IFERROR(1/Calculations_APPURT[[#This Row],[Brackets]],0) * cv_M/cv_F * Forces_APPURT[[#This Row],[Delta Fai 225]] * Calculations_APPURT[[#This Row],[Lateral Offset]]/12</f>
        <v>0</v>
      </c>
      <c r="UT18" s="276">
        <f>IFERROR(1/Calculations_APPURT[[#This Row],[Brackets]],0) * cv_M/cv_F * Forces_APPURT[[#This Row],[Delta Fai 240]] * Calculations_APPURT[[#This Row],[Lateral Offset]]/12</f>
        <v>0</v>
      </c>
      <c r="UU18" s="276">
        <f>IFERROR(1/Calculations_APPURT[[#This Row],[Brackets]],0) * cv_M/cv_F * Forces_APPURT[[#This Row],[Delta Fai 270]] * Calculations_APPURT[[#This Row],[Lateral Offset]]/12</f>
        <v>0</v>
      </c>
      <c r="UV18" s="276">
        <f>IFERROR(1/Calculations_APPURT[[#This Row],[Brackets]],0) * cv_M/cv_F * Forces_APPURT[[#This Row],[Delta Fai 300]] * Calculations_APPURT[[#This Row],[Lateral Offset]]/12</f>
        <v>0</v>
      </c>
      <c r="UW18" s="276">
        <f>IFERROR(1/Calculations_APPURT[[#This Row],[Brackets]],0) * cv_M/cv_F * Forces_APPURT[[#This Row],[Delta Fai 315]] * Calculations_APPURT[[#This Row],[Lateral Offset]]/12</f>
        <v>0</v>
      </c>
      <c r="UX18" s="276">
        <f>IFERROR(1/Calculations_APPURT[[#This Row],[Brackets]],0) * cv_M/cv_F * Forces_APPURT[[#This Row],[Delta Fai 330]] * Calculations_APPURT[[#This Row],[Lateral Offset]]/12</f>
        <v>0</v>
      </c>
      <c r="UY18" s="338">
        <f>Dimensions_APPURT[[#This Row],[Weight (lbf)]] * cv_F * AlphaSector[[#This Row],[Quantity]]</f>
        <v>0</v>
      </c>
      <c r="UZ18" s="338">
        <f>Dimensions_APPURT[[#This Row],[Weight (lbf)]] * cv_F * BetaSector[[#This Row],[Quantity]]</f>
        <v>0</v>
      </c>
      <c r="VA18" s="338">
        <f>Dimensions_APPURT[[#This Row],[Weight (lbf)]] * cv_F * GammaSector[[#This Row],[Quantity]]</f>
        <v>0</v>
      </c>
      <c r="VB18" s="338">
        <f>Dimensions_APPURT[[#This Row],[Weight (lbf)]] * cv_F * DeltaSector[[#This Row],[Quantity]]</f>
        <v>0</v>
      </c>
      <c r="VC18" s="209">
        <f>Dimensions_APPURT[[#This Row],[Weight (lbf)]] * cv_M * AlphaSector[[#This Row],[Quantity]] * Calculations_APPURT[[#This Row],[Horizontal Offset]]/12</f>
        <v>0</v>
      </c>
      <c r="VD18" s="209">
        <f>Dimensions_APPURT[[#This Row],[Weight (lbf)]] * cv_M * BetaSector[[#This Row],[Quantity]] * Calculations_APPURT[[#This Row],[Horizontal Offset]]/12</f>
        <v>0</v>
      </c>
      <c r="VE18" s="209">
        <f>Dimensions_APPURT[[#This Row],[Weight (lbf)]] * cv_M * GammaSector[[#This Row],[Quantity]] * Calculations_APPURT[[#This Row],[Horizontal Offset]]/12</f>
        <v>0</v>
      </c>
      <c r="VF18" s="209">
        <f>Dimensions_APPURT[[#This Row],[Weight (lbf)]] * cv_M * DeltaSector[[#This Row],[Quantity]] * Calculations_APPURT[[#This Row],[Horizontal Offset]]/12</f>
        <v>0</v>
      </c>
      <c r="VG18" s="338">
        <f>Hazards_APPURT[[#This Row],[Ice Weight]] * cv_F * AlphaSector[[#This Row],[Quantity]]</f>
        <v>0</v>
      </c>
      <c r="VH18" s="338">
        <f>Hazards_APPURT[[#This Row],[Ice Weight]] * cv_F * BetaSector[[#This Row],[Quantity]]</f>
        <v>0</v>
      </c>
      <c r="VI18" s="338">
        <f>Hazards_APPURT[[#This Row],[Ice Weight]] * cv_F * GammaSector[[#This Row],[Quantity]]</f>
        <v>0</v>
      </c>
      <c r="VJ18" s="338">
        <f>Hazards_APPURT[[#This Row],[Ice Weight]] * cv_F * DeltaSector[[#This Row],[Quantity]]</f>
        <v>0</v>
      </c>
      <c r="VK18" s="209">
        <f>Hazards_APPURT[[#This Row],[Ice Weight]] * cv_M * AlphaSector[[#This Row],[Quantity]] * Calculations_APPURT[[#This Row],[Horizontal Offset]]/12</f>
        <v>0</v>
      </c>
      <c r="VL18" s="209">
        <f>Hazards_APPURT[[#This Row],[Ice Weight]] * cv_M * BetaSector[[#This Row],[Quantity]] * Calculations_APPURT[[#This Row],[Horizontal Offset]]/12</f>
        <v>0</v>
      </c>
      <c r="VM18" s="209">
        <f>Hazards_APPURT[[#This Row],[Ice Weight]] * cv_M * GammaSector[[#This Row],[Quantity]] * Calculations_APPURT[[#This Row],[Horizontal Offset]]/12</f>
        <v>0</v>
      </c>
      <c r="VN18" s="209">
        <f>Hazards_APPURT[[#This Row],[Ice Weight]] * cv_M * DeltaSector[[#This Row],[Quantity]] * Calculations_APPURT[[#This Row],[Horizontal Offset]]/12</f>
        <v>0</v>
      </c>
    </row>
    <row r="19" spans="1:586" ht="15" customHeight="1" x14ac:dyDescent="0.2">
      <c r="A19" s="69"/>
      <c r="E19" s="265"/>
      <c r="L19" s="69"/>
      <c r="R19" s="70"/>
      <c r="T19" s="69"/>
      <c r="V19" s="71"/>
      <c r="W19" s="69"/>
      <c r="X19" s="71"/>
      <c r="Y19" s="69"/>
      <c r="Z19" s="70"/>
      <c r="AB19" s="69"/>
      <c r="AD19" s="71"/>
      <c r="AE19" s="69"/>
      <c r="AF19" s="71"/>
      <c r="AG19" s="69"/>
      <c r="AH19" s="70"/>
      <c r="AJ19" s="69"/>
      <c r="AL19" s="71"/>
      <c r="AM19" s="69"/>
      <c r="AN19" s="71"/>
      <c r="AO19" s="69"/>
      <c r="AP19" s="70"/>
      <c r="AR19" s="69"/>
      <c r="AV19" s="277" cm="1">
        <f t="array" ref="AV19">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19" s="209" cm="1">
        <f t="array" ref="AW19">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19" s="209" cm="1">
        <f t="array" ref="AX19">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19" s="209" cm="1">
        <f t="array" ref="AY19">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19"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19" s="209" cm="1">
        <f t="array" ref="BA19">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19" s="209">
        <f>IF(OR(Calculations_APPURT[[#This Row],[Shape]]="CFD",Calculations_APPURT[[#This Row],[Shape]]="CCI"),1,0.95)</f>
        <v>0.95</v>
      </c>
      <c r="BC19" s="209" cm="1">
        <f t="array" ref="BC19">0.00256 * Hazards_APPURT[[#This Row],[Kz]] * Kzt * Ks * I.wind * V^2 * IF(RIGHT(TIA,1)="G",1,Ke) * IF(OR(Calculations_APPURT[[#This Row],[Shape]]="CFD",Calculations_APPURT[[#This Row],[Shape]]="CCI"),1, Hazards_APPURT[[#This Row],[Kd]]) * Gh</f>
        <v>0</v>
      </c>
      <c r="BD19" s="209">
        <f>IF(Risk="I",0,MIN(((z+Calculations_APPURT[[#This Row],[Vertical Offset]]/12)/33)^(0.1),1.4))</f>
        <v>0</v>
      </c>
      <c r="BE19" s="209" cm="1">
        <f t="array" ref="BE19">IF(Risk="I",0,IF(TIA="ANSI/TIA-222-G",2,1*Kes.i)*ti*I.ice*Hazards_APPURT[[#This Row],[Kiz]]*(Kzt/Ks)^(0.35))</f>
        <v>0</v>
      </c>
      <c r="BF19" s="209" cm="1">
        <f t="array" ref="BF19">0.00256 * Hazards_APPURT[[#This Row],[Kz]] * Kzt * Ks * I.wind * Vi^2 * IF(RIGHT(TIA,1)="G",1,Ke) * IF(OR(Calculations_APPURT[[#This Row],[Shape]]="CFD",Calculations_APPURT[[#This Row],[Shape]]="CCI"),1, Kd) * Gh</f>
        <v>0</v>
      </c>
      <c r="BG19"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19"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19"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19"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19"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19"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19"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19"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19"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19"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19"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19"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19"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19"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19"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19"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19"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19"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19"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19"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19"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19"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19"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19"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19"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19"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19"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19"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19"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19"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19"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19"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19"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19"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19"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19"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19"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19"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19"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19"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19"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19"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19"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19"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19"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19"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19"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19"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19"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19"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19"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19"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19"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19"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19"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19"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19"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19"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19"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19"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19"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19"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19"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19"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19"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19"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19" s="276">
        <f>IFERROR(1/Calculations_APPURT[[#This Row],[Brackets]],0) * cv_F * AlphaSector[[#This Row],[Quantity]] * Hazards_APPURT[[#This Row],[qz]] * CaAa_APPURT[[#This Row],[Alpha 0]] * IF(Calculations_APPURT[[#This Row],[Shape]]="CFD",1, Ka)</f>
        <v>0</v>
      </c>
      <c r="GF19" s="276">
        <f>IFERROR(1/Calculations_APPURT[[#This Row],[Brackets]],0) * cv_F * AlphaSector[[#This Row],[Quantity]] * Hazards_APPURT[[#This Row],[qz]] * CaAa_APPURT[[#This Row],[Alpha 30]] * IF(Calculations_APPURT[[#This Row],[Shape]]="CFD",1, Ka)</f>
        <v>0</v>
      </c>
      <c r="GG19" s="276">
        <f>IFERROR(1/Calculations_APPURT[[#This Row],[Brackets]],0) * cv_F * AlphaSector[[#This Row],[Quantity]] * Hazards_APPURT[[#This Row],[qz]] * CaAa_APPURT[[#This Row],[Alpha 45]] * IF(Calculations_APPURT[[#This Row],[Shape]]="CFD",1, Ka)</f>
        <v>0</v>
      </c>
      <c r="GH19" s="276">
        <f>IFERROR(1/Calculations_APPURT[[#This Row],[Brackets]],0) * cv_F * AlphaSector[[#This Row],[Quantity]] * Hazards_APPURT[[#This Row],[qz]] * CaAa_APPURT[[#This Row],[Alpha 60]] * IF(Calculations_APPURT[[#This Row],[Shape]]="CFD",1, Ka)</f>
        <v>0</v>
      </c>
      <c r="GI19" s="276">
        <f>IFERROR(1/Calculations_APPURT[[#This Row],[Brackets]],0) * cv_F * AlphaSector[[#This Row],[Quantity]] * Hazards_APPURT[[#This Row],[qz]] * CaAa_APPURT[[#This Row],[Alpha 90]] * IF(Calculations_APPURT[[#This Row],[Shape]]="CFD",1, Ka)</f>
        <v>0</v>
      </c>
      <c r="GJ19" s="276">
        <f>IFERROR(1/Calculations_APPURT[[#This Row],[Brackets]],0) * cv_F * AlphaSector[[#This Row],[Quantity]] * Hazards_APPURT[[#This Row],[qz]] * CaAa_APPURT[[#This Row],[Alpha 120]] * IF(Calculations_APPURT[[#This Row],[Shape]]="CFD",1, Ka)</f>
        <v>0</v>
      </c>
      <c r="GK19" s="276">
        <f>IFERROR(1/Calculations_APPURT[[#This Row],[Brackets]],0) * cv_F * AlphaSector[[#This Row],[Quantity]] * Hazards_APPURT[[#This Row],[qz]] * CaAa_APPURT[[#This Row],[Alpha 135]] * IF(Calculations_APPURT[[#This Row],[Shape]]="CFD",1, Ka)</f>
        <v>0</v>
      </c>
      <c r="GL19" s="276">
        <f>IFERROR(1/Calculations_APPURT[[#This Row],[Brackets]],0) * cv_F * AlphaSector[[#This Row],[Quantity]] * Hazards_APPURT[[#This Row],[qz]] * CaAa_APPURT[[#This Row],[Alpha 150]] * IF(Calculations_APPURT[[#This Row],[Shape]]="CFD",1, Ka)</f>
        <v>0</v>
      </c>
      <c r="GM19" s="276">
        <f>IFERROR(1/Calculations_APPURT[[#This Row],[Brackets]],0) * cv_F * AlphaSector[[#This Row],[Quantity]] * Hazards_APPURT[[#This Row],[qz]] * CaAa_APPURT[[#This Row],[Alpha 180]] * IF(Calculations_APPURT[[#This Row],[Shape]]="CFD",1, Ka)</f>
        <v>0</v>
      </c>
      <c r="GN19" s="276">
        <f>IFERROR(1/Calculations_APPURT[[#This Row],[Brackets]],0) * cv_F * AlphaSector[[#This Row],[Quantity]] * Hazards_APPURT[[#This Row],[qz]] * CaAa_APPURT[[#This Row],[Alpha 210]] * IF(Calculations_APPURT[[#This Row],[Shape]]="CFD",1, Ka)</f>
        <v>0</v>
      </c>
      <c r="GO19" s="276">
        <f>IFERROR(1/Calculations_APPURT[[#This Row],[Brackets]],0) * cv_F * AlphaSector[[#This Row],[Quantity]] * Hazards_APPURT[[#This Row],[qz]] * CaAa_APPURT[[#This Row],[Alpha 225]] * IF(Calculations_APPURT[[#This Row],[Shape]]="CFD",1, Ka)</f>
        <v>0</v>
      </c>
      <c r="GP19" s="276">
        <f>IFERROR(1/Calculations_APPURT[[#This Row],[Brackets]],0) * cv_F * AlphaSector[[#This Row],[Quantity]] * Hazards_APPURT[[#This Row],[qz]] * CaAa_APPURT[[#This Row],[Alpha 240]] * IF(Calculations_APPURT[[#This Row],[Shape]]="CFD",1, Ka)</f>
        <v>0</v>
      </c>
      <c r="GQ19" s="276">
        <f>IFERROR(1/Calculations_APPURT[[#This Row],[Brackets]],0) * cv_F * AlphaSector[[#This Row],[Quantity]] * Hazards_APPURT[[#This Row],[qz]] * CaAa_APPURT[[#This Row],[Alpha 270]] * IF(Calculations_APPURT[[#This Row],[Shape]]="CFD",1, Ka)</f>
        <v>0</v>
      </c>
      <c r="GR19" s="276">
        <f>IFERROR(1/Calculations_APPURT[[#This Row],[Brackets]],0) * cv_F * AlphaSector[[#This Row],[Quantity]] * Hazards_APPURT[[#This Row],[qz]] * CaAa_APPURT[[#This Row],[Alpha 300]] * IF(Calculations_APPURT[[#This Row],[Shape]]="CFD",1, Ka)</f>
        <v>0</v>
      </c>
      <c r="GS19" s="276">
        <f>IFERROR(1/Calculations_APPURT[[#This Row],[Brackets]],0) * cv_F * AlphaSector[[#This Row],[Quantity]] * Hazards_APPURT[[#This Row],[qz]] * CaAa_APPURT[[#This Row],[Alpha 315]] * IF(Calculations_APPURT[[#This Row],[Shape]]="CFD",1, Ka)</f>
        <v>0</v>
      </c>
      <c r="GT19" s="276">
        <f>IFERROR(1/Calculations_APPURT[[#This Row],[Brackets]],0) * cv_F * AlphaSector[[#This Row],[Quantity]] * Hazards_APPURT[[#This Row],[qz]] * CaAa_APPURT[[#This Row],[Alpha 330]] * IF(Calculations_APPURT[[#This Row],[Shape]]="CFD",1, Ka)</f>
        <v>0</v>
      </c>
      <c r="GU19" s="276">
        <f>IFERROR(1/Calculations_APPURT[[#This Row],[Brackets]],0) * cv_F * BetaSector[[#This Row],[Quantity]] * Hazards_APPURT[[#This Row],[qz]] * CaAa_APPURT[[#This Row],[Beta 0]] * IF(Calculations_APPURT[[#This Row],[Shape]]="CFD",1, Ka)</f>
        <v>0</v>
      </c>
      <c r="GV19" s="276">
        <f>IFERROR(1/Calculations_APPURT[[#This Row],[Brackets]],0) * cv_F * BetaSector[[#This Row],[Quantity]] * Hazards_APPURT[[#This Row],[qz]] * CaAa_APPURT[[#This Row],[Beta 30]] * IF(Calculations_APPURT[[#This Row],[Shape]]="CFD",1, Ka)</f>
        <v>0</v>
      </c>
      <c r="GW19" s="276">
        <f>IFERROR(1/Calculations_APPURT[[#This Row],[Brackets]],0) * cv_F * BetaSector[[#This Row],[Quantity]] * Hazards_APPURT[[#This Row],[qz]] * CaAa_APPURT[[#This Row],[Beta 45]] * IF(Calculations_APPURT[[#This Row],[Shape]]="CFD",1, Ka)</f>
        <v>0</v>
      </c>
      <c r="GX19" s="276">
        <f>IFERROR(1/Calculations_APPURT[[#This Row],[Brackets]],0) * cv_F * BetaSector[[#This Row],[Quantity]] * Hazards_APPURT[[#This Row],[qz]] * CaAa_APPURT[[#This Row],[Beta 60]] * IF(Calculations_APPURT[[#This Row],[Shape]]="CFD",1, Ka)</f>
        <v>0</v>
      </c>
      <c r="GY19" s="276">
        <f>IFERROR(1/Calculations_APPURT[[#This Row],[Brackets]],0) * cv_F * BetaSector[[#This Row],[Quantity]] * Hazards_APPURT[[#This Row],[qz]] * CaAa_APPURT[[#This Row],[Beta 90]] * IF(Calculations_APPURT[[#This Row],[Shape]]="CFD",1, Ka)</f>
        <v>0</v>
      </c>
      <c r="GZ19" s="276">
        <f>IFERROR(1/Calculations_APPURT[[#This Row],[Brackets]],0) * cv_F * BetaSector[[#This Row],[Quantity]] * Hazards_APPURT[[#This Row],[qz]] * CaAa_APPURT[[#This Row],[Beta 120]] * IF(Calculations_APPURT[[#This Row],[Shape]]="CFD",1, Ka)</f>
        <v>0</v>
      </c>
      <c r="HA19" s="276">
        <f>IFERROR(1/Calculations_APPURT[[#This Row],[Brackets]],0) * cv_F * BetaSector[[#This Row],[Quantity]] * Hazards_APPURT[[#This Row],[qz]] * CaAa_APPURT[[#This Row],[Beta 135]] * IF(Calculations_APPURT[[#This Row],[Shape]]="CFD",1, Ka)</f>
        <v>0</v>
      </c>
      <c r="HB19" s="276">
        <f>IFERROR(1/Calculations_APPURT[[#This Row],[Brackets]],0) * cv_F * BetaSector[[#This Row],[Quantity]] * Hazards_APPURT[[#This Row],[qz]] * CaAa_APPURT[[#This Row],[Beta 150]] * IF(Calculations_APPURT[[#This Row],[Shape]]="CFD",1, Ka)</f>
        <v>0</v>
      </c>
      <c r="HC19" s="276">
        <f>IFERROR(1/Calculations_APPURT[[#This Row],[Brackets]],0) * cv_F * BetaSector[[#This Row],[Quantity]] * Hazards_APPURT[[#This Row],[qz]] * CaAa_APPURT[[#This Row],[Beta 180]] * IF(Calculations_APPURT[[#This Row],[Shape]]="CFD",1, Ka)</f>
        <v>0</v>
      </c>
      <c r="HD19" s="276">
        <f>IFERROR(1/Calculations_APPURT[[#This Row],[Brackets]],0) * cv_F * BetaSector[[#This Row],[Quantity]] * Hazards_APPURT[[#This Row],[qz]] * CaAa_APPURT[[#This Row],[Beta 210]] * IF(Calculations_APPURT[[#This Row],[Shape]]="CFD",1, Ka)</f>
        <v>0</v>
      </c>
      <c r="HE19" s="276">
        <f>IFERROR(1/Calculations_APPURT[[#This Row],[Brackets]],0) * cv_F * BetaSector[[#This Row],[Quantity]] * Hazards_APPURT[[#This Row],[qz]] * CaAa_APPURT[[#This Row],[Beta 225]] * IF(Calculations_APPURT[[#This Row],[Shape]]="CFD",1, Ka)</f>
        <v>0</v>
      </c>
      <c r="HF19" s="276">
        <f>IFERROR(1/Calculations_APPURT[[#This Row],[Brackets]],0) * cv_F * BetaSector[[#This Row],[Quantity]] * Hazards_APPURT[[#This Row],[qz]] * CaAa_APPURT[[#This Row],[Beta 240]] * IF(Calculations_APPURT[[#This Row],[Shape]]="CFD",1, Ka)</f>
        <v>0</v>
      </c>
      <c r="HG19" s="276">
        <f>IFERROR(1/Calculations_APPURT[[#This Row],[Brackets]],0) * cv_F * BetaSector[[#This Row],[Quantity]] * Hazards_APPURT[[#This Row],[qz]] * CaAa_APPURT[[#This Row],[Beta 270]] * IF(Calculations_APPURT[[#This Row],[Shape]]="CFD",1, Ka)</f>
        <v>0</v>
      </c>
      <c r="HH19" s="276">
        <f>IFERROR(1/Calculations_APPURT[[#This Row],[Brackets]],0) * cv_F * BetaSector[[#This Row],[Quantity]] * Hazards_APPURT[[#This Row],[qz]] * CaAa_APPURT[[#This Row],[Beta 300]] * IF(Calculations_APPURT[[#This Row],[Shape]]="CFD",1, Ka)</f>
        <v>0</v>
      </c>
      <c r="HI19" s="276">
        <f>IFERROR(1/Calculations_APPURT[[#This Row],[Brackets]],0) * cv_F * BetaSector[[#This Row],[Quantity]] * Hazards_APPURT[[#This Row],[qz]] * CaAa_APPURT[[#This Row],[Beta 315]] * IF(Calculations_APPURT[[#This Row],[Shape]]="CFD",1, Ka)</f>
        <v>0</v>
      </c>
      <c r="HJ19" s="276">
        <f>IFERROR(1/Calculations_APPURT[[#This Row],[Brackets]],0) * cv_F * BetaSector[[#This Row],[Quantity]] * Hazards_APPURT[[#This Row],[qz]] * CaAa_APPURT[[#This Row],[Beta 330]] * IF(Calculations_APPURT[[#This Row],[Shape]]="CFD",1, Ka)</f>
        <v>0</v>
      </c>
      <c r="HK19" s="276">
        <f>IFERROR(1/Calculations_APPURT[[#This Row],[Brackets]],0) * cv_F * GammaSector[[#This Row],[Quantity]] * Hazards_APPURT[[#This Row],[qz]] * CaAa_APPURT[[#This Row],[Gamma 0]] * IF(Calculations_APPURT[[#This Row],[Shape]]="CFD",1, Ka)</f>
        <v>0</v>
      </c>
      <c r="HL19" s="276">
        <f>IFERROR(1/Calculations_APPURT[[#This Row],[Brackets]],0) * cv_F * GammaSector[[#This Row],[Quantity]] * Hazards_APPURT[[#This Row],[qz]] * CaAa_APPURT[[#This Row],[Gamma 30]] * IF(Calculations_APPURT[[#This Row],[Shape]]="CFD",1, Ka)</f>
        <v>0</v>
      </c>
      <c r="HM19" s="276">
        <f>IFERROR(1/Calculations_APPURT[[#This Row],[Brackets]],0) * cv_F * GammaSector[[#This Row],[Quantity]] * Hazards_APPURT[[#This Row],[qz]] * CaAa_APPURT[[#This Row],[Gamma 45]] * IF(Calculations_APPURT[[#This Row],[Shape]]="CFD",1, Ka)</f>
        <v>0</v>
      </c>
      <c r="HN19" s="276">
        <f>IFERROR(1/Calculations_APPURT[[#This Row],[Brackets]],0) * cv_F * GammaSector[[#This Row],[Quantity]] * Hazards_APPURT[[#This Row],[qz]] * CaAa_APPURT[[#This Row],[Gamma 60]] * IF(Calculations_APPURT[[#This Row],[Shape]]="CFD",1, Ka)</f>
        <v>0</v>
      </c>
      <c r="HO19" s="276">
        <f>IFERROR(1/Calculations_APPURT[[#This Row],[Brackets]],0) * cv_F * GammaSector[[#This Row],[Quantity]] * Hazards_APPURT[[#This Row],[qz]] * CaAa_APPURT[[#This Row],[Gamma 90]] * IF(Calculations_APPURT[[#This Row],[Shape]]="CFD",1, Ka)</f>
        <v>0</v>
      </c>
      <c r="HP19" s="276">
        <f>IFERROR(1/Calculations_APPURT[[#This Row],[Brackets]],0) * cv_F * GammaSector[[#This Row],[Quantity]] * Hazards_APPURT[[#This Row],[qz]] * CaAa_APPURT[[#This Row],[Gamma 120]] * IF(Calculations_APPURT[[#This Row],[Shape]]="CFD",1, Ka)</f>
        <v>0</v>
      </c>
      <c r="HQ19" s="276">
        <f>IFERROR(1/Calculations_APPURT[[#This Row],[Brackets]],0) * cv_F * GammaSector[[#This Row],[Quantity]] * Hazards_APPURT[[#This Row],[qz]] * CaAa_APPURT[[#This Row],[Gamma 135]] * IF(Calculations_APPURT[[#This Row],[Shape]]="CFD",1, Ka)</f>
        <v>0</v>
      </c>
      <c r="HR19" s="276">
        <f>IFERROR(1/Calculations_APPURT[[#This Row],[Brackets]],0) * cv_F * GammaSector[[#This Row],[Quantity]] * Hazards_APPURT[[#This Row],[qz]] * CaAa_APPURT[[#This Row],[Gamma 150]] * IF(Calculations_APPURT[[#This Row],[Shape]]="CFD",1, Ka)</f>
        <v>0</v>
      </c>
      <c r="HS19" s="276">
        <f>IFERROR(1/Calculations_APPURT[[#This Row],[Brackets]],0) * cv_F * GammaSector[[#This Row],[Quantity]] * Hazards_APPURT[[#This Row],[qz]] * CaAa_APPURT[[#This Row],[Gamma 180]] * IF(Calculations_APPURT[[#This Row],[Shape]]="CFD",1, Ka)</f>
        <v>0</v>
      </c>
      <c r="HT19" s="276">
        <f>IFERROR(1/Calculations_APPURT[[#This Row],[Brackets]],0) * cv_F * GammaSector[[#This Row],[Quantity]] * Hazards_APPURT[[#This Row],[qz]] * CaAa_APPURT[[#This Row],[Gamma 210]] * IF(Calculations_APPURT[[#This Row],[Shape]]="CFD",1, Ka)</f>
        <v>0</v>
      </c>
      <c r="HU19" s="276">
        <f>IFERROR(1/Calculations_APPURT[[#This Row],[Brackets]],0) * cv_F * GammaSector[[#This Row],[Quantity]] * Hazards_APPURT[[#This Row],[qz]] * CaAa_APPURT[[#This Row],[Gamma 225]] * IF(Calculations_APPURT[[#This Row],[Shape]]="CFD",1, Ka)</f>
        <v>0</v>
      </c>
      <c r="HV19" s="276">
        <f>IFERROR(1/Calculations_APPURT[[#This Row],[Brackets]],0) * cv_F * GammaSector[[#This Row],[Quantity]] * Hazards_APPURT[[#This Row],[qz]] * CaAa_APPURT[[#This Row],[Gamma 240]] * IF(Calculations_APPURT[[#This Row],[Shape]]="CFD",1, Ka)</f>
        <v>0</v>
      </c>
      <c r="HW19" s="276">
        <f>IFERROR(1/Calculations_APPURT[[#This Row],[Brackets]],0) * cv_F * GammaSector[[#This Row],[Quantity]] * Hazards_APPURT[[#This Row],[qz]] * CaAa_APPURT[[#This Row],[Gamma 270]] * IF(Calculations_APPURT[[#This Row],[Shape]]="CFD",1, Ka)</f>
        <v>0</v>
      </c>
      <c r="HX19" s="276">
        <f>IFERROR(1/Calculations_APPURT[[#This Row],[Brackets]],0) * cv_F * GammaSector[[#This Row],[Quantity]] * Hazards_APPURT[[#This Row],[qz]] * CaAa_APPURT[[#This Row],[Gamma 300]] * IF(Calculations_APPURT[[#This Row],[Shape]]="CFD",1, Ka)</f>
        <v>0</v>
      </c>
      <c r="HY19" s="276">
        <f>IFERROR(1/Calculations_APPURT[[#This Row],[Brackets]],0) * cv_F * GammaSector[[#This Row],[Quantity]] * Hazards_APPURT[[#This Row],[qz]] * CaAa_APPURT[[#This Row],[Gamma 315]] * IF(Calculations_APPURT[[#This Row],[Shape]]="CFD",1, Ka)</f>
        <v>0</v>
      </c>
      <c r="HZ19" s="276">
        <f>IFERROR(1/Calculations_APPURT[[#This Row],[Brackets]],0) * cv_F * GammaSector[[#This Row],[Quantity]] * Hazards_APPURT[[#This Row],[qz]] * CaAa_APPURT[[#This Row],[Gamma 330]] * IF(Calculations_APPURT[[#This Row],[Shape]]="CFD",1, Ka)</f>
        <v>0</v>
      </c>
      <c r="IA19" s="276">
        <f>IFERROR(1/Calculations_APPURT[[#This Row],[Brackets]],0) * cv_F * DeltaSector[[#This Row],[Quantity]] * Hazards_APPURT[[#This Row],[qz]] * CaAa_APPURT[[#This Row],[Delta 0]] * IF(Calculations_APPURT[[#This Row],[Shape]]="CFD",1, Ka)</f>
        <v>0</v>
      </c>
      <c r="IB19" s="276">
        <f>IFERROR(1/Calculations_APPURT[[#This Row],[Brackets]],0) * cv_F * DeltaSector[[#This Row],[Quantity]] * Hazards_APPURT[[#This Row],[qz]] * CaAa_APPURT[[#This Row],[Delta 30]] * IF(Calculations_APPURT[[#This Row],[Shape]]="CFD",1, Ka)</f>
        <v>0</v>
      </c>
      <c r="IC19" s="276">
        <f>IFERROR(1/Calculations_APPURT[[#This Row],[Brackets]],0) * cv_F * DeltaSector[[#This Row],[Quantity]] * Hazards_APPURT[[#This Row],[qz]] * CaAa_APPURT[[#This Row],[Delta 45]] * IF(Calculations_APPURT[[#This Row],[Shape]]="CFD",1, Ka)</f>
        <v>0</v>
      </c>
      <c r="ID19" s="276">
        <f>IFERROR(1/Calculations_APPURT[[#This Row],[Brackets]],0) * cv_F * DeltaSector[[#This Row],[Quantity]] * Hazards_APPURT[[#This Row],[qz]] * CaAa_APPURT[[#This Row],[Delta 60]] * IF(Calculations_APPURT[[#This Row],[Shape]]="CFD",1, Ka)</f>
        <v>0</v>
      </c>
      <c r="IE19" s="276">
        <f>IFERROR(1/Calculations_APPURT[[#This Row],[Brackets]],0) * cv_F * DeltaSector[[#This Row],[Quantity]] * Hazards_APPURT[[#This Row],[qz]] * CaAa_APPURT[[#This Row],[Delta 90]] * IF(Calculations_APPURT[[#This Row],[Shape]]="CFD",1, Ka)</f>
        <v>0</v>
      </c>
      <c r="IF19" s="276">
        <f>IFERROR(1/Calculations_APPURT[[#This Row],[Brackets]],0) * cv_F * DeltaSector[[#This Row],[Quantity]] * Hazards_APPURT[[#This Row],[qz]] * CaAa_APPURT[[#This Row],[Delta 120]] * IF(Calculations_APPURT[[#This Row],[Shape]]="CFD",1, Ka)</f>
        <v>0</v>
      </c>
      <c r="IG19" s="276">
        <f>IFERROR(1/Calculations_APPURT[[#This Row],[Brackets]],0) * cv_F * DeltaSector[[#This Row],[Quantity]] * Hazards_APPURT[[#This Row],[qz]] * CaAa_APPURT[[#This Row],[Delta 135]] * IF(Calculations_APPURT[[#This Row],[Shape]]="CFD",1, Ka)</f>
        <v>0</v>
      </c>
      <c r="IH19" s="276">
        <f>IFERROR(1/Calculations_APPURT[[#This Row],[Brackets]],0) * cv_F * DeltaSector[[#This Row],[Quantity]] * Hazards_APPURT[[#This Row],[qz]] * CaAa_APPURT[[#This Row],[Delta 150]] * IF(Calculations_APPURT[[#This Row],[Shape]]="CFD",1, Ka)</f>
        <v>0</v>
      </c>
      <c r="II19" s="276">
        <f>IFERROR(1/Calculations_APPURT[[#This Row],[Brackets]],0) * cv_F * DeltaSector[[#This Row],[Quantity]] * Hazards_APPURT[[#This Row],[qz]] * CaAa_APPURT[[#This Row],[Delta 180]] * IF(Calculations_APPURT[[#This Row],[Shape]]="CFD",1, Ka)</f>
        <v>0</v>
      </c>
      <c r="IJ19" s="276">
        <f>IFERROR(1/Calculations_APPURT[[#This Row],[Brackets]],0) * cv_F * DeltaSector[[#This Row],[Quantity]] * Hazards_APPURT[[#This Row],[qz]] * CaAa_APPURT[[#This Row],[Delta 210]] * IF(Calculations_APPURT[[#This Row],[Shape]]="CFD",1, Ka)</f>
        <v>0</v>
      </c>
      <c r="IK19" s="276">
        <f>IFERROR(1/Calculations_APPURT[[#This Row],[Brackets]],0) * cv_F * DeltaSector[[#This Row],[Quantity]] * Hazards_APPURT[[#This Row],[qz]] * CaAa_APPURT[[#This Row],[Delta 225]] * IF(Calculations_APPURT[[#This Row],[Shape]]="CFD",1, Ka)</f>
        <v>0</v>
      </c>
      <c r="IL19" s="276">
        <f>IFERROR(1/Calculations_APPURT[[#This Row],[Brackets]],0) * cv_F * DeltaSector[[#This Row],[Quantity]] * Hazards_APPURT[[#This Row],[qz]] * CaAa_APPURT[[#This Row],[Delta 240]] * IF(Calculations_APPURT[[#This Row],[Shape]]="CFD",1, Ka)</f>
        <v>0</v>
      </c>
      <c r="IM19" s="276">
        <f>IFERROR(1/Calculations_APPURT[[#This Row],[Brackets]],0) * cv_F * DeltaSector[[#This Row],[Quantity]] * Hazards_APPURT[[#This Row],[qz]] * CaAa_APPURT[[#This Row],[Delta 270]] * IF(Calculations_APPURT[[#This Row],[Shape]]="CFD",1, Ka)</f>
        <v>0</v>
      </c>
      <c r="IN19" s="276">
        <f>IFERROR(1/Calculations_APPURT[[#This Row],[Brackets]],0) * cv_F * DeltaSector[[#This Row],[Quantity]] * Hazards_APPURT[[#This Row],[qz]] * CaAa_APPURT[[#This Row],[Delta 300]] * IF(Calculations_APPURT[[#This Row],[Shape]]="CFD",1, Ka)</f>
        <v>0</v>
      </c>
      <c r="IO19" s="276">
        <f>IFERROR(1/Calculations_APPURT[[#This Row],[Brackets]],0) * cv_F * DeltaSector[[#This Row],[Quantity]] * Hazards_APPURT[[#This Row],[qz]] * CaAa_APPURT[[#This Row],[Delta 315]] * IF(Calculations_APPURT[[#This Row],[Shape]]="CFD",1, Ka)</f>
        <v>0</v>
      </c>
      <c r="IP19" s="276">
        <f>IFERROR(1/Calculations_APPURT[[#This Row],[Brackets]],0) * cv_F * DeltaSector[[#This Row],[Quantity]] * Hazards_APPURT[[#This Row],[qz]] * CaAa_APPURT[[#This Row],[Delta 330]] * IF(Calculations_APPURT[[#This Row],[Shape]]="CFD",1, Ka)</f>
        <v>0</v>
      </c>
      <c r="IQ19" s="276">
        <f>IFERROR(1/Calculations_APPURT[[#This Row],[Brackets]],0) * cv_F * AlphaSector[[#This Row],[Quantity]] * Hazards_APPURT[[#This Row],[qiz]] * CaAa_APPURT[[#This Row],[Alpha Ice 0]]</f>
        <v>0</v>
      </c>
      <c r="IR19" s="276">
        <f>IFERROR(1/Calculations_APPURT[[#This Row],[Brackets]],0) * cv_F * AlphaSector[[#This Row],[Quantity]] * Hazards_APPURT[[#This Row],[qiz]] * CaAa_APPURT[[#This Row],[Alpha Ice 30]]</f>
        <v>0</v>
      </c>
      <c r="IS19" s="276">
        <f>IFERROR(1/Calculations_APPURT[[#This Row],[Brackets]],0) * cv_F * AlphaSector[[#This Row],[Quantity]] * Hazards_APPURT[[#This Row],[qiz]] * CaAa_APPURT[[#This Row],[Alpha Ice 45]]</f>
        <v>0</v>
      </c>
      <c r="IT19" s="276">
        <f>IFERROR(1/Calculations_APPURT[[#This Row],[Brackets]],0) * cv_F * AlphaSector[[#This Row],[Quantity]] * Hazards_APPURT[[#This Row],[qiz]] * CaAa_APPURT[[#This Row],[Alpha Ice 60]]</f>
        <v>0</v>
      </c>
      <c r="IU19" s="276">
        <f>IFERROR(1/Calculations_APPURT[[#This Row],[Brackets]],0) * cv_F * AlphaSector[[#This Row],[Quantity]] * Hazards_APPURT[[#This Row],[qiz]] * CaAa_APPURT[[#This Row],[Alpha Ice 90]]</f>
        <v>0</v>
      </c>
      <c r="IV19" s="276">
        <f>IFERROR(1/Calculations_APPURT[[#This Row],[Brackets]],0) * cv_F * AlphaSector[[#This Row],[Quantity]] * Hazards_APPURT[[#This Row],[qiz]] * CaAa_APPURT[[#This Row],[Alpha Ice 120]]</f>
        <v>0</v>
      </c>
      <c r="IW19" s="276">
        <f>IFERROR(1/Calculations_APPURT[[#This Row],[Brackets]],0) * cv_F * AlphaSector[[#This Row],[Quantity]] * Hazards_APPURT[[#This Row],[qiz]] * CaAa_APPURT[[#This Row],[Alpha Ice 135]]</f>
        <v>0</v>
      </c>
      <c r="IX19" s="276">
        <f>IFERROR(1/Calculations_APPURT[[#This Row],[Brackets]],0) * cv_F * AlphaSector[[#This Row],[Quantity]] * Hazards_APPURT[[#This Row],[qiz]] * CaAa_APPURT[[#This Row],[Alpha Ice 150]]</f>
        <v>0</v>
      </c>
      <c r="IY19" s="276">
        <f>IFERROR(1/Calculations_APPURT[[#This Row],[Brackets]],0) * cv_F * AlphaSector[[#This Row],[Quantity]] * Hazards_APPURT[[#This Row],[qiz]] * CaAa_APPURT[[#This Row],[Alpha Ice 180]]</f>
        <v>0</v>
      </c>
      <c r="IZ19" s="276">
        <f>IFERROR(1/Calculations_APPURT[[#This Row],[Brackets]],0) * cv_F * AlphaSector[[#This Row],[Quantity]] * Hazards_APPURT[[#This Row],[qiz]] * CaAa_APPURT[[#This Row],[Alpha Ice 210]]</f>
        <v>0</v>
      </c>
      <c r="JA19" s="276">
        <f>IFERROR(1/Calculations_APPURT[[#This Row],[Brackets]],0) * cv_F * AlphaSector[[#This Row],[Quantity]] * Hazards_APPURT[[#This Row],[qiz]] * CaAa_APPURT[[#This Row],[Alpha Ice 225]]</f>
        <v>0</v>
      </c>
      <c r="JB19" s="276">
        <f>IFERROR(1/Calculations_APPURT[[#This Row],[Brackets]],0) * cv_F * AlphaSector[[#This Row],[Quantity]] * Hazards_APPURT[[#This Row],[qiz]] * CaAa_APPURT[[#This Row],[Alpha Ice 240]]</f>
        <v>0</v>
      </c>
      <c r="JC19" s="276">
        <f>IFERROR(1/Calculations_APPURT[[#This Row],[Brackets]],0) * cv_F * AlphaSector[[#This Row],[Quantity]] * Hazards_APPURT[[#This Row],[qiz]] * CaAa_APPURT[[#This Row],[Alpha Ice 270]]</f>
        <v>0</v>
      </c>
      <c r="JD19" s="276">
        <f>IFERROR(1/Calculations_APPURT[[#This Row],[Brackets]],0) * cv_F * AlphaSector[[#This Row],[Quantity]] * Hazards_APPURT[[#This Row],[qiz]] * CaAa_APPURT[[#This Row],[Alpha Ice 300]]</f>
        <v>0</v>
      </c>
      <c r="JE19" s="276">
        <f>IFERROR(1/Calculations_APPURT[[#This Row],[Brackets]],0) * cv_F * AlphaSector[[#This Row],[Quantity]] * Hazards_APPURT[[#This Row],[qiz]] * CaAa_APPURT[[#This Row],[Alpha Ice 315]]</f>
        <v>0</v>
      </c>
      <c r="JF19" s="276">
        <f>IFERROR(1/Calculations_APPURT[[#This Row],[Brackets]],0) * cv_F * AlphaSector[[#This Row],[Quantity]] * Hazards_APPURT[[#This Row],[qiz]] * CaAa_APPURT[[#This Row],[Alpha Ice 330]]</f>
        <v>0</v>
      </c>
      <c r="JG19" s="276">
        <f>IFERROR(1/Calculations_APPURT[[#This Row],[Brackets]],0) * cv_F * BetaSector[[#This Row],[Quantity]] * Hazards_APPURT[[#This Row],[qiz]] * CaAa_APPURT[[#This Row],[Beta Ice 0]]</f>
        <v>0</v>
      </c>
      <c r="JH19" s="276">
        <f>IFERROR(1/Calculations_APPURT[[#This Row],[Brackets]],0) * cv_F * BetaSector[[#This Row],[Quantity]] * Hazards_APPURT[[#This Row],[qiz]] * CaAa_APPURT[[#This Row],[Beta Ice 30]]</f>
        <v>0</v>
      </c>
      <c r="JI19" s="276">
        <f>IFERROR(1/Calculations_APPURT[[#This Row],[Brackets]],0) * cv_F * BetaSector[[#This Row],[Quantity]] * Hazards_APPURT[[#This Row],[qiz]] * CaAa_APPURT[[#This Row],[Beta Ice 45]]</f>
        <v>0</v>
      </c>
      <c r="JJ19" s="276">
        <f>IFERROR(1/Calculations_APPURT[[#This Row],[Brackets]],0) * cv_F * BetaSector[[#This Row],[Quantity]] * Hazards_APPURT[[#This Row],[qiz]] * CaAa_APPURT[[#This Row],[Beta Ice 60]]</f>
        <v>0</v>
      </c>
      <c r="JK19" s="276">
        <f>IFERROR(1/Calculations_APPURT[[#This Row],[Brackets]],0) * cv_F * BetaSector[[#This Row],[Quantity]] * Hazards_APPURT[[#This Row],[qiz]] * CaAa_APPURT[[#This Row],[Beta Ice 90]]</f>
        <v>0</v>
      </c>
      <c r="JL19" s="276">
        <f>IFERROR(1/Calculations_APPURT[[#This Row],[Brackets]],0) * cv_F * BetaSector[[#This Row],[Quantity]] * Hazards_APPURT[[#This Row],[qiz]] * CaAa_APPURT[[#This Row],[Beta Ice 120]]</f>
        <v>0</v>
      </c>
      <c r="JM19" s="276">
        <f>IFERROR(1/Calculations_APPURT[[#This Row],[Brackets]],0) * cv_F * BetaSector[[#This Row],[Quantity]] * Hazards_APPURT[[#This Row],[qiz]] * CaAa_APPURT[[#This Row],[Beta Ice 135]]</f>
        <v>0</v>
      </c>
      <c r="JN19" s="276">
        <f>IFERROR(1/Calculations_APPURT[[#This Row],[Brackets]],0) * cv_F * BetaSector[[#This Row],[Quantity]] * Hazards_APPURT[[#This Row],[qiz]] * CaAa_APPURT[[#This Row],[Beta Ice 150]]</f>
        <v>0</v>
      </c>
      <c r="JO19" s="276">
        <f>IFERROR(1/Calculations_APPURT[[#This Row],[Brackets]],0) * cv_F * BetaSector[[#This Row],[Quantity]] * Hazards_APPURT[[#This Row],[qiz]] * CaAa_APPURT[[#This Row],[Beta Ice 180]]</f>
        <v>0</v>
      </c>
      <c r="JP19" s="276">
        <f>IFERROR(1/Calculations_APPURT[[#This Row],[Brackets]],0) * cv_F * BetaSector[[#This Row],[Quantity]] * Hazards_APPURT[[#This Row],[qiz]] * CaAa_APPURT[[#This Row],[Beta Ice 210]]</f>
        <v>0</v>
      </c>
      <c r="JQ19" s="276">
        <f>IFERROR(1/Calculations_APPURT[[#This Row],[Brackets]],0) * cv_F * BetaSector[[#This Row],[Quantity]] * Hazards_APPURT[[#This Row],[qiz]] * CaAa_APPURT[[#This Row],[Beta Ice 225]]</f>
        <v>0</v>
      </c>
      <c r="JR19" s="276">
        <f>IFERROR(1/Calculations_APPURT[[#This Row],[Brackets]],0) * cv_F * BetaSector[[#This Row],[Quantity]] * Hazards_APPURT[[#This Row],[qiz]] * CaAa_APPURT[[#This Row],[Beta Ice 240]]</f>
        <v>0</v>
      </c>
      <c r="JS19" s="276">
        <f>IFERROR(1/Calculations_APPURT[[#This Row],[Brackets]],0) * cv_F * BetaSector[[#This Row],[Quantity]] * Hazards_APPURT[[#This Row],[qiz]] * CaAa_APPURT[[#This Row],[Beta Ice 270]]</f>
        <v>0</v>
      </c>
      <c r="JT19" s="276">
        <f>IFERROR(1/Calculations_APPURT[[#This Row],[Brackets]],0) * cv_F * BetaSector[[#This Row],[Quantity]] * Hazards_APPURT[[#This Row],[qiz]] * CaAa_APPURT[[#This Row],[Beta Ice 300]]</f>
        <v>0</v>
      </c>
      <c r="JU19" s="276">
        <f>IFERROR(1/Calculations_APPURT[[#This Row],[Brackets]],0) * cv_F * BetaSector[[#This Row],[Quantity]] * Hazards_APPURT[[#This Row],[qiz]] * CaAa_APPURT[[#This Row],[Beta Ice 315]]</f>
        <v>0</v>
      </c>
      <c r="JV19" s="276">
        <f>IFERROR(1/Calculations_APPURT[[#This Row],[Brackets]],0) * cv_F * BetaSector[[#This Row],[Quantity]] * Hazards_APPURT[[#This Row],[qiz]] * CaAa_APPURT[[#This Row],[Beta Ice 330]]</f>
        <v>0</v>
      </c>
      <c r="JW19" s="276">
        <f>IFERROR(1/Calculations_APPURT[[#This Row],[Brackets]],0) * cv_F * GammaSector[[#This Row],[Quantity]] * Hazards_APPURT[[#This Row],[qiz]] * CaAa_APPURT[[#This Row],[Gamma Ice 0]]</f>
        <v>0</v>
      </c>
      <c r="JX19" s="276">
        <f>IFERROR(1/Calculations_APPURT[[#This Row],[Brackets]],0) * cv_F * GammaSector[[#This Row],[Quantity]] * Hazards_APPURT[[#This Row],[qiz]] * CaAa_APPURT[[#This Row],[Gamma Ice 30]]</f>
        <v>0</v>
      </c>
      <c r="JY19" s="276">
        <f>IFERROR(1/Calculations_APPURT[[#This Row],[Brackets]],0) * cv_F * GammaSector[[#This Row],[Quantity]] * Hazards_APPURT[[#This Row],[qiz]] * CaAa_APPURT[[#This Row],[Gamma Ice 45]]</f>
        <v>0</v>
      </c>
      <c r="JZ19" s="276">
        <f>IFERROR(1/Calculations_APPURT[[#This Row],[Brackets]],0) * cv_F * GammaSector[[#This Row],[Quantity]] * Hazards_APPURT[[#This Row],[qiz]] * CaAa_APPURT[[#This Row],[Gamma Ice 60]]</f>
        <v>0</v>
      </c>
      <c r="KA19" s="276">
        <f>IFERROR(1/Calculations_APPURT[[#This Row],[Brackets]],0) * cv_F * GammaSector[[#This Row],[Quantity]] * Hazards_APPURT[[#This Row],[qiz]] * CaAa_APPURT[[#This Row],[Gamma Ice 90]]</f>
        <v>0</v>
      </c>
      <c r="KB19" s="276">
        <f>IFERROR(1/Calculations_APPURT[[#This Row],[Brackets]],0) * cv_F * GammaSector[[#This Row],[Quantity]] * Hazards_APPURT[[#This Row],[qiz]] * CaAa_APPURT[[#This Row],[Gamma Ice 120]]</f>
        <v>0</v>
      </c>
      <c r="KC19" s="276">
        <f>IFERROR(1/Calculations_APPURT[[#This Row],[Brackets]],0) * cv_F * GammaSector[[#This Row],[Quantity]] * Hazards_APPURT[[#This Row],[qiz]] * CaAa_APPURT[[#This Row],[Gamma Ice 135]]</f>
        <v>0</v>
      </c>
      <c r="KD19" s="276">
        <f>IFERROR(1/Calculations_APPURT[[#This Row],[Brackets]],0) * cv_F * GammaSector[[#This Row],[Quantity]] * Hazards_APPURT[[#This Row],[qiz]] * CaAa_APPURT[[#This Row],[Gamma Ice 150]]</f>
        <v>0</v>
      </c>
      <c r="KE19" s="276">
        <f>IFERROR(1/Calculations_APPURT[[#This Row],[Brackets]],0) * cv_F * GammaSector[[#This Row],[Quantity]] * Hazards_APPURT[[#This Row],[qiz]] * CaAa_APPURT[[#This Row],[Gamma Ice 180]]</f>
        <v>0</v>
      </c>
      <c r="KF19" s="276">
        <f>IFERROR(1/Calculations_APPURT[[#This Row],[Brackets]],0) * cv_F * GammaSector[[#This Row],[Quantity]] * Hazards_APPURT[[#This Row],[qiz]] * CaAa_APPURT[[#This Row],[Gamma Ice 210]]</f>
        <v>0</v>
      </c>
      <c r="KG19" s="276">
        <f>IFERROR(1/Calculations_APPURT[[#This Row],[Brackets]],0) * cv_F * GammaSector[[#This Row],[Quantity]] * Hazards_APPURT[[#This Row],[qiz]] * CaAa_APPURT[[#This Row],[Gamma Ice 225]]</f>
        <v>0</v>
      </c>
      <c r="KH19" s="276">
        <f>IFERROR(1/Calculations_APPURT[[#This Row],[Brackets]],0) * cv_F * GammaSector[[#This Row],[Quantity]] * Hazards_APPURT[[#This Row],[qiz]] * CaAa_APPURT[[#This Row],[Gamma Ice 240]]</f>
        <v>0</v>
      </c>
      <c r="KI19" s="276">
        <f>IFERROR(1/Calculations_APPURT[[#This Row],[Brackets]],0) * cv_F * GammaSector[[#This Row],[Quantity]] * Hazards_APPURT[[#This Row],[qiz]] * CaAa_APPURT[[#This Row],[Gamma Ice 270]]</f>
        <v>0</v>
      </c>
      <c r="KJ19" s="276">
        <f>IFERROR(1/Calculations_APPURT[[#This Row],[Brackets]],0) * cv_F * GammaSector[[#This Row],[Quantity]] * Hazards_APPURT[[#This Row],[qiz]] * CaAa_APPURT[[#This Row],[Gamma Ice 300]]</f>
        <v>0</v>
      </c>
      <c r="KK19" s="276">
        <f>IFERROR(1/Calculations_APPURT[[#This Row],[Brackets]],0) * cv_F * GammaSector[[#This Row],[Quantity]] * Hazards_APPURT[[#This Row],[qiz]] * CaAa_APPURT[[#This Row],[Gamma Ice 315]]</f>
        <v>0</v>
      </c>
      <c r="KL19" s="276">
        <f>IFERROR(1/Calculations_APPURT[[#This Row],[Brackets]],0) * cv_F * GammaSector[[#This Row],[Quantity]] * Hazards_APPURT[[#This Row],[qiz]] * CaAa_APPURT[[#This Row],[Gamma Ice 330]]</f>
        <v>0</v>
      </c>
      <c r="KM19" s="276">
        <f>IFERROR(1/Calculations_APPURT[[#This Row],[Brackets]],0) * cv_F * DeltaSector[[#This Row],[Quantity]] * Hazards_APPURT[[#This Row],[qiz]] * CaAa_APPURT[[#This Row],[Delta Ice 0]]</f>
        <v>0</v>
      </c>
      <c r="KN19" s="276">
        <f>IFERROR(1/Calculations_APPURT[[#This Row],[Brackets]],0) * cv_F * DeltaSector[[#This Row],[Quantity]] * Hazards_APPURT[[#This Row],[qiz]] * CaAa_APPURT[[#This Row],[Delta Ice 30]]</f>
        <v>0</v>
      </c>
      <c r="KO19" s="276">
        <f>IFERROR(1/Calculations_APPURT[[#This Row],[Brackets]],0) * cv_F * DeltaSector[[#This Row],[Quantity]] * Hazards_APPURT[[#This Row],[qiz]] * CaAa_APPURT[[#This Row],[Delta Ice 45]]</f>
        <v>0</v>
      </c>
      <c r="KP19" s="276">
        <f>IFERROR(1/Calculations_APPURT[[#This Row],[Brackets]],0) * cv_F * DeltaSector[[#This Row],[Quantity]] * Hazards_APPURT[[#This Row],[qiz]] * CaAa_APPURT[[#This Row],[Delta Ice 60]]</f>
        <v>0</v>
      </c>
      <c r="KQ19" s="276">
        <f>IFERROR(1/Calculations_APPURT[[#This Row],[Brackets]],0) * cv_F * DeltaSector[[#This Row],[Quantity]] * Hazards_APPURT[[#This Row],[qiz]] * CaAa_APPURT[[#This Row],[Delta Ice 90]]</f>
        <v>0</v>
      </c>
      <c r="KR19" s="276">
        <f>IFERROR(1/Calculations_APPURT[[#This Row],[Brackets]],0) * cv_F * DeltaSector[[#This Row],[Quantity]] * Hazards_APPURT[[#This Row],[qiz]] * CaAa_APPURT[[#This Row],[Delta Ice 120]]</f>
        <v>0</v>
      </c>
      <c r="KS19" s="276">
        <f>IFERROR(1/Calculations_APPURT[[#This Row],[Brackets]],0) * cv_F * DeltaSector[[#This Row],[Quantity]] * Hazards_APPURT[[#This Row],[qiz]] * CaAa_APPURT[[#This Row],[Delta Ice 135]]</f>
        <v>0</v>
      </c>
      <c r="KT19" s="276">
        <f>IFERROR(1/Calculations_APPURT[[#This Row],[Brackets]],0) * cv_F * DeltaSector[[#This Row],[Quantity]] * Hazards_APPURT[[#This Row],[qiz]] * CaAa_APPURT[[#This Row],[Delta Ice 150]]</f>
        <v>0</v>
      </c>
      <c r="KU19" s="276">
        <f>IFERROR(1/Calculations_APPURT[[#This Row],[Brackets]],0) * cv_F * DeltaSector[[#This Row],[Quantity]] * Hazards_APPURT[[#This Row],[qiz]] * CaAa_APPURT[[#This Row],[Delta Ice 180]]</f>
        <v>0</v>
      </c>
      <c r="KV19" s="276">
        <f>IFERROR(1/Calculations_APPURT[[#This Row],[Brackets]],0) * cv_F * DeltaSector[[#This Row],[Quantity]] * Hazards_APPURT[[#This Row],[qiz]] * CaAa_APPURT[[#This Row],[Delta Ice 210]]</f>
        <v>0</v>
      </c>
      <c r="KW19" s="276">
        <f>IFERROR(1/Calculations_APPURT[[#This Row],[Brackets]],0) * cv_F * DeltaSector[[#This Row],[Quantity]] * Hazards_APPURT[[#This Row],[qiz]] * CaAa_APPURT[[#This Row],[Delta Ice 225]]</f>
        <v>0</v>
      </c>
      <c r="KX19" s="276">
        <f>IFERROR(1/Calculations_APPURT[[#This Row],[Brackets]],0) * cv_F * DeltaSector[[#This Row],[Quantity]] * Hazards_APPURT[[#This Row],[qiz]] * CaAa_APPURT[[#This Row],[Delta Ice 240]]</f>
        <v>0</v>
      </c>
      <c r="KY19" s="276">
        <f>IFERROR(1/Calculations_APPURT[[#This Row],[Brackets]],0) * cv_F * DeltaSector[[#This Row],[Quantity]] * Hazards_APPURT[[#This Row],[qiz]] * CaAa_APPURT[[#This Row],[Delta Ice 270]]</f>
        <v>0</v>
      </c>
      <c r="KZ19" s="276">
        <f>IFERROR(1/Calculations_APPURT[[#This Row],[Brackets]],0) * cv_F * DeltaSector[[#This Row],[Quantity]] * Hazards_APPURT[[#This Row],[qiz]] * CaAa_APPURT[[#This Row],[Delta Ice 300]]</f>
        <v>0</v>
      </c>
      <c r="LA19" s="276">
        <f>IFERROR(1/Calculations_APPURT[[#This Row],[Brackets]],0) * cv_F * DeltaSector[[#This Row],[Quantity]] * Hazards_APPURT[[#This Row],[qiz]] * CaAa_APPURT[[#This Row],[Delta Ice 315]]</f>
        <v>0</v>
      </c>
      <c r="LB19" s="276">
        <f>IFERROR(1/Calculations_APPURT[[#This Row],[Brackets]],0) * cv_F * DeltaSector[[#This Row],[Quantity]] * Hazards_APPURT[[#This Row],[qiz]] * CaAa_APPURT[[#This Row],[Delta Ice 330]]</f>
        <v>0</v>
      </c>
      <c r="LC19" s="276">
        <f>IFERROR(1/Calculations_APPURT[[#This Row],[Brackets]],0) * cv_M/cv_F * Forces_APPURT[[#This Row],[Alpha Fa 0]] * Calculations_APPURT[[#This Row],[Horizontal Offset]]/12</f>
        <v>0</v>
      </c>
      <c r="LD19" s="276">
        <f>IFERROR(1/Calculations_APPURT[[#This Row],[Brackets]],0) * cv_M/cv_F * Forces_APPURT[[#This Row],[Alpha Fa 30]] * Calculations_APPURT[[#This Row],[Horizontal Offset]]/12</f>
        <v>0</v>
      </c>
      <c r="LE19" s="276">
        <f>IFERROR(1/Calculations_APPURT[[#This Row],[Brackets]],0) * cv_M/cv_F * Forces_APPURT[[#This Row],[Alpha Fa 45]] * Calculations_APPURT[[#This Row],[Horizontal Offset]]/12</f>
        <v>0</v>
      </c>
      <c r="LF19" s="276">
        <f>IFERROR(1/Calculations_APPURT[[#This Row],[Brackets]],0) * cv_M/cv_F * Forces_APPURT[[#This Row],[Alpha Fa 60]] * Calculations_APPURT[[#This Row],[Horizontal Offset]]/12</f>
        <v>0</v>
      </c>
      <c r="LG19" s="276">
        <f>IFERROR(1/Calculations_APPURT[[#This Row],[Brackets]],0) * cv_M/cv_F * Forces_APPURT[[#This Row],[Alpha Fa 90]] * Calculations_APPURT[[#This Row],[Horizontal Offset]]/12</f>
        <v>0</v>
      </c>
      <c r="LH19" s="276">
        <f>IFERROR(1/Calculations_APPURT[[#This Row],[Brackets]],0) * cv_M/cv_F * Forces_APPURT[[#This Row],[Alpha Fa 120]] * Calculations_APPURT[[#This Row],[Horizontal Offset]]/12</f>
        <v>0</v>
      </c>
      <c r="LI19" s="276">
        <f>IFERROR(1/Calculations_APPURT[[#This Row],[Brackets]],0) * cv_M/cv_F * Forces_APPURT[[#This Row],[Alpha Fa 135]] * Calculations_APPURT[[#This Row],[Horizontal Offset]]/12</f>
        <v>0</v>
      </c>
      <c r="LJ19" s="276">
        <f>IFERROR(1/Calculations_APPURT[[#This Row],[Brackets]],0) * cv_M/cv_F * Forces_APPURT[[#This Row],[Alpha Fa 150]] * Calculations_APPURT[[#This Row],[Horizontal Offset]]/12</f>
        <v>0</v>
      </c>
      <c r="LK19" s="276">
        <f>IFERROR(1/Calculations_APPURT[[#This Row],[Brackets]],0) * cv_M/cv_F * Forces_APPURT[[#This Row],[Alpha Fa 180]] * Calculations_APPURT[[#This Row],[Horizontal Offset]]/12</f>
        <v>0</v>
      </c>
      <c r="LL19" s="276">
        <f>IFERROR(1/Calculations_APPURT[[#This Row],[Brackets]],0) * cv_M/cv_F * Forces_APPURT[[#This Row],[Alpha Fa 210]] * Calculations_APPURT[[#This Row],[Horizontal Offset]]/12</f>
        <v>0</v>
      </c>
      <c r="LM19" s="276">
        <f>IFERROR(1/Calculations_APPURT[[#This Row],[Brackets]],0) * cv_M/cv_F * Forces_APPURT[[#This Row],[Alpha Fa 225]] * Calculations_APPURT[[#This Row],[Horizontal Offset]]/12</f>
        <v>0</v>
      </c>
      <c r="LN19" s="276">
        <f>IFERROR(1/Calculations_APPURT[[#This Row],[Brackets]],0) * cv_M/cv_F * Forces_APPURT[[#This Row],[Alpha Fa 240]] * Calculations_APPURT[[#This Row],[Horizontal Offset]]/12</f>
        <v>0</v>
      </c>
      <c r="LO19" s="276">
        <f>IFERROR(1/Calculations_APPURT[[#This Row],[Brackets]],0) * cv_M/cv_F * Forces_APPURT[[#This Row],[Alpha Fa 270]] * Calculations_APPURT[[#This Row],[Horizontal Offset]]/12</f>
        <v>0</v>
      </c>
      <c r="LP19" s="276">
        <f>IFERROR(1/Calculations_APPURT[[#This Row],[Brackets]],0) * cv_M/cv_F * Forces_APPURT[[#This Row],[Alpha Fa 300]] * Calculations_APPURT[[#This Row],[Horizontal Offset]]/12</f>
        <v>0</v>
      </c>
      <c r="LQ19" s="276">
        <f>IFERROR(1/Calculations_APPURT[[#This Row],[Brackets]],0) * cv_M/cv_F * Forces_APPURT[[#This Row],[Alpha Fa 315]] * Calculations_APPURT[[#This Row],[Horizontal Offset]]/12</f>
        <v>0</v>
      </c>
      <c r="LR19" s="276">
        <f>IFERROR(1/Calculations_APPURT[[#This Row],[Brackets]],0) * cv_M/cv_F * Forces_APPURT[[#This Row],[Alpha Fa 330]] * Calculations_APPURT[[#This Row],[Horizontal Offset]]/12</f>
        <v>0</v>
      </c>
      <c r="LS19" s="276">
        <f>IFERROR(1/Calculations_APPURT[[#This Row],[Brackets]],0) * cv_M/cv_F * Forces_APPURT[[#This Row],[Beta Fa 0]] * Calculations_APPURT[[#This Row],[Horizontal Offset]]/12</f>
        <v>0</v>
      </c>
      <c r="LT19" s="276">
        <f>IFERROR(1/Calculations_APPURT[[#This Row],[Brackets]],0) * cv_M/cv_F * Forces_APPURT[[#This Row],[Beta Fa 30]] * Calculations_APPURT[[#This Row],[Horizontal Offset]]/12</f>
        <v>0</v>
      </c>
      <c r="LU19" s="276">
        <f>IFERROR(1/Calculations_APPURT[[#This Row],[Brackets]],0) * cv_M/cv_F * Forces_APPURT[[#This Row],[Beta Fa 45]] * Calculations_APPURT[[#This Row],[Horizontal Offset]]/12</f>
        <v>0</v>
      </c>
      <c r="LV19" s="276">
        <f>IFERROR(1/Calculations_APPURT[[#This Row],[Brackets]],0) * cv_M/cv_F * Forces_APPURT[[#This Row],[Beta Fa 60]] * Calculations_APPURT[[#This Row],[Horizontal Offset]]/12</f>
        <v>0</v>
      </c>
      <c r="LW19" s="276">
        <f>IFERROR(1/Calculations_APPURT[[#This Row],[Brackets]],0) * cv_M/cv_F * Forces_APPURT[[#This Row],[Beta Fa 90]] * Calculations_APPURT[[#This Row],[Horizontal Offset]]/12</f>
        <v>0</v>
      </c>
      <c r="LX19" s="276">
        <f>IFERROR(1/Calculations_APPURT[[#This Row],[Brackets]],0) * cv_M/cv_F * Forces_APPURT[[#This Row],[Beta Fa 120]] * Calculations_APPURT[[#This Row],[Horizontal Offset]]/12</f>
        <v>0</v>
      </c>
      <c r="LY19" s="276">
        <f>IFERROR(1/Calculations_APPURT[[#This Row],[Brackets]],0) * cv_M/cv_F * Forces_APPURT[[#This Row],[Beta Fa 135]] * Calculations_APPURT[[#This Row],[Horizontal Offset]]/12</f>
        <v>0</v>
      </c>
      <c r="LZ19" s="276">
        <f>IFERROR(1/Calculations_APPURT[[#This Row],[Brackets]],0) * cv_M/cv_F * Forces_APPURT[[#This Row],[Beta Fa 150]] * Calculations_APPURT[[#This Row],[Horizontal Offset]]/12</f>
        <v>0</v>
      </c>
      <c r="MA19" s="276">
        <f>IFERROR(1/Calculations_APPURT[[#This Row],[Brackets]],0) * cv_M/cv_F * Forces_APPURT[[#This Row],[Beta Fa 180]] * Calculations_APPURT[[#This Row],[Horizontal Offset]]/12</f>
        <v>0</v>
      </c>
      <c r="MB19" s="276">
        <f>IFERROR(1/Calculations_APPURT[[#This Row],[Brackets]],0) * cv_M/cv_F * Forces_APPURT[[#This Row],[Beta Fa 210]] * Calculations_APPURT[[#This Row],[Horizontal Offset]]/12</f>
        <v>0</v>
      </c>
      <c r="MC19" s="276">
        <f>IFERROR(1/Calculations_APPURT[[#This Row],[Brackets]],0) * cv_M/cv_F * Forces_APPURT[[#This Row],[Beta Fa 225]] * Calculations_APPURT[[#This Row],[Horizontal Offset]]/12</f>
        <v>0</v>
      </c>
      <c r="MD19" s="276">
        <f>IFERROR(1/Calculations_APPURT[[#This Row],[Brackets]],0) * cv_M/cv_F * Forces_APPURT[[#This Row],[Beta Fa 240]] * Calculations_APPURT[[#This Row],[Horizontal Offset]]/12</f>
        <v>0</v>
      </c>
      <c r="ME19" s="276">
        <f>IFERROR(1/Calculations_APPURT[[#This Row],[Brackets]],0) * cv_M/cv_F * Forces_APPURT[[#This Row],[Beta Fa 270]] * Calculations_APPURT[[#This Row],[Horizontal Offset]]/12</f>
        <v>0</v>
      </c>
      <c r="MF19" s="276">
        <f>IFERROR(1/Calculations_APPURT[[#This Row],[Brackets]],0) * cv_M/cv_F * Forces_APPURT[[#This Row],[Beta Fa 300]] * Calculations_APPURT[[#This Row],[Horizontal Offset]]/12</f>
        <v>0</v>
      </c>
      <c r="MG19" s="276">
        <f>IFERROR(1/Calculations_APPURT[[#This Row],[Brackets]],0) * cv_M/cv_F * Forces_APPURT[[#This Row],[Beta Fa 315]] * Calculations_APPURT[[#This Row],[Horizontal Offset]]/12</f>
        <v>0</v>
      </c>
      <c r="MH19" s="276">
        <f>IFERROR(1/Calculations_APPURT[[#This Row],[Brackets]],0) * cv_M/cv_F * Forces_APPURT[[#This Row],[Beta Fa 330]] * Calculations_APPURT[[#This Row],[Horizontal Offset]]/12</f>
        <v>0</v>
      </c>
      <c r="MI19" s="276">
        <f>IFERROR(1/Calculations_APPURT[[#This Row],[Brackets]],0) * cv_M/cv_F * Forces_APPURT[[#This Row],[Gamma Fa 0]] * Calculations_APPURT[[#This Row],[Horizontal Offset]]/12</f>
        <v>0</v>
      </c>
      <c r="MJ19" s="276">
        <f>IFERROR(1/Calculations_APPURT[[#This Row],[Brackets]],0) * cv_M/cv_F * Forces_APPURT[[#This Row],[Gamma Fa 30]] * Calculations_APPURT[[#This Row],[Horizontal Offset]]/12</f>
        <v>0</v>
      </c>
      <c r="MK19" s="276">
        <f>IFERROR(1/Calculations_APPURT[[#This Row],[Brackets]],0) * cv_M/cv_F * Forces_APPURT[[#This Row],[Gamma Fa 45]] * Calculations_APPURT[[#This Row],[Horizontal Offset]]/12</f>
        <v>0</v>
      </c>
      <c r="ML19" s="276">
        <f>IFERROR(1/Calculations_APPURT[[#This Row],[Brackets]],0) * cv_M/cv_F * Forces_APPURT[[#This Row],[Gamma Fa 60]] * Calculations_APPURT[[#This Row],[Horizontal Offset]]/12</f>
        <v>0</v>
      </c>
      <c r="MM19" s="276">
        <f>IFERROR(1/Calculations_APPURT[[#This Row],[Brackets]],0) * cv_M/cv_F * Forces_APPURT[[#This Row],[Gamma Fa 90]] * Calculations_APPURT[[#This Row],[Horizontal Offset]]/12</f>
        <v>0</v>
      </c>
      <c r="MN19" s="276">
        <f>IFERROR(1/Calculations_APPURT[[#This Row],[Brackets]],0) * cv_M/cv_F * Forces_APPURT[[#This Row],[Gamma Fa 120]] * Calculations_APPURT[[#This Row],[Horizontal Offset]]/12</f>
        <v>0</v>
      </c>
      <c r="MO19" s="276">
        <f>IFERROR(1/Calculations_APPURT[[#This Row],[Brackets]],0) * cv_M/cv_F * Forces_APPURT[[#This Row],[Gamma Fa 135]] * Calculations_APPURT[[#This Row],[Horizontal Offset]]/12</f>
        <v>0</v>
      </c>
      <c r="MP19" s="276">
        <f>IFERROR(1/Calculations_APPURT[[#This Row],[Brackets]],0) * cv_M/cv_F * Forces_APPURT[[#This Row],[Gamma Fa 150]] * Calculations_APPURT[[#This Row],[Horizontal Offset]]/12</f>
        <v>0</v>
      </c>
      <c r="MQ19" s="276">
        <f>IFERROR(1/Calculations_APPURT[[#This Row],[Brackets]],0) * cv_M/cv_F * Forces_APPURT[[#This Row],[Gamma Fa 180]] * Calculations_APPURT[[#This Row],[Horizontal Offset]]/12</f>
        <v>0</v>
      </c>
      <c r="MR19" s="276">
        <f>IFERROR(1/Calculations_APPURT[[#This Row],[Brackets]],0) * cv_M/cv_F * Forces_APPURT[[#This Row],[Gamma Fa 210]] * Calculations_APPURT[[#This Row],[Horizontal Offset]]/12</f>
        <v>0</v>
      </c>
      <c r="MS19" s="276">
        <f>IFERROR(1/Calculations_APPURT[[#This Row],[Brackets]],0) * cv_M/cv_F * Forces_APPURT[[#This Row],[Gamma Fa 225]] * Calculations_APPURT[[#This Row],[Horizontal Offset]]/12</f>
        <v>0</v>
      </c>
      <c r="MT19" s="276">
        <f>IFERROR(1/Calculations_APPURT[[#This Row],[Brackets]],0) * cv_M/cv_F * Forces_APPURT[[#This Row],[Gamma Fa 240]] * Calculations_APPURT[[#This Row],[Horizontal Offset]]/12</f>
        <v>0</v>
      </c>
      <c r="MU19" s="276">
        <f>IFERROR(1/Calculations_APPURT[[#This Row],[Brackets]],0) * cv_M/cv_F * Forces_APPURT[[#This Row],[Gamma Fa 270]] * Calculations_APPURT[[#This Row],[Horizontal Offset]]/12</f>
        <v>0</v>
      </c>
      <c r="MV19" s="276">
        <f>IFERROR(1/Calculations_APPURT[[#This Row],[Brackets]],0) * cv_M/cv_F * Forces_APPURT[[#This Row],[Gamma Fa 300]] * Calculations_APPURT[[#This Row],[Horizontal Offset]]/12</f>
        <v>0</v>
      </c>
      <c r="MW19" s="276">
        <f>IFERROR(1/Calculations_APPURT[[#This Row],[Brackets]],0) * cv_M/cv_F * Forces_APPURT[[#This Row],[Gamma Fa 315]] * Calculations_APPURT[[#This Row],[Horizontal Offset]]/12</f>
        <v>0</v>
      </c>
      <c r="MX19" s="276">
        <f>IFERROR(1/Calculations_APPURT[[#This Row],[Brackets]],0) * cv_M/cv_F * Forces_APPURT[[#This Row],[Gamma Fa 330]] * Calculations_APPURT[[#This Row],[Horizontal Offset]]/12</f>
        <v>0</v>
      </c>
      <c r="MY19" s="276">
        <f>IFERROR(1/Calculations_APPURT[[#This Row],[Brackets]],0) * cv_M/cv_F * Forces_APPURT[[#This Row],[Delta Fa 0]] * Calculations_APPURT[[#This Row],[Horizontal Offset]]/12</f>
        <v>0</v>
      </c>
      <c r="MZ19" s="276">
        <f>IFERROR(1/Calculations_APPURT[[#This Row],[Brackets]],0) * cv_M/cv_F * Forces_APPURT[[#This Row],[Delta Fa 30]] * Calculations_APPURT[[#This Row],[Horizontal Offset]]/12</f>
        <v>0</v>
      </c>
      <c r="NA19" s="276">
        <f>IFERROR(1/Calculations_APPURT[[#This Row],[Brackets]],0) * cv_M/cv_F * Forces_APPURT[[#This Row],[Delta Fa 45]] * Calculations_APPURT[[#This Row],[Horizontal Offset]]/12</f>
        <v>0</v>
      </c>
      <c r="NB19" s="276">
        <f>IFERROR(1/Calculations_APPURT[[#This Row],[Brackets]],0) * cv_M/cv_F * Forces_APPURT[[#This Row],[Delta Fa 60]] * Calculations_APPURT[[#This Row],[Horizontal Offset]]/12</f>
        <v>0</v>
      </c>
      <c r="NC19" s="276">
        <f>IFERROR(1/Calculations_APPURT[[#This Row],[Brackets]],0) * cv_M/cv_F * Forces_APPURT[[#This Row],[Delta Fa 90]] * Calculations_APPURT[[#This Row],[Horizontal Offset]]/12</f>
        <v>0</v>
      </c>
      <c r="ND19" s="276">
        <f>IFERROR(1/Calculations_APPURT[[#This Row],[Brackets]],0) * cv_M/cv_F * Forces_APPURT[[#This Row],[Delta Fa 120]] * Calculations_APPURT[[#This Row],[Horizontal Offset]]/12</f>
        <v>0</v>
      </c>
      <c r="NE19" s="276">
        <f>IFERROR(1/Calculations_APPURT[[#This Row],[Brackets]],0) * cv_M/cv_F * Forces_APPURT[[#This Row],[Delta Fa 135]] * Calculations_APPURT[[#This Row],[Horizontal Offset]]/12</f>
        <v>0</v>
      </c>
      <c r="NF19" s="276">
        <f>IFERROR(1/Calculations_APPURT[[#This Row],[Brackets]],0) * cv_M/cv_F * Forces_APPURT[[#This Row],[Delta Fa 150]] * Calculations_APPURT[[#This Row],[Horizontal Offset]]/12</f>
        <v>0</v>
      </c>
      <c r="NG19" s="276">
        <f>IFERROR(1/Calculations_APPURT[[#This Row],[Brackets]],0) * cv_M/cv_F * Forces_APPURT[[#This Row],[Delta Fa 180]] * Calculations_APPURT[[#This Row],[Horizontal Offset]]/12</f>
        <v>0</v>
      </c>
      <c r="NH19" s="276">
        <f>IFERROR(1/Calculations_APPURT[[#This Row],[Brackets]],0) * cv_M/cv_F * Forces_APPURT[[#This Row],[Delta Fa 210]] * Calculations_APPURT[[#This Row],[Horizontal Offset]]/12</f>
        <v>0</v>
      </c>
      <c r="NI19" s="276">
        <f>IFERROR(1/Calculations_APPURT[[#This Row],[Brackets]],0) * cv_M/cv_F * Forces_APPURT[[#This Row],[Delta Fa 225]] * Calculations_APPURT[[#This Row],[Horizontal Offset]]/12</f>
        <v>0</v>
      </c>
      <c r="NJ19" s="276">
        <f>IFERROR(1/Calculations_APPURT[[#This Row],[Brackets]],0) * cv_M/cv_F * Forces_APPURT[[#This Row],[Delta Fa 240]] * Calculations_APPURT[[#This Row],[Horizontal Offset]]/12</f>
        <v>0</v>
      </c>
      <c r="NK19" s="276">
        <f>IFERROR(1/Calculations_APPURT[[#This Row],[Brackets]],0) * cv_M/cv_F * Forces_APPURT[[#This Row],[Delta Fa 270]] * Calculations_APPURT[[#This Row],[Horizontal Offset]]/12</f>
        <v>0</v>
      </c>
      <c r="NL19" s="276">
        <f>IFERROR(1/Calculations_APPURT[[#This Row],[Brackets]],0) * cv_M/cv_F * Forces_APPURT[[#This Row],[Delta Fa 300]] * Calculations_APPURT[[#This Row],[Horizontal Offset]]/12</f>
        <v>0</v>
      </c>
      <c r="NM19" s="276">
        <f>IFERROR(1/Calculations_APPURT[[#This Row],[Brackets]],0) * cv_M/cv_F * Forces_APPURT[[#This Row],[Delta Fa 315]] * Calculations_APPURT[[#This Row],[Horizontal Offset]]/12</f>
        <v>0</v>
      </c>
      <c r="NN19" s="276">
        <f>IFERROR(1/Calculations_APPURT[[#This Row],[Brackets]],0) * cv_M/cv_F * Forces_APPURT[[#This Row],[Delta Fa 330]] * Calculations_APPURT[[#This Row],[Horizontal Offset]]/12</f>
        <v>0</v>
      </c>
      <c r="NO19" s="276">
        <f>IFERROR(1/Calculations_APPURT[[#This Row],[Brackets]],0) * cv_M/cv_F * Forces_APPURT[[#This Row],[Alpha Fai 0]] * Calculations_APPURT[[#This Row],[Horizontal Offset]]/12</f>
        <v>0</v>
      </c>
      <c r="NP19" s="276">
        <f>IFERROR(1/Calculations_APPURT[[#This Row],[Brackets]],0) * cv_M/cv_F * Forces_APPURT[[#This Row],[Alpha Fai 30]] * Calculations_APPURT[[#This Row],[Horizontal Offset]]/12</f>
        <v>0</v>
      </c>
      <c r="NQ19" s="276">
        <f>IFERROR(1/Calculations_APPURT[[#This Row],[Brackets]],0) * cv_M/cv_F * Forces_APPURT[[#This Row],[Alpha Fai 45]] * Calculations_APPURT[[#This Row],[Horizontal Offset]]/12</f>
        <v>0</v>
      </c>
      <c r="NR19" s="276">
        <f>IFERROR(1/Calculations_APPURT[[#This Row],[Brackets]],0) * cv_M/cv_F * Forces_APPURT[[#This Row],[Alpha Fai 60]] * Calculations_APPURT[[#This Row],[Horizontal Offset]]/12</f>
        <v>0</v>
      </c>
      <c r="NS19" s="276">
        <f>IFERROR(1/Calculations_APPURT[[#This Row],[Brackets]],0) * cv_M/cv_F * Forces_APPURT[[#This Row],[Alpha Fai 90]] * Calculations_APPURT[[#This Row],[Horizontal Offset]]/12</f>
        <v>0</v>
      </c>
      <c r="NT19" s="276">
        <f>IFERROR(1/Calculations_APPURT[[#This Row],[Brackets]],0) * cv_M/cv_F * Forces_APPURT[[#This Row],[Alpha Fai 120]] * Calculations_APPURT[[#This Row],[Horizontal Offset]]/12</f>
        <v>0</v>
      </c>
      <c r="NU19" s="276">
        <f>IFERROR(1/Calculations_APPURT[[#This Row],[Brackets]],0) * cv_M/cv_F * Forces_APPURT[[#This Row],[Alpha Fai 135]] * Calculations_APPURT[[#This Row],[Horizontal Offset]]/12</f>
        <v>0</v>
      </c>
      <c r="NV19" s="276">
        <f>IFERROR(1/Calculations_APPURT[[#This Row],[Brackets]],0) * cv_M/cv_F * Forces_APPURT[[#This Row],[Alpha Fai 150]] * Calculations_APPURT[[#This Row],[Horizontal Offset]]/12</f>
        <v>0</v>
      </c>
      <c r="NW19" s="276">
        <f>IFERROR(1/Calculations_APPURT[[#This Row],[Brackets]],0) * cv_M/cv_F * Forces_APPURT[[#This Row],[Alpha Fai 180]] * Calculations_APPURT[[#This Row],[Horizontal Offset]]/12</f>
        <v>0</v>
      </c>
      <c r="NX19" s="276">
        <f>IFERROR(1/Calculations_APPURT[[#This Row],[Brackets]],0) * cv_M/cv_F * Forces_APPURT[[#This Row],[Alpha Fai 210]] * Calculations_APPURT[[#This Row],[Horizontal Offset]]/12</f>
        <v>0</v>
      </c>
      <c r="NY19" s="276">
        <f>IFERROR(1/Calculations_APPURT[[#This Row],[Brackets]],0) * cv_M/cv_F * Forces_APPURT[[#This Row],[Alpha Fai 225]] * Calculations_APPURT[[#This Row],[Horizontal Offset]]/12</f>
        <v>0</v>
      </c>
      <c r="NZ19" s="276">
        <f>IFERROR(1/Calculations_APPURT[[#This Row],[Brackets]],0) * cv_M/cv_F * Forces_APPURT[[#This Row],[Alpha Fai 240]] * Calculations_APPURT[[#This Row],[Horizontal Offset]]/12</f>
        <v>0</v>
      </c>
      <c r="OA19" s="276">
        <f>IFERROR(1/Calculations_APPURT[[#This Row],[Brackets]],0) * cv_M/cv_F * Forces_APPURT[[#This Row],[Alpha Fai 270]] * Calculations_APPURT[[#This Row],[Horizontal Offset]]/12</f>
        <v>0</v>
      </c>
      <c r="OB19" s="276">
        <f>IFERROR(1/Calculations_APPURT[[#This Row],[Brackets]],0) * cv_M/cv_F * Forces_APPURT[[#This Row],[Alpha Fai 300]] * Calculations_APPURT[[#This Row],[Horizontal Offset]]/12</f>
        <v>0</v>
      </c>
      <c r="OC19" s="276">
        <f>IFERROR(1/Calculations_APPURT[[#This Row],[Brackets]],0) * cv_M/cv_F * Forces_APPURT[[#This Row],[Alpha Fai 315]] * Calculations_APPURT[[#This Row],[Horizontal Offset]]/12</f>
        <v>0</v>
      </c>
      <c r="OD19" s="276">
        <f>IFERROR(1/Calculations_APPURT[[#This Row],[Brackets]],0) * cv_M/cv_F * Forces_APPURT[[#This Row],[Alpha Fai 330]] * Calculations_APPURT[[#This Row],[Horizontal Offset]]/12</f>
        <v>0</v>
      </c>
      <c r="OE19" s="276">
        <f>IFERROR(1/Calculations_APPURT[[#This Row],[Brackets]],0) * cv_M/cv_F * Forces_APPURT[[#This Row],[Beta Fai 0]] * Calculations_APPURT[[#This Row],[Horizontal Offset]]/12</f>
        <v>0</v>
      </c>
      <c r="OF19" s="276">
        <f>IFERROR(1/Calculations_APPURT[[#This Row],[Brackets]],0) * cv_M/cv_F * Forces_APPURT[[#This Row],[Beta Fai 30]] * Calculations_APPURT[[#This Row],[Horizontal Offset]]/12</f>
        <v>0</v>
      </c>
      <c r="OG19" s="276">
        <f>IFERROR(1/Calculations_APPURT[[#This Row],[Brackets]],0) * cv_M/cv_F * Forces_APPURT[[#This Row],[Beta Fai 45]] * Calculations_APPURT[[#This Row],[Horizontal Offset]]/12</f>
        <v>0</v>
      </c>
      <c r="OH19" s="276">
        <f>IFERROR(1/Calculations_APPURT[[#This Row],[Brackets]],0) * cv_M/cv_F * Forces_APPURT[[#This Row],[Beta Fai 60]] * Calculations_APPURT[[#This Row],[Horizontal Offset]]/12</f>
        <v>0</v>
      </c>
      <c r="OI19" s="276">
        <f>IFERROR(1/Calculations_APPURT[[#This Row],[Brackets]],0) * cv_M/cv_F * Forces_APPURT[[#This Row],[Beta Fai 90]] * Calculations_APPURT[[#This Row],[Horizontal Offset]]/12</f>
        <v>0</v>
      </c>
      <c r="OJ19" s="276">
        <f>IFERROR(1/Calculations_APPURT[[#This Row],[Brackets]],0) * cv_M/cv_F * Forces_APPURT[[#This Row],[Beta Fai 120]] * Calculations_APPURT[[#This Row],[Horizontal Offset]]/12</f>
        <v>0</v>
      </c>
      <c r="OK19" s="276">
        <f>IFERROR(1/Calculations_APPURT[[#This Row],[Brackets]],0) * cv_M/cv_F * Forces_APPURT[[#This Row],[Beta Fai 135]] * Calculations_APPURT[[#This Row],[Horizontal Offset]]/12</f>
        <v>0</v>
      </c>
      <c r="OL19" s="276">
        <f>IFERROR(1/Calculations_APPURT[[#This Row],[Brackets]],0) * cv_M/cv_F * Forces_APPURT[[#This Row],[Beta Fai 150]] * Calculations_APPURT[[#This Row],[Horizontal Offset]]/12</f>
        <v>0</v>
      </c>
      <c r="OM19" s="276">
        <f>IFERROR(1/Calculations_APPURT[[#This Row],[Brackets]],0) * cv_M/cv_F * Forces_APPURT[[#This Row],[Beta Fai 180]] * Calculations_APPURT[[#This Row],[Horizontal Offset]]/12</f>
        <v>0</v>
      </c>
      <c r="ON19" s="276">
        <f>IFERROR(1/Calculations_APPURT[[#This Row],[Brackets]],0) * cv_M/cv_F * Forces_APPURT[[#This Row],[Beta Fai 210]] * Calculations_APPURT[[#This Row],[Horizontal Offset]]/12</f>
        <v>0</v>
      </c>
      <c r="OO19" s="276">
        <f>IFERROR(1/Calculations_APPURT[[#This Row],[Brackets]],0) * cv_M/cv_F * Forces_APPURT[[#This Row],[Beta Fai 225]] * Calculations_APPURT[[#This Row],[Horizontal Offset]]/12</f>
        <v>0</v>
      </c>
      <c r="OP19" s="276">
        <f>IFERROR(1/Calculations_APPURT[[#This Row],[Brackets]],0) * cv_M/cv_F * Forces_APPURT[[#This Row],[Beta Fai 240]] * Calculations_APPURT[[#This Row],[Horizontal Offset]]/12</f>
        <v>0</v>
      </c>
      <c r="OQ19" s="276">
        <f>IFERROR(1/Calculations_APPURT[[#This Row],[Brackets]],0) * cv_M/cv_F * Forces_APPURT[[#This Row],[Beta Fai 270]] * Calculations_APPURT[[#This Row],[Horizontal Offset]]/12</f>
        <v>0</v>
      </c>
      <c r="OR19" s="276">
        <f>IFERROR(1/Calculations_APPURT[[#This Row],[Brackets]],0) * cv_M/cv_F * Forces_APPURT[[#This Row],[Beta Fai 300]] * Calculations_APPURT[[#This Row],[Horizontal Offset]]/12</f>
        <v>0</v>
      </c>
      <c r="OS19" s="276">
        <f>IFERROR(1/Calculations_APPURT[[#This Row],[Brackets]],0) * cv_M/cv_F * Forces_APPURT[[#This Row],[Beta Fai 315]] * Calculations_APPURT[[#This Row],[Horizontal Offset]]/12</f>
        <v>0</v>
      </c>
      <c r="OT19" s="276">
        <f>IFERROR(1/Calculations_APPURT[[#This Row],[Brackets]],0) * cv_M/cv_F * Forces_APPURT[[#This Row],[Beta Fai 330]] * Calculations_APPURT[[#This Row],[Horizontal Offset]]/12</f>
        <v>0</v>
      </c>
      <c r="OU19" s="276">
        <f>IFERROR(1/Calculations_APPURT[[#This Row],[Brackets]],0) * cv_M/cv_F * Forces_APPURT[[#This Row],[Gamma Fai 0]] * Calculations_APPURT[[#This Row],[Horizontal Offset]]/12</f>
        <v>0</v>
      </c>
      <c r="OV19" s="276">
        <f>IFERROR(1/Calculations_APPURT[[#This Row],[Brackets]],0) * cv_M/cv_F * Forces_APPURT[[#This Row],[Gamma Fai 30]] * Calculations_APPURT[[#This Row],[Horizontal Offset]]/12</f>
        <v>0</v>
      </c>
      <c r="OW19" s="276">
        <f>IFERROR(1/Calculations_APPURT[[#This Row],[Brackets]],0) * cv_M/cv_F * Forces_APPURT[[#This Row],[Gamma Fai 45]] * Calculations_APPURT[[#This Row],[Horizontal Offset]]/12</f>
        <v>0</v>
      </c>
      <c r="OX19" s="276">
        <f>IFERROR(1/Calculations_APPURT[[#This Row],[Brackets]],0) * cv_M/cv_F * Forces_APPURT[[#This Row],[Gamma Fai 60]] * Calculations_APPURT[[#This Row],[Horizontal Offset]]/12</f>
        <v>0</v>
      </c>
      <c r="OY19" s="276">
        <f>IFERROR(1/Calculations_APPURT[[#This Row],[Brackets]],0) * cv_M/cv_F * Forces_APPURT[[#This Row],[Gamma Fai 90]] * Calculations_APPURT[[#This Row],[Horizontal Offset]]/12</f>
        <v>0</v>
      </c>
      <c r="OZ19" s="276">
        <f>IFERROR(1/Calculations_APPURT[[#This Row],[Brackets]],0) * cv_M/cv_F * Forces_APPURT[[#This Row],[Gamma Fai 120]] * Calculations_APPURT[[#This Row],[Horizontal Offset]]/12</f>
        <v>0</v>
      </c>
      <c r="PA19" s="276">
        <f>IFERROR(1/Calculations_APPURT[[#This Row],[Brackets]],0) * cv_M/cv_F * Forces_APPURT[[#This Row],[Gamma Fai 135]] * Calculations_APPURT[[#This Row],[Horizontal Offset]]/12</f>
        <v>0</v>
      </c>
      <c r="PB19" s="276">
        <f>IFERROR(1/Calculations_APPURT[[#This Row],[Brackets]],0) * cv_M/cv_F * Forces_APPURT[[#This Row],[Gamma Fai 150]] * Calculations_APPURT[[#This Row],[Horizontal Offset]]/12</f>
        <v>0</v>
      </c>
      <c r="PC19" s="276">
        <f>IFERROR(1/Calculations_APPURT[[#This Row],[Brackets]],0) * cv_M/cv_F * Forces_APPURT[[#This Row],[Gamma Fai 180]] * Calculations_APPURT[[#This Row],[Horizontal Offset]]/12</f>
        <v>0</v>
      </c>
      <c r="PD19" s="276">
        <f>IFERROR(1/Calculations_APPURT[[#This Row],[Brackets]],0) * cv_M/cv_F * Forces_APPURT[[#This Row],[Gamma Fai 210]] * Calculations_APPURT[[#This Row],[Horizontal Offset]]/12</f>
        <v>0</v>
      </c>
      <c r="PE19" s="276">
        <f>IFERROR(1/Calculations_APPURT[[#This Row],[Brackets]],0) * cv_M/cv_F * Forces_APPURT[[#This Row],[Gamma Fai 225]] * Calculations_APPURT[[#This Row],[Horizontal Offset]]/12</f>
        <v>0</v>
      </c>
      <c r="PF19" s="276">
        <f>IFERROR(1/Calculations_APPURT[[#This Row],[Brackets]],0) * cv_M/cv_F * Forces_APPURT[[#This Row],[Gamma Fai 240]] * Calculations_APPURT[[#This Row],[Horizontal Offset]]/12</f>
        <v>0</v>
      </c>
      <c r="PG19" s="276">
        <f>IFERROR(1/Calculations_APPURT[[#This Row],[Brackets]],0) * cv_M/cv_F * Forces_APPURT[[#This Row],[Gamma Fai 270]] * Calculations_APPURT[[#This Row],[Horizontal Offset]]/12</f>
        <v>0</v>
      </c>
      <c r="PH19" s="276">
        <f>IFERROR(1/Calculations_APPURT[[#This Row],[Brackets]],0) * cv_M/cv_F * Forces_APPURT[[#This Row],[Gamma Fai 300]] * Calculations_APPURT[[#This Row],[Horizontal Offset]]/12</f>
        <v>0</v>
      </c>
      <c r="PI19" s="276">
        <f>IFERROR(1/Calculations_APPURT[[#This Row],[Brackets]],0) * cv_M/cv_F * Forces_APPURT[[#This Row],[Gamma Fai 315]] * Calculations_APPURT[[#This Row],[Horizontal Offset]]/12</f>
        <v>0</v>
      </c>
      <c r="PJ19" s="276">
        <f>IFERROR(1/Calculations_APPURT[[#This Row],[Brackets]],0) * cv_M/cv_F * Forces_APPURT[[#This Row],[Gamma Fai 330]] * Calculations_APPURT[[#This Row],[Horizontal Offset]]/12</f>
        <v>0</v>
      </c>
      <c r="PK19" s="276">
        <f>IFERROR(1/Calculations_APPURT[[#This Row],[Brackets]],0) * cv_M/cv_F * Forces_APPURT[[#This Row],[Delta Fai 0]] * Calculations_APPURT[[#This Row],[Horizontal Offset]]/12</f>
        <v>0</v>
      </c>
      <c r="PL19" s="276">
        <f>IFERROR(1/Calculations_APPURT[[#This Row],[Brackets]],0) * cv_M/cv_F * Forces_APPURT[[#This Row],[Delta Fai 30]] * Calculations_APPURT[[#This Row],[Horizontal Offset]]/12</f>
        <v>0</v>
      </c>
      <c r="PM19" s="276">
        <f>IFERROR(1/Calculations_APPURT[[#This Row],[Brackets]],0) * cv_M/cv_F * Forces_APPURT[[#This Row],[Delta Fai 45]] * Calculations_APPURT[[#This Row],[Horizontal Offset]]/12</f>
        <v>0</v>
      </c>
      <c r="PN19" s="276">
        <f>IFERROR(1/Calculations_APPURT[[#This Row],[Brackets]],0) * cv_M/cv_F * Forces_APPURT[[#This Row],[Delta Fai 60]] * Calculations_APPURT[[#This Row],[Horizontal Offset]]/12</f>
        <v>0</v>
      </c>
      <c r="PO19" s="276">
        <f>IFERROR(1/Calculations_APPURT[[#This Row],[Brackets]],0) * cv_M/cv_F * Forces_APPURT[[#This Row],[Delta Fai 90]] * Calculations_APPURT[[#This Row],[Horizontal Offset]]/12</f>
        <v>0</v>
      </c>
      <c r="PP19" s="276">
        <f>IFERROR(1/Calculations_APPURT[[#This Row],[Brackets]],0) * cv_M/cv_F * Forces_APPURT[[#This Row],[Delta Fai 120]] * Calculations_APPURT[[#This Row],[Horizontal Offset]]/12</f>
        <v>0</v>
      </c>
      <c r="PQ19" s="276">
        <f>IFERROR(1/Calculations_APPURT[[#This Row],[Brackets]],0) * cv_M/cv_F * Forces_APPURT[[#This Row],[Delta Fai 135]] * Calculations_APPURT[[#This Row],[Horizontal Offset]]/12</f>
        <v>0</v>
      </c>
      <c r="PR19" s="276">
        <f>IFERROR(1/Calculations_APPURT[[#This Row],[Brackets]],0) * cv_M/cv_F * Forces_APPURT[[#This Row],[Delta Fai 150]] * Calculations_APPURT[[#This Row],[Horizontal Offset]]/12</f>
        <v>0</v>
      </c>
      <c r="PS19" s="276">
        <f>IFERROR(1/Calculations_APPURT[[#This Row],[Brackets]],0) * cv_M/cv_F * Forces_APPURT[[#This Row],[Delta Fai 180]] * Calculations_APPURT[[#This Row],[Horizontal Offset]]/12</f>
        <v>0</v>
      </c>
      <c r="PT19" s="276">
        <f>IFERROR(1/Calculations_APPURT[[#This Row],[Brackets]],0) * cv_M/cv_F * Forces_APPURT[[#This Row],[Delta Fai 210]] * Calculations_APPURT[[#This Row],[Horizontal Offset]]/12</f>
        <v>0</v>
      </c>
      <c r="PU19" s="276">
        <f>IFERROR(1/Calculations_APPURT[[#This Row],[Brackets]],0) * cv_M/cv_F * Forces_APPURT[[#This Row],[Delta Fai 225]] * Calculations_APPURT[[#This Row],[Horizontal Offset]]/12</f>
        <v>0</v>
      </c>
      <c r="PV19" s="276">
        <f>IFERROR(1/Calculations_APPURT[[#This Row],[Brackets]],0) * cv_M/cv_F * Forces_APPURT[[#This Row],[Delta Fai 240]] * Calculations_APPURT[[#This Row],[Horizontal Offset]]/12</f>
        <v>0</v>
      </c>
      <c r="PW19" s="276">
        <f>IFERROR(1/Calculations_APPURT[[#This Row],[Brackets]],0) * cv_M/cv_F * Forces_APPURT[[#This Row],[Delta Fai 270]] * Calculations_APPURT[[#This Row],[Horizontal Offset]]/12</f>
        <v>0</v>
      </c>
      <c r="PX19" s="276">
        <f>IFERROR(1/Calculations_APPURT[[#This Row],[Brackets]],0) * cv_M/cv_F * Forces_APPURT[[#This Row],[Delta Fai 300]] * Calculations_APPURT[[#This Row],[Horizontal Offset]]/12</f>
        <v>0</v>
      </c>
      <c r="PY19" s="276">
        <f>IFERROR(1/Calculations_APPURT[[#This Row],[Brackets]],0) * cv_M/cv_F * Forces_APPURT[[#This Row],[Delta Fai 315]] * Calculations_APPURT[[#This Row],[Horizontal Offset]]/12</f>
        <v>0</v>
      </c>
      <c r="PZ19" s="276">
        <f>IFERROR(1/Calculations_APPURT[[#This Row],[Brackets]],0) * cv_M/cv_F * Forces_APPURT[[#This Row],[Delta Fai 330]] * Calculations_APPURT[[#This Row],[Horizontal Offset]]/12</f>
        <v>0</v>
      </c>
      <c r="QA19" s="276">
        <f>IFERROR(1/Calculations_APPURT[[#This Row],[Brackets]],0) * cv_M/cv_F * Forces_APPURT[[#This Row],[Alpha Fa 0]] * Calculations_APPURT[[#This Row],[Lateral Offset]]/12</f>
        <v>0</v>
      </c>
      <c r="QB19" s="276">
        <f>IFERROR(1/Calculations_APPURT[[#This Row],[Brackets]],0) * cv_M/cv_F * Forces_APPURT[[#This Row],[Alpha Fa 30]] * Calculations_APPURT[[#This Row],[Lateral Offset]]/12</f>
        <v>0</v>
      </c>
      <c r="QC19" s="276">
        <f>IFERROR(1/Calculations_APPURT[[#This Row],[Brackets]],0) * cv_M/cv_F * Forces_APPURT[[#This Row],[Alpha Fa 45]] * Calculations_APPURT[[#This Row],[Lateral Offset]]/12</f>
        <v>0</v>
      </c>
      <c r="QD19" s="276">
        <f>IFERROR(1/Calculations_APPURT[[#This Row],[Brackets]],0) * cv_M/cv_F * Forces_APPURT[[#This Row],[Alpha Fa 60]] * Calculations_APPURT[[#This Row],[Lateral Offset]]/12</f>
        <v>0</v>
      </c>
      <c r="QE19" s="276">
        <f>IFERROR(1/Calculations_APPURT[[#This Row],[Brackets]],0) * cv_M/cv_F * Forces_APPURT[[#This Row],[Alpha Fa 90]] * Calculations_APPURT[[#This Row],[Lateral Offset]]/12</f>
        <v>0</v>
      </c>
      <c r="QF19" s="276">
        <f>IFERROR(1/Calculations_APPURT[[#This Row],[Brackets]],0) * cv_M/cv_F * Forces_APPURT[[#This Row],[Alpha Fa 120]] * Calculations_APPURT[[#This Row],[Lateral Offset]]/12</f>
        <v>0</v>
      </c>
      <c r="QG19" s="276">
        <f>IFERROR(1/Calculations_APPURT[[#This Row],[Brackets]],0) * cv_M/cv_F * Forces_APPURT[[#This Row],[Alpha Fa 135]] * Calculations_APPURT[[#This Row],[Lateral Offset]]/12</f>
        <v>0</v>
      </c>
      <c r="QH19" s="276">
        <f>IFERROR(1/Calculations_APPURT[[#This Row],[Brackets]],0) * cv_M/cv_F * Forces_APPURT[[#This Row],[Alpha Fa 150]] * Calculations_APPURT[[#This Row],[Lateral Offset]]/12</f>
        <v>0</v>
      </c>
      <c r="QI19" s="276">
        <f>IFERROR(1/Calculations_APPURT[[#This Row],[Brackets]],0) * cv_M/cv_F * Forces_APPURT[[#This Row],[Alpha Fa 180]] * Calculations_APPURT[[#This Row],[Lateral Offset]]/12</f>
        <v>0</v>
      </c>
      <c r="QJ19" s="276">
        <f>IFERROR(1/Calculations_APPURT[[#This Row],[Brackets]],0) * cv_M/cv_F * Forces_APPURT[[#This Row],[Alpha Fa 210]] * Calculations_APPURT[[#This Row],[Lateral Offset]]/12</f>
        <v>0</v>
      </c>
      <c r="QK19" s="276">
        <f>IFERROR(1/Calculations_APPURT[[#This Row],[Brackets]],0) * cv_M/cv_F * Forces_APPURT[[#This Row],[Alpha Fa 225]] * Calculations_APPURT[[#This Row],[Lateral Offset]]/12</f>
        <v>0</v>
      </c>
      <c r="QL19" s="276">
        <f>IFERROR(1/Calculations_APPURT[[#This Row],[Brackets]],0) * cv_M/cv_F * Forces_APPURT[[#This Row],[Alpha Fa 240]] * Calculations_APPURT[[#This Row],[Lateral Offset]]/12</f>
        <v>0</v>
      </c>
      <c r="QM19" s="276">
        <f>IFERROR(1/Calculations_APPURT[[#This Row],[Brackets]],0) * cv_M/cv_F * Forces_APPURT[[#This Row],[Alpha Fa 270]] * Calculations_APPURT[[#This Row],[Lateral Offset]]/12</f>
        <v>0</v>
      </c>
      <c r="QN19" s="276">
        <f>IFERROR(1/Calculations_APPURT[[#This Row],[Brackets]],0) * cv_M/cv_F * Forces_APPURT[[#This Row],[Alpha Fa 300]] * Calculations_APPURT[[#This Row],[Lateral Offset]]/12</f>
        <v>0</v>
      </c>
      <c r="QO19" s="276">
        <f>IFERROR(1/Calculations_APPURT[[#This Row],[Brackets]],0) * cv_M/cv_F * Forces_APPURT[[#This Row],[Alpha Fa 315]] * Calculations_APPURT[[#This Row],[Lateral Offset]]/12</f>
        <v>0</v>
      </c>
      <c r="QP19" s="276">
        <f>IFERROR(1/Calculations_APPURT[[#This Row],[Brackets]],0) * cv_M/cv_F * Forces_APPURT[[#This Row],[Alpha Fa 330]] * Calculations_APPURT[[#This Row],[Lateral Offset]]/12</f>
        <v>0</v>
      </c>
      <c r="QQ19" s="276">
        <f>IFERROR(1/Calculations_APPURT[[#This Row],[Brackets]],0) * cv_M/cv_F * Forces_APPURT[[#This Row],[Beta Fa 0]] * Calculations_APPURT[[#This Row],[Lateral Offset]]/12</f>
        <v>0</v>
      </c>
      <c r="QR19" s="276">
        <f>IFERROR(1/Calculations_APPURT[[#This Row],[Brackets]],0) * cv_M/cv_F * Forces_APPURT[[#This Row],[Beta Fa 30]] * Calculations_APPURT[[#This Row],[Lateral Offset]]/12</f>
        <v>0</v>
      </c>
      <c r="QS19" s="276">
        <f>IFERROR(1/Calculations_APPURT[[#This Row],[Brackets]],0) * cv_M/cv_F * Forces_APPURT[[#This Row],[Beta Fa 45]] * Calculations_APPURT[[#This Row],[Lateral Offset]]/12</f>
        <v>0</v>
      </c>
      <c r="QT19" s="276">
        <f>IFERROR(1/Calculations_APPURT[[#This Row],[Brackets]],0) * cv_M/cv_F * Forces_APPURT[[#This Row],[Beta Fa 60]] * Calculations_APPURT[[#This Row],[Lateral Offset]]/12</f>
        <v>0</v>
      </c>
      <c r="QU19" s="276">
        <f>IFERROR(1/Calculations_APPURT[[#This Row],[Brackets]],0) * cv_M/cv_F * Forces_APPURT[[#This Row],[Beta Fa 90]] * Calculations_APPURT[[#This Row],[Lateral Offset]]/12</f>
        <v>0</v>
      </c>
      <c r="QV19" s="276">
        <f>IFERROR(1/Calculations_APPURT[[#This Row],[Brackets]],0) * cv_M/cv_F * Forces_APPURT[[#This Row],[Beta Fa 120]] * Calculations_APPURT[[#This Row],[Lateral Offset]]/12</f>
        <v>0</v>
      </c>
      <c r="QW19" s="276">
        <f>IFERROR(1/Calculations_APPURT[[#This Row],[Brackets]],0) * cv_M/cv_F * Forces_APPURT[[#This Row],[Beta Fa 135]] * Calculations_APPURT[[#This Row],[Lateral Offset]]/12</f>
        <v>0</v>
      </c>
      <c r="QX19" s="276">
        <f>IFERROR(1/Calculations_APPURT[[#This Row],[Brackets]],0) * cv_M/cv_F * Forces_APPURT[[#This Row],[Beta Fa 150]] * Calculations_APPURT[[#This Row],[Lateral Offset]]/12</f>
        <v>0</v>
      </c>
      <c r="QY19" s="276">
        <f>IFERROR(1/Calculations_APPURT[[#This Row],[Brackets]],0) * cv_M/cv_F * Forces_APPURT[[#This Row],[Beta Fa 180]] * Calculations_APPURT[[#This Row],[Lateral Offset]]/12</f>
        <v>0</v>
      </c>
      <c r="QZ19" s="276">
        <f>IFERROR(1/Calculations_APPURT[[#This Row],[Brackets]],0) * cv_M/cv_F * Forces_APPURT[[#This Row],[Beta Fa 210]] * Calculations_APPURT[[#This Row],[Lateral Offset]]/12</f>
        <v>0</v>
      </c>
      <c r="RA19" s="276">
        <f>IFERROR(1/Calculations_APPURT[[#This Row],[Brackets]],0) * cv_M/cv_F * Forces_APPURT[[#This Row],[Beta Fa 225]] * Calculations_APPURT[[#This Row],[Lateral Offset]]/12</f>
        <v>0</v>
      </c>
      <c r="RB19" s="276">
        <f>IFERROR(1/Calculations_APPURT[[#This Row],[Brackets]],0) * cv_M/cv_F * Forces_APPURT[[#This Row],[Beta Fa 240]] * Calculations_APPURT[[#This Row],[Lateral Offset]]/12</f>
        <v>0</v>
      </c>
      <c r="RC19" s="276">
        <f>IFERROR(1/Calculations_APPURT[[#This Row],[Brackets]],0) * cv_M/cv_F * Forces_APPURT[[#This Row],[Beta Fa 270]] * Calculations_APPURT[[#This Row],[Lateral Offset]]/12</f>
        <v>0</v>
      </c>
      <c r="RD19" s="276">
        <f>IFERROR(1/Calculations_APPURT[[#This Row],[Brackets]],0) * cv_M/cv_F * Forces_APPURT[[#This Row],[Beta Fa 300]] * Calculations_APPURT[[#This Row],[Lateral Offset]]/12</f>
        <v>0</v>
      </c>
      <c r="RE19" s="276">
        <f>IFERROR(1/Calculations_APPURT[[#This Row],[Brackets]],0) * cv_M/cv_F * Forces_APPURT[[#This Row],[Beta Fa 315]] * Calculations_APPURT[[#This Row],[Lateral Offset]]/12</f>
        <v>0</v>
      </c>
      <c r="RF19" s="276">
        <f>IFERROR(1/Calculations_APPURT[[#This Row],[Brackets]],0) * cv_M/cv_F * Forces_APPURT[[#This Row],[Beta Fa 330]] * Calculations_APPURT[[#This Row],[Lateral Offset]]/12</f>
        <v>0</v>
      </c>
      <c r="RG19" s="276">
        <f>IFERROR(1/Calculations_APPURT[[#This Row],[Brackets]],0) * cv_M/cv_F * Forces_APPURT[[#This Row],[Gamma Fa 0]] * Calculations_APPURT[[#This Row],[Lateral Offset]]/12</f>
        <v>0</v>
      </c>
      <c r="RH19" s="276">
        <f>IFERROR(1/Calculations_APPURT[[#This Row],[Brackets]],0) * cv_M/cv_F * Forces_APPURT[[#This Row],[Gamma Fa 30]] * Calculations_APPURT[[#This Row],[Lateral Offset]]/12</f>
        <v>0</v>
      </c>
      <c r="RI19" s="276">
        <f>IFERROR(1/Calculations_APPURT[[#This Row],[Brackets]],0) * cv_M/cv_F * Forces_APPURT[[#This Row],[Gamma Fa 45]] * Calculations_APPURT[[#This Row],[Lateral Offset]]/12</f>
        <v>0</v>
      </c>
      <c r="RJ19" s="276">
        <f>IFERROR(1/Calculations_APPURT[[#This Row],[Brackets]],0) * cv_M/cv_F * Forces_APPURT[[#This Row],[Gamma Fa 60]] * Calculations_APPURT[[#This Row],[Lateral Offset]]/12</f>
        <v>0</v>
      </c>
      <c r="RK19" s="276">
        <f>IFERROR(1/Calculations_APPURT[[#This Row],[Brackets]],0) * cv_M/cv_F * Forces_APPURT[[#This Row],[Gamma Fa 90]] * Calculations_APPURT[[#This Row],[Lateral Offset]]/12</f>
        <v>0</v>
      </c>
      <c r="RL19" s="276">
        <f>IFERROR(1/Calculations_APPURT[[#This Row],[Brackets]],0) * cv_M/cv_F * Forces_APPURT[[#This Row],[Gamma Fa 120]] * Calculations_APPURT[[#This Row],[Lateral Offset]]/12</f>
        <v>0</v>
      </c>
      <c r="RM19" s="276">
        <f>IFERROR(1/Calculations_APPURT[[#This Row],[Brackets]],0) * cv_M/cv_F * Forces_APPURT[[#This Row],[Gamma Fa 135]] * Calculations_APPURT[[#This Row],[Lateral Offset]]/12</f>
        <v>0</v>
      </c>
      <c r="RN19" s="276">
        <f>IFERROR(1/Calculations_APPURT[[#This Row],[Brackets]],0) * cv_M/cv_F * Forces_APPURT[[#This Row],[Gamma Fa 150]] * Calculations_APPURT[[#This Row],[Lateral Offset]]/12</f>
        <v>0</v>
      </c>
      <c r="RO19" s="276">
        <f>IFERROR(1/Calculations_APPURT[[#This Row],[Brackets]],0) * cv_M/cv_F * Forces_APPURT[[#This Row],[Gamma Fa 180]] * Calculations_APPURT[[#This Row],[Lateral Offset]]/12</f>
        <v>0</v>
      </c>
      <c r="RP19" s="276">
        <f>IFERROR(1/Calculations_APPURT[[#This Row],[Brackets]],0) * cv_M/cv_F * Forces_APPURT[[#This Row],[Gamma Fa 210]] * Calculations_APPURT[[#This Row],[Lateral Offset]]/12</f>
        <v>0</v>
      </c>
      <c r="RQ19" s="276">
        <f>IFERROR(1/Calculations_APPURT[[#This Row],[Brackets]],0) * cv_M/cv_F * Forces_APPURT[[#This Row],[Gamma Fa 225]] * Calculations_APPURT[[#This Row],[Lateral Offset]]/12</f>
        <v>0</v>
      </c>
      <c r="RR19" s="276">
        <f>IFERROR(1/Calculations_APPURT[[#This Row],[Brackets]],0) * cv_M/cv_F * Forces_APPURT[[#This Row],[Gamma Fa 240]] * Calculations_APPURT[[#This Row],[Lateral Offset]]/12</f>
        <v>0</v>
      </c>
      <c r="RS19" s="276">
        <f>IFERROR(1/Calculations_APPURT[[#This Row],[Brackets]],0) * cv_M/cv_F * Forces_APPURT[[#This Row],[Gamma Fa 270]] * Calculations_APPURT[[#This Row],[Lateral Offset]]/12</f>
        <v>0</v>
      </c>
      <c r="RT19" s="276">
        <f>IFERROR(1/Calculations_APPURT[[#This Row],[Brackets]],0) * cv_M/cv_F * Forces_APPURT[[#This Row],[Gamma Fa 300]] * Calculations_APPURT[[#This Row],[Lateral Offset]]/12</f>
        <v>0</v>
      </c>
      <c r="RU19" s="276">
        <f>IFERROR(1/Calculations_APPURT[[#This Row],[Brackets]],0) * cv_M/cv_F * Forces_APPURT[[#This Row],[Gamma Fa 315]] * Calculations_APPURT[[#This Row],[Lateral Offset]]/12</f>
        <v>0</v>
      </c>
      <c r="RV19" s="276">
        <f>IFERROR(1/Calculations_APPURT[[#This Row],[Brackets]],0) * cv_M/cv_F * Forces_APPURT[[#This Row],[Gamma Fa 330]] * Calculations_APPURT[[#This Row],[Lateral Offset]]/12</f>
        <v>0</v>
      </c>
      <c r="RW19" s="276">
        <f>IFERROR(1/Calculations_APPURT[[#This Row],[Brackets]],0) * cv_M/cv_F * Forces_APPURT[[#This Row],[Delta Fa 0]] * Calculations_APPURT[[#This Row],[Lateral Offset]]/12</f>
        <v>0</v>
      </c>
      <c r="RX19" s="276">
        <f>IFERROR(1/Calculations_APPURT[[#This Row],[Brackets]],0) * cv_M/cv_F * Forces_APPURT[[#This Row],[Delta Fa 30]] * Calculations_APPURT[[#This Row],[Lateral Offset]]/12</f>
        <v>0</v>
      </c>
      <c r="RY19" s="276">
        <f>IFERROR(1/Calculations_APPURT[[#This Row],[Brackets]],0) * cv_M/cv_F * Forces_APPURT[[#This Row],[Delta Fa 45]] * Calculations_APPURT[[#This Row],[Lateral Offset]]/12</f>
        <v>0</v>
      </c>
      <c r="RZ19" s="276">
        <f>IFERROR(1/Calculations_APPURT[[#This Row],[Brackets]],0) * cv_M/cv_F * Forces_APPURT[[#This Row],[Delta Fa 60]] * Calculations_APPURT[[#This Row],[Lateral Offset]]/12</f>
        <v>0</v>
      </c>
      <c r="SA19" s="276">
        <f>IFERROR(1/Calculations_APPURT[[#This Row],[Brackets]],0) * cv_M/cv_F * Forces_APPURT[[#This Row],[Delta Fa 90]] * Calculations_APPURT[[#This Row],[Lateral Offset]]/12</f>
        <v>0</v>
      </c>
      <c r="SB19" s="276">
        <f>IFERROR(1/Calculations_APPURT[[#This Row],[Brackets]],0) * cv_M/cv_F * Forces_APPURT[[#This Row],[Delta Fa 120]] * Calculations_APPURT[[#This Row],[Lateral Offset]]/12</f>
        <v>0</v>
      </c>
      <c r="SC19" s="276">
        <f>IFERROR(1/Calculations_APPURT[[#This Row],[Brackets]],0) * cv_M/cv_F * Forces_APPURT[[#This Row],[Delta Fa 135]] * Calculations_APPURT[[#This Row],[Lateral Offset]]/12</f>
        <v>0</v>
      </c>
      <c r="SD19" s="276">
        <f>IFERROR(1/Calculations_APPURT[[#This Row],[Brackets]],0) * cv_M/cv_F * Forces_APPURT[[#This Row],[Delta Fa 150]] * Calculations_APPURT[[#This Row],[Lateral Offset]]/12</f>
        <v>0</v>
      </c>
      <c r="SE19" s="276">
        <f>IFERROR(1/Calculations_APPURT[[#This Row],[Brackets]],0) * cv_M/cv_F * Forces_APPURT[[#This Row],[Delta Fa 180]] * Calculations_APPURT[[#This Row],[Lateral Offset]]/12</f>
        <v>0</v>
      </c>
      <c r="SF19" s="276">
        <f>IFERROR(1/Calculations_APPURT[[#This Row],[Brackets]],0) * cv_M/cv_F * Forces_APPURT[[#This Row],[Delta Fa 210]] * Calculations_APPURT[[#This Row],[Lateral Offset]]/12</f>
        <v>0</v>
      </c>
      <c r="SG19" s="276">
        <f>IFERROR(1/Calculations_APPURT[[#This Row],[Brackets]],0) * cv_M/cv_F * Forces_APPURT[[#This Row],[Delta Fa 225]] * Calculations_APPURT[[#This Row],[Lateral Offset]]/12</f>
        <v>0</v>
      </c>
      <c r="SH19" s="276">
        <f>IFERROR(1/Calculations_APPURT[[#This Row],[Brackets]],0) * cv_M/cv_F * Forces_APPURT[[#This Row],[Delta Fa 240]] * Calculations_APPURT[[#This Row],[Lateral Offset]]/12</f>
        <v>0</v>
      </c>
      <c r="SI19" s="276">
        <f>IFERROR(1/Calculations_APPURT[[#This Row],[Brackets]],0) * cv_M/cv_F * Forces_APPURT[[#This Row],[Delta Fa 270]] * Calculations_APPURT[[#This Row],[Lateral Offset]]/12</f>
        <v>0</v>
      </c>
      <c r="SJ19" s="276">
        <f>IFERROR(1/Calculations_APPURT[[#This Row],[Brackets]],0) * cv_M/cv_F * Forces_APPURT[[#This Row],[Delta Fa 300]] * Calculations_APPURT[[#This Row],[Lateral Offset]]/12</f>
        <v>0</v>
      </c>
      <c r="SK19" s="276">
        <f>IFERROR(1/Calculations_APPURT[[#This Row],[Brackets]],0) * cv_M/cv_F * Forces_APPURT[[#This Row],[Delta Fa 315]] * Calculations_APPURT[[#This Row],[Lateral Offset]]/12</f>
        <v>0</v>
      </c>
      <c r="SL19" s="276">
        <f>IFERROR(1/Calculations_APPURT[[#This Row],[Brackets]],0) * cv_M/cv_F * Forces_APPURT[[#This Row],[Delta Fa 330]] * Calculations_APPURT[[#This Row],[Lateral Offset]]/12</f>
        <v>0</v>
      </c>
      <c r="SM19" s="276">
        <f>IFERROR(1/Calculations_APPURT[[#This Row],[Brackets]],0) * cv_M/cv_F * Forces_APPURT[[#This Row],[Alpha Fai 0]] * Calculations_APPURT[[#This Row],[Lateral Offset]]/12</f>
        <v>0</v>
      </c>
      <c r="SN19" s="276">
        <f>IFERROR(1/Calculations_APPURT[[#This Row],[Brackets]],0) * cv_M/cv_F * Forces_APPURT[[#This Row],[Alpha Fai 30]] * Calculations_APPURT[[#This Row],[Lateral Offset]]/12</f>
        <v>0</v>
      </c>
      <c r="SO19" s="276">
        <f>IFERROR(1/Calculations_APPURT[[#This Row],[Brackets]],0) * cv_M/cv_F * Forces_APPURT[[#This Row],[Alpha Fai 45]] * Calculations_APPURT[[#This Row],[Lateral Offset]]/12</f>
        <v>0</v>
      </c>
      <c r="SP19" s="276">
        <f>IFERROR(1/Calculations_APPURT[[#This Row],[Brackets]],0) * cv_M/cv_F * Forces_APPURT[[#This Row],[Alpha Fai 60]] * Calculations_APPURT[[#This Row],[Lateral Offset]]/12</f>
        <v>0</v>
      </c>
      <c r="SQ19" s="276">
        <f>IFERROR(1/Calculations_APPURT[[#This Row],[Brackets]],0) * cv_M/cv_F * Forces_APPURT[[#This Row],[Alpha Fai 90]] * Calculations_APPURT[[#This Row],[Lateral Offset]]/12</f>
        <v>0</v>
      </c>
      <c r="SR19" s="276">
        <f>IFERROR(1/Calculations_APPURT[[#This Row],[Brackets]],0) * cv_M/cv_F * Forces_APPURT[[#This Row],[Alpha Fai 120]] * Calculations_APPURT[[#This Row],[Lateral Offset]]/12</f>
        <v>0</v>
      </c>
      <c r="SS19" s="276">
        <f>IFERROR(1/Calculations_APPURT[[#This Row],[Brackets]],0) * cv_M/cv_F * Forces_APPURT[[#This Row],[Alpha Fai 135]] * Calculations_APPURT[[#This Row],[Lateral Offset]]/12</f>
        <v>0</v>
      </c>
      <c r="ST19" s="276">
        <f>IFERROR(1/Calculations_APPURT[[#This Row],[Brackets]],0) * cv_M/cv_F * Forces_APPURT[[#This Row],[Alpha Fai 150]] * Calculations_APPURT[[#This Row],[Lateral Offset]]/12</f>
        <v>0</v>
      </c>
      <c r="SU19" s="276">
        <f>IFERROR(1/Calculations_APPURT[[#This Row],[Brackets]],0) * cv_M/cv_F * Forces_APPURT[[#This Row],[Alpha Fai 180]] * Calculations_APPURT[[#This Row],[Lateral Offset]]/12</f>
        <v>0</v>
      </c>
      <c r="SV19" s="276">
        <f>IFERROR(1/Calculations_APPURT[[#This Row],[Brackets]],0) * cv_M/cv_F * Forces_APPURT[[#This Row],[Alpha Fai 210]] * Calculations_APPURT[[#This Row],[Lateral Offset]]/12</f>
        <v>0</v>
      </c>
      <c r="SW19" s="276">
        <f>IFERROR(1/Calculations_APPURT[[#This Row],[Brackets]],0) * cv_M/cv_F * Forces_APPURT[[#This Row],[Alpha Fai 225]] * Calculations_APPURT[[#This Row],[Lateral Offset]]/12</f>
        <v>0</v>
      </c>
      <c r="SX19" s="276">
        <f>IFERROR(1/Calculations_APPURT[[#This Row],[Brackets]],0) * cv_M/cv_F * Forces_APPURT[[#This Row],[Alpha Fai 240]] * Calculations_APPURT[[#This Row],[Lateral Offset]]/12</f>
        <v>0</v>
      </c>
      <c r="SY19" s="276">
        <f>IFERROR(1/Calculations_APPURT[[#This Row],[Brackets]],0) * cv_M/cv_F * Forces_APPURT[[#This Row],[Alpha Fai 270]] * Calculations_APPURT[[#This Row],[Lateral Offset]]/12</f>
        <v>0</v>
      </c>
      <c r="SZ19" s="276">
        <f>IFERROR(1/Calculations_APPURT[[#This Row],[Brackets]],0) * cv_M/cv_F * Forces_APPURT[[#This Row],[Alpha Fai 300]] * Calculations_APPURT[[#This Row],[Lateral Offset]]/12</f>
        <v>0</v>
      </c>
      <c r="TA19" s="276">
        <f>IFERROR(1/Calculations_APPURT[[#This Row],[Brackets]],0) * cv_M/cv_F * Forces_APPURT[[#This Row],[Alpha Fai 315]] * Calculations_APPURT[[#This Row],[Lateral Offset]]/12</f>
        <v>0</v>
      </c>
      <c r="TB19" s="276">
        <f>IFERROR(1/Calculations_APPURT[[#This Row],[Brackets]],0) * cv_M/cv_F * Forces_APPURT[[#This Row],[Alpha Fai 330]] * Calculations_APPURT[[#This Row],[Lateral Offset]]/12</f>
        <v>0</v>
      </c>
      <c r="TC19" s="276">
        <f>IFERROR(1/Calculations_APPURT[[#This Row],[Brackets]],0) * cv_M/cv_F * Forces_APPURT[[#This Row],[Beta Fai 0]] * Calculations_APPURT[[#This Row],[Lateral Offset]]/12</f>
        <v>0</v>
      </c>
      <c r="TD19" s="276">
        <f>IFERROR(1/Calculations_APPURT[[#This Row],[Brackets]],0) * cv_M/cv_F * Forces_APPURT[[#This Row],[Beta Fai 30]] * Calculations_APPURT[[#This Row],[Lateral Offset]]/12</f>
        <v>0</v>
      </c>
      <c r="TE19" s="276">
        <f>IFERROR(1/Calculations_APPURT[[#This Row],[Brackets]],0) * cv_M/cv_F * Forces_APPURT[[#This Row],[Beta Fai 45]] * Calculations_APPURT[[#This Row],[Lateral Offset]]/12</f>
        <v>0</v>
      </c>
      <c r="TF19" s="276">
        <f>IFERROR(1/Calculations_APPURT[[#This Row],[Brackets]],0) * cv_M/cv_F * Forces_APPURT[[#This Row],[Beta Fai 60]] * Calculations_APPURT[[#This Row],[Lateral Offset]]/12</f>
        <v>0</v>
      </c>
      <c r="TG19" s="276">
        <f>IFERROR(1/Calculations_APPURT[[#This Row],[Brackets]],0) * cv_M/cv_F * Forces_APPURT[[#This Row],[Beta Fai 90]] * Calculations_APPURT[[#This Row],[Lateral Offset]]/12</f>
        <v>0</v>
      </c>
      <c r="TH19" s="276">
        <f>IFERROR(1/Calculations_APPURT[[#This Row],[Brackets]],0) * cv_M/cv_F * Forces_APPURT[[#This Row],[Beta Fai 120]] * Calculations_APPURT[[#This Row],[Lateral Offset]]/12</f>
        <v>0</v>
      </c>
      <c r="TI19" s="276">
        <f>IFERROR(1/Calculations_APPURT[[#This Row],[Brackets]],0) * cv_M/cv_F * Forces_APPURT[[#This Row],[Beta Fai 135]] * Calculations_APPURT[[#This Row],[Lateral Offset]]/12</f>
        <v>0</v>
      </c>
      <c r="TJ19" s="276">
        <f>IFERROR(1/Calculations_APPURT[[#This Row],[Brackets]],0) * cv_M/cv_F * Forces_APPURT[[#This Row],[Beta Fai 150]] * Calculations_APPURT[[#This Row],[Lateral Offset]]/12</f>
        <v>0</v>
      </c>
      <c r="TK19" s="276">
        <f>IFERROR(1/Calculations_APPURT[[#This Row],[Brackets]],0) * cv_M/cv_F * Forces_APPURT[[#This Row],[Beta Fai 180]] * Calculations_APPURT[[#This Row],[Lateral Offset]]/12</f>
        <v>0</v>
      </c>
      <c r="TL19" s="276">
        <f>IFERROR(1/Calculations_APPURT[[#This Row],[Brackets]],0) * cv_M/cv_F * Forces_APPURT[[#This Row],[Beta Fai 210]] * Calculations_APPURT[[#This Row],[Lateral Offset]]/12</f>
        <v>0</v>
      </c>
      <c r="TM19" s="276">
        <f>IFERROR(1/Calculations_APPURT[[#This Row],[Brackets]],0) * cv_M/cv_F * Forces_APPURT[[#This Row],[Beta Fai 225]] * Calculations_APPURT[[#This Row],[Lateral Offset]]/12</f>
        <v>0</v>
      </c>
      <c r="TN19" s="276">
        <f>IFERROR(1/Calculations_APPURT[[#This Row],[Brackets]],0) * cv_M/cv_F * Forces_APPURT[[#This Row],[Beta Fai 240]] * Calculations_APPURT[[#This Row],[Lateral Offset]]/12</f>
        <v>0</v>
      </c>
      <c r="TO19" s="276">
        <f>IFERROR(1/Calculations_APPURT[[#This Row],[Brackets]],0) * cv_M/cv_F * Forces_APPURT[[#This Row],[Beta Fai 270]] * Calculations_APPURT[[#This Row],[Lateral Offset]]/12</f>
        <v>0</v>
      </c>
      <c r="TP19" s="276">
        <f>IFERROR(1/Calculations_APPURT[[#This Row],[Brackets]],0) * cv_M/cv_F * Forces_APPURT[[#This Row],[Beta Fai 300]] * Calculations_APPURT[[#This Row],[Lateral Offset]]/12</f>
        <v>0</v>
      </c>
      <c r="TQ19" s="276">
        <f>IFERROR(1/Calculations_APPURT[[#This Row],[Brackets]],0) * cv_M/cv_F * Forces_APPURT[[#This Row],[Beta Fai 315]] * Calculations_APPURT[[#This Row],[Lateral Offset]]/12</f>
        <v>0</v>
      </c>
      <c r="TR19" s="276">
        <f>IFERROR(1/Calculations_APPURT[[#This Row],[Brackets]],0) * cv_M/cv_F * Forces_APPURT[[#This Row],[Beta Fai 330]] * Calculations_APPURT[[#This Row],[Lateral Offset]]/12</f>
        <v>0</v>
      </c>
      <c r="TS19" s="276">
        <f>IFERROR(1/Calculations_APPURT[[#This Row],[Brackets]],0) * cv_M/cv_F * Forces_APPURT[[#This Row],[Gamma Fai 0]] * Calculations_APPURT[[#This Row],[Lateral Offset]]/12</f>
        <v>0</v>
      </c>
      <c r="TT19" s="276">
        <f>IFERROR(1/Calculations_APPURT[[#This Row],[Brackets]],0) * cv_M/cv_F * Forces_APPURT[[#This Row],[Gamma Fai 30]] * Calculations_APPURT[[#This Row],[Lateral Offset]]/12</f>
        <v>0</v>
      </c>
      <c r="TU19" s="276">
        <f>IFERROR(1/Calculations_APPURT[[#This Row],[Brackets]],0) * cv_M/cv_F * Forces_APPURT[[#This Row],[Gamma Fai 45]] * Calculations_APPURT[[#This Row],[Lateral Offset]]/12</f>
        <v>0</v>
      </c>
      <c r="TV19" s="276">
        <f>IFERROR(1/Calculations_APPURT[[#This Row],[Brackets]],0) * cv_M/cv_F * Forces_APPURT[[#This Row],[Gamma Fai 60]] * Calculations_APPURT[[#This Row],[Lateral Offset]]/12</f>
        <v>0</v>
      </c>
      <c r="TW19" s="276">
        <f>IFERROR(1/Calculations_APPURT[[#This Row],[Brackets]],0) * cv_M/cv_F * Forces_APPURT[[#This Row],[Gamma Fai 90]] * Calculations_APPURT[[#This Row],[Lateral Offset]]/12</f>
        <v>0</v>
      </c>
      <c r="TX19" s="276">
        <f>IFERROR(1/Calculations_APPURT[[#This Row],[Brackets]],0) * cv_M/cv_F * Forces_APPURT[[#This Row],[Gamma Fai 120]] * Calculations_APPURT[[#This Row],[Lateral Offset]]/12</f>
        <v>0</v>
      </c>
      <c r="TY19" s="276">
        <f>IFERROR(1/Calculations_APPURT[[#This Row],[Brackets]],0) * cv_M/cv_F * Forces_APPURT[[#This Row],[Gamma Fai 135]] * Calculations_APPURT[[#This Row],[Lateral Offset]]/12</f>
        <v>0</v>
      </c>
      <c r="TZ19" s="276">
        <f>IFERROR(1/Calculations_APPURT[[#This Row],[Brackets]],0) * cv_M/cv_F * Forces_APPURT[[#This Row],[Gamma Fai 150]] * Calculations_APPURT[[#This Row],[Lateral Offset]]/12</f>
        <v>0</v>
      </c>
      <c r="UA19" s="276">
        <f>IFERROR(1/Calculations_APPURT[[#This Row],[Brackets]],0) * cv_M/cv_F * Forces_APPURT[[#This Row],[Gamma Fai 180]] * Calculations_APPURT[[#This Row],[Lateral Offset]]/12</f>
        <v>0</v>
      </c>
      <c r="UB19" s="276">
        <f>IFERROR(1/Calculations_APPURT[[#This Row],[Brackets]],0) * cv_M/cv_F * Forces_APPURT[[#This Row],[Gamma Fai 210]] * Calculations_APPURT[[#This Row],[Lateral Offset]]/12</f>
        <v>0</v>
      </c>
      <c r="UC19" s="276">
        <f>IFERROR(1/Calculations_APPURT[[#This Row],[Brackets]],0) * cv_M/cv_F * Forces_APPURT[[#This Row],[Gamma Fai 225]] * Calculations_APPURT[[#This Row],[Lateral Offset]]/12</f>
        <v>0</v>
      </c>
      <c r="UD19" s="276">
        <f>IFERROR(1/Calculations_APPURT[[#This Row],[Brackets]],0) * cv_M/cv_F * Forces_APPURT[[#This Row],[Gamma Fai 240]] * Calculations_APPURT[[#This Row],[Lateral Offset]]/12</f>
        <v>0</v>
      </c>
      <c r="UE19" s="276">
        <f>IFERROR(1/Calculations_APPURT[[#This Row],[Brackets]],0) * cv_M/cv_F * Forces_APPURT[[#This Row],[Gamma Fai 270]] * Calculations_APPURT[[#This Row],[Lateral Offset]]/12</f>
        <v>0</v>
      </c>
      <c r="UF19" s="276">
        <f>IFERROR(1/Calculations_APPURT[[#This Row],[Brackets]],0) * cv_M/cv_F * Forces_APPURT[[#This Row],[Gamma Fai 300]] * Calculations_APPURT[[#This Row],[Lateral Offset]]/12</f>
        <v>0</v>
      </c>
      <c r="UG19" s="276">
        <f>IFERROR(1/Calculations_APPURT[[#This Row],[Brackets]],0) * cv_M/cv_F * Forces_APPURT[[#This Row],[Gamma Fai 315]] * Calculations_APPURT[[#This Row],[Lateral Offset]]/12</f>
        <v>0</v>
      </c>
      <c r="UH19" s="276">
        <f>IFERROR(1/Calculations_APPURT[[#This Row],[Brackets]],0) * cv_M/cv_F * Forces_APPURT[[#This Row],[Gamma Fai 330]] * Calculations_APPURT[[#This Row],[Lateral Offset]]/12</f>
        <v>0</v>
      </c>
      <c r="UI19" s="276">
        <f>IFERROR(1/Calculations_APPURT[[#This Row],[Brackets]],0) * cv_M/cv_F * Forces_APPURT[[#This Row],[Delta Fai 0]] * Calculations_APPURT[[#This Row],[Lateral Offset]]/12</f>
        <v>0</v>
      </c>
      <c r="UJ19" s="276">
        <f>IFERROR(1/Calculations_APPURT[[#This Row],[Brackets]],0) * cv_M/cv_F * Forces_APPURT[[#This Row],[Delta Fai 30]] * Calculations_APPURT[[#This Row],[Lateral Offset]]/12</f>
        <v>0</v>
      </c>
      <c r="UK19" s="276">
        <f>IFERROR(1/Calculations_APPURT[[#This Row],[Brackets]],0) * cv_M/cv_F * Forces_APPURT[[#This Row],[Delta Fai 45]] * Calculations_APPURT[[#This Row],[Lateral Offset]]/12</f>
        <v>0</v>
      </c>
      <c r="UL19" s="276">
        <f>IFERROR(1/Calculations_APPURT[[#This Row],[Brackets]],0) * cv_M/cv_F * Forces_APPURT[[#This Row],[Delta Fai 60]] * Calculations_APPURT[[#This Row],[Lateral Offset]]/12</f>
        <v>0</v>
      </c>
      <c r="UM19" s="276">
        <f>IFERROR(1/Calculations_APPURT[[#This Row],[Brackets]],0) * cv_M/cv_F * Forces_APPURT[[#This Row],[Delta Fai 90]] * Calculations_APPURT[[#This Row],[Lateral Offset]]/12</f>
        <v>0</v>
      </c>
      <c r="UN19" s="276">
        <f>IFERROR(1/Calculations_APPURT[[#This Row],[Brackets]],0) * cv_M/cv_F * Forces_APPURT[[#This Row],[Delta Fai 120]] * Calculations_APPURT[[#This Row],[Lateral Offset]]/12</f>
        <v>0</v>
      </c>
      <c r="UO19" s="276">
        <f>IFERROR(1/Calculations_APPURT[[#This Row],[Brackets]],0) * cv_M/cv_F * Forces_APPURT[[#This Row],[Delta Fai 135]] * Calculations_APPURT[[#This Row],[Lateral Offset]]/12</f>
        <v>0</v>
      </c>
      <c r="UP19" s="276">
        <f>IFERROR(1/Calculations_APPURT[[#This Row],[Brackets]],0) * cv_M/cv_F * Forces_APPURT[[#This Row],[Delta Fai 150]] * Calculations_APPURT[[#This Row],[Lateral Offset]]/12</f>
        <v>0</v>
      </c>
      <c r="UQ19" s="276">
        <f>IFERROR(1/Calculations_APPURT[[#This Row],[Brackets]],0) * cv_M/cv_F * Forces_APPURT[[#This Row],[Delta Fai 180]] * Calculations_APPURT[[#This Row],[Lateral Offset]]/12</f>
        <v>0</v>
      </c>
      <c r="UR19" s="276">
        <f>IFERROR(1/Calculations_APPURT[[#This Row],[Brackets]],0) * cv_M/cv_F * Forces_APPURT[[#This Row],[Delta Fai 210]] * Calculations_APPURT[[#This Row],[Lateral Offset]]/12</f>
        <v>0</v>
      </c>
      <c r="US19" s="276">
        <f>IFERROR(1/Calculations_APPURT[[#This Row],[Brackets]],0) * cv_M/cv_F * Forces_APPURT[[#This Row],[Delta Fai 225]] * Calculations_APPURT[[#This Row],[Lateral Offset]]/12</f>
        <v>0</v>
      </c>
      <c r="UT19" s="276">
        <f>IFERROR(1/Calculations_APPURT[[#This Row],[Brackets]],0) * cv_M/cv_F * Forces_APPURT[[#This Row],[Delta Fai 240]] * Calculations_APPURT[[#This Row],[Lateral Offset]]/12</f>
        <v>0</v>
      </c>
      <c r="UU19" s="276">
        <f>IFERROR(1/Calculations_APPURT[[#This Row],[Brackets]],0) * cv_M/cv_F * Forces_APPURT[[#This Row],[Delta Fai 270]] * Calculations_APPURT[[#This Row],[Lateral Offset]]/12</f>
        <v>0</v>
      </c>
      <c r="UV19" s="276">
        <f>IFERROR(1/Calculations_APPURT[[#This Row],[Brackets]],0) * cv_M/cv_F * Forces_APPURT[[#This Row],[Delta Fai 300]] * Calculations_APPURT[[#This Row],[Lateral Offset]]/12</f>
        <v>0</v>
      </c>
      <c r="UW19" s="276">
        <f>IFERROR(1/Calculations_APPURT[[#This Row],[Brackets]],0) * cv_M/cv_F * Forces_APPURT[[#This Row],[Delta Fai 315]] * Calculations_APPURT[[#This Row],[Lateral Offset]]/12</f>
        <v>0</v>
      </c>
      <c r="UX19" s="276">
        <f>IFERROR(1/Calculations_APPURT[[#This Row],[Brackets]],0) * cv_M/cv_F * Forces_APPURT[[#This Row],[Delta Fai 330]] * Calculations_APPURT[[#This Row],[Lateral Offset]]/12</f>
        <v>0</v>
      </c>
      <c r="UY19" s="276">
        <f>Dimensions_APPURT[[#This Row],[Weight (lbf)]] * cv_F * AlphaSector[[#This Row],[Quantity]]</f>
        <v>0</v>
      </c>
      <c r="UZ19" s="276">
        <f>Dimensions_APPURT[[#This Row],[Weight (lbf)]] * cv_F * BetaSector[[#This Row],[Quantity]]</f>
        <v>0</v>
      </c>
      <c r="VA19" s="276">
        <f>Dimensions_APPURT[[#This Row],[Weight (lbf)]] * cv_F * GammaSector[[#This Row],[Quantity]]</f>
        <v>0</v>
      </c>
      <c r="VB19" s="276">
        <f>Dimensions_APPURT[[#This Row],[Weight (lbf)]] * cv_F * DeltaSector[[#This Row],[Quantity]]</f>
        <v>0</v>
      </c>
      <c r="VC19" s="209">
        <f>Dimensions_APPURT[[#This Row],[Weight (lbf)]] * cv_M * AlphaSector[[#This Row],[Quantity]] * Calculations_APPURT[[#This Row],[Horizontal Offset]]/12</f>
        <v>0</v>
      </c>
      <c r="VD19" s="209">
        <f>Dimensions_APPURT[[#This Row],[Weight (lbf)]] * cv_M * BetaSector[[#This Row],[Quantity]] * Calculations_APPURT[[#This Row],[Horizontal Offset]]/12</f>
        <v>0</v>
      </c>
      <c r="VE19" s="209">
        <f>Dimensions_APPURT[[#This Row],[Weight (lbf)]] * cv_M * GammaSector[[#This Row],[Quantity]] * Calculations_APPURT[[#This Row],[Horizontal Offset]]/12</f>
        <v>0</v>
      </c>
      <c r="VF19" s="209">
        <f>Dimensions_APPURT[[#This Row],[Weight (lbf)]] * cv_M * DeltaSector[[#This Row],[Quantity]] * Calculations_APPURT[[#This Row],[Horizontal Offset]]/12</f>
        <v>0</v>
      </c>
      <c r="VG19" s="276">
        <f>Hazards_APPURT[[#This Row],[Ice Weight]] * cv_F * AlphaSector[[#This Row],[Quantity]]</f>
        <v>0</v>
      </c>
      <c r="VH19" s="276">
        <f>Hazards_APPURT[[#This Row],[Ice Weight]] * cv_F * BetaSector[[#This Row],[Quantity]]</f>
        <v>0</v>
      </c>
      <c r="VI19" s="276">
        <f>Hazards_APPURT[[#This Row],[Ice Weight]] * cv_F * GammaSector[[#This Row],[Quantity]]</f>
        <v>0</v>
      </c>
      <c r="VJ19" s="276">
        <f>Hazards_APPURT[[#This Row],[Ice Weight]] * cv_F * DeltaSector[[#This Row],[Quantity]]</f>
        <v>0</v>
      </c>
      <c r="VK19" s="209">
        <f>Hazards_APPURT[[#This Row],[Ice Weight]] * cv_M * AlphaSector[[#This Row],[Quantity]] * Calculations_APPURT[[#This Row],[Horizontal Offset]]/12</f>
        <v>0</v>
      </c>
      <c r="VL19" s="209">
        <f>Hazards_APPURT[[#This Row],[Ice Weight]] * cv_M * BetaSector[[#This Row],[Quantity]] * Calculations_APPURT[[#This Row],[Horizontal Offset]]/12</f>
        <v>0</v>
      </c>
      <c r="VM19" s="209">
        <f>Hazards_APPURT[[#This Row],[Ice Weight]] * cv_M * GammaSector[[#This Row],[Quantity]] * Calculations_APPURT[[#This Row],[Horizontal Offset]]/12</f>
        <v>0</v>
      </c>
      <c r="VN19" s="209">
        <f>Hazards_APPURT[[#This Row],[Ice Weight]] * cv_M * DeltaSector[[#This Row],[Quantity]] * Calculations_APPURT[[#This Row],[Horizontal Offset]]/12</f>
        <v>0</v>
      </c>
    </row>
    <row r="20" spans="1:586" ht="15" customHeight="1" x14ac:dyDescent="0.2">
      <c r="A20" s="69"/>
      <c r="E20" s="265"/>
      <c r="L20" s="69"/>
      <c r="R20" s="70"/>
      <c r="T20" s="69"/>
      <c r="V20" s="71"/>
      <c r="W20" s="69"/>
      <c r="X20" s="71"/>
      <c r="Y20" s="69"/>
      <c r="Z20" s="70"/>
      <c r="AB20" s="69"/>
      <c r="AD20" s="71"/>
      <c r="AE20" s="69"/>
      <c r="AF20" s="71"/>
      <c r="AG20" s="69"/>
      <c r="AH20" s="70"/>
      <c r="AJ20" s="69"/>
      <c r="AL20" s="71"/>
      <c r="AM20" s="69"/>
      <c r="AN20" s="71"/>
      <c r="AO20" s="69"/>
      <c r="AP20" s="70"/>
      <c r="AR20" s="69"/>
      <c r="AV20" s="277" cm="1">
        <f t="array" ref="AV20">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20" s="209" cm="1">
        <f t="array" ref="AW20">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20" s="209" cm="1">
        <f t="array" ref="AX20">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20" s="209" cm="1">
        <f t="array" ref="AY20">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20"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20" s="209" cm="1">
        <f t="array" ref="BA20">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20" s="209">
        <f>IF(OR(Calculations_APPURT[[#This Row],[Shape]]="CFD",Calculations_APPURT[[#This Row],[Shape]]="CCI"),1,0.95)</f>
        <v>0.95</v>
      </c>
      <c r="BC20" s="209" cm="1">
        <f t="array" ref="BC20">0.00256 * Hazards_APPURT[[#This Row],[Kz]] * Kzt * Ks * I.wind * V^2 * IF(RIGHT(TIA,1)="G",1,Ke) * IF(OR(Calculations_APPURT[[#This Row],[Shape]]="CFD",Calculations_APPURT[[#This Row],[Shape]]="CCI"),1, Hazards_APPURT[[#This Row],[Kd]]) * Gh</f>
        <v>0</v>
      </c>
      <c r="BD20" s="209">
        <f>IF(Risk="I",0,MIN(((z+Calculations_APPURT[[#This Row],[Vertical Offset]]/12)/33)^(0.1),1.4))</f>
        <v>0</v>
      </c>
      <c r="BE20" s="209" cm="1">
        <f t="array" ref="BE20">IF(Risk="I",0,IF(TIA="ANSI/TIA-222-G",2,1*Kes.i)*ti*I.ice*Hazards_APPURT[[#This Row],[Kiz]]*(Kzt/Ks)^(0.35))</f>
        <v>0</v>
      </c>
      <c r="BF20" s="209" cm="1">
        <f t="array" ref="BF20">0.00256 * Hazards_APPURT[[#This Row],[Kz]] * Kzt * Ks * I.wind * Vi^2 * IF(RIGHT(TIA,1)="G",1,Ke) * IF(OR(Calculations_APPURT[[#This Row],[Shape]]="CFD",Calculations_APPURT[[#This Row],[Shape]]="CCI"),1, Kd) * Gh</f>
        <v>0</v>
      </c>
      <c r="BG20"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20"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20"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20"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20"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20"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20"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20"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20"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20"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20"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20"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20"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20"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20"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20"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20"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20"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20"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20"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20"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20"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20"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20"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20"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20"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20"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20"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20"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20"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20"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20"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20"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20"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20"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20"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20"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20"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20"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20"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20"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20"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20"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20"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20"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20"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20"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20"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20"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20"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20"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20"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20"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20"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20"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20"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20"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20"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20"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20"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20"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20"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20"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20"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20"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20"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20" s="338">
        <f>IFERROR(1/Calculations_APPURT[[#This Row],[Brackets]],0) * cv_F * AlphaSector[[#This Row],[Quantity]] * Hazards_APPURT[[#This Row],[qz]] * CaAa_APPURT[[#This Row],[Alpha 0]] * IF(Calculations_APPURT[[#This Row],[Shape]]="CFD",1, Ka)</f>
        <v>0</v>
      </c>
      <c r="GF20" s="338">
        <f>IFERROR(1/Calculations_APPURT[[#This Row],[Brackets]],0) * cv_F * AlphaSector[[#This Row],[Quantity]] * Hazards_APPURT[[#This Row],[qz]] * CaAa_APPURT[[#This Row],[Alpha 30]] * IF(Calculations_APPURT[[#This Row],[Shape]]="CFD",1, Ka)</f>
        <v>0</v>
      </c>
      <c r="GG20" s="338">
        <f>IFERROR(1/Calculations_APPURT[[#This Row],[Brackets]],0) * cv_F * AlphaSector[[#This Row],[Quantity]] * Hazards_APPURT[[#This Row],[qz]] * CaAa_APPURT[[#This Row],[Alpha 45]] * IF(Calculations_APPURT[[#This Row],[Shape]]="CFD",1, Ka)</f>
        <v>0</v>
      </c>
      <c r="GH20" s="338">
        <f>IFERROR(1/Calculations_APPURT[[#This Row],[Brackets]],0) * cv_F * AlphaSector[[#This Row],[Quantity]] * Hazards_APPURT[[#This Row],[qz]] * CaAa_APPURT[[#This Row],[Alpha 60]] * IF(Calculations_APPURT[[#This Row],[Shape]]="CFD",1, Ka)</f>
        <v>0</v>
      </c>
      <c r="GI20" s="338">
        <f>IFERROR(1/Calculations_APPURT[[#This Row],[Brackets]],0) * cv_F * AlphaSector[[#This Row],[Quantity]] * Hazards_APPURT[[#This Row],[qz]] * CaAa_APPURT[[#This Row],[Alpha 90]] * IF(Calculations_APPURT[[#This Row],[Shape]]="CFD",1, Ka)</f>
        <v>0</v>
      </c>
      <c r="GJ20" s="338">
        <f>IFERROR(1/Calculations_APPURT[[#This Row],[Brackets]],0) * cv_F * AlphaSector[[#This Row],[Quantity]] * Hazards_APPURT[[#This Row],[qz]] * CaAa_APPURT[[#This Row],[Alpha 120]] * IF(Calculations_APPURT[[#This Row],[Shape]]="CFD",1, Ka)</f>
        <v>0</v>
      </c>
      <c r="GK20" s="338">
        <f>IFERROR(1/Calculations_APPURT[[#This Row],[Brackets]],0) * cv_F * AlphaSector[[#This Row],[Quantity]] * Hazards_APPURT[[#This Row],[qz]] * CaAa_APPURT[[#This Row],[Alpha 135]] * IF(Calculations_APPURT[[#This Row],[Shape]]="CFD",1, Ka)</f>
        <v>0</v>
      </c>
      <c r="GL20" s="338">
        <f>IFERROR(1/Calculations_APPURT[[#This Row],[Brackets]],0) * cv_F * AlphaSector[[#This Row],[Quantity]] * Hazards_APPURT[[#This Row],[qz]] * CaAa_APPURT[[#This Row],[Alpha 150]] * IF(Calculations_APPURT[[#This Row],[Shape]]="CFD",1, Ka)</f>
        <v>0</v>
      </c>
      <c r="GM20" s="338">
        <f>IFERROR(1/Calculations_APPURT[[#This Row],[Brackets]],0) * cv_F * AlphaSector[[#This Row],[Quantity]] * Hazards_APPURT[[#This Row],[qz]] * CaAa_APPURT[[#This Row],[Alpha 180]] * IF(Calculations_APPURT[[#This Row],[Shape]]="CFD",1, Ka)</f>
        <v>0</v>
      </c>
      <c r="GN20" s="338">
        <f>IFERROR(1/Calculations_APPURT[[#This Row],[Brackets]],0) * cv_F * AlphaSector[[#This Row],[Quantity]] * Hazards_APPURT[[#This Row],[qz]] * CaAa_APPURT[[#This Row],[Alpha 210]] * IF(Calculations_APPURT[[#This Row],[Shape]]="CFD",1, Ka)</f>
        <v>0</v>
      </c>
      <c r="GO20" s="338">
        <f>IFERROR(1/Calculations_APPURT[[#This Row],[Brackets]],0) * cv_F * AlphaSector[[#This Row],[Quantity]] * Hazards_APPURT[[#This Row],[qz]] * CaAa_APPURT[[#This Row],[Alpha 225]] * IF(Calculations_APPURT[[#This Row],[Shape]]="CFD",1, Ka)</f>
        <v>0</v>
      </c>
      <c r="GP20" s="338">
        <f>IFERROR(1/Calculations_APPURT[[#This Row],[Brackets]],0) * cv_F * AlphaSector[[#This Row],[Quantity]] * Hazards_APPURT[[#This Row],[qz]] * CaAa_APPURT[[#This Row],[Alpha 240]] * IF(Calculations_APPURT[[#This Row],[Shape]]="CFD",1, Ka)</f>
        <v>0</v>
      </c>
      <c r="GQ20" s="338">
        <f>IFERROR(1/Calculations_APPURT[[#This Row],[Brackets]],0) * cv_F * AlphaSector[[#This Row],[Quantity]] * Hazards_APPURT[[#This Row],[qz]] * CaAa_APPURT[[#This Row],[Alpha 270]] * IF(Calculations_APPURT[[#This Row],[Shape]]="CFD",1, Ka)</f>
        <v>0</v>
      </c>
      <c r="GR20" s="338">
        <f>IFERROR(1/Calculations_APPURT[[#This Row],[Brackets]],0) * cv_F * AlphaSector[[#This Row],[Quantity]] * Hazards_APPURT[[#This Row],[qz]] * CaAa_APPURT[[#This Row],[Alpha 300]] * IF(Calculations_APPURT[[#This Row],[Shape]]="CFD",1, Ka)</f>
        <v>0</v>
      </c>
      <c r="GS20" s="338">
        <f>IFERROR(1/Calculations_APPURT[[#This Row],[Brackets]],0) * cv_F * AlphaSector[[#This Row],[Quantity]] * Hazards_APPURT[[#This Row],[qz]] * CaAa_APPURT[[#This Row],[Alpha 315]] * IF(Calculations_APPURT[[#This Row],[Shape]]="CFD",1, Ka)</f>
        <v>0</v>
      </c>
      <c r="GT20" s="338">
        <f>IFERROR(1/Calculations_APPURT[[#This Row],[Brackets]],0) * cv_F * AlphaSector[[#This Row],[Quantity]] * Hazards_APPURT[[#This Row],[qz]] * CaAa_APPURT[[#This Row],[Alpha 330]] * IF(Calculations_APPURT[[#This Row],[Shape]]="CFD",1, Ka)</f>
        <v>0</v>
      </c>
      <c r="GU20" s="276">
        <f>IFERROR(1/Calculations_APPURT[[#This Row],[Brackets]],0) * cv_F * BetaSector[[#This Row],[Quantity]] * Hazards_APPURT[[#This Row],[qz]] * CaAa_APPURT[[#This Row],[Beta 0]] * IF(Calculations_APPURT[[#This Row],[Shape]]="CFD",1, Ka)</f>
        <v>0</v>
      </c>
      <c r="GV20" s="276">
        <f>IFERROR(1/Calculations_APPURT[[#This Row],[Brackets]],0) * cv_F * BetaSector[[#This Row],[Quantity]] * Hazards_APPURT[[#This Row],[qz]] * CaAa_APPURT[[#This Row],[Beta 30]] * IF(Calculations_APPURT[[#This Row],[Shape]]="CFD",1, Ka)</f>
        <v>0</v>
      </c>
      <c r="GW20" s="276">
        <f>IFERROR(1/Calculations_APPURT[[#This Row],[Brackets]],0) * cv_F * BetaSector[[#This Row],[Quantity]] * Hazards_APPURT[[#This Row],[qz]] * CaAa_APPURT[[#This Row],[Beta 45]] * IF(Calculations_APPURT[[#This Row],[Shape]]="CFD",1, Ka)</f>
        <v>0</v>
      </c>
      <c r="GX20" s="276">
        <f>IFERROR(1/Calculations_APPURT[[#This Row],[Brackets]],0) * cv_F * BetaSector[[#This Row],[Quantity]] * Hazards_APPURT[[#This Row],[qz]] * CaAa_APPURT[[#This Row],[Beta 60]] * IF(Calculations_APPURT[[#This Row],[Shape]]="CFD",1, Ka)</f>
        <v>0</v>
      </c>
      <c r="GY20" s="276">
        <f>IFERROR(1/Calculations_APPURT[[#This Row],[Brackets]],0) * cv_F * BetaSector[[#This Row],[Quantity]] * Hazards_APPURT[[#This Row],[qz]] * CaAa_APPURT[[#This Row],[Beta 90]] * IF(Calculations_APPURT[[#This Row],[Shape]]="CFD",1, Ka)</f>
        <v>0</v>
      </c>
      <c r="GZ20" s="276">
        <f>IFERROR(1/Calculations_APPURT[[#This Row],[Brackets]],0) * cv_F * BetaSector[[#This Row],[Quantity]] * Hazards_APPURT[[#This Row],[qz]] * CaAa_APPURT[[#This Row],[Beta 120]] * IF(Calculations_APPURT[[#This Row],[Shape]]="CFD",1, Ka)</f>
        <v>0</v>
      </c>
      <c r="HA20" s="276">
        <f>IFERROR(1/Calculations_APPURT[[#This Row],[Brackets]],0) * cv_F * BetaSector[[#This Row],[Quantity]] * Hazards_APPURT[[#This Row],[qz]] * CaAa_APPURT[[#This Row],[Beta 135]] * IF(Calculations_APPURT[[#This Row],[Shape]]="CFD",1, Ka)</f>
        <v>0</v>
      </c>
      <c r="HB20" s="276">
        <f>IFERROR(1/Calculations_APPURT[[#This Row],[Brackets]],0) * cv_F * BetaSector[[#This Row],[Quantity]] * Hazards_APPURT[[#This Row],[qz]] * CaAa_APPURT[[#This Row],[Beta 150]] * IF(Calculations_APPURT[[#This Row],[Shape]]="CFD",1, Ka)</f>
        <v>0</v>
      </c>
      <c r="HC20" s="276">
        <f>IFERROR(1/Calculations_APPURT[[#This Row],[Brackets]],0) * cv_F * BetaSector[[#This Row],[Quantity]] * Hazards_APPURT[[#This Row],[qz]] * CaAa_APPURT[[#This Row],[Beta 180]] * IF(Calculations_APPURT[[#This Row],[Shape]]="CFD",1, Ka)</f>
        <v>0</v>
      </c>
      <c r="HD20" s="276">
        <f>IFERROR(1/Calculations_APPURT[[#This Row],[Brackets]],0) * cv_F * BetaSector[[#This Row],[Quantity]] * Hazards_APPURT[[#This Row],[qz]] * CaAa_APPURT[[#This Row],[Beta 210]] * IF(Calculations_APPURT[[#This Row],[Shape]]="CFD",1, Ka)</f>
        <v>0</v>
      </c>
      <c r="HE20" s="276">
        <f>IFERROR(1/Calculations_APPURT[[#This Row],[Brackets]],0) * cv_F * BetaSector[[#This Row],[Quantity]] * Hazards_APPURT[[#This Row],[qz]] * CaAa_APPURT[[#This Row],[Beta 225]] * IF(Calculations_APPURT[[#This Row],[Shape]]="CFD",1, Ka)</f>
        <v>0</v>
      </c>
      <c r="HF20" s="276">
        <f>IFERROR(1/Calculations_APPURT[[#This Row],[Brackets]],0) * cv_F * BetaSector[[#This Row],[Quantity]] * Hazards_APPURT[[#This Row],[qz]] * CaAa_APPURT[[#This Row],[Beta 240]] * IF(Calculations_APPURT[[#This Row],[Shape]]="CFD",1, Ka)</f>
        <v>0</v>
      </c>
      <c r="HG20" s="276">
        <f>IFERROR(1/Calculations_APPURT[[#This Row],[Brackets]],0) * cv_F * BetaSector[[#This Row],[Quantity]] * Hazards_APPURT[[#This Row],[qz]] * CaAa_APPURT[[#This Row],[Beta 270]] * IF(Calculations_APPURT[[#This Row],[Shape]]="CFD",1, Ka)</f>
        <v>0</v>
      </c>
      <c r="HH20" s="276">
        <f>IFERROR(1/Calculations_APPURT[[#This Row],[Brackets]],0) * cv_F * BetaSector[[#This Row],[Quantity]] * Hazards_APPURT[[#This Row],[qz]] * CaAa_APPURT[[#This Row],[Beta 300]] * IF(Calculations_APPURT[[#This Row],[Shape]]="CFD",1, Ka)</f>
        <v>0</v>
      </c>
      <c r="HI20" s="276">
        <f>IFERROR(1/Calculations_APPURT[[#This Row],[Brackets]],0) * cv_F * BetaSector[[#This Row],[Quantity]] * Hazards_APPURT[[#This Row],[qz]] * CaAa_APPURT[[#This Row],[Beta 315]] * IF(Calculations_APPURT[[#This Row],[Shape]]="CFD",1, Ka)</f>
        <v>0</v>
      </c>
      <c r="HJ20" s="276">
        <f>IFERROR(1/Calculations_APPURT[[#This Row],[Brackets]],0) * cv_F * BetaSector[[#This Row],[Quantity]] * Hazards_APPURT[[#This Row],[qz]] * CaAa_APPURT[[#This Row],[Beta 330]] * IF(Calculations_APPURT[[#This Row],[Shape]]="CFD",1, Ka)</f>
        <v>0</v>
      </c>
      <c r="HK20" s="338">
        <f>IFERROR(1/Calculations_APPURT[[#This Row],[Brackets]],0) * cv_F * GammaSector[[#This Row],[Quantity]] * Hazards_APPURT[[#This Row],[qz]] * CaAa_APPURT[[#This Row],[Gamma 0]] * IF(Calculations_APPURT[[#This Row],[Shape]]="CFD",1, Ka)</f>
        <v>0</v>
      </c>
      <c r="HL20" s="338">
        <f>IFERROR(1/Calculations_APPURT[[#This Row],[Brackets]],0) * cv_F * GammaSector[[#This Row],[Quantity]] * Hazards_APPURT[[#This Row],[qz]] * CaAa_APPURT[[#This Row],[Gamma 30]] * IF(Calculations_APPURT[[#This Row],[Shape]]="CFD",1, Ka)</f>
        <v>0</v>
      </c>
      <c r="HM20" s="338">
        <f>IFERROR(1/Calculations_APPURT[[#This Row],[Brackets]],0) * cv_F * GammaSector[[#This Row],[Quantity]] * Hazards_APPURT[[#This Row],[qz]] * CaAa_APPURT[[#This Row],[Gamma 45]] * IF(Calculations_APPURT[[#This Row],[Shape]]="CFD",1, Ka)</f>
        <v>0</v>
      </c>
      <c r="HN20" s="338">
        <f>IFERROR(1/Calculations_APPURT[[#This Row],[Brackets]],0) * cv_F * GammaSector[[#This Row],[Quantity]] * Hazards_APPURT[[#This Row],[qz]] * CaAa_APPURT[[#This Row],[Gamma 60]] * IF(Calculations_APPURT[[#This Row],[Shape]]="CFD",1, Ka)</f>
        <v>0</v>
      </c>
      <c r="HO20" s="338">
        <f>IFERROR(1/Calculations_APPURT[[#This Row],[Brackets]],0) * cv_F * GammaSector[[#This Row],[Quantity]] * Hazards_APPURT[[#This Row],[qz]] * CaAa_APPURT[[#This Row],[Gamma 90]] * IF(Calculations_APPURT[[#This Row],[Shape]]="CFD",1, Ka)</f>
        <v>0</v>
      </c>
      <c r="HP20" s="338">
        <f>IFERROR(1/Calculations_APPURT[[#This Row],[Brackets]],0) * cv_F * GammaSector[[#This Row],[Quantity]] * Hazards_APPURT[[#This Row],[qz]] * CaAa_APPURT[[#This Row],[Gamma 120]] * IF(Calculations_APPURT[[#This Row],[Shape]]="CFD",1, Ka)</f>
        <v>0</v>
      </c>
      <c r="HQ20" s="338">
        <f>IFERROR(1/Calculations_APPURT[[#This Row],[Brackets]],0) * cv_F * GammaSector[[#This Row],[Quantity]] * Hazards_APPURT[[#This Row],[qz]] * CaAa_APPURT[[#This Row],[Gamma 135]] * IF(Calculations_APPURT[[#This Row],[Shape]]="CFD",1, Ka)</f>
        <v>0</v>
      </c>
      <c r="HR20" s="338">
        <f>IFERROR(1/Calculations_APPURT[[#This Row],[Brackets]],0) * cv_F * GammaSector[[#This Row],[Quantity]] * Hazards_APPURT[[#This Row],[qz]] * CaAa_APPURT[[#This Row],[Gamma 150]] * IF(Calculations_APPURT[[#This Row],[Shape]]="CFD",1, Ka)</f>
        <v>0</v>
      </c>
      <c r="HS20" s="338">
        <f>IFERROR(1/Calculations_APPURT[[#This Row],[Brackets]],0) * cv_F * GammaSector[[#This Row],[Quantity]] * Hazards_APPURT[[#This Row],[qz]] * CaAa_APPURT[[#This Row],[Gamma 180]] * IF(Calculations_APPURT[[#This Row],[Shape]]="CFD",1, Ka)</f>
        <v>0</v>
      </c>
      <c r="HT20" s="338">
        <f>IFERROR(1/Calculations_APPURT[[#This Row],[Brackets]],0) * cv_F * GammaSector[[#This Row],[Quantity]] * Hazards_APPURT[[#This Row],[qz]] * CaAa_APPURT[[#This Row],[Gamma 210]] * IF(Calculations_APPURT[[#This Row],[Shape]]="CFD",1, Ka)</f>
        <v>0</v>
      </c>
      <c r="HU20" s="338">
        <f>IFERROR(1/Calculations_APPURT[[#This Row],[Brackets]],0) * cv_F * GammaSector[[#This Row],[Quantity]] * Hazards_APPURT[[#This Row],[qz]] * CaAa_APPURT[[#This Row],[Gamma 225]] * IF(Calculations_APPURT[[#This Row],[Shape]]="CFD",1, Ka)</f>
        <v>0</v>
      </c>
      <c r="HV20" s="338">
        <f>IFERROR(1/Calculations_APPURT[[#This Row],[Brackets]],0) * cv_F * GammaSector[[#This Row],[Quantity]] * Hazards_APPURT[[#This Row],[qz]] * CaAa_APPURT[[#This Row],[Gamma 240]] * IF(Calculations_APPURT[[#This Row],[Shape]]="CFD",1, Ka)</f>
        <v>0</v>
      </c>
      <c r="HW20" s="338">
        <f>IFERROR(1/Calculations_APPURT[[#This Row],[Brackets]],0) * cv_F * GammaSector[[#This Row],[Quantity]] * Hazards_APPURT[[#This Row],[qz]] * CaAa_APPURT[[#This Row],[Gamma 270]] * IF(Calculations_APPURT[[#This Row],[Shape]]="CFD",1, Ka)</f>
        <v>0</v>
      </c>
      <c r="HX20" s="338">
        <f>IFERROR(1/Calculations_APPURT[[#This Row],[Brackets]],0) * cv_F * GammaSector[[#This Row],[Quantity]] * Hazards_APPURT[[#This Row],[qz]] * CaAa_APPURT[[#This Row],[Gamma 300]] * IF(Calculations_APPURT[[#This Row],[Shape]]="CFD",1, Ka)</f>
        <v>0</v>
      </c>
      <c r="HY20" s="338">
        <f>IFERROR(1/Calculations_APPURT[[#This Row],[Brackets]],0) * cv_F * GammaSector[[#This Row],[Quantity]] * Hazards_APPURT[[#This Row],[qz]] * CaAa_APPURT[[#This Row],[Gamma 315]] * IF(Calculations_APPURT[[#This Row],[Shape]]="CFD",1, Ka)</f>
        <v>0</v>
      </c>
      <c r="HZ20" s="338">
        <f>IFERROR(1/Calculations_APPURT[[#This Row],[Brackets]],0) * cv_F * GammaSector[[#This Row],[Quantity]] * Hazards_APPURT[[#This Row],[qz]] * CaAa_APPURT[[#This Row],[Gamma 330]] * IF(Calculations_APPURT[[#This Row],[Shape]]="CFD",1, Ka)</f>
        <v>0</v>
      </c>
      <c r="IA20" s="276">
        <f>IFERROR(1/Calculations_APPURT[[#This Row],[Brackets]],0) * cv_F * DeltaSector[[#This Row],[Quantity]] * Hazards_APPURT[[#This Row],[qz]] * CaAa_APPURT[[#This Row],[Delta 0]] * IF(Calculations_APPURT[[#This Row],[Shape]]="CFD",1, Ka)</f>
        <v>0</v>
      </c>
      <c r="IB20" s="276">
        <f>IFERROR(1/Calculations_APPURT[[#This Row],[Brackets]],0) * cv_F * DeltaSector[[#This Row],[Quantity]] * Hazards_APPURT[[#This Row],[qz]] * CaAa_APPURT[[#This Row],[Delta 30]] * IF(Calculations_APPURT[[#This Row],[Shape]]="CFD",1, Ka)</f>
        <v>0</v>
      </c>
      <c r="IC20" s="276">
        <f>IFERROR(1/Calculations_APPURT[[#This Row],[Brackets]],0) * cv_F * DeltaSector[[#This Row],[Quantity]] * Hazards_APPURT[[#This Row],[qz]] * CaAa_APPURT[[#This Row],[Delta 45]] * IF(Calculations_APPURT[[#This Row],[Shape]]="CFD",1, Ka)</f>
        <v>0</v>
      </c>
      <c r="ID20" s="276">
        <f>IFERROR(1/Calculations_APPURT[[#This Row],[Brackets]],0) * cv_F * DeltaSector[[#This Row],[Quantity]] * Hazards_APPURT[[#This Row],[qz]] * CaAa_APPURT[[#This Row],[Delta 60]] * IF(Calculations_APPURT[[#This Row],[Shape]]="CFD",1, Ka)</f>
        <v>0</v>
      </c>
      <c r="IE20" s="276">
        <f>IFERROR(1/Calculations_APPURT[[#This Row],[Brackets]],0) * cv_F * DeltaSector[[#This Row],[Quantity]] * Hazards_APPURT[[#This Row],[qz]] * CaAa_APPURT[[#This Row],[Delta 90]] * IF(Calculations_APPURT[[#This Row],[Shape]]="CFD",1, Ka)</f>
        <v>0</v>
      </c>
      <c r="IF20" s="276">
        <f>IFERROR(1/Calculations_APPURT[[#This Row],[Brackets]],0) * cv_F * DeltaSector[[#This Row],[Quantity]] * Hazards_APPURT[[#This Row],[qz]] * CaAa_APPURT[[#This Row],[Delta 120]] * IF(Calculations_APPURT[[#This Row],[Shape]]="CFD",1, Ka)</f>
        <v>0</v>
      </c>
      <c r="IG20" s="276">
        <f>IFERROR(1/Calculations_APPURT[[#This Row],[Brackets]],0) * cv_F * DeltaSector[[#This Row],[Quantity]] * Hazards_APPURT[[#This Row],[qz]] * CaAa_APPURT[[#This Row],[Delta 135]] * IF(Calculations_APPURT[[#This Row],[Shape]]="CFD",1, Ka)</f>
        <v>0</v>
      </c>
      <c r="IH20" s="276">
        <f>IFERROR(1/Calculations_APPURT[[#This Row],[Brackets]],0) * cv_F * DeltaSector[[#This Row],[Quantity]] * Hazards_APPURT[[#This Row],[qz]] * CaAa_APPURT[[#This Row],[Delta 150]] * IF(Calculations_APPURT[[#This Row],[Shape]]="CFD",1, Ka)</f>
        <v>0</v>
      </c>
      <c r="II20" s="276">
        <f>IFERROR(1/Calculations_APPURT[[#This Row],[Brackets]],0) * cv_F * DeltaSector[[#This Row],[Quantity]] * Hazards_APPURT[[#This Row],[qz]] * CaAa_APPURT[[#This Row],[Delta 180]] * IF(Calculations_APPURT[[#This Row],[Shape]]="CFD",1, Ka)</f>
        <v>0</v>
      </c>
      <c r="IJ20" s="276">
        <f>IFERROR(1/Calculations_APPURT[[#This Row],[Brackets]],0) * cv_F * DeltaSector[[#This Row],[Quantity]] * Hazards_APPURT[[#This Row],[qz]] * CaAa_APPURT[[#This Row],[Delta 210]] * IF(Calculations_APPURT[[#This Row],[Shape]]="CFD",1, Ka)</f>
        <v>0</v>
      </c>
      <c r="IK20" s="276">
        <f>IFERROR(1/Calculations_APPURT[[#This Row],[Brackets]],0) * cv_F * DeltaSector[[#This Row],[Quantity]] * Hazards_APPURT[[#This Row],[qz]] * CaAa_APPURT[[#This Row],[Delta 225]] * IF(Calculations_APPURT[[#This Row],[Shape]]="CFD",1, Ka)</f>
        <v>0</v>
      </c>
      <c r="IL20" s="276">
        <f>IFERROR(1/Calculations_APPURT[[#This Row],[Brackets]],0) * cv_F * DeltaSector[[#This Row],[Quantity]] * Hazards_APPURT[[#This Row],[qz]] * CaAa_APPURT[[#This Row],[Delta 240]] * IF(Calculations_APPURT[[#This Row],[Shape]]="CFD",1, Ka)</f>
        <v>0</v>
      </c>
      <c r="IM20" s="276">
        <f>IFERROR(1/Calculations_APPURT[[#This Row],[Brackets]],0) * cv_F * DeltaSector[[#This Row],[Quantity]] * Hazards_APPURT[[#This Row],[qz]] * CaAa_APPURT[[#This Row],[Delta 270]] * IF(Calculations_APPURT[[#This Row],[Shape]]="CFD",1, Ka)</f>
        <v>0</v>
      </c>
      <c r="IN20" s="276">
        <f>IFERROR(1/Calculations_APPURT[[#This Row],[Brackets]],0) * cv_F * DeltaSector[[#This Row],[Quantity]] * Hazards_APPURT[[#This Row],[qz]] * CaAa_APPURT[[#This Row],[Delta 300]] * IF(Calculations_APPURT[[#This Row],[Shape]]="CFD",1, Ka)</f>
        <v>0</v>
      </c>
      <c r="IO20" s="276">
        <f>IFERROR(1/Calculations_APPURT[[#This Row],[Brackets]],0) * cv_F * DeltaSector[[#This Row],[Quantity]] * Hazards_APPURT[[#This Row],[qz]] * CaAa_APPURT[[#This Row],[Delta 315]] * IF(Calculations_APPURT[[#This Row],[Shape]]="CFD",1, Ka)</f>
        <v>0</v>
      </c>
      <c r="IP20" s="276">
        <f>IFERROR(1/Calculations_APPURT[[#This Row],[Brackets]],0) * cv_F * DeltaSector[[#This Row],[Quantity]] * Hazards_APPURT[[#This Row],[qz]] * CaAa_APPURT[[#This Row],[Delta 330]] * IF(Calculations_APPURT[[#This Row],[Shape]]="CFD",1, Ka)</f>
        <v>0</v>
      </c>
      <c r="IQ20" s="338">
        <f>IFERROR(1/Calculations_APPURT[[#This Row],[Brackets]],0) * cv_F * AlphaSector[[#This Row],[Quantity]] * Hazards_APPURT[[#This Row],[qiz]] * CaAa_APPURT[[#This Row],[Alpha Ice 0]]</f>
        <v>0</v>
      </c>
      <c r="IR20" s="338">
        <f>IFERROR(1/Calculations_APPURT[[#This Row],[Brackets]],0) * cv_F * AlphaSector[[#This Row],[Quantity]] * Hazards_APPURT[[#This Row],[qiz]] * CaAa_APPURT[[#This Row],[Alpha Ice 30]]</f>
        <v>0</v>
      </c>
      <c r="IS20" s="338">
        <f>IFERROR(1/Calculations_APPURT[[#This Row],[Brackets]],0) * cv_F * AlphaSector[[#This Row],[Quantity]] * Hazards_APPURT[[#This Row],[qiz]] * CaAa_APPURT[[#This Row],[Alpha Ice 45]]</f>
        <v>0</v>
      </c>
      <c r="IT20" s="338">
        <f>IFERROR(1/Calculations_APPURT[[#This Row],[Brackets]],0) * cv_F * AlphaSector[[#This Row],[Quantity]] * Hazards_APPURT[[#This Row],[qiz]] * CaAa_APPURT[[#This Row],[Alpha Ice 60]]</f>
        <v>0</v>
      </c>
      <c r="IU20" s="338">
        <f>IFERROR(1/Calculations_APPURT[[#This Row],[Brackets]],0) * cv_F * AlphaSector[[#This Row],[Quantity]] * Hazards_APPURT[[#This Row],[qiz]] * CaAa_APPURT[[#This Row],[Alpha Ice 90]]</f>
        <v>0</v>
      </c>
      <c r="IV20" s="338">
        <f>IFERROR(1/Calculations_APPURT[[#This Row],[Brackets]],0) * cv_F * AlphaSector[[#This Row],[Quantity]] * Hazards_APPURT[[#This Row],[qiz]] * CaAa_APPURT[[#This Row],[Alpha Ice 120]]</f>
        <v>0</v>
      </c>
      <c r="IW20" s="338">
        <f>IFERROR(1/Calculations_APPURT[[#This Row],[Brackets]],0) * cv_F * AlphaSector[[#This Row],[Quantity]] * Hazards_APPURT[[#This Row],[qiz]] * CaAa_APPURT[[#This Row],[Alpha Ice 135]]</f>
        <v>0</v>
      </c>
      <c r="IX20" s="338">
        <f>IFERROR(1/Calculations_APPURT[[#This Row],[Brackets]],0) * cv_F * AlphaSector[[#This Row],[Quantity]] * Hazards_APPURT[[#This Row],[qiz]] * CaAa_APPURT[[#This Row],[Alpha Ice 150]]</f>
        <v>0</v>
      </c>
      <c r="IY20" s="338">
        <f>IFERROR(1/Calculations_APPURT[[#This Row],[Brackets]],0) * cv_F * AlphaSector[[#This Row],[Quantity]] * Hazards_APPURT[[#This Row],[qiz]] * CaAa_APPURT[[#This Row],[Alpha Ice 180]]</f>
        <v>0</v>
      </c>
      <c r="IZ20" s="338">
        <f>IFERROR(1/Calculations_APPURT[[#This Row],[Brackets]],0) * cv_F * AlphaSector[[#This Row],[Quantity]] * Hazards_APPURT[[#This Row],[qiz]] * CaAa_APPURT[[#This Row],[Alpha Ice 210]]</f>
        <v>0</v>
      </c>
      <c r="JA20" s="338">
        <f>IFERROR(1/Calculations_APPURT[[#This Row],[Brackets]],0) * cv_F * AlphaSector[[#This Row],[Quantity]] * Hazards_APPURT[[#This Row],[qiz]] * CaAa_APPURT[[#This Row],[Alpha Ice 225]]</f>
        <v>0</v>
      </c>
      <c r="JB20" s="338">
        <f>IFERROR(1/Calculations_APPURT[[#This Row],[Brackets]],0) * cv_F * AlphaSector[[#This Row],[Quantity]] * Hazards_APPURT[[#This Row],[qiz]] * CaAa_APPURT[[#This Row],[Alpha Ice 240]]</f>
        <v>0</v>
      </c>
      <c r="JC20" s="338">
        <f>IFERROR(1/Calculations_APPURT[[#This Row],[Brackets]],0) * cv_F * AlphaSector[[#This Row],[Quantity]] * Hazards_APPURT[[#This Row],[qiz]] * CaAa_APPURT[[#This Row],[Alpha Ice 270]]</f>
        <v>0</v>
      </c>
      <c r="JD20" s="338">
        <f>IFERROR(1/Calculations_APPURT[[#This Row],[Brackets]],0) * cv_F * AlphaSector[[#This Row],[Quantity]] * Hazards_APPURT[[#This Row],[qiz]] * CaAa_APPURT[[#This Row],[Alpha Ice 300]]</f>
        <v>0</v>
      </c>
      <c r="JE20" s="338">
        <f>IFERROR(1/Calculations_APPURT[[#This Row],[Brackets]],0) * cv_F * AlphaSector[[#This Row],[Quantity]] * Hazards_APPURT[[#This Row],[qiz]] * CaAa_APPURT[[#This Row],[Alpha Ice 315]]</f>
        <v>0</v>
      </c>
      <c r="JF20" s="338">
        <f>IFERROR(1/Calculations_APPURT[[#This Row],[Brackets]],0) * cv_F * AlphaSector[[#This Row],[Quantity]] * Hazards_APPURT[[#This Row],[qiz]] * CaAa_APPURT[[#This Row],[Alpha Ice 330]]</f>
        <v>0</v>
      </c>
      <c r="JG20" s="276">
        <f>IFERROR(1/Calculations_APPURT[[#This Row],[Brackets]],0) * cv_F * BetaSector[[#This Row],[Quantity]] * Hazards_APPURT[[#This Row],[qiz]] * CaAa_APPURT[[#This Row],[Beta Ice 0]]</f>
        <v>0</v>
      </c>
      <c r="JH20" s="276">
        <f>IFERROR(1/Calculations_APPURT[[#This Row],[Brackets]],0) * cv_F * BetaSector[[#This Row],[Quantity]] * Hazards_APPURT[[#This Row],[qiz]] * CaAa_APPURT[[#This Row],[Beta Ice 30]]</f>
        <v>0</v>
      </c>
      <c r="JI20" s="276">
        <f>IFERROR(1/Calculations_APPURT[[#This Row],[Brackets]],0) * cv_F * BetaSector[[#This Row],[Quantity]] * Hazards_APPURT[[#This Row],[qiz]] * CaAa_APPURT[[#This Row],[Beta Ice 45]]</f>
        <v>0</v>
      </c>
      <c r="JJ20" s="276">
        <f>IFERROR(1/Calculations_APPURT[[#This Row],[Brackets]],0) * cv_F * BetaSector[[#This Row],[Quantity]] * Hazards_APPURT[[#This Row],[qiz]] * CaAa_APPURT[[#This Row],[Beta Ice 60]]</f>
        <v>0</v>
      </c>
      <c r="JK20" s="276">
        <f>IFERROR(1/Calculations_APPURT[[#This Row],[Brackets]],0) * cv_F * BetaSector[[#This Row],[Quantity]] * Hazards_APPURT[[#This Row],[qiz]] * CaAa_APPURT[[#This Row],[Beta Ice 90]]</f>
        <v>0</v>
      </c>
      <c r="JL20" s="276">
        <f>IFERROR(1/Calculations_APPURT[[#This Row],[Brackets]],0) * cv_F * BetaSector[[#This Row],[Quantity]] * Hazards_APPURT[[#This Row],[qiz]] * CaAa_APPURT[[#This Row],[Beta Ice 120]]</f>
        <v>0</v>
      </c>
      <c r="JM20" s="276">
        <f>IFERROR(1/Calculations_APPURT[[#This Row],[Brackets]],0) * cv_F * BetaSector[[#This Row],[Quantity]] * Hazards_APPURT[[#This Row],[qiz]] * CaAa_APPURT[[#This Row],[Beta Ice 135]]</f>
        <v>0</v>
      </c>
      <c r="JN20" s="276">
        <f>IFERROR(1/Calculations_APPURT[[#This Row],[Brackets]],0) * cv_F * BetaSector[[#This Row],[Quantity]] * Hazards_APPURT[[#This Row],[qiz]] * CaAa_APPURT[[#This Row],[Beta Ice 150]]</f>
        <v>0</v>
      </c>
      <c r="JO20" s="276">
        <f>IFERROR(1/Calculations_APPURT[[#This Row],[Brackets]],0) * cv_F * BetaSector[[#This Row],[Quantity]] * Hazards_APPURT[[#This Row],[qiz]] * CaAa_APPURT[[#This Row],[Beta Ice 180]]</f>
        <v>0</v>
      </c>
      <c r="JP20" s="276">
        <f>IFERROR(1/Calculations_APPURT[[#This Row],[Brackets]],0) * cv_F * BetaSector[[#This Row],[Quantity]] * Hazards_APPURT[[#This Row],[qiz]] * CaAa_APPURT[[#This Row],[Beta Ice 210]]</f>
        <v>0</v>
      </c>
      <c r="JQ20" s="276">
        <f>IFERROR(1/Calculations_APPURT[[#This Row],[Brackets]],0) * cv_F * BetaSector[[#This Row],[Quantity]] * Hazards_APPURT[[#This Row],[qiz]] * CaAa_APPURT[[#This Row],[Beta Ice 225]]</f>
        <v>0</v>
      </c>
      <c r="JR20" s="276">
        <f>IFERROR(1/Calculations_APPURT[[#This Row],[Brackets]],0) * cv_F * BetaSector[[#This Row],[Quantity]] * Hazards_APPURT[[#This Row],[qiz]] * CaAa_APPURT[[#This Row],[Beta Ice 240]]</f>
        <v>0</v>
      </c>
      <c r="JS20" s="276">
        <f>IFERROR(1/Calculations_APPURT[[#This Row],[Brackets]],0) * cv_F * BetaSector[[#This Row],[Quantity]] * Hazards_APPURT[[#This Row],[qiz]] * CaAa_APPURT[[#This Row],[Beta Ice 270]]</f>
        <v>0</v>
      </c>
      <c r="JT20" s="276">
        <f>IFERROR(1/Calculations_APPURT[[#This Row],[Brackets]],0) * cv_F * BetaSector[[#This Row],[Quantity]] * Hazards_APPURT[[#This Row],[qiz]] * CaAa_APPURT[[#This Row],[Beta Ice 300]]</f>
        <v>0</v>
      </c>
      <c r="JU20" s="276">
        <f>IFERROR(1/Calculations_APPURT[[#This Row],[Brackets]],0) * cv_F * BetaSector[[#This Row],[Quantity]] * Hazards_APPURT[[#This Row],[qiz]] * CaAa_APPURT[[#This Row],[Beta Ice 315]]</f>
        <v>0</v>
      </c>
      <c r="JV20" s="276">
        <f>IFERROR(1/Calculations_APPURT[[#This Row],[Brackets]],0) * cv_F * BetaSector[[#This Row],[Quantity]] * Hazards_APPURT[[#This Row],[qiz]] * CaAa_APPURT[[#This Row],[Beta Ice 330]]</f>
        <v>0</v>
      </c>
      <c r="JW20" s="338">
        <f>IFERROR(1/Calculations_APPURT[[#This Row],[Brackets]],0) * cv_F * GammaSector[[#This Row],[Quantity]] * Hazards_APPURT[[#This Row],[qiz]] * CaAa_APPURT[[#This Row],[Gamma Ice 0]]</f>
        <v>0</v>
      </c>
      <c r="JX20" s="338">
        <f>IFERROR(1/Calculations_APPURT[[#This Row],[Brackets]],0) * cv_F * GammaSector[[#This Row],[Quantity]] * Hazards_APPURT[[#This Row],[qiz]] * CaAa_APPURT[[#This Row],[Gamma Ice 30]]</f>
        <v>0</v>
      </c>
      <c r="JY20" s="338">
        <f>IFERROR(1/Calculations_APPURT[[#This Row],[Brackets]],0) * cv_F * GammaSector[[#This Row],[Quantity]] * Hazards_APPURT[[#This Row],[qiz]] * CaAa_APPURT[[#This Row],[Gamma Ice 45]]</f>
        <v>0</v>
      </c>
      <c r="JZ20" s="338">
        <f>IFERROR(1/Calculations_APPURT[[#This Row],[Brackets]],0) * cv_F * GammaSector[[#This Row],[Quantity]] * Hazards_APPURT[[#This Row],[qiz]] * CaAa_APPURT[[#This Row],[Gamma Ice 60]]</f>
        <v>0</v>
      </c>
      <c r="KA20" s="338">
        <f>IFERROR(1/Calculations_APPURT[[#This Row],[Brackets]],0) * cv_F * GammaSector[[#This Row],[Quantity]] * Hazards_APPURT[[#This Row],[qiz]] * CaAa_APPURT[[#This Row],[Gamma Ice 90]]</f>
        <v>0</v>
      </c>
      <c r="KB20" s="338">
        <f>IFERROR(1/Calculations_APPURT[[#This Row],[Brackets]],0) * cv_F * GammaSector[[#This Row],[Quantity]] * Hazards_APPURT[[#This Row],[qiz]] * CaAa_APPURT[[#This Row],[Gamma Ice 120]]</f>
        <v>0</v>
      </c>
      <c r="KC20" s="338">
        <f>IFERROR(1/Calculations_APPURT[[#This Row],[Brackets]],0) * cv_F * GammaSector[[#This Row],[Quantity]] * Hazards_APPURT[[#This Row],[qiz]] * CaAa_APPURT[[#This Row],[Gamma Ice 135]]</f>
        <v>0</v>
      </c>
      <c r="KD20" s="338">
        <f>IFERROR(1/Calculations_APPURT[[#This Row],[Brackets]],0) * cv_F * GammaSector[[#This Row],[Quantity]] * Hazards_APPURT[[#This Row],[qiz]] * CaAa_APPURT[[#This Row],[Gamma Ice 150]]</f>
        <v>0</v>
      </c>
      <c r="KE20" s="338">
        <f>IFERROR(1/Calculations_APPURT[[#This Row],[Brackets]],0) * cv_F * GammaSector[[#This Row],[Quantity]] * Hazards_APPURT[[#This Row],[qiz]] * CaAa_APPURT[[#This Row],[Gamma Ice 180]]</f>
        <v>0</v>
      </c>
      <c r="KF20" s="338">
        <f>IFERROR(1/Calculations_APPURT[[#This Row],[Brackets]],0) * cv_F * GammaSector[[#This Row],[Quantity]] * Hazards_APPURT[[#This Row],[qiz]] * CaAa_APPURT[[#This Row],[Gamma Ice 210]]</f>
        <v>0</v>
      </c>
      <c r="KG20" s="338">
        <f>IFERROR(1/Calculations_APPURT[[#This Row],[Brackets]],0) * cv_F * GammaSector[[#This Row],[Quantity]] * Hazards_APPURT[[#This Row],[qiz]] * CaAa_APPURT[[#This Row],[Gamma Ice 225]]</f>
        <v>0</v>
      </c>
      <c r="KH20" s="338">
        <f>IFERROR(1/Calculations_APPURT[[#This Row],[Brackets]],0) * cv_F * GammaSector[[#This Row],[Quantity]] * Hazards_APPURT[[#This Row],[qiz]] * CaAa_APPURT[[#This Row],[Gamma Ice 240]]</f>
        <v>0</v>
      </c>
      <c r="KI20" s="338">
        <f>IFERROR(1/Calculations_APPURT[[#This Row],[Brackets]],0) * cv_F * GammaSector[[#This Row],[Quantity]] * Hazards_APPURT[[#This Row],[qiz]] * CaAa_APPURT[[#This Row],[Gamma Ice 270]]</f>
        <v>0</v>
      </c>
      <c r="KJ20" s="338">
        <f>IFERROR(1/Calculations_APPURT[[#This Row],[Brackets]],0) * cv_F * GammaSector[[#This Row],[Quantity]] * Hazards_APPURT[[#This Row],[qiz]] * CaAa_APPURT[[#This Row],[Gamma Ice 300]]</f>
        <v>0</v>
      </c>
      <c r="KK20" s="338">
        <f>IFERROR(1/Calculations_APPURT[[#This Row],[Brackets]],0) * cv_F * GammaSector[[#This Row],[Quantity]] * Hazards_APPURT[[#This Row],[qiz]] * CaAa_APPURT[[#This Row],[Gamma Ice 315]]</f>
        <v>0</v>
      </c>
      <c r="KL20" s="338">
        <f>IFERROR(1/Calculations_APPURT[[#This Row],[Brackets]],0) * cv_F * GammaSector[[#This Row],[Quantity]] * Hazards_APPURT[[#This Row],[qiz]] * CaAa_APPURT[[#This Row],[Gamma Ice 330]]</f>
        <v>0</v>
      </c>
      <c r="KM20" s="276">
        <f>IFERROR(1/Calculations_APPURT[[#This Row],[Brackets]],0) * cv_F * DeltaSector[[#This Row],[Quantity]] * Hazards_APPURT[[#This Row],[qiz]] * CaAa_APPURT[[#This Row],[Delta Ice 0]]</f>
        <v>0</v>
      </c>
      <c r="KN20" s="276">
        <f>IFERROR(1/Calculations_APPURT[[#This Row],[Brackets]],0) * cv_F * DeltaSector[[#This Row],[Quantity]] * Hazards_APPURT[[#This Row],[qiz]] * CaAa_APPURT[[#This Row],[Delta Ice 30]]</f>
        <v>0</v>
      </c>
      <c r="KO20" s="276">
        <f>IFERROR(1/Calculations_APPURT[[#This Row],[Brackets]],0) * cv_F * DeltaSector[[#This Row],[Quantity]] * Hazards_APPURT[[#This Row],[qiz]] * CaAa_APPURT[[#This Row],[Delta Ice 45]]</f>
        <v>0</v>
      </c>
      <c r="KP20" s="276">
        <f>IFERROR(1/Calculations_APPURT[[#This Row],[Brackets]],0) * cv_F * DeltaSector[[#This Row],[Quantity]] * Hazards_APPURT[[#This Row],[qiz]] * CaAa_APPURT[[#This Row],[Delta Ice 60]]</f>
        <v>0</v>
      </c>
      <c r="KQ20" s="276">
        <f>IFERROR(1/Calculations_APPURT[[#This Row],[Brackets]],0) * cv_F * DeltaSector[[#This Row],[Quantity]] * Hazards_APPURT[[#This Row],[qiz]] * CaAa_APPURT[[#This Row],[Delta Ice 90]]</f>
        <v>0</v>
      </c>
      <c r="KR20" s="276">
        <f>IFERROR(1/Calculations_APPURT[[#This Row],[Brackets]],0) * cv_F * DeltaSector[[#This Row],[Quantity]] * Hazards_APPURT[[#This Row],[qiz]] * CaAa_APPURT[[#This Row],[Delta Ice 120]]</f>
        <v>0</v>
      </c>
      <c r="KS20" s="276">
        <f>IFERROR(1/Calculations_APPURT[[#This Row],[Brackets]],0) * cv_F * DeltaSector[[#This Row],[Quantity]] * Hazards_APPURT[[#This Row],[qiz]] * CaAa_APPURT[[#This Row],[Delta Ice 135]]</f>
        <v>0</v>
      </c>
      <c r="KT20" s="276">
        <f>IFERROR(1/Calculations_APPURT[[#This Row],[Brackets]],0) * cv_F * DeltaSector[[#This Row],[Quantity]] * Hazards_APPURT[[#This Row],[qiz]] * CaAa_APPURT[[#This Row],[Delta Ice 150]]</f>
        <v>0</v>
      </c>
      <c r="KU20" s="276">
        <f>IFERROR(1/Calculations_APPURT[[#This Row],[Brackets]],0) * cv_F * DeltaSector[[#This Row],[Quantity]] * Hazards_APPURT[[#This Row],[qiz]] * CaAa_APPURT[[#This Row],[Delta Ice 180]]</f>
        <v>0</v>
      </c>
      <c r="KV20" s="276">
        <f>IFERROR(1/Calculations_APPURT[[#This Row],[Brackets]],0) * cv_F * DeltaSector[[#This Row],[Quantity]] * Hazards_APPURT[[#This Row],[qiz]] * CaAa_APPURT[[#This Row],[Delta Ice 210]]</f>
        <v>0</v>
      </c>
      <c r="KW20" s="276">
        <f>IFERROR(1/Calculations_APPURT[[#This Row],[Brackets]],0) * cv_F * DeltaSector[[#This Row],[Quantity]] * Hazards_APPURT[[#This Row],[qiz]] * CaAa_APPURT[[#This Row],[Delta Ice 225]]</f>
        <v>0</v>
      </c>
      <c r="KX20" s="276">
        <f>IFERROR(1/Calculations_APPURT[[#This Row],[Brackets]],0) * cv_F * DeltaSector[[#This Row],[Quantity]] * Hazards_APPURT[[#This Row],[qiz]] * CaAa_APPURT[[#This Row],[Delta Ice 240]]</f>
        <v>0</v>
      </c>
      <c r="KY20" s="276">
        <f>IFERROR(1/Calculations_APPURT[[#This Row],[Brackets]],0) * cv_F * DeltaSector[[#This Row],[Quantity]] * Hazards_APPURT[[#This Row],[qiz]] * CaAa_APPURT[[#This Row],[Delta Ice 270]]</f>
        <v>0</v>
      </c>
      <c r="KZ20" s="276">
        <f>IFERROR(1/Calculations_APPURT[[#This Row],[Brackets]],0) * cv_F * DeltaSector[[#This Row],[Quantity]] * Hazards_APPURT[[#This Row],[qiz]] * CaAa_APPURT[[#This Row],[Delta Ice 300]]</f>
        <v>0</v>
      </c>
      <c r="LA20" s="276">
        <f>IFERROR(1/Calculations_APPURT[[#This Row],[Brackets]],0) * cv_F * DeltaSector[[#This Row],[Quantity]] * Hazards_APPURT[[#This Row],[qiz]] * CaAa_APPURT[[#This Row],[Delta Ice 315]]</f>
        <v>0</v>
      </c>
      <c r="LB20" s="276">
        <f>IFERROR(1/Calculations_APPURT[[#This Row],[Brackets]],0) * cv_F * DeltaSector[[#This Row],[Quantity]] * Hazards_APPURT[[#This Row],[qiz]] * CaAa_APPURT[[#This Row],[Delta Ice 330]]</f>
        <v>0</v>
      </c>
      <c r="LC20" s="338">
        <f>IFERROR(1/Calculations_APPURT[[#This Row],[Brackets]],0) * cv_M/cv_F * Forces_APPURT[[#This Row],[Alpha Fa 0]] * Calculations_APPURT[[#This Row],[Horizontal Offset]]/12</f>
        <v>0</v>
      </c>
      <c r="LD20" s="338">
        <f>IFERROR(1/Calculations_APPURT[[#This Row],[Brackets]],0) * cv_M/cv_F * Forces_APPURT[[#This Row],[Alpha Fa 30]] * Calculations_APPURT[[#This Row],[Horizontal Offset]]/12</f>
        <v>0</v>
      </c>
      <c r="LE20" s="338">
        <f>IFERROR(1/Calculations_APPURT[[#This Row],[Brackets]],0) * cv_M/cv_F * Forces_APPURT[[#This Row],[Alpha Fa 45]] * Calculations_APPURT[[#This Row],[Horizontal Offset]]/12</f>
        <v>0</v>
      </c>
      <c r="LF20" s="338">
        <f>IFERROR(1/Calculations_APPURT[[#This Row],[Brackets]],0) * cv_M/cv_F * Forces_APPURT[[#This Row],[Alpha Fa 60]] * Calculations_APPURT[[#This Row],[Horizontal Offset]]/12</f>
        <v>0</v>
      </c>
      <c r="LG20" s="338">
        <f>IFERROR(1/Calculations_APPURT[[#This Row],[Brackets]],0) * cv_M/cv_F * Forces_APPURT[[#This Row],[Alpha Fa 90]] * Calculations_APPURT[[#This Row],[Horizontal Offset]]/12</f>
        <v>0</v>
      </c>
      <c r="LH20" s="338">
        <f>IFERROR(1/Calculations_APPURT[[#This Row],[Brackets]],0) * cv_M/cv_F * Forces_APPURT[[#This Row],[Alpha Fa 120]] * Calculations_APPURT[[#This Row],[Horizontal Offset]]/12</f>
        <v>0</v>
      </c>
      <c r="LI20" s="338">
        <f>IFERROR(1/Calculations_APPURT[[#This Row],[Brackets]],0) * cv_M/cv_F * Forces_APPURT[[#This Row],[Alpha Fa 135]] * Calculations_APPURT[[#This Row],[Horizontal Offset]]/12</f>
        <v>0</v>
      </c>
      <c r="LJ20" s="338">
        <f>IFERROR(1/Calculations_APPURT[[#This Row],[Brackets]],0) * cv_M/cv_F * Forces_APPURT[[#This Row],[Alpha Fa 150]] * Calculations_APPURT[[#This Row],[Horizontal Offset]]/12</f>
        <v>0</v>
      </c>
      <c r="LK20" s="338">
        <f>IFERROR(1/Calculations_APPURT[[#This Row],[Brackets]],0) * cv_M/cv_F * Forces_APPURT[[#This Row],[Alpha Fa 180]] * Calculations_APPURT[[#This Row],[Horizontal Offset]]/12</f>
        <v>0</v>
      </c>
      <c r="LL20" s="338">
        <f>IFERROR(1/Calculations_APPURT[[#This Row],[Brackets]],0) * cv_M/cv_F * Forces_APPURT[[#This Row],[Alpha Fa 210]] * Calculations_APPURT[[#This Row],[Horizontal Offset]]/12</f>
        <v>0</v>
      </c>
      <c r="LM20" s="338">
        <f>IFERROR(1/Calculations_APPURT[[#This Row],[Brackets]],0) * cv_M/cv_F * Forces_APPURT[[#This Row],[Alpha Fa 225]] * Calculations_APPURT[[#This Row],[Horizontal Offset]]/12</f>
        <v>0</v>
      </c>
      <c r="LN20" s="338">
        <f>IFERROR(1/Calculations_APPURT[[#This Row],[Brackets]],0) * cv_M/cv_F * Forces_APPURT[[#This Row],[Alpha Fa 240]] * Calculations_APPURT[[#This Row],[Horizontal Offset]]/12</f>
        <v>0</v>
      </c>
      <c r="LO20" s="338">
        <f>IFERROR(1/Calculations_APPURT[[#This Row],[Brackets]],0) * cv_M/cv_F * Forces_APPURT[[#This Row],[Alpha Fa 270]] * Calculations_APPURT[[#This Row],[Horizontal Offset]]/12</f>
        <v>0</v>
      </c>
      <c r="LP20" s="338">
        <f>IFERROR(1/Calculations_APPURT[[#This Row],[Brackets]],0) * cv_M/cv_F * Forces_APPURT[[#This Row],[Alpha Fa 300]] * Calculations_APPURT[[#This Row],[Horizontal Offset]]/12</f>
        <v>0</v>
      </c>
      <c r="LQ20" s="338">
        <f>IFERROR(1/Calculations_APPURT[[#This Row],[Brackets]],0) * cv_M/cv_F * Forces_APPURT[[#This Row],[Alpha Fa 315]] * Calculations_APPURT[[#This Row],[Horizontal Offset]]/12</f>
        <v>0</v>
      </c>
      <c r="LR20" s="338">
        <f>IFERROR(1/Calculations_APPURT[[#This Row],[Brackets]],0) * cv_M/cv_F * Forces_APPURT[[#This Row],[Alpha Fa 330]] * Calculations_APPURT[[#This Row],[Horizontal Offset]]/12</f>
        <v>0</v>
      </c>
      <c r="LS20" s="276">
        <f>IFERROR(1/Calculations_APPURT[[#This Row],[Brackets]],0) * cv_M/cv_F * Forces_APPURT[[#This Row],[Beta Fa 0]] * Calculations_APPURT[[#This Row],[Horizontal Offset]]/12</f>
        <v>0</v>
      </c>
      <c r="LT20" s="276">
        <f>IFERROR(1/Calculations_APPURT[[#This Row],[Brackets]],0) * cv_M/cv_F * Forces_APPURT[[#This Row],[Beta Fa 30]] * Calculations_APPURT[[#This Row],[Horizontal Offset]]/12</f>
        <v>0</v>
      </c>
      <c r="LU20" s="276">
        <f>IFERROR(1/Calculations_APPURT[[#This Row],[Brackets]],0) * cv_M/cv_F * Forces_APPURT[[#This Row],[Beta Fa 45]] * Calculations_APPURT[[#This Row],[Horizontal Offset]]/12</f>
        <v>0</v>
      </c>
      <c r="LV20" s="276">
        <f>IFERROR(1/Calculations_APPURT[[#This Row],[Brackets]],0) * cv_M/cv_F * Forces_APPURT[[#This Row],[Beta Fa 60]] * Calculations_APPURT[[#This Row],[Horizontal Offset]]/12</f>
        <v>0</v>
      </c>
      <c r="LW20" s="276">
        <f>IFERROR(1/Calculations_APPURT[[#This Row],[Brackets]],0) * cv_M/cv_F * Forces_APPURT[[#This Row],[Beta Fa 90]] * Calculations_APPURT[[#This Row],[Horizontal Offset]]/12</f>
        <v>0</v>
      </c>
      <c r="LX20" s="276">
        <f>IFERROR(1/Calculations_APPURT[[#This Row],[Brackets]],0) * cv_M/cv_F * Forces_APPURT[[#This Row],[Beta Fa 120]] * Calculations_APPURT[[#This Row],[Horizontal Offset]]/12</f>
        <v>0</v>
      </c>
      <c r="LY20" s="276">
        <f>IFERROR(1/Calculations_APPURT[[#This Row],[Brackets]],0) * cv_M/cv_F * Forces_APPURT[[#This Row],[Beta Fa 135]] * Calculations_APPURT[[#This Row],[Horizontal Offset]]/12</f>
        <v>0</v>
      </c>
      <c r="LZ20" s="276">
        <f>IFERROR(1/Calculations_APPURT[[#This Row],[Brackets]],0) * cv_M/cv_F * Forces_APPURT[[#This Row],[Beta Fa 150]] * Calculations_APPURT[[#This Row],[Horizontal Offset]]/12</f>
        <v>0</v>
      </c>
      <c r="MA20" s="276">
        <f>IFERROR(1/Calculations_APPURT[[#This Row],[Brackets]],0) * cv_M/cv_F * Forces_APPURT[[#This Row],[Beta Fa 180]] * Calculations_APPURT[[#This Row],[Horizontal Offset]]/12</f>
        <v>0</v>
      </c>
      <c r="MB20" s="276">
        <f>IFERROR(1/Calculations_APPURT[[#This Row],[Brackets]],0) * cv_M/cv_F * Forces_APPURT[[#This Row],[Beta Fa 210]] * Calculations_APPURT[[#This Row],[Horizontal Offset]]/12</f>
        <v>0</v>
      </c>
      <c r="MC20" s="276">
        <f>IFERROR(1/Calculations_APPURT[[#This Row],[Brackets]],0) * cv_M/cv_F * Forces_APPURT[[#This Row],[Beta Fa 225]] * Calculations_APPURT[[#This Row],[Horizontal Offset]]/12</f>
        <v>0</v>
      </c>
      <c r="MD20" s="276">
        <f>IFERROR(1/Calculations_APPURT[[#This Row],[Brackets]],0) * cv_M/cv_F * Forces_APPURT[[#This Row],[Beta Fa 240]] * Calculations_APPURT[[#This Row],[Horizontal Offset]]/12</f>
        <v>0</v>
      </c>
      <c r="ME20" s="276">
        <f>IFERROR(1/Calculations_APPURT[[#This Row],[Brackets]],0) * cv_M/cv_F * Forces_APPURT[[#This Row],[Beta Fa 270]] * Calculations_APPURT[[#This Row],[Horizontal Offset]]/12</f>
        <v>0</v>
      </c>
      <c r="MF20" s="276">
        <f>IFERROR(1/Calculations_APPURT[[#This Row],[Brackets]],0) * cv_M/cv_F * Forces_APPURT[[#This Row],[Beta Fa 300]] * Calculations_APPURT[[#This Row],[Horizontal Offset]]/12</f>
        <v>0</v>
      </c>
      <c r="MG20" s="276">
        <f>IFERROR(1/Calculations_APPURT[[#This Row],[Brackets]],0) * cv_M/cv_F * Forces_APPURT[[#This Row],[Beta Fa 315]] * Calculations_APPURT[[#This Row],[Horizontal Offset]]/12</f>
        <v>0</v>
      </c>
      <c r="MH20" s="276">
        <f>IFERROR(1/Calculations_APPURT[[#This Row],[Brackets]],0) * cv_M/cv_F * Forces_APPURT[[#This Row],[Beta Fa 330]] * Calculations_APPURT[[#This Row],[Horizontal Offset]]/12</f>
        <v>0</v>
      </c>
      <c r="MI20" s="338">
        <f>IFERROR(1/Calculations_APPURT[[#This Row],[Brackets]],0) * cv_M/cv_F * Forces_APPURT[[#This Row],[Gamma Fa 0]] * Calculations_APPURT[[#This Row],[Horizontal Offset]]/12</f>
        <v>0</v>
      </c>
      <c r="MJ20" s="338">
        <f>IFERROR(1/Calculations_APPURT[[#This Row],[Brackets]],0) * cv_M/cv_F * Forces_APPURT[[#This Row],[Gamma Fa 30]] * Calculations_APPURT[[#This Row],[Horizontal Offset]]/12</f>
        <v>0</v>
      </c>
      <c r="MK20" s="338">
        <f>IFERROR(1/Calculations_APPURT[[#This Row],[Brackets]],0) * cv_M/cv_F * Forces_APPURT[[#This Row],[Gamma Fa 45]] * Calculations_APPURT[[#This Row],[Horizontal Offset]]/12</f>
        <v>0</v>
      </c>
      <c r="ML20" s="338">
        <f>IFERROR(1/Calculations_APPURT[[#This Row],[Brackets]],0) * cv_M/cv_F * Forces_APPURT[[#This Row],[Gamma Fa 60]] * Calculations_APPURT[[#This Row],[Horizontal Offset]]/12</f>
        <v>0</v>
      </c>
      <c r="MM20" s="338">
        <f>IFERROR(1/Calculations_APPURT[[#This Row],[Brackets]],0) * cv_M/cv_F * Forces_APPURT[[#This Row],[Gamma Fa 90]] * Calculations_APPURT[[#This Row],[Horizontal Offset]]/12</f>
        <v>0</v>
      </c>
      <c r="MN20" s="338">
        <f>IFERROR(1/Calculations_APPURT[[#This Row],[Brackets]],0) * cv_M/cv_F * Forces_APPURT[[#This Row],[Gamma Fa 120]] * Calculations_APPURT[[#This Row],[Horizontal Offset]]/12</f>
        <v>0</v>
      </c>
      <c r="MO20" s="338">
        <f>IFERROR(1/Calculations_APPURT[[#This Row],[Brackets]],0) * cv_M/cv_F * Forces_APPURT[[#This Row],[Gamma Fa 135]] * Calculations_APPURT[[#This Row],[Horizontal Offset]]/12</f>
        <v>0</v>
      </c>
      <c r="MP20" s="338">
        <f>IFERROR(1/Calculations_APPURT[[#This Row],[Brackets]],0) * cv_M/cv_F * Forces_APPURT[[#This Row],[Gamma Fa 150]] * Calculations_APPURT[[#This Row],[Horizontal Offset]]/12</f>
        <v>0</v>
      </c>
      <c r="MQ20" s="338">
        <f>IFERROR(1/Calculations_APPURT[[#This Row],[Brackets]],0) * cv_M/cv_F * Forces_APPURT[[#This Row],[Gamma Fa 180]] * Calculations_APPURT[[#This Row],[Horizontal Offset]]/12</f>
        <v>0</v>
      </c>
      <c r="MR20" s="338">
        <f>IFERROR(1/Calculations_APPURT[[#This Row],[Brackets]],0) * cv_M/cv_F * Forces_APPURT[[#This Row],[Gamma Fa 210]] * Calculations_APPURT[[#This Row],[Horizontal Offset]]/12</f>
        <v>0</v>
      </c>
      <c r="MS20" s="338">
        <f>IFERROR(1/Calculations_APPURT[[#This Row],[Brackets]],0) * cv_M/cv_F * Forces_APPURT[[#This Row],[Gamma Fa 225]] * Calculations_APPURT[[#This Row],[Horizontal Offset]]/12</f>
        <v>0</v>
      </c>
      <c r="MT20" s="338">
        <f>IFERROR(1/Calculations_APPURT[[#This Row],[Brackets]],0) * cv_M/cv_F * Forces_APPURT[[#This Row],[Gamma Fa 240]] * Calculations_APPURT[[#This Row],[Horizontal Offset]]/12</f>
        <v>0</v>
      </c>
      <c r="MU20" s="338">
        <f>IFERROR(1/Calculations_APPURT[[#This Row],[Brackets]],0) * cv_M/cv_F * Forces_APPURT[[#This Row],[Gamma Fa 270]] * Calculations_APPURT[[#This Row],[Horizontal Offset]]/12</f>
        <v>0</v>
      </c>
      <c r="MV20" s="338">
        <f>IFERROR(1/Calculations_APPURT[[#This Row],[Brackets]],0) * cv_M/cv_F * Forces_APPURT[[#This Row],[Gamma Fa 300]] * Calculations_APPURT[[#This Row],[Horizontal Offset]]/12</f>
        <v>0</v>
      </c>
      <c r="MW20" s="338">
        <f>IFERROR(1/Calculations_APPURT[[#This Row],[Brackets]],0) * cv_M/cv_F * Forces_APPURT[[#This Row],[Gamma Fa 315]] * Calculations_APPURT[[#This Row],[Horizontal Offset]]/12</f>
        <v>0</v>
      </c>
      <c r="MX20" s="338">
        <f>IFERROR(1/Calculations_APPURT[[#This Row],[Brackets]],0) * cv_M/cv_F * Forces_APPURT[[#This Row],[Gamma Fa 330]] * Calculations_APPURT[[#This Row],[Horizontal Offset]]/12</f>
        <v>0</v>
      </c>
      <c r="MY20" s="276">
        <f>IFERROR(1/Calculations_APPURT[[#This Row],[Brackets]],0) * cv_M/cv_F * Forces_APPURT[[#This Row],[Delta Fa 0]] * Calculations_APPURT[[#This Row],[Horizontal Offset]]/12</f>
        <v>0</v>
      </c>
      <c r="MZ20" s="276">
        <f>IFERROR(1/Calculations_APPURT[[#This Row],[Brackets]],0) * cv_M/cv_F * Forces_APPURT[[#This Row],[Delta Fa 30]] * Calculations_APPURT[[#This Row],[Horizontal Offset]]/12</f>
        <v>0</v>
      </c>
      <c r="NA20" s="276">
        <f>IFERROR(1/Calculations_APPURT[[#This Row],[Brackets]],0) * cv_M/cv_F * Forces_APPURT[[#This Row],[Delta Fa 45]] * Calculations_APPURT[[#This Row],[Horizontal Offset]]/12</f>
        <v>0</v>
      </c>
      <c r="NB20" s="276">
        <f>IFERROR(1/Calculations_APPURT[[#This Row],[Brackets]],0) * cv_M/cv_F * Forces_APPURT[[#This Row],[Delta Fa 60]] * Calculations_APPURT[[#This Row],[Horizontal Offset]]/12</f>
        <v>0</v>
      </c>
      <c r="NC20" s="276">
        <f>IFERROR(1/Calculations_APPURT[[#This Row],[Brackets]],0) * cv_M/cv_F * Forces_APPURT[[#This Row],[Delta Fa 90]] * Calculations_APPURT[[#This Row],[Horizontal Offset]]/12</f>
        <v>0</v>
      </c>
      <c r="ND20" s="276">
        <f>IFERROR(1/Calculations_APPURT[[#This Row],[Brackets]],0) * cv_M/cv_F * Forces_APPURT[[#This Row],[Delta Fa 120]] * Calculations_APPURT[[#This Row],[Horizontal Offset]]/12</f>
        <v>0</v>
      </c>
      <c r="NE20" s="276">
        <f>IFERROR(1/Calculations_APPURT[[#This Row],[Brackets]],0) * cv_M/cv_F * Forces_APPURT[[#This Row],[Delta Fa 135]] * Calculations_APPURT[[#This Row],[Horizontal Offset]]/12</f>
        <v>0</v>
      </c>
      <c r="NF20" s="276">
        <f>IFERROR(1/Calculations_APPURT[[#This Row],[Brackets]],0) * cv_M/cv_F * Forces_APPURT[[#This Row],[Delta Fa 150]] * Calculations_APPURT[[#This Row],[Horizontal Offset]]/12</f>
        <v>0</v>
      </c>
      <c r="NG20" s="276">
        <f>IFERROR(1/Calculations_APPURT[[#This Row],[Brackets]],0) * cv_M/cv_F * Forces_APPURT[[#This Row],[Delta Fa 180]] * Calculations_APPURT[[#This Row],[Horizontal Offset]]/12</f>
        <v>0</v>
      </c>
      <c r="NH20" s="276">
        <f>IFERROR(1/Calculations_APPURT[[#This Row],[Brackets]],0) * cv_M/cv_F * Forces_APPURT[[#This Row],[Delta Fa 210]] * Calculations_APPURT[[#This Row],[Horizontal Offset]]/12</f>
        <v>0</v>
      </c>
      <c r="NI20" s="276">
        <f>IFERROR(1/Calculations_APPURT[[#This Row],[Brackets]],0) * cv_M/cv_F * Forces_APPURT[[#This Row],[Delta Fa 225]] * Calculations_APPURT[[#This Row],[Horizontal Offset]]/12</f>
        <v>0</v>
      </c>
      <c r="NJ20" s="276">
        <f>IFERROR(1/Calculations_APPURT[[#This Row],[Brackets]],0) * cv_M/cv_F * Forces_APPURT[[#This Row],[Delta Fa 240]] * Calculations_APPURT[[#This Row],[Horizontal Offset]]/12</f>
        <v>0</v>
      </c>
      <c r="NK20" s="276">
        <f>IFERROR(1/Calculations_APPURT[[#This Row],[Brackets]],0) * cv_M/cv_F * Forces_APPURT[[#This Row],[Delta Fa 270]] * Calculations_APPURT[[#This Row],[Horizontal Offset]]/12</f>
        <v>0</v>
      </c>
      <c r="NL20" s="276">
        <f>IFERROR(1/Calculations_APPURT[[#This Row],[Brackets]],0) * cv_M/cv_F * Forces_APPURT[[#This Row],[Delta Fa 300]] * Calculations_APPURT[[#This Row],[Horizontal Offset]]/12</f>
        <v>0</v>
      </c>
      <c r="NM20" s="276">
        <f>IFERROR(1/Calculations_APPURT[[#This Row],[Brackets]],0) * cv_M/cv_F * Forces_APPURT[[#This Row],[Delta Fa 315]] * Calculations_APPURT[[#This Row],[Horizontal Offset]]/12</f>
        <v>0</v>
      </c>
      <c r="NN20" s="276">
        <f>IFERROR(1/Calculations_APPURT[[#This Row],[Brackets]],0) * cv_M/cv_F * Forces_APPURT[[#This Row],[Delta Fa 330]] * Calculations_APPURT[[#This Row],[Horizontal Offset]]/12</f>
        <v>0</v>
      </c>
      <c r="NO20" s="338">
        <f>IFERROR(1/Calculations_APPURT[[#This Row],[Brackets]],0) * cv_M/cv_F * Forces_APPURT[[#This Row],[Alpha Fai 0]] * Calculations_APPURT[[#This Row],[Horizontal Offset]]/12</f>
        <v>0</v>
      </c>
      <c r="NP20" s="338">
        <f>IFERROR(1/Calculations_APPURT[[#This Row],[Brackets]],0) * cv_M/cv_F * Forces_APPURT[[#This Row],[Alpha Fai 30]] * Calculations_APPURT[[#This Row],[Horizontal Offset]]/12</f>
        <v>0</v>
      </c>
      <c r="NQ20" s="338">
        <f>IFERROR(1/Calculations_APPURT[[#This Row],[Brackets]],0) * cv_M/cv_F * Forces_APPURT[[#This Row],[Alpha Fai 45]] * Calculations_APPURT[[#This Row],[Horizontal Offset]]/12</f>
        <v>0</v>
      </c>
      <c r="NR20" s="338">
        <f>IFERROR(1/Calculations_APPURT[[#This Row],[Brackets]],0) * cv_M/cv_F * Forces_APPURT[[#This Row],[Alpha Fai 60]] * Calculations_APPURT[[#This Row],[Horizontal Offset]]/12</f>
        <v>0</v>
      </c>
      <c r="NS20" s="338">
        <f>IFERROR(1/Calculations_APPURT[[#This Row],[Brackets]],0) * cv_M/cv_F * Forces_APPURT[[#This Row],[Alpha Fai 90]] * Calculations_APPURT[[#This Row],[Horizontal Offset]]/12</f>
        <v>0</v>
      </c>
      <c r="NT20" s="338">
        <f>IFERROR(1/Calculations_APPURT[[#This Row],[Brackets]],0) * cv_M/cv_F * Forces_APPURT[[#This Row],[Alpha Fai 120]] * Calculations_APPURT[[#This Row],[Horizontal Offset]]/12</f>
        <v>0</v>
      </c>
      <c r="NU20" s="338">
        <f>IFERROR(1/Calculations_APPURT[[#This Row],[Brackets]],0) * cv_M/cv_F * Forces_APPURT[[#This Row],[Alpha Fai 135]] * Calculations_APPURT[[#This Row],[Horizontal Offset]]/12</f>
        <v>0</v>
      </c>
      <c r="NV20" s="338">
        <f>IFERROR(1/Calculations_APPURT[[#This Row],[Brackets]],0) * cv_M/cv_F * Forces_APPURT[[#This Row],[Alpha Fai 150]] * Calculations_APPURT[[#This Row],[Horizontal Offset]]/12</f>
        <v>0</v>
      </c>
      <c r="NW20" s="338">
        <f>IFERROR(1/Calculations_APPURT[[#This Row],[Brackets]],0) * cv_M/cv_F * Forces_APPURT[[#This Row],[Alpha Fai 180]] * Calculations_APPURT[[#This Row],[Horizontal Offset]]/12</f>
        <v>0</v>
      </c>
      <c r="NX20" s="338">
        <f>IFERROR(1/Calculations_APPURT[[#This Row],[Brackets]],0) * cv_M/cv_F * Forces_APPURT[[#This Row],[Alpha Fai 210]] * Calculations_APPURT[[#This Row],[Horizontal Offset]]/12</f>
        <v>0</v>
      </c>
      <c r="NY20" s="338">
        <f>IFERROR(1/Calculations_APPURT[[#This Row],[Brackets]],0) * cv_M/cv_F * Forces_APPURT[[#This Row],[Alpha Fai 225]] * Calculations_APPURT[[#This Row],[Horizontal Offset]]/12</f>
        <v>0</v>
      </c>
      <c r="NZ20" s="338">
        <f>IFERROR(1/Calculations_APPURT[[#This Row],[Brackets]],0) * cv_M/cv_F * Forces_APPURT[[#This Row],[Alpha Fai 240]] * Calculations_APPURT[[#This Row],[Horizontal Offset]]/12</f>
        <v>0</v>
      </c>
      <c r="OA20" s="338">
        <f>IFERROR(1/Calculations_APPURT[[#This Row],[Brackets]],0) * cv_M/cv_F * Forces_APPURT[[#This Row],[Alpha Fai 270]] * Calculations_APPURT[[#This Row],[Horizontal Offset]]/12</f>
        <v>0</v>
      </c>
      <c r="OB20" s="338">
        <f>IFERROR(1/Calculations_APPURT[[#This Row],[Brackets]],0) * cv_M/cv_F * Forces_APPURT[[#This Row],[Alpha Fai 300]] * Calculations_APPURT[[#This Row],[Horizontal Offset]]/12</f>
        <v>0</v>
      </c>
      <c r="OC20" s="338">
        <f>IFERROR(1/Calculations_APPURT[[#This Row],[Brackets]],0) * cv_M/cv_F * Forces_APPURT[[#This Row],[Alpha Fai 315]] * Calculations_APPURT[[#This Row],[Horizontal Offset]]/12</f>
        <v>0</v>
      </c>
      <c r="OD20" s="338">
        <f>IFERROR(1/Calculations_APPURT[[#This Row],[Brackets]],0) * cv_M/cv_F * Forces_APPURT[[#This Row],[Alpha Fai 330]] * Calculations_APPURT[[#This Row],[Horizontal Offset]]/12</f>
        <v>0</v>
      </c>
      <c r="OE20" s="276">
        <f>IFERROR(1/Calculations_APPURT[[#This Row],[Brackets]],0) * cv_M/cv_F * Forces_APPURT[[#This Row],[Beta Fai 0]] * Calculations_APPURT[[#This Row],[Horizontal Offset]]/12</f>
        <v>0</v>
      </c>
      <c r="OF20" s="276">
        <f>IFERROR(1/Calculations_APPURT[[#This Row],[Brackets]],0) * cv_M/cv_F * Forces_APPURT[[#This Row],[Beta Fai 30]] * Calculations_APPURT[[#This Row],[Horizontal Offset]]/12</f>
        <v>0</v>
      </c>
      <c r="OG20" s="276">
        <f>IFERROR(1/Calculations_APPURT[[#This Row],[Brackets]],0) * cv_M/cv_F * Forces_APPURT[[#This Row],[Beta Fai 45]] * Calculations_APPURT[[#This Row],[Horizontal Offset]]/12</f>
        <v>0</v>
      </c>
      <c r="OH20" s="276">
        <f>IFERROR(1/Calculations_APPURT[[#This Row],[Brackets]],0) * cv_M/cv_F * Forces_APPURT[[#This Row],[Beta Fai 60]] * Calculations_APPURT[[#This Row],[Horizontal Offset]]/12</f>
        <v>0</v>
      </c>
      <c r="OI20" s="276">
        <f>IFERROR(1/Calculations_APPURT[[#This Row],[Brackets]],0) * cv_M/cv_F * Forces_APPURT[[#This Row],[Beta Fai 90]] * Calculations_APPURT[[#This Row],[Horizontal Offset]]/12</f>
        <v>0</v>
      </c>
      <c r="OJ20" s="276">
        <f>IFERROR(1/Calculations_APPURT[[#This Row],[Brackets]],0) * cv_M/cv_F * Forces_APPURT[[#This Row],[Beta Fai 120]] * Calculations_APPURT[[#This Row],[Horizontal Offset]]/12</f>
        <v>0</v>
      </c>
      <c r="OK20" s="276">
        <f>IFERROR(1/Calculations_APPURT[[#This Row],[Brackets]],0) * cv_M/cv_F * Forces_APPURT[[#This Row],[Beta Fai 135]] * Calculations_APPURT[[#This Row],[Horizontal Offset]]/12</f>
        <v>0</v>
      </c>
      <c r="OL20" s="276">
        <f>IFERROR(1/Calculations_APPURT[[#This Row],[Brackets]],0) * cv_M/cv_F * Forces_APPURT[[#This Row],[Beta Fai 150]] * Calculations_APPURT[[#This Row],[Horizontal Offset]]/12</f>
        <v>0</v>
      </c>
      <c r="OM20" s="276">
        <f>IFERROR(1/Calculations_APPURT[[#This Row],[Brackets]],0) * cv_M/cv_F * Forces_APPURT[[#This Row],[Beta Fai 180]] * Calculations_APPURT[[#This Row],[Horizontal Offset]]/12</f>
        <v>0</v>
      </c>
      <c r="ON20" s="276">
        <f>IFERROR(1/Calculations_APPURT[[#This Row],[Brackets]],0) * cv_M/cv_F * Forces_APPURT[[#This Row],[Beta Fai 210]] * Calculations_APPURT[[#This Row],[Horizontal Offset]]/12</f>
        <v>0</v>
      </c>
      <c r="OO20" s="276">
        <f>IFERROR(1/Calculations_APPURT[[#This Row],[Brackets]],0) * cv_M/cv_F * Forces_APPURT[[#This Row],[Beta Fai 225]] * Calculations_APPURT[[#This Row],[Horizontal Offset]]/12</f>
        <v>0</v>
      </c>
      <c r="OP20" s="276">
        <f>IFERROR(1/Calculations_APPURT[[#This Row],[Brackets]],0) * cv_M/cv_F * Forces_APPURT[[#This Row],[Beta Fai 240]] * Calculations_APPURT[[#This Row],[Horizontal Offset]]/12</f>
        <v>0</v>
      </c>
      <c r="OQ20" s="276">
        <f>IFERROR(1/Calculations_APPURT[[#This Row],[Brackets]],0) * cv_M/cv_F * Forces_APPURT[[#This Row],[Beta Fai 270]] * Calculations_APPURT[[#This Row],[Horizontal Offset]]/12</f>
        <v>0</v>
      </c>
      <c r="OR20" s="276">
        <f>IFERROR(1/Calculations_APPURT[[#This Row],[Brackets]],0) * cv_M/cv_F * Forces_APPURT[[#This Row],[Beta Fai 300]] * Calculations_APPURT[[#This Row],[Horizontal Offset]]/12</f>
        <v>0</v>
      </c>
      <c r="OS20" s="276">
        <f>IFERROR(1/Calculations_APPURT[[#This Row],[Brackets]],0) * cv_M/cv_F * Forces_APPURT[[#This Row],[Beta Fai 315]] * Calculations_APPURT[[#This Row],[Horizontal Offset]]/12</f>
        <v>0</v>
      </c>
      <c r="OT20" s="276">
        <f>IFERROR(1/Calculations_APPURT[[#This Row],[Brackets]],0) * cv_M/cv_F * Forces_APPURT[[#This Row],[Beta Fai 330]] * Calculations_APPURT[[#This Row],[Horizontal Offset]]/12</f>
        <v>0</v>
      </c>
      <c r="OU20" s="338">
        <f>IFERROR(1/Calculations_APPURT[[#This Row],[Brackets]],0) * cv_M/cv_F * Forces_APPURT[[#This Row],[Gamma Fai 0]] * Calculations_APPURT[[#This Row],[Horizontal Offset]]/12</f>
        <v>0</v>
      </c>
      <c r="OV20" s="338">
        <f>IFERROR(1/Calculations_APPURT[[#This Row],[Brackets]],0) * cv_M/cv_F * Forces_APPURT[[#This Row],[Gamma Fai 30]] * Calculations_APPURT[[#This Row],[Horizontal Offset]]/12</f>
        <v>0</v>
      </c>
      <c r="OW20" s="338">
        <f>IFERROR(1/Calculations_APPURT[[#This Row],[Brackets]],0) * cv_M/cv_F * Forces_APPURT[[#This Row],[Gamma Fai 45]] * Calculations_APPURT[[#This Row],[Horizontal Offset]]/12</f>
        <v>0</v>
      </c>
      <c r="OX20" s="338">
        <f>IFERROR(1/Calculations_APPURT[[#This Row],[Brackets]],0) * cv_M/cv_F * Forces_APPURT[[#This Row],[Gamma Fai 60]] * Calculations_APPURT[[#This Row],[Horizontal Offset]]/12</f>
        <v>0</v>
      </c>
      <c r="OY20" s="338">
        <f>IFERROR(1/Calculations_APPURT[[#This Row],[Brackets]],0) * cv_M/cv_F * Forces_APPURT[[#This Row],[Gamma Fai 90]] * Calculations_APPURT[[#This Row],[Horizontal Offset]]/12</f>
        <v>0</v>
      </c>
      <c r="OZ20" s="338">
        <f>IFERROR(1/Calculations_APPURT[[#This Row],[Brackets]],0) * cv_M/cv_F * Forces_APPURT[[#This Row],[Gamma Fai 120]] * Calculations_APPURT[[#This Row],[Horizontal Offset]]/12</f>
        <v>0</v>
      </c>
      <c r="PA20" s="338">
        <f>IFERROR(1/Calculations_APPURT[[#This Row],[Brackets]],0) * cv_M/cv_F * Forces_APPURT[[#This Row],[Gamma Fai 135]] * Calculations_APPURT[[#This Row],[Horizontal Offset]]/12</f>
        <v>0</v>
      </c>
      <c r="PB20" s="338">
        <f>IFERROR(1/Calculations_APPURT[[#This Row],[Brackets]],0) * cv_M/cv_F * Forces_APPURT[[#This Row],[Gamma Fai 150]] * Calculations_APPURT[[#This Row],[Horizontal Offset]]/12</f>
        <v>0</v>
      </c>
      <c r="PC20" s="338">
        <f>IFERROR(1/Calculations_APPURT[[#This Row],[Brackets]],0) * cv_M/cv_F * Forces_APPURT[[#This Row],[Gamma Fai 180]] * Calculations_APPURT[[#This Row],[Horizontal Offset]]/12</f>
        <v>0</v>
      </c>
      <c r="PD20" s="338">
        <f>IFERROR(1/Calculations_APPURT[[#This Row],[Brackets]],0) * cv_M/cv_F * Forces_APPURT[[#This Row],[Gamma Fai 210]] * Calculations_APPURT[[#This Row],[Horizontal Offset]]/12</f>
        <v>0</v>
      </c>
      <c r="PE20" s="338">
        <f>IFERROR(1/Calculations_APPURT[[#This Row],[Brackets]],0) * cv_M/cv_F * Forces_APPURT[[#This Row],[Gamma Fai 225]] * Calculations_APPURT[[#This Row],[Horizontal Offset]]/12</f>
        <v>0</v>
      </c>
      <c r="PF20" s="338">
        <f>IFERROR(1/Calculations_APPURT[[#This Row],[Brackets]],0) * cv_M/cv_F * Forces_APPURT[[#This Row],[Gamma Fai 240]] * Calculations_APPURT[[#This Row],[Horizontal Offset]]/12</f>
        <v>0</v>
      </c>
      <c r="PG20" s="338">
        <f>IFERROR(1/Calculations_APPURT[[#This Row],[Brackets]],0) * cv_M/cv_F * Forces_APPURT[[#This Row],[Gamma Fai 270]] * Calculations_APPURT[[#This Row],[Horizontal Offset]]/12</f>
        <v>0</v>
      </c>
      <c r="PH20" s="338">
        <f>IFERROR(1/Calculations_APPURT[[#This Row],[Brackets]],0) * cv_M/cv_F * Forces_APPURT[[#This Row],[Gamma Fai 300]] * Calculations_APPURT[[#This Row],[Horizontal Offset]]/12</f>
        <v>0</v>
      </c>
      <c r="PI20" s="338">
        <f>IFERROR(1/Calculations_APPURT[[#This Row],[Brackets]],0) * cv_M/cv_F * Forces_APPURT[[#This Row],[Gamma Fai 315]] * Calculations_APPURT[[#This Row],[Horizontal Offset]]/12</f>
        <v>0</v>
      </c>
      <c r="PJ20" s="338">
        <f>IFERROR(1/Calculations_APPURT[[#This Row],[Brackets]],0) * cv_M/cv_F * Forces_APPURT[[#This Row],[Gamma Fai 330]] * Calculations_APPURT[[#This Row],[Horizontal Offset]]/12</f>
        <v>0</v>
      </c>
      <c r="PK20" s="276">
        <f>IFERROR(1/Calculations_APPURT[[#This Row],[Brackets]],0) * cv_M/cv_F * Forces_APPURT[[#This Row],[Delta Fai 0]] * Calculations_APPURT[[#This Row],[Horizontal Offset]]/12</f>
        <v>0</v>
      </c>
      <c r="PL20" s="276">
        <f>IFERROR(1/Calculations_APPURT[[#This Row],[Brackets]],0) * cv_M/cv_F * Forces_APPURT[[#This Row],[Delta Fai 30]] * Calculations_APPURT[[#This Row],[Horizontal Offset]]/12</f>
        <v>0</v>
      </c>
      <c r="PM20" s="276">
        <f>IFERROR(1/Calculations_APPURT[[#This Row],[Brackets]],0) * cv_M/cv_F * Forces_APPURT[[#This Row],[Delta Fai 45]] * Calculations_APPURT[[#This Row],[Horizontal Offset]]/12</f>
        <v>0</v>
      </c>
      <c r="PN20" s="276">
        <f>IFERROR(1/Calculations_APPURT[[#This Row],[Brackets]],0) * cv_M/cv_F * Forces_APPURT[[#This Row],[Delta Fai 60]] * Calculations_APPURT[[#This Row],[Horizontal Offset]]/12</f>
        <v>0</v>
      </c>
      <c r="PO20" s="276">
        <f>IFERROR(1/Calculations_APPURT[[#This Row],[Brackets]],0) * cv_M/cv_F * Forces_APPURT[[#This Row],[Delta Fai 90]] * Calculations_APPURT[[#This Row],[Horizontal Offset]]/12</f>
        <v>0</v>
      </c>
      <c r="PP20" s="276">
        <f>IFERROR(1/Calculations_APPURT[[#This Row],[Brackets]],0) * cv_M/cv_F * Forces_APPURT[[#This Row],[Delta Fai 120]] * Calculations_APPURT[[#This Row],[Horizontal Offset]]/12</f>
        <v>0</v>
      </c>
      <c r="PQ20" s="276">
        <f>IFERROR(1/Calculations_APPURT[[#This Row],[Brackets]],0) * cv_M/cv_F * Forces_APPURT[[#This Row],[Delta Fai 135]] * Calculations_APPURT[[#This Row],[Horizontal Offset]]/12</f>
        <v>0</v>
      </c>
      <c r="PR20" s="276">
        <f>IFERROR(1/Calculations_APPURT[[#This Row],[Brackets]],0) * cv_M/cv_F * Forces_APPURT[[#This Row],[Delta Fai 150]] * Calculations_APPURT[[#This Row],[Horizontal Offset]]/12</f>
        <v>0</v>
      </c>
      <c r="PS20" s="276">
        <f>IFERROR(1/Calculations_APPURT[[#This Row],[Brackets]],0) * cv_M/cv_F * Forces_APPURT[[#This Row],[Delta Fai 180]] * Calculations_APPURT[[#This Row],[Horizontal Offset]]/12</f>
        <v>0</v>
      </c>
      <c r="PT20" s="276">
        <f>IFERROR(1/Calculations_APPURT[[#This Row],[Brackets]],0) * cv_M/cv_F * Forces_APPURT[[#This Row],[Delta Fai 210]] * Calculations_APPURT[[#This Row],[Horizontal Offset]]/12</f>
        <v>0</v>
      </c>
      <c r="PU20" s="276">
        <f>IFERROR(1/Calculations_APPURT[[#This Row],[Brackets]],0) * cv_M/cv_F * Forces_APPURT[[#This Row],[Delta Fai 225]] * Calculations_APPURT[[#This Row],[Horizontal Offset]]/12</f>
        <v>0</v>
      </c>
      <c r="PV20" s="276">
        <f>IFERROR(1/Calculations_APPURT[[#This Row],[Brackets]],0) * cv_M/cv_F * Forces_APPURT[[#This Row],[Delta Fai 240]] * Calculations_APPURT[[#This Row],[Horizontal Offset]]/12</f>
        <v>0</v>
      </c>
      <c r="PW20" s="276">
        <f>IFERROR(1/Calculations_APPURT[[#This Row],[Brackets]],0) * cv_M/cv_F * Forces_APPURT[[#This Row],[Delta Fai 270]] * Calculations_APPURT[[#This Row],[Horizontal Offset]]/12</f>
        <v>0</v>
      </c>
      <c r="PX20" s="276">
        <f>IFERROR(1/Calculations_APPURT[[#This Row],[Brackets]],0) * cv_M/cv_F * Forces_APPURT[[#This Row],[Delta Fai 300]] * Calculations_APPURT[[#This Row],[Horizontal Offset]]/12</f>
        <v>0</v>
      </c>
      <c r="PY20" s="276">
        <f>IFERROR(1/Calculations_APPURT[[#This Row],[Brackets]],0) * cv_M/cv_F * Forces_APPURT[[#This Row],[Delta Fai 315]] * Calculations_APPURT[[#This Row],[Horizontal Offset]]/12</f>
        <v>0</v>
      </c>
      <c r="PZ20" s="276">
        <f>IFERROR(1/Calculations_APPURT[[#This Row],[Brackets]],0) * cv_M/cv_F * Forces_APPURT[[#This Row],[Delta Fai 330]] * Calculations_APPURT[[#This Row],[Horizontal Offset]]/12</f>
        <v>0</v>
      </c>
      <c r="QA20" s="338">
        <f>IFERROR(1/Calculations_APPURT[[#This Row],[Brackets]],0) * cv_M/cv_F * Forces_APPURT[[#This Row],[Alpha Fa 0]] * Calculations_APPURT[[#This Row],[Lateral Offset]]/12</f>
        <v>0</v>
      </c>
      <c r="QB20" s="338">
        <f>IFERROR(1/Calculations_APPURT[[#This Row],[Brackets]],0) * cv_M/cv_F * Forces_APPURT[[#This Row],[Alpha Fa 30]] * Calculations_APPURT[[#This Row],[Lateral Offset]]/12</f>
        <v>0</v>
      </c>
      <c r="QC20" s="338">
        <f>IFERROR(1/Calculations_APPURT[[#This Row],[Brackets]],0) * cv_M/cv_F * Forces_APPURT[[#This Row],[Alpha Fa 45]] * Calculations_APPURT[[#This Row],[Lateral Offset]]/12</f>
        <v>0</v>
      </c>
      <c r="QD20" s="338">
        <f>IFERROR(1/Calculations_APPURT[[#This Row],[Brackets]],0) * cv_M/cv_F * Forces_APPURT[[#This Row],[Alpha Fa 60]] * Calculations_APPURT[[#This Row],[Lateral Offset]]/12</f>
        <v>0</v>
      </c>
      <c r="QE20" s="338">
        <f>IFERROR(1/Calculations_APPURT[[#This Row],[Brackets]],0) * cv_M/cv_F * Forces_APPURT[[#This Row],[Alpha Fa 90]] * Calculations_APPURT[[#This Row],[Lateral Offset]]/12</f>
        <v>0</v>
      </c>
      <c r="QF20" s="338">
        <f>IFERROR(1/Calculations_APPURT[[#This Row],[Brackets]],0) * cv_M/cv_F * Forces_APPURT[[#This Row],[Alpha Fa 120]] * Calculations_APPURT[[#This Row],[Lateral Offset]]/12</f>
        <v>0</v>
      </c>
      <c r="QG20" s="338">
        <f>IFERROR(1/Calculations_APPURT[[#This Row],[Brackets]],0) * cv_M/cv_F * Forces_APPURT[[#This Row],[Alpha Fa 135]] * Calculations_APPURT[[#This Row],[Lateral Offset]]/12</f>
        <v>0</v>
      </c>
      <c r="QH20" s="338">
        <f>IFERROR(1/Calculations_APPURT[[#This Row],[Brackets]],0) * cv_M/cv_F * Forces_APPURT[[#This Row],[Alpha Fa 150]] * Calculations_APPURT[[#This Row],[Lateral Offset]]/12</f>
        <v>0</v>
      </c>
      <c r="QI20" s="338">
        <f>IFERROR(1/Calculations_APPURT[[#This Row],[Brackets]],0) * cv_M/cv_F * Forces_APPURT[[#This Row],[Alpha Fa 180]] * Calculations_APPURT[[#This Row],[Lateral Offset]]/12</f>
        <v>0</v>
      </c>
      <c r="QJ20" s="338">
        <f>IFERROR(1/Calculations_APPURT[[#This Row],[Brackets]],0) * cv_M/cv_F * Forces_APPURT[[#This Row],[Alpha Fa 210]] * Calculations_APPURT[[#This Row],[Lateral Offset]]/12</f>
        <v>0</v>
      </c>
      <c r="QK20" s="338">
        <f>IFERROR(1/Calculations_APPURT[[#This Row],[Brackets]],0) * cv_M/cv_F * Forces_APPURT[[#This Row],[Alpha Fa 225]] * Calculations_APPURT[[#This Row],[Lateral Offset]]/12</f>
        <v>0</v>
      </c>
      <c r="QL20" s="338">
        <f>IFERROR(1/Calculations_APPURT[[#This Row],[Brackets]],0) * cv_M/cv_F * Forces_APPURT[[#This Row],[Alpha Fa 240]] * Calculations_APPURT[[#This Row],[Lateral Offset]]/12</f>
        <v>0</v>
      </c>
      <c r="QM20" s="338">
        <f>IFERROR(1/Calculations_APPURT[[#This Row],[Brackets]],0) * cv_M/cv_F * Forces_APPURT[[#This Row],[Alpha Fa 270]] * Calculations_APPURT[[#This Row],[Lateral Offset]]/12</f>
        <v>0</v>
      </c>
      <c r="QN20" s="338">
        <f>IFERROR(1/Calculations_APPURT[[#This Row],[Brackets]],0) * cv_M/cv_F * Forces_APPURT[[#This Row],[Alpha Fa 300]] * Calculations_APPURT[[#This Row],[Lateral Offset]]/12</f>
        <v>0</v>
      </c>
      <c r="QO20" s="338">
        <f>IFERROR(1/Calculations_APPURT[[#This Row],[Brackets]],0) * cv_M/cv_F * Forces_APPURT[[#This Row],[Alpha Fa 315]] * Calculations_APPURT[[#This Row],[Lateral Offset]]/12</f>
        <v>0</v>
      </c>
      <c r="QP20" s="338">
        <f>IFERROR(1/Calculations_APPURT[[#This Row],[Brackets]],0) * cv_M/cv_F * Forces_APPURT[[#This Row],[Alpha Fa 330]] * Calculations_APPURT[[#This Row],[Lateral Offset]]/12</f>
        <v>0</v>
      </c>
      <c r="QQ20" s="276">
        <f>IFERROR(1/Calculations_APPURT[[#This Row],[Brackets]],0) * cv_M/cv_F * Forces_APPURT[[#This Row],[Beta Fa 0]] * Calculations_APPURT[[#This Row],[Lateral Offset]]/12</f>
        <v>0</v>
      </c>
      <c r="QR20" s="276">
        <f>IFERROR(1/Calculations_APPURT[[#This Row],[Brackets]],0) * cv_M/cv_F * Forces_APPURT[[#This Row],[Beta Fa 30]] * Calculations_APPURT[[#This Row],[Lateral Offset]]/12</f>
        <v>0</v>
      </c>
      <c r="QS20" s="276">
        <f>IFERROR(1/Calculations_APPURT[[#This Row],[Brackets]],0) * cv_M/cv_F * Forces_APPURT[[#This Row],[Beta Fa 45]] * Calculations_APPURT[[#This Row],[Lateral Offset]]/12</f>
        <v>0</v>
      </c>
      <c r="QT20" s="276">
        <f>IFERROR(1/Calculations_APPURT[[#This Row],[Brackets]],0) * cv_M/cv_F * Forces_APPURT[[#This Row],[Beta Fa 60]] * Calculations_APPURT[[#This Row],[Lateral Offset]]/12</f>
        <v>0</v>
      </c>
      <c r="QU20" s="276">
        <f>IFERROR(1/Calculations_APPURT[[#This Row],[Brackets]],0) * cv_M/cv_F * Forces_APPURT[[#This Row],[Beta Fa 90]] * Calculations_APPURT[[#This Row],[Lateral Offset]]/12</f>
        <v>0</v>
      </c>
      <c r="QV20" s="276">
        <f>IFERROR(1/Calculations_APPURT[[#This Row],[Brackets]],0) * cv_M/cv_F * Forces_APPURT[[#This Row],[Beta Fa 120]] * Calculations_APPURT[[#This Row],[Lateral Offset]]/12</f>
        <v>0</v>
      </c>
      <c r="QW20" s="276">
        <f>IFERROR(1/Calculations_APPURT[[#This Row],[Brackets]],0) * cv_M/cv_F * Forces_APPURT[[#This Row],[Beta Fa 135]] * Calculations_APPURT[[#This Row],[Lateral Offset]]/12</f>
        <v>0</v>
      </c>
      <c r="QX20" s="276">
        <f>IFERROR(1/Calculations_APPURT[[#This Row],[Brackets]],0) * cv_M/cv_F * Forces_APPURT[[#This Row],[Beta Fa 150]] * Calculations_APPURT[[#This Row],[Lateral Offset]]/12</f>
        <v>0</v>
      </c>
      <c r="QY20" s="276">
        <f>IFERROR(1/Calculations_APPURT[[#This Row],[Brackets]],0) * cv_M/cv_F * Forces_APPURT[[#This Row],[Beta Fa 180]] * Calculations_APPURT[[#This Row],[Lateral Offset]]/12</f>
        <v>0</v>
      </c>
      <c r="QZ20" s="276">
        <f>IFERROR(1/Calculations_APPURT[[#This Row],[Brackets]],0) * cv_M/cv_F * Forces_APPURT[[#This Row],[Beta Fa 210]] * Calculations_APPURT[[#This Row],[Lateral Offset]]/12</f>
        <v>0</v>
      </c>
      <c r="RA20" s="276">
        <f>IFERROR(1/Calculations_APPURT[[#This Row],[Brackets]],0) * cv_M/cv_F * Forces_APPURT[[#This Row],[Beta Fa 225]] * Calculations_APPURT[[#This Row],[Lateral Offset]]/12</f>
        <v>0</v>
      </c>
      <c r="RB20" s="276">
        <f>IFERROR(1/Calculations_APPURT[[#This Row],[Brackets]],0) * cv_M/cv_F * Forces_APPURT[[#This Row],[Beta Fa 240]] * Calculations_APPURT[[#This Row],[Lateral Offset]]/12</f>
        <v>0</v>
      </c>
      <c r="RC20" s="276">
        <f>IFERROR(1/Calculations_APPURT[[#This Row],[Brackets]],0) * cv_M/cv_F * Forces_APPURT[[#This Row],[Beta Fa 270]] * Calculations_APPURT[[#This Row],[Lateral Offset]]/12</f>
        <v>0</v>
      </c>
      <c r="RD20" s="276">
        <f>IFERROR(1/Calculations_APPURT[[#This Row],[Brackets]],0) * cv_M/cv_F * Forces_APPURT[[#This Row],[Beta Fa 300]] * Calculations_APPURT[[#This Row],[Lateral Offset]]/12</f>
        <v>0</v>
      </c>
      <c r="RE20" s="276">
        <f>IFERROR(1/Calculations_APPURT[[#This Row],[Brackets]],0) * cv_M/cv_F * Forces_APPURT[[#This Row],[Beta Fa 315]] * Calculations_APPURT[[#This Row],[Lateral Offset]]/12</f>
        <v>0</v>
      </c>
      <c r="RF20" s="276">
        <f>IFERROR(1/Calculations_APPURT[[#This Row],[Brackets]],0) * cv_M/cv_F * Forces_APPURT[[#This Row],[Beta Fa 330]] * Calculations_APPURT[[#This Row],[Lateral Offset]]/12</f>
        <v>0</v>
      </c>
      <c r="RG20" s="338">
        <f>IFERROR(1/Calculations_APPURT[[#This Row],[Brackets]],0) * cv_M/cv_F * Forces_APPURT[[#This Row],[Gamma Fa 0]] * Calculations_APPURT[[#This Row],[Lateral Offset]]/12</f>
        <v>0</v>
      </c>
      <c r="RH20" s="338">
        <f>IFERROR(1/Calculations_APPURT[[#This Row],[Brackets]],0) * cv_M/cv_F * Forces_APPURT[[#This Row],[Gamma Fa 30]] * Calculations_APPURT[[#This Row],[Lateral Offset]]/12</f>
        <v>0</v>
      </c>
      <c r="RI20" s="338">
        <f>IFERROR(1/Calculations_APPURT[[#This Row],[Brackets]],0) * cv_M/cv_F * Forces_APPURT[[#This Row],[Gamma Fa 45]] * Calculations_APPURT[[#This Row],[Lateral Offset]]/12</f>
        <v>0</v>
      </c>
      <c r="RJ20" s="338">
        <f>IFERROR(1/Calculations_APPURT[[#This Row],[Brackets]],0) * cv_M/cv_F * Forces_APPURT[[#This Row],[Gamma Fa 60]] * Calculations_APPURT[[#This Row],[Lateral Offset]]/12</f>
        <v>0</v>
      </c>
      <c r="RK20" s="338">
        <f>IFERROR(1/Calculations_APPURT[[#This Row],[Brackets]],0) * cv_M/cv_F * Forces_APPURT[[#This Row],[Gamma Fa 90]] * Calculations_APPURT[[#This Row],[Lateral Offset]]/12</f>
        <v>0</v>
      </c>
      <c r="RL20" s="338">
        <f>IFERROR(1/Calculations_APPURT[[#This Row],[Brackets]],0) * cv_M/cv_F * Forces_APPURT[[#This Row],[Gamma Fa 120]] * Calculations_APPURT[[#This Row],[Lateral Offset]]/12</f>
        <v>0</v>
      </c>
      <c r="RM20" s="338">
        <f>IFERROR(1/Calculations_APPURT[[#This Row],[Brackets]],0) * cv_M/cv_F * Forces_APPURT[[#This Row],[Gamma Fa 135]] * Calculations_APPURT[[#This Row],[Lateral Offset]]/12</f>
        <v>0</v>
      </c>
      <c r="RN20" s="338">
        <f>IFERROR(1/Calculations_APPURT[[#This Row],[Brackets]],0) * cv_M/cv_F * Forces_APPURT[[#This Row],[Gamma Fa 150]] * Calculations_APPURT[[#This Row],[Lateral Offset]]/12</f>
        <v>0</v>
      </c>
      <c r="RO20" s="338">
        <f>IFERROR(1/Calculations_APPURT[[#This Row],[Brackets]],0) * cv_M/cv_F * Forces_APPURT[[#This Row],[Gamma Fa 180]] * Calculations_APPURT[[#This Row],[Lateral Offset]]/12</f>
        <v>0</v>
      </c>
      <c r="RP20" s="338">
        <f>IFERROR(1/Calculations_APPURT[[#This Row],[Brackets]],0) * cv_M/cv_F * Forces_APPURT[[#This Row],[Gamma Fa 210]] * Calculations_APPURT[[#This Row],[Lateral Offset]]/12</f>
        <v>0</v>
      </c>
      <c r="RQ20" s="338">
        <f>IFERROR(1/Calculations_APPURT[[#This Row],[Brackets]],0) * cv_M/cv_F * Forces_APPURT[[#This Row],[Gamma Fa 225]] * Calculations_APPURT[[#This Row],[Lateral Offset]]/12</f>
        <v>0</v>
      </c>
      <c r="RR20" s="338">
        <f>IFERROR(1/Calculations_APPURT[[#This Row],[Brackets]],0) * cv_M/cv_F * Forces_APPURT[[#This Row],[Gamma Fa 240]] * Calculations_APPURT[[#This Row],[Lateral Offset]]/12</f>
        <v>0</v>
      </c>
      <c r="RS20" s="338">
        <f>IFERROR(1/Calculations_APPURT[[#This Row],[Brackets]],0) * cv_M/cv_F * Forces_APPURT[[#This Row],[Gamma Fa 270]] * Calculations_APPURT[[#This Row],[Lateral Offset]]/12</f>
        <v>0</v>
      </c>
      <c r="RT20" s="338">
        <f>IFERROR(1/Calculations_APPURT[[#This Row],[Brackets]],0) * cv_M/cv_F * Forces_APPURT[[#This Row],[Gamma Fa 300]] * Calculations_APPURT[[#This Row],[Lateral Offset]]/12</f>
        <v>0</v>
      </c>
      <c r="RU20" s="338">
        <f>IFERROR(1/Calculations_APPURT[[#This Row],[Brackets]],0) * cv_M/cv_F * Forces_APPURT[[#This Row],[Gamma Fa 315]] * Calculations_APPURT[[#This Row],[Lateral Offset]]/12</f>
        <v>0</v>
      </c>
      <c r="RV20" s="338">
        <f>IFERROR(1/Calculations_APPURT[[#This Row],[Brackets]],0) * cv_M/cv_F * Forces_APPURT[[#This Row],[Gamma Fa 330]] * Calculations_APPURT[[#This Row],[Lateral Offset]]/12</f>
        <v>0</v>
      </c>
      <c r="RW20" s="276">
        <f>IFERROR(1/Calculations_APPURT[[#This Row],[Brackets]],0) * cv_M/cv_F * Forces_APPURT[[#This Row],[Delta Fa 0]] * Calculations_APPURT[[#This Row],[Lateral Offset]]/12</f>
        <v>0</v>
      </c>
      <c r="RX20" s="276">
        <f>IFERROR(1/Calculations_APPURT[[#This Row],[Brackets]],0) * cv_M/cv_F * Forces_APPURT[[#This Row],[Delta Fa 30]] * Calculations_APPURT[[#This Row],[Lateral Offset]]/12</f>
        <v>0</v>
      </c>
      <c r="RY20" s="276">
        <f>IFERROR(1/Calculations_APPURT[[#This Row],[Brackets]],0) * cv_M/cv_F * Forces_APPURT[[#This Row],[Delta Fa 45]] * Calculations_APPURT[[#This Row],[Lateral Offset]]/12</f>
        <v>0</v>
      </c>
      <c r="RZ20" s="276">
        <f>IFERROR(1/Calculations_APPURT[[#This Row],[Brackets]],0) * cv_M/cv_F * Forces_APPURT[[#This Row],[Delta Fa 60]] * Calculations_APPURT[[#This Row],[Lateral Offset]]/12</f>
        <v>0</v>
      </c>
      <c r="SA20" s="276">
        <f>IFERROR(1/Calculations_APPURT[[#This Row],[Brackets]],0) * cv_M/cv_F * Forces_APPURT[[#This Row],[Delta Fa 90]] * Calculations_APPURT[[#This Row],[Lateral Offset]]/12</f>
        <v>0</v>
      </c>
      <c r="SB20" s="276">
        <f>IFERROR(1/Calculations_APPURT[[#This Row],[Brackets]],0) * cv_M/cv_F * Forces_APPURT[[#This Row],[Delta Fa 120]] * Calculations_APPURT[[#This Row],[Lateral Offset]]/12</f>
        <v>0</v>
      </c>
      <c r="SC20" s="276">
        <f>IFERROR(1/Calculations_APPURT[[#This Row],[Brackets]],0) * cv_M/cv_F * Forces_APPURT[[#This Row],[Delta Fa 135]] * Calculations_APPURT[[#This Row],[Lateral Offset]]/12</f>
        <v>0</v>
      </c>
      <c r="SD20" s="276">
        <f>IFERROR(1/Calculations_APPURT[[#This Row],[Brackets]],0) * cv_M/cv_F * Forces_APPURT[[#This Row],[Delta Fa 150]] * Calculations_APPURT[[#This Row],[Lateral Offset]]/12</f>
        <v>0</v>
      </c>
      <c r="SE20" s="276">
        <f>IFERROR(1/Calculations_APPURT[[#This Row],[Brackets]],0) * cv_M/cv_F * Forces_APPURT[[#This Row],[Delta Fa 180]] * Calculations_APPURT[[#This Row],[Lateral Offset]]/12</f>
        <v>0</v>
      </c>
      <c r="SF20" s="276">
        <f>IFERROR(1/Calculations_APPURT[[#This Row],[Brackets]],0) * cv_M/cv_F * Forces_APPURT[[#This Row],[Delta Fa 210]] * Calculations_APPURT[[#This Row],[Lateral Offset]]/12</f>
        <v>0</v>
      </c>
      <c r="SG20" s="276">
        <f>IFERROR(1/Calculations_APPURT[[#This Row],[Brackets]],0) * cv_M/cv_F * Forces_APPURT[[#This Row],[Delta Fa 225]] * Calculations_APPURT[[#This Row],[Lateral Offset]]/12</f>
        <v>0</v>
      </c>
      <c r="SH20" s="276">
        <f>IFERROR(1/Calculations_APPURT[[#This Row],[Brackets]],0) * cv_M/cv_F * Forces_APPURT[[#This Row],[Delta Fa 240]] * Calculations_APPURT[[#This Row],[Lateral Offset]]/12</f>
        <v>0</v>
      </c>
      <c r="SI20" s="276">
        <f>IFERROR(1/Calculations_APPURT[[#This Row],[Brackets]],0) * cv_M/cv_F * Forces_APPURT[[#This Row],[Delta Fa 270]] * Calculations_APPURT[[#This Row],[Lateral Offset]]/12</f>
        <v>0</v>
      </c>
      <c r="SJ20" s="276">
        <f>IFERROR(1/Calculations_APPURT[[#This Row],[Brackets]],0) * cv_M/cv_F * Forces_APPURT[[#This Row],[Delta Fa 300]] * Calculations_APPURT[[#This Row],[Lateral Offset]]/12</f>
        <v>0</v>
      </c>
      <c r="SK20" s="276">
        <f>IFERROR(1/Calculations_APPURT[[#This Row],[Brackets]],0) * cv_M/cv_F * Forces_APPURT[[#This Row],[Delta Fa 315]] * Calculations_APPURT[[#This Row],[Lateral Offset]]/12</f>
        <v>0</v>
      </c>
      <c r="SL20" s="276">
        <f>IFERROR(1/Calculations_APPURT[[#This Row],[Brackets]],0) * cv_M/cv_F * Forces_APPURT[[#This Row],[Delta Fa 330]] * Calculations_APPURT[[#This Row],[Lateral Offset]]/12</f>
        <v>0</v>
      </c>
      <c r="SM20" s="338">
        <f>IFERROR(1/Calculations_APPURT[[#This Row],[Brackets]],0) * cv_M/cv_F * Forces_APPURT[[#This Row],[Alpha Fai 0]] * Calculations_APPURT[[#This Row],[Lateral Offset]]/12</f>
        <v>0</v>
      </c>
      <c r="SN20" s="338">
        <f>IFERROR(1/Calculations_APPURT[[#This Row],[Brackets]],0) * cv_M/cv_F * Forces_APPURT[[#This Row],[Alpha Fai 30]] * Calculations_APPURT[[#This Row],[Lateral Offset]]/12</f>
        <v>0</v>
      </c>
      <c r="SO20" s="338">
        <f>IFERROR(1/Calculations_APPURT[[#This Row],[Brackets]],0) * cv_M/cv_F * Forces_APPURT[[#This Row],[Alpha Fai 45]] * Calculations_APPURT[[#This Row],[Lateral Offset]]/12</f>
        <v>0</v>
      </c>
      <c r="SP20" s="338">
        <f>IFERROR(1/Calculations_APPURT[[#This Row],[Brackets]],0) * cv_M/cv_F * Forces_APPURT[[#This Row],[Alpha Fai 60]] * Calculations_APPURT[[#This Row],[Lateral Offset]]/12</f>
        <v>0</v>
      </c>
      <c r="SQ20" s="338">
        <f>IFERROR(1/Calculations_APPURT[[#This Row],[Brackets]],0) * cv_M/cv_F * Forces_APPURT[[#This Row],[Alpha Fai 90]] * Calculations_APPURT[[#This Row],[Lateral Offset]]/12</f>
        <v>0</v>
      </c>
      <c r="SR20" s="338">
        <f>IFERROR(1/Calculations_APPURT[[#This Row],[Brackets]],0) * cv_M/cv_F * Forces_APPURT[[#This Row],[Alpha Fai 120]] * Calculations_APPURT[[#This Row],[Lateral Offset]]/12</f>
        <v>0</v>
      </c>
      <c r="SS20" s="338">
        <f>IFERROR(1/Calculations_APPURT[[#This Row],[Brackets]],0) * cv_M/cv_F * Forces_APPURT[[#This Row],[Alpha Fai 135]] * Calculations_APPURT[[#This Row],[Lateral Offset]]/12</f>
        <v>0</v>
      </c>
      <c r="ST20" s="338">
        <f>IFERROR(1/Calculations_APPURT[[#This Row],[Brackets]],0) * cv_M/cv_F * Forces_APPURT[[#This Row],[Alpha Fai 150]] * Calculations_APPURT[[#This Row],[Lateral Offset]]/12</f>
        <v>0</v>
      </c>
      <c r="SU20" s="338">
        <f>IFERROR(1/Calculations_APPURT[[#This Row],[Brackets]],0) * cv_M/cv_F * Forces_APPURT[[#This Row],[Alpha Fai 180]] * Calculations_APPURT[[#This Row],[Lateral Offset]]/12</f>
        <v>0</v>
      </c>
      <c r="SV20" s="338">
        <f>IFERROR(1/Calculations_APPURT[[#This Row],[Brackets]],0) * cv_M/cv_F * Forces_APPURT[[#This Row],[Alpha Fai 210]] * Calculations_APPURT[[#This Row],[Lateral Offset]]/12</f>
        <v>0</v>
      </c>
      <c r="SW20" s="338">
        <f>IFERROR(1/Calculations_APPURT[[#This Row],[Brackets]],0) * cv_M/cv_F * Forces_APPURT[[#This Row],[Alpha Fai 225]] * Calculations_APPURT[[#This Row],[Lateral Offset]]/12</f>
        <v>0</v>
      </c>
      <c r="SX20" s="338">
        <f>IFERROR(1/Calculations_APPURT[[#This Row],[Brackets]],0) * cv_M/cv_F * Forces_APPURT[[#This Row],[Alpha Fai 240]] * Calculations_APPURT[[#This Row],[Lateral Offset]]/12</f>
        <v>0</v>
      </c>
      <c r="SY20" s="338">
        <f>IFERROR(1/Calculations_APPURT[[#This Row],[Brackets]],0) * cv_M/cv_F * Forces_APPURT[[#This Row],[Alpha Fai 270]] * Calculations_APPURT[[#This Row],[Lateral Offset]]/12</f>
        <v>0</v>
      </c>
      <c r="SZ20" s="338">
        <f>IFERROR(1/Calculations_APPURT[[#This Row],[Brackets]],0) * cv_M/cv_F * Forces_APPURT[[#This Row],[Alpha Fai 300]] * Calculations_APPURT[[#This Row],[Lateral Offset]]/12</f>
        <v>0</v>
      </c>
      <c r="TA20" s="338">
        <f>IFERROR(1/Calculations_APPURT[[#This Row],[Brackets]],0) * cv_M/cv_F * Forces_APPURT[[#This Row],[Alpha Fai 315]] * Calculations_APPURT[[#This Row],[Lateral Offset]]/12</f>
        <v>0</v>
      </c>
      <c r="TB20" s="338">
        <f>IFERROR(1/Calculations_APPURT[[#This Row],[Brackets]],0) * cv_M/cv_F * Forces_APPURT[[#This Row],[Alpha Fai 330]] * Calculations_APPURT[[#This Row],[Lateral Offset]]/12</f>
        <v>0</v>
      </c>
      <c r="TC20" s="276">
        <f>IFERROR(1/Calculations_APPURT[[#This Row],[Brackets]],0) * cv_M/cv_F * Forces_APPURT[[#This Row],[Beta Fai 0]] * Calculations_APPURT[[#This Row],[Lateral Offset]]/12</f>
        <v>0</v>
      </c>
      <c r="TD20" s="276">
        <f>IFERROR(1/Calculations_APPURT[[#This Row],[Brackets]],0) * cv_M/cv_F * Forces_APPURT[[#This Row],[Beta Fai 30]] * Calculations_APPURT[[#This Row],[Lateral Offset]]/12</f>
        <v>0</v>
      </c>
      <c r="TE20" s="276">
        <f>IFERROR(1/Calculations_APPURT[[#This Row],[Brackets]],0) * cv_M/cv_F * Forces_APPURT[[#This Row],[Beta Fai 45]] * Calculations_APPURT[[#This Row],[Lateral Offset]]/12</f>
        <v>0</v>
      </c>
      <c r="TF20" s="276">
        <f>IFERROR(1/Calculations_APPURT[[#This Row],[Brackets]],0) * cv_M/cv_F * Forces_APPURT[[#This Row],[Beta Fai 60]] * Calculations_APPURT[[#This Row],[Lateral Offset]]/12</f>
        <v>0</v>
      </c>
      <c r="TG20" s="276">
        <f>IFERROR(1/Calculations_APPURT[[#This Row],[Brackets]],0) * cv_M/cv_F * Forces_APPURT[[#This Row],[Beta Fai 90]] * Calculations_APPURT[[#This Row],[Lateral Offset]]/12</f>
        <v>0</v>
      </c>
      <c r="TH20" s="276">
        <f>IFERROR(1/Calculations_APPURT[[#This Row],[Brackets]],0) * cv_M/cv_F * Forces_APPURT[[#This Row],[Beta Fai 120]] * Calculations_APPURT[[#This Row],[Lateral Offset]]/12</f>
        <v>0</v>
      </c>
      <c r="TI20" s="276">
        <f>IFERROR(1/Calculations_APPURT[[#This Row],[Brackets]],0) * cv_M/cv_F * Forces_APPURT[[#This Row],[Beta Fai 135]] * Calculations_APPURT[[#This Row],[Lateral Offset]]/12</f>
        <v>0</v>
      </c>
      <c r="TJ20" s="276">
        <f>IFERROR(1/Calculations_APPURT[[#This Row],[Brackets]],0) * cv_M/cv_F * Forces_APPURT[[#This Row],[Beta Fai 150]] * Calculations_APPURT[[#This Row],[Lateral Offset]]/12</f>
        <v>0</v>
      </c>
      <c r="TK20" s="276">
        <f>IFERROR(1/Calculations_APPURT[[#This Row],[Brackets]],0) * cv_M/cv_F * Forces_APPURT[[#This Row],[Beta Fai 180]] * Calculations_APPURT[[#This Row],[Lateral Offset]]/12</f>
        <v>0</v>
      </c>
      <c r="TL20" s="276">
        <f>IFERROR(1/Calculations_APPURT[[#This Row],[Brackets]],0) * cv_M/cv_F * Forces_APPURT[[#This Row],[Beta Fai 210]] * Calculations_APPURT[[#This Row],[Lateral Offset]]/12</f>
        <v>0</v>
      </c>
      <c r="TM20" s="276">
        <f>IFERROR(1/Calculations_APPURT[[#This Row],[Brackets]],0) * cv_M/cv_F * Forces_APPURT[[#This Row],[Beta Fai 225]] * Calculations_APPURT[[#This Row],[Lateral Offset]]/12</f>
        <v>0</v>
      </c>
      <c r="TN20" s="276">
        <f>IFERROR(1/Calculations_APPURT[[#This Row],[Brackets]],0) * cv_M/cv_F * Forces_APPURT[[#This Row],[Beta Fai 240]] * Calculations_APPURT[[#This Row],[Lateral Offset]]/12</f>
        <v>0</v>
      </c>
      <c r="TO20" s="276">
        <f>IFERROR(1/Calculations_APPURT[[#This Row],[Brackets]],0) * cv_M/cv_F * Forces_APPURT[[#This Row],[Beta Fai 270]] * Calculations_APPURT[[#This Row],[Lateral Offset]]/12</f>
        <v>0</v>
      </c>
      <c r="TP20" s="276">
        <f>IFERROR(1/Calculations_APPURT[[#This Row],[Brackets]],0) * cv_M/cv_F * Forces_APPURT[[#This Row],[Beta Fai 300]] * Calculations_APPURT[[#This Row],[Lateral Offset]]/12</f>
        <v>0</v>
      </c>
      <c r="TQ20" s="276">
        <f>IFERROR(1/Calculations_APPURT[[#This Row],[Brackets]],0) * cv_M/cv_F * Forces_APPURT[[#This Row],[Beta Fai 315]] * Calculations_APPURT[[#This Row],[Lateral Offset]]/12</f>
        <v>0</v>
      </c>
      <c r="TR20" s="276">
        <f>IFERROR(1/Calculations_APPURT[[#This Row],[Brackets]],0) * cv_M/cv_F * Forces_APPURT[[#This Row],[Beta Fai 330]] * Calculations_APPURT[[#This Row],[Lateral Offset]]/12</f>
        <v>0</v>
      </c>
      <c r="TS20" s="338">
        <f>IFERROR(1/Calculations_APPURT[[#This Row],[Brackets]],0) * cv_M/cv_F * Forces_APPURT[[#This Row],[Gamma Fai 0]] * Calculations_APPURT[[#This Row],[Lateral Offset]]/12</f>
        <v>0</v>
      </c>
      <c r="TT20" s="338">
        <f>IFERROR(1/Calculations_APPURT[[#This Row],[Brackets]],0) * cv_M/cv_F * Forces_APPURT[[#This Row],[Gamma Fai 30]] * Calculations_APPURT[[#This Row],[Lateral Offset]]/12</f>
        <v>0</v>
      </c>
      <c r="TU20" s="338">
        <f>IFERROR(1/Calculations_APPURT[[#This Row],[Brackets]],0) * cv_M/cv_F * Forces_APPURT[[#This Row],[Gamma Fai 45]] * Calculations_APPURT[[#This Row],[Lateral Offset]]/12</f>
        <v>0</v>
      </c>
      <c r="TV20" s="338">
        <f>IFERROR(1/Calculations_APPURT[[#This Row],[Brackets]],0) * cv_M/cv_F * Forces_APPURT[[#This Row],[Gamma Fai 60]] * Calculations_APPURT[[#This Row],[Lateral Offset]]/12</f>
        <v>0</v>
      </c>
      <c r="TW20" s="338">
        <f>IFERROR(1/Calculations_APPURT[[#This Row],[Brackets]],0) * cv_M/cv_F * Forces_APPURT[[#This Row],[Gamma Fai 90]] * Calculations_APPURT[[#This Row],[Lateral Offset]]/12</f>
        <v>0</v>
      </c>
      <c r="TX20" s="338">
        <f>IFERROR(1/Calculations_APPURT[[#This Row],[Brackets]],0) * cv_M/cv_F * Forces_APPURT[[#This Row],[Gamma Fai 120]] * Calculations_APPURT[[#This Row],[Lateral Offset]]/12</f>
        <v>0</v>
      </c>
      <c r="TY20" s="338">
        <f>IFERROR(1/Calculations_APPURT[[#This Row],[Brackets]],0) * cv_M/cv_F * Forces_APPURT[[#This Row],[Gamma Fai 135]] * Calculations_APPURT[[#This Row],[Lateral Offset]]/12</f>
        <v>0</v>
      </c>
      <c r="TZ20" s="338">
        <f>IFERROR(1/Calculations_APPURT[[#This Row],[Brackets]],0) * cv_M/cv_F * Forces_APPURT[[#This Row],[Gamma Fai 150]] * Calculations_APPURT[[#This Row],[Lateral Offset]]/12</f>
        <v>0</v>
      </c>
      <c r="UA20" s="338">
        <f>IFERROR(1/Calculations_APPURT[[#This Row],[Brackets]],0) * cv_M/cv_F * Forces_APPURT[[#This Row],[Gamma Fai 180]] * Calculations_APPURT[[#This Row],[Lateral Offset]]/12</f>
        <v>0</v>
      </c>
      <c r="UB20" s="338">
        <f>IFERROR(1/Calculations_APPURT[[#This Row],[Brackets]],0) * cv_M/cv_F * Forces_APPURT[[#This Row],[Gamma Fai 210]] * Calculations_APPURT[[#This Row],[Lateral Offset]]/12</f>
        <v>0</v>
      </c>
      <c r="UC20" s="338">
        <f>IFERROR(1/Calculations_APPURT[[#This Row],[Brackets]],0) * cv_M/cv_F * Forces_APPURT[[#This Row],[Gamma Fai 225]] * Calculations_APPURT[[#This Row],[Lateral Offset]]/12</f>
        <v>0</v>
      </c>
      <c r="UD20" s="338">
        <f>IFERROR(1/Calculations_APPURT[[#This Row],[Brackets]],0) * cv_M/cv_F * Forces_APPURT[[#This Row],[Gamma Fai 240]] * Calculations_APPURT[[#This Row],[Lateral Offset]]/12</f>
        <v>0</v>
      </c>
      <c r="UE20" s="338">
        <f>IFERROR(1/Calculations_APPURT[[#This Row],[Brackets]],0) * cv_M/cv_F * Forces_APPURT[[#This Row],[Gamma Fai 270]] * Calculations_APPURT[[#This Row],[Lateral Offset]]/12</f>
        <v>0</v>
      </c>
      <c r="UF20" s="338">
        <f>IFERROR(1/Calculations_APPURT[[#This Row],[Brackets]],0) * cv_M/cv_F * Forces_APPURT[[#This Row],[Gamma Fai 300]] * Calculations_APPURT[[#This Row],[Lateral Offset]]/12</f>
        <v>0</v>
      </c>
      <c r="UG20" s="338">
        <f>IFERROR(1/Calculations_APPURT[[#This Row],[Brackets]],0) * cv_M/cv_F * Forces_APPURT[[#This Row],[Gamma Fai 315]] * Calculations_APPURT[[#This Row],[Lateral Offset]]/12</f>
        <v>0</v>
      </c>
      <c r="UH20" s="338">
        <f>IFERROR(1/Calculations_APPURT[[#This Row],[Brackets]],0) * cv_M/cv_F * Forces_APPURT[[#This Row],[Gamma Fai 330]] * Calculations_APPURT[[#This Row],[Lateral Offset]]/12</f>
        <v>0</v>
      </c>
      <c r="UI20" s="276">
        <f>IFERROR(1/Calculations_APPURT[[#This Row],[Brackets]],0) * cv_M/cv_F * Forces_APPURT[[#This Row],[Delta Fai 0]] * Calculations_APPURT[[#This Row],[Lateral Offset]]/12</f>
        <v>0</v>
      </c>
      <c r="UJ20" s="276">
        <f>IFERROR(1/Calculations_APPURT[[#This Row],[Brackets]],0) * cv_M/cv_F * Forces_APPURT[[#This Row],[Delta Fai 30]] * Calculations_APPURT[[#This Row],[Lateral Offset]]/12</f>
        <v>0</v>
      </c>
      <c r="UK20" s="276">
        <f>IFERROR(1/Calculations_APPURT[[#This Row],[Brackets]],0) * cv_M/cv_F * Forces_APPURT[[#This Row],[Delta Fai 45]] * Calculations_APPURT[[#This Row],[Lateral Offset]]/12</f>
        <v>0</v>
      </c>
      <c r="UL20" s="276">
        <f>IFERROR(1/Calculations_APPURT[[#This Row],[Brackets]],0) * cv_M/cv_F * Forces_APPURT[[#This Row],[Delta Fai 60]] * Calculations_APPURT[[#This Row],[Lateral Offset]]/12</f>
        <v>0</v>
      </c>
      <c r="UM20" s="276">
        <f>IFERROR(1/Calculations_APPURT[[#This Row],[Brackets]],0) * cv_M/cv_F * Forces_APPURT[[#This Row],[Delta Fai 90]] * Calculations_APPURT[[#This Row],[Lateral Offset]]/12</f>
        <v>0</v>
      </c>
      <c r="UN20" s="276">
        <f>IFERROR(1/Calculations_APPURT[[#This Row],[Brackets]],0) * cv_M/cv_F * Forces_APPURT[[#This Row],[Delta Fai 120]] * Calculations_APPURT[[#This Row],[Lateral Offset]]/12</f>
        <v>0</v>
      </c>
      <c r="UO20" s="276">
        <f>IFERROR(1/Calculations_APPURT[[#This Row],[Brackets]],0) * cv_M/cv_F * Forces_APPURT[[#This Row],[Delta Fai 135]] * Calculations_APPURT[[#This Row],[Lateral Offset]]/12</f>
        <v>0</v>
      </c>
      <c r="UP20" s="276">
        <f>IFERROR(1/Calculations_APPURT[[#This Row],[Brackets]],0) * cv_M/cv_F * Forces_APPURT[[#This Row],[Delta Fai 150]] * Calculations_APPURT[[#This Row],[Lateral Offset]]/12</f>
        <v>0</v>
      </c>
      <c r="UQ20" s="276">
        <f>IFERROR(1/Calculations_APPURT[[#This Row],[Brackets]],0) * cv_M/cv_F * Forces_APPURT[[#This Row],[Delta Fai 180]] * Calculations_APPURT[[#This Row],[Lateral Offset]]/12</f>
        <v>0</v>
      </c>
      <c r="UR20" s="276">
        <f>IFERROR(1/Calculations_APPURT[[#This Row],[Brackets]],0) * cv_M/cv_F * Forces_APPURT[[#This Row],[Delta Fai 210]] * Calculations_APPURT[[#This Row],[Lateral Offset]]/12</f>
        <v>0</v>
      </c>
      <c r="US20" s="276">
        <f>IFERROR(1/Calculations_APPURT[[#This Row],[Brackets]],0) * cv_M/cv_F * Forces_APPURT[[#This Row],[Delta Fai 225]] * Calculations_APPURT[[#This Row],[Lateral Offset]]/12</f>
        <v>0</v>
      </c>
      <c r="UT20" s="276">
        <f>IFERROR(1/Calculations_APPURT[[#This Row],[Brackets]],0) * cv_M/cv_F * Forces_APPURT[[#This Row],[Delta Fai 240]] * Calculations_APPURT[[#This Row],[Lateral Offset]]/12</f>
        <v>0</v>
      </c>
      <c r="UU20" s="276">
        <f>IFERROR(1/Calculations_APPURT[[#This Row],[Brackets]],0) * cv_M/cv_F * Forces_APPURT[[#This Row],[Delta Fai 270]] * Calculations_APPURT[[#This Row],[Lateral Offset]]/12</f>
        <v>0</v>
      </c>
      <c r="UV20" s="276">
        <f>IFERROR(1/Calculations_APPURT[[#This Row],[Brackets]],0) * cv_M/cv_F * Forces_APPURT[[#This Row],[Delta Fai 300]] * Calculations_APPURT[[#This Row],[Lateral Offset]]/12</f>
        <v>0</v>
      </c>
      <c r="UW20" s="276">
        <f>IFERROR(1/Calculations_APPURT[[#This Row],[Brackets]],0) * cv_M/cv_F * Forces_APPURT[[#This Row],[Delta Fai 315]] * Calculations_APPURT[[#This Row],[Lateral Offset]]/12</f>
        <v>0</v>
      </c>
      <c r="UX20" s="276">
        <f>IFERROR(1/Calculations_APPURT[[#This Row],[Brackets]],0) * cv_M/cv_F * Forces_APPURT[[#This Row],[Delta Fai 330]] * Calculations_APPURT[[#This Row],[Lateral Offset]]/12</f>
        <v>0</v>
      </c>
      <c r="UY20" s="338">
        <f>Dimensions_APPURT[[#This Row],[Weight (lbf)]] * cv_F * AlphaSector[[#This Row],[Quantity]]</f>
        <v>0</v>
      </c>
      <c r="UZ20" s="338">
        <f>Dimensions_APPURT[[#This Row],[Weight (lbf)]] * cv_F * BetaSector[[#This Row],[Quantity]]</f>
        <v>0</v>
      </c>
      <c r="VA20" s="338">
        <f>Dimensions_APPURT[[#This Row],[Weight (lbf)]] * cv_F * GammaSector[[#This Row],[Quantity]]</f>
        <v>0</v>
      </c>
      <c r="VB20" s="338">
        <f>Dimensions_APPURT[[#This Row],[Weight (lbf)]] * cv_F * DeltaSector[[#This Row],[Quantity]]</f>
        <v>0</v>
      </c>
      <c r="VC20" s="209">
        <f>Dimensions_APPURT[[#This Row],[Weight (lbf)]] * cv_M * AlphaSector[[#This Row],[Quantity]] * Calculations_APPURT[[#This Row],[Horizontal Offset]]/12</f>
        <v>0</v>
      </c>
      <c r="VD20" s="209">
        <f>Dimensions_APPURT[[#This Row],[Weight (lbf)]] * cv_M * BetaSector[[#This Row],[Quantity]] * Calculations_APPURT[[#This Row],[Horizontal Offset]]/12</f>
        <v>0</v>
      </c>
      <c r="VE20" s="209">
        <f>Dimensions_APPURT[[#This Row],[Weight (lbf)]] * cv_M * GammaSector[[#This Row],[Quantity]] * Calculations_APPURT[[#This Row],[Horizontal Offset]]/12</f>
        <v>0</v>
      </c>
      <c r="VF20" s="209">
        <f>Dimensions_APPURT[[#This Row],[Weight (lbf)]] * cv_M * DeltaSector[[#This Row],[Quantity]] * Calculations_APPURT[[#This Row],[Horizontal Offset]]/12</f>
        <v>0</v>
      </c>
      <c r="VG20" s="338">
        <f>Hazards_APPURT[[#This Row],[Ice Weight]] * cv_F * AlphaSector[[#This Row],[Quantity]]</f>
        <v>0</v>
      </c>
      <c r="VH20" s="338">
        <f>Hazards_APPURT[[#This Row],[Ice Weight]] * cv_F * BetaSector[[#This Row],[Quantity]]</f>
        <v>0</v>
      </c>
      <c r="VI20" s="338">
        <f>Hazards_APPURT[[#This Row],[Ice Weight]] * cv_F * GammaSector[[#This Row],[Quantity]]</f>
        <v>0</v>
      </c>
      <c r="VJ20" s="338">
        <f>Hazards_APPURT[[#This Row],[Ice Weight]] * cv_F * DeltaSector[[#This Row],[Quantity]]</f>
        <v>0</v>
      </c>
      <c r="VK20" s="209">
        <f>Hazards_APPURT[[#This Row],[Ice Weight]] * cv_M * AlphaSector[[#This Row],[Quantity]] * Calculations_APPURT[[#This Row],[Horizontal Offset]]/12</f>
        <v>0</v>
      </c>
      <c r="VL20" s="209">
        <f>Hazards_APPURT[[#This Row],[Ice Weight]] * cv_M * BetaSector[[#This Row],[Quantity]] * Calculations_APPURT[[#This Row],[Horizontal Offset]]/12</f>
        <v>0</v>
      </c>
      <c r="VM20" s="209">
        <f>Hazards_APPURT[[#This Row],[Ice Weight]] * cv_M * GammaSector[[#This Row],[Quantity]] * Calculations_APPURT[[#This Row],[Horizontal Offset]]/12</f>
        <v>0</v>
      </c>
      <c r="VN20" s="209">
        <f>Hazards_APPURT[[#This Row],[Ice Weight]] * cv_M * DeltaSector[[#This Row],[Quantity]] * Calculations_APPURT[[#This Row],[Horizontal Offset]]/12</f>
        <v>0</v>
      </c>
    </row>
    <row r="21" spans="1:586" ht="15" customHeight="1" x14ac:dyDescent="0.2">
      <c r="A21" s="69"/>
      <c r="E21" s="265"/>
      <c r="L21" s="69"/>
      <c r="R21" s="70"/>
      <c r="T21" s="69"/>
      <c r="V21" s="71"/>
      <c r="W21" s="69"/>
      <c r="X21" s="71"/>
      <c r="Y21" s="69"/>
      <c r="Z21" s="70"/>
      <c r="AB21" s="69"/>
      <c r="AD21" s="71"/>
      <c r="AE21" s="69"/>
      <c r="AF21" s="71"/>
      <c r="AG21" s="69"/>
      <c r="AH21" s="70"/>
      <c r="AJ21" s="69"/>
      <c r="AL21" s="71"/>
      <c r="AM21" s="69"/>
      <c r="AN21" s="71"/>
      <c r="AO21" s="69"/>
      <c r="AP21" s="70"/>
      <c r="AR21" s="69"/>
      <c r="AV21" s="277" cm="1">
        <f t="array" ref="AV21">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21" s="209" cm="1">
        <f t="array" ref="AW21">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21" s="209" cm="1">
        <f t="array" ref="AX21">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21" s="209" cm="1">
        <f t="array" ref="AY21">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21"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21" s="209" cm="1">
        <f t="array" ref="BA21">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21" s="209">
        <f>IF(OR(Calculations_APPURT[[#This Row],[Shape]]="CFD",Calculations_APPURT[[#This Row],[Shape]]="CCI"),1,0.95)</f>
        <v>0.95</v>
      </c>
      <c r="BC21" s="209" cm="1">
        <f t="array" ref="BC21">0.00256 * Hazards_APPURT[[#This Row],[Kz]] * Kzt * Ks * I.wind * V^2 * IF(RIGHT(TIA,1)="G",1,Ke) * IF(OR(Calculations_APPURT[[#This Row],[Shape]]="CFD",Calculations_APPURT[[#This Row],[Shape]]="CCI"),1, Hazards_APPURT[[#This Row],[Kd]]) * Gh</f>
        <v>0</v>
      </c>
      <c r="BD21" s="209">
        <f>IF(Risk="I",0,MIN(((z+Calculations_APPURT[[#This Row],[Vertical Offset]]/12)/33)^(0.1),1.4))</f>
        <v>0</v>
      </c>
      <c r="BE21" s="209" cm="1">
        <f t="array" ref="BE21">IF(Risk="I",0,IF(TIA="ANSI/TIA-222-G",2,1*Kes.i)*ti*I.ice*Hazards_APPURT[[#This Row],[Kiz]]*(Kzt/Ks)^(0.35))</f>
        <v>0</v>
      </c>
      <c r="BF21" s="209" cm="1">
        <f t="array" ref="BF21">0.00256 * Hazards_APPURT[[#This Row],[Kz]] * Kzt * Ks * I.wind * Vi^2 * IF(RIGHT(TIA,1)="G",1,Ke) * IF(OR(Calculations_APPURT[[#This Row],[Shape]]="CFD",Calculations_APPURT[[#This Row],[Shape]]="CCI"),1, Kd) * Gh</f>
        <v>0</v>
      </c>
      <c r="BG21"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21"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21"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21"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21"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21"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21"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21"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21"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21"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21"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21"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21"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21"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21"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21"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21"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21"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21"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21"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21"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21"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21"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21"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21"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21"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21"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21"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21"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21"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21"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21"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21"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21"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21"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21"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21"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21"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21"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21"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21"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21"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21"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21"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21"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21"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21"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21"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21"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21"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21"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21"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21"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21"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21"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21"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21"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21"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21"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21"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21"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21"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21"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21"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21"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21"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21" s="276">
        <f>IFERROR(1/Calculations_APPURT[[#This Row],[Brackets]],0) * cv_F * AlphaSector[[#This Row],[Quantity]] * Hazards_APPURT[[#This Row],[qz]] * CaAa_APPURT[[#This Row],[Alpha 0]] * IF(Calculations_APPURT[[#This Row],[Shape]]="CFD",1, Ka)</f>
        <v>0</v>
      </c>
      <c r="GF21" s="276">
        <f>IFERROR(1/Calculations_APPURT[[#This Row],[Brackets]],0) * cv_F * AlphaSector[[#This Row],[Quantity]] * Hazards_APPURT[[#This Row],[qz]] * CaAa_APPURT[[#This Row],[Alpha 30]] * IF(Calculations_APPURT[[#This Row],[Shape]]="CFD",1, Ka)</f>
        <v>0</v>
      </c>
      <c r="GG21" s="276">
        <f>IFERROR(1/Calculations_APPURT[[#This Row],[Brackets]],0) * cv_F * AlphaSector[[#This Row],[Quantity]] * Hazards_APPURT[[#This Row],[qz]] * CaAa_APPURT[[#This Row],[Alpha 45]] * IF(Calculations_APPURT[[#This Row],[Shape]]="CFD",1, Ka)</f>
        <v>0</v>
      </c>
      <c r="GH21" s="276">
        <f>IFERROR(1/Calculations_APPURT[[#This Row],[Brackets]],0) * cv_F * AlphaSector[[#This Row],[Quantity]] * Hazards_APPURT[[#This Row],[qz]] * CaAa_APPURT[[#This Row],[Alpha 60]] * IF(Calculations_APPURT[[#This Row],[Shape]]="CFD",1, Ka)</f>
        <v>0</v>
      </c>
      <c r="GI21" s="276">
        <f>IFERROR(1/Calculations_APPURT[[#This Row],[Brackets]],0) * cv_F * AlphaSector[[#This Row],[Quantity]] * Hazards_APPURT[[#This Row],[qz]] * CaAa_APPURT[[#This Row],[Alpha 90]] * IF(Calculations_APPURT[[#This Row],[Shape]]="CFD",1, Ka)</f>
        <v>0</v>
      </c>
      <c r="GJ21" s="276">
        <f>IFERROR(1/Calculations_APPURT[[#This Row],[Brackets]],0) * cv_F * AlphaSector[[#This Row],[Quantity]] * Hazards_APPURT[[#This Row],[qz]] * CaAa_APPURT[[#This Row],[Alpha 120]] * IF(Calculations_APPURT[[#This Row],[Shape]]="CFD",1, Ka)</f>
        <v>0</v>
      </c>
      <c r="GK21" s="276">
        <f>IFERROR(1/Calculations_APPURT[[#This Row],[Brackets]],0) * cv_F * AlphaSector[[#This Row],[Quantity]] * Hazards_APPURT[[#This Row],[qz]] * CaAa_APPURT[[#This Row],[Alpha 135]] * IF(Calculations_APPURT[[#This Row],[Shape]]="CFD",1, Ka)</f>
        <v>0</v>
      </c>
      <c r="GL21" s="276">
        <f>IFERROR(1/Calculations_APPURT[[#This Row],[Brackets]],0) * cv_F * AlphaSector[[#This Row],[Quantity]] * Hazards_APPURT[[#This Row],[qz]] * CaAa_APPURT[[#This Row],[Alpha 150]] * IF(Calculations_APPURT[[#This Row],[Shape]]="CFD",1, Ka)</f>
        <v>0</v>
      </c>
      <c r="GM21" s="276">
        <f>IFERROR(1/Calculations_APPURT[[#This Row],[Brackets]],0) * cv_F * AlphaSector[[#This Row],[Quantity]] * Hazards_APPURT[[#This Row],[qz]] * CaAa_APPURT[[#This Row],[Alpha 180]] * IF(Calculations_APPURT[[#This Row],[Shape]]="CFD",1, Ka)</f>
        <v>0</v>
      </c>
      <c r="GN21" s="276">
        <f>IFERROR(1/Calculations_APPURT[[#This Row],[Brackets]],0) * cv_F * AlphaSector[[#This Row],[Quantity]] * Hazards_APPURT[[#This Row],[qz]] * CaAa_APPURT[[#This Row],[Alpha 210]] * IF(Calculations_APPURT[[#This Row],[Shape]]="CFD",1, Ka)</f>
        <v>0</v>
      </c>
      <c r="GO21" s="276">
        <f>IFERROR(1/Calculations_APPURT[[#This Row],[Brackets]],0) * cv_F * AlphaSector[[#This Row],[Quantity]] * Hazards_APPURT[[#This Row],[qz]] * CaAa_APPURT[[#This Row],[Alpha 225]] * IF(Calculations_APPURT[[#This Row],[Shape]]="CFD",1, Ka)</f>
        <v>0</v>
      </c>
      <c r="GP21" s="276">
        <f>IFERROR(1/Calculations_APPURT[[#This Row],[Brackets]],0) * cv_F * AlphaSector[[#This Row],[Quantity]] * Hazards_APPURT[[#This Row],[qz]] * CaAa_APPURT[[#This Row],[Alpha 240]] * IF(Calculations_APPURT[[#This Row],[Shape]]="CFD",1, Ka)</f>
        <v>0</v>
      </c>
      <c r="GQ21" s="276">
        <f>IFERROR(1/Calculations_APPURT[[#This Row],[Brackets]],0) * cv_F * AlphaSector[[#This Row],[Quantity]] * Hazards_APPURT[[#This Row],[qz]] * CaAa_APPURT[[#This Row],[Alpha 270]] * IF(Calculations_APPURT[[#This Row],[Shape]]="CFD",1, Ka)</f>
        <v>0</v>
      </c>
      <c r="GR21" s="276">
        <f>IFERROR(1/Calculations_APPURT[[#This Row],[Brackets]],0) * cv_F * AlphaSector[[#This Row],[Quantity]] * Hazards_APPURT[[#This Row],[qz]] * CaAa_APPURT[[#This Row],[Alpha 300]] * IF(Calculations_APPURT[[#This Row],[Shape]]="CFD",1, Ka)</f>
        <v>0</v>
      </c>
      <c r="GS21" s="276">
        <f>IFERROR(1/Calculations_APPURT[[#This Row],[Brackets]],0) * cv_F * AlphaSector[[#This Row],[Quantity]] * Hazards_APPURT[[#This Row],[qz]] * CaAa_APPURT[[#This Row],[Alpha 315]] * IF(Calculations_APPURT[[#This Row],[Shape]]="CFD",1, Ka)</f>
        <v>0</v>
      </c>
      <c r="GT21" s="276">
        <f>IFERROR(1/Calculations_APPURT[[#This Row],[Brackets]],0) * cv_F * AlphaSector[[#This Row],[Quantity]] * Hazards_APPURT[[#This Row],[qz]] * CaAa_APPURT[[#This Row],[Alpha 330]] * IF(Calculations_APPURT[[#This Row],[Shape]]="CFD",1, Ka)</f>
        <v>0</v>
      </c>
      <c r="GU21" s="276">
        <f>IFERROR(1/Calculations_APPURT[[#This Row],[Brackets]],0) * cv_F * BetaSector[[#This Row],[Quantity]] * Hazards_APPURT[[#This Row],[qz]] * CaAa_APPURT[[#This Row],[Beta 0]] * IF(Calculations_APPURT[[#This Row],[Shape]]="CFD",1, Ka)</f>
        <v>0</v>
      </c>
      <c r="GV21" s="276">
        <f>IFERROR(1/Calculations_APPURT[[#This Row],[Brackets]],0) * cv_F * BetaSector[[#This Row],[Quantity]] * Hazards_APPURT[[#This Row],[qz]] * CaAa_APPURT[[#This Row],[Beta 30]] * IF(Calculations_APPURT[[#This Row],[Shape]]="CFD",1, Ka)</f>
        <v>0</v>
      </c>
      <c r="GW21" s="276">
        <f>IFERROR(1/Calculations_APPURT[[#This Row],[Brackets]],0) * cv_F * BetaSector[[#This Row],[Quantity]] * Hazards_APPURT[[#This Row],[qz]] * CaAa_APPURT[[#This Row],[Beta 45]] * IF(Calculations_APPURT[[#This Row],[Shape]]="CFD",1, Ka)</f>
        <v>0</v>
      </c>
      <c r="GX21" s="276">
        <f>IFERROR(1/Calculations_APPURT[[#This Row],[Brackets]],0) * cv_F * BetaSector[[#This Row],[Quantity]] * Hazards_APPURT[[#This Row],[qz]] * CaAa_APPURT[[#This Row],[Beta 60]] * IF(Calculations_APPURT[[#This Row],[Shape]]="CFD",1, Ka)</f>
        <v>0</v>
      </c>
      <c r="GY21" s="276">
        <f>IFERROR(1/Calculations_APPURT[[#This Row],[Brackets]],0) * cv_F * BetaSector[[#This Row],[Quantity]] * Hazards_APPURT[[#This Row],[qz]] * CaAa_APPURT[[#This Row],[Beta 90]] * IF(Calculations_APPURT[[#This Row],[Shape]]="CFD",1, Ka)</f>
        <v>0</v>
      </c>
      <c r="GZ21" s="276">
        <f>IFERROR(1/Calculations_APPURT[[#This Row],[Brackets]],0) * cv_F * BetaSector[[#This Row],[Quantity]] * Hazards_APPURT[[#This Row],[qz]] * CaAa_APPURT[[#This Row],[Beta 120]] * IF(Calculations_APPURT[[#This Row],[Shape]]="CFD",1, Ka)</f>
        <v>0</v>
      </c>
      <c r="HA21" s="276">
        <f>IFERROR(1/Calculations_APPURT[[#This Row],[Brackets]],0) * cv_F * BetaSector[[#This Row],[Quantity]] * Hazards_APPURT[[#This Row],[qz]] * CaAa_APPURT[[#This Row],[Beta 135]] * IF(Calculations_APPURT[[#This Row],[Shape]]="CFD",1, Ka)</f>
        <v>0</v>
      </c>
      <c r="HB21" s="276">
        <f>IFERROR(1/Calculations_APPURT[[#This Row],[Brackets]],0) * cv_F * BetaSector[[#This Row],[Quantity]] * Hazards_APPURT[[#This Row],[qz]] * CaAa_APPURT[[#This Row],[Beta 150]] * IF(Calculations_APPURT[[#This Row],[Shape]]="CFD",1, Ka)</f>
        <v>0</v>
      </c>
      <c r="HC21" s="276">
        <f>IFERROR(1/Calculations_APPURT[[#This Row],[Brackets]],0) * cv_F * BetaSector[[#This Row],[Quantity]] * Hazards_APPURT[[#This Row],[qz]] * CaAa_APPURT[[#This Row],[Beta 180]] * IF(Calculations_APPURT[[#This Row],[Shape]]="CFD",1, Ka)</f>
        <v>0</v>
      </c>
      <c r="HD21" s="276">
        <f>IFERROR(1/Calculations_APPURT[[#This Row],[Brackets]],0) * cv_F * BetaSector[[#This Row],[Quantity]] * Hazards_APPURT[[#This Row],[qz]] * CaAa_APPURT[[#This Row],[Beta 210]] * IF(Calculations_APPURT[[#This Row],[Shape]]="CFD",1, Ka)</f>
        <v>0</v>
      </c>
      <c r="HE21" s="276">
        <f>IFERROR(1/Calculations_APPURT[[#This Row],[Brackets]],0) * cv_F * BetaSector[[#This Row],[Quantity]] * Hazards_APPURT[[#This Row],[qz]] * CaAa_APPURT[[#This Row],[Beta 225]] * IF(Calculations_APPURT[[#This Row],[Shape]]="CFD",1, Ka)</f>
        <v>0</v>
      </c>
      <c r="HF21" s="276">
        <f>IFERROR(1/Calculations_APPURT[[#This Row],[Brackets]],0) * cv_F * BetaSector[[#This Row],[Quantity]] * Hazards_APPURT[[#This Row],[qz]] * CaAa_APPURT[[#This Row],[Beta 240]] * IF(Calculations_APPURT[[#This Row],[Shape]]="CFD",1, Ka)</f>
        <v>0</v>
      </c>
      <c r="HG21" s="276">
        <f>IFERROR(1/Calculations_APPURT[[#This Row],[Brackets]],0) * cv_F * BetaSector[[#This Row],[Quantity]] * Hazards_APPURT[[#This Row],[qz]] * CaAa_APPURT[[#This Row],[Beta 270]] * IF(Calculations_APPURT[[#This Row],[Shape]]="CFD",1, Ka)</f>
        <v>0</v>
      </c>
      <c r="HH21" s="276">
        <f>IFERROR(1/Calculations_APPURT[[#This Row],[Brackets]],0) * cv_F * BetaSector[[#This Row],[Quantity]] * Hazards_APPURT[[#This Row],[qz]] * CaAa_APPURT[[#This Row],[Beta 300]] * IF(Calculations_APPURT[[#This Row],[Shape]]="CFD",1, Ka)</f>
        <v>0</v>
      </c>
      <c r="HI21" s="276">
        <f>IFERROR(1/Calculations_APPURT[[#This Row],[Brackets]],0) * cv_F * BetaSector[[#This Row],[Quantity]] * Hazards_APPURT[[#This Row],[qz]] * CaAa_APPURT[[#This Row],[Beta 315]] * IF(Calculations_APPURT[[#This Row],[Shape]]="CFD",1, Ka)</f>
        <v>0</v>
      </c>
      <c r="HJ21" s="276">
        <f>IFERROR(1/Calculations_APPURT[[#This Row],[Brackets]],0) * cv_F * BetaSector[[#This Row],[Quantity]] * Hazards_APPURT[[#This Row],[qz]] * CaAa_APPURT[[#This Row],[Beta 330]] * IF(Calculations_APPURT[[#This Row],[Shape]]="CFD",1, Ka)</f>
        <v>0</v>
      </c>
      <c r="HK21" s="276">
        <f>IFERROR(1/Calculations_APPURT[[#This Row],[Brackets]],0) * cv_F * GammaSector[[#This Row],[Quantity]] * Hazards_APPURT[[#This Row],[qz]] * CaAa_APPURT[[#This Row],[Gamma 0]] * IF(Calculations_APPURT[[#This Row],[Shape]]="CFD",1, Ka)</f>
        <v>0</v>
      </c>
      <c r="HL21" s="276">
        <f>IFERROR(1/Calculations_APPURT[[#This Row],[Brackets]],0) * cv_F * GammaSector[[#This Row],[Quantity]] * Hazards_APPURT[[#This Row],[qz]] * CaAa_APPURT[[#This Row],[Gamma 30]] * IF(Calculations_APPURT[[#This Row],[Shape]]="CFD",1, Ka)</f>
        <v>0</v>
      </c>
      <c r="HM21" s="276">
        <f>IFERROR(1/Calculations_APPURT[[#This Row],[Brackets]],0) * cv_F * GammaSector[[#This Row],[Quantity]] * Hazards_APPURT[[#This Row],[qz]] * CaAa_APPURT[[#This Row],[Gamma 45]] * IF(Calculations_APPURT[[#This Row],[Shape]]="CFD",1, Ka)</f>
        <v>0</v>
      </c>
      <c r="HN21" s="276">
        <f>IFERROR(1/Calculations_APPURT[[#This Row],[Brackets]],0) * cv_F * GammaSector[[#This Row],[Quantity]] * Hazards_APPURT[[#This Row],[qz]] * CaAa_APPURT[[#This Row],[Gamma 60]] * IF(Calculations_APPURT[[#This Row],[Shape]]="CFD",1, Ka)</f>
        <v>0</v>
      </c>
      <c r="HO21" s="276">
        <f>IFERROR(1/Calculations_APPURT[[#This Row],[Brackets]],0) * cv_F * GammaSector[[#This Row],[Quantity]] * Hazards_APPURT[[#This Row],[qz]] * CaAa_APPURT[[#This Row],[Gamma 90]] * IF(Calculations_APPURT[[#This Row],[Shape]]="CFD",1, Ka)</f>
        <v>0</v>
      </c>
      <c r="HP21" s="276">
        <f>IFERROR(1/Calculations_APPURT[[#This Row],[Brackets]],0) * cv_F * GammaSector[[#This Row],[Quantity]] * Hazards_APPURT[[#This Row],[qz]] * CaAa_APPURT[[#This Row],[Gamma 120]] * IF(Calculations_APPURT[[#This Row],[Shape]]="CFD",1, Ka)</f>
        <v>0</v>
      </c>
      <c r="HQ21" s="276">
        <f>IFERROR(1/Calculations_APPURT[[#This Row],[Brackets]],0) * cv_F * GammaSector[[#This Row],[Quantity]] * Hazards_APPURT[[#This Row],[qz]] * CaAa_APPURT[[#This Row],[Gamma 135]] * IF(Calculations_APPURT[[#This Row],[Shape]]="CFD",1, Ka)</f>
        <v>0</v>
      </c>
      <c r="HR21" s="276">
        <f>IFERROR(1/Calculations_APPURT[[#This Row],[Brackets]],0) * cv_F * GammaSector[[#This Row],[Quantity]] * Hazards_APPURT[[#This Row],[qz]] * CaAa_APPURT[[#This Row],[Gamma 150]] * IF(Calculations_APPURT[[#This Row],[Shape]]="CFD",1, Ka)</f>
        <v>0</v>
      </c>
      <c r="HS21" s="276">
        <f>IFERROR(1/Calculations_APPURT[[#This Row],[Brackets]],0) * cv_F * GammaSector[[#This Row],[Quantity]] * Hazards_APPURT[[#This Row],[qz]] * CaAa_APPURT[[#This Row],[Gamma 180]] * IF(Calculations_APPURT[[#This Row],[Shape]]="CFD",1, Ka)</f>
        <v>0</v>
      </c>
      <c r="HT21" s="276">
        <f>IFERROR(1/Calculations_APPURT[[#This Row],[Brackets]],0) * cv_F * GammaSector[[#This Row],[Quantity]] * Hazards_APPURT[[#This Row],[qz]] * CaAa_APPURT[[#This Row],[Gamma 210]] * IF(Calculations_APPURT[[#This Row],[Shape]]="CFD",1, Ka)</f>
        <v>0</v>
      </c>
      <c r="HU21" s="276">
        <f>IFERROR(1/Calculations_APPURT[[#This Row],[Brackets]],0) * cv_F * GammaSector[[#This Row],[Quantity]] * Hazards_APPURT[[#This Row],[qz]] * CaAa_APPURT[[#This Row],[Gamma 225]] * IF(Calculations_APPURT[[#This Row],[Shape]]="CFD",1, Ka)</f>
        <v>0</v>
      </c>
      <c r="HV21" s="276">
        <f>IFERROR(1/Calculations_APPURT[[#This Row],[Brackets]],0) * cv_F * GammaSector[[#This Row],[Quantity]] * Hazards_APPURT[[#This Row],[qz]] * CaAa_APPURT[[#This Row],[Gamma 240]] * IF(Calculations_APPURT[[#This Row],[Shape]]="CFD",1, Ka)</f>
        <v>0</v>
      </c>
      <c r="HW21" s="276">
        <f>IFERROR(1/Calculations_APPURT[[#This Row],[Brackets]],0) * cv_F * GammaSector[[#This Row],[Quantity]] * Hazards_APPURT[[#This Row],[qz]] * CaAa_APPURT[[#This Row],[Gamma 270]] * IF(Calculations_APPURT[[#This Row],[Shape]]="CFD",1, Ka)</f>
        <v>0</v>
      </c>
      <c r="HX21" s="276">
        <f>IFERROR(1/Calculations_APPURT[[#This Row],[Brackets]],0) * cv_F * GammaSector[[#This Row],[Quantity]] * Hazards_APPURT[[#This Row],[qz]] * CaAa_APPURT[[#This Row],[Gamma 300]] * IF(Calculations_APPURT[[#This Row],[Shape]]="CFD",1, Ka)</f>
        <v>0</v>
      </c>
      <c r="HY21" s="276">
        <f>IFERROR(1/Calculations_APPURT[[#This Row],[Brackets]],0) * cv_F * GammaSector[[#This Row],[Quantity]] * Hazards_APPURT[[#This Row],[qz]] * CaAa_APPURT[[#This Row],[Gamma 315]] * IF(Calculations_APPURT[[#This Row],[Shape]]="CFD",1, Ka)</f>
        <v>0</v>
      </c>
      <c r="HZ21" s="276">
        <f>IFERROR(1/Calculations_APPURT[[#This Row],[Brackets]],0) * cv_F * GammaSector[[#This Row],[Quantity]] * Hazards_APPURT[[#This Row],[qz]] * CaAa_APPURT[[#This Row],[Gamma 330]] * IF(Calculations_APPURT[[#This Row],[Shape]]="CFD",1, Ka)</f>
        <v>0</v>
      </c>
      <c r="IA21" s="276">
        <f>IFERROR(1/Calculations_APPURT[[#This Row],[Brackets]],0) * cv_F * DeltaSector[[#This Row],[Quantity]] * Hazards_APPURT[[#This Row],[qz]] * CaAa_APPURT[[#This Row],[Delta 0]] * IF(Calculations_APPURT[[#This Row],[Shape]]="CFD",1, Ka)</f>
        <v>0</v>
      </c>
      <c r="IB21" s="276">
        <f>IFERROR(1/Calculations_APPURT[[#This Row],[Brackets]],0) * cv_F * DeltaSector[[#This Row],[Quantity]] * Hazards_APPURT[[#This Row],[qz]] * CaAa_APPURT[[#This Row],[Delta 30]] * IF(Calculations_APPURT[[#This Row],[Shape]]="CFD",1, Ka)</f>
        <v>0</v>
      </c>
      <c r="IC21" s="276">
        <f>IFERROR(1/Calculations_APPURT[[#This Row],[Brackets]],0) * cv_F * DeltaSector[[#This Row],[Quantity]] * Hazards_APPURT[[#This Row],[qz]] * CaAa_APPURT[[#This Row],[Delta 45]] * IF(Calculations_APPURT[[#This Row],[Shape]]="CFD",1, Ka)</f>
        <v>0</v>
      </c>
      <c r="ID21" s="276">
        <f>IFERROR(1/Calculations_APPURT[[#This Row],[Brackets]],0) * cv_F * DeltaSector[[#This Row],[Quantity]] * Hazards_APPURT[[#This Row],[qz]] * CaAa_APPURT[[#This Row],[Delta 60]] * IF(Calculations_APPURT[[#This Row],[Shape]]="CFD",1, Ka)</f>
        <v>0</v>
      </c>
      <c r="IE21" s="276">
        <f>IFERROR(1/Calculations_APPURT[[#This Row],[Brackets]],0) * cv_F * DeltaSector[[#This Row],[Quantity]] * Hazards_APPURT[[#This Row],[qz]] * CaAa_APPURT[[#This Row],[Delta 90]] * IF(Calculations_APPURT[[#This Row],[Shape]]="CFD",1, Ka)</f>
        <v>0</v>
      </c>
      <c r="IF21" s="276">
        <f>IFERROR(1/Calculations_APPURT[[#This Row],[Brackets]],0) * cv_F * DeltaSector[[#This Row],[Quantity]] * Hazards_APPURT[[#This Row],[qz]] * CaAa_APPURT[[#This Row],[Delta 120]] * IF(Calculations_APPURT[[#This Row],[Shape]]="CFD",1, Ka)</f>
        <v>0</v>
      </c>
      <c r="IG21" s="276">
        <f>IFERROR(1/Calculations_APPURT[[#This Row],[Brackets]],0) * cv_F * DeltaSector[[#This Row],[Quantity]] * Hazards_APPURT[[#This Row],[qz]] * CaAa_APPURT[[#This Row],[Delta 135]] * IF(Calculations_APPURT[[#This Row],[Shape]]="CFD",1, Ka)</f>
        <v>0</v>
      </c>
      <c r="IH21" s="276">
        <f>IFERROR(1/Calculations_APPURT[[#This Row],[Brackets]],0) * cv_F * DeltaSector[[#This Row],[Quantity]] * Hazards_APPURT[[#This Row],[qz]] * CaAa_APPURT[[#This Row],[Delta 150]] * IF(Calculations_APPURT[[#This Row],[Shape]]="CFD",1, Ka)</f>
        <v>0</v>
      </c>
      <c r="II21" s="276">
        <f>IFERROR(1/Calculations_APPURT[[#This Row],[Brackets]],0) * cv_F * DeltaSector[[#This Row],[Quantity]] * Hazards_APPURT[[#This Row],[qz]] * CaAa_APPURT[[#This Row],[Delta 180]] * IF(Calculations_APPURT[[#This Row],[Shape]]="CFD",1, Ka)</f>
        <v>0</v>
      </c>
      <c r="IJ21" s="276">
        <f>IFERROR(1/Calculations_APPURT[[#This Row],[Brackets]],0) * cv_F * DeltaSector[[#This Row],[Quantity]] * Hazards_APPURT[[#This Row],[qz]] * CaAa_APPURT[[#This Row],[Delta 210]] * IF(Calculations_APPURT[[#This Row],[Shape]]="CFD",1, Ka)</f>
        <v>0</v>
      </c>
      <c r="IK21" s="276">
        <f>IFERROR(1/Calculations_APPURT[[#This Row],[Brackets]],0) * cv_F * DeltaSector[[#This Row],[Quantity]] * Hazards_APPURT[[#This Row],[qz]] * CaAa_APPURT[[#This Row],[Delta 225]] * IF(Calculations_APPURT[[#This Row],[Shape]]="CFD",1, Ka)</f>
        <v>0</v>
      </c>
      <c r="IL21" s="276">
        <f>IFERROR(1/Calculations_APPURT[[#This Row],[Brackets]],0) * cv_F * DeltaSector[[#This Row],[Quantity]] * Hazards_APPURT[[#This Row],[qz]] * CaAa_APPURT[[#This Row],[Delta 240]] * IF(Calculations_APPURT[[#This Row],[Shape]]="CFD",1, Ka)</f>
        <v>0</v>
      </c>
      <c r="IM21" s="276">
        <f>IFERROR(1/Calculations_APPURT[[#This Row],[Brackets]],0) * cv_F * DeltaSector[[#This Row],[Quantity]] * Hazards_APPURT[[#This Row],[qz]] * CaAa_APPURT[[#This Row],[Delta 270]] * IF(Calculations_APPURT[[#This Row],[Shape]]="CFD",1, Ka)</f>
        <v>0</v>
      </c>
      <c r="IN21" s="276">
        <f>IFERROR(1/Calculations_APPURT[[#This Row],[Brackets]],0) * cv_F * DeltaSector[[#This Row],[Quantity]] * Hazards_APPURT[[#This Row],[qz]] * CaAa_APPURT[[#This Row],[Delta 300]] * IF(Calculations_APPURT[[#This Row],[Shape]]="CFD",1, Ka)</f>
        <v>0</v>
      </c>
      <c r="IO21" s="276">
        <f>IFERROR(1/Calculations_APPURT[[#This Row],[Brackets]],0) * cv_F * DeltaSector[[#This Row],[Quantity]] * Hazards_APPURT[[#This Row],[qz]] * CaAa_APPURT[[#This Row],[Delta 315]] * IF(Calculations_APPURT[[#This Row],[Shape]]="CFD",1, Ka)</f>
        <v>0</v>
      </c>
      <c r="IP21" s="276">
        <f>IFERROR(1/Calculations_APPURT[[#This Row],[Brackets]],0) * cv_F * DeltaSector[[#This Row],[Quantity]] * Hazards_APPURT[[#This Row],[qz]] * CaAa_APPURT[[#This Row],[Delta 330]] * IF(Calculations_APPURT[[#This Row],[Shape]]="CFD",1, Ka)</f>
        <v>0</v>
      </c>
      <c r="IQ21" s="276">
        <f>IFERROR(1/Calculations_APPURT[[#This Row],[Brackets]],0) * cv_F * AlphaSector[[#This Row],[Quantity]] * Hazards_APPURT[[#This Row],[qiz]] * CaAa_APPURT[[#This Row],[Alpha Ice 0]]</f>
        <v>0</v>
      </c>
      <c r="IR21" s="276">
        <f>IFERROR(1/Calculations_APPURT[[#This Row],[Brackets]],0) * cv_F * AlphaSector[[#This Row],[Quantity]] * Hazards_APPURT[[#This Row],[qiz]] * CaAa_APPURT[[#This Row],[Alpha Ice 30]]</f>
        <v>0</v>
      </c>
      <c r="IS21" s="276">
        <f>IFERROR(1/Calculations_APPURT[[#This Row],[Brackets]],0) * cv_F * AlphaSector[[#This Row],[Quantity]] * Hazards_APPURT[[#This Row],[qiz]] * CaAa_APPURT[[#This Row],[Alpha Ice 45]]</f>
        <v>0</v>
      </c>
      <c r="IT21" s="276">
        <f>IFERROR(1/Calculations_APPURT[[#This Row],[Brackets]],0) * cv_F * AlphaSector[[#This Row],[Quantity]] * Hazards_APPURT[[#This Row],[qiz]] * CaAa_APPURT[[#This Row],[Alpha Ice 60]]</f>
        <v>0</v>
      </c>
      <c r="IU21" s="276">
        <f>IFERROR(1/Calculations_APPURT[[#This Row],[Brackets]],0) * cv_F * AlphaSector[[#This Row],[Quantity]] * Hazards_APPURT[[#This Row],[qiz]] * CaAa_APPURT[[#This Row],[Alpha Ice 90]]</f>
        <v>0</v>
      </c>
      <c r="IV21" s="276">
        <f>IFERROR(1/Calculations_APPURT[[#This Row],[Brackets]],0) * cv_F * AlphaSector[[#This Row],[Quantity]] * Hazards_APPURT[[#This Row],[qiz]] * CaAa_APPURT[[#This Row],[Alpha Ice 120]]</f>
        <v>0</v>
      </c>
      <c r="IW21" s="276">
        <f>IFERROR(1/Calculations_APPURT[[#This Row],[Brackets]],0) * cv_F * AlphaSector[[#This Row],[Quantity]] * Hazards_APPURT[[#This Row],[qiz]] * CaAa_APPURT[[#This Row],[Alpha Ice 135]]</f>
        <v>0</v>
      </c>
      <c r="IX21" s="276">
        <f>IFERROR(1/Calculations_APPURT[[#This Row],[Brackets]],0) * cv_F * AlphaSector[[#This Row],[Quantity]] * Hazards_APPURT[[#This Row],[qiz]] * CaAa_APPURT[[#This Row],[Alpha Ice 150]]</f>
        <v>0</v>
      </c>
      <c r="IY21" s="276">
        <f>IFERROR(1/Calculations_APPURT[[#This Row],[Brackets]],0) * cv_F * AlphaSector[[#This Row],[Quantity]] * Hazards_APPURT[[#This Row],[qiz]] * CaAa_APPURT[[#This Row],[Alpha Ice 180]]</f>
        <v>0</v>
      </c>
      <c r="IZ21" s="276">
        <f>IFERROR(1/Calculations_APPURT[[#This Row],[Brackets]],0) * cv_F * AlphaSector[[#This Row],[Quantity]] * Hazards_APPURT[[#This Row],[qiz]] * CaAa_APPURT[[#This Row],[Alpha Ice 210]]</f>
        <v>0</v>
      </c>
      <c r="JA21" s="276">
        <f>IFERROR(1/Calculations_APPURT[[#This Row],[Brackets]],0) * cv_F * AlphaSector[[#This Row],[Quantity]] * Hazards_APPURT[[#This Row],[qiz]] * CaAa_APPURT[[#This Row],[Alpha Ice 225]]</f>
        <v>0</v>
      </c>
      <c r="JB21" s="276">
        <f>IFERROR(1/Calculations_APPURT[[#This Row],[Brackets]],0) * cv_F * AlphaSector[[#This Row],[Quantity]] * Hazards_APPURT[[#This Row],[qiz]] * CaAa_APPURT[[#This Row],[Alpha Ice 240]]</f>
        <v>0</v>
      </c>
      <c r="JC21" s="276">
        <f>IFERROR(1/Calculations_APPURT[[#This Row],[Brackets]],0) * cv_F * AlphaSector[[#This Row],[Quantity]] * Hazards_APPURT[[#This Row],[qiz]] * CaAa_APPURT[[#This Row],[Alpha Ice 270]]</f>
        <v>0</v>
      </c>
      <c r="JD21" s="276">
        <f>IFERROR(1/Calculations_APPURT[[#This Row],[Brackets]],0) * cv_F * AlphaSector[[#This Row],[Quantity]] * Hazards_APPURT[[#This Row],[qiz]] * CaAa_APPURT[[#This Row],[Alpha Ice 300]]</f>
        <v>0</v>
      </c>
      <c r="JE21" s="276">
        <f>IFERROR(1/Calculations_APPURT[[#This Row],[Brackets]],0) * cv_F * AlphaSector[[#This Row],[Quantity]] * Hazards_APPURT[[#This Row],[qiz]] * CaAa_APPURT[[#This Row],[Alpha Ice 315]]</f>
        <v>0</v>
      </c>
      <c r="JF21" s="276">
        <f>IFERROR(1/Calculations_APPURT[[#This Row],[Brackets]],0) * cv_F * AlphaSector[[#This Row],[Quantity]] * Hazards_APPURT[[#This Row],[qiz]] * CaAa_APPURT[[#This Row],[Alpha Ice 330]]</f>
        <v>0</v>
      </c>
      <c r="JG21" s="276">
        <f>IFERROR(1/Calculations_APPURT[[#This Row],[Brackets]],0) * cv_F * BetaSector[[#This Row],[Quantity]] * Hazards_APPURT[[#This Row],[qiz]] * CaAa_APPURT[[#This Row],[Beta Ice 0]]</f>
        <v>0</v>
      </c>
      <c r="JH21" s="276">
        <f>IFERROR(1/Calculations_APPURT[[#This Row],[Brackets]],0) * cv_F * BetaSector[[#This Row],[Quantity]] * Hazards_APPURT[[#This Row],[qiz]] * CaAa_APPURT[[#This Row],[Beta Ice 30]]</f>
        <v>0</v>
      </c>
      <c r="JI21" s="276">
        <f>IFERROR(1/Calculations_APPURT[[#This Row],[Brackets]],0) * cv_F * BetaSector[[#This Row],[Quantity]] * Hazards_APPURT[[#This Row],[qiz]] * CaAa_APPURT[[#This Row],[Beta Ice 45]]</f>
        <v>0</v>
      </c>
      <c r="JJ21" s="276">
        <f>IFERROR(1/Calculations_APPURT[[#This Row],[Brackets]],0) * cv_F * BetaSector[[#This Row],[Quantity]] * Hazards_APPURT[[#This Row],[qiz]] * CaAa_APPURT[[#This Row],[Beta Ice 60]]</f>
        <v>0</v>
      </c>
      <c r="JK21" s="276">
        <f>IFERROR(1/Calculations_APPURT[[#This Row],[Brackets]],0) * cv_F * BetaSector[[#This Row],[Quantity]] * Hazards_APPURT[[#This Row],[qiz]] * CaAa_APPURT[[#This Row],[Beta Ice 90]]</f>
        <v>0</v>
      </c>
      <c r="JL21" s="276">
        <f>IFERROR(1/Calculations_APPURT[[#This Row],[Brackets]],0) * cv_F * BetaSector[[#This Row],[Quantity]] * Hazards_APPURT[[#This Row],[qiz]] * CaAa_APPURT[[#This Row],[Beta Ice 120]]</f>
        <v>0</v>
      </c>
      <c r="JM21" s="276">
        <f>IFERROR(1/Calculations_APPURT[[#This Row],[Brackets]],0) * cv_F * BetaSector[[#This Row],[Quantity]] * Hazards_APPURT[[#This Row],[qiz]] * CaAa_APPURT[[#This Row],[Beta Ice 135]]</f>
        <v>0</v>
      </c>
      <c r="JN21" s="276">
        <f>IFERROR(1/Calculations_APPURT[[#This Row],[Brackets]],0) * cv_F * BetaSector[[#This Row],[Quantity]] * Hazards_APPURT[[#This Row],[qiz]] * CaAa_APPURT[[#This Row],[Beta Ice 150]]</f>
        <v>0</v>
      </c>
      <c r="JO21" s="276">
        <f>IFERROR(1/Calculations_APPURT[[#This Row],[Brackets]],0) * cv_F * BetaSector[[#This Row],[Quantity]] * Hazards_APPURT[[#This Row],[qiz]] * CaAa_APPURT[[#This Row],[Beta Ice 180]]</f>
        <v>0</v>
      </c>
      <c r="JP21" s="276">
        <f>IFERROR(1/Calculations_APPURT[[#This Row],[Brackets]],0) * cv_F * BetaSector[[#This Row],[Quantity]] * Hazards_APPURT[[#This Row],[qiz]] * CaAa_APPURT[[#This Row],[Beta Ice 210]]</f>
        <v>0</v>
      </c>
      <c r="JQ21" s="276">
        <f>IFERROR(1/Calculations_APPURT[[#This Row],[Brackets]],0) * cv_F * BetaSector[[#This Row],[Quantity]] * Hazards_APPURT[[#This Row],[qiz]] * CaAa_APPURT[[#This Row],[Beta Ice 225]]</f>
        <v>0</v>
      </c>
      <c r="JR21" s="276">
        <f>IFERROR(1/Calculations_APPURT[[#This Row],[Brackets]],0) * cv_F * BetaSector[[#This Row],[Quantity]] * Hazards_APPURT[[#This Row],[qiz]] * CaAa_APPURT[[#This Row],[Beta Ice 240]]</f>
        <v>0</v>
      </c>
      <c r="JS21" s="276">
        <f>IFERROR(1/Calculations_APPURT[[#This Row],[Brackets]],0) * cv_F * BetaSector[[#This Row],[Quantity]] * Hazards_APPURT[[#This Row],[qiz]] * CaAa_APPURT[[#This Row],[Beta Ice 270]]</f>
        <v>0</v>
      </c>
      <c r="JT21" s="276">
        <f>IFERROR(1/Calculations_APPURT[[#This Row],[Brackets]],0) * cv_F * BetaSector[[#This Row],[Quantity]] * Hazards_APPURT[[#This Row],[qiz]] * CaAa_APPURT[[#This Row],[Beta Ice 300]]</f>
        <v>0</v>
      </c>
      <c r="JU21" s="276">
        <f>IFERROR(1/Calculations_APPURT[[#This Row],[Brackets]],0) * cv_F * BetaSector[[#This Row],[Quantity]] * Hazards_APPURT[[#This Row],[qiz]] * CaAa_APPURT[[#This Row],[Beta Ice 315]]</f>
        <v>0</v>
      </c>
      <c r="JV21" s="276">
        <f>IFERROR(1/Calculations_APPURT[[#This Row],[Brackets]],0) * cv_F * BetaSector[[#This Row],[Quantity]] * Hazards_APPURT[[#This Row],[qiz]] * CaAa_APPURT[[#This Row],[Beta Ice 330]]</f>
        <v>0</v>
      </c>
      <c r="JW21" s="276">
        <f>IFERROR(1/Calculations_APPURT[[#This Row],[Brackets]],0) * cv_F * GammaSector[[#This Row],[Quantity]] * Hazards_APPURT[[#This Row],[qiz]] * CaAa_APPURT[[#This Row],[Gamma Ice 0]]</f>
        <v>0</v>
      </c>
      <c r="JX21" s="276">
        <f>IFERROR(1/Calculations_APPURT[[#This Row],[Brackets]],0) * cv_F * GammaSector[[#This Row],[Quantity]] * Hazards_APPURT[[#This Row],[qiz]] * CaAa_APPURT[[#This Row],[Gamma Ice 30]]</f>
        <v>0</v>
      </c>
      <c r="JY21" s="276">
        <f>IFERROR(1/Calculations_APPURT[[#This Row],[Brackets]],0) * cv_F * GammaSector[[#This Row],[Quantity]] * Hazards_APPURT[[#This Row],[qiz]] * CaAa_APPURT[[#This Row],[Gamma Ice 45]]</f>
        <v>0</v>
      </c>
      <c r="JZ21" s="276">
        <f>IFERROR(1/Calculations_APPURT[[#This Row],[Brackets]],0) * cv_F * GammaSector[[#This Row],[Quantity]] * Hazards_APPURT[[#This Row],[qiz]] * CaAa_APPURT[[#This Row],[Gamma Ice 60]]</f>
        <v>0</v>
      </c>
      <c r="KA21" s="276">
        <f>IFERROR(1/Calculations_APPURT[[#This Row],[Brackets]],0) * cv_F * GammaSector[[#This Row],[Quantity]] * Hazards_APPURT[[#This Row],[qiz]] * CaAa_APPURT[[#This Row],[Gamma Ice 90]]</f>
        <v>0</v>
      </c>
      <c r="KB21" s="276">
        <f>IFERROR(1/Calculations_APPURT[[#This Row],[Brackets]],0) * cv_F * GammaSector[[#This Row],[Quantity]] * Hazards_APPURT[[#This Row],[qiz]] * CaAa_APPURT[[#This Row],[Gamma Ice 120]]</f>
        <v>0</v>
      </c>
      <c r="KC21" s="276">
        <f>IFERROR(1/Calculations_APPURT[[#This Row],[Brackets]],0) * cv_F * GammaSector[[#This Row],[Quantity]] * Hazards_APPURT[[#This Row],[qiz]] * CaAa_APPURT[[#This Row],[Gamma Ice 135]]</f>
        <v>0</v>
      </c>
      <c r="KD21" s="276">
        <f>IFERROR(1/Calculations_APPURT[[#This Row],[Brackets]],0) * cv_F * GammaSector[[#This Row],[Quantity]] * Hazards_APPURT[[#This Row],[qiz]] * CaAa_APPURT[[#This Row],[Gamma Ice 150]]</f>
        <v>0</v>
      </c>
      <c r="KE21" s="276">
        <f>IFERROR(1/Calculations_APPURT[[#This Row],[Brackets]],0) * cv_F * GammaSector[[#This Row],[Quantity]] * Hazards_APPURT[[#This Row],[qiz]] * CaAa_APPURT[[#This Row],[Gamma Ice 180]]</f>
        <v>0</v>
      </c>
      <c r="KF21" s="276">
        <f>IFERROR(1/Calculations_APPURT[[#This Row],[Brackets]],0) * cv_F * GammaSector[[#This Row],[Quantity]] * Hazards_APPURT[[#This Row],[qiz]] * CaAa_APPURT[[#This Row],[Gamma Ice 210]]</f>
        <v>0</v>
      </c>
      <c r="KG21" s="276">
        <f>IFERROR(1/Calculations_APPURT[[#This Row],[Brackets]],0) * cv_F * GammaSector[[#This Row],[Quantity]] * Hazards_APPURT[[#This Row],[qiz]] * CaAa_APPURT[[#This Row],[Gamma Ice 225]]</f>
        <v>0</v>
      </c>
      <c r="KH21" s="276">
        <f>IFERROR(1/Calculations_APPURT[[#This Row],[Brackets]],0) * cv_F * GammaSector[[#This Row],[Quantity]] * Hazards_APPURT[[#This Row],[qiz]] * CaAa_APPURT[[#This Row],[Gamma Ice 240]]</f>
        <v>0</v>
      </c>
      <c r="KI21" s="276">
        <f>IFERROR(1/Calculations_APPURT[[#This Row],[Brackets]],0) * cv_F * GammaSector[[#This Row],[Quantity]] * Hazards_APPURT[[#This Row],[qiz]] * CaAa_APPURT[[#This Row],[Gamma Ice 270]]</f>
        <v>0</v>
      </c>
      <c r="KJ21" s="276">
        <f>IFERROR(1/Calculations_APPURT[[#This Row],[Brackets]],0) * cv_F * GammaSector[[#This Row],[Quantity]] * Hazards_APPURT[[#This Row],[qiz]] * CaAa_APPURT[[#This Row],[Gamma Ice 300]]</f>
        <v>0</v>
      </c>
      <c r="KK21" s="276">
        <f>IFERROR(1/Calculations_APPURT[[#This Row],[Brackets]],0) * cv_F * GammaSector[[#This Row],[Quantity]] * Hazards_APPURT[[#This Row],[qiz]] * CaAa_APPURT[[#This Row],[Gamma Ice 315]]</f>
        <v>0</v>
      </c>
      <c r="KL21" s="276">
        <f>IFERROR(1/Calculations_APPURT[[#This Row],[Brackets]],0) * cv_F * GammaSector[[#This Row],[Quantity]] * Hazards_APPURT[[#This Row],[qiz]] * CaAa_APPURT[[#This Row],[Gamma Ice 330]]</f>
        <v>0</v>
      </c>
      <c r="KM21" s="276">
        <f>IFERROR(1/Calculations_APPURT[[#This Row],[Brackets]],0) * cv_F * DeltaSector[[#This Row],[Quantity]] * Hazards_APPURT[[#This Row],[qiz]] * CaAa_APPURT[[#This Row],[Delta Ice 0]]</f>
        <v>0</v>
      </c>
      <c r="KN21" s="276">
        <f>IFERROR(1/Calculations_APPURT[[#This Row],[Brackets]],0) * cv_F * DeltaSector[[#This Row],[Quantity]] * Hazards_APPURT[[#This Row],[qiz]] * CaAa_APPURT[[#This Row],[Delta Ice 30]]</f>
        <v>0</v>
      </c>
      <c r="KO21" s="276">
        <f>IFERROR(1/Calculations_APPURT[[#This Row],[Brackets]],0) * cv_F * DeltaSector[[#This Row],[Quantity]] * Hazards_APPURT[[#This Row],[qiz]] * CaAa_APPURT[[#This Row],[Delta Ice 45]]</f>
        <v>0</v>
      </c>
      <c r="KP21" s="276">
        <f>IFERROR(1/Calculations_APPURT[[#This Row],[Brackets]],0) * cv_F * DeltaSector[[#This Row],[Quantity]] * Hazards_APPURT[[#This Row],[qiz]] * CaAa_APPURT[[#This Row],[Delta Ice 60]]</f>
        <v>0</v>
      </c>
      <c r="KQ21" s="276">
        <f>IFERROR(1/Calculations_APPURT[[#This Row],[Brackets]],0) * cv_F * DeltaSector[[#This Row],[Quantity]] * Hazards_APPURT[[#This Row],[qiz]] * CaAa_APPURT[[#This Row],[Delta Ice 90]]</f>
        <v>0</v>
      </c>
      <c r="KR21" s="276">
        <f>IFERROR(1/Calculations_APPURT[[#This Row],[Brackets]],0) * cv_F * DeltaSector[[#This Row],[Quantity]] * Hazards_APPURT[[#This Row],[qiz]] * CaAa_APPURT[[#This Row],[Delta Ice 120]]</f>
        <v>0</v>
      </c>
      <c r="KS21" s="276">
        <f>IFERROR(1/Calculations_APPURT[[#This Row],[Brackets]],0) * cv_F * DeltaSector[[#This Row],[Quantity]] * Hazards_APPURT[[#This Row],[qiz]] * CaAa_APPURT[[#This Row],[Delta Ice 135]]</f>
        <v>0</v>
      </c>
      <c r="KT21" s="276">
        <f>IFERROR(1/Calculations_APPURT[[#This Row],[Brackets]],0) * cv_F * DeltaSector[[#This Row],[Quantity]] * Hazards_APPURT[[#This Row],[qiz]] * CaAa_APPURT[[#This Row],[Delta Ice 150]]</f>
        <v>0</v>
      </c>
      <c r="KU21" s="276">
        <f>IFERROR(1/Calculations_APPURT[[#This Row],[Brackets]],0) * cv_F * DeltaSector[[#This Row],[Quantity]] * Hazards_APPURT[[#This Row],[qiz]] * CaAa_APPURT[[#This Row],[Delta Ice 180]]</f>
        <v>0</v>
      </c>
      <c r="KV21" s="276">
        <f>IFERROR(1/Calculations_APPURT[[#This Row],[Brackets]],0) * cv_F * DeltaSector[[#This Row],[Quantity]] * Hazards_APPURT[[#This Row],[qiz]] * CaAa_APPURT[[#This Row],[Delta Ice 210]]</f>
        <v>0</v>
      </c>
      <c r="KW21" s="276">
        <f>IFERROR(1/Calculations_APPURT[[#This Row],[Brackets]],0) * cv_F * DeltaSector[[#This Row],[Quantity]] * Hazards_APPURT[[#This Row],[qiz]] * CaAa_APPURT[[#This Row],[Delta Ice 225]]</f>
        <v>0</v>
      </c>
      <c r="KX21" s="276">
        <f>IFERROR(1/Calculations_APPURT[[#This Row],[Brackets]],0) * cv_F * DeltaSector[[#This Row],[Quantity]] * Hazards_APPURT[[#This Row],[qiz]] * CaAa_APPURT[[#This Row],[Delta Ice 240]]</f>
        <v>0</v>
      </c>
      <c r="KY21" s="276">
        <f>IFERROR(1/Calculations_APPURT[[#This Row],[Brackets]],0) * cv_F * DeltaSector[[#This Row],[Quantity]] * Hazards_APPURT[[#This Row],[qiz]] * CaAa_APPURT[[#This Row],[Delta Ice 270]]</f>
        <v>0</v>
      </c>
      <c r="KZ21" s="276">
        <f>IFERROR(1/Calculations_APPURT[[#This Row],[Brackets]],0) * cv_F * DeltaSector[[#This Row],[Quantity]] * Hazards_APPURT[[#This Row],[qiz]] * CaAa_APPURT[[#This Row],[Delta Ice 300]]</f>
        <v>0</v>
      </c>
      <c r="LA21" s="276">
        <f>IFERROR(1/Calculations_APPURT[[#This Row],[Brackets]],0) * cv_F * DeltaSector[[#This Row],[Quantity]] * Hazards_APPURT[[#This Row],[qiz]] * CaAa_APPURT[[#This Row],[Delta Ice 315]]</f>
        <v>0</v>
      </c>
      <c r="LB21" s="276">
        <f>IFERROR(1/Calculations_APPURT[[#This Row],[Brackets]],0) * cv_F * DeltaSector[[#This Row],[Quantity]] * Hazards_APPURT[[#This Row],[qiz]] * CaAa_APPURT[[#This Row],[Delta Ice 330]]</f>
        <v>0</v>
      </c>
      <c r="LC21" s="276">
        <f>IFERROR(1/Calculations_APPURT[[#This Row],[Brackets]],0) * cv_M/cv_F * Forces_APPURT[[#This Row],[Alpha Fa 0]] * Calculations_APPURT[[#This Row],[Horizontal Offset]]/12</f>
        <v>0</v>
      </c>
      <c r="LD21" s="276">
        <f>IFERROR(1/Calculations_APPURT[[#This Row],[Brackets]],0) * cv_M/cv_F * Forces_APPURT[[#This Row],[Alpha Fa 30]] * Calculations_APPURT[[#This Row],[Horizontal Offset]]/12</f>
        <v>0</v>
      </c>
      <c r="LE21" s="276">
        <f>IFERROR(1/Calculations_APPURT[[#This Row],[Brackets]],0) * cv_M/cv_F * Forces_APPURT[[#This Row],[Alpha Fa 45]] * Calculations_APPURT[[#This Row],[Horizontal Offset]]/12</f>
        <v>0</v>
      </c>
      <c r="LF21" s="276">
        <f>IFERROR(1/Calculations_APPURT[[#This Row],[Brackets]],0) * cv_M/cv_F * Forces_APPURT[[#This Row],[Alpha Fa 60]] * Calculations_APPURT[[#This Row],[Horizontal Offset]]/12</f>
        <v>0</v>
      </c>
      <c r="LG21" s="276">
        <f>IFERROR(1/Calculations_APPURT[[#This Row],[Brackets]],0) * cv_M/cv_F * Forces_APPURT[[#This Row],[Alpha Fa 90]] * Calculations_APPURT[[#This Row],[Horizontal Offset]]/12</f>
        <v>0</v>
      </c>
      <c r="LH21" s="276">
        <f>IFERROR(1/Calculations_APPURT[[#This Row],[Brackets]],0) * cv_M/cv_F * Forces_APPURT[[#This Row],[Alpha Fa 120]] * Calculations_APPURT[[#This Row],[Horizontal Offset]]/12</f>
        <v>0</v>
      </c>
      <c r="LI21" s="276">
        <f>IFERROR(1/Calculations_APPURT[[#This Row],[Brackets]],0) * cv_M/cv_F * Forces_APPURT[[#This Row],[Alpha Fa 135]] * Calculations_APPURT[[#This Row],[Horizontal Offset]]/12</f>
        <v>0</v>
      </c>
      <c r="LJ21" s="276">
        <f>IFERROR(1/Calculations_APPURT[[#This Row],[Brackets]],0) * cv_M/cv_F * Forces_APPURT[[#This Row],[Alpha Fa 150]] * Calculations_APPURT[[#This Row],[Horizontal Offset]]/12</f>
        <v>0</v>
      </c>
      <c r="LK21" s="276">
        <f>IFERROR(1/Calculations_APPURT[[#This Row],[Brackets]],0) * cv_M/cv_F * Forces_APPURT[[#This Row],[Alpha Fa 180]] * Calculations_APPURT[[#This Row],[Horizontal Offset]]/12</f>
        <v>0</v>
      </c>
      <c r="LL21" s="276">
        <f>IFERROR(1/Calculations_APPURT[[#This Row],[Brackets]],0) * cv_M/cv_F * Forces_APPURT[[#This Row],[Alpha Fa 210]] * Calculations_APPURT[[#This Row],[Horizontal Offset]]/12</f>
        <v>0</v>
      </c>
      <c r="LM21" s="276">
        <f>IFERROR(1/Calculations_APPURT[[#This Row],[Brackets]],0) * cv_M/cv_F * Forces_APPURT[[#This Row],[Alpha Fa 225]] * Calculations_APPURT[[#This Row],[Horizontal Offset]]/12</f>
        <v>0</v>
      </c>
      <c r="LN21" s="276">
        <f>IFERROR(1/Calculations_APPURT[[#This Row],[Brackets]],0) * cv_M/cv_F * Forces_APPURT[[#This Row],[Alpha Fa 240]] * Calculations_APPURT[[#This Row],[Horizontal Offset]]/12</f>
        <v>0</v>
      </c>
      <c r="LO21" s="276">
        <f>IFERROR(1/Calculations_APPURT[[#This Row],[Brackets]],0) * cv_M/cv_F * Forces_APPURT[[#This Row],[Alpha Fa 270]] * Calculations_APPURT[[#This Row],[Horizontal Offset]]/12</f>
        <v>0</v>
      </c>
      <c r="LP21" s="276">
        <f>IFERROR(1/Calculations_APPURT[[#This Row],[Brackets]],0) * cv_M/cv_F * Forces_APPURT[[#This Row],[Alpha Fa 300]] * Calculations_APPURT[[#This Row],[Horizontal Offset]]/12</f>
        <v>0</v>
      </c>
      <c r="LQ21" s="276">
        <f>IFERROR(1/Calculations_APPURT[[#This Row],[Brackets]],0) * cv_M/cv_F * Forces_APPURT[[#This Row],[Alpha Fa 315]] * Calculations_APPURT[[#This Row],[Horizontal Offset]]/12</f>
        <v>0</v>
      </c>
      <c r="LR21" s="276">
        <f>IFERROR(1/Calculations_APPURT[[#This Row],[Brackets]],0) * cv_M/cv_F * Forces_APPURT[[#This Row],[Alpha Fa 330]] * Calculations_APPURT[[#This Row],[Horizontal Offset]]/12</f>
        <v>0</v>
      </c>
      <c r="LS21" s="276">
        <f>IFERROR(1/Calculations_APPURT[[#This Row],[Brackets]],0) * cv_M/cv_F * Forces_APPURT[[#This Row],[Beta Fa 0]] * Calculations_APPURT[[#This Row],[Horizontal Offset]]/12</f>
        <v>0</v>
      </c>
      <c r="LT21" s="276">
        <f>IFERROR(1/Calculations_APPURT[[#This Row],[Brackets]],0) * cv_M/cv_F * Forces_APPURT[[#This Row],[Beta Fa 30]] * Calculations_APPURT[[#This Row],[Horizontal Offset]]/12</f>
        <v>0</v>
      </c>
      <c r="LU21" s="276">
        <f>IFERROR(1/Calculations_APPURT[[#This Row],[Brackets]],0) * cv_M/cv_F * Forces_APPURT[[#This Row],[Beta Fa 45]] * Calculations_APPURT[[#This Row],[Horizontal Offset]]/12</f>
        <v>0</v>
      </c>
      <c r="LV21" s="276">
        <f>IFERROR(1/Calculations_APPURT[[#This Row],[Brackets]],0) * cv_M/cv_F * Forces_APPURT[[#This Row],[Beta Fa 60]] * Calculations_APPURT[[#This Row],[Horizontal Offset]]/12</f>
        <v>0</v>
      </c>
      <c r="LW21" s="276">
        <f>IFERROR(1/Calculations_APPURT[[#This Row],[Brackets]],0) * cv_M/cv_F * Forces_APPURT[[#This Row],[Beta Fa 90]] * Calculations_APPURT[[#This Row],[Horizontal Offset]]/12</f>
        <v>0</v>
      </c>
      <c r="LX21" s="276">
        <f>IFERROR(1/Calculations_APPURT[[#This Row],[Brackets]],0) * cv_M/cv_F * Forces_APPURT[[#This Row],[Beta Fa 120]] * Calculations_APPURT[[#This Row],[Horizontal Offset]]/12</f>
        <v>0</v>
      </c>
      <c r="LY21" s="276">
        <f>IFERROR(1/Calculations_APPURT[[#This Row],[Brackets]],0) * cv_M/cv_F * Forces_APPURT[[#This Row],[Beta Fa 135]] * Calculations_APPURT[[#This Row],[Horizontal Offset]]/12</f>
        <v>0</v>
      </c>
      <c r="LZ21" s="276">
        <f>IFERROR(1/Calculations_APPURT[[#This Row],[Brackets]],0) * cv_M/cv_F * Forces_APPURT[[#This Row],[Beta Fa 150]] * Calculations_APPURT[[#This Row],[Horizontal Offset]]/12</f>
        <v>0</v>
      </c>
      <c r="MA21" s="276">
        <f>IFERROR(1/Calculations_APPURT[[#This Row],[Brackets]],0) * cv_M/cv_F * Forces_APPURT[[#This Row],[Beta Fa 180]] * Calculations_APPURT[[#This Row],[Horizontal Offset]]/12</f>
        <v>0</v>
      </c>
      <c r="MB21" s="276">
        <f>IFERROR(1/Calculations_APPURT[[#This Row],[Brackets]],0) * cv_M/cv_F * Forces_APPURT[[#This Row],[Beta Fa 210]] * Calculations_APPURT[[#This Row],[Horizontal Offset]]/12</f>
        <v>0</v>
      </c>
      <c r="MC21" s="276">
        <f>IFERROR(1/Calculations_APPURT[[#This Row],[Brackets]],0) * cv_M/cv_F * Forces_APPURT[[#This Row],[Beta Fa 225]] * Calculations_APPURT[[#This Row],[Horizontal Offset]]/12</f>
        <v>0</v>
      </c>
      <c r="MD21" s="276">
        <f>IFERROR(1/Calculations_APPURT[[#This Row],[Brackets]],0) * cv_M/cv_F * Forces_APPURT[[#This Row],[Beta Fa 240]] * Calculations_APPURT[[#This Row],[Horizontal Offset]]/12</f>
        <v>0</v>
      </c>
      <c r="ME21" s="276">
        <f>IFERROR(1/Calculations_APPURT[[#This Row],[Brackets]],0) * cv_M/cv_F * Forces_APPURT[[#This Row],[Beta Fa 270]] * Calculations_APPURT[[#This Row],[Horizontal Offset]]/12</f>
        <v>0</v>
      </c>
      <c r="MF21" s="276">
        <f>IFERROR(1/Calculations_APPURT[[#This Row],[Brackets]],0) * cv_M/cv_F * Forces_APPURT[[#This Row],[Beta Fa 300]] * Calculations_APPURT[[#This Row],[Horizontal Offset]]/12</f>
        <v>0</v>
      </c>
      <c r="MG21" s="276">
        <f>IFERROR(1/Calculations_APPURT[[#This Row],[Brackets]],0) * cv_M/cv_F * Forces_APPURT[[#This Row],[Beta Fa 315]] * Calculations_APPURT[[#This Row],[Horizontal Offset]]/12</f>
        <v>0</v>
      </c>
      <c r="MH21" s="276">
        <f>IFERROR(1/Calculations_APPURT[[#This Row],[Brackets]],0) * cv_M/cv_F * Forces_APPURT[[#This Row],[Beta Fa 330]] * Calculations_APPURT[[#This Row],[Horizontal Offset]]/12</f>
        <v>0</v>
      </c>
      <c r="MI21" s="276">
        <f>IFERROR(1/Calculations_APPURT[[#This Row],[Brackets]],0) * cv_M/cv_F * Forces_APPURT[[#This Row],[Gamma Fa 0]] * Calculations_APPURT[[#This Row],[Horizontal Offset]]/12</f>
        <v>0</v>
      </c>
      <c r="MJ21" s="276">
        <f>IFERROR(1/Calculations_APPURT[[#This Row],[Brackets]],0) * cv_M/cv_F * Forces_APPURT[[#This Row],[Gamma Fa 30]] * Calculations_APPURT[[#This Row],[Horizontal Offset]]/12</f>
        <v>0</v>
      </c>
      <c r="MK21" s="276">
        <f>IFERROR(1/Calculations_APPURT[[#This Row],[Brackets]],0) * cv_M/cv_F * Forces_APPURT[[#This Row],[Gamma Fa 45]] * Calculations_APPURT[[#This Row],[Horizontal Offset]]/12</f>
        <v>0</v>
      </c>
      <c r="ML21" s="276">
        <f>IFERROR(1/Calculations_APPURT[[#This Row],[Brackets]],0) * cv_M/cv_F * Forces_APPURT[[#This Row],[Gamma Fa 60]] * Calculations_APPURT[[#This Row],[Horizontal Offset]]/12</f>
        <v>0</v>
      </c>
      <c r="MM21" s="276">
        <f>IFERROR(1/Calculations_APPURT[[#This Row],[Brackets]],0) * cv_M/cv_F * Forces_APPURT[[#This Row],[Gamma Fa 90]] * Calculations_APPURT[[#This Row],[Horizontal Offset]]/12</f>
        <v>0</v>
      </c>
      <c r="MN21" s="276">
        <f>IFERROR(1/Calculations_APPURT[[#This Row],[Brackets]],0) * cv_M/cv_F * Forces_APPURT[[#This Row],[Gamma Fa 120]] * Calculations_APPURT[[#This Row],[Horizontal Offset]]/12</f>
        <v>0</v>
      </c>
      <c r="MO21" s="276">
        <f>IFERROR(1/Calculations_APPURT[[#This Row],[Brackets]],0) * cv_M/cv_F * Forces_APPURT[[#This Row],[Gamma Fa 135]] * Calculations_APPURT[[#This Row],[Horizontal Offset]]/12</f>
        <v>0</v>
      </c>
      <c r="MP21" s="276">
        <f>IFERROR(1/Calculations_APPURT[[#This Row],[Brackets]],0) * cv_M/cv_F * Forces_APPURT[[#This Row],[Gamma Fa 150]] * Calculations_APPURT[[#This Row],[Horizontal Offset]]/12</f>
        <v>0</v>
      </c>
      <c r="MQ21" s="276">
        <f>IFERROR(1/Calculations_APPURT[[#This Row],[Brackets]],0) * cv_M/cv_F * Forces_APPURT[[#This Row],[Gamma Fa 180]] * Calculations_APPURT[[#This Row],[Horizontal Offset]]/12</f>
        <v>0</v>
      </c>
      <c r="MR21" s="276">
        <f>IFERROR(1/Calculations_APPURT[[#This Row],[Brackets]],0) * cv_M/cv_F * Forces_APPURT[[#This Row],[Gamma Fa 210]] * Calculations_APPURT[[#This Row],[Horizontal Offset]]/12</f>
        <v>0</v>
      </c>
      <c r="MS21" s="276">
        <f>IFERROR(1/Calculations_APPURT[[#This Row],[Brackets]],0) * cv_M/cv_F * Forces_APPURT[[#This Row],[Gamma Fa 225]] * Calculations_APPURT[[#This Row],[Horizontal Offset]]/12</f>
        <v>0</v>
      </c>
      <c r="MT21" s="276">
        <f>IFERROR(1/Calculations_APPURT[[#This Row],[Brackets]],0) * cv_M/cv_F * Forces_APPURT[[#This Row],[Gamma Fa 240]] * Calculations_APPURT[[#This Row],[Horizontal Offset]]/12</f>
        <v>0</v>
      </c>
      <c r="MU21" s="276">
        <f>IFERROR(1/Calculations_APPURT[[#This Row],[Brackets]],0) * cv_M/cv_F * Forces_APPURT[[#This Row],[Gamma Fa 270]] * Calculations_APPURT[[#This Row],[Horizontal Offset]]/12</f>
        <v>0</v>
      </c>
      <c r="MV21" s="276">
        <f>IFERROR(1/Calculations_APPURT[[#This Row],[Brackets]],0) * cv_M/cv_F * Forces_APPURT[[#This Row],[Gamma Fa 300]] * Calculations_APPURT[[#This Row],[Horizontal Offset]]/12</f>
        <v>0</v>
      </c>
      <c r="MW21" s="276">
        <f>IFERROR(1/Calculations_APPURT[[#This Row],[Brackets]],0) * cv_M/cv_F * Forces_APPURT[[#This Row],[Gamma Fa 315]] * Calculations_APPURT[[#This Row],[Horizontal Offset]]/12</f>
        <v>0</v>
      </c>
      <c r="MX21" s="276">
        <f>IFERROR(1/Calculations_APPURT[[#This Row],[Brackets]],0) * cv_M/cv_F * Forces_APPURT[[#This Row],[Gamma Fa 330]] * Calculations_APPURT[[#This Row],[Horizontal Offset]]/12</f>
        <v>0</v>
      </c>
      <c r="MY21" s="276">
        <f>IFERROR(1/Calculations_APPURT[[#This Row],[Brackets]],0) * cv_M/cv_F * Forces_APPURT[[#This Row],[Delta Fa 0]] * Calculations_APPURT[[#This Row],[Horizontal Offset]]/12</f>
        <v>0</v>
      </c>
      <c r="MZ21" s="276">
        <f>IFERROR(1/Calculations_APPURT[[#This Row],[Brackets]],0) * cv_M/cv_F * Forces_APPURT[[#This Row],[Delta Fa 30]] * Calculations_APPURT[[#This Row],[Horizontal Offset]]/12</f>
        <v>0</v>
      </c>
      <c r="NA21" s="276">
        <f>IFERROR(1/Calculations_APPURT[[#This Row],[Brackets]],0) * cv_M/cv_F * Forces_APPURT[[#This Row],[Delta Fa 45]] * Calculations_APPURT[[#This Row],[Horizontal Offset]]/12</f>
        <v>0</v>
      </c>
      <c r="NB21" s="276">
        <f>IFERROR(1/Calculations_APPURT[[#This Row],[Brackets]],0) * cv_M/cv_F * Forces_APPURT[[#This Row],[Delta Fa 60]] * Calculations_APPURT[[#This Row],[Horizontal Offset]]/12</f>
        <v>0</v>
      </c>
      <c r="NC21" s="276">
        <f>IFERROR(1/Calculations_APPURT[[#This Row],[Brackets]],0) * cv_M/cv_F * Forces_APPURT[[#This Row],[Delta Fa 90]] * Calculations_APPURT[[#This Row],[Horizontal Offset]]/12</f>
        <v>0</v>
      </c>
      <c r="ND21" s="276">
        <f>IFERROR(1/Calculations_APPURT[[#This Row],[Brackets]],0) * cv_M/cv_F * Forces_APPURT[[#This Row],[Delta Fa 120]] * Calculations_APPURT[[#This Row],[Horizontal Offset]]/12</f>
        <v>0</v>
      </c>
      <c r="NE21" s="276">
        <f>IFERROR(1/Calculations_APPURT[[#This Row],[Brackets]],0) * cv_M/cv_F * Forces_APPURT[[#This Row],[Delta Fa 135]] * Calculations_APPURT[[#This Row],[Horizontal Offset]]/12</f>
        <v>0</v>
      </c>
      <c r="NF21" s="276">
        <f>IFERROR(1/Calculations_APPURT[[#This Row],[Brackets]],0) * cv_M/cv_F * Forces_APPURT[[#This Row],[Delta Fa 150]] * Calculations_APPURT[[#This Row],[Horizontal Offset]]/12</f>
        <v>0</v>
      </c>
      <c r="NG21" s="276">
        <f>IFERROR(1/Calculations_APPURT[[#This Row],[Brackets]],0) * cv_M/cv_F * Forces_APPURT[[#This Row],[Delta Fa 180]] * Calculations_APPURT[[#This Row],[Horizontal Offset]]/12</f>
        <v>0</v>
      </c>
      <c r="NH21" s="276">
        <f>IFERROR(1/Calculations_APPURT[[#This Row],[Brackets]],0) * cv_M/cv_F * Forces_APPURT[[#This Row],[Delta Fa 210]] * Calculations_APPURT[[#This Row],[Horizontal Offset]]/12</f>
        <v>0</v>
      </c>
      <c r="NI21" s="276">
        <f>IFERROR(1/Calculations_APPURT[[#This Row],[Brackets]],0) * cv_M/cv_F * Forces_APPURT[[#This Row],[Delta Fa 225]] * Calculations_APPURT[[#This Row],[Horizontal Offset]]/12</f>
        <v>0</v>
      </c>
      <c r="NJ21" s="276">
        <f>IFERROR(1/Calculations_APPURT[[#This Row],[Brackets]],0) * cv_M/cv_F * Forces_APPURT[[#This Row],[Delta Fa 240]] * Calculations_APPURT[[#This Row],[Horizontal Offset]]/12</f>
        <v>0</v>
      </c>
      <c r="NK21" s="276">
        <f>IFERROR(1/Calculations_APPURT[[#This Row],[Brackets]],0) * cv_M/cv_F * Forces_APPURT[[#This Row],[Delta Fa 270]] * Calculations_APPURT[[#This Row],[Horizontal Offset]]/12</f>
        <v>0</v>
      </c>
      <c r="NL21" s="276">
        <f>IFERROR(1/Calculations_APPURT[[#This Row],[Brackets]],0) * cv_M/cv_F * Forces_APPURT[[#This Row],[Delta Fa 300]] * Calculations_APPURT[[#This Row],[Horizontal Offset]]/12</f>
        <v>0</v>
      </c>
      <c r="NM21" s="276">
        <f>IFERROR(1/Calculations_APPURT[[#This Row],[Brackets]],0) * cv_M/cv_F * Forces_APPURT[[#This Row],[Delta Fa 315]] * Calculations_APPURT[[#This Row],[Horizontal Offset]]/12</f>
        <v>0</v>
      </c>
      <c r="NN21" s="276">
        <f>IFERROR(1/Calculations_APPURT[[#This Row],[Brackets]],0) * cv_M/cv_F * Forces_APPURT[[#This Row],[Delta Fa 330]] * Calculations_APPURT[[#This Row],[Horizontal Offset]]/12</f>
        <v>0</v>
      </c>
      <c r="NO21" s="276">
        <f>IFERROR(1/Calculations_APPURT[[#This Row],[Brackets]],0) * cv_M/cv_F * Forces_APPURT[[#This Row],[Alpha Fai 0]] * Calculations_APPURT[[#This Row],[Horizontal Offset]]/12</f>
        <v>0</v>
      </c>
      <c r="NP21" s="276">
        <f>IFERROR(1/Calculations_APPURT[[#This Row],[Brackets]],0) * cv_M/cv_F * Forces_APPURT[[#This Row],[Alpha Fai 30]] * Calculations_APPURT[[#This Row],[Horizontal Offset]]/12</f>
        <v>0</v>
      </c>
      <c r="NQ21" s="276">
        <f>IFERROR(1/Calculations_APPURT[[#This Row],[Brackets]],0) * cv_M/cv_F * Forces_APPURT[[#This Row],[Alpha Fai 45]] * Calculations_APPURT[[#This Row],[Horizontal Offset]]/12</f>
        <v>0</v>
      </c>
      <c r="NR21" s="276">
        <f>IFERROR(1/Calculations_APPURT[[#This Row],[Brackets]],0) * cv_M/cv_F * Forces_APPURT[[#This Row],[Alpha Fai 60]] * Calculations_APPURT[[#This Row],[Horizontal Offset]]/12</f>
        <v>0</v>
      </c>
      <c r="NS21" s="276">
        <f>IFERROR(1/Calculations_APPURT[[#This Row],[Brackets]],0) * cv_M/cv_F * Forces_APPURT[[#This Row],[Alpha Fai 90]] * Calculations_APPURT[[#This Row],[Horizontal Offset]]/12</f>
        <v>0</v>
      </c>
      <c r="NT21" s="276">
        <f>IFERROR(1/Calculations_APPURT[[#This Row],[Brackets]],0) * cv_M/cv_F * Forces_APPURT[[#This Row],[Alpha Fai 120]] * Calculations_APPURT[[#This Row],[Horizontal Offset]]/12</f>
        <v>0</v>
      </c>
      <c r="NU21" s="276">
        <f>IFERROR(1/Calculations_APPURT[[#This Row],[Brackets]],0) * cv_M/cv_F * Forces_APPURT[[#This Row],[Alpha Fai 135]] * Calculations_APPURT[[#This Row],[Horizontal Offset]]/12</f>
        <v>0</v>
      </c>
      <c r="NV21" s="276">
        <f>IFERROR(1/Calculations_APPURT[[#This Row],[Brackets]],0) * cv_M/cv_F * Forces_APPURT[[#This Row],[Alpha Fai 150]] * Calculations_APPURT[[#This Row],[Horizontal Offset]]/12</f>
        <v>0</v>
      </c>
      <c r="NW21" s="276">
        <f>IFERROR(1/Calculations_APPURT[[#This Row],[Brackets]],0) * cv_M/cv_F * Forces_APPURT[[#This Row],[Alpha Fai 180]] * Calculations_APPURT[[#This Row],[Horizontal Offset]]/12</f>
        <v>0</v>
      </c>
      <c r="NX21" s="276">
        <f>IFERROR(1/Calculations_APPURT[[#This Row],[Brackets]],0) * cv_M/cv_F * Forces_APPURT[[#This Row],[Alpha Fai 210]] * Calculations_APPURT[[#This Row],[Horizontal Offset]]/12</f>
        <v>0</v>
      </c>
      <c r="NY21" s="276">
        <f>IFERROR(1/Calculations_APPURT[[#This Row],[Brackets]],0) * cv_M/cv_F * Forces_APPURT[[#This Row],[Alpha Fai 225]] * Calculations_APPURT[[#This Row],[Horizontal Offset]]/12</f>
        <v>0</v>
      </c>
      <c r="NZ21" s="276">
        <f>IFERROR(1/Calculations_APPURT[[#This Row],[Brackets]],0) * cv_M/cv_F * Forces_APPURT[[#This Row],[Alpha Fai 240]] * Calculations_APPURT[[#This Row],[Horizontal Offset]]/12</f>
        <v>0</v>
      </c>
      <c r="OA21" s="276">
        <f>IFERROR(1/Calculations_APPURT[[#This Row],[Brackets]],0) * cv_M/cv_F * Forces_APPURT[[#This Row],[Alpha Fai 270]] * Calculations_APPURT[[#This Row],[Horizontal Offset]]/12</f>
        <v>0</v>
      </c>
      <c r="OB21" s="276">
        <f>IFERROR(1/Calculations_APPURT[[#This Row],[Brackets]],0) * cv_M/cv_F * Forces_APPURT[[#This Row],[Alpha Fai 300]] * Calculations_APPURT[[#This Row],[Horizontal Offset]]/12</f>
        <v>0</v>
      </c>
      <c r="OC21" s="276">
        <f>IFERROR(1/Calculations_APPURT[[#This Row],[Brackets]],0) * cv_M/cv_F * Forces_APPURT[[#This Row],[Alpha Fai 315]] * Calculations_APPURT[[#This Row],[Horizontal Offset]]/12</f>
        <v>0</v>
      </c>
      <c r="OD21" s="276">
        <f>IFERROR(1/Calculations_APPURT[[#This Row],[Brackets]],0) * cv_M/cv_F * Forces_APPURT[[#This Row],[Alpha Fai 330]] * Calculations_APPURT[[#This Row],[Horizontal Offset]]/12</f>
        <v>0</v>
      </c>
      <c r="OE21" s="276">
        <f>IFERROR(1/Calculations_APPURT[[#This Row],[Brackets]],0) * cv_M/cv_F * Forces_APPURT[[#This Row],[Beta Fai 0]] * Calculations_APPURT[[#This Row],[Horizontal Offset]]/12</f>
        <v>0</v>
      </c>
      <c r="OF21" s="276">
        <f>IFERROR(1/Calculations_APPURT[[#This Row],[Brackets]],0) * cv_M/cv_F * Forces_APPURT[[#This Row],[Beta Fai 30]] * Calculations_APPURT[[#This Row],[Horizontal Offset]]/12</f>
        <v>0</v>
      </c>
      <c r="OG21" s="276">
        <f>IFERROR(1/Calculations_APPURT[[#This Row],[Brackets]],0) * cv_M/cv_F * Forces_APPURT[[#This Row],[Beta Fai 45]] * Calculations_APPURT[[#This Row],[Horizontal Offset]]/12</f>
        <v>0</v>
      </c>
      <c r="OH21" s="276">
        <f>IFERROR(1/Calculations_APPURT[[#This Row],[Brackets]],0) * cv_M/cv_F * Forces_APPURT[[#This Row],[Beta Fai 60]] * Calculations_APPURT[[#This Row],[Horizontal Offset]]/12</f>
        <v>0</v>
      </c>
      <c r="OI21" s="276">
        <f>IFERROR(1/Calculations_APPURT[[#This Row],[Brackets]],0) * cv_M/cv_F * Forces_APPURT[[#This Row],[Beta Fai 90]] * Calculations_APPURT[[#This Row],[Horizontal Offset]]/12</f>
        <v>0</v>
      </c>
      <c r="OJ21" s="276">
        <f>IFERROR(1/Calculations_APPURT[[#This Row],[Brackets]],0) * cv_M/cv_F * Forces_APPURT[[#This Row],[Beta Fai 120]] * Calculations_APPURT[[#This Row],[Horizontal Offset]]/12</f>
        <v>0</v>
      </c>
      <c r="OK21" s="276">
        <f>IFERROR(1/Calculations_APPURT[[#This Row],[Brackets]],0) * cv_M/cv_F * Forces_APPURT[[#This Row],[Beta Fai 135]] * Calculations_APPURT[[#This Row],[Horizontal Offset]]/12</f>
        <v>0</v>
      </c>
      <c r="OL21" s="276">
        <f>IFERROR(1/Calculations_APPURT[[#This Row],[Brackets]],0) * cv_M/cv_F * Forces_APPURT[[#This Row],[Beta Fai 150]] * Calculations_APPURT[[#This Row],[Horizontal Offset]]/12</f>
        <v>0</v>
      </c>
      <c r="OM21" s="276">
        <f>IFERROR(1/Calculations_APPURT[[#This Row],[Brackets]],0) * cv_M/cv_F * Forces_APPURT[[#This Row],[Beta Fai 180]] * Calculations_APPURT[[#This Row],[Horizontal Offset]]/12</f>
        <v>0</v>
      </c>
      <c r="ON21" s="276">
        <f>IFERROR(1/Calculations_APPURT[[#This Row],[Brackets]],0) * cv_M/cv_F * Forces_APPURT[[#This Row],[Beta Fai 210]] * Calculations_APPURT[[#This Row],[Horizontal Offset]]/12</f>
        <v>0</v>
      </c>
      <c r="OO21" s="276">
        <f>IFERROR(1/Calculations_APPURT[[#This Row],[Brackets]],0) * cv_M/cv_F * Forces_APPURT[[#This Row],[Beta Fai 225]] * Calculations_APPURT[[#This Row],[Horizontal Offset]]/12</f>
        <v>0</v>
      </c>
      <c r="OP21" s="276">
        <f>IFERROR(1/Calculations_APPURT[[#This Row],[Brackets]],0) * cv_M/cv_F * Forces_APPURT[[#This Row],[Beta Fai 240]] * Calculations_APPURT[[#This Row],[Horizontal Offset]]/12</f>
        <v>0</v>
      </c>
      <c r="OQ21" s="276">
        <f>IFERROR(1/Calculations_APPURT[[#This Row],[Brackets]],0) * cv_M/cv_F * Forces_APPURT[[#This Row],[Beta Fai 270]] * Calculations_APPURT[[#This Row],[Horizontal Offset]]/12</f>
        <v>0</v>
      </c>
      <c r="OR21" s="276">
        <f>IFERROR(1/Calculations_APPURT[[#This Row],[Brackets]],0) * cv_M/cv_F * Forces_APPURT[[#This Row],[Beta Fai 300]] * Calculations_APPURT[[#This Row],[Horizontal Offset]]/12</f>
        <v>0</v>
      </c>
      <c r="OS21" s="276">
        <f>IFERROR(1/Calculations_APPURT[[#This Row],[Brackets]],0) * cv_M/cv_F * Forces_APPURT[[#This Row],[Beta Fai 315]] * Calculations_APPURT[[#This Row],[Horizontal Offset]]/12</f>
        <v>0</v>
      </c>
      <c r="OT21" s="276">
        <f>IFERROR(1/Calculations_APPURT[[#This Row],[Brackets]],0) * cv_M/cv_F * Forces_APPURT[[#This Row],[Beta Fai 330]] * Calculations_APPURT[[#This Row],[Horizontal Offset]]/12</f>
        <v>0</v>
      </c>
      <c r="OU21" s="276">
        <f>IFERROR(1/Calculations_APPURT[[#This Row],[Brackets]],0) * cv_M/cv_F * Forces_APPURT[[#This Row],[Gamma Fai 0]] * Calculations_APPURT[[#This Row],[Horizontal Offset]]/12</f>
        <v>0</v>
      </c>
      <c r="OV21" s="276">
        <f>IFERROR(1/Calculations_APPURT[[#This Row],[Brackets]],0) * cv_M/cv_F * Forces_APPURT[[#This Row],[Gamma Fai 30]] * Calculations_APPURT[[#This Row],[Horizontal Offset]]/12</f>
        <v>0</v>
      </c>
      <c r="OW21" s="276">
        <f>IFERROR(1/Calculations_APPURT[[#This Row],[Brackets]],0) * cv_M/cv_F * Forces_APPURT[[#This Row],[Gamma Fai 45]] * Calculations_APPURT[[#This Row],[Horizontal Offset]]/12</f>
        <v>0</v>
      </c>
      <c r="OX21" s="276">
        <f>IFERROR(1/Calculations_APPURT[[#This Row],[Brackets]],0) * cv_M/cv_F * Forces_APPURT[[#This Row],[Gamma Fai 60]] * Calculations_APPURT[[#This Row],[Horizontal Offset]]/12</f>
        <v>0</v>
      </c>
      <c r="OY21" s="276">
        <f>IFERROR(1/Calculations_APPURT[[#This Row],[Brackets]],0) * cv_M/cv_F * Forces_APPURT[[#This Row],[Gamma Fai 90]] * Calculations_APPURT[[#This Row],[Horizontal Offset]]/12</f>
        <v>0</v>
      </c>
      <c r="OZ21" s="276">
        <f>IFERROR(1/Calculations_APPURT[[#This Row],[Brackets]],0) * cv_M/cv_F * Forces_APPURT[[#This Row],[Gamma Fai 120]] * Calculations_APPURT[[#This Row],[Horizontal Offset]]/12</f>
        <v>0</v>
      </c>
      <c r="PA21" s="276">
        <f>IFERROR(1/Calculations_APPURT[[#This Row],[Brackets]],0) * cv_M/cv_F * Forces_APPURT[[#This Row],[Gamma Fai 135]] * Calculations_APPURT[[#This Row],[Horizontal Offset]]/12</f>
        <v>0</v>
      </c>
      <c r="PB21" s="276">
        <f>IFERROR(1/Calculations_APPURT[[#This Row],[Brackets]],0) * cv_M/cv_F * Forces_APPURT[[#This Row],[Gamma Fai 150]] * Calculations_APPURT[[#This Row],[Horizontal Offset]]/12</f>
        <v>0</v>
      </c>
      <c r="PC21" s="276">
        <f>IFERROR(1/Calculations_APPURT[[#This Row],[Brackets]],0) * cv_M/cv_F * Forces_APPURT[[#This Row],[Gamma Fai 180]] * Calculations_APPURT[[#This Row],[Horizontal Offset]]/12</f>
        <v>0</v>
      </c>
      <c r="PD21" s="276">
        <f>IFERROR(1/Calculations_APPURT[[#This Row],[Brackets]],0) * cv_M/cv_F * Forces_APPURT[[#This Row],[Gamma Fai 210]] * Calculations_APPURT[[#This Row],[Horizontal Offset]]/12</f>
        <v>0</v>
      </c>
      <c r="PE21" s="276">
        <f>IFERROR(1/Calculations_APPURT[[#This Row],[Brackets]],0) * cv_M/cv_F * Forces_APPURT[[#This Row],[Gamma Fai 225]] * Calculations_APPURT[[#This Row],[Horizontal Offset]]/12</f>
        <v>0</v>
      </c>
      <c r="PF21" s="276">
        <f>IFERROR(1/Calculations_APPURT[[#This Row],[Brackets]],0) * cv_M/cv_F * Forces_APPURT[[#This Row],[Gamma Fai 240]] * Calculations_APPURT[[#This Row],[Horizontal Offset]]/12</f>
        <v>0</v>
      </c>
      <c r="PG21" s="276">
        <f>IFERROR(1/Calculations_APPURT[[#This Row],[Brackets]],0) * cv_M/cv_F * Forces_APPURT[[#This Row],[Gamma Fai 270]] * Calculations_APPURT[[#This Row],[Horizontal Offset]]/12</f>
        <v>0</v>
      </c>
      <c r="PH21" s="276">
        <f>IFERROR(1/Calculations_APPURT[[#This Row],[Brackets]],0) * cv_M/cv_F * Forces_APPURT[[#This Row],[Gamma Fai 300]] * Calculations_APPURT[[#This Row],[Horizontal Offset]]/12</f>
        <v>0</v>
      </c>
      <c r="PI21" s="276">
        <f>IFERROR(1/Calculations_APPURT[[#This Row],[Brackets]],0) * cv_M/cv_F * Forces_APPURT[[#This Row],[Gamma Fai 315]] * Calculations_APPURT[[#This Row],[Horizontal Offset]]/12</f>
        <v>0</v>
      </c>
      <c r="PJ21" s="276">
        <f>IFERROR(1/Calculations_APPURT[[#This Row],[Brackets]],0) * cv_M/cv_F * Forces_APPURT[[#This Row],[Gamma Fai 330]] * Calculations_APPURT[[#This Row],[Horizontal Offset]]/12</f>
        <v>0</v>
      </c>
      <c r="PK21" s="276">
        <f>IFERROR(1/Calculations_APPURT[[#This Row],[Brackets]],0) * cv_M/cv_F * Forces_APPURT[[#This Row],[Delta Fai 0]] * Calculations_APPURT[[#This Row],[Horizontal Offset]]/12</f>
        <v>0</v>
      </c>
      <c r="PL21" s="276">
        <f>IFERROR(1/Calculations_APPURT[[#This Row],[Brackets]],0) * cv_M/cv_F * Forces_APPURT[[#This Row],[Delta Fai 30]] * Calculations_APPURT[[#This Row],[Horizontal Offset]]/12</f>
        <v>0</v>
      </c>
      <c r="PM21" s="276">
        <f>IFERROR(1/Calculations_APPURT[[#This Row],[Brackets]],0) * cv_M/cv_F * Forces_APPURT[[#This Row],[Delta Fai 45]] * Calculations_APPURT[[#This Row],[Horizontal Offset]]/12</f>
        <v>0</v>
      </c>
      <c r="PN21" s="276">
        <f>IFERROR(1/Calculations_APPURT[[#This Row],[Brackets]],0) * cv_M/cv_F * Forces_APPURT[[#This Row],[Delta Fai 60]] * Calculations_APPURT[[#This Row],[Horizontal Offset]]/12</f>
        <v>0</v>
      </c>
      <c r="PO21" s="276">
        <f>IFERROR(1/Calculations_APPURT[[#This Row],[Brackets]],0) * cv_M/cv_F * Forces_APPURT[[#This Row],[Delta Fai 90]] * Calculations_APPURT[[#This Row],[Horizontal Offset]]/12</f>
        <v>0</v>
      </c>
      <c r="PP21" s="276">
        <f>IFERROR(1/Calculations_APPURT[[#This Row],[Brackets]],0) * cv_M/cv_F * Forces_APPURT[[#This Row],[Delta Fai 120]] * Calculations_APPURT[[#This Row],[Horizontal Offset]]/12</f>
        <v>0</v>
      </c>
      <c r="PQ21" s="276">
        <f>IFERROR(1/Calculations_APPURT[[#This Row],[Brackets]],0) * cv_M/cv_F * Forces_APPURT[[#This Row],[Delta Fai 135]] * Calculations_APPURT[[#This Row],[Horizontal Offset]]/12</f>
        <v>0</v>
      </c>
      <c r="PR21" s="276">
        <f>IFERROR(1/Calculations_APPURT[[#This Row],[Brackets]],0) * cv_M/cv_F * Forces_APPURT[[#This Row],[Delta Fai 150]] * Calculations_APPURT[[#This Row],[Horizontal Offset]]/12</f>
        <v>0</v>
      </c>
      <c r="PS21" s="276">
        <f>IFERROR(1/Calculations_APPURT[[#This Row],[Brackets]],0) * cv_M/cv_F * Forces_APPURT[[#This Row],[Delta Fai 180]] * Calculations_APPURT[[#This Row],[Horizontal Offset]]/12</f>
        <v>0</v>
      </c>
      <c r="PT21" s="276">
        <f>IFERROR(1/Calculations_APPURT[[#This Row],[Brackets]],0) * cv_M/cv_F * Forces_APPURT[[#This Row],[Delta Fai 210]] * Calculations_APPURT[[#This Row],[Horizontal Offset]]/12</f>
        <v>0</v>
      </c>
      <c r="PU21" s="276">
        <f>IFERROR(1/Calculations_APPURT[[#This Row],[Brackets]],0) * cv_M/cv_F * Forces_APPURT[[#This Row],[Delta Fai 225]] * Calculations_APPURT[[#This Row],[Horizontal Offset]]/12</f>
        <v>0</v>
      </c>
      <c r="PV21" s="276">
        <f>IFERROR(1/Calculations_APPURT[[#This Row],[Brackets]],0) * cv_M/cv_F * Forces_APPURT[[#This Row],[Delta Fai 240]] * Calculations_APPURT[[#This Row],[Horizontal Offset]]/12</f>
        <v>0</v>
      </c>
      <c r="PW21" s="276">
        <f>IFERROR(1/Calculations_APPURT[[#This Row],[Brackets]],0) * cv_M/cv_F * Forces_APPURT[[#This Row],[Delta Fai 270]] * Calculations_APPURT[[#This Row],[Horizontal Offset]]/12</f>
        <v>0</v>
      </c>
      <c r="PX21" s="276">
        <f>IFERROR(1/Calculations_APPURT[[#This Row],[Brackets]],0) * cv_M/cv_F * Forces_APPURT[[#This Row],[Delta Fai 300]] * Calculations_APPURT[[#This Row],[Horizontal Offset]]/12</f>
        <v>0</v>
      </c>
      <c r="PY21" s="276">
        <f>IFERROR(1/Calculations_APPURT[[#This Row],[Brackets]],0) * cv_M/cv_F * Forces_APPURT[[#This Row],[Delta Fai 315]] * Calculations_APPURT[[#This Row],[Horizontal Offset]]/12</f>
        <v>0</v>
      </c>
      <c r="PZ21" s="276">
        <f>IFERROR(1/Calculations_APPURT[[#This Row],[Brackets]],0) * cv_M/cv_F * Forces_APPURT[[#This Row],[Delta Fai 330]] * Calculations_APPURT[[#This Row],[Horizontal Offset]]/12</f>
        <v>0</v>
      </c>
      <c r="QA21" s="276">
        <f>IFERROR(1/Calculations_APPURT[[#This Row],[Brackets]],0) * cv_M/cv_F * Forces_APPURT[[#This Row],[Alpha Fa 0]] * Calculations_APPURT[[#This Row],[Lateral Offset]]/12</f>
        <v>0</v>
      </c>
      <c r="QB21" s="276">
        <f>IFERROR(1/Calculations_APPURT[[#This Row],[Brackets]],0) * cv_M/cv_F * Forces_APPURT[[#This Row],[Alpha Fa 30]] * Calculations_APPURT[[#This Row],[Lateral Offset]]/12</f>
        <v>0</v>
      </c>
      <c r="QC21" s="276">
        <f>IFERROR(1/Calculations_APPURT[[#This Row],[Brackets]],0) * cv_M/cv_F * Forces_APPURT[[#This Row],[Alpha Fa 45]] * Calculations_APPURT[[#This Row],[Lateral Offset]]/12</f>
        <v>0</v>
      </c>
      <c r="QD21" s="276">
        <f>IFERROR(1/Calculations_APPURT[[#This Row],[Brackets]],0) * cv_M/cv_F * Forces_APPURT[[#This Row],[Alpha Fa 60]] * Calculations_APPURT[[#This Row],[Lateral Offset]]/12</f>
        <v>0</v>
      </c>
      <c r="QE21" s="276">
        <f>IFERROR(1/Calculations_APPURT[[#This Row],[Brackets]],0) * cv_M/cv_F * Forces_APPURT[[#This Row],[Alpha Fa 90]] * Calculations_APPURT[[#This Row],[Lateral Offset]]/12</f>
        <v>0</v>
      </c>
      <c r="QF21" s="276">
        <f>IFERROR(1/Calculations_APPURT[[#This Row],[Brackets]],0) * cv_M/cv_F * Forces_APPURT[[#This Row],[Alpha Fa 120]] * Calculations_APPURT[[#This Row],[Lateral Offset]]/12</f>
        <v>0</v>
      </c>
      <c r="QG21" s="276">
        <f>IFERROR(1/Calculations_APPURT[[#This Row],[Brackets]],0) * cv_M/cv_F * Forces_APPURT[[#This Row],[Alpha Fa 135]] * Calculations_APPURT[[#This Row],[Lateral Offset]]/12</f>
        <v>0</v>
      </c>
      <c r="QH21" s="276">
        <f>IFERROR(1/Calculations_APPURT[[#This Row],[Brackets]],0) * cv_M/cv_F * Forces_APPURT[[#This Row],[Alpha Fa 150]] * Calculations_APPURT[[#This Row],[Lateral Offset]]/12</f>
        <v>0</v>
      </c>
      <c r="QI21" s="276">
        <f>IFERROR(1/Calculations_APPURT[[#This Row],[Brackets]],0) * cv_M/cv_F * Forces_APPURT[[#This Row],[Alpha Fa 180]] * Calculations_APPURT[[#This Row],[Lateral Offset]]/12</f>
        <v>0</v>
      </c>
      <c r="QJ21" s="276">
        <f>IFERROR(1/Calculations_APPURT[[#This Row],[Brackets]],0) * cv_M/cv_F * Forces_APPURT[[#This Row],[Alpha Fa 210]] * Calculations_APPURT[[#This Row],[Lateral Offset]]/12</f>
        <v>0</v>
      </c>
      <c r="QK21" s="276">
        <f>IFERROR(1/Calculations_APPURT[[#This Row],[Brackets]],0) * cv_M/cv_F * Forces_APPURT[[#This Row],[Alpha Fa 225]] * Calculations_APPURT[[#This Row],[Lateral Offset]]/12</f>
        <v>0</v>
      </c>
      <c r="QL21" s="276">
        <f>IFERROR(1/Calculations_APPURT[[#This Row],[Brackets]],0) * cv_M/cv_F * Forces_APPURT[[#This Row],[Alpha Fa 240]] * Calculations_APPURT[[#This Row],[Lateral Offset]]/12</f>
        <v>0</v>
      </c>
      <c r="QM21" s="276">
        <f>IFERROR(1/Calculations_APPURT[[#This Row],[Brackets]],0) * cv_M/cv_F * Forces_APPURT[[#This Row],[Alpha Fa 270]] * Calculations_APPURT[[#This Row],[Lateral Offset]]/12</f>
        <v>0</v>
      </c>
      <c r="QN21" s="276">
        <f>IFERROR(1/Calculations_APPURT[[#This Row],[Brackets]],0) * cv_M/cv_F * Forces_APPURT[[#This Row],[Alpha Fa 300]] * Calculations_APPURT[[#This Row],[Lateral Offset]]/12</f>
        <v>0</v>
      </c>
      <c r="QO21" s="276">
        <f>IFERROR(1/Calculations_APPURT[[#This Row],[Brackets]],0) * cv_M/cv_F * Forces_APPURT[[#This Row],[Alpha Fa 315]] * Calculations_APPURT[[#This Row],[Lateral Offset]]/12</f>
        <v>0</v>
      </c>
      <c r="QP21" s="276">
        <f>IFERROR(1/Calculations_APPURT[[#This Row],[Brackets]],0) * cv_M/cv_F * Forces_APPURT[[#This Row],[Alpha Fa 330]] * Calculations_APPURT[[#This Row],[Lateral Offset]]/12</f>
        <v>0</v>
      </c>
      <c r="QQ21" s="276">
        <f>IFERROR(1/Calculations_APPURT[[#This Row],[Brackets]],0) * cv_M/cv_F * Forces_APPURT[[#This Row],[Beta Fa 0]] * Calculations_APPURT[[#This Row],[Lateral Offset]]/12</f>
        <v>0</v>
      </c>
      <c r="QR21" s="276">
        <f>IFERROR(1/Calculations_APPURT[[#This Row],[Brackets]],0) * cv_M/cv_F * Forces_APPURT[[#This Row],[Beta Fa 30]] * Calculations_APPURT[[#This Row],[Lateral Offset]]/12</f>
        <v>0</v>
      </c>
      <c r="QS21" s="276">
        <f>IFERROR(1/Calculations_APPURT[[#This Row],[Brackets]],0) * cv_M/cv_F * Forces_APPURT[[#This Row],[Beta Fa 45]] * Calculations_APPURT[[#This Row],[Lateral Offset]]/12</f>
        <v>0</v>
      </c>
      <c r="QT21" s="276">
        <f>IFERROR(1/Calculations_APPURT[[#This Row],[Brackets]],0) * cv_M/cv_F * Forces_APPURT[[#This Row],[Beta Fa 60]] * Calculations_APPURT[[#This Row],[Lateral Offset]]/12</f>
        <v>0</v>
      </c>
      <c r="QU21" s="276">
        <f>IFERROR(1/Calculations_APPURT[[#This Row],[Brackets]],0) * cv_M/cv_F * Forces_APPURT[[#This Row],[Beta Fa 90]] * Calculations_APPURT[[#This Row],[Lateral Offset]]/12</f>
        <v>0</v>
      </c>
      <c r="QV21" s="276">
        <f>IFERROR(1/Calculations_APPURT[[#This Row],[Brackets]],0) * cv_M/cv_F * Forces_APPURT[[#This Row],[Beta Fa 120]] * Calculations_APPURT[[#This Row],[Lateral Offset]]/12</f>
        <v>0</v>
      </c>
      <c r="QW21" s="276">
        <f>IFERROR(1/Calculations_APPURT[[#This Row],[Brackets]],0) * cv_M/cv_F * Forces_APPURT[[#This Row],[Beta Fa 135]] * Calculations_APPURT[[#This Row],[Lateral Offset]]/12</f>
        <v>0</v>
      </c>
      <c r="QX21" s="276">
        <f>IFERROR(1/Calculations_APPURT[[#This Row],[Brackets]],0) * cv_M/cv_F * Forces_APPURT[[#This Row],[Beta Fa 150]] * Calculations_APPURT[[#This Row],[Lateral Offset]]/12</f>
        <v>0</v>
      </c>
      <c r="QY21" s="276">
        <f>IFERROR(1/Calculations_APPURT[[#This Row],[Brackets]],0) * cv_M/cv_F * Forces_APPURT[[#This Row],[Beta Fa 180]] * Calculations_APPURT[[#This Row],[Lateral Offset]]/12</f>
        <v>0</v>
      </c>
      <c r="QZ21" s="276">
        <f>IFERROR(1/Calculations_APPURT[[#This Row],[Brackets]],0) * cv_M/cv_F * Forces_APPURT[[#This Row],[Beta Fa 210]] * Calculations_APPURT[[#This Row],[Lateral Offset]]/12</f>
        <v>0</v>
      </c>
      <c r="RA21" s="276">
        <f>IFERROR(1/Calculations_APPURT[[#This Row],[Brackets]],0) * cv_M/cv_F * Forces_APPURT[[#This Row],[Beta Fa 225]] * Calculations_APPURT[[#This Row],[Lateral Offset]]/12</f>
        <v>0</v>
      </c>
      <c r="RB21" s="276">
        <f>IFERROR(1/Calculations_APPURT[[#This Row],[Brackets]],0) * cv_M/cv_F * Forces_APPURT[[#This Row],[Beta Fa 240]] * Calculations_APPURT[[#This Row],[Lateral Offset]]/12</f>
        <v>0</v>
      </c>
      <c r="RC21" s="276">
        <f>IFERROR(1/Calculations_APPURT[[#This Row],[Brackets]],0) * cv_M/cv_F * Forces_APPURT[[#This Row],[Beta Fa 270]] * Calculations_APPURT[[#This Row],[Lateral Offset]]/12</f>
        <v>0</v>
      </c>
      <c r="RD21" s="276">
        <f>IFERROR(1/Calculations_APPURT[[#This Row],[Brackets]],0) * cv_M/cv_F * Forces_APPURT[[#This Row],[Beta Fa 300]] * Calculations_APPURT[[#This Row],[Lateral Offset]]/12</f>
        <v>0</v>
      </c>
      <c r="RE21" s="276">
        <f>IFERROR(1/Calculations_APPURT[[#This Row],[Brackets]],0) * cv_M/cv_F * Forces_APPURT[[#This Row],[Beta Fa 315]] * Calculations_APPURT[[#This Row],[Lateral Offset]]/12</f>
        <v>0</v>
      </c>
      <c r="RF21" s="276">
        <f>IFERROR(1/Calculations_APPURT[[#This Row],[Brackets]],0) * cv_M/cv_F * Forces_APPURT[[#This Row],[Beta Fa 330]] * Calculations_APPURT[[#This Row],[Lateral Offset]]/12</f>
        <v>0</v>
      </c>
      <c r="RG21" s="276">
        <f>IFERROR(1/Calculations_APPURT[[#This Row],[Brackets]],0) * cv_M/cv_F * Forces_APPURT[[#This Row],[Gamma Fa 0]] * Calculations_APPURT[[#This Row],[Lateral Offset]]/12</f>
        <v>0</v>
      </c>
      <c r="RH21" s="276">
        <f>IFERROR(1/Calculations_APPURT[[#This Row],[Brackets]],0) * cv_M/cv_F * Forces_APPURT[[#This Row],[Gamma Fa 30]] * Calculations_APPURT[[#This Row],[Lateral Offset]]/12</f>
        <v>0</v>
      </c>
      <c r="RI21" s="276">
        <f>IFERROR(1/Calculations_APPURT[[#This Row],[Brackets]],0) * cv_M/cv_F * Forces_APPURT[[#This Row],[Gamma Fa 45]] * Calculations_APPURT[[#This Row],[Lateral Offset]]/12</f>
        <v>0</v>
      </c>
      <c r="RJ21" s="276">
        <f>IFERROR(1/Calculations_APPURT[[#This Row],[Brackets]],0) * cv_M/cv_F * Forces_APPURT[[#This Row],[Gamma Fa 60]] * Calculations_APPURT[[#This Row],[Lateral Offset]]/12</f>
        <v>0</v>
      </c>
      <c r="RK21" s="276">
        <f>IFERROR(1/Calculations_APPURT[[#This Row],[Brackets]],0) * cv_M/cv_F * Forces_APPURT[[#This Row],[Gamma Fa 90]] * Calculations_APPURT[[#This Row],[Lateral Offset]]/12</f>
        <v>0</v>
      </c>
      <c r="RL21" s="276">
        <f>IFERROR(1/Calculations_APPURT[[#This Row],[Brackets]],0) * cv_M/cv_F * Forces_APPURT[[#This Row],[Gamma Fa 120]] * Calculations_APPURT[[#This Row],[Lateral Offset]]/12</f>
        <v>0</v>
      </c>
      <c r="RM21" s="276">
        <f>IFERROR(1/Calculations_APPURT[[#This Row],[Brackets]],0) * cv_M/cv_F * Forces_APPURT[[#This Row],[Gamma Fa 135]] * Calculations_APPURT[[#This Row],[Lateral Offset]]/12</f>
        <v>0</v>
      </c>
      <c r="RN21" s="276">
        <f>IFERROR(1/Calculations_APPURT[[#This Row],[Brackets]],0) * cv_M/cv_F * Forces_APPURT[[#This Row],[Gamma Fa 150]] * Calculations_APPURT[[#This Row],[Lateral Offset]]/12</f>
        <v>0</v>
      </c>
      <c r="RO21" s="276">
        <f>IFERROR(1/Calculations_APPURT[[#This Row],[Brackets]],0) * cv_M/cv_F * Forces_APPURT[[#This Row],[Gamma Fa 180]] * Calculations_APPURT[[#This Row],[Lateral Offset]]/12</f>
        <v>0</v>
      </c>
      <c r="RP21" s="276">
        <f>IFERROR(1/Calculations_APPURT[[#This Row],[Brackets]],0) * cv_M/cv_F * Forces_APPURT[[#This Row],[Gamma Fa 210]] * Calculations_APPURT[[#This Row],[Lateral Offset]]/12</f>
        <v>0</v>
      </c>
      <c r="RQ21" s="276">
        <f>IFERROR(1/Calculations_APPURT[[#This Row],[Brackets]],0) * cv_M/cv_F * Forces_APPURT[[#This Row],[Gamma Fa 225]] * Calculations_APPURT[[#This Row],[Lateral Offset]]/12</f>
        <v>0</v>
      </c>
      <c r="RR21" s="276">
        <f>IFERROR(1/Calculations_APPURT[[#This Row],[Brackets]],0) * cv_M/cv_F * Forces_APPURT[[#This Row],[Gamma Fa 240]] * Calculations_APPURT[[#This Row],[Lateral Offset]]/12</f>
        <v>0</v>
      </c>
      <c r="RS21" s="276">
        <f>IFERROR(1/Calculations_APPURT[[#This Row],[Brackets]],0) * cv_M/cv_F * Forces_APPURT[[#This Row],[Gamma Fa 270]] * Calculations_APPURT[[#This Row],[Lateral Offset]]/12</f>
        <v>0</v>
      </c>
      <c r="RT21" s="276">
        <f>IFERROR(1/Calculations_APPURT[[#This Row],[Brackets]],0) * cv_M/cv_F * Forces_APPURT[[#This Row],[Gamma Fa 300]] * Calculations_APPURT[[#This Row],[Lateral Offset]]/12</f>
        <v>0</v>
      </c>
      <c r="RU21" s="276">
        <f>IFERROR(1/Calculations_APPURT[[#This Row],[Brackets]],0) * cv_M/cv_F * Forces_APPURT[[#This Row],[Gamma Fa 315]] * Calculations_APPURT[[#This Row],[Lateral Offset]]/12</f>
        <v>0</v>
      </c>
      <c r="RV21" s="276">
        <f>IFERROR(1/Calculations_APPURT[[#This Row],[Brackets]],0) * cv_M/cv_F * Forces_APPURT[[#This Row],[Gamma Fa 330]] * Calculations_APPURT[[#This Row],[Lateral Offset]]/12</f>
        <v>0</v>
      </c>
      <c r="RW21" s="276">
        <f>IFERROR(1/Calculations_APPURT[[#This Row],[Brackets]],0) * cv_M/cv_F * Forces_APPURT[[#This Row],[Delta Fa 0]] * Calculations_APPURT[[#This Row],[Lateral Offset]]/12</f>
        <v>0</v>
      </c>
      <c r="RX21" s="276">
        <f>IFERROR(1/Calculations_APPURT[[#This Row],[Brackets]],0) * cv_M/cv_F * Forces_APPURT[[#This Row],[Delta Fa 30]] * Calculations_APPURT[[#This Row],[Lateral Offset]]/12</f>
        <v>0</v>
      </c>
      <c r="RY21" s="276">
        <f>IFERROR(1/Calculations_APPURT[[#This Row],[Brackets]],0) * cv_M/cv_F * Forces_APPURT[[#This Row],[Delta Fa 45]] * Calculations_APPURT[[#This Row],[Lateral Offset]]/12</f>
        <v>0</v>
      </c>
      <c r="RZ21" s="276">
        <f>IFERROR(1/Calculations_APPURT[[#This Row],[Brackets]],0) * cv_M/cv_F * Forces_APPURT[[#This Row],[Delta Fa 60]] * Calculations_APPURT[[#This Row],[Lateral Offset]]/12</f>
        <v>0</v>
      </c>
      <c r="SA21" s="276">
        <f>IFERROR(1/Calculations_APPURT[[#This Row],[Brackets]],0) * cv_M/cv_F * Forces_APPURT[[#This Row],[Delta Fa 90]] * Calculations_APPURT[[#This Row],[Lateral Offset]]/12</f>
        <v>0</v>
      </c>
      <c r="SB21" s="276">
        <f>IFERROR(1/Calculations_APPURT[[#This Row],[Brackets]],0) * cv_M/cv_F * Forces_APPURT[[#This Row],[Delta Fa 120]] * Calculations_APPURT[[#This Row],[Lateral Offset]]/12</f>
        <v>0</v>
      </c>
      <c r="SC21" s="276">
        <f>IFERROR(1/Calculations_APPURT[[#This Row],[Brackets]],0) * cv_M/cv_F * Forces_APPURT[[#This Row],[Delta Fa 135]] * Calculations_APPURT[[#This Row],[Lateral Offset]]/12</f>
        <v>0</v>
      </c>
      <c r="SD21" s="276">
        <f>IFERROR(1/Calculations_APPURT[[#This Row],[Brackets]],0) * cv_M/cv_F * Forces_APPURT[[#This Row],[Delta Fa 150]] * Calculations_APPURT[[#This Row],[Lateral Offset]]/12</f>
        <v>0</v>
      </c>
      <c r="SE21" s="276">
        <f>IFERROR(1/Calculations_APPURT[[#This Row],[Brackets]],0) * cv_M/cv_F * Forces_APPURT[[#This Row],[Delta Fa 180]] * Calculations_APPURT[[#This Row],[Lateral Offset]]/12</f>
        <v>0</v>
      </c>
      <c r="SF21" s="276">
        <f>IFERROR(1/Calculations_APPURT[[#This Row],[Brackets]],0) * cv_M/cv_F * Forces_APPURT[[#This Row],[Delta Fa 210]] * Calculations_APPURT[[#This Row],[Lateral Offset]]/12</f>
        <v>0</v>
      </c>
      <c r="SG21" s="276">
        <f>IFERROR(1/Calculations_APPURT[[#This Row],[Brackets]],0) * cv_M/cv_F * Forces_APPURT[[#This Row],[Delta Fa 225]] * Calculations_APPURT[[#This Row],[Lateral Offset]]/12</f>
        <v>0</v>
      </c>
      <c r="SH21" s="276">
        <f>IFERROR(1/Calculations_APPURT[[#This Row],[Brackets]],0) * cv_M/cv_F * Forces_APPURT[[#This Row],[Delta Fa 240]] * Calculations_APPURT[[#This Row],[Lateral Offset]]/12</f>
        <v>0</v>
      </c>
      <c r="SI21" s="276">
        <f>IFERROR(1/Calculations_APPURT[[#This Row],[Brackets]],0) * cv_M/cv_F * Forces_APPURT[[#This Row],[Delta Fa 270]] * Calculations_APPURT[[#This Row],[Lateral Offset]]/12</f>
        <v>0</v>
      </c>
      <c r="SJ21" s="276">
        <f>IFERROR(1/Calculations_APPURT[[#This Row],[Brackets]],0) * cv_M/cv_F * Forces_APPURT[[#This Row],[Delta Fa 300]] * Calculations_APPURT[[#This Row],[Lateral Offset]]/12</f>
        <v>0</v>
      </c>
      <c r="SK21" s="276">
        <f>IFERROR(1/Calculations_APPURT[[#This Row],[Brackets]],0) * cv_M/cv_F * Forces_APPURT[[#This Row],[Delta Fa 315]] * Calculations_APPURT[[#This Row],[Lateral Offset]]/12</f>
        <v>0</v>
      </c>
      <c r="SL21" s="276">
        <f>IFERROR(1/Calculations_APPURT[[#This Row],[Brackets]],0) * cv_M/cv_F * Forces_APPURT[[#This Row],[Delta Fa 330]] * Calculations_APPURT[[#This Row],[Lateral Offset]]/12</f>
        <v>0</v>
      </c>
      <c r="SM21" s="276">
        <f>IFERROR(1/Calculations_APPURT[[#This Row],[Brackets]],0) * cv_M/cv_F * Forces_APPURT[[#This Row],[Alpha Fai 0]] * Calculations_APPURT[[#This Row],[Lateral Offset]]/12</f>
        <v>0</v>
      </c>
      <c r="SN21" s="276">
        <f>IFERROR(1/Calculations_APPURT[[#This Row],[Brackets]],0) * cv_M/cv_F * Forces_APPURT[[#This Row],[Alpha Fai 30]] * Calculations_APPURT[[#This Row],[Lateral Offset]]/12</f>
        <v>0</v>
      </c>
      <c r="SO21" s="276">
        <f>IFERROR(1/Calculations_APPURT[[#This Row],[Brackets]],0) * cv_M/cv_F * Forces_APPURT[[#This Row],[Alpha Fai 45]] * Calculations_APPURT[[#This Row],[Lateral Offset]]/12</f>
        <v>0</v>
      </c>
      <c r="SP21" s="276">
        <f>IFERROR(1/Calculations_APPURT[[#This Row],[Brackets]],0) * cv_M/cv_F * Forces_APPURT[[#This Row],[Alpha Fai 60]] * Calculations_APPURT[[#This Row],[Lateral Offset]]/12</f>
        <v>0</v>
      </c>
      <c r="SQ21" s="276">
        <f>IFERROR(1/Calculations_APPURT[[#This Row],[Brackets]],0) * cv_M/cv_F * Forces_APPURT[[#This Row],[Alpha Fai 90]] * Calculations_APPURT[[#This Row],[Lateral Offset]]/12</f>
        <v>0</v>
      </c>
      <c r="SR21" s="276">
        <f>IFERROR(1/Calculations_APPURT[[#This Row],[Brackets]],0) * cv_M/cv_F * Forces_APPURT[[#This Row],[Alpha Fai 120]] * Calculations_APPURT[[#This Row],[Lateral Offset]]/12</f>
        <v>0</v>
      </c>
      <c r="SS21" s="276">
        <f>IFERROR(1/Calculations_APPURT[[#This Row],[Brackets]],0) * cv_M/cv_F * Forces_APPURT[[#This Row],[Alpha Fai 135]] * Calculations_APPURT[[#This Row],[Lateral Offset]]/12</f>
        <v>0</v>
      </c>
      <c r="ST21" s="276">
        <f>IFERROR(1/Calculations_APPURT[[#This Row],[Brackets]],0) * cv_M/cv_F * Forces_APPURT[[#This Row],[Alpha Fai 150]] * Calculations_APPURT[[#This Row],[Lateral Offset]]/12</f>
        <v>0</v>
      </c>
      <c r="SU21" s="276">
        <f>IFERROR(1/Calculations_APPURT[[#This Row],[Brackets]],0) * cv_M/cv_F * Forces_APPURT[[#This Row],[Alpha Fai 180]] * Calculations_APPURT[[#This Row],[Lateral Offset]]/12</f>
        <v>0</v>
      </c>
      <c r="SV21" s="276">
        <f>IFERROR(1/Calculations_APPURT[[#This Row],[Brackets]],0) * cv_M/cv_F * Forces_APPURT[[#This Row],[Alpha Fai 210]] * Calculations_APPURT[[#This Row],[Lateral Offset]]/12</f>
        <v>0</v>
      </c>
      <c r="SW21" s="276">
        <f>IFERROR(1/Calculations_APPURT[[#This Row],[Brackets]],0) * cv_M/cv_F * Forces_APPURT[[#This Row],[Alpha Fai 225]] * Calculations_APPURT[[#This Row],[Lateral Offset]]/12</f>
        <v>0</v>
      </c>
      <c r="SX21" s="276">
        <f>IFERROR(1/Calculations_APPURT[[#This Row],[Brackets]],0) * cv_M/cv_F * Forces_APPURT[[#This Row],[Alpha Fai 240]] * Calculations_APPURT[[#This Row],[Lateral Offset]]/12</f>
        <v>0</v>
      </c>
      <c r="SY21" s="276">
        <f>IFERROR(1/Calculations_APPURT[[#This Row],[Brackets]],0) * cv_M/cv_F * Forces_APPURT[[#This Row],[Alpha Fai 270]] * Calculations_APPURT[[#This Row],[Lateral Offset]]/12</f>
        <v>0</v>
      </c>
      <c r="SZ21" s="276">
        <f>IFERROR(1/Calculations_APPURT[[#This Row],[Brackets]],0) * cv_M/cv_F * Forces_APPURT[[#This Row],[Alpha Fai 300]] * Calculations_APPURT[[#This Row],[Lateral Offset]]/12</f>
        <v>0</v>
      </c>
      <c r="TA21" s="276">
        <f>IFERROR(1/Calculations_APPURT[[#This Row],[Brackets]],0) * cv_M/cv_F * Forces_APPURT[[#This Row],[Alpha Fai 315]] * Calculations_APPURT[[#This Row],[Lateral Offset]]/12</f>
        <v>0</v>
      </c>
      <c r="TB21" s="276">
        <f>IFERROR(1/Calculations_APPURT[[#This Row],[Brackets]],0) * cv_M/cv_F * Forces_APPURT[[#This Row],[Alpha Fai 330]] * Calculations_APPURT[[#This Row],[Lateral Offset]]/12</f>
        <v>0</v>
      </c>
      <c r="TC21" s="276">
        <f>IFERROR(1/Calculations_APPURT[[#This Row],[Brackets]],0) * cv_M/cv_F * Forces_APPURT[[#This Row],[Beta Fai 0]] * Calculations_APPURT[[#This Row],[Lateral Offset]]/12</f>
        <v>0</v>
      </c>
      <c r="TD21" s="276">
        <f>IFERROR(1/Calculations_APPURT[[#This Row],[Brackets]],0) * cv_M/cv_F * Forces_APPURT[[#This Row],[Beta Fai 30]] * Calculations_APPURT[[#This Row],[Lateral Offset]]/12</f>
        <v>0</v>
      </c>
      <c r="TE21" s="276">
        <f>IFERROR(1/Calculations_APPURT[[#This Row],[Brackets]],0) * cv_M/cv_F * Forces_APPURT[[#This Row],[Beta Fai 45]] * Calculations_APPURT[[#This Row],[Lateral Offset]]/12</f>
        <v>0</v>
      </c>
      <c r="TF21" s="276">
        <f>IFERROR(1/Calculations_APPURT[[#This Row],[Brackets]],0) * cv_M/cv_F * Forces_APPURT[[#This Row],[Beta Fai 60]] * Calculations_APPURT[[#This Row],[Lateral Offset]]/12</f>
        <v>0</v>
      </c>
      <c r="TG21" s="276">
        <f>IFERROR(1/Calculations_APPURT[[#This Row],[Brackets]],0) * cv_M/cv_F * Forces_APPURT[[#This Row],[Beta Fai 90]] * Calculations_APPURT[[#This Row],[Lateral Offset]]/12</f>
        <v>0</v>
      </c>
      <c r="TH21" s="276">
        <f>IFERROR(1/Calculations_APPURT[[#This Row],[Brackets]],0) * cv_M/cv_F * Forces_APPURT[[#This Row],[Beta Fai 120]] * Calculations_APPURT[[#This Row],[Lateral Offset]]/12</f>
        <v>0</v>
      </c>
      <c r="TI21" s="276">
        <f>IFERROR(1/Calculations_APPURT[[#This Row],[Brackets]],0) * cv_M/cv_F * Forces_APPURT[[#This Row],[Beta Fai 135]] * Calculations_APPURT[[#This Row],[Lateral Offset]]/12</f>
        <v>0</v>
      </c>
      <c r="TJ21" s="276">
        <f>IFERROR(1/Calculations_APPURT[[#This Row],[Brackets]],0) * cv_M/cv_F * Forces_APPURT[[#This Row],[Beta Fai 150]] * Calculations_APPURT[[#This Row],[Lateral Offset]]/12</f>
        <v>0</v>
      </c>
      <c r="TK21" s="276">
        <f>IFERROR(1/Calculations_APPURT[[#This Row],[Brackets]],0) * cv_M/cv_F * Forces_APPURT[[#This Row],[Beta Fai 180]] * Calculations_APPURT[[#This Row],[Lateral Offset]]/12</f>
        <v>0</v>
      </c>
      <c r="TL21" s="276">
        <f>IFERROR(1/Calculations_APPURT[[#This Row],[Brackets]],0) * cv_M/cv_F * Forces_APPURT[[#This Row],[Beta Fai 210]] * Calculations_APPURT[[#This Row],[Lateral Offset]]/12</f>
        <v>0</v>
      </c>
      <c r="TM21" s="276">
        <f>IFERROR(1/Calculations_APPURT[[#This Row],[Brackets]],0) * cv_M/cv_F * Forces_APPURT[[#This Row],[Beta Fai 225]] * Calculations_APPURT[[#This Row],[Lateral Offset]]/12</f>
        <v>0</v>
      </c>
      <c r="TN21" s="276">
        <f>IFERROR(1/Calculations_APPURT[[#This Row],[Brackets]],0) * cv_M/cv_F * Forces_APPURT[[#This Row],[Beta Fai 240]] * Calculations_APPURT[[#This Row],[Lateral Offset]]/12</f>
        <v>0</v>
      </c>
      <c r="TO21" s="276">
        <f>IFERROR(1/Calculations_APPURT[[#This Row],[Brackets]],0) * cv_M/cv_F * Forces_APPURT[[#This Row],[Beta Fai 270]] * Calculations_APPURT[[#This Row],[Lateral Offset]]/12</f>
        <v>0</v>
      </c>
      <c r="TP21" s="276">
        <f>IFERROR(1/Calculations_APPURT[[#This Row],[Brackets]],0) * cv_M/cv_F * Forces_APPURT[[#This Row],[Beta Fai 300]] * Calculations_APPURT[[#This Row],[Lateral Offset]]/12</f>
        <v>0</v>
      </c>
      <c r="TQ21" s="276">
        <f>IFERROR(1/Calculations_APPURT[[#This Row],[Brackets]],0) * cv_M/cv_F * Forces_APPURT[[#This Row],[Beta Fai 315]] * Calculations_APPURT[[#This Row],[Lateral Offset]]/12</f>
        <v>0</v>
      </c>
      <c r="TR21" s="276">
        <f>IFERROR(1/Calculations_APPURT[[#This Row],[Brackets]],0) * cv_M/cv_F * Forces_APPURT[[#This Row],[Beta Fai 330]] * Calculations_APPURT[[#This Row],[Lateral Offset]]/12</f>
        <v>0</v>
      </c>
      <c r="TS21" s="276">
        <f>IFERROR(1/Calculations_APPURT[[#This Row],[Brackets]],0) * cv_M/cv_F * Forces_APPURT[[#This Row],[Gamma Fai 0]] * Calculations_APPURT[[#This Row],[Lateral Offset]]/12</f>
        <v>0</v>
      </c>
      <c r="TT21" s="276">
        <f>IFERROR(1/Calculations_APPURT[[#This Row],[Brackets]],0) * cv_M/cv_F * Forces_APPURT[[#This Row],[Gamma Fai 30]] * Calculations_APPURT[[#This Row],[Lateral Offset]]/12</f>
        <v>0</v>
      </c>
      <c r="TU21" s="276">
        <f>IFERROR(1/Calculations_APPURT[[#This Row],[Brackets]],0) * cv_M/cv_F * Forces_APPURT[[#This Row],[Gamma Fai 45]] * Calculations_APPURT[[#This Row],[Lateral Offset]]/12</f>
        <v>0</v>
      </c>
      <c r="TV21" s="276">
        <f>IFERROR(1/Calculations_APPURT[[#This Row],[Brackets]],0) * cv_M/cv_F * Forces_APPURT[[#This Row],[Gamma Fai 60]] * Calculations_APPURT[[#This Row],[Lateral Offset]]/12</f>
        <v>0</v>
      </c>
      <c r="TW21" s="276">
        <f>IFERROR(1/Calculations_APPURT[[#This Row],[Brackets]],0) * cv_M/cv_F * Forces_APPURT[[#This Row],[Gamma Fai 90]] * Calculations_APPURT[[#This Row],[Lateral Offset]]/12</f>
        <v>0</v>
      </c>
      <c r="TX21" s="276">
        <f>IFERROR(1/Calculations_APPURT[[#This Row],[Brackets]],0) * cv_M/cv_F * Forces_APPURT[[#This Row],[Gamma Fai 120]] * Calculations_APPURT[[#This Row],[Lateral Offset]]/12</f>
        <v>0</v>
      </c>
      <c r="TY21" s="276">
        <f>IFERROR(1/Calculations_APPURT[[#This Row],[Brackets]],0) * cv_M/cv_F * Forces_APPURT[[#This Row],[Gamma Fai 135]] * Calculations_APPURT[[#This Row],[Lateral Offset]]/12</f>
        <v>0</v>
      </c>
      <c r="TZ21" s="276">
        <f>IFERROR(1/Calculations_APPURT[[#This Row],[Brackets]],0) * cv_M/cv_F * Forces_APPURT[[#This Row],[Gamma Fai 150]] * Calculations_APPURT[[#This Row],[Lateral Offset]]/12</f>
        <v>0</v>
      </c>
      <c r="UA21" s="276">
        <f>IFERROR(1/Calculations_APPURT[[#This Row],[Brackets]],0) * cv_M/cv_F * Forces_APPURT[[#This Row],[Gamma Fai 180]] * Calculations_APPURT[[#This Row],[Lateral Offset]]/12</f>
        <v>0</v>
      </c>
      <c r="UB21" s="276">
        <f>IFERROR(1/Calculations_APPURT[[#This Row],[Brackets]],0) * cv_M/cv_F * Forces_APPURT[[#This Row],[Gamma Fai 210]] * Calculations_APPURT[[#This Row],[Lateral Offset]]/12</f>
        <v>0</v>
      </c>
      <c r="UC21" s="276">
        <f>IFERROR(1/Calculations_APPURT[[#This Row],[Brackets]],0) * cv_M/cv_F * Forces_APPURT[[#This Row],[Gamma Fai 225]] * Calculations_APPURT[[#This Row],[Lateral Offset]]/12</f>
        <v>0</v>
      </c>
      <c r="UD21" s="276">
        <f>IFERROR(1/Calculations_APPURT[[#This Row],[Brackets]],0) * cv_M/cv_F * Forces_APPURT[[#This Row],[Gamma Fai 240]] * Calculations_APPURT[[#This Row],[Lateral Offset]]/12</f>
        <v>0</v>
      </c>
      <c r="UE21" s="276">
        <f>IFERROR(1/Calculations_APPURT[[#This Row],[Brackets]],0) * cv_M/cv_F * Forces_APPURT[[#This Row],[Gamma Fai 270]] * Calculations_APPURT[[#This Row],[Lateral Offset]]/12</f>
        <v>0</v>
      </c>
      <c r="UF21" s="276">
        <f>IFERROR(1/Calculations_APPURT[[#This Row],[Brackets]],0) * cv_M/cv_F * Forces_APPURT[[#This Row],[Gamma Fai 300]] * Calculations_APPURT[[#This Row],[Lateral Offset]]/12</f>
        <v>0</v>
      </c>
      <c r="UG21" s="276">
        <f>IFERROR(1/Calculations_APPURT[[#This Row],[Brackets]],0) * cv_M/cv_F * Forces_APPURT[[#This Row],[Gamma Fai 315]] * Calculations_APPURT[[#This Row],[Lateral Offset]]/12</f>
        <v>0</v>
      </c>
      <c r="UH21" s="276">
        <f>IFERROR(1/Calculations_APPURT[[#This Row],[Brackets]],0) * cv_M/cv_F * Forces_APPURT[[#This Row],[Gamma Fai 330]] * Calculations_APPURT[[#This Row],[Lateral Offset]]/12</f>
        <v>0</v>
      </c>
      <c r="UI21" s="276">
        <f>IFERROR(1/Calculations_APPURT[[#This Row],[Brackets]],0) * cv_M/cv_F * Forces_APPURT[[#This Row],[Delta Fai 0]] * Calculations_APPURT[[#This Row],[Lateral Offset]]/12</f>
        <v>0</v>
      </c>
      <c r="UJ21" s="276">
        <f>IFERROR(1/Calculations_APPURT[[#This Row],[Brackets]],0) * cv_M/cv_F * Forces_APPURT[[#This Row],[Delta Fai 30]] * Calculations_APPURT[[#This Row],[Lateral Offset]]/12</f>
        <v>0</v>
      </c>
      <c r="UK21" s="276">
        <f>IFERROR(1/Calculations_APPURT[[#This Row],[Brackets]],0) * cv_M/cv_F * Forces_APPURT[[#This Row],[Delta Fai 45]] * Calculations_APPURT[[#This Row],[Lateral Offset]]/12</f>
        <v>0</v>
      </c>
      <c r="UL21" s="276">
        <f>IFERROR(1/Calculations_APPURT[[#This Row],[Brackets]],0) * cv_M/cv_F * Forces_APPURT[[#This Row],[Delta Fai 60]] * Calculations_APPURT[[#This Row],[Lateral Offset]]/12</f>
        <v>0</v>
      </c>
      <c r="UM21" s="276">
        <f>IFERROR(1/Calculations_APPURT[[#This Row],[Brackets]],0) * cv_M/cv_F * Forces_APPURT[[#This Row],[Delta Fai 90]] * Calculations_APPURT[[#This Row],[Lateral Offset]]/12</f>
        <v>0</v>
      </c>
      <c r="UN21" s="276">
        <f>IFERROR(1/Calculations_APPURT[[#This Row],[Brackets]],0) * cv_M/cv_F * Forces_APPURT[[#This Row],[Delta Fai 120]] * Calculations_APPURT[[#This Row],[Lateral Offset]]/12</f>
        <v>0</v>
      </c>
      <c r="UO21" s="276">
        <f>IFERROR(1/Calculations_APPURT[[#This Row],[Brackets]],0) * cv_M/cv_F * Forces_APPURT[[#This Row],[Delta Fai 135]] * Calculations_APPURT[[#This Row],[Lateral Offset]]/12</f>
        <v>0</v>
      </c>
      <c r="UP21" s="276">
        <f>IFERROR(1/Calculations_APPURT[[#This Row],[Brackets]],0) * cv_M/cv_F * Forces_APPURT[[#This Row],[Delta Fai 150]] * Calculations_APPURT[[#This Row],[Lateral Offset]]/12</f>
        <v>0</v>
      </c>
      <c r="UQ21" s="276">
        <f>IFERROR(1/Calculations_APPURT[[#This Row],[Brackets]],0) * cv_M/cv_F * Forces_APPURT[[#This Row],[Delta Fai 180]] * Calculations_APPURT[[#This Row],[Lateral Offset]]/12</f>
        <v>0</v>
      </c>
      <c r="UR21" s="276">
        <f>IFERROR(1/Calculations_APPURT[[#This Row],[Brackets]],0) * cv_M/cv_F * Forces_APPURT[[#This Row],[Delta Fai 210]] * Calculations_APPURT[[#This Row],[Lateral Offset]]/12</f>
        <v>0</v>
      </c>
      <c r="US21" s="276">
        <f>IFERROR(1/Calculations_APPURT[[#This Row],[Brackets]],0) * cv_M/cv_F * Forces_APPURT[[#This Row],[Delta Fai 225]] * Calculations_APPURT[[#This Row],[Lateral Offset]]/12</f>
        <v>0</v>
      </c>
      <c r="UT21" s="276">
        <f>IFERROR(1/Calculations_APPURT[[#This Row],[Brackets]],0) * cv_M/cv_F * Forces_APPURT[[#This Row],[Delta Fai 240]] * Calculations_APPURT[[#This Row],[Lateral Offset]]/12</f>
        <v>0</v>
      </c>
      <c r="UU21" s="276">
        <f>IFERROR(1/Calculations_APPURT[[#This Row],[Brackets]],0) * cv_M/cv_F * Forces_APPURT[[#This Row],[Delta Fai 270]] * Calculations_APPURT[[#This Row],[Lateral Offset]]/12</f>
        <v>0</v>
      </c>
      <c r="UV21" s="276">
        <f>IFERROR(1/Calculations_APPURT[[#This Row],[Brackets]],0) * cv_M/cv_F * Forces_APPURT[[#This Row],[Delta Fai 300]] * Calculations_APPURT[[#This Row],[Lateral Offset]]/12</f>
        <v>0</v>
      </c>
      <c r="UW21" s="276">
        <f>IFERROR(1/Calculations_APPURT[[#This Row],[Brackets]],0) * cv_M/cv_F * Forces_APPURT[[#This Row],[Delta Fai 315]] * Calculations_APPURT[[#This Row],[Lateral Offset]]/12</f>
        <v>0</v>
      </c>
      <c r="UX21" s="276">
        <f>IFERROR(1/Calculations_APPURT[[#This Row],[Brackets]],0) * cv_M/cv_F * Forces_APPURT[[#This Row],[Delta Fai 330]] * Calculations_APPURT[[#This Row],[Lateral Offset]]/12</f>
        <v>0</v>
      </c>
      <c r="UY21" s="276">
        <f>Dimensions_APPURT[[#This Row],[Weight (lbf)]] * cv_F * AlphaSector[[#This Row],[Quantity]]</f>
        <v>0</v>
      </c>
      <c r="UZ21" s="276">
        <f>Dimensions_APPURT[[#This Row],[Weight (lbf)]] * cv_F * BetaSector[[#This Row],[Quantity]]</f>
        <v>0</v>
      </c>
      <c r="VA21" s="276">
        <f>Dimensions_APPURT[[#This Row],[Weight (lbf)]] * cv_F * GammaSector[[#This Row],[Quantity]]</f>
        <v>0</v>
      </c>
      <c r="VB21" s="276">
        <f>Dimensions_APPURT[[#This Row],[Weight (lbf)]] * cv_F * DeltaSector[[#This Row],[Quantity]]</f>
        <v>0</v>
      </c>
      <c r="VC21" s="209">
        <f>Dimensions_APPURT[[#This Row],[Weight (lbf)]] * cv_M * AlphaSector[[#This Row],[Quantity]] * Calculations_APPURT[[#This Row],[Horizontal Offset]]/12</f>
        <v>0</v>
      </c>
      <c r="VD21" s="209">
        <f>Dimensions_APPURT[[#This Row],[Weight (lbf)]] * cv_M * BetaSector[[#This Row],[Quantity]] * Calculations_APPURT[[#This Row],[Horizontal Offset]]/12</f>
        <v>0</v>
      </c>
      <c r="VE21" s="209">
        <f>Dimensions_APPURT[[#This Row],[Weight (lbf)]] * cv_M * GammaSector[[#This Row],[Quantity]] * Calculations_APPURT[[#This Row],[Horizontal Offset]]/12</f>
        <v>0</v>
      </c>
      <c r="VF21" s="209">
        <f>Dimensions_APPURT[[#This Row],[Weight (lbf)]] * cv_M * DeltaSector[[#This Row],[Quantity]] * Calculations_APPURT[[#This Row],[Horizontal Offset]]/12</f>
        <v>0</v>
      </c>
      <c r="VG21" s="276">
        <f>Hazards_APPURT[[#This Row],[Ice Weight]] * cv_F * AlphaSector[[#This Row],[Quantity]]</f>
        <v>0</v>
      </c>
      <c r="VH21" s="276">
        <f>Hazards_APPURT[[#This Row],[Ice Weight]] * cv_F * BetaSector[[#This Row],[Quantity]]</f>
        <v>0</v>
      </c>
      <c r="VI21" s="276">
        <f>Hazards_APPURT[[#This Row],[Ice Weight]] * cv_F * GammaSector[[#This Row],[Quantity]]</f>
        <v>0</v>
      </c>
      <c r="VJ21" s="276">
        <f>Hazards_APPURT[[#This Row],[Ice Weight]] * cv_F * DeltaSector[[#This Row],[Quantity]]</f>
        <v>0</v>
      </c>
      <c r="VK21" s="209">
        <f>Hazards_APPURT[[#This Row],[Ice Weight]] * cv_M * AlphaSector[[#This Row],[Quantity]] * Calculations_APPURT[[#This Row],[Horizontal Offset]]/12</f>
        <v>0</v>
      </c>
      <c r="VL21" s="209">
        <f>Hazards_APPURT[[#This Row],[Ice Weight]] * cv_M * BetaSector[[#This Row],[Quantity]] * Calculations_APPURT[[#This Row],[Horizontal Offset]]/12</f>
        <v>0</v>
      </c>
      <c r="VM21" s="209">
        <f>Hazards_APPURT[[#This Row],[Ice Weight]] * cv_M * GammaSector[[#This Row],[Quantity]] * Calculations_APPURT[[#This Row],[Horizontal Offset]]/12</f>
        <v>0</v>
      </c>
      <c r="VN21" s="209">
        <f>Hazards_APPURT[[#This Row],[Ice Weight]] * cv_M * DeltaSector[[#This Row],[Quantity]] * Calculations_APPURT[[#This Row],[Horizontal Offset]]/12</f>
        <v>0</v>
      </c>
    </row>
    <row r="22" spans="1:586" ht="15" customHeight="1" x14ac:dyDescent="0.2">
      <c r="A22" s="69"/>
      <c r="E22" s="265"/>
      <c r="L22" s="69"/>
      <c r="R22" s="70"/>
      <c r="T22" s="69"/>
      <c r="V22" s="71"/>
      <c r="W22" s="69"/>
      <c r="X22" s="71"/>
      <c r="Y22" s="69"/>
      <c r="Z22" s="70"/>
      <c r="AB22" s="69"/>
      <c r="AD22" s="71"/>
      <c r="AE22" s="69"/>
      <c r="AF22" s="71"/>
      <c r="AG22" s="69"/>
      <c r="AH22" s="70"/>
      <c r="AJ22" s="69"/>
      <c r="AL22" s="71"/>
      <c r="AM22" s="69"/>
      <c r="AN22" s="71"/>
      <c r="AO22" s="69"/>
      <c r="AP22" s="70"/>
      <c r="AR22" s="69"/>
      <c r="AV22" s="277" cm="1">
        <f t="array" ref="AV22">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22" s="209" cm="1">
        <f t="array" ref="AW22">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22" s="209" cm="1">
        <f t="array" ref="AX22">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22" s="209" cm="1">
        <f t="array" ref="AY22">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22"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22" s="209" cm="1">
        <f t="array" ref="BA22">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22" s="209">
        <f>IF(OR(Calculations_APPURT[[#This Row],[Shape]]="CFD",Calculations_APPURT[[#This Row],[Shape]]="CCI"),1,0.95)</f>
        <v>0.95</v>
      </c>
      <c r="BC22" s="209" cm="1">
        <f t="array" ref="BC22">0.00256 * Hazards_APPURT[[#This Row],[Kz]] * Kzt * Ks * I.wind * V^2 * IF(RIGHT(TIA,1)="G",1,Ke) * IF(OR(Calculations_APPURT[[#This Row],[Shape]]="CFD",Calculations_APPURT[[#This Row],[Shape]]="CCI"),1, Hazards_APPURT[[#This Row],[Kd]]) * Gh</f>
        <v>0</v>
      </c>
      <c r="BD22" s="209">
        <f>IF(Risk="I",0,MIN(((z+Calculations_APPURT[[#This Row],[Vertical Offset]]/12)/33)^(0.1),1.4))</f>
        <v>0</v>
      </c>
      <c r="BE22" s="209" cm="1">
        <f t="array" ref="BE22">IF(Risk="I",0,IF(TIA="ANSI/TIA-222-G",2,1*Kes.i)*ti*I.ice*Hazards_APPURT[[#This Row],[Kiz]]*(Kzt/Ks)^(0.35))</f>
        <v>0</v>
      </c>
      <c r="BF22" s="209" cm="1">
        <f t="array" ref="BF22">0.00256 * Hazards_APPURT[[#This Row],[Kz]] * Kzt * Ks * I.wind * Vi^2 * IF(RIGHT(TIA,1)="G",1,Ke) * IF(OR(Calculations_APPURT[[#This Row],[Shape]]="CFD",Calculations_APPURT[[#This Row],[Shape]]="CCI"),1, Kd) * Gh</f>
        <v>0</v>
      </c>
      <c r="BG22"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22"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22"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22"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22"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22"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22"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22"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22"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22"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22"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22"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22"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22"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22"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22"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22"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22"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22"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22"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22"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22"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22"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22"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22"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22"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22"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22"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22"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22"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22"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22"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22"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22"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22"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22"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22"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22"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22"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22"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22"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22"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22"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22"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22"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22"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22"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22"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22"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22"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22"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22"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22"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22"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22"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22"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22"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22"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22"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22"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22"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22"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22"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22"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22"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22"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22" s="338">
        <f>IFERROR(1/Calculations_APPURT[[#This Row],[Brackets]],0) * cv_F * AlphaSector[[#This Row],[Quantity]] * Hazards_APPURT[[#This Row],[qz]] * CaAa_APPURT[[#This Row],[Alpha 0]] * IF(Calculations_APPURT[[#This Row],[Shape]]="CFD",1, Ka)</f>
        <v>0</v>
      </c>
      <c r="GF22" s="338">
        <f>IFERROR(1/Calculations_APPURT[[#This Row],[Brackets]],0) * cv_F * AlphaSector[[#This Row],[Quantity]] * Hazards_APPURT[[#This Row],[qz]] * CaAa_APPURT[[#This Row],[Alpha 30]] * IF(Calculations_APPURT[[#This Row],[Shape]]="CFD",1, Ka)</f>
        <v>0</v>
      </c>
      <c r="GG22" s="338">
        <f>IFERROR(1/Calculations_APPURT[[#This Row],[Brackets]],0) * cv_F * AlphaSector[[#This Row],[Quantity]] * Hazards_APPURT[[#This Row],[qz]] * CaAa_APPURT[[#This Row],[Alpha 45]] * IF(Calculations_APPURT[[#This Row],[Shape]]="CFD",1, Ka)</f>
        <v>0</v>
      </c>
      <c r="GH22" s="338">
        <f>IFERROR(1/Calculations_APPURT[[#This Row],[Brackets]],0) * cv_F * AlphaSector[[#This Row],[Quantity]] * Hazards_APPURT[[#This Row],[qz]] * CaAa_APPURT[[#This Row],[Alpha 60]] * IF(Calculations_APPURT[[#This Row],[Shape]]="CFD",1, Ka)</f>
        <v>0</v>
      </c>
      <c r="GI22" s="338">
        <f>IFERROR(1/Calculations_APPURT[[#This Row],[Brackets]],0) * cv_F * AlphaSector[[#This Row],[Quantity]] * Hazards_APPURT[[#This Row],[qz]] * CaAa_APPURT[[#This Row],[Alpha 90]] * IF(Calculations_APPURT[[#This Row],[Shape]]="CFD",1, Ka)</f>
        <v>0</v>
      </c>
      <c r="GJ22" s="338">
        <f>IFERROR(1/Calculations_APPURT[[#This Row],[Brackets]],0) * cv_F * AlphaSector[[#This Row],[Quantity]] * Hazards_APPURT[[#This Row],[qz]] * CaAa_APPURT[[#This Row],[Alpha 120]] * IF(Calculations_APPURT[[#This Row],[Shape]]="CFD",1, Ka)</f>
        <v>0</v>
      </c>
      <c r="GK22" s="338">
        <f>IFERROR(1/Calculations_APPURT[[#This Row],[Brackets]],0) * cv_F * AlphaSector[[#This Row],[Quantity]] * Hazards_APPURT[[#This Row],[qz]] * CaAa_APPURT[[#This Row],[Alpha 135]] * IF(Calculations_APPURT[[#This Row],[Shape]]="CFD",1, Ka)</f>
        <v>0</v>
      </c>
      <c r="GL22" s="338">
        <f>IFERROR(1/Calculations_APPURT[[#This Row],[Brackets]],0) * cv_F * AlphaSector[[#This Row],[Quantity]] * Hazards_APPURT[[#This Row],[qz]] * CaAa_APPURT[[#This Row],[Alpha 150]] * IF(Calculations_APPURT[[#This Row],[Shape]]="CFD",1, Ka)</f>
        <v>0</v>
      </c>
      <c r="GM22" s="338">
        <f>IFERROR(1/Calculations_APPURT[[#This Row],[Brackets]],0) * cv_F * AlphaSector[[#This Row],[Quantity]] * Hazards_APPURT[[#This Row],[qz]] * CaAa_APPURT[[#This Row],[Alpha 180]] * IF(Calculations_APPURT[[#This Row],[Shape]]="CFD",1, Ka)</f>
        <v>0</v>
      </c>
      <c r="GN22" s="338">
        <f>IFERROR(1/Calculations_APPURT[[#This Row],[Brackets]],0) * cv_F * AlphaSector[[#This Row],[Quantity]] * Hazards_APPURT[[#This Row],[qz]] * CaAa_APPURT[[#This Row],[Alpha 210]] * IF(Calculations_APPURT[[#This Row],[Shape]]="CFD",1, Ka)</f>
        <v>0</v>
      </c>
      <c r="GO22" s="338">
        <f>IFERROR(1/Calculations_APPURT[[#This Row],[Brackets]],0) * cv_F * AlphaSector[[#This Row],[Quantity]] * Hazards_APPURT[[#This Row],[qz]] * CaAa_APPURT[[#This Row],[Alpha 225]] * IF(Calculations_APPURT[[#This Row],[Shape]]="CFD",1, Ka)</f>
        <v>0</v>
      </c>
      <c r="GP22" s="338">
        <f>IFERROR(1/Calculations_APPURT[[#This Row],[Brackets]],0) * cv_F * AlphaSector[[#This Row],[Quantity]] * Hazards_APPURT[[#This Row],[qz]] * CaAa_APPURT[[#This Row],[Alpha 240]] * IF(Calculations_APPURT[[#This Row],[Shape]]="CFD",1, Ka)</f>
        <v>0</v>
      </c>
      <c r="GQ22" s="338">
        <f>IFERROR(1/Calculations_APPURT[[#This Row],[Brackets]],0) * cv_F * AlphaSector[[#This Row],[Quantity]] * Hazards_APPURT[[#This Row],[qz]] * CaAa_APPURT[[#This Row],[Alpha 270]] * IF(Calculations_APPURT[[#This Row],[Shape]]="CFD",1, Ka)</f>
        <v>0</v>
      </c>
      <c r="GR22" s="338">
        <f>IFERROR(1/Calculations_APPURT[[#This Row],[Brackets]],0) * cv_F * AlphaSector[[#This Row],[Quantity]] * Hazards_APPURT[[#This Row],[qz]] * CaAa_APPURT[[#This Row],[Alpha 300]] * IF(Calculations_APPURT[[#This Row],[Shape]]="CFD",1, Ka)</f>
        <v>0</v>
      </c>
      <c r="GS22" s="338">
        <f>IFERROR(1/Calculations_APPURT[[#This Row],[Brackets]],0) * cv_F * AlphaSector[[#This Row],[Quantity]] * Hazards_APPURT[[#This Row],[qz]] * CaAa_APPURT[[#This Row],[Alpha 315]] * IF(Calculations_APPURT[[#This Row],[Shape]]="CFD",1, Ka)</f>
        <v>0</v>
      </c>
      <c r="GT22" s="338">
        <f>IFERROR(1/Calculations_APPURT[[#This Row],[Brackets]],0) * cv_F * AlphaSector[[#This Row],[Quantity]] * Hazards_APPURT[[#This Row],[qz]] * CaAa_APPURT[[#This Row],[Alpha 330]] * IF(Calculations_APPURT[[#This Row],[Shape]]="CFD",1, Ka)</f>
        <v>0</v>
      </c>
      <c r="GU22" s="276">
        <f>IFERROR(1/Calculations_APPURT[[#This Row],[Brackets]],0) * cv_F * BetaSector[[#This Row],[Quantity]] * Hazards_APPURT[[#This Row],[qz]] * CaAa_APPURT[[#This Row],[Beta 0]] * IF(Calculations_APPURT[[#This Row],[Shape]]="CFD",1, Ka)</f>
        <v>0</v>
      </c>
      <c r="GV22" s="276">
        <f>IFERROR(1/Calculations_APPURT[[#This Row],[Brackets]],0) * cv_F * BetaSector[[#This Row],[Quantity]] * Hazards_APPURT[[#This Row],[qz]] * CaAa_APPURT[[#This Row],[Beta 30]] * IF(Calculations_APPURT[[#This Row],[Shape]]="CFD",1, Ka)</f>
        <v>0</v>
      </c>
      <c r="GW22" s="276">
        <f>IFERROR(1/Calculations_APPURT[[#This Row],[Brackets]],0) * cv_F * BetaSector[[#This Row],[Quantity]] * Hazards_APPURT[[#This Row],[qz]] * CaAa_APPURT[[#This Row],[Beta 45]] * IF(Calculations_APPURT[[#This Row],[Shape]]="CFD",1, Ka)</f>
        <v>0</v>
      </c>
      <c r="GX22" s="276">
        <f>IFERROR(1/Calculations_APPURT[[#This Row],[Brackets]],0) * cv_F * BetaSector[[#This Row],[Quantity]] * Hazards_APPURT[[#This Row],[qz]] * CaAa_APPURT[[#This Row],[Beta 60]] * IF(Calculations_APPURT[[#This Row],[Shape]]="CFD",1, Ka)</f>
        <v>0</v>
      </c>
      <c r="GY22" s="276">
        <f>IFERROR(1/Calculations_APPURT[[#This Row],[Brackets]],0) * cv_F * BetaSector[[#This Row],[Quantity]] * Hazards_APPURT[[#This Row],[qz]] * CaAa_APPURT[[#This Row],[Beta 90]] * IF(Calculations_APPURT[[#This Row],[Shape]]="CFD",1, Ka)</f>
        <v>0</v>
      </c>
      <c r="GZ22" s="276">
        <f>IFERROR(1/Calculations_APPURT[[#This Row],[Brackets]],0) * cv_F * BetaSector[[#This Row],[Quantity]] * Hazards_APPURT[[#This Row],[qz]] * CaAa_APPURT[[#This Row],[Beta 120]] * IF(Calculations_APPURT[[#This Row],[Shape]]="CFD",1, Ka)</f>
        <v>0</v>
      </c>
      <c r="HA22" s="276">
        <f>IFERROR(1/Calculations_APPURT[[#This Row],[Brackets]],0) * cv_F * BetaSector[[#This Row],[Quantity]] * Hazards_APPURT[[#This Row],[qz]] * CaAa_APPURT[[#This Row],[Beta 135]] * IF(Calculations_APPURT[[#This Row],[Shape]]="CFD",1, Ka)</f>
        <v>0</v>
      </c>
      <c r="HB22" s="276">
        <f>IFERROR(1/Calculations_APPURT[[#This Row],[Brackets]],0) * cv_F * BetaSector[[#This Row],[Quantity]] * Hazards_APPURT[[#This Row],[qz]] * CaAa_APPURT[[#This Row],[Beta 150]] * IF(Calculations_APPURT[[#This Row],[Shape]]="CFD",1, Ka)</f>
        <v>0</v>
      </c>
      <c r="HC22" s="276">
        <f>IFERROR(1/Calculations_APPURT[[#This Row],[Brackets]],0) * cv_F * BetaSector[[#This Row],[Quantity]] * Hazards_APPURT[[#This Row],[qz]] * CaAa_APPURT[[#This Row],[Beta 180]] * IF(Calculations_APPURT[[#This Row],[Shape]]="CFD",1, Ka)</f>
        <v>0</v>
      </c>
      <c r="HD22" s="276">
        <f>IFERROR(1/Calculations_APPURT[[#This Row],[Brackets]],0) * cv_F * BetaSector[[#This Row],[Quantity]] * Hazards_APPURT[[#This Row],[qz]] * CaAa_APPURT[[#This Row],[Beta 210]] * IF(Calculations_APPURT[[#This Row],[Shape]]="CFD",1, Ka)</f>
        <v>0</v>
      </c>
      <c r="HE22" s="276">
        <f>IFERROR(1/Calculations_APPURT[[#This Row],[Brackets]],0) * cv_F * BetaSector[[#This Row],[Quantity]] * Hazards_APPURT[[#This Row],[qz]] * CaAa_APPURT[[#This Row],[Beta 225]] * IF(Calculations_APPURT[[#This Row],[Shape]]="CFD",1, Ka)</f>
        <v>0</v>
      </c>
      <c r="HF22" s="276">
        <f>IFERROR(1/Calculations_APPURT[[#This Row],[Brackets]],0) * cv_F * BetaSector[[#This Row],[Quantity]] * Hazards_APPURT[[#This Row],[qz]] * CaAa_APPURT[[#This Row],[Beta 240]] * IF(Calculations_APPURT[[#This Row],[Shape]]="CFD",1, Ka)</f>
        <v>0</v>
      </c>
      <c r="HG22" s="276">
        <f>IFERROR(1/Calculations_APPURT[[#This Row],[Brackets]],0) * cv_F * BetaSector[[#This Row],[Quantity]] * Hazards_APPURT[[#This Row],[qz]] * CaAa_APPURT[[#This Row],[Beta 270]] * IF(Calculations_APPURT[[#This Row],[Shape]]="CFD",1, Ka)</f>
        <v>0</v>
      </c>
      <c r="HH22" s="276">
        <f>IFERROR(1/Calculations_APPURT[[#This Row],[Brackets]],0) * cv_F * BetaSector[[#This Row],[Quantity]] * Hazards_APPURT[[#This Row],[qz]] * CaAa_APPURT[[#This Row],[Beta 300]] * IF(Calculations_APPURT[[#This Row],[Shape]]="CFD",1, Ka)</f>
        <v>0</v>
      </c>
      <c r="HI22" s="276">
        <f>IFERROR(1/Calculations_APPURT[[#This Row],[Brackets]],0) * cv_F * BetaSector[[#This Row],[Quantity]] * Hazards_APPURT[[#This Row],[qz]] * CaAa_APPURT[[#This Row],[Beta 315]] * IF(Calculations_APPURT[[#This Row],[Shape]]="CFD",1, Ka)</f>
        <v>0</v>
      </c>
      <c r="HJ22" s="276">
        <f>IFERROR(1/Calculations_APPURT[[#This Row],[Brackets]],0) * cv_F * BetaSector[[#This Row],[Quantity]] * Hazards_APPURT[[#This Row],[qz]] * CaAa_APPURT[[#This Row],[Beta 330]] * IF(Calculations_APPURT[[#This Row],[Shape]]="CFD",1, Ka)</f>
        <v>0</v>
      </c>
      <c r="HK22" s="338">
        <f>IFERROR(1/Calculations_APPURT[[#This Row],[Brackets]],0) * cv_F * GammaSector[[#This Row],[Quantity]] * Hazards_APPURT[[#This Row],[qz]] * CaAa_APPURT[[#This Row],[Gamma 0]] * IF(Calculations_APPURT[[#This Row],[Shape]]="CFD",1, Ka)</f>
        <v>0</v>
      </c>
      <c r="HL22" s="338">
        <f>IFERROR(1/Calculations_APPURT[[#This Row],[Brackets]],0) * cv_F * GammaSector[[#This Row],[Quantity]] * Hazards_APPURT[[#This Row],[qz]] * CaAa_APPURT[[#This Row],[Gamma 30]] * IF(Calculations_APPURT[[#This Row],[Shape]]="CFD",1, Ka)</f>
        <v>0</v>
      </c>
      <c r="HM22" s="338">
        <f>IFERROR(1/Calculations_APPURT[[#This Row],[Brackets]],0) * cv_F * GammaSector[[#This Row],[Quantity]] * Hazards_APPURT[[#This Row],[qz]] * CaAa_APPURT[[#This Row],[Gamma 45]] * IF(Calculations_APPURT[[#This Row],[Shape]]="CFD",1, Ka)</f>
        <v>0</v>
      </c>
      <c r="HN22" s="338">
        <f>IFERROR(1/Calculations_APPURT[[#This Row],[Brackets]],0) * cv_F * GammaSector[[#This Row],[Quantity]] * Hazards_APPURT[[#This Row],[qz]] * CaAa_APPURT[[#This Row],[Gamma 60]] * IF(Calculations_APPURT[[#This Row],[Shape]]="CFD",1, Ka)</f>
        <v>0</v>
      </c>
      <c r="HO22" s="338">
        <f>IFERROR(1/Calculations_APPURT[[#This Row],[Brackets]],0) * cv_F * GammaSector[[#This Row],[Quantity]] * Hazards_APPURT[[#This Row],[qz]] * CaAa_APPURT[[#This Row],[Gamma 90]] * IF(Calculations_APPURT[[#This Row],[Shape]]="CFD",1, Ka)</f>
        <v>0</v>
      </c>
      <c r="HP22" s="338">
        <f>IFERROR(1/Calculations_APPURT[[#This Row],[Brackets]],0) * cv_F * GammaSector[[#This Row],[Quantity]] * Hazards_APPURT[[#This Row],[qz]] * CaAa_APPURT[[#This Row],[Gamma 120]] * IF(Calculations_APPURT[[#This Row],[Shape]]="CFD",1, Ka)</f>
        <v>0</v>
      </c>
      <c r="HQ22" s="338">
        <f>IFERROR(1/Calculations_APPURT[[#This Row],[Brackets]],0) * cv_F * GammaSector[[#This Row],[Quantity]] * Hazards_APPURT[[#This Row],[qz]] * CaAa_APPURT[[#This Row],[Gamma 135]] * IF(Calculations_APPURT[[#This Row],[Shape]]="CFD",1, Ka)</f>
        <v>0</v>
      </c>
      <c r="HR22" s="338">
        <f>IFERROR(1/Calculations_APPURT[[#This Row],[Brackets]],0) * cv_F * GammaSector[[#This Row],[Quantity]] * Hazards_APPURT[[#This Row],[qz]] * CaAa_APPURT[[#This Row],[Gamma 150]] * IF(Calculations_APPURT[[#This Row],[Shape]]="CFD",1, Ka)</f>
        <v>0</v>
      </c>
      <c r="HS22" s="338">
        <f>IFERROR(1/Calculations_APPURT[[#This Row],[Brackets]],0) * cv_F * GammaSector[[#This Row],[Quantity]] * Hazards_APPURT[[#This Row],[qz]] * CaAa_APPURT[[#This Row],[Gamma 180]] * IF(Calculations_APPURT[[#This Row],[Shape]]="CFD",1, Ka)</f>
        <v>0</v>
      </c>
      <c r="HT22" s="338">
        <f>IFERROR(1/Calculations_APPURT[[#This Row],[Brackets]],0) * cv_F * GammaSector[[#This Row],[Quantity]] * Hazards_APPURT[[#This Row],[qz]] * CaAa_APPURT[[#This Row],[Gamma 210]] * IF(Calculations_APPURT[[#This Row],[Shape]]="CFD",1, Ka)</f>
        <v>0</v>
      </c>
      <c r="HU22" s="338">
        <f>IFERROR(1/Calculations_APPURT[[#This Row],[Brackets]],0) * cv_F * GammaSector[[#This Row],[Quantity]] * Hazards_APPURT[[#This Row],[qz]] * CaAa_APPURT[[#This Row],[Gamma 225]] * IF(Calculations_APPURT[[#This Row],[Shape]]="CFD",1, Ka)</f>
        <v>0</v>
      </c>
      <c r="HV22" s="338">
        <f>IFERROR(1/Calculations_APPURT[[#This Row],[Brackets]],0) * cv_F * GammaSector[[#This Row],[Quantity]] * Hazards_APPURT[[#This Row],[qz]] * CaAa_APPURT[[#This Row],[Gamma 240]] * IF(Calculations_APPURT[[#This Row],[Shape]]="CFD",1, Ka)</f>
        <v>0</v>
      </c>
      <c r="HW22" s="338">
        <f>IFERROR(1/Calculations_APPURT[[#This Row],[Brackets]],0) * cv_F * GammaSector[[#This Row],[Quantity]] * Hazards_APPURT[[#This Row],[qz]] * CaAa_APPURT[[#This Row],[Gamma 270]] * IF(Calculations_APPURT[[#This Row],[Shape]]="CFD",1, Ka)</f>
        <v>0</v>
      </c>
      <c r="HX22" s="338">
        <f>IFERROR(1/Calculations_APPURT[[#This Row],[Brackets]],0) * cv_F * GammaSector[[#This Row],[Quantity]] * Hazards_APPURT[[#This Row],[qz]] * CaAa_APPURT[[#This Row],[Gamma 300]] * IF(Calculations_APPURT[[#This Row],[Shape]]="CFD",1, Ka)</f>
        <v>0</v>
      </c>
      <c r="HY22" s="338">
        <f>IFERROR(1/Calculations_APPURT[[#This Row],[Brackets]],0) * cv_F * GammaSector[[#This Row],[Quantity]] * Hazards_APPURT[[#This Row],[qz]] * CaAa_APPURT[[#This Row],[Gamma 315]] * IF(Calculations_APPURT[[#This Row],[Shape]]="CFD",1, Ka)</f>
        <v>0</v>
      </c>
      <c r="HZ22" s="338">
        <f>IFERROR(1/Calculations_APPURT[[#This Row],[Brackets]],0) * cv_F * GammaSector[[#This Row],[Quantity]] * Hazards_APPURT[[#This Row],[qz]] * CaAa_APPURT[[#This Row],[Gamma 330]] * IF(Calculations_APPURT[[#This Row],[Shape]]="CFD",1, Ka)</f>
        <v>0</v>
      </c>
      <c r="IA22" s="276">
        <f>IFERROR(1/Calculations_APPURT[[#This Row],[Brackets]],0) * cv_F * DeltaSector[[#This Row],[Quantity]] * Hazards_APPURT[[#This Row],[qz]] * CaAa_APPURT[[#This Row],[Delta 0]] * IF(Calculations_APPURT[[#This Row],[Shape]]="CFD",1, Ka)</f>
        <v>0</v>
      </c>
      <c r="IB22" s="276">
        <f>IFERROR(1/Calculations_APPURT[[#This Row],[Brackets]],0) * cv_F * DeltaSector[[#This Row],[Quantity]] * Hazards_APPURT[[#This Row],[qz]] * CaAa_APPURT[[#This Row],[Delta 30]] * IF(Calculations_APPURT[[#This Row],[Shape]]="CFD",1, Ka)</f>
        <v>0</v>
      </c>
      <c r="IC22" s="276">
        <f>IFERROR(1/Calculations_APPURT[[#This Row],[Brackets]],0) * cv_F * DeltaSector[[#This Row],[Quantity]] * Hazards_APPURT[[#This Row],[qz]] * CaAa_APPURT[[#This Row],[Delta 45]] * IF(Calculations_APPURT[[#This Row],[Shape]]="CFD",1, Ka)</f>
        <v>0</v>
      </c>
      <c r="ID22" s="276">
        <f>IFERROR(1/Calculations_APPURT[[#This Row],[Brackets]],0) * cv_F * DeltaSector[[#This Row],[Quantity]] * Hazards_APPURT[[#This Row],[qz]] * CaAa_APPURT[[#This Row],[Delta 60]] * IF(Calculations_APPURT[[#This Row],[Shape]]="CFD",1, Ka)</f>
        <v>0</v>
      </c>
      <c r="IE22" s="276">
        <f>IFERROR(1/Calculations_APPURT[[#This Row],[Brackets]],0) * cv_F * DeltaSector[[#This Row],[Quantity]] * Hazards_APPURT[[#This Row],[qz]] * CaAa_APPURT[[#This Row],[Delta 90]] * IF(Calculations_APPURT[[#This Row],[Shape]]="CFD",1, Ka)</f>
        <v>0</v>
      </c>
      <c r="IF22" s="276">
        <f>IFERROR(1/Calculations_APPURT[[#This Row],[Brackets]],0) * cv_F * DeltaSector[[#This Row],[Quantity]] * Hazards_APPURT[[#This Row],[qz]] * CaAa_APPURT[[#This Row],[Delta 120]] * IF(Calculations_APPURT[[#This Row],[Shape]]="CFD",1, Ka)</f>
        <v>0</v>
      </c>
      <c r="IG22" s="276">
        <f>IFERROR(1/Calculations_APPURT[[#This Row],[Brackets]],0) * cv_F * DeltaSector[[#This Row],[Quantity]] * Hazards_APPURT[[#This Row],[qz]] * CaAa_APPURT[[#This Row],[Delta 135]] * IF(Calculations_APPURT[[#This Row],[Shape]]="CFD",1, Ka)</f>
        <v>0</v>
      </c>
      <c r="IH22" s="276">
        <f>IFERROR(1/Calculations_APPURT[[#This Row],[Brackets]],0) * cv_F * DeltaSector[[#This Row],[Quantity]] * Hazards_APPURT[[#This Row],[qz]] * CaAa_APPURT[[#This Row],[Delta 150]] * IF(Calculations_APPURT[[#This Row],[Shape]]="CFD",1, Ka)</f>
        <v>0</v>
      </c>
      <c r="II22" s="276">
        <f>IFERROR(1/Calculations_APPURT[[#This Row],[Brackets]],0) * cv_F * DeltaSector[[#This Row],[Quantity]] * Hazards_APPURT[[#This Row],[qz]] * CaAa_APPURT[[#This Row],[Delta 180]] * IF(Calculations_APPURT[[#This Row],[Shape]]="CFD",1, Ka)</f>
        <v>0</v>
      </c>
      <c r="IJ22" s="276">
        <f>IFERROR(1/Calculations_APPURT[[#This Row],[Brackets]],0) * cv_F * DeltaSector[[#This Row],[Quantity]] * Hazards_APPURT[[#This Row],[qz]] * CaAa_APPURT[[#This Row],[Delta 210]] * IF(Calculations_APPURT[[#This Row],[Shape]]="CFD",1, Ka)</f>
        <v>0</v>
      </c>
      <c r="IK22" s="276">
        <f>IFERROR(1/Calculations_APPURT[[#This Row],[Brackets]],0) * cv_F * DeltaSector[[#This Row],[Quantity]] * Hazards_APPURT[[#This Row],[qz]] * CaAa_APPURT[[#This Row],[Delta 225]] * IF(Calculations_APPURT[[#This Row],[Shape]]="CFD",1, Ka)</f>
        <v>0</v>
      </c>
      <c r="IL22" s="276">
        <f>IFERROR(1/Calculations_APPURT[[#This Row],[Brackets]],0) * cv_F * DeltaSector[[#This Row],[Quantity]] * Hazards_APPURT[[#This Row],[qz]] * CaAa_APPURT[[#This Row],[Delta 240]] * IF(Calculations_APPURT[[#This Row],[Shape]]="CFD",1, Ka)</f>
        <v>0</v>
      </c>
      <c r="IM22" s="276">
        <f>IFERROR(1/Calculations_APPURT[[#This Row],[Brackets]],0) * cv_F * DeltaSector[[#This Row],[Quantity]] * Hazards_APPURT[[#This Row],[qz]] * CaAa_APPURT[[#This Row],[Delta 270]] * IF(Calculations_APPURT[[#This Row],[Shape]]="CFD",1, Ka)</f>
        <v>0</v>
      </c>
      <c r="IN22" s="276">
        <f>IFERROR(1/Calculations_APPURT[[#This Row],[Brackets]],0) * cv_F * DeltaSector[[#This Row],[Quantity]] * Hazards_APPURT[[#This Row],[qz]] * CaAa_APPURT[[#This Row],[Delta 300]] * IF(Calculations_APPURT[[#This Row],[Shape]]="CFD",1, Ka)</f>
        <v>0</v>
      </c>
      <c r="IO22" s="276">
        <f>IFERROR(1/Calculations_APPURT[[#This Row],[Brackets]],0) * cv_F * DeltaSector[[#This Row],[Quantity]] * Hazards_APPURT[[#This Row],[qz]] * CaAa_APPURT[[#This Row],[Delta 315]] * IF(Calculations_APPURT[[#This Row],[Shape]]="CFD",1, Ka)</f>
        <v>0</v>
      </c>
      <c r="IP22" s="276">
        <f>IFERROR(1/Calculations_APPURT[[#This Row],[Brackets]],0) * cv_F * DeltaSector[[#This Row],[Quantity]] * Hazards_APPURT[[#This Row],[qz]] * CaAa_APPURT[[#This Row],[Delta 330]] * IF(Calculations_APPURT[[#This Row],[Shape]]="CFD",1, Ka)</f>
        <v>0</v>
      </c>
      <c r="IQ22" s="338">
        <f>IFERROR(1/Calculations_APPURT[[#This Row],[Brackets]],0) * cv_F * AlphaSector[[#This Row],[Quantity]] * Hazards_APPURT[[#This Row],[qiz]] * CaAa_APPURT[[#This Row],[Alpha Ice 0]]</f>
        <v>0</v>
      </c>
      <c r="IR22" s="338">
        <f>IFERROR(1/Calculations_APPURT[[#This Row],[Brackets]],0) * cv_F * AlphaSector[[#This Row],[Quantity]] * Hazards_APPURT[[#This Row],[qiz]] * CaAa_APPURT[[#This Row],[Alpha Ice 30]]</f>
        <v>0</v>
      </c>
      <c r="IS22" s="338">
        <f>IFERROR(1/Calculations_APPURT[[#This Row],[Brackets]],0) * cv_F * AlphaSector[[#This Row],[Quantity]] * Hazards_APPURT[[#This Row],[qiz]] * CaAa_APPURT[[#This Row],[Alpha Ice 45]]</f>
        <v>0</v>
      </c>
      <c r="IT22" s="338">
        <f>IFERROR(1/Calculations_APPURT[[#This Row],[Brackets]],0) * cv_F * AlphaSector[[#This Row],[Quantity]] * Hazards_APPURT[[#This Row],[qiz]] * CaAa_APPURT[[#This Row],[Alpha Ice 60]]</f>
        <v>0</v>
      </c>
      <c r="IU22" s="338">
        <f>IFERROR(1/Calculations_APPURT[[#This Row],[Brackets]],0) * cv_F * AlphaSector[[#This Row],[Quantity]] * Hazards_APPURT[[#This Row],[qiz]] * CaAa_APPURT[[#This Row],[Alpha Ice 90]]</f>
        <v>0</v>
      </c>
      <c r="IV22" s="338">
        <f>IFERROR(1/Calculations_APPURT[[#This Row],[Brackets]],0) * cv_F * AlphaSector[[#This Row],[Quantity]] * Hazards_APPURT[[#This Row],[qiz]] * CaAa_APPURT[[#This Row],[Alpha Ice 120]]</f>
        <v>0</v>
      </c>
      <c r="IW22" s="338">
        <f>IFERROR(1/Calculations_APPURT[[#This Row],[Brackets]],0) * cv_F * AlphaSector[[#This Row],[Quantity]] * Hazards_APPURT[[#This Row],[qiz]] * CaAa_APPURT[[#This Row],[Alpha Ice 135]]</f>
        <v>0</v>
      </c>
      <c r="IX22" s="338">
        <f>IFERROR(1/Calculations_APPURT[[#This Row],[Brackets]],0) * cv_F * AlphaSector[[#This Row],[Quantity]] * Hazards_APPURT[[#This Row],[qiz]] * CaAa_APPURT[[#This Row],[Alpha Ice 150]]</f>
        <v>0</v>
      </c>
      <c r="IY22" s="338">
        <f>IFERROR(1/Calculations_APPURT[[#This Row],[Brackets]],0) * cv_F * AlphaSector[[#This Row],[Quantity]] * Hazards_APPURT[[#This Row],[qiz]] * CaAa_APPURT[[#This Row],[Alpha Ice 180]]</f>
        <v>0</v>
      </c>
      <c r="IZ22" s="338">
        <f>IFERROR(1/Calculations_APPURT[[#This Row],[Brackets]],0) * cv_F * AlphaSector[[#This Row],[Quantity]] * Hazards_APPURT[[#This Row],[qiz]] * CaAa_APPURT[[#This Row],[Alpha Ice 210]]</f>
        <v>0</v>
      </c>
      <c r="JA22" s="338">
        <f>IFERROR(1/Calculations_APPURT[[#This Row],[Brackets]],0) * cv_F * AlphaSector[[#This Row],[Quantity]] * Hazards_APPURT[[#This Row],[qiz]] * CaAa_APPURT[[#This Row],[Alpha Ice 225]]</f>
        <v>0</v>
      </c>
      <c r="JB22" s="338">
        <f>IFERROR(1/Calculations_APPURT[[#This Row],[Brackets]],0) * cv_F * AlphaSector[[#This Row],[Quantity]] * Hazards_APPURT[[#This Row],[qiz]] * CaAa_APPURT[[#This Row],[Alpha Ice 240]]</f>
        <v>0</v>
      </c>
      <c r="JC22" s="338">
        <f>IFERROR(1/Calculations_APPURT[[#This Row],[Brackets]],0) * cv_F * AlphaSector[[#This Row],[Quantity]] * Hazards_APPURT[[#This Row],[qiz]] * CaAa_APPURT[[#This Row],[Alpha Ice 270]]</f>
        <v>0</v>
      </c>
      <c r="JD22" s="338">
        <f>IFERROR(1/Calculations_APPURT[[#This Row],[Brackets]],0) * cv_F * AlphaSector[[#This Row],[Quantity]] * Hazards_APPURT[[#This Row],[qiz]] * CaAa_APPURT[[#This Row],[Alpha Ice 300]]</f>
        <v>0</v>
      </c>
      <c r="JE22" s="338">
        <f>IFERROR(1/Calculations_APPURT[[#This Row],[Brackets]],0) * cv_F * AlphaSector[[#This Row],[Quantity]] * Hazards_APPURT[[#This Row],[qiz]] * CaAa_APPURT[[#This Row],[Alpha Ice 315]]</f>
        <v>0</v>
      </c>
      <c r="JF22" s="338">
        <f>IFERROR(1/Calculations_APPURT[[#This Row],[Brackets]],0) * cv_F * AlphaSector[[#This Row],[Quantity]] * Hazards_APPURT[[#This Row],[qiz]] * CaAa_APPURT[[#This Row],[Alpha Ice 330]]</f>
        <v>0</v>
      </c>
      <c r="JG22" s="276">
        <f>IFERROR(1/Calculations_APPURT[[#This Row],[Brackets]],0) * cv_F * BetaSector[[#This Row],[Quantity]] * Hazards_APPURT[[#This Row],[qiz]] * CaAa_APPURT[[#This Row],[Beta Ice 0]]</f>
        <v>0</v>
      </c>
      <c r="JH22" s="276">
        <f>IFERROR(1/Calculations_APPURT[[#This Row],[Brackets]],0) * cv_F * BetaSector[[#This Row],[Quantity]] * Hazards_APPURT[[#This Row],[qiz]] * CaAa_APPURT[[#This Row],[Beta Ice 30]]</f>
        <v>0</v>
      </c>
      <c r="JI22" s="276">
        <f>IFERROR(1/Calculations_APPURT[[#This Row],[Brackets]],0) * cv_F * BetaSector[[#This Row],[Quantity]] * Hazards_APPURT[[#This Row],[qiz]] * CaAa_APPURT[[#This Row],[Beta Ice 45]]</f>
        <v>0</v>
      </c>
      <c r="JJ22" s="276">
        <f>IFERROR(1/Calculations_APPURT[[#This Row],[Brackets]],0) * cv_F * BetaSector[[#This Row],[Quantity]] * Hazards_APPURT[[#This Row],[qiz]] * CaAa_APPURT[[#This Row],[Beta Ice 60]]</f>
        <v>0</v>
      </c>
      <c r="JK22" s="276">
        <f>IFERROR(1/Calculations_APPURT[[#This Row],[Brackets]],0) * cv_F * BetaSector[[#This Row],[Quantity]] * Hazards_APPURT[[#This Row],[qiz]] * CaAa_APPURT[[#This Row],[Beta Ice 90]]</f>
        <v>0</v>
      </c>
      <c r="JL22" s="276">
        <f>IFERROR(1/Calculations_APPURT[[#This Row],[Brackets]],0) * cv_F * BetaSector[[#This Row],[Quantity]] * Hazards_APPURT[[#This Row],[qiz]] * CaAa_APPURT[[#This Row],[Beta Ice 120]]</f>
        <v>0</v>
      </c>
      <c r="JM22" s="276">
        <f>IFERROR(1/Calculations_APPURT[[#This Row],[Brackets]],0) * cv_F * BetaSector[[#This Row],[Quantity]] * Hazards_APPURT[[#This Row],[qiz]] * CaAa_APPURT[[#This Row],[Beta Ice 135]]</f>
        <v>0</v>
      </c>
      <c r="JN22" s="276">
        <f>IFERROR(1/Calculations_APPURT[[#This Row],[Brackets]],0) * cv_F * BetaSector[[#This Row],[Quantity]] * Hazards_APPURT[[#This Row],[qiz]] * CaAa_APPURT[[#This Row],[Beta Ice 150]]</f>
        <v>0</v>
      </c>
      <c r="JO22" s="276">
        <f>IFERROR(1/Calculations_APPURT[[#This Row],[Brackets]],0) * cv_F * BetaSector[[#This Row],[Quantity]] * Hazards_APPURT[[#This Row],[qiz]] * CaAa_APPURT[[#This Row],[Beta Ice 180]]</f>
        <v>0</v>
      </c>
      <c r="JP22" s="276">
        <f>IFERROR(1/Calculations_APPURT[[#This Row],[Brackets]],0) * cv_F * BetaSector[[#This Row],[Quantity]] * Hazards_APPURT[[#This Row],[qiz]] * CaAa_APPURT[[#This Row],[Beta Ice 210]]</f>
        <v>0</v>
      </c>
      <c r="JQ22" s="276">
        <f>IFERROR(1/Calculations_APPURT[[#This Row],[Brackets]],0) * cv_F * BetaSector[[#This Row],[Quantity]] * Hazards_APPURT[[#This Row],[qiz]] * CaAa_APPURT[[#This Row],[Beta Ice 225]]</f>
        <v>0</v>
      </c>
      <c r="JR22" s="276">
        <f>IFERROR(1/Calculations_APPURT[[#This Row],[Brackets]],0) * cv_F * BetaSector[[#This Row],[Quantity]] * Hazards_APPURT[[#This Row],[qiz]] * CaAa_APPURT[[#This Row],[Beta Ice 240]]</f>
        <v>0</v>
      </c>
      <c r="JS22" s="276">
        <f>IFERROR(1/Calculations_APPURT[[#This Row],[Brackets]],0) * cv_F * BetaSector[[#This Row],[Quantity]] * Hazards_APPURT[[#This Row],[qiz]] * CaAa_APPURT[[#This Row],[Beta Ice 270]]</f>
        <v>0</v>
      </c>
      <c r="JT22" s="276">
        <f>IFERROR(1/Calculations_APPURT[[#This Row],[Brackets]],0) * cv_F * BetaSector[[#This Row],[Quantity]] * Hazards_APPURT[[#This Row],[qiz]] * CaAa_APPURT[[#This Row],[Beta Ice 300]]</f>
        <v>0</v>
      </c>
      <c r="JU22" s="276">
        <f>IFERROR(1/Calculations_APPURT[[#This Row],[Brackets]],0) * cv_F * BetaSector[[#This Row],[Quantity]] * Hazards_APPURT[[#This Row],[qiz]] * CaAa_APPURT[[#This Row],[Beta Ice 315]]</f>
        <v>0</v>
      </c>
      <c r="JV22" s="276">
        <f>IFERROR(1/Calculations_APPURT[[#This Row],[Brackets]],0) * cv_F * BetaSector[[#This Row],[Quantity]] * Hazards_APPURT[[#This Row],[qiz]] * CaAa_APPURT[[#This Row],[Beta Ice 330]]</f>
        <v>0</v>
      </c>
      <c r="JW22" s="338">
        <f>IFERROR(1/Calculations_APPURT[[#This Row],[Brackets]],0) * cv_F * GammaSector[[#This Row],[Quantity]] * Hazards_APPURT[[#This Row],[qiz]] * CaAa_APPURT[[#This Row],[Gamma Ice 0]]</f>
        <v>0</v>
      </c>
      <c r="JX22" s="338">
        <f>IFERROR(1/Calculations_APPURT[[#This Row],[Brackets]],0) * cv_F * GammaSector[[#This Row],[Quantity]] * Hazards_APPURT[[#This Row],[qiz]] * CaAa_APPURT[[#This Row],[Gamma Ice 30]]</f>
        <v>0</v>
      </c>
      <c r="JY22" s="338">
        <f>IFERROR(1/Calculations_APPURT[[#This Row],[Brackets]],0) * cv_F * GammaSector[[#This Row],[Quantity]] * Hazards_APPURT[[#This Row],[qiz]] * CaAa_APPURT[[#This Row],[Gamma Ice 45]]</f>
        <v>0</v>
      </c>
      <c r="JZ22" s="338">
        <f>IFERROR(1/Calculations_APPURT[[#This Row],[Brackets]],0) * cv_F * GammaSector[[#This Row],[Quantity]] * Hazards_APPURT[[#This Row],[qiz]] * CaAa_APPURT[[#This Row],[Gamma Ice 60]]</f>
        <v>0</v>
      </c>
      <c r="KA22" s="338">
        <f>IFERROR(1/Calculations_APPURT[[#This Row],[Brackets]],0) * cv_F * GammaSector[[#This Row],[Quantity]] * Hazards_APPURT[[#This Row],[qiz]] * CaAa_APPURT[[#This Row],[Gamma Ice 90]]</f>
        <v>0</v>
      </c>
      <c r="KB22" s="338">
        <f>IFERROR(1/Calculations_APPURT[[#This Row],[Brackets]],0) * cv_F * GammaSector[[#This Row],[Quantity]] * Hazards_APPURT[[#This Row],[qiz]] * CaAa_APPURT[[#This Row],[Gamma Ice 120]]</f>
        <v>0</v>
      </c>
      <c r="KC22" s="338">
        <f>IFERROR(1/Calculations_APPURT[[#This Row],[Brackets]],0) * cv_F * GammaSector[[#This Row],[Quantity]] * Hazards_APPURT[[#This Row],[qiz]] * CaAa_APPURT[[#This Row],[Gamma Ice 135]]</f>
        <v>0</v>
      </c>
      <c r="KD22" s="338">
        <f>IFERROR(1/Calculations_APPURT[[#This Row],[Brackets]],0) * cv_F * GammaSector[[#This Row],[Quantity]] * Hazards_APPURT[[#This Row],[qiz]] * CaAa_APPURT[[#This Row],[Gamma Ice 150]]</f>
        <v>0</v>
      </c>
      <c r="KE22" s="338">
        <f>IFERROR(1/Calculations_APPURT[[#This Row],[Brackets]],0) * cv_F * GammaSector[[#This Row],[Quantity]] * Hazards_APPURT[[#This Row],[qiz]] * CaAa_APPURT[[#This Row],[Gamma Ice 180]]</f>
        <v>0</v>
      </c>
      <c r="KF22" s="338">
        <f>IFERROR(1/Calculations_APPURT[[#This Row],[Brackets]],0) * cv_F * GammaSector[[#This Row],[Quantity]] * Hazards_APPURT[[#This Row],[qiz]] * CaAa_APPURT[[#This Row],[Gamma Ice 210]]</f>
        <v>0</v>
      </c>
      <c r="KG22" s="338">
        <f>IFERROR(1/Calculations_APPURT[[#This Row],[Brackets]],0) * cv_F * GammaSector[[#This Row],[Quantity]] * Hazards_APPURT[[#This Row],[qiz]] * CaAa_APPURT[[#This Row],[Gamma Ice 225]]</f>
        <v>0</v>
      </c>
      <c r="KH22" s="338">
        <f>IFERROR(1/Calculations_APPURT[[#This Row],[Brackets]],0) * cv_F * GammaSector[[#This Row],[Quantity]] * Hazards_APPURT[[#This Row],[qiz]] * CaAa_APPURT[[#This Row],[Gamma Ice 240]]</f>
        <v>0</v>
      </c>
      <c r="KI22" s="338">
        <f>IFERROR(1/Calculations_APPURT[[#This Row],[Brackets]],0) * cv_F * GammaSector[[#This Row],[Quantity]] * Hazards_APPURT[[#This Row],[qiz]] * CaAa_APPURT[[#This Row],[Gamma Ice 270]]</f>
        <v>0</v>
      </c>
      <c r="KJ22" s="338">
        <f>IFERROR(1/Calculations_APPURT[[#This Row],[Brackets]],0) * cv_F * GammaSector[[#This Row],[Quantity]] * Hazards_APPURT[[#This Row],[qiz]] * CaAa_APPURT[[#This Row],[Gamma Ice 300]]</f>
        <v>0</v>
      </c>
      <c r="KK22" s="338">
        <f>IFERROR(1/Calculations_APPURT[[#This Row],[Brackets]],0) * cv_F * GammaSector[[#This Row],[Quantity]] * Hazards_APPURT[[#This Row],[qiz]] * CaAa_APPURT[[#This Row],[Gamma Ice 315]]</f>
        <v>0</v>
      </c>
      <c r="KL22" s="338">
        <f>IFERROR(1/Calculations_APPURT[[#This Row],[Brackets]],0) * cv_F * GammaSector[[#This Row],[Quantity]] * Hazards_APPURT[[#This Row],[qiz]] * CaAa_APPURT[[#This Row],[Gamma Ice 330]]</f>
        <v>0</v>
      </c>
      <c r="KM22" s="276">
        <f>IFERROR(1/Calculations_APPURT[[#This Row],[Brackets]],0) * cv_F * DeltaSector[[#This Row],[Quantity]] * Hazards_APPURT[[#This Row],[qiz]] * CaAa_APPURT[[#This Row],[Delta Ice 0]]</f>
        <v>0</v>
      </c>
      <c r="KN22" s="276">
        <f>IFERROR(1/Calculations_APPURT[[#This Row],[Brackets]],0) * cv_F * DeltaSector[[#This Row],[Quantity]] * Hazards_APPURT[[#This Row],[qiz]] * CaAa_APPURT[[#This Row],[Delta Ice 30]]</f>
        <v>0</v>
      </c>
      <c r="KO22" s="276">
        <f>IFERROR(1/Calculations_APPURT[[#This Row],[Brackets]],0) * cv_F * DeltaSector[[#This Row],[Quantity]] * Hazards_APPURT[[#This Row],[qiz]] * CaAa_APPURT[[#This Row],[Delta Ice 45]]</f>
        <v>0</v>
      </c>
      <c r="KP22" s="276">
        <f>IFERROR(1/Calculations_APPURT[[#This Row],[Brackets]],0) * cv_F * DeltaSector[[#This Row],[Quantity]] * Hazards_APPURT[[#This Row],[qiz]] * CaAa_APPURT[[#This Row],[Delta Ice 60]]</f>
        <v>0</v>
      </c>
      <c r="KQ22" s="276">
        <f>IFERROR(1/Calculations_APPURT[[#This Row],[Brackets]],0) * cv_F * DeltaSector[[#This Row],[Quantity]] * Hazards_APPURT[[#This Row],[qiz]] * CaAa_APPURT[[#This Row],[Delta Ice 90]]</f>
        <v>0</v>
      </c>
      <c r="KR22" s="276">
        <f>IFERROR(1/Calculations_APPURT[[#This Row],[Brackets]],0) * cv_F * DeltaSector[[#This Row],[Quantity]] * Hazards_APPURT[[#This Row],[qiz]] * CaAa_APPURT[[#This Row],[Delta Ice 120]]</f>
        <v>0</v>
      </c>
      <c r="KS22" s="276">
        <f>IFERROR(1/Calculations_APPURT[[#This Row],[Brackets]],0) * cv_F * DeltaSector[[#This Row],[Quantity]] * Hazards_APPURT[[#This Row],[qiz]] * CaAa_APPURT[[#This Row],[Delta Ice 135]]</f>
        <v>0</v>
      </c>
      <c r="KT22" s="276">
        <f>IFERROR(1/Calculations_APPURT[[#This Row],[Brackets]],0) * cv_F * DeltaSector[[#This Row],[Quantity]] * Hazards_APPURT[[#This Row],[qiz]] * CaAa_APPURT[[#This Row],[Delta Ice 150]]</f>
        <v>0</v>
      </c>
      <c r="KU22" s="276">
        <f>IFERROR(1/Calculations_APPURT[[#This Row],[Brackets]],0) * cv_F * DeltaSector[[#This Row],[Quantity]] * Hazards_APPURT[[#This Row],[qiz]] * CaAa_APPURT[[#This Row],[Delta Ice 180]]</f>
        <v>0</v>
      </c>
      <c r="KV22" s="276">
        <f>IFERROR(1/Calculations_APPURT[[#This Row],[Brackets]],0) * cv_F * DeltaSector[[#This Row],[Quantity]] * Hazards_APPURT[[#This Row],[qiz]] * CaAa_APPURT[[#This Row],[Delta Ice 210]]</f>
        <v>0</v>
      </c>
      <c r="KW22" s="276">
        <f>IFERROR(1/Calculations_APPURT[[#This Row],[Brackets]],0) * cv_F * DeltaSector[[#This Row],[Quantity]] * Hazards_APPURT[[#This Row],[qiz]] * CaAa_APPURT[[#This Row],[Delta Ice 225]]</f>
        <v>0</v>
      </c>
      <c r="KX22" s="276">
        <f>IFERROR(1/Calculations_APPURT[[#This Row],[Brackets]],0) * cv_F * DeltaSector[[#This Row],[Quantity]] * Hazards_APPURT[[#This Row],[qiz]] * CaAa_APPURT[[#This Row],[Delta Ice 240]]</f>
        <v>0</v>
      </c>
      <c r="KY22" s="276">
        <f>IFERROR(1/Calculations_APPURT[[#This Row],[Brackets]],0) * cv_F * DeltaSector[[#This Row],[Quantity]] * Hazards_APPURT[[#This Row],[qiz]] * CaAa_APPURT[[#This Row],[Delta Ice 270]]</f>
        <v>0</v>
      </c>
      <c r="KZ22" s="276">
        <f>IFERROR(1/Calculations_APPURT[[#This Row],[Brackets]],0) * cv_F * DeltaSector[[#This Row],[Quantity]] * Hazards_APPURT[[#This Row],[qiz]] * CaAa_APPURT[[#This Row],[Delta Ice 300]]</f>
        <v>0</v>
      </c>
      <c r="LA22" s="276">
        <f>IFERROR(1/Calculations_APPURT[[#This Row],[Brackets]],0) * cv_F * DeltaSector[[#This Row],[Quantity]] * Hazards_APPURT[[#This Row],[qiz]] * CaAa_APPURT[[#This Row],[Delta Ice 315]]</f>
        <v>0</v>
      </c>
      <c r="LB22" s="276">
        <f>IFERROR(1/Calculations_APPURT[[#This Row],[Brackets]],0) * cv_F * DeltaSector[[#This Row],[Quantity]] * Hazards_APPURT[[#This Row],[qiz]] * CaAa_APPURT[[#This Row],[Delta Ice 330]]</f>
        <v>0</v>
      </c>
      <c r="LC22" s="338">
        <f>IFERROR(1/Calculations_APPURT[[#This Row],[Brackets]],0) * cv_M/cv_F * Forces_APPURT[[#This Row],[Alpha Fa 0]] * Calculations_APPURT[[#This Row],[Horizontal Offset]]/12</f>
        <v>0</v>
      </c>
      <c r="LD22" s="338">
        <f>IFERROR(1/Calculations_APPURT[[#This Row],[Brackets]],0) * cv_M/cv_F * Forces_APPURT[[#This Row],[Alpha Fa 30]] * Calculations_APPURT[[#This Row],[Horizontal Offset]]/12</f>
        <v>0</v>
      </c>
      <c r="LE22" s="338">
        <f>IFERROR(1/Calculations_APPURT[[#This Row],[Brackets]],0) * cv_M/cv_F * Forces_APPURT[[#This Row],[Alpha Fa 45]] * Calculations_APPURT[[#This Row],[Horizontal Offset]]/12</f>
        <v>0</v>
      </c>
      <c r="LF22" s="338">
        <f>IFERROR(1/Calculations_APPURT[[#This Row],[Brackets]],0) * cv_M/cv_F * Forces_APPURT[[#This Row],[Alpha Fa 60]] * Calculations_APPURT[[#This Row],[Horizontal Offset]]/12</f>
        <v>0</v>
      </c>
      <c r="LG22" s="338">
        <f>IFERROR(1/Calculations_APPURT[[#This Row],[Brackets]],0) * cv_M/cv_F * Forces_APPURT[[#This Row],[Alpha Fa 90]] * Calculations_APPURT[[#This Row],[Horizontal Offset]]/12</f>
        <v>0</v>
      </c>
      <c r="LH22" s="338">
        <f>IFERROR(1/Calculations_APPURT[[#This Row],[Brackets]],0) * cv_M/cv_F * Forces_APPURT[[#This Row],[Alpha Fa 120]] * Calculations_APPURT[[#This Row],[Horizontal Offset]]/12</f>
        <v>0</v>
      </c>
      <c r="LI22" s="338">
        <f>IFERROR(1/Calculations_APPURT[[#This Row],[Brackets]],0) * cv_M/cv_F * Forces_APPURT[[#This Row],[Alpha Fa 135]] * Calculations_APPURT[[#This Row],[Horizontal Offset]]/12</f>
        <v>0</v>
      </c>
      <c r="LJ22" s="338">
        <f>IFERROR(1/Calculations_APPURT[[#This Row],[Brackets]],0) * cv_M/cv_F * Forces_APPURT[[#This Row],[Alpha Fa 150]] * Calculations_APPURT[[#This Row],[Horizontal Offset]]/12</f>
        <v>0</v>
      </c>
      <c r="LK22" s="338">
        <f>IFERROR(1/Calculations_APPURT[[#This Row],[Brackets]],0) * cv_M/cv_F * Forces_APPURT[[#This Row],[Alpha Fa 180]] * Calculations_APPURT[[#This Row],[Horizontal Offset]]/12</f>
        <v>0</v>
      </c>
      <c r="LL22" s="338">
        <f>IFERROR(1/Calculations_APPURT[[#This Row],[Brackets]],0) * cv_M/cv_F * Forces_APPURT[[#This Row],[Alpha Fa 210]] * Calculations_APPURT[[#This Row],[Horizontal Offset]]/12</f>
        <v>0</v>
      </c>
      <c r="LM22" s="338">
        <f>IFERROR(1/Calculations_APPURT[[#This Row],[Brackets]],0) * cv_M/cv_F * Forces_APPURT[[#This Row],[Alpha Fa 225]] * Calculations_APPURT[[#This Row],[Horizontal Offset]]/12</f>
        <v>0</v>
      </c>
      <c r="LN22" s="338">
        <f>IFERROR(1/Calculations_APPURT[[#This Row],[Brackets]],0) * cv_M/cv_F * Forces_APPURT[[#This Row],[Alpha Fa 240]] * Calculations_APPURT[[#This Row],[Horizontal Offset]]/12</f>
        <v>0</v>
      </c>
      <c r="LO22" s="338">
        <f>IFERROR(1/Calculations_APPURT[[#This Row],[Brackets]],0) * cv_M/cv_F * Forces_APPURT[[#This Row],[Alpha Fa 270]] * Calculations_APPURT[[#This Row],[Horizontal Offset]]/12</f>
        <v>0</v>
      </c>
      <c r="LP22" s="338">
        <f>IFERROR(1/Calculations_APPURT[[#This Row],[Brackets]],0) * cv_M/cv_F * Forces_APPURT[[#This Row],[Alpha Fa 300]] * Calculations_APPURT[[#This Row],[Horizontal Offset]]/12</f>
        <v>0</v>
      </c>
      <c r="LQ22" s="338">
        <f>IFERROR(1/Calculations_APPURT[[#This Row],[Brackets]],0) * cv_M/cv_F * Forces_APPURT[[#This Row],[Alpha Fa 315]] * Calculations_APPURT[[#This Row],[Horizontal Offset]]/12</f>
        <v>0</v>
      </c>
      <c r="LR22" s="338">
        <f>IFERROR(1/Calculations_APPURT[[#This Row],[Brackets]],0) * cv_M/cv_F * Forces_APPURT[[#This Row],[Alpha Fa 330]] * Calculations_APPURT[[#This Row],[Horizontal Offset]]/12</f>
        <v>0</v>
      </c>
      <c r="LS22" s="276">
        <f>IFERROR(1/Calculations_APPURT[[#This Row],[Brackets]],0) * cv_M/cv_F * Forces_APPURT[[#This Row],[Beta Fa 0]] * Calculations_APPURT[[#This Row],[Horizontal Offset]]/12</f>
        <v>0</v>
      </c>
      <c r="LT22" s="276">
        <f>IFERROR(1/Calculations_APPURT[[#This Row],[Brackets]],0) * cv_M/cv_F * Forces_APPURT[[#This Row],[Beta Fa 30]] * Calculations_APPURT[[#This Row],[Horizontal Offset]]/12</f>
        <v>0</v>
      </c>
      <c r="LU22" s="276">
        <f>IFERROR(1/Calculations_APPURT[[#This Row],[Brackets]],0) * cv_M/cv_F * Forces_APPURT[[#This Row],[Beta Fa 45]] * Calculations_APPURT[[#This Row],[Horizontal Offset]]/12</f>
        <v>0</v>
      </c>
      <c r="LV22" s="276">
        <f>IFERROR(1/Calculations_APPURT[[#This Row],[Brackets]],0) * cv_M/cv_F * Forces_APPURT[[#This Row],[Beta Fa 60]] * Calculations_APPURT[[#This Row],[Horizontal Offset]]/12</f>
        <v>0</v>
      </c>
      <c r="LW22" s="276">
        <f>IFERROR(1/Calculations_APPURT[[#This Row],[Brackets]],0) * cv_M/cv_F * Forces_APPURT[[#This Row],[Beta Fa 90]] * Calculations_APPURT[[#This Row],[Horizontal Offset]]/12</f>
        <v>0</v>
      </c>
      <c r="LX22" s="276">
        <f>IFERROR(1/Calculations_APPURT[[#This Row],[Brackets]],0) * cv_M/cv_F * Forces_APPURT[[#This Row],[Beta Fa 120]] * Calculations_APPURT[[#This Row],[Horizontal Offset]]/12</f>
        <v>0</v>
      </c>
      <c r="LY22" s="276">
        <f>IFERROR(1/Calculations_APPURT[[#This Row],[Brackets]],0) * cv_M/cv_F * Forces_APPURT[[#This Row],[Beta Fa 135]] * Calculations_APPURT[[#This Row],[Horizontal Offset]]/12</f>
        <v>0</v>
      </c>
      <c r="LZ22" s="276">
        <f>IFERROR(1/Calculations_APPURT[[#This Row],[Brackets]],0) * cv_M/cv_F * Forces_APPURT[[#This Row],[Beta Fa 150]] * Calculations_APPURT[[#This Row],[Horizontal Offset]]/12</f>
        <v>0</v>
      </c>
      <c r="MA22" s="276">
        <f>IFERROR(1/Calculations_APPURT[[#This Row],[Brackets]],0) * cv_M/cv_F * Forces_APPURT[[#This Row],[Beta Fa 180]] * Calculations_APPURT[[#This Row],[Horizontal Offset]]/12</f>
        <v>0</v>
      </c>
      <c r="MB22" s="276">
        <f>IFERROR(1/Calculations_APPURT[[#This Row],[Brackets]],0) * cv_M/cv_F * Forces_APPURT[[#This Row],[Beta Fa 210]] * Calculations_APPURT[[#This Row],[Horizontal Offset]]/12</f>
        <v>0</v>
      </c>
      <c r="MC22" s="276">
        <f>IFERROR(1/Calculations_APPURT[[#This Row],[Brackets]],0) * cv_M/cv_F * Forces_APPURT[[#This Row],[Beta Fa 225]] * Calculations_APPURT[[#This Row],[Horizontal Offset]]/12</f>
        <v>0</v>
      </c>
      <c r="MD22" s="276">
        <f>IFERROR(1/Calculations_APPURT[[#This Row],[Brackets]],0) * cv_M/cv_F * Forces_APPURT[[#This Row],[Beta Fa 240]] * Calculations_APPURT[[#This Row],[Horizontal Offset]]/12</f>
        <v>0</v>
      </c>
      <c r="ME22" s="276">
        <f>IFERROR(1/Calculations_APPURT[[#This Row],[Brackets]],0) * cv_M/cv_F * Forces_APPURT[[#This Row],[Beta Fa 270]] * Calculations_APPURT[[#This Row],[Horizontal Offset]]/12</f>
        <v>0</v>
      </c>
      <c r="MF22" s="276">
        <f>IFERROR(1/Calculations_APPURT[[#This Row],[Brackets]],0) * cv_M/cv_F * Forces_APPURT[[#This Row],[Beta Fa 300]] * Calculations_APPURT[[#This Row],[Horizontal Offset]]/12</f>
        <v>0</v>
      </c>
      <c r="MG22" s="276">
        <f>IFERROR(1/Calculations_APPURT[[#This Row],[Brackets]],0) * cv_M/cv_F * Forces_APPURT[[#This Row],[Beta Fa 315]] * Calculations_APPURT[[#This Row],[Horizontal Offset]]/12</f>
        <v>0</v>
      </c>
      <c r="MH22" s="276">
        <f>IFERROR(1/Calculations_APPURT[[#This Row],[Brackets]],0) * cv_M/cv_F * Forces_APPURT[[#This Row],[Beta Fa 330]] * Calculations_APPURT[[#This Row],[Horizontal Offset]]/12</f>
        <v>0</v>
      </c>
      <c r="MI22" s="338">
        <f>IFERROR(1/Calculations_APPURT[[#This Row],[Brackets]],0) * cv_M/cv_F * Forces_APPURT[[#This Row],[Gamma Fa 0]] * Calculations_APPURT[[#This Row],[Horizontal Offset]]/12</f>
        <v>0</v>
      </c>
      <c r="MJ22" s="338">
        <f>IFERROR(1/Calculations_APPURT[[#This Row],[Brackets]],0) * cv_M/cv_F * Forces_APPURT[[#This Row],[Gamma Fa 30]] * Calculations_APPURT[[#This Row],[Horizontal Offset]]/12</f>
        <v>0</v>
      </c>
      <c r="MK22" s="338">
        <f>IFERROR(1/Calculations_APPURT[[#This Row],[Brackets]],0) * cv_M/cv_F * Forces_APPURT[[#This Row],[Gamma Fa 45]] * Calculations_APPURT[[#This Row],[Horizontal Offset]]/12</f>
        <v>0</v>
      </c>
      <c r="ML22" s="338">
        <f>IFERROR(1/Calculations_APPURT[[#This Row],[Brackets]],0) * cv_M/cv_F * Forces_APPURT[[#This Row],[Gamma Fa 60]] * Calculations_APPURT[[#This Row],[Horizontal Offset]]/12</f>
        <v>0</v>
      </c>
      <c r="MM22" s="338">
        <f>IFERROR(1/Calculations_APPURT[[#This Row],[Brackets]],0) * cv_M/cv_F * Forces_APPURT[[#This Row],[Gamma Fa 90]] * Calculations_APPURT[[#This Row],[Horizontal Offset]]/12</f>
        <v>0</v>
      </c>
      <c r="MN22" s="338">
        <f>IFERROR(1/Calculations_APPURT[[#This Row],[Brackets]],0) * cv_M/cv_F * Forces_APPURT[[#This Row],[Gamma Fa 120]] * Calculations_APPURT[[#This Row],[Horizontal Offset]]/12</f>
        <v>0</v>
      </c>
      <c r="MO22" s="338">
        <f>IFERROR(1/Calculations_APPURT[[#This Row],[Brackets]],0) * cv_M/cv_F * Forces_APPURT[[#This Row],[Gamma Fa 135]] * Calculations_APPURT[[#This Row],[Horizontal Offset]]/12</f>
        <v>0</v>
      </c>
      <c r="MP22" s="338">
        <f>IFERROR(1/Calculations_APPURT[[#This Row],[Brackets]],0) * cv_M/cv_F * Forces_APPURT[[#This Row],[Gamma Fa 150]] * Calculations_APPURT[[#This Row],[Horizontal Offset]]/12</f>
        <v>0</v>
      </c>
      <c r="MQ22" s="338">
        <f>IFERROR(1/Calculations_APPURT[[#This Row],[Brackets]],0) * cv_M/cv_F * Forces_APPURT[[#This Row],[Gamma Fa 180]] * Calculations_APPURT[[#This Row],[Horizontal Offset]]/12</f>
        <v>0</v>
      </c>
      <c r="MR22" s="338">
        <f>IFERROR(1/Calculations_APPURT[[#This Row],[Brackets]],0) * cv_M/cv_F * Forces_APPURT[[#This Row],[Gamma Fa 210]] * Calculations_APPURT[[#This Row],[Horizontal Offset]]/12</f>
        <v>0</v>
      </c>
      <c r="MS22" s="338">
        <f>IFERROR(1/Calculations_APPURT[[#This Row],[Brackets]],0) * cv_M/cv_F * Forces_APPURT[[#This Row],[Gamma Fa 225]] * Calculations_APPURT[[#This Row],[Horizontal Offset]]/12</f>
        <v>0</v>
      </c>
      <c r="MT22" s="338">
        <f>IFERROR(1/Calculations_APPURT[[#This Row],[Brackets]],0) * cv_M/cv_F * Forces_APPURT[[#This Row],[Gamma Fa 240]] * Calculations_APPURT[[#This Row],[Horizontal Offset]]/12</f>
        <v>0</v>
      </c>
      <c r="MU22" s="338">
        <f>IFERROR(1/Calculations_APPURT[[#This Row],[Brackets]],0) * cv_M/cv_F * Forces_APPURT[[#This Row],[Gamma Fa 270]] * Calculations_APPURT[[#This Row],[Horizontal Offset]]/12</f>
        <v>0</v>
      </c>
      <c r="MV22" s="338">
        <f>IFERROR(1/Calculations_APPURT[[#This Row],[Brackets]],0) * cv_M/cv_F * Forces_APPURT[[#This Row],[Gamma Fa 300]] * Calculations_APPURT[[#This Row],[Horizontal Offset]]/12</f>
        <v>0</v>
      </c>
      <c r="MW22" s="338">
        <f>IFERROR(1/Calculations_APPURT[[#This Row],[Brackets]],0) * cv_M/cv_F * Forces_APPURT[[#This Row],[Gamma Fa 315]] * Calculations_APPURT[[#This Row],[Horizontal Offset]]/12</f>
        <v>0</v>
      </c>
      <c r="MX22" s="338">
        <f>IFERROR(1/Calculations_APPURT[[#This Row],[Brackets]],0) * cv_M/cv_F * Forces_APPURT[[#This Row],[Gamma Fa 330]] * Calculations_APPURT[[#This Row],[Horizontal Offset]]/12</f>
        <v>0</v>
      </c>
      <c r="MY22" s="276">
        <f>IFERROR(1/Calculations_APPURT[[#This Row],[Brackets]],0) * cv_M/cv_F * Forces_APPURT[[#This Row],[Delta Fa 0]] * Calculations_APPURT[[#This Row],[Horizontal Offset]]/12</f>
        <v>0</v>
      </c>
      <c r="MZ22" s="276">
        <f>IFERROR(1/Calculations_APPURT[[#This Row],[Brackets]],0) * cv_M/cv_F * Forces_APPURT[[#This Row],[Delta Fa 30]] * Calculations_APPURT[[#This Row],[Horizontal Offset]]/12</f>
        <v>0</v>
      </c>
      <c r="NA22" s="276">
        <f>IFERROR(1/Calculations_APPURT[[#This Row],[Brackets]],0) * cv_M/cv_F * Forces_APPURT[[#This Row],[Delta Fa 45]] * Calculations_APPURT[[#This Row],[Horizontal Offset]]/12</f>
        <v>0</v>
      </c>
      <c r="NB22" s="276">
        <f>IFERROR(1/Calculations_APPURT[[#This Row],[Brackets]],0) * cv_M/cv_F * Forces_APPURT[[#This Row],[Delta Fa 60]] * Calculations_APPURT[[#This Row],[Horizontal Offset]]/12</f>
        <v>0</v>
      </c>
      <c r="NC22" s="276">
        <f>IFERROR(1/Calculations_APPURT[[#This Row],[Brackets]],0) * cv_M/cv_F * Forces_APPURT[[#This Row],[Delta Fa 90]] * Calculations_APPURT[[#This Row],[Horizontal Offset]]/12</f>
        <v>0</v>
      </c>
      <c r="ND22" s="276">
        <f>IFERROR(1/Calculations_APPURT[[#This Row],[Brackets]],0) * cv_M/cv_F * Forces_APPURT[[#This Row],[Delta Fa 120]] * Calculations_APPURT[[#This Row],[Horizontal Offset]]/12</f>
        <v>0</v>
      </c>
      <c r="NE22" s="276">
        <f>IFERROR(1/Calculations_APPURT[[#This Row],[Brackets]],0) * cv_M/cv_F * Forces_APPURT[[#This Row],[Delta Fa 135]] * Calculations_APPURT[[#This Row],[Horizontal Offset]]/12</f>
        <v>0</v>
      </c>
      <c r="NF22" s="276">
        <f>IFERROR(1/Calculations_APPURT[[#This Row],[Brackets]],0) * cv_M/cv_F * Forces_APPURT[[#This Row],[Delta Fa 150]] * Calculations_APPURT[[#This Row],[Horizontal Offset]]/12</f>
        <v>0</v>
      </c>
      <c r="NG22" s="276">
        <f>IFERROR(1/Calculations_APPURT[[#This Row],[Brackets]],0) * cv_M/cv_F * Forces_APPURT[[#This Row],[Delta Fa 180]] * Calculations_APPURT[[#This Row],[Horizontal Offset]]/12</f>
        <v>0</v>
      </c>
      <c r="NH22" s="276">
        <f>IFERROR(1/Calculations_APPURT[[#This Row],[Brackets]],0) * cv_M/cv_F * Forces_APPURT[[#This Row],[Delta Fa 210]] * Calculations_APPURT[[#This Row],[Horizontal Offset]]/12</f>
        <v>0</v>
      </c>
      <c r="NI22" s="276">
        <f>IFERROR(1/Calculations_APPURT[[#This Row],[Brackets]],0) * cv_M/cv_F * Forces_APPURT[[#This Row],[Delta Fa 225]] * Calculations_APPURT[[#This Row],[Horizontal Offset]]/12</f>
        <v>0</v>
      </c>
      <c r="NJ22" s="276">
        <f>IFERROR(1/Calculations_APPURT[[#This Row],[Brackets]],0) * cv_M/cv_F * Forces_APPURT[[#This Row],[Delta Fa 240]] * Calculations_APPURT[[#This Row],[Horizontal Offset]]/12</f>
        <v>0</v>
      </c>
      <c r="NK22" s="276">
        <f>IFERROR(1/Calculations_APPURT[[#This Row],[Brackets]],0) * cv_M/cv_F * Forces_APPURT[[#This Row],[Delta Fa 270]] * Calculations_APPURT[[#This Row],[Horizontal Offset]]/12</f>
        <v>0</v>
      </c>
      <c r="NL22" s="276">
        <f>IFERROR(1/Calculations_APPURT[[#This Row],[Brackets]],0) * cv_M/cv_F * Forces_APPURT[[#This Row],[Delta Fa 300]] * Calculations_APPURT[[#This Row],[Horizontal Offset]]/12</f>
        <v>0</v>
      </c>
      <c r="NM22" s="276">
        <f>IFERROR(1/Calculations_APPURT[[#This Row],[Brackets]],0) * cv_M/cv_F * Forces_APPURT[[#This Row],[Delta Fa 315]] * Calculations_APPURT[[#This Row],[Horizontal Offset]]/12</f>
        <v>0</v>
      </c>
      <c r="NN22" s="276">
        <f>IFERROR(1/Calculations_APPURT[[#This Row],[Brackets]],0) * cv_M/cv_F * Forces_APPURT[[#This Row],[Delta Fa 330]] * Calculations_APPURT[[#This Row],[Horizontal Offset]]/12</f>
        <v>0</v>
      </c>
      <c r="NO22" s="338">
        <f>IFERROR(1/Calculations_APPURT[[#This Row],[Brackets]],0) * cv_M/cv_F * Forces_APPURT[[#This Row],[Alpha Fai 0]] * Calculations_APPURT[[#This Row],[Horizontal Offset]]/12</f>
        <v>0</v>
      </c>
      <c r="NP22" s="338">
        <f>IFERROR(1/Calculations_APPURT[[#This Row],[Brackets]],0) * cv_M/cv_F * Forces_APPURT[[#This Row],[Alpha Fai 30]] * Calculations_APPURT[[#This Row],[Horizontal Offset]]/12</f>
        <v>0</v>
      </c>
      <c r="NQ22" s="338">
        <f>IFERROR(1/Calculations_APPURT[[#This Row],[Brackets]],0) * cv_M/cv_F * Forces_APPURT[[#This Row],[Alpha Fai 45]] * Calculations_APPURT[[#This Row],[Horizontal Offset]]/12</f>
        <v>0</v>
      </c>
      <c r="NR22" s="338">
        <f>IFERROR(1/Calculations_APPURT[[#This Row],[Brackets]],0) * cv_M/cv_F * Forces_APPURT[[#This Row],[Alpha Fai 60]] * Calculations_APPURT[[#This Row],[Horizontal Offset]]/12</f>
        <v>0</v>
      </c>
      <c r="NS22" s="338">
        <f>IFERROR(1/Calculations_APPURT[[#This Row],[Brackets]],0) * cv_M/cv_F * Forces_APPURT[[#This Row],[Alpha Fai 90]] * Calculations_APPURT[[#This Row],[Horizontal Offset]]/12</f>
        <v>0</v>
      </c>
      <c r="NT22" s="338">
        <f>IFERROR(1/Calculations_APPURT[[#This Row],[Brackets]],0) * cv_M/cv_F * Forces_APPURT[[#This Row],[Alpha Fai 120]] * Calculations_APPURT[[#This Row],[Horizontal Offset]]/12</f>
        <v>0</v>
      </c>
      <c r="NU22" s="338">
        <f>IFERROR(1/Calculations_APPURT[[#This Row],[Brackets]],0) * cv_M/cv_F * Forces_APPURT[[#This Row],[Alpha Fai 135]] * Calculations_APPURT[[#This Row],[Horizontal Offset]]/12</f>
        <v>0</v>
      </c>
      <c r="NV22" s="338">
        <f>IFERROR(1/Calculations_APPURT[[#This Row],[Brackets]],0) * cv_M/cv_F * Forces_APPURT[[#This Row],[Alpha Fai 150]] * Calculations_APPURT[[#This Row],[Horizontal Offset]]/12</f>
        <v>0</v>
      </c>
      <c r="NW22" s="338">
        <f>IFERROR(1/Calculations_APPURT[[#This Row],[Brackets]],0) * cv_M/cv_F * Forces_APPURT[[#This Row],[Alpha Fai 180]] * Calculations_APPURT[[#This Row],[Horizontal Offset]]/12</f>
        <v>0</v>
      </c>
      <c r="NX22" s="338">
        <f>IFERROR(1/Calculations_APPURT[[#This Row],[Brackets]],0) * cv_M/cv_F * Forces_APPURT[[#This Row],[Alpha Fai 210]] * Calculations_APPURT[[#This Row],[Horizontal Offset]]/12</f>
        <v>0</v>
      </c>
      <c r="NY22" s="338">
        <f>IFERROR(1/Calculations_APPURT[[#This Row],[Brackets]],0) * cv_M/cv_F * Forces_APPURT[[#This Row],[Alpha Fai 225]] * Calculations_APPURT[[#This Row],[Horizontal Offset]]/12</f>
        <v>0</v>
      </c>
      <c r="NZ22" s="338">
        <f>IFERROR(1/Calculations_APPURT[[#This Row],[Brackets]],0) * cv_M/cv_F * Forces_APPURT[[#This Row],[Alpha Fai 240]] * Calculations_APPURT[[#This Row],[Horizontal Offset]]/12</f>
        <v>0</v>
      </c>
      <c r="OA22" s="338">
        <f>IFERROR(1/Calculations_APPURT[[#This Row],[Brackets]],0) * cv_M/cv_F * Forces_APPURT[[#This Row],[Alpha Fai 270]] * Calculations_APPURT[[#This Row],[Horizontal Offset]]/12</f>
        <v>0</v>
      </c>
      <c r="OB22" s="338">
        <f>IFERROR(1/Calculations_APPURT[[#This Row],[Brackets]],0) * cv_M/cv_F * Forces_APPURT[[#This Row],[Alpha Fai 300]] * Calculations_APPURT[[#This Row],[Horizontal Offset]]/12</f>
        <v>0</v>
      </c>
      <c r="OC22" s="338">
        <f>IFERROR(1/Calculations_APPURT[[#This Row],[Brackets]],0) * cv_M/cv_F * Forces_APPURT[[#This Row],[Alpha Fai 315]] * Calculations_APPURT[[#This Row],[Horizontal Offset]]/12</f>
        <v>0</v>
      </c>
      <c r="OD22" s="338">
        <f>IFERROR(1/Calculations_APPURT[[#This Row],[Brackets]],0) * cv_M/cv_F * Forces_APPURT[[#This Row],[Alpha Fai 330]] * Calculations_APPURT[[#This Row],[Horizontal Offset]]/12</f>
        <v>0</v>
      </c>
      <c r="OE22" s="276">
        <f>IFERROR(1/Calculations_APPURT[[#This Row],[Brackets]],0) * cv_M/cv_F * Forces_APPURT[[#This Row],[Beta Fai 0]] * Calculations_APPURT[[#This Row],[Horizontal Offset]]/12</f>
        <v>0</v>
      </c>
      <c r="OF22" s="276">
        <f>IFERROR(1/Calculations_APPURT[[#This Row],[Brackets]],0) * cv_M/cv_F * Forces_APPURT[[#This Row],[Beta Fai 30]] * Calculations_APPURT[[#This Row],[Horizontal Offset]]/12</f>
        <v>0</v>
      </c>
      <c r="OG22" s="276">
        <f>IFERROR(1/Calculations_APPURT[[#This Row],[Brackets]],0) * cv_M/cv_F * Forces_APPURT[[#This Row],[Beta Fai 45]] * Calculations_APPURT[[#This Row],[Horizontal Offset]]/12</f>
        <v>0</v>
      </c>
      <c r="OH22" s="276">
        <f>IFERROR(1/Calculations_APPURT[[#This Row],[Brackets]],0) * cv_M/cv_F * Forces_APPURT[[#This Row],[Beta Fai 60]] * Calculations_APPURT[[#This Row],[Horizontal Offset]]/12</f>
        <v>0</v>
      </c>
      <c r="OI22" s="276">
        <f>IFERROR(1/Calculations_APPURT[[#This Row],[Brackets]],0) * cv_M/cv_F * Forces_APPURT[[#This Row],[Beta Fai 90]] * Calculations_APPURT[[#This Row],[Horizontal Offset]]/12</f>
        <v>0</v>
      </c>
      <c r="OJ22" s="276">
        <f>IFERROR(1/Calculations_APPURT[[#This Row],[Brackets]],0) * cv_M/cv_F * Forces_APPURT[[#This Row],[Beta Fai 120]] * Calculations_APPURT[[#This Row],[Horizontal Offset]]/12</f>
        <v>0</v>
      </c>
      <c r="OK22" s="276">
        <f>IFERROR(1/Calculations_APPURT[[#This Row],[Brackets]],0) * cv_M/cv_F * Forces_APPURT[[#This Row],[Beta Fai 135]] * Calculations_APPURT[[#This Row],[Horizontal Offset]]/12</f>
        <v>0</v>
      </c>
      <c r="OL22" s="276">
        <f>IFERROR(1/Calculations_APPURT[[#This Row],[Brackets]],0) * cv_M/cv_F * Forces_APPURT[[#This Row],[Beta Fai 150]] * Calculations_APPURT[[#This Row],[Horizontal Offset]]/12</f>
        <v>0</v>
      </c>
      <c r="OM22" s="276">
        <f>IFERROR(1/Calculations_APPURT[[#This Row],[Brackets]],0) * cv_M/cv_F * Forces_APPURT[[#This Row],[Beta Fai 180]] * Calculations_APPURT[[#This Row],[Horizontal Offset]]/12</f>
        <v>0</v>
      </c>
      <c r="ON22" s="276">
        <f>IFERROR(1/Calculations_APPURT[[#This Row],[Brackets]],0) * cv_M/cv_F * Forces_APPURT[[#This Row],[Beta Fai 210]] * Calculations_APPURT[[#This Row],[Horizontal Offset]]/12</f>
        <v>0</v>
      </c>
      <c r="OO22" s="276">
        <f>IFERROR(1/Calculations_APPURT[[#This Row],[Brackets]],0) * cv_M/cv_F * Forces_APPURT[[#This Row],[Beta Fai 225]] * Calculations_APPURT[[#This Row],[Horizontal Offset]]/12</f>
        <v>0</v>
      </c>
      <c r="OP22" s="276">
        <f>IFERROR(1/Calculations_APPURT[[#This Row],[Brackets]],0) * cv_M/cv_F * Forces_APPURT[[#This Row],[Beta Fai 240]] * Calculations_APPURT[[#This Row],[Horizontal Offset]]/12</f>
        <v>0</v>
      </c>
      <c r="OQ22" s="276">
        <f>IFERROR(1/Calculations_APPURT[[#This Row],[Brackets]],0) * cv_M/cv_F * Forces_APPURT[[#This Row],[Beta Fai 270]] * Calculations_APPURT[[#This Row],[Horizontal Offset]]/12</f>
        <v>0</v>
      </c>
      <c r="OR22" s="276">
        <f>IFERROR(1/Calculations_APPURT[[#This Row],[Brackets]],0) * cv_M/cv_F * Forces_APPURT[[#This Row],[Beta Fai 300]] * Calculations_APPURT[[#This Row],[Horizontal Offset]]/12</f>
        <v>0</v>
      </c>
      <c r="OS22" s="276">
        <f>IFERROR(1/Calculations_APPURT[[#This Row],[Brackets]],0) * cv_M/cv_F * Forces_APPURT[[#This Row],[Beta Fai 315]] * Calculations_APPURT[[#This Row],[Horizontal Offset]]/12</f>
        <v>0</v>
      </c>
      <c r="OT22" s="276">
        <f>IFERROR(1/Calculations_APPURT[[#This Row],[Brackets]],0) * cv_M/cv_F * Forces_APPURT[[#This Row],[Beta Fai 330]] * Calculations_APPURT[[#This Row],[Horizontal Offset]]/12</f>
        <v>0</v>
      </c>
      <c r="OU22" s="338">
        <f>IFERROR(1/Calculations_APPURT[[#This Row],[Brackets]],0) * cv_M/cv_F * Forces_APPURT[[#This Row],[Gamma Fai 0]] * Calculations_APPURT[[#This Row],[Horizontal Offset]]/12</f>
        <v>0</v>
      </c>
      <c r="OV22" s="338">
        <f>IFERROR(1/Calculations_APPURT[[#This Row],[Brackets]],0) * cv_M/cv_F * Forces_APPURT[[#This Row],[Gamma Fai 30]] * Calculations_APPURT[[#This Row],[Horizontal Offset]]/12</f>
        <v>0</v>
      </c>
      <c r="OW22" s="338">
        <f>IFERROR(1/Calculations_APPURT[[#This Row],[Brackets]],0) * cv_M/cv_F * Forces_APPURT[[#This Row],[Gamma Fai 45]] * Calculations_APPURT[[#This Row],[Horizontal Offset]]/12</f>
        <v>0</v>
      </c>
      <c r="OX22" s="338">
        <f>IFERROR(1/Calculations_APPURT[[#This Row],[Brackets]],0) * cv_M/cv_F * Forces_APPURT[[#This Row],[Gamma Fai 60]] * Calculations_APPURT[[#This Row],[Horizontal Offset]]/12</f>
        <v>0</v>
      </c>
      <c r="OY22" s="338">
        <f>IFERROR(1/Calculations_APPURT[[#This Row],[Brackets]],0) * cv_M/cv_F * Forces_APPURT[[#This Row],[Gamma Fai 90]] * Calculations_APPURT[[#This Row],[Horizontal Offset]]/12</f>
        <v>0</v>
      </c>
      <c r="OZ22" s="338">
        <f>IFERROR(1/Calculations_APPURT[[#This Row],[Brackets]],0) * cv_M/cv_F * Forces_APPURT[[#This Row],[Gamma Fai 120]] * Calculations_APPURT[[#This Row],[Horizontal Offset]]/12</f>
        <v>0</v>
      </c>
      <c r="PA22" s="338">
        <f>IFERROR(1/Calculations_APPURT[[#This Row],[Brackets]],0) * cv_M/cv_F * Forces_APPURT[[#This Row],[Gamma Fai 135]] * Calculations_APPURT[[#This Row],[Horizontal Offset]]/12</f>
        <v>0</v>
      </c>
      <c r="PB22" s="338">
        <f>IFERROR(1/Calculations_APPURT[[#This Row],[Brackets]],0) * cv_M/cv_F * Forces_APPURT[[#This Row],[Gamma Fai 150]] * Calculations_APPURT[[#This Row],[Horizontal Offset]]/12</f>
        <v>0</v>
      </c>
      <c r="PC22" s="338">
        <f>IFERROR(1/Calculations_APPURT[[#This Row],[Brackets]],0) * cv_M/cv_F * Forces_APPURT[[#This Row],[Gamma Fai 180]] * Calculations_APPURT[[#This Row],[Horizontal Offset]]/12</f>
        <v>0</v>
      </c>
      <c r="PD22" s="338">
        <f>IFERROR(1/Calculations_APPURT[[#This Row],[Brackets]],0) * cv_M/cv_F * Forces_APPURT[[#This Row],[Gamma Fai 210]] * Calculations_APPURT[[#This Row],[Horizontal Offset]]/12</f>
        <v>0</v>
      </c>
      <c r="PE22" s="338">
        <f>IFERROR(1/Calculations_APPURT[[#This Row],[Brackets]],0) * cv_M/cv_F * Forces_APPURT[[#This Row],[Gamma Fai 225]] * Calculations_APPURT[[#This Row],[Horizontal Offset]]/12</f>
        <v>0</v>
      </c>
      <c r="PF22" s="338">
        <f>IFERROR(1/Calculations_APPURT[[#This Row],[Brackets]],0) * cv_M/cv_F * Forces_APPURT[[#This Row],[Gamma Fai 240]] * Calculations_APPURT[[#This Row],[Horizontal Offset]]/12</f>
        <v>0</v>
      </c>
      <c r="PG22" s="338">
        <f>IFERROR(1/Calculations_APPURT[[#This Row],[Brackets]],0) * cv_M/cv_F * Forces_APPURT[[#This Row],[Gamma Fai 270]] * Calculations_APPURT[[#This Row],[Horizontal Offset]]/12</f>
        <v>0</v>
      </c>
      <c r="PH22" s="338">
        <f>IFERROR(1/Calculations_APPURT[[#This Row],[Brackets]],0) * cv_M/cv_F * Forces_APPURT[[#This Row],[Gamma Fai 300]] * Calculations_APPURT[[#This Row],[Horizontal Offset]]/12</f>
        <v>0</v>
      </c>
      <c r="PI22" s="338">
        <f>IFERROR(1/Calculations_APPURT[[#This Row],[Brackets]],0) * cv_M/cv_F * Forces_APPURT[[#This Row],[Gamma Fai 315]] * Calculations_APPURT[[#This Row],[Horizontal Offset]]/12</f>
        <v>0</v>
      </c>
      <c r="PJ22" s="338">
        <f>IFERROR(1/Calculations_APPURT[[#This Row],[Brackets]],0) * cv_M/cv_F * Forces_APPURT[[#This Row],[Gamma Fai 330]] * Calculations_APPURT[[#This Row],[Horizontal Offset]]/12</f>
        <v>0</v>
      </c>
      <c r="PK22" s="276">
        <f>IFERROR(1/Calculations_APPURT[[#This Row],[Brackets]],0) * cv_M/cv_F * Forces_APPURT[[#This Row],[Delta Fai 0]] * Calculations_APPURT[[#This Row],[Horizontal Offset]]/12</f>
        <v>0</v>
      </c>
      <c r="PL22" s="276">
        <f>IFERROR(1/Calculations_APPURT[[#This Row],[Brackets]],0) * cv_M/cv_F * Forces_APPURT[[#This Row],[Delta Fai 30]] * Calculations_APPURT[[#This Row],[Horizontal Offset]]/12</f>
        <v>0</v>
      </c>
      <c r="PM22" s="276">
        <f>IFERROR(1/Calculations_APPURT[[#This Row],[Brackets]],0) * cv_M/cv_F * Forces_APPURT[[#This Row],[Delta Fai 45]] * Calculations_APPURT[[#This Row],[Horizontal Offset]]/12</f>
        <v>0</v>
      </c>
      <c r="PN22" s="276">
        <f>IFERROR(1/Calculations_APPURT[[#This Row],[Brackets]],0) * cv_M/cv_F * Forces_APPURT[[#This Row],[Delta Fai 60]] * Calculations_APPURT[[#This Row],[Horizontal Offset]]/12</f>
        <v>0</v>
      </c>
      <c r="PO22" s="276">
        <f>IFERROR(1/Calculations_APPURT[[#This Row],[Brackets]],0) * cv_M/cv_F * Forces_APPURT[[#This Row],[Delta Fai 90]] * Calculations_APPURT[[#This Row],[Horizontal Offset]]/12</f>
        <v>0</v>
      </c>
      <c r="PP22" s="276">
        <f>IFERROR(1/Calculations_APPURT[[#This Row],[Brackets]],0) * cv_M/cv_F * Forces_APPURT[[#This Row],[Delta Fai 120]] * Calculations_APPURT[[#This Row],[Horizontal Offset]]/12</f>
        <v>0</v>
      </c>
      <c r="PQ22" s="276">
        <f>IFERROR(1/Calculations_APPURT[[#This Row],[Brackets]],0) * cv_M/cv_F * Forces_APPURT[[#This Row],[Delta Fai 135]] * Calculations_APPURT[[#This Row],[Horizontal Offset]]/12</f>
        <v>0</v>
      </c>
      <c r="PR22" s="276">
        <f>IFERROR(1/Calculations_APPURT[[#This Row],[Brackets]],0) * cv_M/cv_F * Forces_APPURT[[#This Row],[Delta Fai 150]] * Calculations_APPURT[[#This Row],[Horizontal Offset]]/12</f>
        <v>0</v>
      </c>
      <c r="PS22" s="276">
        <f>IFERROR(1/Calculations_APPURT[[#This Row],[Brackets]],0) * cv_M/cv_F * Forces_APPURT[[#This Row],[Delta Fai 180]] * Calculations_APPURT[[#This Row],[Horizontal Offset]]/12</f>
        <v>0</v>
      </c>
      <c r="PT22" s="276">
        <f>IFERROR(1/Calculations_APPURT[[#This Row],[Brackets]],0) * cv_M/cv_F * Forces_APPURT[[#This Row],[Delta Fai 210]] * Calculations_APPURT[[#This Row],[Horizontal Offset]]/12</f>
        <v>0</v>
      </c>
      <c r="PU22" s="276">
        <f>IFERROR(1/Calculations_APPURT[[#This Row],[Brackets]],0) * cv_M/cv_F * Forces_APPURT[[#This Row],[Delta Fai 225]] * Calculations_APPURT[[#This Row],[Horizontal Offset]]/12</f>
        <v>0</v>
      </c>
      <c r="PV22" s="276">
        <f>IFERROR(1/Calculations_APPURT[[#This Row],[Brackets]],0) * cv_M/cv_F * Forces_APPURT[[#This Row],[Delta Fai 240]] * Calculations_APPURT[[#This Row],[Horizontal Offset]]/12</f>
        <v>0</v>
      </c>
      <c r="PW22" s="276">
        <f>IFERROR(1/Calculations_APPURT[[#This Row],[Brackets]],0) * cv_M/cv_F * Forces_APPURT[[#This Row],[Delta Fai 270]] * Calculations_APPURT[[#This Row],[Horizontal Offset]]/12</f>
        <v>0</v>
      </c>
      <c r="PX22" s="276">
        <f>IFERROR(1/Calculations_APPURT[[#This Row],[Brackets]],0) * cv_M/cv_F * Forces_APPURT[[#This Row],[Delta Fai 300]] * Calculations_APPURT[[#This Row],[Horizontal Offset]]/12</f>
        <v>0</v>
      </c>
      <c r="PY22" s="276">
        <f>IFERROR(1/Calculations_APPURT[[#This Row],[Brackets]],0) * cv_M/cv_F * Forces_APPURT[[#This Row],[Delta Fai 315]] * Calculations_APPURT[[#This Row],[Horizontal Offset]]/12</f>
        <v>0</v>
      </c>
      <c r="PZ22" s="276">
        <f>IFERROR(1/Calculations_APPURT[[#This Row],[Brackets]],0) * cv_M/cv_F * Forces_APPURT[[#This Row],[Delta Fai 330]] * Calculations_APPURT[[#This Row],[Horizontal Offset]]/12</f>
        <v>0</v>
      </c>
      <c r="QA22" s="338">
        <f>IFERROR(1/Calculations_APPURT[[#This Row],[Brackets]],0) * cv_M/cv_F * Forces_APPURT[[#This Row],[Alpha Fa 0]] * Calculations_APPURT[[#This Row],[Lateral Offset]]/12</f>
        <v>0</v>
      </c>
      <c r="QB22" s="338">
        <f>IFERROR(1/Calculations_APPURT[[#This Row],[Brackets]],0) * cv_M/cv_F * Forces_APPURT[[#This Row],[Alpha Fa 30]] * Calculations_APPURT[[#This Row],[Lateral Offset]]/12</f>
        <v>0</v>
      </c>
      <c r="QC22" s="338">
        <f>IFERROR(1/Calculations_APPURT[[#This Row],[Brackets]],0) * cv_M/cv_F * Forces_APPURT[[#This Row],[Alpha Fa 45]] * Calculations_APPURT[[#This Row],[Lateral Offset]]/12</f>
        <v>0</v>
      </c>
      <c r="QD22" s="338">
        <f>IFERROR(1/Calculations_APPURT[[#This Row],[Brackets]],0) * cv_M/cv_F * Forces_APPURT[[#This Row],[Alpha Fa 60]] * Calculations_APPURT[[#This Row],[Lateral Offset]]/12</f>
        <v>0</v>
      </c>
      <c r="QE22" s="338">
        <f>IFERROR(1/Calculations_APPURT[[#This Row],[Brackets]],0) * cv_M/cv_F * Forces_APPURT[[#This Row],[Alpha Fa 90]] * Calculations_APPURT[[#This Row],[Lateral Offset]]/12</f>
        <v>0</v>
      </c>
      <c r="QF22" s="338">
        <f>IFERROR(1/Calculations_APPURT[[#This Row],[Brackets]],0) * cv_M/cv_F * Forces_APPURT[[#This Row],[Alpha Fa 120]] * Calculations_APPURT[[#This Row],[Lateral Offset]]/12</f>
        <v>0</v>
      </c>
      <c r="QG22" s="338">
        <f>IFERROR(1/Calculations_APPURT[[#This Row],[Brackets]],0) * cv_M/cv_F * Forces_APPURT[[#This Row],[Alpha Fa 135]] * Calculations_APPURT[[#This Row],[Lateral Offset]]/12</f>
        <v>0</v>
      </c>
      <c r="QH22" s="338">
        <f>IFERROR(1/Calculations_APPURT[[#This Row],[Brackets]],0) * cv_M/cv_F * Forces_APPURT[[#This Row],[Alpha Fa 150]] * Calculations_APPURT[[#This Row],[Lateral Offset]]/12</f>
        <v>0</v>
      </c>
      <c r="QI22" s="338">
        <f>IFERROR(1/Calculations_APPURT[[#This Row],[Brackets]],0) * cv_M/cv_F * Forces_APPURT[[#This Row],[Alpha Fa 180]] * Calculations_APPURT[[#This Row],[Lateral Offset]]/12</f>
        <v>0</v>
      </c>
      <c r="QJ22" s="338">
        <f>IFERROR(1/Calculations_APPURT[[#This Row],[Brackets]],0) * cv_M/cv_F * Forces_APPURT[[#This Row],[Alpha Fa 210]] * Calculations_APPURT[[#This Row],[Lateral Offset]]/12</f>
        <v>0</v>
      </c>
      <c r="QK22" s="338">
        <f>IFERROR(1/Calculations_APPURT[[#This Row],[Brackets]],0) * cv_M/cv_F * Forces_APPURT[[#This Row],[Alpha Fa 225]] * Calculations_APPURT[[#This Row],[Lateral Offset]]/12</f>
        <v>0</v>
      </c>
      <c r="QL22" s="338">
        <f>IFERROR(1/Calculations_APPURT[[#This Row],[Brackets]],0) * cv_M/cv_F * Forces_APPURT[[#This Row],[Alpha Fa 240]] * Calculations_APPURT[[#This Row],[Lateral Offset]]/12</f>
        <v>0</v>
      </c>
      <c r="QM22" s="338">
        <f>IFERROR(1/Calculations_APPURT[[#This Row],[Brackets]],0) * cv_M/cv_F * Forces_APPURT[[#This Row],[Alpha Fa 270]] * Calculations_APPURT[[#This Row],[Lateral Offset]]/12</f>
        <v>0</v>
      </c>
      <c r="QN22" s="338">
        <f>IFERROR(1/Calculations_APPURT[[#This Row],[Brackets]],0) * cv_M/cv_F * Forces_APPURT[[#This Row],[Alpha Fa 300]] * Calculations_APPURT[[#This Row],[Lateral Offset]]/12</f>
        <v>0</v>
      </c>
      <c r="QO22" s="338">
        <f>IFERROR(1/Calculations_APPURT[[#This Row],[Brackets]],0) * cv_M/cv_F * Forces_APPURT[[#This Row],[Alpha Fa 315]] * Calculations_APPURT[[#This Row],[Lateral Offset]]/12</f>
        <v>0</v>
      </c>
      <c r="QP22" s="338">
        <f>IFERROR(1/Calculations_APPURT[[#This Row],[Brackets]],0) * cv_M/cv_F * Forces_APPURT[[#This Row],[Alpha Fa 330]] * Calculations_APPURT[[#This Row],[Lateral Offset]]/12</f>
        <v>0</v>
      </c>
      <c r="QQ22" s="276">
        <f>IFERROR(1/Calculations_APPURT[[#This Row],[Brackets]],0) * cv_M/cv_F * Forces_APPURT[[#This Row],[Beta Fa 0]] * Calculations_APPURT[[#This Row],[Lateral Offset]]/12</f>
        <v>0</v>
      </c>
      <c r="QR22" s="276">
        <f>IFERROR(1/Calculations_APPURT[[#This Row],[Brackets]],0) * cv_M/cv_F * Forces_APPURT[[#This Row],[Beta Fa 30]] * Calculations_APPURT[[#This Row],[Lateral Offset]]/12</f>
        <v>0</v>
      </c>
      <c r="QS22" s="276">
        <f>IFERROR(1/Calculations_APPURT[[#This Row],[Brackets]],0) * cv_M/cv_F * Forces_APPURT[[#This Row],[Beta Fa 45]] * Calculations_APPURT[[#This Row],[Lateral Offset]]/12</f>
        <v>0</v>
      </c>
      <c r="QT22" s="276">
        <f>IFERROR(1/Calculations_APPURT[[#This Row],[Brackets]],0) * cv_M/cv_F * Forces_APPURT[[#This Row],[Beta Fa 60]] * Calculations_APPURT[[#This Row],[Lateral Offset]]/12</f>
        <v>0</v>
      </c>
      <c r="QU22" s="276">
        <f>IFERROR(1/Calculations_APPURT[[#This Row],[Brackets]],0) * cv_M/cv_F * Forces_APPURT[[#This Row],[Beta Fa 90]] * Calculations_APPURT[[#This Row],[Lateral Offset]]/12</f>
        <v>0</v>
      </c>
      <c r="QV22" s="276">
        <f>IFERROR(1/Calculations_APPURT[[#This Row],[Brackets]],0) * cv_M/cv_F * Forces_APPURT[[#This Row],[Beta Fa 120]] * Calculations_APPURT[[#This Row],[Lateral Offset]]/12</f>
        <v>0</v>
      </c>
      <c r="QW22" s="276">
        <f>IFERROR(1/Calculations_APPURT[[#This Row],[Brackets]],0) * cv_M/cv_F * Forces_APPURT[[#This Row],[Beta Fa 135]] * Calculations_APPURT[[#This Row],[Lateral Offset]]/12</f>
        <v>0</v>
      </c>
      <c r="QX22" s="276">
        <f>IFERROR(1/Calculations_APPURT[[#This Row],[Brackets]],0) * cv_M/cv_F * Forces_APPURT[[#This Row],[Beta Fa 150]] * Calculations_APPURT[[#This Row],[Lateral Offset]]/12</f>
        <v>0</v>
      </c>
      <c r="QY22" s="276">
        <f>IFERROR(1/Calculations_APPURT[[#This Row],[Brackets]],0) * cv_M/cv_F * Forces_APPURT[[#This Row],[Beta Fa 180]] * Calculations_APPURT[[#This Row],[Lateral Offset]]/12</f>
        <v>0</v>
      </c>
      <c r="QZ22" s="276">
        <f>IFERROR(1/Calculations_APPURT[[#This Row],[Brackets]],0) * cv_M/cv_F * Forces_APPURT[[#This Row],[Beta Fa 210]] * Calculations_APPURT[[#This Row],[Lateral Offset]]/12</f>
        <v>0</v>
      </c>
      <c r="RA22" s="276">
        <f>IFERROR(1/Calculations_APPURT[[#This Row],[Brackets]],0) * cv_M/cv_F * Forces_APPURT[[#This Row],[Beta Fa 225]] * Calculations_APPURT[[#This Row],[Lateral Offset]]/12</f>
        <v>0</v>
      </c>
      <c r="RB22" s="276">
        <f>IFERROR(1/Calculations_APPURT[[#This Row],[Brackets]],0) * cv_M/cv_F * Forces_APPURT[[#This Row],[Beta Fa 240]] * Calculations_APPURT[[#This Row],[Lateral Offset]]/12</f>
        <v>0</v>
      </c>
      <c r="RC22" s="276">
        <f>IFERROR(1/Calculations_APPURT[[#This Row],[Brackets]],0) * cv_M/cv_F * Forces_APPURT[[#This Row],[Beta Fa 270]] * Calculations_APPURT[[#This Row],[Lateral Offset]]/12</f>
        <v>0</v>
      </c>
      <c r="RD22" s="276">
        <f>IFERROR(1/Calculations_APPURT[[#This Row],[Brackets]],0) * cv_M/cv_F * Forces_APPURT[[#This Row],[Beta Fa 300]] * Calculations_APPURT[[#This Row],[Lateral Offset]]/12</f>
        <v>0</v>
      </c>
      <c r="RE22" s="276">
        <f>IFERROR(1/Calculations_APPURT[[#This Row],[Brackets]],0) * cv_M/cv_F * Forces_APPURT[[#This Row],[Beta Fa 315]] * Calculations_APPURT[[#This Row],[Lateral Offset]]/12</f>
        <v>0</v>
      </c>
      <c r="RF22" s="276">
        <f>IFERROR(1/Calculations_APPURT[[#This Row],[Brackets]],0) * cv_M/cv_F * Forces_APPURT[[#This Row],[Beta Fa 330]] * Calculations_APPURT[[#This Row],[Lateral Offset]]/12</f>
        <v>0</v>
      </c>
      <c r="RG22" s="338">
        <f>IFERROR(1/Calculations_APPURT[[#This Row],[Brackets]],0) * cv_M/cv_F * Forces_APPURT[[#This Row],[Gamma Fa 0]] * Calculations_APPURT[[#This Row],[Lateral Offset]]/12</f>
        <v>0</v>
      </c>
      <c r="RH22" s="338">
        <f>IFERROR(1/Calculations_APPURT[[#This Row],[Brackets]],0) * cv_M/cv_F * Forces_APPURT[[#This Row],[Gamma Fa 30]] * Calculations_APPURT[[#This Row],[Lateral Offset]]/12</f>
        <v>0</v>
      </c>
      <c r="RI22" s="338">
        <f>IFERROR(1/Calculations_APPURT[[#This Row],[Brackets]],0) * cv_M/cv_F * Forces_APPURT[[#This Row],[Gamma Fa 45]] * Calculations_APPURT[[#This Row],[Lateral Offset]]/12</f>
        <v>0</v>
      </c>
      <c r="RJ22" s="338">
        <f>IFERROR(1/Calculations_APPURT[[#This Row],[Brackets]],0) * cv_M/cv_F * Forces_APPURT[[#This Row],[Gamma Fa 60]] * Calculations_APPURT[[#This Row],[Lateral Offset]]/12</f>
        <v>0</v>
      </c>
      <c r="RK22" s="338">
        <f>IFERROR(1/Calculations_APPURT[[#This Row],[Brackets]],0) * cv_M/cv_F * Forces_APPURT[[#This Row],[Gamma Fa 90]] * Calculations_APPURT[[#This Row],[Lateral Offset]]/12</f>
        <v>0</v>
      </c>
      <c r="RL22" s="338">
        <f>IFERROR(1/Calculations_APPURT[[#This Row],[Brackets]],0) * cv_M/cv_F * Forces_APPURT[[#This Row],[Gamma Fa 120]] * Calculations_APPURT[[#This Row],[Lateral Offset]]/12</f>
        <v>0</v>
      </c>
      <c r="RM22" s="338">
        <f>IFERROR(1/Calculations_APPURT[[#This Row],[Brackets]],0) * cv_M/cv_F * Forces_APPURT[[#This Row],[Gamma Fa 135]] * Calculations_APPURT[[#This Row],[Lateral Offset]]/12</f>
        <v>0</v>
      </c>
      <c r="RN22" s="338">
        <f>IFERROR(1/Calculations_APPURT[[#This Row],[Brackets]],0) * cv_M/cv_F * Forces_APPURT[[#This Row],[Gamma Fa 150]] * Calculations_APPURT[[#This Row],[Lateral Offset]]/12</f>
        <v>0</v>
      </c>
      <c r="RO22" s="338">
        <f>IFERROR(1/Calculations_APPURT[[#This Row],[Brackets]],0) * cv_M/cv_F * Forces_APPURT[[#This Row],[Gamma Fa 180]] * Calculations_APPURT[[#This Row],[Lateral Offset]]/12</f>
        <v>0</v>
      </c>
      <c r="RP22" s="338">
        <f>IFERROR(1/Calculations_APPURT[[#This Row],[Brackets]],0) * cv_M/cv_F * Forces_APPURT[[#This Row],[Gamma Fa 210]] * Calculations_APPURT[[#This Row],[Lateral Offset]]/12</f>
        <v>0</v>
      </c>
      <c r="RQ22" s="338">
        <f>IFERROR(1/Calculations_APPURT[[#This Row],[Brackets]],0) * cv_M/cv_F * Forces_APPURT[[#This Row],[Gamma Fa 225]] * Calculations_APPURT[[#This Row],[Lateral Offset]]/12</f>
        <v>0</v>
      </c>
      <c r="RR22" s="338">
        <f>IFERROR(1/Calculations_APPURT[[#This Row],[Brackets]],0) * cv_M/cv_F * Forces_APPURT[[#This Row],[Gamma Fa 240]] * Calculations_APPURT[[#This Row],[Lateral Offset]]/12</f>
        <v>0</v>
      </c>
      <c r="RS22" s="338">
        <f>IFERROR(1/Calculations_APPURT[[#This Row],[Brackets]],0) * cv_M/cv_F * Forces_APPURT[[#This Row],[Gamma Fa 270]] * Calculations_APPURT[[#This Row],[Lateral Offset]]/12</f>
        <v>0</v>
      </c>
      <c r="RT22" s="338">
        <f>IFERROR(1/Calculations_APPURT[[#This Row],[Brackets]],0) * cv_M/cv_F * Forces_APPURT[[#This Row],[Gamma Fa 300]] * Calculations_APPURT[[#This Row],[Lateral Offset]]/12</f>
        <v>0</v>
      </c>
      <c r="RU22" s="338">
        <f>IFERROR(1/Calculations_APPURT[[#This Row],[Brackets]],0) * cv_M/cv_F * Forces_APPURT[[#This Row],[Gamma Fa 315]] * Calculations_APPURT[[#This Row],[Lateral Offset]]/12</f>
        <v>0</v>
      </c>
      <c r="RV22" s="338">
        <f>IFERROR(1/Calculations_APPURT[[#This Row],[Brackets]],0) * cv_M/cv_F * Forces_APPURT[[#This Row],[Gamma Fa 330]] * Calculations_APPURT[[#This Row],[Lateral Offset]]/12</f>
        <v>0</v>
      </c>
      <c r="RW22" s="276">
        <f>IFERROR(1/Calculations_APPURT[[#This Row],[Brackets]],0) * cv_M/cv_F * Forces_APPURT[[#This Row],[Delta Fa 0]] * Calculations_APPURT[[#This Row],[Lateral Offset]]/12</f>
        <v>0</v>
      </c>
      <c r="RX22" s="276">
        <f>IFERROR(1/Calculations_APPURT[[#This Row],[Brackets]],0) * cv_M/cv_F * Forces_APPURT[[#This Row],[Delta Fa 30]] * Calculations_APPURT[[#This Row],[Lateral Offset]]/12</f>
        <v>0</v>
      </c>
      <c r="RY22" s="276">
        <f>IFERROR(1/Calculations_APPURT[[#This Row],[Brackets]],0) * cv_M/cv_F * Forces_APPURT[[#This Row],[Delta Fa 45]] * Calculations_APPURT[[#This Row],[Lateral Offset]]/12</f>
        <v>0</v>
      </c>
      <c r="RZ22" s="276">
        <f>IFERROR(1/Calculations_APPURT[[#This Row],[Brackets]],0) * cv_M/cv_F * Forces_APPURT[[#This Row],[Delta Fa 60]] * Calculations_APPURT[[#This Row],[Lateral Offset]]/12</f>
        <v>0</v>
      </c>
      <c r="SA22" s="276">
        <f>IFERROR(1/Calculations_APPURT[[#This Row],[Brackets]],0) * cv_M/cv_F * Forces_APPURT[[#This Row],[Delta Fa 90]] * Calculations_APPURT[[#This Row],[Lateral Offset]]/12</f>
        <v>0</v>
      </c>
      <c r="SB22" s="276">
        <f>IFERROR(1/Calculations_APPURT[[#This Row],[Brackets]],0) * cv_M/cv_F * Forces_APPURT[[#This Row],[Delta Fa 120]] * Calculations_APPURT[[#This Row],[Lateral Offset]]/12</f>
        <v>0</v>
      </c>
      <c r="SC22" s="276">
        <f>IFERROR(1/Calculations_APPURT[[#This Row],[Brackets]],0) * cv_M/cv_F * Forces_APPURT[[#This Row],[Delta Fa 135]] * Calculations_APPURT[[#This Row],[Lateral Offset]]/12</f>
        <v>0</v>
      </c>
      <c r="SD22" s="276">
        <f>IFERROR(1/Calculations_APPURT[[#This Row],[Brackets]],0) * cv_M/cv_F * Forces_APPURT[[#This Row],[Delta Fa 150]] * Calculations_APPURT[[#This Row],[Lateral Offset]]/12</f>
        <v>0</v>
      </c>
      <c r="SE22" s="276">
        <f>IFERROR(1/Calculations_APPURT[[#This Row],[Brackets]],0) * cv_M/cv_F * Forces_APPURT[[#This Row],[Delta Fa 180]] * Calculations_APPURT[[#This Row],[Lateral Offset]]/12</f>
        <v>0</v>
      </c>
      <c r="SF22" s="276">
        <f>IFERROR(1/Calculations_APPURT[[#This Row],[Brackets]],0) * cv_M/cv_F * Forces_APPURT[[#This Row],[Delta Fa 210]] * Calculations_APPURT[[#This Row],[Lateral Offset]]/12</f>
        <v>0</v>
      </c>
      <c r="SG22" s="276">
        <f>IFERROR(1/Calculations_APPURT[[#This Row],[Brackets]],0) * cv_M/cv_F * Forces_APPURT[[#This Row],[Delta Fa 225]] * Calculations_APPURT[[#This Row],[Lateral Offset]]/12</f>
        <v>0</v>
      </c>
      <c r="SH22" s="276">
        <f>IFERROR(1/Calculations_APPURT[[#This Row],[Brackets]],0) * cv_M/cv_F * Forces_APPURT[[#This Row],[Delta Fa 240]] * Calculations_APPURT[[#This Row],[Lateral Offset]]/12</f>
        <v>0</v>
      </c>
      <c r="SI22" s="276">
        <f>IFERROR(1/Calculations_APPURT[[#This Row],[Brackets]],0) * cv_M/cv_F * Forces_APPURT[[#This Row],[Delta Fa 270]] * Calculations_APPURT[[#This Row],[Lateral Offset]]/12</f>
        <v>0</v>
      </c>
      <c r="SJ22" s="276">
        <f>IFERROR(1/Calculations_APPURT[[#This Row],[Brackets]],0) * cv_M/cv_F * Forces_APPURT[[#This Row],[Delta Fa 300]] * Calculations_APPURT[[#This Row],[Lateral Offset]]/12</f>
        <v>0</v>
      </c>
      <c r="SK22" s="276">
        <f>IFERROR(1/Calculations_APPURT[[#This Row],[Brackets]],0) * cv_M/cv_F * Forces_APPURT[[#This Row],[Delta Fa 315]] * Calculations_APPURT[[#This Row],[Lateral Offset]]/12</f>
        <v>0</v>
      </c>
      <c r="SL22" s="276">
        <f>IFERROR(1/Calculations_APPURT[[#This Row],[Brackets]],0) * cv_M/cv_F * Forces_APPURT[[#This Row],[Delta Fa 330]] * Calculations_APPURT[[#This Row],[Lateral Offset]]/12</f>
        <v>0</v>
      </c>
      <c r="SM22" s="338">
        <f>IFERROR(1/Calculations_APPURT[[#This Row],[Brackets]],0) * cv_M/cv_F * Forces_APPURT[[#This Row],[Alpha Fai 0]] * Calculations_APPURT[[#This Row],[Lateral Offset]]/12</f>
        <v>0</v>
      </c>
      <c r="SN22" s="338">
        <f>IFERROR(1/Calculations_APPURT[[#This Row],[Brackets]],0) * cv_M/cv_F * Forces_APPURT[[#This Row],[Alpha Fai 30]] * Calculations_APPURT[[#This Row],[Lateral Offset]]/12</f>
        <v>0</v>
      </c>
      <c r="SO22" s="338">
        <f>IFERROR(1/Calculations_APPURT[[#This Row],[Brackets]],0) * cv_M/cv_F * Forces_APPURT[[#This Row],[Alpha Fai 45]] * Calculations_APPURT[[#This Row],[Lateral Offset]]/12</f>
        <v>0</v>
      </c>
      <c r="SP22" s="338">
        <f>IFERROR(1/Calculations_APPURT[[#This Row],[Brackets]],0) * cv_M/cv_F * Forces_APPURT[[#This Row],[Alpha Fai 60]] * Calculations_APPURT[[#This Row],[Lateral Offset]]/12</f>
        <v>0</v>
      </c>
      <c r="SQ22" s="338">
        <f>IFERROR(1/Calculations_APPURT[[#This Row],[Brackets]],0) * cv_M/cv_F * Forces_APPURT[[#This Row],[Alpha Fai 90]] * Calculations_APPURT[[#This Row],[Lateral Offset]]/12</f>
        <v>0</v>
      </c>
      <c r="SR22" s="338">
        <f>IFERROR(1/Calculations_APPURT[[#This Row],[Brackets]],0) * cv_M/cv_F * Forces_APPURT[[#This Row],[Alpha Fai 120]] * Calculations_APPURT[[#This Row],[Lateral Offset]]/12</f>
        <v>0</v>
      </c>
      <c r="SS22" s="338">
        <f>IFERROR(1/Calculations_APPURT[[#This Row],[Brackets]],0) * cv_M/cv_F * Forces_APPURT[[#This Row],[Alpha Fai 135]] * Calculations_APPURT[[#This Row],[Lateral Offset]]/12</f>
        <v>0</v>
      </c>
      <c r="ST22" s="338">
        <f>IFERROR(1/Calculations_APPURT[[#This Row],[Brackets]],0) * cv_M/cv_F * Forces_APPURT[[#This Row],[Alpha Fai 150]] * Calculations_APPURT[[#This Row],[Lateral Offset]]/12</f>
        <v>0</v>
      </c>
      <c r="SU22" s="338">
        <f>IFERROR(1/Calculations_APPURT[[#This Row],[Brackets]],0) * cv_M/cv_F * Forces_APPURT[[#This Row],[Alpha Fai 180]] * Calculations_APPURT[[#This Row],[Lateral Offset]]/12</f>
        <v>0</v>
      </c>
      <c r="SV22" s="338">
        <f>IFERROR(1/Calculations_APPURT[[#This Row],[Brackets]],0) * cv_M/cv_F * Forces_APPURT[[#This Row],[Alpha Fai 210]] * Calculations_APPURT[[#This Row],[Lateral Offset]]/12</f>
        <v>0</v>
      </c>
      <c r="SW22" s="338">
        <f>IFERROR(1/Calculations_APPURT[[#This Row],[Brackets]],0) * cv_M/cv_F * Forces_APPURT[[#This Row],[Alpha Fai 225]] * Calculations_APPURT[[#This Row],[Lateral Offset]]/12</f>
        <v>0</v>
      </c>
      <c r="SX22" s="338">
        <f>IFERROR(1/Calculations_APPURT[[#This Row],[Brackets]],0) * cv_M/cv_F * Forces_APPURT[[#This Row],[Alpha Fai 240]] * Calculations_APPURT[[#This Row],[Lateral Offset]]/12</f>
        <v>0</v>
      </c>
      <c r="SY22" s="338">
        <f>IFERROR(1/Calculations_APPURT[[#This Row],[Brackets]],0) * cv_M/cv_F * Forces_APPURT[[#This Row],[Alpha Fai 270]] * Calculations_APPURT[[#This Row],[Lateral Offset]]/12</f>
        <v>0</v>
      </c>
      <c r="SZ22" s="338">
        <f>IFERROR(1/Calculations_APPURT[[#This Row],[Brackets]],0) * cv_M/cv_F * Forces_APPURT[[#This Row],[Alpha Fai 300]] * Calculations_APPURT[[#This Row],[Lateral Offset]]/12</f>
        <v>0</v>
      </c>
      <c r="TA22" s="338">
        <f>IFERROR(1/Calculations_APPURT[[#This Row],[Brackets]],0) * cv_M/cv_F * Forces_APPURT[[#This Row],[Alpha Fai 315]] * Calculations_APPURT[[#This Row],[Lateral Offset]]/12</f>
        <v>0</v>
      </c>
      <c r="TB22" s="338">
        <f>IFERROR(1/Calculations_APPURT[[#This Row],[Brackets]],0) * cv_M/cv_F * Forces_APPURT[[#This Row],[Alpha Fai 330]] * Calculations_APPURT[[#This Row],[Lateral Offset]]/12</f>
        <v>0</v>
      </c>
      <c r="TC22" s="276">
        <f>IFERROR(1/Calculations_APPURT[[#This Row],[Brackets]],0) * cv_M/cv_F * Forces_APPURT[[#This Row],[Beta Fai 0]] * Calculations_APPURT[[#This Row],[Lateral Offset]]/12</f>
        <v>0</v>
      </c>
      <c r="TD22" s="276">
        <f>IFERROR(1/Calculations_APPURT[[#This Row],[Brackets]],0) * cv_M/cv_F * Forces_APPURT[[#This Row],[Beta Fai 30]] * Calculations_APPURT[[#This Row],[Lateral Offset]]/12</f>
        <v>0</v>
      </c>
      <c r="TE22" s="276">
        <f>IFERROR(1/Calculations_APPURT[[#This Row],[Brackets]],0) * cv_M/cv_F * Forces_APPURT[[#This Row],[Beta Fai 45]] * Calculations_APPURT[[#This Row],[Lateral Offset]]/12</f>
        <v>0</v>
      </c>
      <c r="TF22" s="276">
        <f>IFERROR(1/Calculations_APPURT[[#This Row],[Brackets]],0) * cv_M/cv_F * Forces_APPURT[[#This Row],[Beta Fai 60]] * Calculations_APPURT[[#This Row],[Lateral Offset]]/12</f>
        <v>0</v>
      </c>
      <c r="TG22" s="276">
        <f>IFERROR(1/Calculations_APPURT[[#This Row],[Brackets]],0) * cv_M/cv_F * Forces_APPURT[[#This Row],[Beta Fai 90]] * Calculations_APPURT[[#This Row],[Lateral Offset]]/12</f>
        <v>0</v>
      </c>
      <c r="TH22" s="276">
        <f>IFERROR(1/Calculations_APPURT[[#This Row],[Brackets]],0) * cv_M/cv_F * Forces_APPURT[[#This Row],[Beta Fai 120]] * Calculations_APPURT[[#This Row],[Lateral Offset]]/12</f>
        <v>0</v>
      </c>
      <c r="TI22" s="276">
        <f>IFERROR(1/Calculations_APPURT[[#This Row],[Brackets]],0) * cv_M/cv_F * Forces_APPURT[[#This Row],[Beta Fai 135]] * Calculations_APPURT[[#This Row],[Lateral Offset]]/12</f>
        <v>0</v>
      </c>
      <c r="TJ22" s="276">
        <f>IFERROR(1/Calculations_APPURT[[#This Row],[Brackets]],0) * cv_M/cv_F * Forces_APPURT[[#This Row],[Beta Fai 150]] * Calculations_APPURT[[#This Row],[Lateral Offset]]/12</f>
        <v>0</v>
      </c>
      <c r="TK22" s="276">
        <f>IFERROR(1/Calculations_APPURT[[#This Row],[Brackets]],0) * cv_M/cv_F * Forces_APPURT[[#This Row],[Beta Fai 180]] * Calculations_APPURT[[#This Row],[Lateral Offset]]/12</f>
        <v>0</v>
      </c>
      <c r="TL22" s="276">
        <f>IFERROR(1/Calculations_APPURT[[#This Row],[Brackets]],0) * cv_M/cv_F * Forces_APPURT[[#This Row],[Beta Fai 210]] * Calculations_APPURT[[#This Row],[Lateral Offset]]/12</f>
        <v>0</v>
      </c>
      <c r="TM22" s="276">
        <f>IFERROR(1/Calculations_APPURT[[#This Row],[Brackets]],0) * cv_M/cv_F * Forces_APPURT[[#This Row],[Beta Fai 225]] * Calculations_APPURT[[#This Row],[Lateral Offset]]/12</f>
        <v>0</v>
      </c>
      <c r="TN22" s="276">
        <f>IFERROR(1/Calculations_APPURT[[#This Row],[Brackets]],0) * cv_M/cv_F * Forces_APPURT[[#This Row],[Beta Fai 240]] * Calculations_APPURT[[#This Row],[Lateral Offset]]/12</f>
        <v>0</v>
      </c>
      <c r="TO22" s="276">
        <f>IFERROR(1/Calculations_APPURT[[#This Row],[Brackets]],0) * cv_M/cv_F * Forces_APPURT[[#This Row],[Beta Fai 270]] * Calculations_APPURT[[#This Row],[Lateral Offset]]/12</f>
        <v>0</v>
      </c>
      <c r="TP22" s="276">
        <f>IFERROR(1/Calculations_APPURT[[#This Row],[Brackets]],0) * cv_M/cv_F * Forces_APPURT[[#This Row],[Beta Fai 300]] * Calculations_APPURT[[#This Row],[Lateral Offset]]/12</f>
        <v>0</v>
      </c>
      <c r="TQ22" s="276">
        <f>IFERROR(1/Calculations_APPURT[[#This Row],[Brackets]],0) * cv_M/cv_F * Forces_APPURT[[#This Row],[Beta Fai 315]] * Calculations_APPURT[[#This Row],[Lateral Offset]]/12</f>
        <v>0</v>
      </c>
      <c r="TR22" s="276">
        <f>IFERROR(1/Calculations_APPURT[[#This Row],[Brackets]],0) * cv_M/cv_F * Forces_APPURT[[#This Row],[Beta Fai 330]] * Calculations_APPURT[[#This Row],[Lateral Offset]]/12</f>
        <v>0</v>
      </c>
      <c r="TS22" s="338">
        <f>IFERROR(1/Calculations_APPURT[[#This Row],[Brackets]],0) * cv_M/cv_F * Forces_APPURT[[#This Row],[Gamma Fai 0]] * Calculations_APPURT[[#This Row],[Lateral Offset]]/12</f>
        <v>0</v>
      </c>
      <c r="TT22" s="338">
        <f>IFERROR(1/Calculations_APPURT[[#This Row],[Brackets]],0) * cv_M/cv_F * Forces_APPURT[[#This Row],[Gamma Fai 30]] * Calculations_APPURT[[#This Row],[Lateral Offset]]/12</f>
        <v>0</v>
      </c>
      <c r="TU22" s="338">
        <f>IFERROR(1/Calculations_APPURT[[#This Row],[Brackets]],0) * cv_M/cv_F * Forces_APPURT[[#This Row],[Gamma Fai 45]] * Calculations_APPURT[[#This Row],[Lateral Offset]]/12</f>
        <v>0</v>
      </c>
      <c r="TV22" s="338">
        <f>IFERROR(1/Calculations_APPURT[[#This Row],[Brackets]],0) * cv_M/cv_F * Forces_APPURT[[#This Row],[Gamma Fai 60]] * Calculations_APPURT[[#This Row],[Lateral Offset]]/12</f>
        <v>0</v>
      </c>
      <c r="TW22" s="338">
        <f>IFERROR(1/Calculations_APPURT[[#This Row],[Brackets]],0) * cv_M/cv_F * Forces_APPURT[[#This Row],[Gamma Fai 90]] * Calculations_APPURT[[#This Row],[Lateral Offset]]/12</f>
        <v>0</v>
      </c>
      <c r="TX22" s="338">
        <f>IFERROR(1/Calculations_APPURT[[#This Row],[Brackets]],0) * cv_M/cv_F * Forces_APPURT[[#This Row],[Gamma Fai 120]] * Calculations_APPURT[[#This Row],[Lateral Offset]]/12</f>
        <v>0</v>
      </c>
      <c r="TY22" s="338">
        <f>IFERROR(1/Calculations_APPURT[[#This Row],[Brackets]],0) * cv_M/cv_F * Forces_APPURT[[#This Row],[Gamma Fai 135]] * Calculations_APPURT[[#This Row],[Lateral Offset]]/12</f>
        <v>0</v>
      </c>
      <c r="TZ22" s="338">
        <f>IFERROR(1/Calculations_APPURT[[#This Row],[Brackets]],0) * cv_M/cv_F * Forces_APPURT[[#This Row],[Gamma Fai 150]] * Calculations_APPURT[[#This Row],[Lateral Offset]]/12</f>
        <v>0</v>
      </c>
      <c r="UA22" s="338">
        <f>IFERROR(1/Calculations_APPURT[[#This Row],[Brackets]],0) * cv_M/cv_F * Forces_APPURT[[#This Row],[Gamma Fai 180]] * Calculations_APPURT[[#This Row],[Lateral Offset]]/12</f>
        <v>0</v>
      </c>
      <c r="UB22" s="338">
        <f>IFERROR(1/Calculations_APPURT[[#This Row],[Brackets]],0) * cv_M/cv_F * Forces_APPURT[[#This Row],[Gamma Fai 210]] * Calculations_APPURT[[#This Row],[Lateral Offset]]/12</f>
        <v>0</v>
      </c>
      <c r="UC22" s="338">
        <f>IFERROR(1/Calculations_APPURT[[#This Row],[Brackets]],0) * cv_M/cv_F * Forces_APPURT[[#This Row],[Gamma Fai 225]] * Calculations_APPURT[[#This Row],[Lateral Offset]]/12</f>
        <v>0</v>
      </c>
      <c r="UD22" s="338">
        <f>IFERROR(1/Calculations_APPURT[[#This Row],[Brackets]],0) * cv_M/cv_F * Forces_APPURT[[#This Row],[Gamma Fai 240]] * Calculations_APPURT[[#This Row],[Lateral Offset]]/12</f>
        <v>0</v>
      </c>
      <c r="UE22" s="338">
        <f>IFERROR(1/Calculations_APPURT[[#This Row],[Brackets]],0) * cv_M/cv_F * Forces_APPURT[[#This Row],[Gamma Fai 270]] * Calculations_APPURT[[#This Row],[Lateral Offset]]/12</f>
        <v>0</v>
      </c>
      <c r="UF22" s="338">
        <f>IFERROR(1/Calculations_APPURT[[#This Row],[Brackets]],0) * cv_M/cv_F * Forces_APPURT[[#This Row],[Gamma Fai 300]] * Calculations_APPURT[[#This Row],[Lateral Offset]]/12</f>
        <v>0</v>
      </c>
      <c r="UG22" s="338">
        <f>IFERROR(1/Calculations_APPURT[[#This Row],[Brackets]],0) * cv_M/cv_F * Forces_APPURT[[#This Row],[Gamma Fai 315]] * Calculations_APPURT[[#This Row],[Lateral Offset]]/12</f>
        <v>0</v>
      </c>
      <c r="UH22" s="338">
        <f>IFERROR(1/Calculations_APPURT[[#This Row],[Brackets]],0) * cv_M/cv_F * Forces_APPURT[[#This Row],[Gamma Fai 330]] * Calculations_APPURT[[#This Row],[Lateral Offset]]/12</f>
        <v>0</v>
      </c>
      <c r="UI22" s="276">
        <f>IFERROR(1/Calculations_APPURT[[#This Row],[Brackets]],0) * cv_M/cv_F * Forces_APPURT[[#This Row],[Delta Fai 0]] * Calculations_APPURT[[#This Row],[Lateral Offset]]/12</f>
        <v>0</v>
      </c>
      <c r="UJ22" s="276">
        <f>IFERROR(1/Calculations_APPURT[[#This Row],[Brackets]],0) * cv_M/cv_F * Forces_APPURT[[#This Row],[Delta Fai 30]] * Calculations_APPURT[[#This Row],[Lateral Offset]]/12</f>
        <v>0</v>
      </c>
      <c r="UK22" s="276">
        <f>IFERROR(1/Calculations_APPURT[[#This Row],[Brackets]],0) * cv_M/cv_F * Forces_APPURT[[#This Row],[Delta Fai 45]] * Calculations_APPURT[[#This Row],[Lateral Offset]]/12</f>
        <v>0</v>
      </c>
      <c r="UL22" s="276">
        <f>IFERROR(1/Calculations_APPURT[[#This Row],[Brackets]],0) * cv_M/cv_F * Forces_APPURT[[#This Row],[Delta Fai 60]] * Calculations_APPURT[[#This Row],[Lateral Offset]]/12</f>
        <v>0</v>
      </c>
      <c r="UM22" s="276">
        <f>IFERROR(1/Calculations_APPURT[[#This Row],[Brackets]],0) * cv_M/cv_F * Forces_APPURT[[#This Row],[Delta Fai 90]] * Calculations_APPURT[[#This Row],[Lateral Offset]]/12</f>
        <v>0</v>
      </c>
      <c r="UN22" s="276">
        <f>IFERROR(1/Calculations_APPURT[[#This Row],[Brackets]],0) * cv_M/cv_F * Forces_APPURT[[#This Row],[Delta Fai 120]] * Calculations_APPURT[[#This Row],[Lateral Offset]]/12</f>
        <v>0</v>
      </c>
      <c r="UO22" s="276">
        <f>IFERROR(1/Calculations_APPURT[[#This Row],[Brackets]],0) * cv_M/cv_F * Forces_APPURT[[#This Row],[Delta Fai 135]] * Calculations_APPURT[[#This Row],[Lateral Offset]]/12</f>
        <v>0</v>
      </c>
      <c r="UP22" s="276">
        <f>IFERROR(1/Calculations_APPURT[[#This Row],[Brackets]],0) * cv_M/cv_F * Forces_APPURT[[#This Row],[Delta Fai 150]] * Calculations_APPURT[[#This Row],[Lateral Offset]]/12</f>
        <v>0</v>
      </c>
      <c r="UQ22" s="276">
        <f>IFERROR(1/Calculations_APPURT[[#This Row],[Brackets]],0) * cv_M/cv_F * Forces_APPURT[[#This Row],[Delta Fai 180]] * Calculations_APPURT[[#This Row],[Lateral Offset]]/12</f>
        <v>0</v>
      </c>
      <c r="UR22" s="276">
        <f>IFERROR(1/Calculations_APPURT[[#This Row],[Brackets]],0) * cv_M/cv_F * Forces_APPURT[[#This Row],[Delta Fai 210]] * Calculations_APPURT[[#This Row],[Lateral Offset]]/12</f>
        <v>0</v>
      </c>
      <c r="US22" s="276">
        <f>IFERROR(1/Calculations_APPURT[[#This Row],[Brackets]],0) * cv_M/cv_F * Forces_APPURT[[#This Row],[Delta Fai 225]] * Calculations_APPURT[[#This Row],[Lateral Offset]]/12</f>
        <v>0</v>
      </c>
      <c r="UT22" s="276">
        <f>IFERROR(1/Calculations_APPURT[[#This Row],[Brackets]],0) * cv_M/cv_F * Forces_APPURT[[#This Row],[Delta Fai 240]] * Calculations_APPURT[[#This Row],[Lateral Offset]]/12</f>
        <v>0</v>
      </c>
      <c r="UU22" s="276">
        <f>IFERROR(1/Calculations_APPURT[[#This Row],[Brackets]],0) * cv_M/cv_F * Forces_APPURT[[#This Row],[Delta Fai 270]] * Calculations_APPURT[[#This Row],[Lateral Offset]]/12</f>
        <v>0</v>
      </c>
      <c r="UV22" s="276">
        <f>IFERROR(1/Calculations_APPURT[[#This Row],[Brackets]],0) * cv_M/cv_F * Forces_APPURT[[#This Row],[Delta Fai 300]] * Calculations_APPURT[[#This Row],[Lateral Offset]]/12</f>
        <v>0</v>
      </c>
      <c r="UW22" s="276">
        <f>IFERROR(1/Calculations_APPURT[[#This Row],[Brackets]],0) * cv_M/cv_F * Forces_APPURT[[#This Row],[Delta Fai 315]] * Calculations_APPURT[[#This Row],[Lateral Offset]]/12</f>
        <v>0</v>
      </c>
      <c r="UX22" s="276">
        <f>IFERROR(1/Calculations_APPURT[[#This Row],[Brackets]],0) * cv_M/cv_F * Forces_APPURT[[#This Row],[Delta Fai 330]] * Calculations_APPURT[[#This Row],[Lateral Offset]]/12</f>
        <v>0</v>
      </c>
      <c r="UY22" s="338">
        <f>Dimensions_APPURT[[#This Row],[Weight (lbf)]] * cv_F * AlphaSector[[#This Row],[Quantity]]</f>
        <v>0</v>
      </c>
      <c r="UZ22" s="338">
        <f>Dimensions_APPURT[[#This Row],[Weight (lbf)]] * cv_F * BetaSector[[#This Row],[Quantity]]</f>
        <v>0</v>
      </c>
      <c r="VA22" s="338">
        <f>Dimensions_APPURT[[#This Row],[Weight (lbf)]] * cv_F * GammaSector[[#This Row],[Quantity]]</f>
        <v>0</v>
      </c>
      <c r="VB22" s="338">
        <f>Dimensions_APPURT[[#This Row],[Weight (lbf)]] * cv_F * DeltaSector[[#This Row],[Quantity]]</f>
        <v>0</v>
      </c>
      <c r="VC22" s="209">
        <f>Dimensions_APPURT[[#This Row],[Weight (lbf)]] * cv_M * AlphaSector[[#This Row],[Quantity]] * Calculations_APPURT[[#This Row],[Horizontal Offset]]/12</f>
        <v>0</v>
      </c>
      <c r="VD22" s="209">
        <f>Dimensions_APPURT[[#This Row],[Weight (lbf)]] * cv_M * BetaSector[[#This Row],[Quantity]] * Calculations_APPURT[[#This Row],[Horizontal Offset]]/12</f>
        <v>0</v>
      </c>
      <c r="VE22" s="209">
        <f>Dimensions_APPURT[[#This Row],[Weight (lbf)]] * cv_M * GammaSector[[#This Row],[Quantity]] * Calculations_APPURT[[#This Row],[Horizontal Offset]]/12</f>
        <v>0</v>
      </c>
      <c r="VF22" s="209">
        <f>Dimensions_APPURT[[#This Row],[Weight (lbf)]] * cv_M * DeltaSector[[#This Row],[Quantity]] * Calculations_APPURT[[#This Row],[Horizontal Offset]]/12</f>
        <v>0</v>
      </c>
      <c r="VG22" s="338">
        <f>Hazards_APPURT[[#This Row],[Ice Weight]] * cv_F * AlphaSector[[#This Row],[Quantity]]</f>
        <v>0</v>
      </c>
      <c r="VH22" s="338">
        <f>Hazards_APPURT[[#This Row],[Ice Weight]] * cv_F * BetaSector[[#This Row],[Quantity]]</f>
        <v>0</v>
      </c>
      <c r="VI22" s="338">
        <f>Hazards_APPURT[[#This Row],[Ice Weight]] * cv_F * GammaSector[[#This Row],[Quantity]]</f>
        <v>0</v>
      </c>
      <c r="VJ22" s="338">
        <f>Hazards_APPURT[[#This Row],[Ice Weight]] * cv_F * DeltaSector[[#This Row],[Quantity]]</f>
        <v>0</v>
      </c>
      <c r="VK22" s="209">
        <f>Hazards_APPURT[[#This Row],[Ice Weight]] * cv_M * AlphaSector[[#This Row],[Quantity]] * Calculations_APPURT[[#This Row],[Horizontal Offset]]/12</f>
        <v>0</v>
      </c>
      <c r="VL22" s="209">
        <f>Hazards_APPURT[[#This Row],[Ice Weight]] * cv_M * BetaSector[[#This Row],[Quantity]] * Calculations_APPURT[[#This Row],[Horizontal Offset]]/12</f>
        <v>0</v>
      </c>
      <c r="VM22" s="209">
        <f>Hazards_APPURT[[#This Row],[Ice Weight]] * cv_M * GammaSector[[#This Row],[Quantity]] * Calculations_APPURT[[#This Row],[Horizontal Offset]]/12</f>
        <v>0</v>
      </c>
      <c r="VN22" s="209">
        <f>Hazards_APPURT[[#This Row],[Ice Weight]] * cv_M * DeltaSector[[#This Row],[Quantity]] * Calculations_APPURT[[#This Row],[Horizontal Offset]]/12</f>
        <v>0</v>
      </c>
    </row>
    <row r="23" spans="1:586" ht="15" customHeight="1" x14ac:dyDescent="0.2">
      <c r="A23" s="69"/>
      <c r="E23" s="265"/>
      <c r="L23" s="69"/>
      <c r="R23" s="70"/>
      <c r="T23" s="69"/>
      <c r="V23" s="71"/>
      <c r="W23" s="69"/>
      <c r="X23" s="71"/>
      <c r="Y23" s="69"/>
      <c r="Z23" s="70"/>
      <c r="AB23" s="69"/>
      <c r="AD23" s="71"/>
      <c r="AE23" s="69"/>
      <c r="AF23" s="71"/>
      <c r="AG23" s="69"/>
      <c r="AH23" s="70"/>
      <c r="AJ23" s="69"/>
      <c r="AL23" s="71"/>
      <c r="AM23" s="69"/>
      <c r="AN23" s="71"/>
      <c r="AO23" s="69"/>
      <c r="AP23" s="70"/>
      <c r="AR23" s="69"/>
      <c r="AV23" s="277" cm="1">
        <f t="array" ref="AV23">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23" s="209" cm="1">
        <f t="array" ref="AW23">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23" s="209" cm="1">
        <f t="array" ref="AX23">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23" s="209" cm="1">
        <f t="array" ref="AY23">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23"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23" s="209" cm="1">
        <f t="array" ref="BA23">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23" s="209">
        <f>IF(OR(Calculations_APPURT[[#This Row],[Shape]]="CFD",Calculations_APPURT[[#This Row],[Shape]]="CCI"),1,0.95)</f>
        <v>0.95</v>
      </c>
      <c r="BC23" s="209" cm="1">
        <f t="array" ref="BC23">0.00256 * Hazards_APPURT[[#This Row],[Kz]] * Kzt * Ks * I.wind * V^2 * IF(RIGHT(TIA,1)="G",1,Ke) * IF(OR(Calculations_APPURT[[#This Row],[Shape]]="CFD",Calculations_APPURT[[#This Row],[Shape]]="CCI"),1, Hazards_APPURT[[#This Row],[Kd]]) * Gh</f>
        <v>0</v>
      </c>
      <c r="BD23" s="209">
        <f>IF(Risk="I",0,MIN(((z+Calculations_APPURT[[#This Row],[Vertical Offset]]/12)/33)^(0.1),1.4))</f>
        <v>0</v>
      </c>
      <c r="BE23" s="209" cm="1">
        <f t="array" ref="BE23">IF(Risk="I",0,IF(TIA="ANSI/TIA-222-G",2,1*Kes.i)*ti*I.ice*Hazards_APPURT[[#This Row],[Kiz]]*(Kzt/Ks)^(0.35))</f>
        <v>0</v>
      </c>
      <c r="BF23" s="209" cm="1">
        <f t="array" ref="BF23">0.00256 * Hazards_APPURT[[#This Row],[Kz]] * Kzt * Ks * I.wind * Vi^2 * IF(RIGHT(TIA,1)="G",1,Ke) * IF(OR(Calculations_APPURT[[#This Row],[Shape]]="CFD",Calculations_APPURT[[#This Row],[Shape]]="CCI"),1, Kd) * Gh</f>
        <v>0</v>
      </c>
      <c r="BG23"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23"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23"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23"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23"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23"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23"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23"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23"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23"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23"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23"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23"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23"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23"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23"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23"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23"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23"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23"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23"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23"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23"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23"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23"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23"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23"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23"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23"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23"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23"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23"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23"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23"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23"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23"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23"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23"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23"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23"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23"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23"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23"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23"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23"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23"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23"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23"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23"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23"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23"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23"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23"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23"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23"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23"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23"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23"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23"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23"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23"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23"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23"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23"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23"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23"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23" s="276">
        <f>IFERROR(1/Calculations_APPURT[[#This Row],[Brackets]],0) * cv_F * AlphaSector[[#This Row],[Quantity]] * Hazards_APPURT[[#This Row],[qz]] * CaAa_APPURT[[#This Row],[Alpha 0]] * IF(Calculations_APPURT[[#This Row],[Shape]]="CFD",1, Ka)</f>
        <v>0</v>
      </c>
      <c r="GF23" s="276">
        <f>IFERROR(1/Calculations_APPURT[[#This Row],[Brackets]],0) * cv_F * AlphaSector[[#This Row],[Quantity]] * Hazards_APPURT[[#This Row],[qz]] * CaAa_APPURT[[#This Row],[Alpha 30]] * IF(Calculations_APPURT[[#This Row],[Shape]]="CFD",1, Ka)</f>
        <v>0</v>
      </c>
      <c r="GG23" s="276">
        <f>IFERROR(1/Calculations_APPURT[[#This Row],[Brackets]],0) * cv_F * AlphaSector[[#This Row],[Quantity]] * Hazards_APPURT[[#This Row],[qz]] * CaAa_APPURT[[#This Row],[Alpha 45]] * IF(Calculations_APPURT[[#This Row],[Shape]]="CFD",1, Ka)</f>
        <v>0</v>
      </c>
      <c r="GH23" s="276">
        <f>IFERROR(1/Calculations_APPURT[[#This Row],[Brackets]],0) * cv_F * AlphaSector[[#This Row],[Quantity]] * Hazards_APPURT[[#This Row],[qz]] * CaAa_APPURT[[#This Row],[Alpha 60]] * IF(Calculations_APPURT[[#This Row],[Shape]]="CFD",1, Ka)</f>
        <v>0</v>
      </c>
      <c r="GI23" s="276">
        <f>IFERROR(1/Calculations_APPURT[[#This Row],[Brackets]],0) * cv_F * AlphaSector[[#This Row],[Quantity]] * Hazards_APPURT[[#This Row],[qz]] * CaAa_APPURT[[#This Row],[Alpha 90]] * IF(Calculations_APPURT[[#This Row],[Shape]]="CFD",1, Ka)</f>
        <v>0</v>
      </c>
      <c r="GJ23" s="276">
        <f>IFERROR(1/Calculations_APPURT[[#This Row],[Brackets]],0) * cv_F * AlphaSector[[#This Row],[Quantity]] * Hazards_APPURT[[#This Row],[qz]] * CaAa_APPURT[[#This Row],[Alpha 120]] * IF(Calculations_APPURT[[#This Row],[Shape]]="CFD",1, Ka)</f>
        <v>0</v>
      </c>
      <c r="GK23" s="276">
        <f>IFERROR(1/Calculations_APPURT[[#This Row],[Brackets]],0) * cv_F * AlphaSector[[#This Row],[Quantity]] * Hazards_APPURT[[#This Row],[qz]] * CaAa_APPURT[[#This Row],[Alpha 135]] * IF(Calculations_APPURT[[#This Row],[Shape]]="CFD",1, Ka)</f>
        <v>0</v>
      </c>
      <c r="GL23" s="276">
        <f>IFERROR(1/Calculations_APPURT[[#This Row],[Brackets]],0) * cv_F * AlphaSector[[#This Row],[Quantity]] * Hazards_APPURT[[#This Row],[qz]] * CaAa_APPURT[[#This Row],[Alpha 150]] * IF(Calculations_APPURT[[#This Row],[Shape]]="CFD",1, Ka)</f>
        <v>0</v>
      </c>
      <c r="GM23" s="276">
        <f>IFERROR(1/Calculations_APPURT[[#This Row],[Brackets]],0) * cv_F * AlphaSector[[#This Row],[Quantity]] * Hazards_APPURT[[#This Row],[qz]] * CaAa_APPURT[[#This Row],[Alpha 180]] * IF(Calculations_APPURT[[#This Row],[Shape]]="CFD",1, Ka)</f>
        <v>0</v>
      </c>
      <c r="GN23" s="276">
        <f>IFERROR(1/Calculations_APPURT[[#This Row],[Brackets]],0) * cv_F * AlphaSector[[#This Row],[Quantity]] * Hazards_APPURT[[#This Row],[qz]] * CaAa_APPURT[[#This Row],[Alpha 210]] * IF(Calculations_APPURT[[#This Row],[Shape]]="CFD",1, Ka)</f>
        <v>0</v>
      </c>
      <c r="GO23" s="276">
        <f>IFERROR(1/Calculations_APPURT[[#This Row],[Brackets]],0) * cv_F * AlphaSector[[#This Row],[Quantity]] * Hazards_APPURT[[#This Row],[qz]] * CaAa_APPURT[[#This Row],[Alpha 225]] * IF(Calculations_APPURT[[#This Row],[Shape]]="CFD",1, Ka)</f>
        <v>0</v>
      </c>
      <c r="GP23" s="276">
        <f>IFERROR(1/Calculations_APPURT[[#This Row],[Brackets]],0) * cv_F * AlphaSector[[#This Row],[Quantity]] * Hazards_APPURT[[#This Row],[qz]] * CaAa_APPURT[[#This Row],[Alpha 240]] * IF(Calculations_APPURT[[#This Row],[Shape]]="CFD",1, Ka)</f>
        <v>0</v>
      </c>
      <c r="GQ23" s="276">
        <f>IFERROR(1/Calculations_APPURT[[#This Row],[Brackets]],0) * cv_F * AlphaSector[[#This Row],[Quantity]] * Hazards_APPURT[[#This Row],[qz]] * CaAa_APPURT[[#This Row],[Alpha 270]] * IF(Calculations_APPURT[[#This Row],[Shape]]="CFD",1, Ka)</f>
        <v>0</v>
      </c>
      <c r="GR23" s="276">
        <f>IFERROR(1/Calculations_APPURT[[#This Row],[Brackets]],0) * cv_F * AlphaSector[[#This Row],[Quantity]] * Hazards_APPURT[[#This Row],[qz]] * CaAa_APPURT[[#This Row],[Alpha 300]] * IF(Calculations_APPURT[[#This Row],[Shape]]="CFD",1, Ka)</f>
        <v>0</v>
      </c>
      <c r="GS23" s="276">
        <f>IFERROR(1/Calculations_APPURT[[#This Row],[Brackets]],0) * cv_F * AlphaSector[[#This Row],[Quantity]] * Hazards_APPURT[[#This Row],[qz]] * CaAa_APPURT[[#This Row],[Alpha 315]] * IF(Calculations_APPURT[[#This Row],[Shape]]="CFD",1, Ka)</f>
        <v>0</v>
      </c>
      <c r="GT23" s="276">
        <f>IFERROR(1/Calculations_APPURT[[#This Row],[Brackets]],0) * cv_F * AlphaSector[[#This Row],[Quantity]] * Hazards_APPURT[[#This Row],[qz]] * CaAa_APPURT[[#This Row],[Alpha 330]] * IF(Calculations_APPURT[[#This Row],[Shape]]="CFD",1, Ka)</f>
        <v>0</v>
      </c>
      <c r="GU23" s="276">
        <f>IFERROR(1/Calculations_APPURT[[#This Row],[Brackets]],0) * cv_F * BetaSector[[#This Row],[Quantity]] * Hazards_APPURT[[#This Row],[qz]] * CaAa_APPURT[[#This Row],[Beta 0]] * IF(Calculations_APPURT[[#This Row],[Shape]]="CFD",1, Ka)</f>
        <v>0</v>
      </c>
      <c r="GV23" s="276">
        <f>IFERROR(1/Calculations_APPURT[[#This Row],[Brackets]],0) * cv_F * BetaSector[[#This Row],[Quantity]] * Hazards_APPURT[[#This Row],[qz]] * CaAa_APPURT[[#This Row],[Beta 30]] * IF(Calculations_APPURT[[#This Row],[Shape]]="CFD",1, Ka)</f>
        <v>0</v>
      </c>
      <c r="GW23" s="276">
        <f>IFERROR(1/Calculations_APPURT[[#This Row],[Brackets]],0) * cv_F * BetaSector[[#This Row],[Quantity]] * Hazards_APPURT[[#This Row],[qz]] * CaAa_APPURT[[#This Row],[Beta 45]] * IF(Calculations_APPURT[[#This Row],[Shape]]="CFD",1, Ka)</f>
        <v>0</v>
      </c>
      <c r="GX23" s="276">
        <f>IFERROR(1/Calculations_APPURT[[#This Row],[Brackets]],0) * cv_F * BetaSector[[#This Row],[Quantity]] * Hazards_APPURT[[#This Row],[qz]] * CaAa_APPURT[[#This Row],[Beta 60]] * IF(Calculations_APPURT[[#This Row],[Shape]]="CFD",1, Ka)</f>
        <v>0</v>
      </c>
      <c r="GY23" s="276">
        <f>IFERROR(1/Calculations_APPURT[[#This Row],[Brackets]],0) * cv_F * BetaSector[[#This Row],[Quantity]] * Hazards_APPURT[[#This Row],[qz]] * CaAa_APPURT[[#This Row],[Beta 90]] * IF(Calculations_APPURT[[#This Row],[Shape]]="CFD",1, Ka)</f>
        <v>0</v>
      </c>
      <c r="GZ23" s="276">
        <f>IFERROR(1/Calculations_APPURT[[#This Row],[Brackets]],0) * cv_F * BetaSector[[#This Row],[Quantity]] * Hazards_APPURT[[#This Row],[qz]] * CaAa_APPURT[[#This Row],[Beta 120]] * IF(Calculations_APPURT[[#This Row],[Shape]]="CFD",1, Ka)</f>
        <v>0</v>
      </c>
      <c r="HA23" s="276">
        <f>IFERROR(1/Calculations_APPURT[[#This Row],[Brackets]],0) * cv_F * BetaSector[[#This Row],[Quantity]] * Hazards_APPURT[[#This Row],[qz]] * CaAa_APPURT[[#This Row],[Beta 135]] * IF(Calculations_APPURT[[#This Row],[Shape]]="CFD",1, Ka)</f>
        <v>0</v>
      </c>
      <c r="HB23" s="276">
        <f>IFERROR(1/Calculations_APPURT[[#This Row],[Brackets]],0) * cv_F * BetaSector[[#This Row],[Quantity]] * Hazards_APPURT[[#This Row],[qz]] * CaAa_APPURT[[#This Row],[Beta 150]] * IF(Calculations_APPURT[[#This Row],[Shape]]="CFD",1, Ka)</f>
        <v>0</v>
      </c>
      <c r="HC23" s="276">
        <f>IFERROR(1/Calculations_APPURT[[#This Row],[Brackets]],0) * cv_F * BetaSector[[#This Row],[Quantity]] * Hazards_APPURT[[#This Row],[qz]] * CaAa_APPURT[[#This Row],[Beta 180]] * IF(Calculations_APPURT[[#This Row],[Shape]]="CFD",1, Ka)</f>
        <v>0</v>
      </c>
      <c r="HD23" s="276">
        <f>IFERROR(1/Calculations_APPURT[[#This Row],[Brackets]],0) * cv_F * BetaSector[[#This Row],[Quantity]] * Hazards_APPURT[[#This Row],[qz]] * CaAa_APPURT[[#This Row],[Beta 210]] * IF(Calculations_APPURT[[#This Row],[Shape]]="CFD",1, Ka)</f>
        <v>0</v>
      </c>
      <c r="HE23" s="276">
        <f>IFERROR(1/Calculations_APPURT[[#This Row],[Brackets]],0) * cv_F * BetaSector[[#This Row],[Quantity]] * Hazards_APPURT[[#This Row],[qz]] * CaAa_APPURT[[#This Row],[Beta 225]] * IF(Calculations_APPURT[[#This Row],[Shape]]="CFD",1, Ka)</f>
        <v>0</v>
      </c>
      <c r="HF23" s="276">
        <f>IFERROR(1/Calculations_APPURT[[#This Row],[Brackets]],0) * cv_F * BetaSector[[#This Row],[Quantity]] * Hazards_APPURT[[#This Row],[qz]] * CaAa_APPURT[[#This Row],[Beta 240]] * IF(Calculations_APPURT[[#This Row],[Shape]]="CFD",1, Ka)</f>
        <v>0</v>
      </c>
      <c r="HG23" s="276">
        <f>IFERROR(1/Calculations_APPURT[[#This Row],[Brackets]],0) * cv_F * BetaSector[[#This Row],[Quantity]] * Hazards_APPURT[[#This Row],[qz]] * CaAa_APPURT[[#This Row],[Beta 270]] * IF(Calculations_APPURT[[#This Row],[Shape]]="CFD",1, Ka)</f>
        <v>0</v>
      </c>
      <c r="HH23" s="276">
        <f>IFERROR(1/Calculations_APPURT[[#This Row],[Brackets]],0) * cv_F * BetaSector[[#This Row],[Quantity]] * Hazards_APPURT[[#This Row],[qz]] * CaAa_APPURT[[#This Row],[Beta 300]] * IF(Calculations_APPURT[[#This Row],[Shape]]="CFD",1, Ka)</f>
        <v>0</v>
      </c>
      <c r="HI23" s="276">
        <f>IFERROR(1/Calculations_APPURT[[#This Row],[Brackets]],0) * cv_F * BetaSector[[#This Row],[Quantity]] * Hazards_APPURT[[#This Row],[qz]] * CaAa_APPURT[[#This Row],[Beta 315]] * IF(Calculations_APPURT[[#This Row],[Shape]]="CFD",1, Ka)</f>
        <v>0</v>
      </c>
      <c r="HJ23" s="276">
        <f>IFERROR(1/Calculations_APPURT[[#This Row],[Brackets]],0) * cv_F * BetaSector[[#This Row],[Quantity]] * Hazards_APPURT[[#This Row],[qz]] * CaAa_APPURT[[#This Row],[Beta 330]] * IF(Calculations_APPURT[[#This Row],[Shape]]="CFD",1, Ka)</f>
        <v>0</v>
      </c>
      <c r="HK23" s="276">
        <f>IFERROR(1/Calculations_APPURT[[#This Row],[Brackets]],0) * cv_F * GammaSector[[#This Row],[Quantity]] * Hazards_APPURT[[#This Row],[qz]] * CaAa_APPURT[[#This Row],[Gamma 0]] * IF(Calculations_APPURT[[#This Row],[Shape]]="CFD",1, Ka)</f>
        <v>0</v>
      </c>
      <c r="HL23" s="276">
        <f>IFERROR(1/Calculations_APPURT[[#This Row],[Brackets]],0) * cv_F * GammaSector[[#This Row],[Quantity]] * Hazards_APPURT[[#This Row],[qz]] * CaAa_APPURT[[#This Row],[Gamma 30]] * IF(Calculations_APPURT[[#This Row],[Shape]]="CFD",1, Ka)</f>
        <v>0</v>
      </c>
      <c r="HM23" s="276">
        <f>IFERROR(1/Calculations_APPURT[[#This Row],[Brackets]],0) * cv_F * GammaSector[[#This Row],[Quantity]] * Hazards_APPURT[[#This Row],[qz]] * CaAa_APPURT[[#This Row],[Gamma 45]] * IF(Calculations_APPURT[[#This Row],[Shape]]="CFD",1, Ka)</f>
        <v>0</v>
      </c>
      <c r="HN23" s="276">
        <f>IFERROR(1/Calculations_APPURT[[#This Row],[Brackets]],0) * cv_F * GammaSector[[#This Row],[Quantity]] * Hazards_APPURT[[#This Row],[qz]] * CaAa_APPURT[[#This Row],[Gamma 60]] * IF(Calculations_APPURT[[#This Row],[Shape]]="CFD",1, Ka)</f>
        <v>0</v>
      </c>
      <c r="HO23" s="276">
        <f>IFERROR(1/Calculations_APPURT[[#This Row],[Brackets]],0) * cv_F * GammaSector[[#This Row],[Quantity]] * Hazards_APPURT[[#This Row],[qz]] * CaAa_APPURT[[#This Row],[Gamma 90]] * IF(Calculations_APPURT[[#This Row],[Shape]]="CFD",1, Ka)</f>
        <v>0</v>
      </c>
      <c r="HP23" s="276">
        <f>IFERROR(1/Calculations_APPURT[[#This Row],[Brackets]],0) * cv_F * GammaSector[[#This Row],[Quantity]] * Hazards_APPURT[[#This Row],[qz]] * CaAa_APPURT[[#This Row],[Gamma 120]] * IF(Calculations_APPURT[[#This Row],[Shape]]="CFD",1, Ka)</f>
        <v>0</v>
      </c>
      <c r="HQ23" s="276">
        <f>IFERROR(1/Calculations_APPURT[[#This Row],[Brackets]],0) * cv_F * GammaSector[[#This Row],[Quantity]] * Hazards_APPURT[[#This Row],[qz]] * CaAa_APPURT[[#This Row],[Gamma 135]] * IF(Calculations_APPURT[[#This Row],[Shape]]="CFD",1, Ka)</f>
        <v>0</v>
      </c>
      <c r="HR23" s="276">
        <f>IFERROR(1/Calculations_APPURT[[#This Row],[Brackets]],0) * cv_F * GammaSector[[#This Row],[Quantity]] * Hazards_APPURT[[#This Row],[qz]] * CaAa_APPURT[[#This Row],[Gamma 150]] * IF(Calculations_APPURT[[#This Row],[Shape]]="CFD",1, Ka)</f>
        <v>0</v>
      </c>
      <c r="HS23" s="276">
        <f>IFERROR(1/Calculations_APPURT[[#This Row],[Brackets]],0) * cv_F * GammaSector[[#This Row],[Quantity]] * Hazards_APPURT[[#This Row],[qz]] * CaAa_APPURT[[#This Row],[Gamma 180]] * IF(Calculations_APPURT[[#This Row],[Shape]]="CFD",1, Ka)</f>
        <v>0</v>
      </c>
      <c r="HT23" s="276">
        <f>IFERROR(1/Calculations_APPURT[[#This Row],[Brackets]],0) * cv_F * GammaSector[[#This Row],[Quantity]] * Hazards_APPURT[[#This Row],[qz]] * CaAa_APPURT[[#This Row],[Gamma 210]] * IF(Calculations_APPURT[[#This Row],[Shape]]="CFD",1, Ka)</f>
        <v>0</v>
      </c>
      <c r="HU23" s="276">
        <f>IFERROR(1/Calculations_APPURT[[#This Row],[Brackets]],0) * cv_F * GammaSector[[#This Row],[Quantity]] * Hazards_APPURT[[#This Row],[qz]] * CaAa_APPURT[[#This Row],[Gamma 225]] * IF(Calculations_APPURT[[#This Row],[Shape]]="CFD",1, Ka)</f>
        <v>0</v>
      </c>
      <c r="HV23" s="276">
        <f>IFERROR(1/Calculations_APPURT[[#This Row],[Brackets]],0) * cv_F * GammaSector[[#This Row],[Quantity]] * Hazards_APPURT[[#This Row],[qz]] * CaAa_APPURT[[#This Row],[Gamma 240]] * IF(Calculations_APPURT[[#This Row],[Shape]]="CFD",1, Ka)</f>
        <v>0</v>
      </c>
      <c r="HW23" s="276">
        <f>IFERROR(1/Calculations_APPURT[[#This Row],[Brackets]],0) * cv_F * GammaSector[[#This Row],[Quantity]] * Hazards_APPURT[[#This Row],[qz]] * CaAa_APPURT[[#This Row],[Gamma 270]] * IF(Calculations_APPURT[[#This Row],[Shape]]="CFD",1, Ka)</f>
        <v>0</v>
      </c>
      <c r="HX23" s="276">
        <f>IFERROR(1/Calculations_APPURT[[#This Row],[Brackets]],0) * cv_F * GammaSector[[#This Row],[Quantity]] * Hazards_APPURT[[#This Row],[qz]] * CaAa_APPURT[[#This Row],[Gamma 300]] * IF(Calculations_APPURT[[#This Row],[Shape]]="CFD",1, Ka)</f>
        <v>0</v>
      </c>
      <c r="HY23" s="276">
        <f>IFERROR(1/Calculations_APPURT[[#This Row],[Brackets]],0) * cv_F * GammaSector[[#This Row],[Quantity]] * Hazards_APPURT[[#This Row],[qz]] * CaAa_APPURT[[#This Row],[Gamma 315]] * IF(Calculations_APPURT[[#This Row],[Shape]]="CFD",1, Ka)</f>
        <v>0</v>
      </c>
      <c r="HZ23" s="276">
        <f>IFERROR(1/Calculations_APPURT[[#This Row],[Brackets]],0) * cv_F * GammaSector[[#This Row],[Quantity]] * Hazards_APPURT[[#This Row],[qz]] * CaAa_APPURT[[#This Row],[Gamma 330]] * IF(Calculations_APPURT[[#This Row],[Shape]]="CFD",1, Ka)</f>
        <v>0</v>
      </c>
      <c r="IA23" s="276">
        <f>IFERROR(1/Calculations_APPURT[[#This Row],[Brackets]],0) * cv_F * DeltaSector[[#This Row],[Quantity]] * Hazards_APPURT[[#This Row],[qz]] * CaAa_APPURT[[#This Row],[Delta 0]] * IF(Calculations_APPURT[[#This Row],[Shape]]="CFD",1, Ka)</f>
        <v>0</v>
      </c>
      <c r="IB23" s="276">
        <f>IFERROR(1/Calculations_APPURT[[#This Row],[Brackets]],0) * cv_F * DeltaSector[[#This Row],[Quantity]] * Hazards_APPURT[[#This Row],[qz]] * CaAa_APPURT[[#This Row],[Delta 30]] * IF(Calculations_APPURT[[#This Row],[Shape]]="CFD",1, Ka)</f>
        <v>0</v>
      </c>
      <c r="IC23" s="276">
        <f>IFERROR(1/Calculations_APPURT[[#This Row],[Brackets]],0) * cv_F * DeltaSector[[#This Row],[Quantity]] * Hazards_APPURT[[#This Row],[qz]] * CaAa_APPURT[[#This Row],[Delta 45]] * IF(Calculations_APPURT[[#This Row],[Shape]]="CFD",1, Ka)</f>
        <v>0</v>
      </c>
      <c r="ID23" s="276">
        <f>IFERROR(1/Calculations_APPURT[[#This Row],[Brackets]],0) * cv_F * DeltaSector[[#This Row],[Quantity]] * Hazards_APPURT[[#This Row],[qz]] * CaAa_APPURT[[#This Row],[Delta 60]] * IF(Calculations_APPURT[[#This Row],[Shape]]="CFD",1, Ka)</f>
        <v>0</v>
      </c>
      <c r="IE23" s="276">
        <f>IFERROR(1/Calculations_APPURT[[#This Row],[Brackets]],0) * cv_F * DeltaSector[[#This Row],[Quantity]] * Hazards_APPURT[[#This Row],[qz]] * CaAa_APPURT[[#This Row],[Delta 90]] * IF(Calculations_APPURT[[#This Row],[Shape]]="CFD",1, Ka)</f>
        <v>0</v>
      </c>
      <c r="IF23" s="276">
        <f>IFERROR(1/Calculations_APPURT[[#This Row],[Brackets]],0) * cv_F * DeltaSector[[#This Row],[Quantity]] * Hazards_APPURT[[#This Row],[qz]] * CaAa_APPURT[[#This Row],[Delta 120]] * IF(Calculations_APPURT[[#This Row],[Shape]]="CFD",1, Ka)</f>
        <v>0</v>
      </c>
      <c r="IG23" s="276">
        <f>IFERROR(1/Calculations_APPURT[[#This Row],[Brackets]],0) * cv_F * DeltaSector[[#This Row],[Quantity]] * Hazards_APPURT[[#This Row],[qz]] * CaAa_APPURT[[#This Row],[Delta 135]] * IF(Calculations_APPURT[[#This Row],[Shape]]="CFD",1, Ka)</f>
        <v>0</v>
      </c>
      <c r="IH23" s="276">
        <f>IFERROR(1/Calculations_APPURT[[#This Row],[Brackets]],0) * cv_F * DeltaSector[[#This Row],[Quantity]] * Hazards_APPURT[[#This Row],[qz]] * CaAa_APPURT[[#This Row],[Delta 150]] * IF(Calculations_APPURT[[#This Row],[Shape]]="CFD",1, Ka)</f>
        <v>0</v>
      </c>
      <c r="II23" s="276">
        <f>IFERROR(1/Calculations_APPURT[[#This Row],[Brackets]],0) * cv_F * DeltaSector[[#This Row],[Quantity]] * Hazards_APPURT[[#This Row],[qz]] * CaAa_APPURT[[#This Row],[Delta 180]] * IF(Calculations_APPURT[[#This Row],[Shape]]="CFD",1, Ka)</f>
        <v>0</v>
      </c>
      <c r="IJ23" s="276">
        <f>IFERROR(1/Calculations_APPURT[[#This Row],[Brackets]],0) * cv_F * DeltaSector[[#This Row],[Quantity]] * Hazards_APPURT[[#This Row],[qz]] * CaAa_APPURT[[#This Row],[Delta 210]] * IF(Calculations_APPURT[[#This Row],[Shape]]="CFD",1, Ka)</f>
        <v>0</v>
      </c>
      <c r="IK23" s="276">
        <f>IFERROR(1/Calculations_APPURT[[#This Row],[Brackets]],0) * cv_F * DeltaSector[[#This Row],[Quantity]] * Hazards_APPURT[[#This Row],[qz]] * CaAa_APPURT[[#This Row],[Delta 225]] * IF(Calculations_APPURT[[#This Row],[Shape]]="CFD",1, Ka)</f>
        <v>0</v>
      </c>
      <c r="IL23" s="276">
        <f>IFERROR(1/Calculations_APPURT[[#This Row],[Brackets]],0) * cv_F * DeltaSector[[#This Row],[Quantity]] * Hazards_APPURT[[#This Row],[qz]] * CaAa_APPURT[[#This Row],[Delta 240]] * IF(Calculations_APPURT[[#This Row],[Shape]]="CFD",1, Ka)</f>
        <v>0</v>
      </c>
      <c r="IM23" s="276">
        <f>IFERROR(1/Calculations_APPURT[[#This Row],[Brackets]],0) * cv_F * DeltaSector[[#This Row],[Quantity]] * Hazards_APPURT[[#This Row],[qz]] * CaAa_APPURT[[#This Row],[Delta 270]] * IF(Calculations_APPURT[[#This Row],[Shape]]="CFD",1, Ka)</f>
        <v>0</v>
      </c>
      <c r="IN23" s="276">
        <f>IFERROR(1/Calculations_APPURT[[#This Row],[Brackets]],0) * cv_F * DeltaSector[[#This Row],[Quantity]] * Hazards_APPURT[[#This Row],[qz]] * CaAa_APPURT[[#This Row],[Delta 300]] * IF(Calculations_APPURT[[#This Row],[Shape]]="CFD",1, Ka)</f>
        <v>0</v>
      </c>
      <c r="IO23" s="276">
        <f>IFERROR(1/Calculations_APPURT[[#This Row],[Brackets]],0) * cv_F * DeltaSector[[#This Row],[Quantity]] * Hazards_APPURT[[#This Row],[qz]] * CaAa_APPURT[[#This Row],[Delta 315]] * IF(Calculations_APPURT[[#This Row],[Shape]]="CFD",1, Ka)</f>
        <v>0</v>
      </c>
      <c r="IP23" s="276">
        <f>IFERROR(1/Calculations_APPURT[[#This Row],[Brackets]],0) * cv_F * DeltaSector[[#This Row],[Quantity]] * Hazards_APPURT[[#This Row],[qz]] * CaAa_APPURT[[#This Row],[Delta 330]] * IF(Calculations_APPURT[[#This Row],[Shape]]="CFD",1, Ka)</f>
        <v>0</v>
      </c>
      <c r="IQ23" s="276">
        <f>IFERROR(1/Calculations_APPURT[[#This Row],[Brackets]],0) * cv_F * AlphaSector[[#This Row],[Quantity]] * Hazards_APPURT[[#This Row],[qiz]] * CaAa_APPURT[[#This Row],[Alpha Ice 0]]</f>
        <v>0</v>
      </c>
      <c r="IR23" s="276">
        <f>IFERROR(1/Calculations_APPURT[[#This Row],[Brackets]],0) * cv_F * AlphaSector[[#This Row],[Quantity]] * Hazards_APPURT[[#This Row],[qiz]] * CaAa_APPURT[[#This Row],[Alpha Ice 30]]</f>
        <v>0</v>
      </c>
      <c r="IS23" s="276">
        <f>IFERROR(1/Calculations_APPURT[[#This Row],[Brackets]],0) * cv_F * AlphaSector[[#This Row],[Quantity]] * Hazards_APPURT[[#This Row],[qiz]] * CaAa_APPURT[[#This Row],[Alpha Ice 45]]</f>
        <v>0</v>
      </c>
      <c r="IT23" s="276">
        <f>IFERROR(1/Calculations_APPURT[[#This Row],[Brackets]],0) * cv_F * AlphaSector[[#This Row],[Quantity]] * Hazards_APPURT[[#This Row],[qiz]] * CaAa_APPURT[[#This Row],[Alpha Ice 60]]</f>
        <v>0</v>
      </c>
      <c r="IU23" s="276">
        <f>IFERROR(1/Calculations_APPURT[[#This Row],[Brackets]],0) * cv_F * AlphaSector[[#This Row],[Quantity]] * Hazards_APPURT[[#This Row],[qiz]] * CaAa_APPURT[[#This Row],[Alpha Ice 90]]</f>
        <v>0</v>
      </c>
      <c r="IV23" s="276">
        <f>IFERROR(1/Calculations_APPURT[[#This Row],[Brackets]],0) * cv_F * AlphaSector[[#This Row],[Quantity]] * Hazards_APPURT[[#This Row],[qiz]] * CaAa_APPURT[[#This Row],[Alpha Ice 120]]</f>
        <v>0</v>
      </c>
      <c r="IW23" s="276">
        <f>IFERROR(1/Calculations_APPURT[[#This Row],[Brackets]],0) * cv_F * AlphaSector[[#This Row],[Quantity]] * Hazards_APPURT[[#This Row],[qiz]] * CaAa_APPURT[[#This Row],[Alpha Ice 135]]</f>
        <v>0</v>
      </c>
      <c r="IX23" s="276">
        <f>IFERROR(1/Calculations_APPURT[[#This Row],[Brackets]],0) * cv_F * AlphaSector[[#This Row],[Quantity]] * Hazards_APPURT[[#This Row],[qiz]] * CaAa_APPURT[[#This Row],[Alpha Ice 150]]</f>
        <v>0</v>
      </c>
      <c r="IY23" s="276">
        <f>IFERROR(1/Calculations_APPURT[[#This Row],[Brackets]],0) * cv_F * AlphaSector[[#This Row],[Quantity]] * Hazards_APPURT[[#This Row],[qiz]] * CaAa_APPURT[[#This Row],[Alpha Ice 180]]</f>
        <v>0</v>
      </c>
      <c r="IZ23" s="276">
        <f>IFERROR(1/Calculations_APPURT[[#This Row],[Brackets]],0) * cv_F * AlphaSector[[#This Row],[Quantity]] * Hazards_APPURT[[#This Row],[qiz]] * CaAa_APPURT[[#This Row],[Alpha Ice 210]]</f>
        <v>0</v>
      </c>
      <c r="JA23" s="276">
        <f>IFERROR(1/Calculations_APPURT[[#This Row],[Brackets]],0) * cv_F * AlphaSector[[#This Row],[Quantity]] * Hazards_APPURT[[#This Row],[qiz]] * CaAa_APPURT[[#This Row],[Alpha Ice 225]]</f>
        <v>0</v>
      </c>
      <c r="JB23" s="276">
        <f>IFERROR(1/Calculations_APPURT[[#This Row],[Brackets]],0) * cv_F * AlphaSector[[#This Row],[Quantity]] * Hazards_APPURT[[#This Row],[qiz]] * CaAa_APPURT[[#This Row],[Alpha Ice 240]]</f>
        <v>0</v>
      </c>
      <c r="JC23" s="276">
        <f>IFERROR(1/Calculations_APPURT[[#This Row],[Brackets]],0) * cv_F * AlphaSector[[#This Row],[Quantity]] * Hazards_APPURT[[#This Row],[qiz]] * CaAa_APPURT[[#This Row],[Alpha Ice 270]]</f>
        <v>0</v>
      </c>
      <c r="JD23" s="276">
        <f>IFERROR(1/Calculations_APPURT[[#This Row],[Brackets]],0) * cv_F * AlphaSector[[#This Row],[Quantity]] * Hazards_APPURT[[#This Row],[qiz]] * CaAa_APPURT[[#This Row],[Alpha Ice 300]]</f>
        <v>0</v>
      </c>
      <c r="JE23" s="276">
        <f>IFERROR(1/Calculations_APPURT[[#This Row],[Brackets]],0) * cv_F * AlphaSector[[#This Row],[Quantity]] * Hazards_APPURT[[#This Row],[qiz]] * CaAa_APPURT[[#This Row],[Alpha Ice 315]]</f>
        <v>0</v>
      </c>
      <c r="JF23" s="276">
        <f>IFERROR(1/Calculations_APPURT[[#This Row],[Brackets]],0) * cv_F * AlphaSector[[#This Row],[Quantity]] * Hazards_APPURT[[#This Row],[qiz]] * CaAa_APPURT[[#This Row],[Alpha Ice 330]]</f>
        <v>0</v>
      </c>
      <c r="JG23" s="276">
        <f>IFERROR(1/Calculations_APPURT[[#This Row],[Brackets]],0) * cv_F * BetaSector[[#This Row],[Quantity]] * Hazards_APPURT[[#This Row],[qiz]] * CaAa_APPURT[[#This Row],[Beta Ice 0]]</f>
        <v>0</v>
      </c>
      <c r="JH23" s="276">
        <f>IFERROR(1/Calculations_APPURT[[#This Row],[Brackets]],0) * cv_F * BetaSector[[#This Row],[Quantity]] * Hazards_APPURT[[#This Row],[qiz]] * CaAa_APPURT[[#This Row],[Beta Ice 30]]</f>
        <v>0</v>
      </c>
      <c r="JI23" s="276">
        <f>IFERROR(1/Calculations_APPURT[[#This Row],[Brackets]],0) * cv_F * BetaSector[[#This Row],[Quantity]] * Hazards_APPURT[[#This Row],[qiz]] * CaAa_APPURT[[#This Row],[Beta Ice 45]]</f>
        <v>0</v>
      </c>
      <c r="JJ23" s="276">
        <f>IFERROR(1/Calculations_APPURT[[#This Row],[Brackets]],0) * cv_F * BetaSector[[#This Row],[Quantity]] * Hazards_APPURT[[#This Row],[qiz]] * CaAa_APPURT[[#This Row],[Beta Ice 60]]</f>
        <v>0</v>
      </c>
      <c r="JK23" s="276">
        <f>IFERROR(1/Calculations_APPURT[[#This Row],[Brackets]],0) * cv_F * BetaSector[[#This Row],[Quantity]] * Hazards_APPURT[[#This Row],[qiz]] * CaAa_APPURT[[#This Row],[Beta Ice 90]]</f>
        <v>0</v>
      </c>
      <c r="JL23" s="276">
        <f>IFERROR(1/Calculations_APPURT[[#This Row],[Brackets]],0) * cv_F * BetaSector[[#This Row],[Quantity]] * Hazards_APPURT[[#This Row],[qiz]] * CaAa_APPURT[[#This Row],[Beta Ice 120]]</f>
        <v>0</v>
      </c>
      <c r="JM23" s="276">
        <f>IFERROR(1/Calculations_APPURT[[#This Row],[Brackets]],0) * cv_F * BetaSector[[#This Row],[Quantity]] * Hazards_APPURT[[#This Row],[qiz]] * CaAa_APPURT[[#This Row],[Beta Ice 135]]</f>
        <v>0</v>
      </c>
      <c r="JN23" s="276">
        <f>IFERROR(1/Calculations_APPURT[[#This Row],[Brackets]],0) * cv_F * BetaSector[[#This Row],[Quantity]] * Hazards_APPURT[[#This Row],[qiz]] * CaAa_APPURT[[#This Row],[Beta Ice 150]]</f>
        <v>0</v>
      </c>
      <c r="JO23" s="276">
        <f>IFERROR(1/Calculations_APPURT[[#This Row],[Brackets]],0) * cv_F * BetaSector[[#This Row],[Quantity]] * Hazards_APPURT[[#This Row],[qiz]] * CaAa_APPURT[[#This Row],[Beta Ice 180]]</f>
        <v>0</v>
      </c>
      <c r="JP23" s="276">
        <f>IFERROR(1/Calculations_APPURT[[#This Row],[Brackets]],0) * cv_F * BetaSector[[#This Row],[Quantity]] * Hazards_APPURT[[#This Row],[qiz]] * CaAa_APPURT[[#This Row],[Beta Ice 210]]</f>
        <v>0</v>
      </c>
      <c r="JQ23" s="276">
        <f>IFERROR(1/Calculations_APPURT[[#This Row],[Brackets]],0) * cv_F * BetaSector[[#This Row],[Quantity]] * Hazards_APPURT[[#This Row],[qiz]] * CaAa_APPURT[[#This Row],[Beta Ice 225]]</f>
        <v>0</v>
      </c>
      <c r="JR23" s="276">
        <f>IFERROR(1/Calculations_APPURT[[#This Row],[Brackets]],0) * cv_F * BetaSector[[#This Row],[Quantity]] * Hazards_APPURT[[#This Row],[qiz]] * CaAa_APPURT[[#This Row],[Beta Ice 240]]</f>
        <v>0</v>
      </c>
      <c r="JS23" s="276">
        <f>IFERROR(1/Calculations_APPURT[[#This Row],[Brackets]],0) * cv_F * BetaSector[[#This Row],[Quantity]] * Hazards_APPURT[[#This Row],[qiz]] * CaAa_APPURT[[#This Row],[Beta Ice 270]]</f>
        <v>0</v>
      </c>
      <c r="JT23" s="276">
        <f>IFERROR(1/Calculations_APPURT[[#This Row],[Brackets]],0) * cv_F * BetaSector[[#This Row],[Quantity]] * Hazards_APPURT[[#This Row],[qiz]] * CaAa_APPURT[[#This Row],[Beta Ice 300]]</f>
        <v>0</v>
      </c>
      <c r="JU23" s="276">
        <f>IFERROR(1/Calculations_APPURT[[#This Row],[Brackets]],0) * cv_F * BetaSector[[#This Row],[Quantity]] * Hazards_APPURT[[#This Row],[qiz]] * CaAa_APPURT[[#This Row],[Beta Ice 315]]</f>
        <v>0</v>
      </c>
      <c r="JV23" s="276">
        <f>IFERROR(1/Calculations_APPURT[[#This Row],[Brackets]],0) * cv_F * BetaSector[[#This Row],[Quantity]] * Hazards_APPURT[[#This Row],[qiz]] * CaAa_APPURT[[#This Row],[Beta Ice 330]]</f>
        <v>0</v>
      </c>
      <c r="JW23" s="276">
        <f>IFERROR(1/Calculations_APPURT[[#This Row],[Brackets]],0) * cv_F * GammaSector[[#This Row],[Quantity]] * Hazards_APPURT[[#This Row],[qiz]] * CaAa_APPURT[[#This Row],[Gamma Ice 0]]</f>
        <v>0</v>
      </c>
      <c r="JX23" s="276">
        <f>IFERROR(1/Calculations_APPURT[[#This Row],[Brackets]],0) * cv_F * GammaSector[[#This Row],[Quantity]] * Hazards_APPURT[[#This Row],[qiz]] * CaAa_APPURT[[#This Row],[Gamma Ice 30]]</f>
        <v>0</v>
      </c>
      <c r="JY23" s="276">
        <f>IFERROR(1/Calculations_APPURT[[#This Row],[Brackets]],0) * cv_F * GammaSector[[#This Row],[Quantity]] * Hazards_APPURT[[#This Row],[qiz]] * CaAa_APPURT[[#This Row],[Gamma Ice 45]]</f>
        <v>0</v>
      </c>
      <c r="JZ23" s="276">
        <f>IFERROR(1/Calculations_APPURT[[#This Row],[Brackets]],0) * cv_F * GammaSector[[#This Row],[Quantity]] * Hazards_APPURT[[#This Row],[qiz]] * CaAa_APPURT[[#This Row],[Gamma Ice 60]]</f>
        <v>0</v>
      </c>
      <c r="KA23" s="276">
        <f>IFERROR(1/Calculations_APPURT[[#This Row],[Brackets]],0) * cv_F * GammaSector[[#This Row],[Quantity]] * Hazards_APPURT[[#This Row],[qiz]] * CaAa_APPURT[[#This Row],[Gamma Ice 90]]</f>
        <v>0</v>
      </c>
      <c r="KB23" s="276">
        <f>IFERROR(1/Calculations_APPURT[[#This Row],[Brackets]],0) * cv_F * GammaSector[[#This Row],[Quantity]] * Hazards_APPURT[[#This Row],[qiz]] * CaAa_APPURT[[#This Row],[Gamma Ice 120]]</f>
        <v>0</v>
      </c>
      <c r="KC23" s="276">
        <f>IFERROR(1/Calculations_APPURT[[#This Row],[Brackets]],0) * cv_F * GammaSector[[#This Row],[Quantity]] * Hazards_APPURT[[#This Row],[qiz]] * CaAa_APPURT[[#This Row],[Gamma Ice 135]]</f>
        <v>0</v>
      </c>
      <c r="KD23" s="276">
        <f>IFERROR(1/Calculations_APPURT[[#This Row],[Brackets]],0) * cv_F * GammaSector[[#This Row],[Quantity]] * Hazards_APPURT[[#This Row],[qiz]] * CaAa_APPURT[[#This Row],[Gamma Ice 150]]</f>
        <v>0</v>
      </c>
      <c r="KE23" s="276">
        <f>IFERROR(1/Calculations_APPURT[[#This Row],[Brackets]],0) * cv_F * GammaSector[[#This Row],[Quantity]] * Hazards_APPURT[[#This Row],[qiz]] * CaAa_APPURT[[#This Row],[Gamma Ice 180]]</f>
        <v>0</v>
      </c>
      <c r="KF23" s="276">
        <f>IFERROR(1/Calculations_APPURT[[#This Row],[Brackets]],0) * cv_F * GammaSector[[#This Row],[Quantity]] * Hazards_APPURT[[#This Row],[qiz]] * CaAa_APPURT[[#This Row],[Gamma Ice 210]]</f>
        <v>0</v>
      </c>
      <c r="KG23" s="276">
        <f>IFERROR(1/Calculations_APPURT[[#This Row],[Brackets]],0) * cv_F * GammaSector[[#This Row],[Quantity]] * Hazards_APPURT[[#This Row],[qiz]] * CaAa_APPURT[[#This Row],[Gamma Ice 225]]</f>
        <v>0</v>
      </c>
      <c r="KH23" s="276">
        <f>IFERROR(1/Calculations_APPURT[[#This Row],[Brackets]],0) * cv_F * GammaSector[[#This Row],[Quantity]] * Hazards_APPURT[[#This Row],[qiz]] * CaAa_APPURT[[#This Row],[Gamma Ice 240]]</f>
        <v>0</v>
      </c>
      <c r="KI23" s="276">
        <f>IFERROR(1/Calculations_APPURT[[#This Row],[Brackets]],0) * cv_F * GammaSector[[#This Row],[Quantity]] * Hazards_APPURT[[#This Row],[qiz]] * CaAa_APPURT[[#This Row],[Gamma Ice 270]]</f>
        <v>0</v>
      </c>
      <c r="KJ23" s="276">
        <f>IFERROR(1/Calculations_APPURT[[#This Row],[Brackets]],0) * cv_F * GammaSector[[#This Row],[Quantity]] * Hazards_APPURT[[#This Row],[qiz]] * CaAa_APPURT[[#This Row],[Gamma Ice 300]]</f>
        <v>0</v>
      </c>
      <c r="KK23" s="276">
        <f>IFERROR(1/Calculations_APPURT[[#This Row],[Brackets]],0) * cv_F * GammaSector[[#This Row],[Quantity]] * Hazards_APPURT[[#This Row],[qiz]] * CaAa_APPURT[[#This Row],[Gamma Ice 315]]</f>
        <v>0</v>
      </c>
      <c r="KL23" s="276">
        <f>IFERROR(1/Calculations_APPURT[[#This Row],[Brackets]],0) * cv_F * GammaSector[[#This Row],[Quantity]] * Hazards_APPURT[[#This Row],[qiz]] * CaAa_APPURT[[#This Row],[Gamma Ice 330]]</f>
        <v>0</v>
      </c>
      <c r="KM23" s="276">
        <f>IFERROR(1/Calculations_APPURT[[#This Row],[Brackets]],0) * cv_F * DeltaSector[[#This Row],[Quantity]] * Hazards_APPURT[[#This Row],[qiz]] * CaAa_APPURT[[#This Row],[Delta Ice 0]]</f>
        <v>0</v>
      </c>
      <c r="KN23" s="276">
        <f>IFERROR(1/Calculations_APPURT[[#This Row],[Brackets]],0) * cv_F * DeltaSector[[#This Row],[Quantity]] * Hazards_APPURT[[#This Row],[qiz]] * CaAa_APPURT[[#This Row],[Delta Ice 30]]</f>
        <v>0</v>
      </c>
      <c r="KO23" s="276">
        <f>IFERROR(1/Calculations_APPURT[[#This Row],[Brackets]],0) * cv_F * DeltaSector[[#This Row],[Quantity]] * Hazards_APPURT[[#This Row],[qiz]] * CaAa_APPURT[[#This Row],[Delta Ice 45]]</f>
        <v>0</v>
      </c>
      <c r="KP23" s="276">
        <f>IFERROR(1/Calculations_APPURT[[#This Row],[Brackets]],0) * cv_F * DeltaSector[[#This Row],[Quantity]] * Hazards_APPURT[[#This Row],[qiz]] * CaAa_APPURT[[#This Row],[Delta Ice 60]]</f>
        <v>0</v>
      </c>
      <c r="KQ23" s="276">
        <f>IFERROR(1/Calculations_APPURT[[#This Row],[Brackets]],0) * cv_F * DeltaSector[[#This Row],[Quantity]] * Hazards_APPURT[[#This Row],[qiz]] * CaAa_APPURT[[#This Row],[Delta Ice 90]]</f>
        <v>0</v>
      </c>
      <c r="KR23" s="276">
        <f>IFERROR(1/Calculations_APPURT[[#This Row],[Brackets]],0) * cv_F * DeltaSector[[#This Row],[Quantity]] * Hazards_APPURT[[#This Row],[qiz]] * CaAa_APPURT[[#This Row],[Delta Ice 120]]</f>
        <v>0</v>
      </c>
      <c r="KS23" s="276">
        <f>IFERROR(1/Calculations_APPURT[[#This Row],[Brackets]],0) * cv_F * DeltaSector[[#This Row],[Quantity]] * Hazards_APPURT[[#This Row],[qiz]] * CaAa_APPURT[[#This Row],[Delta Ice 135]]</f>
        <v>0</v>
      </c>
      <c r="KT23" s="276">
        <f>IFERROR(1/Calculations_APPURT[[#This Row],[Brackets]],0) * cv_F * DeltaSector[[#This Row],[Quantity]] * Hazards_APPURT[[#This Row],[qiz]] * CaAa_APPURT[[#This Row],[Delta Ice 150]]</f>
        <v>0</v>
      </c>
      <c r="KU23" s="276">
        <f>IFERROR(1/Calculations_APPURT[[#This Row],[Brackets]],0) * cv_F * DeltaSector[[#This Row],[Quantity]] * Hazards_APPURT[[#This Row],[qiz]] * CaAa_APPURT[[#This Row],[Delta Ice 180]]</f>
        <v>0</v>
      </c>
      <c r="KV23" s="276">
        <f>IFERROR(1/Calculations_APPURT[[#This Row],[Brackets]],0) * cv_F * DeltaSector[[#This Row],[Quantity]] * Hazards_APPURT[[#This Row],[qiz]] * CaAa_APPURT[[#This Row],[Delta Ice 210]]</f>
        <v>0</v>
      </c>
      <c r="KW23" s="276">
        <f>IFERROR(1/Calculations_APPURT[[#This Row],[Brackets]],0) * cv_F * DeltaSector[[#This Row],[Quantity]] * Hazards_APPURT[[#This Row],[qiz]] * CaAa_APPURT[[#This Row],[Delta Ice 225]]</f>
        <v>0</v>
      </c>
      <c r="KX23" s="276">
        <f>IFERROR(1/Calculations_APPURT[[#This Row],[Brackets]],0) * cv_F * DeltaSector[[#This Row],[Quantity]] * Hazards_APPURT[[#This Row],[qiz]] * CaAa_APPURT[[#This Row],[Delta Ice 240]]</f>
        <v>0</v>
      </c>
      <c r="KY23" s="276">
        <f>IFERROR(1/Calculations_APPURT[[#This Row],[Brackets]],0) * cv_F * DeltaSector[[#This Row],[Quantity]] * Hazards_APPURT[[#This Row],[qiz]] * CaAa_APPURT[[#This Row],[Delta Ice 270]]</f>
        <v>0</v>
      </c>
      <c r="KZ23" s="276">
        <f>IFERROR(1/Calculations_APPURT[[#This Row],[Brackets]],0) * cv_F * DeltaSector[[#This Row],[Quantity]] * Hazards_APPURT[[#This Row],[qiz]] * CaAa_APPURT[[#This Row],[Delta Ice 300]]</f>
        <v>0</v>
      </c>
      <c r="LA23" s="276">
        <f>IFERROR(1/Calculations_APPURT[[#This Row],[Brackets]],0) * cv_F * DeltaSector[[#This Row],[Quantity]] * Hazards_APPURT[[#This Row],[qiz]] * CaAa_APPURT[[#This Row],[Delta Ice 315]]</f>
        <v>0</v>
      </c>
      <c r="LB23" s="276">
        <f>IFERROR(1/Calculations_APPURT[[#This Row],[Brackets]],0) * cv_F * DeltaSector[[#This Row],[Quantity]] * Hazards_APPURT[[#This Row],[qiz]] * CaAa_APPURT[[#This Row],[Delta Ice 330]]</f>
        <v>0</v>
      </c>
      <c r="LC23" s="276">
        <f>IFERROR(1/Calculations_APPURT[[#This Row],[Brackets]],0) * cv_M/cv_F * Forces_APPURT[[#This Row],[Alpha Fa 0]] * Calculations_APPURT[[#This Row],[Horizontal Offset]]/12</f>
        <v>0</v>
      </c>
      <c r="LD23" s="276">
        <f>IFERROR(1/Calculations_APPURT[[#This Row],[Brackets]],0) * cv_M/cv_F * Forces_APPURT[[#This Row],[Alpha Fa 30]] * Calculations_APPURT[[#This Row],[Horizontal Offset]]/12</f>
        <v>0</v>
      </c>
      <c r="LE23" s="276">
        <f>IFERROR(1/Calculations_APPURT[[#This Row],[Brackets]],0) * cv_M/cv_F * Forces_APPURT[[#This Row],[Alpha Fa 45]] * Calculations_APPURT[[#This Row],[Horizontal Offset]]/12</f>
        <v>0</v>
      </c>
      <c r="LF23" s="276">
        <f>IFERROR(1/Calculations_APPURT[[#This Row],[Brackets]],0) * cv_M/cv_F * Forces_APPURT[[#This Row],[Alpha Fa 60]] * Calculations_APPURT[[#This Row],[Horizontal Offset]]/12</f>
        <v>0</v>
      </c>
      <c r="LG23" s="276">
        <f>IFERROR(1/Calculations_APPURT[[#This Row],[Brackets]],0) * cv_M/cv_F * Forces_APPURT[[#This Row],[Alpha Fa 90]] * Calculations_APPURT[[#This Row],[Horizontal Offset]]/12</f>
        <v>0</v>
      </c>
      <c r="LH23" s="276">
        <f>IFERROR(1/Calculations_APPURT[[#This Row],[Brackets]],0) * cv_M/cv_F * Forces_APPURT[[#This Row],[Alpha Fa 120]] * Calculations_APPURT[[#This Row],[Horizontal Offset]]/12</f>
        <v>0</v>
      </c>
      <c r="LI23" s="276">
        <f>IFERROR(1/Calculations_APPURT[[#This Row],[Brackets]],0) * cv_M/cv_F * Forces_APPURT[[#This Row],[Alpha Fa 135]] * Calculations_APPURT[[#This Row],[Horizontal Offset]]/12</f>
        <v>0</v>
      </c>
      <c r="LJ23" s="276">
        <f>IFERROR(1/Calculations_APPURT[[#This Row],[Brackets]],0) * cv_M/cv_F * Forces_APPURT[[#This Row],[Alpha Fa 150]] * Calculations_APPURT[[#This Row],[Horizontal Offset]]/12</f>
        <v>0</v>
      </c>
      <c r="LK23" s="276">
        <f>IFERROR(1/Calculations_APPURT[[#This Row],[Brackets]],0) * cv_M/cv_F * Forces_APPURT[[#This Row],[Alpha Fa 180]] * Calculations_APPURT[[#This Row],[Horizontal Offset]]/12</f>
        <v>0</v>
      </c>
      <c r="LL23" s="276">
        <f>IFERROR(1/Calculations_APPURT[[#This Row],[Brackets]],0) * cv_M/cv_F * Forces_APPURT[[#This Row],[Alpha Fa 210]] * Calculations_APPURT[[#This Row],[Horizontal Offset]]/12</f>
        <v>0</v>
      </c>
      <c r="LM23" s="276">
        <f>IFERROR(1/Calculations_APPURT[[#This Row],[Brackets]],0) * cv_M/cv_F * Forces_APPURT[[#This Row],[Alpha Fa 225]] * Calculations_APPURT[[#This Row],[Horizontal Offset]]/12</f>
        <v>0</v>
      </c>
      <c r="LN23" s="276">
        <f>IFERROR(1/Calculations_APPURT[[#This Row],[Brackets]],0) * cv_M/cv_F * Forces_APPURT[[#This Row],[Alpha Fa 240]] * Calculations_APPURT[[#This Row],[Horizontal Offset]]/12</f>
        <v>0</v>
      </c>
      <c r="LO23" s="276">
        <f>IFERROR(1/Calculations_APPURT[[#This Row],[Brackets]],0) * cv_M/cv_F * Forces_APPURT[[#This Row],[Alpha Fa 270]] * Calculations_APPURT[[#This Row],[Horizontal Offset]]/12</f>
        <v>0</v>
      </c>
      <c r="LP23" s="276">
        <f>IFERROR(1/Calculations_APPURT[[#This Row],[Brackets]],0) * cv_M/cv_F * Forces_APPURT[[#This Row],[Alpha Fa 300]] * Calculations_APPURT[[#This Row],[Horizontal Offset]]/12</f>
        <v>0</v>
      </c>
      <c r="LQ23" s="276">
        <f>IFERROR(1/Calculations_APPURT[[#This Row],[Brackets]],0) * cv_M/cv_F * Forces_APPURT[[#This Row],[Alpha Fa 315]] * Calculations_APPURT[[#This Row],[Horizontal Offset]]/12</f>
        <v>0</v>
      </c>
      <c r="LR23" s="276">
        <f>IFERROR(1/Calculations_APPURT[[#This Row],[Brackets]],0) * cv_M/cv_F * Forces_APPURT[[#This Row],[Alpha Fa 330]] * Calculations_APPURT[[#This Row],[Horizontal Offset]]/12</f>
        <v>0</v>
      </c>
      <c r="LS23" s="276">
        <f>IFERROR(1/Calculations_APPURT[[#This Row],[Brackets]],0) * cv_M/cv_F * Forces_APPURT[[#This Row],[Beta Fa 0]] * Calculations_APPURT[[#This Row],[Horizontal Offset]]/12</f>
        <v>0</v>
      </c>
      <c r="LT23" s="276">
        <f>IFERROR(1/Calculations_APPURT[[#This Row],[Brackets]],0) * cv_M/cv_F * Forces_APPURT[[#This Row],[Beta Fa 30]] * Calculations_APPURT[[#This Row],[Horizontal Offset]]/12</f>
        <v>0</v>
      </c>
      <c r="LU23" s="276">
        <f>IFERROR(1/Calculations_APPURT[[#This Row],[Brackets]],0) * cv_M/cv_F * Forces_APPURT[[#This Row],[Beta Fa 45]] * Calculations_APPURT[[#This Row],[Horizontal Offset]]/12</f>
        <v>0</v>
      </c>
      <c r="LV23" s="276">
        <f>IFERROR(1/Calculations_APPURT[[#This Row],[Brackets]],0) * cv_M/cv_F * Forces_APPURT[[#This Row],[Beta Fa 60]] * Calculations_APPURT[[#This Row],[Horizontal Offset]]/12</f>
        <v>0</v>
      </c>
      <c r="LW23" s="276">
        <f>IFERROR(1/Calculations_APPURT[[#This Row],[Brackets]],0) * cv_M/cv_F * Forces_APPURT[[#This Row],[Beta Fa 90]] * Calculations_APPURT[[#This Row],[Horizontal Offset]]/12</f>
        <v>0</v>
      </c>
      <c r="LX23" s="276">
        <f>IFERROR(1/Calculations_APPURT[[#This Row],[Brackets]],0) * cv_M/cv_F * Forces_APPURT[[#This Row],[Beta Fa 120]] * Calculations_APPURT[[#This Row],[Horizontal Offset]]/12</f>
        <v>0</v>
      </c>
      <c r="LY23" s="276">
        <f>IFERROR(1/Calculations_APPURT[[#This Row],[Brackets]],0) * cv_M/cv_F * Forces_APPURT[[#This Row],[Beta Fa 135]] * Calculations_APPURT[[#This Row],[Horizontal Offset]]/12</f>
        <v>0</v>
      </c>
      <c r="LZ23" s="276">
        <f>IFERROR(1/Calculations_APPURT[[#This Row],[Brackets]],0) * cv_M/cv_F * Forces_APPURT[[#This Row],[Beta Fa 150]] * Calculations_APPURT[[#This Row],[Horizontal Offset]]/12</f>
        <v>0</v>
      </c>
      <c r="MA23" s="276">
        <f>IFERROR(1/Calculations_APPURT[[#This Row],[Brackets]],0) * cv_M/cv_F * Forces_APPURT[[#This Row],[Beta Fa 180]] * Calculations_APPURT[[#This Row],[Horizontal Offset]]/12</f>
        <v>0</v>
      </c>
      <c r="MB23" s="276">
        <f>IFERROR(1/Calculations_APPURT[[#This Row],[Brackets]],0) * cv_M/cv_F * Forces_APPURT[[#This Row],[Beta Fa 210]] * Calculations_APPURT[[#This Row],[Horizontal Offset]]/12</f>
        <v>0</v>
      </c>
      <c r="MC23" s="276">
        <f>IFERROR(1/Calculations_APPURT[[#This Row],[Brackets]],0) * cv_M/cv_F * Forces_APPURT[[#This Row],[Beta Fa 225]] * Calculations_APPURT[[#This Row],[Horizontal Offset]]/12</f>
        <v>0</v>
      </c>
      <c r="MD23" s="276">
        <f>IFERROR(1/Calculations_APPURT[[#This Row],[Brackets]],0) * cv_M/cv_F * Forces_APPURT[[#This Row],[Beta Fa 240]] * Calculations_APPURT[[#This Row],[Horizontal Offset]]/12</f>
        <v>0</v>
      </c>
      <c r="ME23" s="276">
        <f>IFERROR(1/Calculations_APPURT[[#This Row],[Brackets]],0) * cv_M/cv_F * Forces_APPURT[[#This Row],[Beta Fa 270]] * Calculations_APPURT[[#This Row],[Horizontal Offset]]/12</f>
        <v>0</v>
      </c>
      <c r="MF23" s="276">
        <f>IFERROR(1/Calculations_APPURT[[#This Row],[Brackets]],0) * cv_M/cv_F * Forces_APPURT[[#This Row],[Beta Fa 300]] * Calculations_APPURT[[#This Row],[Horizontal Offset]]/12</f>
        <v>0</v>
      </c>
      <c r="MG23" s="276">
        <f>IFERROR(1/Calculations_APPURT[[#This Row],[Brackets]],0) * cv_M/cv_F * Forces_APPURT[[#This Row],[Beta Fa 315]] * Calculations_APPURT[[#This Row],[Horizontal Offset]]/12</f>
        <v>0</v>
      </c>
      <c r="MH23" s="276">
        <f>IFERROR(1/Calculations_APPURT[[#This Row],[Brackets]],0) * cv_M/cv_F * Forces_APPURT[[#This Row],[Beta Fa 330]] * Calculations_APPURT[[#This Row],[Horizontal Offset]]/12</f>
        <v>0</v>
      </c>
      <c r="MI23" s="276">
        <f>IFERROR(1/Calculations_APPURT[[#This Row],[Brackets]],0) * cv_M/cv_F * Forces_APPURT[[#This Row],[Gamma Fa 0]] * Calculations_APPURT[[#This Row],[Horizontal Offset]]/12</f>
        <v>0</v>
      </c>
      <c r="MJ23" s="276">
        <f>IFERROR(1/Calculations_APPURT[[#This Row],[Brackets]],0) * cv_M/cv_F * Forces_APPURT[[#This Row],[Gamma Fa 30]] * Calculations_APPURT[[#This Row],[Horizontal Offset]]/12</f>
        <v>0</v>
      </c>
      <c r="MK23" s="276">
        <f>IFERROR(1/Calculations_APPURT[[#This Row],[Brackets]],0) * cv_M/cv_F * Forces_APPURT[[#This Row],[Gamma Fa 45]] * Calculations_APPURT[[#This Row],[Horizontal Offset]]/12</f>
        <v>0</v>
      </c>
      <c r="ML23" s="276">
        <f>IFERROR(1/Calculations_APPURT[[#This Row],[Brackets]],0) * cv_M/cv_F * Forces_APPURT[[#This Row],[Gamma Fa 60]] * Calculations_APPURT[[#This Row],[Horizontal Offset]]/12</f>
        <v>0</v>
      </c>
      <c r="MM23" s="276">
        <f>IFERROR(1/Calculations_APPURT[[#This Row],[Brackets]],0) * cv_M/cv_F * Forces_APPURT[[#This Row],[Gamma Fa 90]] * Calculations_APPURT[[#This Row],[Horizontal Offset]]/12</f>
        <v>0</v>
      </c>
      <c r="MN23" s="276">
        <f>IFERROR(1/Calculations_APPURT[[#This Row],[Brackets]],0) * cv_M/cv_F * Forces_APPURT[[#This Row],[Gamma Fa 120]] * Calculations_APPURT[[#This Row],[Horizontal Offset]]/12</f>
        <v>0</v>
      </c>
      <c r="MO23" s="276">
        <f>IFERROR(1/Calculations_APPURT[[#This Row],[Brackets]],0) * cv_M/cv_F * Forces_APPURT[[#This Row],[Gamma Fa 135]] * Calculations_APPURT[[#This Row],[Horizontal Offset]]/12</f>
        <v>0</v>
      </c>
      <c r="MP23" s="276">
        <f>IFERROR(1/Calculations_APPURT[[#This Row],[Brackets]],0) * cv_M/cv_F * Forces_APPURT[[#This Row],[Gamma Fa 150]] * Calculations_APPURT[[#This Row],[Horizontal Offset]]/12</f>
        <v>0</v>
      </c>
      <c r="MQ23" s="276">
        <f>IFERROR(1/Calculations_APPURT[[#This Row],[Brackets]],0) * cv_M/cv_F * Forces_APPURT[[#This Row],[Gamma Fa 180]] * Calculations_APPURT[[#This Row],[Horizontal Offset]]/12</f>
        <v>0</v>
      </c>
      <c r="MR23" s="276">
        <f>IFERROR(1/Calculations_APPURT[[#This Row],[Brackets]],0) * cv_M/cv_F * Forces_APPURT[[#This Row],[Gamma Fa 210]] * Calculations_APPURT[[#This Row],[Horizontal Offset]]/12</f>
        <v>0</v>
      </c>
      <c r="MS23" s="276">
        <f>IFERROR(1/Calculations_APPURT[[#This Row],[Brackets]],0) * cv_M/cv_F * Forces_APPURT[[#This Row],[Gamma Fa 225]] * Calculations_APPURT[[#This Row],[Horizontal Offset]]/12</f>
        <v>0</v>
      </c>
      <c r="MT23" s="276">
        <f>IFERROR(1/Calculations_APPURT[[#This Row],[Brackets]],0) * cv_M/cv_F * Forces_APPURT[[#This Row],[Gamma Fa 240]] * Calculations_APPURT[[#This Row],[Horizontal Offset]]/12</f>
        <v>0</v>
      </c>
      <c r="MU23" s="276">
        <f>IFERROR(1/Calculations_APPURT[[#This Row],[Brackets]],0) * cv_M/cv_F * Forces_APPURT[[#This Row],[Gamma Fa 270]] * Calculations_APPURT[[#This Row],[Horizontal Offset]]/12</f>
        <v>0</v>
      </c>
      <c r="MV23" s="276">
        <f>IFERROR(1/Calculations_APPURT[[#This Row],[Brackets]],0) * cv_M/cv_F * Forces_APPURT[[#This Row],[Gamma Fa 300]] * Calculations_APPURT[[#This Row],[Horizontal Offset]]/12</f>
        <v>0</v>
      </c>
      <c r="MW23" s="276">
        <f>IFERROR(1/Calculations_APPURT[[#This Row],[Brackets]],0) * cv_M/cv_F * Forces_APPURT[[#This Row],[Gamma Fa 315]] * Calculations_APPURT[[#This Row],[Horizontal Offset]]/12</f>
        <v>0</v>
      </c>
      <c r="MX23" s="276">
        <f>IFERROR(1/Calculations_APPURT[[#This Row],[Brackets]],0) * cv_M/cv_F * Forces_APPURT[[#This Row],[Gamma Fa 330]] * Calculations_APPURT[[#This Row],[Horizontal Offset]]/12</f>
        <v>0</v>
      </c>
      <c r="MY23" s="276">
        <f>IFERROR(1/Calculations_APPURT[[#This Row],[Brackets]],0) * cv_M/cv_F * Forces_APPURT[[#This Row],[Delta Fa 0]] * Calculations_APPURT[[#This Row],[Horizontal Offset]]/12</f>
        <v>0</v>
      </c>
      <c r="MZ23" s="276">
        <f>IFERROR(1/Calculations_APPURT[[#This Row],[Brackets]],0) * cv_M/cv_F * Forces_APPURT[[#This Row],[Delta Fa 30]] * Calculations_APPURT[[#This Row],[Horizontal Offset]]/12</f>
        <v>0</v>
      </c>
      <c r="NA23" s="276">
        <f>IFERROR(1/Calculations_APPURT[[#This Row],[Brackets]],0) * cv_M/cv_F * Forces_APPURT[[#This Row],[Delta Fa 45]] * Calculations_APPURT[[#This Row],[Horizontal Offset]]/12</f>
        <v>0</v>
      </c>
      <c r="NB23" s="276">
        <f>IFERROR(1/Calculations_APPURT[[#This Row],[Brackets]],0) * cv_M/cv_F * Forces_APPURT[[#This Row],[Delta Fa 60]] * Calculations_APPURT[[#This Row],[Horizontal Offset]]/12</f>
        <v>0</v>
      </c>
      <c r="NC23" s="276">
        <f>IFERROR(1/Calculations_APPURT[[#This Row],[Brackets]],0) * cv_M/cv_F * Forces_APPURT[[#This Row],[Delta Fa 90]] * Calculations_APPURT[[#This Row],[Horizontal Offset]]/12</f>
        <v>0</v>
      </c>
      <c r="ND23" s="276">
        <f>IFERROR(1/Calculations_APPURT[[#This Row],[Brackets]],0) * cv_M/cv_F * Forces_APPURT[[#This Row],[Delta Fa 120]] * Calculations_APPURT[[#This Row],[Horizontal Offset]]/12</f>
        <v>0</v>
      </c>
      <c r="NE23" s="276">
        <f>IFERROR(1/Calculations_APPURT[[#This Row],[Brackets]],0) * cv_M/cv_F * Forces_APPURT[[#This Row],[Delta Fa 135]] * Calculations_APPURT[[#This Row],[Horizontal Offset]]/12</f>
        <v>0</v>
      </c>
      <c r="NF23" s="276">
        <f>IFERROR(1/Calculations_APPURT[[#This Row],[Brackets]],0) * cv_M/cv_F * Forces_APPURT[[#This Row],[Delta Fa 150]] * Calculations_APPURT[[#This Row],[Horizontal Offset]]/12</f>
        <v>0</v>
      </c>
      <c r="NG23" s="276">
        <f>IFERROR(1/Calculations_APPURT[[#This Row],[Brackets]],0) * cv_M/cv_F * Forces_APPURT[[#This Row],[Delta Fa 180]] * Calculations_APPURT[[#This Row],[Horizontal Offset]]/12</f>
        <v>0</v>
      </c>
      <c r="NH23" s="276">
        <f>IFERROR(1/Calculations_APPURT[[#This Row],[Brackets]],0) * cv_M/cv_F * Forces_APPURT[[#This Row],[Delta Fa 210]] * Calculations_APPURT[[#This Row],[Horizontal Offset]]/12</f>
        <v>0</v>
      </c>
      <c r="NI23" s="276">
        <f>IFERROR(1/Calculations_APPURT[[#This Row],[Brackets]],0) * cv_M/cv_F * Forces_APPURT[[#This Row],[Delta Fa 225]] * Calculations_APPURT[[#This Row],[Horizontal Offset]]/12</f>
        <v>0</v>
      </c>
      <c r="NJ23" s="276">
        <f>IFERROR(1/Calculations_APPURT[[#This Row],[Brackets]],0) * cv_M/cv_F * Forces_APPURT[[#This Row],[Delta Fa 240]] * Calculations_APPURT[[#This Row],[Horizontal Offset]]/12</f>
        <v>0</v>
      </c>
      <c r="NK23" s="276">
        <f>IFERROR(1/Calculations_APPURT[[#This Row],[Brackets]],0) * cv_M/cv_F * Forces_APPURT[[#This Row],[Delta Fa 270]] * Calculations_APPURT[[#This Row],[Horizontal Offset]]/12</f>
        <v>0</v>
      </c>
      <c r="NL23" s="276">
        <f>IFERROR(1/Calculations_APPURT[[#This Row],[Brackets]],0) * cv_M/cv_F * Forces_APPURT[[#This Row],[Delta Fa 300]] * Calculations_APPURT[[#This Row],[Horizontal Offset]]/12</f>
        <v>0</v>
      </c>
      <c r="NM23" s="276">
        <f>IFERROR(1/Calculations_APPURT[[#This Row],[Brackets]],0) * cv_M/cv_F * Forces_APPURT[[#This Row],[Delta Fa 315]] * Calculations_APPURT[[#This Row],[Horizontal Offset]]/12</f>
        <v>0</v>
      </c>
      <c r="NN23" s="276">
        <f>IFERROR(1/Calculations_APPURT[[#This Row],[Brackets]],0) * cv_M/cv_F * Forces_APPURT[[#This Row],[Delta Fa 330]] * Calculations_APPURT[[#This Row],[Horizontal Offset]]/12</f>
        <v>0</v>
      </c>
      <c r="NO23" s="276">
        <f>IFERROR(1/Calculations_APPURT[[#This Row],[Brackets]],0) * cv_M/cv_F * Forces_APPURT[[#This Row],[Alpha Fai 0]] * Calculations_APPURT[[#This Row],[Horizontal Offset]]/12</f>
        <v>0</v>
      </c>
      <c r="NP23" s="276">
        <f>IFERROR(1/Calculations_APPURT[[#This Row],[Brackets]],0) * cv_M/cv_F * Forces_APPURT[[#This Row],[Alpha Fai 30]] * Calculations_APPURT[[#This Row],[Horizontal Offset]]/12</f>
        <v>0</v>
      </c>
      <c r="NQ23" s="276">
        <f>IFERROR(1/Calculations_APPURT[[#This Row],[Brackets]],0) * cv_M/cv_F * Forces_APPURT[[#This Row],[Alpha Fai 45]] * Calculations_APPURT[[#This Row],[Horizontal Offset]]/12</f>
        <v>0</v>
      </c>
      <c r="NR23" s="276">
        <f>IFERROR(1/Calculations_APPURT[[#This Row],[Brackets]],0) * cv_M/cv_F * Forces_APPURT[[#This Row],[Alpha Fai 60]] * Calculations_APPURT[[#This Row],[Horizontal Offset]]/12</f>
        <v>0</v>
      </c>
      <c r="NS23" s="276">
        <f>IFERROR(1/Calculations_APPURT[[#This Row],[Brackets]],0) * cv_M/cv_F * Forces_APPURT[[#This Row],[Alpha Fai 90]] * Calculations_APPURT[[#This Row],[Horizontal Offset]]/12</f>
        <v>0</v>
      </c>
      <c r="NT23" s="276">
        <f>IFERROR(1/Calculations_APPURT[[#This Row],[Brackets]],0) * cv_M/cv_F * Forces_APPURT[[#This Row],[Alpha Fai 120]] * Calculations_APPURT[[#This Row],[Horizontal Offset]]/12</f>
        <v>0</v>
      </c>
      <c r="NU23" s="276">
        <f>IFERROR(1/Calculations_APPURT[[#This Row],[Brackets]],0) * cv_M/cv_F * Forces_APPURT[[#This Row],[Alpha Fai 135]] * Calculations_APPURT[[#This Row],[Horizontal Offset]]/12</f>
        <v>0</v>
      </c>
      <c r="NV23" s="276">
        <f>IFERROR(1/Calculations_APPURT[[#This Row],[Brackets]],0) * cv_M/cv_F * Forces_APPURT[[#This Row],[Alpha Fai 150]] * Calculations_APPURT[[#This Row],[Horizontal Offset]]/12</f>
        <v>0</v>
      </c>
      <c r="NW23" s="276">
        <f>IFERROR(1/Calculations_APPURT[[#This Row],[Brackets]],0) * cv_M/cv_F * Forces_APPURT[[#This Row],[Alpha Fai 180]] * Calculations_APPURT[[#This Row],[Horizontal Offset]]/12</f>
        <v>0</v>
      </c>
      <c r="NX23" s="276">
        <f>IFERROR(1/Calculations_APPURT[[#This Row],[Brackets]],0) * cv_M/cv_F * Forces_APPURT[[#This Row],[Alpha Fai 210]] * Calculations_APPURT[[#This Row],[Horizontal Offset]]/12</f>
        <v>0</v>
      </c>
      <c r="NY23" s="276">
        <f>IFERROR(1/Calculations_APPURT[[#This Row],[Brackets]],0) * cv_M/cv_F * Forces_APPURT[[#This Row],[Alpha Fai 225]] * Calculations_APPURT[[#This Row],[Horizontal Offset]]/12</f>
        <v>0</v>
      </c>
      <c r="NZ23" s="276">
        <f>IFERROR(1/Calculations_APPURT[[#This Row],[Brackets]],0) * cv_M/cv_F * Forces_APPURT[[#This Row],[Alpha Fai 240]] * Calculations_APPURT[[#This Row],[Horizontal Offset]]/12</f>
        <v>0</v>
      </c>
      <c r="OA23" s="276">
        <f>IFERROR(1/Calculations_APPURT[[#This Row],[Brackets]],0) * cv_M/cv_F * Forces_APPURT[[#This Row],[Alpha Fai 270]] * Calculations_APPURT[[#This Row],[Horizontal Offset]]/12</f>
        <v>0</v>
      </c>
      <c r="OB23" s="276">
        <f>IFERROR(1/Calculations_APPURT[[#This Row],[Brackets]],0) * cv_M/cv_F * Forces_APPURT[[#This Row],[Alpha Fai 300]] * Calculations_APPURT[[#This Row],[Horizontal Offset]]/12</f>
        <v>0</v>
      </c>
      <c r="OC23" s="276">
        <f>IFERROR(1/Calculations_APPURT[[#This Row],[Brackets]],0) * cv_M/cv_F * Forces_APPURT[[#This Row],[Alpha Fai 315]] * Calculations_APPURT[[#This Row],[Horizontal Offset]]/12</f>
        <v>0</v>
      </c>
      <c r="OD23" s="276">
        <f>IFERROR(1/Calculations_APPURT[[#This Row],[Brackets]],0) * cv_M/cv_F * Forces_APPURT[[#This Row],[Alpha Fai 330]] * Calculations_APPURT[[#This Row],[Horizontal Offset]]/12</f>
        <v>0</v>
      </c>
      <c r="OE23" s="276">
        <f>IFERROR(1/Calculations_APPURT[[#This Row],[Brackets]],0) * cv_M/cv_F * Forces_APPURT[[#This Row],[Beta Fai 0]] * Calculations_APPURT[[#This Row],[Horizontal Offset]]/12</f>
        <v>0</v>
      </c>
      <c r="OF23" s="276">
        <f>IFERROR(1/Calculations_APPURT[[#This Row],[Brackets]],0) * cv_M/cv_F * Forces_APPURT[[#This Row],[Beta Fai 30]] * Calculations_APPURT[[#This Row],[Horizontal Offset]]/12</f>
        <v>0</v>
      </c>
      <c r="OG23" s="276">
        <f>IFERROR(1/Calculations_APPURT[[#This Row],[Brackets]],0) * cv_M/cv_F * Forces_APPURT[[#This Row],[Beta Fai 45]] * Calculations_APPURT[[#This Row],[Horizontal Offset]]/12</f>
        <v>0</v>
      </c>
      <c r="OH23" s="276">
        <f>IFERROR(1/Calculations_APPURT[[#This Row],[Brackets]],0) * cv_M/cv_F * Forces_APPURT[[#This Row],[Beta Fai 60]] * Calculations_APPURT[[#This Row],[Horizontal Offset]]/12</f>
        <v>0</v>
      </c>
      <c r="OI23" s="276">
        <f>IFERROR(1/Calculations_APPURT[[#This Row],[Brackets]],0) * cv_M/cv_F * Forces_APPURT[[#This Row],[Beta Fai 90]] * Calculations_APPURT[[#This Row],[Horizontal Offset]]/12</f>
        <v>0</v>
      </c>
      <c r="OJ23" s="276">
        <f>IFERROR(1/Calculations_APPURT[[#This Row],[Brackets]],0) * cv_M/cv_F * Forces_APPURT[[#This Row],[Beta Fai 120]] * Calculations_APPURT[[#This Row],[Horizontal Offset]]/12</f>
        <v>0</v>
      </c>
      <c r="OK23" s="276">
        <f>IFERROR(1/Calculations_APPURT[[#This Row],[Brackets]],0) * cv_M/cv_F * Forces_APPURT[[#This Row],[Beta Fai 135]] * Calculations_APPURT[[#This Row],[Horizontal Offset]]/12</f>
        <v>0</v>
      </c>
      <c r="OL23" s="276">
        <f>IFERROR(1/Calculations_APPURT[[#This Row],[Brackets]],0) * cv_M/cv_F * Forces_APPURT[[#This Row],[Beta Fai 150]] * Calculations_APPURT[[#This Row],[Horizontal Offset]]/12</f>
        <v>0</v>
      </c>
      <c r="OM23" s="276">
        <f>IFERROR(1/Calculations_APPURT[[#This Row],[Brackets]],0) * cv_M/cv_F * Forces_APPURT[[#This Row],[Beta Fai 180]] * Calculations_APPURT[[#This Row],[Horizontal Offset]]/12</f>
        <v>0</v>
      </c>
      <c r="ON23" s="276">
        <f>IFERROR(1/Calculations_APPURT[[#This Row],[Brackets]],0) * cv_M/cv_F * Forces_APPURT[[#This Row],[Beta Fai 210]] * Calculations_APPURT[[#This Row],[Horizontal Offset]]/12</f>
        <v>0</v>
      </c>
      <c r="OO23" s="276">
        <f>IFERROR(1/Calculations_APPURT[[#This Row],[Brackets]],0) * cv_M/cv_F * Forces_APPURT[[#This Row],[Beta Fai 225]] * Calculations_APPURT[[#This Row],[Horizontal Offset]]/12</f>
        <v>0</v>
      </c>
      <c r="OP23" s="276">
        <f>IFERROR(1/Calculations_APPURT[[#This Row],[Brackets]],0) * cv_M/cv_F * Forces_APPURT[[#This Row],[Beta Fai 240]] * Calculations_APPURT[[#This Row],[Horizontal Offset]]/12</f>
        <v>0</v>
      </c>
      <c r="OQ23" s="276">
        <f>IFERROR(1/Calculations_APPURT[[#This Row],[Brackets]],0) * cv_M/cv_F * Forces_APPURT[[#This Row],[Beta Fai 270]] * Calculations_APPURT[[#This Row],[Horizontal Offset]]/12</f>
        <v>0</v>
      </c>
      <c r="OR23" s="276">
        <f>IFERROR(1/Calculations_APPURT[[#This Row],[Brackets]],0) * cv_M/cv_F * Forces_APPURT[[#This Row],[Beta Fai 300]] * Calculations_APPURT[[#This Row],[Horizontal Offset]]/12</f>
        <v>0</v>
      </c>
      <c r="OS23" s="276">
        <f>IFERROR(1/Calculations_APPURT[[#This Row],[Brackets]],0) * cv_M/cv_F * Forces_APPURT[[#This Row],[Beta Fai 315]] * Calculations_APPURT[[#This Row],[Horizontal Offset]]/12</f>
        <v>0</v>
      </c>
      <c r="OT23" s="276">
        <f>IFERROR(1/Calculations_APPURT[[#This Row],[Brackets]],0) * cv_M/cv_F * Forces_APPURT[[#This Row],[Beta Fai 330]] * Calculations_APPURT[[#This Row],[Horizontal Offset]]/12</f>
        <v>0</v>
      </c>
      <c r="OU23" s="276">
        <f>IFERROR(1/Calculations_APPURT[[#This Row],[Brackets]],0) * cv_M/cv_F * Forces_APPURT[[#This Row],[Gamma Fai 0]] * Calculations_APPURT[[#This Row],[Horizontal Offset]]/12</f>
        <v>0</v>
      </c>
      <c r="OV23" s="276">
        <f>IFERROR(1/Calculations_APPURT[[#This Row],[Brackets]],0) * cv_M/cv_F * Forces_APPURT[[#This Row],[Gamma Fai 30]] * Calculations_APPURT[[#This Row],[Horizontal Offset]]/12</f>
        <v>0</v>
      </c>
      <c r="OW23" s="276">
        <f>IFERROR(1/Calculations_APPURT[[#This Row],[Brackets]],0) * cv_M/cv_F * Forces_APPURT[[#This Row],[Gamma Fai 45]] * Calculations_APPURT[[#This Row],[Horizontal Offset]]/12</f>
        <v>0</v>
      </c>
      <c r="OX23" s="276">
        <f>IFERROR(1/Calculations_APPURT[[#This Row],[Brackets]],0) * cv_M/cv_F * Forces_APPURT[[#This Row],[Gamma Fai 60]] * Calculations_APPURT[[#This Row],[Horizontal Offset]]/12</f>
        <v>0</v>
      </c>
      <c r="OY23" s="276">
        <f>IFERROR(1/Calculations_APPURT[[#This Row],[Brackets]],0) * cv_M/cv_F * Forces_APPURT[[#This Row],[Gamma Fai 90]] * Calculations_APPURT[[#This Row],[Horizontal Offset]]/12</f>
        <v>0</v>
      </c>
      <c r="OZ23" s="276">
        <f>IFERROR(1/Calculations_APPURT[[#This Row],[Brackets]],0) * cv_M/cv_F * Forces_APPURT[[#This Row],[Gamma Fai 120]] * Calculations_APPURT[[#This Row],[Horizontal Offset]]/12</f>
        <v>0</v>
      </c>
      <c r="PA23" s="276">
        <f>IFERROR(1/Calculations_APPURT[[#This Row],[Brackets]],0) * cv_M/cv_F * Forces_APPURT[[#This Row],[Gamma Fai 135]] * Calculations_APPURT[[#This Row],[Horizontal Offset]]/12</f>
        <v>0</v>
      </c>
      <c r="PB23" s="276">
        <f>IFERROR(1/Calculations_APPURT[[#This Row],[Brackets]],0) * cv_M/cv_F * Forces_APPURT[[#This Row],[Gamma Fai 150]] * Calculations_APPURT[[#This Row],[Horizontal Offset]]/12</f>
        <v>0</v>
      </c>
      <c r="PC23" s="276">
        <f>IFERROR(1/Calculations_APPURT[[#This Row],[Brackets]],0) * cv_M/cv_F * Forces_APPURT[[#This Row],[Gamma Fai 180]] * Calculations_APPURT[[#This Row],[Horizontal Offset]]/12</f>
        <v>0</v>
      </c>
      <c r="PD23" s="276">
        <f>IFERROR(1/Calculations_APPURT[[#This Row],[Brackets]],0) * cv_M/cv_F * Forces_APPURT[[#This Row],[Gamma Fai 210]] * Calculations_APPURT[[#This Row],[Horizontal Offset]]/12</f>
        <v>0</v>
      </c>
      <c r="PE23" s="276">
        <f>IFERROR(1/Calculations_APPURT[[#This Row],[Brackets]],0) * cv_M/cv_F * Forces_APPURT[[#This Row],[Gamma Fai 225]] * Calculations_APPURT[[#This Row],[Horizontal Offset]]/12</f>
        <v>0</v>
      </c>
      <c r="PF23" s="276">
        <f>IFERROR(1/Calculations_APPURT[[#This Row],[Brackets]],0) * cv_M/cv_F * Forces_APPURT[[#This Row],[Gamma Fai 240]] * Calculations_APPURT[[#This Row],[Horizontal Offset]]/12</f>
        <v>0</v>
      </c>
      <c r="PG23" s="276">
        <f>IFERROR(1/Calculations_APPURT[[#This Row],[Brackets]],0) * cv_M/cv_F * Forces_APPURT[[#This Row],[Gamma Fai 270]] * Calculations_APPURT[[#This Row],[Horizontal Offset]]/12</f>
        <v>0</v>
      </c>
      <c r="PH23" s="276">
        <f>IFERROR(1/Calculations_APPURT[[#This Row],[Brackets]],0) * cv_M/cv_F * Forces_APPURT[[#This Row],[Gamma Fai 300]] * Calculations_APPURT[[#This Row],[Horizontal Offset]]/12</f>
        <v>0</v>
      </c>
      <c r="PI23" s="276">
        <f>IFERROR(1/Calculations_APPURT[[#This Row],[Brackets]],0) * cv_M/cv_F * Forces_APPURT[[#This Row],[Gamma Fai 315]] * Calculations_APPURT[[#This Row],[Horizontal Offset]]/12</f>
        <v>0</v>
      </c>
      <c r="PJ23" s="276">
        <f>IFERROR(1/Calculations_APPURT[[#This Row],[Brackets]],0) * cv_M/cv_F * Forces_APPURT[[#This Row],[Gamma Fai 330]] * Calculations_APPURT[[#This Row],[Horizontal Offset]]/12</f>
        <v>0</v>
      </c>
      <c r="PK23" s="276">
        <f>IFERROR(1/Calculations_APPURT[[#This Row],[Brackets]],0) * cv_M/cv_F * Forces_APPURT[[#This Row],[Delta Fai 0]] * Calculations_APPURT[[#This Row],[Horizontal Offset]]/12</f>
        <v>0</v>
      </c>
      <c r="PL23" s="276">
        <f>IFERROR(1/Calculations_APPURT[[#This Row],[Brackets]],0) * cv_M/cv_F * Forces_APPURT[[#This Row],[Delta Fai 30]] * Calculations_APPURT[[#This Row],[Horizontal Offset]]/12</f>
        <v>0</v>
      </c>
      <c r="PM23" s="276">
        <f>IFERROR(1/Calculations_APPURT[[#This Row],[Brackets]],0) * cv_M/cv_F * Forces_APPURT[[#This Row],[Delta Fai 45]] * Calculations_APPURT[[#This Row],[Horizontal Offset]]/12</f>
        <v>0</v>
      </c>
      <c r="PN23" s="276">
        <f>IFERROR(1/Calculations_APPURT[[#This Row],[Brackets]],0) * cv_M/cv_F * Forces_APPURT[[#This Row],[Delta Fai 60]] * Calculations_APPURT[[#This Row],[Horizontal Offset]]/12</f>
        <v>0</v>
      </c>
      <c r="PO23" s="276">
        <f>IFERROR(1/Calculations_APPURT[[#This Row],[Brackets]],0) * cv_M/cv_F * Forces_APPURT[[#This Row],[Delta Fai 90]] * Calculations_APPURT[[#This Row],[Horizontal Offset]]/12</f>
        <v>0</v>
      </c>
      <c r="PP23" s="276">
        <f>IFERROR(1/Calculations_APPURT[[#This Row],[Brackets]],0) * cv_M/cv_F * Forces_APPURT[[#This Row],[Delta Fai 120]] * Calculations_APPURT[[#This Row],[Horizontal Offset]]/12</f>
        <v>0</v>
      </c>
      <c r="PQ23" s="276">
        <f>IFERROR(1/Calculations_APPURT[[#This Row],[Brackets]],0) * cv_M/cv_F * Forces_APPURT[[#This Row],[Delta Fai 135]] * Calculations_APPURT[[#This Row],[Horizontal Offset]]/12</f>
        <v>0</v>
      </c>
      <c r="PR23" s="276">
        <f>IFERROR(1/Calculations_APPURT[[#This Row],[Brackets]],0) * cv_M/cv_F * Forces_APPURT[[#This Row],[Delta Fai 150]] * Calculations_APPURT[[#This Row],[Horizontal Offset]]/12</f>
        <v>0</v>
      </c>
      <c r="PS23" s="276">
        <f>IFERROR(1/Calculations_APPURT[[#This Row],[Brackets]],0) * cv_M/cv_F * Forces_APPURT[[#This Row],[Delta Fai 180]] * Calculations_APPURT[[#This Row],[Horizontal Offset]]/12</f>
        <v>0</v>
      </c>
      <c r="PT23" s="276">
        <f>IFERROR(1/Calculations_APPURT[[#This Row],[Brackets]],0) * cv_M/cv_F * Forces_APPURT[[#This Row],[Delta Fai 210]] * Calculations_APPURT[[#This Row],[Horizontal Offset]]/12</f>
        <v>0</v>
      </c>
      <c r="PU23" s="276">
        <f>IFERROR(1/Calculations_APPURT[[#This Row],[Brackets]],0) * cv_M/cv_F * Forces_APPURT[[#This Row],[Delta Fai 225]] * Calculations_APPURT[[#This Row],[Horizontal Offset]]/12</f>
        <v>0</v>
      </c>
      <c r="PV23" s="276">
        <f>IFERROR(1/Calculations_APPURT[[#This Row],[Brackets]],0) * cv_M/cv_F * Forces_APPURT[[#This Row],[Delta Fai 240]] * Calculations_APPURT[[#This Row],[Horizontal Offset]]/12</f>
        <v>0</v>
      </c>
      <c r="PW23" s="276">
        <f>IFERROR(1/Calculations_APPURT[[#This Row],[Brackets]],0) * cv_M/cv_F * Forces_APPURT[[#This Row],[Delta Fai 270]] * Calculations_APPURT[[#This Row],[Horizontal Offset]]/12</f>
        <v>0</v>
      </c>
      <c r="PX23" s="276">
        <f>IFERROR(1/Calculations_APPURT[[#This Row],[Brackets]],0) * cv_M/cv_F * Forces_APPURT[[#This Row],[Delta Fai 300]] * Calculations_APPURT[[#This Row],[Horizontal Offset]]/12</f>
        <v>0</v>
      </c>
      <c r="PY23" s="276">
        <f>IFERROR(1/Calculations_APPURT[[#This Row],[Brackets]],0) * cv_M/cv_F * Forces_APPURT[[#This Row],[Delta Fai 315]] * Calculations_APPURT[[#This Row],[Horizontal Offset]]/12</f>
        <v>0</v>
      </c>
      <c r="PZ23" s="276">
        <f>IFERROR(1/Calculations_APPURT[[#This Row],[Brackets]],0) * cv_M/cv_F * Forces_APPURT[[#This Row],[Delta Fai 330]] * Calculations_APPURT[[#This Row],[Horizontal Offset]]/12</f>
        <v>0</v>
      </c>
      <c r="QA23" s="276">
        <f>IFERROR(1/Calculations_APPURT[[#This Row],[Brackets]],0) * cv_M/cv_F * Forces_APPURT[[#This Row],[Alpha Fa 0]] * Calculations_APPURT[[#This Row],[Lateral Offset]]/12</f>
        <v>0</v>
      </c>
      <c r="QB23" s="276">
        <f>IFERROR(1/Calculations_APPURT[[#This Row],[Brackets]],0) * cv_M/cv_F * Forces_APPURT[[#This Row],[Alpha Fa 30]] * Calculations_APPURT[[#This Row],[Lateral Offset]]/12</f>
        <v>0</v>
      </c>
      <c r="QC23" s="276">
        <f>IFERROR(1/Calculations_APPURT[[#This Row],[Brackets]],0) * cv_M/cv_F * Forces_APPURT[[#This Row],[Alpha Fa 45]] * Calculations_APPURT[[#This Row],[Lateral Offset]]/12</f>
        <v>0</v>
      </c>
      <c r="QD23" s="276">
        <f>IFERROR(1/Calculations_APPURT[[#This Row],[Brackets]],0) * cv_M/cv_F * Forces_APPURT[[#This Row],[Alpha Fa 60]] * Calculations_APPURT[[#This Row],[Lateral Offset]]/12</f>
        <v>0</v>
      </c>
      <c r="QE23" s="276">
        <f>IFERROR(1/Calculations_APPURT[[#This Row],[Brackets]],0) * cv_M/cv_F * Forces_APPURT[[#This Row],[Alpha Fa 90]] * Calculations_APPURT[[#This Row],[Lateral Offset]]/12</f>
        <v>0</v>
      </c>
      <c r="QF23" s="276">
        <f>IFERROR(1/Calculations_APPURT[[#This Row],[Brackets]],0) * cv_M/cv_F * Forces_APPURT[[#This Row],[Alpha Fa 120]] * Calculations_APPURT[[#This Row],[Lateral Offset]]/12</f>
        <v>0</v>
      </c>
      <c r="QG23" s="276">
        <f>IFERROR(1/Calculations_APPURT[[#This Row],[Brackets]],0) * cv_M/cv_F * Forces_APPURT[[#This Row],[Alpha Fa 135]] * Calculations_APPURT[[#This Row],[Lateral Offset]]/12</f>
        <v>0</v>
      </c>
      <c r="QH23" s="276">
        <f>IFERROR(1/Calculations_APPURT[[#This Row],[Brackets]],0) * cv_M/cv_F * Forces_APPURT[[#This Row],[Alpha Fa 150]] * Calculations_APPURT[[#This Row],[Lateral Offset]]/12</f>
        <v>0</v>
      </c>
      <c r="QI23" s="276">
        <f>IFERROR(1/Calculations_APPURT[[#This Row],[Brackets]],0) * cv_M/cv_F * Forces_APPURT[[#This Row],[Alpha Fa 180]] * Calculations_APPURT[[#This Row],[Lateral Offset]]/12</f>
        <v>0</v>
      </c>
      <c r="QJ23" s="276">
        <f>IFERROR(1/Calculations_APPURT[[#This Row],[Brackets]],0) * cv_M/cv_F * Forces_APPURT[[#This Row],[Alpha Fa 210]] * Calculations_APPURT[[#This Row],[Lateral Offset]]/12</f>
        <v>0</v>
      </c>
      <c r="QK23" s="276">
        <f>IFERROR(1/Calculations_APPURT[[#This Row],[Brackets]],0) * cv_M/cv_F * Forces_APPURT[[#This Row],[Alpha Fa 225]] * Calculations_APPURT[[#This Row],[Lateral Offset]]/12</f>
        <v>0</v>
      </c>
      <c r="QL23" s="276">
        <f>IFERROR(1/Calculations_APPURT[[#This Row],[Brackets]],0) * cv_M/cv_F * Forces_APPURT[[#This Row],[Alpha Fa 240]] * Calculations_APPURT[[#This Row],[Lateral Offset]]/12</f>
        <v>0</v>
      </c>
      <c r="QM23" s="276">
        <f>IFERROR(1/Calculations_APPURT[[#This Row],[Brackets]],0) * cv_M/cv_F * Forces_APPURT[[#This Row],[Alpha Fa 270]] * Calculations_APPURT[[#This Row],[Lateral Offset]]/12</f>
        <v>0</v>
      </c>
      <c r="QN23" s="276">
        <f>IFERROR(1/Calculations_APPURT[[#This Row],[Brackets]],0) * cv_M/cv_F * Forces_APPURT[[#This Row],[Alpha Fa 300]] * Calculations_APPURT[[#This Row],[Lateral Offset]]/12</f>
        <v>0</v>
      </c>
      <c r="QO23" s="276">
        <f>IFERROR(1/Calculations_APPURT[[#This Row],[Brackets]],0) * cv_M/cv_F * Forces_APPURT[[#This Row],[Alpha Fa 315]] * Calculations_APPURT[[#This Row],[Lateral Offset]]/12</f>
        <v>0</v>
      </c>
      <c r="QP23" s="276">
        <f>IFERROR(1/Calculations_APPURT[[#This Row],[Brackets]],0) * cv_M/cv_F * Forces_APPURT[[#This Row],[Alpha Fa 330]] * Calculations_APPURT[[#This Row],[Lateral Offset]]/12</f>
        <v>0</v>
      </c>
      <c r="QQ23" s="276">
        <f>IFERROR(1/Calculations_APPURT[[#This Row],[Brackets]],0) * cv_M/cv_F * Forces_APPURT[[#This Row],[Beta Fa 0]] * Calculations_APPURT[[#This Row],[Lateral Offset]]/12</f>
        <v>0</v>
      </c>
      <c r="QR23" s="276">
        <f>IFERROR(1/Calculations_APPURT[[#This Row],[Brackets]],0) * cv_M/cv_F * Forces_APPURT[[#This Row],[Beta Fa 30]] * Calculations_APPURT[[#This Row],[Lateral Offset]]/12</f>
        <v>0</v>
      </c>
      <c r="QS23" s="276">
        <f>IFERROR(1/Calculations_APPURT[[#This Row],[Brackets]],0) * cv_M/cv_F * Forces_APPURT[[#This Row],[Beta Fa 45]] * Calculations_APPURT[[#This Row],[Lateral Offset]]/12</f>
        <v>0</v>
      </c>
      <c r="QT23" s="276">
        <f>IFERROR(1/Calculations_APPURT[[#This Row],[Brackets]],0) * cv_M/cv_F * Forces_APPURT[[#This Row],[Beta Fa 60]] * Calculations_APPURT[[#This Row],[Lateral Offset]]/12</f>
        <v>0</v>
      </c>
      <c r="QU23" s="276">
        <f>IFERROR(1/Calculations_APPURT[[#This Row],[Brackets]],0) * cv_M/cv_F * Forces_APPURT[[#This Row],[Beta Fa 90]] * Calculations_APPURT[[#This Row],[Lateral Offset]]/12</f>
        <v>0</v>
      </c>
      <c r="QV23" s="276">
        <f>IFERROR(1/Calculations_APPURT[[#This Row],[Brackets]],0) * cv_M/cv_F * Forces_APPURT[[#This Row],[Beta Fa 120]] * Calculations_APPURT[[#This Row],[Lateral Offset]]/12</f>
        <v>0</v>
      </c>
      <c r="QW23" s="276">
        <f>IFERROR(1/Calculations_APPURT[[#This Row],[Brackets]],0) * cv_M/cv_F * Forces_APPURT[[#This Row],[Beta Fa 135]] * Calculations_APPURT[[#This Row],[Lateral Offset]]/12</f>
        <v>0</v>
      </c>
      <c r="QX23" s="276">
        <f>IFERROR(1/Calculations_APPURT[[#This Row],[Brackets]],0) * cv_M/cv_F * Forces_APPURT[[#This Row],[Beta Fa 150]] * Calculations_APPURT[[#This Row],[Lateral Offset]]/12</f>
        <v>0</v>
      </c>
      <c r="QY23" s="276">
        <f>IFERROR(1/Calculations_APPURT[[#This Row],[Brackets]],0) * cv_M/cv_F * Forces_APPURT[[#This Row],[Beta Fa 180]] * Calculations_APPURT[[#This Row],[Lateral Offset]]/12</f>
        <v>0</v>
      </c>
      <c r="QZ23" s="276">
        <f>IFERROR(1/Calculations_APPURT[[#This Row],[Brackets]],0) * cv_M/cv_F * Forces_APPURT[[#This Row],[Beta Fa 210]] * Calculations_APPURT[[#This Row],[Lateral Offset]]/12</f>
        <v>0</v>
      </c>
      <c r="RA23" s="276">
        <f>IFERROR(1/Calculations_APPURT[[#This Row],[Brackets]],0) * cv_M/cv_F * Forces_APPURT[[#This Row],[Beta Fa 225]] * Calculations_APPURT[[#This Row],[Lateral Offset]]/12</f>
        <v>0</v>
      </c>
      <c r="RB23" s="276">
        <f>IFERROR(1/Calculations_APPURT[[#This Row],[Brackets]],0) * cv_M/cv_F * Forces_APPURT[[#This Row],[Beta Fa 240]] * Calculations_APPURT[[#This Row],[Lateral Offset]]/12</f>
        <v>0</v>
      </c>
      <c r="RC23" s="276">
        <f>IFERROR(1/Calculations_APPURT[[#This Row],[Brackets]],0) * cv_M/cv_F * Forces_APPURT[[#This Row],[Beta Fa 270]] * Calculations_APPURT[[#This Row],[Lateral Offset]]/12</f>
        <v>0</v>
      </c>
      <c r="RD23" s="276">
        <f>IFERROR(1/Calculations_APPURT[[#This Row],[Brackets]],0) * cv_M/cv_F * Forces_APPURT[[#This Row],[Beta Fa 300]] * Calculations_APPURT[[#This Row],[Lateral Offset]]/12</f>
        <v>0</v>
      </c>
      <c r="RE23" s="276">
        <f>IFERROR(1/Calculations_APPURT[[#This Row],[Brackets]],0) * cv_M/cv_F * Forces_APPURT[[#This Row],[Beta Fa 315]] * Calculations_APPURT[[#This Row],[Lateral Offset]]/12</f>
        <v>0</v>
      </c>
      <c r="RF23" s="276">
        <f>IFERROR(1/Calculations_APPURT[[#This Row],[Brackets]],0) * cv_M/cv_F * Forces_APPURT[[#This Row],[Beta Fa 330]] * Calculations_APPURT[[#This Row],[Lateral Offset]]/12</f>
        <v>0</v>
      </c>
      <c r="RG23" s="276">
        <f>IFERROR(1/Calculations_APPURT[[#This Row],[Brackets]],0) * cv_M/cv_F * Forces_APPURT[[#This Row],[Gamma Fa 0]] * Calculations_APPURT[[#This Row],[Lateral Offset]]/12</f>
        <v>0</v>
      </c>
      <c r="RH23" s="276">
        <f>IFERROR(1/Calculations_APPURT[[#This Row],[Brackets]],0) * cv_M/cv_F * Forces_APPURT[[#This Row],[Gamma Fa 30]] * Calculations_APPURT[[#This Row],[Lateral Offset]]/12</f>
        <v>0</v>
      </c>
      <c r="RI23" s="276">
        <f>IFERROR(1/Calculations_APPURT[[#This Row],[Brackets]],0) * cv_M/cv_F * Forces_APPURT[[#This Row],[Gamma Fa 45]] * Calculations_APPURT[[#This Row],[Lateral Offset]]/12</f>
        <v>0</v>
      </c>
      <c r="RJ23" s="276">
        <f>IFERROR(1/Calculations_APPURT[[#This Row],[Brackets]],0) * cv_M/cv_F * Forces_APPURT[[#This Row],[Gamma Fa 60]] * Calculations_APPURT[[#This Row],[Lateral Offset]]/12</f>
        <v>0</v>
      </c>
      <c r="RK23" s="276">
        <f>IFERROR(1/Calculations_APPURT[[#This Row],[Brackets]],0) * cv_M/cv_F * Forces_APPURT[[#This Row],[Gamma Fa 90]] * Calculations_APPURT[[#This Row],[Lateral Offset]]/12</f>
        <v>0</v>
      </c>
      <c r="RL23" s="276">
        <f>IFERROR(1/Calculations_APPURT[[#This Row],[Brackets]],0) * cv_M/cv_F * Forces_APPURT[[#This Row],[Gamma Fa 120]] * Calculations_APPURT[[#This Row],[Lateral Offset]]/12</f>
        <v>0</v>
      </c>
      <c r="RM23" s="276">
        <f>IFERROR(1/Calculations_APPURT[[#This Row],[Brackets]],0) * cv_M/cv_F * Forces_APPURT[[#This Row],[Gamma Fa 135]] * Calculations_APPURT[[#This Row],[Lateral Offset]]/12</f>
        <v>0</v>
      </c>
      <c r="RN23" s="276">
        <f>IFERROR(1/Calculations_APPURT[[#This Row],[Brackets]],0) * cv_M/cv_F * Forces_APPURT[[#This Row],[Gamma Fa 150]] * Calculations_APPURT[[#This Row],[Lateral Offset]]/12</f>
        <v>0</v>
      </c>
      <c r="RO23" s="276">
        <f>IFERROR(1/Calculations_APPURT[[#This Row],[Brackets]],0) * cv_M/cv_F * Forces_APPURT[[#This Row],[Gamma Fa 180]] * Calculations_APPURT[[#This Row],[Lateral Offset]]/12</f>
        <v>0</v>
      </c>
      <c r="RP23" s="276">
        <f>IFERROR(1/Calculations_APPURT[[#This Row],[Brackets]],0) * cv_M/cv_F * Forces_APPURT[[#This Row],[Gamma Fa 210]] * Calculations_APPURT[[#This Row],[Lateral Offset]]/12</f>
        <v>0</v>
      </c>
      <c r="RQ23" s="276">
        <f>IFERROR(1/Calculations_APPURT[[#This Row],[Brackets]],0) * cv_M/cv_F * Forces_APPURT[[#This Row],[Gamma Fa 225]] * Calculations_APPURT[[#This Row],[Lateral Offset]]/12</f>
        <v>0</v>
      </c>
      <c r="RR23" s="276">
        <f>IFERROR(1/Calculations_APPURT[[#This Row],[Brackets]],0) * cv_M/cv_F * Forces_APPURT[[#This Row],[Gamma Fa 240]] * Calculations_APPURT[[#This Row],[Lateral Offset]]/12</f>
        <v>0</v>
      </c>
      <c r="RS23" s="276">
        <f>IFERROR(1/Calculations_APPURT[[#This Row],[Brackets]],0) * cv_M/cv_F * Forces_APPURT[[#This Row],[Gamma Fa 270]] * Calculations_APPURT[[#This Row],[Lateral Offset]]/12</f>
        <v>0</v>
      </c>
      <c r="RT23" s="276">
        <f>IFERROR(1/Calculations_APPURT[[#This Row],[Brackets]],0) * cv_M/cv_F * Forces_APPURT[[#This Row],[Gamma Fa 300]] * Calculations_APPURT[[#This Row],[Lateral Offset]]/12</f>
        <v>0</v>
      </c>
      <c r="RU23" s="276">
        <f>IFERROR(1/Calculations_APPURT[[#This Row],[Brackets]],0) * cv_M/cv_F * Forces_APPURT[[#This Row],[Gamma Fa 315]] * Calculations_APPURT[[#This Row],[Lateral Offset]]/12</f>
        <v>0</v>
      </c>
      <c r="RV23" s="276">
        <f>IFERROR(1/Calculations_APPURT[[#This Row],[Brackets]],0) * cv_M/cv_F * Forces_APPURT[[#This Row],[Gamma Fa 330]] * Calculations_APPURT[[#This Row],[Lateral Offset]]/12</f>
        <v>0</v>
      </c>
      <c r="RW23" s="276">
        <f>IFERROR(1/Calculations_APPURT[[#This Row],[Brackets]],0) * cv_M/cv_F * Forces_APPURT[[#This Row],[Delta Fa 0]] * Calculations_APPURT[[#This Row],[Lateral Offset]]/12</f>
        <v>0</v>
      </c>
      <c r="RX23" s="276">
        <f>IFERROR(1/Calculations_APPURT[[#This Row],[Brackets]],0) * cv_M/cv_F * Forces_APPURT[[#This Row],[Delta Fa 30]] * Calculations_APPURT[[#This Row],[Lateral Offset]]/12</f>
        <v>0</v>
      </c>
      <c r="RY23" s="276">
        <f>IFERROR(1/Calculations_APPURT[[#This Row],[Brackets]],0) * cv_M/cv_F * Forces_APPURT[[#This Row],[Delta Fa 45]] * Calculations_APPURT[[#This Row],[Lateral Offset]]/12</f>
        <v>0</v>
      </c>
      <c r="RZ23" s="276">
        <f>IFERROR(1/Calculations_APPURT[[#This Row],[Brackets]],0) * cv_M/cv_F * Forces_APPURT[[#This Row],[Delta Fa 60]] * Calculations_APPURT[[#This Row],[Lateral Offset]]/12</f>
        <v>0</v>
      </c>
      <c r="SA23" s="276">
        <f>IFERROR(1/Calculations_APPURT[[#This Row],[Brackets]],0) * cv_M/cv_F * Forces_APPURT[[#This Row],[Delta Fa 90]] * Calculations_APPURT[[#This Row],[Lateral Offset]]/12</f>
        <v>0</v>
      </c>
      <c r="SB23" s="276">
        <f>IFERROR(1/Calculations_APPURT[[#This Row],[Brackets]],0) * cv_M/cv_F * Forces_APPURT[[#This Row],[Delta Fa 120]] * Calculations_APPURT[[#This Row],[Lateral Offset]]/12</f>
        <v>0</v>
      </c>
      <c r="SC23" s="276">
        <f>IFERROR(1/Calculations_APPURT[[#This Row],[Brackets]],0) * cv_M/cv_F * Forces_APPURT[[#This Row],[Delta Fa 135]] * Calculations_APPURT[[#This Row],[Lateral Offset]]/12</f>
        <v>0</v>
      </c>
      <c r="SD23" s="276">
        <f>IFERROR(1/Calculations_APPURT[[#This Row],[Brackets]],0) * cv_M/cv_F * Forces_APPURT[[#This Row],[Delta Fa 150]] * Calculations_APPURT[[#This Row],[Lateral Offset]]/12</f>
        <v>0</v>
      </c>
      <c r="SE23" s="276">
        <f>IFERROR(1/Calculations_APPURT[[#This Row],[Brackets]],0) * cv_M/cv_F * Forces_APPURT[[#This Row],[Delta Fa 180]] * Calculations_APPURT[[#This Row],[Lateral Offset]]/12</f>
        <v>0</v>
      </c>
      <c r="SF23" s="276">
        <f>IFERROR(1/Calculations_APPURT[[#This Row],[Brackets]],0) * cv_M/cv_F * Forces_APPURT[[#This Row],[Delta Fa 210]] * Calculations_APPURT[[#This Row],[Lateral Offset]]/12</f>
        <v>0</v>
      </c>
      <c r="SG23" s="276">
        <f>IFERROR(1/Calculations_APPURT[[#This Row],[Brackets]],0) * cv_M/cv_F * Forces_APPURT[[#This Row],[Delta Fa 225]] * Calculations_APPURT[[#This Row],[Lateral Offset]]/12</f>
        <v>0</v>
      </c>
      <c r="SH23" s="276">
        <f>IFERROR(1/Calculations_APPURT[[#This Row],[Brackets]],0) * cv_M/cv_F * Forces_APPURT[[#This Row],[Delta Fa 240]] * Calculations_APPURT[[#This Row],[Lateral Offset]]/12</f>
        <v>0</v>
      </c>
      <c r="SI23" s="276">
        <f>IFERROR(1/Calculations_APPURT[[#This Row],[Brackets]],0) * cv_M/cv_F * Forces_APPURT[[#This Row],[Delta Fa 270]] * Calculations_APPURT[[#This Row],[Lateral Offset]]/12</f>
        <v>0</v>
      </c>
      <c r="SJ23" s="276">
        <f>IFERROR(1/Calculations_APPURT[[#This Row],[Brackets]],0) * cv_M/cv_F * Forces_APPURT[[#This Row],[Delta Fa 300]] * Calculations_APPURT[[#This Row],[Lateral Offset]]/12</f>
        <v>0</v>
      </c>
      <c r="SK23" s="276">
        <f>IFERROR(1/Calculations_APPURT[[#This Row],[Brackets]],0) * cv_M/cv_F * Forces_APPURT[[#This Row],[Delta Fa 315]] * Calculations_APPURT[[#This Row],[Lateral Offset]]/12</f>
        <v>0</v>
      </c>
      <c r="SL23" s="276">
        <f>IFERROR(1/Calculations_APPURT[[#This Row],[Brackets]],0) * cv_M/cv_F * Forces_APPURT[[#This Row],[Delta Fa 330]] * Calculations_APPURT[[#This Row],[Lateral Offset]]/12</f>
        <v>0</v>
      </c>
      <c r="SM23" s="276">
        <f>IFERROR(1/Calculations_APPURT[[#This Row],[Brackets]],0) * cv_M/cv_F * Forces_APPURT[[#This Row],[Alpha Fai 0]] * Calculations_APPURT[[#This Row],[Lateral Offset]]/12</f>
        <v>0</v>
      </c>
      <c r="SN23" s="276">
        <f>IFERROR(1/Calculations_APPURT[[#This Row],[Brackets]],0) * cv_M/cv_F * Forces_APPURT[[#This Row],[Alpha Fai 30]] * Calculations_APPURT[[#This Row],[Lateral Offset]]/12</f>
        <v>0</v>
      </c>
      <c r="SO23" s="276">
        <f>IFERROR(1/Calculations_APPURT[[#This Row],[Brackets]],0) * cv_M/cv_F * Forces_APPURT[[#This Row],[Alpha Fai 45]] * Calculations_APPURT[[#This Row],[Lateral Offset]]/12</f>
        <v>0</v>
      </c>
      <c r="SP23" s="276">
        <f>IFERROR(1/Calculations_APPURT[[#This Row],[Brackets]],0) * cv_M/cv_F * Forces_APPURT[[#This Row],[Alpha Fai 60]] * Calculations_APPURT[[#This Row],[Lateral Offset]]/12</f>
        <v>0</v>
      </c>
      <c r="SQ23" s="276">
        <f>IFERROR(1/Calculations_APPURT[[#This Row],[Brackets]],0) * cv_M/cv_F * Forces_APPURT[[#This Row],[Alpha Fai 90]] * Calculations_APPURT[[#This Row],[Lateral Offset]]/12</f>
        <v>0</v>
      </c>
      <c r="SR23" s="276">
        <f>IFERROR(1/Calculations_APPURT[[#This Row],[Brackets]],0) * cv_M/cv_F * Forces_APPURT[[#This Row],[Alpha Fai 120]] * Calculations_APPURT[[#This Row],[Lateral Offset]]/12</f>
        <v>0</v>
      </c>
      <c r="SS23" s="276">
        <f>IFERROR(1/Calculations_APPURT[[#This Row],[Brackets]],0) * cv_M/cv_F * Forces_APPURT[[#This Row],[Alpha Fai 135]] * Calculations_APPURT[[#This Row],[Lateral Offset]]/12</f>
        <v>0</v>
      </c>
      <c r="ST23" s="276">
        <f>IFERROR(1/Calculations_APPURT[[#This Row],[Brackets]],0) * cv_M/cv_F * Forces_APPURT[[#This Row],[Alpha Fai 150]] * Calculations_APPURT[[#This Row],[Lateral Offset]]/12</f>
        <v>0</v>
      </c>
      <c r="SU23" s="276">
        <f>IFERROR(1/Calculations_APPURT[[#This Row],[Brackets]],0) * cv_M/cv_F * Forces_APPURT[[#This Row],[Alpha Fai 180]] * Calculations_APPURT[[#This Row],[Lateral Offset]]/12</f>
        <v>0</v>
      </c>
      <c r="SV23" s="276">
        <f>IFERROR(1/Calculations_APPURT[[#This Row],[Brackets]],0) * cv_M/cv_F * Forces_APPURT[[#This Row],[Alpha Fai 210]] * Calculations_APPURT[[#This Row],[Lateral Offset]]/12</f>
        <v>0</v>
      </c>
      <c r="SW23" s="276">
        <f>IFERROR(1/Calculations_APPURT[[#This Row],[Brackets]],0) * cv_M/cv_F * Forces_APPURT[[#This Row],[Alpha Fai 225]] * Calculations_APPURT[[#This Row],[Lateral Offset]]/12</f>
        <v>0</v>
      </c>
      <c r="SX23" s="276">
        <f>IFERROR(1/Calculations_APPURT[[#This Row],[Brackets]],0) * cv_M/cv_F * Forces_APPURT[[#This Row],[Alpha Fai 240]] * Calculations_APPURT[[#This Row],[Lateral Offset]]/12</f>
        <v>0</v>
      </c>
      <c r="SY23" s="276">
        <f>IFERROR(1/Calculations_APPURT[[#This Row],[Brackets]],0) * cv_M/cv_F * Forces_APPURT[[#This Row],[Alpha Fai 270]] * Calculations_APPURT[[#This Row],[Lateral Offset]]/12</f>
        <v>0</v>
      </c>
      <c r="SZ23" s="276">
        <f>IFERROR(1/Calculations_APPURT[[#This Row],[Brackets]],0) * cv_M/cv_F * Forces_APPURT[[#This Row],[Alpha Fai 300]] * Calculations_APPURT[[#This Row],[Lateral Offset]]/12</f>
        <v>0</v>
      </c>
      <c r="TA23" s="276">
        <f>IFERROR(1/Calculations_APPURT[[#This Row],[Brackets]],0) * cv_M/cv_F * Forces_APPURT[[#This Row],[Alpha Fai 315]] * Calculations_APPURT[[#This Row],[Lateral Offset]]/12</f>
        <v>0</v>
      </c>
      <c r="TB23" s="276">
        <f>IFERROR(1/Calculations_APPURT[[#This Row],[Brackets]],0) * cv_M/cv_F * Forces_APPURT[[#This Row],[Alpha Fai 330]] * Calculations_APPURT[[#This Row],[Lateral Offset]]/12</f>
        <v>0</v>
      </c>
      <c r="TC23" s="276">
        <f>IFERROR(1/Calculations_APPURT[[#This Row],[Brackets]],0) * cv_M/cv_F * Forces_APPURT[[#This Row],[Beta Fai 0]] * Calculations_APPURT[[#This Row],[Lateral Offset]]/12</f>
        <v>0</v>
      </c>
      <c r="TD23" s="276">
        <f>IFERROR(1/Calculations_APPURT[[#This Row],[Brackets]],0) * cv_M/cv_F * Forces_APPURT[[#This Row],[Beta Fai 30]] * Calculations_APPURT[[#This Row],[Lateral Offset]]/12</f>
        <v>0</v>
      </c>
      <c r="TE23" s="276">
        <f>IFERROR(1/Calculations_APPURT[[#This Row],[Brackets]],0) * cv_M/cv_F * Forces_APPURT[[#This Row],[Beta Fai 45]] * Calculations_APPURT[[#This Row],[Lateral Offset]]/12</f>
        <v>0</v>
      </c>
      <c r="TF23" s="276">
        <f>IFERROR(1/Calculations_APPURT[[#This Row],[Brackets]],0) * cv_M/cv_F * Forces_APPURT[[#This Row],[Beta Fai 60]] * Calculations_APPURT[[#This Row],[Lateral Offset]]/12</f>
        <v>0</v>
      </c>
      <c r="TG23" s="276">
        <f>IFERROR(1/Calculations_APPURT[[#This Row],[Brackets]],0) * cv_M/cv_F * Forces_APPURT[[#This Row],[Beta Fai 90]] * Calculations_APPURT[[#This Row],[Lateral Offset]]/12</f>
        <v>0</v>
      </c>
      <c r="TH23" s="276">
        <f>IFERROR(1/Calculations_APPURT[[#This Row],[Brackets]],0) * cv_M/cv_F * Forces_APPURT[[#This Row],[Beta Fai 120]] * Calculations_APPURT[[#This Row],[Lateral Offset]]/12</f>
        <v>0</v>
      </c>
      <c r="TI23" s="276">
        <f>IFERROR(1/Calculations_APPURT[[#This Row],[Brackets]],0) * cv_M/cv_F * Forces_APPURT[[#This Row],[Beta Fai 135]] * Calculations_APPURT[[#This Row],[Lateral Offset]]/12</f>
        <v>0</v>
      </c>
      <c r="TJ23" s="276">
        <f>IFERROR(1/Calculations_APPURT[[#This Row],[Brackets]],0) * cv_M/cv_F * Forces_APPURT[[#This Row],[Beta Fai 150]] * Calculations_APPURT[[#This Row],[Lateral Offset]]/12</f>
        <v>0</v>
      </c>
      <c r="TK23" s="276">
        <f>IFERROR(1/Calculations_APPURT[[#This Row],[Brackets]],0) * cv_M/cv_F * Forces_APPURT[[#This Row],[Beta Fai 180]] * Calculations_APPURT[[#This Row],[Lateral Offset]]/12</f>
        <v>0</v>
      </c>
      <c r="TL23" s="276">
        <f>IFERROR(1/Calculations_APPURT[[#This Row],[Brackets]],0) * cv_M/cv_F * Forces_APPURT[[#This Row],[Beta Fai 210]] * Calculations_APPURT[[#This Row],[Lateral Offset]]/12</f>
        <v>0</v>
      </c>
      <c r="TM23" s="276">
        <f>IFERROR(1/Calculations_APPURT[[#This Row],[Brackets]],0) * cv_M/cv_F * Forces_APPURT[[#This Row],[Beta Fai 225]] * Calculations_APPURT[[#This Row],[Lateral Offset]]/12</f>
        <v>0</v>
      </c>
      <c r="TN23" s="276">
        <f>IFERROR(1/Calculations_APPURT[[#This Row],[Brackets]],0) * cv_M/cv_F * Forces_APPURT[[#This Row],[Beta Fai 240]] * Calculations_APPURT[[#This Row],[Lateral Offset]]/12</f>
        <v>0</v>
      </c>
      <c r="TO23" s="276">
        <f>IFERROR(1/Calculations_APPURT[[#This Row],[Brackets]],0) * cv_M/cv_F * Forces_APPURT[[#This Row],[Beta Fai 270]] * Calculations_APPURT[[#This Row],[Lateral Offset]]/12</f>
        <v>0</v>
      </c>
      <c r="TP23" s="276">
        <f>IFERROR(1/Calculations_APPURT[[#This Row],[Brackets]],0) * cv_M/cv_F * Forces_APPURT[[#This Row],[Beta Fai 300]] * Calculations_APPURT[[#This Row],[Lateral Offset]]/12</f>
        <v>0</v>
      </c>
      <c r="TQ23" s="276">
        <f>IFERROR(1/Calculations_APPURT[[#This Row],[Brackets]],0) * cv_M/cv_F * Forces_APPURT[[#This Row],[Beta Fai 315]] * Calculations_APPURT[[#This Row],[Lateral Offset]]/12</f>
        <v>0</v>
      </c>
      <c r="TR23" s="276">
        <f>IFERROR(1/Calculations_APPURT[[#This Row],[Brackets]],0) * cv_M/cv_F * Forces_APPURT[[#This Row],[Beta Fai 330]] * Calculations_APPURT[[#This Row],[Lateral Offset]]/12</f>
        <v>0</v>
      </c>
      <c r="TS23" s="276">
        <f>IFERROR(1/Calculations_APPURT[[#This Row],[Brackets]],0) * cv_M/cv_F * Forces_APPURT[[#This Row],[Gamma Fai 0]] * Calculations_APPURT[[#This Row],[Lateral Offset]]/12</f>
        <v>0</v>
      </c>
      <c r="TT23" s="276">
        <f>IFERROR(1/Calculations_APPURT[[#This Row],[Brackets]],0) * cv_M/cv_F * Forces_APPURT[[#This Row],[Gamma Fai 30]] * Calculations_APPURT[[#This Row],[Lateral Offset]]/12</f>
        <v>0</v>
      </c>
      <c r="TU23" s="276">
        <f>IFERROR(1/Calculations_APPURT[[#This Row],[Brackets]],0) * cv_M/cv_F * Forces_APPURT[[#This Row],[Gamma Fai 45]] * Calculations_APPURT[[#This Row],[Lateral Offset]]/12</f>
        <v>0</v>
      </c>
      <c r="TV23" s="276">
        <f>IFERROR(1/Calculations_APPURT[[#This Row],[Brackets]],0) * cv_M/cv_F * Forces_APPURT[[#This Row],[Gamma Fai 60]] * Calculations_APPURT[[#This Row],[Lateral Offset]]/12</f>
        <v>0</v>
      </c>
      <c r="TW23" s="276">
        <f>IFERROR(1/Calculations_APPURT[[#This Row],[Brackets]],0) * cv_M/cv_F * Forces_APPURT[[#This Row],[Gamma Fai 90]] * Calculations_APPURT[[#This Row],[Lateral Offset]]/12</f>
        <v>0</v>
      </c>
      <c r="TX23" s="276">
        <f>IFERROR(1/Calculations_APPURT[[#This Row],[Brackets]],0) * cv_M/cv_F * Forces_APPURT[[#This Row],[Gamma Fai 120]] * Calculations_APPURT[[#This Row],[Lateral Offset]]/12</f>
        <v>0</v>
      </c>
      <c r="TY23" s="276">
        <f>IFERROR(1/Calculations_APPURT[[#This Row],[Brackets]],0) * cv_M/cv_F * Forces_APPURT[[#This Row],[Gamma Fai 135]] * Calculations_APPURT[[#This Row],[Lateral Offset]]/12</f>
        <v>0</v>
      </c>
      <c r="TZ23" s="276">
        <f>IFERROR(1/Calculations_APPURT[[#This Row],[Brackets]],0) * cv_M/cv_F * Forces_APPURT[[#This Row],[Gamma Fai 150]] * Calculations_APPURT[[#This Row],[Lateral Offset]]/12</f>
        <v>0</v>
      </c>
      <c r="UA23" s="276">
        <f>IFERROR(1/Calculations_APPURT[[#This Row],[Brackets]],0) * cv_M/cv_F * Forces_APPURT[[#This Row],[Gamma Fai 180]] * Calculations_APPURT[[#This Row],[Lateral Offset]]/12</f>
        <v>0</v>
      </c>
      <c r="UB23" s="276">
        <f>IFERROR(1/Calculations_APPURT[[#This Row],[Brackets]],0) * cv_M/cv_F * Forces_APPURT[[#This Row],[Gamma Fai 210]] * Calculations_APPURT[[#This Row],[Lateral Offset]]/12</f>
        <v>0</v>
      </c>
      <c r="UC23" s="276">
        <f>IFERROR(1/Calculations_APPURT[[#This Row],[Brackets]],0) * cv_M/cv_F * Forces_APPURT[[#This Row],[Gamma Fai 225]] * Calculations_APPURT[[#This Row],[Lateral Offset]]/12</f>
        <v>0</v>
      </c>
      <c r="UD23" s="276">
        <f>IFERROR(1/Calculations_APPURT[[#This Row],[Brackets]],0) * cv_M/cv_F * Forces_APPURT[[#This Row],[Gamma Fai 240]] * Calculations_APPURT[[#This Row],[Lateral Offset]]/12</f>
        <v>0</v>
      </c>
      <c r="UE23" s="276">
        <f>IFERROR(1/Calculations_APPURT[[#This Row],[Brackets]],0) * cv_M/cv_F * Forces_APPURT[[#This Row],[Gamma Fai 270]] * Calculations_APPURT[[#This Row],[Lateral Offset]]/12</f>
        <v>0</v>
      </c>
      <c r="UF23" s="276">
        <f>IFERROR(1/Calculations_APPURT[[#This Row],[Brackets]],0) * cv_M/cv_F * Forces_APPURT[[#This Row],[Gamma Fai 300]] * Calculations_APPURT[[#This Row],[Lateral Offset]]/12</f>
        <v>0</v>
      </c>
      <c r="UG23" s="276">
        <f>IFERROR(1/Calculations_APPURT[[#This Row],[Brackets]],0) * cv_M/cv_F * Forces_APPURT[[#This Row],[Gamma Fai 315]] * Calculations_APPURT[[#This Row],[Lateral Offset]]/12</f>
        <v>0</v>
      </c>
      <c r="UH23" s="276">
        <f>IFERROR(1/Calculations_APPURT[[#This Row],[Brackets]],0) * cv_M/cv_F * Forces_APPURT[[#This Row],[Gamma Fai 330]] * Calculations_APPURT[[#This Row],[Lateral Offset]]/12</f>
        <v>0</v>
      </c>
      <c r="UI23" s="276">
        <f>IFERROR(1/Calculations_APPURT[[#This Row],[Brackets]],0) * cv_M/cv_F * Forces_APPURT[[#This Row],[Delta Fai 0]] * Calculations_APPURT[[#This Row],[Lateral Offset]]/12</f>
        <v>0</v>
      </c>
      <c r="UJ23" s="276">
        <f>IFERROR(1/Calculations_APPURT[[#This Row],[Brackets]],0) * cv_M/cv_F * Forces_APPURT[[#This Row],[Delta Fai 30]] * Calculations_APPURT[[#This Row],[Lateral Offset]]/12</f>
        <v>0</v>
      </c>
      <c r="UK23" s="276">
        <f>IFERROR(1/Calculations_APPURT[[#This Row],[Brackets]],0) * cv_M/cv_F * Forces_APPURT[[#This Row],[Delta Fai 45]] * Calculations_APPURT[[#This Row],[Lateral Offset]]/12</f>
        <v>0</v>
      </c>
      <c r="UL23" s="276">
        <f>IFERROR(1/Calculations_APPURT[[#This Row],[Brackets]],0) * cv_M/cv_F * Forces_APPURT[[#This Row],[Delta Fai 60]] * Calculations_APPURT[[#This Row],[Lateral Offset]]/12</f>
        <v>0</v>
      </c>
      <c r="UM23" s="276">
        <f>IFERROR(1/Calculations_APPURT[[#This Row],[Brackets]],0) * cv_M/cv_F * Forces_APPURT[[#This Row],[Delta Fai 90]] * Calculations_APPURT[[#This Row],[Lateral Offset]]/12</f>
        <v>0</v>
      </c>
      <c r="UN23" s="276">
        <f>IFERROR(1/Calculations_APPURT[[#This Row],[Brackets]],0) * cv_M/cv_F * Forces_APPURT[[#This Row],[Delta Fai 120]] * Calculations_APPURT[[#This Row],[Lateral Offset]]/12</f>
        <v>0</v>
      </c>
      <c r="UO23" s="276">
        <f>IFERROR(1/Calculations_APPURT[[#This Row],[Brackets]],0) * cv_M/cv_F * Forces_APPURT[[#This Row],[Delta Fai 135]] * Calculations_APPURT[[#This Row],[Lateral Offset]]/12</f>
        <v>0</v>
      </c>
      <c r="UP23" s="276">
        <f>IFERROR(1/Calculations_APPURT[[#This Row],[Brackets]],0) * cv_M/cv_F * Forces_APPURT[[#This Row],[Delta Fai 150]] * Calculations_APPURT[[#This Row],[Lateral Offset]]/12</f>
        <v>0</v>
      </c>
      <c r="UQ23" s="276">
        <f>IFERROR(1/Calculations_APPURT[[#This Row],[Brackets]],0) * cv_M/cv_F * Forces_APPURT[[#This Row],[Delta Fai 180]] * Calculations_APPURT[[#This Row],[Lateral Offset]]/12</f>
        <v>0</v>
      </c>
      <c r="UR23" s="276">
        <f>IFERROR(1/Calculations_APPURT[[#This Row],[Brackets]],0) * cv_M/cv_F * Forces_APPURT[[#This Row],[Delta Fai 210]] * Calculations_APPURT[[#This Row],[Lateral Offset]]/12</f>
        <v>0</v>
      </c>
      <c r="US23" s="276">
        <f>IFERROR(1/Calculations_APPURT[[#This Row],[Brackets]],0) * cv_M/cv_F * Forces_APPURT[[#This Row],[Delta Fai 225]] * Calculations_APPURT[[#This Row],[Lateral Offset]]/12</f>
        <v>0</v>
      </c>
      <c r="UT23" s="276">
        <f>IFERROR(1/Calculations_APPURT[[#This Row],[Brackets]],0) * cv_M/cv_F * Forces_APPURT[[#This Row],[Delta Fai 240]] * Calculations_APPURT[[#This Row],[Lateral Offset]]/12</f>
        <v>0</v>
      </c>
      <c r="UU23" s="276">
        <f>IFERROR(1/Calculations_APPURT[[#This Row],[Brackets]],0) * cv_M/cv_F * Forces_APPURT[[#This Row],[Delta Fai 270]] * Calculations_APPURT[[#This Row],[Lateral Offset]]/12</f>
        <v>0</v>
      </c>
      <c r="UV23" s="276">
        <f>IFERROR(1/Calculations_APPURT[[#This Row],[Brackets]],0) * cv_M/cv_F * Forces_APPURT[[#This Row],[Delta Fai 300]] * Calculations_APPURT[[#This Row],[Lateral Offset]]/12</f>
        <v>0</v>
      </c>
      <c r="UW23" s="276">
        <f>IFERROR(1/Calculations_APPURT[[#This Row],[Brackets]],0) * cv_M/cv_F * Forces_APPURT[[#This Row],[Delta Fai 315]] * Calculations_APPURT[[#This Row],[Lateral Offset]]/12</f>
        <v>0</v>
      </c>
      <c r="UX23" s="276">
        <f>IFERROR(1/Calculations_APPURT[[#This Row],[Brackets]],0) * cv_M/cv_F * Forces_APPURT[[#This Row],[Delta Fai 330]] * Calculations_APPURT[[#This Row],[Lateral Offset]]/12</f>
        <v>0</v>
      </c>
      <c r="UY23" s="276">
        <f>Dimensions_APPURT[[#This Row],[Weight (lbf)]] * cv_F * AlphaSector[[#This Row],[Quantity]]</f>
        <v>0</v>
      </c>
      <c r="UZ23" s="276">
        <f>Dimensions_APPURT[[#This Row],[Weight (lbf)]] * cv_F * BetaSector[[#This Row],[Quantity]]</f>
        <v>0</v>
      </c>
      <c r="VA23" s="276">
        <f>Dimensions_APPURT[[#This Row],[Weight (lbf)]] * cv_F * GammaSector[[#This Row],[Quantity]]</f>
        <v>0</v>
      </c>
      <c r="VB23" s="276">
        <f>Dimensions_APPURT[[#This Row],[Weight (lbf)]] * cv_F * DeltaSector[[#This Row],[Quantity]]</f>
        <v>0</v>
      </c>
      <c r="VC23" s="209">
        <f>Dimensions_APPURT[[#This Row],[Weight (lbf)]] * cv_M * AlphaSector[[#This Row],[Quantity]] * Calculations_APPURT[[#This Row],[Horizontal Offset]]/12</f>
        <v>0</v>
      </c>
      <c r="VD23" s="209">
        <f>Dimensions_APPURT[[#This Row],[Weight (lbf)]] * cv_M * BetaSector[[#This Row],[Quantity]] * Calculations_APPURT[[#This Row],[Horizontal Offset]]/12</f>
        <v>0</v>
      </c>
      <c r="VE23" s="209">
        <f>Dimensions_APPURT[[#This Row],[Weight (lbf)]] * cv_M * GammaSector[[#This Row],[Quantity]] * Calculations_APPURT[[#This Row],[Horizontal Offset]]/12</f>
        <v>0</v>
      </c>
      <c r="VF23" s="209">
        <f>Dimensions_APPURT[[#This Row],[Weight (lbf)]] * cv_M * DeltaSector[[#This Row],[Quantity]] * Calculations_APPURT[[#This Row],[Horizontal Offset]]/12</f>
        <v>0</v>
      </c>
      <c r="VG23" s="276">
        <f>Hazards_APPURT[[#This Row],[Ice Weight]] * cv_F * AlphaSector[[#This Row],[Quantity]]</f>
        <v>0</v>
      </c>
      <c r="VH23" s="276">
        <f>Hazards_APPURT[[#This Row],[Ice Weight]] * cv_F * BetaSector[[#This Row],[Quantity]]</f>
        <v>0</v>
      </c>
      <c r="VI23" s="276">
        <f>Hazards_APPURT[[#This Row],[Ice Weight]] * cv_F * GammaSector[[#This Row],[Quantity]]</f>
        <v>0</v>
      </c>
      <c r="VJ23" s="276">
        <f>Hazards_APPURT[[#This Row],[Ice Weight]] * cv_F * DeltaSector[[#This Row],[Quantity]]</f>
        <v>0</v>
      </c>
      <c r="VK23" s="209">
        <f>Hazards_APPURT[[#This Row],[Ice Weight]] * cv_M * AlphaSector[[#This Row],[Quantity]] * Calculations_APPURT[[#This Row],[Horizontal Offset]]/12</f>
        <v>0</v>
      </c>
      <c r="VL23" s="209">
        <f>Hazards_APPURT[[#This Row],[Ice Weight]] * cv_M * BetaSector[[#This Row],[Quantity]] * Calculations_APPURT[[#This Row],[Horizontal Offset]]/12</f>
        <v>0</v>
      </c>
      <c r="VM23" s="209">
        <f>Hazards_APPURT[[#This Row],[Ice Weight]] * cv_M * GammaSector[[#This Row],[Quantity]] * Calculations_APPURT[[#This Row],[Horizontal Offset]]/12</f>
        <v>0</v>
      </c>
      <c r="VN23" s="209">
        <f>Hazards_APPURT[[#This Row],[Ice Weight]] * cv_M * DeltaSector[[#This Row],[Quantity]] * Calculations_APPURT[[#This Row],[Horizontal Offset]]/12</f>
        <v>0</v>
      </c>
    </row>
    <row r="24" spans="1:586" ht="15" customHeight="1" x14ac:dyDescent="0.2">
      <c r="A24" s="2"/>
      <c r="B24" s="2"/>
      <c r="C24" s="2"/>
      <c r="D24" s="2"/>
      <c r="E24" s="292"/>
      <c r="G24" s="2"/>
      <c r="H24" s="2"/>
      <c r="I24" s="2"/>
      <c r="J24" s="2"/>
      <c r="K24" s="2"/>
      <c r="L24" s="2"/>
      <c r="M24" s="2"/>
      <c r="N24" s="2"/>
      <c r="O24" s="2"/>
      <c r="P24" s="2"/>
      <c r="Q24" s="2"/>
      <c r="R24" s="293"/>
      <c r="S24" s="293"/>
      <c r="T24" s="69"/>
      <c r="V24" s="71"/>
      <c r="W24" s="69"/>
      <c r="X24" s="71"/>
      <c r="Y24" s="69"/>
      <c r="Z24" s="70"/>
      <c r="AB24" s="69"/>
      <c r="AD24" s="71"/>
      <c r="AE24" s="69"/>
      <c r="AF24" s="71"/>
      <c r="AG24" s="69"/>
      <c r="AH24" s="70"/>
      <c r="AJ24" s="69"/>
      <c r="AL24" s="71"/>
      <c r="AM24" s="69"/>
      <c r="AN24" s="71"/>
      <c r="AO24" s="69"/>
      <c r="AP24" s="70"/>
      <c r="AR24" s="69"/>
      <c r="AV24" s="277" cm="1">
        <f t="array" ref="AV24">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24" s="209" cm="1">
        <f t="array" ref="AW24">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24" s="209" cm="1">
        <f t="array" ref="AX24">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24" s="209" cm="1">
        <f t="array" ref="AY24">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24"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24" s="209" cm="1">
        <f t="array" ref="BA24">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24" s="209">
        <f>IF(OR(Calculations_APPURT[[#This Row],[Shape]]="CFD",Calculations_APPURT[[#This Row],[Shape]]="CCI"),1,0.95)</f>
        <v>0.95</v>
      </c>
      <c r="BC24" s="209" cm="1">
        <f t="array" ref="BC24">0.00256 * Hazards_APPURT[[#This Row],[Kz]] * Kzt * Ks * I.wind * V^2 * IF(RIGHT(TIA,1)="G",1,Ke) * IF(OR(Calculations_APPURT[[#This Row],[Shape]]="CFD",Calculations_APPURT[[#This Row],[Shape]]="CCI"),1, Hazards_APPURT[[#This Row],[Kd]]) * Gh</f>
        <v>0</v>
      </c>
      <c r="BD24" s="209">
        <f>IF(Risk="I",0,MIN(((z+Calculations_APPURT[[#This Row],[Vertical Offset]]/12)/33)^(0.1),1.4))</f>
        <v>0</v>
      </c>
      <c r="BE24" s="209" cm="1">
        <f t="array" ref="BE24">IF(Risk="I",0,IF(TIA="ANSI/TIA-222-G",2,1*Kes.i)*ti*I.ice*Hazards_APPURT[[#This Row],[Kiz]]*(Kzt/Ks)^(0.35))</f>
        <v>0</v>
      </c>
      <c r="BF24" s="209" cm="1">
        <f t="array" ref="BF24">0.00256 * Hazards_APPURT[[#This Row],[Kz]] * Kzt * Ks * I.wind * Vi^2 * IF(RIGHT(TIA,1)="G",1,Ke) * IF(OR(Calculations_APPURT[[#This Row],[Shape]]="CFD",Calculations_APPURT[[#This Row],[Shape]]="CCI"),1, Kd) * Gh</f>
        <v>0</v>
      </c>
      <c r="BG24"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24"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24"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24"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24"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24"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24"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24"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24"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24"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24"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24"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24"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24"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24"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24"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24"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24"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24"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24"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24"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24"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24"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24"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24"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24"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24"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24"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24"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24"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24"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24"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24"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24"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24"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24"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24"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24"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24"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24"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24"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24"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24"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24"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24"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24"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24"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24"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24"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24"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24"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24"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24"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24"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24"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24"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24"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24"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24"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24"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24"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24"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24"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24"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24"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24"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24" s="338">
        <f>IFERROR(1/Calculations_APPURT[[#This Row],[Brackets]],0) * cv_F * AlphaSector[[#This Row],[Quantity]] * Hazards_APPURT[[#This Row],[qz]] * CaAa_APPURT[[#This Row],[Alpha 0]] * IF(Calculations_APPURT[[#This Row],[Shape]]="CFD",1, Ka)</f>
        <v>0</v>
      </c>
      <c r="GF24" s="338">
        <f>IFERROR(1/Calculations_APPURT[[#This Row],[Brackets]],0) * cv_F * AlphaSector[[#This Row],[Quantity]] * Hazards_APPURT[[#This Row],[qz]] * CaAa_APPURT[[#This Row],[Alpha 30]] * IF(Calculations_APPURT[[#This Row],[Shape]]="CFD",1, Ka)</f>
        <v>0</v>
      </c>
      <c r="GG24" s="338">
        <f>IFERROR(1/Calculations_APPURT[[#This Row],[Brackets]],0) * cv_F * AlphaSector[[#This Row],[Quantity]] * Hazards_APPURT[[#This Row],[qz]] * CaAa_APPURT[[#This Row],[Alpha 45]] * IF(Calculations_APPURT[[#This Row],[Shape]]="CFD",1, Ka)</f>
        <v>0</v>
      </c>
      <c r="GH24" s="338">
        <f>IFERROR(1/Calculations_APPURT[[#This Row],[Brackets]],0) * cv_F * AlphaSector[[#This Row],[Quantity]] * Hazards_APPURT[[#This Row],[qz]] * CaAa_APPURT[[#This Row],[Alpha 60]] * IF(Calculations_APPURT[[#This Row],[Shape]]="CFD",1, Ka)</f>
        <v>0</v>
      </c>
      <c r="GI24" s="338">
        <f>IFERROR(1/Calculations_APPURT[[#This Row],[Brackets]],0) * cv_F * AlphaSector[[#This Row],[Quantity]] * Hazards_APPURT[[#This Row],[qz]] * CaAa_APPURT[[#This Row],[Alpha 90]] * IF(Calculations_APPURT[[#This Row],[Shape]]="CFD",1, Ka)</f>
        <v>0</v>
      </c>
      <c r="GJ24" s="338">
        <f>IFERROR(1/Calculations_APPURT[[#This Row],[Brackets]],0) * cv_F * AlphaSector[[#This Row],[Quantity]] * Hazards_APPURT[[#This Row],[qz]] * CaAa_APPURT[[#This Row],[Alpha 120]] * IF(Calculations_APPURT[[#This Row],[Shape]]="CFD",1, Ka)</f>
        <v>0</v>
      </c>
      <c r="GK24" s="338">
        <f>IFERROR(1/Calculations_APPURT[[#This Row],[Brackets]],0) * cv_F * AlphaSector[[#This Row],[Quantity]] * Hazards_APPURT[[#This Row],[qz]] * CaAa_APPURT[[#This Row],[Alpha 135]] * IF(Calculations_APPURT[[#This Row],[Shape]]="CFD",1, Ka)</f>
        <v>0</v>
      </c>
      <c r="GL24" s="338">
        <f>IFERROR(1/Calculations_APPURT[[#This Row],[Brackets]],0) * cv_F * AlphaSector[[#This Row],[Quantity]] * Hazards_APPURT[[#This Row],[qz]] * CaAa_APPURT[[#This Row],[Alpha 150]] * IF(Calculations_APPURT[[#This Row],[Shape]]="CFD",1, Ka)</f>
        <v>0</v>
      </c>
      <c r="GM24" s="338">
        <f>IFERROR(1/Calculations_APPURT[[#This Row],[Brackets]],0) * cv_F * AlphaSector[[#This Row],[Quantity]] * Hazards_APPURT[[#This Row],[qz]] * CaAa_APPURT[[#This Row],[Alpha 180]] * IF(Calculations_APPURT[[#This Row],[Shape]]="CFD",1, Ka)</f>
        <v>0</v>
      </c>
      <c r="GN24" s="338">
        <f>IFERROR(1/Calculations_APPURT[[#This Row],[Brackets]],0) * cv_F * AlphaSector[[#This Row],[Quantity]] * Hazards_APPURT[[#This Row],[qz]] * CaAa_APPURT[[#This Row],[Alpha 210]] * IF(Calculations_APPURT[[#This Row],[Shape]]="CFD",1, Ka)</f>
        <v>0</v>
      </c>
      <c r="GO24" s="338">
        <f>IFERROR(1/Calculations_APPURT[[#This Row],[Brackets]],0) * cv_F * AlphaSector[[#This Row],[Quantity]] * Hazards_APPURT[[#This Row],[qz]] * CaAa_APPURT[[#This Row],[Alpha 225]] * IF(Calculations_APPURT[[#This Row],[Shape]]="CFD",1, Ka)</f>
        <v>0</v>
      </c>
      <c r="GP24" s="338">
        <f>IFERROR(1/Calculations_APPURT[[#This Row],[Brackets]],0) * cv_F * AlphaSector[[#This Row],[Quantity]] * Hazards_APPURT[[#This Row],[qz]] * CaAa_APPURT[[#This Row],[Alpha 240]] * IF(Calculations_APPURT[[#This Row],[Shape]]="CFD",1, Ka)</f>
        <v>0</v>
      </c>
      <c r="GQ24" s="338">
        <f>IFERROR(1/Calculations_APPURT[[#This Row],[Brackets]],0) * cv_F * AlphaSector[[#This Row],[Quantity]] * Hazards_APPURT[[#This Row],[qz]] * CaAa_APPURT[[#This Row],[Alpha 270]] * IF(Calculations_APPURT[[#This Row],[Shape]]="CFD",1, Ka)</f>
        <v>0</v>
      </c>
      <c r="GR24" s="338">
        <f>IFERROR(1/Calculations_APPURT[[#This Row],[Brackets]],0) * cv_F * AlphaSector[[#This Row],[Quantity]] * Hazards_APPURT[[#This Row],[qz]] * CaAa_APPURT[[#This Row],[Alpha 300]] * IF(Calculations_APPURT[[#This Row],[Shape]]="CFD",1, Ka)</f>
        <v>0</v>
      </c>
      <c r="GS24" s="338">
        <f>IFERROR(1/Calculations_APPURT[[#This Row],[Brackets]],0) * cv_F * AlphaSector[[#This Row],[Quantity]] * Hazards_APPURT[[#This Row],[qz]] * CaAa_APPURT[[#This Row],[Alpha 315]] * IF(Calculations_APPURT[[#This Row],[Shape]]="CFD",1, Ka)</f>
        <v>0</v>
      </c>
      <c r="GT24" s="338">
        <f>IFERROR(1/Calculations_APPURT[[#This Row],[Brackets]],0) * cv_F * AlphaSector[[#This Row],[Quantity]] * Hazards_APPURT[[#This Row],[qz]] * CaAa_APPURT[[#This Row],[Alpha 330]] * IF(Calculations_APPURT[[#This Row],[Shape]]="CFD",1, Ka)</f>
        <v>0</v>
      </c>
      <c r="GU24" s="276">
        <f>IFERROR(1/Calculations_APPURT[[#This Row],[Brackets]],0) * cv_F * BetaSector[[#This Row],[Quantity]] * Hazards_APPURT[[#This Row],[qz]] * CaAa_APPURT[[#This Row],[Beta 0]] * IF(Calculations_APPURT[[#This Row],[Shape]]="CFD",1, Ka)</f>
        <v>0</v>
      </c>
      <c r="GV24" s="276">
        <f>IFERROR(1/Calculations_APPURT[[#This Row],[Brackets]],0) * cv_F * BetaSector[[#This Row],[Quantity]] * Hazards_APPURT[[#This Row],[qz]] * CaAa_APPURT[[#This Row],[Beta 30]] * IF(Calculations_APPURT[[#This Row],[Shape]]="CFD",1, Ka)</f>
        <v>0</v>
      </c>
      <c r="GW24" s="276">
        <f>IFERROR(1/Calculations_APPURT[[#This Row],[Brackets]],0) * cv_F * BetaSector[[#This Row],[Quantity]] * Hazards_APPURT[[#This Row],[qz]] * CaAa_APPURT[[#This Row],[Beta 45]] * IF(Calculations_APPURT[[#This Row],[Shape]]="CFD",1, Ka)</f>
        <v>0</v>
      </c>
      <c r="GX24" s="276">
        <f>IFERROR(1/Calculations_APPURT[[#This Row],[Brackets]],0) * cv_F * BetaSector[[#This Row],[Quantity]] * Hazards_APPURT[[#This Row],[qz]] * CaAa_APPURT[[#This Row],[Beta 60]] * IF(Calculations_APPURT[[#This Row],[Shape]]="CFD",1, Ka)</f>
        <v>0</v>
      </c>
      <c r="GY24" s="276">
        <f>IFERROR(1/Calculations_APPURT[[#This Row],[Brackets]],0) * cv_F * BetaSector[[#This Row],[Quantity]] * Hazards_APPURT[[#This Row],[qz]] * CaAa_APPURT[[#This Row],[Beta 90]] * IF(Calculations_APPURT[[#This Row],[Shape]]="CFD",1, Ka)</f>
        <v>0</v>
      </c>
      <c r="GZ24" s="276">
        <f>IFERROR(1/Calculations_APPURT[[#This Row],[Brackets]],0) * cv_F * BetaSector[[#This Row],[Quantity]] * Hazards_APPURT[[#This Row],[qz]] * CaAa_APPURT[[#This Row],[Beta 120]] * IF(Calculations_APPURT[[#This Row],[Shape]]="CFD",1, Ka)</f>
        <v>0</v>
      </c>
      <c r="HA24" s="276">
        <f>IFERROR(1/Calculations_APPURT[[#This Row],[Brackets]],0) * cv_F * BetaSector[[#This Row],[Quantity]] * Hazards_APPURT[[#This Row],[qz]] * CaAa_APPURT[[#This Row],[Beta 135]] * IF(Calculations_APPURT[[#This Row],[Shape]]="CFD",1, Ka)</f>
        <v>0</v>
      </c>
      <c r="HB24" s="276">
        <f>IFERROR(1/Calculations_APPURT[[#This Row],[Brackets]],0) * cv_F * BetaSector[[#This Row],[Quantity]] * Hazards_APPURT[[#This Row],[qz]] * CaAa_APPURT[[#This Row],[Beta 150]] * IF(Calculations_APPURT[[#This Row],[Shape]]="CFD",1, Ka)</f>
        <v>0</v>
      </c>
      <c r="HC24" s="276">
        <f>IFERROR(1/Calculations_APPURT[[#This Row],[Brackets]],0) * cv_F * BetaSector[[#This Row],[Quantity]] * Hazards_APPURT[[#This Row],[qz]] * CaAa_APPURT[[#This Row],[Beta 180]] * IF(Calculations_APPURT[[#This Row],[Shape]]="CFD",1, Ka)</f>
        <v>0</v>
      </c>
      <c r="HD24" s="276">
        <f>IFERROR(1/Calculations_APPURT[[#This Row],[Brackets]],0) * cv_F * BetaSector[[#This Row],[Quantity]] * Hazards_APPURT[[#This Row],[qz]] * CaAa_APPURT[[#This Row],[Beta 210]] * IF(Calculations_APPURT[[#This Row],[Shape]]="CFD",1, Ka)</f>
        <v>0</v>
      </c>
      <c r="HE24" s="276">
        <f>IFERROR(1/Calculations_APPURT[[#This Row],[Brackets]],0) * cv_F * BetaSector[[#This Row],[Quantity]] * Hazards_APPURT[[#This Row],[qz]] * CaAa_APPURT[[#This Row],[Beta 225]] * IF(Calculations_APPURT[[#This Row],[Shape]]="CFD",1, Ka)</f>
        <v>0</v>
      </c>
      <c r="HF24" s="276">
        <f>IFERROR(1/Calculations_APPURT[[#This Row],[Brackets]],0) * cv_F * BetaSector[[#This Row],[Quantity]] * Hazards_APPURT[[#This Row],[qz]] * CaAa_APPURT[[#This Row],[Beta 240]] * IF(Calculations_APPURT[[#This Row],[Shape]]="CFD",1, Ka)</f>
        <v>0</v>
      </c>
      <c r="HG24" s="276">
        <f>IFERROR(1/Calculations_APPURT[[#This Row],[Brackets]],0) * cv_F * BetaSector[[#This Row],[Quantity]] * Hazards_APPURT[[#This Row],[qz]] * CaAa_APPURT[[#This Row],[Beta 270]] * IF(Calculations_APPURT[[#This Row],[Shape]]="CFD",1, Ka)</f>
        <v>0</v>
      </c>
      <c r="HH24" s="276">
        <f>IFERROR(1/Calculations_APPURT[[#This Row],[Brackets]],0) * cv_F * BetaSector[[#This Row],[Quantity]] * Hazards_APPURT[[#This Row],[qz]] * CaAa_APPURT[[#This Row],[Beta 300]] * IF(Calculations_APPURT[[#This Row],[Shape]]="CFD",1, Ka)</f>
        <v>0</v>
      </c>
      <c r="HI24" s="276">
        <f>IFERROR(1/Calculations_APPURT[[#This Row],[Brackets]],0) * cv_F * BetaSector[[#This Row],[Quantity]] * Hazards_APPURT[[#This Row],[qz]] * CaAa_APPURT[[#This Row],[Beta 315]] * IF(Calculations_APPURT[[#This Row],[Shape]]="CFD",1, Ka)</f>
        <v>0</v>
      </c>
      <c r="HJ24" s="276">
        <f>IFERROR(1/Calculations_APPURT[[#This Row],[Brackets]],0) * cv_F * BetaSector[[#This Row],[Quantity]] * Hazards_APPURT[[#This Row],[qz]] * CaAa_APPURT[[#This Row],[Beta 330]] * IF(Calculations_APPURT[[#This Row],[Shape]]="CFD",1, Ka)</f>
        <v>0</v>
      </c>
      <c r="HK24" s="338">
        <f>IFERROR(1/Calculations_APPURT[[#This Row],[Brackets]],0) * cv_F * GammaSector[[#This Row],[Quantity]] * Hazards_APPURT[[#This Row],[qz]] * CaAa_APPURT[[#This Row],[Gamma 0]] * IF(Calculations_APPURT[[#This Row],[Shape]]="CFD",1, Ka)</f>
        <v>0</v>
      </c>
      <c r="HL24" s="338">
        <f>IFERROR(1/Calculations_APPURT[[#This Row],[Brackets]],0) * cv_F * GammaSector[[#This Row],[Quantity]] * Hazards_APPURT[[#This Row],[qz]] * CaAa_APPURT[[#This Row],[Gamma 30]] * IF(Calculations_APPURT[[#This Row],[Shape]]="CFD",1, Ka)</f>
        <v>0</v>
      </c>
      <c r="HM24" s="338">
        <f>IFERROR(1/Calculations_APPURT[[#This Row],[Brackets]],0) * cv_F * GammaSector[[#This Row],[Quantity]] * Hazards_APPURT[[#This Row],[qz]] * CaAa_APPURT[[#This Row],[Gamma 45]] * IF(Calculations_APPURT[[#This Row],[Shape]]="CFD",1, Ka)</f>
        <v>0</v>
      </c>
      <c r="HN24" s="338">
        <f>IFERROR(1/Calculations_APPURT[[#This Row],[Brackets]],0) * cv_F * GammaSector[[#This Row],[Quantity]] * Hazards_APPURT[[#This Row],[qz]] * CaAa_APPURT[[#This Row],[Gamma 60]] * IF(Calculations_APPURT[[#This Row],[Shape]]="CFD",1, Ka)</f>
        <v>0</v>
      </c>
      <c r="HO24" s="338">
        <f>IFERROR(1/Calculations_APPURT[[#This Row],[Brackets]],0) * cv_F * GammaSector[[#This Row],[Quantity]] * Hazards_APPURT[[#This Row],[qz]] * CaAa_APPURT[[#This Row],[Gamma 90]] * IF(Calculations_APPURT[[#This Row],[Shape]]="CFD",1, Ka)</f>
        <v>0</v>
      </c>
      <c r="HP24" s="338">
        <f>IFERROR(1/Calculations_APPURT[[#This Row],[Brackets]],0) * cv_F * GammaSector[[#This Row],[Quantity]] * Hazards_APPURT[[#This Row],[qz]] * CaAa_APPURT[[#This Row],[Gamma 120]] * IF(Calculations_APPURT[[#This Row],[Shape]]="CFD",1, Ka)</f>
        <v>0</v>
      </c>
      <c r="HQ24" s="338">
        <f>IFERROR(1/Calculations_APPURT[[#This Row],[Brackets]],0) * cv_F * GammaSector[[#This Row],[Quantity]] * Hazards_APPURT[[#This Row],[qz]] * CaAa_APPURT[[#This Row],[Gamma 135]] * IF(Calculations_APPURT[[#This Row],[Shape]]="CFD",1, Ka)</f>
        <v>0</v>
      </c>
      <c r="HR24" s="338">
        <f>IFERROR(1/Calculations_APPURT[[#This Row],[Brackets]],0) * cv_F * GammaSector[[#This Row],[Quantity]] * Hazards_APPURT[[#This Row],[qz]] * CaAa_APPURT[[#This Row],[Gamma 150]] * IF(Calculations_APPURT[[#This Row],[Shape]]="CFD",1, Ka)</f>
        <v>0</v>
      </c>
      <c r="HS24" s="338">
        <f>IFERROR(1/Calculations_APPURT[[#This Row],[Brackets]],0) * cv_F * GammaSector[[#This Row],[Quantity]] * Hazards_APPURT[[#This Row],[qz]] * CaAa_APPURT[[#This Row],[Gamma 180]] * IF(Calculations_APPURT[[#This Row],[Shape]]="CFD",1, Ka)</f>
        <v>0</v>
      </c>
      <c r="HT24" s="338">
        <f>IFERROR(1/Calculations_APPURT[[#This Row],[Brackets]],0) * cv_F * GammaSector[[#This Row],[Quantity]] * Hazards_APPURT[[#This Row],[qz]] * CaAa_APPURT[[#This Row],[Gamma 210]] * IF(Calculations_APPURT[[#This Row],[Shape]]="CFD",1, Ka)</f>
        <v>0</v>
      </c>
      <c r="HU24" s="338">
        <f>IFERROR(1/Calculations_APPURT[[#This Row],[Brackets]],0) * cv_F * GammaSector[[#This Row],[Quantity]] * Hazards_APPURT[[#This Row],[qz]] * CaAa_APPURT[[#This Row],[Gamma 225]] * IF(Calculations_APPURT[[#This Row],[Shape]]="CFD",1, Ka)</f>
        <v>0</v>
      </c>
      <c r="HV24" s="338">
        <f>IFERROR(1/Calculations_APPURT[[#This Row],[Brackets]],0) * cv_F * GammaSector[[#This Row],[Quantity]] * Hazards_APPURT[[#This Row],[qz]] * CaAa_APPURT[[#This Row],[Gamma 240]] * IF(Calculations_APPURT[[#This Row],[Shape]]="CFD",1, Ka)</f>
        <v>0</v>
      </c>
      <c r="HW24" s="338">
        <f>IFERROR(1/Calculations_APPURT[[#This Row],[Brackets]],0) * cv_F * GammaSector[[#This Row],[Quantity]] * Hazards_APPURT[[#This Row],[qz]] * CaAa_APPURT[[#This Row],[Gamma 270]] * IF(Calculations_APPURT[[#This Row],[Shape]]="CFD",1, Ka)</f>
        <v>0</v>
      </c>
      <c r="HX24" s="338">
        <f>IFERROR(1/Calculations_APPURT[[#This Row],[Brackets]],0) * cv_F * GammaSector[[#This Row],[Quantity]] * Hazards_APPURT[[#This Row],[qz]] * CaAa_APPURT[[#This Row],[Gamma 300]] * IF(Calculations_APPURT[[#This Row],[Shape]]="CFD",1, Ka)</f>
        <v>0</v>
      </c>
      <c r="HY24" s="338">
        <f>IFERROR(1/Calculations_APPURT[[#This Row],[Brackets]],0) * cv_F * GammaSector[[#This Row],[Quantity]] * Hazards_APPURT[[#This Row],[qz]] * CaAa_APPURT[[#This Row],[Gamma 315]] * IF(Calculations_APPURT[[#This Row],[Shape]]="CFD",1, Ka)</f>
        <v>0</v>
      </c>
      <c r="HZ24" s="338">
        <f>IFERROR(1/Calculations_APPURT[[#This Row],[Brackets]],0) * cv_F * GammaSector[[#This Row],[Quantity]] * Hazards_APPURT[[#This Row],[qz]] * CaAa_APPURT[[#This Row],[Gamma 330]] * IF(Calculations_APPURT[[#This Row],[Shape]]="CFD",1, Ka)</f>
        <v>0</v>
      </c>
      <c r="IA24" s="276">
        <f>IFERROR(1/Calculations_APPURT[[#This Row],[Brackets]],0) * cv_F * DeltaSector[[#This Row],[Quantity]] * Hazards_APPURT[[#This Row],[qz]] * CaAa_APPURT[[#This Row],[Delta 0]] * IF(Calculations_APPURT[[#This Row],[Shape]]="CFD",1, Ka)</f>
        <v>0</v>
      </c>
      <c r="IB24" s="276">
        <f>IFERROR(1/Calculations_APPURT[[#This Row],[Brackets]],0) * cv_F * DeltaSector[[#This Row],[Quantity]] * Hazards_APPURT[[#This Row],[qz]] * CaAa_APPURT[[#This Row],[Delta 30]] * IF(Calculations_APPURT[[#This Row],[Shape]]="CFD",1, Ka)</f>
        <v>0</v>
      </c>
      <c r="IC24" s="276">
        <f>IFERROR(1/Calculations_APPURT[[#This Row],[Brackets]],0) * cv_F * DeltaSector[[#This Row],[Quantity]] * Hazards_APPURT[[#This Row],[qz]] * CaAa_APPURT[[#This Row],[Delta 45]] * IF(Calculations_APPURT[[#This Row],[Shape]]="CFD",1, Ka)</f>
        <v>0</v>
      </c>
      <c r="ID24" s="276">
        <f>IFERROR(1/Calculations_APPURT[[#This Row],[Brackets]],0) * cv_F * DeltaSector[[#This Row],[Quantity]] * Hazards_APPURT[[#This Row],[qz]] * CaAa_APPURT[[#This Row],[Delta 60]] * IF(Calculations_APPURT[[#This Row],[Shape]]="CFD",1, Ka)</f>
        <v>0</v>
      </c>
      <c r="IE24" s="276">
        <f>IFERROR(1/Calculations_APPURT[[#This Row],[Brackets]],0) * cv_F * DeltaSector[[#This Row],[Quantity]] * Hazards_APPURT[[#This Row],[qz]] * CaAa_APPURT[[#This Row],[Delta 90]] * IF(Calculations_APPURT[[#This Row],[Shape]]="CFD",1, Ka)</f>
        <v>0</v>
      </c>
      <c r="IF24" s="276">
        <f>IFERROR(1/Calculations_APPURT[[#This Row],[Brackets]],0) * cv_F * DeltaSector[[#This Row],[Quantity]] * Hazards_APPURT[[#This Row],[qz]] * CaAa_APPURT[[#This Row],[Delta 120]] * IF(Calculations_APPURT[[#This Row],[Shape]]="CFD",1, Ka)</f>
        <v>0</v>
      </c>
      <c r="IG24" s="276">
        <f>IFERROR(1/Calculations_APPURT[[#This Row],[Brackets]],0) * cv_F * DeltaSector[[#This Row],[Quantity]] * Hazards_APPURT[[#This Row],[qz]] * CaAa_APPURT[[#This Row],[Delta 135]] * IF(Calculations_APPURT[[#This Row],[Shape]]="CFD",1, Ka)</f>
        <v>0</v>
      </c>
      <c r="IH24" s="276">
        <f>IFERROR(1/Calculations_APPURT[[#This Row],[Brackets]],0) * cv_F * DeltaSector[[#This Row],[Quantity]] * Hazards_APPURT[[#This Row],[qz]] * CaAa_APPURT[[#This Row],[Delta 150]] * IF(Calculations_APPURT[[#This Row],[Shape]]="CFD",1, Ka)</f>
        <v>0</v>
      </c>
      <c r="II24" s="276">
        <f>IFERROR(1/Calculations_APPURT[[#This Row],[Brackets]],0) * cv_F * DeltaSector[[#This Row],[Quantity]] * Hazards_APPURT[[#This Row],[qz]] * CaAa_APPURT[[#This Row],[Delta 180]] * IF(Calculations_APPURT[[#This Row],[Shape]]="CFD",1, Ka)</f>
        <v>0</v>
      </c>
      <c r="IJ24" s="276">
        <f>IFERROR(1/Calculations_APPURT[[#This Row],[Brackets]],0) * cv_F * DeltaSector[[#This Row],[Quantity]] * Hazards_APPURT[[#This Row],[qz]] * CaAa_APPURT[[#This Row],[Delta 210]] * IF(Calculations_APPURT[[#This Row],[Shape]]="CFD",1, Ka)</f>
        <v>0</v>
      </c>
      <c r="IK24" s="276">
        <f>IFERROR(1/Calculations_APPURT[[#This Row],[Brackets]],0) * cv_F * DeltaSector[[#This Row],[Quantity]] * Hazards_APPURT[[#This Row],[qz]] * CaAa_APPURT[[#This Row],[Delta 225]] * IF(Calculations_APPURT[[#This Row],[Shape]]="CFD",1, Ka)</f>
        <v>0</v>
      </c>
      <c r="IL24" s="276">
        <f>IFERROR(1/Calculations_APPURT[[#This Row],[Brackets]],0) * cv_F * DeltaSector[[#This Row],[Quantity]] * Hazards_APPURT[[#This Row],[qz]] * CaAa_APPURT[[#This Row],[Delta 240]] * IF(Calculations_APPURT[[#This Row],[Shape]]="CFD",1, Ka)</f>
        <v>0</v>
      </c>
      <c r="IM24" s="276">
        <f>IFERROR(1/Calculations_APPURT[[#This Row],[Brackets]],0) * cv_F * DeltaSector[[#This Row],[Quantity]] * Hazards_APPURT[[#This Row],[qz]] * CaAa_APPURT[[#This Row],[Delta 270]] * IF(Calculations_APPURT[[#This Row],[Shape]]="CFD",1, Ka)</f>
        <v>0</v>
      </c>
      <c r="IN24" s="276">
        <f>IFERROR(1/Calculations_APPURT[[#This Row],[Brackets]],0) * cv_F * DeltaSector[[#This Row],[Quantity]] * Hazards_APPURT[[#This Row],[qz]] * CaAa_APPURT[[#This Row],[Delta 300]] * IF(Calculations_APPURT[[#This Row],[Shape]]="CFD",1, Ka)</f>
        <v>0</v>
      </c>
      <c r="IO24" s="276">
        <f>IFERROR(1/Calculations_APPURT[[#This Row],[Brackets]],0) * cv_F * DeltaSector[[#This Row],[Quantity]] * Hazards_APPURT[[#This Row],[qz]] * CaAa_APPURT[[#This Row],[Delta 315]] * IF(Calculations_APPURT[[#This Row],[Shape]]="CFD",1, Ka)</f>
        <v>0</v>
      </c>
      <c r="IP24" s="276">
        <f>IFERROR(1/Calculations_APPURT[[#This Row],[Brackets]],0) * cv_F * DeltaSector[[#This Row],[Quantity]] * Hazards_APPURT[[#This Row],[qz]] * CaAa_APPURT[[#This Row],[Delta 330]] * IF(Calculations_APPURT[[#This Row],[Shape]]="CFD",1, Ka)</f>
        <v>0</v>
      </c>
      <c r="IQ24" s="338">
        <f>IFERROR(1/Calculations_APPURT[[#This Row],[Brackets]],0) * cv_F * AlphaSector[[#This Row],[Quantity]] * Hazards_APPURT[[#This Row],[qiz]] * CaAa_APPURT[[#This Row],[Alpha Ice 0]]</f>
        <v>0</v>
      </c>
      <c r="IR24" s="338">
        <f>IFERROR(1/Calculations_APPURT[[#This Row],[Brackets]],0) * cv_F * AlphaSector[[#This Row],[Quantity]] * Hazards_APPURT[[#This Row],[qiz]] * CaAa_APPURT[[#This Row],[Alpha Ice 30]]</f>
        <v>0</v>
      </c>
      <c r="IS24" s="338">
        <f>IFERROR(1/Calculations_APPURT[[#This Row],[Brackets]],0) * cv_F * AlphaSector[[#This Row],[Quantity]] * Hazards_APPURT[[#This Row],[qiz]] * CaAa_APPURT[[#This Row],[Alpha Ice 45]]</f>
        <v>0</v>
      </c>
      <c r="IT24" s="338">
        <f>IFERROR(1/Calculations_APPURT[[#This Row],[Brackets]],0) * cv_F * AlphaSector[[#This Row],[Quantity]] * Hazards_APPURT[[#This Row],[qiz]] * CaAa_APPURT[[#This Row],[Alpha Ice 60]]</f>
        <v>0</v>
      </c>
      <c r="IU24" s="338">
        <f>IFERROR(1/Calculations_APPURT[[#This Row],[Brackets]],0) * cv_F * AlphaSector[[#This Row],[Quantity]] * Hazards_APPURT[[#This Row],[qiz]] * CaAa_APPURT[[#This Row],[Alpha Ice 90]]</f>
        <v>0</v>
      </c>
      <c r="IV24" s="338">
        <f>IFERROR(1/Calculations_APPURT[[#This Row],[Brackets]],0) * cv_F * AlphaSector[[#This Row],[Quantity]] * Hazards_APPURT[[#This Row],[qiz]] * CaAa_APPURT[[#This Row],[Alpha Ice 120]]</f>
        <v>0</v>
      </c>
      <c r="IW24" s="338">
        <f>IFERROR(1/Calculations_APPURT[[#This Row],[Brackets]],0) * cv_F * AlphaSector[[#This Row],[Quantity]] * Hazards_APPURT[[#This Row],[qiz]] * CaAa_APPURT[[#This Row],[Alpha Ice 135]]</f>
        <v>0</v>
      </c>
      <c r="IX24" s="338">
        <f>IFERROR(1/Calculations_APPURT[[#This Row],[Brackets]],0) * cv_F * AlphaSector[[#This Row],[Quantity]] * Hazards_APPURT[[#This Row],[qiz]] * CaAa_APPURT[[#This Row],[Alpha Ice 150]]</f>
        <v>0</v>
      </c>
      <c r="IY24" s="338">
        <f>IFERROR(1/Calculations_APPURT[[#This Row],[Brackets]],0) * cv_F * AlphaSector[[#This Row],[Quantity]] * Hazards_APPURT[[#This Row],[qiz]] * CaAa_APPURT[[#This Row],[Alpha Ice 180]]</f>
        <v>0</v>
      </c>
      <c r="IZ24" s="338">
        <f>IFERROR(1/Calculations_APPURT[[#This Row],[Brackets]],0) * cv_F * AlphaSector[[#This Row],[Quantity]] * Hazards_APPURT[[#This Row],[qiz]] * CaAa_APPURT[[#This Row],[Alpha Ice 210]]</f>
        <v>0</v>
      </c>
      <c r="JA24" s="338">
        <f>IFERROR(1/Calculations_APPURT[[#This Row],[Brackets]],0) * cv_F * AlphaSector[[#This Row],[Quantity]] * Hazards_APPURT[[#This Row],[qiz]] * CaAa_APPURT[[#This Row],[Alpha Ice 225]]</f>
        <v>0</v>
      </c>
      <c r="JB24" s="338">
        <f>IFERROR(1/Calculations_APPURT[[#This Row],[Brackets]],0) * cv_F * AlphaSector[[#This Row],[Quantity]] * Hazards_APPURT[[#This Row],[qiz]] * CaAa_APPURT[[#This Row],[Alpha Ice 240]]</f>
        <v>0</v>
      </c>
      <c r="JC24" s="338">
        <f>IFERROR(1/Calculations_APPURT[[#This Row],[Brackets]],0) * cv_F * AlphaSector[[#This Row],[Quantity]] * Hazards_APPURT[[#This Row],[qiz]] * CaAa_APPURT[[#This Row],[Alpha Ice 270]]</f>
        <v>0</v>
      </c>
      <c r="JD24" s="338">
        <f>IFERROR(1/Calculations_APPURT[[#This Row],[Brackets]],0) * cv_F * AlphaSector[[#This Row],[Quantity]] * Hazards_APPURT[[#This Row],[qiz]] * CaAa_APPURT[[#This Row],[Alpha Ice 300]]</f>
        <v>0</v>
      </c>
      <c r="JE24" s="338">
        <f>IFERROR(1/Calculations_APPURT[[#This Row],[Brackets]],0) * cv_F * AlphaSector[[#This Row],[Quantity]] * Hazards_APPURT[[#This Row],[qiz]] * CaAa_APPURT[[#This Row],[Alpha Ice 315]]</f>
        <v>0</v>
      </c>
      <c r="JF24" s="338">
        <f>IFERROR(1/Calculations_APPURT[[#This Row],[Brackets]],0) * cv_F * AlphaSector[[#This Row],[Quantity]] * Hazards_APPURT[[#This Row],[qiz]] * CaAa_APPURT[[#This Row],[Alpha Ice 330]]</f>
        <v>0</v>
      </c>
      <c r="JG24" s="276">
        <f>IFERROR(1/Calculations_APPURT[[#This Row],[Brackets]],0) * cv_F * BetaSector[[#This Row],[Quantity]] * Hazards_APPURT[[#This Row],[qiz]] * CaAa_APPURT[[#This Row],[Beta Ice 0]]</f>
        <v>0</v>
      </c>
      <c r="JH24" s="276">
        <f>IFERROR(1/Calculations_APPURT[[#This Row],[Brackets]],0) * cv_F * BetaSector[[#This Row],[Quantity]] * Hazards_APPURT[[#This Row],[qiz]] * CaAa_APPURT[[#This Row],[Beta Ice 30]]</f>
        <v>0</v>
      </c>
      <c r="JI24" s="276">
        <f>IFERROR(1/Calculations_APPURT[[#This Row],[Brackets]],0) * cv_F * BetaSector[[#This Row],[Quantity]] * Hazards_APPURT[[#This Row],[qiz]] * CaAa_APPURT[[#This Row],[Beta Ice 45]]</f>
        <v>0</v>
      </c>
      <c r="JJ24" s="276">
        <f>IFERROR(1/Calculations_APPURT[[#This Row],[Brackets]],0) * cv_F * BetaSector[[#This Row],[Quantity]] * Hazards_APPURT[[#This Row],[qiz]] * CaAa_APPURT[[#This Row],[Beta Ice 60]]</f>
        <v>0</v>
      </c>
      <c r="JK24" s="276">
        <f>IFERROR(1/Calculations_APPURT[[#This Row],[Brackets]],0) * cv_F * BetaSector[[#This Row],[Quantity]] * Hazards_APPURT[[#This Row],[qiz]] * CaAa_APPURT[[#This Row],[Beta Ice 90]]</f>
        <v>0</v>
      </c>
      <c r="JL24" s="276">
        <f>IFERROR(1/Calculations_APPURT[[#This Row],[Brackets]],0) * cv_F * BetaSector[[#This Row],[Quantity]] * Hazards_APPURT[[#This Row],[qiz]] * CaAa_APPURT[[#This Row],[Beta Ice 120]]</f>
        <v>0</v>
      </c>
      <c r="JM24" s="276">
        <f>IFERROR(1/Calculations_APPURT[[#This Row],[Brackets]],0) * cv_F * BetaSector[[#This Row],[Quantity]] * Hazards_APPURT[[#This Row],[qiz]] * CaAa_APPURT[[#This Row],[Beta Ice 135]]</f>
        <v>0</v>
      </c>
      <c r="JN24" s="276">
        <f>IFERROR(1/Calculations_APPURT[[#This Row],[Brackets]],0) * cv_F * BetaSector[[#This Row],[Quantity]] * Hazards_APPURT[[#This Row],[qiz]] * CaAa_APPURT[[#This Row],[Beta Ice 150]]</f>
        <v>0</v>
      </c>
      <c r="JO24" s="276">
        <f>IFERROR(1/Calculations_APPURT[[#This Row],[Brackets]],0) * cv_F * BetaSector[[#This Row],[Quantity]] * Hazards_APPURT[[#This Row],[qiz]] * CaAa_APPURT[[#This Row],[Beta Ice 180]]</f>
        <v>0</v>
      </c>
      <c r="JP24" s="276">
        <f>IFERROR(1/Calculations_APPURT[[#This Row],[Brackets]],0) * cv_F * BetaSector[[#This Row],[Quantity]] * Hazards_APPURT[[#This Row],[qiz]] * CaAa_APPURT[[#This Row],[Beta Ice 210]]</f>
        <v>0</v>
      </c>
      <c r="JQ24" s="276">
        <f>IFERROR(1/Calculations_APPURT[[#This Row],[Brackets]],0) * cv_F * BetaSector[[#This Row],[Quantity]] * Hazards_APPURT[[#This Row],[qiz]] * CaAa_APPURT[[#This Row],[Beta Ice 225]]</f>
        <v>0</v>
      </c>
      <c r="JR24" s="276">
        <f>IFERROR(1/Calculations_APPURT[[#This Row],[Brackets]],0) * cv_F * BetaSector[[#This Row],[Quantity]] * Hazards_APPURT[[#This Row],[qiz]] * CaAa_APPURT[[#This Row],[Beta Ice 240]]</f>
        <v>0</v>
      </c>
      <c r="JS24" s="276">
        <f>IFERROR(1/Calculations_APPURT[[#This Row],[Brackets]],0) * cv_F * BetaSector[[#This Row],[Quantity]] * Hazards_APPURT[[#This Row],[qiz]] * CaAa_APPURT[[#This Row],[Beta Ice 270]]</f>
        <v>0</v>
      </c>
      <c r="JT24" s="276">
        <f>IFERROR(1/Calculations_APPURT[[#This Row],[Brackets]],0) * cv_F * BetaSector[[#This Row],[Quantity]] * Hazards_APPURT[[#This Row],[qiz]] * CaAa_APPURT[[#This Row],[Beta Ice 300]]</f>
        <v>0</v>
      </c>
      <c r="JU24" s="276">
        <f>IFERROR(1/Calculations_APPURT[[#This Row],[Brackets]],0) * cv_F * BetaSector[[#This Row],[Quantity]] * Hazards_APPURT[[#This Row],[qiz]] * CaAa_APPURT[[#This Row],[Beta Ice 315]]</f>
        <v>0</v>
      </c>
      <c r="JV24" s="276">
        <f>IFERROR(1/Calculations_APPURT[[#This Row],[Brackets]],0) * cv_F * BetaSector[[#This Row],[Quantity]] * Hazards_APPURT[[#This Row],[qiz]] * CaAa_APPURT[[#This Row],[Beta Ice 330]]</f>
        <v>0</v>
      </c>
      <c r="JW24" s="338">
        <f>IFERROR(1/Calculations_APPURT[[#This Row],[Brackets]],0) * cv_F * GammaSector[[#This Row],[Quantity]] * Hazards_APPURT[[#This Row],[qiz]] * CaAa_APPURT[[#This Row],[Gamma Ice 0]]</f>
        <v>0</v>
      </c>
      <c r="JX24" s="338">
        <f>IFERROR(1/Calculations_APPURT[[#This Row],[Brackets]],0) * cv_F * GammaSector[[#This Row],[Quantity]] * Hazards_APPURT[[#This Row],[qiz]] * CaAa_APPURT[[#This Row],[Gamma Ice 30]]</f>
        <v>0</v>
      </c>
      <c r="JY24" s="338">
        <f>IFERROR(1/Calculations_APPURT[[#This Row],[Brackets]],0) * cv_F * GammaSector[[#This Row],[Quantity]] * Hazards_APPURT[[#This Row],[qiz]] * CaAa_APPURT[[#This Row],[Gamma Ice 45]]</f>
        <v>0</v>
      </c>
      <c r="JZ24" s="338">
        <f>IFERROR(1/Calculations_APPURT[[#This Row],[Brackets]],0) * cv_F * GammaSector[[#This Row],[Quantity]] * Hazards_APPURT[[#This Row],[qiz]] * CaAa_APPURT[[#This Row],[Gamma Ice 60]]</f>
        <v>0</v>
      </c>
      <c r="KA24" s="338">
        <f>IFERROR(1/Calculations_APPURT[[#This Row],[Brackets]],0) * cv_F * GammaSector[[#This Row],[Quantity]] * Hazards_APPURT[[#This Row],[qiz]] * CaAa_APPURT[[#This Row],[Gamma Ice 90]]</f>
        <v>0</v>
      </c>
      <c r="KB24" s="338">
        <f>IFERROR(1/Calculations_APPURT[[#This Row],[Brackets]],0) * cv_F * GammaSector[[#This Row],[Quantity]] * Hazards_APPURT[[#This Row],[qiz]] * CaAa_APPURT[[#This Row],[Gamma Ice 120]]</f>
        <v>0</v>
      </c>
      <c r="KC24" s="338">
        <f>IFERROR(1/Calculations_APPURT[[#This Row],[Brackets]],0) * cv_F * GammaSector[[#This Row],[Quantity]] * Hazards_APPURT[[#This Row],[qiz]] * CaAa_APPURT[[#This Row],[Gamma Ice 135]]</f>
        <v>0</v>
      </c>
      <c r="KD24" s="338">
        <f>IFERROR(1/Calculations_APPURT[[#This Row],[Brackets]],0) * cv_F * GammaSector[[#This Row],[Quantity]] * Hazards_APPURT[[#This Row],[qiz]] * CaAa_APPURT[[#This Row],[Gamma Ice 150]]</f>
        <v>0</v>
      </c>
      <c r="KE24" s="338">
        <f>IFERROR(1/Calculations_APPURT[[#This Row],[Brackets]],0) * cv_F * GammaSector[[#This Row],[Quantity]] * Hazards_APPURT[[#This Row],[qiz]] * CaAa_APPURT[[#This Row],[Gamma Ice 180]]</f>
        <v>0</v>
      </c>
      <c r="KF24" s="338">
        <f>IFERROR(1/Calculations_APPURT[[#This Row],[Brackets]],0) * cv_F * GammaSector[[#This Row],[Quantity]] * Hazards_APPURT[[#This Row],[qiz]] * CaAa_APPURT[[#This Row],[Gamma Ice 210]]</f>
        <v>0</v>
      </c>
      <c r="KG24" s="338">
        <f>IFERROR(1/Calculations_APPURT[[#This Row],[Brackets]],0) * cv_F * GammaSector[[#This Row],[Quantity]] * Hazards_APPURT[[#This Row],[qiz]] * CaAa_APPURT[[#This Row],[Gamma Ice 225]]</f>
        <v>0</v>
      </c>
      <c r="KH24" s="338">
        <f>IFERROR(1/Calculations_APPURT[[#This Row],[Brackets]],0) * cv_F * GammaSector[[#This Row],[Quantity]] * Hazards_APPURT[[#This Row],[qiz]] * CaAa_APPURT[[#This Row],[Gamma Ice 240]]</f>
        <v>0</v>
      </c>
      <c r="KI24" s="338">
        <f>IFERROR(1/Calculations_APPURT[[#This Row],[Brackets]],0) * cv_F * GammaSector[[#This Row],[Quantity]] * Hazards_APPURT[[#This Row],[qiz]] * CaAa_APPURT[[#This Row],[Gamma Ice 270]]</f>
        <v>0</v>
      </c>
      <c r="KJ24" s="338">
        <f>IFERROR(1/Calculations_APPURT[[#This Row],[Brackets]],0) * cv_F * GammaSector[[#This Row],[Quantity]] * Hazards_APPURT[[#This Row],[qiz]] * CaAa_APPURT[[#This Row],[Gamma Ice 300]]</f>
        <v>0</v>
      </c>
      <c r="KK24" s="338">
        <f>IFERROR(1/Calculations_APPURT[[#This Row],[Brackets]],0) * cv_F * GammaSector[[#This Row],[Quantity]] * Hazards_APPURT[[#This Row],[qiz]] * CaAa_APPURT[[#This Row],[Gamma Ice 315]]</f>
        <v>0</v>
      </c>
      <c r="KL24" s="338">
        <f>IFERROR(1/Calculations_APPURT[[#This Row],[Brackets]],0) * cv_F * GammaSector[[#This Row],[Quantity]] * Hazards_APPURT[[#This Row],[qiz]] * CaAa_APPURT[[#This Row],[Gamma Ice 330]]</f>
        <v>0</v>
      </c>
      <c r="KM24" s="276">
        <f>IFERROR(1/Calculations_APPURT[[#This Row],[Brackets]],0) * cv_F * DeltaSector[[#This Row],[Quantity]] * Hazards_APPURT[[#This Row],[qiz]] * CaAa_APPURT[[#This Row],[Delta Ice 0]]</f>
        <v>0</v>
      </c>
      <c r="KN24" s="276">
        <f>IFERROR(1/Calculations_APPURT[[#This Row],[Brackets]],0) * cv_F * DeltaSector[[#This Row],[Quantity]] * Hazards_APPURT[[#This Row],[qiz]] * CaAa_APPURT[[#This Row],[Delta Ice 30]]</f>
        <v>0</v>
      </c>
      <c r="KO24" s="276">
        <f>IFERROR(1/Calculations_APPURT[[#This Row],[Brackets]],0) * cv_F * DeltaSector[[#This Row],[Quantity]] * Hazards_APPURT[[#This Row],[qiz]] * CaAa_APPURT[[#This Row],[Delta Ice 45]]</f>
        <v>0</v>
      </c>
      <c r="KP24" s="276">
        <f>IFERROR(1/Calculations_APPURT[[#This Row],[Brackets]],0) * cv_F * DeltaSector[[#This Row],[Quantity]] * Hazards_APPURT[[#This Row],[qiz]] * CaAa_APPURT[[#This Row],[Delta Ice 60]]</f>
        <v>0</v>
      </c>
      <c r="KQ24" s="276">
        <f>IFERROR(1/Calculations_APPURT[[#This Row],[Brackets]],0) * cv_F * DeltaSector[[#This Row],[Quantity]] * Hazards_APPURT[[#This Row],[qiz]] * CaAa_APPURT[[#This Row],[Delta Ice 90]]</f>
        <v>0</v>
      </c>
      <c r="KR24" s="276">
        <f>IFERROR(1/Calculations_APPURT[[#This Row],[Brackets]],0) * cv_F * DeltaSector[[#This Row],[Quantity]] * Hazards_APPURT[[#This Row],[qiz]] * CaAa_APPURT[[#This Row],[Delta Ice 120]]</f>
        <v>0</v>
      </c>
      <c r="KS24" s="276">
        <f>IFERROR(1/Calculations_APPURT[[#This Row],[Brackets]],0) * cv_F * DeltaSector[[#This Row],[Quantity]] * Hazards_APPURT[[#This Row],[qiz]] * CaAa_APPURT[[#This Row],[Delta Ice 135]]</f>
        <v>0</v>
      </c>
      <c r="KT24" s="276">
        <f>IFERROR(1/Calculations_APPURT[[#This Row],[Brackets]],0) * cv_F * DeltaSector[[#This Row],[Quantity]] * Hazards_APPURT[[#This Row],[qiz]] * CaAa_APPURT[[#This Row],[Delta Ice 150]]</f>
        <v>0</v>
      </c>
      <c r="KU24" s="276">
        <f>IFERROR(1/Calculations_APPURT[[#This Row],[Brackets]],0) * cv_F * DeltaSector[[#This Row],[Quantity]] * Hazards_APPURT[[#This Row],[qiz]] * CaAa_APPURT[[#This Row],[Delta Ice 180]]</f>
        <v>0</v>
      </c>
      <c r="KV24" s="276">
        <f>IFERROR(1/Calculations_APPURT[[#This Row],[Brackets]],0) * cv_F * DeltaSector[[#This Row],[Quantity]] * Hazards_APPURT[[#This Row],[qiz]] * CaAa_APPURT[[#This Row],[Delta Ice 210]]</f>
        <v>0</v>
      </c>
      <c r="KW24" s="276">
        <f>IFERROR(1/Calculations_APPURT[[#This Row],[Brackets]],0) * cv_F * DeltaSector[[#This Row],[Quantity]] * Hazards_APPURT[[#This Row],[qiz]] * CaAa_APPURT[[#This Row],[Delta Ice 225]]</f>
        <v>0</v>
      </c>
      <c r="KX24" s="276">
        <f>IFERROR(1/Calculations_APPURT[[#This Row],[Brackets]],0) * cv_F * DeltaSector[[#This Row],[Quantity]] * Hazards_APPURT[[#This Row],[qiz]] * CaAa_APPURT[[#This Row],[Delta Ice 240]]</f>
        <v>0</v>
      </c>
      <c r="KY24" s="276">
        <f>IFERROR(1/Calculations_APPURT[[#This Row],[Brackets]],0) * cv_F * DeltaSector[[#This Row],[Quantity]] * Hazards_APPURT[[#This Row],[qiz]] * CaAa_APPURT[[#This Row],[Delta Ice 270]]</f>
        <v>0</v>
      </c>
      <c r="KZ24" s="276">
        <f>IFERROR(1/Calculations_APPURT[[#This Row],[Brackets]],0) * cv_F * DeltaSector[[#This Row],[Quantity]] * Hazards_APPURT[[#This Row],[qiz]] * CaAa_APPURT[[#This Row],[Delta Ice 300]]</f>
        <v>0</v>
      </c>
      <c r="LA24" s="276">
        <f>IFERROR(1/Calculations_APPURT[[#This Row],[Brackets]],0) * cv_F * DeltaSector[[#This Row],[Quantity]] * Hazards_APPURT[[#This Row],[qiz]] * CaAa_APPURT[[#This Row],[Delta Ice 315]]</f>
        <v>0</v>
      </c>
      <c r="LB24" s="276">
        <f>IFERROR(1/Calculations_APPURT[[#This Row],[Brackets]],0) * cv_F * DeltaSector[[#This Row],[Quantity]] * Hazards_APPURT[[#This Row],[qiz]] * CaAa_APPURT[[#This Row],[Delta Ice 330]]</f>
        <v>0</v>
      </c>
      <c r="LC24" s="338">
        <f>IFERROR(1/Calculations_APPURT[[#This Row],[Brackets]],0) * cv_M/cv_F * Forces_APPURT[[#This Row],[Alpha Fa 0]] * Calculations_APPURT[[#This Row],[Horizontal Offset]]/12</f>
        <v>0</v>
      </c>
      <c r="LD24" s="338">
        <f>IFERROR(1/Calculations_APPURT[[#This Row],[Brackets]],0) * cv_M/cv_F * Forces_APPURT[[#This Row],[Alpha Fa 30]] * Calculations_APPURT[[#This Row],[Horizontal Offset]]/12</f>
        <v>0</v>
      </c>
      <c r="LE24" s="338">
        <f>IFERROR(1/Calculations_APPURT[[#This Row],[Brackets]],0) * cv_M/cv_F * Forces_APPURT[[#This Row],[Alpha Fa 45]] * Calculations_APPURT[[#This Row],[Horizontal Offset]]/12</f>
        <v>0</v>
      </c>
      <c r="LF24" s="338">
        <f>IFERROR(1/Calculations_APPURT[[#This Row],[Brackets]],0) * cv_M/cv_F * Forces_APPURT[[#This Row],[Alpha Fa 60]] * Calculations_APPURT[[#This Row],[Horizontal Offset]]/12</f>
        <v>0</v>
      </c>
      <c r="LG24" s="338">
        <f>IFERROR(1/Calculations_APPURT[[#This Row],[Brackets]],0) * cv_M/cv_F * Forces_APPURT[[#This Row],[Alpha Fa 90]] * Calculations_APPURT[[#This Row],[Horizontal Offset]]/12</f>
        <v>0</v>
      </c>
      <c r="LH24" s="338">
        <f>IFERROR(1/Calculations_APPURT[[#This Row],[Brackets]],0) * cv_M/cv_F * Forces_APPURT[[#This Row],[Alpha Fa 120]] * Calculations_APPURT[[#This Row],[Horizontal Offset]]/12</f>
        <v>0</v>
      </c>
      <c r="LI24" s="338">
        <f>IFERROR(1/Calculations_APPURT[[#This Row],[Brackets]],0) * cv_M/cv_F * Forces_APPURT[[#This Row],[Alpha Fa 135]] * Calculations_APPURT[[#This Row],[Horizontal Offset]]/12</f>
        <v>0</v>
      </c>
      <c r="LJ24" s="338">
        <f>IFERROR(1/Calculations_APPURT[[#This Row],[Brackets]],0) * cv_M/cv_F * Forces_APPURT[[#This Row],[Alpha Fa 150]] * Calculations_APPURT[[#This Row],[Horizontal Offset]]/12</f>
        <v>0</v>
      </c>
      <c r="LK24" s="338">
        <f>IFERROR(1/Calculations_APPURT[[#This Row],[Brackets]],0) * cv_M/cv_F * Forces_APPURT[[#This Row],[Alpha Fa 180]] * Calculations_APPURT[[#This Row],[Horizontal Offset]]/12</f>
        <v>0</v>
      </c>
      <c r="LL24" s="338">
        <f>IFERROR(1/Calculations_APPURT[[#This Row],[Brackets]],0) * cv_M/cv_F * Forces_APPURT[[#This Row],[Alpha Fa 210]] * Calculations_APPURT[[#This Row],[Horizontal Offset]]/12</f>
        <v>0</v>
      </c>
      <c r="LM24" s="338">
        <f>IFERROR(1/Calculations_APPURT[[#This Row],[Brackets]],0) * cv_M/cv_F * Forces_APPURT[[#This Row],[Alpha Fa 225]] * Calculations_APPURT[[#This Row],[Horizontal Offset]]/12</f>
        <v>0</v>
      </c>
      <c r="LN24" s="338">
        <f>IFERROR(1/Calculations_APPURT[[#This Row],[Brackets]],0) * cv_M/cv_F * Forces_APPURT[[#This Row],[Alpha Fa 240]] * Calculations_APPURT[[#This Row],[Horizontal Offset]]/12</f>
        <v>0</v>
      </c>
      <c r="LO24" s="338">
        <f>IFERROR(1/Calculations_APPURT[[#This Row],[Brackets]],0) * cv_M/cv_F * Forces_APPURT[[#This Row],[Alpha Fa 270]] * Calculations_APPURT[[#This Row],[Horizontal Offset]]/12</f>
        <v>0</v>
      </c>
      <c r="LP24" s="338">
        <f>IFERROR(1/Calculations_APPURT[[#This Row],[Brackets]],0) * cv_M/cv_F * Forces_APPURT[[#This Row],[Alpha Fa 300]] * Calculations_APPURT[[#This Row],[Horizontal Offset]]/12</f>
        <v>0</v>
      </c>
      <c r="LQ24" s="338">
        <f>IFERROR(1/Calculations_APPURT[[#This Row],[Brackets]],0) * cv_M/cv_F * Forces_APPURT[[#This Row],[Alpha Fa 315]] * Calculations_APPURT[[#This Row],[Horizontal Offset]]/12</f>
        <v>0</v>
      </c>
      <c r="LR24" s="338">
        <f>IFERROR(1/Calculations_APPURT[[#This Row],[Brackets]],0) * cv_M/cv_F * Forces_APPURT[[#This Row],[Alpha Fa 330]] * Calculations_APPURT[[#This Row],[Horizontal Offset]]/12</f>
        <v>0</v>
      </c>
      <c r="LS24" s="276">
        <f>IFERROR(1/Calculations_APPURT[[#This Row],[Brackets]],0) * cv_M/cv_F * Forces_APPURT[[#This Row],[Beta Fa 0]] * Calculations_APPURT[[#This Row],[Horizontal Offset]]/12</f>
        <v>0</v>
      </c>
      <c r="LT24" s="276">
        <f>IFERROR(1/Calculations_APPURT[[#This Row],[Brackets]],0) * cv_M/cv_F * Forces_APPURT[[#This Row],[Beta Fa 30]] * Calculations_APPURT[[#This Row],[Horizontal Offset]]/12</f>
        <v>0</v>
      </c>
      <c r="LU24" s="276">
        <f>IFERROR(1/Calculations_APPURT[[#This Row],[Brackets]],0) * cv_M/cv_F * Forces_APPURT[[#This Row],[Beta Fa 45]] * Calculations_APPURT[[#This Row],[Horizontal Offset]]/12</f>
        <v>0</v>
      </c>
      <c r="LV24" s="276">
        <f>IFERROR(1/Calculations_APPURT[[#This Row],[Brackets]],0) * cv_M/cv_F * Forces_APPURT[[#This Row],[Beta Fa 60]] * Calculations_APPURT[[#This Row],[Horizontal Offset]]/12</f>
        <v>0</v>
      </c>
      <c r="LW24" s="276">
        <f>IFERROR(1/Calculations_APPURT[[#This Row],[Brackets]],0) * cv_M/cv_F * Forces_APPURT[[#This Row],[Beta Fa 90]] * Calculations_APPURT[[#This Row],[Horizontal Offset]]/12</f>
        <v>0</v>
      </c>
      <c r="LX24" s="276">
        <f>IFERROR(1/Calculations_APPURT[[#This Row],[Brackets]],0) * cv_M/cv_F * Forces_APPURT[[#This Row],[Beta Fa 120]] * Calculations_APPURT[[#This Row],[Horizontal Offset]]/12</f>
        <v>0</v>
      </c>
      <c r="LY24" s="276">
        <f>IFERROR(1/Calculations_APPURT[[#This Row],[Brackets]],0) * cv_M/cv_F * Forces_APPURT[[#This Row],[Beta Fa 135]] * Calculations_APPURT[[#This Row],[Horizontal Offset]]/12</f>
        <v>0</v>
      </c>
      <c r="LZ24" s="276">
        <f>IFERROR(1/Calculations_APPURT[[#This Row],[Brackets]],0) * cv_M/cv_F * Forces_APPURT[[#This Row],[Beta Fa 150]] * Calculations_APPURT[[#This Row],[Horizontal Offset]]/12</f>
        <v>0</v>
      </c>
      <c r="MA24" s="276">
        <f>IFERROR(1/Calculations_APPURT[[#This Row],[Brackets]],0) * cv_M/cv_F * Forces_APPURT[[#This Row],[Beta Fa 180]] * Calculations_APPURT[[#This Row],[Horizontal Offset]]/12</f>
        <v>0</v>
      </c>
      <c r="MB24" s="276">
        <f>IFERROR(1/Calculations_APPURT[[#This Row],[Brackets]],0) * cv_M/cv_F * Forces_APPURT[[#This Row],[Beta Fa 210]] * Calculations_APPURT[[#This Row],[Horizontal Offset]]/12</f>
        <v>0</v>
      </c>
      <c r="MC24" s="276">
        <f>IFERROR(1/Calculations_APPURT[[#This Row],[Brackets]],0) * cv_M/cv_F * Forces_APPURT[[#This Row],[Beta Fa 225]] * Calculations_APPURT[[#This Row],[Horizontal Offset]]/12</f>
        <v>0</v>
      </c>
      <c r="MD24" s="276">
        <f>IFERROR(1/Calculations_APPURT[[#This Row],[Brackets]],0) * cv_M/cv_F * Forces_APPURT[[#This Row],[Beta Fa 240]] * Calculations_APPURT[[#This Row],[Horizontal Offset]]/12</f>
        <v>0</v>
      </c>
      <c r="ME24" s="276">
        <f>IFERROR(1/Calculations_APPURT[[#This Row],[Brackets]],0) * cv_M/cv_F * Forces_APPURT[[#This Row],[Beta Fa 270]] * Calculations_APPURT[[#This Row],[Horizontal Offset]]/12</f>
        <v>0</v>
      </c>
      <c r="MF24" s="276">
        <f>IFERROR(1/Calculations_APPURT[[#This Row],[Brackets]],0) * cv_M/cv_F * Forces_APPURT[[#This Row],[Beta Fa 300]] * Calculations_APPURT[[#This Row],[Horizontal Offset]]/12</f>
        <v>0</v>
      </c>
      <c r="MG24" s="276">
        <f>IFERROR(1/Calculations_APPURT[[#This Row],[Brackets]],0) * cv_M/cv_F * Forces_APPURT[[#This Row],[Beta Fa 315]] * Calculations_APPURT[[#This Row],[Horizontal Offset]]/12</f>
        <v>0</v>
      </c>
      <c r="MH24" s="276">
        <f>IFERROR(1/Calculations_APPURT[[#This Row],[Brackets]],0) * cv_M/cv_F * Forces_APPURT[[#This Row],[Beta Fa 330]] * Calculations_APPURT[[#This Row],[Horizontal Offset]]/12</f>
        <v>0</v>
      </c>
      <c r="MI24" s="338">
        <f>IFERROR(1/Calculations_APPURT[[#This Row],[Brackets]],0) * cv_M/cv_F * Forces_APPURT[[#This Row],[Gamma Fa 0]] * Calculations_APPURT[[#This Row],[Horizontal Offset]]/12</f>
        <v>0</v>
      </c>
      <c r="MJ24" s="338">
        <f>IFERROR(1/Calculations_APPURT[[#This Row],[Brackets]],0) * cv_M/cv_F * Forces_APPURT[[#This Row],[Gamma Fa 30]] * Calculations_APPURT[[#This Row],[Horizontal Offset]]/12</f>
        <v>0</v>
      </c>
      <c r="MK24" s="338">
        <f>IFERROR(1/Calculations_APPURT[[#This Row],[Brackets]],0) * cv_M/cv_F * Forces_APPURT[[#This Row],[Gamma Fa 45]] * Calculations_APPURT[[#This Row],[Horizontal Offset]]/12</f>
        <v>0</v>
      </c>
      <c r="ML24" s="338">
        <f>IFERROR(1/Calculations_APPURT[[#This Row],[Brackets]],0) * cv_M/cv_F * Forces_APPURT[[#This Row],[Gamma Fa 60]] * Calculations_APPURT[[#This Row],[Horizontal Offset]]/12</f>
        <v>0</v>
      </c>
      <c r="MM24" s="338">
        <f>IFERROR(1/Calculations_APPURT[[#This Row],[Brackets]],0) * cv_M/cv_F * Forces_APPURT[[#This Row],[Gamma Fa 90]] * Calculations_APPURT[[#This Row],[Horizontal Offset]]/12</f>
        <v>0</v>
      </c>
      <c r="MN24" s="338">
        <f>IFERROR(1/Calculations_APPURT[[#This Row],[Brackets]],0) * cv_M/cv_F * Forces_APPURT[[#This Row],[Gamma Fa 120]] * Calculations_APPURT[[#This Row],[Horizontal Offset]]/12</f>
        <v>0</v>
      </c>
      <c r="MO24" s="338">
        <f>IFERROR(1/Calculations_APPURT[[#This Row],[Brackets]],0) * cv_M/cv_F * Forces_APPURT[[#This Row],[Gamma Fa 135]] * Calculations_APPURT[[#This Row],[Horizontal Offset]]/12</f>
        <v>0</v>
      </c>
      <c r="MP24" s="338">
        <f>IFERROR(1/Calculations_APPURT[[#This Row],[Brackets]],0) * cv_M/cv_F * Forces_APPURT[[#This Row],[Gamma Fa 150]] * Calculations_APPURT[[#This Row],[Horizontal Offset]]/12</f>
        <v>0</v>
      </c>
      <c r="MQ24" s="338">
        <f>IFERROR(1/Calculations_APPURT[[#This Row],[Brackets]],0) * cv_M/cv_F * Forces_APPURT[[#This Row],[Gamma Fa 180]] * Calculations_APPURT[[#This Row],[Horizontal Offset]]/12</f>
        <v>0</v>
      </c>
      <c r="MR24" s="338">
        <f>IFERROR(1/Calculations_APPURT[[#This Row],[Brackets]],0) * cv_M/cv_F * Forces_APPURT[[#This Row],[Gamma Fa 210]] * Calculations_APPURT[[#This Row],[Horizontal Offset]]/12</f>
        <v>0</v>
      </c>
      <c r="MS24" s="338">
        <f>IFERROR(1/Calculations_APPURT[[#This Row],[Brackets]],0) * cv_M/cv_F * Forces_APPURT[[#This Row],[Gamma Fa 225]] * Calculations_APPURT[[#This Row],[Horizontal Offset]]/12</f>
        <v>0</v>
      </c>
      <c r="MT24" s="338">
        <f>IFERROR(1/Calculations_APPURT[[#This Row],[Brackets]],0) * cv_M/cv_F * Forces_APPURT[[#This Row],[Gamma Fa 240]] * Calculations_APPURT[[#This Row],[Horizontal Offset]]/12</f>
        <v>0</v>
      </c>
      <c r="MU24" s="338">
        <f>IFERROR(1/Calculations_APPURT[[#This Row],[Brackets]],0) * cv_M/cv_F * Forces_APPURT[[#This Row],[Gamma Fa 270]] * Calculations_APPURT[[#This Row],[Horizontal Offset]]/12</f>
        <v>0</v>
      </c>
      <c r="MV24" s="338">
        <f>IFERROR(1/Calculations_APPURT[[#This Row],[Brackets]],0) * cv_M/cv_F * Forces_APPURT[[#This Row],[Gamma Fa 300]] * Calculations_APPURT[[#This Row],[Horizontal Offset]]/12</f>
        <v>0</v>
      </c>
      <c r="MW24" s="338">
        <f>IFERROR(1/Calculations_APPURT[[#This Row],[Brackets]],0) * cv_M/cv_F * Forces_APPURT[[#This Row],[Gamma Fa 315]] * Calculations_APPURT[[#This Row],[Horizontal Offset]]/12</f>
        <v>0</v>
      </c>
      <c r="MX24" s="338">
        <f>IFERROR(1/Calculations_APPURT[[#This Row],[Brackets]],0) * cv_M/cv_F * Forces_APPURT[[#This Row],[Gamma Fa 330]] * Calculations_APPURT[[#This Row],[Horizontal Offset]]/12</f>
        <v>0</v>
      </c>
      <c r="MY24" s="276">
        <f>IFERROR(1/Calculations_APPURT[[#This Row],[Brackets]],0) * cv_M/cv_F * Forces_APPURT[[#This Row],[Delta Fa 0]] * Calculations_APPURT[[#This Row],[Horizontal Offset]]/12</f>
        <v>0</v>
      </c>
      <c r="MZ24" s="276">
        <f>IFERROR(1/Calculations_APPURT[[#This Row],[Brackets]],0) * cv_M/cv_F * Forces_APPURT[[#This Row],[Delta Fa 30]] * Calculations_APPURT[[#This Row],[Horizontal Offset]]/12</f>
        <v>0</v>
      </c>
      <c r="NA24" s="276">
        <f>IFERROR(1/Calculations_APPURT[[#This Row],[Brackets]],0) * cv_M/cv_F * Forces_APPURT[[#This Row],[Delta Fa 45]] * Calculations_APPURT[[#This Row],[Horizontal Offset]]/12</f>
        <v>0</v>
      </c>
      <c r="NB24" s="276">
        <f>IFERROR(1/Calculations_APPURT[[#This Row],[Brackets]],0) * cv_M/cv_F * Forces_APPURT[[#This Row],[Delta Fa 60]] * Calculations_APPURT[[#This Row],[Horizontal Offset]]/12</f>
        <v>0</v>
      </c>
      <c r="NC24" s="276">
        <f>IFERROR(1/Calculations_APPURT[[#This Row],[Brackets]],0) * cv_M/cv_F * Forces_APPURT[[#This Row],[Delta Fa 90]] * Calculations_APPURT[[#This Row],[Horizontal Offset]]/12</f>
        <v>0</v>
      </c>
      <c r="ND24" s="276">
        <f>IFERROR(1/Calculations_APPURT[[#This Row],[Brackets]],0) * cv_M/cv_F * Forces_APPURT[[#This Row],[Delta Fa 120]] * Calculations_APPURT[[#This Row],[Horizontal Offset]]/12</f>
        <v>0</v>
      </c>
      <c r="NE24" s="276">
        <f>IFERROR(1/Calculations_APPURT[[#This Row],[Brackets]],0) * cv_M/cv_F * Forces_APPURT[[#This Row],[Delta Fa 135]] * Calculations_APPURT[[#This Row],[Horizontal Offset]]/12</f>
        <v>0</v>
      </c>
      <c r="NF24" s="276">
        <f>IFERROR(1/Calculations_APPURT[[#This Row],[Brackets]],0) * cv_M/cv_F * Forces_APPURT[[#This Row],[Delta Fa 150]] * Calculations_APPURT[[#This Row],[Horizontal Offset]]/12</f>
        <v>0</v>
      </c>
      <c r="NG24" s="276">
        <f>IFERROR(1/Calculations_APPURT[[#This Row],[Brackets]],0) * cv_M/cv_F * Forces_APPURT[[#This Row],[Delta Fa 180]] * Calculations_APPURT[[#This Row],[Horizontal Offset]]/12</f>
        <v>0</v>
      </c>
      <c r="NH24" s="276">
        <f>IFERROR(1/Calculations_APPURT[[#This Row],[Brackets]],0) * cv_M/cv_F * Forces_APPURT[[#This Row],[Delta Fa 210]] * Calculations_APPURT[[#This Row],[Horizontal Offset]]/12</f>
        <v>0</v>
      </c>
      <c r="NI24" s="276">
        <f>IFERROR(1/Calculations_APPURT[[#This Row],[Brackets]],0) * cv_M/cv_F * Forces_APPURT[[#This Row],[Delta Fa 225]] * Calculations_APPURT[[#This Row],[Horizontal Offset]]/12</f>
        <v>0</v>
      </c>
      <c r="NJ24" s="276">
        <f>IFERROR(1/Calculations_APPURT[[#This Row],[Brackets]],0) * cv_M/cv_F * Forces_APPURT[[#This Row],[Delta Fa 240]] * Calculations_APPURT[[#This Row],[Horizontal Offset]]/12</f>
        <v>0</v>
      </c>
      <c r="NK24" s="276">
        <f>IFERROR(1/Calculations_APPURT[[#This Row],[Brackets]],0) * cv_M/cv_F * Forces_APPURT[[#This Row],[Delta Fa 270]] * Calculations_APPURT[[#This Row],[Horizontal Offset]]/12</f>
        <v>0</v>
      </c>
      <c r="NL24" s="276">
        <f>IFERROR(1/Calculations_APPURT[[#This Row],[Brackets]],0) * cv_M/cv_F * Forces_APPURT[[#This Row],[Delta Fa 300]] * Calculations_APPURT[[#This Row],[Horizontal Offset]]/12</f>
        <v>0</v>
      </c>
      <c r="NM24" s="276">
        <f>IFERROR(1/Calculations_APPURT[[#This Row],[Brackets]],0) * cv_M/cv_F * Forces_APPURT[[#This Row],[Delta Fa 315]] * Calculations_APPURT[[#This Row],[Horizontal Offset]]/12</f>
        <v>0</v>
      </c>
      <c r="NN24" s="276">
        <f>IFERROR(1/Calculations_APPURT[[#This Row],[Brackets]],0) * cv_M/cv_F * Forces_APPURT[[#This Row],[Delta Fa 330]] * Calculations_APPURT[[#This Row],[Horizontal Offset]]/12</f>
        <v>0</v>
      </c>
      <c r="NO24" s="338">
        <f>IFERROR(1/Calculations_APPURT[[#This Row],[Brackets]],0) * cv_M/cv_F * Forces_APPURT[[#This Row],[Alpha Fai 0]] * Calculations_APPURT[[#This Row],[Horizontal Offset]]/12</f>
        <v>0</v>
      </c>
      <c r="NP24" s="338">
        <f>IFERROR(1/Calculations_APPURT[[#This Row],[Brackets]],0) * cv_M/cv_F * Forces_APPURT[[#This Row],[Alpha Fai 30]] * Calculations_APPURT[[#This Row],[Horizontal Offset]]/12</f>
        <v>0</v>
      </c>
      <c r="NQ24" s="338">
        <f>IFERROR(1/Calculations_APPURT[[#This Row],[Brackets]],0) * cv_M/cv_F * Forces_APPURT[[#This Row],[Alpha Fai 45]] * Calculations_APPURT[[#This Row],[Horizontal Offset]]/12</f>
        <v>0</v>
      </c>
      <c r="NR24" s="338">
        <f>IFERROR(1/Calculations_APPURT[[#This Row],[Brackets]],0) * cv_M/cv_F * Forces_APPURT[[#This Row],[Alpha Fai 60]] * Calculations_APPURT[[#This Row],[Horizontal Offset]]/12</f>
        <v>0</v>
      </c>
      <c r="NS24" s="338">
        <f>IFERROR(1/Calculations_APPURT[[#This Row],[Brackets]],0) * cv_M/cv_F * Forces_APPURT[[#This Row],[Alpha Fai 90]] * Calculations_APPURT[[#This Row],[Horizontal Offset]]/12</f>
        <v>0</v>
      </c>
      <c r="NT24" s="338">
        <f>IFERROR(1/Calculations_APPURT[[#This Row],[Brackets]],0) * cv_M/cv_F * Forces_APPURT[[#This Row],[Alpha Fai 120]] * Calculations_APPURT[[#This Row],[Horizontal Offset]]/12</f>
        <v>0</v>
      </c>
      <c r="NU24" s="338">
        <f>IFERROR(1/Calculations_APPURT[[#This Row],[Brackets]],0) * cv_M/cv_F * Forces_APPURT[[#This Row],[Alpha Fai 135]] * Calculations_APPURT[[#This Row],[Horizontal Offset]]/12</f>
        <v>0</v>
      </c>
      <c r="NV24" s="338">
        <f>IFERROR(1/Calculations_APPURT[[#This Row],[Brackets]],0) * cv_M/cv_F * Forces_APPURT[[#This Row],[Alpha Fai 150]] * Calculations_APPURT[[#This Row],[Horizontal Offset]]/12</f>
        <v>0</v>
      </c>
      <c r="NW24" s="338">
        <f>IFERROR(1/Calculations_APPURT[[#This Row],[Brackets]],0) * cv_M/cv_F * Forces_APPURT[[#This Row],[Alpha Fai 180]] * Calculations_APPURT[[#This Row],[Horizontal Offset]]/12</f>
        <v>0</v>
      </c>
      <c r="NX24" s="338">
        <f>IFERROR(1/Calculations_APPURT[[#This Row],[Brackets]],0) * cv_M/cv_F * Forces_APPURT[[#This Row],[Alpha Fai 210]] * Calculations_APPURT[[#This Row],[Horizontal Offset]]/12</f>
        <v>0</v>
      </c>
      <c r="NY24" s="338">
        <f>IFERROR(1/Calculations_APPURT[[#This Row],[Brackets]],0) * cv_M/cv_F * Forces_APPURT[[#This Row],[Alpha Fai 225]] * Calculations_APPURT[[#This Row],[Horizontal Offset]]/12</f>
        <v>0</v>
      </c>
      <c r="NZ24" s="338">
        <f>IFERROR(1/Calculations_APPURT[[#This Row],[Brackets]],0) * cv_M/cv_F * Forces_APPURT[[#This Row],[Alpha Fai 240]] * Calculations_APPURT[[#This Row],[Horizontal Offset]]/12</f>
        <v>0</v>
      </c>
      <c r="OA24" s="338">
        <f>IFERROR(1/Calculations_APPURT[[#This Row],[Brackets]],0) * cv_M/cv_F * Forces_APPURT[[#This Row],[Alpha Fai 270]] * Calculations_APPURT[[#This Row],[Horizontal Offset]]/12</f>
        <v>0</v>
      </c>
      <c r="OB24" s="338">
        <f>IFERROR(1/Calculations_APPURT[[#This Row],[Brackets]],0) * cv_M/cv_F * Forces_APPURT[[#This Row],[Alpha Fai 300]] * Calculations_APPURT[[#This Row],[Horizontal Offset]]/12</f>
        <v>0</v>
      </c>
      <c r="OC24" s="338">
        <f>IFERROR(1/Calculations_APPURT[[#This Row],[Brackets]],0) * cv_M/cv_F * Forces_APPURT[[#This Row],[Alpha Fai 315]] * Calculations_APPURT[[#This Row],[Horizontal Offset]]/12</f>
        <v>0</v>
      </c>
      <c r="OD24" s="338">
        <f>IFERROR(1/Calculations_APPURT[[#This Row],[Brackets]],0) * cv_M/cv_F * Forces_APPURT[[#This Row],[Alpha Fai 330]] * Calculations_APPURT[[#This Row],[Horizontal Offset]]/12</f>
        <v>0</v>
      </c>
      <c r="OE24" s="276">
        <f>IFERROR(1/Calculations_APPURT[[#This Row],[Brackets]],0) * cv_M/cv_F * Forces_APPURT[[#This Row],[Beta Fai 0]] * Calculations_APPURT[[#This Row],[Horizontal Offset]]/12</f>
        <v>0</v>
      </c>
      <c r="OF24" s="276">
        <f>IFERROR(1/Calculations_APPURT[[#This Row],[Brackets]],0) * cv_M/cv_F * Forces_APPURT[[#This Row],[Beta Fai 30]] * Calculations_APPURT[[#This Row],[Horizontal Offset]]/12</f>
        <v>0</v>
      </c>
      <c r="OG24" s="276">
        <f>IFERROR(1/Calculations_APPURT[[#This Row],[Brackets]],0) * cv_M/cv_F * Forces_APPURT[[#This Row],[Beta Fai 45]] * Calculations_APPURT[[#This Row],[Horizontal Offset]]/12</f>
        <v>0</v>
      </c>
      <c r="OH24" s="276">
        <f>IFERROR(1/Calculations_APPURT[[#This Row],[Brackets]],0) * cv_M/cv_F * Forces_APPURT[[#This Row],[Beta Fai 60]] * Calculations_APPURT[[#This Row],[Horizontal Offset]]/12</f>
        <v>0</v>
      </c>
      <c r="OI24" s="276">
        <f>IFERROR(1/Calculations_APPURT[[#This Row],[Brackets]],0) * cv_M/cv_F * Forces_APPURT[[#This Row],[Beta Fai 90]] * Calculations_APPURT[[#This Row],[Horizontal Offset]]/12</f>
        <v>0</v>
      </c>
      <c r="OJ24" s="276">
        <f>IFERROR(1/Calculations_APPURT[[#This Row],[Brackets]],0) * cv_M/cv_F * Forces_APPURT[[#This Row],[Beta Fai 120]] * Calculations_APPURT[[#This Row],[Horizontal Offset]]/12</f>
        <v>0</v>
      </c>
      <c r="OK24" s="276">
        <f>IFERROR(1/Calculations_APPURT[[#This Row],[Brackets]],0) * cv_M/cv_F * Forces_APPURT[[#This Row],[Beta Fai 135]] * Calculations_APPURT[[#This Row],[Horizontal Offset]]/12</f>
        <v>0</v>
      </c>
      <c r="OL24" s="276">
        <f>IFERROR(1/Calculations_APPURT[[#This Row],[Brackets]],0) * cv_M/cv_F * Forces_APPURT[[#This Row],[Beta Fai 150]] * Calculations_APPURT[[#This Row],[Horizontal Offset]]/12</f>
        <v>0</v>
      </c>
      <c r="OM24" s="276">
        <f>IFERROR(1/Calculations_APPURT[[#This Row],[Brackets]],0) * cv_M/cv_F * Forces_APPURT[[#This Row],[Beta Fai 180]] * Calculations_APPURT[[#This Row],[Horizontal Offset]]/12</f>
        <v>0</v>
      </c>
      <c r="ON24" s="276">
        <f>IFERROR(1/Calculations_APPURT[[#This Row],[Brackets]],0) * cv_M/cv_F * Forces_APPURT[[#This Row],[Beta Fai 210]] * Calculations_APPURT[[#This Row],[Horizontal Offset]]/12</f>
        <v>0</v>
      </c>
      <c r="OO24" s="276">
        <f>IFERROR(1/Calculations_APPURT[[#This Row],[Brackets]],0) * cv_M/cv_F * Forces_APPURT[[#This Row],[Beta Fai 225]] * Calculations_APPURT[[#This Row],[Horizontal Offset]]/12</f>
        <v>0</v>
      </c>
      <c r="OP24" s="276">
        <f>IFERROR(1/Calculations_APPURT[[#This Row],[Brackets]],0) * cv_M/cv_F * Forces_APPURT[[#This Row],[Beta Fai 240]] * Calculations_APPURT[[#This Row],[Horizontal Offset]]/12</f>
        <v>0</v>
      </c>
      <c r="OQ24" s="276">
        <f>IFERROR(1/Calculations_APPURT[[#This Row],[Brackets]],0) * cv_M/cv_F * Forces_APPURT[[#This Row],[Beta Fai 270]] * Calculations_APPURT[[#This Row],[Horizontal Offset]]/12</f>
        <v>0</v>
      </c>
      <c r="OR24" s="276">
        <f>IFERROR(1/Calculations_APPURT[[#This Row],[Brackets]],0) * cv_M/cv_F * Forces_APPURT[[#This Row],[Beta Fai 300]] * Calculations_APPURT[[#This Row],[Horizontal Offset]]/12</f>
        <v>0</v>
      </c>
      <c r="OS24" s="276">
        <f>IFERROR(1/Calculations_APPURT[[#This Row],[Brackets]],0) * cv_M/cv_F * Forces_APPURT[[#This Row],[Beta Fai 315]] * Calculations_APPURT[[#This Row],[Horizontal Offset]]/12</f>
        <v>0</v>
      </c>
      <c r="OT24" s="276">
        <f>IFERROR(1/Calculations_APPURT[[#This Row],[Brackets]],0) * cv_M/cv_F * Forces_APPURT[[#This Row],[Beta Fai 330]] * Calculations_APPURT[[#This Row],[Horizontal Offset]]/12</f>
        <v>0</v>
      </c>
      <c r="OU24" s="338">
        <f>IFERROR(1/Calculations_APPURT[[#This Row],[Brackets]],0) * cv_M/cv_F * Forces_APPURT[[#This Row],[Gamma Fai 0]] * Calculations_APPURT[[#This Row],[Horizontal Offset]]/12</f>
        <v>0</v>
      </c>
      <c r="OV24" s="338">
        <f>IFERROR(1/Calculations_APPURT[[#This Row],[Brackets]],0) * cv_M/cv_F * Forces_APPURT[[#This Row],[Gamma Fai 30]] * Calculations_APPURT[[#This Row],[Horizontal Offset]]/12</f>
        <v>0</v>
      </c>
      <c r="OW24" s="338">
        <f>IFERROR(1/Calculations_APPURT[[#This Row],[Brackets]],0) * cv_M/cv_F * Forces_APPURT[[#This Row],[Gamma Fai 45]] * Calculations_APPURT[[#This Row],[Horizontal Offset]]/12</f>
        <v>0</v>
      </c>
      <c r="OX24" s="338">
        <f>IFERROR(1/Calculations_APPURT[[#This Row],[Brackets]],0) * cv_M/cv_F * Forces_APPURT[[#This Row],[Gamma Fai 60]] * Calculations_APPURT[[#This Row],[Horizontal Offset]]/12</f>
        <v>0</v>
      </c>
      <c r="OY24" s="338">
        <f>IFERROR(1/Calculations_APPURT[[#This Row],[Brackets]],0) * cv_M/cv_F * Forces_APPURT[[#This Row],[Gamma Fai 90]] * Calculations_APPURT[[#This Row],[Horizontal Offset]]/12</f>
        <v>0</v>
      </c>
      <c r="OZ24" s="338">
        <f>IFERROR(1/Calculations_APPURT[[#This Row],[Brackets]],0) * cv_M/cv_F * Forces_APPURT[[#This Row],[Gamma Fai 120]] * Calculations_APPURT[[#This Row],[Horizontal Offset]]/12</f>
        <v>0</v>
      </c>
      <c r="PA24" s="338">
        <f>IFERROR(1/Calculations_APPURT[[#This Row],[Brackets]],0) * cv_M/cv_F * Forces_APPURT[[#This Row],[Gamma Fai 135]] * Calculations_APPURT[[#This Row],[Horizontal Offset]]/12</f>
        <v>0</v>
      </c>
      <c r="PB24" s="338">
        <f>IFERROR(1/Calculations_APPURT[[#This Row],[Brackets]],0) * cv_M/cv_F * Forces_APPURT[[#This Row],[Gamma Fai 150]] * Calculations_APPURT[[#This Row],[Horizontal Offset]]/12</f>
        <v>0</v>
      </c>
      <c r="PC24" s="338">
        <f>IFERROR(1/Calculations_APPURT[[#This Row],[Brackets]],0) * cv_M/cv_F * Forces_APPURT[[#This Row],[Gamma Fai 180]] * Calculations_APPURT[[#This Row],[Horizontal Offset]]/12</f>
        <v>0</v>
      </c>
      <c r="PD24" s="338">
        <f>IFERROR(1/Calculations_APPURT[[#This Row],[Brackets]],0) * cv_M/cv_F * Forces_APPURT[[#This Row],[Gamma Fai 210]] * Calculations_APPURT[[#This Row],[Horizontal Offset]]/12</f>
        <v>0</v>
      </c>
      <c r="PE24" s="338">
        <f>IFERROR(1/Calculations_APPURT[[#This Row],[Brackets]],0) * cv_M/cv_F * Forces_APPURT[[#This Row],[Gamma Fai 225]] * Calculations_APPURT[[#This Row],[Horizontal Offset]]/12</f>
        <v>0</v>
      </c>
      <c r="PF24" s="338">
        <f>IFERROR(1/Calculations_APPURT[[#This Row],[Brackets]],0) * cv_M/cv_F * Forces_APPURT[[#This Row],[Gamma Fai 240]] * Calculations_APPURT[[#This Row],[Horizontal Offset]]/12</f>
        <v>0</v>
      </c>
      <c r="PG24" s="338">
        <f>IFERROR(1/Calculations_APPURT[[#This Row],[Brackets]],0) * cv_M/cv_F * Forces_APPURT[[#This Row],[Gamma Fai 270]] * Calculations_APPURT[[#This Row],[Horizontal Offset]]/12</f>
        <v>0</v>
      </c>
      <c r="PH24" s="338">
        <f>IFERROR(1/Calculations_APPURT[[#This Row],[Brackets]],0) * cv_M/cv_F * Forces_APPURT[[#This Row],[Gamma Fai 300]] * Calculations_APPURT[[#This Row],[Horizontal Offset]]/12</f>
        <v>0</v>
      </c>
      <c r="PI24" s="338">
        <f>IFERROR(1/Calculations_APPURT[[#This Row],[Brackets]],0) * cv_M/cv_F * Forces_APPURT[[#This Row],[Gamma Fai 315]] * Calculations_APPURT[[#This Row],[Horizontal Offset]]/12</f>
        <v>0</v>
      </c>
      <c r="PJ24" s="338">
        <f>IFERROR(1/Calculations_APPURT[[#This Row],[Brackets]],0) * cv_M/cv_F * Forces_APPURT[[#This Row],[Gamma Fai 330]] * Calculations_APPURT[[#This Row],[Horizontal Offset]]/12</f>
        <v>0</v>
      </c>
      <c r="PK24" s="276">
        <f>IFERROR(1/Calculations_APPURT[[#This Row],[Brackets]],0) * cv_M/cv_F * Forces_APPURT[[#This Row],[Delta Fai 0]] * Calculations_APPURT[[#This Row],[Horizontal Offset]]/12</f>
        <v>0</v>
      </c>
      <c r="PL24" s="276">
        <f>IFERROR(1/Calculations_APPURT[[#This Row],[Brackets]],0) * cv_M/cv_F * Forces_APPURT[[#This Row],[Delta Fai 30]] * Calculations_APPURT[[#This Row],[Horizontal Offset]]/12</f>
        <v>0</v>
      </c>
      <c r="PM24" s="276">
        <f>IFERROR(1/Calculations_APPURT[[#This Row],[Brackets]],0) * cv_M/cv_F * Forces_APPURT[[#This Row],[Delta Fai 45]] * Calculations_APPURT[[#This Row],[Horizontal Offset]]/12</f>
        <v>0</v>
      </c>
      <c r="PN24" s="276">
        <f>IFERROR(1/Calculations_APPURT[[#This Row],[Brackets]],0) * cv_M/cv_F * Forces_APPURT[[#This Row],[Delta Fai 60]] * Calculations_APPURT[[#This Row],[Horizontal Offset]]/12</f>
        <v>0</v>
      </c>
      <c r="PO24" s="276">
        <f>IFERROR(1/Calculations_APPURT[[#This Row],[Brackets]],0) * cv_M/cv_F * Forces_APPURT[[#This Row],[Delta Fai 90]] * Calculations_APPURT[[#This Row],[Horizontal Offset]]/12</f>
        <v>0</v>
      </c>
      <c r="PP24" s="276">
        <f>IFERROR(1/Calculations_APPURT[[#This Row],[Brackets]],0) * cv_M/cv_F * Forces_APPURT[[#This Row],[Delta Fai 120]] * Calculations_APPURT[[#This Row],[Horizontal Offset]]/12</f>
        <v>0</v>
      </c>
      <c r="PQ24" s="276">
        <f>IFERROR(1/Calculations_APPURT[[#This Row],[Brackets]],0) * cv_M/cv_F * Forces_APPURT[[#This Row],[Delta Fai 135]] * Calculations_APPURT[[#This Row],[Horizontal Offset]]/12</f>
        <v>0</v>
      </c>
      <c r="PR24" s="276">
        <f>IFERROR(1/Calculations_APPURT[[#This Row],[Brackets]],0) * cv_M/cv_F * Forces_APPURT[[#This Row],[Delta Fai 150]] * Calculations_APPURT[[#This Row],[Horizontal Offset]]/12</f>
        <v>0</v>
      </c>
      <c r="PS24" s="276">
        <f>IFERROR(1/Calculations_APPURT[[#This Row],[Brackets]],0) * cv_M/cv_F * Forces_APPURT[[#This Row],[Delta Fai 180]] * Calculations_APPURT[[#This Row],[Horizontal Offset]]/12</f>
        <v>0</v>
      </c>
      <c r="PT24" s="276">
        <f>IFERROR(1/Calculations_APPURT[[#This Row],[Brackets]],0) * cv_M/cv_F * Forces_APPURT[[#This Row],[Delta Fai 210]] * Calculations_APPURT[[#This Row],[Horizontal Offset]]/12</f>
        <v>0</v>
      </c>
      <c r="PU24" s="276">
        <f>IFERROR(1/Calculations_APPURT[[#This Row],[Brackets]],0) * cv_M/cv_F * Forces_APPURT[[#This Row],[Delta Fai 225]] * Calculations_APPURT[[#This Row],[Horizontal Offset]]/12</f>
        <v>0</v>
      </c>
      <c r="PV24" s="276">
        <f>IFERROR(1/Calculations_APPURT[[#This Row],[Brackets]],0) * cv_M/cv_F * Forces_APPURT[[#This Row],[Delta Fai 240]] * Calculations_APPURT[[#This Row],[Horizontal Offset]]/12</f>
        <v>0</v>
      </c>
      <c r="PW24" s="276">
        <f>IFERROR(1/Calculations_APPURT[[#This Row],[Brackets]],0) * cv_M/cv_F * Forces_APPURT[[#This Row],[Delta Fai 270]] * Calculations_APPURT[[#This Row],[Horizontal Offset]]/12</f>
        <v>0</v>
      </c>
      <c r="PX24" s="276">
        <f>IFERROR(1/Calculations_APPURT[[#This Row],[Brackets]],0) * cv_M/cv_F * Forces_APPURT[[#This Row],[Delta Fai 300]] * Calculations_APPURT[[#This Row],[Horizontal Offset]]/12</f>
        <v>0</v>
      </c>
      <c r="PY24" s="276">
        <f>IFERROR(1/Calculations_APPURT[[#This Row],[Brackets]],0) * cv_M/cv_F * Forces_APPURT[[#This Row],[Delta Fai 315]] * Calculations_APPURT[[#This Row],[Horizontal Offset]]/12</f>
        <v>0</v>
      </c>
      <c r="PZ24" s="276">
        <f>IFERROR(1/Calculations_APPURT[[#This Row],[Brackets]],0) * cv_M/cv_F * Forces_APPURT[[#This Row],[Delta Fai 330]] * Calculations_APPURT[[#This Row],[Horizontal Offset]]/12</f>
        <v>0</v>
      </c>
      <c r="QA24" s="338">
        <f>IFERROR(1/Calculations_APPURT[[#This Row],[Brackets]],0) * cv_M/cv_F * Forces_APPURT[[#This Row],[Alpha Fa 0]] * Calculations_APPURT[[#This Row],[Lateral Offset]]/12</f>
        <v>0</v>
      </c>
      <c r="QB24" s="338">
        <f>IFERROR(1/Calculations_APPURT[[#This Row],[Brackets]],0) * cv_M/cv_F * Forces_APPURT[[#This Row],[Alpha Fa 30]] * Calculations_APPURT[[#This Row],[Lateral Offset]]/12</f>
        <v>0</v>
      </c>
      <c r="QC24" s="338">
        <f>IFERROR(1/Calculations_APPURT[[#This Row],[Brackets]],0) * cv_M/cv_F * Forces_APPURT[[#This Row],[Alpha Fa 45]] * Calculations_APPURT[[#This Row],[Lateral Offset]]/12</f>
        <v>0</v>
      </c>
      <c r="QD24" s="338">
        <f>IFERROR(1/Calculations_APPURT[[#This Row],[Brackets]],0) * cv_M/cv_F * Forces_APPURT[[#This Row],[Alpha Fa 60]] * Calculations_APPURT[[#This Row],[Lateral Offset]]/12</f>
        <v>0</v>
      </c>
      <c r="QE24" s="338">
        <f>IFERROR(1/Calculations_APPURT[[#This Row],[Brackets]],0) * cv_M/cv_F * Forces_APPURT[[#This Row],[Alpha Fa 90]] * Calculations_APPURT[[#This Row],[Lateral Offset]]/12</f>
        <v>0</v>
      </c>
      <c r="QF24" s="338">
        <f>IFERROR(1/Calculations_APPURT[[#This Row],[Brackets]],0) * cv_M/cv_F * Forces_APPURT[[#This Row],[Alpha Fa 120]] * Calculations_APPURT[[#This Row],[Lateral Offset]]/12</f>
        <v>0</v>
      </c>
      <c r="QG24" s="338">
        <f>IFERROR(1/Calculations_APPURT[[#This Row],[Brackets]],0) * cv_M/cv_F * Forces_APPURT[[#This Row],[Alpha Fa 135]] * Calculations_APPURT[[#This Row],[Lateral Offset]]/12</f>
        <v>0</v>
      </c>
      <c r="QH24" s="338">
        <f>IFERROR(1/Calculations_APPURT[[#This Row],[Brackets]],0) * cv_M/cv_F * Forces_APPURT[[#This Row],[Alpha Fa 150]] * Calculations_APPURT[[#This Row],[Lateral Offset]]/12</f>
        <v>0</v>
      </c>
      <c r="QI24" s="338">
        <f>IFERROR(1/Calculations_APPURT[[#This Row],[Brackets]],0) * cv_M/cv_F * Forces_APPURT[[#This Row],[Alpha Fa 180]] * Calculations_APPURT[[#This Row],[Lateral Offset]]/12</f>
        <v>0</v>
      </c>
      <c r="QJ24" s="338">
        <f>IFERROR(1/Calculations_APPURT[[#This Row],[Brackets]],0) * cv_M/cv_F * Forces_APPURT[[#This Row],[Alpha Fa 210]] * Calculations_APPURT[[#This Row],[Lateral Offset]]/12</f>
        <v>0</v>
      </c>
      <c r="QK24" s="338">
        <f>IFERROR(1/Calculations_APPURT[[#This Row],[Brackets]],0) * cv_M/cv_F * Forces_APPURT[[#This Row],[Alpha Fa 225]] * Calculations_APPURT[[#This Row],[Lateral Offset]]/12</f>
        <v>0</v>
      </c>
      <c r="QL24" s="338">
        <f>IFERROR(1/Calculations_APPURT[[#This Row],[Brackets]],0) * cv_M/cv_F * Forces_APPURT[[#This Row],[Alpha Fa 240]] * Calculations_APPURT[[#This Row],[Lateral Offset]]/12</f>
        <v>0</v>
      </c>
      <c r="QM24" s="338">
        <f>IFERROR(1/Calculations_APPURT[[#This Row],[Brackets]],0) * cv_M/cv_F * Forces_APPURT[[#This Row],[Alpha Fa 270]] * Calculations_APPURT[[#This Row],[Lateral Offset]]/12</f>
        <v>0</v>
      </c>
      <c r="QN24" s="338">
        <f>IFERROR(1/Calculations_APPURT[[#This Row],[Brackets]],0) * cv_M/cv_F * Forces_APPURT[[#This Row],[Alpha Fa 300]] * Calculations_APPURT[[#This Row],[Lateral Offset]]/12</f>
        <v>0</v>
      </c>
      <c r="QO24" s="338">
        <f>IFERROR(1/Calculations_APPURT[[#This Row],[Brackets]],0) * cv_M/cv_F * Forces_APPURT[[#This Row],[Alpha Fa 315]] * Calculations_APPURT[[#This Row],[Lateral Offset]]/12</f>
        <v>0</v>
      </c>
      <c r="QP24" s="338">
        <f>IFERROR(1/Calculations_APPURT[[#This Row],[Brackets]],0) * cv_M/cv_F * Forces_APPURT[[#This Row],[Alpha Fa 330]] * Calculations_APPURT[[#This Row],[Lateral Offset]]/12</f>
        <v>0</v>
      </c>
      <c r="QQ24" s="276">
        <f>IFERROR(1/Calculations_APPURT[[#This Row],[Brackets]],0) * cv_M/cv_F * Forces_APPURT[[#This Row],[Beta Fa 0]] * Calculations_APPURT[[#This Row],[Lateral Offset]]/12</f>
        <v>0</v>
      </c>
      <c r="QR24" s="276">
        <f>IFERROR(1/Calculations_APPURT[[#This Row],[Brackets]],0) * cv_M/cv_F * Forces_APPURT[[#This Row],[Beta Fa 30]] * Calculations_APPURT[[#This Row],[Lateral Offset]]/12</f>
        <v>0</v>
      </c>
      <c r="QS24" s="276">
        <f>IFERROR(1/Calculations_APPURT[[#This Row],[Brackets]],0) * cv_M/cv_F * Forces_APPURT[[#This Row],[Beta Fa 45]] * Calculations_APPURT[[#This Row],[Lateral Offset]]/12</f>
        <v>0</v>
      </c>
      <c r="QT24" s="276">
        <f>IFERROR(1/Calculations_APPURT[[#This Row],[Brackets]],0) * cv_M/cv_F * Forces_APPURT[[#This Row],[Beta Fa 60]] * Calculations_APPURT[[#This Row],[Lateral Offset]]/12</f>
        <v>0</v>
      </c>
      <c r="QU24" s="276">
        <f>IFERROR(1/Calculations_APPURT[[#This Row],[Brackets]],0) * cv_M/cv_F * Forces_APPURT[[#This Row],[Beta Fa 90]] * Calculations_APPURT[[#This Row],[Lateral Offset]]/12</f>
        <v>0</v>
      </c>
      <c r="QV24" s="276">
        <f>IFERROR(1/Calculations_APPURT[[#This Row],[Brackets]],0) * cv_M/cv_F * Forces_APPURT[[#This Row],[Beta Fa 120]] * Calculations_APPURT[[#This Row],[Lateral Offset]]/12</f>
        <v>0</v>
      </c>
      <c r="QW24" s="276">
        <f>IFERROR(1/Calculations_APPURT[[#This Row],[Brackets]],0) * cv_M/cv_F * Forces_APPURT[[#This Row],[Beta Fa 135]] * Calculations_APPURT[[#This Row],[Lateral Offset]]/12</f>
        <v>0</v>
      </c>
      <c r="QX24" s="276">
        <f>IFERROR(1/Calculations_APPURT[[#This Row],[Brackets]],0) * cv_M/cv_F * Forces_APPURT[[#This Row],[Beta Fa 150]] * Calculations_APPURT[[#This Row],[Lateral Offset]]/12</f>
        <v>0</v>
      </c>
      <c r="QY24" s="276">
        <f>IFERROR(1/Calculations_APPURT[[#This Row],[Brackets]],0) * cv_M/cv_F * Forces_APPURT[[#This Row],[Beta Fa 180]] * Calculations_APPURT[[#This Row],[Lateral Offset]]/12</f>
        <v>0</v>
      </c>
      <c r="QZ24" s="276">
        <f>IFERROR(1/Calculations_APPURT[[#This Row],[Brackets]],0) * cv_M/cv_F * Forces_APPURT[[#This Row],[Beta Fa 210]] * Calculations_APPURT[[#This Row],[Lateral Offset]]/12</f>
        <v>0</v>
      </c>
      <c r="RA24" s="276">
        <f>IFERROR(1/Calculations_APPURT[[#This Row],[Brackets]],0) * cv_M/cv_F * Forces_APPURT[[#This Row],[Beta Fa 225]] * Calculations_APPURT[[#This Row],[Lateral Offset]]/12</f>
        <v>0</v>
      </c>
      <c r="RB24" s="276">
        <f>IFERROR(1/Calculations_APPURT[[#This Row],[Brackets]],0) * cv_M/cv_F * Forces_APPURT[[#This Row],[Beta Fa 240]] * Calculations_APPURT[[#This Row],[Lateral Offset]]/12</f>
        <v>0</v>
      </c>
      <c r="RC24" s="276">
        <f>IFERROR(1/Calculations_APPURT[[#This Row],[Brackets]],0) * cv_M/cv_F * Forces_APPURT[[#This Row],[Beta Fa 270]] * Calculations_APPURT[[#This Row],[Lateral Offset]]/12</f>
        <v>0</v>
      </c>
      <c r="RD24" s="276">
        <f>IFERROR(1/Calculations_APPURT[[#This Row],[Brackets]],0) * cv_M/cv_F * Forces_APPURT[[#This Row],[Beta Fa 300]] * Calculations_APPURT[[#This Row],[Lateral Offset]]/12</f>
        <v>0</v>
      </c>
      <c r="RE24" s="276">
        <f>IFERROR(1/Calculations_APPURT[[#This Row],[Brackets]],0) * cv_M/cv_F * Forces_APPURT[[#This Row],[Beta Fa 315]] * Calculations_APPURT[[#This Row],[Lateral Offset]]/12</f>
        <v>0</v>
      </c>
      <c r="RF24" s="276">
        <f>IFERROR(1/Calculations_APPURT[[#This Row],[Brackets]],0) * cv_M/cv_F * Forces_APPURT[[#This Row],[Beta Fa 330]] * Calculations_APPURT[[#This Row],[Lateral Offset]]/12</f>
        <v>0</v>
      </c>
      <c r="RG24" s="338">
        <f>IFERROR(1/Calculations_APPURT[[#This Row],[Brackets]],0) * cv_M/cv_F * Forces_APPURT[[#This Row],[Gamma Fa 0]] * Calculations_APPURT[[#This Row],[Lateral Offset]]/12</f>
        <v>0</v>
      </c>
      <c r="RH24" s="338">
        <f>IFERROR(1/Calculations_APPURT[[#This Row],[Brackets]],0) * cv_M/cv_F * Forces_APPURT[[#This Row],[Gamma Fa 30]] * Calculations_APPURT[[#This Row],[Lateral Offset]]/12</f>
        <v>0</v>
      </c>
      <c r="RI24" s="338">
        <f>IFERROR(1/Calculations_APPURT[[#This Row],[Brackets]],0) * cv_M/cv_F * Forces_APPURT[[#This Row],[Gamma Fa 45]] * Calculations_APPURT[[#This Row],[Lateral Offset]]/12</f>
        <v>0</v>
      </c>
      <c r="RJ24" s="338">
        <f>IFERROR(1/Calculations_APPURT[[#This Row],[Brackets]],0) * cv_M/cv_F * Forces_APPURT[[#This Row],[Gamma Fa 60]] * Calculations_APPURT[[#This Row],[Lateral Offset]]/12</f>
        <v>0</v>
      </c>
      <c r="RK24" s="338">
        <f>IFERROR(1/Calculations_APPURT[[#This Row],[Brackets]],0) * cv_M/cv_F * Forces_APPURT[[#This Row],[Gamma Fa 90]] * Calculations_APPURT[[#This Row],[Lateral Offset]]/12</f>
        <v>0</v>
      </c>
      <c r="RL24" s="338">
        <f>IFERROR(1/Calculations_APPURT[[#This Row],[Brackets]],0) * cv_M/cv_F * Forces_APPURT[[#This Row],[Gamma Fa 120]] * Calculations_APPURT[[#This Row],[Lateral Offset]]/12</f>
        <v>0</v>
      </c>
      <c r="RM24" s="338">
        <f>IFERROR(1/Calculations_APPURT[[#This Row],[Brackets]],0) * cv_M/cv_F * Forces_APPURT[[#This Row],[Gamma Fa 135]] * Calculations_APPURT[[#This Row],[Lateral Offset]]/12</f>
        <v>0</v>
      </c>
      <c r="RN24" s="338">
        <f>IFERROR(1/Calculations_APPURT[[#This Row],[Brackets]],0) * cv_M/cv_F * Forces_APPURT[[#This Row],[Gamma Fa 150]] * Calculations_APPURT[[#This Row],[Lateral Offset]]/12</f>
        <v>0</v>
      </c>
      <c r="RO24" s="338">
        <f>IFERROR(1/Calculations_APPURT[[#This Row],[Brackets]],0) * cv_M/cv_F * Forces_APPURT[[#This Row],[Gamma Fa 180]] * Calculations_APPURT[[#This Row],[Lateral Offset]]/12</f>
        <v>0</v>
      </c>
      <c r="RP24" s="338">
        <f>IFERROR(1/Calculations_APPURT[[#This Row],[Brackets]],0) * cv_M/cv_F * Forces_APPURT[[#This Row],[Gamma Fa 210]] * Calculations_APPURT[[#This Row],[Lateral Offset]]/12</f>
        <v>0</v>
      </c>
      <c r="RQ24" s="338">
        <f>IFERROR(1/Calculations_APPURT[[#This Row],[Brackets]],0) * cv_M/cv_F * Forces_APPURT[[#This Row],[Gamma Fa 225]] * Calculations_APPURT[[#This Row],[Lateral Offset]]/12</f>
        <v>0</v>
      </c>
      <c r="RR24" s="338">
        <f>IFERROR(1/Calculations_APPURT[[#This Row],[Brackets]],0) * cv_M/cv_F * Forces_APPURT[[#This Row],[Gamma Fa 240]] * Calculations_APPURT[[#This Row],[Lateral Offset]]/12</f>
        <v>0</v>
      </c>
      <c r="RS24" s="338">
        <f>IFERROR(1/Calculations_APPURT[[#This Row],[Brackets]],0) * cv_M/cv_F * Forces_APPURT[[#This Row],[Gamma Fa 270]] * Calculations_APPURT[[#This Row],[Lateral Offset]]/12</f>
        <v>0</v>
      </c>
      <c r="RT24" s="338">
        <f>IFERROR(1/Calculations_APPURT[[#This Row],[Brackets]],0) * cv_M/cv_F * Forces_APPURT[[#This Row],[Gamma Fa 300]] * Calculations_APPURT[[#This Row],[Lateral Offset]]/12</f>
        <v>0</v>
      </c>
      <c r="RU24" s="338">
        <f>IFERROR(1/Calculations_APPURT[[#This Row],[Brackets]],0) * cv_M/cv_F * Forces_APPURT[[#This Row],[Gamma Fa 315]] * Calculations_APPURT[[#This Row],[Lateral Offset]]/12</f>
        <v>0</v>
      </c>
      <c r="RV24" s="338">
        <f>IFERROR(1/Calculations_APPURT[[#This Row],[Brackets]],0) * cv_M/cv_F * Forces_APPURT[[#This Row],[Gamma Fa 330]] * Calculations_APPURT[[#This Row],[Lateral Offset]]/12</f>
        <v>0</v>
      </c>
      <c r="RW24" s="276">
        <f>IFERROR(1/Calculations_APPURT[[#This Row],[Brackets]],0) * cv_M/cv_F * Forces_APPURT[[#This Row],[Delta Fa 0]] * Calculations_APPURT[[#This Row],[Lateral Offset]]/12</f>
        <v>0</v>
      </c>
      <c r="RX24" s="276">
        <f>IFERROR(1/Calculations_APPURT[[#This Row],[Brackets]],0) * cv_M/cv_F * Forces_APPURT[[#This Row],[Delta Fa 30]] * Calculations_APPURT[[#This Row],[Lateral Offset]]/12</f>
        <v>0</v>
      </c>
      <c r="RY24" s="276">
        <f>IFERROR(1/Calculations_APPURT[[#This Row],[Brackets]],0) * cv_M/cv_F * Forces_APPURT[[#This Row],[Delta Fa 45]] * Calculations_APPURT[[#This Row],[Lateral Offset]]/12</f>
        <v>0</v>
      </c>
      <c r="RZ24" s="276">
        <f>IFERROR(1/Calculations_APPURT[[#This Row],[Brackets]],0) * cv_M/cv_F * Forces_APPURT[[#This Row],[Delta Fa 60]] * Calculations_APPURT[[#This Row],[Lateral Offset]]/12</f>
        <v>0</v>
      </c>
      <c r="SA24" s="276">
        <f>IFERROR(1/Calculations_APPURT[[#This Row],[Brackets]],0) * cv_M/cv_F * Forces_APPURT[[#This Row],[Delta Fa 90]] * Calculations_APPURT[[#This Row],[Lateral Offset]]/12</f>
        <v>0</v>
      </c>
      <c r="SB24" s="276">
        <f>IFERROR(1/Calculations_APPURT[[#This Row],[Brackets]],0) * cv_M/cv_F * Forces_APPURT[[#This Row],[Delta Fa 120]] * Calculations_APPURT[[#This Row],[Lateral Offset]]/12</f>
        <v>0</v>
      </c>
      <c r="SC24" s="276">
        <f>IFERROR(1/Calculations_APPURT[[#This Row],[Brackets]],0) * cv_M/cv_F * Forces_APPURT[[#This Row],[Delta Fa 135]] * Calculations_APPURT[[#This Row],[Lateral Offset]]/12</f>
        <v>0</v>
      </c>
      <c r="SD24" s="276">
        <f>IFERROR(1/Calculations_APPURT[[#This Row],[Brackets]],0) * cv_M/cv_F * Forces_APPURT[[#This Row],[Delta Fa 150]] * Calculations_APPURT[[#This Row],[Lateral Offset]]/12</f>
        <v>0</v>
      </c>
      <c r="SE24" s="276">
        <f>IFERROR(1/Calculations_APPURT[[#This Row],[Brackets]],0) * cv_M/cv_F * Forces_APPURT[[#This Row],[Delta Fa 180]] * Calculations_APPURT[[#This Row],[Lateral Offset]]/12</f>
        <v>0</v>
      </c>
      <c r="SF24" s="276">
        <f>IFERROR(1/Calculations_APPURT[[#This Row],[Brackets]],0) * cv_M/cv_F * Forces_APPURT[[#This Row],[Delta Fa 210]] * Calculations_APPURT[[#This Row],[Lateral Offset]]/12</f>
        <v>0</v>
      </c>
      <c r="SG24" s="276">
        <f>IFERROR(1/Calculations_APPURT[[#This Row],[Brackets]],0) * cv_M/cv_F * Forces_APPURT[[#This Row],[Delta Fa 225]] * Calculations_APPURT[[#This Row],[Lateral Offset]]/12</f>
        <v>0</v>
      </c>
      <c r="SH24" s="276">
        <f>IFERROR(1/Calculations_APPURT[[#This Row],[Brackets]],0) * cv_M/cv_F * Forces_APPURT[[#This Row],[Delta Fa 240]] * Calculations_APPURT[[#This Row],[Lateral Offset]]/12</f>
        <v>0</v>
      </c>
      <c r="SI24" s="276">
        <f>IFERROR(1/Calculations_APPURT[[#This Row],[Brackets]],0) * cv_M/cv_F * Forces_APPURT[[#This Row],[Delta Fa 270]] * Calculations_APPURT[[#This Row],[Lateral Offset]]/12</f>
        <v>0</v>
      </c>
      <c r="SJ24" s="276">
        <f>IFERROR(1/Calculations_APPURT[[#This Row],[Brackets]],0) * cv_M/cv_F * Forces_APPURT[[#This Row],[Delta Fa 300]] * Calculations_APPURT[[#This Row],[Lateral Offset]]/12</f>
        <v>0</v>
      </c>
      <c r="SK24" s="276">
        <f>IFERROR(1/Calculations_APPURT[[#This Row],[Brackets]],0) * cv_M/cv_F * Forces_APPURT[[#This Row],[Delta Fa 315]] * Calculations_APPURT[[#This Row],[Lateral Offset]]/12</f>
        <v>0</v>
      </c>
      <c r="SL24" s="276">
        <f>IFERROR(1/Calculations_APPURT[[#This Row],[Brackets]],0) * cv_M/cv_F * Forces_APPURT[[#This Row],[Delta Fa 330]] * Calculations_APPURT[[#This Row],[Lateral Offset]]/12</f>
        <v>0</v>
      </c>
      <c r="SM24" s="338">
        <f>IFERROR(1/Calculations_APPURT[[#This Row],[Brackets]],0) * cv_M/cv_F * Forces_APPURT[[#This Row],[Alpha Fai 0]] * Calculations_APPURT[[#This Row],[Lateral Offset]]/12</f>
        <v>0</v>
      </c>
      <c r="SN24" s="338">
        <f>IFERROR(1/Calculations_APPURT[[#This Row],[Brackets]],0) * cv_M/cv_F * Forces_APPURT[[#This Row],[Alpha Fai 30]] * Calculations_APPURT[[#This Row],[Lateral Offset]]/12</f>
        <v>0</v>
      </c>
      <c r="SO24" s="338">
        <f>IFERROR(1/Calculations_APPURT[[#This Row],[Brackets]],0) * cv_M/cv_F * Forces_APPURT[[#This Row],[Alpha Fai 45]] * Calculations_APPURT[[#This Row],[Lateral Offset]]/12</f>
        <v>0</v>
      </c>
      <c r="SP24" s="338">
        <f>IFERROR(1/Calculations_APPURT[[#This Row],[Brackets]],0) * cv_M/cv_F * Forces_APPURT[[#This Row],[Alpha Fai 60]] * Calculations_APPURT[[#This Row],[Lateral Offset]]/12</f>
        <v>0</v>
      </c>
      <c r="SQ24" s="338">
        <f>IFERROR(1/Calculations_APPURT[[#This Row],[Brackets]],0) * cv_M/cv_F * Forces_APPURT[[#This Row],[Alpha Fai 90]] * Calculations_APPURT[[#This Row],[Lateral Offset]]/12</f>
        <v>0</v>
      </c>
      <c r="SR24" s="338">
        <f>IFERROR(1/Calculations_APPURT[[#This Row],[Brackets]],0) * cv_M/cv_F * Forces_APPURT[[#This Row],[Alpha Fai 120]] * Calculations_APPURT[[#This Row],[Lateral Offset]]/12</f>
        <v>0</v>
      </c>
      <c r="SS24" s="338">
        <f>IFERROR(1/Calculations_APPURT[[#This Row],[Brackets]],0) * cv_M/cv_F * Forces_APPURT[[#This Row],[Alpha Fai 135]] * Calculations_APPURT[[#This Row],[Lateral Offset]]/12</f>
        <v>0</v>
      </c>
      <c r="ST24" s="338">
        <f>IFERROR(1/Calculations_APPURT[[#This Row],[Brackets]],0) * cv_M/cv_F * Forces_APPURT[[#This Row],[Alpha Fai 150]] * Calculations_APPURT[[#This Row],[Lateral Offset]]/12</f>
        <v>0</v>
      </c>
      <c r="SU24" s="338">
        <f>IFERROR(1/Calculations_APPURT[[#This Row],[Brackets]],0) * cv_M/cv_F * Forces_APPURT[[#This Row],[Alpha Fai 180]] * Calculations_APPURT[[#This Row],[Lateral Offset]]/12</f>
        <v>0</v>
      </c>
      <c r="SV24" s="338">
        <f>IFERROR(1/Calculations_APPURT[[#This Row],[Brackets]],0) * cv_M/cv_F * Forces_APPURT[[#This Row],[Alpha Fai 210]] * Calculations_APPURT[[#This Row],[Lateral Offset]]/12</f>
        <v>0</v>
      </c>
      <c r="SW24" s="338">
        <f>IFERROR(1/Calculations_APPURT[[#This Row],[Brackets]],0) * cv_M/cv_F * Forces_APPURT[[#This Row],[Alpha Fai 225]] * Calculations_APPURT[[#This Row],[Lateral Offset]]/12</f>
        <v>0</v>
      </c>
      <c r="SX24" s="338">
        <f>IFERROR(1/Calculations_APPURT[[#This Row],[Brackets]],0) * cv_M/cv_F * Forces_APPURT[[#This Row],[Alpha Fai 240]] * Calculations_APPURT[[#This Row],[Lateral Offset]]/12</f>
        <v>0</v>
      </c>
      <c r="SY24" s="338">
        <f>IFERROR(1/Calculations_APPURT[[#This Row],[Brackets]],0) * cv_M/cv_F * Forces_APPURT[[#This Row],[Alpha Fai 270]] * Calculations_APPURT[[#This Row],[Lateral Offset]]/12</f>
        <v>0</v>
      </c>
      <c r="SZ24" s="338">
        <f>IFERROR(1/Calculations_APPURT[[#This Row],[Brackets]],0) * cv_M/cv_F * Forces_APPURT[[#This Row],[Alpha Fai 300]] * Calculations_APPURT[[#This Row],[Lateral Offset]]/12</f>
        <v>0</v>
      </c>
      <c r="TA24" s="338">
        <f>IFERROR(1/Calculations_APPURT[[#This Row],[Brackets]],0) * cv_M/cv_F * Forces_APPURT[[#This Row],[Alpha Fai 315]] * Calculations_APPURT[[#This Row],[Lateral Offset]]/12</f>
        <v>0</v>
      </c>
      <c r="TB24" s="338">
        <f>IFERROR(1/Calculations_APPURT[[#This Row],[Brackets]],0) * cv_M/cv_F * Forces_APPURT[[#This Row],[Alpha Fai 330]] * Calculations_APPURT[[#This Row],[Lateral Offset]]/12</f>
        <v>0</v>
      </c>
      <c r="TC24" s="276">
        <f>IFERROR(1/Calculations_APPURT[[#This Row],[Brackets]],0) * cv_M/cv_F * Forces_APPURT[[#This Row],[Beta Fai 0]] * Calculations_APPURT[[#This Row],[Lateral Offset]]/12</f>
        <v>0</v>
      </c>
      <c r="TD24" s="276">
        <f>IFERROR(1/Calculations_APPURT[[#This Row],[Brackets]],0) * cv_M/cv_F * Forces_APPURT[[#This Row],[Beta Fai 30]] * Calculations_APPURT[[#This Row],[Lateral Offset]]/12</f>
        <v>0</v>
      </c>
      <c r="TE24" s="276">
        <f>IFERROR(1/Calculations_APPURT[[#This Row],[Brackets]],0) * cv_M/cv_F * Forces_APPURT[[#This Row],[Beta Fai 45]] * Calculations_APPURT[[#This Row],[Lateral Offset]]/12</f>
        <v>0</v>
      </c>
      <c r="TF24" s="276">
        <f>IFERROR(1/Calculations_APPURT[[#This Row],[Brackets]],0) * cv_M/cv_F * Forces_APPURT[[#This Row],[Beta Fai 60]] * Calculations_APPURT[[#This Row],[Lateral Offset]]/12</f>
        <v>0</v>
      </c>
      <c r="TG24" s="276">
        <f>IFERROR(1/Calculations_APPURT[[#This Row],[Brackets]],0) * cv_M/cv_F * Forces_APPURT[[#This Row],[Beta Fai 90]] * Calculations_APPURT[[#This Row],[Lateral Offset]]/12</f>
        <v>0</v>
      </c>
      <c r="TH24" s="276">
        <f>IFERROR(1/Calculations_APPURT[[#This Row],[Brackets]],0) * cv_M/cv_F * Forces_APPURT[[#This Row],[Beta Fai 120]] * Calculations_APPURT[[#This Row],[Lateral Offset]]/12</f>
        <v>0</v>
      </c>
      <c r="TI24" s="276">
        <f>IFERROR(1/Calculations_APPURT[[#This Row],[Brackets]],0) * cv_M/cv_F * Forces_APPURT[[#This Row],[Beta Fai 135]] * Calculations_APPURT[[#This Row],[Lateral Offset]]/12</f>
        <v>0</v>
      </c>
      <c r="TJ24" s="276">
        <f>IFERROR(1/Calculations_APPURT[[#This Row],[Brackets]],0) * cv_M/cv_F * Forces_APPURT[[#This Row],[Beta Fai 150]] * Calculations_APPURT[[#This Row],[Lateral Offset]]/12</f>
        <v>0</v>
      </c>
      <c r="TK24" s="276">
        <f>IFERROR(1/Calculations_APPURT[[#This Row],[Brackets]],0) * cv_M/cv_F * Forces_APPURT[[#This Row],[Beta Fai 180]] * Calculations_APPURT[[#This Row],[Lateral Offset]]/12</f>
        <v>0</v>
      </c>
      <c r="TL24" s="276">
        <f>IFERROR(1/Calculations_APPURT[[#This Row],[Brackets]],0) * cv_M/cv_F * Forces_APPURT[[#This Row],[Beta Fai 210]] * Calculations_APPURT[[#This Row],[Lateral Offset]]/12</f>
        <v>0</v>
      </c>
      <c r="TM24" s="276">
        <f>IFERROR(1/Calculations_APPURT[[#This Row],[Brackets]],0) * cv_M/cv_F * Forces_APPURT[[#This Row],[Beta Fai 225]] * Calculations_APPURT[[#This Row],[Lateral Offset]]/12</f>
        <v>0</v>
      </c>
      <c r="TN24" s="276">
        <f>IFERROR(1/Calculations_APPURT[[#This Row],[Brackets]],0) * cv_M/cv_F * Forces_APPURT[[#This Row],[Beta Fai 240]] * Calculations_APPURT[[#This Row],[Lateral Offset]]/12</f>
        <v>0</v>
      </c>
      <c r="TO24" s="276">
        <f>IFERROR(1/Calculations_APPURT[[#This Row],[Brackets]],0) * cv_M/cv_F * Forces_APPURT[[#This Row],[Beta Fai 270]] * Calculations_APPURT[[#This Row],[Lateral Offset]]/12</f>
        <v>0</v>
      </c>
      <c r="TP24" s="276">
        <f>IFERROR(1/Calculations_APPURT[[#This Row],[Brackets]],0) * cv_M/cv_F * Forces_APPURT[[#This Row],[Beta Fai 300]] * Calculations_APPURT[[#This Row],[Lateral Offset]]/12</f>
        <v>0</v>
      </c>
      <c r="TQ24" s="276">
        <f>IFERROR(1/Calculations_APPURT[[#This Row],[Brackets]],0) * cv_M/cv_F * Forces_APPURT[[#This Row],[Beta Fai 315]] * Calculations_APPURT[[#This Row],[Lateral Offset]]/12</f>
        <v>0</v>
      </c>
      <c r="TR24" s="276">
        <f>IFERROR(1/Calculations_APPURT[[#This Row],[Brackets]],0) * cv_M/cv_F * Forces_APPURT[[#This Row],[Beta Fai 330]] * Calculations_APPURT[[#This Row],[Lateral Offset]]/12</f>
        <v>0</v>
      </c>
      <c r="TS24" s="338">
        <f>IFERROR(1/Calculations_APPURT[[#This Row],[Brackets]],0) * cv_M/cv_F * Forces_APPURT[[#This Row],[Gamma Fai 0]] * Calculations_APPURT[[#This Row],[Lateral Offset]]/12</f>
        <v>0</v>
      </c>
      <c r="TT24" s="338">
        <f>IFERROR(1/Calculations_APPURT[[#This Row],[Brackets]],0) * cv_M/cv_F * Forces_APPURT[[#This Row],[Gamma Fai 30]] * Calculations_APPURT[[#This Row],[Lateral Offset]]/12</f>
        <v>0</v>
      </c>
      <c r="TU24" s="338">
        <f>IFERROR(1/Calculations_APPURT[[#This Row],[Brackets]],0) * cv_M/cv_F * Forces_APPURT[[#This Row],[Gamma Fai 45]] * Calculations_APPURT[[#This Row],[Lateral Offset]]/12</f>
        <v>0</v>
      </c>
      <c r="TV24" s="338">
        <f>IFERROR(1/Calculations_APPURT[[#This Row],[Brackets]],0) * cv_M/cv_F * Forces_APPURT[[#This Row],[Gamma Fai 60]] * Calculations_APPURT[[#This Row],[Lateral Offset]]/12</f>
        <v>0</v>
      </c>
      <c r="TW24" s="338">
        <f>IFERROR(1/Calculations_APPURT[[#This Row],[Brackets]],0) * cv_M/cv_F * Forces_APPURT[[#This Row],[Gamma Fai 90]] * Calculations_APPURT[[#This Row],[Lateral Offset]]/12</f>
        <v>0</v>
      </c>
      <c r="TX24" s="338">
        <f>IFERROR(1/Calculations_APPURT[[#This Row],[Brackets]],0) * cv_M/cv_F * Forces_APPURT[[#This Row],[Gamma Fai 120]] * Calculations_APPURT[[#This Row],[Lateral Offset]]/12</f>
        <v>0</v>
      </c>
      <c r="TY24" s="338">
        <f>IFERROR(1/Calculations_APPURT[[#This Row],[Brackets]],0) * cv_M/cv_F * Forces_APPURT[[#This Row],[Gamma Fai 135]] * Calculations_APPURT[[#This Row],[Lateral Offset]]/12</f>
        <v>0</v>
      </c>
      <c r="TZ24" s="338">
        <f>IFERROR(1/Calculations_APPURT[[#This Row],[Brackets]],0) * cv_M/cv_F * Forces_APPURT[[#This Row],[Gamma Fai 150]] * Calculations_APPURT[[#This Row],[Lateral Offset]]/12</f>
        <v>0</v>
      </c>
      <c r="UA24" s="338">
        <f>IFERROR(1/Calculations_APPURT[[#This Row],[Brackets]],0) * cv_M/cv_F * Forces_APPURT[[#This Row],[Gamma Fai 180]] * Calculations_APPURT[[#This Row],[Lateral Offset]]/12</f>
        <v>0</v>
      </c>
      <c r="UB24" s="338">
        <f>IFERROR(1/Calculations_APPURT[[#This Row],[Brackets]],0) * cv_M/cv_F * Forces_APPURT[[#This Row],[Gamma Fai 210]] * Calculations_APPURT[[#This Row],[Lateral Offset]]/12</f>
        <v>0</v>
      </c>
      <c r="UC24" s="338">
        <f>IFERROR(1/Calculations_APPURT[[#This Row],[Brackets]],0) * cv_M/cv_F * Forces_APPURT[[#This Row],[Gamma Fai 225]] * Calculations_APPURT[[#This Row],[Lateral Offset]]/12</f>
        <v>0</v>
      </c>
      <c r="UD24" s="338">
        <f>IFERROR(1/Calculations_APPURT[[#This Row],[Brackets]],0) * cv_M/cv_F * Forces_APPURT[[#This Row],[Gamma Fai 240]] * Calculations_APPURT[[#This Row],[Lateral Offset]]/12</f>
        <v>0</v>
      </c>
      <c r="UE24" s="338">
        <f>IFERROR(1/Calculations_APPURT[[#This Row],[Brackets]],0) * cv_M/cv_F * Forces_APPURT[[#This Row],[Gamma Fai 270]] * Calculations_APPURT[[#This Row],[Lateral Offset]]/12</f>
        <v>0</v>
      </c>
      <c r="UF24" s="338">
        <f>IFERROR(1/Calculations_APPURT[[#This Row],[Brackets]],0) * cv_M/cv_F * Forces_APPURT[[#This Row],[Gamma Fai 300]] * Calculations_APPURT[[#This Row],[Lateral Offset]]/12</f>
        <v>0</v>
      </c>
      <c r="UG24" s="338">
        <f>IFERROR(1/Calculations_APPURT[[#This Row],[Brackets]],0) * cv_M/cv_F * Forces_APPURT[[#This Row],[Gamma Fai 315]] * Calculations_APPURT[[#This Row],[Lateral Offset]]/12</f>
        <v>0</v>
      </c>
      <c r="UH24" s="338">
        <f>IFERROR(1/Calculations_APPURT[[#This Row],[Brackets]],0) * cv_M/cv_F * Forces_APPURT[[#This Row],[Gamma Fai 330]] * Calculations_APPURT[[#This Row],[Lateral Offset]]/12</f>
        <v>0</v>
      </c>
      <c r="UI24" s="276">
        <f>IFERROR(1/Calculations_APPURT[[#This Row],[Brackets]],0) * cv_M/cv_F * Forces_APPURT[[#This Row],[Delta Fai 0]] * Calculations_APPURT[[#This Row],[Lateral Offset]]/12</f>
        <v>0</v>
      </c>
      <c r="UJ24" s="276">
        <f>IFERROR(1/Calculations_APPURT[[#This Row],[Brackets]],0) * cv_M/cv_F * Forces_APPURT[[#This Row],[Delta Fai 30]] * Calculations_APPURT[[#This Row],[Lateral Offset]]/12</f>
        <v>0</v>
      </c>
      <c r="UK24" s="276">
        <f>IFERROR(1/Calculations_APPURT[[#This Row],[Brackets]],0) * cv_M/cv_F * Forces_APPURT[[#This Row],[Delta Fai 45]] * Calculations_APPURT[[#This Row],[Lateral Offset]]/12</f>
        <v>0</v>
      </c>
      <c r="UL24" s="276">
        <f>IFERROR(1/Calculations_APPURT[[#This Row],[Brackets]],0) * cv_M/cv_F * Forces_APPURT[[#This Row],[Delta Fai 60]] * Calculations_APPURT[[#This Row],[Lateral Offset]]/12</f>
        <v>0</v>
      </c>
      <c r="UM24" s="276">
        <f>IFERROR(1/Calculations_APPURT[[#This Row],[Brackets]],0) * cv_M/cv_F * Forces_APPURT[[#This Row],[Delta Fai 90]] * Calculations_APPURT[[#This Row],[Lateral Offset]]/12</f>
        <v>0</v>
      </c>
      <c r="UN24" s="276">
        <f>IFERROR(1/Calculations_APPURT[[#This Row],[Brackets]],0) * cv_M/cv_F * Forces_APPURT[[#This Row],[Delta Fai 120]] * Calculations_APPURT[[#This Row],[Lateral Offset]]/12</f>
        <v>0</v>
      </c>
      <c r="UO24" s="276">
        <f>IFERROR(1/Calculations_APPURT[[#This Row],[Brackets]],0) * cv_M/cv_F * Forces_APPURT[[#This Row],[Delta Fai 135]] * Calculations_APPURT[[#This Row],[Lateral Offset]]/12</f>
        <v>0</v>
      </c>
      <c r="UP24" s="276">
        <f>IFERROR(1/Calculations_APPURT[[#This Row],[Brackets]],0) * cv_M/cv_F * Forces_APPURT[[#This Row],[Delta Fai 150]] * Calculations_APPURT[[#This Row],[Lateral Offset]]/12</f>
        <v>0</v>
      </c>
      <c r="UQ24" s="276">
        <f>IFERROR(1/Calculations_APPURT[[#This Row],[Brackets]],0) * cv_M/cv_F * Forces_APPURT[[#This Row],[Delta Fai 180]] * Calculations_APPURT[[#This Row],[Lateral Offset]]/12</f>
        <v>0</v>
      </c>
      <c r="UR24" s="276">
        <f>IFERROR(1/Calculations_APPURT[[#This Row],[Brackets]],0) * cv_M/cv_F * Forces_APPURT[[#This Row],[Delta Fai 210]] * Calculations_APPURT[[#This Row],[Lateral Offset]]/12</f>
        <v>0</v>
      </c>
      <c r="US24" s="276">
        <f>IFERROR(1/Calculations_APPURT[[#This Row],[Brackets]],0) * cv_M/cv_F * Forces_APPURT[[#This Row],[Delta Fai 225]] * Calculations_APPURT[[#This Row],[Lateral Offset]]/12</f>
        <v>0</v>
      </c>
      <c r="UT24" s="276">
        <f>IFERROR(1/Calculations_APPURT[[#This Row],[Brackets]],0) * cv_M/cv_F * Forces_APPURT[[#This Row],[Delta Fai 240]] * Calculations_APPURT[[#This Row],[Lateral Offset]]/12</f>
        <v>0</v>
      </c>
      <c r="UU24" s="276">
        <f>IFERROR(1/Calculations_APPURT[[#This Row],[Brackets]],0) * cv_M/cv_F * Forces_APPURT[[#This Row],[Delta Fai 270]] * Calculations_APPURT[[#This Row],[Lateral Offset]]/12</f>
        <v>0</v>
      </c>
      <c r="UV24" s="276">
        <f>IFERROR(1/Calculations_APPURT[[#This Row],[Brackets]],0) * cv_M/cv_F * Forces_APPURT[[#This Row],[Delta Fai 300]] * Calculations_APPURT[[#This Row],[Lateral Offset]]/12</f>
        <v>0</v>
      </c>
      <c r="UW24" s="276">
        <f>IFERROR(1/Calculations_APPURT[[#This Row],[Brackets]],0) * cv_M/cv_F * Forces_APPURT[[#This Row],[Delta Fai 315]] * Calculations_APPURT[[#This Row],[Lateral Offset]]/12</f>
        <v>0</v>
      </c>
      <c r="UX24" s="276">
        <f>IFERROR(1/Calculations_APPURT[[#This Row],[Brackets]],0) * cv_M/cv_F * Forces_APPURT[[#This Row],[Delta Fai 330]] * Calculations_APPURT[[#This Row],[Lateral Offset]]/12</f>
        <v>0</v>
      </c>
      <c r="UY24" s="338">
        <f>Dimensions_APPURT[[#This Row],[Weight (lbf)]] * cv_F * AlphaSector[[#This Row],[Quantity]]</f>
        <v>0</v>
      </c>
      <c r="UZ24" s="338">
        <f>Dimensions_APPURT[[#This Row],[Weight (lbf)]] * cv_F * BetaSector[[#This Row],[Quantity]]</f>
        <v>0</v>
      </c>
      <c r="VA24" s="338">
        <f>Dimensions_APPURT[[#This Row],[Weight (lbf)]] * cv_F * GammaSector[[#This Row],[Quantity]]</f>
        <v>0</v>
      </c>
      <c r="VB24" s="338">
        <f>Dimensions_APPURT[[#This Row],[Weight (lbf)]] * cv_F * DeltaSector[[#This Row],[Quantity]]</f>
        <v>0</v>
      </c>
      <c r="VC24" s="209">
        <f>Dimensions_APPURT[[#This Row],[Weight (lbf)]] * cv_M * AlphaSector[[#This Row],[Quantity]] * Calculations_APPURT[[#This Row],[Horizontal Offset]]/12</f>
        <v>0</v>
      </c>
      <c r="VD24" s="209">
        <f>Dimensions_APPURT[[#This Row],[Weight (lbf)]] * cv_M * BetaSector[[#This Row],[Quantity]] * Calculations_APPURT[[#This Row],[Horizontal Offset]]/12</f>
        <v>0</v>
      </c>
      <c r="VE24" s="209">
        <f>Dimensions_APPURT[[#This Row],[Weight (lbf)]] * cv_M * GammaSector[[#This Row],[Quantity]] * Calculations_APPURT[[#This Row],[Horizontal Offset]]/12</f>
        <v>0</v>
      </c>
      <c r="VF24" s="209">
        <f>Dimensions_APPURT[[#This Row],[Weight (lbf)]] * cv_M * DeltaSector[[#This Row],[Quantity]] * Calculations_APPURT[[#This Row],[Horizontal Offset]]/12</f>
        <v>0</v>
      </c>
      <c r="VG24" s="338">
        <f>Hazards_APPURT[[#This Row],[Ice Weight]] * cv_F * AlphaSector[[#This Row],[Quantity]]</f>
        <v>0</v>
      </c>
      <c r="VH24" s="338">
        <f>Hazards_APPURT[[#This Row],[Ice Weight]] * cv_F * BetaSector[[#This Row],[Quantity]]</f>
        <v>0</v>
      </c>
      <c r="VI24" s="338">
        <f>Hazards_APPURT[[#This Row],[Ice Weight]] * cv_F * GammaSector[[#This Row],[Quantity]]</f>
        <v>0</v>
      </c>
      <c r="VJ24" s="338">
        <f>Hazards_APPURT[[#This Row],[Ice Weight]] * cv_F * DeltaSector[[#This Row],[Quantity]]</f>
        <v>0</v>
      </c>
      <c r="VK24" s="209">
        <f>Hazards_APPURT[[#This Row],[Ice Weight]] * cv_M * AlphaSector[[#This Row],[Quantity]] * Calculations_APPURT[[#This Row],[Horizontal Offset]]/12</f>
        <v>0</v>
      </c>
      <c r="VL24" s="209">
        <f>Hazards_APPURT[[#This Row],[Ice Weight]] * cv_M * BetaSector[[#This Row],[Quantity]] * Calculations_APPURT[[#This Row],[Horizontal Offset]]/12</f>
        <v>0</v>
      </c>
      <c r="VM24" s="209">
        <f>Hazards_APPURT[[#This Row],[Ice Weight]] * cv_M * GammaSector[[#This Row],[Quantity]] * Calculations_APPURT[[#This Row],[Horizontal Offset]]/12</f>
        <v>0</v>
      </c>
      <c r="VN24" s="209">
        <f>Hazards_APPURT[[#This Row],[Ice Weight]] * cv_M * DeltaSector[[#This Row],[Quantity]] * Calculations_APPURT[[#This Row],[Horizontal Offset]]/12</f>
        <v>0</v>
      </c>
    </row>
    <row r="25" spans="1:586" ht="15" customHeight="1" x14ac:dyDescent="0.2">
      <c r="A25" s="2"/>
      <c r="B25" s="2"/>
      <c r="C25" s="2"/>
      <c r="D25" s="2"/>
      <c r="E25" s="292"/>
      <c r="G25" s="2"/>
      <c r="H25" s="2"/>
      <c r="I25" s="2"/>
      <c r="J25" s="2"/>
      <c r="K25" s="2"/>
      <c r="L25" s="2"/>
      <c r="M25" s="2"/>
      <c r="N25" s="2"/>
      <c r="O25" s="2"/>
      <c r="P25" s="2"/>
      <c r="Q25" s="2"/>
      <c r="R25" s="293"/>
      <c r="S25" s="293"/>
      <c r="T25" s="69"/>
      <c r="V25" s="71"/>
      <c r="W25" s="69"/>
      <c r="X25" s="71"/>
      <c r="Y25" s="69"/>
      <c r="Z25" s="70"/>
      <c r="AB25" s="69"/>
      <c r="AD25" s="71"/>
      <c r="AE25" s="69"/>
      <c r="AF25" s="71"/>
      <c r="AG25" s="69"/>
      <c r="AH25" s="70"/>
      <c r="AJ25" s="69"/>
      <c r="AL25" s="71"/>
      <c r="AM25" s="69"/>
      <c r="AN25" s="71"/>
      <c r="AO25" s="69"/>
      <c r="AP25" s="70"/>
      <c r="AR25" s="69"/>
      <c r="AV25" s="277" cm="1">
        <f t="array" ref="AV25">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25" s="209" cm="1">
        <f t="array" ref="AW25">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25" s="209" cm="1">
        <f t="array" ref="AX25">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25" s="209" cm="1">
        <f t="array" ref="AY25">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25"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25" s="209" cm="1">
        <f t="array" ref="BA25">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25" s="209">
        <f>IF(OR(Calculations_APPURT[[#This Row],[Shape]]="CFD",Calculations_APPURT[[#This Row],[Shape]]="CCI"),1,0.95)</f>
        <v>0.95</v>
      </c>
      <c r="BC25" s="209" cm="1">
        <f t="array" ref="BC25">0.00256 * Hazards_APPURT[[#This Row],[Kz]] * Kzt * Ks * I.wind * V^2 * IF(RIGHT(TIA,1)="G",1,Ke) * IF(OR(Calculations_APPURT[[#This Row],[Shape]]="CFD",Calculations_APPURT[[#This Row],[Shape]]="CCI"),1, Hazards_APPURT[[#This Row],[Kd]]) * Gh</f>
        <v>0</v>
      </c>
      <c r="BD25" s="209">
        <f>IF(Risk="I",0,MIN(((z+Calculations_APPURT[[#This Row],[Vertical Offset]]/12)/33)^(0.1),1.4))</f>
        <v>0</v>
      </c>
      <c r="BE25" s="209" cm="1">
        <f t="array" ref="BE25">IF(Risk="I",0,IF(TIA="ANSI/TIA-222-G",2,1*Kes.i)*ti*I.ice*Hazards_APPURT[[#This Row],[Kiz]]*(Kzt/Ks)^(0.35))</f>
        <v>0</v>
      </c>
      <c r="BF25" s="209" cm="1">
        <f t="array" ref="BF25">0.00256 * Hazards_APPURT[[#This Row],[Kz]] * Kzt * Ks * I.wind * Vi^2 * IF(RIGHT(TIA,1)="G",1,Ke) * IF(OR(Calculations_APPURT[[#This Row],[Shape]]="CFD",Calculations_APPURT[[#This Row],[Shape]]="CCI"),1, Kd) * Gh</f>
        <v>0</v>
      </c>
      <c r="BG25"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25"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25"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25"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25"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25"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25"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25"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25"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25"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25"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25"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25"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25"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25"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25"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25"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25"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25"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25"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25"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25"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25"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25"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25"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25"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25"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25"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25"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25"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25"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25"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25"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25"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25"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25"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25"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25"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25"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25"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25"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25"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25"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25"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25"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25"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25"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25"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25"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25"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25"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25"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25"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25"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25"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25"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25"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25"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25"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25"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25"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25"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25"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25"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25"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25"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25" s="276">
        <f>IFERROR(1/Calculations_APPURT[[#This Row],[Brackets]],0) * cv_F * AlphaSector[[#This Row],[Quantity]] * Hazards_APPURT[[#This Row],[qz]] * CaAa_APPURT[[#This Row],[Alpha 0]] * IF(Calculations_APPURT[[#This Row],[Shape]]="CFD",1, Ka)</f>
        <v>0</v>
      </c>
      <c r="GF25" s="276">
        <f>IFERROR(1/Calculations_APPURT[[#This Row],[Brackets]],0) * cv_F * AlphaSector[[#This Row],[Quantity]] * Hazards_APPURT[[#This Row],[qz]] * CaAa_APPURT[[#This Row],[Alpha 30]] * IF(Calculations_APPURT[[#This Row],[Shape]]="CFD",1, Ka)</f>
        <v>0</v>
      </c>
      <c r="GG25" s="276">
        <f>IFERROR(1/Calculations_APPURT[[#This Row],[Brackets]],0) * cv_F * AlphaSector[[#This Row],[Quantity]] * Hazards_APPURT[[#This Row],[qz]] * CaAa_APPURT[[#This Row],[Alpha 45]] * IF(Calculations_APPURT[[#This Row],[Shape]]="CFD",1, Ka)</f>
        <v>0</v>
      </c>
      <c r="GH25" s="276">
        <f>IFERROR(1/Calculations_APPURT[[#This Row],[Brackets]],0) * cv_F * AlphaSector[[#This Row],[Quantity]] * Hazards_APPURT[[#This Row],[qz]] * CaAa_APPURT[[#This Row],[Alpha 60]] * IF(Calculations_APPURT[[#This Row],[Shape]]="CFD",1, Ka)</f>
        <v>0</v>
      </c>
      <c r="GI25" s="276">
        <f>IFERROR(1/Calculations_APPURT[[#This Row],[Brackets]],0) * cv_F * AlphaSector[[#This Row],[Quantity]] * Hazards_APPURT[[#This Row],[qz]] * CaAa_APPURT[[#This Row],[Alpha 90]] * IF(Calculations_APPURT[[#This Row],[Shape]]="CFD",1, Ka)</f>
        <v>0</v>
      </c>
      <c r="GJ25" s="276">
        <f>IFERROR(1/Calculations_APPURT[[#This Row],[Brackets]],0) * cv_F * AlphaSector[[#This Row],[Quantity]] * Hazards_APPURT[[#This Row],[qz]] * CaAa_APPURT[[#This Row],[Alpha 120]] * IF(Calculations_APPURT[[#This Row],[Shape]]="CFD",1, Ka)</f>
        <v>0</v>
      </c>
      <c r="GK25" s="276">
        <f>IFERROR(1/Calculations_APPURT[[#This Row],[Brackets]],0) * cv_F * AlphaSector[[#This Row],[Quantity]] * Hazards_APPURT[[#This Row],[qz]] * CaAa_APPURT[[#This Row],[Alpha 135]] * IF(Calculations_APPURT[[#This Row],[Shape]]="CFD",1, Ka)</f>
        <v>0</v>
      </c>
      <c r="GL25" s="276">
        <f>IFERROR(1/Calculations_APPURT[[#This Row],[Brackets]],0) * cv_F * AlphaSector[[#This Row],[Quantity]] * Hazards_APPURT[[#This Row],[qz]] * CaAa_APPURT[[#This Row],[Alpha 150]] * IF(Calculations_APPURT[[#This Row],[Shape]]="CFD",1, Ka)</f>
        <v>0</v>
      </c>
      <c r="GM25" s="276">
        <f>IFERROR(1/Calculations_APPURT[[#This Row],[Brackets]],0) * cv_F * AlphaSector[[#This Row],[Quantity]] * Hazards_APPURT[[#This Row],[qz]] * CaAa_APPURT[[#This Row],[Alpha 180]] * IF(Calculations_APPURT[[#This Row],[Shape]]="CFD",1, Ka)</f>
        <v>0</v>
      </c>
      <c r="GN25" s="276">
        <f>IFERROR(1/Calculations_APPURT[[#This Row],[Brackets]],0) * cv_F * AlphaSector[[#This Row],[Quantity]] * Hazards_APPURT[[#This Row],[qz]] * CaAa_APPURT[[#This Row],[Alpha 210]] * IF(Calculations_APPURT[[#This Row],[Shape]]="CFD",1, Ka)</f>
        <v>0</v>
      </c>
      <c r="GO25" s="276">
        <f>IFERROR(1/Calculations_APPURT[[#This Row],[Brackets]],0) * cv_F * AlphaSector[[#This Row],[Quantity]] * Hazards_APPURT[[#This Row],[qz]] * CaAa_APPURT[[#This Row],[Alpha 225]] * IF(Calculations_APPURT[[#This Row],[Shape]]="CFD",1, Ka)</f>
        <v>0</v>
      </c>
      <c r="GP25" s="276">
        <f>IFERROR(1/Calculations_APPURT[[#This Row],[Brackets]],0) * cv_F * AlphaSector[[#This Row],[Quantity]] * Hazards_APPURT[[#This Row],[qz]] * CaAa_APPURT[[#This Row],[Alpha 240]] * IF(Calculations_APPURT[[#This Row],[Shape]]="CFD",1, Ka)</f>
        <v>0</v>
      </c>
      <c r="GQ25" s="276">
        <f>IFERROR(1/Calculations_APPURT[[#This Row],[Brackets]],0) * cv_F * AlphaSector[[#This Row],[Quantity]] * Hazards_APPURT[[#This Row],[qz]] * CaAa_APPURT[[#This Row],[Alpha 270]] * IF(Calculations_APPURT[[#This Row],[Shape]]="CFD",1, Ka)</f>
        <v>0</v>
      </c>
      <c r="GR25" s="276">
        <f>IFERROR(1/Calculations_APPURT[[#This Row],[Brackets]],0) * cv_F * AlphaSector[[#This Row],[Quantity]] * Hazards_APPURT[[#This Row],[qz]] * CaAa_APPURT[[#This Row],[Alpha 300]] * IF(Calculations_APPURT[[#This Row],[Shape]]="CFD",1, Ka)</f>
        <v>0</v>
      </c>
      <c r="GS25" s="276">
        <f>IFERROR(1/Calculations_APPURT[[#This Row],[Brackets]],0) * cv_F * AlphaSector[[#This Row],[Quantity]] * Hazards_APPURT[[#This Row],[qz]] * CaAa_APPURT[[#This Row],[Alpha 315]] * IF(Calculations_APPURT[[#This Row],[Shape]]="CFD",1, Ka)</f>
        <v>0</v>
      </c>
      <c r="GT25" s="276">
        <f>IFERROR(1/Calculations_APPURT[[#This Row],[Brackets]],0) * cv_F * AlphaSector[[#This Row],[Quantity]] * Hazards_APPURT[[#This Row],[qz]] * CaAa_APPURT[[#This Row],[Alpha 330]] * IF(Calculations_APPURT[[#This Row],[Shape]]="CFD",1, Ka)</f>
        <v>0</v>
      </c>
      <c r="GU25" s="276">
        <f>IFERROR(1/Calculations_APPURT[[#This Row],[Brackets]],0) * cv_F * BetaSector[[#This Row],[Quantity]] * Hazards_APPURT[[#This Row],[qz]] * CaAa_APPURT[[#This Row],[Beta 0]] * IF(Calculations_APPURT[[#This Row],[Shape]]="CFD",1, Ka)</f>
        <v>0</v>
      </c>
      <c r="GV25" s="276">
        <f>IFERROR(1/Calculations_APPURT[[#This Row],[Brackets]],0) * cv_F * BetaSector[[#This Row],[Quantity]] * Hazards_APPURT[[#This Row],[qz]] * CaAa_APPURT[[#This Row],[Beta 30]] * IF(Calculations_APPURT[[#This Row],[Shape]]="CFD",1, Ka)</f>
        <v>0</v>
      </c>
      <c r="GW25" s="276">
        <f>IFERROR(1/Calculations_APPURT[[#This Row],[Brackets]],0) * cv_F * BetaSector[[#This Row],[Quantity]] * Hazards_APPURT[[#This Row],[qz]] * CaAa_APPURT[[#This Row],[Beta 45]] * IF(Calculations_APPURT[[#This Row],[Shape]]="CFD",1, Ka)</f>
        <v>0</v>
      </c>
      <c r="GX25" s="276">
        <f>IFERROR(1/Calculations_APPURT[[#This Row],[Brackets]],0) * cv_F * BetaSector[[#This Row],[Quantity]] * Hazards_APPURT[[#This Row],[qz]] * CaAa_APPURT[[#This Row],[Beta 60]] * IF(Calculations_APPURT[[#This Row],[Shape]]="CFD",1, Ka)</f>
        <v>0</v>
      </c>
      <c r="GY25" s="276">
        <f>IFERROR(1/Calculations_APPURT[[#This Row],[Brackets]],0) * cv_F * BetaSector[[#This Row],[Quantity]] * Hazards_APPURT[[#This Row],[qz]] * CaAa_APPURT[[#This Row],[Beta 90]] * IF(Calculations_APPURT[[#This Row],[Shape]]="CFD",1, Ka)</f>
        <v>0</v>
      </c>
      <c r="GZ25" s="276">
        <f>IFERROR(1/Calculations_APPURT[[#This Row],[Brackets]],0) * cv_F * BetaSector[[#This Row],[Quantity]] * Hazards_APPURT[[#This Row],[qz]] * CaAa_APPURT[[#This Row],[Beta 120]] * IF(Calculations_APPURT[[#This Row],[Shape]]="CFD",1, Ka)</f>
        <v>0</v>
      </c>
      <c r="HA25" s="276">
        <f>IFERROR(1/Calculations_APPURT[[#This Row],[Brackets]],0) * cv_F * BetaSector[[#This Row],[Quantity]] * Hazards_APPURT[[#This Row],[qz]] * CaAa_APPURT[[#This Row],[Beta 135]] * IF(Calculations_APPURT[[#This Row],[Shape]]="CFD",1, Ka)</f>
        <v>0</v>
      </c>
      <c r="HB25" s="276">
        <f>IFERROR(1/Calculations_APPURT[[#This Row],[Brackets]],0) * cv_F * BetaSector[[#This Row],[Quantity]] * Hazards_APPURT[[#This Row],[qz]] * CaAa_APPURT[[#This Row],[Beta 150]] * IF(Calculations_APPURT[[#This Row],[Shape]]="CFD",1, Ka)</f>
        <v>0</v>
      </c>
      <c r="HC25" s="276">
        <f>IFERROR(1/Calculations_APPURT[[#This Row],[Brackets]],0) * cv_F * BetaSector[[#This Row],[Quantity]] * Hazards_APPURT[[#This Row],[qz]] * CaAa_APPURT[[#This Row],[Beta 180]] * IF(Calculations_APPURT[[#This Row],[Shape]]="CFD",1, Ka)</f>
        <v>0</v>
      </c>
      <c r="HD25" s="276">
        <f>IFERROR(1/Calculations_APPURT[[#This Row],[Brackets]],0) * cv_F * BetaSector[[#This Row],[Quantity]] * Hazards_APPURT[[#This Row],[qz]] * CaAa_APPURT[[#This Row],[Beta 210]] * IF(Calculations_APPURT[[#This Row],[Shape]]="CFD",1, Ka)</f>
        <v>0</v>
      </c>
      <c r="HE25" s="276">
        <f>IFERROR(1/Calculations_APPURT[[#This Row],[Brackets]],0) * cv_F * BetaSector[[#This Row],[Quantity]] * Hazards_APPURT[[#This Row],[qz]] * CaAa_APPURT[[#This Row],[Beta 225]] * IF(Calculations_APPURT[[#This Row],[Shape]]="CFD",1, Ka)</f>
        <v>0</v>
      </c>
      <c r="HF25" s="276">
        <f>IFERROR(1/Calculations_APPURT[[#This Row],[Brackets]],0) * cv_F * BetaSector[[#This Row],[Quantity]] * Hazards_APPURT[[#This Row],[qz]] * CaAa_APPURT[[#This Row],[Beta 240]] * IF(Calculations_APPURT[[#This Row],[Shape]]="CFD",1, Ka)</f>
        <v>0</v>
      </c>
      <c r="HG25" s="276">
        <f>IFERROR(1/Calculations_APPURT[[#This Row],[Brackets]],0) * cv_F * BetaSector[[#This Row],[Quantity]] * Hazards_APPURT[[#This Row],[qz]] * CaAa_APPURT[[#This Row],[Beta 270]] * IF(Calculations_APPURT[[#This Row],[Shape]]="CFD",1, Ka)</f>
        <v>0</v>
      </c>
      <c r="HH25" s="276">
        <f>IFERROR(1/Calculations_APPURT[[#This Row],[Brackets]],0) * cv_F * BetaSector[[#This Row],[Quantity]] * Hazards_APPURT[[#This Row],[qz]] * CaAa_APPURT[[#This Row],[Beta 300]] * IF(Calculations_APPURT[[#This Row],[Shape]]="CFD",1, Ka)</f>
        <v>0</v>
      </c>
      <c r="HI25" s="276">
        <f>IFERROR(1/Calculations_APPURT[[#This Row],[Brackets]],0) * cv_F * BetaSector[[#This Row],[Quantity]] * Hazards_APPURT[[#This Row],[qz]] * CaAa_APPURT[[#This Row],[Beta 315]] * IF(Calculations_APPURT[[#This Row],[Shape]]="CFD",1, Ka)</f>
        <v>0</v>
      </c>
      <c r="HJ25" s="276">
        <f>IFERROR(1/Calculations_APPURT[[#This Row],[Brackets]],0) * cv_F * BetaSector[[#This Row],[Quantity]] * Hazards_APPURT[[#This Row],[qz]] * CaAa_APPURT[[#This Row],[Beta 330]] * IF(Calculations_APPURT[[#This Row],[Shape]]="CFD",1, Ka)</f>
        <v>0</v>
      </c>
      <c r="HK25" s="276">
        <f>IFERROR(1/Calculations_APPURT[[#This Row],[Brackets]],0) * cv_F * GammaSector[[#This Row],[Quantity]] * Hazards_APPURT[[#This Row],[qz]] * CaAa_APPURT[[#This Row],[Gamma 0]] * IF(Calculations_APPURT[[#This Row],[Shape]]="CFD",1, Ka)</f>
        <v>0</v>
      </c>
      <c r="HL25" s="276">
        <f>IFERROR(1/Calculations_APPURT[[#This Row],[Brackets]],0) * cv_F * GammaSector[[#This Row],[Quantity]] * Hazards_APPURT[[#This Row],[qz]] * CaAa_APPURT[[#This Row],[Gamma 30]] * IF(Calculations_APPURT[[#This Row],[Shape]]="CFD",1, Ka)</f>
        <v>0</v>
      </c>
      <c r="HM25" s="276">
        <f>IFERROR(1/Calculations_APPURT[[#This Row],[Brackets]],0) * cv_F * GammaSector[[#This Row],[Quantity]] * Hazards_APPURT[[#This Row],[qz]] * CaAa_APPURT[[#This Row],[Gamma 45]] * IF(Calculations_APPURT[[#This Row],[Shape]]="CFD",1, Ka)</f>
        <v>0</v>
      </c>
      <c r="HN25" s="276">
        <f>IFERROR(1/Calculations_APPURT[[#This Row],[Brackets]],0) * cv_F * GammaSector[[#This Row],[Quantity]] * Hazards_APPURT[[#This Row],[qz]] * CaAa_APPURT[[#This Row],[Gamma 60]] * IF(Calculations_APPURT[[#This Row],[Shape]]="CFD",1, Ka)</f>
        <v>0</v>
      </c>
      <c r="HO25" s="276">
        <f>IFERROR(1/Calculations_APPURT[[#This Row],[Brackets]],0) * cv_F * GammaSector[[#This Row],[Quantity]] * Hazards_APPURT[[#This Row],[qz]] * CaAa_APPURT[[#This Row],[Gamma 90]] * IF(Calculations_APPURT[[#This Row],[Shape]]="CFD",1, Ka)</f>
        <v>0</v>
      </c>
      <c r="HP25" s="276">
        <f>IFERROR(1/Calculations_APPURT[[#This Row],[Brackets]],0) * cv_F * GammaSector[[#This Row],[Quantity]] * Hazards_APPURT[[#This Row],[qz]] * CaAa_APPURT[[#This Row],[Gamma 120]] * IF(Calculations_APPURT[[#This Row],[Shape]]="CFD",1, Ka)</f>
        <v>0</v>
      </c>
      <c r="HQ25" s="276">
        <f>IFERROR(1/Calculations_APPURT[[#This Row],[Brackets]],0) * cv_F * GammaSector[[#This Row],[Quantity]] * Hazards_APPURT[[#This Row],[qz]] * CaAa_APPURT[[#This Row],[Gamma 135]] * IF(Calculations_APPURT[[#This Row],[Shape]]="CFD",1, Ka)</f>
        <v>0</v>
      </c>
      <c r="HR25" s="276">
        <f>IFERROR(1/Calculations_APPURT[[#This Row],[Brackets]],0) * cv_F * GammaSector[[#This Row],[Quantity]] * Hazards_APPURT[[#This Row],[qz]] * CaAa_APPURT[[#This Row],[Gamma 150]] * IF(Calculations_APPURT[[#This Row],[Shape]]="CFD",1, Ka)</f>
        <v>0</v>
      </c>
      <c r="HS25" s="276">
        <f>IFERROR(1/Calculations_APPURT[[#This Row],[Brackets]],0) * cv_F * GammaSector[[#This Row],[Quantity]] * Hazards_APPURT[[#This Row],[qz]] * CaAa_APPURT[[#This Row],[Gamma 180]] * IF(Calculations_APPURT[[#This Row],[Shape]]="CFD",1, Ka)</f>
        <v>0</v>
      </c>
      <c r="HT25" s="276">
        <f>IFERROR(1/Calculations_APPURT[[#This Row],[Brackets]],0) * cv_F * GammaSector[[#This Row],[Quantity]] * Hazards_APPURT[[#This Row],[qz]] * CaAa_APPURT[[#This Row],[Gamma 210]] * IF(Calculations_APPURT[[#This Row],[Shape]]="CFD",1, Ka)</f>
        <v>0</v>
      </c>
      <c r="HU25" s="276">
        <f>IFERROR(1/Calculations_APPURT[[#This Row],[Brackets]],0) * cv_F * GammaSector[[#This Row],[Quantity]] * Hazards_APPURT[[#This Row],[qz]] * CaAa_APPURT[[#This Row],[Gamma 225]] * IF(Calculations_APPURT[[#This Row],[Shape]]="CFD",1, Ka)</f>
        <v>0</v>
      </c>
      <c r="HV25" s="276">
        <f>IFERROR(1/Calculations_APPURT[[#This Row],[Brackets]],0) * cv_F * GammaSector[[#This Row],[Quantity]] * Hazards_APPURT[[#This Row],[qz]] * CaAa_APPURT[[#This Row],[Gamma 240]] * IF(Calculations_APPURT[[#This Row],[Shape]]="CFD",1, Ka)</f>
        <v>0</v>
      </c>
      <c r="HW25" s="276">
        <f>IFERROR(1/Calculations_APPURT[[#This Row],[Brackets]],0) * cv_F * GammaSector[[#This Row],[Quantity]] * Hazards_APPURT[[#This Row],[qz]] * CaAa_APPURT[[#This Row],[Gamma 270]] * IF(Calculations_APPURT[[#This Row],[Shape]]="CFD",1, Ka)</f>
        <v>0</v>
      </c>
      <c r="HX25" s="276">
        <f>IFERROR(1/Calculations_APPURT[[#This Row],[Brackets]],0) * cv_F * GammaSector[[#This Row],[Quantity]] * Hazards_APPURT[[#This Row],[qz]] * CaAa_APPURT[[#This Row],[Gamma 300]] * IF(Calculations_APPURT[[#This Row],[Shape]]="CFD",1, Ka)</f>
        <v>0</v>
      </c>
      <c r="HY25" s="276">
        <f>IFERROR(1/Calculations_APPURT[[#This Row],[Brackets]],0) * cv_F * GammaSector[[#This Row],[Quantity]] * Hazards_APPURT[[#This Row],[qz]] * CaAa_APPURT[[#This Row],[Gamma 315]] * IF(Calculations_APPURT[[#This Row],[Shape]]="CFD",1, Ka)</f>
        <v>0</v>
      </c>
      <c r="HZ25" s="276">
        <f>IFERROR(1/Calculations_APPURT[[#This Row],[Brackets]],0) * cv_F * GammaSector[[#This Row],[Quantity]] * Hazards_APPURT[[#This Row],[qz]] * CaAa_APPURT[[#This Row],[Gamma 330]] * IF(Calculations_APPURT[[#This Row],[Shape]]="CFD",1, Ka)</f>
        <v>0</v>
      </c>
      <c r="IA25" s="276">
        <f>IFERROR(1/Calculations_APPURT[[#This Row],[Brackets]],0) * cv_F * DeltaSector[[#This Row],[Quantity]] * Hazards_APPURT[[#This Row],[qz]] * CaAa_APPURT[[#This Row],[Delta 0]] * IF(Calculations_APPURT[[#This Row],[Shape]]="CFD",1, Ka)</f>
        <v>0</v>
      </c>
      <c r="IB25" s="276">
        <f>IFERROR(1/Calculations_APPURT[[#This Row],[Brackets]],0) * cv_F * DeltaSector[[#This Row],[Quantity]] * Hazards_APPURT[[#This Row],[qz]] * CaAa_APPURT[[#This Row],[Delta 30]] * IF(Calculations_APPURT[[#This Row],[Shape]]="CFD",1, Ka)</f>
        <v>0</v>
      </c>
      <c r="IC25" s="276">
        <f>IFERROR(1/Calculations_APPURT[[#This Row],[Brackets]],0) * cv_F * DeltaSector[[#This Row],[Quantity]] * Hazards_APPURT[[#This Row],[qz]] * CaAa_APPURT[[#This Row],[Delta 45]] * IF(Calculations_APPURT[[#This Row],[Shape]]="CFD",1, Ka)</f>
        <v>0</v>
      </c>
      <c r="ID25" s="276">
        <f>IFERROR(1/Calculations_APPURT[[#This Row],[Brackets]],0) * cv_F * DeltaSector[[#This Row],[Quantity]] * Hazards_APPURT[[#This Row],[qz]] * CaAa_APPURT[[#This Row],[Delta 60]] * IF(Calculations_APPURT[[#This Row],[Shape]]="CFD",1, Ka)</f>
        <v>0</v>
      </c>
      <c r="IE25" s="276">
        <f>IFERROR(1/Calculations_APPURT[[#This Row],[Brackets]],0) * cv_F * DeltaSector[[#This Row],[Quantity]] * Hazards_APPURT[[#This Row],[qz]] * CaAa_APPURT[[#This Row],[Delta 90]] * IF(Calculations_APPURT[[#This Row],[Shape]]="CFD",1, Ka)</f>
        <v>0</v>
      </c>
      <c r="IF25" s="276">
        <f>IFERROR(1/Calculations_APPURT[[#This Row],[Brackets]],0) * cv_F * DeltaSector[[#This Row],[Quantity]] * Hazards_APPURT[[#This Row],[qz]] * CaAa_APPURT[[#This Row],[Delta 120]] * IF(Calculations_APPURT[[#This Row],[Shape]]="CFD",1, Ka)</f>
        <v>0</v>
      </c>
      <c r="IG25" s="276">
        <f>IFERROR(1/Calculations_APPURT[[#This Row],[Brackets]],0) * cv_F * DeltaSector[[#This Row],[Quantity]] * Hazards_APPURT[[#This Row],[qz]] * CaAa_APPURT[[#This Row],[Delta 135]] * IF(Calculations_APPURT[[#This Row],[Shape]]="CFD",1, Ka)</f>
        <v>0</v>
      </c>
      <c r="IH25" s="276">
        <f>IFERROR(1/Calculations_APPURT[[#This Row],[Brackets]],0) * cv_F * DeltaSector[[#This Row],[Quantity]] * Hazards_APPURT[[#This Row],[qz]] * CaAa_APPURT[[#This Row],[Delta 150]] * IF(Calculations_APPURT[[#This Row],[Shape]]="CFD",1, Ka)</f>
        <v>0</v>
      </c>
      <c r="II25" s="276">
        <f>IFERROR(1/Calculations_APPURT[[#This Row],[Brackets]],0) * cv_F * DeltaSector[[#This Row],[Quantity]] * Hazards_APPURT[[#This Row],[qz]] * CaAa_APPURT[[#This Row],[Delta 180]] * IF(Calculations_APPURT[[#This Row],[Shape]]="CFD",1, Ka)</f>
        <v>0</v>
      </c>
      <c r="IJ25" s="276">
        <f>IFERROR(1/Calculations_APPURT[[#This Row],[Brackets]],0) * cv_F * DeltaSector[[#This Row],[Quantity]] * Hazards_APPURT[[#This Row],[qz]] * CaAa_APPURT[[#This Row],[Delta 210]] * IF(Calculations_APPURT[[#This Row],[Shape]]="CFD",1, Ka)</f>
        <v>0</v>
      </c>
      <c r="IK25" s="276">
        <f>IFERROR(1/Calculations_APPURT[[#This Row],[Brackets]],0) * cv_F * DeltaSector[[#This Row],[Quantity]] * Hazards_APPURT[[#This Row],[qz]] * CaAa_APPURT[[#This Row],[Delta 225]] * IF(Calculations_APPURT[[#This Row],[Shape]]="CFD",1, Ka)</f>
        <v>0</v>
      </c>
      <c r="IL25" s="276">
        <f>IFERROR(1/Calculations_APPURT[[#This Row],[Brackets]],0) * cv_F * DeltaSector[[#This Row],[Quantity]] * Hazards_APPURT[[#This Row],[qz]] * CaAa_APPURT[[#This Row],[Delta 240]] * IF(Calculations_APPURT[[#This Row],[Shape]]="CFD",1, Ka)</f>
        <v>0</v>
      </c>
      <c r="IM25" s="276">
        <f>IFERROR(1/Calculations_APPURT[[#This Row],[Brackets]],0) * cv_F * DeltaSector[[#This Row],[Quantity]] * Hazards_APPURT[[#This Row],[qz]] * CaAa_APPURT[[#This Row],[Delta 270]] * IF(Calculations_APPURT[[#This Row],[Shape]]="CFD",1, Ka)</f>
        <v>0</v>
      </c>
      <c r="IN25" s="276">
        <f>IFERROR(1/Calculations_APPURT[[#This Row],[Brackets]],0) * cv_F * DeltaSector[[#This Row],[Quantity]] * Hazards_APPURT[[#This Row],[qz]] * CaAa_APPURT[[#This Row],[Delta 300]] * IF(Calculations_APPURT[[#This Row],[Shape]]="CFD",1, Ka)</f>
        <v>0</v>
      </c>
      <c r="IO25" s="276">
        <f>IFERROR(1/Calculations_APPURT[[#This Row],[Brackets]],0) * cv_F * DeltaSector[[#This Row],[Quantity]] * Hazards_APPURT[[#This Row],[qz]] * CaAa_APPURT[[#This Row],[Delta 315]] * IF(Calculations_APPURT[[#This Row],[Shape]]="CFD",1, Ka)</f>
        <v>0</v>
      </c>
      <c r="IP25" s="276">
        <f>IFERROR(1/Calculations_APPURT[[#This Row],[Brackets]],0) * cv_F * DeltaSector[[#This Row],[Quantity]] * Hazards_APPURT[[#This Row],[qz]] * CaAa_APPURT[[#This Row],[Delta 330]] * IF(Calculations_APPURT[[#This Row],[Shape]]="CFD",1, Ka)</f>
        <v>0</v>
      </c>
      <c r="IQ25" s="276">
        <f>IFERROR(1/Calculations_APPURT[[#This Row],[Brackets]],0) * cv_F * AlphaSector[[#This Row],[Quantity]] * Hazards_APPURT[[#This Row],[qiz]] * CaAa_APPURT[[#This Row],[Alpha Ice 0]]</f>
        <v>0</v>
      </c>
      <c r="IR25" s="276">
        <f>IFERROR(1/Calculations_APPURT[[#This Row],[Brackets]],0) * cv_F * AlphaSector[[#This Row],[Quantity]] * Hazards_APPURT[[#This Row],[qiz]] * CaAa_APPURT[[#This Row],[Alpha Ice 30]]</f>
        <v>0</v>
      </c>
      <c r="IS25" s="276">
        <f>IFERROR(1/Calculations_APPURT[[#This Row],[Brackets]],0) * cv_F * AlphaSector[[#This Row],[Quantity]] * Hazards_APPURT[[#This Row],[qiz]] * CaAa_APPURT[[#This Row],[Alpha Ice 45]]</f>
        <v>0</v>
      </c>
      <c r="IT25" s="276">
        <f>IFERROR(1/Calculations_APPURT[[#This Row],[Brackets]],0) * cv_F * AlphaSector[[#This Row],[Quantity]] * Hazards_APPURT[[#This Row],[qiz]] * CaAa_APPURT[[#This Row],[Alpha Ice 60]]</f>
        <v>0</v>
      </c>
      <c r="IU25" s="276">
        <f>IFERROR(1/Calculations_APPURT[[#This Row],[Brackets]],0) * cv_F * AlphaSector[[#This Row],[Quantity]] * Hazards_APPURT[[#This Row],[qiz]] * CaAa_APPURT[[#This Row],[Alpha Ice 90]]</f>
        <v>0</v>
      </c>
      <c r="IV25" s="276">
        <f>IFERROR(1/Calculations_APPURT[[#This Row],[Brackets]],0) * cv_F * AlphaSector[[#This Row],[Quantity]] * Hazards_APPURT[[#This Row],[qiz]] * CaAa_APPURT[[#This Row],[Alpha Ice 120]]</f>
        <v>0</v>
      </c>
      <c r="IW25" s="276">
        <f>IFERROR(1/Calculations_APPURT[[#This Row],[Brackets]],0) * cv_F * AlphaSector[[#This Row],[Quantity]] * Hazards_APPURT[[#This Row],[qiz]] * CaAa_APPURT[[#This Row],[Alpha Ice 135]]</f>
        <v>0</v>
      </c>
      <c r="IX25" s="276">
        <f>IFERROR(1/Calculations_APPURT[[#This Row],[Brackets]],0) * cv_F * AlphaSector[[#This Row],[Quantity]] * Hazards_APPURT[[#This Row],[qiz]] * CaAa_APPURT[[#This Row],[Alpha Ice 150]]</f>
        <v>0</v>
      </c>
      <c r="IY25" s="276">
        <f>IFERROR(1/Calculations_APPURT[[#This Row],[Brackets]],0) * cv_F * AlphaSector[[#This Row],[Quantity]] * Hazards_APPURT[[#This Row],[qiz]] * CaAa_APPURT[[#This Row],[Alpha Ice 180]]</f>
        <v>0</v>
      </c>
      <c r="IZ25" s="276">
        <f>IFERROR(1/Calculations_APPURT[[#This Row],[Brackets]],0) * cv_F * AlphaSector[[#This Row],[Quantity]] * Hazards_APPURT[[#This Row],[qiz]] * CaAa_APPURT[[#This Row],[Alpha Ice 210]]</f>
        <v>0</v>
      </c>
      <c r="JA25" s="276">
        <f>IFERROR(1/Calculations_APPURT[[#This Row],[Brackets]],0) * cv_F * AlphaSector[[#This Row],[Quantity]] * Hazards_APPURT[[#This Row],[qiz]] * CaAa_APPURT[[#This Row],[Alpha Ice 225]]</f>
        <v>0</v>
      </c>
      <c r="JB25" s="276">
        <f>IFERROR(1/Calculations_APPURT[[#This Row],[Brackets]],0) * cv_F * AlphaSector[[#This Row],[Quantity]] * Hazards_APPURT[[#This Row],[qiz]] * CaAa_APPURT[[#This Row],[Alpha Ice 240]]</f>
        <v>0</v>
      </c>
      <c r="JC25" s="276">
        <f>IFERROR(1/Calculations_APPURT[[#This Row],[Brackets]],0) * cv_F * AlphaSector[[#This Row],[Quantity]] * Hazards_APPURT[[#This Row],[qiz]] * CaAa_APPURT[[#This Row],[Alpha Ice 270]]</f>
        <v>0</v>
      </c>
      <c r="JD25" s="276">
        <f>IFERROR(1/Calculations_APPURT[[#This Row],[Brackets]],0) * cv_F * AlphaSector[[#This Row],[Quantity]] * Hazards_APPURT[[#This Row],[qiz]] * CaAa_APPURT[[#This Row],[Alpha Ice 300]]</f>
        <v>0</v>
      </c>
      <c r="JE25" s="276">
        <f>IFERROR(1/Calculations_APPURT[[#This Row],[Brackets]],0) * cv_F * AlphaSector[[#This Row],[Quantity]] * Hazards_APPURT[[#This Row],[qiz]] * CaAa_APPURT[[#This Row],[Alpha Ice 315]]</f>
        <v>0</v>
      </c>
      <c r="JF25" s="276">
        <f>IFERROR(1/Calculations_APPURT[[#This Row],[Brackets]],0) * cv_F * AlphaSector[[#This Row],[Quantity]] * Hazards_APPURT[[#This Row],[qiz]] * CaAa_APPURT[[#This Row],[Alpha Ice 330]]</f>
        <v>0</v>
      </c>
      <c r="JG25" s="276">
        <f>IFERROR(1/Calculations_APPURT[[#This Row],[Brackets]],0) * cv_F * BetaSector[[#This Row],[Quantity]] * Hazards_APPURT[[#This Row],[qiz]] * CaAa_APPURT[[#This Row],[Beta Ice 0]]</f>
        <v>0</v>
      </c>
      <c r="JH25" s="276">
        <f>IFERROR(1/Calculations_APPURT[[#This Row],[Brackets]],0) * cv_F * BetaSector[[#This Row],[Quantity]] * Hazards_APPURT[[#This Row],[qiz]] * CaAa_APPURT[[#This Row],[Beta Ice 30]]</f>
        <v>0</v>
      </c>
      <c r="JI25" s="276">
        <f>IFERROR(1/Calculations_APPURT[[#This Row],[Brackets]],0) * cv_F * BetaSector[[#This Row],[Quantity]] * Hazards_APPURT[[#This Row],[qiz]] * CaAa_APPURT[[#This Row],[Beta Ice 45]]</f>
        <v>0</v>
      </c>
      <c r="JJ25" s="276">
        <f>IFERROR(1/Calculations_APPURT[[#This Row],[Brackets]],0) * cv_F * BetaSector[[#This Row],[Quantity]] * Hazards_APPURT[[#This Row],[qiz]] * CaAa_APPURT[[#This Row],[Beta Ice 60]]</f>
        <v>0</v>
      </c>
      <c r="JK25" s="276">
        <f>IFERROR(1/Calculations_APPURT[[#This Row],[Brackets]],0) * cv_F * BetaSector[[#This Row],[Quantity]] * Hazards_APPURT[[#This Row],[qiz]] * CaAa_APPURT[[#This Row],[Beta Ice 90]]</f>
        <v>0</v>
      </c>
      <c r="JL25" s="276">
        <f>IFERROR(1/Calculations_APPURT[[#This Row],[Brackets]],0) * cv_F * BetaSector[[#This Row],[Quantity]] * Hazards_APPURT[[#This Row],[qiz]] * CaAa_APPURT[[#This Row],[Beta Ice 120]]</f>
        <v>0</v>
      </c>
      <c r="JM25" s="276">
        <f>IFERROR(1/Calculations_APPURT[[#This Row],[Brackets]],0) * cv_F * BetaSector[[#This Row],[Quantity]] * Hazards_APPURT[[#This Row],[qiz]] * CaAa_APPURT[[#This Row],[Beta Ice 135]]</f>
        <v>0</v>
      </c>
      <c r="JN25" s="276">
        <f>IFERROR(1/Calculations_APPURT[[#This Row],[Brackets]],0) * cv_F * BetaSector[[#This Row],[Quantity]] * Hazards_APPURT[[#This Row],[qiz]] * CaAa_APPURT[[#This Row],[Beta Ice 150]]</f>
        <v>0</v>
      </c>
      <c r="JO25" s="276">
        <f>IFERROR(1/Calculations_APPURT[[#This Row],[Brackets]],0) * cv_F * BetaSector[[#This Row],[Quantity]] * Hazards_APPURT[[#This Row],[qiz]] * CaAa_APPURT[[#This Row],[Beta Ice 180]]</f>
        <v>0</v>
      </c>
      <c r="JP25" s="276">
        <f>IFERROR(1/Calculations_APPURT[[#This Row],[Brackets]],0) * cv_F * BetaSector[[#This Row],[Quantity]] * Hazards_APPURT[[#This Row],[qiz]] * CaAa_APPURT[[#This Row],[Beta Ice 210]]</f>
        <v>0</v>
      </c>
      <c r="JQ25" s="276">
        <f>IFERROR(1/Calculations_APPURT[[#This Row],[Brackets]],0) * cv_F * BetaSector[[#This Row],[Quantity]] * Hazards_APPURT[[#This Row],[qiz]] * CaAa_APPURT[[#This Row],[Beta Ice 225]]</f>
        <v>0</v>
      </c>
      <c r="JR25" s="276">
        <f>IFERROR(1/Calculations_APPURT[[#This Row],[Brackets]],0) * cv_F * BetaSector[[#This Row],[Quantity]] * Hazards_APPURT[[#This Row],[qiz]] * CaAa_APPURT[[#This Row],[Beta Ice 240]]</f>
        <v>0</v>
      </c>
      <c r="JS25" s="276">
        <f>IFERROR(1/Calculations_APPURT[[#This Row],[Brackets]],0) * cv_F * BetaSector[[#This Row],[Quantity]] * Hazards_APPURT[[#This Row],[qiz]] * CaAa_APPURT[[#This Row],[Beta Ice 270]]</f>
        <v>0</v>
      </c>
      <c r="JT25" s="276">
        <f>IFERROR(1/Calculations_APPURT[[#This Row],[Brackets]],0) * cv_F * BetaSector[[#This Row],[Quantity]] * Hazards_APPURT[[#This Row],[qiz]] * CaAa_APPURT[[#This Row],[Beta Ice 300]]</f>
        <v>0</v>
      </c>
      <c r="JU25" s="276">
        <f>IFERROR(1/Calculations_APPURT[[#This Row],[Brackets]],0) * cv_F * BetaSector[[#This Row],[Quantity]] * Hazards_APPURT[[#This Row],[qiz]] * CaAa_APPURT[[#This Row],[Beta Ice 315]]</f>
        <v>0</v>
      </c>
      <c r="JV25" s="276">
        <f>IFERROR(1/Calculations_APPURT[[#This Row],[Brackets]],0) * cv_F * BetaSector[[#This Row],[Quantity]] * Hazards_APPURT[[#This Row],[qiz]] * CaAa_APPURT[[#This Row],[Beta Ice 330]]</f>
        <v>0</v>
      </c>
      <c r="JW25" s="276">
        <f>IFERROR(1/Calculations_APPURT[[#This Row],[Brackets]],0) * cv_F * GammaSector[[#This Row],[Quantity]] * Hazards_APPURT[[#This Row],[qiz]] * CaAa_APPURT[[#This Row],[Gamma Ice 0]]</f>
        <v>0</v>
      </c>
      <c r="JX25" s="276">
        <f>IFERROR(1/Calculations_APPURT[[#This Row],[Brackets]],0) * cv_F * GammaSector[[#This Row],[Quantity]] * Hazards_APPURT[[#This Row],[qiz]] * CaAa_APPURT[[#This Row],[Gamma Ice 30]]</f>
        <v>0</v>
      </c>
      <c r="JY25" s="276">
        <f>IFERROR(1/Calculations_APPURT[[#This Row],[Brackets]],0) * cv_F * GammaSector[[#This Row],[Quantity]] * Hazards_APPURT[[#This Row],[qiz]] * CaAa_APPURT[[#This Row],[Gamma Ice 45]]</f>
        <v>0</v>
      </c>
      <c r="JZ25" s="276">
        <f>IFERROR(1/Calculations_APPURT[[#This Row],[Brackets]],0) * cv_F * GammaSector[[#This Row],[Quantity]] * Hazards_APPURT[[#This Row],[qiz]] * CaAa_APPURT[[#This Row],[Gamma Ice 60]]</f>
        <v>0</v>
      </c>
      <c r="KA25" s="276">
        <f>IFERROR(1/Calculations_APPURT[[#This Row],[Brackets]],0) * cv_F * GammaSector[[#This Row],[Quantity]] * Hazards_APPURT[[#This Row],[qiz]] * CaAa_APPURT[[#This Row],[Gamma Ice 90]]</f>
        <v>0</v>
      </c>
      <c r="KB25" s="276">
        <f>IFERROR(1/Calculations_APPURT[[#This Row],[Brackets]],0) * cv_F * GammaSector[[#This Row],[Quantity]] * Hazards_APPURT[[#This Row],[qiz]] * CaAa_APPURT[[#This Row],[Gamma Ice 120]]</f>
        <v>0</v>
      </c>
      <c r="KC25" s="276">
        <f>IFERROR(1/Calculations_APPURT[[#This Row],[Brackets]],0) * cv_F * GammaSector[[#This Row],[Quantity]] * Hazards_APPURT[[#This Row],[qiz]] * CaAa_APPURT[[#This Row],[Gamma Ice 135]]</f>
        <v>0</v>
      </c>
      <c r="KD25" s="276">
        <f>IFERROR(1/Calculations_APPURT[[#This Row],[Brackets]],0) * cv_F * GammaSector[[#This Row],[Quantity]] * Hazards_APPURT[[#This Row],[qiz]] * CaAa_APPURT[[#This Row],[Gamma Ice 150]]</f>
        <v>0</v>
      </c>
      <c r="KE25" s="276">
        <f>IFERROR(1/Calculations_APPURT[[#This Row],[Brackets]],0) * cv_F * GammaSector[[#This Row],[Quantity]] * Hazards_APPURT[[#This Row],[qiz]] * CaAa_APPURT[[#This Row],[Gamma Ice 180]]</f>
        <v>0</v>
      </c>
      <c r="KF25" s="276">
        <f>IFERROR(1/Calculations_APPURT[[#This Row],[Brackets]],0) * cv_F * GammaSector[[#This Row],[Quantity]] * Hazards_APPURT[[#This Row],[qiz]] * CaAa_APPURT[[#This Row],[Gamma Ice 210]]</f>
        <v>0</v>
      </c>
      <c r="KG25" s="276">
        <f>IFERROR(1/Calculations_APPURT[[#This Row],[Brackets]],0) * cv_F * GammaSector[[#This Row],[Quantity]] * Hazards_APPURT[[#This Row],[qiz]] * CaAa_APPURT[[#This Row],[Gamma Ice 225]]</f>
        <v>0</v>
      </c>
      <c r="KH25" s="276">
        <f>IFERROR(1/Calculations_APPURT[[#This Row],[Brackets]],0) * cv_F * GammaSector[[#This Row],[Quantity]] * Hazards_APPURT[[#This Row],[qiz]] * CaAa_APPURT[[#This Row],[Gamma Ice 240]]</f>
        <v>0</v>
      </c>
      <c r="KI25" s="276">
        <f>IFERROR(1/Calculations_APPURT[[#This Row],[Brackets]],0) * cv_F * GammaSector[[#This Row],[Quantity]] * Hazards_APPURT[[#This Row],[qiz]] * CaAa_APPURT[[#This Row],[Gamma Ice 270]]</f>
        <v>0</v>
      </c>
      <c r="KJ25" s="276">
        <f>IFERROR(1/Calculations_APPURT[[#This Row],[Brackets]],0) * cv_F * GammaSector[[#This Row],[Quantity]] * Hazards_APPURT[[#This Row],[qiz]] * CaAa_APPURT[[#This Row],[Gamma Ice 300]]</f>
        <v>0</v>
      </c>
      <c r="KK25" s="276">
        <f>IFERROR(1/Calculations_APPURT[[#This Row],[Brackets]],0) * cv_F * GammaSector[[#This Row],[Quantity]] * Hazards_APPURT[[#This Row],[qiz]] * CaAa_APPURT[[#This Row],[Gamma Ice 315]]</f>
        <v>0</v>
      </c>
      <c r="KL25" s="276">
        <f>IFERROR(1/Calculations_APPURT[[#This Row],[Brackets]],0) * cv_F * GammaSector[[#This Row],[Quantity]] * Hazards_APPURT[[#This Row],[qiz]] * CaAa_APPURT[[#This Row],[Gamma Ice 330]]</f>
        <v>0</v>
      </c>
      <c r="KM25" s="276">
        <f>IFERROR(1/Calculations_APPURT[[#This Row],[Brackets]],0) * cv_F * DeltaSector[[#This Row],[Quantity]] * Hazards_APPURT[[#This Row],[qiz]] * CaAa_APPURT[[#This Row],[Delta Ice 0]]</f>
        <v>0</v>
      </c>
      <c r="KN25" s="276">
        <f>IFERROR(1/Calculations_APPURT[[#This Row],[Brackets]],0) * cv_F * DeltaSector[[#This Row],[Quantity]] * Hazards_APPURT[[#This Row],[qiz]] * CaAa_APPURT[[#This Row],[Delta Ice 30]]</f>
        <v>0</v>
      </c>
      <c r="KO25" s="276">
        <f>IFERROR(1/Calculations_APPURT[[#This Row],[Brackets]],0) * cv_F * DeltaSector[[#This Row],[Quantity]] * Hazards_APPURT[[#This Row],[qiz]] * CaAa_APPURT[[#This Row],[Delta Ice 45]]</f>
        <v>0</v>
      </c>
      <c r="KP25" s="276">
        <f>IFERROR(1/Calculations_APPURT[[#This Row],[Brackets]],0) * cv_F * DeltaSector[[#This Row],[Quantity]] * Hazards_APPURT[[#This Row],[qiz]] * CaAa_APPURT[[#This Row],[Delta Ice 60]]</f>
        <v>0</v>
      </c>
      <c r="KQ25" s="276">
        <f>IFERROR(1/Calculations_APPURT[[#This Row],[Brackets]],0) * cv_F * DeltaSector[[#This Row],[Quantity]] * Hazards_APPURT[[#This Row],[qiz]] * CaAa_APPURT[[#This Row],[Delta Ice 90]]</f>
        <v>0</v>
      </c>
      <c r="KR25" s="276">
        <f>IFERROR(1/Calculations_APPURT[[#This Row],[Brackets]],0) * cv_F * DeltaSector[[#This Row],[Quantity]] * Hazards_APPURT[[#This Row],[qiz]] * CaAa_APPURT[[#This Row],[Delta Ice 120]]</f>
        <v>0</v>
      </c>
      <c r="KS25" s="276">
        <f>IFERROR(1/Calculations_APPURT[[#This Row],[Brackets]],0) * cv_F * DeltaSector[[#This Row],[Quantity]] * Hazards_APPURT[[#This Row],[qiz]] * CaAa_APPURT[[#This Row],[Delta Ice 135]]</f>
        <v>0</v>
      </c>
      <c r="KT25" s="276">
        <f>IFERROR(1/Calculations_APPURT[[#This Row],[Brackets]],0) * cv_F * DeltaSector[[#This Row],[Quantity]] * Hazards_APPURT[[#This Row],[qiz]] * CaAa_APPURT[[#This Row],[Delta Ice 150]]</f>
        <v>0</v>
      </c>
      <c r="KU25" s="276">
        <f>IFERROR(1/Calculations_APPURT[[#This Row],[Brackets]],0) * cv_F * DeltaSector[[#This Row],[Quantity]] * Hazards_APPURT[[#This Row],[qiz]] * CaAa_APPURT[[#This Row],[Delta Ice 180]]</f>
        <v>0</v>
      </c>
      <c r="KV25" s="276">
        <f>IFERROR(1/Calculations_APPURT[[#This Row],[Brackets]],0) * cv_F * DeltaSector[[#This Row],[Quantity]] * Hazards_APPURT[[#This Row],[qiz]] * CaAa_APPURT[[#This Row],[Delta Ice 210]]</f>
        <v>0</v>
      </c>
      <c r="KW25" s="276">
        <f>IFERROR(1/Calculations_APPURT[[#This Row],[Brackets]],0) * cv_F * DeltaSector[[#This Row],[Quantity]] * Hazards_APPURT[[#This Row],[qiz]] * CaAa_APPURT[[#This Row],[Delta Ice 225]]</f>
        <v>0</v>
      </c>
      <c r="KX25" s="276">
        <f>IFERROR(1/Calculations_APPURT[[#This Row],[Brackets]],0) * cv_F * DeltaSector[[#This Row],[Quantity]] * Hazards_APPURT[[#This Row],[qiz]] * CaAa_APPURT[[#This Row],[Delta Ice 240]]</f>
        <v>0</v>
      </c>
      <c r="KY25" s="276">
        <f>IFERROR(1/Calculations_APPURT[[#This Row],[Brackets]],0) * cv_F * DeltaSector[[#This Row],[Quantity]] * Hazards_APPURT[[#This Row],[qiz]] * CaAa_APPURT[[#This Row],[Delta Ice 270]]</f>
        <v>0</v>
      </c>
      <c r="KZ25" s="276">
        <f>IFERROR(1/Calculations_APPURT[[#This Row],[Brackets]],0) * cv_F * DeltaSector[[#This Row],[Quantity]] * Hazards_APPURT[[#This Row],[qiz]] * CaAa_APPURT[[#This Row],[Delta Ice 300]]</f>
        <v>0</v>
      </c>
      <c r="LA25" s="276">
        <f>IFERROR(1/Calculations_APPURT[[#This Row],[Brackets]],0) * cv_F * DeltaSector[[#This Row],[Quantity]] * Hazards_APPURT[[#This Row],[qiz]] * CaAa_APPURT[[#This Row],[Delta Ice 315]]</f>
        <v>0</v>
      </c>
      <c r="LB25" s="276">
        <f>IFERROR(1/Calculations_APPURT[[#This Row],[Brackets]],0) * cv_F * DeltaSector[[#This Row],[Quantity]] * Hazards_APPURT[[#This Row],[qiz]] * CaAa_APPURT[[#This Row],[Delta Ice 330]]</f>
        <v>0</v>
      </c>
      <c r="LC25" s="276">
        <f>IFERROR(1/Calculations_APPURT[[#This Row],[Brackets]],0) * cv_M/cv_F * Forces_APPURT[[#This Row],[Alpha Fa 0]] * Calculations_APPURT[[#This Row],[Horizontal Offset]]/12</f>
        <v>0</v>
      </c>
      <c r="LD25" s="276">
        <f>IFERROR(1/Calculations_APPURT[[#This Row],[Brackets]],0) * cv_M/cv_F * Forces_APPURT[[#This Row],[Alpha Fa 30]] * Calculations_APPURT[[#This Row],[Horizontal Offset]]/12</f>
        <v>0</v>
      </c>
      <c r="LE25" s="276">
        <f>IFERROR(1/Calculations_APPURT[[#This Row],[Brackets]],0) * cv_M/cv_F * Forces_APPURT[[#This Row],[Alpha Fa 45]] * Calculations_APPURT[[#This Row],[Horizontal Offset]]/12</f>
        <v>0</v>
      </c>
      <c r="LF25" s="276">
        <f>IFERROR(1/Calculations_APPURT[[#This Row],[Brackets]],0) * cv_M/cv_F * Forces_APPURT[[#This Row],[Alpha Fa 60]] * Calculations_APPURT[[#This Row],[Horizontal Offset]]/12</f>
        <v>0</v>
      </c>
      <c r="LG25" s="276">
        <f>IFERROR(1/Calculations_APPURT[[#This Row],[Brackets]],0) * cv_M/cv_F * Forces_APPURT[[#This Row],[Alpha Fa 90]] * Calculations_APPURT[[#This Row],[Horizontal Offset]]/12</f>
        <v>0</v>
      </c>
      <c r="LH25" s="276">
        <f>IFERROR(1/Calculations_APPURT[[#This Row],[Brackets]],0) * cv_M/cv_F * Forces_APPURT[[#This Row],[Alpha Fa 120]] * Calculations_APPURT[[#This Row],[Horizontal Offset]]/12</f>
        <v>0</v>
      </c>
      <c r="LI25" s="276">
        <f>IFERROR(1/Calculations_APPURT[[#This Row],[Brackets]],0) * cv_M/cv_F * Forces_APPURT[[#This Row],[Alpha Fa 135]] * Calculations_APPURT[[#This Row],[Horizontal Offset]]/12</f>
        <v>0</v>
      </c>
      <c r="LJ25" s="276">
        <f>IFERROR(1/Calculations_APPURT[[#This Row],[Brackets]],0) * cv_M/cv_F * Forces_APPURT[[#This Row],[Alpha Fa 150]] * Calculations_APPURT[[#This Row],[Horizontal Offset]]/12</f>
        <v>0</v>
      </c>
      <c r="LK25" s="276">
        <f>IFERROR(1/Calculations_APPURT[[#This Row],[Brackets]],0) * cv_M/cv_F * Forces_APPURT[[#This Row],[Alpha Fa 180]] * Calculations_APPURT[[#This Row],[Horizontal Offset]]/12</f>
        <v>0</v>
      </c>
      <c r="LL25" s="276">
        <f>IFERROR(1/Calculations_APPURT[[#This Row],[Brackets]],0) * cv_M/cv_F * Forces_APPURT[[#This Row],[Alpha Fa 210]] * Calculations_APPURT[[#This Row],[Horizontal Offset]]/12</f>
        <v>0</v>
      </c>
      <c r="LM25" s="276">
        <f>IFERROR(1/Calculations_APPURT[[#This Row],[Brackets]],0) * cv_M/cv_F * Forces_APPURT[[#This Row],[Alpha Fa 225]] * Calculations_APPURT[[#This Row],[Horizontal Offset]]/12</f>
        <v>0</v>
      </c>
      <c r="LN25" s="276">
        <f>IFERROR(1/Calculations_APPURT[[#This Row],[Brackets]],0) * cv_M/cv_F * Forces_APPURT[[#This Row],[Alpha Fa 240]] * Calculations_APPURT[[#This Row],[Horizontal Offset]]/12</f>
        <v>0</v>
      </c>
      <c r="LO25" s="276">
        <f>IFERROR(1/Calculations_APPURT[[#This Row],[Brackets]],0) * cv_M/cv_F * Forces_APPURT[[#This Row],[Alpha Fa 270]] * Calculations_APPURT[[#This Row],[Horizontal Offset]]/12</f>
        <v>0</v>
      </c>
      <c r="LP25" s="276">
        <f>IFERROR(1/Calculations_APPURT[[#This Row],[Brackets]],0) * cv_M/cv_F * Forces_APPURT[[#This Row],[Alpha Fa 300]] * Calculations_APPURT[[#This Row],[Horizontal Offset]]/12</f>
        <v>0</v>
      </c>
      <c r="LQ25" s="276">
        <f>IFERROR(1/Calculations_APPURT[[#This Row],[Brackets]],0) * cv_M/cv_F * Forces_APPURT[[#This Row],[Alpha Fa 315]] * Calculations_APPURT[[#This Row],[Horizontal Offset]]/12</f>
        <v>0</v>
      </c>
      <c r="LR25" s="276">
        <f>IFERROR(1/Calculations_APPURT[[#This Row],[Brackets]],0) * cv_M/cv_F * Forces_APPURT[[#This Row],[Alpha Fa 330]] * Calculations_APPURT[[#This Row],[Horizontal Offset]]/12</f>
        <v>0</v>
      </c>
      <c r="LS25" s="276">
        <f>IFERROR(1/Calculations_APPURT[[#This Row],[Brackets]],0) * cv_M/cv_F * Forces_APPURT[[#This Row],[Beta Fa 0]] * Calculations_APPURT[[#This Row],[Horizontal Offset]]/12</f>
        <v>0</v>
      </c>
      <c r="LT25" s="276">
        <f>IFERROR(1/Calculations_APPURT[[#This Row],[Brackets]],0) * cv_M/cv_F * Forces_APPURT[[#This Row],[Beta Fa 30]] * Calculations_APPURT[[#This Row],[Horizontal Offset]]/12</f>
        <v>0</v>
      </c>
      <c r="LU25" s="276">
        <f>IFERROR(1/Calculations_APPURT[[#This Row],[Brackets]],0) * cv_M/cv_F * Forces_APPURT[[#This Row],[Beta Fa 45]] * Calculations_APPURT[[#This Row],[Horizontal Offset]]/12</f>
        <v>0</v>
      </c>
      <c r="LV25" s="276">
        <f>IFERROR(1/Calculations_APPURT[[#This Row],[Brackets]],0) * cv_M/cv_F * Forces_APPURT[[#This Row],[Beta Fa 60]] * Calculations_APPURT[[#This Row],[Horizontal Offset]]/12</f>
        <v>0</v>
      </c>
      <c r="LW25" s="276">
        <f>IFERROR(1/Calculations_APPURT[[#This Row],[Brackets]],0) * cv_M/cv_F * Forces_APPURT[[#This Row],[Beta Fa 90]] * Calculations_APPURT[[#This Row],[Horizontal Offset]]/12</f>
        <v>0</v>
      </c>
      <c r="LX25" s="276">
        <f>IFERROR(1/Calculations_APPURT[[#This Row],[Brackets]],0) * cv_M/cv_F * Forces_APPURT[[#This Row],[Beta Fa 120]] * Calculations_APPURT[[#This Row],[Horizontal Offset]]/12</f>
        <v>0</v>
      </c>
      <c r="LY25" s="276">
        <f>IFERROR(1/Calculations_APPURT[[#This Row],[Brackets]],0) * cv_M/cv_F * Forces_APPURT[[#This Row],[Beta Fa 135]] * Calculations_APPURT[[#This Row],[Horizontal Offset]]/12</f>
        <v>0</v>
      </c>
      <c r="LZ25" s="276">
        <f>IFERROR(1/Calculations_APPURT[[#This Row],[Brackets]],0) * cv_M/cv_F * Forces_APPURT[[#This Row],[Beta Fa 150]] * Calculations_APPURT[[#This Row],[Horizontal Offset]]/12</f>
        <v>0</v>
      </c>
      <c r="MA25" s="276">
        <f>IFERROR(1/Calculations_APPURT[[#This Row],[Brackets]],0) * cv_M/cv_F * Forces_APPURT[[#This Row],[Beta Fa 180]] * Calculations_APPURT[[#This Row],[Horizontal Offset]]/12</f>
        <v>0</v>
      </c>
      <c r="MB25" s="276">
        <f>IFERROR(1/Calculations_APPURT[[#This Row],[Brackets]],0) * cv_M/cv_F * Forces_APPURT[[#This Row],[Beta Fa 210]] * Calculations_APPURT[[#This Row],[Horizontal Offset]]/12</f>
        <v>0</v>
      </c>
      <c r="MC25" s="276">
        <f>IFERROR(1/Calculations_APPURT[[#This Row],[Brackets]],0) * cv_M/cv_F * Forces_APPURT[[#This Row],[Beta Fa 225]] * Calculations_APPURT[[#This Row],[Horizontal Offset]]/12</f>
        <v>0</v>
      </c>
      <c r="MD25" s="276">
        <f>IFERROR(1/Calculations_APPURT[[#This Row],[Brackets]],0) * cv_M/cv_F * Forces_APPURT[[#This Row],[Beta Fa 240]] * Calculations_APPURT[[#This Row],[Horizontal Offset]]/12</f>
        <v>0</v>
      </c>
      <c r="ME25" s="276">
        <f>IFERROR(1/Calculations_APPURT[[#This Row],[Brackets]],0) * cv_M/cv_F * Forces_APPURT[[#This Row],[Beta Fa 270]] * Calculations_APPURT[[#This Row],[Horizontal Offset]]/12</f>
        <v>0</v>
      </c>
      <c r="MF25" s="276">
        <f>IFERROR(1/Calculations_APPURT[[#This Row],[Brackets]],0) * cv_M/cv_F * Forces_APPURT[[#This Row],[Beta Fa 300]] * Calculations_APPURT[[#This Row],[Horizontal Offset]]/12</f>
        <v>0</v>
      </c>
      <c r="MG25" s="276">
        <f>IFERROR(1/Calculations_APPURT[[#This Row],[Brackets]],0) * cv_M/cv_F * Forces_APPURT[[#This Row],[Beta Fa 315]] * Calculations_APPURT[[#This Row],[Horizontal Offset]]/12</f>
        <v>0</v>
      </c>
      <c r="MH25" s="276">
        <f>IFERROR(1/Calculations_APPURT[[#This Row],[Brackets]],0) * cv_M/cv_F * Forces_APPURT[[#This Row],[Beta Fa 330]] * Calculations_APPURT[[#This Row],[Horizontal Offset]]/12</f>
        <v>0</v>
      </c>
      <c r="MI25" s="276">
        <f>IFERROR(1/Calculations_APPURT[[#This Row],[Brackets]],0) * cv_M/cv_F * Forces_APPURT[[#This Row],[Gamma Fa 0]] * Calculations_APPURT[[#This Row],[Horizontal Offset]]/12</f>
        <v>0</v>
      </c>
      <c r="MJ25" s="276">
        <f>IFERROR(1/Calculations_APPURT[[#This Row],[Brackets]],0) * cv_M/cv_F * Forces_APPURT[[#This Row],[Gamma Fa 30]] * Calculations_APPURT[[#This Row],[Horizontal Offset]]/12</f>
        <v>0</v>
      </c>
      <c r="MK25" s="276">
        <f>IFERROR(1/Calculations_APPURT[[#This Row],[Brackets]],0) * cv_M/cv_F * Forces_APPURT[[#This Row],[Gamma Fa 45]] * Calculations_APPURT[[#This Row],[Horizontal Offset]]/12</f>
        <v>0</v>
      </c>
      <c r="ML25" s="276">
        <f>IFERROR(1/Calculations_APPURT[[#This Row],[Brackets]],0) * cv_M/cv_F * Forces_APPURT[[#This Row],[Gamma Fa 60]] * Calculations_APPURT[[#This Row],[Horizontal Offset]]/12</f>
        <v>0</v>
      </c>
      <c r="MM25" s="276">
        <f>IFERROR(1/Calculations_APPURT[[#This Row],[Brackets]],0) * cv_M/cv_F * Forces_APPURT[[#This Row],[Gamma Fa 90]] * Calculations_APPURT[[#This Row],[Horizontal Offset]]/12</f>
        <v>0</v>
      </c>
      <c r="MN25" s="276">
        <f>IFERROR(1/Calculations_APPURT[[#This Row],[Brackets]],0) * cv_M/cv_F * Forces_APPURT[[#This Row],[Gamma Fa 120]] * Calculations_APPURT[[#This Row],[Horizontal Offset]]/12</f>
        <v>0</v>
      </c>
      <c r="MO25" s="276">
        <f>IFERROR(1/Calculations_APPURT[[#This Row],[Brackets]],0) * cv_M/cv_F * Forces_APPURT[[#This Row],[Gamma Fa 135]] * Calculations_APPURT[[#This Row],[Horizontal Offset]]/12</f>
        <v>0</v>
      </c>
      <c r="MP25" s="276">
        <f>IFERROR(1/Calculations_APPURT[[#This Row],[Brackets]],0) * cv_M/cv_F * Forces_APPURT[[#This Row],[Gamma Fa 150]] * Calculations_APPURT[[#This Row],[Horizontal Offset]]/12</f>
        <v>0</v>
      </c>
      <c r="MQ25" s="276">
        <f>IFERROR(1/Calculations_APPURT[[#This Row],[Brackets]],0) * cv_M/cv_F * Forces_APPURT[[#This Row],[Gamma Fa 180]] * Calculations_APPURT[[#This Row],[Horizontal Offset]]/12</f>
        <v>0</v>
      </c>
      <c r="MR25" s="276">
        <f>IFERROR(1/Calculations_APPURT[[#This Row],[Brackets]],0) * cv_M/cv_F * Forces_APPURT[[#This Row],[Gamma Fa 210]] * Calculations_APPURT[[#This Row],[Horizontal Offset]]/12</f>
        <v>0</v>
      </c>
      <c r="MS25" s="276">
        <f>IFERROR(1/Calculations_APPURT[[#This Row],[Brackets]],0) * cv_M/cv_F * Forces_APPURT[[#This Row],[Gamma Fa 225]] * Calculations_APPURT[[#This Row],[Horizontal Offset]]/12</f>
        <v>0</v>
      </c>
      <c r="MT25" s="276">
        <f>IFERROR(1/Calculations_APPURT[[#This Row],[Brackets]],0) * cv_M/cv_F * Forces_APPURT[[#This Row],[Gamma Fa 240]] * Calculations_APPURT[[#This Row],[Horizontal Offset]]/12</f>
        <v>0</v>
      </c>
      <c r="MU25" s="276">
        <f>IFERROR(1/Calculations_APPURT[[#This Row],[Brackets]],0) * cv_M/cv_F * Forces_APPURT[[#This Row],[Gamma Fa 270]] * Calculations_APPURT[[#This Row],[Horizontal Offset]]/12</f>
        <v>0</v>
      </c>
      <c r="MV25" s="276">
        <f>IFERROR(1/Calculations_APPURT[[#This Row],[Brackets]],0) * cv_M/cv_F * Forces_APPURT[[#This Row],[Gamma Fa 300]] * Calculations_APPURT[[#This Row],[Horizontal Offset]]/12</f>
        <v>0</v>
      </c>
      <c r="MW25" s="276">
        <f>IFERROR(1/Calculations_APPURT[[#This Row],[Brackets]],0) * cv_M/cv_F * Forces_APPURT[[#This Row],[Gamma Fa 315]] * Calculations_APPURT[[#This Row],[Horizontal Offset]]/12</f>
        <v>0</v>
      </c>
      <c r="MX25" s="276">
        <f>IFERROR(1/Calculations_APPURT[[#This Row],[Brackets]],0) * cv_M/cv_F * Forces_APPURT[[#This Row],[Gamma Fa 330]] * Calculations_APPURT[[#This Row],[Horizontal Offset]]/12</f>
        <v>0</v>
      </c>
      <c r="MY25" s="276">
        <f>IFERROR(1/Calculations_APPURT[[#This Row],[Brackets]],0) * cv_M/cv_F * Forces_APPURT[[#This Row],[Delta Fa 0]] * Calculations_APPURT[[#This Row],[Horizontal Offset]]/12</f>
        <v>0</v>
      </c>
      <c r="MZ25" s="276">
        <f>IFERROR(1/Calculations_APPURT[[#This Row],[Brackets]],0) * cv_M/cv_F * Forces_APPURT[[#This Row],[Delta Fa 30]] * Calculations_APPURT[[#This Row],[Horizontal Offset]]/12</f>
        <v>0</v>
      </c>
      <c r="NA25" s="276">
        <f>IFERROR(1/Calculations_APPURT[[#This Row],[Brackets]],0) * cv_M/cv_F * Forces_APPURT[[#This Row],[Delta Fa 45]] * Calculations_APPURT[[#This Row],[Horizontal Offset]]/12</f>
        <v>0</v>
      </c>
      <c r="NB25" s="276">
        <f>IFERROR(1/Calculations_APPURT[[#This Row],[Brackets]],0) * cv_M/cv_F * Forces_APPURT[[#This Row],[Delta Fa 60]] * Calculations_APPURT[[#This Row],[Horizontal Offset]]/12</f>
        <v>0</v>
      </c>
      <c r="NC25" s="276">
        <f>IFERROR(1/Calculations_APPURT[[#This Row],[Brackets]],0) * cv_M/cv_F * Forces_APPURT[[#This Row],[Delta Fa 90]] * Calculations_APPURT[[#This Row],[Horizontal Offset]]/12</f>
        <v>0</v>
      </c>
      <c r="ND25" s="276">
        <f>IFERROR(1/Calculations_APPURT[[#This Row],[Brackets]],0) * cv_M/cv_F * Forces_APPURT[[#This Row],[Delta Fa 120]] * Calculations_APPURT[[#This Row],[Horizontal Offset]]/12</f>
        <v>0</v>
      </c>
      <c r="NE25" s="276">
        <f>IFERROR(1/Calculations_APPURT[[#This Row],[Brackets]],0) * cv_M/cv_F * Forces_APPURT[[#This Row],[Delta Fa 135]] * Calculations_APPURT[[#This Row],[Horizontal Offset]]/12</f>
        <v>0</v>
      </c>
      <c r="NF25" s="276">
        <f>IFERROR(1/Calculations_APPURT[[#This Row],[Brackets]],0) * cv_M/cv_F * Forces_APPURT[[#This Row],[Delta Fa 150]] * Calculations_APPURT[[#This Row],[Horizontal Offset]]/12</f>
        <v>0</v>
      </c>
      <c r="NG25" s="276">
        <f>IFERROR(1/Calculations_APPURT[[#This Row],[Brackets]],0) * cv_M/cv_F * Forces_APPURT[[#This Row],[Delta Fa 180]] * Calculations_APPURT[[#This Row],[Horizontal Offset]]/12</f>
        <v>0</v>
      </c>
      <c r="NH25" s="276">
        <f>IFERROR(1/Calculations_APPURT[[#This Row],[Brackets]],0) * cv_M/cv_F * Forces_APPURT[[#This Row],[Delta Fa 210]] * Calculations_APPURT[[#This Row],[Horizontal Offset]]/12</f>
        <v>0</v>
      </c>
      <c r="NI25" s="276">
        <f>IFERROR(1/Calculations_APPURT[[#This Row],[Brackets]],0) * cv_M/cv_F * Forces_APPURT[[#This Row],[Delta Fa 225]] * Calculations_APPURT[[#This Row],[Horizontal Offset]]/12</f>
        <v>0</v>
      </c>
      <c r="NJ25" s="276">
        <f>IFERROR(1/Calculations_APPURT[[#This Row],[Brackets]],0) * cv_M/cv_F * Forces_APPURT[[#This Row],[Delta Fa 240]] * Calculations_APPURT[[#This Row],[Horizontal Offset]]/12</f>
        <v>0</v>
      </c>
      <c r="NK25" s="276">
        <f>IFERROR(1/Calculations_APPURT[[#This Row],[Brackets]],0) * cv_M/cv_F * Forces_APPURT[[#This Row],[Delta Fa 270]] * Calculations_APPURT[[#This Row],[Horizontal Offset]]/12</f>
        <v>0</v>
      </c>
      <c r="NL25" s="276">
        <f>IFERROR(1/Calculations_APPURT[[#This Row],[Brackets]],0) * cv_M/cv_F * Forces_APPURT[[#This Row],[Delta Fa 300]] * Calculations_APPURT[[#This Row],[Horizontal Offset]]/12</f>
        <v>0</v>
      </c>
      <c r="NM25" s="276">
        <f>IFERROR(1/Calculations_APPURT[[#This Row],[Brackets]],0) * cv_M/cv_F * Forces_APPURT[[#This Row],[Delta Fa 315]] * Calculations_APPURT[[#This Row],[Horizontal Offset]]/12</f>
        <v>0</v>
      </c>
      <c r="NN25" s="276">
        <f>IFERROR(1/Calculations_APPURT[[#This Row],[Brackets]],0) * cv_M/cv_F * Forces_APPURT[[#This Row],[Delta Fa 330]] * Calculations_APPURT[[#This Row],[Horizontal Offset]]/12</f>
        <v>0</v>
      </c>
      <c r="NO25" s="276">
        <f>IFERROR(1/Calculations_APPURT[[#This Row],[Brackets]],0) * cv_M/cv_F * Forces_APPURT[[#This Row],[Alpha Fai 0]] * Calculations_APPURT[[#This Row],[Horizontal Offset]]/12</f>
        <v>0</v>
      </c>
      <c r="NP25" s="276">
        <f>IFERROR(1/Calculations_APPURT[[#This Row],[Brackets]],0) * cv_M/cv_F * Forces_APPURT[[#This Row],[Alpha Fai 30]] * Calculations_APPURT[[#This Row],[Horizontal Offset]]/12</f>
        <v>0</v>
      </c>
      <c r="NQ25" s="276">
        <f>IFERROR(1/Calculations_APPURT[[#This Row],[Brackets]],0) * cv_M/cv_F * Forces_APPURT[[#This Row],[Alpha Fai 45]] * Calculations_APPURT[[#This Row],[Horizontal Offset]]/12</f>
        <v>0</v>
      </c>
      <c r="NR25" s="276">
        <f>IFERROR(1/Calculations_APPURT[[#This Row],[Brackets]],0) * cv_M/cv_F * Forces_APPURT[[#This Row],[Alpha Fai 60]] * Calculations_APPURT[[#This Row],[Horizontal Offset]]/12</f>
        <v>0</v>
      </c>
      <c r="NS25" s="276">
        <f>IFERROR(1/Calculations_APPURT[[#This Row],[Brackets]],0) * cv_M/cv_F * Forces_APPURT[[#This Row],[Alpha Fai 90]] * Calculations_APPURT[[#This Row],[Horizontal Offset]]/12</f>
        <v>0</v>
      </c>
      <c r="NT25" s="276">
        <f>IFERROR(1/Calculations_APPURT[[#This Row],[Brackets]],0) * cv_M/cv_F * Forces_APPURT[[#This Row],[Alpha Fai 120]] * Calculations_APPURT[[#This Row],[Horizontal Offset]]/12</f>
        <v>0</v>
      </c>
      <c r="NU25" s="276">
        <f>IFERROR(1/Calculations_APPURT[[#This Row],[Brackets]],0) * cv_M/cv_F * Forces_APPURT[[#This Row],[Alpha Fai 135]] * Calculations_APPURT[[#This Row],[Horizontal Offset]]/12</f>
        <v>0</v>
      </c>
      <c r="NV25" s="276">
        <f>IFERROR(1/Calculations_APPURT[[#This Row],[Brackets]],0) * cv_M/cv_F * Forces_APPURT[[#This Row],[Alpha Fai 150]] * Calculations_APPURT[[#This Row],[Horizontal Offset]]/12</f>
        <v>0</v>
      </c>
      <c r="NW25" s="276">
        <f>IFERROR(1/Calculations_APPURT[[#This Row],[Brackets]],0) * cv_M/cv_F * Forces_APPURT[[#This Row],[Alpha Fai 180]] * Calculations_APPURT[[#This Row],[Horizontal Offset]]/12</f>
        <v>0</v>
      </c>
      <c r="NX25" s="276">
        <f>IFERROR(1/Calculations_APPURT[[#This Row],[Brackets]],0) * cv_M/cv_F * Forces_APPURT[[#This Row],[Alpha Fai 210]] * Calculations_APPURT[[#This Row],[Horizontal Offset]]/12</f>
        <v>0</v>
      </c>
      <c r="NY25" s="276">
        <f>IFERROR(1/Calculations_APPURT[[#This Row],[Brackets]],0) * cv_M/cv_F * Forces_APPURT[[#This Row],[Alpha Fai 225]] * Calculations_APPURT[[#This Row],[Horizontal Offset]]/12</f>
        <v>0</v>
      </c>
      <c r="NZ25" s="276">
        <f>IFERROR(1/Calculations_APPURT[[#This Row],[Brackets]],0) * cv_M/cv_F * Forces_APPURT[[#This Row],[Alpha Fai 240]] * Calculations_APPURT[[#This Row],[Horizontal Offset]]/12</f>
        <v>0</v>
      </c>
      <c r="OA25" s="276">
        <f>IFERROR(1/Calculations_APPURT[[#This Row],[Brackets]],0) * cv_M/cv_F * Forces_APPURT[[#This Row],[Alpha Fai 270]] * Calculations_APPURT[[#This Row],[Horizontal Offset]]/12</f>
        <v>0</v>
      </c>
      <c r="OB25" s="276">
        <f>IFERROR(1/Calculations_APPURT[[#This Row],[Brackets]],0) * cv_M/cv_F * Forces_APPURT[[#This Row],[Alpha Fai 300]] * Calculations_APPURT[[#This Row],[Horizontal Offset]]/12</f>
        <v>0</v>
      </c>
      <c r="OC25" s="276">
        <f>IFERROR(1/Calculations_APPURT[[#This Row],[Brackets]],0) * cv_M/cv_F * Forces_APPURT[[#This Row],[Alpha Fai 315]] * Calculations_APPURT[[#This Row],[Horizontal Offset]]/12</f>
        <v>0</v>
      </c>
      <c r="OD25" s="276">
        <f>IFERROR(1/Calculations_APPURT[[#This Row],[Brackets]],0) * cv_M/cv_F * Forces_APPURT[[#This Row],[Alpha Fai 330]] * Calculations_APPURT[[#This Row],[Horizontal Offset]]/12</f>
        <v>0</v>
      </c>
      <c r="OE25" s="276">
        <f>IFERROR(1/Calculations_APPURT[[#This Row],[Brackets]],0) * cv_M/cv_F * Forces_APPURT[[#This Row],[Beta Fai 0]] * Calculations_APPURT[[#This Row],[Horizontal Offset]]/12</f>
        <v>0</v>
      </c>
      <c r="OF25" s="276">
        <f>IFERROR(1/Calculations_APPURT[[#This Row],[Brackets]],0) * cv_M/cv_F * Forces_APPURT[[#This Row],[Beta Fai 30]] * Calculations_APPURT[[#This Row],[Horizontal Offset]]/12</f>
        <v>0</v>
      </c>
      <c r="OG25" s="276">
        <f>IFERROR(1/Calculations_APPURT[[#This Row],[Brackets]],0) * cv_M/cv_F * Forces_APPURT[[#This Row],[Beta Fai 45]] * Calculations_APPURT[[#This Row],[Horizontal Offset]]/12</f>
        <v>0</v>
      </c>
      <c r="OH25" s="276">
        <f>IFERROR(1/Calculations_APPURT[[#This Row],[Brackets]],0) * cv_M/cv_F * Forces_APPURT[[#This Row],[Beta Fai 60]] * Calculations_APPURT[[#This Row],[Horizontal Offset]]/12</f>
        <v>0</v>
      </c>
      <c r="OI25" s="276">
        <f>IFERROR(1/Calculations_APPURT[[#This Row],[Brackets]],0) * cv_M/cv_F * Forces_APPURT[[#This Row],[Beta Fai 90]] * Calculations_APPURT[[#This Row],[Horizontal Offset]]/12</f>
        <v>0</v>
      </c>
      <c r="OJ25" s="276">
        <f>IFERROR(1/Calculations_APPURT[[#This Row],[Brackets]],0) * cv_M/cv_F * Forces_APPURT[[#This Row],[Beta Fai 120]] * Calculations_APPURT[[#This Row],[Horizontal Offset]]/12</f>
        <v>0</v>
      </c>
      <c r="OK25" s="276">
        <f>IFERROR(1/Calculations_APPURT[[#This Row],[Brackets]],0) * cv_M/cv_F * Forces_APPURT[[#This Row],[Beta Fai 135]] * Calculations_APPURT[[#This Row],[Horizontal Offset]]/12</f>
        <v>0</v>
      </c>
      <c r="OL25" s="276">
        <f>IFERROR(1/Calculations_APPURT[[#This Row],[Brackets]],0) * cv_M/cv_F * Forces_APPURT[[#This Row],[Beta Fai 150]] * Calculations_APPURT[[#This Row],[Horizontal Offset]]/12</f>
        <v>0</v>
      </c>
      <c r="OM25" s="276">
        <f>IFERROR(1/Calculations_APPURT[[#This Row],[Brackets]],0) * cv_M/cv_F * Forces_APPURT[[#This Row],[Beta Fai 180]] * Calculations_APPURT[[#This Row],[Horizontal Offset]]/12</f>
        <v>0</v>
      </c>
      <c r="ON25" s="276">
        <f>IFERROR(1/Calculations_APPURT[[#This Row],[Brackets]],0) * cv_M/cv_F * Forces_APPURT[[#This Row],[Beta Fai 210]] * Calculations_APPURT[[#This Row],[Horizontal Offset]]/12</f>
        <v>0</v>
      </c>
      <c r="OO25" s="276">
        <f>IFERROR(1/Calculations_APPURT[[#This Row],[Brackets]],0) * cv_M/cv_F * Forces_APPURT[[#This Row],[Beta Fai 225]] * Calculations_APPURT[[#This Row],[Horizontal Offset]]/12</f>
        <v>0</v>
      </c>
      <c r="OP25" s="276">
        <f>IFERROR(1/Calculations_APPURT[[#This Row],[Brackets]],0) * cv_M/cv_F * Forces_APPURT[[#This Row],[Beta Fai 240]] * Calculations_APPURT[[#This Row],[Horizontal Offset]]/12</f>
        <v>0</v>
      </c>
      <c r="OQ25" s="276">
        <f>IFERROR(1/Calculations_APPURT[[#This Row],[Brackets]],0) * cv_M/cv_F * Forces_APPURT[[#This Row],[Beta Fai 270]] * Calculations_APPURT[[#This Row],[Horizontal Offset]]/12</f>
        <v>0</v>
      </c>
      <c r="OR25" s="276">
        <f>IFERROR(1/Calculations_APPURT[[#This Row],[Brackets]],0) * cv_M/cv_F * Forces_APPURT[[#This Row],[Beta Fai 300]] * Calculations_APPURT[[#This Row],[Horizontal Offset]]/12</f>
        <v>0</v>
      </c>
      <c r="OS25" s="276">
        <f>IFERROR(1/Calculations_APPURT[[#This Row],[Brackets]],0) * cv_M/cv_F * Forces_APPURT[[#This Row],[Beta Fai 315]] * Calculations_APPURT[[#This Row],[Horizontal Offset]]/12</f>
        <v>0</v>
      </c>
      <c r="OT25" s="276">
        <f>IFERROR(1/Calculations_APPURT[[#This Row],[Brackets]],0) * cv_M/cv_F * Forces_APPURT[[#This Row],[Beta Fai 330]] * Calculations_APPURT[[#This Row],[Horizontal Offset]]/12</f>
        <v>0</v>
      </c>
      <c r="OU25" s="276">
        <f>IFERROR(1/Calculations_APPURT[[#This Row],[Brackets]],0) * cv_M/cv_F * Forces_APPURT[[#This Row],[Gamma Fai 0]] * Calculations_APPURT[[#This Row],[Horizontal Offset]]/12</f>
        <v>0</v>
      </c>
      <c r="OV25" s="276">
        <f>IFERROR(1/Calculations_APPURT[[#This Row],[Brackets]],0) * cv_M/cv_F * Forces_APPURT[[#This Row],[Gamma Fai 30]] * Calculations_APPURT[[#This Row],[Horizontal Offset]]/12</f>
        <v>0</v>
      </c>
      <c r="OW25" s="276">
        <f>IFERROR(1/Calculations_APPURT[[#This Row],[Brackets]],0) * cv_M/cv_F * Forces_APPURT[[#This Row],[Gamma Fai 45]] * Calculations_APPURT[[#This Row],[Horizontal Offset]]/12</f>
        <v>0</v>
      </c>
      <c r="OX25" s="276">
        <f>IFERROR(1/Calculations_APPURT[[#This Row],[Brackets]],0) * cv_M/cv_F * Forces_APPURT[[#This Row],[Gamma Fai 60]] * Calculations_APPURT[[#This Row],[Horizontal Offset]]/12</f>
        <v>0</v>
      </c>
      <c r="OY25" s="276">
        <f>IFERROR(1/Calculations_APPURT[[#This Row],[Brackets]],0) * cv_M/cv_F * Forces_APPURT[[#This Row],[Gamma Fai 90]] * Calculations_APPURT[[#This Row],[Horizontal Offset]]/12</f>
        <v>0</v>
      </c>
      <c r="OZ25" s="276">
        <f>IFERROR(1/Calculations_APPURT[[#This Row],[Brackets]],0) * cv_M/cv_F * Forces_APPURT[[#This Row],[Gamma Fai 120]] * Calculations_APPURT[[#This Row],[Horizontal Offset]]/12</f>
        <v>0</v>
      </c>
      <c r="PA25" s="276">
        <f>IFERROR(1/Calculations_APPURT[[#This Row],[Brackets]],0) * cv_M/cv_F * Forces_APPURT[[#This Row],[Gamma Fai 135]] * Calculations_APPURT[[#This Row],[Horizontal Offset]]/12</f>
        <v>0</v>
      </c>
      <c r="PB25" s="276">
        <f>IFERROR(1/Calculations_APPURT[[#This Row],[Brackets]],0) * cv_M/cv_F * Forces_APPURT[[#This Row],[Gamma Fai 150]] * Calculations_APPURT[[#This Row],[Horizontal Offset]]/12</f>
        <v>0</v>
      </c>
      <c r="PC25" s="276">
        <f>IFERROR(1/Calculations_APPURT[[#This Row],[Brackets]],0) * cv_M/cv_F * Forces_APPURT[[#This Row],[Gamma Fai 180]] * Calculations_APPURT[[#This Row],[Horizontal Offset]]/12</f>
        <v>0</v>
      </c>
      <c r="PD25" s="276">
        <f>IFERROR(1/Calculations_APPURT[[#This Row],[Brackets]],0) * cv_M/cv_F * Forces_APPURT[[#This Row],[Gamma Fai 210]] * Calculations_APPURT[[#This Row],[Horizontal Offset]]/12</f>
        <v>0</v>
      </c>
      <c r="PE25" s="276">
        <f>IFERROR(1/Calculations_APPURT[[#This Row],[Brackets]],0) * cv_M/cv_F * Forces_APPURT[[#This Row],[Gamma Fai 225]] * Calculations_APPURT[[#This Row],[Horizontal Offset]]/12</f>
        <v>0</v>
      </c>
      <c r="PF25" s="276">
        <f>IFERROR(1/Calculations_APPURT[[#This Row],[Brackets]],0) * cv_M/cv_F * Forces_APPURT[[#This Row],[Gamma Fai 240]] * Calculations_APPURT[[#This Row],[Horizontal Offset]]/12</f>
        <v>0</v>
      </c>
      <c r="PG25" s="276">
        <f>IFERROR(1/Calculations_APPURT[[#This Row],[Brackets]],0) * cv_M/cv_F * Forces_APPURT[[#This Row],[Gamma Fai 270]] * Calculations_APPURT[[#This Row],[Horizontal Offset]]/12</f>
        <v>0</v>
      </c>
      <c r="PH25" s="276">
        <f>IFERROR(1/Calculations_APPURT[[#This Row],[Brackets]],0) * cv_M/cv_F * Forces_APPURT[[#This Row],[Gamma Fai 300]] * Calculations_APPURT[[#This Row],[Horizontal Offset]]/12</f>
        <v>0</v>
      </c>
      <c r="PI25" s="276">
        <f>IFERROR(1/Calculations_APPURT[[#This Row],[Brackets]],0) * cv_M/cv_F * Forces_APPURT[[#This Row],[Gamma Fai 315]] * Calculations_APPURT[[#This Row],[Horizontal Offset]]/12</f>
        <v>0</v>
      </c>
      <c r="PJ25" s="276">
        <f>IFERROR(1/Calculations_APPURT[[#This Row],[Brackets]],0) * cv_M/cv_F * Forces_APPURT[[#This Row],[Gamma Fai 330]] * Calculations_APPURT[[#This Row],[Horizontal Offset]]/12</f>
        <v>0</v>
      </c>
      <c r="PK25" s="276">
        <f>IFERROR(1/Calculations_APPURT[[#This Row],[Brackets]],0) * cv_M/cv_F * Forces_APPURT[[#This Row],[Delta Fai 0]] * Calculations_APPURT[[#This Row],[Horizontal Offset]]/12</f>
        <v>0</v>
      </c>
      <c r="PL25" s="276">
        <f>IFERROR(1/Calculations_APPURT[[#This Row],[Brackets]],0) * cv_M/cv_F * Forces_APPURT[[#This Row],[Delta Fai 30]] * Calculations_APPURT[[#This Row],[Horizontal Offset]]/12</f>
        <v>0</v>
      </c>
      <c r="PM25" s="276">
        <f>IFERROR(1/Calculations_APPURT[[#This Row],[Brackets]],0) * cv_M/cv_F * Forces_APPURT[[#This Row],[Delta Fai 45]] * Calculations_APPURT[[#This Row],[Horizontal Offset]]/12</f>
        <v>0</v>
      </c>
      <c r="PN25" s="276">
        <f>IFERROR(1/Calculations_APPURT[[#This Row],[Brackets]],0) * cv_M/cv_F * Forces_APPURT[[#This Row],[Delta Fai 60]] * Calculations_APPURT[[#This Row],[Horizontal Offset]]/12</f>
        <v>0</v>
      </c>
      <c r="PO25" s="276">
        <f>IFERROR(1/Calculations_APPURT[[#This Row],[Brackets]],0) * cv_M/cv_F * Forces_APPURT[[#This Row],[Delta Fai 90]] * Calculations_APPURT[[#This Row],[Horizontal Offset]]/12</f>
        <v>0</v>
      </c>
      <c r="PP25" s="276">
        <f>IFERROR(1/Calculations_APPURT[[#This Row],[Brackets]],0) * cv_M/cv_F * Forces_APPURT[[#This Row],[Delta Fai 120]] * Calculations_APPURT[[#This Row],[Horizontal Offset]]/12</f>
        <v>0</v>
      </c>
      <c r="PQ25" s="276">
        <f>IFERROR(1/Calculations_APPURT[[#This Row],[Brackets]],0) * cv_M/cv_F * Forces_APPURT[[#This Row],[Delta Fai 135]] * Calculations_APPURT[[#This Row],[Horizontal Offset]]/12</f>
        <v>0</v>
      </c>
      <c r="PR25" s="276">
        <f>IFERROR(1/Calculations_APPURT[[#This Row],[Brackets]],0) * cv_M/cv_F * Forces_APPURT[[#This Row],[Delta Fai 150]] * Calculations_APPURT[[#This Row],[Horizontal Offset]]/12</f>
        <v>0</v>
      </c>
      <c r="PS25" s="276">
        <f>IFERROR(1/Calculations_APPURT[[#This Row],[Brackets]],0) * cv_M/cv_F * Forces_APPURT[[#This Row],[Delta Fai 180]] * Calculations_APPURT[[#This Row],[Horizontal Offset]]/12</f>
        <v>0</v>
      </c>
      <c r="PT25" s="276">
        <f>IFERROR(1/Calculations_APPURT[[#This Row],[Brackets]],0) * cv_M/cv_F * Forces_APPURT[[#This Row],[Delta Fai 210]] * Calculations_APPURT[[#This Row],[Horizontal Offset]]/12</f>
        <v>0</v>
      </c>
      <c r="PU25" s="276">
        <f>IFERROR(1/Calculations_APPURT[[#This Row],[Brackets]],0) * cv_M/cv_F * Forces_APPURT[[#This Row],[Delta Fai 225]] * Calculations_APPURT[[#This Row],[Horizontal Offset]]/12</f>
        <v>0</v>
      </c>
      <c r="PV25" s="276">
        <f>IFERROR(1/Calculations_APPURT[[#This Row],[Brackets]],0) * cv_M/cv_F * Forces_APPURT[[#This Row],[Delta Fai 240]] * Calculations_APPURT[[#This Row],[Horizontal Offset]]/12</f>
        <v>0</v>
      </c>
      <c r="PW25" s="276">
        <f>IFERROR(1/Calculations_APPURT[[#This Row],[Brackets]],0) * cv_M/cv_F * Forces_APPURT[[#This Row],[Delta Fai 270]] * Calculations_APPURT[[#This Row],[Horizontal Offset]]/12</f>
        <v>0</v>
      </c>
      <c r="PX25" s="276">
        <f>IFERROR(1/Calculations_APPURT[[#This Row],[Brackets]],0) * cv_M/cv_F * Forces_APPURT[[#This Row],[Delta Fai 300]] * Calculations_APPURT[[#This Row],[Horizontal Offset]]/12</f>
        <v>0</v>
      </c>
      <c r="PY25" s="276">
        <f>IFERROR(1/Calculations_APPURT[[#This Row],[Brackets]],0) * cv_M/cv_F * Forces_APPURT[[#This Row],[Delta Fai 315]] * Calculations_APPURT[[#This Row],[Horizontal Offset]]/12</f>
        <v>0</v>
      </c>
      <c r="PZ25" s="276">
        <f>IFERROR(1/Calculations_APPURT[[#This Row],[Brackets]],0) * cv_M/cv_F * Forces_APPURT[[#This Row],[Delta Fai 330]] * Calculations_APPURT[[#This Row],[Horizontal Offset]]/12</f>
        <v>0</v>
      </c>
      <c r="QA25" s="276">
        <f>IFERROR(1/Calculations_APPURT[[#This Row],[Brackets]],0) * cv_M/cv_F * Forces_APPURT[[#This Row],[Alpha Fa 0]] * Calculations_APPURT[[#This Row],[Lateral Offset]]/12</f>
        <v>0</v>
      </c>
      <c r="QB25" s="276">
        <f>IFERROR(1/Calculations_APPURT[[#This Row],[Brackets]],0) * cv_M/cv_F * Forces_APPURT[[#This Row],[Alpha Fa 30]] * Calculations_APPURT[[#This Row],[Lateral Offset]]/12</f>
        <v>0</v>
      </c>
      <c r="QC25" s="276">
        <f>IFERROR(1/Calculations_APPURT[[#This Row],[Brackets]],0) * cv_M/cv_F * Forces_APPURT[[#This Row],[Alpha Fa 45]] * Calculations_APPURT[[#This Row],[Lateral Offset]]/12</f>
        <v>0</v>
      </c>
      <c r="QD25" s="276">
        <f>IFERROR(1/Calculations_APPURT[[#This Row],[Brackets]],0) * cv_M/cv_F * Forces_APPURT[[#This Row],[Alpha Fa 60]] * Calculations_APPURT[[#This Row],[Lateral Offset]]/12</f>
        <v>0</v>
      </c>
      <c r="QE25" s="276">
        <f>IFERROR(1/Calculations_APPURT[[#This Row],[Brackets]],0) * cv_M/cv_F * Forces_APPURT[[#This Row],[Alpha Fa 90]] * Calculations_APPURT[[#This Row],[Lateral Offset]]/12</f>
        <v>0</v>
      </c>
      <c r="QF25" s="276">
        <f>IFERROR(1/Calculations_APPURT[[#This Row],[Brackets]],0) * cv_M/cv_F * Forces_APPURT[[#This Row],[Alpha Fa 120]] * Calculations_APPURT[[#This Row],[Lateral Offset]]/12</f>
        <v>0</v>
      </c>
      <c r="QG25" s="276">
        <f>IFERROR(1/Calculations_APPURT[[#This Row],[Brackets]],0) * cv_M/cv_F * Forces_APPURT[[#This Row],[Alpha Fa 135]] * Calculations_APPURT[[#This Row],[Lateral Offset]]/12</f>
        <v>0</v>
      </c>
      <c r="QH25" s="276">
        <f>IFERROR(1/Calculations_APPURT[[#This Row],[Brackets]],0) * cv_M/cv_F * Forces_APPURT[[#This Row],[Alpha Fa 150]] * Calculations_APPURT[[#This Row],[Lateral Offset]]/12</f>
        <v>0</v>
      </c>
      <c r="QI25" s="276">
        <f>IFERROR(1/Calculations_APPURT[[#This Row],[Brackets]],0) * cv_M/cv_F * Forces_APPURT[[#This Row],[Alpha Fa 180]] * Calculations_APPURT[[#This Row],[Lateral Offset]]/12</f>
        <v>0</v>
      </c>
      <c r="QJ25" s="276">
        <f>IFERROR(1/Calculations_APPURT[[#This Row],[Brackets]],0) * cv_M/cv_F * Forces_APPURT[[#This Row],[Alpha Fa 210]] * Calculations_APPURT[[#This Row],[Lateral Offset]]/12</f>
        <v>0</v>
      </c>
      <c r="QK25" s="276">
        <f>IFERROR(1/Calculations_APPURT[[#This Row],[Brackets]],0) * cv_M/cv_F * Forces_APPURT[[#This Row],[Alpha Fa 225]] * Calculations_APPURT[[#This Row],[Lateral Offset]]/12</f>
        <v>0</v>
      </c>
      <c r="QL25" s="276">
        <f>IFERROR(1/Calculations_APPURT[[#This Row],[Brackets]],0) * cv_M/cv_F * Forces_APPURT[[#This Row],[Alpha Fa 240]] * Calculations_APPURT[[#This Row],[Lateral Offset]]/12</f>
        <v>0</v>
      </c>
      <c r="QM25" s="276">
        <f>IFERROR(1/Calculations_APPURT[[#This Row],[Brackets]],0) * cv_M/cv_F * Forces_APPURT[[#This Row],[Alpha Fa 270]] * Calculations_APPURT[[#This Row],[Lateral Offset]]/12</f>
        <v>0</v>
      </c>
      <c r="QN25" s="276">
        <f>IFERROR(1/Calculations_APPURT[[#This Row],[Brackets]],0) * cv_M/cv_F * Forces_APPURT[[#This Row],[Alpha Fa 300]] * Calculations_APPURT[[#This Row],[Lateral Offset]]/12</f>
        <v>0</v>
      </c>
      <c r="QO25" s="276">
        <f>IFERROR(1/Calculations_APPURT[[#This Row],[Brackets]],0) * cv_M/cv_F * Forces_APPURT[[#This Row],[Alpha Fa 315]] * Calculations_APPURT[[#This Row],[Lateral Offset]]/12</f>
        <v>0</v>
      </c>
      <c r="QP25" s="276">
        <f>IFERROR(1/Calculations_APPURT[[#This Row],[Brackets]],0) * cv_M/cv_F * Forces_APPURT[[#This Row],[Alpha Fa 330]] * Calculations_APPURT[[#This Row],[Lateral Offset]]/12</f>
        <v>0</v>
      </c>
      <c r="QQ25" s="276">
        <f>IFERROR(1/Calculations_APPURT[[#This Row],[Brackets]],0) * cv_M/cv_F * Forces_APPURT[[#This Row],[Beta Fa 0]] * Calculations_APPURT[[#This Row],[Lateral Offset]]/12</f>
        <v>0</v>
      </c>
      <c r="QR25" s="276">
        <f>IFERROR(1/Calculations_APPURT[[#This Row],[Brackets]],0) * cv_M/cv_F * Forces_APPURT[[#This Row],[Beta Fa 30]] * Calculations_APPURT[[#This Row],[Lateral Offset]]/12</f>
        <v>0</v>
      </c>
      <c r="QS25" s="276">
        <f>IFERROR(1/Calculations_APPURT[[#This Row],[Brackets]],0) * cv_M/cv_F * Forces_APPURT[[#This Row],[Beta Fa 45]] * Calculations_APPURT[[#This Row],[Lateral Offset]]/12</f>
        <v>0</v>
      </c>
      <c r="QT25" s="276">
        <f>IFERROR(1/Calculations_APPURT[[#This Row],[Brackets]],0) * cv_M/cv_F * Forces_APPURT[[#This Row],[Beta Fa 60]] * Calculations_APPURT[[#This Row],[Lateral Offset]]/12</f>
        <v>0</v>
      </c>
      <c r="QU25" s="276">
        <f>IFERROR(1/Calculations_APPURT[[#This Row],[Brackets]],0) * cv_M/cv_F * Forces_APPURT[[#This Row],[Beta Fa 90]] * Calculations_APPURT[[#This Row],[Lateral Offset]]/12</f>
        <v>0</v>
      </c>
      <c r="QV25" s="276">
        <f>IFERROR(1/Calculations_APPURT[[#This Row],[Brackets]],0) * cv_M/cv_F * Forces_APPURT[[#This Row],[Beta Fa 120]] * Calculations_APPURT[[#This Row],[Lateral Offset]]/12</f>
        <v>0</v>
      </c>
      <c r="QW25" s="276">
        <f>IFERROR(1/Calculations_APPURT[[#This Row],[Brackets]],0) * cv_M/cv_F * Forces_APPURT[[#This Row],[Beta Fa 135]] * Calculations_APPURT[[#This Row],[Lateral Offset]]/12</f>
        <v>0</v>
      </c>
      <c r="QX25" s="276">
        <f>IFERROR(1/Calculations_APPURT[[#This Row],[Brackets]],0) * cv_M/cv_F * Forces_APPURT[[#This Row],[Beta Fa 150]] * Calculations_APPURT[[#This Row],[Lateral Offset]]/12</f>
        <v>0</v>
      </c>
      <c r="QY25" s="276">
        <f>IFERROR(1/Calculations_APPURT[[#This Row],[Brackets]],0) * cv_M/cv_F * Forces_APPURT[[#This Row],[Beta Fa 180]] * Calculations_APPURT[[#This Row],[Lateral Offset]]/12</f>
        <v>0</v>
      </c>
      <c r="QZ25" s="276">
        <f>IFERROR(1/Calculations_APPURT[[#This Row],[Brackets]],0) * cv_M/cv_F * Forces_APPURT[[#This Row],[Beta Fa 210]] * Calculations_APPURT[[#This Row],[Lateral Offset]]/12</f>
        <v>0</v>
      </c>
      <c r="RA25" s="276">
        <f>IFERROR(1/Calculations_APPURT[[#This Row],[Brackets]],0) * cv_M/cv_F * Forces_APPURT[[#This Row],[Beta Fa 225]] * Calculations_APPURT[[#This Row],[Lateral Offset]]/12</f>
        <v>0</v>
      </c>
      <c r="RB25" s="276">
        <f>IFERROR(1/Calculations_APPURT[[#This Row],[Brackets]],0) * cv_M/cv_F * Forces_APPURT[[#This Row],[Beta Fa 240]] * Calculations_APPURT[[#This Row],[Lateral Offset]]/12</f>
        <v>0</v>
      </c>
      <c r="RC25" s="276">
        <f>IFERROR(1/Calculations_APPURT[[#This Row],[Brackets]],0) * cv_M/cv_F * Forces_APPURT[[#This Row],[Beta Fa 270]] * Calculations_APPURT[[#This Row],[Lateral Offset]]/12</f>
        <v>0</v>
      </c>
      <c r="RD25" s="276">
        <f>IFERROR(1/Calculations_APPURT[[#This Row],[Brackets]],0) * cv_M/cv_F * Forces_APPURT[[#This Row],[Beta Fa 300]] * Calculations_APPURT[[#This Row],[Lateral Offset]]/12</f>
        <v>0</v>
      </c>
      <c r="RE25" s="276">
        <f>IFERROR(1/Calculations_APPURT[[#This Row],[Brackets]],0) * cv_M/cv_F * Forces_APPURT[[#This Row],[Beta Fa 315]] * Calculations_APPURT[[#This Row],[Lateral Offset]]/12</f>
        <v>0</v>
      </c>
      <c r="RF25" s="276">
        <f>IFERROR(1/Calculations_APPURT[[#This Row],[Brackets]],0) * cv_M/cv_F * Forces_APPURT[[#This Row],[Beta Fa 330]] * Calculations_APPURT[[#This Row],[Lateral Offset]]/12</f>
        <v>0</v>
      </c>
      <c r="RG25" s="276">
        <f>IFERROR(1/Calculations_APPURT[[#This Row],[Brackets]],0) * cv_M/cv_F * Forces_APPURT[[#This Row],[Gamma Fa 0]] * Calculations_APPURT[[#This Row],[Lateral Offset]]/12</f>
        <v>0</v>
      </c>
      <c r="RH25" s="276">
        <f>IFERROR(1/Calculations_APPURT[[#This Row],[Brackets]],0) * cv_M/cv_F * Forces_APPURT[[#This Row],[Gamma Fa 30]] * Calculations_APPURT[[#This Row],[Lateral Offset]]/12</f>
        <v>0</v>
      </c>
      <c r="RI25" s="276">
        <f>IFERROR(1/Calculations_APPURT[[#This Row],[Brackets]],0) * cv_M/cv_F * Forces_APPURT[[#This Row],[Gamma Fa 45]] * Calculations_APPURT[[#This Row],[Lateral Offset]]/12</f>
        <v>0</v>
      </c>
      <c r="RJ25" s="276">
        <f>IFERROR(1/Calculations_APPURT[[#This Row],[Brackets]],0) * cv_M/cv_F * Forces_APPURT[[#This Row],[Gamma Fa 60]] * Calculations_APPURT[[#This Row],[Lateral Offset]]/12</f>
        <v>0</v>
      </c>
      <c r="RK25" s="276">
        <f>IFERROR(1/Calculations_APPURT[[#This Row],[Brackets]],0) * cv_M/cv_F * Forces_APPURT[[#This Row],[Gamma Fa 90]] * Calculations_APPURT[[#This Row],[Lateral Offset]]/12</f>
        <v>0</v>
      </c>
      <c r="RL25" s="276">
        <f>IFERROR(1/Calculations_APPURT[[#This Row],[Brackets]],0) * cv_M/cv_F * Forces_APPURT[[#This Row],[Gamma Fa 120]] * Calculations_APPURT[[#This Row],[Lateral Offset]]/12</f>
        <v>0</v>
      </c>
      <c r="RM25" s="276">
        <f>IFERROR(1/Calculations_APPURT[[#This Row],[Brackets]],0) * cv_M/cv_F * Forces_APPURT[[#This Row],[Gamma Fa 135]] * Calculations_APPURT[[#This Row],[Lateral Offset]]/12</f>
        <v>0</v>
      </c>
      <c r="RN25" s="276">
        <f>IFERROR(1/Calculations_APPURT[[#This Row],[Brackets]],0) * cv_M/cv_F * Forces_APPURT[[#This Row],[Gamma Fa 150]] * Calculations_APPURT[[#This Row],[Lateral Offset]]/12</f>
        <v>0</v>
      </c>
      <c r="RO25" s="276">
        <f>IFERROR(1/Calculations_APPURT[[#This Row],[Brackets]],0) * cv_M/cv_F * Forces_APPURT[[#This Row],[Gamma Fa 180]] * Calculations_APPURT[[#This Row],[Lateral Offset]]/12</f>
        <v>0</v>
      </c>
      <c r="RP25" s="276">
        <f>IFERROR(1/Calculations_APPURT[[#This Row],[Brackets]],0) * cv_M/cv_F * Forces_APPURT[[#This Row],[Gamma Fa 210]] * Calculations_APPURT[[#This Row],[Lateral Offset]]/12</f>
        <v>0</v>
      </c>
      <c r="RQ25" s="276">
        <f>IFERROR(1/Calculations_APPURT[[#This Row],[Brackets]],0) * cv_M/cv_F * Forces_APPURT[[#This Row],[Gamma Fa 225]] * Calculations_APPURT[[#This Row],[Lateral Offset]]/12</f>
        <v>0</v>
      </c>
      <c r="RR25" s="276">
        <f>IFERROR(1/Calculations_APPURT[[#This Row],[Brackets]],0) * cv_M/cv_F * Forces_APPURT[[#This Row],[Gamma Fa 240]] * Calculations_APPURT[[#This Row],[Lateral Offset]]/12</f>
        <v>0</v>
      </c>
      <c r="RS25" s="276">
        <f>IFERROR(1/Calculations_APPURT[[#This Row],[Brackets]],0) * cv_M/cv_F * Forces_APPURT[[#This Row],[Gamma Fa 270]] * Calculations_APPURT[[#This Row],[Lateral Offset]]/12</f>
        <v>0</v>
      </c>
      <c r="RT25" s="276">
        <f>IFERROR(1/Calculations_APPURT[[#This Row],[Brackets]],0) * cv_M/cv_F * Forces_APPURT[[#This Row],[Gamma Fa 300]] * Calculations_APPURT[[#This Row],[Lateral Offset]]/12</f>
        <v>0</v>
      </c>
      <c r="RU25" s="276">
        <f>IFERROR(1/Calculations_APPURT[[#This Row],[Brackets]],0) * cv_M/cv_F * Forces_APPURT[[#This Row],[Gamma Fa 315]] * Calculations_APPURT[[#This Row],[Lateral Offset]]/12</f>
        <v>0</v>
      </c>
      <c r="RV25" s="276">
        <f>IFERROR(1/Calculations_APPURT[[#This Row],[Brackets]],0) * cv_M/cv_F * Forces_APPURT[[#This Row],[Gamma Fa 330]] * Calculations_APPURT[[#This Row],[Lateral Offset]]/12</f>
        <v>0</v>
      </c>
      <c r="RW25" s="276">
        <f>IFERROR(1/Calculations_APPURT[[#This Row],[Brackets]],0) * cv_M/cv_F * Forces_APPURT[[#This Row],[Delta Fa 0]] * Calculations_APPURT[[#This Row],[Lateral Offset]]/12</f>
        <v>0</v>
      </c>
      <c r="RX25" s="276">
        <f>IFERROR(1/Calculations_APPURT[[#This Row],[Brackets]],0) * cv_M/cv_F * Forces_APPURT[[#This Row],[Delta Fa 30]] * Calculations_APPURT[[#This Row],[Lateral Offset]]/12</f>
        <v>0</v>
      </c>
      <c r="RY25" s="276">
        <f>IFERROR(1/Calculations_APPURT[[#This Row],[Brackets]],0) * cv_M/cv_F * Forces_APPURT[[#This Row],[Delta Fa 45]] * Calculations_APPURT[[#This Row],[Lateral Offset]]/12</f>
        <v>0</v>
      </c>
      <c r="RZ25" s="276">
        <f>IFERROR(1/Calculations_APPURT[[#This Row],[Brackets]],0) * cv_M/cv_F * Forces_APPURT[[#This Row],[Delta Fa 60]] * Calculations_APPURT[[#This Row],[Lateral Offset]]/12</f>
        <v>0</v>
      </c>
      <c r="SA25" s="276">
        <f>IFERROR(1/Calculations_APPURT[[#This Row],[Brackets]],0) * cv_M/cv_F * Forces_APPURT[[#This Row],[Delta Fa 90]] * Calculations_APPURT[[#This Row],[Lateral Offset]]/12</f>
        <v>0</v>
      </c>
      <c r="SB25" s="276">
        <f>IFERROR(1/Calculations_APPURT[[#This Row],[Brackets]],0) * cv_M/cv_F * Forces_APPURT[[#This Row],[Delta Fa 120]] * Calculations_APPURT[[#This Row],[Lateral Offset]]/12</f>
        <v>0</v>
      </c>
      <c r="SC25" s="276">
        <f>IFERROR(1/Calculations_APPURT[[#This Row],[Brackets]],0) * cv_M/cv_F * Forces_APPURT[[#This Row],[Delta Fa 135]] * Calculations_APPURT[[#This Row],[Lateral Offset]]/12</f>
        <v>0</v>
      </c>
      <c r="SD25" s="276">
        <f>IFERROR(1/Calculations_APPURT[[#This Row],[Brackets]],0) * cv_M/cv_F * Forces_APPURT[[#This Row],[Delta Fa 150]] * Calculations_APPURT[[#This Row],[Lateral Offset]]/12</f>
        <v>0</v>
      </c>
      <c r="SE25" s="276">
        <f>IFERROR(1/Calculations_APPURT[[#This Row],[Brackets]],0) * cv_M/cv_F * Forces_APPURT[[#This Row],[Delta Fa 180]] * Calculations_APPURT[[#This Row],[Lateral Offset]]/12</f>
        <v>0</v>
      </c>
      <c r="SF25" s="276">
        <f>IFERROR(1/Calculations_APPURT[[#This Row],[Brackets]],0) * cv_M/cv_F * Forces_APPURT[[#This Row],[Delta Fa 210]] * Calculations_APPURT[[#This Row],[Lateral Offset]]/12</f>
        <v>0</v>
      </c>
      <c r="SG25" s="276">
        <f>IFERROR(1/Calculations_APPURT[[#This Row],[Brackets]],0) * cv_M/cv_F * Forces_APPURT[[#This Row],[Delta Fa 225]] * Calculations_APPURT[[#This Row],[Lateral Offset]]/12</f>
        <v>0</v>
      </c>
      <c r="SH25" s="276">
        <f>IFERROR(1/Calculations_APPURT[[#This Row],[Brackets]],0) * cv_M/cv_F * Forces_APPURT[[#This Row],[Delta Fa 240]] * Calculations_APPURT[[#This Row],[Lateral Offset]]/12</f>
        <v>0</v>
      </c>
      <c r="SI25" s="276">
        <f>IFERROR(1/Calculations_APPURT[[#This Row],[Brackets]],0) * cv_M/cv_F * Forces_APPURT[[#This Row],[Delta Fa 270]] * Calculations_APPURT[[#This Row],[Lateral Offset]]/12</f>
        <v>0</v>
      </c>
      <c r="SJ25" s="276">
        <f>IFERROR(1/Calculations_APPURT[[#This Row],[Brackets]],0) * cv_M/cv_F * Forces_APPURT[[#This Row],[Delta Fa 300]] * Calculations_APPURT[[#This Row],[Lateral Offset]]/12</f>
        <v>0</v>
      </c>
      <c r="SK25" s="276">
        <f>IFERROR(1/Calculations_APPURT[[#This Row],[Brackets]],0) * cv_M/cv_F * Forces_APPURT[[#This Row],[Delta Fa 315]] * Calculations_APPURT[[#This Row],[Lateral Offset]]/12</f>
        <v>0</v>
      </c>
      <c r="SL25" s="276">
        <f>IFERROR(1/Calculations_APPURT[[#This Row],[Brackets]],0) * cv_M/cv_F * Forces_APPURT[[#This Row],[Delta Fa 330]] * Calculations_APPURT[[#This Row],[Lateral Offset]]/12</f>
        <v>0</v>
      </c>
      <c r="SM25" s="276">
        <f>IFERROR(1/Calculations_APPURT[[#This Row],[Brackets]],0) * cv_M/cv_F * Forces_APPURT[[#This Row],[Alpha Fai 0]] * Calculations_APPURT[[#This Row],[Lateral Offset]]/12</f>
        <v>0</v>
      </c>
      <c r="SN25" s="276">
        <f>IFERROR(1/Calculations_APPURT[[#This Row],[Brackets]],0) * cv_M/cv_F * Forces_APPURT[[#This Row],[Alpha Fai 30]] * Calculations_APPURT[[#This Row],[Lateral Offset]]/12</f>
        <v>0</v>
      </c>
      <c r="SO25" s="276">
        <f>IFERROR(1/Calculations_APPURT[[#This Row],[Brackets]],0) * cv_M/cv_F * Forces_APPURT[[#This Row],[Alpha Fai 45]] * Calculations_APPURT[[#This Row],[Lateral Offset]]/12</f>
        <v>0</v>
      </c>
      <c r="SP25" s="276">
        <f>IFERROR(1/Calculations_APPURT[[#This Row],[Brackets]],0) * cv_M/cv_F * Forces_APPURT[[#This Row],[Alpha Fai 60]] * Calculations_APPURT[[#This Row],[Lateral Offset]]/12</f>
        <v>0</v>
      </c>
      <c r="SQ25" s="276">
        <f>IFERROR(1/Calculations_APPURT[[#This Row],[Brackets]],0) * cv_M/cv_F * Forces_APPURT[[#This Row],[Alpha Fai 90]] * Calculations_APPURT[[#This Row],[Lateral Offset]]/12</f>
        <v>0</v>
      </c>
      <c r="SR25" s="276">
        <f>IFERROR(1/Calculations_APPURT[[#This Row],[Brackets]],0) * cv_M/cv_F * Forces_APPURT[[#This Row],[Alpha Fai 120]] * Calculations_APPURT[[#This Row],[Lateral Offset]]/12</f>
        <v>0</v>
      </c>
      <c r="SS25" s="276">
        <f>IFERROR(1/Calculations_APPURT[[#This Row],[Brackets]],0) * cv_M/cv_F * Forces_APPURT[[#This Row],[Alpha Fai 135]] * Calculations_APPURT[[#This Row],[Lateral Offset]]/12</f>
        <v>0</v>
      </c>
      <c r="ST25" s="276">
        <f>IFERROR(1/Calculations_APPURT[[#This Row],[Brackets]],0) * cv_M/cv_F * Forces_APPURT[[#This Row],[Alpha Fai 150]] * Calculations_APPURT[[#This Row],[Lateral Offset]]/12</f>
        <v>0</v>
      </c>
      <c r="SU25" s="276">
        <f>IFERROR(1/Calculations_APPURT[[#This Row],[Brackets]],0) * cv_M/cv_F * Forces_APPURT[[#This Row],[Alpha Fai 180]] * Calculations_APPURT[[#This Row],[Lateral Offset]]/12</f>
        <v>0</v>
      </c>
      <c r="SV25" s="276">
        <f>IFERROR(1/Calculations_APPURT[[#This Row],[Brackets]],0) * cv_M/cv_F * Forces_APPURT[[#This Row],[Alpha Fai 210]] * Calculations_APPURT[[#This Row],[Lateral Offset]]/12</f>
        <v>0</v>
      </c>
      <c r="SW25" s="276">
        <f>IFERROR(1/Calculations_APPURT[[#This Row],[Brackets]],0) * cv_M/cv_F * Forces_APPURT[[#This Row],[Alpha Fai 225]] * Calculations_APPURT[[#This Row],[Lateral Offset]]/12</f>
        <v>0</v>
      </c>
      <c r="SX25" s="276">
        <f>IFERROR(1/Calculations_APPURT[[#This Row],[Brackets]],0) * cv_M/cv_F * Forces_APPURT[[#This Row],[Alpha Fai 240]] * Calculations_APPURT[[#This Row],[Lateral Offset]]/12</f>
        <v>0</v>
      </c>
      <c r="SY25" s="276">
        <f>IFERROR(1/Calculations_APPURT[[#This Row],[Brackets]],0) * cv_M/cv_F * Forces_APPURT[[#This Row],[Alpha Fai 270]] * Calculations_APPURT[[#This Row],[Lateral Offset]]/12</f>
        <v>0</v>
      </c>
      <c r="SZ25" s="276">
        <f>IFERROR(1/Calculations_APPURT[[#This Row],[Brackets]],0) * cv_M/cv_F * Forces_APPURT[[#This Row],[Alpha Fai 300]] * Calculations_APPURT[[#This Row],[Lateral Offset]]/12</f>
        <v>0</v>
      </c>
      <c r="TA25" s="276">
        <f>IFERROR(1/Calculations_APPURT[[#This Row],[Brackets]],0) * cv_M/cv_F * Forces_APPURT[[#This Row],[Alpha Fai 315]] * Calculations_APPURT[[#This Row],[Lateral Offset]]/12</f>
        <v>0</v>
      </c>
      <c r="TB25" s="276">
        <f>IFERROR(1/Calculations_APPURT[[#This Row],[Brackets]],0) * cv_M/cv_F * Forces_APPURT[[#This Row],[Alpha Fai 330]] * Calculations_APPURT[[#This Row],[Lateral Offset]]/12</f>
        <v>0</v>
      </c>
      <c r="TC25" s="276">
        <f>IFERROR(1/Calculations_APPURT[[#This Row],[Brackets]],0) * cv_M/cv_F * Forces_APPURT[[#This Row],[Beta Fai 0]] * Calculations_APPURT[[#This Row],[Lateral Offset]]/12</f>
        <v>0</v>
      </c>
      <c r="TD25" s="276">
        <f>IFERROR(1/Calculations_APPURT[[#This Row],[Brackets]],0) * cv_M/cv_F * Forces_APPURT[[#This Row],[Beta Fai 30]] * Calculations_APPURT[[#This Row],[Lateral Offset]]/12</f>
        <v>0</v>
      </c>
      <c r="TE25" s="276">
        <f>IFERROR(1/Calculations_APPURT[[#This Row],[Brackets]],0) * cv_M/cv_F * Forces_APPURT[[#This Row],[Beta Fai 45]] * Calculations_APPURT[[#This Row],[Lateral Offset]]/12</f>
        <v>0</v>
      </c>
      <c r="TF25" s="276">
        <f>IFERROR(1/Calculations_APPURT[[#This Row],[Brackets]],0) * cv_M/cv_F * Forces_APPURT[[#This Row],[Beta Fai 60]] * Calculations_APPURT[[#This Row],[Lateral Offset]]/12</f>
        <v>0</v>
      </c>
      <c r="TG25" s="276">
        <f>IFERROR(1/Calculations_APPURT[[#This Row],[Brackets]],0) * cv_M/cv_F * Forces_APPURT[[#This Row],[Beta Fai 90]] * Calculations_APPURT[[#This Row],[Lateral Offset]]/12</f>
        <v>0</v>
      </c>
      <c r="TH25" s="276">
        <f>IFERROR(1/Calculations_APPURT[[#This Row],[Brackets]],0) * cv_M/cv_F * Forces_APPURT[[#This Row],[Beta Fai 120]] * Calculations_APPURT[[#This Row],[Lateral Offset]]/12</f>
        <v>0</v>
      </c>
      <c r="TI25" s="276">
        <f>IFERROR(1/Calculations_APPURT[[#This Row],[Brackets]],0) * cv_M/cv_F * Forces_APPURT[[#This Row],[Beta Fai 135]] * Calculations_APPURT[[#This Row],[Lateral Offset]]/12</f>
        <v>0</v>
      </c>
      <c r="TJ25" s="276">
        <f>IFERROR(1/Calculations_APPURT[[#This Row],[Brackets]],0) * cv_M/cv_F * Forces_APPURT[[#This Row],[Beta Fai 150]] * Calculations_APPURT[[#This Row],[Lateral Offset]]/12</f>
        <v>0</v>
      </c>
      <c r="TK25" s="276">
        <f>IFERROR(1/Calculations_APPURT[[#This Row],[Brackets]],0) * cv_M/cv_F * Forces_APPURT[[#This Row],[Beta Fai 180]] * Calculations_APPURT[[#This Row],[Lateral Offset]]/12</f>
        <v>0</v>
      </c>
      <c r="TL25" s="276">
        <f>IFERROR(1/Calculations_APPURT[[#This Row],[Brackets]],0) * cv_M/cv_F * Forces_APPURT[[#This Row],[Beta Fai 210]] * Calculations_APPURT[[#This Row],[Lateral Offset]]/12</f>
        <v>0</v>
      </c>
      <c r="TM25" s="276">
        <f>IFERROR(1/Calculations_APPURT[[#This Row],[Brackets]],0) * cv_M/cv_F * Forces_APPURT[[#This Row],[Beta Fai 225]] * Calculations_APPURT[[#This Row],[Lateral Offset]]/12</f>
        <v>0</v>
      </c>
      <c r="TN25" s="276">
        <f>IFERROR(1/Calculations_APPURT[[#This Row],[Brackets]],0) * cv_M/cv_F * Forces_APPURT[[#This Row],[Beta Fai 240]] * Calculations_APPURT[[#This Row],[Lateral Offset]]/12</f>
        <v>0</v>
      </c>
      <c r="TO25" s="276">
        <f>IFERROR(1/Calculations_APPURT[[#This Row],[Brackets]],0) * cv_M/cv_F * Forces_APPURT[[#This Row],[Beta Fai 270]] * Calculations_APPURT[[#This Row],[Lateral Offset]]/12</f>
        <v>0</v>
      </c>
      <c r="TP25" s="276">
        <f>IFERROR(1/Calculations_APPURT[[#This Row],[Brackets]],0) * cv_M/cv_F * Forces_APPURT[[#This Row],[Beta Fai 300]] * Calculations_APPURT[[#This Row],[Lateral Offset]]/12</f>
        <v>0</v>
      </c>
      <c r="TQ25" s="276">
        <f>IFERROR(1/Calculations_APPURT[[#This Row],[Brackets]],0) * cv_M/cv_F * Forces_APPURT[[#This Row],[Beta Fai 315]] * Calculations_APPURT[[#This Row],[Lateral Offset]]/12</f>
        <v>0</v>
      </c>
      <c r="TR25" s="276">
        <f>IFERROR(1/Calculations_APPURT[[#This Row],[Brackets]],0) * cv_M/cv_F * Forces_APPURT[[#This Row],[Beta Fai 330]] * Calculations_APPURT[[#This Row],[Lateral Offset]]/12</f>
        <v>0</v>
      </c>
      <c r="TS25" s="276">
        <f>IFERROR(1/Calculations_APPURT[[#This Row],[Brackets]],0) * cv_M/cv_F * Forces_APPURT[[#This Row],[Gamma Fai 0]] * Calculations_APPURT[[#This Row],[Lateral Offset]]/12</f>
        <v>0</v>
      </c>
      <c r="TT25" s="276">
        <f>IFERROR(1/Calculations_APPURT[[#This Row],[Brackets]],0) * cv_M/cv_F * Forces_APPURT[[#This Row],[Gamma Fai 30]] * Calculations_APPURT[[#This Row],[Lateral Offset]]/12</f>
        <v>0</v>
      </c>
      <c r="TU25" s="276">
        <f>IFERROR(1/Calculations_APPURT[[#This Row],[Brackets]],0) * cv_M/cv_F * Forces_APPURT[[#This Row],[Gamma Fai 45]] * Calculations_APPURT[[#This Row],[Lateral Offset]]/12</f>
        <v>0</v>
      </c>
      <c r="TV25" s="276">
        <f>IFERROR(1/Calculations_APPURT[[#This Row],[Brackets]],0) * cv_M/cv_F * Forces_APPURT[[#This Row],[Gamma Fai 60]] * Calculations_APPURT[[#This Row],[Lateral Offset]]/12</f>
        <v>0</v>
      </c>
      <c r="TW25" s="276">
        <f>IFERROR(1/Calculations_APPURT[[#This Row],[Brackets]],0) * cv_M/cv_F * Forces_APPURT[[#This Row],[Gamma Fai 90]] * Calculations_APPURT[[#This Row],[Lateral Offset]]/12</f>
        <v>0</v>
      </c>
      <c r="TX25" s="276">
        <f>IFERROR(1/Calculations_APPURT[[#This Row],[Brackets]],0) * cv_M/cv_F * Forces_APPURT[[#This Row],[Gamma Fai 120]] * Calculations_APPURT[[#This Row],[Lateral Offset]]/12</f>
        <v>0</v>
      </c>
      <c r="TY25" s="276">
        <f>IFERROR(1/Calculations_APPURT[[#This Row],[Brackets]],0) * cv_M/cv_F * Forces_APPURT[[#This Row],[Gamma Fai 135]] * Calculations_APPURT[[#This Row],[Lateral Offset]]/12</f>
        <v>0</v>
      </c>
      <c r="TZ25" s="276">
        <f>IFERROR(1/Calculations_APPURT[[#This Row],[Brackets]],0) * cv_M/cv_F * Forces_APPURT[[#This Row],[Gamma Fai 150]] * Calculations_APPURT[[#This Row],[Lateral Offset]]/12</f>
        <v>0</v>
      </c>
      <c r="UA25" s="276">
        <f>IFERROR(1/Calculations_APPURT[[#This Row],[Brackets]],0) * cv_M/cv_F * Forces_APPURT[[#This Row],[Gamma Fai 180]] * Calculations_APPURT[[#This Row],[Lateral Offset]]/12</f>
        <v>0</v>
      </c>
      <c r="UB25" s="276">
        <f>IFERROR(1/Calculations_APPURT[[#This Row],[Brackets]],0) * cv_M/cv_F * Forces_APPURT[[#This Row],[Gamma Fai 210]] * Calculations_APPURT[[#This Row],[Lateral Offset]]/12</f>
        <v>0</v>
      </c>
      <c r="UC25" s="276">
        <f>IFERROR(1/Calculations_APPURT[[#This Row],[Brackets]],0) * cv_M/cv_F * Forces_APPURT[[#This Row],[Gamma Fai 225]] * Calculations_APPURT[[#This Row],[Lateral Offset]]/12</f>
        <v>0</v>
      </c>
      <c r="UD25" s="276">
        <f>IFERROR(1/Calculations_APPURT[[#This Row],[Brackets]],0) * cv_M/cv_F * Forces_APPURT[[#This Row],[Gamma Fai 240]] * Calculations_APPURT[[#This Row],[Lateral Offset]]/12</f>
        <v>0</v>
      </c>
      <c r="UE25" s="276">
        <f>IFERROR(1/Calculations_APPURT[[#This Row],[Brackets]],0) * cv_M/cv_F * Forces_APPURT[[#This Row],[Gamma Fai 270]] * Calculations_APPURT[[#This Row],[Lateral Offset]]/12</f>
        <v>0</v>
      </c>
      <c r="UF25" s="276">
        <f>IFERROR(1/Calculations_APPURT[[#This Row],[Brackets]],0) * cv_M/cv_F * Forces_APPURT[[#This Row],[Gamma Fai 300]] * Calculations_APPURT[[#This Row],[Lateral Offset]]/12</f>
        <v>0</v>
      </c>
      <c r="UG25" s="276">
        <f>IFERROR(1/Calculations_APPURT[[#This Row],[Brackets]],0) * cv_M/cv_F * Forces_APPURT[[#This Row],[Gamma Fai 315]] * Calculations_APPURT[[#This Row],[Lateral Offset]]/12</f>
        <v>0</v>
      </c>
      <c r="UH25" s="276">
        <f>IFERROR(1/Calculations_APPURT[[#This Row],[Brackets]],0) * cv_M/cv_F * Forces_APPURT[[#This Row],[Gamma Fai 330]] * Calculations_APPURT[[#This Row],[Lateral Offset]]/12</f>
        <v>0</v>
      </c>
      <c r="UI25" s="276">
        <f>IFERROR(1/Calculations_APPURT[[#This Row],[Brackets]],0) * cv_M/cv_F * Forces_APPURT[[#This Row],[Delta Fai 0]] * Calculations_APPURT[[#This Row],[Lateral Offset]]/12</f>
        <v>0</v>
      </c>
      <c r="UJ25" s="276">
        <f>IFERROR(1/Calculations_APPURT[[#This Row],[Brackets]],0) * cv_M/cv_F * Forces_APPURT[[#This Row],[Delta Fai 30]] * Calculations_APPURT[[#This Row],[Lateral Offset]]/12</f>
        <v>0</v>
      </c>
      <c r="UK25" s="276">
        <f>IFERROR(1/Calculations_APPURT[[#This Row],[Brackets]],0) * cv_M/cv_F * Forces_APPURT[[#This Row],[Delta Fai 45]] * Calculations_APPURT[[#This Row],[Lateral Offset]]/12</f>
        <v>0</v>
      </c>
      <c r="UL25" s="276">
        <f>IFERROR(1/Calculations_APPURT[[#This Row],[Brackets]],0) * cv_M/cv_F * Forces_APPURT[[#This Row],[Delta Fai 60]] * Calculations_APPURT[[#This Row],[Lateral Offset]]/12</f>
        <v>0</v>
      </c>
      <c r="UM25" s="276">
        <f>IFERROR(1/Calculations_APPURT[[#This Row],[Brackets]],0) * cv_M/cv_F * Forces_APPURT[[#This Row],[Delta Fai 90]] * Calculations_APPURT[[#This Row],[Lateral Offset]]/12</f>
        <v>0</v>
      </c>
      <c r="UN25" s="276">
        <f>IFERROR(1/Calculations_APPURT[[#This Row],[Brackets]],0) * cv_M/cv_F * Forces_APPURT[[#This Row],[Delta Fai 120]] * Calculations_APPURT[[#This Row],[Lateral Offset]]/12</f>
        <v>0</v>
      </c>
      <c r="UO25" s="276">
        <f>IFERROR(1/Calculations_APPURT[[#This Row],[Brackets]],0) * cv_M/cv_F * Forces_APPURT[[#This Row],[Delta Fai 135]] * Calculations_APPURT[[#This Row],[Lateral Offset]]/12</f>
        <v>0</v>
      </c>
      <c r="UP25" s="276">
        <f>IFERROR(1/Calculations_APPURT[[#This Row],[Brackets]],0) * cv_M/cv_F * Forces_APPURT[[#This Row],[Delta Fai 150]] * Calculations_APPURT[[#This Row],[Lateral Offset]]/12</f>
        <v>0</v>
      </c>
      <c r="UQ25" s="276">
        <f>IFERROR(1/Calculations_APPURT[[#This Row],[Brackets]],0) * cv_M/cv_F * Forces_APPURT[[#This Row],[Delta Fai 180]] * Calculations_APPURT[[#This Row],[Lateral Offset]]/12</f>
        <v>0</v>
      </c>
      <c r="UR25" s="276">
        <f>IFERROR(1/Calculations_APPURT[[#This Row],[Brackets]],0) * cv_M/cv_F * Forces_APPURT[[#This Row],[Delta Fai 210]] * Calculations_APPURT[[#This Row],[Lateral Offset]]/12</f>
        <v>0</v>
      </c>
      <c r="US25" s="276">
        <f>IFERROR(1/Calculations_APPURT[[#This Row],[Brackets]],0) * cv_M/cv_F * Forces_APPURT[[#This Row],[Delta Fai 225]] * Calculations_APPURT[[#This Row],[Lateral Offset]]/12</f>
        <v>0</v>
      </c>
      <c r="UT25" s="276">
        <f>IFERROR(1/Calculations_APPURT[[#This Row],[Brackets]],0) * cv_M/cv_F * Forces_APPURT[[#This Row],[Delta Fai 240]] * Calculations_APPURT[[#This Row],[Lateral Offset]]/12</f>
        <v>0</v>
      </c>
      <c r="UU25" s="276">
        <f>IFERROR(1/Calculations_APPURT[[#This Row],[Brackets]],0) * cv_M/cv_F * Forces_APPURT[[#This Row],[Delta Fai 270]] * Calculations_APPURT[[#This Row],[Lateral Offset]]/12</f>
        <v>0</v>
      </c>
      <c r="UV25" s="276">
        <f>IFERROR(1/Calculations_APPURT[[#This Row],[Brackets]],0) * cv_M/cv_F * Forces_APPURT[[#This Row],[Delta Fai 300]] * Calculations_APPURT[[#This Row],[Lateral Offset]]/12</f>
        <v>0</v>
      </c>
      <c r="UW25" s="276">
        <f>IFERROR(1/Calculations_APPURT[[#This Row],[Brackets]],0) * cv_M/cv_F * Forces_APPURT[[#This Row],[Delta Fai 315]] * Calculations_APPURT[[#This Row],[Lateral Offset]]/12</f>
        <v>0</v>
      </c>
      <c r="UX25" s="276">
        <f>IFERROR(1/Calculations_APPURT[[#This Row],[Brackets]],0) * cv_M/cv_F * Forces_APPURT[[#This Row],[Delta Fai 330]] * Calculations_APPURT[[#This Row],[Lateral Offset]]/12</f>
        <v>0</v>
      </c>
      <c r="UY25" s="276">
        <f>Dimensions_APPURT[[#This Row],[Weight (lbf)]] * cv_F * AlphaSector[[#This Row],[Quantity]]</f>
        <v>0</v>
      </c>
      <c r="UZ25" s="276">
        <f>Dimensions_APPURT[[#This Row],[Weight (lbf)]] * cv_F * BetaSector[[#This Row],[Quantity]]</f>
        <v>0</v>
      </c>
      <c r="VA25" s="276">
        <f>Dimensions_APPURT[[#This Row],[Weight (lbf)]] * cv_F * GammaSector[[#This Row],[Quantity]]</f>
        <v>0</v>
      </c>
      <c r="VB25" s="276">
        <f>Dimensions_APPURT[[#This Row],[Weight (lbf)]] * cv_F * DeltaSector[[#This Row],[Quantity]]</f>
        <v>0</v>
      </c>
      <c r="VC25" s="209">
        <f>Dimensions_APPURT[[#This Row],[Weight (lbf)]] * cv_M * AlphaSector[[#This Row],[Quantity]] * Calculations_APPURT[[#This Row],[Horizontal Offset]]/12</f>
        <v>0</v>
      </c>
      <c r="VD25" s="209">
        <f>Dimensions_APPURT[[#This Row],[Weight (lbf)]] * cv_M * BetaSector[[#This Row],[Quantity]] * Calculations_APPURT[[#This Row],[Horizontal Offset]]/12</f>
        <v>0</v>
      </c>
      <c r="VE25" s="209">
        <f>Dimensions_APPURT[[#This Row],[Weight (lbf)]] * cv_M * GammaSector[[#This Row],[Quantity]] * Calculations_APPURT[[#This Row],[Horizontal Offset]]/12</f>
        <v>0</v>
      </c>
      <c r="VF25" s="209">
        <f>Dimensions_APPURT[[#This Row],[Weight (lbf)]] * cv_M * DeltaSector[[#This Row],[Quantity]] * Calculations_APPURT[[#This Row],[Horizontal Offset]]/12</f>
        <v>0</v>
      </c>
      <c r="VG25" s="276">
        <f>Hazards_APPURT[[#This Row],[Ice Weight]] * cv_F * AlphaSector[[#This Row],[Quantity]]</f>
        <v>0</v>
      </c>
      <c r="VH25" s="276">
        <f>Hazards_APPURT[[#This Row],[Ice Weight]] * cv_F * BetaSector[[#This Row],[Quantity]]</f>
        <v>0</v>
      </c>
      <c r="VI25" s="276">
        <f>Hazards_APPURT[[#This Row],[Ice Weight]] * cv_F * GammaSector[[#This Row],[Quantity]]</f>
        <v>0</v>
      </c>
      <c r="VJ25" s="276">
        <f>Hazards_APPURT[[#This Row],[Ice Weight]] * cv_F * DeltaSector[[#This Row],[Quantity]]</f>
        <v>0</v>
      </c>
      <c r="VK25" s="209">
        <f>Hazards_APPURT[[#This Row],[Ice Weight]] * cv_M * AlphaSector[[#This Row],[Quantity]] * Calculations_APPURT[[#This Row],[Horizontal Offset]]/12</f>
        <v>0</v>
      </c>
      <c r="VL25" s="209">
        <f>Hazards_APPURT[[#This Row],[Ice Weight]] * cv_M * BetaSector[[#This Row],[Quantity]] * Calculations_APPURT[[#This Row],[Horizontal Offset]]/12</f>
        <v>0</v>
      </c>
      <c r="VM25" s="209">
        <f>Hazards_APPURT[[#This Row],[Ice Weight]] * cv_M * GammaSector[[#This Row],[Quantity]] * Calculations_APPURT[[#This Row],[Horizontal Offset]]/12</f>
        <v>0</v>
      </c>
      <c r="VN25" s="209">
        <f>Hazards_APPURT[[#This Row],[Ice Weight]] * cv_M * DeltaSector[[#This Row],[Quantity]] * Calculations_APPURT[[#This Row],[Horizontal Offset]]/12</f>
        <v>0</v>
      </c>
    </row>
    <row r="26" spans="1:586" ht="15" customHeight="1" x14ac:dyDescent="0.2">
      <c r="A26" s="2"/>
      <c r="B26" s="2"/>
      <c r="C26" s="2"/>
      <c r="D26" s="2"/>
      <c r="E26" s="292"/>
      <c r="G26" s="2"/>
      <c r="H26" s="2"/>
      <c r="I26" s="2"/>
      <c r="J26" s="2"/>
      <c r="K26" s="2"/>
      <c r="L26" s="2"/>
      <c r="M26" s="2"/>
      <c r="N26" s="2"/>
      <c r="O26" s="2"/>
      <c r="P26" s="2"/>
      <c r="Q26" s="2"/>
      <c r="R26" s="293"/>
      <c r="S26" s="293"/>
      <c r="T26" s="69"/>
      <c r="V26" s="71"/>
      <c r="W26" s="69"/>
      <c r="X26" s="71"/>
      <c r="Y26" s="69"/>
      <c r="Z26" s="70"/>
      <c r="AB26" s="69"/>
      <c r="AD26" s="71"/>
      <c r="AE26" s="69"/>
      <c r="AF26" s="71"/>
      <c r="AG26" s="69"/>
      <c r="AH26" s="70"/>
      <c r="AJ26" s="69"/>
      <c r="AL26" s="71"/>
      <c r="AM26" s="69"/>
      <c r="AN26" s="71"/>
      <c r="AO26" s="69"/>
      <c r="AP26" s="70"/>
      <c r="AR26" s="69"/>
      <c r="AV26" s="277" cm="1">
        <f t="array" ref="AV26">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26" s="209" cm="1">
        <f t="array" ref="AW26">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26" s="209" cm="1">
        <f t="array" ref="AX26">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26" s="209" cm="1">
        <f t="array" ref="AY26">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26"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26" s="209" cm="1">
        <f t="array" ref="BA26">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26" s="209">
        <f>IF(OR(Calculations_APPURT[[#This Row],[Shape]]="CFD",Calculations_APPURT[[#This Row],[Shape]]="CCI"),1,0.95)</f>
        <v>0.95</v>
      </c>
      <c r="BC26" s="209" cm="1">
        <f t="array" ref="BC26">0.00256 * Hazards_APPURT[[#This Row],[Kz]] * Kzt * Ks * I.wind * V^2 * IF(RIGHT(TIA,1)="G",1,Ke) * IF(OR(Calculations_APPURT[[#This Row],[Shape]]="CFD",Calculations_APPURT[[#This Row],[Shape]]="CCI"),1, Hazards_APPURT[[#This Row],[Kd]]) * Gh</f>
        <v>0</v>
      </c>
      <c r="BD26" s="209">
        <f>IF(Risk="I",0,MIN(((z+Calculations_APPURT[[#This Row],[Vertical Offset]]/12)/33)^(0.1),1.4))</f>
        <v>0</v>
      </c>
      <c r="BE26" s="209" cm="1">
        <f t="array" ref="BE26">IF(Risk="I",0,IF(TIA="ANSI/TIA-222-G",2,1*Kes.i)*ti*I.ice*Hazards_APPURT[[#This Row],[Kiz]]*(Kzt/Ks)^(0.35))</f>
        <v>0</v>
      </c>
      <c r="BF26" s="209" cm="1">
        <f t="array" ref="BF26">0.00256 * Hazards_APPURT[[#This Row],[Kz]] * Kzt * Ks * I.wind * Vi^2 * IF(RIGHT(TIA,1)="G",1,Ke) * IF(OR(Calculations_APPURT[[#This Row],[Shape]]="CFD",Calculations_APPURT[[#This Row],[Shape]]="CCI"),1, Kd) * Gh</f>
        <v>0</v>
      </c>
      <c r="BG26"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26"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26"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26"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26"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26"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26"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26"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26"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26"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26"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26"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26"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26"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26"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26"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26"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26"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26"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26"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26"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26"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26"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26"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26"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26"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26"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26"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26"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26"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26"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26"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26"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26"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26"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26"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26"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26"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26"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26"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26"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26"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26"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26"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26"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26"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26"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26"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26"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26"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26"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26"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26"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26"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26"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26"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26"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26"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26"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26"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26"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26"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26"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26"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26"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26"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26" s="338">
        <f>IFERROR(1/Calculations_APPURT[[#This Row],[Brackets]],0) * cv_F * AlphaSector[[#This Row],[Quantity]] * Hazards_APPURT[[#This Row],[qz]] * CaAa_APPURT[[#This Row],[Alpha 0]] * IF(Calculations_APPURT[[#This Row],[Shape]]="CFD",1, Ka)</f>
        <v>0</v>
      </c>
      <c r="GF26" s="338">
        <f>IFERROR(1/Calculations_APPURT[[#This Row],[Brackets]],0) * cv_F * AlphaSector[[#This Row],[Quantity]] * Hazards_APPURT[[#This Row],[qz]] * CaAa_APPURT[[#This Row],[Alpha 30]] * IF(Calculations_APPURT[[#This Row],[Shape]]="CFD",1, Ka)</f>
        <v>0</v>
      </c>
      <c r="GG26" s="338">
        <f>IFERROR(1/Calculations_APPURT[[#This Row],[Brackets]],0) * cv_F * AlphaSector[[#This Row],[Quantity]] * Hazards_APPURT[[#This Row],[qz]] * CaAa_APPURT[[#This Row],[Alpha 45]] * IF(Calculations_APPURT[[#This Row],[Shape]]="CFD",1, Ka)</f>
        <v>0</v>
      </c>
      <c r="GH26" s="338">
        <f>IFERROR(1/Calculations_APPURT[[#This Row],[Brackets]],0) * cv_F * AlphaSector[[#This Row],[Quantity]] * Hazards_APPURT[[#This Row],[qz]] * CaAa_APPURT[[#This Row],[Alpha 60]] * IF(Calculations_APPURT[[#This Row],[Shape]]="CFD",1, Ka)</f>
        <v>0</v>
      </c>
      <c r="GI26" s="338">
        <f>IFERROR(1/Calculations_APPURT[[#This Row],[Brackets]],0) * cv_F * AlphaSector[[#This Row],[Quantity]] * Hazards_APPURT[[#This Row],[qz]] * CaAa_APPURT[[#This Row],[Alpha 90]] * IF(Calculations_APPURT[[#This Row],[Shape]]="CFD",1, Ka)</f>
        <v>0</v>
      </c>
      <c r="GJ26" s="338">
        <f>IFERROR(1/Calculations_APPURT[[#This Row],[Brackets]],0) * cv_F * AlphaSector[[#This Row],[Quantity]] * Hazards_APPURT[[#This Row],[qz]] * CaAa_APPURT[[#This Row],[Alpha 120]] * IF(Calculations_APPURT[[#This Row],[Shape]]="CFD",1, Ka)</f>
        <v>0</v>
      </c>
      <c r="GK26" s="338">
        <f>IFERROR(1/Calculations_APPURT[[#This Row],[Brackets]],0) * cv_F * AlphaSector[[#This Row],[Quantity]] * Hazards_APPURT[[#This Row],[qz]] * CaAa_APPURT[[#This Row],[Alpha 135]] * IF(Calculations_APPURT[[#This Row],[Shape]]="CFD",1, Ka)</f>
        <v>0</v>
      </c>
      <c r="GL26" s="338">
        <f>IFERROR(1/Calculations_APPURT[[#This Row],[Brackets]],0) * cv_F * AlphaSector[[#This Row],[Quantity]] * Hazards_APPURT[[#This Row],[qz]] * CaAa_APPURT[[#This Row],[Alpha 150]] * IF(Calculations_APPURT[[#This Row],[Shape]]="CFD",1, Ka)</f>
        <v>0</v>
      </c>
      <c r="GM26" s="338">
        <f>IFERROR(1/Calculations_APPURT[[#This Row],[Brackets]],0) * cv_F * AlphaSector[[#This Row],[Quantity]] * Hazards_APPURT[[#This Row],[qz]] * CaAa_APPURT[[#This Row],[Alpha 180]] * IF(Calculations_APPURT[[#This Row],[Shape]]="CFD",1, Ka)</f>
        <v>0</v>
      </c>
      <c r="GN26" s="338">
        <f>IFERROR(1/Calculations_APPURT[[#This Row],[Brackets]],0) * cv_F * AlphaSector[[#This Row],[Quantity]] * Hazards_APPURT[[#This Row],[qz]] * CaAa_APPURT[[#This Row],[Alpha 210]] * IF(Calculations_APPURT[[#This Row],[Shape]]="CFD",1, Ka)</f>
        <v>0</v>
      </c>
      <c r="GO26" s="338">
        <f>IFERROR(1/Calculations_APPURT[[#This Row],[Brackets]],0) * cv_F * AlphaSector[[#This Row],[Quantity]] * Hazards_APPURT[[#This Row],[qz]] * CaAa_APPURT[[#This Row],[Alpha 225]] * IF(Calculations_APPURT[[#This Row],[Shape]]="CFD",1, Ka)</f>
        <v>0</v>
      </c>
      <c r="GP26" s="338">
        <f>IFERROR(1/Calculations_APPURT[[#This Row],[Brackets]],0) * cv_F * AlphaSector[[#This Row],[Quantity]] * Hazards_APPURT[[#This Row],[qz]] * CaAa_APPURT[[#This Row],[Alpha 240]] * IF(Calculations_APPURT[[#This Row],[Shape]]="CFD",1, Ka)</f>
        <v>0</v>
      </c>
      <c r="GQ26" s="338">
        <f>IFERROR(1/Calculations_APPURT[[#This Row],[Brackets]],0) * cv_F * AlphaSector[[#This Row],[Quantity]] * Hazards_APPURT[[#This Row],[qz]] * CaAa_APPURT[[#This Row],[Alpha 270]] * IF(Calculations_APPURT[[#This Row],[Shape]]="CFD",1, Ka)</f>
        <v>0</v>
      </c>
      <c r="GR26" s="338">
        <f>IFERROR(1/Calculations_APPURT[[#This Row],[Brackets]],0) * cv_F * AlphaSector[[#This Row],[Quantity]] * Hazards_APPURT[[#This Row],[qz]] * CaAa_APPURT[[#This Row],[Alpha 300]] * IF(Calculations_APPURT[[#This Row],[Shape]]="CFD",1, Ka)</f>
        <v>0</v>
      </c>
      <c r="GS26" s="338">
        <f>IFERROR(1/Calculations_APPURT[[#This Row],[Brackets]],0) * cv_F * AlphaSector[[#This Row],[Quantity]] * Hazards_APPURT[[#This Row],[qz]] * CaAa_APPURT[[#This Row],[Alpha 315]] * IF(Calculations_APPURT[[#This Row],[Shape]]="CFD",1, Ka)</f>
        <v>0</v>
      </c>
      <c r="GT26" s="338">
        <f>IFERROR(1/Calculations_APPURT[[#This Row],[Brackets]],0) * cv_F * AlphaSector[[#This Row],[Quantity]] * Hazards_APPURT[[#This Row],[qz]] * CaAa_APPURT[[#This Row],[Alpha 330]] * IF(Calculations_APPURT[[#This Row],[Shape]]="CFD",1, Ka)</f>
        <v>0</v>
      </c>
      <c r="GU26" s="276">
        <f>IFERROR(1/Calculations_APPURT[[#This Row],[Brackets]],0) * cv_F * BetaSector[[#This Row],[Quantity]] * Hazards_APPURT[[#This Row],[qz]] * CaAa_APPURT[[#This Row],[Beta 0]] * IF(Calculations_APPURT[[#This Row],[Shape]]="CFD",1, Ka)</f>
        <v>0</v>
      </c>
      <c r="GV26" s="276">
        <f>IFERROR(1/Calculations_APPURT[[#This Row],[Brackets]],0) * cv_F * BetaSector[[#This Row],[Quantity]] * Hazards_APPURT[[#This Row],[qz]] * CaAa_APPURT[[#This Row],[Beta 30]] * IF(Calculations_APPURT[[#This Row],[Shape]]="CFD",1, Ka)</f>
        <v>0</v>
      </c>
      <c r="GW26" s="276">
        <f>IFERROR(1/Calculations_APPURT[[#This Row],[Brackets]],0) * cv_F * BetaSector[[#This Row],[Quantity]] * Hazards_APPURT[[#This Row],[qz]] * CaAa_APPURT[[#This Row],[Beta 45]] * IF(Calculations_APPURT[[#This Row],[Shape]]="CFD",1, Ka)</f>
        <v>0</v>
      </c>
      <c r="GX26" s="276">
        <f>IFERROR(1/Calculations_APPURT[[#This Row],[Brackets]],0) * cv_F * BetaSector[[#This Row],[Quantity]] * Hazards_APPURT[[#This Row],[qz]] * CaAa_APPURT[[#This Row],[Beta 60]] * IF(Calculations_APPURT[[#This Row],[Shape]]="CFD",1, Ka)</f>
        <v>0</v>
      </c>
      <c r="GY26" s="276">
        <f>IFERROR(1/Calculations_APPURT[[#This Row],[Brackets]],0) * cv_F * BetaSector[[#This Row],[Quantity]] * Hazards_APPURT[[#This Row],[qz]] * CaAa_APPURT[[#This Row],[Beta 90]] * IF(Calculations_APPURT[[#This Row],[Shape]]="CFD",1, Ka)</f>
        <v>0</v>
      </c>
      <c r="GZ26" s="276">
        <f>IFERROR(1/Calculations_APPURT[[#This Row],[Brackets]],0) * cv_F * BetaSector[[#This Row],[Quantity]] * Hazards_APPURT[[#This Row],[qz]] * CaAa_APPURT[[#This Row],[Beta 120]] * IF(Calculations_APPURT[[#This Row],[Shape]]="CFD",1, Ka)</f>
        <v>0</v>
      </c>
      <c r="HA26" s="276">
        <f>IFERROR(1/Calculations_APPURT[[#This Row],[Brackets]],0) * cv_F * BetaSector[[#This Row],[Quantity]] * Hazards_APPURT[[#This Row],[qz]] * CaAa_APPURT[[#This Row],[Beta 135]] * IF(Calculations_APPURT[[#This Row],[Shape]]="CFD",1, Ka)</f>
        <v>0</v>
      </c>
      <c r="HB26" s="276">
        <f>IFERROR(1/Calculations_APPURT[[#This Row],[Brackets]],0) * cv_F * BetaSector[[#This Row],[Quantity]] * Hazards_APPURT[[#This Row],[qz]] * CaAa_APPURT[[#This Row],[Beta 150]] * IF(Calculations_APPURT[[#This Row],[Shape]]="CFD",1, Ka)</f>
        <v>0</v>
      </c>
      <c r="HC26" s="276">
        <f>IFERROR(1/Calculations_APPURT[[#This Row],[Brackets]],0) * cv_F * BetaSector[[#This Row],[Quantity]] * Hazards_APPURT[[#This Row],[qz]] * CaAa_APPURT[[#This Row],[Beta 180]] * IF(Calculations_APPURT[[#This Row],[Shape]]="CFD",1, Ka)</f>
        <v>0</v>
      </c>
      <c r="HD26" s="276">
        <f>IFERROR(1/Calculations_APPURT[[#This Row],[Brackets]],0) * cv_F * BetaSector[[#This Row],[Quantity]] * Hazards_APPURT[[#This Row],[qz]] * CaAa_APPURT[[#This Row],[Beta 210]] * IF(Calculations_APPURT[[#This Row],[Shape]]="CFD",1, Ka)</f>
        <v>0</v>
      </c>
      <c r="HE26" s="276">
        <f>IFERROR(1/Calculations_APPURT[[#This Row],[Brackets]],0) * cv_F * BetaSector[[#This Row],[Quantity]] * Hazards_APPURT[[#This Row],[qz]] * CaAa_APPURT[[#This Row],[Beta 225]] * IF(Calculations_APPURT[[#This Row],[Shape]]="CFD",1, Ka)</f>
        <v>0</v>
      </c>
      <c r="HF26" s="276">
        <f>IFERROR(1/Calculations_APPURT[[#This Row],[Brackets]],0) * cv_F * BetaSector[[#This Row],[Quantity]] * Hazards_APPURT[[#This Row],[qz]] * CaAa_APPURT[[#This Row],[Beta 240]] * IF(Calculations_APPURT[[#This Row],[Shape]]="CFD",1, Ka)</f>
        <v>0</v>
      </c>
      <c r="HG26" s="276">
        <f>IFERROR(1/Calculations_APPURT[[#This Row],[Brackets]],0) * cv_F * BetaSector[[#This Row],[Quantity]] * Hazards_APPURT[[#This Row],[qz]] * CaAa_APPURT[[#This Row],[Beta 270]] * IF(Calculations_APPURT[[#This Row],[Shape]]="CFD",1, Ka)</f>
        <v>0</v>
      </c>
      <c r="HH26" s="276">
        <f>IFERROR(1/Calculations_APPURT[[#This Row],[Brackets]],0) * cv_F * BetaSector[[#This Row],[Quantity]] * Hazards_APPURT[[#This Row],[qz]] * CaAa_APPURT[[#This Row],[Beta 300]] * IF(Calculations_APPURT[[#This Row],[Shape]]="CFD",1, Ka)</f>
        <v>0</v>
      </c>
      <c r="HI26" s="276">
        <f>IFERROR(1/Calculations_APPURT[[#This Row],[Brackets]],0) * cv_F * BetaSector[[#This Row],[Quantity]] * Hazards_APPURT[[#This Row],[qz]] * CaAa_APPURT[[#This Row],[Beta 315]] * IF(Calculations_APPURT[[#This Row],[Shape]]="CFD",1, Ka)</f>
        <v>0</v>
      </c>
      <c r="HJ26" s="276">
        <f>IFERROR(1/Calculations_APPURT[[#This Row],[Brackets]],0) * cv_F * BetaSector[[#This Row],[Quantity]] * Hazards_APPURT[[#This Row],[qz]] * CaAa_APPURT[[#This Row],[Beta 330]] * IF(Calculations_APPURT[[#This Row],[Shape]]="CFD",1, Ka)</f>
        <v>0</v>
      </c>
      <c r="HK26" s="338">
        <f>IFERROR(1/Calculations_APPURT[[#This Row],[Brackets]],0) * cv_F * GammaSector[[#This Row],[Quantity]] * Hazards_APPURT[[#This Row],[qz]] * CaAa_APPURT[[#This Row],[Gamma 0]] * IF(Calculations_APPURT[[#This Row],[Shape]]="CFD",1, Ka)</f>
        <v>0</v>
      </c>
      <c r="HL26" s="338">
        <f>IFERROR(1/Calculations_APPURT[[#This Row],[Brackets]],0) * cv_F * GammaSector[[#This Row],[Quantity]] * Hazards_APPURT[[#This Row],[qz]] * CaAa_APPURT[[#This Row],[Gamma 30]] * IF(Calculations_APPURT[[#This Row],[Shape]]="CFD",1, Ka)</f>
        <v>0</v>
      </c>
      <c r="HM26" s="338">
        <f>IFERROR(1/Calculations_APPURT[[#This Row],[Brackets]],0) * cv_F * GammaSector[[#This Row],[Quantity]] * Hazards_APPURT[[#This Row],[qz]] * CaAa_APPURT[[#This Row],[Gamma 45]] * IF(Calculations_APPURT[[#This Row],[Shape]]="CFD",1, Ka)</f>
        <v>0</v>
      </c>
      <c r="HN26" s="338">
        <f>IFERROR(1/Calculations_APPURT[[#This Row],[Brackets]],0) * cv_F * GammaSector[[#This Row],[Quantity]] * Hazards_APPURT[[#This Row],[qz]] * CaAa_APPURT[[#This Row],[Gamma 60]] * IF(Calculations_APPURT[[#This Row],[Shape]]="CFD",1, Ka)</f>
        <v>0</v>
      </c>
      <c r="HO26" s="338">
        <f>IFERROR(1/Calculations_APPURT[[#This Row],[Brackets]],0) * cv_F * GammaSector[[#This Row],[Quantity]] * Hazards_APPURT[[#This Row],[qz]] * CaAa_APPURT[[#This Row],[Gamma 90]] * IF(Calculations_APPURT[[#This Row],[Shape]]="CFD",1, Ka)</f>
        <v>0</v>
      </c>
      <c r="HP26" s="338">
        <f>IFERROR(1/Calculations_APPURT[[#This Row],[Brackets]],0) * cv_F * GammaSector[[#This Row],[Quantity]] * Hazards_APPURT[[#This Row],[qz]] * CaAa_APPURT[[#This Row],[Gamma 120]] * IF(Calculations_APPURT[[#This Row],[Shape]]="CFD",1, Ka)</f>
        <v>0</v>
      </c>
      <c r="HQ26" s="338">
        <f>IFERROR(1/Calculations_APPURT[[#This Row],[Brackets]],0) * cv_F * GammaSector[[#This Row],[Quantity]] * Hazards_APPURT[[#This Row],[qz]] * CaAa_APPURT[[#This Row],[Gamma 135]] * IF(Calculations_APPURT[[#This Row],[Shape]]="CFD",1, Ka)</f>
        <v>0</v>
      </c>
      <c r="HR26" s="338">
        <f>IFERROR(1/Calculations_APPURT[[#This Row],[Brackets]],0) * cv_F * GammaSector[[#This Row],[Quantity]] * Hazards_APPURT[[#This Row],[qz]] * CaAa_APPURT[[#This Row],[Gamma 150]] * IF(Calculations_APPURT[[#This Row],[Shape]]="CFD",1, Ka)</f>
        <v>0</v>
      </c>
      <c r="HS26" s="338">
        <f>IFERROR(1/Calculations_APPURT[[#This Row],[Brackets]],0) * cv_F * GammaSector[[#This Row],[Quantity]] * Hazards_APPURT[[#This Row],[qz]] * CaAa_APPURT[[#This Row],[Gamma 180]] * IF(Calculations_APPURT[[#This Row],[Shape]]="CFD",1, Ka)</f>
        <v>0</v>
      </c>
      <c r="HT26" s="338">
        <f>IFERROR(1/Calculations_APPURT[[#This Row],[Brackets]],0) * cv_F * GammaSector[[#This Row],[Quantity]] * Hazards_APPURT[[#This Row],[qz]] * CaAa_APPURT[[#This Row],[Gamma 210]] * IF(Calculations_APPURT[[#This Row],[Shape]]="CFD",1, Ka)</f>
        <v>0</v>
      </c>
      <c r="HU26" s="338">
        <f>IFERROR(1/Calculations_APPURT[[#This Row],[Brackets]],0) * cv_F * GammaSector[[#This Row],[Quantity]] * Hazards_APPURT[[#This Row],[qz]] * CaAa_APPURT[[#This Row],[Gamma 225]] * IF(Calculations_APPURT[[#This Row],[Shape]]="CFD",1, Ka)</f>
        <v>0</v>
      </c>
      <c r="HV26" s="338">
        <f>IFERROR(1/Calculations_APPURT[[#This Row],[Brackets]],0) * cv_F * GammaSector[[#This Row],[Quantity]] * Hazards_APPURT[[#This Row],[qz]] * CaAa_APPURT[[#This Row],[Gamma 240]] * IF(Calculations_APPURT[[#This Row],[Shape]]="CFD",1, Ka)</f>
        <v>0</v>
      </c>
      <c r="HW26" s="338">
        <f>IFERROR(1/Calculations_APPURT[[#This Row],[Brackets]],0) * cv_F * GammaSector[[#This Row],[Quantity]] * Hazards_APPURT[[#This Row],[qz]] * CaAa_APPURT[[#This Row],[Gamma 270]] * IF(Calculations_APPURT[[#This Row],[Shape]]="CFD",1, Ka)</f>
        <v>0</v>
      </c>
      <c r="HX26" s="338">
        <f>IFERROR(1/Calculations_APPURT[[#This Row],[Brackets]],0) * cv_F * GammaSector[[#This Row],[Quantity]] * Hazards_APPURT[[#This Row],[qz]] * CaAa_APPURT[[#This Row],[Gamma 300]] * IF(Calculations_APPURT[[#This Row],[Shape]]="CFD",1, Ka)</f>
        <v>0</v>
      </c>
      <c r="HY26" s="338">
        <f>IFERROR(1/Calculations_APPURT[[#This Row],[Brackets]],0) * cv_F * GammaSector[[#This Row],[Quantity]] * Hazards_APPURT[[#This Row],[qz]] * CaAa_APPURT[[#This Row],[Gamma 315]] * IF(Calculations_APPURT[[#This Row],[Shape]]="CFD",1, Ka)</f>
        <v>0</v>
      </c>
      <c r="HZ26" s="338">
        <f>IFERROR(1/Calculations_APPURT[[#This Row],[Brackets]],0) * cv_F * GammaSector[[#This Row],[Quantity]] * Hazards_APPURT[[#This Row],[qz]] * CaAa_APPURT[[#This Row],[Gamma 330]] * IF(Calculations_APPURT[[#This Row],[Shape]]="CFD",1, Ka)</f>
        <v>0</v>
      </c>
      <c r="IA26" s="276">
        <f>IFERROR(1/Calculations_APPURT[[#This Row],[Brackets]],0) * cv_F * DeltaSector[[#This Row],[Quantity]] * Hazards_APPURT[[#This Row],[qz]] * CaAa_APPURT[[#This Row],[Delta 0]] * IF(Calculations_APPURT[[#This Row],[Shape]]="CFD",1, Ka)</f>
        <v>0</v>
      </c>
      <c r="IB26" s="276">
        <f>IFERROR(1/Calculations_APPURT[[#This Row],[Brackets]],0) * cv_F * DeltaSector[[#This Row],[Quantity]] * Hazards_APPURT[[#This Row],[qz]] * CaAa_APPURT[[#This Row],[Delta 30]] * IF(Calculations_APPURT[[#This Row],[Shape]]="CFD",1, Ka)</f>
        <v>0</v>
      </c>
      <c r="IC26" s="276">
        <f>IFERROR(1/Calculations_APPURT[[#This Row],[Brackets]],0) * cv_F * DeltaSector[[#This Row],[Quantity]] * Hazards_APPURT[[#This Row],[qz]] * CaAa_APPURT[[#This Row],[Delta 45]] * IF(Calculations_APPURT[[#This Row],[Shape]]="CFD",1, Ka)</f>
        <v>0</v>
      </c>
      <c r="ID26" s="276">
        <f>IFERROR(1/Calculations_APPURT[[#This Row],[Brackets]],0) * cv_F * DeltaSector[[#This Row],[Quantity]] * Hazards_APPURT[[#This Row],[qz]] * CaAa_APPURT[[#This Row],[Delta 60]] * IF(Calculations_APPURT[[#This Row],[Shape]]="CFD",1, Ka)</f>
        <v>0</v>
      </c>
      <c r="IE26" s="276">
        <f>IFERROR(1/Calculations_APPURT[[#This Row],[Brackets]],0) * cv_F * DeltaSector[[#This Row],[Quantity]] * Hazards_APPURT[[#This Row],[qz]] * CaAa_APPURT[[#This Row],[Delta 90]] * IF(Calculations_APPURT[[#This Row],[Shape]]="CFD",1, Ka)</f>
        <v>0</v>
      </c>
      <c r="IF26" s="276">
        <f>IFERROR(1/Calculations_APPURT[[#This Row],[Brackets]],0) * cv_F * DeltaSector[[#This Row],[Quantity]] * Hazards_APPURT[[#This Row],[qz]] * CaAa_APPURT[[#This Row],[Delta 120]] * IF(Calculations_APPURT[[#This Row],[Shape]]="CFD",1, Ka)</f>
        <v>0</v>
      </c>
      <c r="IG26" s="276">
        <f>IFERROR(1/Calculations_APPURT[[#This Row],[Brackets]],0) * cv_F * DeltaSector[[#This Row],[Quantity]] * Hazards_APPURT[[#This Row],[qz]] * CaAa_APPURT[[#This Row],[Delta 135]] * IF(Calculations_APPURT[[#This Row],[Shape]]="CFD",1, Ka)</f>
        <v>0</v>
      </c>
      <c r="IH26" s="276">
        <f>IFERROR(1/Calculations_APPURT[[#This Row],[Brackets]],0) * cv_F * DeltaSector[[#This Row],[Quantity]] * Hazards_APPURT[[#This Row],[qz]] * CaAa_APPURT[[#This Row],[Delta 150]] * IF(Calculations_APPURT[[#This Row],[Shape]]="CFD",1, Ka)</f>
        <v>0</v>
      </c>
      <c r="II26" s="276">
        <f>IFERROR(1/Calculations_APPURT[[#This Row],[Brackets]],0) * cv_F * DeltaSector[[#This Row],[Quantity]] * Hazards_APPURT[[#This Row],[qz]] * CaAa_APPURT[[#This Row],[Delta 180]] * IF(Calculations_APPURT[[#This Row],[Shape]]="CFD",1, Ka)</f>
        <v>0</v>
      </c>
      <c r="IJ26" s="276">
        <f>IFERROR(1/Calculations_APPURT[[#This Row],[Brackets]],0) * cv_F * DeltaSector[[#This Row],[Quantity]] * Hazards_APPURT[[#This Row],[qz]] * CaAa_APPURT[[#This Row],[Delta 210]] * IF(Calculations_APPURT[[#This Row],[Shape]]="CFD",1, Ka)</f>
        <v>0</v>
      </c>
      <c r="IK26" s="276">
        <f>IFERROR(1/Calculations_APPURT[[#This Row],[Brackets]],0) * cv_F * DeltaSector[[#This Row],[Quantity]] * Hazards_APPURT[[#This Row],[qz]] * CaAa_APPURT[[#This Row],[Delta 225]] * IF(Calculations_APPURT[[#This Row],[Shape]]="CFD",1, Ka)</f>
        <v>0</v>
      </c>
      <c r="IL26" s="276">
        <f>IFERROR(1/Calculations_APPURT[[#This Row],[Brackets]],0) * cv_F * DeltaSector[[#This Row],[Quantity]] * Hazards_APPURT[[#This Row],[qz]] * CaAa_APPURT[[#This Row],[Delta 240]] * IF(Calculations_APPURT[[#This Row],[Shape]]="CFD",1, Ka)</f>
        <v>0</v>
      </c>
      <c r="IM26" s="276">
        <f>IFERROR(1/Calculations_APPURT[[#This Row],[Brackets]],0) * cv_F * DeltaSector[[#This Row],[Quantity]] * Hazards_APPURT[[#This Row],[qz]] * CaAa_APPURT[[#This Row],[Delta 270]] * IF(Calculations_APPURT[[#This Row],[Shape]]="CFD",1, Ka)</f>
        <v>0</v>
      </c>
      <c r="IN26" s="276">
        <f>IFERROR(1/Calculations_APPURT[[#This Row],[Brackets]],0) * cv_F * DeltaSector[[#This Row],[Quantity]] * Hazards_APPURT[[#This Row],[qz]] * CaAa_APPURT[[#This Row],[Delta 300]] * IF(Calculations_APPURT[[#This Row],[Shape]]="CFD",1, Ka)</f>
        <v>0</v>
      </c>
      <c r="IO26" s="276">
        <f>IFERROR(1/Calculations_APPURT[[#This Row],[Brackets]],0) * cv_F * DeltaSector[[#This Row],[Quantity]] * Hazards_APPURT[[#This Row],[qz]] * CaAa_APPURT[[#This Row],[Delta 315]] * IF(Calculations_APPURT[[#This Row],[Shape]]="CFD",1, Ka)</f>
        <v>0</v>
      </c>
      <c r="IP26" s="276">
        <f>IFERROR(1/Calculations_APPURT[[#This Row],[Brackets]],0) * cv_F * DeltaSector[[#This Row],[Quantity]] * Hazards_APPURT[[#This Row],[qz]] * CaAa_APPURT[[#This Row],[Delta 330]] * IF(Calculations_APPURT[[#This Row],[Shape]]="CFD",1, Ka)</f>
        <v>0</v>
      </c>
      <c r="IQ26" s="338">
        <f>IFERROR(1/Calculations_APPURT[[#This Row],[Brackets]],0) * cv_F * AlphaSector[[#This Row],[Quantity]] * Hazards_APPURT[[#This Row],[qiz]] * CaAa_APPURT[[#This Row],[Alpha Ice 0]]</f>
        <v>0</v>
      </c>
      <c r="IR26" s="338">
        <f>IFERROR(1/Calculations_APPURT[[#This Row],[Brackets]],0) * cv_F * AlphaSector[[#This Row],[Quantity]] * Hazards_APPURT[[#This Row],[qiz]] * CaAa_APPURT[[#This Row],[Alpha Ice 30]]</f>
        <v>0</v>
      </c>
      <c r="IS26" s="338">
        <f>IFERROR(1/Calculations_APPURT[[#This Row],[Brackets]],0) * cv_F * AlphaSector[[#This Row],[Quantity]] * Hazards_APPURT[[#This Row],[qiz]] * CaAa_APPURT[[#This Row],[Alpha Ice 45]]</f>
        <v>0</v>
      </c>
      <c r="IT26" s="338">
        <f>IFERROR(1/Calculations_APPURT[[#This Row],[Brackets]],0) * cv_F * AlphaSector[[#This Row],[Quantity]] * Hazards_APPURT[[#This Row],[qiz]] * CaAa_APPURT[[#This Row],[Alpha Ice 60]]</f>
        <v>0</v>
      </c>
      <c r="IU26" s="338">
        <f>IFERROR(1/Calculations_APPURT[[#This Row],[Brackets]],0) * cv_F * AlphaSector[[#This Row],[Quantity]] * Hazards_APPURT[[#This Row],[qiz]] * CaAa_APPURT[[#This Row],[Alpha Ice 90]]</f>
        <v>0</v>
      </c>
      <c r="IV26" s="338">
        <f>IFERROR(1/Calculations_APPURT[[#This Row],[Brackets]],0) * cv_F * AlphaSector[[#This Row],[Quantity]] * Hazards_APPURT[[#This Row],[qiz]] * CaAa_APPURT[[#This Row],[Alpha Ice 120]]</f>
        <v>0</v>
      </c>
      <c r="IW26" s="338">
        <f>IFERROR(1/Calculations_APPURT[[#This Row],[Brackets]],0) * cv_F * AlphaSector[[#This Row],[Quantity]] * Hazards_APPURT[[#This Row],[qiz]] * CaAa_APPURT[[#This Row],[Alpha Ice 135]]</f>
        <v>0</v>
      </c>
      <c r="IX26" s="338">
        <f>IFERROR(1/Calculations_APPURT[[#This Row],[Brackets]],0) * cv_F * AlphaSector[[#This Row],[Quantity]] * Hazards_APPURT[[#This Row],[qiz]] * CaAa_APPURT[[#This Row],[Alpha Ice 150]]</f>
        <v>0</v>
      </c>
      <c r="IY26" s="338">
        <f>IFERROR(1/Calculations_APPURT[[#This Row],[Brackets]],0) * cv_F * AlphaSector[[#This Row],[Quantity]] * Hazards_APPURT[[#This Row],[qiz]] * CaAa_APPURT[[#This Row],[Alpha Ice 180]]</f>
        <v>0</v>
      </c>
      <c r="IZ26" s="338">
        <f>IFERROR(1/Calculations_APPURT[[#This Row],[Brackets]],0) * cv_F * AlphaSector[[#This Row],[Quantity]] * Hazards_APPURT[[#This Row],[qiz]] * CaAa_APPURT[[#This Row],[Alpha Ice 210]]</f>
        <v>0</v>
      </c>
      <c r="JA26" s="338">
        <f>IFERROR(1/Calculations_APPURT[[#This Row],[Brackets]],0) * cv_F * AlphaSector[[#This Row],[Quantity]] * Hazards_APPURT[[#This Row],[qiz]] * CaAa_APPURT[[#This Row],[Alpha Ice 225]]</f>
        <v>0</v>
      </c>
      <c r="JB26" s="338">
        <f>IFERROR(1/Calculations_APPURT[[#This Row],[Brackets]],0) * cv_F * AlphaSector[[#This Row],[Quantity]] * Hazards_APPURT[[#This Row],[qiz]] * CaAa_APPURT[[#This Row],[Alpha Ice 240]]</f>
        <v>0</v>
      </c>
      <c r="JC26" s="338">
        <f>IFERROR(1/Calculations_APPURT[[#This Row],[Brackets]],0) * cv_F * AlphaSector[[#This Row],[Quantity]] * Hazards_APPURT[[#This Row],[qiz]] * CaAa_APPURT[[#This Row],[Alpha Ice 270]]</f>
        <v>0</v>
      </c>
      <c r="JD26" s="338">
        <f>IFERROR(1/Calculations_APPURT[[#This Row],[Brackets]],0) * cv_F * AlphaSector[[#This Row],[Quantity]] * Hazards_APPURT[[#This Row],[qiz]] * CaAa_APPURT[[#This Row],[Alpha Ice 300]]</f>
        <v>0</v>
      </c>
      <c r="JE26" s="338">
        <f>IFERROR(1/Calculations_APPURT[[#This Row],[Brackets]],0) * cv_F * AlphaSector[[#This Row],[Quantity]] * Hazards_APPURT[[#This Row],[qiz]] * CaAa_APPURT[[#This Row],[Alpha Ice 315]]</f>
        <v>0</v>
      </c>
      <c r="JF26" s="338">
        <f>IFERROR(1/Calculations_APPURT[[#This Row],[Brackets]],0) * cv_F * AlphaSector[[#This Row],[Quantity]] * Hazards_APPURT[[#This Row],[qiz]] * CaAa_APPURT[[#This Row],[Alpha Ice 330]]</f>
        <v>0</v>
      </c>
      <c r="JG26" s="276">
        <f>IFERROR(1/Calculations_APPURT[[#This Row],[Brackets]],0) * cv_F * BetaSector[[#This Row],[Quantity]] * Hazards_APPURT[[#This Row],[qiz]] * CaAa_APPURT[[#This Row],[Beta Ice 0]]</f>
        <v>0</v>
      </c>
      <c r="JH26" s="276">
        <f>IFERROR(1/Calculations_APPURT[[#This Row],[Brackets]],0) * cv_F * BetaSector[[#This Row],[Quantity]] * Hazards_APPURT[[#This Row],[qiz]] * CaAa_APPURT[[#This Row],[Beta Ice 30]]</f>
        <v>0</v>
      </c>
      <c r="JI26" s="276">
        <f>IFERROR(1/Calculations_APPURT[[#This Row],[Brackets]],0) * cv_F * BetaSector[[#This Row],[Quantity]] * Hazards_APPURT[[#This Row],[qiz]] * CaAa_APPURT[[#This Row],[Beta Ice 45]]</f>
        <v>0</v>
      </c>
      <c r="JJ26" s="276">
        <f>IFERROR(1/Calculations_APPURT[[#This Row],[Brackets]],0) * cv_F * BetaSector[[#This Row],[Quantity]] * Hazards_APPURT[[#This Row],[qiz]] * CaAa_APPURT[[#This Row],[Beta Ice 60]]</f>
        <v>0</v>
      </c>
      <c r="JK26" s="276">
        <f>IFERROR(1/Calculations_APPURT[[#This Row],[Brackets]],0) * cv_F * BetaSector[[#This Row],[Quantity]] * Hazards_APPURT[[#This Row],[qiz]] * CaAa_APPURT[[#This Row],[Beta Ice 90]]</f>
        <v>0</v>
      </c>
      <c r="JL26" s="276">
        <f>IFERROR(1/Calculations_APPURT[[#This Row],[Brackets]],0) * cv_F * BetaSector[[#This Row],[Quantity]] * Hazards_APPURT[[#This Row],[qiz]] * CaAa_APPURT[[#This Row],[Beta Ice 120]]</f>
        <v>0</v>
      </c>
      <c r="JM26" s="276">
        <f>IFERROR(1/Calculations_APPURT[[#This Row],[Brackets]],0) * cv_F * BetaSector[[#This Row],[Quantity]] * Hazards_APPURT[[#This Row],[qiz]] * CaAa_APPURT[[#This Row],[Beta Ice 135]]</f>
        <v>0</v>
      </c>
      <c r="JN26" s="276">
        <f>IFERROR(1/Calculations_APPURT[[#This Row],[Brackets]],0) * cv_F * BetaSector[[#This Row],[Quantity]] * Hazards_APPURT[[#This Row],[qiz]] * CaAa_APPURT[[#This Row],[Beta Ice 150]]</f>
        <v>0</v>
      </c>
      <c r="JO26" s="276">
        <f>IFERROR(1/Calculations_APPURT[[#This Row],[Brackets]],0) * cv_F * BetaSector[[#This Row],[Quantity]] * Hazards_APPURT[[#This Row],[qiz]] * CaAa_APPURT[[#This Row],[Beta Ice 180]]</f>
        <v>0</v>
      </c>
      <c r="JP26" s="276">
        <f>IFERROR(1/Calculations_APPURT[[#This Row],[Brackets]],0) * cv_F * BetaSector[[#This Row],[Quantity]] * Hazards_APPURT[[#This Row],[qiz]] * CaAa_APPURT[[#This Row],[Beta Ice 210]]</f>
        <v>0</v>
      </c>
      <c r="JQ26" s="276">
        <f>IFERROR(1/Calculations_APPURT[[#This Row],[Brackets]],0) * cv_F * BetaSector[[#This Row],[Quantity]] * Hazards_APPURT[[#This Row],[qiz]] * CaAa_APPURT[[#This Row],[Beta Ice 225]]</f>
        <v>0</v>
      </c>
      <c r="JR26" s="276">
        <f>IFERROR(1/Calculations_APPURT[[#This Row],[Brackets]],0) * cv_F * BetaSector[[#This Row],[Quantity]] * Hazards_APPURT[[#This Row],[qiz]] * CaAa_APPURT[[#This Row],[Beta Ice 240]]</f>
        <v>0</v>
      </c>
      <c r="JS26" s="276">
        <f>IFERROR(1/Calculations_APPURT[[#This Row],[Brackets]],0) * cv_F * BetaSector[[#This Row],[Quantity]] * Hazards_APPURT[[#This Row],[qiz]] * CaAa_APPURT[[#This Row],[Beta Ice 270]]</f>
        <v>0</v>
      </c>
      <c r="JT26" s="276">
        <f>IFERROR(1/Calculations_APPURT[[#This Row],[Brackets]],0) * cv_F * BetaSector[[#This Row],[Quantity]] * Hazards_APPURT[[#This Row],[qiz]] * CaAa_APPURT[[#This Row],[Beta Ice 300]]</f>
        <v>0</v>
      </c>
      <c r="JU26" s="276">
        <f>IFERROR(1/Calculations_APPURT[[#This Row],[Brackets]],0) * cv_F * BetaSector[[#This Row],[Quantity]] * Hazards_APPURT[[#This Row],[qiz]] * CaAa_APPURT[[#This Row],[Beta Ice 315]]</f>
        <v>0</v>
      </c>
      <c r="JV26" s="276">
        <f>IFERROR(1/Calculations_APPURT[[#This Row],[Brackets]],0) * cv_F * BetaSector[[#This Row],[Quantity]] * Hazards_APPURT[[#This Row],[qiz]] * CaAa_APPURT[[#This Row],[Beta Ice 330]]</f>
        <v>0</v>
      </c>
      <c r="JW26" s="338">
        <f>IFERROR(1/Calculations_APPURT[[#This Row],[Brackets]],0) * cv_F * GammaSector[[#This Row],[Quantity]] * Hazards_APPURT[[#This Row],[qiz]] * CaAa_APPURT[[#This Row],[Gamma Ice 0]]</f>
        <v>0</v>
      </c>
      <c r="JX26" s="338">
        <f>IFERROR(1/Calculations_APPURT[[#This Row],[Brackets]],0) * cv_F * GammaSector[[#This Row],[Quantity]] * Hazards_APPURT[[#This Row],[qiz]] * CaAa_APPURT[[#This Row],[Gamma Ice 30]]</f>
        <v>0</v>
      </c>
      <c r="JY26" s="338">
        <f>IFERROR(1/Calculations_APPURT[[#This Row],[Brackets]],0) * cv_F * GammaSector[[#This Row],[Quantity]] * Hazards_APPURT[[#This Row],[qiz]] * CaAa_APPURT[[#This Row],[Gamma Ice 45]]</f>
        <v>0</v>
      </c>
      <c r="JZ26" s="338">
        <f>IFERROR(1/Calculations_APPURT[[#This Row],[Brackets]],0) * cv_F * GammaSector[[#This Row],[Quantity]] * Hazards_APPURT[[#This Row],[qiz]] * CaAa_APPURT[[#This Row],[Gamma Ice 60]]</f>
        <v>0</v>
      </c>
      <c r="KA26" s="338">
        <f>IFERROR(1/Calculations_APPURT[[#This Row],[Brackets]],0) * cv_F * GammaSector[[#This Row],[Quantity]] * Hazards_APPURT[[#This Row],[qiz]] * CaAa_APPURT[[#This Row],[Gamma Ice 90]]</f>
        <v>0</v>
      </c>
      <c r="KB26" s="338">
        <f>IFERROR(1/Calculations_APPURT[[#This Row],[Brackets]],0) * cv_F * GammaSector[[#This Row],[Quantity]] * Hazards_APPURT[[#This Row],[qiz]] * CaAa_APPURT[[#This Row],[Gamma Ice 120]]</f>
        <v>0</v>
      </c>
      <c r="KC26" s="338">
        <f>IFERROR(1/Calculations_APPURT[[#This Row],[Brackets]],0) * cv_F * GammaSector[[#This Row],[Quantity]] * Hazards_APPURT[[#This Row],[qiz]] * CaAa_APPURT[[#This Row],[Gamma Ice 135]]</f>
        <v>0</v>
      </c>
      <c r="KD26" s="338">
        <f>IFERROR(1/Calculations_APPURT[[#This Row],[Brackets]],0) * cv_F * GammaSector[[#This Row],[Quantity]] * Hazards_APPURT[[#This Row],[qiz]] * CaAa_APPURT[[#This Row],[Gamma Ice 150]]</f>
        <v>0</v>
      </c>
      <c r="KE26" s="338">
        <f>IFERROR(1/Calculations_APPURT[[#This Row],[Brackets]],0) * cv_F * GammaSector[[#This Row],[Quantity]] * Hazards_APPURT[[#This Row],[qiz]] * CaAa_APPURT[[#This Row],[Gamma Ice 180]]</f>
        <v>0</v>
      </c>
      <c r="KF26" s="338">
        <f>IFERROR(1/Calculations_APPURT[[#This Row],[Brackets]],0) * cv_F * GammaSector[[#This Row],[Quantity]] * Hazards_APPURT[[#This Row],[qiz]] * CaAa_APPURT[[#This Row],[Gamma Ice 210]]</f>
        <v>0</v>
      </c>
      <c r="KG26" s="338">
        <f>IFERROR(1/Calculations_APPURT[[#This Row],[Brackets]],0) * cv_F * GammaSector[[#This Row],[Quantity]] * Hazards_APPURT[[#This Row],[qiz]] * CaAa_APPURT[[#This Row],[Gamma Ice 225]]</f>
        <v>0</v>
      </c>
      <c r="KH26" s="338">
        <f>IFERROR(1/Calculations_APPURT[[#This Row],[Brackets]],0) * cv_F * GammaSector[[#This Row],[Quantity]] * Hazards_APPURT[[#This Row],[qiz]] * CaAa_APPURT[[#This Row],[Gamma Ice 240]]</f>
        <v>0</v>
      </c>
      <c r="KI26" s="338">
        <f>IFERROR(1/Calculations_APPURT[[#This Row],[Brackets]],0) * cv_F * GammaSector[[#This Row],[Quantity]] * Hazards_APPURT[[#This Row],[qiz]] * CaAa_APPURT[[#This Row],[Gamma Ice 270]]</f>
        <v>0</v>
      </c>
      <c r="KJ26" s="338">
        <f>IFERROR(1/Calculations_APPURT[[#This Row],[Brackets]],0) * cv_F * GammaSector[[#This Row],[Quantity]] * Hazards_APPURT[[#This Row],[qiz]] * CaAa_APPURT[[#This Row],[Gamma Ice 300]]</f>
        <v>0</v>
      </c>
      <c r="KK26" s="338">
        <f>IFERROR(1/Calculations_APPURT[[#This Row],[Brackets]],0) * cv_F * GammaSector[[#This Row],[Quantity]] * Hazards_APPURT[[#This Row],[qiz]] * CaAa_APPURT[[#This Row],[Gamma Ice 315]]</f>
        <v>0</v>
      </c>
      <c r="KL26" s="338">
        <f>IFERROR(1/Calculations_APPURT[[#This Row],[Brackets]],0) * cv_F * GammaSector[[#This Row],[Quantity]] * Hazards_APPURT[[#This Row],[qiz]] * CaAa_APPURT[[#This Row],[Gamma Ice 330]]</f>
        <v>0</v>
      </c>
      <c r="KM26" s="276">
        <f>IFERROR(1/Calculations_APPURT[[#This Row],[Brackets]],0) * cv_F * DeltaSector[[#This Row],[Quantity]] * Hazards_APPURT[[#This Row],[qiz]] * CaAa_APPURT[[#This Row],[Delta Ice 0]]</f>
        <v>0</v>
      </c>
      <c r="KN26" s="276">
        <f>IFERROR(1/Calculations_APPURT[[#This Row],[Brackets]],0) * cv_F * DeltaSector[[#This Row],[Quantity]] * Hazards_APPURT[[#This Row],[qiz]] * CaAa_APPURT[[#This Row],[Delta Ice 30]]</f>
        <v>0</v>
      </c>
      <c r="KO26" s="276">
        <f>IFERROR(1/Calculations_APPURT[[#This Row],[Brackets]],0) * cv_F * DeltaSector[[#This Row],[Quantity]] * Hazards_APPURT[[#This Row],[qiz]] * CaAa_APPURT[[#This Row],[Delta Ice 45]]</f>
        <v>0</v>
      </c>
      <c r="KP26" s="276">
        <f>IFERROR(1/Calculations_APPURT[[#This Row],[Brackets]],0) * cv_F * DeltaSector[[#This Row],[Quantity]] * Hazards_APPURT[[#This Row],[qiz]] * CaAa_APPURT[[#This Row],[Delta Ice 60]]</f>
        <v>0</v>
      </c>
      <c r="KQ26" s="276">
        <f>IFERROR(1/Calculations_APPURT[[#This Row],[Brackets]],0) * cv_F * DeltaSector[[#This Row],[Quantity]] * Hazards_APPURT[[#This Row],[qiz]] * CaAa_APPURT[[#This Row],[Delta Ice 90]]</f>
        <v>0</v>
      </c>
      <c r="KR26" s="276">
        <f>IFERROR(1/Calculations_APPURT[[#This Row],[Brackets]],0) * cv_F * DeltaSector[[#This Row],[Quantity]] * Hazards_APPURT[[#This Row],[qiz]] * CaAa_APPURT[[#This Row],[Delta Ice 120]]</f>
        <v>0</v>
      </c>
      <c r="KS26" s="276">
        <f>IFERROR(1/Calculations_APPURT[[#This Row],[Brackets]],0) * cv_F * DeltaSector[[#This Row],[Quantity]] * Hazards_APPURT[[#This Row],[qiz]] * CaAa_APPURT[[#This Row],[Delta Ice 135]]</f>
        <v>0</v>
      </c>
      <c r="KT26" s="276">
        <f>IFERROR(1/Calculations_APPURT[[#This Row],[Brackets]],0) * cv_F * DeltaSector[[#This Row],[Quantity]] * Hazards_APPURT[[#This Row],[qiz]] * CaAa_APPURT[[#This Row],[Delta Ice 150]]</f>
        <v>0</v>
      </c>
      <c r="KU26" s="276">
        <f>IFERROR(1/Calculations_APPURT[[#This Row],[Brackets]],0) * cv_F * DeltaSector[[#This Row],[Quantity]] * Hazards_APPURT[[#This Row],[qiz]] * CaAa_APPURT[[#This Row],[Delta Ice 180]]</f>
        <v>0</v>
      </c>
      <c r="KV26" s="276">
        <f>IFERROR(1/Calculations_APPURT[[#This Row],[Brackets]],0) * cv_F * DeltaSector[[#This Row],[Quantity]] * Hazards_APPURT[[#This Row],[qiz]] * CaAa_APPURT[[#This Row],[Delta Ice 210]]</f>
        <v>0</v>
      </c>
      <c r="KW26" s="276">
        <f>IFERROR(1/Calculations_APPURT[[#This Row],[Brackets]],0) * cv_F * DeltaSector[[#This Row],[Quantity]] * Hazards_APPURT[[#This Row],[qiz]] * CaAa_APPURT[[#This Row],[Delta Ice 225]]</f>
        <v>0</v>
      </c>
      <c r="KX26" s="276">
        <f>IFERROR(1/Calculations_APPURT[[#This Row],[Brackets]],0) * cv_F * DeltaSector[[#This Row],[Quantity]] * Hazards_APPURT[[#This Row],[qiz]] * CaAa_APPURT[[#This Row],[Delta Ice 240]]</f>
        <v>0</v>
      </c>
      <c r="KY26" s="276">
        <f>IFERROR(1/Calculations_APPURT[[#This Row],[Brackets]],0) * cv_F * DeltaSector[[#This Row],[Quantity]] * Hazards_APPURT[[#This Row],[qiz]] * CaAa_APPURT[[#This Row],[Delta Ice 270]]</f>
        <v>0</v>
      </c>
      <c r="KZ26" s="276">
        <f>IFERROR(1/Calculations_APPURT[[#This Row],[Brackets]],0) * cv_F * DeltaSector[[#This Row],[Quantity]] * Hazards_APPURT[[#This Row],[qiz]] * CaAa_APPURT[[#This Row],[Delta Ice 300]]</f>
        <v>0</v>
      </c>
      <c r="LA26" s="276">
        <f>IFERROR(1/Calculations_APPURT[[#This Row],[Brackets]],0) * cv_F * DeltaSector[[#This Row],[Quantity]] * Hazards_APPURT[[#This Row],[qiz]] * CaAa_APPURT[[#This Row],[Delta Ice 315]]</f>
        <v>0</v>
      </c>
      <c r="LB26" s="276">
        <f>IFERROR(1/Calculations_APPURT[[#This Row],[Brackets]],0) * cv_F * DeltaSector[[#This Row],[Quantity]] * Hazards_APPURT[[#This Row],[qiz]] * CaAa_APPURT[[#This Row],[Delta Ice 330]]</f>
        <v>0</v>
      </c>
      <c r="LC26" s="338">
        <f>IFERROR(1/Calculations_APPURT[[#This Row],[Brackets]],0) * cv_M/cv_F * Forces_APPURT[[#This Row],[Alpha Fa 0]] * Calculations_APPURT[[#This Row],[Horizontal Offset]]/12</f>
        <v>0</v>
      </c>
      <c r="LD26" s="338">
        <f>IFERROR(1/Calculations_APPURT[[#This Row],[Brackets]],0) * cv_M/cv_F * Forces_APPURT[[#This Row],[Alpha Fa 30]] * Calculations_APPURT[[#This Row],[Horizontal Offset]]/12</f>
        <v>0</v>
      </c>
      <c r="LE26" s="338">
        <f>IFERROR(1/Calculations_APPURT[[#This Row],[Brackets]],0) * cv_M/cv_F * Forces_APPURT[[#This Row],[Alpha Fa 45]] * Calculations_APPURT[[#This Row],[Horizontal Offset]]/12</f>
        <v>0</v>
      </c>
      <c r="LF26" s="338">
        <f>IFERROR(1/Calculations_APPURT[[#This Row],[Brackets]],0) * cv_M/cv_F * Forces_APPURT[[#This Row],[Alpha Fa 60]] * Calculations_APPURT[[#This Row],[Horizontal Offset]]/12</f>
        <v>0</v>
      </c>
      <c r="LG26" s="338">
        <f>IFERROR(1/Calculations_APPURT[[#This Row],[Brackets]],0) * cv_M/cv_F * Forces_APPURT[[#This Row],[Alpha Fa 90]] * Calculations_APPURT[[#This Row],[Horizontal Offset]]/12</f>
        <v>0</v>
      </c>
      <c r="LH26" s="338">
        <f>IFERROR(1/Calculations_APPURT[[#This Row],[Brackets]],0) * cv_M/cv_F * Forces_APPURT[[#This Row],[Alpha Fa 120]] * Calculations_APPURT[[#This Row],[Horizontal Offset]]/12</f>
        <v>0</v>
      </c>
      <c r="LI26" s="338">
        <f>IFERROR(1/Calculations_APPURT[[#This Row],[Brackets]],0) * cv_M/cv_F * Forces_APPURT[[#This Row],[Alpha Fa 135]] * Calculations_APPURT[[#This Row],[Horizontal Offset]]/12</f>
        <v>0</v>
      </c>
      <c r="LJ26" s="338">
        <f>IFERROR(1/Calculations_APPURT[[#This Row],[Brackets]],0) * cv_M/cv_F * Forces_APPURT[[#This Row],[Alpha Fa 150]] * Calculations_APPURT[[#This Row],[Horizontal Offset]]/12</f>
        <v>0</v>
      </c>
      <c r="LK26" s="338">
        <f>IFERROR(1/Calculations_APPURT[[#This Row],[Brackets]],0) * cv_M/cv_F * Forces_APPURT[[#This Row],[Alpha Fa 180]] * Calculations_APPURT[[#This Row],[Horizontal Offset]]/12</f>
        <v>0</v>
      </c>
      <c r="LL26" s="338">
        <f>IFERROR(1/Calculations_APPURT[[#This Row],[Brackets]],0) * cv_M/cv_F * Forces_APPURT[[#This Row],[Alpha Fa 210]] * Calculations_APPURT[[#This Row],[Horizontal Offset]]/12</f>
        <v>0</v>
      </c>
      <c r="LM26" s="338">
        <f>IFERROR(1/Calculations_APPURT[[#This Row],[Brackets]],0) * cv_M/cv_F * Forces_APPURT[[#This Row],[Alpha Fa 225]] * Calculations_APPURT[[#This Row],[Horizontal Offset]]/12</f>
        <v>0</v>
      </c>
      <c r="LN26" s="338">
        <f>IFERROR(1/Calculations_APPURT[[#This Row],[Brackets]],0) * cv_M/cv_F * Forces_APPURT[[#This Row],[Alpha Fa 240]] * Calculations_APPURT[[#This Row],[Horizontal Offset]]/12</f>
        <v>0</v>
      </c>
      <c r="LO26" s="338">
        <f>IFERROR(1/Calculations_APPURT[[#This Row],[Brackets]],0) * cv_M/cv_F * Forces_APPURT[[#This Row],[Alpha Fa 270]] * Calculations_APPURT[[#This Row],[Horizontal Offset]]/12</f>
        <v>0</v>
      </c>
      <c r="LP26" s="338">
        <f>IFERROR(1/Calculations_APPURT[[#This Row],[Brackets]],0) * cv_M/cv_F * Forces_APPURT[[#This Row],[Alpha Fa 300]] * Calculations_APPURT[[#This Row],[Horizontal Offset]]/12</f>
        <v>0</v>
      </c>
      <c r="LQ26" s="338">
        <f>IFERROR(1/Calculations_APPURT[[#This Row],[Brackets]],0) * cv_M/cv_F * Forces_APPURT[[#This Row],[Alpha Fa 315]] * Calculations_APPURT[[#This Row],[Horizontal Offset]]/12</f>
        <v>0</v>
      </c>
      <c r="LR26" s="338">
        <f>IFERROR(1/Calculations_APPURT[[#This Row],[Brackets]],0) * cv_M/cv_F * Forces_APPURT[[#This Row],[Alpha Fa 330]] * Calculations_APPURT[[#This Row],[Horizontal Offset]]/12</f>
        <v>0</v>
      </c>
      <c r="LS26" s="276">
        <f>IFERROR(1/Calculations_APPURT[[#This Row],[Brackets]],0) * cv_M/cv_F * Forces_APPURT[[#This Row],[Beta Fa 0]] * Calculations_APPURT[[#This Row],[Horizontal Offset]]/12</f>
        <v>0</v>
      </c>
      <c r="LT26" s="276">
        <f>IFERROR(1/Calculations_APPURT[[#This Row],[Brackets]],0) * cv_M/cv_F * Forces_APPURT[[#This Row],[Beta Fa 30]] * Calculations_APPURT[[#This Row],[Horizontal Offset]]/12</f>
        <v>0</v>
      </c>
      <c r="LU26" s="276">
        <f>IFERROR(1/Calculations_APPURT[[#This Row],[Brackets]],0) * cv_M/cv_F * Forces_APPURT[[#This Row],[Beta Fa 45]] * Calculations_APPURT[[#This Row],[Horizontal Offset]]/12</f>
        <v>0</v>
      </c>
      <c r="LV26" s="276">
        <f>IFERROR(1/Calculations_APPURT[[#This Row],[Brackets]],0) * cv_M/cv_F * Forces_APPURT[[#This Row],[Beta Fa 60]] * Calculations_APPURT[[#This Row],[Horizontal Offset]]/12</f>
        <v>0</v>
      </c>
      <c r="LW26" s="276">
        <f>IFERROR(1/Calculations_APPURT[[#This Row],[Brackets]],0) * cv_M/cv_F * Forces_APPURT[[#This Row],[Beta Fa 90]] * Calculations_APPURT[[#This Row],[Horizontal Offset]]/12</f>
        <v>0</v>
      </c>
      <c r="LX26" s="276">
        <f>IFERROR(1/Calculations_APPURT[[#This Row],[Brackets]],0) * cv_M/cv_F * Forces_APPURT[[#This Row],[Beta Fa 120]] * Calculations_APPURT[[#This Row],[Horizontal Offset]]/12</f>
        <v>0</v>
      </c>
      <c r="LY26" s="276">
        <f>IFERROR(1/Calculations_APPURT[[#This Row],[Brackets]],0) * cv_M/cv_F * Forces_APPURT[[#This Row],[Beta Fa 135]] * Calculations_APPURT[[#This Row],[Horizontal Offset]]/12</f>
        <v>0</v>
      </c>
      <c r="LZ26" s="276">
        <f>IFERROR(1/Calculations_APPURT[[#This Row],[Brackets]],0) * cv_M/cv_F * Forces_APPURT[[#This Row],[Beta Fa 150]] * Calculations_APPURT[[#This Row],[Horizontal Offset]]/12</f>
        <v>0</v>
      </c>
      <c r="MA26" s="276">
        <f>IFERROR(1/Calculations_APPURT[[#This Row],[Brackets]],0) * cv_M/cv_F * Forces_APPURT[[#This Row],[Beta Fa 180]] * Calculations_APPURT[[#This Row],[Horizontal Offset]]/12</f>
        <v>0</v>
      </c>
      <c r="MB26" s="276">
        <f>IFERROR(1/Calculations_APPURT[[#This Row],[Brackets]],0) * cv_M/cv_F * Forces_APPURT[[#This Row],[Beta Fa 210]] * Calculations_APPURT[[#This Row],[Horizontal Offset]]/12</f>
        <v>0</v>
      </c>
      <c r="MC26" s="276">
        <f>IFERROR(1/Calculations_APPURT[[#This Row],[Brackets]],0) * cv_M/cv_F * Forces_APPURT[[#This Row],[Beta Fa 225]] * Calculations_APPURT[[#This Row],[Horizontal Offset]]/12</f>
        <v>0</v>
      </c>
      <c r="MD26" s="276">
        <f>IFERROR(1/Calculations_APPURT[[#This Row],[Brackets]],0) * cv_M/cv_F * Forces_APPURT[[#This Row],[Beta Fa 240]] * Calculations_APPURT[[#This Row],[Horizontal Offset]]/12</f>
        <v>0</v>
      </c>
      <c r="ME26" s="276">
        <f>IFERROR(1/Calculations_APPURT[[#This Row],[Brackets]],0) * cv_M/cv_F * Forces_APPURT[[#This Row],[Beta Fa 270]] * Calculations_APPURT[[#This Row],[Horizontal Offset]]/12</f>
        <v>0</v>
      </c>
      <c r="MF26" s="276">
        <f>IFERROR(1/Calculations_APPURT[[#This Row],[Brackets]],0) * cv_M/cv_F * Forces_APPURT[[#This Row],[Beta Fa 300]] * Calculations_APPURT[[#This Row],[Horizontal Offset]]/12</f>
        <v>0</v>
      </c>
      <c r="MG26" s="276">
        <f>IFERROR(1/Calculations_APPURT[[#This Row],[Brackets]],0) * cv_M/cv_F * Forces_APPURT[[#This Row],[Beta Fa 315]] * Calculations_APPURT[[#This Row],[Horizontal Offset]]/12</f>
        <v>0</v>
      </c>
      <c r="MH26" s="276">
        <f>IFERROR(1/Calculations_APPURT[[#This Row],[Brackets]],0) * cv_M/cv_F * Forces_APPURT[[#This Row],[Beta Fa 330]] * Calculations_APPURT[[#This Row],[Horizontal Offset]]/12</f>
        <v>0</v>
      </c>
      <c r="MI26" s="338">
        <f>IFERROR(1/Calculations_APPURT[[#This Row],[Brackets]],0) * cv_M/cv_F * Forces_APPURT[[#This Row],[Gamma Fa 0]] * Calculations_APPURT[[#This Row],[Horizontal Offset]]/12</f>
        <v>0</v>
      </c>
      <c r="MJ26" s="338">
        <f>IFERROR(1/Calculations_APPURT[[#This Row],[Brackets]],0) * cv_M/cv_F * Forces_APPURT[[#This Row],[Gamma Fa 30]] * Calculations_APPURT[[#This Row],[Horizontal Offset]]/12</f>
        <v>0</v>
      </c>
      <c r="MK26" s="338">
        <f>IFERROR(1/Calculations_APPURT[[#This Row],[Brackets]],0) * cv_M/cv_F * Forces_APPURT[[#This Row],[Gamma Fa 45]] * Calculations_APPURT[[#This Row],[Horizontal Offset]]/12</f>
        <v>0</v>
      </c>
      <c r="ML26" s="338">
        <f>IFERROR(1/Calculations_APPURT[[#This Row],[Brackets]],0) * cv_M/cv_F * Forces_APPURT[[#This Row],[Gamma Fa 60]] * Calculations_APPURT[[#This Row],[Horizontal Offset]]/12</f>
        <v>0</v>
      </c>
      <c r="MM26" s="338">
        <f>IFERROR(1/Calculations_APPURT[[#This Row],[Brackets]],0) * cv_M/cv_F * Forces_APPURT[[#This Row],[Gamma Fa 90]] * Calculations_APPURT[[#This Row],[Horizontal Offset]]/12</f>
        <v>0</v>
      </c>
      <c r="MN26" s="338">
        <f>IFERROR(1/Calculations_APPURT[[#This Row],[Brackets]],0) * cv_M/cv_F * Forces_APPURT[[#This Row],[Gamma Fa 120]] * Calculations_APPURT[[#This Row],[Horizontal Offset]]/12</f>
        <v>0</v>
      </c>
      <c r="MO26" s="338">
        <f>IFERROR(1/Calculations_APPURT[[#This Row],[Brackets]],0) * cv_M/cv_F * Forces_APPURT[[#This Row],[Gamma Fa 135]] * Calculations_APPURT[[#This Row],[Horizontal Offset]]/12</f>
        <v>0</v>
      </c>
      <c r="MP26" s="338">
        <f>IFERROR(1/Calculations_APPURT[[#This Row],[Brackets]],0) * cv_M/cv_F * Forces_APPURT[[#This Row],[Gamma Fa 150]] * Calculations_APPURT[[#This Row],[Horizontal Offset]]/12</f>
        <v>0</v>
      </c>
      <c r="MQ26" s="338">
        <f>IFERROR(1/Calculations_APPURT[[#This Row],[Brackets]],0) * cv_M/cv_F * Forces_APPURT[[#This Row],[Gamma Fa 180]] * Calculations_APPURT[[#This Row],[Horizontal Offset]]/12</f>
        <v>0</v>
      </c>
      <c r="MR26" s="338">
        <f>IFERROR(1/Calculations_APPURT[[#This Row],[Brackets]],0) * cv_M/cv_F * Forces_APPURT[[#This Row],[Gamma Fa 210]] * Calculations_APPURT[[#This Row],[Horizontal Offset]]/12</f>
        <v>0</v>
      </c>
      <c r="MS26" s="338">
        <f>IFERROR(1/Calculations_APPURT[[#This Row],[Brackets]],0) * cv_M/cv_F * Forces_APPURT[[#This Row],[Gamma Fa 225]] * Calculations_APPURT[[#This Row],[Horizontal Offset]]/12</f>
        <v>0</v>
      </c>
      <c r="MT26" s="338">
        <f>IFERROR(1/Calculations_APPURT[[#This Row],[Brackets]],0) * cv_M/cv_F * Forces_APPURT[[#This Row],[Gamma Fa 240]] * Calculations_APPURT[[#This Row],[Horizontal Offset]]/12</f>
        <v>0</v>
      </c>
      <c r="MU26" s="338">
        <f>IFERROR(1/Calculations_APPURT[[#This Row],[Brackets]],0) * cv_M/cv_F * Forces_APPURT[[#This Row],[Gamma Fa 270]] * Calculations_APPURT[[#This Row],[Horizontal Offset]]/12</f>
        <v>0</v>
      </c>
      <c r="MV26" s="338">
        <f>IFERROR(1/Calculations_APPURT[[#This Row],[Brackets]],0) * cv_M/cv_F * Forces_APPURT[[#This Row],[Gamma Fa 300]] * Calculations_APPURT[[#This Row],[Horizontal Offset]]/12</f>
        <v>0</v>
      </c>
      <c r="MW26" s="338">
        <f>IFERROR(1/Calculations_APPURT[[#This Row],[Brackets]],0) * cv_M/cv_F * Forces_APPURT[[#This Row],[Gamma Fa 315]] * Calculations_APPURT[[#This Row],[Horizontal Offset]]/12</f>
        <v>0</v>
      </c>
      <c r="MX26" s="338">
        <f>IFERROR(1/Calculations_APPURT[[#This Row],[Brackets]],0) * cv_M/cv_F * Forces_APPURT[[#This Row],[Gamma Fa 330]] * Calculations_APPURT[[#This Row],[Horizontal Offset]]/12</f>
        <v>0</v>
      </c>
      <c r="MY26" s="276">
        <f>IFERROR(1/Calculations_APPURT[[#This Row],[Brackets]],0) * cv_M/cv_F * Forces_APPURT[[#This Row],[Delta Fa 0]] * Calculations_APPURT[[#This Row],[Horizontal Offset]]/12</f>
        <v>0</v>
      </c>
      <c r="MZ26" s="276">
        <f>IFERROR(1/Calculations_APPURT[[#This Row],[Brackets]],0) * cv_M/cv_F * Forces_APPURT[[#This Row],[Delta Fa 30]] * Calculations_APPURT[[#This Row],[Horizontal Offset]]/12</f>
        <v>0</v>
      </c>
      <c r="NA26" s="276">
        <f>IFERROR(1/Calculations_APPURT[[#This Row],[Brackets]],0) * cv_M/cv_F * Forces_APPURT[[#This Row],[Delta Fa 45]] * Calculations_APPURT[[#This Row],[Horizontal Offset]]/12</f>
        <v>0</v>
      </c>
      <c r="NB26" s="276">
        <f>IFERROR(1/Calculations_APPURT[[#This Row],[Brackets]],0) * cv_M/cv_F * Forces_APPURT[[#This Row],[Delta Fa 60]] * Calculations_APPURT[[#This Row],[Horizontal Offset]]/12</f>
        <v>0</v>
      </c>
      <c r="NC26" s="276">
        <f>IFERROR(1/Calculations_APPURT[[#This Row],[Brackets]],0) * cv_M/cv_F * Forces_APPURT[[#This Row],[Delta Fa 90]] * Calculations_APPURT[[#This Row],[Horizontal Offset]]/12</f>
        <v>0</v>
      </c>
      <c r="ND26" s="276">
        <f>IFERROR(1/Calculations_APPURT[[#This Row],[Brackets]],0) * cv_M/cv_F * Forces_APPURT[[#This Row],[Delta Fa 120]] * Calculations_APPURT[[#This Row],[Horizontal Offset]]/12</f>
        <v>0</v>
      </c>
      <c r="NE26" s="276">
        <f>IFERROR(1/Calculations_APPURT[[#This Row],[Brackets]],0) * cv_M/cv_F * Forces_APPURT[[#This Row],[Delta Fa 135]] * Calculations_APPURT[[#This Row],[Horizontal Offset]]/12</f>
        <v>0</v>
      </c>
      <c r="NF26" s="276">
        <f>IFERROR(1/Calculations_APPURT[[#This Row],[Brackets]],0) * cv_M/cv_F * Forces_APPURT[[#This Row],[Delta Fa 150]] * Calculations_APPURT[[#This Row],[Horizontal Offset]]/12</f>
        <v>0</v>
      </c>
      <c r="NG26" s="276">
        <f>IFERROR(1/Calculations_APPURT[[#This Row],[Brackets]],0) * cv_M/cv_F * Forces_APPURT[[#This Row],[Delta Fa 180]] * Calculations_APPURT[[#This Row],[Horizontal Offset]]/12</f>
        <v>0</v>
      </c>
      <c r="NH26" s="276">
        <f>IFERROR(1/Calculations_APPURT[[#This Row],[Brackets]],0) * cv_M/cv_F * Forces_APPURT[[#This Row],[Delta Fa 210]] * Calculations_APPURT[[#This Row],[Horizontal Offset]]/12</f>
        <v>0</v>
      </c>
      <c r="NI26" s="276">
        <f>IFERROR(1/Calculations_APPURT[[#This Row],[Brackets]],0) * cv_M/cv_F * Forces_APPURT[[#This Row],[Delta Fa 225]] * Calculations_APPURT[[#This Row],[Horizontal Offset]]/12</f>
        <v>0</v>
      </c>
      <c r="NJ26" s="276">
        <f>IFERROR(1/Calculations_APPURT[[#This Row],[Brackets]],0) * cv_M/cv_F * Forces_APPURT[[#This Row],[Delta Fa 240]] * Calculations_APPURT[[#This Row],[Horizontal Offset]]/12</f>
        <v>0</v>
      </c>
      <c r="NK26" s="276">
        <f>IFERROR(1/Calculations_APPURT[[#This Row],[Brackets]],0) * cv_M/cv_F * Forces_APPURT[[#This Row],[Delta Fa 270]] * Calculations_APPURT[[#This Row],[Horizontal Offset]]/12</f>
        <v>0</v>
      </c>
      <c r="NL26" s="276">
        <f>IFERROR(1/Calculations_APPURT[[#This Row],[Brackets]],0) * cv_M/cv_F * Forces_APPURT[[#This Row],[Delta Fa 300]] * Calculations_APPURT[[#This Row],[Horizontal Offset]]/12</f>
        <v>0</v>
      </c>
      <c r="NM26" s="276">
        <f>IFERROR(1/Calculations_APPURT[[#This Row],[Brackets]],0) * cv_M/cv_F * Forces_APPURT[[#This Row],[Delta Fa 315]] * Calculations_APPURT[[#This Row],[Horizontal Offset]]/12</f>
        <v>0</v>
      </c>
      <c r="NN26" s="276">
        <f>IFERROR(1/Calculations_APPURT[[#This Row],[Brackets]],0) * cv_M/cv_F * Forces_APPURT[[#This Row],[Delta Fa 330]] * Calculations_APPURT[[#This Row],[Horizontal Offset]]/12</f>
        <v>0</v>
      </c>
      <c r="NO26" s="338">
        <f>IFERROR(1/Calculations_APPURT[[#This Row],[Brackets]],0) * cv_M/cv_F * Forces_APPURT[[#This Row],[Alpha Fai 0]] * Calculations_APPURT[[#This Row],[Horizontal Offset]]/12</f>
        <v>0</v>
      </c>
      <c r="NP26" s="338">
        <f>IFERROR(1/Calculations_APPURT[[#This Row],[Brackets]],0) * cv_M/cv_F * Forces_APPURT[[#This Row],[Alpha Fai 30]] * Calculations_APPURT[[#This Row],[Horizontal Offset]]/12</f>
        <v>0</v>
      </c>
      <c r="NQ26" s="338">
        <f>IFERROR(1/Calculations_APPURT[[#This Row],[Brackets]],0) * cv_M/cv_F * Forces_APPURT[[#This Row],[Alpha Fai 45]] * Calculations_APPURT[[#This Row],[Horizontal Offset]]/12</f>
        <v>0</v>
      </c>
      <c r="NR26" s="338">
        <f>IFERROR(1/Calculations_APPURT[[#This Row],[Brackets]],0) * cv_M/cv_F * Forces_APPURT[[#This Row],[Alpha Fai 60]] * Calculations_APPURT[[#This Row],[Horizontal Offset]]/12</f>
        <v>0</v>
      </c>
      <c r="NS26" s="338">
        <f>IFERROR(1/Calculations_APPURT[[#This Row],[Brackets]],0) * cv_M/cv_F * Forces_APPURT[[#This Row],[Alpha Fai 90]] * Calculations_APPURT[[#This Row],[Horizontal Offset]]/12</f>
        <v>0</v>
      </c>
      <c r="NT26" s="338">
        <f>IFERROR(1/Calculations_APPURT[[#This Row],[Brackets]],0) * cv_M/cv_F * Forces_APPURT[[#This Row],[Alpha Fai 120]] * Calculations_APPURT[[#This Row],[Horizontal Offset]]/12</f>
        <v>0</v>
      </c>
      <c r="NU26" s="338">
        <f>IFERROR(1/Calculations_APPURT[[#This Row],[Brackets]],0) * cv_M/cv_F * Forces_APPURT[[#This Row],[Alpha Fai 135]] * Calculations_APPURT[[#This Row],[Horizontal Offset]]/12</f>
        <v>0</v>
      </c>
      <c r="NV26" s="338">
        <f>IFERROR(1/Calculations_APPURT[[#This Row],[Brackets]],0) * cv_M/cv_F * Forces_APPURT[[#This Row],[Alpha Fai 150]] * Calculations_APPURT[[#This Row],[Horizontal Offset]]/12</f>
        <v>0</v>
      </c>
      <c r="NW26" s="338">
        <f>IFERROR(1/Calculations_APPURT[[#This Row],[Brackets]],0) * cv_M/cv_F * Forces_APPURT[[#This Row],[Alpha Fai 180]] * Calculations_APPURT[[#This Row],[Horizontal Offset]]/12</f>
        <v>0</v>
      </c>
      <c r="NX26" s="338">
        <f>IFERROR(1/Calculations_APPURT[[#This Row],[Brackets]],0) * cv_M/cv_F * Forces_APPURT[[#This Row],[Alpha Fai 210]] * Calculations_APPURT[[#This Row],[Horizontal Offset]]/12</f>
        <v>0</v>
      </c>
      <c r="NY26" s="338">
        <f>IFERROR(1/Calculations_APPURT[[#This Row],[Brackets]],0) * cv_M/cv_F * Forces_APPURT[[#This Row],[Alpha Fai 225]] * Calculations_APPURT[[#This Row],[Horizontal Offset]]/12</f>
        <v>0</v>
      </c>
      <c r="NZ26" s="338">
        <f>IFERROR(1/Calculations_APPURT[[#This Row],[Brackets]],0) * cv_M/cv_F * Forces_APPURT[[#This Row],[Alpha Fai 240]] * Calculations_APPURT[[#This Row],[Horizontal Offset]]/12</f>
        <v>0</v>
      </c>
      <c r="OA26" s="338">
        <f>IFERROR(1/Calculations_APPURT[[#This Row],[Brackets]],0) * cv_M/cv_F * Forces_APPURT[[#This Row],[Alpha Fai 270]] * Calculations_APPURT[[#This Row],[Horizontal Offset]]/12</f>
        <v>0</v>
      </c>
      <c r="OB26" s="338">
        <f>IFERROR(1/Calculations_APPURT[[#This Row],[Brackets]],0) * cv_M/cv_F * Forces_APPURT[[#This Row],[Alpha Fai 300]] * Calculations_APPURT[[#This Row],[Horizontal Offset]]/12</f>
        <v>0</v>
      </c>
      <c r="OC26" s="338">
        <f>IFERROR(1/Calculations_APPURT[[#This Row],[Brackets]],0) * cv_M/cv_F * Forces_APPURT[[#This Row],[Alpha Fai 315]] * Calculations_APPURT[[#This Row],[Horizontal Offset]]/12</f>
        <v>0</v>
      </c>
      <c r="OD26" s="338">
        <f>IFERROR(1/Calculations_APPURT[[#This Row],[Brackets]],0) * cv_M/cv_F * Forces_APPURT[[#This Row],[Alpha Fai 330]] * Calculations_APPURT[[#This Row],[Horizontal Offset]]/12</f>
        <v>0</v>
      </c>
      <c r="OE26" s="276">
        <f>IFERROR(1/Calculations_APPURT[[#This Row],[Brackets]],0) * cv_M/cv_F * Forces_APPURT[[#This Row],[Beta Fai 0]] * Calculations_APPURT[[#This Row],[Horizontal Offset]]/12</f>
        <v>0</v>
      </c>
      <c r="OF26" s="276">
        <f>IFERROR(1/Calculations_APPURT[[#This Row],[Brackets]],0) * cv_M/cv_F * Forces_APPURT[[#This Row],[Beta Fai 30]] * Calculations_APPURT[[#This Row],[Horizontal Offset]]/12</f>
        <v>0</v>
      </c>
      <c r="OG26" s="276">
        <f>IFERROR(1/Calculations_APPURT[[#This Row],[Brackets]],0) * cv_M/cv_F * Forces_APPURT[[#This Row],[Beta Fai 45]] * Calculations_APPURT[[#This Row],[Horizontal Offset]]/12</f>
        <v>0</v>
      </c>
      <c r="OH26" s="276">
        <f>IFERROR(1/Calculations_APPURT[[#This Row],[Brackets]],0) * cv_M/cv_F * Forces_APPURT[[#This Row],[Beta Fai 60]] * Calculations_APPURT[[#This Row],[Horizontal Offset]]/12</f>
        <v>0</v>
      </c>
      <c r="OI26" s="276">
        <f>IFERROR(1/Calculations_APPURT[[#This Row],[Brackets]],0) * cv_M/cv_F * Forces_APPURT[[#This Row],[Beta Fai 90]] * Calculations_APPURT[[#This Row],[Horizontal Offset]]/12</f>
        <v>0</v>
      </c>
      <c r="OJ26" s="276">
        <f>IFERROR(1/Calculations_APPURT[[#This Row],[Brackets]],0) * cv_M/cv_F * Forces_APPURT[[#This Row],[Beta Fai 120]] * Calculations_APPURT[[#This Row],[Horizontal Offset]]/12</f>
        <v>0</v>
      </c>
      <c r="OK26" s="276">
        <f>IFERROR(1/Calculations_APPURT[[#This Row],[Brackets]],0) * cv_M/cv_F * Forces_APPURT[[#This Row],[Beta Fai 135]] * Calculations_APPURT[[#This Row],[Horizontal Offset]]/12</f>
        <v>0</v>
      </c>
      <c r="OL26" s="276">
        <f>IFERROR(1/Calculations_APPURT[[#This Row],[Brackets]],0) * cv_M/cv_F * Forces_APPURT[[#This Row],[Beta Fai 150]] * Calculations_APPURT[[#This Row],[Horizontal Offset]]/12</f>
        <v>0</v>
      </c>
      <c r="OM26" s="276">
        <f>IFERROR(1/Calculations_APPURT[[#This Row],[Brackets]],0) * cv_M/cv_F * Forces_APPURT[[#This Row],[Beta Fai 180]] * Calculations_APPURT[[#This Row],[Horizontal Offset]]/12</f>
        <v>0</v>
      </c>
      <c r="ON26" s="276">
        <f>IFERROR(1/Calculations_APPURT[[#This Row],[Brackets]],0) * cv_M/cv_F * Forces_APPURT[[#This Row],[Beta Fai 210]] * Calculations_APPURT[[#This Row],[Horizontal Offset]]/12</f>
        <v>0</v>
      </c>
      <c r="OO26" s="276">
        <f>IFERROR(1/Calculations_APPURT[[#This Row],[Brackets]],0) * cv_M/cv_F * Forces_APPURT[[#This Row],[Beta Fai 225]] * Calculations_APPURT[[#This Row],[Horizontal Offset]]/12</f>
        <v>0</v>
      </c>
      <c r="OP26" s="276">
        <f>IFERROR(1/Calculations_APPURT[[#This Row],[Brackets]],0) * cv_M/cv_F * Forces_APPURT[[#This Row],[Beta Fai 240]] * Calculations_APPURT[[#This Row],[Horizontal Offset]]/12</f>
        <v>0</v>
      </c>
      <c r="OQ26" s="276">
        <f>IFERROR(1/Calculations_APPURT[[#This Row],[Brackets]],0) * cv_M/cv_F * Forces_APPURT[[#This Row],[Beta Fai 270]] * Calculations_APPURT[[#This Row],[Horizontal Offset]]/12</f>
        <v>0</v>
      </c>
      <c r="OR26" s="276">
        <f>IFERROR(1/Calculations_APPURT[[#This Row],[Brackets]],0) * cv_M/cv_F * Forces_APPURT[[#This Row],[Beta Fai 300]] * Calculations_APPURT[[#This Row],[Horizontal Offset]]/12</f>
        <v>0</v>
      </c>
      <c r="OS26" s="276">
        <f>IFERROR(1/Calculations_APPURT[[#This Row],[Brackets]],0) * cv_M/cv_F * Forces_APPURT[[#This Row],[Beta Fai 315]] * Calculations_APPURT[[#This Row],[Horizontal Offset]]/12</f>
        <v>0</v>
      </c>
      <c r="OT26" s="276">
        <f>IFERROR(1/Calculations_APPURT[[#This Row],[Brackets]],0) * cv_M/cv_F * Forces_APPURT[[#This Row],[Beta Fai 330]] * Calculations_APPURT[[#This Row],[Horizontal Offset]]/12</f>
        <v>0</v>
      </c>
      <c r="OU26" s="338">
        <f>IFERROR(1/Calculations_APPURT[[#This Row],[Brackets]],0) * cv_M/cv_F * Forces_APPURT[[#This Row],[Gamma Fai 0]] * Calculations_APPURT[[#This Row],[Horizontal Offset]]/12</f>
        <v>0</v>
      </c>
      <c r="OV26" s="338">
        <f>IFERROR(1/Calculations_APPURT[[#This Row],[Brackets]],0) * cv_M/cv_F * Forces_APPURT[[#This Row],[Gamma Fai 30]] * Calculations_APPURT[[#This Row],[Horizontal Offset]]/12</f>
        <v>0</v>
      </c>
      <c r="OW26" s="338">
        <f>IFERROR(1/Calculations_APPURT[[#This Row],[Brackets]],0) * cv_M/cv_F * Forces_APPURT[[#This Row],[Gamma Fai 45]] * Calculations_APPURT[[#This Row],[Horizontal Offset]]/12</f>
        <v>0</v>
      </c>
      <c r="OX26" s="338">
        <f>IFERROR(1/Calculations_APPURT[[#This Row],[Brackets]],0) * cv_M/cv_F * Forces_APPURT[[#This Row],[Gamma Fai 60]] * Calculations_APPURT[[#This Row],[Horizontal Offset]]/12</f>
        <v>0</v>
      </c>
      <c r="OY26" s="338">
        <f>IFERROR(1/Calculations_APPURT[[#This Row],[Brackets]],0) * cv_M/cv_F * Forces_APPURT[[#This Row],[Gamma Fai 90]] * Calculations_APPURT[[#This Row],[Horizontal Offset]]/12</f>
        <v>0</v>
      </c>
      <c r="OZ26" s="338">
        <f>IFERROR(1/Calculations_APPURT[[#This Row],[Brackets]],0) * cv_M/cv_F * Forces_APPURT[[#This Row],[Gamma Fai 120]] * Calculations_APPURT[[#This Row],[Horizontal Offset]]/12</f>
        <v>0</v>
      </c>
      <c r="PA26" s="338">
        <f>IFERROR(1/Calculations_APPURT[[#This Row],[Brackets]],0) * cv_M/cv_F * Forces_APPURT[[#This Row],[Gamma Fai 135]] * Calculations_APPURT[[#This Row],[Horizontal Offset]]/12</f>
        <v>0</v>
      </c>
      <c r="PB26" s="338">
        <f>IFERROR(1/Calculations_APPURT[[#This Row],[Brackets]],0) * cv_M/cv_F * Forces_APPURT[[#This Row],[Gamma Fai 150]] * Calculations_APPURT[[#This Row],[Horizontal Offset]]/12</f>
        <v>0</v>
      </c>
      <c r="PC26" s="338">
        <f>IFERROR(1/Calculations_APPURT[[#This Row],[Brackets]],0) * cv_M/cv_F * Forces_APPURT[[#This Row],[Gamma Fai 180]] * Calculations_APPURT[[#This Row],[Horizontal Offset]]/12</f>
        <v>0</v>
      </c>
      <c r="PD26" s="338">
        <f>IFERROR(1/Calculations_APPURT[[#This Row],[Brackets]],0) * cv_M/cv_F * Forces_APPURT[[#This Row],[Gamma Fai 210]] * Calculations_APPURT[[#This Row],[Horizontal Offset]]/12</f>
        <v>0</v>
      </c>
      <c r="PE26" s="338">
        <f>IFERROR(1/Calculations_APPURT[[#This Row],[Brackets]],0) * cv_M/cv_F * Forces_APPURT[[#This Row],[Gamma Fai 225]] * Calculations_APPURT[[#This Row],[Horizontal Offset]]/12</f>
        <v>0</v>
      </c>
      <c r="PF26" s="338">
        <f>IFERROR(1/Calculations_APPURT[[#This Row],[Brackets]],0) * cv_M/cv_F * Forces_APPURT[[#This Row],[Gamma Fai 240]] * Calculations_APPURT[[#This Row],[Horizontal Offset]]/12</f>
        <v>0</v>
      </c>
      <c r="PG26" s="338">
        <f>IFERROR(1/Calculations_APPURT[[#This Row],[Brackets]],0) * cv_M/cv_F * Forces_APPURT[[#This Row],[Gamma Fai 270]] * Calculations_APPURT[[#This Row],[Horizontal Offset]]/12</f>
        <v>0</v>
      </c>
      <c r="PH26" s="338">
        <f>IFERROR(1/Calculations_APPURT[[#This Row],[Brackets]],0) * cv_M/cv_F * Forces_APPURT[[#This Row],[Gamma Fai 300]] * Calculations_APPURT[[#This Row],[Horizontal Offset]]/12</f>
        <v>0</v>
      </c>
      <c r="PI26" s="338">
        <f>IFERROR(1/Calculations_APPURT[[#This Row],[Brackets]],0) * cv_M/cv_F * Forces_APPURT[[#This Row],[Gamma Fai 315]] * Calculations_APPURT[[#This Row],[Horizontal Offset]]/12</f>
        <v>0</v>
      </c>
      <c r="PJ26" s="338">
        <f>IFERROR(1/Calculations_APPURT[[#This Row],[Brackets]],0) * cv_M/cv_F * Forces_APPURT[[#This Row],[Gamma Fai 330]] * Calculations_APPURT[[#This Row],[Horizontal Offset]]/12</f>
        <v>0</v>
      </c>
      <c r="PK26" s="276">
        <f>IFERROR(1/Calculations_APPURT[[#This Row],[Brackets]],0) * cv_M/cv_F * Forces_APPURT[[#This Row],[Delta Fai 0]] * Calculations_APPURT[[#This Row],[Horizontal Offset]]/12</f>
        <v>0</v>
      </c>
      <c r="PL26" s="276">
        <f>IFERROR(1/Calculations_APPURT[[#This Row],[Brackets]],0) * cv_M/cv_F * Forces_APPURT[[#This Row],[Delta Fai 30]] * Calculations_APPURT[[#This Row],[Horizontal Offset]]/12</f>
        <v>0</v>
      </c>
      <c r="PM26" s="276">
        <f>IFERROR(1/Calculations_APPURT[[#This Row],[Brackets]],0) * cv_M/cv_F * Forces_APPURT[[#This Row],[Delta Fai 45]] * Calculations_APPURT[[#This Row],[Horizontal Offset]]/12</f>
        <v>0</v>
      </c>
      <c r="PN26" s="276">
        <f>IFERROR(1/Calculations_APPURT[[#This Row],[Brackets]],0) * cv_M/cv_F * Forces_APPURT[[#This Row],[Delta Fai 60]] * Calculations_APPURT[[#This Row],[Horizontal Offset]]/12</f>
        <v>0</v>
      </c>
      <c r="PO26" s="276">
        <f>IFERROR(1/Calculations_APPURT[[#This Row],[Brackets]],0) * cv_M/cv_F * Forces_APPURT[[#This Row],[Delta Fai 90]] * Calculations_APPURT[[#This Row],[Horizontal Offset]]/12</f>
        <v>0</v>
      </c>
      <c r="PP26" s="276">
        <f>IFERROR(1/Calculations_APPURT[[#This Row],[Brackets]],0) * cv_M/cv_F * Forces_APPURT[[#This Row],[Delta Fai 120]] * Calculations_APPURT[[#This Row],[Horizontal Offset]]/12</f>
        <v>0</v>
      </c>
      <c r="PQ26" s="276">
        <f>IFERROR(1/Calculations_APPURT[[#This Row],[Brackets]],0) * cv_M/cv_F * Forces_APPURT[[#This Row],[Delta Fai 135]] * Calculations_APPURT[[#This Row],[Horizontal Offset]]/12</f>
        <v>0</v>
      </c>
      <c r="PR26" s="276">
        <f>IFERROR(1/Calculations_APPURT[[#This Row],[Brackets]],0) * cv_M/cv_F * Forces_APPURT[[#This Row],[Delta Fai 150]] * Calculations_APPURT[[#This Row],[Horizontal Offset]]/12</f>
        <v>0</v>
      </c>
      <c r="PS26" s="276">
        <f>IFERROR(1/Calculations_APPURT[[#This Row],[Brackets]],0) * cv_M/cv_F * Forces_APPURT[[#This Row],[Delta Fai 180]] * Calculations_APPURT[[#This Row],[Horizontal Offset]]/12</f>
        <v>0</v>
      </c>
      <c r="PT26" s="276">
        <f>IFERROR(1/Calculations_APPURT[[#This Row],[Brackets]],0) * cv_M/cv_F * Forces_APPURT[[#This Row],[Delta Fai 210]] * Calculations_APPURT[[#This Row],[Horizontal Offset]]/12</f>
        <v>0</v>
      </c>
      <c r="PU26" s="276">
        <f>IFERROR(1/Calculations_APPURT[[#This Row],[Brackets]],0) * cv_M/cv_F * Forces_APPURT[[#This Row],[Delta Fai 225]] * Calculations_APPURT[[#This Row],[Horizontal Offset]]/12</f>
        <v>0</v>
      </c>
      <c r="PV26" s="276">
        <f>IFERROR(1/Calculations_APPURT[[#This Row],[Brackets]],0) * cv_M/cv_F * Forces_APPURT[[#This Row],[Delta Fai 240]] * Calculations_APPURT[[#This Row],[Horizontal Offset]]/12</f>
        <v>0</v>
      </c>
      <c r="PW26" s="276">
        <f>IFERROR(1/Calculations_APPURT[[#This Row],[Brackets]],0) * cv_M/cv_F * Forces_APPURT[[#This Row],[Delta Fai 270]] * Calculations_APPURT[[#This Row],[Horizontal Offset]]/12</f>
        <v>0</v>
      </c>
      <c r="PX26" s="276">
        <f>IFERROR(1/Calculations_APPURT[[#This Row],[Brackets]],0) * cv_M/cv_F * Forces_APPURT[[#This Row],[Delta Fai 300]] * Calculations_APPURT[[#This Row],[Horizontal Offset]]/12</f>
        <v>0</v>
      </c>
      <c r="PY26" s="276">
        <f>IFERROR(1/Calculations_APPURT[[#This Row],[Brackets]],0) * cv_M/cv_F * Forces_APPURT[[#This Row],[Delta Fai 315]] * Calculations_APPURT[[#This Row],[Horizontal Offset]]/12</f>
        <v>0</v>
      </c>
      <c r="PZ26" s="276">
        <f>IFERROR(1/Calculations_APPURT[[#This Row],[Brackets]],0) * cv_M/cv_F * Forces_APPURT[[#This Row],[Delta Fai 330]] * Calculations_APPURT[[#This Row],[Horizontal Offset]]/12</f>
        <v>0</v>
      </c>
      <c r="QA26" s="338">
        <f>IFERROR(1/Calculations_APPURT[[#This Row],[Brackets]],0) * cv_M/cv_F * Forces_APPURT[[#This Row],[Alpha Fa 0]] * Calculations_APPURT[[#This Row],[Lateral Offset]]/12</f>
        <v>0</v>
      </c>
      <c r="QB26" s="338">
        <f>IFERROR(1/Calculations_APPURT[[#This Row],[Brackets]],0) * cv_M/cv_F * Forces_APPURT[[#This Row],[Alpha Fa 30]] * Calculations_APPURT[[#This Row],[Lateral Offset]]/12</f>
        <v>0</v>
      </c>
      <c r="QC26" s="338">
        <f>IFERROR(1/Calculations_APPURT[[#This Row],[Brackets]],0) * cv_M/cv_F * Forces_APPURT[[#This Row],[Alpha Fa 45]] * Calculations_APPURT[[#This Row],[Lateral Offset]]/12</f>
        <v>0</v>
      </c>
      <c r="QD26" s="338">
        <f>IFERROR(1/Calculations_APPURT[[#This Row],[Brackets]],0) * cv_M/cv_F * Forces_APPURT[[#This Row],[Alpha Fa 60]] * Calculations_APPURT[[#This Row],[Lateral Offset]]/12</f>
        <v>0</v>
      </c>
      <c r="QE26" s="338">
        <f>IFERROR(1/Calculations_APPURT[[#This Row],[Brackets]],0) * cv_M/cv_F * Forces_APPURT[[#This Row],[Alpha Fa 90]] * Calculations_APPURT[[#This Row],[Lateral Offset]]/12</f>
        <v>0</v>
      </c>
      <c r="QF26" s="338">
        <f>IFERROR(1/Calculations_APPURT[[#This Row],[Brackets]],0) * cv_M/cv_F * Forces_APPURT[[#This Row],[Alpha Fa 120]] * Calculations_APPURT[[#This Row],[Lateral Offset]]/12</f>
        <v>0</v>
      </c>
      <c r="QG26" s="338">
        <f>IFERROR(1/Calculations_APPURT[[#This Row],[Brackets]],0) * cv_M/cv_F * Forces_APPURT[[#This Row],[Alpha Fa 135]] * Calculations_APPURT[[#This Row],[Lateral Offset]]/12</f>
        <v>0</v>
      </c>
      <c r="QH26" s="338">
        <f>IFERROR(1/Calculations_APPURT[[#This Row],[Brackets]],0) * cv_M/cv_F * Forces_APPURT[[#This Row],[Alpha Fa 150]] * Calculations_APPURT[[#This Row],[Lateral Offset]]/12</f>
        <v>0</v>
      </c>
      <c r="QI26" s="338">
        <f>IFERROR(1/Calculations_APPURT[[#This Row],[Brackets]],0) * cv_M/cv_F * Forces_APPURT[[#This Row],[Alpha Fa 180]] * Calculations_APPURT[[#This Row],[Lateral Offset]]/12</f>
        <v>0</v>
      </c>
      <c r="QJ26" s="338">
        <f>IFERROR(1/Calculations_APPURT[[#This Row],[Brackets]],0) * cv_M/cv_F * Forces_APPURT[[#This Row],[Alpha Fa 210]] * Calculations_APPURT[[#This Row],[Lateral Offset]]/12</f>
        <v>0</v>
      </c>
      <c r="QK26" s="338">
        <f>IFERROR(1/Calculations_APPURT[[#This Row],[Brackets]],0) * cv_M/cv_F * Forces_APPURT[[#This Row],[Alpha Fa 225]] * Calculations_APPURT[[#This Row],[Lateral Offset]]/12</f>
        <v>0</v>
      </c>
      <c r="QL26" s="338">
        <f>IFERROR(1/Calculations_APPURT[[#This Row],[Brackets]],0) * cv_M/cv_F * Forces_APPURT[[#This Row],[Alpha Fa 240]] * Calculations_APPURT[[#This Row],[Lateral Offset]]/12</f>
        <v>0</v>
      </c>
      <c r="QM26" s="338">
        <f>IFERROR(1/Calculations_APPURT[[#This Row],[Brackets]],0) * cv_M/cv_F * Forces_APPURT[[#This Row],[Alpha Fa 270]] * Calculations_APPURT[[#This Row],[Lateral Offset]]/12</f>
        <v>0</v>
      </c>
      <c r="QN26" s="338">
        <f>IFERROR(1/Calculations_APPURT[[#This Row],[Brackets]],0) * cv_M/cv_F * Forces_APPURT[[#This Row],[Alpha Fa 300]] * Calculations_APPURT[[#This Row],[Lateral Offset]]/12</f>
        <v>0</v>
      </c>
      <c r="QO26" s="338">
        <f>IFERROR(1/Calculations_APPURT[[#This Row],[Brackets]],0) * cv_M/cv_F * Forces_APPURT[[#This Row],[Alpha Fa 315]] * Calculations_APPURT[[#This Row],[Lateral Offset]]/12</f>
        <v>0</v>
      </c>
      <c r="QP26" s="338">
        <f>IFERROR(1/Calculations_APPURT[[#This Row],[Brackets]],0) * cv_M/cv_F * Forces_APPURT[[#This Row],[Alpha Fa 330]] * Calculations_APPURT[[#This Row],[Lateral Offset]]/12</f>
        <v>0</v>
      </c>
      <c r="QQ26" s="276">
        <f>IFERROR(1/Calculations_APPURT[[#This Row],[Brackets]],0) * cv_M/cv_F * Forces_APPURT[[#This Row],[Beta Fa 0]] * Calculations_APPURT[[#This Row],[Lateral Offset]]/12</f>
        <v>0</v>
      </c>
      <c r="QR26" s="276">
        <f>IFERROR(1/Calculations_APPURT[[#This Row],[Brackets]],0) * cv_M/cv_F * Forces_APPURT[[#This Row],[Beta Fa 30]] * Calculations_APPURT[[#This Row],[Lateral Offset]]/12</f>
        <v>0</v>
      </c>
      <c r="QS26" s="276">
        <f>IFERROR(1/Calculations_APPURT[[#This Row],[Brackets]],0) * cv_M/cv_F * Forces_APPURT[[#This Row],[Beta Fa 45]] * Calculations_APPURT[[#This Row],[Lateral Offset]]/12</f>
        <v>0</v>
      </c>
      <c r="QT26" s="276">
        <f>IFERROR(1/Calculations_APPURT[[#This Row],[Brackets]],0) * cv_M/cv_F * Forces_APPURT[[#This Row],[Beta Fa 60]] * Calculations_APPURT[[#This Row],[Lateral Offset]]/12</f>
        <v>0</v>
      </c>
      <c r="QU26" s="276">
        <f>IFERROR(1/Calculations_APPURT[[#This Row],[Brackets]],0) * cv_M/cv_F * Forces_APPURT[[#This Row],[Beta Fa 90]] * Calculations_APPURT[[#This Row],[Lateral Offset]]/12</f>
        <v>0</v>
      </c>
      <c r="QV26" s="276">
        <f>IFERROR(1/Calculations_APPURT[[#This Row],[Brackets]],0) * cv_M/cv_F * Forces_APPURT[[#This Row],[Beta Fa 120]] * Calculations_APPURT[[#This Row],[Lateral Offset]]/12</f>
        <v>0</v>
      </c>
      <c r="QW26" s="276">
        <f>IFERROR(1/Calculations_APPURT[[#This Row],[Brackets]],0) * cv_M/cv_F * Forces_APPURT[[#This Row],[Beta Fa 135]] * Calculations_APPURT[[#This Row],[Lateral Offset]]/12</f>
        <v>0</v>
      </c>
      <c r="QX26" s="276">
        <f>IFERROR(1/Calculations_APPURT[[#This Row],[Brackets]],0) * cv_M/cv_F * Forces_APPURT[[#This Row],[Beta Fa 150]] * Calculations_APPURT[[#This Row],[Lateral Offset]]/12</f>
        <v>0</v>
      </c>
      <c r="QY26" s="276">
        <f>IFERROR(1/Calculations_APPURT[[#This Row],[Brackets]],0) * cv_M/cv_F * Forces_APPURT[[#This Row],[Beta Fa 180]] * Calculations_APPURT[[#This Row],[Lateral Offset]]/12</f>
        <v>0</v>
      </c>
      <c r="QZ26" s="276">
        <f>IFERROR(1/Calculations_APPURT[[#This Row],[Brackets]],0) * cv_M/cv_F * Forces_APPURT[[#This Row],[Beta Fa 210]] * Calculations_APPURT[[#This Row],[Lateral Offset]]/12</f>
        <v>0</v>
      </c>
      <c r="RA26" s="276">
        <f>IFERROR(1/Calculations_APPURT[[#This Row],[Brackets]],0) * cv_M/cv_F * Forces_APPURT[[#This Row],[Beta Fa 225]] * Calculations_APPURT[[#This Row],[Lateral Offset]]/12</f>
        <v>0</v>
      </c>
      <c r="RB26" s="276">
        <f>IFERROR(1/Calculations_APPURT[[#This Row],[Brackets]],0) * cv_M/cv_F * Forces_APPURT[[#This Row],[Beta Fa 240]] * Calculations_APPURT[[#This Row],[Lateral Offset]]/12</f>
        <v>0</v>
      </c>
      <c r="RC26" s="276">
        <f>IFERROR(1/Calculations_APPURT[[#This Row],[Brackets]],0) * cv_M/cv_F * Forces_APPURT[[#This Row],[Beta Fa 270]] * Calculations_APPURT[[#This Row],[Lateral Offset]]/12</f>
        <v>0</v>
      </c>
      <c r="RD26" s="276">
        <f>IFERROR(1/Calculations_APPURT[[#This Row],[Brackets]],0) * cv_M/cv_F * Forces_APPURT[[#This Row],[Beta Fa 300]] * Calculations_APPURT[[#This Row],[Lateral Offset]]/12</f>
        <v>0</v>
      </c>
      <c r="RE26" s="276">
        <f>IFERROR(1/Calculations_APPURT[[#This Row],[Brackets]],0) * cv_M/cv_F * Forces_APPURT[[#This Row],[Beta Fa 315]] * Calculations_APPURT[[#This Row],[Lateral Offset]]/12</f>
        <v>0</v>
      </c>
      <c r="RF26" s="276">
        <f>IFERROR(1/Calculations_APPURT[[#This Row],[Brackets]],0) * cv_M/cv_F * Forces_APPURT[[#This Row],[Beta Fa 330]] * Calculations_APPURT[[#This Row],[Lateral Offset]]/12</f>
        <v>0</v>
      </c>
      <c r="RG26" s="338">
        <f>IFERROR(1/Calculations_APPURT[[#This Row],[Brackets]],0) * cv_M/cv_F * Forces_APPURT[[#This Row],[Gamma Fa 0]] * Calculations_APPURT[[#This Row],[Lateral Offset]]/12</f>
        <v>0</v>
      </c>
      <c r="RH26" s="338">
        <f>IFERROR(1/Calculations_APPURT[[#This Row],[Brackets]],0) * cv_M/cv_F * Forces_APPURT[[#This Row],[Gamma Fa 30]] * Calculations_APPURT[[#This Row],[Lateral Offset]]/12</f>
        <v>0</v>
      </c>
      <c r="RI26" s="338">
        <f>IFERROR(1/Calculations_APPURT[[#This Row],[Brackets]],0) * cv_M/cv_F * Forces_APPURT[[#This Row],[Gamma Fa 45]] * Calculations_APPURT[[#This Row],[Lateral Offset]]/12</f>
        <v>0</v>
      </c>
      <c r="RJ26" s="338">
        <f>IFERROR(1/Calculations_APPURT[[#This Row],[Brackets]],0) * cv_M/cv_F * Forces_APPURT[[#This Row],[Gamma Fa 60]] * Calculations_APPURT[[#This Row],[Lateral Offset]]/12</f>
        <v>0</v>
      </c>
      <c r="RK26" s="338">
        <f>IFERROR(1/Calculations_APPURT[[#This Row],[Brackets]],0) * cv_M/cv_F * Forces_APPURT[[#This Row],[Gamma Fa 90]] * Calculations_APPURT[[#This Row],[Lateral Offset]]/12</f>
        <v>0</v>
      </c>
      <c r="RL26" s="338">
        <f>IFERROR(1/Calculations_APPURT[[#This Row],[Brackets]],0) * cv_M/cv_F * Forces_APPURT[[#This Row],[Gamma Fa 120]] * Calculations_APPURT[[#This Row],[Lateral Offset]]/12</f>
        <v>0</v>
      </c>
      <c r="RM26" s="338">
        <f>IFERROR(1/Calculations_APPURT[[#This Row],[Brackets]],0) * cv_M/cv_F * Forces_APPURT[[#This Row],[Gamma Fa 135]] * Calculations_APPURT[[#This Row],[Lateral Offset]]/12</f>
        <v>0</v>
      </c>
      <c r="RN26" s="338">
        <f>IFERROR(1/Calculations_APPURT[[#This Row],[Brackets]],0) * cv_M/cv_F * Forces_APPURT[[#This Row],[Gamma Fa 150]] * Calculations_APPURT[[#This Row],[Lateral Offset]]/12</f>
        <v>0</v>
      </c>
      <c r="RO26" s="338">
        <f>IFERROR(1/Calculations_APPURT[[#This Row],[Brackets]],0) * cv_M/cv_F * Forces_APPURT[[#This Row],[Gamma Fa 180]] * Calculations_APPURT[[#This Row],[Lateral Offset]]/12</f>
        <v>0</v>
      </c>
      <c r="RP26" s="338">
        <f>IFERROR(1/Calculations_APPURT[[#This Row],[Brackets]],0) * cv_M/cv_F * Forces_APPURT[[#This Row],[Gamma Fa 210]] * Calculations_APPURT[[#This Row],[Lateral Offset]]/12</f>
        <v>0</v>
      </c>
      <c r="RQ26" s="338">
        <f>IFERROR(1/Calculations_APPURT[[#This Row],[Brackets]],0) * cv_M/cv_F * Forces_APPURT[[#This Row],[Gamma Fa 225]] * Calculations_APPURT[[#This Row],[Lateral Offset]]/12</f>
        <v>0</v>
      </c>
      <c r="RR26" s="338">
        <f>IFERROR(1/Calculations_APPURT[[#This Row],[Brackets]],0) * cv_M/cv_F * Forces_APPURT[[#This Row],[Gamma Fa 240]] * Calculations_APPURT[[#This Row],[Lateral Offset]]/12</f>
        <v>0</v>
      </c>
      <c r="RS26" s="338">
        <f>IFERROR(1/Calculations_APPURT[[#This Row],[Brackets]],0) * cv_M/cv_F * Forces_APPURT[[#This Row],[Gamma Fa 270]] * Calculations_APPURT[[#This Row],[Lateral Offset]]/12</f>
        <v>0</v>
      </c>
      <c r="RT26" s="338">
        <f>IFERROR(1/Calculations_APPURT[[#This Row],[Brackets]],0) * cv_M/cv_F * Forces_APPURT[[#This Row],[Gamma Fa 300]] * Calculations_APPURT[[#This Row],[Lateral Offset]]/12</f>
        <v>0</v>
      </c>
      <c r="RU26" s="338">
        <f>IFERROR(1/Calculations_APPURT[[#This Row],[Brackets]],0) * cv_M/cv_F * Forces_APPURT[[#This Row],[Gamma Fa 315]] * Calculations_APPURT[[#This Row],[Lateral Offset]]/12</f>
        <v>0</v>
      </c>
      <c r="RV26" s="338">
        <f>IFERROR(1/Calculations_APPURT[[#This Row],[Brackets]],0) * cv_M/cv_F * Forces_APPURT[[#This Row],[Gamma Fa 330]] * Calculations_APPURT[[#This Row],[Lateral Offset]]/12</f>
        <v>0</v>
      </c>
      <c r="RW26" s="276">
        <f>IFERROR(1/Calculations_APPURT[[#This Row],[Brackets]],0) * cv_M/cv_F * Forces_APPURT[[#This Row],[Delta Fa 0]] * Calculations_APPURT[[#This Row],[Lateral Offset]]/12</f>
        <v>0</v>
      </c>
      <c r="RX26" s="276">
        <f>IFERROR(1/Calculations_APPURT[[#This Row],[Brackets]],0) * cv_M/cv_F * Forces_APPURT[[#This Row],[Delta Fa 30]] * Calculations_APPURT[[#This Row],[Lateral Offset]]/12</f>
        <v>0</v>
      </c>
      <c r="RY26" s="276">
        <f>IFERROR(1/Calculations_APPURT[[#This Row],[Brackets]],0) * cv_M/cv_F * Forces_APPURT[[#This Row],[Delta Fa 45]] * Calculations_APPURT[[#This Row],[Lateral Offset]]/12</f>
        <v>0</v>
      </c>
      <c r="RZ26" s="276">
        <f>IFERROR(1/Calculations_APPURT[[#This Row],[Brackets]],0) * cv_M/cv_F * Forces_APPURT[[#This Row],[Delta Fa 60]] * Calculations_APPURT[[#This Row],[Lateral Offset]]/12</f>
        <v>0</v>
      </c>
      <c r="SA26" s="276">
        <f>IFERROR(1/Calculations_APPURT[[#This Row],[Brackets]],0) * cv_M/cv_F * Forces_APPURT[[#This Row],[Delta Fa 90]] * Calculations_APPURT[[#This Row],[Lateral Offset]]/12</f>
        <v>0</v>
      </c>
      <c r="SB26" s="276">
        <f>IFERROR(1/Calculations_APPURT[[#This Row],[Brackets]],0) * cv_M/cv_F * Forces_APPURT[[#This Row],[Delta Fa 120]] * Calculations_APPURT[[#This Row],[Lateral Offset]]/12</f>
        <v>0</v>
      </c>
      <c r="SC26" s="276">
        <f>IFERROR(1/Calculations_APPURT[[#This Row],[Brackets]],0) * cv_M/cv_F * Forces_APPURT[[#This Row],[Delta Fa 135]] * Calculations_APPURT[[#This Row],[Lateral Offset]]/12</f>
        <v>0</v>
      </c>
      <c r="SD26" s="276">
        <f>IFERROR(1/Calculations_APPURT[[#This Row],[Brackets]],0) * cv_M/cv_F * Forces_APPURT[[#This Row],[Delta Fa 150]] * Calculations_APPURT[[#This Row],[Lateral Offset]]/12</f>
        <v>0</v>
      </c>
      <c r="SE26" s="276">
        <f>IFERROR(1/Calculations_APPURT[[#This Row],[Brackets]],0) * cv_M/cv_F * Forces_APPURT[[#This Row],[Delta Fa 180]] * Calculations_APPURT[[#This Row],[Lateral Offset]]/12</f>
        <v>0</v>
      </c>
      <c r="SF26" s="276">
        <f>IFERROR(1/Calculations_APPURT[[#This Row],[Brackets]],0) * cv_M/cv_F * Forces_APPURT[[#This Row],[Delta Fa 210]] * Calculations_APPURT[[#This Row],[Lateral Offset]]/12</f>
        <v>0</v>
      </c>
      <c r="SG26" s="276">
        <f>IFERROR(1/Calculations_APPURT[[#This Row],[Brackets]],0) * cv_M/cv_F * Forces_APPURT[[#This Row],[Delta Fa 225]] * Calculations_APPURT[[#This Row],[Lateral Offset]]/12</f>
        <v>0</v>
      </c>
      <c r="SH26" s="276">
        <f>IFERROR(1/Calculations_APPURT[[#This Row],[Brackets]],0) * cv_M/cv_F * Forces_APPURT[[#This Row],[Delta Fa 240]] * Calculations_APPURT[[#This Row],[Lateral Offset]]/12</f>
        <v>0</v>
      </c>
      <c r="SI26" s="276">
        <f>IFERROR(1/Calculations_APPURT[[#This Row],[Brackets]],0) * cv_M/cv_F * Forces_APPURT[[#This Row],[Delta Fa 270]] * Calculations_APPURT[[#This Row],[Lateral Offset]]/12</f>
        <v>0</v>
      </c>
      <c r="SJ26" s="276">
        <f>IFERROR(1/Calculations_APPURT[[#This Row],[Brackets]],0) * cv_M/cv_F * Forces_APPURT[[#This Row],[Delta Fa 300]] * Calculations_APPURT[[#This Row],[Lateral Offset]]/12</f>
        <v>0</v>
      </c>
      <c r="SK26" s="276">
        <f>IFERROR(1/Calculations_APPURT[[#This Row],[Brackets]],0) * cv_M/cv_F * Forces_APPURT[[#This Row],[Delta Fa 315]] * Calculations_APPURT[[#This Row],[Lateral Offset]]/12</f>
        <v>0</v>
      </c>
      <c r="SL26" s="276">
        <f>IFERROR(1/Calculations_APPURT[[#This Row],[Brackets]],0) * cv_M/cv_F * Forces_APPURT[[#This Row],[Delta Fa 330]] * Calculations_APPURT[[#This Row],[Lateral Offset]]/12</f>
        <v>0</v>
      </c>
      <c r="SM26" s="338">
        <f>IFERROR(1/Calculations_APPURT[[#This Row],[Brackets]],0) * cv_M/cv_F * Forces_APPURT[[#This Row],[Alpha Fai 0]] * Calculations_APPURT[[#This Row],[Lateral Offset]]/12</f>
        <v>0</v>
      </c>
      <c r="SN26" s="338">
        <f>IFERROR(1/Calculations_APPURT[[#This Row],[Brackets]],0) * cv_M/cv_F * Forces_APPURT[[#This Row],[Alpha Fai 30]] * Calculations_APPURT[[#This Row],[Lateral Offset]]/12</f>
        <v>0</v>
      </c>
      <c r="SO26" s="338">
        <f>IFERROR(1/Calculations_APPURT[[#This Row],[Brackets]],0) * cv_M/cv_F * Forces_APPURT[[#This Row],[Alpha Fai 45]] * Calculations_APPURT[[#This Row],[Lateral Offset]]/12</f>
        <v>0</v>
      </c>
      <c r="SP26" s="338">
        <f>IFERROR(1/Calculations_APPURT[[#This Row],[Brackets]],0) * cv_M/cv_F * Forces_APPURT[[#This Row],[Alpha Fai 60]] * Calculations_APPURT[[#This Row],[Lateral Offset]]/12</f>
        <v>0</v>
      </c>
      <c r="SQ26" s="338">
        <f>IFERROR(1/Calculations_APPURT[[#This Row],[Brackets]],0) * cv_M/cv_F * Forces_APPURT[[#This Row],[Alpha Fai 90]] * Calculations_APPURT[[#This Row],[Lateral Offset]]/12</f>
        <v>0</v>
      </c>
      <c r="SR26" s="338">
        <f>IFERROR(1/Calculations_APPURT[[#This Row],[Brackets]],0) * cv_M/cv_F * Forces_APPURT[[#This Row],[Alpha Fai 120]] * Calculations_APPURT[[#This Row],[Lateral Offset]]/12</f>
        <v>0</v>
      </c>
      <c r="SS26" s="338">
        <f>IFERROR(1/Calculations_APPURT[[#This Row],[Brackets]],0) * cv_M/cv_F * Forces_APPURT[[#This Row],[Alpha Fai 135]] * Calculations_APPURT[[#This Row],[Lateral Offset]]/12</f>
        <v>0</v>
      </c>
      <c r="ST26" s="338">
        <f>IFERROR(1/Calculations_APPURT[[#This Row],[Brackets]],0) * cv_M/cv_F * Forces_APPURT[[#This Row],[Alpha Fai 150]] * Calculations_APPURT[[#This Row],[Lateral Offset]]/12</f>
        <v>0</v>
      </c>
      <c r="SU26" s="338">
        <f>IFERROR(1/Calculations_APPURT[[#This Row],[Brackets]],0) * cv_M/cv_F * Forces_APPURT[[#This Row],[Alpha Fai 180]] * Calculations_APPURT[[#This Row],[Lateral Offset]]/12</f>
        <v>0</v>
      </c>
      <c r="SV26" s="338">
        <f>IFERROR(1/Calculations_APPURT[[#This Row],[Brackets]],0) * cv_M/cv_F * Forces_APPURT[[#This Row],[Alpha Fai 210]] * Calculations_APPURT[[#This Row],[Lateral Offset]]/12</f>
        <v>0</v>
      </c>
      <c r="SW26" s="338">
        <f>IFERROR(1/Calculations_APPURT[[#This Row],[Brackets]],0) * cv_M/cv_F * Forces_APPURT[[#This Row],[Alpha Fai 225]] * Calculations_APPURT[[#This Row],[Lateral Offset]]/12</f>
        <v>0</v>
      </c>
      <c r="SX26" s="338">
        <f>IFERROR(1/Calculations_APPURT[[#This Row],[Brackets]],0) * cv_M/cv_F * Forces_APPURT[[#This Row],[Alpha Fai 240]] * Calculations_APPURT[[#This Row],[Lateral Offset]]/12</f>
        <v>0</v>
      </c>
      <c r="SY26" s="338">
        <f>IFERROR(1/Calculations_APPURT[[#This Row],[Brackets]],0) * cv_M/cv_F * Forces_APPURT[[#This Row],[Alpha Fai 270]] * Calculations_APPURT[[#This Row],[Lateral Offset]]/12</f>
        <v>0</v>
      </c>
      <c r="SZ26" s="338">
        <f>IFERROR(1/Calculations_APPURT[[#This Row],[Brackets]],0) * cv_M/cv_F * Forces_APPURT[[#This Row],[Alpha Fai 300]] * Calculations_APPURT[[#This Row],[Lateral Offset]]/12</f>
        <v>0</v>
      </c>
      <c r="TA26" s="338">
        <f>IFERROR(1/Calculations_APPURT[[#This Row],[Brackets]],0) * cv_M/cv_F * Forces_APPURT[[#This Row],[Alpha Fai 315]] * Calculations_APPURT[[#This Row],[Lateral Offset]]/12</f>
        <v>0</v>
      </c>
      <c r="TB26" s="338">
        <f>IFERROR(1/Calculations_APPURT[[#This Row],[Brackets]],0) * cv_M/cv_F * Forces_APPURT[[#This Row],[Alpha Fai 330]] * Calculations_APPURT[[#This Row],[Lateral Offset]]/12</f>
        <v>0</v>
      </c>
      <c r="TC26" s="276">
        <f>IFERROR(1/Calculations_APPURT[[#This Row],[Brackets]],0) * cv_M/cv_F * Forces_APPURT[[#This Row],[Beta Fai 0]] * Calculations_APPURT[[#This Row],[Lateral Offset]]/12</f>
        <v>0</v>
      </c>
      <c r="TD26" s="276">
        <f>IFERROR(1/Calculations_APPURT[[#This Row],[Brackets]],0) * cv_M/cv_F * Forces_APPURT[[#This Row],[Beta Fai 30]] * Calculations_APPURT[[#This Row],[Lateral Offset]]/12</f>
        <v>0</v>
      </c>
      <c r="TE26" s="276">
        <f>IFERROR(1/Calculations_APPURT[[#This Row],[Brackets]],0) * cv_M/cv_F * Forces_APPURT[[#This Row],[Beta Fai 45]] * Calculations_APPURT[[#This Row],[Lateral Offset]]/12</f>
        <v>0</v>
      </c>
      <c r="TF26" s="276">
        <f>IFERROR(1/Calculations_APPURT[[#This Row],[Brackets]],0) * cv_M/cv_F * Forces_APPURT[[#This Row],[Beta Fai 60]] * Calculations_APPURT[[#This Row],[Lateral Offset]]/12</f>
        <v>0</v>
      </c>
      <c r="TG26" s="276">
        <f>IFERROR(1/Calculations_APPURT[[#This Row],[Brackets]],0) * cv_M/cv_F * Forces_APPURT[[#This Row],[Beta Fai 90]] * Calculations_APPURT[[#This Row],[Lateral Offset]]/12</f>
        <v>0</v>
      </c>
      <c r="TH26" s="276">
        <f>IFERROR(1/Calculations_APPURT[[#This Row],[Brackets]],0) * cv_M/cv_F * Forces_APPURT[[#This Row],[Beta Fai 120]] * Calculations_APPURT[[#This Row],[Lateral Offset]]/12</f>
        <v>0</v>
      </c>
      <c r="TI26" s="276">
        <f>IFERROR(1/Calculations_APPURT[[#This Row],[Brackets]],0) * cv_M/cv_F * Forces_APPURT[[#This Row],[Beta Fai 135]] * Calculations_APPURT[[#This Row],[Lateral Offset]]/12</f>
        <v>0</v>
      </c>
      <c r="TJ26" s="276">
        <f>IFERROR(1/Calculations_APPURT[[#This Row],[Brackets]],0) * cv_M/cv_F * Forces_APPURT[[#This Row],[Beta Fai 150]] * Calculations_APPURT[[#This Row],[Lateral Offset]]/12</f>
        <v>0</v>
      </c>
      <c r="TK26" s="276">
        <f>IFERROR(1/Calculations_APPURT[[#This Row],[Brackets]],0) * cv_M/cv_F * Forces_APPURT[[#This Row],[Beta Fai 180]] * Calculations_APPURT[[#This Row],[Lateral Offset]]/12</f>
        <v>0</v>
      </c>
      <c r="TL26" s="276">
        <f>IFERROR(1/Calculations_APPURT[[#This Row],[Brackets]],0) * cv_M/cv_F * Forces_APPURT[[#This Row],[Beta Fai 210]] * Calculations_APPURT[[#This Row],[Lateral Offset]]/12</f>
        <v>0</v>
      </c>
      <c r="TM26" s="276">
        <f>IFERROR(1/Calculations_APPURT[[#This Row],[Brackets]],0) * cv_M/cv_F * Forces_APPURT[[#This Row],[Beta Fai 225]] * Calculations_APPURT[[#This Row],[Lateral Offset]]/12</f>
        <v>0</v>
      </c>
      <c r="TN26" s="276">
        <f>IFERROR(1/Calculations_APPURT[[#This Row],[Brackets]],0) * cv_M/cv_F * Forces_APPURT[[#This Row],[Beta Fai 240]] * Calculations_APPURT[[#This Row],[Lateral Offset]]/12</f>
        <v>0</v>
      </c>
      <c r="TO26" s="276">
        <f>IFERROR(1/Calculations_APPURT[[#This Row],[Brackets]],0) * cv_M/cv_F * Forces_APPURT[[#This Row],[Beta Fai 270]] * Calculations_APPURT[[#This Row],[Lateral Offset]]/12</f>
        <v>0</v>
      </c>
      <c r="TP26" s="276">
        <f>IFERROR(1/Calculations_APPURT[[#This Row],[Brackets]],0) * cv_M/cv_F * Forces_APPURT[[#This Row],[Beta Fai 300]] * Calculations_APPURT[[#This Row],[Lateral Offset]]/12</f>
        <v>0</v>
      </c>
      <c r="TQ26" s="276">
        <f>IFERROR(1/Calculations_APPURT[[#This Row],[Brackets]],0) * cv_M/cv_F * Forces_APPURT[[#This Row],[Beta Fai 315]] * Calculations_APPURT[[#This Row],[Lateral Offset]]/12</f>
        <v>0</v>
      </c>
      <c r="TR26" s="276">
        <f>IFERROR(1/Calculations_APPURT[[#This Row],[Brackets]],0) * cv_M/cv_F * Forces_APPURT[[#This Row],[Beta Fai 330]] * Calculations_APPURT[[#This Row],[Lateral Offset]]/12</f>
        <v>0</v>
      </c>
      <c r="TS26" s="338">
        <f>IFERROR(1/Calculations_APPURT[[#This Row],[Brackets]],0) * cv_M/cv_F * Forces_APPURT[[#This Row],[Gamma Fai 0]] * Calculations_APPURT[[#This Row],[Lateral Offset]]/12</f>
        <v>0</v>
      </c>
      <c r="TT26" s="338">
        <f>IFERROR(1/Calculations_APPURT[[#This Row],[Brackets]],0) * cv_M/cv_F * Forces_APPURT[[#This Row],[Gamma Fai 30]] * Calculations_APPURT[[#This Row],[Lateral Offset]]/12</f>
        <v>0</v>
      </c>
      <c r="TU26" s="338">
        <f>IFERROR(1/Calculations_APPURT[[#This Row],[Brackets]],0) * cv_M/cv_F * Forces_APPURT[[#This Row],[Gamma Fai 45]] * Calculations_APPURT[[#This Row],[Lateral Offset]]/12</f>
        <v>0</v>
      </c>
      <c r="TV26" s="338">
        <f>IFERROR(1/Calculations_APPURT[[#This Row],[Brackets]],0) * cv_M/cv_F * Forces_APPURT[[#This Row],[Gamma Fai 60]] * Calculations_APPURT[[#This Row],[Lateral Offset]]/12</f>
        <v>0</v>
      </c>
      <c r="TW26" s="338">
        <f>IFERROR(1/Calculations_APPURT[[#This Row],[Brackets]],0) * cv_M/cv_F * Forces_APPURT[[#This Row],[Gamma Fai 90]] * Calculations_APPURT[[#This Row],[Lateral Offset]]/12</f>
        <v>0</v>
      </c>
      <c r="TX26" s="338">
        <f>IFERROR(1/Calculations_APPURT[[#This Row],[Brackets]],0) * cv_M/cv_F * Forces_APPURT[[#This Row],[Gamma Fai 120]] * Calculations_APPURT[[#This Row],[Lateral Offset]]/12</f>
        <v>0</v>
      </c>
      <c r="TY26" s="338">
        <f>IFERROR(1/Calculations_APPURT[[#This Row],[Brackets]],0) * cv_M/cv_F * Forces_APPURT[[#This Row],[Gamma Fai 135]] * Calculations_APPURT[[#This Row],[Lateral Offset]]/12</f>
        <v>0</v>
      </c>
      <c r="TZ26" s="338">
        <f>IFERROR(1/Calculations_APPURT[[#This Row],[Brackets]],0) * cv_M/cv_F * Forces_APPURT[[#This Row],[Gamma Fai 150]] * Calculations_APPURT[[#This Row],[Lateral Offset]]/12</f>
        <v>0</v>
      </c>
      <c r="UA26" s="338">
        <f>IFERROR(1/Calculations_APPURT[[#This Row],[Brackets]],0) * cv_M/cv_F * Forces_APPURT[[#This Row],[Gamma Fai 180]] * Calculations_APPURT[[#This Row],[Lateral Offset]]/12</f>
        <v>0</v>
      </c>
      <c r="UB26" s="338">
        <f>IFERROR(1/Calculations_APPURT[[#This Row],[Brackets]],0) * cv_M/cv_F * Forces_APPURT[[#This Row],[Gamma Fai 210]] * Calculations_APPURT[[#This Row],[Lateral Offset]]/12</f>
        <v>0</v>
      </c>
      <c r="UC26" s="338">
        <f>IFERROR(1/Calculations_APPURT[[#This Row],[Brackets]],0) * cv_M/cv_F * Forces_APPURT[[#This Row],[Gamma Fai 225]] * Calculations_APPURT[[#This Row],[Lateral Offset]]/12</f>
        <v>0</v>
      </c>
      <c r="UD26" s="338">
        <f>IFERROR(1/Calculations_APPURT[[#This Row],[Brackets]],0) * cv_M/cv_F * Forces_APPURT[[#This Row],[Gamma Fai 240]] * Calculations_APPURT[[#This Row],[Lateral Offset]]/12</f>
        <v>0</v>
      </c>
      <c r="UE26" s="338">
        <f>IFERROR(1/Calculations_APPURT[[#This Row],[Brackets]],0) * cv_M/cv_F * Forces_APPURT[[#This Row],[Gamma Fai 270]] * Calculations_APPURT[[#This Row],[Lateral Offset]]/12</f>
        <v>0</v>
      </c>
      <c r="UF26" s="338">
        <f>IFERROR(1/Calculations_APPURT[[#This Row],[Brackets]],0) * cv_M/cv_F * Forces_APPURT[[#This Row],[Gamma Fai 300]] * Calculations_APPURT[[#This Row],[Lateral Offset]]/12</f>
        <v>0</v>
      </c>
      <c r="UG26" s="338">
        <f>IFERROR(1/Calculations_APPURT[[#This Row],[Brackets]],0) * cv_M/cv_F * Forces_APPURT[[#This Row],[Gamma Fai 315]] * Calculations_APPURT[[#This Row],[Lateral Offset]]/12</f>
        <v>0</v>
      </c>
      <c r="UH26" s="338">
        <f>IFERROR(1/Calculations_APPURT[[#This Row],[Brackets]],0) * cv_M/cv_F * Forces_APPURT[[#This Row],[Gamma Fai 330]] * Calculations_APPURT[[#This Row],[Lateral Offset]]/12</f>
        <v>0</v>
      </c>
      <c r="UI26" s="276">
        <f>IFERROR(1/Calculations_APPURT[[#This Row],[Brackets]],0) * cv_M/cv_F * Forces_APPURT[[#This Row],[Delta Fai 0]] * Calculations_APPURT[[#This Row],[Lateral Offset]]/12</f>
        <v>0</v>
      </c>
      <c r="UJ26" s="276">
        <f>IFERROR(1/Calculations_APPURT[[#This Row],[Brackets]],0) * cv_M/cv_F * Forces_APPURT[[#This Row],[Delta Fai 30]] * Calculations_APPURT[[#This Row],[Lateral Offset]]/12</f>
        <v>0</v>
      </c>
      <c r="UK26" s="276">
        <f>IFERROR(1/Calculations_APPURT[[#This Row],[Brackets]],0) * cv_M/cv_F * Forces_APPURT[[#This Row],[Delta Fai 45]] * Calculations_APPURT[[#This Row],[Lateral Offset]]/12</f>
        <v>0</v>
      </c>
      <c r="UL26" s="276">
        <f>IFERROR(1/Calculations_APPURT[[#This Row],[Brackets]],0) * cv_M/cv_F * Forces_APPURT[[#This Row],[Delta Fai 60]] * Calculations_APPURT[[#This Row],[Lateral Offset]]/12</f>
        <v>0</v>
      </c>
      <c r="UM26" s="276">
        <f>IFERROR(1/Calculations_APPURT[[#This Row],[Brackets]],0) * cv_M/cv_F * Forces_APPURT[[#This Row],[Delta Fai 90]] * Calculations_APPURT[[#This Row],[Lateral Offset]]/12</f>
        <v>0</v>
      </c>
      <c r="UN26" s="276">
        <f>IFERROR(1/Calculations_APPURT[[#This Row],[Brackets]],0) * cv_M/cv_F * Forces_APPURT[[#This Row],[Delta Fai 120]] * Calculations_APPURT[[#This Row],[Lateral Offset]]/12</f>
        <v>0</v>
      </c>
      <c r="UO26" s="276">
        <f>IFERROR(1/Calculations_APPURT[[#This Row],[Brackets]],0) * cv_M/cv_F * Forces_APPURT[[#This Row],[Delta Fai 135]] * Calculations_APPURT[[#This Row],[Lateral Offset]]/12</f>
        <v>0</v>
      </c>
      <c r="UP26" s="276">
        <f>IFERROR(1/Calculations_APPURT[[#This Row],[Brackets]],0) * cv_M/cv_F * Forces_APPURT[[#This Row],[Delta Fai 150]] * Calculations_APPURT[[#This Row],[Lateral Offset]]/12</f>
        <v>0</v>
      </c>
      <c r="UQ26" s="276">
        <f>IFERROR(1/Calculations_APPURT[[#This Row],[Brackets]],0) * cv_M/cv_F * Forces_APPURT[[#This Row],[Delta Fai 180]] * Calculations_APPURT[[#This Row],[Lateral Offset]]/12</f>
        <v>0</v>
      </c>
      <c r="UR26" s="276">
        <f>IFERROR(1/Calculations_APPURT[[#This Row],[Brackets]],0) * cv_M/cv_F * Forces_APPURT[[#This Row],[Delta Fai 210]] * Calculations_APPURT[[#This Row],[Lateral Offset]]/12</f>
        <v>0</v>
      </c>
      <c r="US26" s="276">
        <f>IFERROR(1/Calculations_APPURT[[#This Row],[Brackets]],0) * cv_M/cv_F * Forces_APPURT[[#This Row],[Delta Fai 225]] * Calculations_APPURT[[#This Row],[Lateral Offset]]/12</f>
        <v>0</v>
      </c>
      <c r="UT26" s="276">
        <f>IFERROR(1/Calculations_APPURT[[#This Row],[Brackets]],0) * cv_M/cv_F * Forces_APPURT[[#This Row],[Delta Fai 240]] * Calculations_APPURT[[#This Row],[Lateral Offset]]/12</f>
        <v>0</v>
      </c>
      <c r="UU26" s="276">
        <f>IFERROR(1/Calculations_APPURT[[#This Row],[Brackets]],0) * cv_M/cv_F * Forces_APPURT[[#This Row],[Delta Fai 270]] * Calculations_APPURT[[#This Row],[Lateral Offset]]/12</f>
        <v>0</v>
      </c>
      <c r="UV26" s="276">
        <f>IFERROR(1/Calculations_APPURT[[#This Row],[Brackets]],0) * cv_M/cv_F * Forces_APPURT[[#This Row],[Delta Fai 300]] * Calculations_APPURT[[#This Row],[Lateral Offset]]/12</f>
        <v>0</v>
      </c>
      <c r="UW26" s="276">
        <f>IFERROR(1/Calculations_APPURT[[#This Row],[Brackets]],0) * cv_M/cv_F * Forces_APPURT[[#This Row],[Delta Fai 315]] * Calculations_APPURT[[#This Row],[Lateral Offset]]/12</f>
        <v>0</v>
      </c>
      <c r="UX26" s="276">
        <f>IFERROR(1/Calculations_APPURT[[#This Row],[Brackets]],0) * cv_M/cv_F * Forces_APPURT[[#This Row],[Delta Fai 330]] * Calculations_APPURT[[#This Row],[Lateral Offset]]/12</f>
        <v>0</v>
      </c>
      <c r="UY26" s="338">
        <f>Dimensions_APPURT[[#This Row],[Weight (lbf)]] * cv_F * AlphaSector[[#This Row],[Quantity]]</f>
        <v>0</v>
      </c>
      <c r="UZ26" s="338">
        <f>Dimensions_APPURT[[#This Row],[Weight (lbf)]] * cv_F * BetaSector[[#This Row],[Quantity]]</f>
        <v>0</v>
      </c>
      <c r="VA26" s="338">
        <f>Dimensions_APPURT[[#This Row],[Weight (lbf)]] * cv_F * GammaSector[[#This Row],[Quantity]]</f>
        <v>0</v>
      </c>
      <c r="VB26" s="338">
        <f>Dimensions_APPURT[[#This Row],[Weight (lbf)]] * cv_F * DeltaSector[[#This Row],[Quantity]]</f>
        <v>0</v>
      </c>
      <c r="VC26" s="209">
        <f>Dimensions_APPURT[[#This Row],[Weight (lbf)]] * cv_M * AlphaSector[[#This Row],[Quantity]] * Calculations_APPURT[[#This Row],[Horizontal Offset]]/12</f>
        <v>0</v>
      </c>
      <c r="VD26" s="209">
        <f>Dimensions_APPURT[[#This Row],[Weight (lbf)]] * cv_M * BetaSector[[#This Row],[Quantity]] * Calculations_APPURT[[#This Row],[Horizontal Offset]]/12</f>
        <v>0</v>
      </c>
      <c r="VE26" s="209">
        <f>Dimensions_APPURT[[#This Row],[Weight (lbf)]] * cv_M * GammaSector[[#This Row],[Quantity]] * Calculations_APPURT[[#This Row],[Horizontal Offset]]/12</f>
        <v>0</v>
      </c>
      <c r="VF26" s="209">
        <f>Dimensions_APPURT[[#This Row],[Weight (lbf)]] * cv_M * DeltaSector[[#This Row],[Quantity]] * Calculations_APPURT[[#This Row],[Horizontal Offset]]/12</f>
        <v>0</v>
      </c>
      <c r="VG26" s="338">
        <f>Hazards_APPURT[[#This Row],[Ice Weight]] * cv_F * AlphaSector[[#This Row],[Quantity]]</f>
        <v>0</v>
      </c>
      <c r="VH26" s="338">
        <f>Hazards_APPURT[[#This Row],[Ice Weight]] * cv_F * BetaSector[[#This Row],[Quantity]]</f>
        <v>0</v>
      </c>
      <c r="VI26" s="338">
        <f>Hazards_APPURT[[#This Row],[Ice Weight]] * cv_F * GammaSector[[#This Row],[Quantity]]</f>
        <v>0</v>
      </c>
      <c r="VJ26" s="338">
        <f>Hazards_APPURT[[#This Row],[Ice Weight]] * cv_F * DeltaSector[[#This Row],[Quantity]]</f>
        <v>0</v>
      </c>
      <c r="VK26" s="209">
        <f>Hazards_APPURT[[#This Row],[Ice Weight]] * cv_M * AlphaSector[[#This Row],[Quantity]] * Calculations_APPURT[[#This Row],[Horizontal Offset]]/12</f>
        <v>0</v>
      </c>
      <c r="VL26" s="209">
        <f>Hazards_APPURT[[#This Row],[Ice Weight]] * cv_M * BetaSector[[#This Row],[Quantity]] * Calculations_APPURT[[#This Row],[Horizontal Offset]]/12</f>
        <v>0</v>
      </c>
      <c r="VM26" s="209">
        <f>Hazards_APPURT[[#This Row],[Ice Weight]] * cv_M * GammaSector[[#This Row],[Quantity]] * Calculations_APPURT[[#This Row],[Horizontal Offset]]/12</f>
        <v>0</v>
      </c>
      <c r="VN26" s="209">
        <f>Hazards_APPURT[[#This Row],[Ice Weight]] * cv_M * DeltaSector[[#This Row],[Quantity]] * Calculations_APPURT[[#This Row],[Horizontal Offset]]/12</f>
        <v>0</v>
      </c>
    </row>
    <row r="27" spans="1:586" ht="15" customHeight="1" x14ac:dyDescent="0.2">
      <c r="A27" s="2"/>
      <c r="B27" s="2"/>
      <c r="C27" s="2"/>
      <c r="D27" s="2"/>
      <c r="E27" s="292"/>
      <c r="G27" s="2"/>
      <c r="H27" s="2"/>
      <c r="I27" s="2"/>
      <c r="J27" s="2"/>
      <c r="K27" s="2"/>
      <c r="L27" s="2"/>
      <c r="M27" s="2"/>
      <c r="N27" s="2"/>
      <c r="O27" s="2"/>
      <c r="P27" s="2"/>
      <c r="Q27" s="2"/>
      <c r="R27" s="293"/>
      <c r="S27" s="293"/>
      <c r="T27" s="69"/>
      <c r="V27" s="71"/>
      <c r="W27" s="69"/>
      <c r="X27" s="71"/>
      <c r="Y27" s="69"/>
      <c r="Z27" s="70"/>
      <c r="AB27" s="69"/>
      <c r="AD27" s="71"/>
      <c r="AE27" s="69"/>
      <c r="AF27" s="71"/>
      <c r="AG27" s="69"/>
      <c r="AH27" s="70"/>
      <c r="AJ27" s="69"/>
      <c r="AL27" s="71"/>
      <c r="AM27" s="69"/>
      <c r="AN27" s="71"/>
      <c r="AO27" s="69"/>
      <c r="AP27" s="70"/>
      <c r="AR27" s="69"/>
      <c r="AV27" s="277" cm="1">
        <f t="array" ref="AV27">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27" s="209" cm="1">
        <f t="array" ref="AW27">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27" s="209" cm="1">
        <f t="array" ref="AX27">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27" s="209" cm="1">
        <f t="array" ref="AY27">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27"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27" s="209" cm="1">
        <f t="array" ref="BA27">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27" s="209">
        <f>IF(OR(Calculations_APPURT[[#This Row],[Shape]]="CFD",Calculations_APPURT[[#This Row],[Shape]]="CCI"),1,0.95)</f>
        <v>0.95</v>
      </c>
      <c r="BC27" s="209" cm="1">
        <f t="array" ref="BC27">0.00256 * Hazards_APPURT[[#This Row],[Kz]] * Kzt * Ks * I.wind * V^2 * IF(RIGHT(TIA,1)="G",1,Ke) * IF(OR(Calculations_APPURT[[#This Row],[Shape]]="CFD",Calculations_APPURT[[#This Row],[Shape]]="CCI"),1, Hazards_APPURT[[#This Row],[Kd]]) * Gh</f>
        <v>0</v>
      </c>
      <c r="BD27" s="209">
        <f>IF(Risk="I",0,MIN(((z+Calculations_APPURT[[#This Row],[Vertical Offset]]/12)/33)^(0.1),1.4))</f>
        <v>0</v>
      </c>
      <c r="BE27" s="209" cm="1">
        <f t="array" ref="BE27">IF(Risk="I",0,IF(TIA="ANSI/TIA-222-G",2,1*Kes.i)*ti*I.ice*Hazards_APPURT[[#This Row],[Kiz]]*(Kzt/Ks)^(0.35))</f>
        <v>0</v>
      </c>
      <c r="BF27" s="209" cm="1">
        <f t="array" ref="BF27">0.00256 * Hazards_APPURT[[#This Row],[Kz]] * Kzt * Ks * I.wind * Vi^2 * IF(RIGHT(TIA,1)="G",1,Ke) * IF(OR(Calculations_APPURT[[#This Row],[Shape]]="CFD",Calculations_APPURT[[#This Row],[Shape]]="CCI"),1, Kd) * Gh</f>
        <v>0</v>
      </c>
      <c r="BG27"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27"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27"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27"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27"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27"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27"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27"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27"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27"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27"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27"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27"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27"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27"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27"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27" s="27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27" s="27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27" s="27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27" s="27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27" s="27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27" s="27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27" s="27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27" s="27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27" s="27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27" s="27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27" s="27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27" s="27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27" s="27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27" s="27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27" s="27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27" s="27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27"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27"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27"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27"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27"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27"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27"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27"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27"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27"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27"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27"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27"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27"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27"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27"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27" s="27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27" s="27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27" s="27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27" s="27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27" s="27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27" s="27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27" s="27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27" s="27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27" s="27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27" s="27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27" s="27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27" s="27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27" s="27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27" s="27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27" s="27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27" s="27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27"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27" s="27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27" s="276">
        <f>IFERROR(1/Calculations_APPURT[[#This Row],[Brackets]],0) * cv_F * AlphaSector[[#This Row],[Quantity]] * Hazards_APPURT[[#This Row],[qz]] * CaAa_APPURT[[#This Row],[Alpha 0]] * IF(Calculations_APPURT[[#This Row],[Shape]]="CFD",1, Ka)</f>
        <v>0</v>
      </c>
      <c r="GF27" s="276">
        <f>IFERROR(1/Calculations_APPURT[[#This Row],[Brackets]],0) * cv_F * AlphaSector[[#This Row],[Quantity]] * Hazards_APPURT[[#This Row],[qz]] * CaAa_APPURT[[#This Row],[Alpha 30]] * IF(Calculations_APPURT[[#This Row],[Shape]]="CFD",1, Ka)</f>
        <v>0</v>
      </c>
      <c r="GG27" s="276">
        <f>IFERROR(1/Calculations_APPURT[[#This Row],[Brackets]],0) * cv_F * AlphaSector[[#This Row],[Quantity]] * Hazards_APPURT[[#This Row],[qz]] * CaAa_APPURT[[#This Row],[Alpha 45]] * IF(Calculations_APPURT[[#This Row],[Shape]]="CFD",1, Ka)</f>
        <v>0</v>
      </c>
      <c r="GH27" s="276">
        <f>IFERROR(1/Calculations_APPURT[[#This Row],[Brackets]],0) * cv_F * AlphaSector[[#This Row],[Quantity]] * Hazards_APPURT[[#This Row],[qz]] * CaAa_APPURT[[#This Row],[Alpha 60]] * IF(Calculations_APPURT[[#This Row],[Shape]]="CFD",1, Ka)</f>
        <v>0</v>
      </c>
      <c r="GI27" s="276">
        <f>IFERROR(1/Calculations_APPURT[[#This Row],[Brackets]],0) * cv_F * AlphaSector[[#This Row],[Quantity]] * Hazards_APPURT[[#This Row],[qz]] * CaAa_APPURT[[#This Row],[Alpha 90]] * IF(Calculations_APPURT[[#This Row],[Shape]]="CFD",1, Ka)</f>
        <v>0</v>
      </c>
      <c r="GJ27" s="276">
        <f>IFERROR(1/Calculations_APPURT[[#This Row],[Brackets]],0) * cv_F * AlphaSector[[#This Row],[Quantity]] * Hazards_APPURT[[#This Row],[qz]] * CaAa_APPURT[[#This Row],[Alpha 120]] * IF(Calculations_APPURT[[#This Row],[Shape]]="CFD",1, Ka)</f>
        <v>0</v>
      </c>
      <c r="GK27" s="276">
        <f>IFERROR(1/Calculations_APPURT[[#This Row],[Brackets]],0) * cv_F * AlphaSector[[#This Row],[Quantity]] * Hazards_APPURT[[#This Row],[qz]] * CaAa_APPURT[[#This Row],[Alpha 135]] * IF(Calculations_APPURT[[#This Row],[Shape]]="CFD",1, Ka)</f>
        <v>0</v>
      </c>
      <c r="GL27" s="276">
        <f>IFERROR(1/Calculations_APPURT[[#This Row],[Brackets]],0) * cv_F * AlphaSector[[#This Row],[Quantity]] * Hazards_APPURT[[#This Row],[qz]] * CaAa_APPURT[[#This Row],[Alpha 150]] * IF(Calculations_APPURT[[#This Row],[Shape]]="CFD",1, Ka)</f>
        <v>0</v>
      </c>
      <c r="GM27" s="276">
        <f>IFERROR(1/Calculations_APPURT[[#This Row],[Brackets]],0) * cv_F * AlphaSector[[#This Row],[Quantity]] * Hazards_APPURT[[#This Row],[qz]] * CaAa_APPURT[[#This Row],[Alpha 180]] * IF(Calculations_APPURT[[#This Row],[Shape]]="CFD",1, Ka)</f>
        <v>0</v>
      </c>
      <c r="GN27" s="276">
        <f>IFERROR(1/Calculations_APPURT[[#This Row],[Brackets]],0) * cv_F * AlphaSector[[#This Row],[Quantity]] * Hazards_APPURT[[#This Row],[qz]] * CaAa_APPURT[[#This Row],[Alpha 210]] * IF(Calculations_APPURT[[#This Row],[Shape]]="CFD",1, Ka)</f>
        <v>0</v>
      </c>
      <c r="GO27" s="276">
        <f>IFERROR(1/Calculations_APPURT[[#This Row],[Brackets]],0) * cv_F * AlphaSector[[#This Row],[Quantity]] * Hazards_APPURT[[#This Row],[qz]] * CaAa_APPURT[[#This Row],[Alpha 225]] * IF(Calculations_APPURT[[#This Row],[Shape]]="CFD",1, Ka)</f>
        <v>0</v>
      </c>
      <c r="GP27" s="276">
        <f>IFERROR(1/Calculations_APPURT[[#This Row],[Brackets]],0) * cv_F * AlphaSector[[#This Row],[Quantity]] * Hazards_APPURT[[#This Row],[qz]] * CaAa_APPURT[[#This Row],[Alpha 240]] * IF(Calculations_APPURT[[#This Row],[Shape]]="CFD",1, Ka)</f>
        <v>0</v>
      </c>
      <c r="GQ27" s="276">
        <f>IFERROR(1/Calculations_APPURT[[#This Row],[Brackets]],0) * cv_F * AlphaSector[[#This Row],[Quantity]] * Hazards_APPURT[[#This Row],[qz]] * CaAa_APPURT[[#This Row],[Alpha 270]] * IF(Calculations_APPURT[[#This Row],[Shape]]="CFD",1, Ka)</f>
        <v>0</v>
      </c>
      <c r="GR27" s="276">
        <f>IFERROR(1/Calculations_APPURT[[#This Row],[Brackets]],0) * cv_F * AlphaSector[[#This Row],[Quantity]] * Hazards_APPURT[[#This Row],[qz]] * CaAa_APPURT[[#This Row],[Alpha 300]] * IF(Calculations_APPURT[[#This Row],[Shape]]="CFD",1, Ka)</f>
        <v>0</v>
      </c>
      <c r="GS27" s="276">
        <f>IFERROR(1/Calculations_APPURT[[#This Row],[Brackets]],0) * cv_F * AlphaSector[[#This Row],[Quantity]] * Hazards_APPURT[[#This Row],[qz]] * CaAa_APPURT[[#This Row],[Alpha 315]] * IF(Calculations_APPURT[[#This Row],[Shape]]="CFD",1, Ka)</f>
        <v>0</v>
      </c>
      <c r="GT27" s="276">
        <f>IFERROR(1/Calculations_APPURT[[#This Row],[Brackets]],0) * cv_F * AlphaSector[[#This Row],[Quantity]] * Hazards_APPURT[[#This Row],[qz]] * CaAa_APPURT[[#This Row],[Alpha 330]] * IF(Calculations_APPURT[[#This Row],[Shape]]="CFD",1, Ka)</f>
        <v>0</v>
      </c>
      <c r="GU27" s="276">
        <f>IFERROR(1/Calculations_APPURT[[#This Row],[Brackets]],0) * cv_F * BetaSector[[#This Row],[Quantity]] * Hazards_APPURT[[#This Row],[qz]] * CaAa_APPURT[[#This Row],[Beta 0]] * IF(Calculations_APPURT[[#This Row],[Shape]]="CFD",1, Ka)</f>
        <v>0</v>
      </c>
      <c r="GV27" s="276">
        <f>IFERROR(1/Calculations_APPURT[[#This Row],[Brackets]],0) * cv_F * BetaSector[[#This Row],[Quantity]] * Hazards_APPURT[[#This Row],[qz]] * CaAa_APPURT[[#This Row],[Beta 30]] * IF(Calculations_APPURT[[#This Row],[Shape]]="CFD",1, Ka)</f>
        <v>0</v>
      </c>
      <c r="GW27" s="276">
        <f>IFERROR(1/Calculations_APPURT[[#This Row],[Brackets]],0) * cv_F * BetaSector[[#This Row],[Quantity]] * Hazards_APPURT[[#This Row],[qz]] * CaAa_APPURT[[#This Row],[Beta 45]] * IF(Calculations_APPURT[[#This Row],[Shape]]="CFD",1, Ka)</f>
        <v>0</v>
      </c>
      <c r="GX27" s="276">
        <f>IFERROR(1/Calculations_APPURT[[#This Row],[Brackets]],0) * cv_F * BetaSector[[#This Row],[Quantity]] * Hazards_APPURT[[#This Row],[qz]] * CaAa_APPURT[[#This Row],[Beta 60]] * IF(Calculations_APPURT[[#This Row],[Shape]]="CFD",1, Ka)</f>
        <v>0</v>
      </c>
      <c r="GY27" s="276">
        <f>IFERROR(1/Calculations_APPURT[[#This Row],[Brackets]],0) * cv_F * BetaSector[[#This Row],[Quantity]] * Hazards_APPURT[[#This Row],[qz]] * CaAa_APPURT[[#This Row],[Beta 90]] * IF(Calculations_APPURT[[#This Row],[Shape]]="CFD",1, Ka)</f>
        <v>0</v>
      </c>
      <c r="GZ27" s="276">
        <f>IFERROR(1/Calculations_APPURT[[#This Row],[Brackets]],0) * cv_F * BetaSector[[#This Row],[Quantity]] * Hazards_APPURT[[#This Row],[qz]] * CaAa_APPURT[[#This Row],[Beta 120]] * IF(Calculations_APPURT[[#This Row],[Shape]]="CFD",1, Ka)</f>
        <v>0</v>
      </c>
      <c r="HA27" s="276">
        <f>IFERROR(1/Calculations_APPURT[[#This Row],[Brackets]],0) * cv_F * BetaSector[[#This Row],[Quantity]] * Hazards_APPURT[[#This Row],[qz]] * CaAa_APPURT[[#This Row],[Beta 135]] * IF(Calculations_APPURT[[#This Row],[Shape]]="CFD",1, Ka)</f>
        <v>0</v>
      </c>
      <c r="HB27" s="276">
        <f>IFERROR(1/Calculations_APPURT[[#This Row],[Brackets]],0) * cv_F * BetaSector[[#This Row],[Quantity]] * Hazards_APPURT[[#This Row],[qz]] * CaAa_APPURT[[#This Row],[Beta 150]] * IF(Calculations_APPURT[[#This Row],[Shape]]="CFD",1, Ka)</f>
        <v>0</v>
      </c>
      <c r="HC27" s="276">
        <f>IFERROR(1/Calculations_APPURT[[#This Row],[Brackets]],0) * cv_F * BetaSector[[#This Row],[Quantity]] * Hazards_APPURT[[#This Row],[qz]] * CaAa_APPURT[[#This Row],[Beta 180]] * IF(Calculations_APPURT[[#This Row],[Shape]]="CFD",1, Ka)</f>
        <v>0</v>
      </c>
      <c r="HD27" s="276">
        <f>IFERROR(1/Calculations_APPURT[[#This Row],[Brackets]],0) * cv_F * BetaSector[[#This Row],[Quantity]] * Hazards_APPURT[[#This Row],[qz]] * CaAa_APPURT[[#This Row],[Beta 210]] * IF(Calculations_APPURT[[#This Row],[Shape]]="CFD",1, Ka)</f>
        <v>0</v>
      </c>
      <c r="HE27" s="276">
        <f>IFERROR(1/Calculations_APPURT[[#This Row],[Brackets]],0) * cv_F * BetaSector[[#This Row],[Quantity]] * Hazards_APPURT[[#This Row],[qz]] * CaAa_APPURT[[#This Row],[Beta 225]] * IF(Calculations_APPURT[[#This Row],[Shape]]="CFD",1, Ka)</f>
        <v>0</v>
      </c>
      <c r="HF27" s="276">
        <f>IFERROR(1/Calculations_APPURT[[#This Row],[Brackets]],0) * cv_F * BetaSector[[#This Row],[Quantity]] * Hazards_APPURT[[#This Row],[qz]] * CaAa_APPURT[[#This Row],[Beta 240]] * IF(Calculations_APPURT[[#This Row],[Shape]]="CFD",1, Ka)</f>
        <v>0</v>
      </c>
      <c r="HG27" s="276">
        <f>IFERROR(1/Calculations_APPURT[[#This Row],[Brackets]],0) * cv_F * BetaSector[[#This Row],[Quantity]] * Hazards_APPURT[[#This Row],[qz]] * CaAa_APPURT[[#This Row],[Beta 270]] * IF(Calculations_APPURT[[#This Row],[Shape]]="CFD",1, Ka)</f>
        <v>0</v>
      </c>
      <c r="HH27" s="276">
        <f>IFERROR(1/Calculations_APPURT[[#This Row],[Brackets]],0) * cv_F * BetaSector[[#This Row],[Quantity]] * Hazards_APPURT[[#This Row],[qz]] * CaAa_APPURT[[#This Row],[Beta 300]] * IF(Calculations_APPURT[[#This Row],[Shape]]="CFD",1, Ka)</f>
        <v>0</v>
      </c>
      <c r="HI27" s="276">
        <f>IFERROR(1/Calculations_APPURT[[#This Row],[Brackets]],0) * cv_F * BetaSector[[#This Row],[Quantity]] * Hazards_APPURT[[#This Row],[qz]] * CaAa_APPURT[[#This Row],[Beta 315]] * IF(Calculations_APPURT[[#This Row],[Shape]]="CFD",1, Ka)</f>
        <v>0</v>
      </c>
      <c r="HJ27" s="276">
        <f>IFERROR(1/Calculations_APPURT[[#This Row],[Brackets]],0) * cv_F * BetaSector[[#This Row],[Quantity]] * Hazards_APPURT[[#This Row],[qz]] * CaAa_APPURT[[#This Row],[Beta 330]] * IF(Calculations_APPURT[[#This Row],[Shape]]="CFD",1, Ka)</f>
        <v>0</v>
      </c>
      <c r="HK27" s="276">
        <f>IFERROR(1/Calculations_APPURT[[#This Row],[Brackets]],0) * cv_F * GammaSector[[#This Row],[Quantity]] * Hazards_APPURT[[#This Row],[qz]] * CaAa_APPURT[[#This Row],[Gamma 0]] * IF(Calculations_APPURT[[#This Row],[Shape]]="CFD",1, Ka)</f>
        <v>0</v>
      </c>
      <c r="HL27" s="276">
        <f>IFERROR(1/Calculations_APPURT[[#This Row],[Brackets]],0) * cv_F * GammaSector[[#This Row],[Quantity]] * Hazards_APPURT[[#This Row],[qz]] * CaAa_APPURT[[#This Row],[Gamma 30]] * IF(Calculations_APPURT[[#This Row],[Shape]]="CFD",1, Ka)</f>
        <v>0</v>
      </c>
      <c r="HM27" s="276">
        <f>IFERROR(1/Calculations_APPURT[[#This Row],[Brackets]],0) * cv_F * GammaSector[[#This Row],[Quantity]] * Hazards_APPURT[[#This Row],[qz]] * CaAa_APPURT[[#This Row],[Gamma 45]] * IF(Calculations_APPURT[[#This Row],[Shape]]="CFD",1, Ka)</f>
        <v>0</v>
      </c>
      <c r="HN27" s="276">
        <f>IFERROR(1/Calculations_APPURT[[#This Row],[Brackets]],0) * cv_F * GammaSector[[#This Row],[Quantity]] * Hazards_APPURT[[#This Row],[qz]] * CaAa_APPURT[[#This Row],[Gamma 60]] * IF(Calculations_APPURT[[#This Row],[Shape]]="CFD",1, Ka)</f>
        <v>0</v>
      </c>
      <c r="HO27" s="276">
        <f>IFERROR(1/Calculations_APPURT[[#This Row],[Brackets]],0) * cv_F * GammaSector[[#This Row],[Quantity]] * Hazards_APPURT[[#This Row],[qz]] * CaAa_APPURT[[#This Row],[Gamma 90]] * IF(Calculations_APPURT[[#This Row],[Shape]]="CFD",1, Ka)</f>
        <v>0</v>
      </c>
      <c r="HP27" s="276">
        <f>IFERROR(1/Calculations_APPURT[[#This Row],[Brackets]],0) * cv_F * GammaSector[[#This Row],[Quantity]] * Hazards_APPURT[[#This Row],[qz]] * CaAa_APPURT[[#This Row],[Gamma 120]] * IF(Calculations_APPURT[[#This Row],[Shape]]="CFD",1, Ka)</f>
        <v>0</v>
      </c>
      <c r="HQ27" s="276">
        <f>IFERROR(1/Calculations_APPURT[[#This Row],[Brackets]],0) * cv_F * GammaSector[[#This Row],[Quantity]] * Hazards_APPURT[[#This Row],[qz]] * CaAa_APPURT[[#This Row],[Gamma 135]] * IF(Calculations_APPURT[[#This Row],[Shape]]="CFD",1, Ka)</f>
        <v>0</v>
      </c>
      <c r="HR27" s="276">
        <f>IFERROR(1/Calculations_APPURT[[#This Row],[Brackets]],0) * cv_F * GammaSector[[#This Row],[Quantity]] * Hazards_APPURT[[#This Row],[qz]] * CaAa_APPURT[[#This Row],[Gamma 150]] * IF(Calculations_APPURT[[#This Row],[Shape]]="CFD",1, Ka)</f>
        <v>0</v>
      </c>
      <c r="HS27" s="276">
        <f>IFERROR(1/Calculations_APPURT[[#This Row],[Brackets]],0) * cv_F * GammaSector[[#This Row],[Quantity]] * Hazards_APPURT[[#This Row],[qz]] * CaAa_APPURT[[#This Row],[Gamma 180]] * IF(Calculations_APPURT[[#This Row],[Shape]]="CFD",1, Ka)</f>
        <v>0</v>
      </c>
      <c r="HT27" s="276">
        <f>IFERROR(1/Calculations_APPURT[[#This Row],[Brackets]],0) * cv_F * GammaSector[[#This Row],[Quantity]] * Hazards_APPURT[[#This Row],[qz]] * CaAa_APPURT[[#This Row],[Gamma 210]] * IF(Calculations_APPURT[[#This Row],[Shape]]="CFD",1, Ka)</f>
        <v>0</v>
      </c>
      <c r="HU27" s="276">
        <f>IFERROR(1/Calculations_APPURT[[#This Row],[Brackets]],0) * cv_F * GammaSector[[#This Row],[Quantity]] * Hazards_APPURT[[#This Row],[qz]] * CaAa_APPURT[[#This Row],[Gamma 225]] * IF(Calculations_APPURT[[#This Row],[Shape]]="CFD",1, Ka)</f>
        <v>0</v>
      </c>
      <c r="HV27" s="276">
        <f>IFERROR(1/Calculations_APPURT[[#This Row],[Brackets]],0) * cv_F * GammaSector[[#This Row],[Quantity]] * Hazards_APPURT[[#This Row],[qz]] * CaAa_APPURT[[#This Row],[Gamma 240]] * IF(Calculations_APPURT[[#This Row],[Shape]]="CFD",1, Ka)</f>
        <v>0</v>
      </c>
      <c r="HW27" s="276">
        <f>IFERROR(1/Calculations_APPURT[[#This Row],[Brackets]],0) * cv_F * GammaSector[[#This Row],[Quantity]] * Hazards_APPURT[[#This Row],[qz]] * CaAa_APPURT[[#This Row],[Gamma 270]] * IF(Calculations_APPURT[[#This Row],[Shape]]="CFD",1, Ka)</f>
        <v>0</v>
      </c>
      <c r="HX27" s="276">
        <f>IFERROR(1/Calculations_APPURT[[#This Row],[Brackets]],0) * cv_F * GammaSector[[#This Row],[Quantity]] * Hazards_APPURT[[#This Row],[qz]] * CaAa_APPURT[[#This Row],[Gamma 300]] * IF(Calculations_APPURT[[#This Row],[Shape]]="CFD",1, Ka)</f>
        <v>0</v>
      </c>
      <c r="HY27" s="276">
        <f>IFERROR(1/Calculations_APPURT[[#This Row],[Brackets]],0) * cv_F * GammaSector[[#This Row],[Quantity]] * Hazards_APPURT[[#This Row],[qz]] * CaAa_APPURT[[#This Row],[Gamma 315]] * IF(Calculations_APPURT[[#This Row],[Shape]]="CFD",1, Ka)</f>
        <v>0</v>
      </c>
      <c r="HZ27" s="276">
        <f>IFERROR(1/Calculations_APPURT[[#This Row],[Brackets]],0) * cv_F * GammaSector[[#This Row],[Quantity]] * Hazards_APPURT[[#This Row],[qz]] * CaAa_APPURT[[#This Row],[Gamma 330]] * IF(Calculations_APPURT[[#This Row],[Shape]]="CFD",1, Ka)</f>
        <v>0</v>
      </c>
      <c r="IA27" s="276">
        <f>IFERROR(1/Calculations_APPURT[[#This Row],[Brackets]],0) * cv_F * DeltaSector[[#This Row],[Quantity]] * Hazards_APPURT[[#This Row],[qz]] * CaAa_APPURT[[#This Row],[Delta 0]] * IF(Calculations_APPURT[[#This Row],[Shape]]="CFD",1, Ka)</f>
        <v>0</v>
      </c>
      <c r="IB27" s="276">
        <f>IFERROR(1/Calculations_APPURT[[#This Row],[Brackets]],0) * cv_F * DeltaSector[[#This Row],[Quantity]] * Hazards_APPURT[[#This Row],[qz]] * CaAa_APPURT[[#This Row],[Delta 30]] * IF(Calculations_APPURT[[#This Row],[Shape]]="CFD",1, Ka)</f>
        <v>0</v>
      </c>
      <c r="IC27" s="276">
        <f>IFERROR(1/Calculations_APPURT[[#This Row],[Brackets]],0) * cv_F * DeltaSector[[#This Row],[Quantity]] * Hazards_APPURT[[#This Row],[qz]] * CaAa_APPURT[[#This Row],[Delta 45]] * IF(Calculations_APPURT[[#This Row],[Shape]]="CFD",1, Ka)</f>
        <v>0</v>
      </c>
      <c r="ID27" s="276">
        <f>IFERROR(1/Calculations_APPURT[[#This Row],[Brackets]],0) * cv_F * DeltaSector[[#This Row],[Quantity]] * Hazards_APPURT[[#This Row],[qz]] * CaAa_APPURT[[#This Row],[Delta 60]] * IF(Calculations_APPURT[[#This Row],[Shape]]="CFD",1, Ka)</f>
        <v>0</v>
      </c>
      <c r="IE27" s="276">
        <f>IFERROR(1/Calculations_APPURT[[#This Row],[Brackets]],0) * cv_F * DeltaSector[[#This Row],[Quantity]] * Hazards_APPURT[[#This Row],[qz]] * CaAa_APPURT[[#This Row],[Delta 90]] * IF(Calculations_APPURT[[#This Row],[Shape]]="CFD",1, Ka)</f>
        <v>0</v>
      </c>
      <c r="IF27" s="276">
        <f>IFERROR(1/Calculations_APPURT[[#This Row],[Brackets]],0) * cv_F * DeltaSector[[#This Row],[Quantity]] * Hazards_APPURT[[#This Row],[qz]] * CaAa_APPURT[[#This Row],[Delta 120]] * IF(Calculations_APPURT[[#This Row],[Shape]]="CFD",1, Ka)</f>
        <v>0</v>
      </c>
      <c r="IG27" s="276">
        <f>IFERROR(1/Calculations_APPURT[[#This Row],[Brackets]],0) * cv_F * DeltaSector[[#This Row],[Quantity]] * Hazards_APPURT[[#This Row],[qz]] * CaAa_APPURT[[#This Row],[Delta 135]] * IF(Calculations_APPURT[[#This Row],[Shape]]="CFD",1, Ka)</f>
        <v>0</v>
      </c>
      <c r="IH27" s="276">
        <f>IFERROR(1/Calculations_APPURT[[#This Row],[Brackets]],0) * cv_F * DeltaSector[[#This Row],[Quantity]] * Hazards_APPURT[[#This Row],[qz]] * CaAa_APPURT[[#This Row],[Delta 150]] * IF(Calculations_APPURT[[#This Row],[Shape]]="CFD",1, Ka)</f>
        <v>0</v>
      </c>
      <c r="II27" s="276">
        <f>IFERROR(1/Calculations_APPURT[[#This Row],[Brackets]],0) * cv_F * DeltaSector[[#This Row],[Quantity]] * Hazards_APPURT[[#This Row],[qz]] * CaAa_APPURT[[#This Row],[Delta 180]] * IF(Calculations_APPURT[[#This Row],[Shape]]="CFD",1, Ka)</f>
        <v>0</v>
      </c>
      <c r="IJ27" s="276">
        <f>IFERROR(1/Calculations_APPURT[[#This Row],[Brackets]],0) * cv_F * DeltaSector[[#This Row],[Quantity]] * Hazards_APPURT[[#This Row],[qz]] * CaAa_APPURT[[#This Row],[Delta 210]] * IF(Calculations_APPURT[[#This Row],[Shape]]="CFD",1, Ka)</f>
        <v>0</v>
      </c>
      <c r="IK27" s="276">
        <f>IFERROR(1/Calculations_APPURT[[#This Row],[Brackets]],0) * cv_F * DeltaSector[[#This Row],[Quantity]] * Hazards_APPURT[[#This Row],[qz]] * CaAa_APPURT[[#This Row],[Delta 225]] * IF(Calculations_APPURT[[#This Row],[Shape]]="CFD",1, Ka)</f>
        <v>0</v>
      </c>
      <c r="IL27" s="276">
        <f>IFERROR(1/Calculations_APPURT[[#This Row],[Brackets]],0) * cv_F * DeltaSector[[#This Row],[Quantity]] * Hazards_APPURT[[#This Row],[qz]] * CaAa_APPURT[[#This Row],[Delta 240]] * IF(Calculations_APPURT[[#This Row],[Shape]]="CFD",1, Ka)</f>
        <v>0</v>
      </c>
      <c r="IM27" s="276">
        <f>IFERROR(1/Calculations_APPURT[[#This Row],[Brackets]],0) * cv_F * DeltaSector[[#This Row],[Quantity]] * Hazards_APPURT[[#This Row],[qz]] * CaAa_APPURT[[#This Row],[Delta 270]] * IF(Calculations_APPURT[[#This Row],[Shape]]="CFD",1, Ka)</f>
        <v>0</v>
      </c>
      <c r="IN27" s="276">
        <f>IFERROR(1/Calculations_APPURT[[#This Row],[Brackets]],0) * cv_F * DeltaSector[[#This Row],[Quantity]] * Hazards_APPURT[[#This Row],[qz]] * CaAa_APPURT[[#This Row],[Delta 300]] * IF(Calculations_APPURT[[#This Row],[Shape]]="CFD",1, Ka)</f>
        <v>0</v>
      </c>
      <c r="IO27" s="276">
        <f>IFERROR(1/Calculations_APPURT[[#This Row],[Brackets]],0) * cv_F * DeltaSector[[#This Row],[Quantity]] * Hazards_APPURT[[#This Row],[qz]] * CaAa_APPURT[[#This Row],[Delta 315]] * IF(Calculations_APPURT[[#This Row],[Shape]]="CFD",1, Ka)</f>
        <v>0</v>
      </c>
      <c r="IP27" s="276">
        <f>IFERROR(1/Calculations_APPURT[[#This Row],[Brackets]],0) * cv_F * DeltaSector[[#This Row],[Quantity]] * Hazards_APPURT[[#This Row],[qz]] * CaAa_APPURT[[#This Row],[Delta 330]] * IF(Calculations_APPURT[[#This Row],[Shape]]="CFD",1, Ka)</f>
        <v>0</v>
      </c>
      <c r="IQ27" s="276">
        <f>IFERROR(1/Calculations_APPURT[[#This Row],[Brackets]],0) * cv_F * AlphaSector[[#This Row],[Quantity]] * Hazards_APPURT[[#This Row],[qiz]] * CaAa_APPURT[[#This Row],[Alpha Ice 0]]</f>
        <v>0</v>
      </c>
      <c r="IR27" s="276">
        <f>IFERROR(1/Calculations_APPURT[[#This Row],[Brackets]],0) * cv_F * AlphaSector[[#This Row],[Quantity]] * Hazards_APPURT[[#This Row],[qiz]] * CaAa_APPURT[[#This Row],[Alpha Ice 30]]</f>
        <v>0</v>
      </c>
      <c r="IS27" s="276">
        <f>IFERROR(1/Calculations_APPURT[[#This Row],[Brackets]],0) * cv_F * AlphaSector[[#This Row],[Quantity]] * Hazards_APPURT[[#This Row],[qiz]] * CaAa_APPURT[[#This Row],[Alpha Ice 45]]</f>
        <v>0</v>
      </c>
      <c r="IT27" s="276">
        <f>IFERROR(1/Calculations_APPURT[[#This Row],[Brackets]],0) * cv_F * AlphaSector[[#This Row],[Quantity]] * Hazards_APPURT[[#This Row],[qiz]] * CaAa_APPURT[[#This Row],[Alpha Ice 60]]</f>
        <v>0</v>
      </c>
      <c r="IU27" s="276">
        <f>IFERROR(1/Calculations_APPURT[[#This Row],[Brackets]],0) * cv_F * AlphaSector[[#This Row],[Quantity]] * Hazards_APPURT[[#This Row],[qiz]] * CaAa_APPURT[[#This Row],[Alpha Ice 90]]</f>
        <v>0</v>
      </c>
      <c r="IV27" s="276">
        <f>IFERROR(1/Calculations_APPURT[[#This Row],[Brackets]],0) * cv_F * AlphaSector[[#This Row],[Quantity]] * Hazards_APPURT[[#This Row],[qiz]] * CaAa_APPURT[[#This Row],[Alpha Ice 120]]</f>
        <v>0</v>
      </c>
      <c r="IW27" s="276">
        <f>IFERROR(1/Calculations_APPURT[[#This Row],[Brackets]],0) * cv_F * AlphaSector[[#This Row],[Quantity]] * Hazards_APPURT[[#This Row],[qiz]] * CaAa_APPURT[[#This Row],[Alpha Ice 135]]</f>
        <v>0</v>
      </c>
      <c r="IX27" s="276">
        <f>IFERROR(1/Calculations_APPURT[[#This Row],[Brackets]],0) * cv_F * AlphaSector[[#This Row],[Quantity]] * Hazards_APPURT[[#This Row],[qiz]] * CaAa_APPURT[[#This Row],[Alpha Ice 150]]</f>
        <v>0</v>
      </c>
      <c r="IY27" s="276">
        <f>IFERROR(1/Calculations_APPURT[[#This Row],[Brackets]],0) * cv_F * AlphaSector[[#This Row],[Quantity]] * Hazards_APPURT[[#This Row],[qiz]] * CaAa_APPURT[[#This Row],[Alpha Ice 180]]</f>
        <v>0</v>
      </c>
      <c r="IZ27" s="276">
        <f>IFERROR(1/Calculations_APPURT[[#This Row],[Brackets]],0) * cv_F * AlphaSector[[#This Row],[Quantity]] * Hazards_APPURT[[#This Row],[qiz]] * CaAa_APPURT[[#This Row],[Alpha Ice 210]]</f>
        <v>0</v>
      </c>
      <c r="JA27" s="276">
        <f>IFERROR(1/Calculations_APPURT[[#This Row],[Brackets]],0) * cv_F * AlphaSector[[#This Row],[Quantity]] * Hazards_APPURT[[#This Row],[qiz]] * CaAa_APPURT[[#This Row],[Alpha Ice 225]]</f>
        <v>0</v>
      </c>
      <c r="JB27" s="276">
        <f>IFERROR(1/Calculations_APPURT[[#This Row],[Brackets]],0) * cv_F * AlphaSector[[#This Row],[Quantity]] * Hazards_APPURT[[#This Row],[qiz]] * CaAa_APPURT[[#This Row],[Alpha Ice 240]]</f>
        <v>0</v>
      </c>
      <c r="JC27" s="276">
        <f>IFERROR(1/Calculations_APPURT[[#This Row],[Brackets]],0) * cv_F * AlphaSector[[#This Row],[Quantity]] * Hazards_APPURT[[#This Row],[qiz]] * CaAa_APPURT[[#This Row],[Alpha Ice 270]]</f>
        <v>0</v>
      </c>
      <c r="JD27" s="276">
        <f>IFERROR(1/Calculations_APPURT[[#This Row],[Brackets]],0) * cv_F * AlphaSector[[#This Row],[Quantity]] * Hazards_APPURT[[#This Row],[qiz]] * CaAa_APPURT[[#This Row],[Alpha Ice 300]]</f>
        <v>0</v>
      </c>
      <c r="JE27" s="276">
        <f>IFERROR(1/Calculations_APPURT[[#This Row],[Brackets]],0) * cv_F * AlphaSector[[#This Row],[Quantity]] * Hazards_APPURT[[#This Row],[qiz]] * CaAa_APPURT[[#This Row],[Alpha Ice 315]]</f>
        <v>0</v>
      </c>
      <c r="JF27" s="276">
        <f>IFERROR(1/Calculations_APPURT[[#This Row],[Brackets]],0) * cv_F * AlphaSector[[#This Row],[Quantity]] * Hazards_APPURT[[#This Row],[qiz]] * CaAa_APPURT[[#This Row],[Alpha Ice 330]]</f>
        <v>0</v>
      </c>
      <c r="JG27" s="276">
        <f>IFERROR(1/Calculations_APPURT[[#This Row],[Brackets]],0) * cv_F * BetaSector[[#This Row],[Quantity]] * Hazards_APPURT[[#This Row],[qiz]] * CaAa_APPURT[[#This Row],[Beta Ice 0]]</f>
        <v>0</v>
      </c>
      <c r="JH27" s="276">
        <f>IFERROR(1/Calculations_APPURT[[#This Row],[Brackets]],0) * cv_F * BetaSector[[#This Row],[Quantity]] * Hazards_APPURT[[#This Row],[qiz]] * CaAa_APPURT[[#This Row],[Beta Ice 30]]</f>
        <v>0</v>
      </c>
      <c r="JI27" s="276">
        <f>IFERROR(1/Calculations_APPURT[[#This Row],[Brackets]],0) * cv_F * BetaSector[[#This Row],[Quantity]] * Hazards_APPURT[[#This Row],[qiz]] * CaAa_APPURT[[#This Row],[Beta Ice 45]]</f>
        <v>0</v>
      </c>
      <c r="JJ27" s="276">
        <f>IFERROR(1/Calculations_APPURT[[#This Row],[Brackets]],0) * cv_F * BetaSector[[#This Row],[Quantity]] * Hazards_APPURT[[#This Row],[qiz]] * CaAa_APPURT[[#This Row],[Beta Ice 60]]</f>
        <v>0</v>
      </c>
      <c r="JK27" s="276">
        <f>IFERROR(1/Calculations_APPURT[[#This Row],[Brackets]],0) * cv_F * BetaSector[[#This Row],[Quantity]] * Hazards_APPURT[[#This Row],[qiz]] * CaAa_APPURT[[#This Row],[Beta Ice 90]]</f>
        <v>0</v>
      </c>
      <c r="JL27" s="276">
        <f>IFERROR(1/Calculations_APPURT[[#This Row],[Brackets]],0) * cv_F * BetaSector[[#This Row],[Quantity]] * Hazards_APPURT[[#This Row],[qiz]] * CaAa_APPURT[[#This Row],[Beta Ice 120]]</f>
        <v>0</v>
      </c>
      <c r="JM27" s="276">
        <f>IFERROR(1/Calculations_APPURT[[#This Row],[Brackets]],0) * cv_F * BetaSector[[#This Row],[Quantity]] * Hazards_APPURT[[#This Row],[qiz]] * CaAa_APPURT[[#This Row],[Beta Ice 135]]</f>
        <v>0</v>
      </c>
      <c r="JN27" s="276">
        <f>IFERROR(1/Calculations_APPURT[[#This Row],[Brackets]],0) * cv_F * BetaSector[[#This Row],[Quantity]] * Hazards_APPURT[[#This Row],[qiz]] * CaAa_APPURT[[#This Row],[Beta Ice 150]]</f>
        <v>0</v>
      </c>
      <c r="JO27" s="276">
        <f>IFERROR(1/Calculations_APPURT[[#This Row],[Brackets]],0) * cv_F * BetaSector[[#This Row],[Quantity]] * Hazards_APPURT[[#This Row],[qiz]] * CaAa_APPURT[[#This Row],[Beta Ice 180]]</f>
        <v>0</v>
      </c>
      <c r="JP27" s="276">
        <f>IFERROR(1/Calculations_APPURT[[#This Row],[Brackets]],0) * cv_F * BetaSector[[#This Row],[Quantity]] * Hazards_APPURT[[#This Row],[qiz]] * CaAa_APPURT[[#This Row],[Beta Ice 210]]</f>
        <v>0</v>
      </c>
      <c r="JQ27" s="276">
        <f>IFERROR(1/Calculations_APPURT[[#This Row],[Brackets]],0) * cv_F * BetaSector[[#This Row],[Quantity]] * Hazards_APPURT[[#This Row],[qiz]] * CaAa_APPURT[[#This Row],[Beta Ice 225]]</f>
        <v>0</v>
      </c>
      <c r="JR27" s="276">
        <f>IFERROR(1/Calculations_APPURT[[#This Row],[Brackets]],0) * cv_F * BetaSector[[#This Row],[Quantity]] * Hazards_APPURT[[#This Row],[qiz]] * CaAa_APPURT[[#This Row],[Beta Ice 240]]</f>
        <v>0</v>
      </c>
      <c r="JS27" s="276">
        <f>IFERROR(1/Calculations_APPURT[[#This Row],[Brackets]],0) * cv_F * BetaSector[[#This Row],[Quantity]] * Hazards_APPURT[[#This Row],[qiz]] * CaAa_APPURT[[#This Row],[Beta Ice 270]]</f>
        <v>0</v>
      </c>
      <c r="JT27" s="276">
        <f>IFERROR(1/Calculations_APPURT[[#This Row],[Brackets]],0) * cv_F * BetaSector[[#This Row],[Quantity]] * Hazards_APPURT[[#This Row],[qiz]] * CaAa_APPURT[[#This Row],[Beta Ice 300]]</f>
        <v>0</v>
      </c>
      <c r="JU27" s="276">
        <f>IFERROR(1/Calculations_APPURT[[#This Row],[Brackets]],0) * cv_F * BetaSector[[#This Row],[Quantity]] * Hazards_APPURT[[#This Row],[qiz]] * CaAa_APPURT[[#This Row],[Beta Ice 315]]</f>
        <v>0</v>
      </c>
      <c r="JV27" s="276">
        <f>IFERROR(1/Calculations_APPURT[[#This Row],[Brackets]],0) * cv_F * BetaSector[[#This Row],[Quantity]] * Hazards_APPURT[[#This Row],[qiz]] * CaAa_APPURT[[#This Row],[Beta Ice 330]]</f>
        <v>0</v>
      </c>
      <c r="JW27" s="276">
        <f>IFERROR(1/Calculations_APPURT[[#This Row],[Brackets]],0) * cv_F * GammaSector[[#This Row],[Quantity]] * Hazards_APPURT[[#This Row],[qiz]] * CaAa_APPURT[[#This Row],[Gamma Ice 0]]</f>
        <v>0</v>
      </c>
      <c r="JX27" s="276">
        <f>IFERROR(1/Calculations_APPURT[[#This Row],[Brackets]],0) * cv_F * GammaSector[[#This Row],[Quantity]] * Hazards_APPURT[[#This Row],[qiz]] * CaAa_APPURT[[#This Row],[Gamma Ice 30]]</f>
        <v>0</v>
      </c>
      <c r="JY27" s="276">
        <f>IFERROR(1/Calculations_APPURT[[#This Row],[Brackets]],0) * cv_F * GammaSector[[#This Row],[Quantity]] * Hazards_APPURT[[#This Row],[qiz]] * CaAa_APPURT[[#This Row],[Gamma Ice 45]]</f>
        <v>0</v>
      </c>
      <c r="JZ27" s="276">
        <f>IFERROR(1/Calculations_APPURT[[#This Row],[Brackets]],0) * cv_F * GammaSector[[#This Row],[Quantity]] * Hazards_APPURT[[#This Row],[qiz]] * CaAa_APPURT[[#This Row],[Gamma Ice 60]]</f>
        <v>0</v>
      </c>
      <c r="KA27" s="276">
        <f>IFERROR(1/Calculations_APPURT[[#This Row],[Brackets]],0) * cv_F * GammaSector[[#This Row],[Quantity]] * Hazards_APPURT[[#This Row],[qiz]] * CaAa_APPURT[[#This Row],[Gamma Ice 90]]</f>
        <v>0</v>
      </c>
      <c r="KB27" s="276">
        <f>IFERROR(1/Calculations_APPURT[[#This Row],[Brackets]],0) * cv_F * GammaSector[[#This Row],[Quantity]] * Hazards_APPURT[[#This Row],[qiz]] * CaAa_APPURT[[#This Row],[Gamma Ice 120]]</f>
        <v>0</v>
      </c>
      <c r="KC27" s="276">
        <f>IFERROR(1/Calculations_APPURT[[#This Row],[Brackets]],0) * cv_F * GammaSector[[#This Row],[Quantity]] * Hazards_APPURT[[#This Row],[qiz]] * CaAa_APPURT[[#This Row],[Gamma Ice 135]]</f>
        <v>0</v>
      </c>
      <c r="KD27" s="276">
        <f>IFERROR(1/Calculations_APPURT[[#This Row],[Brackets]],0) * cv_F * GammaSector[[#This Row],[Quantity]] * Hazards_APPURT[[#This Row],[qiz]] * CaAa_APPURT[[#This Row],[Gamma Ice 150]]</f>
        <v>0</v>
      </c>
      <c r="KE27" s="276">
        <f>IFERROR(1/Calculations_APPURT[[#This Row],[Brackets]],0) * cv_F * GammaSector[[#This Row],[Quantity]] * Hazards_APPURT[[#This Row],[qiz]] * CaAa_APPURT[[#This Row],[Gamma Ice 180]]</f>
        <v>0</v>
      </c>
      <c r="KF27" s="276">
        <f>IFERROR(1/Calculations_APPURT[[#This Row],[Brackets]],0) * cv_F * GammaSector[[#This Row],[Quantity]] * Hazards_APPURT[[#This Row],[qiz]] * CaAa_APPURT[[#This Row],[Gamma Ice 210]]</f>
        <v>0</v>
      </c>
      <c r="KG27" s="276">
        <f>IFERROR(1/Calculations_APPURT[[#This Row],[Brackets]],0) * cv_F * GammaSector[[#This Row],[Quantity]] * Hazards_APPURT[[#This Row],[qiz]] * CaAa_APPURT[[#This Row],[Gamma Ice 225]]</f>
        <v>0</v>
      </c>
      <c r="KH27" s="276">
        <f>IFERROR(1/Calculations_APPURT[[#This Row],[Brackets]],0) * cv_F * GammaSector[[#This Row],[Quantity]] * Hazards_APPURT[[#This Row],[qiz]] * CaAa_APPURT[[#This Row],[Gamma Ice 240]]</f>
        <v>0</v>
      </c>
      <c r="KI27" s="276">
        <f>IFERROR(1/Calculations_APPURT[[#This Row],[Brackets]],0) * cv_F * GammaSector[[#This Row],[Quantity]] * Hazards_APPURT[[#This Row],[qiz]] * CaAa_APPURT[[#This Row],[Gamma Ice 270]]</f>
        <v>0</v>
      </c>
      <c r="KJ27" s="276">
        <f>IFERROR(1/Calculations_APPURT[[#This Row],[Brackets]],0) * cv_F * GammaSector[[#This Row],[Quantity]] * Hazards_APPURT[[#This Row],[qiz]] * CaAa_APPURT[[#This Row],[Gamma Ice 300]]</f>
        <v>0</v>
      </c>
      <c r="KK27" s="276">
        <f>IFERROR(1/Calculations_APPURT[[#This Row],[Brackets]],0) * cv_F * GammaSector[[#This Row],[Quantity]] * Hazards_APPURT[[#This Row],[qiz]] * CaAa_APPURT[[#This Row],[Gamma Ice 315]]</f>
        <v>0</v>
      </c>
      <c r="KL27" s="276">
        <f>IFERROR(1/Calculations_APPURT[[#This Row],[Brackets]],0) * cv_F * GammaSector[[#This Row],[Quantity]] * Hazards_APPURT[[#This Row],[qiz]] * CaAa_APPURT[[#This Row],[Gamma Ice 330]]</f>
        <v>0</v>
      </c>
      <c r="KM27" s="276">
        <f>IFERROR(1/Calculations_APPURT[[#This Row],[Brackets]],0) * cv_F * DeltaSector[[#This Row],[Quantity]] * Hazards_APPURT[[#This Row],[qiz]] * CaAa_APPURT[[#This Row],[Delta Ice 0]]</f>
        <v>0</v>
      </c>
      <c r="KN27" s="276">
        <f>IFERROR(1/Calculations_APPURT[[#This Row],[Brackets]],0) * cv_F * DeltaSector[[#This Row],[Quantity]] * Hazards_APPURT[[#This Row],[qiz]] * CaAa_APPURT[[#This Row],[Delta Ice 30]]</f>
        <v>0</v>
      </c>
      <c r="KO27" s="276">
        <f>IFERROR(1/Calculations_APPURT[[#This Row],[Brackets]],0) * cv_F * DeltaSector[[#This Row],[Quantity]] * Hazards_APPURT[[#This Row],[qiz]] * CaAa_APPURT[[#This Row],[Delta Ice 45]]</f>
        <v>0</v>
      </c>
      <c r="KP27" s="276">
        <f>IFERROR(1/Calculations_APPURT[[#This Row],[Brackets]],0) * cv_F * DeltaSector[[#This Row],[Quantity]] * Hazards_APPURT[[#This Row],[qiz]] * CaAa_APPURT[[#This Row],[Delta Ice 60]]</f>
        <v>0</v>
      </c>
      <c r="KQ27" s="276">
        <f>IFERROR(1/Calculations_APPURT[[#This Row],[Brackets]],0) * cv_F * DeltaSector[[#This Row],[Quantity]] * Hazards_APPURT[[#This Row],[qiz]] * CaAa_APPURT[[#This Row],[Delta Ice 90]]</f>
        <v>0</v>
      </c>
      <c r="KR27" s="276">
        <f>IFERROR(1/Calculations_APPURT[[#This Row],[Brackets]],0) * cv_F * DeltaSector[[#This Row],[Quantity]] * Hazards_APPURT[[#This Row],[qiz]] * CaAa_APPURT[[#This Row],[Delta Ice 120]]</f>
        <v>0</v>
      </c>
      <c r="KS27" s="276">
        <f>IFERROR(1/Calculations_APPURT[[#This Row],[Brackets]],0) * cv_F * DeltaSector[[#This Row],[Quantity]] * Hazards_APPURT[[#This Row],[qiz]] * CaAa_APPURT[[#This Row],[Delta Ice 135]]</f>
        <v>0</v>
      </c>
      <c r="KT27" s="276">
        <f>IFERROR(1/Calculations_APPURT[[#This Row],[Brackets]],0) * cv_F * DeltaSector[[#This Row],[Quantity]] * Hazards_APPURT[[#This Row],[qiz]] * CaAa_APPURT[[#This Row],[Delta Ice 150]]</f>
        <v>0</v>
      </c>
      <c r="KU27" s="276">
        <f>IFERROR(1/Calculations_APPURT[[#This Row],[Brackets]],0) * cv_F * DeltaSector[[#This Row],[Quantity]] * Hazards_APPURT[[#This Row],[qiz]] * CaAa_APPURT[[#This Row],[Delta Ice 180]]</f>
        <v>0</v>
      </c>
      <c r="KV27" s="276">
        <f>IFERROR(1/Calculations_APPURT[[#This Row],[Brackets]],0) * cv_F * DeltaSector[[#This Row],[Quantity]] * Hazards_APPURT[[#This Row],[qiz]] * CaAa_APPURT[[#This Row],[Delta Ice 210]]</f>
        <v>0</v>
      </c>
      <c r="KW27" s="276">
        <f>IFERROR(1/Calculations_APPURT[[#This Row],[Brackets]],0) * cv_F * DeltaSector[[#This Row],[Quantity]] * Hazards_APPURT[[#This Row],[qiz]] * CaAa_APPURT[[#This Row],[Delta Ice 225]]</f>
        <v>0</v>
      </c>
      <c r="KX27" s="276">
        <f>IFERROR(1/Calculations_APPURT[[#This Row],[Brackets]],0) * cv_F * DeltaSector[[#This Row],[Quantity]] * Hazards_APPURT[[#This Row],[qiz]] * CaAa_APPURT[[#This Row],[Delta Ice 240]]</f>
        <v>0</v>
      </c>
      <c r="KY27" s="276">
        <f>IFERROR(1/Calculations_APPURT[[#This Row],[Brackets]],0) * cv_F * DeltaSector[[#This Row],[Quantity]] * Hazards_APPURT[[#This Row],[qiz]] * CaAa_APPURT[[#This Row],[Delta Ice 270]]</f>
        <v>0</v>
      </c>
      <c r="KZ27" s="276">
        <f>IFERROR(1/Calculations_APPURT[[#This Row],[Brackets]],0) * cv_F * DeltaSector[[#This Row],[Quantity]] * Hazards_APPURT[[#This Row],[qiz]] * CaAa_APPURT[[#This Row],[Delta Ice 300]]</f>
        <v>0</v>
      </c>
      <c r="LA27" s="276">
        <f>IFERROR(1/Calculations_APPURT[[#This Row],[Brackets]],0) * cv_F * DeltaSector[[#This Row],[Quantity]] * Hazards_APPURT[[#This Row],[qiz]] * CaAa_APPURT[[#This Row],[Delta Ice 315]]</f>
        <v>0</v>
      </c>
      <c r="LB27" s="276">
        <f>IFERROR(1/Calculations_APPURT[[#This Row],[Brackets]],0) * cv_F * DeltaSector[[#This Row],[Quantity]] * Hazards_APPURT[[#This Row],[qiz]] * CaAa_APPURT[[#This Row],[Delta Ice 330]]</f>
        <v>0</v>
      </c>
      <c r="LC27" s="276">
        <f>IFERROR(1/Calculations_APPURT[[#This Row],[Brackets]],0) * cv_M/cv_F * Forces_APPURT[[#This Row],[Alpha Fa 0]] * Calculations_APPURT[[#This Row],[Horizontal Offset]]/12</f>
        <v>0</v>
      </c>
      <c r="LD27" s="276">
        <f>IFERROR(1/Calculations_APPURT[[#This Row],[Brackets]],0) * cv_M/cv_F * Forces_APPURT[[#This Row],[Alpha Fa 30]] * Calculations_APPURT[[#This Row],[Horizontal Offset]]/12</f>
        <v>0</v>
      </c>
      <c r="LE27" s="276">
        <f>IFERROR(1/Calculations_APPURT[[#This Row],[Brackets]],0) * cv_M/cv_F * Forces_APPURT[[#This Row],[Alpha Fa 45]] * Calculations_APPURT[[#This Row],[Horizontal Offset]]/12</f>
        <v>0</v>
      </c>
      <c r="LF27" s="276">
        <f>IFERROR(1/Calculations_APPURT[[#This Row],[Brackets]],0) * cv_M/cv_F * Forces_APPURT[[#This Row],[Alpha Fa 60]] * Calculations_APPURT[[#This Row],[Horizontal Offset]]/12</f>
        <v>0</v>
      </c>
      <c r="LG27" s="276">
        <f>IFERROR(1/Calculations_APPURT[[#This Row],[Brackets]],0) * cv_M/cv_F * Forces_APPURT[[#This Row],[Alpha Fa 90]] * Calculations_APPURT[[#This Row],[Horizontal Offset]]/12</f>
        <v>0</v>
      </c>
      <c r="LH27" s="276">
        <f>IFERROR(1/Calculations_APPURT[[#This Row],[Brackets]],0) * cv_M/cv_F * Forces_APPURT[[#This Row],[Alpha Fa 120]] * Calculations_APPURT[[#This Row],[Horizontal Offset]]/12</f>
        <v>0</v>
      </c>
      <c r="LI27" s="276">
        <f>IFERROR(1/Calculations_APPURT[[#This Row],[Brackets]],0) * cv_M/cv_F * Forces_APPURT[[#This Row],[Alpha Fa 135]] * Calculations_APPURT[[#This Row],[Horizontal Offset]]/12</f>
        <v>0</v>
      </c>
      <c r="LJ27" s="276">
        <f>IFERROR(1/Calculations_APPURT[[#This Row],[Brackets]],0) * cv_M/cv_F * Forces_APPURT[[#This Row],[Alpha Fa 150]] * Calculations_APPURT[[#This Row],[Horizontal Offset]]/12</f>
        <v>0</v>
      </c>
      <c r="LK27" s="276">
        <f>IFERROR(1/Calculations_APPURT[[#This Row],[Brackets]],0) * cv_M/cv_F * Forces_APPURT[[#This Row],[Alpha Fa 180]] * Calculations_APPURT[[#This Row],[Horizontal Offset]]/12</f>
        <v>0</v>
      </c>
      <c r="LL27" s="276">
        <f>IFERROR(1/Calculations_APPURT[[#This Row],[Brackets]],0) * cv_M/cv_F * Forces_APPURT[[#This Row],[Alpha Fa 210]] * Calculations_APPURT[[#This Row],[Horizontal Offset]]/12</f>
        <v>0</v>
      </c>
      <c r="LM27" s="276">
        <f>IFERROR(1/Calculations_APPURT[[#This Row],[Brackets]],0) * cv_M/cv_F * Forces_APPURT[[#This Row],[Alpha Fa 225]] * Calculations_APPURT[[#This Row],[Horizontal Offset]]/12</f>
        <v>0</v>
      </c>
      <c r="LN27" s="276">
        <f>IFERROR(1/Calculations_APPURT[[#This Row],[Brackets]],0) * cv_M/cv_F * Forces_APPURT[[#This Row],[Alpha Fa 240]] * Calculations_APPURT[[#This Row],[Horizontal Offset]]/12</f>
        <v>0</v>
      </c>
      <c r="LO27" s="276">
        <f>IFERROR(1/Calculations_APPURT[[#This Row],[Brackets]],0) * cv_M/cv_F * Forces_APPURT[[#This Row],[Alpha Fa 270]] * Calculations_APPURT[[#This Row],[Horizontal Offset]]/12</f>
        <v>0</v>
      </c>
      <c r="LP27" s="276">
        <f>IFERROR(1/Calculations_APPURT[[#This Row],[Brackets]],0) * cv_M/cv_F * Forces_APPURT[[#This Row],[Alpha Fa 300]] * Calculations_APPURT[[#This Row],[Horizontal Offset]]/12</f>
        <v>0</v>
      </c>
      <c r="LQ27" s="276">
        <f>IFERROR(1/Calculations_APPURT[[#This Row],[Brackets]],0) * cv_M/cv_F * Forces_APPURT[[#This Row],[Alpha Fa 315]] * Calculations_APPURT[[#This Row],[Horizontal Offset]]/12</f>
        <v>0</v>
      </c>
      <c r="LR27" s="276">
        <f>IFERROR(1/Calculations_APPURT[[#This Row],[Brackets]],0) * cv_M/cv_F * Forces_APPURT[[#This Row],[Alpha Fa 330]] * Calculations_APPURT[[#This Row],[Horizontal Offset]]/12</f>
        <v>0</v>
      </c>
      <c r="LS27" s="276">
        <f>IFERROR(1/Calculations_APPURT[[#This Row],[Brackets]],0) * cv_M/cv_F * Forces_APPURT[[#This Row],[Beta Fa 0]] * Calculations_APPURT[[#This Row],[Horizontal Offset]]/12</f>
        <v>0</v>
      </c>
      <c r="LT27" s="276">
        <f>IFERROR(1/Calculations_APPURT[[#This Row],[Brackets]],0) * cv_M/cv_F * Forces_APPURT[[#This Row],[Beta Fa 30]] * Calculations_APPURT[[#This Row],[Horizontal Offset]]/12</f>
        <v>0</v>
      </c>
      <c r="LU27" s="276">
        <f>IFERROR(1/Calculations_APPURT[[#This Row],[Brackets]],0) * cv_M/cv_F * Forces_APPURT[[#This Row],[Beta Fa 45]] * Calculations_APPURT[[#This Row],[Horizontal Offset]]/12</f>
        <v>0</v>
      </c>
      <c r="LV27" s="276">
        <f>IFERROR(1/Calculations_APPURT[[#This Row],[Brackets]],0) * cv_M/cv_F * Forces_APPURT[[#This Row],[Beta Fa 60]] * Calculations_APPURT[[#This Row],[Horizontal Offset]]/12</f>
        <v>0</v>
      </c>
      <c r="LW27" s="276">
        <f>IFERROR(1/Calculations_APPURT[[#This Row],[Brackets]],0) * cv_M/cv_F * Forces_APPURT[[#This Row],[Beta Fa 90]] * Calculations_APPURT[[#This Row],[Horizontal Offset]]/12</f>
        <v>0</v>
      </c>
      <c r="LX27" s="276">
        <f>IFERROR(1/Calculations_APPURT[[#This Row],[Brackets]],0) * cv_M/cv_F * Forces_APPURT[[#This Row],[Beta Fa 120]] * Calculations_APPURT[[#This Row],[Horizontal Offset]]/12</f>
        <v>0</v>
      </c>
      <c r="LY27" s="276">
        <f>IFERROR(1/Calculations_APPURT[[#This Row],[Brackets]],0) * cv_M/cv_F * Forces_APPURT[[#This Row],[Beta Fa 135]] * Calculations_APPURT[[#This Row],[Horizontal Offset]]/12</f>
        <v>0</v>
      </c>
      <c r="LZ27" s="276">
        <f>IFERROR(1/Calculations_APPURT[[#This Row],[Brackets]],0) * cv_M/cv_F * Forces_APPURT[[#This Row],[Beta Fa 150]] * Calculations_APPURT[[#This Row],[Horizontal Offset]]/12</f>
        <v>0</v>
      </c>
      <c r="MA27" s="276">
        <f>IFERROR(1/Calculations_APPURT[[#This Row],[Brackets]],0) * cv_M/cv_F * Forces_APPURT[[#This Row],[Beta Fa 180]] * Calculations_APPURT[[#This Row],[Horizontal Offset]]/12</f>
        <v>0</v>
      </c>
      <c r="MB27" s="276">
        <f>IFERROR(1/Calculations_APPURT[[#This Row],[Brackets]],0) * cv_M/cv_F * Forces_APPURT[[#This Row],[Beta Fa 210]] * Calculations_APPURT[[#This Row],[Horizontal Offset]]/12</f>
        <v>0</v>
      </c>
      <c r="MC27" s="276">
        <f>IFERROR(1/Calculations_APPURT[[#This Row],[Brackets]],0) * cv_M/cv_F * Forces_APPURT[[#This Row],[Beta Fa 225]] * Calculations_APPURT[[#This Row],[Horizontal Offset]]/12</f>
        <v>0</v>
      </c>
      <c r="MD27" s="276">
        <f>IFERROR(1/Calculations_APPURT[[#This Row],[Brackets]],0) * cv_M/cv_F * Forces_APPURT[[#This Row],[Beta Fa 240]] * Calculations_APPURT[[#This Row],[Horizontal Offset]]/12</f>
        <v>0</v>
      </c>
      <c r="ME27" s="276">
        <f>IFERROR(1/Calculations_APPURT[[#This Row],[Brackets]],0) * cv_M/cv_F * Forces_APPURT[[#This Row],[Beta Fa 270]] * Calculations_APPURT[[#This Row],[Horizontal Offset]]/12</f>
        <v>0</v>
      </c>
      <c r="MF27" s="276">
        <f>IFERROR(1/Calculations_APPURT[[#This Row],[Brackets]],0) * cv_M/cv_F * Forces_APPURT[[#This Row],[Beta Fa 300]] * Calculations_APPURT[[#This Row],[Horizontal Offset]]/12</f>
        <v>0</v>
      </c>
      <c r="MG27" s="276">
        <f>IFERROR(1/Calculations_APPURT[[#This Row],[Brackets]],0) * cv_M/cv_F * Forces_APPURT[[#This Row],[Beta Fa 315]] * Calculations_APPURT[[#This Row],[Horizontal Offset]]/12</f>
        <v>0</v>
      </c>
      <c r="MH27" s="276">
        <f>IFERROR(1/Calculations_APPURT[[#This Row],[Brackets]],0) * cv_M/cv_F * Forces_APPURT[[#This Row],[Beta Fa 330]] * Calculations_APPURT[[#This Row],[Horizontal Offset]]/12</f>
        <v>0</v>
      </c>
      <c r="MI27" s="276">
        <f>IFERROR(1/Calculations_APPURT[[#This Row],[Brackets]],0) * cv_M/cv_F * Forces_APPURT[[#This Row],[Gamma Fa 0]] * Calculations_APPURT[[#This Row],[Horizontal Offset]]/12</f>
        <v>0</v>
      </c>
      <c r="MJ27" s="276">
        <f>IFERROR(1/Calculations_APPURT[[#This Row],[Brackets]],0) * cv_M/cv_F * Forces_APPURT[[#This Row],[Gamma Fa 30]] * Calculations_APPURT[[#This Row],[Horizontal Offset]]/12</f>
        <v>0</v>
      </c>
      <c r="MK27" s="276">
        <f>IFERROR(1/Calculations_APPURT[[#This Row],[Brackets]],0) * cv_M/cv_F * Forces_APPURT[[#This Row],[Gamma Fa 45]] * Calculations_APPURT[[#This Row],[Horizontal Offset]]/12</f>
        <v>0</v>
      </c>
      <c r="ML27" s="276">
        <f>IFERROR(1/Calculations_APPURT[[#This Row],[Brackets]],0) * cv_M/cv_F * Forces_APPURT[[#This Row],[Gamma Fa 60]] * Calculations_APPURT[[#This Row],[Horizontal Offset]]/12</f>
        <v>0</v>
      </c>
      <c r="MM27" s="276">
        <f>IFERROR(1/Calculations_APPURT[[#This Row],[Brackets]],0) * cv_M/cv_F * Forces_APPURT[[#This Row],[Gamma Fa 90]] * Calculations_APPURT[[#This Row],[Horizontal Offset]]/12</f>
        <v>0</v>
      </c>
      <c r="MN27" s="276">
        <f>IFERROR(1/Calculations_APPURT[[#This Row],[Brackets]],0) * cv_M/cv_F * Forces_APPURT[[#This Row],[Gamma Fa 120]] * Calculations_APPURT[[#This Row],[Horizontal Offset]]/12</f>
        <v>0</v>
      </c>
      <c r="MO27" s="276">
        <f>IFERROR(1/Calculations_APPURT[[#This Row],[Brackets]],0) * cv_M/cv_F * Forces_APPURT[[#This Row],[Gamma Fa 135]] * Calculations_APPURT[[#This Row],[Horizontal Offset]]/12</f>
        <v>0</v>
      </c>
      <c r="MP27" s="276">
        <f>IFERROR(1/Calculations_APPURT[[#This Row],[Brackets]],0) * cv_M/cv_F * Forces_APPURT[[#This Row],[Gamma Fa 150]] * Calculations_APPURT[[#This Row],[Horizontal Offset]]/12</f>
        <v>0</v>
      </c>
      <c r="MQ27" s="276">
        <f>IFERROR(1/Calculations_APPURT[[#This Row],[Brackets]],0) * cv_M/cv_F * Forces_APPURT[[#This Row],[Gamma Fa 180]] * Calculations_APPURT[[#This Row],[Horizontal Offset]]/12</f>
        <v>0</v>
      </c>
      <c r="MR27" s="276">
        <f>IFERROR(1/Calculations_APPURT[[#This Row],[Brackets]],0) * cv_M/cv_F * Forces_APPURT[[#This Row],[Gamma Fa 210]] * Calculations_APPURT[[#This Row],[Horizontal Offset]]/12</f>
        <v>0</v>
      </c>
      <c r="MS27" s="276">
        <f>IFERROR(1/Calculations_APPURT[[#This Row],[Brackets]],0) * cv_M/cv_F * Forces_APPURT[[#This Row],[Gamma Fa 225]] * Calculations_APPURT[[#This Row],[Horizontal Offset]]/12</f>
        <v>0</v>
      </c>
      <c r="MT27" s="276">
        <f>IFERROR(1/Calculations_APPURT[[#This Row],[Brackets]],0) * cv_M/cv_F * Forces_APPURT[[#This Row],[Gamma Fa 240]] * Calculations_APPURT[[#This Row],[Horizontal Offset]]/12</f>
        <v>0</v>
      </c>
      <c r="MU27" s="276">
        <f>IFERROR(1/Calculations_APPURT[[#This Row],[Brackets]],0) * cv_M/cv_F * Forces_APPURT[[#This Row],[Gamma Fa 270]] * Calculations_APPURT[[#This Row],[Horizontal Offset]]/12</f>
        <v>0</v>
      </c>
      <c r="MV27" s="276">
        <f>IFERROR(1/Calculations_APPURT[[#This Row],[Brackets]],0) * cv_M/cv_F * Forces_APPURT[[#This Row],[Gamma Fa 300]] * Calculations_APPURT[[#This Row],[Horizontal Offset]]/12</f>
        <v>0</v>
      </c>
      <c r="MW27" s="276">
        <f>IFERROR(1/Calculations_APPURT[[#This Row],[Brackets]],0) * cv_M/cv_F * Forces_APPURT[[#This Row],[Gamma Fa 315]] * Calculations_APPURT[[#This Row],[Horizontal Offset]]/12</f>
        <v>0</v>
      </c>
      <c r="MX27" s="276">
        <f>IFERROR(1/Calculations_APPURT[[#This Row],[Brackets]],0) * cv_M/cv_F * Forces_APPURT[[#This Row],[Gamma Fa 330]] * Calculations_APPURT[[#This Row],[Horizontal Offset]]/12</f>
        <v>0</v>
      </c>
      <c r="MY27" s="276">
        <f>IFERROR(1/Calculations_APPURT[[#This Row],[Brackets]],0) * cv_M/cv_F * Forces_APPURT[[#This Row],[Delta Fa 0]] * Calculations_APPURT[[#This Row],[Horizontal Offset]]/12</f>
        <v>0</v>
      </c>
      <c r="MZ27" s="276">
        <f>IFERROR(1/Calculations_APPURT[[#This Row],[Brackets]],0) * cv_M/cv_F * Forces_APPURT[[#This Row],[Delta Fa 30]] * Calculations_APPURT[[#This Row],[Horizontal Offset]]/12</f>
        <v>0</v>
      </c>
      <c r="NA27" s="276">
        <f>IFERROR(1/Calculations_APPURT[[#This Row],[Brackets]],0) * cv_M/cv_F * Forces_APPURT[[#This Row],[Delta Fa 45]] * Calculations_APPURT[[#This Row],[Horizontal Offset]]/12</f>
        <v>0</v>
      </c>
      <c r="NB27" s="276">
        <f>IFERROR(1/Calculations_APPURT[[#This Row],[Brackets]],0) * cv_M/cv_F * Forces_APPURT[[#This Row],[Delta Fa 60]] * Calculations_APPURT[[#This Row],[Horizontal Offset]]/12</f>
        <v>0</v>
      </c>
      <c r="NC27" s="276">
        <f>IFERROR(1/Calculations_APPURT[[#This Row],[Brackets]],0) * cv_M/cv_F * Forces_APPURT[[#This Row],[Delta Fa 90]] * Calculations_APPURT[[#This Row],[Horizontal Offset]]/12</f>
        <v>0</v>
      </c>
      <c r="ND27" s="276">
        <f>IFERROR(1/Calculations_APPURT[[#This Row],[Brackets]],0) * cv_M/cv_F * Forces_APPURT[[#This Row],[Delta Fa 120]] * Calculations_APPURT[[#This Row],[Horizontal Offset]]/12</f>
        <v>0</v>
      </c>
      <c r="NE27" s="276">
        <f>IFERROR(1/Calculations_APPURT[[#This Row],[Brackets]],0) * cv_M/cv_F * Forces_APPURT[[#This Row],[Delta Fa 135]] * Calculations_APPURT[[#This Row],[Horizontal Offset]]/12</f>
        <v>0</v>
      </c>
      <c r="NF27" s="276">
        <f>IFERROR(1/Calculations_APPURT[[#This Row],[Brackets]],0) * cv_M/cv_F * Forces_APPURT[[#This Row],[Delta Fa 150]] * Calculations_APPURT[[#This Row],[Horizontal Offset]]/12</f>
        <v>0</v>
      </c>
      <c r="NG27" s="276">
        <f>IFERROR(1/Calculations_APPURT[[#This Row],[Brackets]],0) * cv_M/cv_F * Forces_APPURT[[#This Row],[Delta Fa 180]] * Calculations_APPURT[[#This Row],[Horizontal Offset]]/12</f>
        <v>0</v>
      </c>
      <c r="NH27" s="276">
        <f>IFERROR(1/Calculations_APPURT[[#This Row],[Brackets]],0) * cv_M/cv_F * Forces_APPURT[[#This Row],[Delta Fa 210]] * Calculations_APPURT[[#This Row],[Horizontal Offset]]/12</f>
        <v>0</v>
      </c>
      <c r="NI27" s="276">
        <f>IFERROR(1/Calculations_APPURT[[#This Row],[Brackets]],0) * cv_M/cv_F * Forces_APPURT[[#This Row],[Delta Fa 225]] * Calculations_APPURT[[#This Row],[Horizontal Offset]]/12</f>
        <v>0</v>
      </c>
      <c r="NJ27" s="276">
        <f>IFERROR(1/Calculations_APPURT[[#This Row],[Brackets]],0) * cv_M/cv_F * Forces_APPURT[[#This Row],[Delta Fa 240]] * Calculations_APPURT[[#This Row],[Horizontal Offset]]/12</f>
        <v>0</v>
      </c>
      <c r="NK27" s="276">
        <f>IFERROR(1/Calculations_APPURT[[#This Row],[Brackets]],0) * cv_M/cv_F * Forces_APPURT[[#This Row],[Delta Fa 270]] * Calculations_APPURT[[#This Row],[Horizontal Offset]]/12</f>
        <v>0</v>
      </c>
      <c r="NL27" s="276">
        <f>IFERROR(1/Calculations_APPURT[[#This Row],[Brackets]],0) * cv_M/cv_F * Forces_APPURT[[#This Row],[Delta Fa 300]] * Calculations_APPURT[[#This Row],[Horizontal Offset]]/12</f>
        <v>0</v>
      </c>
      <c r="NM27" s="276">
        <f>IFERROR(1/Calculations_APPURT[[#This Row],[Brackets]],0) * cv_M/cv_F * Forces_APPURT[[#This Row],[Delta Fa 315]] * Calculations_APPURT[[#This Row],[Horizontal Offset]]/12</f>
        <v>0</v>
      </c>
      <c r="NN27" s="276">
        <f>IFERROR(1/Calculations_APPURT[[#This Row],[Brackets]],0) * cv_M/cv_F * Forces_APPURT[[#This Row],[Delta Fa 330]] * Calculations_APPURT[[#This Row],[Horizontal Offset]]/12</f>
        <v>0</v>
      </c>
      <c r="NO27" s="276">
        <f>IFERROR(1/Calculations_APPURT[[#This Row],[Brackets]],0) * cv_M/cv_F * Forces_APPURT[[#This Row],[Alpha Fai 0]] * Calculations_APPURT[[#This Row],[Horizontal Offset]]/12</f>
        <v>0</v>
      </c>
      <c r="NP27" s="276">
        <f>IFERROR(1/Calculations_APPURT[[#This Row],[Brackets]],0) * cv_M/cv_F * Forces_APPURT[[#This Row],[Alpha Fai 30]] * Calculations_APPURT[[#This Row],[Horizontal Offset]]/12</f>
        <v>0</v>
      </c>
      <c r="NQ27" s="276">
        <f>IFERROR(1/Calculations_APPURT[[#This Row],[Brackets]],0) * cv_M/cv_F * Forces_APPURT[[#This Row],[Alpha Fai 45]] * Calculations_APPURT[[#This Row],[Horizontal Offset]]/12</f>
        <v>0</v>
      </c>
      <c r="NR27" s="276">
        <f>IFERROR(1/Calculations_APPURT[[#This Row],[Brackets]],0) * cv_M/cv_F * Forces_APPURT[[#This Row],[Alpha Fai 60]] * Calculations_APPURT[[#This Row],[Horizontal Offset]]/12</f>
        <v>0</v>
      </c>
      <c r="NS27" s="276">
        <f>IFERROR(1/Calculations_APPURT[[#This Row],[Brackets]],0) * cv_M/cv_F * Forces_APPURT[[#This Row],[Alpha Fai 90]] * Calculations_APPURT[[#This Row],[Horizontal Offset]]/12</f>
        <v>0</v>
      </c>
      <c r="NT27" s="276">
        <f>IFERROR(1/Calculations_APPURT[[#This Row],[Brackets]],0) * cv_M/cv_F * Forces_APPURT[[#This Row],[Alpha Fai 120]] * Calculations_APPURT[[#This Row],[Horizontal Offset]]/12</f>
        <v>0</v>
      </c>
      <c r="NU27" s="276">
        <f>IFERROR(1/Calculations_APPURT[[#This Row],[Brackets]],0) * cv_M/cv_F * Forces_APPURT[[#This Row],[Alpha Fai 135]] * Calculations_APPURT[[#This Row],[Horizontal Offset]]/12</f>
        <v>0</v>
      </c>
      <c r="NV27" s="276">
        <f>IFERROR(1/Calculations_APPURT[[#This Row],[Brackets]],0) * cv_M/cv_F * Forces_APPURT[[#This Row],[Alpha Fai 150]] * Calculations_APPURT[[#This Row],[Horizontal Offset]]/12</f>
        <v>0</v>
      </c>
      <c r="NW27" s="276">
        <f>IFERROR(1/Calculations_APPURT[[#This Row],[Brackets]],0) * cv_M/cv_F * Forces_APPURT[[#This Row],[Alpha Fai 180]] * Calculations_APPURT[[#This Row],[Horizontal Offset]]/12</f>
        <v>0</v>
      </c>
      <c r="NX27" s="276">
        <f>IFERROR(1/Calculations_APPURT[[#This Row],[Brackets]],0) * cv_M/cv_F * Forces_APPURT[[#This Row],[Alpha Fai 210]] * Calculations_APPURT[[#This Row],[Horizontal Offset]]/12</f>
        <v>0</v>
      </c>
      <c r="NY27" s="276">
        <f>IFERROR(1/Calculations_APPURT[[#This Row],[Brackets]],0) * cv_M/cv_F * Forces_APPURT[[#This Row],[Alpha Fai 225]] * Calculations_APPURT[[#This Row],[Horizontal Offset]]/12</f>
        <v>0</v>
      </c>
      <c r="NZ27" s="276">
        <f>IFERROR(1/Calculations_APPURT[[#This Row],[Brackets]],0) * cv_M/cv_F * Forces_APPURT[[#This Row],[Alpha Fai 240]] * Calculations_APPURT[[#This Row],[Horizontal Offset]]/12</f>
        <v>0</v>
      </c>
      <c r="OA27" s="276">
        <f>IFERROR(1/Calculations_APPURT[[#This Row],[Brackets]],0) * cv_M/cv_F * Forces_APPURT[[#This Row],[Alpha Fai 270]] * Calculations_APPURT[[#This Row],[Horizontal Offset]]/12</f>
        <v>0</v>
      </c>
      <c r="OB27" s="276">
        <f>IFERROR(1/Calculations_APPURT[[#This Row],[Brackets]],0) * cv_M/cv_F * Forces_APPURT[[#This Row],[Alpha Fai 300]] * Calculations_APPURT[[#This Row],[Horizontal Offset]]/12</f>
        <v>0</v>
      </c>
      <c r="OC27" s="276">
        <f>IFERROR(1/Calculations_APPURT[[#This Row],[Brackets]],0) * cv_M/cv_F * Forces_APPURT[[#This Row],[Alpha Fai 315]] * Calculations_APPURT[[#This Row],[Horizontal Offset]]/12</f>
        <v>0</v>
      </c>
      <c r="OD27" s="276">
        <f>IFERROR(1/Calculations_APPURT[[#This Row],[Brackets]],0) * cv_M/cv_F * Forces_APPURT[[#This Row],[Alpha Fai 330]] * Calculations_APPURT[[#This Row],[Horizontal Offset]]/12</f>
        <v>0</v>
      </c>
      <c r="OE27" s="276">
        <f>IFERROR(1/Calculations_APPURT[[#This Row],[Brackets]],0) * cv_M/cv_F * Forces_APPURT[[#This Row],[Beta Fai 0]] * Calculations_APPURT[[#This Row],[Horizontal Offset]]/12</f>
        <v>0</v>
      </c>
      <c r="OF27" s="276">
        <f>IFERROR(1/Calculations_APPURT[[#This Row],[Brackets]],0) * cv_M/cv_F * Forces_APPURT[[#This Row],[Beta Fai 30]] * Calculations_APPURT[[#This Row],[Horizontal Offset]]/12</f>
        <v>0</v>
      </c>
      <c r="OG27" s="276">
        <f>IFERROR(1/Calculations_APPURT[[#This Row],[Brackets]],0) * cv_M/cv_F * Forces_APPURT[[#This Row],[Beta Fai 45]] * Calculations_APPURT[[#This Row],[Horizontal Offset]]/12</f>
        <v>0</v>
      </c>
      <c r="OH27" s="276">
        <f>IFERROR(1/Calculations_APPURT[[#This Row],[Brackets]],0) * cv_M/cv_F * Forces_APPURT[[#This Row],[Beta Fai 60]] * Calculations_APPURT[[#This Row],[Horizontal Offset]]/12</f>
        <v>0</v>
      </c>
      <c r="OI27" s="276">
        <f>IFERROR(1/Calculations_APPURT[[#This Row],[Brackets]],0) * cv_M/cv_F * Forces_APPURT[[#This Row],[Beta Fai 90]] * Calculations_APPURT[[#This Row],[Horizontal Offset]]/12</f>
        <v>0</v>
      </c>
      <c r="OJ27" s="276">
        <f>IFERROR(1/Calculations_APPURT[[#This Row],[Brackets]],0) * cv_M/cv_F * Forces_APPURT[[#This Row],[Beta Fai 120]] * Calculations_APPURT[[#This Row],[Horizontal Offset]]/12</f>
        <v>0</v>
      </c>
      <c r="OK27" s="276">
        <f>IFERROR(1/Calculations_APPURT[[#This Row],[Brackets]],0) * cv_M/cv_F * Forces_APPURT[[#This Row],[Beta Fai 135]] * Calculations_APPURT[[#This Row],[Horizontal Offset]]/12</f>
        <v>0</v>
      </c>
      <c r="OL27" s="276">
        <f>IFERROR(1/Calculations_APPURT[[#This Row],[Brackets]],0) * cv_M/cv_F * Forces_APPURT[[#This Row],[Beta Fai 150]] * Calculations_APPURT[[#This Row],[Horizontal Offset]]/12</f>
        <v>0</v>
      </c>
      <c r="OM27" s="276">
        <f>IFERROR(1/Calculations_APPURT[[#This Row],[Brackets]],0) * cv_M/cv_F * Forces_APPURT[[#This Row],[Beta Fai 180]] * Calculations_APPURT[[#This Row],[Horizontal Offset]]/12</f>
        <v>0</v>
      </c>
      <c r="ON27" s="276">
        <f>IFERROR(1/Calculations_APPURT[[#This Row],[Brackets]],0) * cv_M/cv_F * Forces_APPURT[[#This Row],[Beta Fai 210]] * Calculations_APPURT[[#This Row],[Horizontal Offset]]/12</f>
        <v>0</v>
      </c>
      <c r="OO27" s="276">
        <f>IFERROR(1/Calculations_APPURT[[#This Row],[Brackets]],0) * cv_M/cv_F * Forces_APPURT[[#This Row],[Beta Fai 225]] * Calculations_APPURT[[#This Row],[Horizontal Offset]]/12</f>
        <v>0</v>
      </c>
      <c r="OP27" s="276">
        <f>IFERROR(1/Calculations_APPURT[[#This Row],[Brackets]],0) * cv_M/cv_F * Forces_APPURT[[#This Row],[Beta Fai 240]] * Calculations_APPURT[[#This Row],[Horizontal Offset]]/12</f>
        <v>0</v>
      </c>
      <c r="OQ27" s="276">
        <f>IFERROR(1/Calculations_APPURT[[#This Row],[Brackets]],0) * cv_M/cv_F * Forces_APPURT[[#This Row],[Beta Fai 270]] * Calculations_APPURT[[#This Row],[Horizontal Offset]]/12</f>
        <v>0</v>
      </c>
      <c r="OR27" s="276">
        <f>IFERROR(1/Calculations_APPURT[[#This Row],[Brackets]],0) * cv_M/cv_F * Forces_APPURT[[#This Row],[Beta Fai 300]] * Calculations_APPURT[[#This Row],[Horizontal Offset]]/12</f>
        <v>0</v>
      </c>
      <c r="OS27" s="276">
        <f>IFERROR(1/Calculations_APPURT[[#This Row],[Brackets]],0) * cv_M/cv_F * Forces_APPURT[[#This Row],[Beta Fai 315]] * Calculations_APPURT[[#This Row],[Horizontal Offset]]/12</f>
        <v>0</v>
      </c>
      <c r="OT27" s="276">
        <f>IFERROR(1/Calculations_APPURT[[#This Row],[Brackets]],0) * cv_M/cv_F * Forces_APPURT[[#This Row],[Beta Fai 330]] * Calculations_APPURT[[#This Row],[Horizontal Offset]]/12</f>
        <v>0</v>
      </c>
      <c r="OU27" s="276">
        <f>IFERROR(1/Calculations_APPURT[[#This Row],[Brackets]],0) * cv_M/cv_F * Forces_APPURT[[#This Row],[Gamma Fai 0]] * Calculations_APPURT[[#This Row],[Horizontal Offset]]/12</f>
        <v>0</v>
      </c>
      <c r="OV27" s="276">
        <f>IFERROR(1/Calculations_APPURT[[#This Row],[Brackets]],0) * cv_M/cv_F * Forces_APPURT[[#This Row],[Gamma Fai 30]] * Calculations_APPURT[[#This Row],[Horizontal Offset]]/12</f>
        <v>0</v>
      </c>
      <c r="OW27" s="276">
        <f>IFERROR(1/Calculations_APPURT[[#This Row],[Brackets]],0) * cv_M/cv_F * Forces_APPURT[[#This Row],[Gamma Fai 45]] * Calculations_APPURT[[#This Row],[Horizontal Offset]]/12</f>
        <v>0</v>
      </c>
      <c r="OX27" s="276">
        <f>IFERROR(1/Calculations_APPURT[[#This Row],[Brackets]],0) * cv_M/cv_F * Forces_APPURT[[#This Row],[Gamma Fai 60]] * Calculations_APPURT[[#This Row],[Horizontal Offset]]/12</f>
        <v>0</v>
      </c>
      <c r="OY27" s="276">
        <f>IFERROR(1/Calculations_APPURT[[#This Row],[Brackets]],0) * cv_M/cv_F * Forces_APPURT[[#This Row],[Gamma Fai 90]] * Calculations_APPURT[[#This Row],[Horizontal Offset]]/12</f>
        <v>0</v>
      </c>
      <c r="OZ27" s="276">
        <f>IFERROR(1/Calculations_APPURT[[#This Row],[Brackets]],0) * cv_M/cv_F * Forces_APPURT[[#This Row],[Gamma Fai 120]] * Calculations_APPURT[[#This Row],[Horizontal Offset]]/12</f>
        <v>0</v>
      </c>
      <c r="PA27" s="276">
        <f>IFERROR(1/Calculations_APPURT[[#This Row],[Brackets]],0) * cv_M/cv_F * Forces_APPURT[[#This Row],[Gamma Fai 135]] * Calculations_APPURT[[#This Row],[Horizontal Offset]]/12</f>
        <v>0</v>
      </c>
      <c r="PB27" s="276">
        <f>IFERROR(1/Calculations_APPURT[[#This Row],[Brackets]],0) * cv_M/cv_F * Forces_APPURT[[#This Row],[Gamma Fai 150]] * Calculations_APPURT[[#This Row],[Horizontal Offset]]/12</f>
        <v>0</v>
      </c>
      <c r="PC27" s="276">
        <f>IFERROR(1/Calculations_APPURT[[#This Row],[Brackets]],0) * cv_M/cv_F * Forces_APPURT[[#This Row],[Gamma Fai 180]] * Calculations_APPURT[[#This Row],[Horizontal Offset]]/12</f>
        <v>0</v>
      </c>
      <c r="PD27" s="276">
        <f>IFERROR(1/Calculations_APPURT[[#This Row],[Brackets]],0) * cv_M/cv_F * Forces_APPURT[[#This Row],[Gamma Fai 210]] * Calculations_APPURT[[#This Row],[Horizontal Offset]]/12</f>
        <v>0</v>
      </c>
      <c r="PE27" s="276">
        <f>IFERROR(1/Calculations_APPURT[[#This Row],[Brackets]],0) * cv_M/cv_F * Forces_APPURT[[#This Row],[Gamma Fai 225]] * Calculations_APPURT[[#This Row],[Horizontal Offset]]/12</f>
        <v>0</v>
      </c>
      <c r="PF27" s="276">
        <f>IFERROR(1/Calculations_APPURT[[#This Row],[Brackets]],0) * cv_M/cv_F * Forces_APPURT[[#This Row],[Gamma Fai 240]] * Calculations_APPURT[[#This Row],[Horizontal Offset]]/12</f>
        <v>0</v>
      </c>
      <c r="PG27" s="276">
        <f>IFERROR(1/Calculations_APPURT[[#This Row],[Brackets]],0) * cv_M/cv_F * Forces_APPURT[[#This Row],[Gamma Fai 270]] * Calculations_APPURT[[#This Row],[Horizontal Offset]]/12</f>
        <v>0</v>
      </c>
      <c r="PH27" s="276">
        <f>IFERROR(1/Calculations_APPURT[[#This Row],[Brackets]],0) * cv_M/cv_F * Forces_APPURT[[#This Row],[Gamma Fai 300]] * Calculations_APPURT[[#This Row],[Horizontal Offset]]/12</f>
        <v>0</v>
      </c>
      <c r="PI27" s="276">
        <f>IFERROR(1/Calculations_APPURT[[#This Row],[Brackets]],0) * cv_M/cv_F * Forces_APPURT[[#This Row],[Gamma Fai 315]] * Calculations_APPURT[[#This Row],[Horizontal Offset]]/12</f>
        <v>0</v>
      </c>
      <c r="PJ27" s="276">
        <f>IFERROR(1/Calculations_APPURT[[#This Row],[Brackets]],0) * cv_M/cv_F * Forces_APPURT[[#This Row],[Gamma Fai 330]] * Calculations_APPURT[[#This Row],[Horizontal Offset]]/12</f>
        <v>0</v>
      </c>
      <c r="PK27" s="276">
        <f>IFERROR(1/Calculations_APPURT[[#This Row],[Brackets]],0) * cv_M/cv_F * Forces_APPURT[[#This Row],[Delta Fai 0]] * Calculations_APPURT[[#This Row],[Horizontal Offset]]/12</f>
        <v>0</v>
      </c>
      <c r="PL27" s="276">
        <f>IFERROR(1/Calculations_APPURT[[#This Row],[Brackets]],0) * cv_M/cv_F * Forces_APPURT[[#This Row],[Delta Fai 30]] * Calculations_APPURT[[#This Row],[Horizontal Offset]]/12</f>
        <v>0</v>
      </c>
      <c r="PM27" s="276">
        <f>IFERROR(1/Calculations_APPURT[[#This Row],[Brackets]],0) * cv_M/cv_F * Forces_APPURT[[#This Row],[Delta Fai 45]] * Calculations_APPURT[[#This Row],[Horizontal Offset]]/12</f>
        <v>0</v>
      </c>
      <c r="PN27" s="276">
        <f>IFERROR(1/Calculations_APPURT[[#This Row],[Brackets]],0) * cv_M/cv_F * Forces_APPURT[[#This Row],[Delta Fai 60]] * Calculations_APPURT[[#This Row],[Horizontal Offset]]/12</f>
        <v>0</v>
      </c>
      <c r="PO27" s="276">
        <f>IFERROR(1/Calculations_APPURT[[#This Row],[Brackets]],0) * cv_M/cv_F * Forces_APPURT[[#This Row],[Delta Fai 90]] * Calculations_APPURT[[#This Row],[Horizontal Offset]]/12</f>
        <v>0</v>
      </c>
      <c r="PP27" s="276">
        <f>IFERROR(1/Calculations_APPURT[[#This Row],[Brackets]],0) * cv_M/cv_F * Forces_APPURT[[#This Row],[Delta Fai 120]] * Calculations_APPURT[[#This Row],[Horizontal Offset]]/12</f>
        <v>0</v>
      </c>
      <c r="PQ27" s="276">
        <f>IFERROR(1/Calculations_APPURT[[#This Row],[Brackets]],0) * cv_M/cv_F * Forces_APPURT[[#This Row],[Delta Fai 135]] * Calculations_APPURT[[#This Row],[Horizontal Offset]]/12</f>
        <v>0</v>
      </c>
      <c r="PR27" s="276">
        <f>IFERROR(1/Calculations_APPURT[[#This Row],[Brackets]],0) * cv_M/cv_F * Forces_APPURT[[#This Row],[Delta Fai 150]] * Calculations_APPURT[[#This Row],[Horizontal Offset]]/12</f>
        <v>0</v>
      </c>
      <c r="PS27" s="276">
        <f>IFERROR(1/Calculations_APPURT[[#This Row],[Brackets]],0) * cv_M/cv_F * Forces_APPURT[[#This Row],[Delta Fai 180]] * Calculations_APPURT[[#This Row],[Horizontal Offset]]/12</f>
        <v>0</v>
      </c>
      <c r="PT27" s="276">
        <f>IFERROR(1/Calculations_APPURT[[#This Row],[Brackets]],0) * cv_M/cv_F * Forces_APPURT[[#This Row],[Delta Fai 210]] * Calculations_APPURT[[#This Row],[Horizontal Offset]]/12</f>
        <v>0</v>
      </c>
      <c r="PU27" s="276">
        <f>IFERROR(1/Calculations_APPURT[[#This Row],[Brackets]],0) * cv_M/cv_F * Forces_APPURT[[#This Row],[Delta Fai 225]] * Calculations_APPURT[[#This Row],[Horizontal Offset]]/12</f>
        <v>0</v>
      </c>
      <c r="PV27" s="276">
        <f>IFERROR(1/Calculations_APPURT[[#This Row],[Brackets]],0) * cv_M/cv_F * Forces_APPURT[[#This Row],[Delta Fai 240]] * Calculations_APPURT[[#This Row],[Horizontal Offset]]/12</f>
        <v>0</v>
      </c>
      <c r="PW27" s="276">
        <f>IFERROR(1/Calculations_APPURT[[#This Row],[Brackets]],0) * cv_M/cv_F * Forces_APPURT[[#This Row],[Delta Fai 270]] * Calculations_APPURT[[#This Row],[Horizontal Offset]]/12</f>
        <v>0</v>
      </c>
      <c r="PX27" s="276">
        <f>IFERROR(1/Calculations_APPURT[[#This Row],[Brackets]],0) * cv_M/cv_F * Forces_APPURT[[#This Row],[Delta Fai 300]] * Calculations_APPURT[[#This Row],[Horizontal Offset]]/12</f>
        <v>0</v>
      </c>
      <c r="PY27" s="276">
        <f>IFERROR(1/Calculations_APPURT[[#This Row],[Brackets]],0) * cv_M/cv_F * Forces_APPURT[[#This Row],[Delta Fai 315]] * Calculations_APPURT[[#This Row],[Horizontal Offset]]/12</f>
        <v>0</v>
      </c>
      <c r="PZ27" s="276">
        <f>IFERROR(1/Calculations_APPURT[[#This Row],[Brackets]],0) * cv_M/cv_F * Forces_APPURT[[#This Row],[Delta Fai 330]] * Calculations_APPURT[[#This Row],[Horizontal Offset]]/12</f>
        <v>0</v>
      </c>
      <c r="QA27" s="276">
        <f>IFERROR(1/Calculations_APPURT[[#This Row],[Brackets]],0) * cv_M/cv_F * Forces_APPURT[[#This Row],[Alpha Fa 0]] * Calculations_APPURT[[#This Row],[Lateral Offset]]/12</f>
        <v>0</v>
      </c>
      <c r="QB27" s="276">
        <f>IFERROR(1/Calculations_APPURT[[#This Row],[Brackets]],0) * cv_M/cv_F * Forces_APPURT[[#This Row],[Alpha Fa 30]] * Calculations_APPURT[[#This Row],[Lateral Offset]]/12</f>
        <v>0</v>
      </c>
      <c r="QC27" s="276">
        <f>IFERROR(1/Calculations_APPURT[[#This Row],[Brackets]],0) * cv_M/cv_F * Forces_APPURT[[#This Row],[Alpha Fa 45]] * Calculations_APPURT[[#This Row],[Lateral Offset]]/12</f>
        <v>0</v>
      </c>
      <c r="QD27" s="276">
        <f>IFERROR(1/Calculations_APPURT[[#This Row],[Brackets]],0) * cv_M/cv_F * Forces_APPURT[[#This Row],[Alpha Fa 60]] * Calculations_APPURT[[#This Row],[Lateral Offset]]/12</f>
        <v>0</v>
      </c>
      <c r="QE27" s="276">
        <f>IFERROR(1/Calculations_APPURT[[#This Row],[Brackets]],0) * cv_M/cv_F * Forces_APPURT[[#This Row],[Alpha Fa 90]] * Calculations_APPURT[[#This Row],[Lateral Offset]]/12</f>
        <v>0</v>
      </c>
      <c r="QF27" s="276">
        <f>IFERROR(1/Calculations_APPURT[[#This Row],[Brackets]],0) * cv_M/cv_F * Forces_APPURT[[#This Row],[Alpha Fa 120]] * Calculations_APPURT[[#This Row],[Lateral Offset]]/12</f>
        <v>0</v>
      </c>
      <c r="QG27" s="276">
        <f>IFERROR(1/Calculations_APPURT[[#This Row],[Brackets]],0) * cv_M/cv_F * Forces_APPURT[[#This Row],[Alpha Fa 135]] * Calculations_APPURT[[#This Row],[Lateral Offset]]/12</f>
        <v>0</v>
      </c>
      <c r="QH27" s="276">
        <f>IFERROR(1/Calculations_APPURT[[#This Row],[Brackets]],0) * cv_M/cv_F * Forces_APPURT[[#This Row],[Alpha Fa 150]] * Calculations_APPURT[[#This Row],[Lateral Offset]]/12</f>
        <v>0</v>
      </c>
      <c r="QI27" s="276">
        <f>IFERROR(1/Calculations_APPURT[[#This Row],[Brackets]],0) * cv_M/cv_F * Forces_APPURT[[#This Row],[Alpha Fa 180]] * Calculations_APPURT[[#This Row],[Lateral Offset]]/12</f>
        <v>0</v>
      </c>
      <c r="QJ27" s="276">
        <f>IFERROR(1/Calculations_APPURT[[#This Row],[Brackets]],0) * cv_M/cv_F * Forces_APPURT[[#This Row],[Alpha Fa 210]] * Calculations_APPURT[[#This Row],[Lateral Offset]]/12</f>
        <v>0</v>
      </c>
      <c r="QK27" s="276">
        <f>IFERROR(1/Calculations_APPURT[[#This Row],[Brackets]],0) * cv_M/cv_F * Forces_APPURT[[#This Row],[Alpha Fa 225]] * Calculations_APPURT[[#This Row],[Lateral Offset]]/12</f>
        <v>0</v>
      </c>
      <c r="QL27" s="276">
        <f>IFERROR(1/Calculations_APPURT[[#This Row],[Brackets]],0) * cv_M/cv_F * Forces_APPURT[[#This Row],[Alpha Fa 240]] * Calculations_APPURT[[#This Row],[Lateral Offset]]/12</f>
        <v>0</v>
      </c>
      <c r="QM27" s="276">
        <f>IFERROR(1/Calculations_APPURT[[#This Row],[Brackets]],0) * cv_M/cv_F * Forces_APPURT[[#This Row],[Alpha Fa 270]] * Calculations_APPURT[[#This Row],[Lateral Offset]]/12</f>
        <v>0</v>
      </c>
      <c r="QN27" s="276">
        <f>IFERROR(1/Calculations_APPURT[[#This Row],[Brackets]],0) * cv_M/cv_F * Forces_APPURT[[#This Row],[Alpha Fa 300]] * Calculations_APPURT[[#This Row],[Lateral Offset]]/12</f>
        <v>0</v>
      </c>
      <c r="QO27" s="276">
        <f>IFERROR(1/Calculations_APPURT[[#This Row],[Brackets]],0) * cv_M/cv_F * Forces_APPURT[[#This Row],[Alpha Fa 315]] * Calculations_APPURT[[#This Row],[Lateral Offset]]/12</f>
        <v>0</v>
      </c>
      <c r="QP27" s="276">
        <f>IFERROR(1/Calculations_APPURT[[#This Row],[Brackets]],0) * cv_M/cv_F * Forces_APPURT[[#This Row],[Alpha Fa 330]] * Calculations_APPURT[[#This Row],[Lateral Offset]]/12</f>
        <v>0</v>
      </c>
      <c r="QQ27" s="276">
        <f>IFERROR(1/Calculations_APPURT[[#This Row],[Brackets]],0) * cv_M/cv_F * Forces_APPURT[[#This Row],[Beta Fa 0]] * Calculations_APPURT[[#This Row],[Lateral Offset]]/12</f>
        <v>0</v>
      </c>
      <c r="QR27" s="276">
        <f>IFERROR(1/Calculations_APPURT[[#This Row],[Brackets]],0) * cv_M/cv_F * Forces_APPURT[[#This Row],[Beta Fa 30]] * Calculations_APPURT[[#This Row],[Lateral Offset]]/12</f>
        <v>0</v>
      </c>
      <c r="QS27" s="276">
        <f>IFERROR(1/Calculations_APPURT[[#This Row],[Brackets]],0) * cv_M/cv_F * Forces_APPURT[[#This Row],[Beta Fa 45]] * Calculations_APPURT[[#This Row],[Lateral Offset]]/12</f>
        <v>0</v>
      </c>
      <c r="QT27" s="276">
        <f>IFERROR(1/Calculations_APPURT[[#This Row],[Brackets]],0) * cv_M/cv_F * Forces_APPURT[[#This Row],[Beta Fa 60]] * Calculations_APPURT[[#This Row],[Lateral Offset]]/12</f>
        <v>0</v>
      </c>
      <c r="QU27" s="276">
        <f>IFERROR(1/Calculations_APPURT[[#This Row],[Brackets]],0) * cv_M/cv_F * Forces_APPURT[[#This Row],[Beta Fa 90]] * Calculations_APPURT[[#This Row],[Lateral Offset]]/12</f>
        <v>0</v>
      </c>
      <c r="QV27" s="276">
        <f>IFERROR(1/Calculations_APPURT[[#This Row],[Brackets]],0) * cv_M/cv_F * Forces_APPURT[[#This Row],[Beta Fa 120]] * Calculations_APPURT[[#This Row],[Lateral Offset]]/12</f>
        <v>0</v>
      </c>
      <c r="QW27" s="276">
        <f>IFERROR(1/Calculations_APPURT[[#This Row],[Brackets]],0) * cv_M/cv_F * Forces_APPURT[[#This Row],[Beta Fa 135]] * Calculations_APPURT[[#This Row],[Lateral Offset]]/12</f>
        <v>0</v>
      </c>
      <c r="QX27" s="276">
        <f>IFERROR(1/Calculations_APPURT[[#This Row],[Brackets]],0) * cv_M/cv_F * Forces_APPURT[[#This Row],[Beta Fa 150]] * Calculations_APPURT[[#This Row],[Lateral Offset]]/12</f>
        <v>0</v>
      </c>
      <c r="QY27" s="276">
        <f>IFERROR(1/Calculations_APPURT[[#This Row],[Brackets]],0) * cv_M/cv_F * Forces_APPURT[[#This Row],[Beta Fa 180]] * Calculations_APPURT[[#This Row],[Lateral Offset]]/12</f>
        <v>0</v>
      </c>
      <c r="QZ27" s="276">
        <f>IFERROR(1/Calculations_APPURT[[#This Row],[Brackets]],0) * cv_M/cv_F * Forces_APPURT[[#This Row],[Beta Fa 210]] * Calculations_APPURT[[#This Row],[Lateral Offset]]/12</f>
        <v>0</v>
      </c>
      <c r="RA27" s="276">
        <f>IFERROR(1/Calculations_APPURT[[#This Row],[Brackets]],0) * cv_M/cv_F * Forces_APPURT[[#This Row],[Beta Fa 225]] * Calculations_APPURT[[#This Row],[Lateral Offset]]/12</f>
        <v>0</v>
      </c>
      <c r="RB27" s="276">
        <f>IFERROR(1/Calculations_APPURT[[#This Row],[Brackets]],0) * cv_M/cv_F * Forces_APPURT[[#This Row],[Beta Fa 240]] * Calculations_APPURT[[#This Row],[Lateral Offset]]/12</f>
        <v>0</v>
      </c>
      <c r="RC27" s="276">
        <f>IFERROR(1/Calculations_APPURT[[#This Row],[Brackets]],0) * cv_M/cv_F * Forces_APPURT[[#This Row],[Beta Fa 270]] * Calculations_APPURT[[#This Row],[Lateral Offset]]/12</f>
        <v>0</v>
      </c>
      <c r="RD27" s="276">
        <f>IFERROR(1/Calculations_APPURT[[#This Row],[Brackets]],0) * cv_M/cv_F * Forces_APPURT[[#This Row],[Beta Fa 300]] * Calculations_APPURT[[#This Row],[Lateral Offset]]/12</f>
        <v>0</v>
      </c>
      <c r="RE27" s="276">
        <f>IFERROR(1/Calculations_APPURT[[#This Row],[Brackets]],0) * cv_M/cv_F * Forces_APPURT[[#This Row],[Beta Fa 315]] * Calculations_APPURT[[#This Row],[Lateral Offset]]/12</f>
        <v>0</v>
      </c>
      <c r="RF27" s="276">
        <f>IFERROR(1/Calculations_APPURT[[#This Row],[Brackets]],0) * cv_M/cv_F * Forces_APPURT[[#This Row],[Beta Fa 330]] * Calculations_APPURT[[#This Row],[Lateral Offset]]/12</f>
        <v>0</v>
      </c>
      <c r="RG27" s="276">
        <f>IFERROR(1/Calculations_APPURT[[#This Row],[Brackets]],0) * cv_M/cv_F * Forces_APPURT[[#This Row],[Gamma Fa 0]] * Calculations_APPURT[[#This Row],[Lateral Offset]]/12</f>
        <v>0</v>
      </c>
      <c r="RH27" s="276">
        <f>IFERROR(1/Calculations_APPURT[[#This Row],[Brackets]],0) * cv_M/cv_F * Forces_APPURT[[#This Row],[Gamma Fa 30]] * Calculations_APPURT[[#This Row],[Lateral Offset]]/12</f>
        <v>0</v>
      </c>
      <c r="RI27" s="276">
        <f>IFERROR(1/Calculations_APPURT[[#This Row],[Brackets]],0) * cv_M/cv_F * Forces_APPURT[[#This Row],[Gamma Fa 45]] * Calculations_APPURT[[#This Row],[Lateral Offset]]/12</f>
        <v>0</v>
      </c>
      <c r="RJ27" s="276">
        <f>IFERROR(1/Calculations_APPURT[[#This Row],[Brackets]],0) * cv_M/cv_F * Forces_APPURT[[#This Row],[Gamma Fa 60]] * Calculations_APPURT[[#This Row],[Lateral Offset]]/12</f>
        <v>0</v>
      </c>
      <c r="RK27" s="276">
        <f>IFERROR(1/Calculations_APPURT[[#This Row],[Brackets]],0) * cv_M/cv_F * Forces_APPURT[[#This Row],[Gamma Fa 90]] * Calculations_APPURT[[#This Row],[Lateral Offset]]/12</f>
        <v>0</v>
      </c>
      <c r="RL27" s="276">
        <f>IFERROR(1/Calculations_APPURT[[#This Row],[Brackets]],0) * cv_M/cv_F * Forces_APPURT[[#This Row],[Gamma Fa 120]] * Calculations_APPURT[[#This Row],[Lateral Offset]]/12</f>
        <v>0</v>
      </c>
      <c r="RM27" s="276">
        <f>IFERROR(1/Calculations_APPURT[[#This Row],[Brackets]],0) * cv_M/cv_F * Forces_APPURT[[#This Row],[Gamma Fa 135]] * Calculations_APPURT[[#This Row],[Lateral Offset]]/12</f>
        <v>0</v>
      </c>
      <c r="RN27" s="276">
        <f>IFERROR(1/Calculations_APPURT[[#This Row],[Brackets]],0) * cv_M/cv_F * Forces_APPURT[[#This Row],[Gamma Fa 150]] * Calculations_APPURT[[#This Row],[Lateral Offset]]/12</f>
        <v>0</v>
      </c>
      <c r="RO27" s="276">
        <f>IFERROR(1/Calculations_APPURT[[#This Row],[Brackets]],0) * cv_M/cv_F * Forces_APPURT[[#This Row],[Gamma Fa 180]] * Calculations_APPURT[[#This Row],[Lateral Offset]]/12</f>
        <v>0</v>
      </c>
      <c r="RP27" s="276">
        <f>IFERROR(1/Calculations_APPURT[[#This Row],[Brackets]],0) * cv_M/cv_F * Forces_APPURT[[#This Row],[Gamma Fa 210]] * Calculations_APPURT[[#This Row],[Lateral Offset]]/12</f>
        <v>0</v>
      </c>
      <c r="RQ27" s="276">
        <f>IFERROR(1/Calculations_APPURT[[#This Row],[Brackets]],0) * cv_M/cv_F * Forces_APPURT[[#This Row],[Gamma Fa 225]] * Calculations_APPURT[[#This Row],[Lateral Offset]]/12</f>
        <v>0</v>
      </c>
      <c r="RR27" s="276">
        <f>IFERROR(1/Calculations_APPURT[[#This Row],[Brackets]],0) * cv_M/cv_F * Forces_APPURT[[#This Row],[Gamma Fa 240]] * Calculations_APPURT[[#This Row],[Lateral Offset]]/12</f>
        <v>0</v>
      </c>
      <c r="RS27" s="276">
        <f>IFERROR(1/Calculations_APPURT[[#This Row],[Brackets]],0) * cv_M/cv_F * Forces_APPURT[[#This Row],[Gamma Fa 270]] * Calculations_APPURT[[#This Row],[Lateral Offset]]/12</f>
        <v>0</v>
      </c>
      <c r="RT27" s="276">
        <f>IFERROR(1/Calculations_APPURT[[#This Row],[Brackets]],0) * cv_M/cv_F * Forces_APPURT[[#This Row],[Gamma Fa 300]] * Calculations_APPURT[[#This Row],[Lateral Offset]]/12</f>
        <v>0</v>
      </c>
      <c r="RU27" s="276">
        <f>IFERROR(1/Calculations_APPURT[[#This Row],[Brackets]],0) * cv_M/cv_F * Forces_APPURT[[#This Row],[Gamma Fa 315]] * Calculations_APPURT[[#This Row],[Lateral Offset]]/12</f>
        <v>0</v>
      </c>
      <c r="RV27" s="276">
        <f>IFERROR(1/Calculations_APPURT[[#This Row],[Brackets]],0) * cv_M/cv_F * Forces_APPURT[[#This Row],[Gamma Fa 330]] * Calculations_APPURT[[#This Row],[Lateral Offset]]/12</f>
        <v>0</v>
      </c>
      <c r="RW27" s="276">
        <f>IFERROR(1/Calculations_APPURT[[#This Row],[Brackets]],0) * cv_M/cv_F * Forces_APPURT[[#This Row],[Delta Fa 0]] * Calculations_APPURT[[#This Row],[Lateral Offset]]/12</f>
        <v>0</v>
      </c>
      <c r="RX27" s="276">
        <f>IFERROR(1/Calculations_APPURT[[#This Row],[Brackets]],0) * cv_M/cv_F * Forces_APPURT[[#This Row],[Delta Fa 30]] * Calculations_APPURT[[#This Row],[Lateral Offset]]/12</f>
        <v>0</v>
      </c>
      <c r="RY27" s="276">
        <f>IFERROR(1/Calculations_APPURT[[#This Row],[Brackets]],0) * cv_M/cv_F * Forces_APPURT[[#This Row],[Delta Fa 45]] * Calculations_APPURT[[#This Row],[Lateral Offset]]/12</f>
        <v>0</v>
      </c>
      <c r="RZ27" s="276">
        <f>IFERROR(1/Calculations_APPURT[[#This Row],[Brackets]],0) * cv_M/cv_F * Forces_APPURT[[#This Row],[Delta Fa 60]] * Calculations_APPURT[[#This Row],[Lateral Offset]]/12</f>
        <v>0</v>
      </c>
      <c r="SA27" s="276">
        <f>IFERROR(1/Calculations_APPURT[[#This Row],[Brackets]],0) * cv_M/cv_F * Forces_APPURT[[#This Row],[Delta Fa 90]] * Calculations_APPURT[[#This Row],[Lateral Offset]]/12</f>
        <v>0</v>
      </c>
      <c r="SB27" s="276">
        <f>IFERROR(1/Calculations_APPURT[[#This Row],[Brackets]],0) * cv_M/cv_F * Forces_APPURT[[#This Row],[Delta Fa 120]] * Calculations_APPURT[[#This Row],[Lateral Offset]]/12</f>
        <v>0</v>
      </c>
      <c r="SC27" s="276">
        <f>IFERROR(1/Calculations_APPURT[[#This Row],[Brackets]],0) * cv_M/cv_F * Forces_APPURT[[#This Row],[Delta Fa 135]] * Calculations_APPURT[[#This Row],[Lateral Offset]]/12</f>
        <v>0</v>
      </c>
      <c r="SD27" s="276">
        <f>IFERROR(1/Calculations_APPURT[[#This Row],[Brackets]],0) * cv_M/cv_F * Forces_APPURT[[#This Row],[Delta Fa 150]] * Calculations_APPURT[[#This Row],[Lateral Offset]]/12</f>
        <v>0</v>
      </c>
      <c r="SE27" s="276">
        <f>IFERROR(1/Calculations_APPURT[[#This Row],[Brackets]],0) * cv_M/cv_F * Forces_APPURT[[#This Row],[Delta Fa 180]] * Calculations_APPURT[[#This Row],[Lateral Offset]]/12</f>
        <v>0</v>
      </c>
      <c r="SF27" s="276">
        <f>IFERROR(1/Calculations_APPURT[[#This Row],[Brackets]],0) * cv_M/cv_F * Forces_APPURT[[#This Row],[Delta Fa 210]] * Calculations_APPURT[[#This Row],[Lateral Offset]]/12</f>
        <v>0</v>
      </c>
      <c r="SG27" s="276">
        <f>IFERROR(1/Calculations_APPURT[[#This Row],[Brackets]],0) * cv_M/cv_F * Forces_APPURT[[#This Row],[Delta Fa 225]] * Calculations_APPURT[[#This Row],[Lateral Offset]]/12</f>
        <v>0</v>
      </c>
      <c r="SH27" s="276">
        <f>IFERROR(1/Calculations_APPURT[[#This Row],[Brackets]],0) * cv_M/cv_F * Forces_APPURT[[#This Row],[Delta Fa 240]] * Calculations_APPURT[[#This Row],[Lateral Offset]]/12</f>
        <v>0</v>
      </c>
      <c r="SI27" s="276">
        <f>IFERROR(1/Calculations_APPURT[[#This Row],[Brackets]],0) * cv_M/cv_F * Forces_APPURT[[#This Row],[Delta Fa 270]] * Calculations_APPURT[[#This Row],[Lateral Offset]]/12</f>
        <v>0</v>
      </c>
      <c r="SJ27" s="276">
        <f>IFERROR(1/Calculations_APPURT[[#This Row],[Brackets]],0) * cv_M/cv_F * Forces_APPURT[[#This Row],[Delta Fa 300]] * Calculations_APPURT[[#This Row],[Lateral Offset]]/12</f>
        <v>0</v>
      </c>
      <c r="SK27" s="276">
        <f>IFERROR(1/Calculations_APPURT[[#This Row],[Brackets]],0) * cv_M/cv_F * Forces_APPURT[[#This Row],[Delta Fa 315]] * Calculations_APPURT[[#This Row],[Lateral Offset]]/12</f>
        <v>0</v>
      </c>
      <c r="SL27" s="276">
        <f>IFERROR(1/Calculations_APPURT[[#This Row],[Brackets]],0) * cv_M/cv_F * Forces_APPURT[[#This Row],[Delta Fa 330]] * Calculations_APPURT[[#This Row],[Lateral Offset]]/12</f>
        <v>0</v>
      </c>
      <c r="SM27" s="276">
        <f>IFERROR(1/Calculations_APPURT[[#This Row],[Brackets]],0) * cv_M/cv_F * Forces_APPURT[[#This Row],[Alpha Fai 0]] * Calculations_APPURT[[#This Row],[Lateral Offset]]/12</f>
        <v>0</v>
      </c>
      <c r="SN27" s="276">
        <f>IFERROR(1/Calculations_APPURT[[#This Row],[Brackets]],0) * cv_M/cv_F * Forces_APPURT[[#This Row],[Alpha Fai 30]] * Calculations_APPURT[[#This Row],[Lateral Offset]]/12</f>
        <v>0</v>
      </c>
      <c r="SO27" s="276">
        <f>IFERROR(1/Calculations_APPURT[[#This Row],[Brackets]],0) * cv_M/cv_F * Forces_APPURT[[#This Row],[Alpha Fai 45]] * Calculations_APPURT[[#This Row],[Lateral Offset]]/12</f>
        <v>0</v>
      </c>
      <c r="SP27" s="276">
        <f>IFERROR(1/Calculations_APPURT[[#This Row],[Brackets]],0) * cv_M/cv_F * Forces_APPURT[[#This Row],[Alpha Fai 60]] * Calculations_APPURT[[#This Row],[Lateral Offset]]/12</f>
        <v>0</v>
      </c>
      <c r="SQ27" s="276">
        <f>IFERROR(1/Calculations_APPURT[[#This Row],[Brackets]],0) * cv_M/cv_F * Forces_APPURT[[#This Row],[Alpha Fai 90]] * Calculations_APPURT[[#This Row],[Lateral Offset]]/12</f>
        <v>0</v>
      </c>
      <c r="SR27" s="276">
        <f>IFERROR(1/Calculations_APPURT[[#This Row],[Brackets]],0) * cv_M/cv_F * Forces_APPURT[[#This Row],[Alpha Fai 120]] * Calculations_APPURT[[#This Row],[Lateral Offset]]/12</f>
        <v>0</v>
      </c>
      <c r="SS27" s="276">
        <f>IFERROR(1/Calculations_APPURT[[#This Row],[Brackets]],0) * cv_M/cv_F * Forces_APPURT[[#This Row],[Alpha Fai 135]] * Calculations_APPURT[[#This Row],[Lateral Offset]]/12</f>
        <v>0</v>
      </c>
      <c r="ST27" s="276">
        <f>IFERROR(1/Calculations_APPURT[[#This Row],[Brackets]],0) * cv_M/cv_F * Forces_APPURT[[#This Row],[Alpha Fai 150]] * Calculations_APPURT[[#This Row],[Lateral Offset]]/12</f>
        <v>0</v>
      </c>
      <c r="SU27" s="276">
        <f>IFERROR(1/Calculations_APPURT[[#This Row],[Brackets]],0) * cv_M/cv_F * Forces_APPURT[[#This Row],[Alpha Fai 180]] * Calculations_APPURT[[#This Row],[Lateral Offset]]/12</f>
        <v>0</v>
      </c>
      <c r="SV27" s="276">
        <f>IFERROR(1/Calculations_APPURT[[#This Row],[Brackets]],0) * cv_M/cv_F * Forces_APPURT[[#This Row],[Alpha Fai 210]] * Calculations_APPURT[[#This Row],[Lateral Offset]]/12</f>
        <v>0</v>
      </c>
      <c r="SW27" s="276">
        <f>IFERROR(1/Calculations_APPURT[[#This Row],[Brackets]],0) * cv_M/cv_F * Forces_APPURT[[#This Row],[Alpha Fai 225]] * Calculations_APPURT[[#This Row],[Lateral Offset]]/12</f>
        <v>0</v>
      </c>
      <c r="SX27" s="276">
        <f>IFERROR(1/Calculations_APPURT[[#This Row],[Brackets]],0) * cv_M/cv_F * Forces_APPURT[[#This Row],[Alpha Fai 240]] * Calculations_APPURT[[#This Row],[Lateral Offset]]/12</f>
        <v>0</v>
      </c>
      <c r="SY27" s="276">
        <f>IFERROR(1/Calculations_APPURT[[#This Row],[Brackets]],0) * cv_M/cv_F * Forces_APPURT[[#This Row],[Alpha Fai 270]] * Calculations_APPURT[[#This Row],[Lateral Offset]]/12</f>
        <v>0</v>
      </c>
      <c r="SZ27" s="276">
        <f>IFERROR(1/Calculations_APPURT[[#This Row],[Brackets]],0) * cv_M/cv_F * Forces_APPURT[[#This Row],[Alpha Fai 300]] * Calculations_APPURT[[#This Row],[Lateral Offset]]/12</f>
        <v>0</v>
      </c>
      <c r="TA27" s="276">
        <f>IFERROR(1/Calculations_APPURT[[#This Row],[Brackets]],0) * cv_M/cv_F * Forces_APPURT[[#This Row],[Alpha Fai 315]] * Calculations_APPURT[[#This Row],[Lateral Offset]]/12</f>
        <v>0</v>
      </c>
      <c r="TB27" s="276">
        <f>IFERROR(1/Calculations_APPURT[[#This Row],[Brackets]],0) * cv_M/cv_F * Forces_APPURT[[#This Row],[Alpha Fai 330]] * Calculations_APPURT[[#This Row],[Lateral Offset]]/12</f>
        <v>0</v>
      </c>
      <c r="TC27" s="276">
        <f>IFERROR(1/Calculations_APPURT[[#This Row],[Brackets]],0) * cv_M/cv_F * Forces_APPURT[[#This Row],[Beta Fai 0]] * Calculations_APPURT[[#This Row],[Lateral Offset]]/12</f>
        <v>0</v>
      </c>
      <c r="TD27" s="276">
        <f>IFERROR(1/Calculations_APPURT[[#This Row],[Brackets]],0) * cv_M/cv_F * Forces_APPURT[[#This Row],[Beta Fai 30]] * Calculations_APPURT[[#This Row],[Lateral Offset]]/12</f>
        <v>0</v>
      </c>
      <c r="TE27" s="276">
        <f>IFERROR(1/Calculations_APPURT[[#This Row],[Brackets]],0) * cv_M/cv_F * Forces_APPURT[[#This Row],[Beta Fai 45]] * Calculations_APPURT[[#This Row],[Lateral Offset]]/12</f>
        <v>0</v>
      </c>
      <c r="TF27" s="276">
        <f>IFERROR(1/Calculations_APPURT[[#This Row],[Brackets]],0) * cv_M/cv_F * Forces_APPURT[[#This Row],[Beta Fai 60]] * Calculations_APPURT[[#This Row],[Lateral Offset]]/12</f>
        <v>0</v>
      </c>
      <c r="TG27" s="276">
        <f>IFERROR(1/Calculations_APPURT[[#This Row],[Brackets]],0) * cv_M/cv_F * Forces_APPURT[[#This Row],[Beta Fai 90]] * Calculations_APPURT[[#This Row],[Lateral Offset]]/12</f>
        <v>0</v>
      </c>
      <c r="TH27" s="276">
        <f>IFERROR(1/Calculations_APPURT[[#This Row],[Brackets]],0) * cv_M/cv_F * Forces_APPURT[[#This Row],[Beta Fai 120]] * Calculations_APPURT[[#This Row],[Lateral Offset]]/12</f>
        <v>0</v>
      </c>
      <c r="TI27" s="276">
        <f>IFERROR(1/Calculations_APPURT[[#This Row],[Brackets]],0) * cv_M/cv_F * Forces_APPURT[[#This Row],[Beta Fai 135]] * Calculations_APPURT[[#This Row],[Lateral Offset]]/12</f>
        <v>0</v>
      </c>
      <c r="TJ27" s="276">
        <f>IFERROR(1/Calculations_APPURT[[#This Row],[Brackets]],0) * cv_M/cv_F * Forces_APPURT[[#This Row],[Beta Fai 150]] * Calculations_APPURT[[#This Row],[Lateral Offset]]/12</f>
        <v>0</v>
      </c>
      <c r="TK27" s="276">
        <f>IFERROR(1/Calculations_APPURT[[#This Row],[Brackets]],0) * cv_M/cv_F * Forces_APPURT[[#This Row],[Beta Fai 180]] * Calculations_APPURT[[#This Row],[Lateral Offset]]/12</f>
        <v>0</v>
      </c>
      <c r="TL27" s="276">
        <f>IFERROR(1/Calculations_APPURT[[#This Row],[Brackets]],0) * cv_M/cv_F * Forces_APPURT[[#This Row],[Beta Fai 210]] * Calculations_APPURT[[#This Row],[Lateral Offset]]/12</f>
        <v>0</v>
      </c>
      <c r="TM27" s="276">
        <f>IFERROR(1/Calculations_APPURT[[#This Row],[Brackets]],0) * cv_M/cv_F * Forces_APPURT[[#This Row],[Beta Fai 225]] * Calculations_APPURT[[#This Row],[Lateral Offset]]/12</f>
        <v>0</v>
      </c>
      <c r="TN27" s="276">
        <f>IFERROR(1/Calculations_APPURT[[#This Row],[Brackets]],0) * cv_M/cv_F * Forces_APPURT[[#This Row],[Beta Fai 240]] * Calculations_APPURT[[#This Row],[Lateral Offset]]/12</f>
        <v>0</v>
      </c>
      <c r="TO27" s="276">
        <f>IFERROR(1/Calculations_APPURT[[#This Row],[Brackets]],0) * cv_M/cv_F * Forces_APPURT[[#This Row],[Beta Fai 270]] * Calculations_APPURT[[#This Row],[Lateral Offset]]/12</f>
        <v>0</v>
      </c>
      <c r="TP27" s="276">
        <f>IFERROR(1/Calculations_APPURT[[#This Row],[Brackets]],0) * cv_M/cv_F * Forces_APPURT[[#This Row],[Beta Fai 300]] * Calculations_APPURT[[#This Row],[Lateral Offset]]/12</f>
        <v>0</v>
      </c>
      <c r="TQ27" s="276">
        <f>IFERROR(1/Calculations_APPURT[[#This Row],[Brackets]],0) * cv_M/cv_F * Forces_APPURT[[#This Row],[Beta Fai 315]] * Calculations_APPURT[[#This Row],[Lateral Offset]]/12</f>
        <v>0</v>
      </c>
      <c r="TR27" s="276">
        <f>IFERROR(1/Calculations_APPURT[[#This Row],[Brackets]],0) * cv_M/cv_F * Forces_APPURT[[#This Row],[Beta Fai 330]] * Calculations_APPURT[[#This Row],[Lateral Offset]]/12</f>
        <v>0</v>
      </c>
      <c r="TS27" s="276">
        <f>IFERROR(1/Calculations_APPURT[[#This Row],[Brackets]],0) * cv_M/cv_F * Forces_APPURT[[#This Row],[Gamma Fai 0]] * Calculations_APPURT[[#This Row],[Lateral Offset]]/12</f>
        <v>0</v>
      </c>
      <c r="TT27" s="276">
        <f>IFERROR(1/Calculations_APPURT[[#This Row],[Brackets]],0) * cv_M/cv_F * Forces_APPURT[[#This Row],[Gamma Fai 30]] * Calculations_APPURT[[#This Row],[Lateral Offset]]/12</f>
        <v>0</v>
      </c>
      <c r="TU27" s="276">
        <f>IFERROR(1/Calculations_APPURT[[#This Row],[Brackets]],0) * cv_M/cv_F * Forces_APPURT[[#This Row],[Gamma Fai 45]] * Calculations_APPURT[[#This Row],[Lateral Offset]]/12</f>
        <v>0</v>
      </c>
      <c r="TV27" s="276">
        <f>IFERROR(1/Calculations_APPURT[[#This Row],[Brackets]],0) * cv_M/cv_F * Forces_APPURT[[#This Row],[Gamma Fai 60]] * Calculations_APPURT[[#This Row],[Lateral Offset]]/12</f>
        <v>0</v>
      </c>
      <c r="TW27" s="276">
        <f>IFERROR(1/Calculations_APPURT[[#This Row],[Brackets]],0) * cv_M/cv_F * Forces_APPURT[[#This Row],[Gamma Fai 90]] * Calculations_APPURT[[#This Row],[Lateral Offset]]/12</f>
        <v>0</v>
      </c>
      <c r="TX27" s="276">
        <f>IFERROR(1/Calculations_APPURT[[#This Row],[Brackets]],0) * cv_M/cv_F * Forces_APPURT[[#This Row],[Gamma Fai 120]] * Calculations_APPURT[[#This Row],[Lateral Offset]]/12</f>
        <v>0</v>
      </c>
      <c r="TY27" s="276">
        <f>IFERROR(1/Calculations_APPURT[[#This Row],[Brackets]],0) * cv_M/cv_F * Forces_APPURT[[#This Row],[Gamma Fai 135]] * Calculations_APPURT[[#This Row],[Lateral Offset]]/12</f>
        <v>0</v>
      </c>
      <c r="TZ27" s="276">
        <f>IFERROR(1/Calculations_APPURT[[#This Row],[Brackets]],0) * cv_M/cv_F * Forces_APPURT[[#This Row],[Gamma Fai 150]] * Calculations_APPURT[[#This Row],[Lateral Offset]]/12</f>
        <v>0</v>
      </c>
      <c r="UA27" s="276">
        <f>IFERROR(1/Calculations_APPURT[[#This Row],[Brackets]],0) * cv_M/cv_F * Forces_APPURT[[#This Row],[Gamma Fai 180]] * Calculations_APPURT[[#This Row],[Lateral Offset]]/12</f>
        <v>0</v>
      </c>
      <c r="UB27" s="276">
        <f>IFERROR(1/Calculations_APPURT[[#This Row],[Brackets]],0) * cv_M/cv_F * Forces_APPURT[[#This Row],[Gamma Fai 210]] * Calculations_APPURT[[#This Row],[Lateral Offset]]/12</f>
        <v>0</v>
      </c>
      <c r="UC27" s="276">
        <f>IFERROR(1/Calculations_APPURT[[#This Row],[Brackets]],0) * cv_M/cv_F * Forces_APPURT[[#This Row],[Gamma Fai 225]] * Calculations_APPURT[[#This Row],[Lateral Offset]]/12</f>
        <v>0</v>
      </c>
      <c r="UD27" s="276">
        <f>IFERROR(1/Calculations_APPURT[[#This Row],[Brackets]],0) * cv_M/cv_F * Forces_APPURT[[#This Row],[Gamma Fai 240]] * Calculations_APPURT[[#This Row],[Lateral Offset]]/12</f>
        <v>0</v>
      </c>
      <c r="UE27" s="276">
        <f>IFERROR(1/Calculations_APPURT[[#This Row],[Brackets]],0) * cv_M/cv_F * Forces_APPURT[[#This Row],[Gamma Fai 270]] * Calculations_APPURT[[#This Row],[Lateral Offset]]/12</f>
        <v>0</v>
      </c>
      <c r="UF27" s="276">
        <f>IFERROR(1/Calculations_APPURT[[#This Row],[Brackets]],0) * cv_M/cv_F * Forces_APPURT[[#This Row],[Gamma Fai 300]] * Calculations_APPURT[[#This Row],[Lateral Offset]]/12</f>
        <v>0</v>
      </c>
      <c r="UG27" s="276">
        <f>IFERROR(1/Calculations_APPURT[[#This Row],[Brackets]],0) * cv_M/cv_F * Forces_APPURT[[#This Row],[Gamma Fai 315]] * Calculations_APPURT[[#This Row],[Lateral Offset]]/12</f>
        <v>0</v>
      </c>
      <c r="UH27" s="276">
        <f>IFERROR(1/Calculations_APPURT[[#This Row],[Brackets]],0) * cv_M/cv_F * Forces_APPURT[[#This Row],[Gamma Fai 330]] * Calculations_APPURT[[#This Row],[Lateral Offset]]/12</f>
        <v>0</v>
      </c>
      <c r="UI27" s="276">
        <f>IFERROR(1/Calculations_APPURT[[#This Row],[Brackets]],0) * cv_M/cv_F * Forces_APPURT[[#This Row],[Delta Fai 0]] * Calculations_APPURT[[#This Row],[Lateral Offset]]/12</f>
        <v>0</v>
      </c>
      <c r="UJ27" s="276">
        <f>IFERROR(1/Calculations_APPURT[[#This Row],[Brackets]],0) * cv_M/cv_F * Forces_APPURT[[#This Row],[Delta Fai 30]] * Calculations_APPURT[[#This Row],[Lateral Offset]]/12</f>
        <v>0</v>
      </c>
      <c r="UK27" s="276">
        <f>IFERROR(1/Calculations_APPURT[[#This Row],[Brackets]],0) * cv_M/cv_F * Forces_APPURT[[#This Row],[Delta Fai 45]] * Calculations_APPURT[[#This Row],[Lateral Offset]]/12</f>
        <v>0</v>
      </c>
      <c r="UL27" s="276">
        <f>IFERROR(1/Calculations_APPURT[[#This Row],[Brackets]],0) * cv_M/cv_F * Forces_APPURT[[#This Row],[Delta Fai 60]] * Calculations_APPURT[[#This Row],[Lateral Offset]]/12</f>
        <v>0</v>
      </c>
      <c r="UM27" s="276">
        <f>IFERROR(1/Calculations_APPURT[[#This Row],[Brackets]],0) * cv_M/cv_F * Forces_APPURT[[#This Row],[Delta Fai 90]] * Calculations_APPURT[[#This Row],[Lateral Offset]]/12</f>
        <v>0</v>
      </c>
      <c r="UN27" s="276">
        <f>IFERROR(1/Calculations_APPURT[[#This Row],[Brackets]],0) * cv_M/cv_F * Forces_APPURT[[#This Row],[Delta Fai 120]] * Calculations_APPURT[[#This Row],[Lateral Offset]]/12</f>
        <v>0</v>
      </c>
      <c r="UO27" s="276">
        <f>IFERROR(1/Calculations_APPURT[[#This Row],[Brackets]],0) * cv_M/cv_F * Forces_APPURT[[#This Row],[Delta Fai 135]] * Calculations_APPURT[[#This Row],[Lateral Offset]]/12</f>
        <v>0</v>
      </c>
      <c r="UP27" s="276">
        <f>IFERROR(1/Calculations_APPURT[[#This Row],[Brackets]],0) * cv_M/cv_F * Forces_APPURT[[#This Row],[Delta Fai 150]] * Calculations_APPURT[[#This Row],[Lateral Offset]]/12</f>
        <v>0</v>
      </c>
      <c r="UQ27" s="276">
        <f>IFERROR(1/Calculations_APPURT[[#This Row],[Brackets]],0) * cv_M/cv_F * Forces_APPURT[[#This Row],[Delta Fai 180]] * Calculations_APPURT[[#This Row],[Lateral Offset]]/12</f>
        <v>0</v>
      </c>
      <c r="UR27" s="276">
        <f>IFERROR(1/Calculations_APPURT[[#This Row],[Brackets]],0) * cv_M/cv_F * Forces_APPURT[[#This Row],[Delta Fai 210]] * Calculations_APPURT[[#This Row],[Lateral Offset]]/12</f>
        <v>0</v>
      </c>
      <c r="US27" s="276">
        <f>IFERROR(1/Calculations_APPURT[[#This Row],[Brackets]],0) * cv_M/cv_F * Forces_APPURT[[#This Row],[Delta Fai 225]] * Calculations_APPURT[[#This Row],[Lateral Offset]]/12</f>
        <v>0</v>
      </c>
      <c r="UT27" s="276">
        <f>IFERROR(1/Calculations_APPURT[[#This Row],[Brackets]],0) * cv_M/cv_F * Forces_APPURT[[#This Row],[Delta Fai 240]] * Calculations_APPURT[[#This Row],[Lateral Offset]]/12</f>
        <v>0</v>
      </c>
      <c r="UU27" s="276">
        <f>IFERROR(1/Calculations_APPURT[[#This Row],[Brackets]],0) * cv_M/cv_F * Forces_APPURT[[#This Row],[Delta Fai 270]] * Calculations_APPURT[[#This Row],[Lateral Offset]]/12</f>
        <v>0</v>
      </c>
      <c r="UV27" s="276">
        <f>IFERROR(1/Calculations_APPURT[[#This Row],[Brackets]],0) * cv_M/cv_F * Forces_APPURT[[#This Row],[Delta Fai 300]] * Calculations_APPURT[[#This Row],[Lateral Offset]]/12</f>
        <v>0</v>
      </c>
      <c r="UW27" s="276">
        <f>IFERROR(1/Calculations_APPURT[[#This Row],[Brackets]],0) * cv_M/cv_F * Forces_APPURT[[#This Row],[Delta Fai 315]] * Calculations_APPURT[[#This Row],[Lateral Offset]]/12</f>
        <v>0</v>
      </c>
      <c r="UX27" s="276">
        <f>IFERROR(1/Calculations_APPURT[[#This Row],[Brackets]],0) * cv_M/cv_F * Forces_APPURT[[#This Row],[Delta Fai 330]] * Calculations_APPURT[[#This Row],[Lateral Offset]]/12</f>
        <v>0</v>
      </c>
      <c r="UY27" s="276">
        <f>Dimensions_APPURT[[#This Row],[Weight (lbf)]] * cv_F * AlphaSector[[#This Row],[Quantity]]</f>
        <v>0</v>
      </c>
      <c r="UZ27" s="276">
        <f>Dimensions_APPURT[[#This Row],[Weight (lbf)]] * cv_F * BetaSector[[#This Row],[Quantity]]</f>
        <v>0</v>
      </c>
      <c r="VA27" s="276">
        <f>Dimensions_APPURT[[#This Row],[Weight (lbf)]] * cv_F * GammaSector[[#This Row],[Quantity]]</f>
        <v>0</v>
      </c>
      <c r="VB27" s="276">
        <f>Dimensions_APPURT[[#This Row],[Weight (lbf)]] * cv_F * DeltaSector[[#This Row],[Quantity]]</f>
        <v>0</v>
      </c>
      <c r="VC27" s="209">
        <f>Dimensions_APPURT[[#This Row],[Weight (lbf)]] * cv_M * AlphaSector[[#This Row],[Quantity]] * Calculations_APPURT[[#This Row],[Horizontal Offset]]/12</f>
        <v>0</v>
      </c>
      <c r="VD27" s="209">
        <f>Dimensions_APPURT[[#This Row],[Weight (lbf)]] * cv_M * BetaSector[[#This Row],[Quantity]] * Calculations_APPURT[[#This Row],[Horizontal Offset]]/12</f>
        <v>0</v>
      </c>
      <c r="VE27" s="209">
        <f>Dimensions_APPURT[[#This Row],[Weight (lbf)]] * cv_M * GammaSector[[#This Row],[Quantity]] * Calculations_APPURT[[#This Row],[Horizontal Offset]]/12</f>
        <v>0</v>
      </c>
      <c r="VF27" s="209">
        <f>Dimensions_APPURT[[#This Row],[Weight (lbf)]] * cv_M * DeltaSector[[#This Row],[Quantity]] * Calculations_APPURT[[#This Row],[Horizontal Offset]]/12</f>
        <v>0</v>
      </c>
      <c r="VG27" s="276">
        <f>Hazards_APPURT[[#This Row],[Ice Weight]] * cv_F * AlphaSector[[#This Row],[Quantity]]</f>
        <v>0</v>
      </c>
      <c r="VH27" s="276">
        <f>Hazards_APPURT[[#This Row],[Ice Weight]] * cv_F * BetaSector[[#This Row],[Quantity]]</f>
        <v>0</v>
      </c>
      <c r="VI27" s="276">
        <f>Hazards_APPURT[[#This Row],[Ice Weight]] * cv_F * GammaSector[[#This Row],[Quantity]]</f>
        <v>0</v>
      </c>
      <c r="VJ27" s="276">
        <f>Hazards_APPURT[[#This Row],[Ice Weight]] * cv_F * DeltaSector[[#This Row],[Quantity]]</f>
        <v>0</v>
      </c>
      <c r="VK27" s="209">
        <f>Hazards_APPURT[[#This Row],[Ice Weight]] * cv_M * AlphaSector[[#This Row],[Quantity]] * Calculations_APPURT[[#This Row],[Horizontal Offset]]/12</f>
        <v>0</v>
      </c>
      <c r="VL27" s="209">
        <f>Hazards_APPURT[[#This Row],[Ice Weight]] * cv_M * BetaSector[[#This Row],[Quantity]] * Calculations_APPURT[[#This Row],[Horizontal Offset]]/12</f>
        <v>0</v>
      </c>
      <c r="VM27" s="209">
        <f>Hazards_APPURT[[#This Row],[Ice Weight]] * cv_M * GammaSector[[#This Row],[Quantity]] * Calculations_APPURT[[#This Row],[Horizontal Offset]]/12</f>
        <v>0</v>
      </c>
      <c r="VN27" s="209">
        <f>Hazards_APPURT[[#This Row],[Ice Weight]] * cv_M * DeltaSector[[#This Row],[Quantity]] * Calculations_APPURT[[#This Row],[Horizontal Offset]]/12</f>
        <v>0</v>
      </c>
    </row>
    <row r="28" spans="1:586" ht="15" customHeight="1" x14ac:dyDescent="0.2">
      <c r="A28" s="2"/>
      <c r="B28" s="2"/>
      <c r="C28" s="2"/>
      <c r="D28" s="2"/>
      <c r="E28" s="292"/>
      <c r="G28" s="2"/>
      <c r="H28" s="2"/>
      <c r="I28" s="2"/>
      <c r="J28" s="2"/>
      <c r="K28" s="2"/>
      <c r="L28" s="2"/>
      <c r="M28" s="2"/>
      <c r="N28" s="2"/>
      <c r="O28" s="2"/>
      <c r="P28" s="2"/>
      <c r="Q28" s="2"/>
      <c r="R28" s="293"/>
      <c r="S28" s="293"/>
      <c r="T28" s="69"/>
      <c r="V28" s="71"/>
      <c r="W28" s="69"/>
      <c r="X28" s="71"/>
      <c r="Y28" s="69"/>
      <c r="Z28" s="70"/>
      <c r="AB28" s="69"/>
      <c r="AD28" s="71"/>
      <c r="AE28" s="69"/>
      <c r="AF28" s="71"/>
      <c r="AG28" s="69"/>
      <c r="AH28" s="70"/>
      <c r="AJ28" s="69"/>
      <c r="AL28" s="71"/>
      <c r="AM28" s="69"/>
      <c r="AN28" s="71"/>
      <c r="AO28" s="69"/>
      <c r="AP28" s="70"/>
      <c r="AR28" s="69"/>
      <c r="AV28" s="277" cm="1">
        <f t="array" ref="AV28">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Data'!$O:$O,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Row],[Shape]]),0,,0)/144),(PI()/4*Dimensions_APPURT[[#This Row],[Height (in)]]^2)/144)),0)</f>
        <v>0</v>
      </c>
      <c r="AW28" s="209" cm="1">
        <f t="array" ref="AW28">IFERROR(_xlfn.LET(
_xlpm.type,            Calculations_APPURT[[#This Row],[Type]],
_xlpm.Shape,           Calculations_APPURT[[#This Row],[Shape]],
_xlpm.manufacturer,    Calculations_APPURT[[#This Row],[Manufacturer]],
_xlpm.model,           Calculations_APPURT[[#This Row],[Model]],
_xlpm.dbase_man_CCI,   '[3]Antenna Data'!$A:$A,
_xlpm.dbase_mod_CCI,   '[3]Antenna Data'!$B:$B,
_xlpm.dbase_front_CCI, '[3]Antenna Data'!$T:$T,
IF(Calculations_APPURT[[#This Row],[Type]]&lt;&gt;"Dish",
         IF(Calculations_APPURT[[#This Row],[Shape]]="CCI",
            _xlfn.XLOOKUP(Calculations_APPURT[[#This Row],[Manufacturer]]&amp;Calculations_APPURT[[#This Row],[Model]],_xlpm.dbase_man_CCI&amp;_xlpm.dbase_mod_CCI,_xlpm.dbase_front_CCI,0,0,1),
            CaAa(IF(TIA="I",1,0),Dimensions_APPURT[[#This Row],[Height (in)]],Dimensions_APPURT[[#This Row],[Width (in)]],Dimensions_APPURT[[#This Row],[Depth (in)]],IF(Calculations_APPURT[[#This Row],[Shape]]="CFD","Flat",Calculations_APPURT[[#This Row],[Shape]]),1,,0)/144),(PI()/4*Dimensions_APPURT[[#This Row],[Height (in)]]^2)/2/144)),0)</f>
        <v>0</v>
      </c>
      <c r="AX28" s="209" cm="1">
        <f t="array" ref="AX28">IFERROR(IF(Calculations_APPURT[[#This Row],[Type]]&lt;&gt;"Dish",CaAa(IF(TIA="I",1,0),Dimensions_APPURT[[#This Row],[Height (in)]],Dimensions_APPURT[[#This Row],[Width (in)]],Dimensions_APPURT[[#This Row],[Depth (in)]],IF(Calculations_APPURT[[#This Row],[Shape]]="CFD","Flat",Calculations_APPURT[[#This Row],[Shape]]),0,,Hazards_APPURT[[#This Row],[tiz]]*Kes.i)/144,(PI()/4*(Dimensions_APPURT[[#This Row],[Height (in)]]+2*Hazards_APPURT[[#This Row],[tiz]]*Kes.i)^2)/144),0)</f>
        <v>0</v>
      </c>
      <c r="AY28" s="209" cm="1">
        <f t="array" ref="AY28">IFERROR(IF(Calculations_APPURT[[#This Row],[Type]]&lt;&gt;"Dish",CaAa(IF(TIA="I",1,0),Dimensions_APPURT[[#This Row],[Height (in)]],Dimensions_APPURT[[#This Row],[Width (in)]],Dimensions_APPURT[[#This Row],[Depth (in)]],IF(Calculations_APPURT[[#This Row],[Shape]]="CFD","Flat",Calculations_APPURT[[#This Row],[Shape]]),1,,Hazards_APPURT[[#This Row],[tiz]]*Kes.i)/144,(PI()/4*(Dimensions_APPURT[[#This Row],[Height (in)]]+2*Hazards_APPURT[[#This Row],[tiz]]*Kes.i)^2)/2/144),0)</f>
        <v>0</v>
      </c>
      <c r="AZ28" s="276">
        <f>IF(ISBLANK(Calculations_APPURT[[#This Row],[Model]]),0,(IF(Calculations_APPURT[[#This Row],[Type]]&lt;&gt;"Dish",(Dimensions_APPURT[[#This Row],[Height (in)]]+2*Hazards_APPURT[[#This Row],[tiz]])*(Dimensions_APPURT[[#This Row],[Width (in)]]+2*Hazards_APPURT[[#This Row],[tiz]])*(Dimensions_APPURT[[#This Row],[Depth (in)]]+2*Hazards_APPURT[[#This Row],[tiz]]*Kes.i)-Dimensions_APPURT[[#This Row],[Height (in)]]*Dimensions_APPURT[[#This Row],[Width (in)]]*Dimensions_APPURT[[#This Row],[Depth (in)]],(PI()/4*(Dimensions_APPURT[[#This Row],[Height (in)]]+2*Hazards_APPURT[[#This Row],[tiz]]*Kes.i)^2)*(Dimensions_APPURT[[#This Row],[Height (in)]]/2+2*Hazards_APPURT[[#This Row],[tiz]]*Kes.i)))*56/1728+Dimensions_APPURT[[#This Row],[Weight (lbf)]])</f>
        <v>0</v>
      </c>
      <c r="BA28" s="209" cm="1">
        <f t="array" ref="BA28">IFERROR(IF(Exposure="BC",AVERAGE(MAX(MIN(2.41*((z+Calculations_APPURT[[#This Row],[Vertical Offset]]/12)/zg.US)^(2/alpha),2.41),Kzmin),MAX(MIN(2.41*((z+Calculations_APPURT[[#This Row],[Vertical Offset]]/12)/zg.US_c)^(2/alpha_c),2.41),Kzmin_c)),
IF(AND(RIGHT(TIA,1)="I",Exposure="D",Hurricane_Prone="Yes"),Kz_Exposure_D,
IF(Kzmin&gt;=Kz_Factor*((z+Calculations_APPURT[[#This Row],[Vertical Offset]]/12)/zg.US)^(2/alpha),Kzmin,IF(Kz_Factor&lt;=Kz_Factor*((z+Calculations_APPURT[[#This Row],[Vertical Offset]]/12)/zg.US)^(2/alpha),Kz_Factor,Kz_Factor*((z+Calculations_APPURT[[#This Row],[Vertical Offset]]/12)/zg.US)^(2/alpha))))),0)</f>
        <v>0</v>
      </c>
      <c r="BB28" s="209">
        <f>IF(OR(Calculations_APPURT[[#This Row],[Shape]]="CFD",Calculations_APPURT[[#This Row],[Shape]]="CCI"),1,0.95)</f>
        <v>0.95</v>
      </c>
      <c r="BC28" s="209" cm="1">
        <f t="array" ref="BC28">0.00256 * Hazards_APPURT[[#This Row],[Kz]] * Kzt * Ks * I.wind * V^2 * IF(RIGHT(TIA,1)="G",1,Ke) * IF(OR(Calculations_APPURT[[#This Row],[Shape]]="CFD",Calculations_APPURT[[#This Row],[Shape]]="CCI"),1, Hazards_APPURT[[#This Row],[Kd]]) * Gh</f>
        <v>0</v>
      </c>
      <c r="BD28" s="209">
        <f>IF(Risk="I",0,MIN(((z+Calculations_APPURT[[#This Row],[Vertical Offset]]/12)/33)^(0.1),1.4))</f>
        <v>0</v>
      </c>
      <c r="BE28" s="209" cm="1">
        <f t="array" ref="BE28">IF(Risk="I",0,IF(TIA="ANSI/TIA-222-G",2,1*Kes.i)*ti*I.ice*Hazards_APPURT[[#This Row],[Kiz]]*(Kzt/Ks)^(0.35))</f>
        <v>0</v>
      </c>
      <c r="BF28" s="209" cm="1">
        <f t="array" ref="BF28">0.00256 * Hazards_APPURT[[#This Row],[Kz]] * Kzt * Ks * I.wind * Vi^2 * IF(RIGHT(TIA,1)="G",1,Ke) * IF(OR(Calculations_APPURT[[#This Row],[Shape]]="CFD",Calculations_APPURT[[#This Row],[Shape]]="CCI"),1, Kd) * Gh</f>
        <v>0</v>
      </c>
      <c r="BG28" s="277">
        <f>_xlfn.LET(
    _xlpm.model,        Calculations_APPURT[[#This Row],[Model]],
    _xlpm.Shape,        Calculations_APPURT[[#This Row],[Shape]],
    _xlpm.Direction,    BG$1,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H28" s="277">
        <f>_xlfn.LET(
    _xlpm.model,        Calculations_APPURT[[#This Row],[Model]],
    _xlpm.Shape,        Calculations_APPURT[[#This Row],[Shape]],
    _xlpm.Direction,    BH$1,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I28" s="277">
        <f>_xlfn.LET(
    _xlpm.model,        Calculations_APPURT[[#This Row],[Model]],
    _xlpm.Shape,        Calculations_APPURT[[#This Row],[Shape]],
    _xlpm.Direction,    BI$1,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J28" s="277">
        <f>_xlfn.LET(
    _xlpm.model,        Calculations_APPURT[[#This Row],[Model]],
    _xlpm.Shape,        Calculations_APPURT[[#This Row],[Shape]],
    _xlpm.Direction,    BJ$1,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K28" s="277">
        <f>_xlfn.LET(
    _xlpm.model,        Calculations_APPURT[[#This Row],[Model]],
    _xlpm.Shape,        Calculations_APPURT[[#This Row],[Shape]],
    _xlpm.Direction,    BK$1,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L28" s="277">
        <f>_xlfn.LET(
    _xlpm.model,        Calculations_APPURT[[#This Row],[Model]],
    _xlpm.Shape,        Calculations_APPURT[[#This Row],[Shape]],
    _xlpm.Direction,    BL$1,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M28" s="277">
        <f>_xlfn.LET(
    _xlpm.model,        Calculations_APPURT[[#This Row],[Model]],
    _xlpm.Shape,        Calculations_APPURT[[#This Row],[Shape]],
    _xlpm.Direction,    BM$1,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N28" s="277">
        <f>_xlfn.LET(
    _xlpm.model,        Calculations_APPURT[[#This Row],[Model]],
    _xlpm.Shape,        Calculations_APPURT[[#This Row],[Shape]],
    _xlpm.Direction,    BN$1,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O28" s="277">
        <f>_xlfn.LET(
    _xlpm.model,        Calculations_APPURT[[#This Row],[Model]],
    _xlpm.Shape,        Calculations_APPURT[[#This Row],[Shape]],
    _xlpm.Direction,    BO$1,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P28" s="277">
        <f>_xlfn.LET(
    _xlpm.model,        Calculations_APPURT[[#This Row],[Model]],
    _xlpm.Shape,        Calculations_APPURT[[#This Row],[Shape]],
    _xlpm.Direction,    BP$1,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Q28" s="277">
        <f>_xlfn.LET(
    _xlpm.model,        Calculations_APPURT[[#This Row],[Model]],
    _xlpm.Shape,        Calculations_APPURT[[#This Row],[Shape]],
    _xlpm.Direction,    BQ$1,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R28" s="277">
        <f>_xlfn.LET(
    _xlpm.model,        Calculations_APPURT[[#This Row],[Model]],
    _xlpm.Shape,        Calculations_APPURT[[#This Row],[Shape]],
    _xlpm.Direction,    BR$1,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S28" s="277">
        <f>_xlfn.LET(
    _xlpm.model,        Calculations_APPURT[[#This Row],[Model]],
    _xlpm.Shape,        Calculations_APPURT[[#This Row],[Shape]],
    _xlpm.Direction,    BS$1,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T28" s="277">
        <f>_xlfn.LET(
    _xlpm.model,        Calculations_APPURT[[#This Row],[Model]],
    _xlpm.Shape,        Calculations_APPURT[[#This Row],[Shape]],
    _xlpm.Direction,    BT$1,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U28" s="277">
        <f>_xlfn.LET(
    _xlpm.model,        Calculations_APPURT[[#This Row],[Model]],
    _xlpm.Shape,        Calculations_APPURT[[#This Row],[Shape]],
    _xlpm.Direction,    BU$1,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V28" s="277">
        <f>_xlfn.LET(
    _xlpm.model,        Calculations_APPURT[[#This Row],[Model]],
    _xlpm.Shape,        Calculations_APPURT[[#This Row],[Shape]],
    _xlpm.Direction,    BV$1,
    _xlpm.Azimuth,      IF(AlphaSector[[#This Row],[Azimuth (°)]]-AlphaMountAzimuth&gt;=0,AlphaSector[[#This Row],[Azimuth (°)]]-AlphaMountAzimuth,AlphaSector[[#This Row],[Azimuth (°)]]-AlphaMountAzimuth+360),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W28" s="337">
        <f>_xlfn.LET(
    _xlpm.model,        Calculations_APPURT[[#This Row],[Model]],
    _xlpm.Shape,        Calculations_APPURT[[#This Row],[Shape]],
    _xlpm.Direction,    BW$1,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X28" s="337">
        <f>_xlfn.LET(
    _xlpm.model,        Calculations_APPURT[[#This Row],[Model]],
    _xlpm.Shape,        Calculations_APPURT[[#This Row],[Shape]],
    _xlpm.Direction,    BX$1,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Y28" s="337">
        <f>_xlfn.LET(
    _xlpm.model,        Calculations_APPURT[[#This Row],[Model]],
    _xlpm.Shape,        Calculations_APPURT[[#This Row],[Shape]],
    _xlpm.Direction,    BY$1,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BZ28" s="337">
        <f>_xlfn.LET(
    _xlpm.model,        Calculations_APPURT[[#This Row],[Model]],
    _xlpm.Shape,        Calculations_APPURT[[#This Row],[Shape]],
    _xlpm.Direction,    BZ$1,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A28" s="337">
        <f>_xlfn.LET(
    _xlpm.model,        Calculations_APPURT[[#This Row],[Model]],
    _xlpm.Shape,        Calculations_APPURT[[#This Row],[Shape]],
    _xlpm.Direction,    CA$1,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B28" s="337">
        <f>_xlfn.LET(
    _xlpm.model,        Calculations_APPURT[[#This Row],[Model]],
    _xlpm.Shape,        Calculations_APPURT[[#This Row],[Shape]],
    _xlpm.Direction,    CB$1,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C28" s="337">
        <f>_xlfn.LET(
    _xlpm.model,        Calculations_APPURT[[#This Row],[Model]],
    _xlpm.Shape,        Calculations_APPURT[[#This Row],[Shape]],
    _xlpm.Direction,    CC$1,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D28" s="337">
        <f>_xlfn.LET(
    _xlpm.model,        Calculations_APPURT[[#This Row],[Model]],
    _xlpm.Shape,        Calculations_APPURT[[#This Row],[Shape]],
    _xlpm.Direction,    CD$1,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E28" s="337">
        <f>_xlfn.LET(
    _xlpm.model,        Calculations_APPURT[[#This Row],[Model]],
    _xlpm.Shape,        Calculations_APPURT[[#This Row],[Shape]],
    _xlpm.Direction,    CE$1,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F28" s="337">
        <f>_xlfn.LET(
    _xlpm.model,        Calculations_APPURT[[#This Row],[Model]],
    _xlpm.Shape,        Calculations_APPURT[[#This Row],[Shape]],
    _xlpm.Direction,    CF$1,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G28" s="337">
        <f>_xlfn.LET(
    _xlpm.model,        Calculations_APPURT[[#This Row],[Model]],
    _xlpm.Shape,        Calculations_APPURT[[#This Row],[Shape]],
    _xlpm.Direction,    CG$1,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H28" s="337">
        <f>_xlfn.LET(
    _xlpm.model,        Calculations_APPURT[[#This Row],[Model]],
    _xlpm.Shape,        Calculations_APPURT[[#This Row],[Shape]],
    _xlpm.Direction,    CH$1,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I28" s="337">
        <f>_xlfn.LET(
    _xlpm.model,        Calculations_APPURT[[#This Row],[Model]],
    _xlpm.Shape,        Calculations_APPURT[[#This Row],[Shape]],
    _xlpm.Direction,    CI$1,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J28" s="337">
        <f>_xlfn.LET(
    _xlpm.model,        Calculations_APPURT[[#This Row],[Model]],
    _xlpm.Shape,        Calculations_APPURT[[#This Row],[Shape]],
    _xlpm.Direction,    CJ$1,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K28" s="337">
        <f>_xlfn.LET(
    _xlpm.model,        Calculations_APPURT[[#This Row],[Model]],
    _xlpm.Shape,        Calculations_APPURT[[#This Row],[Shape]],
    _xlpm.Direction,    CK$1,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L28" s="337">
        <f>_xlfn.LET(
    _xlpm.model,        Calculations_APPURT[[#This Row],[Model]],
    _xlpm.Shape,        Calculations_APPURT[[#This Row],[Shape]],
    _xlpm.Direction,    CL$1,
    _xlpm.Azimuth,      IF(BetaSector[[#This Row],[Azimuth (°)]]-BetaMountAzimuth&gt;=0,BetaSector[[#This Row],[Azimuth (°)]]-BetaMountAzimuth,BetaSector[[#This Row],[Azimuth (°)]]-BetaMountAzimuth+360),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M28" s="277">
        <f>_xlfn.LET(
    _xlpm.model,        Calculations_APPURT[[#This Row],[Model]],
    _xlpm.Shape,        Calculations_APPURT[[#This Row],[Shape]],
    _xlpm.Direction,    CM$1,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N28" s="277">
        <f>_xlfn.LET(
    _xlpm.model,        Calculations_APPURT[[#This Row],[Model]],
    _xlpm.Shape,        Calculations_APPURT[[#This Row],[Shape]],
    _xlpm.Direction,    CN$1,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O28" s="277">
        <f>_xlfn.LET(
    _xlpm.model,        Calculations_APPURT[[#This Row],[Model]],
    _xlpm.Shape,        Calculations_APPURT[[#This Row],[Shape]],
    _xlpm.Direction,    CO$1,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P28" s="277">
        <f>_xlfn.LET(
    _xlpm.model,        Calculations_APPURT[[#This Row],[Model]],
    _xlpm.Shape,        Calculations_APPURT[[#This Row],[Shape]],
    _xlpm.Direction,    CP$1,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Q28" s="277">
        <f>_xlfn.LET(
    _xlpm.model,        Calculations_APPURT[[#This Row],[Model]],
    _xlpm.Shape,        Calculations_APPURT[[#This Row],[Shape]],
    _xlpm.Direction,    CQ$1,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R28" s="277">
        <f>_xlfn.LET(
    _xlpm.model,        Calculations_APPURT[[#This Row],[Model]],
    _xlpm.Shape,        Calculations_APPURT[[#This Row],[Shape]],
    _xlpm.Direction,    CR$1,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S28" s="277">
        <f>_xlfn.LET(
    _xlpm.model,        Calculations_APPURT[[#This Row],[Model]],
    _xlpm.Shape,        Calculations_APPURT[[#This Row],[Shape]],
    _xlpm.Direction,    CS$1,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T28" s="277">
        <f>_xlfn.LET(
    _xlpm.model,        Calculations_APPURT[[#This Row],[Model]],
    _xlpm.Shape,        Calculations_APPURT[[#This Row],[Shape]],
    _xlpm.Direction,    CT$1,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U28" s="277">
        <f>_xlfn.LET(
    _xlpm.model,        Calculations_APPURT[[#This Row],[Model]],
    _xlpm.Shape,        Calculations_APPURT[[#This Row],[Shape]],
    _xlpm.Direction,    CU$1,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V28" s="277">
        <f>_xlfn.LET(
    _xlpm.model,        Calculations_APPURT[[#This Row],[Model]],
    _xlpm.Shape,        Calculations_APPURT[[#This Row],[Shape]],
    _xlpm.Direction,    CV$1,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W28" s="277">
        <f>_xlfn.LET(
    _xlpm.model,        Calculations_APPURT[[#This Row],[Model]],
    _xlpm.Shape,        Calculations_APPURT[[#This Row],[Shape]],
    _xlpm.Direction,    CW$1,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X28" s="277">
        <f>_xlfn.LET(
    _xlpm.model,        Calculations_APPURT[[#This Row],[Model]],
    _xlpm.Shape,        Calculations_APPURT[[#This Row],[Shape]],
    _xlpm.Direction,    CX$1,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Y28" s="277">
        <f>_xlfn.LET(
    _xlpm.model,        Calculations_APPURT[[#This Row],[Model]],
    _xlpm.Shape,        Calculations_APPURT[[#This Row],[Shape]],
    _xlpm.Direction,    CY$1,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CZ28" s="277">
        <f>_xlfn.LET(
    _xlpm.model,        Calculations_APPURT[[#This Row],[Model]],
    _xlpm.Shape,        Calculations_APPURT[[#This Row],[Shape]],
    _xlpm.Direction,    CZ$1,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A28" s="277">
        <f>_xlfn.LET(
    _xlpm.model,        Calculations_APPURT[[#This Row],[Model]],
    _xlpm.Shape,        Calculations_APPURT[[#This Row],[Shape]],
    _xlpm.Direction,    DA$1,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B28" s="277">
        <f>_xlfn.LET(
    _xlpm.model,        Calculations_APPURT[[#This Row],[Model]],
    _xlpm.Shape,        Calculations_APPURT[[#This Row],[Shape]],
    _xlpm.Direction,    DB$1,
    _xlpm.Azimuth,      IF(GammaSector[[#This Row],[Azimuth (°)]]-GammaMountAzimuth&gt;=0,GammaSector[[#This Row],[Azimuth (°)]]-GammaMountAzimuth,GammaSector[[#This Row],[Azimuth (°)]]-GammaMountAzimuth+360),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C28" s="337">
        <f>_xlfn.LET(
    _xlpm.model,        Calculations_APPURT[[#This Row],[Model]],
    _xlpm.Shape,        Calculations_APPURT[[#This Row],[Shape]],
    _xlpm.Direction,    DC$1,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D28" s="337">
        <f>_xlfn.LET(
    _xlpm.model,        Calculations_APPURT[[#This Row],[Model]],
    _xlpm.Shape,        Calculations_APPURT[[#This Row],[Shape]],
    _xlpm.Direction,    DD$1,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E28" s="337">
        <f>_xlfn.LET(
    _xlpm.model,        Calculations_APPURT[[#This Row],[Model]],
    _xlpm.Shape,        Calculations_APPURT[[#This Row],[Shape]],
    _xlpm.Direction,    DE$1,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F28" s="337">
        <f>_xlfn.LET(
    _xlpm.model,        Calculations_APPURT[[#This Row],[Model]],
    _xlpm.Shape,        Calculations_APPURT[[#This Row],[Shape]],
    _xlpm.Direction,    DF$1,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G28" s="337">
        <f>_xlfn.LET(
    _xlpm.model,        Calculations_APPURT[[#This Row],[Model]],
    _xlpm.Shape,        Calculations_APPURT[[#This Row],[Shape]],
    _xlpm.Direction,    DG$1,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H28" s="337">
        <f>_xlfn.LET(
    _xlpm.model,        Calculations_APPURT[[#This Row],[Model]],
    _xlpm.Shape,        Calculations_APPURT[[#This Row],[Shape]],
    _xlpm.Direction,    DH$1,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I28" s="337">
        <f>_xlfn.LET(
    _xlpm.model,        Calculations_APPURT[[#This Row],[Model]],
    _xlpm.Shape,        Calculations_APPURT[[#This Row],[Shape]],
    _xlpm.Direction,    DI$1,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J28" s="337">
        <f>_xlfn.LET(
    _xlpm.model,        Calculations_APPURT[[#This Row],[Model]],
    _xlpm.Shape,        Calculations_APPURT[[#This Row],[Shape]],
    _xlpm.Direction,    DJ$1,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K28" s="337">
        <f>_xlfn.LET(
    _xlpm.model,        Calculations_APPURT[[#This Row],[Model]],
    _xlpm.Shape,        Calculations_APPURT[[#This Row],[Shape]],
    _xlpm.Direction,    DK$1,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L28" s="337">
        <f>_xlfn.LET(
    _xlpm.model,        Calculations_APPURT[[#This Row],[Model]],
    _xlpm.Shape,        Calculations_APPURT[[#This Row],[Shape]],
    _xlpm.Direction,    DL$1,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M28" s="337">
        <f>_xlfn.LET(
    _xlpm.model,        Calculations_APPURT[[#This Row],[Model]],
    _xlpm.Shape,        Calculations_APPURT[[#This Row],[Shape]],
    _xlpm.Direction,    DM$1,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N28" s="337">
        <f>_xlfn.LET(
    _xlpm.model,        Calculations_APPURT[[#This Row],[Model]],
    _xlpm.Shape,        Calculations_APPURT[[#This Row],[Shape]],
    _xlpm.Direction,    DN$1,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O28" s="337">
        <f>_xlfn.LET(
    _xlpm.model,        Calculations_APPURT[[#This Row],[Model]],
    _xlpm.Shape,        Calculations_APPURT[[#This Row],[Shape]],
    _xlpm.Direction,    DO$1,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P28" s="337">
        <f>_xlfn.LET(
    _xlpm.model,        Calculations_APPURT[[#This Row],[Model]],
    _xlpm.Shape,        Calculations_APPURT[[#This Row],[Shape]],
    _xlpm.Direction,    DP$1,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Q28" s="337">
        <f>_xlfn.LET(
    _xlpm.model,        Calculations_APPURT[[#This Row],[Model]],
    _xlpm.Shape,        Calculations_APPURT[[#This Row],[Shape]],
    _xlpm.Direction,    DQ$1,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R28" s="337">
        <f>_xlfn.LET(
    _xlpm.model,        Calculations_APPURT[[#This Row],[Model]],
    _xlpm.Shape,        Calculations_APPURT[[#This Row],[Shape]],
    _xlpm.Direction,    DR$1,
    _xlpm.Azimuth,      IF(DeltaSector[[#This Row],[Azimuth (°)]]-DeltaMountAzimuth&gt;=0,DeltaSector[[#This Row],[Azimuth (°)]]-DeltaMountAzimuth,DeltaSector[[#This Row],[Azimuth (°)]]-DeltaMountAzimuth+360),
    _xlpm.CaAa_Front,   Hazards_APPURT[[#This Row],[Front CaAa]],
    _xlpm.CaAa_Side,    Hazards_APPURT[[#This Row],[Side CaAa]],
    _xlpm.Shield_Front, Calculations_APPURT[[#This Row],[Front Shield]],
    _xlpm.Shield_Side,  Calculations_APPURT[[#This Row],[Side Shield]],
    _xlpm.dbase_model,  [1]CFD!$B:$B,
    _xlpm.dbase_CFD,    [1]CFD!$C:$AK,
    _xlpm.offset_cnt,   (_xlpm.Direction+_xlpm.Azimuth)/10 - IF((_xlpm.Direction+_xlpm.Azimuth)/10 &lt; 35, 0, 36),
    _xlpm.CFD_col,      INDEX(_xlpm.dbase_CFD, 0, _xlpm.offset_cnt+1),
    _xlpm.CFD_val,      INDEX(_xlpm.CFD_col, MATCH(_xlpm.model, _xlpm.dbase_model, 0)),
    IF(_xlpm.Shape="CFD", _xlpm.CFD_val, _xlpm.CaAa_Front*_xlpm.Shield_Front*COS(PI()/180*(_xlpm.Direction+_xlpm.Azimuth))^2 + _xlpm.CaAa_Side*_xlpm.Shield_Side*SIN(PI()/180*(_xlpm.Direction+_xlpm.Azimuth))^2))</f>
        <v>0</v>
      </c>
      <c r="DS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DS$1,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T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DT$1,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U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DU$1,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V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DV$1,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W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DW$1,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X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DX$1,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Y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DY$1,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DZ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DZ$1,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A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EA$1,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B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EB$1,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C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EC$1,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D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ED$1,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E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EE$1,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F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EF$1,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G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EG$1,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H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EH$1,
_xlpm.Azimuth,      IF(AlphaSector[[#This Row],[Azimuth (°)]]-AlphaMountAzimuth&gt;=0,AlphaSector[[#This Row],[Azimuth (°)]]-AlphaMountAzimuth,AlphaSector[[#This Row],[Azimuth (°)]]-AlphaMountAzimuth+360),
_xlpm.iCaAa_Front*_xlpm.Shield_Front*COS(PI()/180*(_xlpm.Direction+_xlpm.Azimuth))^2 + _xlpm.iCaAa_Side*_xlpm.Shield_Side*SIN(PI()/180*(_xlpm.Direction+_xlpm.Azimuth))^2)</f>
        <v>0</v>
      </c>
      <c r="EI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EI$1,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J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EJ$1,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K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EK$1,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L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EL$1,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M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EM$1,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N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EN$1,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O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EO$1,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P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EP$1,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Q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EQ$1,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R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ER$1,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S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ES$1,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T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ET$1,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U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EU$1,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V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EV$1,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W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EW$1,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X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EX$1,
_xlpm.Azimuth,      IF(BetaSector[[#This Row],[Azimuth (°)]]-BetaMountAzimuth&gt;=0,BetaSector[[#This Row],[Azimuth (°)]]-BetaMountAzimuth,BetaSector[[#This Row],[Azimuth (°)]]-BetaMountAzimuth+360),
_xlpm.iCaAa_Front*_xlpm.Shield_Front*COS(PI()/180*(_xlpm.Direction+_xlpm.Azimuth))^2 + _xlpm.iCaAa_Side*_xlpm.Shield_Side*SIN(PI()/180*(_xlpm.Direction+_xlpm.Azimuth))^2)</f>
        <v>0</v>
      </c>
      <c r="EY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EY$1,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EZ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EZ$1,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A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FA$1,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B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FB$1,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C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FC$1,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D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FD$1,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E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FE$1,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F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FF$1,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G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FG$1,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H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FH$1,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I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FI$1,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J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FJ$1,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K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FK$1,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L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FL$1,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M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FM$1,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N28" s="209">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FN$1,
_xlpm.Azimuth,      IF(GammaSector[[#This Row],[Azimuth (°)]]-GammaMountAzimuth&gt;=0,GammaSector[[#This Row],[Azimuth (°)]]-GammaMountAzimuth,GammaSector[[#This Row],[Azimuth (°)]]-GammaMountAzimuth+360),
_xlpm.iCaAa_Front*_xlpm.Shield_Front*COS(PI()/180*(_xlpm.Direction+_xlpm.Azimuth))^2 + _xlpm.iCaAa_Side*_xlpm.Shield_Side*SIN(PI()/180*(_xlpm.Direction+_xlpm.Azimuth))^2)</f>
        <v>0</v>
      </c>
      <c r="FO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FO$1,
_xlpm.Azimuth,      IF(DeltaSector[[#This Row],[Azimuth (°)]]-DeltaMountAzimuth&gt;=0,DeltaSector[[#This Row],[Azimuth (°)]]-DeltaMountAzimuth,DeltaSector[[#This Row],[Azimuth (°)]]-DeltaMountAzimuth+360),
_xlpm.iCaAa_Front*COS(PI()/180*(_xlpm.Direction+_xlpm.Azimuth))^2 + _xlpm.iCaAa_Side*SIN(PI()/180*(_xlpm.Direction+_xlpm.Azimuth))^2)</f>
        <v>0</v>
      </c>
      <c r="FP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FP$1,
_xlpm.Azimuth,      IF(DeltaSector[[#This Row],[Azimuth (°)]]-DeltaMountAzimuth&gt;=0,DeltaSector[[#This Row],[Azimuth (°)]]-DeltaMountAzimuth,DeltaSector[[#This Row],[Azimuth (°)]]-DeltaMountAzimuth+360),
_xlpm.iCaAa_Front*COS(PI()/180*(_xlpm.Direction+_xlpm.Azimuth))^2 + _xlpm.iCaAa_Side*SIN(PI()/180*(_xlpm.Direction+_xlpm.Azimuth))^2)</f>
        <v>0</v>
      </c>
      <c r="FQ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FQ$1,
_xlpm.Azimuth,      IF(DeltaSector[[#This Row],[Azimuth (°)]]-DeltaMountAzimuth&gt;=0,DeltaSector[[#This Row],[Azimuth (°)]]-DeltaMountAzimuth,DeltaSector[[#This Row],[Azimuth (°)]]-DeltaMountAzimuth+360),
_xlpm.iCaAa_Front*COS(PI()/180*(_xlpm.Direction+_xlpm.Azimuth))^2 + _xlpm.iCaAa_Side*SIN(PI()/180*(_xlpm.Direction+_xlpm.Azimuth))^2)</f>
        <v>0</v>
      </c>
      <c r="FR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FR$1,
_xlpm.Azimuth,      IF(DeltaSector[[#This Row],[Azimuth (°)]]-DeltaMountAzimuth&gt;=0,DeltaSector[[#This Row],[Azimuth (°)]]-DeltaMountAzimuth,DeltaSector[[#This Row],[Azimuth (°)]]-DeltaMountAzimuth+360),
_xlpm.iCaAa_Front*COS(PI()/180*(_xlpm.Direction+_xlpm.Azimuth))^2 + _xlpm.iCaAa_Side*SIN(PI()/180*(_xlpm.Direction+_xlpm.Azimuth))^2)</f>
        <v>0</v>
      </c>
      <c r="FS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FS$1,
_xlpm.Azimuth,      IF(DeltaSector[[#This Row],[Azimuth (°)]]-DeltaMountAzimuth&gt;=0,DeltaSector[[#This Row],[Azimuth (°)]]-DeltaMountAzimuth,DeltaSector[[#This Row],[Azimuth (°)]]-DeltaMountAzimuth+360),
_xlpm.iCaAa_Front*COS(PI()/180*(_xlpm.Direction+_xlpm.Azimuth))^2 + _xlpm.iCaAa_Side*SIN(PI()/180*(_xlpm.Direction+_xlpm.Azimuth))^2)</f>
        <v>0</v>
      </c>
      <c r="FT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FT$1,
_xlpm.Azimuth,      IF(DeltaSector[[#This Row],[Azimuth (°)]]-DeltaMountAzimuth&gt;=0,DeltaSector[[#This Row],[Azimuth (°)]]-DeltaMountAzimuth,DeltaSector[[#This Row],[Azimuth (°)]]-DeltaMountAzimuth+360),
_xlpm.iCaAa_Front*COS(PI()/180*(_xlpm.Direction+_xlpm.Azimuth))^2 + _xlpm.iCaAa_Side*SIN(PI()/180*(_xlpm.Direction+_xlpm.Azimuth))^2)</f>
        <v>0</v>
      </c>
      <c r="FU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FU$1,
_xlpm.Azimuth,      IF(DeltaSector[[#This Row],[Azimuth (°)]]-DeltaMountAzimuth&gt;=0,DeltaSector[[#This Row],[Azimuth (°)]]-DeltaMountAzimuth,DeltaSector[[#This Row],[Azimuth (°)]]-DeltaMountAzimuth+360),
_xlpm.iCaAa_Front*COS(PI()/180*(_xlpm.Direction+_xlpm.Azimuth))^2 + _xlpm.iCaAa_Side*SIN(PI()/180*(_xlpm.Direction+_xlpm.Azimuth))^2)</f>
        <v>0</v>
      </c>
      <c r="FV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FV$1,
_xlpm.Azimuth,      IF(DeltaSector[[#This Row],[Azimuth (°)]]-DeltaMountAzimuth&gt;=0,DeltaSector[[#This Row],[Azimuth (°)]]-DeltaMountAzimuth,DeltaSector[[#This Row],[Azimuth (°)]]-DeltaMountAzimuth+360),
_xlpm.iCaAa_Front*COS(PI()/180*(_xlpm.Direction+_xlpm.Azimuth))^2 + _xlpm.iCaAa_Side*SIN(PI()/180*(_xlpm.Direction+_xlpm.Azimuth))^2)</f>
        <v>0</v>
      </c>
      <c r="FW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FW$1,
_xlpm.Azimuth,      IF(DeltaSector[[#This Row],[Azimuth (°)]]-DeltaMountAzimuth&gt;=0,DeltaSector[[#This Row],[Azimuth (°)]]-DeltaMountAzimuth,DeltaSector[[#This Row],[Azimuth (°)]]-DeltaMountAzimuth+360),
_xlpm.iCaAa_Front*COS(PI()/180*(_xlpm.Direction+_xlpm.Azimuth))^2 + _xlpm.iCaAa_Side*SIN(PI()/180*(_xlpm.Direction+_xlpm.Azimuth))^2)</f>
        <v>0</v>
      </c>
      <c r="FX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FX$1,
_xlpm.Azimuth,      IF(DeltaSector[[#This Row],[Azimuth (°)]]-DeltaMountAzimuth&gt;=0,DeltaSector[[#This Row],[Azimuth (°)]]-DeltaMountAzimuth,DeltaSector[[#This Row],[Azimuth (°)]]-DeltaMountAzimuth+360),
_xlpm.iCaAa_Front*COS(PI()/180*(_xlpm.Direction+_xlpm.Azimuth))^2 + _xlpm.iCaAa_Side*SIN(PI()/180*(_xlpm.Direction+_xlpm.Azimuth))^2)</f>
        <v>0</v>
      </c>
      <c r="FY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FY$1,
_xlpm.Azimuth,      IF(DeltaSector[[#This Row],[Azimuth (°)]]-DeltaMountAzimuth&gt;=0,DeltaSector[[#This Row],[Azimuth (°)]]-DeltaMountAzimuth,DeltaSector[[#This Row],[Azimuth (°)]]-DeltaMountAzimuth+360),
_xlpm.iCaAa_Front*COS(PI()/180*(_xlpm.Direction+_xlpm.Azimuth))^2 + _xlpm.iCaAa_Side*SIN(PI()/180*(_xlpm.Direction+_xlpm.Azimuth))^2)</f>
        <v>0</v>
      </c>
      <c r="FZ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FZ$1,
_xlpm.Azimuth,      IF(DeltaSector[[#This Row],[Azimuth (°)]]-DeltaMountAzimuth&gt;=0,DeltaSector[[#This Row],[Azimuth (°)]]-DeltaMountAzimuth,DeltaSector[[#This Row],[Azimuth (°)]]-DeltaMountAzimuth+360),
_xlpm.iCaAa_Front*COS(PI()/180*(_xlpm.Direction+_xlpm.Azimuth))^2 + _xlpm.iCaAa_Side*SIN(PI()/180*(_xlpm.Direction+_xlpm.Azimuth))^2)</f>
        <v>0</v>
      </c>
      <c r="GA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GA$1,
_xlpm.Azimuth,      IF(DeltaSector[[#This Row],[Azimuth (°)]]-DeltaMountAzimuth&gt;=0,DeltaSector[[#This Row],[Azimuth (°)]]-DeltaMountAzimuth,DeltaSector[[#This Row],[Azimuth (°)]]-DeltaMountAzimuth+360),
_xlpm.iCaAa_Front*COS(PI()/180*(_xlpm.Direction+_xlpm.Azimuth))^2 + _xlpm.iCaAa_Side*SIN(PI()/180*(_xlpm.Direction+_xlpm.Azimuth))^2)</f>
        <v>0</v>
      </c>
      <c r="GB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GB$1,
_xlpm.Azimuth,      IF(DeltaSector[[#This Row],[Azimuth (°)]]-DeltaMountAzimuth&gt;=0,DeltaSector[[#This Row],[Azimuth (°)]]-DeltaMountAzimuth,DeltaSector[[#This Row],[Azimuth (°)]]-DeltaMountAzimuth+360),
_xlpm.iCaAa_Front*COS(PI()/180*(_xlpm.Direction+_xlpm.Azimuth))^2 + _xlpm.iCaAa_Side*SIN(PI()/180*(_xlpm.Direction+_xlpm.Azimuth))^2)</f>
        <v>0</v>
      </c>
      <c r="GC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GC$1,
_xlpm.Azimuth,      IF(DeltaSector[[#This Row],[Azimuth (°)]]-DeltaMountAzimuth&gt;=0,DeltaSector[[#This Row],[Azimuth (°)]]-DeltaMountAzimuth,DeltaSector[[#This Row],[Azimuth (°)]]-DeltaMountAzimuth+360),
_xlpm.iCaAa_Front*COS(PI()/180*(_xlpm.Direction+_xlpm.Azimuth))^2 + _xlpm.iCaAa_Side*SIN(PI()/180*(_xlpm.Direction+_xlpm.Azimuth))^2)</f>
        <v>0</v>
      </c>
      <c r="GD28" s="337">
        <f>_xlfn.LET(
_xlpm.model,        Calculations_APPURT[[#This Row],[Model]],
_xlpm.iCaAa_Front,  Hazards_APPURT[[#This Row],[Ice Front CaAa]],
_xlpm.iCaAa_Side,   Hazards_APPURT[[#This Row],[Ice Side CaAa]],
    _xlpm.Shield_Front, Calculations_APPURT[[#This Row],[Front Shield]],
    _xlpm.Shield_Side,  Calculations_APPURT[[#This Row],[Side Shield]],
_xlpm.Direction,    GD$1,
_xlpm.Azimuth,      IF(DeltaSector[[#This Row],[Azimuth (°)]]-DeltaMountAzimuth&gt;=0,DeltaSector[[#This Row],[Azimuth (°)]]-DeltaMountAzimuth,DeltaSector[[#This Row],[Azimuth (°)]]-DeltaMountAzimuth+360),
_xlpm.iCaAa_Front*COS(PI()/180*(_xlpm.Direction+_xlpm.Azimuth))^2 + _xlpm.iCaAa_Side*SIN(PI()/180*(_xlpm.Direction+_xlpm.Azimuth))^2)</f>
        <v>0</v>
      </c>
      <c r="GE28" s="338">
        <f>IFERROR(1/Calculations_APPURT[[#This Row],[Brackets]],0) * cv_F * AlphaSector[[#This Row],[Quantity]] * Hazards_APPURT[[#This Row],[qz]] * CaAa_APPURT[[#This Row],[Alpha 0]] * IF(Calculations_APPURT[[#This Row],[Shape]]="CFD",1, Ka)</f>
        <v>0</v>
      </c>
      <c r="GF28" s="338">
        <f>IFERROR(1/Calculations_APPURT[[#This Row],[Brackets]],0) * cv_F * AlphaSector[[#This Row],[Quantity]] * Hazards_APPURT[[#This Row],[qz]] * CaAa_APPURT[[#This Row],[Alpha 30]] * IF(Calculations_APPURT[[#This Row],[Shape]]="CFD",1, Ka)</f>
        <v>0</v>
      </c>
      <c r="GG28" s="338">
        <f>IFERROR(1/Calculations_APPURT[[#This Row],[Brackets]],0) * cv_F * AlphaSector[[#This Row],[Quantity]] * Hazards_APPURT[[#This Row],[qz]] * CaAa_APPURT[[#This Row],[Alpha 45]] * IF(Calculations_APPURT[[#This Row],[Shape]]="CFD",1, Ka)</f>
        <v>0</v>
      </c>
      <c r="GH28" s="338">
        <f>IFERROR(1/Calculations_APPURT[[#This Row],[Brackets]],0) * cv_F * AlphaSector[[#This Row],[Quantity]] * Hazards_APPURT[[#This Row],[qz]] * CaAa_APPURT[[#This Row],[Alpha 60]] * IF(Calculations_APPURT[[#This Row],[Shape]]="CFD",1, Ka)</f>
        <v>0</v>
      </c>
      <c r="GI28" s="338">
        <f>IFERROR(1/Calculations_APPURT[[#This Row],[Brackets]],0) * cv_F * AlphaSector[[#This Row],[Quantity]] * Hazards_APPURT[[#This Row],[qz]] * CaAa_APPURT[[#This Row],[Alpha 90]] * IF(Calculations_APPURT[[#This Row],[Shape]]="CFD",1, Ka)</f>
        <v>0</v>
      </c>
      <c r="GJ28" s="338">
        <f>IFERROR(1/Calculations_APPURT[[#This Row],[Brackets]],0) * cv_F * AlphaSector[[#This Row],[Quantity]] * Hazards_APPURT[[#This Row],[qz]] * CaAa_APPURT[[#This Row],[Alpha 120]] * IF(Calculations_APPURT[[#This Row],[Shape]]="CFD",1, Ka)</f>
        <v>0</v>
      </c>
      <c r="GK28" s="338">
        <f>IFERROR(1/Calculations_APPURT[[#This Row],[Brackets]],0) * cv_F * AlphaSector[[#This Row],[Quantity]] * Hazards_APPURT[[#This Row],[qz]] * CaAa_APPURT[[#This Row],[Alpha 135]] * IF(Calculations_APPURT[[#This Row],[Shape]]="CFD",1, Ka)</f>
        <v>0</v>
      </c>
      <c r="GL28" s="338">
        <f>IFERROR(1/Calculations_APPURT[[#This Row],[Brackets]],0) * cv_F * AlphaSector[[#This Row],[Quantity]] * Hazards_APPURT[[#This Row],[qz]] * CaAa_APPURT[[#This Row],[Alpha 150]] * IF(Calculations_APPURT[[#This Row],[Shape]]="CFD",1, Ka)</f>
        <v>0</v>
      </c>
      <c r="GM28" s="338">
        <f>IFERROR(1/Calculations_APPURT[[#This Row],[Brackets]],0) * cv_F * AlphaSector[[#This Row],[Quantity]] * Hazards_APPURT[[#This Row],[qz]] * CaAa_APPURT[[#This Row],[Alpha 180]] * IF(Calculations_APPURT[[#This Row],[Shape]]="CFD",1, Ka)</f>
        <v>0</v>
      </c>
      <c r="GN28" s="338">
        <f>IFERROR(1/Calculations_APPURT[[#This Row],[Brackets]],0) * cv_F * AlphaSector[[#This Row],[Quantity]] * Hazards_APPURT[[#This Row],[qz]] * CaAa_APPURT[[#This Row],[Alpha 210]] * IF(Calculations_APPURT[[#This Row],[Shape]]="CFD",1, Ka)</f>
        <v>0</v>
      </c>
      <c r="GO28" s="338">
        <f>IFERROR(1/Calculations_APPURT[[#This Row],[Brackets]],0) * cv_F * AlphaSector[[#This Row],[Quantity]] * Hazards_APPURT[[#This Row],[qz]] * CaAa_APPURT[[#This Row],[Alpha 225]] * IF(Calculations_APPURT[[#This Row],[Shape]]="CFD",1, Ka)</f>
        <v>0</v>
      </c>
      <c r="GP28" s="338">
        <f>IFERROR(1/Calculations_APPURT[[#This Row],[Brackets]],0) * cv_F * AlphaSector[[#This Row],[Quantity]] * Hazards_APPURT[[#This Row],[qz]] * CaAa_APPURT[[#This Row],[Alpha 240]] * IF(Calculations_APPURT[[#This Row],[Shape]]="CFD",1, Ka)</f>
        <v>0</v>
      </c>
      <c r="GQ28" s="338">
        <f>IFERROR(1/Calculations_APPURT[[#This Row],[Brackets]],0) * cv_F * AlphaSector[[#This Row],[Quantity]] * Hazards_APPURT[[#This Row],[qz]] * CaAa_APPURT[[#This Row],[Alpha 270]] * IF(Calculations_APPURT[[#This Row],[Shape]]="CFD",1, Ka)</f>
        <v>0</v>
      </c>
      <c r="GR28" s="338">
        <f>IFERROR(1/Calculations_APPURT[[#This Row],[Brackets]],0) * cv_F * AlphaSector[[#This Row],[Quantity]] * Hazards_APPURT[[#This Row],[qz]] * CaAa_APPURT[[#This Row],[Alpha 300]] * IF(Calculations_APPURT[[#This Row],[Shape]]="CFD",1, Ka)</f>
        <v>0</v>
      </c>
      <c r="GS28" s="338">
        <f>IFERROR(1/Calculations_APPURT[[#This Row],[Brackets]],0) * cv_F * AlphaSector[[#This Row],[Quantity]] * Hazards_APPURT[[#This Row],[qz]] * CaAa_APPURT[[#This Row],[Alpha 315]] * IF(Calculations_APPURT[[#This Row],[Shape]]="CFD",1, Ka)</f>
        <v>0</v>
      </c>
      <c r="GT28" s="338">
        <f>IFERROR(1/Calculations_APPURT[[#This Row],[Brackets]],0) * cv_F * AlphaSector[[#This Row],[Quantity]] * Hazards_APPURT[[#This Row],[qz]] * CaAa_APPURT[[#This Row],[Alpha 330]] * IF(Calculations_APPURT[[#This Row],[Shape]]="CFD",1, Ka)</f>
        <v>0</v>
      </c>
      <c r="GU28" s="276">
        <f>IFERROR(1/Calculations_APPURT[[#This Row],[Brackets]],0) * cv_F * BetaSector[[#This Row],[Quantity]] * Hazards_APPURT[[#This Row],[qz]] * CaAa_APPURT[[#This Row],[Beta 0]] * IF(Calculations_APPURT[[#This Row],[Shape]]="CFD",1, Ka)</f>
        <v>0</v>
      </c>
      <c r="GV28" s="276">
        <f>IFERROR(1/Calculations_APPURT[[#This Row],[Brackets]],0) * cv_F * BetaSector[[#This Row],[Quantity]] * Hazards_APPURT[[#This Row],[qz]] * CaAa_APPURT[[#This Row],[Beta 30]] * IF(Calculations_APPURT[[#This Row],[Shape]]="CFD",1, Ka)</f>
        <v>0</v>
      </c>
      <c r="GW28" s="276">
        <f>IFERROR(1/Calculations_APPURT[[#This Row],[Brackets]],0) * cv_F * BetaSector[[#This Row],[Quantity]] * Hazards_APPURT[[#This Row],[qz]] * CaAa_APPURT[[#This Row],[Beta 45]] * IF(Calculations_APPURT[[#This Row],[Shape]]="CFD",1, Ka)</f>
        <v>0</v>
      </c>
      <c r="GX28" s="276">
        <f>IFERROR(1/Calculations_APPURT[[#This Row],[Brackets]],0) * cv_F * BetaSector[[#This Row],[Quantity]] * Hazards_APPURT[[#This Row],[qz]] * CaAa_APPURT[[#This Row],[Beta 60]] * IF(Calculations_APPURT[[#This Row],[Shape]]="CFD",1, Ka)</f>
        <v>0</v>
      </c>
      <c r="GY28" s="276">
        <f>IFERROR(1/Calculations_APPURT[[#This Row],[Brackets]],0) * cv_F * BetaSector[[#This Row],[Quantity]] * Hazards_APPURT[[#This Row],[qz]] * CaAa_APPURT[[#This Row],[Beta 90]] * IF(Calculations_APPURT[[#This Row],[Shape]]="CFD",1, Ka)</f>
        <v>0</v>
      </c>
      <c r="GZ28" s="276">
        <f>IFERROR(1/Calculations_APPURT[[#This Row],[Brackets]],0) * cv_F * BetaSector[[#This Row],[Quantity]] * Hazards_APPURT[[#This Row],[qz]] * CaAa_APPURT[[#This Row],[Beta 120]] * IF(Calculations_APPURT[[#This Row],[Shape]]="CFD",1, Ka)</f>
        <v>0</v>
      </c>
      <c r="HA28" s="276">
        <f>IFERROR(1/Calculations_APPURT[[#This Row],[Brackets]],0) * cv_F * BetaSector[[#This Row],[Quantity]] * Hazards_APPURT[[#This Row],[qz]] * CaAa_APPURT[[#This Row],[Beta 135]] * IF(Calculations_APPURT[[#This Row],[Shape]]="CFD",1, Ka)</f>
        <v>0</v>
      </c>
      <c r="HB28" s="276">
        <f>IFERROR(1/Calculations_APPURT[[#This Row],[Brackets]],0) * cv_F * BetaSector[[#This Row],[Quantity]] * Hazards_APPURT[[#This Row],[qz]] * CaAa_APPURT[[#This Row],[Beta 150]] * IF(Calculations_APPURT[[#This Row],[Shape]]="CFD",1, Ka)</f>
        <v>0</v>
      </c>
      <c r="HC28" s="276">
        <f>IFERROR(1/Calculations_APPURT[[#This Row],[Brackets]],0) * cv_F * BetaSector[[#This Row],[Quantity]] * Hazards_APPURT[[#This Row],[qz]] * CaAa_APPURT[[#This Row],[Beta 180]] * IF(Calculations_APPURT[[#This Row],[Shape]]="CFD",1, Ka)</f>
        <v>0</v>
      </c>
      <c r="HD28" s="276">
        <f>IFERROR(1/Calculations_APPURT[[#This Row],[Brackets]],0) * cv_F * BetaSector[[#This Row],[Quantity]] * Hazards_APPURT[[#This Row],[qz]] * CaAa_APPURT[[#This Row],[Beta 210]] * IF(Calculations_APPURT[[#This Row],[Shape]]="CFD",1, Ka)</f>
        <v>0</v>
      </c>
      <c r="HE28" s="276">
        <f>IFERROR(1/Calculations_APPURT[[#This Row],[Brackets]],0) * cv_F * BetaSector[[#This Row],[Quantity]] * Hazards_APPURT[[#This Row],[qz]] * CaAa_APPURT[[#This Row],[Beta 225]] * IF(Calculations_APPURT[[#This Row],[Shape]]="CFD",1, Ka)</f>
        <v>0</v>
      </c>
      <c r="HF28" s="276">
        <f>IFERROR(1/Calculations_APPURT[[#This Row],[Brackets]],0) * cv_F * BetaSector[[#This Row],[Quantity]] * Hazards_APPURT[[#This Row],[qz]] * CaAa_APPURT[[#This Row],[Beta 240]] * IF(Calculations_APPURT[[#This Row],[Shape]]="CFD",1, Ka)</f>
        <v>0</v>
      </c>
      <c r="HG28" s="276">
        <f>IFERROR(1/Calculations_APPURT[[#This Row],[Brackets]],0) * cv_F * BetaSector[[#This Row],[Quantity]] * Hazards_APPURT[[#This Row],[qz]] * CaAa_APPURT[[#This Row],[Beta 270]] * IF(Calculations_APPURT[[#This Row],[Shape]]="CFD",1, Ka)</f>
        <v>0</v>
      </c>
      <c r="HH28" s="276">
        <f>IFERROR(1/Calculations_APPURT[[#This Row],[Brackets]],0) * cv_F * BetaSector[[#This Row],[Quantity]] * Hazards_APPURT[[#This Row],[qz]] * CaAa_APPURT[[#This Row],[Beta 300]] * IF(Calculations_APPURT[[#This Row],[Shape]]="CFD",1, Ka)</f>
        <v>0</v>
      </c>
      <c r="HI28" s="276">
        <f>IFERROR(1/Calculations_APPURT[[#This Row],[Brackets]],0) * cv_F * BetaSector[[#This Row],[Quantity]] * Hazards_APPURT[[#This Row],[qz]] * CaAa_APPURT[[#This Row],[Beta 315]] * IF(Calculations_APPURT[[#This Row],[Shape]]="CFD",1, Ka)</f>
        <v>0</v>
      </c>
      <c r="HJ28" s="276">
        <f>IFERROR(1/Calculations_APPURT[[#This Row],[Brackets]],0) * cv_F * BetaSector[[#This Row],[Quantity]] * Hazards_APPURT[[#This Row],[qz]] * CaAa_APPURT[[#This Row],[Beta 330]] * IF(Calculations_APPURT[[#This Row],[Shape]]="CFD",1, Ka)</f>
        <v>0</v>
      </c>
      <c r="HK28" s="338">
        <f>IFERROR(1/Calculations_APPURT[[#This Row],[Brackets]],0) * cv_F * GammaSector[[#This Row],[Quantity]] * Hazards_APPURT[[#This Row],[qz]] * CaAa_APPURT[[#This Row],[Gamma 0]] * IF(Calculations_APPURT[[#This Row],[Shape]]="CFD",1, Ka)</f>
        <v>0</v>
      </c>
      <c r="HL28" s="338">
        <f>IFERROR(1/Calculations_APPURT[[#This Row],[Brackets]],0) * cv_F * GammaSector[[#This Row],[Quantity]] * Hazards_APPURT[[#This Row],[qz]] * CaAa_APPURT[[#This Row],[Gamma 30]] * IF(Calculations_APPURT[[#This Row],[Shape]]="CFD",1, Ka)</f>
        <v>0</v>
      </c>
      <c r="HM28" s="338">
        <f>IFERROR(1/Calculations_APPURT[[#This Row],[Brackets]],0) * cv_F * GammaSector[[#This Row],[Quantity]] * Hazards_APPURT[[#This Row],[qz]] * CaAa_APPURT[[#This Row],[Gamma 45]] * IF(Calculations_APPURT[[#This Row],[Shape]]="CFD",1, Ka)</f>
        <v>0</v>
      </c>
      <c r="HN28" s="338">
        <f>IFERROR(1/Calculations_APPURT[[#This Row],[Brackets]],0) * cv_F * GammaSector[[#This Row],[Quantity]] * Hazards_APPURT[[#This Row],[qz]] * CaAa_APPURT[[#This Row],[Gamma 60]] * IF(Calculations_APPURT[[#This Row],[Shape]]="CFD",1, Ka)</f>
        <v>0</v>
      </c>
      <c r="HO28" s="338">
        <f>IFERROR(1/Calculations_APPURT[[#This Row],[Brackets]],0) * cv_F * GammaSector[[#This Row],[Quantity]] * Hazards_APPURT[[#This Row],[qz]] * CaAa_APPURT[[#This Row],[Gamma 90]] * IF(Calculations_APPURT[[#This Row],[Shape]]="CFD",1, Ka)</f>
        <v>0</v>
      </c>
      <c r="HP28" s="338">
        <f>IFERROR(1/Calculations_APPURT[[#This Row],[Brackets]],0) * cv_F * GammaSector[[#This Row],[Quantity]] * Hazards_APPURT[[#This Row],[qz]] * CaAa_APPURT[[#This Row],[Gamma 120]] * IF(Calculations_APPURT[[#This Row],[Shape]]="CFD",1, Ka)</f>
        <v>0</v>
      </c>
      <c r="HQ28" s="338">
        <f>IFERROR(1/Calculations_APPURT[[#This Row],[Brackets]],0) * cv_F * GammaSector[[#This Row],[Quantity]] * Hazards_APPURT[[#This Row],[qz]] * CaAa_APPURT[[#This Row],[Gamma 135]] * IF(Calculations_APPURT[[#This Row],[Shape]]="CFD",1, Ka)</f>
        <v>0</v>
      </c>
      <c r="HR28" s="338">
        <f>IFERROR(1/Calculations_APPURT[[#This Row],[Brackets]],0) * cv_F * GammaSector[[#This Row],[Quantity]] * Hazards_APPURT[[#This Row],[qz]] * CaAa_APPURT[[#This Row],[Gamma 150]] * IF(Calculations_APPURT[[#This Row],[Shape]]="CFD",1, Ka)</f>
        <v>0</v>
      </c>
      <c r="HS28" s="338">
        <f>IFERROR(1/Calculations_APPURT[[#This Row],[Brackets]],0) * cv_F * GammaSector[[#This Row],[Quantity]] * Hazards_APPURT[[#This Row],[qz]] * CaAa_APPURT[[#This Row],[Gamma 180]] * IF(Calculations_APPURT[[#This Row],[Shape]]="CFD",1, Ka)</f>
        <v>0</v>
      </c>
      <c r="HT28" s="338">
        <f>IFERROR(1/Calculations_APPURT[[#This Row],[Brackets]],0) * cv_F * GammaSector[[#This Row],[Quantity]] * Hazards_APPURT[[#This Row],[qz]] * CaAa_APPURT[[#This Row],[Gamma 210]] * IF(Calculations_APPURT[[#This Row],[Shape]]="CFD",1, Ka)</f>
        <v>0</v>
      </c>
      <c r="HU28" s="338">
        <f>IFERROR(1/Calculations_APPURT[[#This Row],[Brackets]],0) * cv_F * GammaSector[[#This Row],[Quantity]] * Hazards_APPURT[[#This Row],[qz]] * CaAa_APPURT[[#This Row],[Gamma 225]] * IF(Calculations_APPURT[[#This Row],[Shape]]="CFD",1, Ka)</f>
        <v>0</v>
      </c>
      <c r="HV28" s="338">
        <f>IFERROR(1/Calculations_APPURT[[#This Row],[Brackets]],0) * cv_F * GammaSector[[#This Row],[Quantity]] * Hazards_APPURT[[#This Row],[qz]] * CaAa_APPURT[[#This Row],[Gamma 240]] * IF(Calculations_APPURT[[#This Row],[Shape]]="CFD",1, Ka)</f>
        <v>0</v>
      </c>
      <c r="HW28" s="338">
        <f>IFERROR(1/Calculations_APPURT[[#This Row],[Brackets]],0) * cv_F * GammaSector[[#This Row],[Quantity]] * Hazards_APPURT[[#This Row],[qz]] * CaAa_APPURT[[#This Row],[Gamma 270]] * IF(Calculations_APPURT[[#This Row],[Shape]]="CFD",1, Ka)</f>
        <v>0</v>
      </c>
      <c r="HX28" s="338">
        <f>IFERROR(1/Calculations_APPURT[[#This Row],[Brackets]],0) * cv_F * GammaSector[[#This Row],[Quantity]] * Hazards_APPURT[[#This Row],[qz]] * CaAa_APPURT[[#This Row],[Gamma 300]] * IF(Calculations_APPURT[[#This Row],[Shape]]="CFD",1, Ka)</f>
        <v>0</v>
      </c>
      <c r="HY28" s="338">
        <f>IFERROR(1/Calculations_APPURT[[#This Row],[Brackets]],0) * cv_F * GammaSector[[#This Row],[Quantity]] * Hazards_APPURT[[#This Row],[qz]] * CaAa_APPURT[[#This Row],[Gamma 315]] * IF(Calculations_APPURT[[#This Row],[Shape]]="CFD",1, Ka)</f>
        <v>0</v>
      </c>
      <c r="HZ28" s="338">
        <f>IFERROR(1/Calculations_APPURT[[#This Row],[Brackets]],0) * cv_F * GammaSector[[#This Row],[Quantity]] * Hazards_APPURT[[#This Row],[qz]] * CaAa_APPURT[[#This Row],[Gamma 330]] * IF(Calculations_APPURT[[#This Row],[Shape]]="CFD",1, Ka)</f>
        <v>0</v>
      </c>
      <c r="IA28" s="276">
        <f>IFERROR(1/Calculations_APPURT[[#This Row],[Brackets]],0) * cv_F * DeltaSector[[#This Row],[Quantity]] * Hazards_APPURT[[#This Row],[qz]] * CaAa_APPURT[[#This Row],[Delta 0]] * IF(Calculations_APPURT[[#This Row],[Shape]]="CFD",1, Ka)</f>
        <v>0</v>
      </c>
      <c r="IB28" s="276">
        <f>IFERROR(1/Calculations_APPURT[[#This Row],[Brackets]],0) * cv_F * DeltaSector[[#This Row],[Quantity]] * Hazards_APPURT[[#This Row],[qz]] * CaAa_APPURT[[#This Row],[Delta 30]] * IF(Calculations_APPURT[[#This Row],[Shape]]="CFD",1, Ka)</f>
        <v>0</v>
      </c>
      <c r="IC28" s="276">
        <f>IFERROR(1/Calculations_APPURT[[#This Row],[Brackets]],0) * cv_F * DeltaSector[[#This Row],[Quantity]] * Hazards_APPURT[[#This Row],[qz]] * CaAa_APPURT[[#This Row],[Delta 45]] * IF(Calculations_APPURT[[#This Row],[Shape]]="CFD",1, Ka)</f>
        <v>0</v>
      </c>
      <c r="ID28" s="276">
        <f>IFERROR(1/Calculations_APPURT[[#This Row],[Brackets]],0) * cv_F * DeltaSector[[#This Row],[Quantity]] * Hazards_APPURT[[#This Row],[qz]] * CaAa_APPURT[[#This Row],[Delta 60]] * IF(Calculations_APPURT[[#This Row],[Shape]]="CFD",1, Ka)</f>
        <v>0</v>
      </c>
      <c r="IE28" s="276">
        <f>IFERROR(1/Calculations_APPURT[[#This Row],[Brackets]],0) * cv_F * DeltaSector[[#This Row],[Quantity]] * Hazards_APPURT[[#This Row],[qz]] * CaAa_APPURT[[#This Row],[Delta 90]] * IF(Calculations_APPURT[[#This Row],[Shape]]="CFD",1, Ka)</f>
        <v>0</v>
      </c>
      <c r="IF28" s="276">
        <f>IFERROR(1/Calculations_APPURT[[#This Row],[Brackets]],0) * cv_F * DeltaSector[[#This Row],[Quantity]] * Hazards_APPURT[[#This Row],[qz]] * CaAa_APPURT[[#This Row],[Delta 120]] * IF(Calculations_APPURT[[#This Row],[Shape]]="CFD",1, Ka)</f>
        <v>0</v>
      </c>
      <c r="IG28" s="276">
        <f>IFERROR(1/Calculations_APPURT[[#This Row],[Brackets]],0) * cv_F * DeltaSector[[#This Row],[Quantity]] * Hazards_APPURT[[#This Row],[qz]] * CaAa_APPURT[[#This Row],[Delta 135]] * IF(Calculations_APPURT[[#This Row],[Shape]]="CFD",1, Ka)</f>
        <v>0</v>
      </c>
      <c r="IH28" s="276">
        <f>IFERROR(1/Calculations_APPURT[[#This Row],[Brackets]],0) * cv_F * DeltaSector[[#This Row],[Quantity]] * Hazards_APPURT[[#This Row],[qz]] * CaAa_APPURT[[#This Row],[Delta 150]] * IF(Calculations_APPURT[[#This Row],[Shape]]="CFD",1, Ka)</f>
        <v>0</v>
      </c>
      <c r="II28" s="276">
        <f>IFERROR(1/Calculations_APPURT[[#This Row],[Brackets]],0) * cv_F * DeltaSector[[#This Row],[Quantity]] * Hazards_APPURT[[#This Row],[qz]] * CaAa_APPURT[[#This Row],[Delta 180]] * IF(Calculations_APPURT[[#This Row],[Shape]]="CFD",1, Ka)</f>
        <v>0</v>
      </c>
      <c r="IJ28" s="276">
        <f>IFERROR(1/Calculations_APPURT[[#This Row],[Brackets]],0) * cv_F * DeltaSector[[#This Row],[Quantity]] * Hazards_APPURT[[#This Row],[qz]] * CaAa_APPURT[[#This Row],[Delta 210]] * IF(Calculations_APPURT[[#This Row],[Shape]]="CFD",1, Ka)</f>
        <v>0</v>
      </c>
      <c r="IK28" s="276">
        <f>IFERROR(1/Calculations_APPURT[[#This Row],[Brackets]],0) * cv_F * DeltaSector[[#This Row],[Quantity]] * Hazards_APPURT[[#This Row],[qz]] * CaAa_APPURT[[#This Row],[Delta 225]] * IF(Calculations_APPURT[[#This Row],[Shape]]="CFD",1, Ka)</f>
        <v>0</v>
      </c>
      <c r="IL28" s="276">
        <f>IFERROR(1/Calculations_APPURT[[#This Row],[Brackets]],0) * cv_F * DeltaSector[[#This Row],[Quantity]] * Hazards_APPURT[[#This Row],[qz]] * CaAa_APPURT[[#This Row],[Delta 240]] * IF(Calculations_APPURT[[#This Row],[Shape]]="CFD",1, Ka)</f>
        <v>0</v>
      </c>
      <c r="IM28" s="276">
        <f>IFERROR(1/Calculations_APPURT[[#This Row],[Brackets]],0) * cv_F * DeltaSector[[#This Row],[Quantity]] * Hazards_APPURT[[#This Row],[qz]] * CaAa_APPURT[[#This Row],[Delta 270]] * IF(Calculations_APPURT[[#This Row],[Shape]]="CFD",1, Ka)</f>
        <v>0</v>
      </c>
      <c r="IN28" s="276">
        <f>IFERROR(1/Calculations_APPURT[[#This Row],[Brackets]],0) * cv_F * DeltaSector[[#This Row],[Quantity]] * Hazards_APPURT[[#This Row],[qz]] * CaAa_APPURT[[#This Row],[Delta 300]] * IF(Calculations_APPURT[[#This Row],[Shape]]="CFD",1, Ka)</f>
        <v>0</v>
      </c>
      <c r="IO28" s="276">
        <f>IFERROR(1/Calculations_APPURT[[#This Row],[Brackets]],0) * cv_F * DeltaSector[[#This Row],[Quantity]] * Hazards_APPURT[[#This Row],[qz]] * CaAa_APPURT[[#This Row],[Delta 315]] * IF(Calculations_APPURT[[#This Row],[Shape]]="CFD",1, Ka)</f>
        <v>0</v>
      </c>
      <c r="IP28" s="276">
        <f>IFERROR(1/Calculations_APPURT[[#This Row],[Brackets]],0) * cv_F * DeltaSector[[#This Row],[Quantity]] * Hazards_APPURT[[#This Row],[qz]] * CaAa_APPURT[[#This Row],[Delta 330]] * IF(Calculations_APPURT[[#This Row],[Shape]]="CFD",1, Ka)</f>
        <v>0</v>
      </c>
      <c r="IQ28" s="338">
        <f>IFERROR(1/Calculations_APPURT[[#This Row],[Brackets]],0) * cv_F * AlphaSector[[#This Row],[Quantity]] * Hazards_APPURT[[#This Row],[qiz]] * CaAa_APPURT[[#This Row],[Alpha Ice 0]]</f>
        <v>0</v>
      </c>
      <c r="IR28" s="338">
        <f>IFERROR(1/Calculations_APPURT[[#This Row],[Brackets]],0) * cv_F * AlphaSector[[#This Row],[Quantity]] * Hazards_APPURT[[#This Row],[qiz]] * CaAa_APPURT[[#This Row],[Alpha Ice 30]]</f>
        <v>0</v>
      </c>
      <c r="IS28" s="338">
        <f>IFERROR(1/Calculations_APPURT[[#This Row],[Brackets]],0) * cv_F * AlphaSector[[#This Row],[Quantity]] * Hazards_APPURT[[#This Row],[qiz]] * CaAa_APPURT[[#This Row],[Alpha Ice 45]]</f>
        <v>0</v>
      </c>
      <c r="IT28" s="338">
        <f>IFERROR(1/Calculations_APPURT[[#This Row],[Brackets]],0) * cv_F * AlphaSector[[#This Row],[Quantity]] * Hazards_APPURT[[#This Row],[qiz]] * CaAa_APPURT[[#This Row],[Alpha Ice 60]]</f>
        <v>0</v>
      </c>
      <c r="IU28" s="338">
        <f>IFERROR(1/Calculations_APPURT[[#This Row],[Brackets]],0) * cv_F * AlphaSector[[#This Row],[Quantity]] * Hazards_APPURT[[#This Row],[qiz]] * CaAa_APPURT[[#This Row],[Alpha Ice 90]]</f>
        <v>0</v>
      </c>
      <c r="IV28" s="338">
        <f>IFERROR(1/Calculations_APPURT[[#This Row],[Brackets]],0) * cv_F * AlphaSector[[#This Row],[Quantity]] * Hazards_APPURT[[#This Row],[qiz]] * CaAa_APPURT[[#This Row],[Alpha Ice 120]]</f>
        <v>0</v>
      </c>
      <c r="IW28" s="338">
        <f>IFERROR(1/Calculations_APPURT[[#This Row],[Brackets]],0) * cv_F * AlphaSector[[#This Row],[Quantity]] * Hazards_APPURT[[#This Row],[qiz]] * CaAa_APPURT[[#This Row],[Alpha Ice 135]]</f>
        <v>0</v>
      </c>
      <c r="IX28" s="338">
        <f>IFERROR(1/Calculations_APPURT[[#This Row],[Brackets]],0) * cv_F * AlphaSector[[#This Row],[Quantity]] * Hazards_APPURT[[#This Row],[qiz]] * CaAa_APPURT[[#This Row],[Alpha Ice 150]]</f>
        <v>0</v>
      </c>
      <c r="IY28" s="338">
        <f>IFERROR(1/Calculations_APPURT[[#This Row],[Brackets]],0) * cv_F * AlphaSector[[#This Row],[Quantity]] * Hazards_APPURT[[#This Row],[qiz]] * CaAa_APPURT[[#This Row],[Alpha Ice 180]]</f>
        <v>0</v>
      </c>
      <c r="IZ28" s="338">
        <f>IFERROR(1/Calculations_APPURT[[#This Row],[Brackets]],0) * cv_F * AlphaSector[[#This Row],[Quantity]] * Hazards_APPURT[[#This Row],[qiz]] * CaAa_APPURT[[#This Row],[Alpha Ice 210]]</f>
        <v>0</v>
      </c>
      <c r="JA28" s="338">
        <f>IFERROR(1/Calculations_APPURT[[#This Row],[Brackets]],0) * cv_F * AlphaSector[[#This Row],[Quantity]] * Hazards_APPURT[[#This Row],[qiz]] * CaAa_APPURT[[#This Row],[Alpha Ice 225]]</f>
        <v>0</v>
      </c>
      <c r="JB28" s="338">
        <f>IFERROR(1/Calculations_APPURT[[#This Row],[Brackets]],0) * cv_F * AlphaSector[[#This Row],[Quantity]] * Hazards_APPURT[[#This Row],[qiz]] * CaAa_APPURT[[#This Row],[Alpha Ice 240]]</f>
        <v>0</v>
      </c>
      <c r="JC28" s="338">
        <f>IFERROR(1/Calculations_APPURT[[#This Row],[Brackets]],0) * cv_F * AlphaSector[[#This Row],[Quantity]] * Hazards_APPURT[[#This Row],[qiz]] * CaAa_APPURT[[#This Row],[Alpha Ice 270]]</f>
        <v>0</v>
      </c>
      <c r="JD28" s="338">
        <f>IFERROR(1/Calculations_APPURT[[#This Row],[Brackets]],0) * cv_F * AlphaSector[[#This Row],[Quantity]] * Hazards_APPURT[[#This Row],[qiz]] * CaAa_APPURT[[#This Row],[Alpha Ice 300]]</f>
        <v>0</v>
      </c>
      <c r="JE28" s="338">
        <f>IFERROR(1/Calculations_APPURT[[#This Row],[Brackets]],0) * cv_F * AlphaSector[[#This Row],[Quantity]] * Hazards_APPURT[[#This Row],[qiz]] * CaAa_APPURT[[#This Row],[Alpha Ice 315]]</f>
        <v>0</v>
      </c>
      <c r="JF28" s="338">
        <f>IFERROR(1/Calculations_APPURT[[#This Row],[Brackets]],0) * cv_F * AlphaSector[[#This Row],[Quantity]] * Hazards_APPURT[[#This Row],[qiz]] * CaAa_APPURT[[#This Row],[Alpha Ice 330]]</f>
        <v>0</v>
      </c>
      <c r="JG28" s="276">
        <f>IFERROR(1/Calculations_APPURT[[#This Row],[Brackets]],0) * cv_F * BetaSector[[#This Row],[Quantity]] * Hazards_APPURT[[#This Row],[qiz]] * CaAa_APPURT[[#This Row],[Beta Ice 0]]</f>
        <v>0</v>
      </c>
      <c r="JH28" s="276">
        <f>IFERROR(1/Calculations_APPURT[[#This Row],[Brackets]],0) * cv_F * BetaSector[[#This Row],[Quantity]] * Hazards_APPURT[[#This Row],[qiz]] * CaAa_APPURT[[#This Row],[Beta Ice 30]]</f>
        <v>0</v>
      </c>
      <c r="JI28" s="276">
        <f>IFERROR(1/Calculations_APPURT[[#This Row],[Brackets]],0) * cv_F * BetaSector[[#This Row],[Quantity]] * Hazards_APPURT[[#This Row],[qiz]] * CaAa_APPURT[[#This Row],[Beta Ice 45]]</f>
        <v>0</v>
      </c>
      <c r="JJ28" s="276">
        <f>IFERROR(1/Calculations_APPURT[[#This Row],[Brackets]],0) * cv_F * BetaSector[[#This Row],[Quantity]] * Hazards_APPURT[[#This Row],[qiz]] * CaAa_APPURT[[#This Row],[Beta Ice 60]]</f>
        <v>0</v>
      </c>
      <c r="JK28" s="276">
        <f>IFERROR(1/Calculations_APPURT[[#This Row],[Brackets]],0) * cv_F * BetaSector[[#This Row],[Quantity]] * Hazards_APPURT[[#This Row],[qiz]] * CaAa_APPURT[[#This Row],[Beta Ice 90]]</f>
        <v>0</v>
      </c>
      <c r="JL28" s="276">
        <f>IFERROR(1/Calculations_APPURT[[#This Row],[Brackets]],0) * cv_F * BetaSector[[#This Row],[Quantity]] * Hazards_APPURT[[#This Row],[qiz]] * CaAa_APPURT[[#This Row],[Beta Ice 120]]</f>
        <v>0</v>
      </c>
      <c r="JM28" s="276">
        <f>IFERROR(1/Calculations_APPURT[[#This Row],[Brackets]],0) * cv_F * BetaSector[[#This Row],[Quantity]] * Hazards_APPURT[[#This Row],[qiz]] * CaAa_APPURT[[#This Row],[Beta Ice 135]]</f>
        <v>0</v>
      </c>
      <c r="JN28" s="276">
        <f>IFERROR(1/Calculations_APPURT[[#This Row],[Brackets]],0) * cv_F * BetaSector[[#This Row],[Quantity]] * Hazards_APPURT[[#This Row],[qiz]] * CaAa_APPURT[[#This Row],[Beta Ice 150]]</f>
        <v>0</v>
      </c>
      <c r="JO28" s="276">
        <f>IFERROR(1/Calculations_APPURT[[#This Row],[Brackets]],0) * cv_F * BetaSector[[#This Row],[Quantity]] * Hazards_APPURT[[#This Row],[qiz]] * CaAa_APPURT[[#This Row],[Beta Ice 180]]</f>
        <v>0</v>
      </c>
      <c r="JP28" s="276">
        <f>IFERROR(1/Calculations_APPURT[[#This Row],[Brackets]],0) * cv_F * BetaSector[[#This Row],[Quantity]] * Hazards_APPURT[[#This Row],[qiz]] * CaAa_APPURT[[#This Row],[Beta Ice 210]]</f>
        <v>0</v>
      </c>
      <c r="JQ28" s="276">
        <f>IFERROR(1/Calculations_APPURT[[#This Row],[Brackets]],0) * cv_F * BetaSector[[#This Row],[Quantity]] * Hazards_APPURT[[#This Row],[qiz]] * CaAa_APPURT[[#This Row],[Beta Ice 225]]</f>
        <v>0</v>
      </c>
      <c r="JR28" s="276">
        <f>IFERROR(1/Calculations_APPURT[[#This Row],[Brackets]],0) * cv_F * BetaSector[[#This Row],[Quantity]] * Hazards_APPURT[[#This Row],[qiz]] * CaAa_APPURT[[#This Row],[Beta Ice 240]]</f>
        <v>0</v>
      </c>
      <c r="JS28" s="276">
        <f>IFERROR(1/Calculations_APPURT[[#This Row],[Brackets]],0) * cv_F * BetaSector[[#This Row],[Quantity]] * Hazards_APPURT[[#This Row],[qiz]] * CaAa_APPURT[[#This Row],[Beta Ice 270]]</f>
        <v>0</v>
      </c>
      <c r="JT28" s="276">
        <f>IFERROR(1/Calculations_APPURT[[#This Row],[Brackets]],0) * cv_F * BetaSector[[#This Row],[Quantity]] * Hazards_APPURT[[#This Row],[qiz]] * CaAa_APPURT[[#This Row],[Beta Ice 300]]</f>
        <v>0</v>
      </c>
      <c r="JU28" s="276">
        <f>IFERROR(1/Calculations_APPURT[[#This Row],[Brackets]],0) * cv_F * BetaSector[[#This Row],[Quantity]] * Hazards_APPURT[[#This Row],[qiz]] * CaAa_APPURT[[#This Row],[Beta Ice 315]]</f>
        <v>0</v>
      </c>
      <c r="JV28" s="276">
        <f>IFERROR(1/Calculations_APPURT[[#This Row],[Brackets]],0) * cv_F * BetaSector[[#This Row],[Quantity]] * Hazards_APPURT[[#This Row],[qiz]] * CaAa_APPURT[[#This Row],[Beta Ice 330]]</f>
        <v>0</v>
      </c>
      <c r="JW28" s="338">
        <f>IFERROR(1/Calculations_APPURT[[#This Row],[Brackets]],0) * cv_F * GammaSector[[#This Row],[Quantity]] * Hazards_APPURT[[#This Row],[qiz]] * CaAa_APPURT[[#This Row],[Gamma Ice 0]]</f>
        <v>0</v>
      </c>
      <c r="JX28" s="338">
        <f>IFERROR(1/Calculations_APPURT[[#This Row],[Brackets]],0) * cv_F * GammaSector[[#This Row],[Quantity]] * Hazards_APPURT[[#This Row],[qiz]] * CaAa_APPURT[[#This Row],[Gamma Ice 30]]</f>
        <v>0</v>
      </c>
      <c r="JY28" s="338">
        <f>IFERROR(1/Calculations_APPURT[[#This Row],[Brackets]],0) * cv_F * GammaSector[[#This Row],[Quantity]] * Hazards_APPURT[[#This Row],[qiz]] * CaAa_APPURT[[#This Row],[Gamma Ice 45]]</f>
        <v>0</v>
      </c>
      <c r="JZ28" s="338">
        <f>IFERROR(1/Calculations_APPURT[[#This Row],[Brackets]],0) * cv_F * GammaSector[[#This Row],[Quantity]] * Hazards_APPURT[[#This Row],[qiz]] * CaAa_APPURT[[#This Row],[Gamma Ice 60]]</f>
        <v>0</v>
      </c>
      <c r="KA28" s="338">
        <f>IFERROR(1/Calculations_APPURT[[#This Row],[Brackets]],0) * cv_F * GammaSector[[#This Row],[Quantity]] * Hazards_APPURT[[#This Row],[qiz]] * CaAa_APPURT[[#This Row],[Gamma Ice 90]]</f>
        <v>0</v>
      </c>
      <c r="KB28" s="338">
        <f>IFERROR(1/Calculations_APPURT[[#This Row],[Brackets]],0) * cv_F * GammaSector[[#This Row],[Quantity]] * Hazards_APPURT[[#This Row],[qiz]] * CaAa_APPURT[[#This Row],[Gamma Ice 120]]</f>
        <v>0</v>
      </c>
      <c r="KC28" s="338">
        <f>IFERROR(1/Calculations_APPURT[[#This Row],[Brackets]],0) * cv_F * GammaSector[[#This Row],[Quantity]] * Hazards_APPURT[[#This Row],[qiz]] * CaAa_APPURT[[#This Row],[Gamma Ice 135]]</f>
        <v>0</v>
      </c>
      <c r="KD28" s="338">
        <f>IFERROR(1/Calculations_APPURT[[#This Row],[Brackets]],0) * cv_F * GammaSector[[#This Row],[Quantity]] * Hazards_APPURT[[#This Row],[qiz]] * CaAa_APPURT[[#This Row],[Gamma Ice 150]]</f>
        <v>0</v>
      </c>
      <c r="KE28" s="338">
        <f>IFERROR(1/Calculations_APPURT[[#This Row],[Brackets]],0) * cv_F * GammaSector[[#This Row],[Quantity]] * Hazards_APPURT[[#This Row],[qiz]] * CaAa_APPURT[[#This Row],[Gamma Ice 180]]</f>
        <v>0</v>
      </c>
      <c r="KF28" s="338">
        <f>IFERROR(1/Calculations_APPURT[[#This Row],[Brackets]],0) * cv_F * GammaSector[[#This Row],[Quantity]] * Hazards_APPURT[[#This Row],[qiz]] * CaAa_APPURT[[#This Row],[Gamma Ice 210]]</f>
        <v>0</v>
      </c>
      <c r="KG28" s="338">
        <f>IFERROR(1/Calculations_APPURT[[#This Row],[Brackets]],0) * cv_F * GammaSector[[#This Row],[Quantity]] * Hazards_APPURT[[#This Row],[qiz]] * CaAa_APPURT[[#This Row],[Gamma Ice 225]]</f>
        <v>0</v>
      </c>
      <c r="KH28" s="338">
        <f>IFERROR(1/Calculations_APPURT[[#This Row],[Brackets]],0) * cv_F * GammaSector[[#This Row],[Quantity]] * Hazards_APPURT[[#This Row],[qiz]] * CaAa_APPURT[[#This Row],[Gamma Ice 240]]</f>
        <v>0</v>
      </c>
      <c r="KI28" s="338">
        <f>IFERROR(1/Calculations_APPURT[[#This Row],[Brackets]],0) * cv_F * GammaSector[[#This Row],[Quantity]] * Hazards_APPURT[[#This Row],[qiz]] * CaAa_APPURT[[#This Row],[Gamma Ice 270]]</f>
        <v>0</v>
      </c>
      <c r="KJ28" s="338">
        <f>IFERROR(1/Calculations_APPURT[[#This Row],[Brackets]],0) * cv_F * GammaSector[[#This Row],[Quantity]] * Hazards_APPURT[[#This Row],[qiz]] * CaAa_APPURT[[#This Row],[Gamma Ice 300]]</f>
        <v>0</v>
      </c>
      <c r="KK28" s="338">
        <f>IFERROR(1/Calculations_APPURT[[#This Row],[Brackets]],0) * cv_F * GammaSector[[#This Row],[Quantity]] * Hazards_APPURT[[#This Row],[qiz]] * CaAa_APPURT[[#This Row],[Gamma Ice 315]]</f>
        <v>0</v>
      </c>
      <c r="KL28" s="338">
        <f>IFERROR(1/Calculations_APPURT[[#This Row],[Brackets]],0) * cv_F * GammaSector[[#This Row],[Quantity]] * Hazards_APPURT[[#This Row],[qiz]] * CaAa_APPURT[[#This Row],[Gamma Ice 330]]</f>
        <v>0</v>
      </c>
      <c r="KM28" s="276">
        <f>IFERROR(1/Calculations_APPURT[[#This Row],[Brackets]],0) * cv_F * DeltaSector[[#This Row],[Quantity]] * Hazards_APPURT[[#This Row],[qiz]] * CaAa_APPURT[[#This Row],[Delta Ice 0]]</f>
        <v>0</v>
      </c>
      <c r="KN28" s="276">
        <f>IFERROR(1/Calculations_APPURT[[#This Row],[Brackets]],0) * cv_F * DeltaSector[[#This Row],[Quantity]] * Hazards_APPURT[[#This Row],[qiz]] * CaAa_APPURT[[#This Row],[Delta Ice 30]]</f>
        <v>0</v>
      </c>
      <c r="KO28" s="276">
        <f>IFERROR(1/Calculations_APPURT[[#This Row],[Brackets]],0) * cv_F * DeltaSector[[#This Row],[Quantity]] * Hazards_APPURT[[#This Row],[qiz]] * CaAa_APPURT[[#This Row],[Delta Ice 45]]</f>
        <v>0</v>
      </c>
      <c r="KP28" s="276">
        <f>IFERROR(1/Calculations_APPURT[[#This Row],[Brackets]],0) * cv_F * DeltaSector[[#This Row],[Quantity]] * Hazards_APPURT[[#This Row],[qiz]] * CaAa_APPURT[[#This Row],[Delta Ice 60]]</f>
        <v>0</v>
      </c>
      <c r="KQ28" s="276">
        <f>IFERROR(1/Calculations_APPURT[[#This Row],[Brackets]],0) * cv_F * DeltaSector[[#This Row],[Quantity]] * Hazards_APPURT[[#This Row],[qiz]] * CaAa_APPURT[[#This Row],[Delta Ice 90]]</f>
        <v>0</v>
      </c>
      <c r="KR28" s="276">
        <f>IFERROR(1/Calculations_APPURT[[#This Row],[Brackets]],0) * cv_F * DeltaSector[[#This Row],[Quantity]] * Hazards_APPURT[[#This Row],[qiz]] * CaAa_APPURT[[#This Row],[Delta Ice 120]]</f>
        <v>0</v>
      </c>
      <c r="KS28" s="276">
        <f>IFERROR(1/Calculations_APPURT[[#This Row],[Brackets]],0) * cv_F * DeltaSector[[#This Row],[Quantity]] * Hazards_APPURT[[#This Row],[qiz]] * CaAa_APPURT[[#This Row],[Delta Ice 135]]</f>
        <v>0</v>
      </c>
      <c r="KT28" s="276">
        <f>IFERROR(1/Calculations_APPURT[[#This Row],[Brackets]],0) * cv_F * DeltaSector[[#This Row],[Quantity]] * Hazards_APPURT[[#This Row],[qiz]] * CaAa_APPURT[[#This Row],[Delta Ice 150]]</f>
        <v>0</v>
      </c>
      <c r="KU28" s="276">
        <f>IFERROR(1/Calculations_APPURT[[#This Row],[Brackets]],0) * cv_F * DeltaSector[[#This Row],[Quantity]] * Hazards_APPURT[[#This Row],[qiz]] * CaAa_APPURT[[#This Row],[Delta Ice 180]]</f>
        <v>0</v>
      </c>
      <c r="KV28" s="276">
        <f>IFERROR(1/Calculations_APPURT[[#This Row],[Brackets]],0) * cv_F * DeltaSector[[#This Row],[Quantity]] * Hazards_APPURT[[#This Row],[qiz]] * CaAa_APPURT[[#This Row],[Delta Ice 210]]</f>
        <v>0</v>
      </c>
      <c r="KW28" s="276">
        <f>IFERROR(1/Calculations_APPURT[[#This Row],[Brackets]],0) * cv_F * DeltaSector[[#This Row],[Quantity]] * Hazards_APPURT[[#This Row],[qiz]] * CaAa_APPURT[[#This Row],[Delta Ice 225]]</f>
        <v>0</v>
      </c>
      <c r="KX28" s="276">
        <f>IFERROR(1/Calculations_APPURT[[#This Row],[Brackets]],0) * cv_F * DeltaSector[[#This Row],[Quantity]] * Hazards_APPURT[[#This Row],[qiz]] * CaAa_APPURT[[#This Row],[Delta Ice 240]]</f>
        <v>0</v>
      </c>
      <c r="KY28" s="276">
        <f>IFERROR(1/Calculations_APPURT[[#This Row],[Brackets]],0) * cv_F * DeltaSector[[#This Row],[Quantity]] * Hazards_APPURT[[#This Row],[qiz]] * CaAa_APPURT[[#This Row],[Delta Ice 270]]</f>
        <v>0</v>
      </c>
      <c r="KZ28" s="276">
        <f>IFERROR(1/Calculations_APPURT[[#This Row],[Brackets]],0) * cv_F * DeltaSector[[#This Row],[Quantity]] * Hazards_APPURT[[#This Row],[qiz]] * CaAa_APPURT[[#This Row],[Delta Ice 300]]</f>
        <v>0</v>
      </c>
      <c r="LA28" s="276">
        <f>IFERROR(1/Calculations_APPURT[[#This Row],[Brackets]],0) * cv_F * DeltaSector[[#This Row],[Quantity]] * Hazards_APPURT[[#This Row],[qiz]] * CaAa_APPURT[[#This Row],[Delta Ice 315]]</f>
        <v>0</v>
      </c>
      <c r="LB28" s="276">
        <f>IFERROR(1/Calculations_APPURT[[#This Row],[Brackets]],0) * cv_F * DeltaSector[[#This Row],[Quantity]] * Hazards_APPURT[[#This Row],[qiz]] * CaAa_APPURT[[#This Row],[Delta Ice 330]]</f>
        <v>0</v>
      </c>
      <c r="LC28" s="338">
        <f>IFERROR(1/Calculations_APPURT[[#This Row],[Brackets]],0) * cv_M/cv_F * Forces_APPURT[[#This Row],[Alpha Fa 0]] * Calculations_APPURT[[#This Row],[Horizontal Offset]]/12</f>
        <v>0</v>
      </c>
      <c r="LD28" s="338">
        <f>IFERROR(1/Calculations_APPURT[[#This Row],[Brackets]],0) * cv_M/cv_F * Forces_APPURT[[#This Row],[Alpha Fa 30]] * Calculations_APPURT[[#This Row],[Horizontal Offset]]/12</f>
        <v>0</v>
      </c>
      <c r="LE28" s="338">
        <f>IFERROR(1/Calculations_APPURT[[#This Row],[Brackets]],0) * cv_M/cv_F * Forces_APPURT[[#This Row],[Alpha Fa 45]] * Calculations_APPURT[[#This Row],[Horizontal Offset]]/12</f>
        <v>0</v>
      </c>
      <c r="LF28" s="338">
        <f>IFERROR(1/Calculations_APPURT[[#This Row],[Brackets]],0) * cv_M/cv_F * Forces_APPURT[[#This Row],[Alpha Fa 60]] * Calculations_APPURT[[#This Row],[Horizontal Offset]]/12</f>
        <v>0</v>
      </c>
      <c r="LG28" s="338">
        <f>IFERROR(1/Calculations_APPURT[[#This Row],[Brackets]],0) * cv_M/cv_F * Forces_APPURT[[#This Row],[Alpha Fa 90]] * Calculations_APPURT[[#This Row],[Horizontal Offset]]/12</f>
        <v>0</v>
      </c>
      <c r="LH28" s="338">
        <f>IFERROR(1/Calculations_APPURT[[#This Row],[Brackets]],0) * cv_M/cv_F * Forces_APPURT[[#This Row],[Alpha Fa 120]] * Calculations_APPURT[[#This Row],[Horizontal Offset]]/12</f>
        <v>0</v>
      </c>
      <c r="LI28" s="338">
        <f>IFERROR(1/Calculations_APPURT[[#This Row],[Brackets]],0) * cv_M/cv_F * Forces_APPURT[[#This Row],[Alpha Fa 135]] * Calculations_APPURT[[#This Row],[Horizontal Offset]]/12</f>
        <v>0</v>
      </c>
      <c r="LJ28" s="338">
        <f>IFERROR(1/Calculations_APPURT[[#This Row],[Brackets]],0) * cv_M/cv_F * Forces_APPURT[[#This Row],[Alpha Fa 150]] * Calculations_APPURT[[#This Row],[Horizontal Offset]]/12</f>
        <v>0</v>
      </c>
      <c r="LK28" s="338">
        <f>IFERROR(1/Calculations_APPURT[[#This Row],[Brackets]],0) * cv_M/cv_F * Forces_APPURT[[#This Row],[Alpha Fa 180]] * Calculations_APPURT[[#This Row],[Horizontal Offset]]/12</f>
        <v>0</v>
      </c>
      <c r="LL28" s="338">
        <f>IFERROR(1/Calculations_APPURT[[#This Row],[Brackets]],0) * cv_M/cv_F * Forces_APPURT[[#This Row],[Alpha Fa 210]] * Calculations_APPURT[[#This Row],[Horizontal Offset]]/12</f>
        <v>0</v>
      </c>
      <c r="LM28" s="338">
        <f>IFERROR(1/Calculations_APPURT[[#This Row],[Brackets]],0) * cv_M/cv_F * Forces_APPURT[[#This Row],[Alpha Fa 225]] * Calculations_APPURT[[#This Row],[Horizontal Offset]]/12</f>
        <v>0</v>
      </c>
      <c r="LN28" s="338">
        <f>IFERROR(1/Calculations_APPURT[[#This Row],[Brackets]],0) * cv_M/cv_F * Forces_APPURT[[#This Row],[Alpha Fa 240]] * Calculations_APPURT[[#This Row],[Horizontal Offset]]/12</f>
        <v>0</v>
      </c>
      <c r="LO28" s="338">
        <f>IFERROR(1/Calculations_APPURT[[#This Row],[Brackets]],0) * cv_M/cv_F * Forces_APPURT[[#This Row],[Alpha Fa 270]] * Calculations_APPURT[[#This Row],[Horizontal Offset]]/12</f>
        <v>0</v>
      </c>
      <c r="LP28" s="338">
        <f>IFERROR(1/Calculations_APPURT[[#This Row],[Brackets]],0) * cv_M/cv_F * Forces_APPURT[[#This Row],[Alpha Fa 300]] * Calculations_APPURT[[#This Row],[Horizontal Offset]]/12</f>
        <v>0</v>
      </c>
      <c r="LQ28" s="338">
        <f>IFERROR(1/Calculations_APPURT[[#This Row],[Brackets]],0) * cv_M/cv_F * Forces_APPURT[[#This Row],[Alpha Fa 315]] * Calculations_APPURT[[#This Row],[Horizontal Offset]]/12</f>
        <v>0</v>
      </c>
      <c r="LR28" s="338">
        <f>IFERROR(1/Calculations_APPURT[[#This Row],[Brackets]],0) * cv_M/cv_F * Forces_APPURT[[#This Row],[Alpha Fa 330]] * Calculations_APPURT[[#This Row],[Horizontal Offset]]/12</f>
        <v>0</v>
      </c>
      <c r="LS28" s="276">
        <f>IFERROR(1/Calculations_APPURT[[#This Row],[Brackets]],0) * cv_M/cv_F * Forces_APPURT[[#This Row],[Beta Fa 0]] * Calculations_APPURT[[#This Row],[Horizontal Offset]]/12</f>
        <v>0</v>
      </c>
      <c r="LT28" s="276">
        <f>IFERROR(1/Calculations_APPURT[[#This Row],[Brackets]],0) * cv_M/cv_F * Forces_APPURT[[#This Row],[Beta Fa 30]] * Calculations_APPURT[[#This Row],[Horizontal Offset]]/12</f>
        <v>0</v>
      </c>
      <c r="LU28" s="276">
        <f>IFERROR(1/Calculations_APPURT[[#This Row],[Brackets]],0) * cv_M/cv_F * Forces_APPURT[[#This Row],[Beta Fa 45]] * Calculations_APPURT[[#This Row],[Horizontal Offset]]/12</f>
        <v>0</v>
      </c>
      <c r="LV28" s="276">
        <f>IFERROR(1/Calculations_APPURT[[#This Row],[Brackets]],0) * cv_M/cv_F * Forces_APPURT[[#This Row],[Beta Fa 60]] * Calculations_APPURT[[#This Row],[Horizontal Offset]]/12</f>
        <v>0</v>
      </c>
      <c r="LW28" s="276">
        <f>IFERROR(1/Calculations_APPURT[[#This Row],[Brackets]],0) * cv_M/cv_F * Forces_APPURT[[#This Row],[Beta Fa 90]] * Calculations_APPURT[[#This Row],[Horizontal Offset]]/12</f>
        <v>0</v>
      </c>
      <c r="LX28" s="276">
        <f>IFERROR(1/Calculations_APPURT[[#This Row],[Brackets]],0) * cv_M/cv_F * Forces_APPURT[[#This Row],[Beta Fa 120]] * Calculations_APPURT[[#This Row],[Horizontal Offset]]/12</f>
        <v>0</v>
      </c>
      <c r="LY28" s="276">
        <f>IFERROR(1/Calculations_APPURT[[#This Row],[Brackets]],0) * cv_M/cv_F * Forces_APPURT[[#This Row],[Beta Fa 135]] * Calculations_APPURT[[#This Row],[Horizontal Offset]]/12</f>
        <v>0</v>
      </c>
      <c r="LZ28" s="276">
        <f>IFERROR(1/Calculations_APPURT[[#This Row],[Brackets]],0) * cv_M/cv_F * Forces_APPURT[[#This Row],[Beta Fa 150]] * Calculations_APPURT[[#This Row],[Horizontal Offset]]/12</f>
        <v>0</v>
      </c>
      <c r="MA28" s="276">
        <f>IFERROR(1/Calculations_APPURT[[#This Row],[Brackets]],0) * cv_M/cv_F * Forces_APPURT[[#This Row],[Beta Fa 180]] * Calculations_APPURT[[#This Row],[Horizontal Offset]]/12</f>
        <v>0</v>
      </c>
      <c r="MB28" s="276">
        <f>IFERROR(1/Calculations_APPURT[[#This Row],[Brackets]],0) * cv_M/cv_F * Forces_APPURT[[#This Row],[Beta Fa 210]] * Calculations_APPURT[[#This Row],[Horizontal Offset]]/12</f>
        <v>0</v>
      </c>
      <c r="MC28" s="276">
        <f>IFERROR(1/Calculations_APPURT[[#This Row],[Brackets]],0) * cv_M/cv_F * Forces_APPURT[[#This Row],[Beta Fa 225]] * Calculations_APPURT[[#This Row],[Horizontal Offset]]/12</f>
        <v>0</v>
      </c>
      <c r="MD28" s="276">
        <f>IFERROR(1/Calculations_APPURT[[#This Row],[Brackets]],0) * cv_M/cv_F * Forces_APPURT[[#This Row],[Beta Fa 240]] * Calculations_APPURT[[#This Row],[Horizontal Offset]]/12</f>
        <v>0</v>
      </c>
      <c r="ME28" s="276">
        <f>IFERROR(1/Calculations_APPURT[[#This Row],[Brackets]],0) * cv_M/cv_F * Forces_APPURT[[#This Row],[Beta Fa 270]] * Calculations_APPURT[[#This Row],[Horizontal Offset]]/12</f>
        <v>0</v>
      </c>
      <c r="MF28" s="276">
        <f>IFERROR(1/Calculations_APPURT[[#This Row],[Brackets]],0) * cv_M/cv_F * Forces_APPURT[[#This Row],[Beta Fa 300]] * Calculations_APPURT[[#This Row],[Horizontal Offset]]/12</f>
        <v>0</v>
      </c>
      <c r="MG28" s="276">
        <f>IFERROR(1/Calculations_APPURT[[#This Row],[Brackets]],0) * cv_M/cv_F * Forces_APPURT[[#This Row],[Beta Fa 315]] * Calculations_APPURT[[#This Row],[Horizontal Offset]]/12</f>
        <v>0</v>
      </c>
      <c r="MH28" s="276">
        <f>IFERROR(1/Calculations_APPURT[[#This Row],[Brackets]],0) * cv_M/cv_F * Forces_APPURT[[#This Row],[Beta Fa 330]] * Calculations_APPURT[[#This Row],[Horizontal Offset]]/12</f>
        <v>0</v>
      </c>
      <c r="MI28" s="338">
        <f>IFERROR(1/Calculations_APPURT[[#This Row],[Brackets]],0) * cv_M/cv_F * Forces_APPURT[[#This Row],[Gamma Fa 0]] * Calculations_APPURT[[#This Row],[Horizontal Offset]]/12</f>
        <v>0</v>
      </c>
      <c r="MJ28" s="338">
        <f>IFERROR(1/Calculations_APPURT[[#This Row],[Brackets]],0) * cv_M/cv_F * Forces_APPURT[[#This Row],[Gamma Fa 30]] * Calculations_APPURT[[#This Row],[Horizontal Offset]]/12</f>
        <v>0</v>
      </c>
      <c r="MK28" s="338">
        <f>IFERROR(1/Calculations_APPURT[[#This Row],[Brackets]],0) * cv_M/cv_F * Forces_APPURT[[#This Row],[Gamma Fa 45]] * Calculations_APPURT[[#This Row],[Horizontal Offset]]/12</f>
        <v>0</v>
      </c>
      <c r="ML28" s="338">
        <f>IFERROR(1/Calculations_APPURT[[#This Row],[Brackets]],0) * cv_M/cv_F * Forces_APPURT[[#This Row],[Gamma Fa 60]] * Calculations_APPURT[[#This Row],[Horizontal Offset]]/12</f>
        <v>0</v>
      </c>
      <c r="MM28" s="338">
        <f>IFERROR(1/Calculations_APPURT[[#This Row],[Brackets]],0) * cv_M/cv_F * Forces_APPURT[[#This Row],[Gamma Fa 90]] * Calculations_APPURT[[#This Row],[Horizontal Offset]]/12</f>
        <v>0</v>
      </c>
      <c r="MN28" s="338">
        <f>IFERROR(1/Calculations_APPURT[[#This Row],[Brackets]],0) * cv_M/cv_F * Forces_APPURT[[#This Row],[Gamma Fa 120]] * Calculations_APPURT[[#This Row],[Horizontal Offset]]/12</f>
        <v>0</v>
      </c>
      <c r="MO28" s="338">
        <f>IFERROR(1/Calculations_APPURT[[#This Row],[Brackets]],0) * cv_M/cv_F * Forces_APPURT[[#This Row],[Gamma Fa 135]] * Calculations_APPURT[[#This Row],[Horizontal Offset]]/12</f>
        <v>0</v>
      </c>
      <c r="MP28" s="338">
        <f>IFERROR(1/Calculations_APPURT[[#This Row],[Brackets]],0) * cv_M/cv_F * Forces_APPURT[[#This Row],[Gamma Fa 150]] * Calculations_APPURT[[#This Row],[Horizontal Offset]]/12</f>
        <v>0</v>
      </c>
      <c r="MQ28" s="338">
        <f>IFERROR(1/Calculations_APPURT[[#This Row],[Brackets]],0) * cv_M/cv_F * Forces_APPURT[[#This Row],[Gamma Fa 180]] * Calculations_APPURT[[#This Row],[Horizontal Offset]]/12</f>
        <v>0</v>
      </c>
      <c r="MR28" s="338">
        <f>IFERROR(1/Calculations_APPURT[[#This Row],[Brackets]],0) * cv_M/cv_F * Forces_APPURT[[#This Row],[Gamma Fa 210]] * Calculations_APPURT[[#This Row],[Horizontal Offset]]/12</f>
        <v>0</v>
      </c>
      <c r="MS28" s="338">
        <f>IFERROR(1/Calculations_APPURT[[#This Row],[Brackets]],0) * cv_M/cv_F * Forces_APPURT[[#This Row],[Gamma Fa 225]] * Calculations_APPURT[[#This Row],[Horizontal Offset]]/12</f>
        <v>0</v>
      </c>
      <c r="MT28" s="338">
        <f>IFERROR(1/Calculations_APPURT[[#This Row],[Brackets]],0) * cv_M/cv_F * Forces_APPURT[[#This Row],[Gamma Fa 240]] * Calculations_APPURT[[#This Row],[Horizontal Offset]]/12</f>
        <v>0</v>
      </c>
      <c r="MU28" s="338">
        <f>IFERROR(1/Calculations_APPURT[[#This Row],[Brackets]],0) * cv_M/cv_F * Forces_APPURT[[#This Row],[Gamma Fa 270]] * Calculations_APPURT[[#This Row],[Horizontal Offset]]/12</f>
        <v>0</v>
      </c>
      <c r="MV28" s="338">
        <f>IFERROR(1/Calculations_APPURT[[#This Row],[Brackets]],0) * cv_M/cv_F * Forces_APPURT[[#This Row],[Gamma Fa 300]] * Calculations_APPURT[[#This Row],[Horizontal Offset]]/12</f>
        <v>0</v>
      </c>
      <c r="MW28" s="338">
        <f>IFERROR(1/Calculations_APPURT[[#This Row],[Brackets]],0) * cv_M/cv_F * Forces_APPURT[[#This Row],[Gamma Fa 315]] * Calculations_APPURT[[#This Row],[Horizontal Offset]]/12</f>
        <v>0</v>
      </c>
      <c r="MX28" s="338">
        <f>IFERROR(1/Calculations_APPURT[[#This Row],[Brackets]],0) * cv_M/cv_F * Forces_APPURT[[#This Row],[Gamma Fa 330]] * Calculations_APPURT[[#This Row],[Horizontal Offset]]/12</f>
        <v>0</v>
      </c>
      <c r="MY28" s="276">
        <f>IFERROR(1/Calculations_APPURT[[#This Row],[Brackets]],0) * cv_M/cv_F * Forces_APPURT[[#This Row],[Delta Fa 0]] * Calculations_APPURT[[#This Row],[Horizontal Offset]]/12</f>
        <v>0</v>
      </c>
      <c r="MZ28" s="276">
        <f>IFERROR(1/Calculations_APPURT[[#This Row],[Brackets]],0) * cv_M/cv_F * Forces_APPURT[[#This Row],[Delta Fa 30]] * Calculations_APPURT[[#This Row],[Horizontal Offset]]/12</f>
        <v>0</v>
      </c>
      <c r="NA28" s="276">
        <f>IFERROR(1/Calculations_APPURT[[#This Row],[Brackets]],0) * cv_M/cv_F * Forces_APPURT[[#This Row],[Delta Fa 45]] * Calculations_APPURT[[#This Row],[Horizontal Offset]]/12</f>
        <v>0</v>
      </c>
      <c r="NB28" s="276">
        <f>IFERROR(1/Calculations_APPURT[[#This Row],[Brackets]],0) * cv_M/cv_F * Forces_APPURT[[#This Row],[Delta Fa 60]] * Calculations_APPURT[[#This Row],[Horizontal Offset]]/12</f>
        <v>0</v>
      </c>
      <c r="NC28" s="276">
        <f>IFERROR(1/Calculations_APPURT[[#This Row],[Brackets]],0) * cv_M/cv_F * Forces_APPURT[[#This Row],[Delta Fa 90]] * Calculations_APPURT[[#This Row],[Horizontal Offset]]/12</f>
        <v>0</v>
      </c>
      <c r="ND28" s="276">
        <f>IFERROR(1/Calculations_APPURT[[#This Row],[Brackets]],0) * cv_M/cv_F * Forces_APPURT[[#This Row],[Delta Fa 120]] * Calculations_APPURT[[#This Row],[Horizontal Offset]]/12</f>
        <v>0</v>
      </c>
      <c r="NE28" s="276">
        <f>IFERROR(1/Calculations_APPURT[[#This Row],[Brackets]],0) * cv_M/cv_F * Forces_APPURT[[#This Row],[Delta Fa 135]] * Calculations_APPURT[[#This Row],[Horizontal Offset]]/12</f>
        <v>0</v>
      </c>
      <c r="NF28" s="276">
        <f>IFERROR(1/Calculations_APPURT[[#This Row],[Brackets]],0) * cv_M/cv_F * Forces_APPURT[[#This Row],[Delta Fa 150]] * Calculations_APPURT[[#This Row],[Horizontal Offset]]/12</f>
        <v>0</v>
      </c>
      <c r="NG28" s="276">
        <f>IFERROR(1/Calculations_APPURT[[#This Row],[Brackets]],0) * cv_M/cv_F * Forces_APPURT[[#This Row],[Delta Fa 180]] * Calculations_APPURT[[#This Row],[Horizontal Offset]]/12</f>
        <v>0</v>
      </c>
      <c r="NH28" s="276">
        <f>IFERROR(1/Calculations_APPURT[[#This Row],[Brackets]],0) * cv_M/cv_F * Forces_APPURT[[#This Row],[Delta Fa 210]] * Calculations_APPURT[[#This Row],[Horizontal Offset]]/12</f>
        <v>0</v>
      </c>
      <c r="NI28" s="276">
        <f>IFERROR(1/Calculations_APPURT[[#This Row],[Brackets]],0) * cv_M/cv_F * Forces_APPURT[[#This Row],[Delta Fa 225]] * Calculations_APPURT[[#This Row],[Horizontal Offset]]/12</f>
        <v>0</v>
      </c>
      <c r="NJ28" s="276">
        <f>IFERROR(1/Calculations_APPURT[[#This Row],[Brackets]],0) * cv_M/cv_F * Forces_APPURT[[#This Row],[Delta Fa 240]] * Calculations_APPURT[[#This Row],[Horizontal Offset]]/12</f>
        <v>0</v>
      </c>
      <c r="NK28" s="276">
        <f>IFERROR(1/Calculations_APPURT[[#This Row],[Brackets]],0) * cv_M/cv_F * Forces_APPURT[[#This Row],[Delta Fa 270]] * Calculations_APPURT[[#This Row],[Horizontal Offset]]/12</f>
        <v>0</v>
      </c>
      <c r="NL28" s="276">
        <f>IFERROR(1/Calculations_APPURT[[#This Row],[Brackets]],0) * cv_M/cv_F * Forces_APPURT[[#This Row],[Delta Fa 300]] * Calculations_APPURT[[#This Row],[Horizontal Offset]]/12</f>
        <v>0</v>
      </c>
      <c r="NM28" s="276">
        <f>IFERROR(1/Calculations_APPURT[[#This Row],[Brackets]],0) * cv_M/cv_F * Forces_APPURT[[#This Row],[Delta Fa 315]] * Calculations_APPURT[[#This Row],[Horizontal Offset]]/12</f>
        <v>0</v>
      </c>
      <c r="NN28" s="276">
        <f>IFERROR(1/Calculations_APPURT[[#This Row],[Brackets]],0) * cv_M/cv_F * Forces_APPURT[[#This Row],[Delta Fa 330]] * Calculations_APPURT[[#This Row],[Horizontal Offset]]/12</f>
        <v>0</v>
      </c>
      <c r="NO28" s="338">
        <f>IFERROR(1/Calculations_APPURT[[#This Row],[Brackets]],0) * cv_M/cv_F * Forces_APPURT[[#This Row],[Alpha Fai 0]] * Calculations_APPURT[[#This Row],[Horizontal Offset]]/12</f>
        <v>0</v>
      </c>
      <c r="NP28" s="338">
        <f>IFERROR(1/Calculations_APPURT[[#This Row],[Brackets]],0) * cv_M/cv_F * Forces_APPURT[[#This Row],[Alpha Fai 30]] * Calculations_APPURT[[#This Row],[Horizontal Offset]]/12</f>
        <v>0</v>
      </c>
      <c r="NQ28" s="338">
        <f>IFERROR(1/Calculations_APPURT[[#This Row],[Brackets]],0) * cv_M/cv_F * Forces_APPURT[[#This Row],[Alpha Fai 45]] * Calculations_APPURT[[#This Row],[Horizontal Offset]]/12</f>
        <v>0</v>
      </c>
      <c r="NR28" s="338">
        <f>IFERROR(1/Calculations_APPURT[[#This Row],[Brackets]],0) * cv_M/cv_F * Forces_APPURT[[#This Row],[Alpha Fai 60]] * Calculations_APPURT[[#This Row],[Horizontal Offset]]/12</f>
        <v>0</v>
      </c>
      <c r="NS28" s="338">
        <f>IFERROR(1/Calculations_APPURT[[#This Row],[Brackets]],0) * cv_M/cv_F * Forces_APPURT[[#This Row],[Alpha Fai 90]] * Calculations_APPURT[[#This Row],[Horizontal Offset]]/12</f>
        <v>0</v>
      </c>
      <c r="NT28" s="338">
        <f>IFERROR(1/Calculations_APPURT[[#This Row],[Brackets]],0) * cv_M/cv_F * Forces_APPURT[[#This Row],[Alpha Fai 120]] * Calculations_APPURT[[#This Row],[Horizontal Offset]]/12</f>
        <v>0</v>
      </c>
      <c r="NU28" s="338">
        <f>IFERROR(1/Calculations_APPURT[[#This Row],[Brackets]],0) * cv_M/cv_F * Forces_APPURT[[#This Row],[Alpha Fai 135]] * Calculations_APPURT[[#This Row],[Horizontal Offset]]/12</f>
        <v>0</v>
      </c>
      <c r="NV28" s="338">
        <f>IFERROR(1/Calculations_APPURT[[#This Row],[Brackets]],0) * cv_M/cv_F * Forces_APPURT[[#This Row],[Alpha Fai 150]] * Calculations_APPURT[[#This Row],[Horizontal Offset]]/12</f>
        <v>0</v>
      </c>
      <c r="NW28" s="338">
        <f>IFERROR(1/Calculations_APPURT[[#This Row],[Brackets]],0) * cv_M/cv_F * Forces_APPURT[[#This Row],[Alpha Fai 180]] * Calculations_APPURT[[#This Row],[Horizontal Offset]]/12</f>
        <v>0</v>
      </c>
      <c r="NX28" s="338">
        <f>IFERROR(1/Calculations_APPURT[[#This Row],[Brackets]],0) * cv_M/cv_F * Forces_APPURT[[#This Row],[Alpha Fai 210]] * Calculations_APPURT[[#This Row],[Horizontal Offset]]/12</f>
        <v>0</v>
      </c>
      <c r="NY28" s="338">
        <f>IFERROR(1/Calculations_APPURT[[#This Row],[Brackets]],0) * cv_M/cv_F * Forces_APPURT[[#This Row],[Alpha Fai 225]] * Calculations_APPURT[[#This Row],[Horizontal Offset]]/12</f>
        <v>0</v>
      </c>
      <c r="NZ28" s="338">
        <f>IFERROR(1/Calculations_APPURT[[#This Row],[Brackets]],0) * cv_M/cv_F * Forces_APPURT[[#This Row],[Alpha Fai 240]] * Calculations_APPURT[[#This Row],[Horizontal Offset]]/12</f>
        <v>0</v>
      </c>
      <c r="OA28" s="338">
        <f>IFERROR(1/Calculations_APPURT[[#This Row],[Brackets]],0) * cv_M/cv_F * Forces_APPURT[[#This Row],[Alpha Fai 270]] * Calculations_APPURT[[#This Row],[Horizontal Offset]]/12</f>
        <v>0</v>
      </c>
      <c r="OB28" s="338">
        <f>IFERROR(1/Calculations_APPURT[[#This Row],[Brackets]],0) * cv_M/cv_F * Forces_APPURT[[#This Row],[Alpha Fai 300]] * Calculations_APPURT[[#This Row],[Horizontal Offset]]/12</f>
        <v>0</v>
      </c>
      <c r="OC28" s="338">
        <f>IFERROR(1/Calculations_APPURT[[#This Row],[Brackets]],0) * cv_M/cv_F * Forces_APPURT[[#This Row],[Alpha Fai 315]] * Calculations_APPURT[[#This Row],[Horizontal Offset]]/12</f>
        <v>0</v>
      </c>
      <c r="OD28" s="338">
        <f>IFERROR(1/Calculations_APPURT[[#This Row],[Brackets]],0) * cv_M/cv_F * Forces_APPURT[[#This Row],[Alpha Fai 330]] * Calculations_APPURT[[#This Row],[Horizontal Offset]]/12</f>
        <v>0</v>
      </c>
      <c r="OE28" s="276">
        <f>IFERROR(1/Calculations_APPURT[[#This Row],[Brackets]],0) * cv_M/cv_F * Forces_APPURT[[#This Row],[Beta Fai 0]] * Calculations_APPURT[[#This Row],[Horizontal Offset]]/12</f>
        <v>0</v>
      </c>
      <c r="OF28" s="276">
        <f>IFERROR(1/Calculations_APPURT[[#This Row],[Brackets]],0) * cv_M/cv_F * Forces_APPURT[[#This Row],[Beta Fai 30]] * Calculations_APPURT[[#This Row],[Horizontal Offset]]/12</f>
        <v>0</v>
      </c>
      <c r="OG28" s="276">
        <f>IFERROR(1/Calculations_APPURT[[#This Row],[Brackets]],0) * cv_M/cv_F * Forces_APPURT[[#This Row],[Beta Fai 45]] * Calculations_APPURT[[#This Row],[Horizontal Offset]]/12</f>
        <v>0</v>
      </c>
      <c r="OH28" s="276">
        <f>IFERROR(1/Calculations_APPURT[[#This Row],[Brackets]],0) * cv_M/cv_F * Forces_APPURT[[#This Row],[Beta Fai 60]] * Calculations_APPURT[[#This Row],[Horizontal Offset]]/12</f>
        <v>0</v>
      </c>
      <c r="OI28" s="276">
        <f>IFERROR(1/Calculations_APPURT[[#This Row],[Brackets]],0) * cv_M/cv_F * Forces_APPURT[[#This Row],[Beta Fai 90]] * Calculations_APPURT[[#This Row],[Horizontal Offset]]/12</f>
        <v>0</v>
      </c>
      <c r="OJ28" s="276">
        <f>IFERROR(1/Calculations_APPURT[[#This Row],[Brackets]],0) * cv_M/cv_F * Forces_APPURT[[#This Row],[Beta Fai 120]] * Calculations_APPURT[[#This Row],[Horizontal Offset]]/12</f>
        <v>0</v>
      </c>
      <c r="OK28" s="276">
        <f>IFERROR(1/Calculations_APPURT[[#This Row],[Brackets]],0) * cv_M/cv_F * Forces_APPURT[[#This Row],[Beta Fai 135]] * Calculations_APPURT[[#This Row],[Horizontal Offset]]/12</f>
        <v>0</v>
      </c>
      <c r="OL28" s="276">
        <f>IFERROR(1/Calculations_APPURT[[#This Row],[Brackets]],0) * cv_M/cv_F * Forces_APPURT[[#This Row],[Beta Fai 150]] * Calculations_APPURT[[#This Row],[Horizontal Offset]]/12</f>
        <v>0</v>
      </c>
      <c r="OM28" s="276">
        <f>IFERROR(1/Calculations_APPURT[[#This Row],[Brackets]],0) * cv_M/cv_F * Forces_APPURT[[#This Row],[Beta Fai 180]] * Calculations_APPURT[[#This Row],[Horizontal Offset]]/12</f>
        <v>0</v>
      </c>
      <c r="ON28" s="276">
        <f>IFERROR(1/Calculations_APPURT[[#This Row],[Brackets]],0) * cv_M/cv_F * Forces_APPURT[[#This Row],[Beta Fai 210]] * Calculations_APPURT[[#This Row],[Horizontal Offset]]/12</f>
        <v>0</v>
      </c>
      <c r="OO28" s="276">
        <f>IFERROR(1/Calculations_APPURT[[#This Row],[Brackets]],0) * cv_M/cv_F * Forces_APPURT[[#This Row],[Beta Fai 225]] * Calculations_APPURT[[#This Row],[Horizontal Offset]]/12</f>
        <v>0</v>
      </c>
      <c r="OP28" s="276">
        <f>IFERROR(1/Calculations_APPURT[[#This Row],[Brackets]],0) * cv_M/cv_F * Forces_APPURT[[#This Row],[Beta Fai 240]] * Calculations_APPURT[[#This Row],[Horizontal Offset]]/12</f>
        <v>0</v>
      </c>
      <c r="OQ28" s="276">
        <f>IFERROR(1/Calculations_APPURT[[#This Row],[Brackets]],0) * cv_M/cv_F * Forces_APPURT[[#This Row],[Beta Fai 270]] * Calculations_APPURT[[#This Row],[Horizontal Offset]]/12</f>
        <v>0</v>
      </c>
      <c r="OR28" s="276">
        <f>IFERROR(1/Calculations_APPURT[[#This Row],[Brackets]],0) * cv_M/cv_F * Forces_APPURT[[#This Row],[Beta Fai 300]] * Calculations_APPURT[[#This Row],[Horizontal Offset]]/12</f>
        <v>0</v>
      </c>
      <c r="OS28" s="276">
        <f>IFERROR(1/Calculations_APPURT[[#This Row],[Brackets]],0) * cv_M/cv_F * Forces_APPURT[[#This Row],[Beta Fai 315]] * Calculations_APPURT[[#This Row],[Horizontal Offset]]/12</f>
        <v>0</v>
      </c>
      <c r="OT28" s="276">
        <f>IFERROR(1/Calculations_APPURT[[#This Row],[Brackets]],0) * cv_M/cv_F * Forces_APPURT[[#This Row],[Beta Fai 330]] * Calculations_APPURT[[#This Row],[Horizontal Offset]]/12</f>
        <v>0</v>
      </c>
      <c r="OU28" s="338">
        <f>IFERROR(1/Calculations_APPURT[[#This Row],[Brackets]],0) * cv_M/cv_F * Forces_APPURT[[#This Row],[Gamma Fai 0]] * Calculations_APPURT[[#This Row],[Horizontal Offset]]/12</f>
        <v>0</v>
      </c>
      <c r="OV28" s="338">
        <f>IFERROR(1/Calculations_APPURT[[#This Row],[Brackets]],0) * cv_M/cv_F * Forces_APPURT[[#This Row],[Gamma Fai 30]] * Calculations_APPURT[[#This Row],[Horizontal Offset]]/12</f>
        <v>0</v>
      </c>
      <c r="OW28" s="338">
        <f>IFERROR(1/Calculations_APPURT[[#This Row],[Brackets]],0) * cv_M/cv_F * Forces_APPURT[[#This Row],[Gamma Fai 45]] * Calculations_APPURT[[#This Row],[Horizontal Offset]]/12</f>
        <v>0</v>
      </c>
      <c r="OX28" s="338">
        <f>IFERROR(1/Calculations_APPURT[[#This Row],[Brackets]],0) * cv_M/cv_F * Forces_APPURT[[#This Row],[Gamma Fai 60]] * Calculations_APPURT[[#This Row],[Horizontal Offset]]/12</f>
        <v>0</v>
      </c>
      <c r="OY28" s="338">
        <f>IFERROR(1/Calculations_APPURT[[#This Row],[Brackets]],0) * cv_M/cv_F * Forces_APPURT[[#This Row],[Gamma Fai 90]] * Calculations_APPURT[[#This Row],[Horizontal Offset]]/12</f>
        <v>0</v>
      </c>
      <c r="OZ28" s="338">
        <f>IFERROR(1/Calculations_APPURT[[#This Row],[Brackets]],0) * cv_M/cv_F * Forces_APPURT[[#This Row],[Gamma Fai 120]] * Calculations_APPURT[[#This Row],[Horizontal Offset]]/12</f>
        <v>0</v>
      </c>
      <c r="PA28" s="338">
        <f>IFERROR(1/Calculations_APPURT[[#This Row],[Brackets]],0) * cv_M/cv_F * Forces_APPURT[[#This Row],[Gamma Fai 135]] * Calculations_APPURT[[#This Row],[Horizontal Offset]]/12</f>
        <v>0</v>
      </c>
      <c r="PB28" s="338">
        <f>IFERROR(1/Calculations_APPURT[[#This Row],[Brackets]],0) * cv_M/cv_F * Forces_APPURT[[#This Row],[Gamma Fai 150]] * Calculations_APPURT[[#This Row],[Horizontal Offset]]/12</f>
        <v>0</v>
      </c>
      <c r="PC28" s="338">
        <f>IFERROR(1/Calculations_APPURT[[#This Row],[Brackets]],0) * cv_M/cv_F * Forces_APPURT[[#This Row],[Gamma Fai 180]] * Calculations_APPURT[[#This Row],[Horizontal Offset]]/12</f>
        <v>0</v>
      </c>
      <c r="PD28" s="338">
        <f>IFERROR(1/Calculations_APPURT[[#This Row],[Brackets]],0) * cv_M/cv_F * Forces_APPURT[[#This Row],[Gamma Fai 210]] * Calculations_APPURT[[#This Row],[Horizontal Offset]]/12</f>
        <v>0</v>
      </c>
      <c r="PE28" s="338">
        <f>IFERROR(1/Calculations_APPURT[[#This Row],[Brackets]],0) * cv_M/cv_F * Forces_APPURT[[#This Row],[Gamma Fai 225]] * Calculations_APPURT[[#This Row],[Horizontal Offset]]/12</f>
        <v>0</v>
      </c>
      <c r="PF28" s="338">
        <f>IFERROR(1/Calculations_APPURT[[#This Row],[Brackets]],0) * cv_M/cv_F * Forces_APPURT[[#This Row],[Gamma Fai 240]] * Calculations_APPURT[[#This Row],[Horizontal Offset]]/12</f>
        <v>0</v>
      </c>
      <c r="PG28" s="338">
        <f>IFERROR(1/Calculations_APPURT[[#This Row],[Brackets]],0) * cv_M/cv_F * Forces_APPURT[[#This Row],[Gamma Fai 270]] * Calculations_APPURT[[#This Row],[Horizontal Offset]]/12</f>
        <v>0</v>
      </c>
      <c r="PH28" s="338">
        <f>IFERROR(1/Calculations_APPURT[[#This Row],[Brackets]],0) * cv_M/cv_F * Forces_APPURT[[#This Row],[Gamma Fai 300]] * Calculations_APPURT[[#This Row],[Horizontal Offset]]/12</f>
        <v>0</v>
      </c>
      <c r="PI28" s="338">
        <f>IFERROR(1/Calculations_APPURT[[#This Row],[Brackets]],0) * cv_M/cv_F * Forces_APPURT[[#This Row],[Gamma Fai 315]] * Calculations_APPURT[[#This Row],[Horizontal Offset]]/12</f>
        <v>0</v>
      </c>
      <c r="PJ28" s="338">
        <f>IFERROR(1/Calculations_APPURT[[#This Row],[Brackets]],0) * cv_M/cv_F * Forces_APPURT[[#This Row],[Gamma Fai 330]] * Calculations_APPURT[[#This Row],[Horizontal Offset]]/12</f>
        <v>0</v>
      </c>
      <c r="PK28" s="276">
        <f>IFERROR(1/Calculations_APPURT[[#This Row],[Brackets]],0) * cv_M/cv_F * Forces_APPURT[[#This Row],[Delta Fai 0]] * Calculations_APPURT[[#This Row],[Horizontal Offset]]/12</f>
        <v>0</v>
      </c>
      <c r="PL28" s="276">
        <f>IFERROR(1/Calculations_APPURT[[#This Row],[Brackets]],0) * cv_M/cv_F * Forces_APPURT[[#This Row],[Delta Fai 30]] * Calculations_APPURT[[#This Row],[Horizontal Offset]]/12</f>
        <v>0</v>
      </c>
      <c r="PM28" s="276">
        <f>IFERROR(1/Calculations_APPURT[[#This Row],[Brackets]],0) * cv_M/cv_F * Forces_APPURT[[#This Row],[Delta Fai 45]] * Calculations_APPURT[[#This Row],[Horizontal Offset]]/12</f>
        <v>0</v>
      </c>
      <c r="PN28" s="276">
        <f>IFERROR(1/Calculations_APPURT[[#This Row],[Brackets]],0) * cv_M/cv_F * Forces_APPURT[[#This Row],[Delta Fai 60]] * Calculations_APPURT[[#This Row],[Horizontal Offset]]/12</f>
        <v>0</v>
      </c>
      <c r="PO28" s="276">
        <f>IFERROR(1/Calculations_APPURT[[#This Row],[Brackets]],0) * cv_M/cv_F * Forces_APPURT[[#This Row],[Delta Fai 90]] * Calculations_APPURT[[#This Row],[Horizontal Offset]]/12</f>
        <v>0</v>
      </c>
      <c r="PP28" s="276">
        <f>IFERROR(1/Calculations_APPURT[[#This Row],[Brackets]],0) * cv_M/cv_F * Forces_APPURT[[#This Row],[Delta Fai 120]] * Calculations_APPURT[[#This Row],[Horizontal Offset]]/12</f>
        <v>0</v>
      </c>
      <c r="PQ28" s="276">
        <f>IFERROR(1/Calculations_APPURT[[#This Row],[Brackets]],0) * cv_M/cv_F * Forces_APPURT[[#This Row],[Delta Fai 135]] * Calculations_APPURT[[#This Row],[Horizontal Offset]]/12</f>
        <v>0</v>
      </c>
      <c r="PR28" s="276">
        <f>IFERROR(1/Calculations_APPURT[[#This Row],[Brackets]],0) * cv_M/cv_F * Forces_APPURT[[#This Row],[Delta Fai 150]] * Calculations_APPURT[[#This Row],[Horizontal Offset]]/12</f>
        <v>0</v>
      </c>
      <c r="PS28" s="276">
        <f>IFERROR(1/Calculations_APPURT[[#This Row],[Brackets]],0) * cv_M/cv_F * Forces_APPURT[[#This Row],[Delta Fai 180]] * Calculations_APPURT[[#This Row],[Horizontal Offset]]/12</f>
        <v>0</v>
      </c>
      <c r="PT28" s="276">
        <f>IFERROR(1/Calculations_APPURT[[#This Row],[Brackets]],0) * cv_M/cv_F * Forces_APPURT[[#This Row],[Delta Fai 210]] * Calculations_APPURT[[#This Row],[Horizontal Offset]]/12</f>
        <v>0</v>
      </c>
      <c r="PU28" s="276">
        <f>IFERROR(1/Calculations_APPURT[[#This Row],[Brackets]],0) * cv_M/cv_F * Forces_APPURT[[#This Row],[Delta Fai 225]] * Calculations_APPURT[[#This Row],[Horizontal Offset]]/12</f>
        <v>0</v>
      </c>
      <c r="PV28" s="276">
        <f>IFERROR(1/Calculations_APPURT[[#This Row],[Brackets]],0) * cv_M/cv_F * Forces_APPURT[[#This Row],[Delta Fai 240]] * Calculations_APPURT[[#This Row],[Horizontal Offset]]/12</f>
        <v>0</v>
      </c>
      <c r="PW28" s="276">
        <f>IFERROR(1/Calculations_APPURT[[#This Row],[Brackets]],0) * cv_M/cv_F * Forces_APPURT[[#This Row],[Delta Fai 270]] * Calculations_APPURT[[#This Row],[Horizontal Offset]]/12</f>
        <v>0</v>
      </c>
      <c r="PX28" s="276">
        <f>IFERROR(1/Calculations_APPURT[[#This Row],[Brackets]],0) * cv_M/cv_F * Forces_APPURT[[#This Row],[Delta Fai 300]] * Calculations_APPURT[[#This Row],[Horizontal Offset]]/12</f>
        <v>0</v>
      </c>
      <c r="PY28" s="276">
        <f>IFERROR(1/Calculations_APPURT[[#This Row],[Brackets]],0) * cv_M/cv_F * Forces_APPURT[[#This Row],[Delta Fai 315]] * Calculations_APPURT[[#This Row],[Horizontal Offset]]/12</f>
        <v>0</v>
      </c>
      <c r="PZ28" s="276">
        <f>IFERROR(1/Calculations_APPURT[[#This Row],[Brackets]],0) * cv_M/cv_F * Forces_APPURT[[#This Row],[Delta Fai 330]] * Calculations_APPURT[[#This Row],[Horizontal Offset]]/12</f>
        <v>0</v>
      </c>
      <c r="QA28" s="338">
        <f>IFERROR(1/Calculations_APPURT[[#This Row],[Brackets]],0) * cv_M/cv_F * Forces_APPURT[[#This Row],[Alpha Fa 0]] * Calculations_APPURT[[#This Row],[Lateral Offset]]/12</f>
        <v>0</v>
      </c>
      <c r="QB28" s="338">
        <f>IFERROR(1/Calculations_APPURT[[#This Row],[Brackets]],0) * cv_M/cv_F * Forces_APPURT[[#This Row],[Alpha Fa 30]] * Calculations_APPURT[[#This Row],[Lateral Offset]]/12</f>
        <v>0</v>
      </c>
      <c r="QC28" s="338">
        <f>IFERROR(1/Calculations_APPURT[[#This Row],[Brackets]],0) * cv_M/cv_F * Forces_APPURT[[#This Row],[Alpha Fa 45]] * Calculations_APPURT[[#This Row],[Lateral Offset]]/12</f>
        <v>0</v>
      </c>
      <c r="QD28" s="338">
        <f>IFERROR(1/Calculations_APPURT[[#This Row],[Brackets]],0) * cv_M/cv_F * Forces_APPURT[[#This Row],[Alpha Fa 60]] * Calculations_APPURT[[#This Row],[Lateral Offset]]/12</f>
        <v>0</v>
      </c>
      <c r="QE28" s="338">
        <f>IFERROR(1/Calculations_APPURT[[#This Row],[Brackets]],0) * cv_M/cv_F * Forces_APPURT[[#This Row],[Alpha Fa 90]] * Calculations_APPURT[[#This Row],[Lateral Offset]]/12</f>
        <v>0</v>
      </c>
      <c r="QF28" s="338">
        <f>IFERROR(1/Calculations_APPURT[[#This Row],[Brackets]],0) * cv_M/cv_F * Forces_APPURT[[#This Row],[Alpha Fa 120]] * Calculations_APPURT[[#This Row],[Lateral Offset]]/12</f>
        <v>0</v>
      </c>
      <c r="QG28" s="338">
        <f>IFERROR(1/Calculations_APPURT[[#This Row],[Brackets]],0) * cv_M/cv_F * Forces_APPURT[[#This Row],[Alpha Fa 135]] * Calculations_APPURT[[#This Row],[Lateral Offset]]/12</f>
        <v>0</v>
      </c>
      <c r="QH28" s="338">
        <f>IFERROR(1/Calculations_APPURT[[#This Row],[Brackets]],0) * cv_M/cv_F * Forces_APPURT[[#This Row],[Alpha Fa 150]] * Calculations_APPURT[[#This Row],[Lateral Offset]]/12</f>
        <v>0</v>
      </c>
      <c r="QI28" s="338">
        <f>IFERROR(1/Calculations_APPURT[[#This Row],[Brackets]],0) * cv_M/cv_F * Forces_APPURT[[#This Row],[Alpha Fa 180]] * Calculations_APPURT[[#This Row],[Lateral Offset]]/12</f>
        <v>0</v>
      </c>
      <c r="QJ28" s="338">
        <f>IFERROR(1/Calculations_APPURT[[#This Row],[Brackets]],0) * cv_M/cv_F * Forces_APPURT[[#This Row],[Alpha Fa 210]] * Calculations_APPURT[[#This Row],[Lateral Offset]]/12</f>
        <v>0</v>
      </c>
      <c r="QK28" s="338">
        <f>IFERROR(1/Calculations_APPURT[[#This Row],[Brackets]],0) * cv_M/cv_F * Forces_APPURT[[#This Row],[Alpha Fa 225]] * Calculations_APPURT[[#This Row],[Lateral Offset]]/12</f>
        <v>0</v>
      </c>
      <c r="QL28" s="338">
        <f>IFERROR(1/Calculations_APPURT[[#This Row],[Brackets]],0) * cv_M/cv_F * Forces_APPURT[[#This Row],[Alpha Fa 240]] * Calculations_APPURT[[#This Row],[Lateral Offset]]/12</f>
        <v>0</v>
      </c>
      <c r="QM28" s="338">
        <f>IFERROR(1/Calculations_APPURT[[#This Row],[Brackets]],0) * cv_M/cv_F * Forces_APPURT[[#This Row],[Alpha Fa 270]] * Calculations_APPURT[[#This Row],[Lateral Offset]]/12</f>
        <v>0</v>
      </c>
      <c r="QN28" s="338">
        <f>IFERROR(1/Calculations_APPURT[[#This Row],[Brackets]],0) * cv_M/cv_F * Forces_APPURT[[#This Row],[Alpha Fa 300]] * Calculations_APPURT[[#This Row],[Lateral Offset]]/12</f>
        <v>0</v>
      </c>
      <c r="QO28" s="338">
        <f>IFERROR(1/Calculations_APPURT[[#This Row],[Brackets]],0) * cv_M/cv_F * Forces_APPURT[[#This Row],[Alpha Fa 315]] * Calculations_APPURT[[#This Row],[Lateral Offset]]/12</f>
        <v>0</v>
      </c>
      <c r="QP28" s="338">
        <f>IFERROR(1/Calculations_APPURT[[#This Row],[Brackets]],0) * cv_M/cv_F * Forces_APPURT[[#This Row],[Alpha Fa 330]] * Calculations_APPURT[[#This Row],[Lateral Offset]]/12</f>
        <v>0</v>
      </c>
      <c r="QQ28" s="276">
        <f>IFERROR(1/Calculations_APPURT[[#This Row],[Brackets]],0) * cv_M/cv_F * Forces_APPURT[[#This Row],[Beta Fa 0]] * Calculations_APPURT[[#This Row],[Lateral Offset]]/12</f>
        <v>0</v>
      </c>
      <c r="QR28" s="276">
        <f>IFERROR(1/Calculations_APPURT[[#This Row],[Brackets]],0) * cv_M/cv_F * Forces_APPURT[[#This Row],[Beta Fa 30]] * Calculations_APPURT[[#This Row],[Lateral Offset]]/12</f>
        <v>0</v>
      </c>
      <c r="QS28" s="276">
        <f>IFERROR(1/Calculations_APPURT[[#This Row],[Brackets]],0) * cv_M/cv_F * Forces_APPURT[[#This Row],[Beta Fa 45]] * Calculations_APPURT[[#This Row],[Lateral Offset]]/12</f>
        <v>0</v>
      </c>
      <c r="QT28" s="276">
        <f>IFERROR(1/Calculations_APPURT[[#This Row],[Brackets]],0) * cv_M/cv_F * Forces_APPURT[[#This Row],[Beta Fa 60]] * Calculations_APPURT[[#This Row],[Lateral Offset]]/12</f>
        <v>0</v>
      </c>
      <c r="QU28" s="276">
        <f>IFERROR(1/Calculations_APPURT[[#This Row],[Brackets]],0) * cv_M/cv_F * Forces_APPURT[[#This Row],[Beta Fa 90]] * Calculations_APPURT[[#This Row],[Lateral Offset]]/12</f>
        <v>0</v>
      </c>
      <c r="QV28" s="276">
        <f>IFERROR(1/Calculations_APPURT[[#This Row],[Brackets]],0) * cv_M/cv_F * Forces_APPURT[[#This Row],[Beta Fa 120]] * Calculations_APPURT[[#This Row],[Lateral Offset]]/12</f>
        <v>0</v>
      </c>
      <c r="QW28" s="276">
        <f>IFERROR(1/Calculations_APPURT[[#This Row],[Brackets]],0) * cv_M/cv_F * Forces_APPURT[[#This Row],[Beta Fa 135]] * Calculations_APPURT[[#This Row],[Lateral Offset]]/12</f>
        <v>0</v>
      </c>
      <c r="QX28" s="276">
        <f>IFERROR(1/Calculations_APPURT[[#This Row],[Brackets]],0) * cv_M/cv_F * Forces_APPURT[[#This Row],[Beta Fa 150]] * Calculations_APPURT[[#This Row],[Lateral Offset]]/12</f>
        <v>0</v>
      </c>
      <c r="QY28" s="276">
        <f>IFERROR(1/Calculations_APPURT[[#This Row],[Brackets]],0) * cv_M/cv_F * Forces_APPURT[[#This Row],[Beta Fa 180]] * Calculations_APPURT[[#This Row],[Lateral Offset]]/12</f>
        <v>0</v>
      </c>
      <c r="QZ28" s="276">
        <f>IFERROR(1/Calculations_APPURT[[#This Row],[Brackets]],0) * cv_M/cv_F * Forces_APPURT[[#This Row],[Beta Fa 210]] * Calculations_APPURT[[#This Row],[Lateral Offset]]/12</f>
        <v>0</v>
      </c>
      <c r="RA28" s="276">
        <f>IFERROR(1/Calculations_APPURT[[#This Row],[Brackets]],0) * cv_M/cv_F * Forces_APPURT[[#This Row],[Beta Fa 225]] * Calculations_APPURT[[#This Row],[Lateral Offset]]/12</f>
        <v>0</v>
      </c>
      <c r="RB28" s="276">
        <f>IFERROR(1/Calculations_APPURT[[#This Row],[Brackets]],0) * cv_M/cv_F * Forces_APPURT[[#This Row],[Beta Fa 240]] * Calculations_APPURT[[#This Row],[Lateral Offset]]/12</f>
        <v>0</v>
      </c>
      <c r="RC28" s="276">
        <f>IFERROR(1/Calculations_APPURT[[#This Row],[Brackets]],0) * cv_M/cv_F * Forces_APPURT[[#This Row],[Beta Fa 270]] * Calculations_APPURT[[#This Row],[Lateral Offset]]/12</f>
        <v>0</v>
      </c>
      <c r="RD28" s="276">
        <f>IFERROR(1/Calculations_APPURT[[#This Row],[Brackets]],0) * cv_M/cv_F * Forces_APPURT[[#This Row],[Beta Fa 300]] * Calculations_APPURT[[#This Row],[Lateral Offset]]/12</f>
        <v>0</v>
      </c>
      <c r="RE28" s="276">
        <f>IFERROR(1/Calculations_APPURT[[#This Row],[Brackets]],0) * cv_M/cv_F * Forces_APPURT[[#This Row],[Beta Fa 315]] * Calculations_APPURT[[#This Row],[Lateral Offset]]/12</f>
        <v>0</v>
      </c>
      <c r="RF28" s="276">
        <f>IFERROR(1/Calculations_APPURT[[#This Row],[Brackets]],0) * cv_M/cv_F * Forces_APPURT[[#This Row],[Beta Fa 330]] * Calculations_APPURT[[#This Row],[Lateral Offset]]/12</f>
        <v>0</v>
      </c>
      <c r="RG28" s="338">
        <f>IFERROR(1/Calculations_APPURT[[#This Row],[Brackets]],0) * cv_M/cv_F * Forces_APPURT[[#This Row],[Gamma Fa 0]] * Calculations_APPURT[[#This Row],[Lateral Offset]]/12</f>
        <v>0</v>
      </c>
      <c r="RH28" s="338">
        <f>IFERROR(1/Calculations_APPURT[[#This Row],[Brackets]],0) * cv_M/cv_F * Forces_APPURT[[#This Row],[Gamma Fa 30]] * Calculations_APPURT[[#This Row],[Lateral Offset]]/12</f>
        <v>0</v>
      </c>
      <c r="RI28" s="338">
        <f>IFERROR(1/Calculations_APPURT[[#This Row],[Brackets]],0) * cv_M/cv_F * Forces_APPURT[[#This Row],[Gamma Fa 45]] * Calculations_APPURT[[#This Row],[Lateral Offset]]/12</f>
        <v>0</v>
      </c>
      <c r="RJ28" s="338">
        <f>IFERROR(1/Calculations_APPURT[[#This Row],[Brackets]],0) * cv_M/cv_F * Forces_APPURT[[#This Row],[Gamma Fa 60]] * Calculations_APPURT[[#This Row],[Lateral Offset]]/12</f>
        <v>0</v>
      </c>
      <c r="RK28" s="338">
        <f>IFERROR(1/Calculations_APPURT[[#This Row],[Brackets]],0) * cv_M/cv_F * Forces_APPURT[[#This Row],[Gamma Fa 90]] * Calculations_APPURT[[#This Row],[Lateral Offset]]/12</f>
        <v>0</v>
      </c>
      <c r="RL28" s="338">
        <f>IFERROR(1/Calculations_APPURT[[#This Row],[Brackets]],0) * cv_M/cv_F * Forces_APPURT[[#This Row],[Gamma Fa 120]] * Calculations_APPURT[[#This Row],[Lateral Offset]]/12</f>
        <v>0</v>
      </c>
      <c r="RM28" s="338">
        <f>IFERROR(1/Calculations_APPURT[[#This Row],[Brackets]],0) * cv_M/cv_F * Forces_APPURT[[#This Row],[Gamma Fa 135]] * Calculations_APPURT[[#This Row],[Lateral Offset]]/12</f>
        <v>0</v>
      </c>
      <c r="RN28" s="338">
        <f>IFERROR(1/Calculations_APPURT[[#This Row],[Brackets]],0) * cv_M/cv_F * Forces_APPURT[[#This Row],[Gamma Fa 150]] * Calculations_APPURT[[#This Row],[Lateral Offset]]/12</f>
        <v>0</v>
      </c>
      <c r="RO28" s="338">
        <f>IFERROR(1/Calculations_APPURT[[#This Row],[Brackets]],0) * cv_M/cv_F * Forces_APPURT[[#This Row],[Gamma Fa 180]] * Calculations_APPURT[[#This Row],[Lateral Offset]]/12</f>
        <v>0</v>
      </c>
      <c r="RP28" s="338">
        <f>IFERROR(1/Calculations_APPURT[[#This Row],[Brackets]],0) * cv_M/cv_F * Forces_APPURT[[#This Row],[Gamma Fa 210]] * Calculations_APPURT[[#This Row],[Lateral Offset]]/12</f>
        <v>0</v>
      </c>
      <c r="RQ28" s="338">
        <f>IFERROR(1/Calculations_APPURT[[#This Row],[Brackets]],0) * cv_M/cv_F * Forces_APPURT[[#This Row],[Gamma Fa 225]] * Calculations_APPURT[[#This Row],[Lateral Offset]]/12</f>
        <v>0</v>
      </c>
      <c r="RR28" s="338">
        <f>IFERROR(1/Calculations_APPURT[[#This Row],[Brackets]],0) * cv_M/cv_F * Forces_APPURT[[#This Row],[Gamma Fa 240]] * Calculations_APPURT[[#This Row],[Lateral Offset]]/12</f>
        <v>0</v>
      </c>
      <c r="RS28" s="338">
        <f>IFERROR(1/Calculations_APPURT[[#This Row],[Brackets]],0) * cv_M/cv_F * Forces_APPURT[[#This Row],[Gamma Fa 270]] * Calculations_APPURT[[#This Row],[Lateral Offset]]/12</f>
        <v>0</v>
      </c>
      <c r="RT28" s="338">
        <f>IFERROR(1/Calculations_APPURT[[#This Row],[Brackets]],0) * cv_M/cv_F * Forces_APPURT[[#This Row],[Gamma Fa 300]] * Calculations_APPURT[[#This Row],[Lateral Offset]]/12</f>
        <v>0</v>
      </c>
      <c r="RU28" s="338">
        <f>IFERROR(1/Calculations_APPURT[[#This Row],[Brackets]],0) * cv_M/cv_F * Forces_APPURT[[#This Row],[Gamma Fa 315]] * Calculations_APPURT[[#This Row],[Lateral Offset]]/12</f>
        <v>0</v>
      </c>
      <c r="RV28" s="338">
        <f>IFERROR(1/Calculations_APPURT[[#This Row],[Brackets]],0) * cv_M/cv_F * Forces_APPURT[[#This Row],[Gamma Fa 330]] * Calculations_APPURT[[#This Row],[Lateral Offset]]/12</f>
        <v>0</v>
      </c>
      <c r="RW28" s="276">
        <f>IFERROR(1/Calculations_APPURT[[#This Row],[Brackets]],0) * cv_M/cv_F * Forces_APPURT[[#This Row],[Delta Fa 0]] * Calculations_APPURT[[#This Row],[Lateral Offset]]/12</f>
        <v>0</v>
      </c>
      <c r="RX28" s="276">
        <f>IFERROR(1/Calculations_APPURT[[#This Row],[Brackets]],0) * cv_M/cv_F * Forces_APPURT[[#This Row],[Delta Fa 30]] * Calculations_APPURT[[#This Row],[Lateral Offset]]/12</f>
        <v>0</v>
      </c>
      <c r="RY28" s="276">
        <f>IFERROR(1/Calculations_APPURT[[#This Row],[Brackets]],0) * cv_M/cv_F * Forces_APPURT[[#This Row],[Delta Fa 45]] * Calculations_APPURT[[#This Row],[Lateral Offset]]/12</f>
        <v>0</v>
      </c>
      <c r="RZ28" s="276">
        <f>IFERROR(1/Calculations_APPURT[[#This Row],[Brackets]],0) * cv_M/cv_F * Forces_APPURT[[#This Row],[Delta Fa 60]] * Calculations_APPURT[[#This Row],[Lateral Offset]]/12</f>
        <v>0</v>
      </c>
      <c r="SA28" s="276">
        <f>IFERROR(1/Calculations_APPURT[[#This Row],[Brackets]],0) * cv_M/cv_F * Forces_APPURT[[#This Row],[Delta Fa 90]] * Calculations_APPURT[[#This Row],[Lateral Offset]]/12</f>
        <v>0</v>
      </c>
      <c r="SB28" s="276">
        <f>IFERROR(1/Calculations_APPURT[[#This Row],[Brackets]],0) * cv_M/cv_F * Forces_APPURT[[#This Row],[Delta Fa 120]] * Calculations_APPURT[[#This Row],[Lateral Offset]]/12</f>
        <v>0</v>
      </c>
      <c r="SC28" s="276">
        <f>IFERROR(1/Calculations_APPURT[[#This Row],[Brackets]],0) * cv_M/cv_F * Forces_APPURT[[#This Row],[Delta Fa 135]] * Calculations_APPURT[[#This Row],[Lateral Offset]]/12</f>
        <v>0</v>
      </c>
      <c r="SD28" s="276">
        <f>IFERROR(1/Calculations_APPURT[[#This Row],[Brackets]],0) * cv_M/cv_F * Forces_APPURT[[#This Row],[Delta Fa 150]] * Calculations_APPURT[[#This Row],[Lateral Offset]]/12</f>
        <v>0</v>
      </c>
      <c r="SE28" s="276">
        <f>IFERROR(1/Calculations_APPURT[[#This Row],[Brackets]],0) * cv_M/cv_F * Forces_APPURT[[#This Row],[Delta Fa 180]] * Calculations_APPURT[[#This Row],[Lateral Offset]]/12</f>
        <v>0</v>
      </c>
      <c r="SF28" s="276">
        <f>IFERROR(1/Calculations_APPURT[[#This Row],[Brackets]],0) * cv_M/cv_F * Forces_APPURT[[#This Row],[Delta Fa 210]] * Calculations_APPURT[[#This Row],[Lateral Offset]]/12</f>
        <v>0</v>
      </c>
      <c r="SG28" s="276">
        <f>IFERROR(1/Calculations_APPURT[[#This Row],[Brackets]],0) * cv_M/cv_F * Forces_APPURT[[#This Row],[Delta Fa 225]] * Calculations_APPURT[[#This Row],[Lateral Offset]]/12</f>
        <v>0</v>
      </c>
      <c r="SH28" s="276">
        <f>IFERROR(1/Calculations_APPURT[[#This Row],[Brackets]],0) * cv_M/cv_F * Forces_APPURT[[#This Row],[Delta Fa 240]] * Calculations_APPURT[[#This Row],[Lateral Offset]]/12</f>
        <v>0</v>
      </c>
      <c r="SI28" s="276">
        <f>IFERROR(1/Calculations_APPURT[[#This Row],[Brackets]],0) * cv_M/cv_F * Forces_APPURT[[#This Row],[Delta Fa 270]] * Calculations_APPURT[[#This Row],[Lateral Offset]]/12</f>
        <v>0</v>
      </c>
      <c r="SJ28" s="276">
        <f>IFERROR(1/Calculations_APPURT[[#This Row],[Brackets]],0) * cv_M/cv_F * Forces_APPURT[[#This Row],[Delta Fa 300]] * Calculations_APPURT[[#This Row],[Lateral Offset]]/12</f>
        <v>0</v>
      </c>
      <c r="SK28" s="276">
        <f>IFERROR(1/Calculations_APPURT[[#This Row],[Brackets]],0) * cv_M/cv_F * Forces_APPURT[[#This Row],[Delta Fa 315]] * Calculations_APPURT[[#This Row],[Lateral Offset]]/12</f>
        <v>0</v>
      </c>
      <c r="SL28" s="276">
        <f>IFERROR(1/Calculations_APPURT[[#This Row],[Brackets]],0) * cv_M/cv_F * Forces_APPURT[[#This Row],[Delta Fa 330]] * Calculations_APPURT[[#This Row],[Lateral Offset]]/12</f>
        <v>0</v>
      </c>
      <c r="SM28" s="338">
        <f>IFERROR(1/Calculations_APPURT[[#This Row],[Brackets]],0) * cv_M/cv_F * Forces_APPURT[[#This Row],[Alpha Fai 0]] * Calculations_APPURT[[#This Row],[Lateral Offset]]/12</f>
        <v>0</v>
      </c>
      <c r="SN28" s="338">
        <f>IFERROR(1/Calculations_APPURT[[#This Row],[Brackets]],0) * cv_M/cv_F * Forces_APPURT[[#This Row],[Alpha Fai 30]] * Calculations_APPURT[[#This Row],[Lateral Offset]]/12</f>
        <v>0</v>
      </c>
      <c r="SO28" s="338">
        <f>IFERROR(1/Calculations_APPURT[[#This Row],[Brackets]],0) * cv_M/cv_F * Forces_APPURT[[#This Row],[Alpha Fai 45]] * Calculations_APPURT[[#This Row],[Lateral Offset]]/12</f>
        <v>0</v>
      </c>
      <c r="SP28" s="338">
        <f>IFERROR(1/Calculations_APPURT[[#This Row],[Brackets]],0) * cv_M/cv_F * Forces_APPURT[[#This Row],[Alpha Fai 60]] * Calculations_APPURT[[#This Row],[Lateral Offset]]/12</f>
        <v>0</v>
      </c>
      <c r="SQ28" s="338">
        <f>IFERROR(1/Calculations_APPURT[[#This Row],[Brackets]],0) * cv_M/cv_F * Forces_APPURT[[#This Row],[Alpha Fai 90]] * Calculations_APPURT[[#This Row],[Lateral Offset]]/12</f>
        <v>0</v>
      </c>
      <c r="SR28" s="338">
        <f>IFERROR(1/Calculations_APPURT[[#This Row],[Brackets]],0) * cv_M/cv_F * Forces_APPURT[[#This Row],[Alpha Fai 120]] * Calculations_APPURT[[#This Row],[Lateral Offset]]/12</f>
        <v>0</v>
      </c>
      <c r="SS28" s="338">
        <f>IFERROR(1/Calculations_APPURT[[#This Row],[Brackets]],0) * cv_M/cv_F * Forces_APPURT[[#This Row],[Alpha Fai 135]] * Calculations_APPURT[[#This Row],[Lateral Offset]]/12</f>
        <v>0</v>
      </c>
      <c r="ST28" s="338">
        <f>IFERROR(1/Calculations_APPURT[[#This Row],[Brackets]],0) * cv_M/cv_F * Forces_APPURT[[#This Row],[Alpha Fai 150]] * Calculations_APPURT[[#This Row],[Lateral Offset]]/12</f>
        <v>0</v>
      </c>
      <c r="SU28" s="338">
        <f>IFERROR(1/Calculations_APPURT[[#This Row],[Brackets]],0) * cv_M/cv_F * Forces_APPURT[[#This Row],[Alpha Fai 180]] * Calculations_APPURT[[#This Row],[Lateral Offset]]/12</f>
        <v>0</v>
      </c>
      <c r="SV28" s="338">
        <f>IFERROR(1/Calculations_APPURT[[#This Row],[Brackets]],0) * cv_M/cv_F * Forces_APPURT[[#This Row],[Alpha Fai 210]] * Calculations_APPURT[[#This Row],[Lateral Offset]]/12</f>
        <v>0</v>
      </c>
      <c r="SW28" s="338">
        <f>IFERROR(1/Calculations_APPURT[[#This Row],[Brackets]],0) * cv_M/cv_F * Forces_APPURT[[#This Row],[Alpha Fai 225]] * Calculations_APPURT[[#This Row],[Lateral Offset]]/12</f>
        <v>0</v>
      </c>
      <c r="SX28" s="338">
        <f>IFERROR(1/Calculations_APPURT[[#This Row],[Brackets]],0) * cv_M/cv_F * Forces_APPURT[[#This Row],[Alpha Fai 240]] * Calculations_APPURT[[#This Row],[Lateral Offset]]/12</f>
        <v>0</v>
      </c>
      <c r="SY28" s="338">
        <f>IFERROR(1/Calculations_APPURT[[#This Row],[Brackets]],0) * cv_M/cv_F * Forces_APPURT[[#This Row],[Alpha Fai 270]] * Calculations_APPURT[[#This Row],[Lateral Offset]]/12</f>
        <v>0</v>
      </c>
      <c r="SZ28" s="338">
        <f>IFERROR(1/Calculations_APPURT[[#This Row],[Brackets]],0) * cv_M/cv_F * Forces_APPURT[[#This Row],[Alpha Fai 300]] * Calculations_APPURT[[#This Row],[Lateral Offset]]/12</f>
        <v>0</v>
      </c>
      <c r="TA28" s="338">
        <f>IFERROR(1/Calculations_APPURT[[#This Row],[Brackets]],0) * cv_M/cv_F * Forces_APPURT[[#This Row],[Alpha Fai 315]] * Calculations_APPURT[[#This Row],[Lateral Offset]]/12</f>
        <v>0</v>
      </c>
      <c r="TB28" s="338">
        <f>IFERROR(1/Calculations_APPURT[[#This Row],[Brackets]],0) * cv_M/cv_F * Forces_APPURT[[#This Row],[Alpha Fai 330]] * Calculations_APPURT[[#This Row],[Lateral Offset]]/12</f>
        <v>0</v>
      </c>
      <c r="TC28" s="276">
        <f>IFERROR(1/Calculations_APPURT[[#This Row],[Brackets]],0) * cv_M/cv_F * Forces_APPURT[[#This Row],[Beta Fai 0]] * Calculations_APPURT[[#This Row],[Lateral Offset]]/12</f>
        <v>0</v>
      </c>
      <c r="TD28" s="276">
        <f>IFERROR(1/Calculations_APPURT[[#This Row],[Brackets]],0) * cv_M/cv_F * Forces_APPURT[[#This Row],[Beta Fai 30]] * Calculations_APPURT[[#This Row],[Lateral Offset]]/12</f>
        <v>0</v>
      </c>
      <c r="TE28" s="276">
        <f>IFERROR(1/Calculations_APPURT[[#This Row],[Brackets]],0) * cv_M/cv_F * Forces_APPURT[[#This Row],[Beta Fai 45]] * Calculations_APPURT[[#This Row],[Lateral Offset]]/12</f>
        <v>0</v>
      </c>
      <c r="TF28" s="276">
        <f>IFERROR(1/Calculations_APPURT[[#This Row],[Brackets]],0) * cv_M/cv_F * Forces_APPURT[[#This Row],[Beta Fai 60]] * Calculations_APPURT[[#This Row],[Lateral Offset]]/12</f>
        <v>0</v>
      </c>
      <c r="TG28" s="276">
        <f>IFERROR(1/Calculations_APPURT[[#This Row],[Brackets]],0) * cv_M/cv_F * Forces_APPURT[[#This Row],[Beta Fai 90]] * Calculations_APPURT[[#This Row],[Lateral Offset]]/12</f>
        <v>0</v>
      </c>
      <c r="TH28" s="276">
        <f>IFERROR(1/Calculations_APPURT[[#This Row],[Brackets]],0) * cv_M/cv_F * Forces_APPURT[[#This Row],[Beta Fai 120]] * Calculations_APPURT[[#This Row],[Lateral Offset]]/12</f>
        <v>0</v>
      </c>
      <c r="TI28" s="276">
        <f>IFERROR(1/Calculations_APPURT[[#This Row],[Brackets]],0) * cv_M/cv_F * Forces_APPURT[[#This Row],[Beta Fai 135]] * Calculations_APPURT[[#This Row],[Lateral Offset]]/12</f>
        <v>0</v>
      </c>
      <c r="TJ28" s="276">
        <f>IFERROR(1/Calculations_APPURT[[#This Row],[Brackets]],0) * cv_M/cv_F * Forces_APPURT[[#This Row],[Beta Fai 150]] * Calculations_APPURT[[#This Row],[Lateral Offset]]/12</f>
        <v>0</v>
      </c>
      <c r="TK28" s="276">
        <f>IFERROR(1/Calculations_APPURT[[#This Row],[Brackets]],0) * cv_M/cv_F * Forces_APPURT[[#This Row],[Beta Fai 180]] * Calculations_APPURT[[#This Row],[Lateral Offset]]/12</f>
        <v>0</v>
      </c>
      <c r="TL28" s="276">
        <f>IFERROR(1/Calculations_APPURT[[#This Row],[Brackets]],0) * cv_M/cv_F * Forces_APPURT[[#This Row],[Beta Fai 210]] * Calculations_APPURT[[#This Row],[Lateral Offset]]/12</f>
        <v>0</v>
      </c>
      <c r="TM28" s="276">
        <f>IFERROR(1/Calculations_APPURT[[#This Row],[Brackets]],0) * cv_M/cv_F * Forces_APPURT[[#This Row],[Beta Fai 225]] * Calculations_APPURT[[#This Row],[Lateral Offset]]/12</f>
        <v>0</v>
      </c>
      <c r="TN28" s="276">
        <f>IFERROR(1/Calculations_APPURT[[#This Row],[Brackets]],0) * cv_M/cv_F * Forces_APPURT[[#This Row],[Beta Fai 240]] * Calculations_APPURT[[#This Row],[Lateral Offset]]/12</f>
        <v>0</v>
      </c>
      <c r="TO28" s="276">
        <f>IFERROR(1/Calculations_APPURT[[#This Row],[Brackets]],0) * cv_M/cv_F * Forces_APPURT[[#This Row],[Beta Fai 270]] * Calculations_APPURT[[#This Row],[Lateral Offset]]/12</f>
        <v>0</v>
      </c>
      <c r="TP28" s="276">
        <f>IFERROR(1/Calculations_APPURT[[#This Row],[Brackets]],0) * cv_M/cv_F * Forces_APPURT[[#This Row],[Beta Fai 300]] * Calculations_APPURT[[#This Row],[Lateral Offset]]/12</f>
        <v>0</v>
      </c>
      <c r="TQ28" s="276">
        <f>IFERROR(1/Calculations_APPURT[[#This Row],[Brackets]],0) * cv_M/cv_F * Forces_APPURT[[#This Row],[Beta Fai 315]] * Calculations_APPURT[[#This Row],[Lateral Offset]]/12</f>
        <v>0</v>
      </c>
      <c r="TR28" s="276">
        <f>IFERROR(1/Calculations_APPURT[[#This Row],[Brackets]],0) * cv_M/cv_F * Forces_APPURT[[#This Row],[Beta Fai 330]] * Calculations_APPURT[[#This Row],[Lateral Offset]]/12</f>
        <v>0</v>
      </c>
      <c r="TS28" s="338">
        <f>IFERROR(1/Calculations_APPURT[[#This Row],[Brackets]],0) * cv_M/cv_F * Forces_APPURT[[#This Row],[Gamma Fai 0]] * Calculations_APPURT[[#This Row],[Lateral Offset]]/12</f>
        <v>0</v>
      </c>
      <c r="TT28" s="338">
        <f>IFERROR(1/Calculations_APPURT[[#This Row],[Brackets]],0) * cv_M/cv_F * Forces_APPURT[[#This Row],[Gamma Fai 30]] * Calculations_APPURT[[#This Row],[Lateral Offset]]/12</f>
        <v>0</v>
      </c>
      <c r="TU28" s="338">
        <f>IFERROR(1/Calculations_APPURT[[#This Row],[Brackets]],0) * cv_M/cv_F * Forces_APPURT[[#This Row],[Gamma Fai 45]] * Calculations_APPURT[[#This Row],[Lateral Offset]]/12</f>
        <v>0</v>
      </c>
      <c r="TV28" s="338">
        <f>IFERROR(1/Calculations_APPURT[[#This Row],[Brackets]],0) * cv_M/cv_F * Forces_APPURT[[#This Row],[Gamma Fai 60]] * Calculations_APPURT[[#This Row],[Lateral Offset]]/12</f>
        <v>0</v>
      </c>
      <c r="TW28" s="338">
        <f>IFERROR(1/Calculations_APPURT[[#This Row],[Brackets]],0) * cv_M/cv_F * Forces_APPURT[[#This Row],[Gamma Fai 90]] * Calculations_APPURT[[#This Row],[Lateral Offset]]/12</f>
        <v>0</v>
      </c>
      <c r="TX28" s="338">
        <f>IFERROR(1/Calculations_APPURT[[#This Row],[Brackets]],0) * cv_M/cv_F * Forces_APPURT[[#This Row],[Gamma Fai 120]] * Calculations_APPURT[[#This Row],[Lateral Offset]]/12</f>
        <v>0</v>
      </c>
      <c r="TY28" s="338">
        <f>IFERROR(1/Calculations_APPURT[[#This Row],[Brackets]],0) * cv_M/cv_F * Forces_APPURT[[#This Row],[Gamma Fai 135]] * Calculations_APPURT[[#This Row],[Lateral Offset]]/12</f>
        <v>0</v>
      </c>
      <c r="TZ28" s="338">
        <f>IFERROR(1/Calculations_APPURT[[#This Row],[Brackets]],0) * cv_M/cv_F * Forces_APPURT[[#This Row],[Gamma Fai 150]] * Calculations_APPURT[[#This Row],[Lateral Offset]]/12</f>
        <v>0</v>
      </c>
      <c r="UA28" s="338">
        <f>IFERROR(1/Calculations_APPURT[[#This Row],[Brackets]],0) * cv_M/cv_F * Forces_APPURT[[#This Row],[Gamma Fai 180]] * Calculations_APPURT[[#This Row],[Lateral Offset]]/12</f>
        <v>0</v>
      </c>
      <c r="UB28" s="338">
        <f>IFERROR(1/Calculations_APPURT[[#This Row],[Brackets]],0) * cv_M/cv_F * Forces_APPURT[[#This Row],[Gamma Fai 210]] * Calculations_APPURT[[#This Row],[Lateral Offset]]/12</f>
        <v>0</v>
      </c>
      <c r="UC28" s="338">
        <f>IFERROR(1/Calculations_APPURT[[#This Row],[Brackets]],0) * cv_M/cv_F * Forces_APPURT[[#This Row],[Gamma Fai 225]] * Calculations_APPURT[[#This Row],[Lateral Offset]]/12</f>
        <v>0</v>
      </c>
      <c r="UD28" s="338">
        <f>IFERROR(1/Calculations_APPURT[[#This Row],[Brackets]],0) * cv_M/cv_F * Forces_APPURT[[#This Row],[Gamma Fai 240]] * Calculations_APPURT[[#This Row],[Lateral Offset]]/12</f>
        <v>0</v>
      </c>
      <c r="UE28" s="338">
        <f>IFERROR(1/Calculations_APPURT[[#This Row],[Brackets]],0) * cv_M/cv_F * Forces_APPURT[[#This Row],[Gamma Fai 270]] * Calculations_APPURT[[#This Row],[Lateral Offset]]/12</f>
        <v>0</v>
      </c>
      <c r="UF28" s="338">
        <f>IFERROR(1/Calculations_APPURT[[#This Row],[Brackets]],0) * cv_M/cv_F * Forces_APPURT[[#This Row],[Gamma Fai 300]] * Calculations_APPURT[[#This Row],[Lateral Offset]]/12</f>
        <v>0</v>
      </c>
      <c r="UG28" s="338">
        <f>IFERROR(1/Calculations_APPURT[[#This Row],[Brackets]],0) * cv_M/cv_F * Forces_APPURT[[#This Row],[Gamma Fai 315]] * Calculations_APPURT[[#This Row],[Lateral Offset]]/12</f>
        <v>0</v>
      </c>
      <c r="UH28" s="338">
        <f>IFERROR(1/Calculations_APPURT[[#This Row],[Brackets]],0) * cv_M/cv_F * Forces_APPURT[[#This Row],[Gamma Fai 330]] * Calculations_APPURT[[#This Row],[Lateral Offset]]/12</f>
        <v>0</v>
      </c>
      <c r="UI28" s="276">
        <f>IFERROR(1/Calculations_APPURT[[#This Row],[Brackets]],0) * cv_M/cv_F * Forces_APPURT[[#This Row],[Delta Fai 0]] * Calculations_APPURT[[#This Row],[Lateral Offset]]/12</f>
        <v>0</v>
      </c>
      <c r="UJ28" s="276">
        <f>IFERROR(1/Calculations_APPURT[[#This Row],[Brackets]],0) * cv_M/cv_F * Forces_APPURT[[#This Row],[Delta Fai 30]] * Calculations_APPURT[[#This Row],[Lateral Offset]]/12</f>
        <v>0</v>
      </c>
      <c r="UK28" s="276">
        <f>IFERROR(1/Calculations_APPURT[[#This Row],[Brackets]],0) * cv_M/cv_F * Forces_APPURT[[#This Row],[Delta Fai 45]] * Calculations_APPURT[[#This Row],[Lateral Offset]]/12</f>
        <v>0</v>
      </c>
      <c r="UL28" s="276">
        <f>IFERROR(1/Calculations_APPURT[[#This Row],[Brackets]],0) * cv_M/cv_F * Forces_APPURT[[#This Row],[Delta Fai 60]] * Calculations_APPURT[[#This Row],[Lateral Offset]]/12</f>
        <v>0</v>
      </c>
      <c r="UM28" s="276">
        <f>IFERROR(1/Calculations_APPURT[[#This Row],[Brackets]],0) * cv_M/cv_F * Forces_APPURT[[#This Row],[Delta Fai 90]] * Calculations_APPURT[[#This Row],[Lateral Offset]]/12</f>
        <v>0</v>
      </c>
      <c r="UN28" s="276">
        <f>IFERROR(1/Calculations_APPURT[[#This Row],[Brackets]],0) * cv_M/cv_F * Forces_APPURT[[#This Row],[Delta Fai 120]] * Calculations_APPURT[[#This Row],[Lateral Offset]]/12</f>
        <v>0</v>
      </c>
      <c r="UO28" s="276">
        <f>IFERROR(1/Calculations_APPURT[[#This Row],[Brackets]],0) * cv_M/cv_F * Forces_APPURT[[#This Row],[Delta Fai 135]] * Calculations_APPURT[[#This Row],[Lateral Offset]]/12</f>
        <v>0</v>
      </c>
      <c r="UP28" s="276">
        <f>IFERROR(1/Calculations_APPURT[[#This Row],[Brackets]],0) * cv_M/cv_F * Forces_APPURT[[#This Row],[Delta Fai 150]] * Calculations_APPURT[[#This Row],[Lateral Offset]]/12</f>
        <v>0</v>
      </c>
      <c r="UQ28" s="276">
        <f>IFERROR(1/Calculations_APPURT[[#This Row],[Brackets]],0) * cv_M/cv_F * Forces_APPURT[[#This Row],[Delta Fai 180]] * Calculations_APPURT[[#This Row],[Lateral Offset]]/12</f>
        <v>0</v>
      </c>
      <c r="UR28" s="276">
        <f>IFERROR(1/Calculations_APPURT[[#This Row],[Brackets]],0) * cv_M/cv_F * Forces_APPURT[[#This Row],[Delta Fai 210]] * Calculations_APPURT[[#This Row],[Lateral Offset]]/12</f>
        <v>0</v>
      </c>
      <c r="US28" s="276">
        <f>IFERROR(1/Calculations_APPURT[[#This Row],[Brackets]],0) * cv_M/cv_F * Forces_APPURT[[#This Row],[Delta Fai 225]] * Calculations_APPURT[[#This Row],[Lateral Offset]]/12</f>
        <v>0</v>
      </c>
      <c r="UT28" s="276">
        <f>IFERROR(1/Calculations_APPURT[[#This Row],[Brackets]],0) * cv_M/cv_F * Forces_APPURT[[#This Row],[Delta Fai 240]] * Calculations_APPURT[[#This Row],[Lateral Offset]]/12</f>
        <v>0</v>
      </c>
      <c r="UU28" s="276">
        <f>IFERROR(1/Calculations_APPURT[[#This Row],[Brackets]],0) * cv_M/cv_F * Forces_APPURT[[#This Row],[Delta Fai 270]] * Calculations_APPURT[[#This Row],[Lateral Offset]]/12</f>
        <v>0</v>
      </c>
      <c r="UV28" s="276">
        <f>IFERROR(1/Calculations_APPURT[[#This Row],[Brackets]],0) * cv_M/cv_F * Forces_APPURT[[#This Row],[Delta Fai 300]] * Calculations_APPURT[[#This Row],[Lateral Offset]]/12</f>
        <v>0</v>
      </c>
      <c r="UW28" s="276">
        <f>IFERROR(1/Calculations_APPURT[[#This Row],[Brackets]],0) * cv_M/cv_F * Forces_APPURT[[#This Row],[Delta Fai 315]] * Calculations_APPURT[[#This Row],[Lateral Offset]]/12</f>
        <v>0</v>
      </c>
      <c r="UX28" s="276">
        <f>IFERROR(1/Calculations_APPURT[[#This Row],[Brackets]],0) * cv_M/cv_F * Forces_APPURT[[#This Row],[Delta Fai 330]] * Calculations_APPURT[[#This Row],[Lateral Offset]]/12</f>
        <v>0</v>
      </c>
      <c r="UY28" s="338">
        <f>Dimensions_APPURT[[#This Row],[Weight (lbf)]] * cv_F * AlphaSector[[#This Row],[Quantity]]</f>
        <v>0</v>
      </c>
      <c r="UZ28" s="338">
        <f>Dimensions_APPURT[[#This Row],[Weight (lbf)]] * cv_F * BetaSector[[#This Row],[Quantity]]</f>
        <v>0</v>
      </c>
      <c r="VA28" s="338">
        <f>Dimensions_APPURT[[#This Row],[Weight (lbf)]] * cv_F * GammaSector[[#This Row],[Quantity]]</f>
        <v>0</v>
      </c>
      <c r="VB28" s="338">
        <f>Dimensions_APPURT[[#This Row],[Weight (lbf)]] * cv_F * DeltaSector[[#This Row],[Quantity]]</f>
        <v>0</v>
      </c>
      <c r="VC28" s="209">
        <f>Dimensions_APPURT[[#This Row],[Weight (lbf)]] * cv_M * AlphaSector[[#This Row],[Quantity]] * Calculations_APPURT[[#This Row],[Horizontal Offset]]/12</f>
        <v>0</v>
      </c>
      <c r="VD28" s="209">
        <f>Dimensions_APPURT[[#This Row],[Weight (lbf)]] * cv_M * BetaSector[[#This Row],[Quantity]] * Calculations_APPURT[[#This Row],[Horizontal Offset]]/12</f>
        <v>0</v>
      </c>
      <c r="VE28" s="209">
        <f>Dimensions_APPURT[[#This Row],[Weight (lbf)]] * cv_M * GammaSector[[#This Row],[Quantity]] * Calculations_APPURT[[#This Row],[Horizontal Offset]]/12</f>
        <v>0</v>
      </c>
      <c r="VF28" s="209">
        <f>Dimensions_APPURT[[#This Row],[Weight (lbf)]] * cv_M * DeltaSector[[#This Row],[Quantity]] * Calculations_APPURT[[#This Row],[Horizontal Offset]]/12</f>
        <v>0</v>
      </c>
      <c r="VG28" s="338">
        <f>Hazards_APPURT[[#This Row],[Ice Weight]] * cv_F * AlphaSector[[#This Row],[Quantity]]</f>
        <v>0</v>
      </c>
      <c r="VH28" s="338">
        <f>Hazards_APPURT[[#This Row],[Ice Weight]] * cv_F * BetaSector[[#This Row],[Quantity]]</f>
        <v>0</v>
      </c>
      <c r="VI28" s="338">
        <f>Hazards_APPURT[[#This Row],[Ice Weight]] * cv_F * GammaSector[[#This Row],[Quantity]]</f>
        <v>0</v>
      </c>
      <c r="VJ28" s="338">
        <f>Hazards_APPURT[[#This Row],[Ice Weight]] * cv_F * DeltaSector[[#This Row],[Quantity]]</f>
        <v>0</v>
      </c>
      <c r="VK28" s="209">
        <f>Hazards_APPURT[[#This Row],[Ice Weight]] * cv_M * AlphaSector[[#This Row],[Quantity]] * Calculations_APPURT[[#This Row],[Horizontal Offset]]/12</f>
        <v>0</v>
      </c>
      <c r="VL28" s="209">
        <f>Hazards_APPURT[[#This Row],[Ice Weight]] * cv_M * BetaSector[[#This Row],[Quantity]] * Calculations_APPURT[[#This Row],[Horizontal Offset]]/12</f>
        <v>0</v>
      </c>
      <c r="VM28" s="209">
        <f>Hazards_APPURT[[#This Row],[Ice Weight]] * cv_M * GammaSector[[#This Row],[Quantity]] * Calculations_APPURT[[#This Row],[Horizontal Offset]]/12</f>
        <v>0</v>
      </c>
      <c r="VN28" s="209">
        <f>Hazards_APPURT[[#This Row],[Ice Weight]] * cv_M * DeltaSector[[#This Row],[Quantity]] * Calculations_APPURT[[#This Row],[Horizontal Offset]]/12</f>
        <v>0</v>
      </c>
    </row>
    <row r="29" spans="1:586" ht="15" customHeight="1" x14ac:dyDescent="0.2">
      <c r="A29" s="69"/>
      <c r="E29" s="265"/>
      <c r="L29" s="69"/>
      <c r="R29" s="70"/>
      <c r="T29" s="69"/>
      <c r="V29" s="71"/>
      <c r="W29" s="69"/>
      <c r="X29" s="71"/>
      <c r="Y29" s="69"/>
      <c r="Z29" s="70"/>
      <c r="AB29" s="69"/>
      <c r="AD29" s="71"/>
      <c r="AE29" s="69"/>
      <c r="AF29" s="71"/>
      <c r="AG29" s="69"/>
      <c r="AH29" s="70"/>
      <c r="AJ29" s="69"/>
      <c r="AL29" s="71"/>
      <c r="AM29" s="69"/>
      <c r="AN29" s="71"/>
      <c r="AO29" s="69"/>
      <c r="AP29" s="70"/>
      <c r="AR29" s="69"/>
      <c r="AV29" s="277"/>
      <c r="AW29" s="209"/>
      <c r="AX29" s="209"/>
      <c r="AY29" s="209"/>
      <c r="AZ29" s="276"/>
      <c r="BA29" s="209"/>
      <c r="BB29" s="209"/>
      <c r="BC29" s="209"/>
      <c r="BD29" s="209"/>
      <c r="BE29" s="209"/>
      <c r="BF29" s="209"/>
      <c r="BG29" s="277"/>
      <c r="BH29" s="277"/>
      <c r="BI29" s="277"/>
      <c r="BJ29" s="277"/>
      <c r="BK29" s="277"/>
      <c r="BL29" s="277"/>
      <c r="BM29" s="277"/>
      <c r="BN29" s="277"/>
      <c r="BO29" s="277"/>
      <c r="BP29" s="277"/>
      <c r="BQ29" s="277"/>
      <c r="BR29" s="277"/>
      <c r="BS29" s="277"/>
      <c r="BT29" s="277"/>
      <c r="BU29" s="277"/>
      <c r="BV29" s="277"/>
      <c r="BW29" s="277"/>
      <c r="BX29" s="277"/>
      <c r="BY29" s="277"/>
      <c r="BZ29" s="277"/>
      <c r="CA29" s="277"/>
      <c r="CB29" s="277"/>
      <c r="CC29" s="277"/>
      <c r="CD29" s="277"/>
      <c r="CE29" s="277"/>
      <c r="CF29" s="277"/>
      <c r="CG29" s="277"/>
      <c r="CH29" s="277"/>
      <c r="CI29" s="277"/>
      <c r="CJ29" s="277"/>
      <c r="CK29" s="277"/>
      <c r="CL29" s="277"/>
      <c r="CM29" s="277"/>
      <c r="CN29" s="277"/>
      <c r="CO29" s="277"/>
      <c r="CP29" s="277"/>
      <c r="CQ29" s="277"/>
      <c r="CR29" s="277"/>
      <c r="CS29" s="277"/>
      <c r="CT29" s="277"/>
      <c r="CU29" s="277"/>
      <c r="CV29" s="277"/>
      <c r="CW29" s="277"/>
      <c r="CX29" s="277"/>
      <c r="CY29" s="277"/>
      <c r="CZ29" s="277"/>
      <c r="DA29" s="277"/>
      <c r="DB29" s="277"/>
      <c r="DC29" s="277"/>
      <c r="DD29" s="277"/>
      <c r="DE29" s="277"/>
      <c r="DF29" s="277"/>
      <c r="DG29" s="277"/>
      <c r="DH29" s="277"/>
      <c r="DI29" s="277"/>
      <c r="DJ29" s="277"/>
      <c r="DK29" s="277"/>
      <c r="DL29" s="277"/>
      <c r="DM29" s="277"/>
      <c r="DN29" s="277"/>
      <c r="DO29" s="277"/>
      <c r="DP29" s="277"/>
      <c r="DQ29" s="277"/>
      <c r="DR29" s="277"/>
      <c r="DS29" s="209"/>
      <c r="DT29" s="209"/>
      <c r="DU29" s="209"/>
      <c r="DV29" s="209"/>
      <c r="DW29" s="209"/>
      <c r="DX29" s="209"/>
      <c r="DY29" s="209"/>
      <c r="DZ29" s="209"/>
      <c r="EA29" s="209"/>
      <c r="EB29" s="209"/>
      <c r="EC29" s="209"/>
      <c r="ED29" s="209"/>
      <c r="EE29" s="209"/>
      <c r="EF29" s="209"/>
      <c r="EG29" s="209"/>
      <c r="EH29" s="209"/>
      <c r="EI29" s="209"/>
      <c r="EJ29" s="209"/>
      <c r="EK29" s="209"/>
      <c r="EL29" s="209"/>
      <c r="EM29" s="209"/>
      <c r="EN29" s="209"/>
      <c r="EO29" s="209"/>
      <c r="EP29" s="209"/>
      <c r="EQ29" s="209"/>
      <c r="ER29" s="209"/>
      <c r="ES29" s="209"/>
      <c r="ET29" s="209"/>
      <c r="EU29" s="209"/>
      <c r="EV29" s="209"/>
      <c r="EW29" s="209"/>
      <c r="EX29" s="209"/>
      <c r="EY29" s="209"/>
      <c r="EZ29" s="209"/>
      <c r="FA29" s="209"/>
      <c r="FB29" s="209"/>
      <c r="FC29" s="209"/>
      <c r="FD29" s="209"/>
      <c r="FE29" s="209"/>
      <c r="FF29" s="209"/>
      <c r="FG29" s="209"/>
      <c r="FH29" s="209"/>
      <c r="FI29" s="209"/>
      <c r="FJ29" s="209"/>
      <c r="FK29" s="209"/>
      <c r="FL29" s="209"/>
      <c r="FM29" s="209"/>
      <c r="FN29" s="209"/>
      <c r="FO29" s="209"/>
      <c r="FP29" s="209"/>
      <c r="FQ29" s="209"/>
      <c r="FR29" s="209"/>
      <c r="FS29" s="209"/>
      <c r="FT29" s="209"/>
      <c r="FU29" s="209"/>
      <c r="FV29" s="209"/>
      <c r="FW29" s="209"/>
      <c r="FX29" s="209"/>
      <c r="FY29" s="209"/>
      <c r="FZ29" s="209"/>
      <c r="GA29" s="209"/>
      <c r="GB29" s="209"/>
      <c r="GC29" s="209"/>
      <c r="GD29" s="209"/>
      <c r="GE29" s="276"/>
      <c r="GF29" s="276"/>
      <c r="GG29" s="276"/>
      <c r="GH29" s="276"/>
      <c r="GI29" s="276"/>
      <c r="GJ29" s="276"/>
      <c r="GK29" s="276"/>
      <c r="GL29" s="276"/>
      <c r="GM29" s="276"/>
      <c r="GN29" s="276"/>
      <c r="GO29" s="276"/>
      <c r="GP29" s="276"/>
      <c r="GQ29" s="276"/>
      <c r="GR29" s="276"/>
      <c r="GS29" s="276"/>
      <c r="GT29" s="276"/>
      <c r="GU29" s="276"/>
      <c r="GV29" s="276"/>
      <c r="GW29" s="276"/>
      <c r="GX29" s="276"/>
      <c r="GY29" s="276"/>
      <c r="GZ29" s="276"/>
      <c r="HA29" s="276"/>
      <c r="HB29" s="276"/>
      <c r="HC29" s="276"/>
      <c r="HD29" s="276"/>
      <c r="HE29" s="276"/>
      <c r="HF29" s="276"/>
      <c r="HG29" s="276"/>
      <c r="HH29" s="276"/>
      <c r="HI29" s="276"/>
      <c r="HJ29" s="276"/>
      <c r="HK29" s="276"/>
      <c r="HL29" s="276"/>
      <c r="HM29" s="276"/>
      <c r="HN29" s="276"/>
      <c r="HO29" s="276"/>
      <c r="HP29" s="276"/>
      <c r="HQ29" s="276"/>
      <c r="HR29" s="276"/>
      <c r="HS29" s="276"/>
      <c r="HT29" s="276"/>
      <c r="HU29" s="276"/>
      <c r="HV29" s="276"/>
      <c r="HW29" s="276"/>
      <c r="HX29" s="276"/>
      <c r="HY29" s="276"/>
      <c r="HZ29" s="276"/>
      <c r="IA29" s="276"/>
      <c r="IB29" s="276"/>
      <c r="IC29" s="276"/>
      <c r="ID29" s="276"/>
      <c r="IE29" s="276"/>
      <c r="IF29" s="276"/>
      <c r="IG29" s="276"/>
      <c r="IH29" s="276"/>
      <c r="II29" s="276"/>
      <c r="IJ29" s="276"/>
      <c r="IK29" s="276"/>
      <c r="IL29" s="276"/>
      <c r="IM29" s="276"/>
      <c r="IN29" s="276"/>
      <c r="IO29" s="276"/>
      <c r="IP29" s="276"/>
      <c r="IQ29" s="276"/>
      <c r="IR29" s="276"/>
      <c r="IS29" s="276"/>
      <c r="IT29" s="276"/>
      <c r="IU29" s="276"/>
      <c r="IV29" s="276"/>
      <c r="IW29" s="276"/>
      <c r="IX29" s="276"/>
      <c r="IY29" s="276"/>
      <c r="IZ29" s="276"/>
      <c r="JA29" s="276"/>
      <c r="JB29" s="276"/>
      <c r="JC29" s="276"/>
      <c r="JD29" s="276"/>
      <c r="JE29" s="276"/>
      <c r="JF29" s="276"/>
      <c r="JG29" s="276"/>
      <c r="JH29" s="276"/>
      <c r="JI29" s="276"/>
      <c r="JJ29" s="276"/>
      <c r="JK29" s="276"/>
      <c r="JL29" s="276"/>
      <c r="JM29" s="276"/>
      <c r="JN29" s="276"/>
      <c r="JO29" s="276"/>
      <c r="JP29" s="276"/>
      <c r="JQ29" s="276"/>
      <c r="JR29" s="276"/>
      <c r="JS29" s="276"/>
      <c r="JT29" s="276"/>
      <c r="JU29" s="276"/>
      <c r="JV29" s="276"/>
      <c r="JW29" s="276"/>
      <c r="JX29" s="276"/>
      <c r="JY29" s="276"/>
      <c r="JZ29" s="276"/>
      <c r="KA29" s="276"/>
      <c r="KB29" s="276"/>
      <c r="KC29" s="276"/>
      <c r="KD29" s="276"/>
      <c r="KE29" s="276"/>
      <c r="KF29" s="276"/>
      <c r="KG29" s="276"/>
      <c r="KH29" s="276"/>
      <c r="KI29" s="276"/>
      <c r="KJ29" s="276"/>
      <c r="KK29" s="276"/>
      <c r="KL29" s="276"/>
      <c r="KM29" s="276"/>
      <c r="KN29" s="276"/>
      <c r="KO29" s="276"/>
      <c r="KP29" s="276"/>
      <c r="KQ29" s="276"/>
      <c r="KR29" s="276"/>
      <c r="KS29" s="276"/>
      <c r="KT29" s="276"/>
      <c r="KU29" s="276"/>
      <c r="KV29" s="276"/>
      <c r="KW29" s="276"/>
      <c r="KX29" s="276"/>
      <c r="KY29" s="276"/>
      <c r="KZ29" s="276"/>
      <c r="LA29" s="276"/>
      <c r="LB29" s="276"/>
      <c r="LC29" s="276"/>
      <c r="LD29" s="276"/>
      <c r="LE29" s="276"/>
      <c r="LF29" s="276"/>
      <c r="LG29" s="276"/>
      <c r="LH29" s="276"/>
      <c r="LI29" s="276"/>
      <c r="LJ29" s="276"/>
      <c r="LK29" s="276"/>
      <c r="LL29" s="276"/>
      <c r="LM29" s="276"/>
      <c r="LN29" s="276"/>
      <c r="LO29" s="276"/>
      <c r="LP29" s="276"/>
      <c r="LQ29" s="276"/>
      <c r="LR29" s="276"/>
      <c r="LS29" s="276"/>
      <c r="LT29" s="276"/>
      <c r="LU29" s="276"/>
      <c r="LV29" s="276"/>
      <c r="LW29" s="276"/>
      <c r="LX29" s="276"/>
      <c r="LY29" s="276"/>
      <c r="LZ29" s="276"/>
      <c r="MA29" s="276"/>
      <c r="MB29" s="276"/>
      <c r="MC29" s="276"/>
      <c r="MD29" s="276"/>
      <c r="ME29" s="276"/>
      <c r="MF29" s="276"/>
      <c r="MG29" s="276"/>
      <c r="MH29" s="276"/>
      <c r="MI29" s="276"/>
      <c r="MJ29" s="276"/>
      <c r="MK29" s="276"/>
      <c r="ML29" s="276"/>
      <c r="MM29" s="276"/>
      <c r="MN29" s="276"/>
      <c r="MO29" s="276"/>
      <c r="MP29" s="276"/>
      <c r="MQ29" s="276"/>
      <c r="MR29" s="276"/>
      <c r="MS29" s="276"/>
      <c r="MT29" s="276"/>
      <c r="MU29" s="276"/>
      <c r="MV29" s="276"/>
      <c r="MW29" s="276"/>
      <c r="MX29" s="276"/>
      <c r="MY29" s="276"/>
      <c r="MZ29" s="276"/>
      <c r="NA29" s="276"/>
      <c r="NB29" s="276"/>
      <c r="NC29" s="276"/>
      <c r="ND29" s="276"/>
      <c r="NE29" s="276"/>
      <c r="NF29" s="276"/>
      <c r="NG29" s="276"/>
      <c r="NH29" s="276"/>
      <c r="NI29" s="276"/>
      <c r="NJ29" s="276"/>
      <c r="NK29" s="276"/>
      <c r="NL29" s="276"/>
      <c r="NM29" s="276"/>
      <c r="NN29" s="276"/>
      <c r="NO29" s="276"/>
      <c r="NP29" s="276"/>
      <c r="NQ29" s="276"/>
      <c r="NR29" s="276"/>
      <c r="NS29" s="276"/>
      <c r="NT29" s="276"/>
      <c r="NU29" s="276"/>
      <c r="NV29" s="276"/>
      <c r="NW29" s="276"/>
      <c r="NX29" s="276"/>
      <c r="NY29" s="276"/>
      <c r="NZ29" s="276"/>
      <c r="OA29" s="276"/>
      <c r="OB29" s="276"/>
      <c r="OC29" s="276"/>
      <c r="OD29" s="276"/>
      <c r="OE29" s="276"/>
      <c r="OF29" s="276"/>
      <c r="OG29" s="276"/>
      <c r="OH29" s="276"/>
      <c r="OI29" s="276"/>
      <c r="OJ29" s="276"/>
      <c r="OK29" s="276"/>
      <c r="OL29" s="276"/>
      <c r="OM29" s="276"/>
      <c r="ON29" s="276"/>
      <c r="OO29" s="276"/>
      <c r="OP29" s="276"/>
      <c r="OQ29" s="276"/>
      <c r="OR29" s="276"/>
      <c r="OS29" s="276"/>
      <c r="OT29" s="276"/>
      <c r="OU29" s="276"/>
      <c r="OV29" s="276"/>
      <c r="OW29" s="276"/>
      <c r="OX29" s="276"/>
      <c r="OY29" s="276"/>
      <c r="OZ29" s="276"/>
      <c r="PA29" s="276"/>
      <c r="PB29" s="276"/>
      <c r="PC29" s="276"/>
      <c r="PD29" s="276"/>
      <c r="PE29" s="276"/>
      <c r="PF29" s="276"/>
      <c r="PG29" s="276"/>
      <c r="PH29" s="276"/>
      <c r="PI29" s="276"/>
      <c r="PJ29" s="276"/>
      <c r="PK29" s="276"/>
      <c r="PL29" s="276"/>
      <c r="PM29" s="276"/>
      <c r="PN29" s="276"/>
      <c r="PO29" s="276"/>
      <c r="PP29" s="276"/>
      <c r="PQ29" s="276"/>
      <c r="PR29" s="276"/>
      <c r="PS29" s="276"/>
      <c r="PT29" s="276"/>
      <c r="PU29" s="276"/>
      <c r="PV29" s="276"/>
      <c r="PW29" s="276"/>
      <c r="PX29" s="276"/>
      <c r="PY29" s="276"/>
      <c r="PZ29" s="276"/>
      <c r="QA29" s="276"/>
      <c r="QB29" s="276"/>
      <c r="QC29" s="276"/>
      <c r="QD29" s="276"/>
      <c r="QE29" s="276"/>
      <c r="QF29" s="276"/>
      <c r="QG29" s="276"/>
      <c r="QH29" s="276"/>
      <c r="QI29" s="276"/>
      <c r="QJ29" s="276"/>
      <c r="QK29" s="276"/>
      <c r="QL29" s="276"/>
      <c r="QM29" s="276"/>
      <c r="QN29" s="276"/>
      <c r="QO29" s="276"/>
      <c r="QP29" s="276"/>
      <c r="QQ29" s="276"/>
      <c r="QR29" s="276"/>
      <c r="QS29" s="276"/>
      <c r="QT29" s="276"/>
      <c r="QU29" s="276"/>
      <c r="QV29" s="276"/>
      <c r="QW29" s="276"/>
      <c r="QX29" s="276"/>
      <c r="QY29" s="276"/>
      <c r="QZ29" s="276"/>
      <c r="RA29" s="276"/>
      <c r="RB29" s="276"/>
      <c r="RC29" s="276"/>
      <c r="RD29" s="276"/>
      <c r="RE29" s="276"/>
      <c r="RF29" s="276"/>
      <c r="RG29" s="276"/>
      <c r="RH29" s="276"/>
      <c r="RI29" s="276"/>
      <c r="RJ29" s="276"/>
      <c r="RK29" s="276"/>
      <c r="RL29" s="276"/>
      <c r="RM29" s="276"/>
      <c r="RN29" s="276"/>
      <c r="RO29" s="276"/>
      <c r="RP29" s="276"/>
      <c r="RQ29" s="276"/>
      <c r="RR29" s="276"/>
      <c r="RS29" s="276"/>
      <c r="RT29" s="276"/>
      <c r="RU29" s="276"/>
      <c r="RV29" s="276"/>
      <c r="RW29" s="276"/>
      <c r="RX29" s="276"/>
      <c r="RY29" s="276"/>
      <c r="RZ29" s="276"/>
      <c r="SA29" s="276"/>
      <c r="SB29" s="276"/>
      <c r="SC29" s="276"/>
      <c r="SD29" s="276"/>
      <c r="SE29" s="276"/>
      <c r="SF29" s="276"/>
      <c r="SG29" s="276"/>
      <c r="SH29" s="276"/>
      <c r="SI29" s="276"/>
      <c r="SJ29" s="276"/>
      <c r="SK29" s="276"/>
      <c r="SL29" s="276"/>
      <c r="SM29" s="276"/>
      <c r="SN29" s="276"/>
      <c r="SO29" s="276"/>
      <c r="SP29" s="276"/>
      <c r="SQ29" s="276"/>
      <c r="SR29" s="276"/>
      <c r="SS29" s="276"/>
      <c r="ST29" s="276"/>
      <c r="SU29" s="276"/>
      <c r="SV29" s="276"/>
      <c r="SW29" s="276"/>
      <c r="SX29" s="276"/>
      <c r="SY29" s="276"/>
      <c r="SZ29" s="276"/>
      <c r="TA29" s="276"/>
      <c r="TB29" s="276"/>
      <c r="TC29" s="276"/>
      <c r="TD29" s="276"/>
      <c r="TE29" s="276"/>
      <c r="TF29" s="276"/>
      <c r="TG29" s="276"/>
      <c r="TH29" s="276"/>
      <c r="TI29" s="276"/>
      <c r="TJ29" s="276"/>
      <c r="TK29" s="276"/>
      <c r="TL29" s="276"/>
      <c r="TM29" s="276"/>
      <c r="TN29" s="276"/>
      <c r="TO29" s="276"/>
      <c r="TP29" s="276"/>
      <c r="TQ29" s="276"/>
      <c r="TR29" s="276"/>
      <c r="TS29" s="276"/>
      <c r="TT29" s="276"/>
      <c r="TU29" s="276"/>
      <c r="TV29" s="276"/>
      <c r="TW29" s="276"/>
      <c r="TX29" s="276"/>
      <c r="TY29" s="276"/>
      <c r="TZ29" s="276"/>
      <c r="UA29" s="276"/>
      <c r="UB29" s="276"/>
      <c r="UC29" s="276"/>
      <c r="UD29" s="276"/>
      <c r="UE29" s="276"/>
      <c r="UF29" s="276"/>
      <c r="UG29" s="276"/>
      <c r="UH29" s="276"/>
      <c r="UI29" s="276"/>
      <c r="UJ29" s="276"/>
      <c r="UK29" s="276"/>
      <c r="UL29" s="276"/>
      <c r="UM29" s="276"/>
      <c r="UN29" s="276"/>
      <c r="UO29" s="276"/>
      <c r="UP29" s="276"/>
      <c r="UQ29" s="276"/>
      <c r="UR29" s="276"/>
      <c r="US29" s="276"/>
      <c r="UT29" s="276"/>
      <c r="UU29" s="276"/>
      <c r="UV29" s="276"/>
      <c r="UW29" s="276"/>
      <c r="UX29" s="276"/>
      <c r="UY29" s="209"/>
      <c r="UZ29" s="209"/>
      <c r="VA29" s="209"/>
      <c r="VB29" s="209"/>
      <c r="VC29" s="209"/>
      <c r="VD29" s="209"/>
      <c r="VE29" s="209"/>
      <c r="VF29" s="209"/>
      <c r="VG29" s="209"/>
      <c r="VH29" s="209"/>
      <c r="VI29" s="209"/>
      <c r="VJ29" s="209"/>
      <c r="VK29" s="209"/>
      <c r="VL29" s="209"/>
      <c r="VM29" s="209"/>
      <c r="VN29" s="209"/>
    </row>
    <row r="30" spans="1:586" ht="15" customHeight="1" x14ac:dyDescent="0.2">
      <c r="A30" s="69"/>
      <c r="E30" s="265"/>
      <c r="L30" s="69"/>
      <c r="R30" s="70"/>
      <c r="T30" s="69"/>
      <c r="V30" s="71"/>
      <c r="W30" s="69"/>
      <c r="X30" s="71"/>
      <c r="Y30" s="69"/>
      <c r="Z30" s="70"/>
      <c r="AB30" s="69"/>
      <c r="AD30" s="71"/>
      <c r="AE30" s="69"/>
      <c r="AF30" s="71"/>
      <c r="AG30" s="69"/>
      <c r="AH30" s="70"/>
      <c r="AJ30" s="69"/>
      <c r="AL30" s="71"/>
      <c r="AM30" s="69"/>
      <c r="AN30" s="71"/>
      <c r="AO30" s="69"/>
      <c r="AP30" s="70"/>
      <c r="AR30" s="69"/>
      <c r="AV30" s="277"/>
      <c r="AW30" s="209"/>
      <c r="AX30" s="209"/>
      <c r="AY30" s="209"/>
      <c r="AZ30" s="276"/>
      <c r="BA30" s="209"/>
      <c r="BB30" s="209"/>
      <c r="BC30" s="209"/>
      <c r="BD30" s="209"/>
      <c r="BE30" s="209"/>
      <c r="BF30" s="209"/>
      <c r="BG30" s="277"/>
      <c r="BH30" s="277"/>
      <c r="BI30" s="277"/>
      <c r="BJ30" s="277"/>
      <c r="BK30" s="277"/>
      <c r="BL30" s="277"/>
      <c r="BM30" s="277"/>
      <c r="BN30" s="277"/>
      <c r="BO30" s="277"/>
      <c r="BP30" s="277"/>
      <c r="BQ30" s="277"/>
      <c r="BR30" s="277"/>
      <c r="BS30" s="277"/>
      <c r="BT30" s="277"/>
      <c r="BU30" s="277"/>
      <c r="BV30" s="277"/>
      <c r="BW30" s="277"/>
      <c r="BX30" s="277"/>
      <c r="BY30" s="277"/>
      <c r="BZ30" s="277"/>
      <c r="CA30" s="277"/>
      <c r="CB30" s="277"/>
      <c r="CC30" s="277"/>
      <c r="CD30" s="277"/>
      <c r="CE30" s="277"/>
      <c r="CF30" s="277"/>
      <c r="CG30" s="277"/>
      <c r="CH30" s="277"/>
      <c r="CI30" s="277"/>
      <c r="CJ30" s="277"/>
      <c r="CK30" s="277"/>
      <c r="CL30" s="277"/>
      <c r="CM30" s="277"/>
      <c r="CN30" s="277"/>
      <c r="CO30" s="277"/>
      <c r="CP30" s="277"/>
      <c r="CQ30" s="277"/>
      <c r="CR30" s="277"/>
      <c r="CS30" s="277"/>
      <c r="CT30" s="277"/>
      <c r="CU30" s="277"/>
      <c r="CV30" s="277"/>
      <c r="CW30" s="277"/>
      <c r="CX30" s="277"/>
      <c r="CY30" s="277"/>
      <c r="CZ30" s="277"/>
      <c r="DA30" s="277"/>
      <c r="DB30" s="277"/>
      <c r="DC30" s="277"/>
      <c r="DD30" s="277"/>
      <c r="DE30" s="277"/>
      <c r="DF30" s="277"/>
      <c r="DG30" s="277"/>
      <c r="DH30" s="277"/>
      <c r="DI30" s="277"/>
      <c r="DJ30" s="277"/>
      <c r="DK30" s="277"/>
      <c r="DL30" s="277"/>
      <c r="DM30" s="277"/>
      <c r="DN30" s="277"/>
      <c r="DO30" s="277"/>
      <c r="DP30" s="277"/>
      <c r="DQ30" s="277"/>
      <c r="DR30" s="277"/>
      <c r="DS30" s="209"/>
      <c r="DT30" s="209"/>
      <c r="DU30" s="209"/>
      <c r="DV30" s="209"/>
      <c r="DW30" s="209"/>
      <c r="DX30" s="209"/>
      <c r="DY30" s="209"/>
      <c r="DZ30" s="209"/>
      <c r="EA30" s="209"/>
      <c r="EB30" s="209"/>
      <c r="EC30" s="209"/>
      <c r="ED30" s="209"/>
      <c r="EE30" s="209"/>
      <c r="EF30" s="209"/>
      <c r="EG30" s="209"/>
      <c r="EH30" s="209"/>
      <c r="EI30" s="209"/>
      <c r="EJ30" s="209"/>
      <c r="EK30" s="209"/>
      <c r="EL30" s="209"/>
      <c r="EM30" s="209"/>
      <c r="EN30" s="209"/>
      <c r="EO30" s="209"/>
      <c r="EP30" s="209"/>
      <c r="EQ30" s="209"/>
      <c r="ER30" s="209"/>
      <c r="ES30" s="209"/>
      <c r="ET30" s="209"/>
      <c r="EU30" s="209"/>
      <c r="EV30" s="209"/>
      <c r="EW30" s="209"/>
      <c r="EX30" s="209"/>
      <c r="EY30" s="209"/>
      <c r="EZ30" s="209"/>
      <c r="FA30" s="209"/>
      <c r="FB30" s="209"/>
      <c r="FC30" s="209"/>
      <c r="FD30" s="209"/>
      <c r="FE30" s="209"/>
      <c r="FF30" s="209"/>
      <c r="FG30" s="209"/>
      <c r="FH30" s="209"/>
      <c r="FI30" s="209"/>
      <c r="FJ30" s="209"/>
      <c r="FK30" s="209"/>
      <c r="FL30" s="209"/>
      <c r="FM30" s="209"/>
      <c r="FN30" s="209"/>
      <c r="FO30" s="209"/>
      <c r="FP30" s="209"/>
      <c r="FQ30" s="209"/>
      <c r="FR30" s="209"/>
      <c r="FS30" s="209"/>
      <c r="FT30" s="209"/>
      <c r="FU30" s="209"/>
      <c r="FV30" s="209"/>
      <c r="FW30" s="209"/>
      <c r="FX30" s="209"/>
      <c r="FY30" s="209"/>
      <c r="FZ30" s="209"/>
      <c r="GA30" s="209"/>
      <c r="GB30" s="209"/>
      <c r="GC30" s="209"/>
      <c r="GD30" s="209"/>
      <c r="GE30" s="276"/>
      <c r="GF30" s="276"/>
      <c r="GG30" s="276"/>
      <c r="GH30" s="276"/>
      <c r="GI30" s="276"/>
      <c r="GJ30" s="276"/>
      <c r="GK30" s="276"/>
      <c r="GL30" s="276"/>
      <c r="GM30" s="276"/>
      <c r="GN30" s="276"/>
      <c r="GO30" s="276"/>
      <c r="GP30" s="276"/>
      <c r="GQ30" s="276"/>
      <c r="GR30" s="276"/>
      <c r="GS30" s="276"/>
      <c r="GT30" s="276"/>
      <c r="GU30" s="276"/>
      <c r="GV30" s="276"/>
      <c r="GW30" s="276"/>
      <c r="GX30" s="276"/>
      <c r="GY30" s="276"/>
      <c r="GZ30" s="276"/>
      <c r="HA30" s="276"/>
      <c r="HB30" s="276"/>
      <c r="HC30" s="276"/>
      <c r="HD30" s="276"/>
      <c r="HE30" s="276"/>
      <c r="HF30" s="276"/>
      <c r="HG30" s="276"/>
      <c r="HH30" s="276"/>
      <c r="HI30" s="276"/>
      <c r="HJ30" s="276"/>
      <c r="HK30" s="276"/>
      <c r="HL30" s="276"/>
      <c r="HM30" s="276"/>
      <c r="HN30" s="276"/>
      <c r="HO30" s="276"/>
      <c r="HP30" s="276"/>
      <c r="HQ30" s="276"/>
      <c r="HR30" s="276"/>
      <c r="HS30" s="276"/>
      <c r="HT30" s="276"/>
      <c r="HU30" s="276"/>
      <c r="HV30" s="276"/>
      <c r="HW30" s="276"/>
      <c r="HX30" s="276"/>
      <c r="HY30" s="276"/>
      <c r="HZ30" s="276"/>
      <c r="IA30" s="276"/>
      <c r="IB30" s="276"/>
      <c r="IC30" s="276"/>
      <c r="ID30" s="276"/>
      <c r="IE30" s="276"/>
      <c r="IF30" s="276"/>
      <c r="IG30" s="276"/>
      <c r="IH30" s="276"/>
      <c r="II30" s="276"/>
      <c r="IJ30" s="276"/>
      <c r="IK30" s="276"/>
      <c r="IL30" s="276"/>
      <c r="IM30" s="276"/>
      <c r="IN30" s="276"/>
      <c r="IO30" s="276"/>
      <c r="IP30" s="276"/>
      <c r="IQ30" s="276"/>
      <c r="IR30" s="276"/>
      <c r="IS30" s="276"/>
      <c r="IT30" s="276"/>
      <c r="IU30" s="276"/>
      <c r="IV30" s="276"/>
      <c r="IW30" s="276"/>
      <c r="IX30" s="276"/>
      <c r="IY30" s="276"/>
      <c r="IZ30" s="276"/>
      <c r="JA30" s="276"/>
      <c r="JB30" s="276"/>
      <c r="JC30" s="276"/>
      <c r="JD30" s="276"/>
      <c r="JE30" s="276"/>
      <c r="JF30" s="276"/>
      <c r="JG30" s="276"/>
      <c r="JH30" s="276"/>
      <c r="JI30" s="276"/>
      <c r="JJ30" s="276"/>
      <c r="JK30" s="276"/>
      <c r="JL30" s="276"/>
      <c r="JM30" s="276"/>
      <c r="JN30" s="276"/>
      <c r="JO30" s="276"/>
      <c r="JP30" s="276"/>
      <c r="JQ30" s="276"/>
      <c r="JR30" s="276"/>
      <c r="JS30" s="276"/>
      <c r="JT30" s="276"/>
      <c r="JU30" s="276"/>
      <c r="JV30" s="276"/>
      <c r="JW30" s="276"/>
      <c r="JX30" s="276"/>
      <c r="JY30" s="276"/>
      <c r="JZ30" s="276"/>
      <c r="KA30" s="276"/>
      <c r="KB30" s="276"/>
      <c r="KC30" s="276"/>
      <c r="KD30" s="276"/>
      <c r="KE30" s="276"/>
      <c r="KF30" s="276"/>
      <c r="KG30" s="276"/>
      <c r="KH30" s="276"/>
      <c r="KI30" s="276"/>
      <c r="KJ30" s="276"/>
      <c r="KK30" s="276"/>
      <c r="KL30" s="276"/>
      <c r="KM30" s="276"/>
      <c r="KN30" s="276"/>
      <c r="KO30" s="276"/>
      <c r="KP30" s="276"/>
      <c r="KQ30" s="276"/>
      <c r="KR30" s="276"/>
      <c r="KS30" s="276"/>
      <c r="KT30" s="276"/>
      <c r="KU30" s="276"/>
      <c r="KV30" s="276"/>
      <c r="KW30" s="276"/>
      <c r="KX30" s="276"/>
      <c r="KY30" s="276"/>
      <c r="KZ30" s="276"/>
      <c r="LA30" s="276"/>
      <c r="LB30" s="276"/>
      <c r="LC30" s="276"/>
      <c r="LD30" s="276"/>
      <c r="LE30" s="276"/>
      <c r="LF30" s="276"/>
      <c r="LG30" s="276"/>
      <c r="LH30" s="276"/>
      <c r="LI30" s="276"/>
      <c r="LJ30" s="276"/>
      <c r="LK30" s="276"/>
      <c r="LL30" s="276"/>
      <c r="LM30" s="276"/>
      <c r="LN30" s="276"/>
      <c r="LO30" s="276"/>
      <c r="LP30" s="276"/>
      <c r="LQ30" s="276"/>
      <c r="LR30" s="276"/>
      <c r="LS30" s="276"/>
      <c r="LT30" s="276"/>
      <c r="LU30" s="276"/>
      <c r="LV30" s="276"/>
      <c r="LW30" s="276"/>
      <c r="LX30" s="276"/>
      <c r="LY30" s="276"/>
      <c r="LZ30" s="276"/>
      <c r="MA30" s="276"/>
      <c r="MB30" s="276"/>
      <c r="MC30" s="276"/>
      <c r="MD30" s="276"/>
      <c r="ME30" s="276"/>
      <c r="MF30" s="276"/>
      <c r="MG30" s="276"/>
      <c r="MH30" s="276"/>
      <c r="MI30" s="276"/>
      <c r="MJ30" s="276"/>
      <c r="MK30" s="276"/>
      <c r="ML30" s="276"/>
      <c r="MM30" s="276"/>
      <c r="MN30" s="276"/>
      <c r="MO30" s="276"/>
      <c r="MP30" s="276"/>
      <c r="MQ30" s="276"/>
      <c r="MR30" s="276"/>
      <c r="MS30" s="276"/>
      <c r="MT30" s="276"/>
      <c r="MU30" s="276"/>
      <c r="MV30" s="276"/>
      <c r="MW30" s="276"/>
      <c r="MX30" s="276"/>
      <c r="MY30" s="276"/>
      <c r="MZ30" s="276"/>
      <c r="NA30" s="276"/>
      <c r="NB30" s="276"/>
      <c r="NC30" s="276"/>
      <c r="ND30" s="276"/>
      <c r="NE30" s="276"/>
      <c r="NF30" s="276"/>
      <c r="NG30" s="276"/>
      <c r="NH30" s="276"/>
      <c r="NI30" s="276"/>
      <c r="NJ30" s="276"/>
      <c r="NK30" s="276"/>
      <c r="NL30" s="276"/>
      <c r="NM30" s="276"/>
      <c r="NN30" s="276"/>
      <c r="NO30" s="276"/>
      <c r="NP30" s="276"/>
      <c r="NQ30" s="276"/>
      <c r="NR30" s="276"/>
      <c r="NS30" s="276"/>
      <c r="NT30" s="276"/>
      <c r="NU30" s="276"/>
      <c r="NV30" s="276"/>
      <c r="NW30" s="276"/>
      <c r="NX30" s="276"/>
      <c r="NY30" s="276"/>
      <c r="NZ30" s="276"/>
      <c r="OA30" s="276"/>
      <c r="OB30" s="276"/>
      <c r="OC30" s="276"/>
      <c r="OD30" s="276"/>
      <c r="OE30" s="276"/>
      <c r="OF30" s="276"/>
      <c r="OG30" s="276"/>
      <c r="OH30" s="276"/>
      <c r="OI30" s="276"/>
      <c r="OJ30" s="276"/>
      <c r="OK30" s="276"/>
      <c r="OL30" s="276"/>
      <c r="OM30" s="276"/>
      <c r="ON30" s="276"/>
      <c r="OO30" s="276"/>
      <c r="OP30" s="276"/>
      <c r="OQ30" s="276"/>
      <c r="OR30" s="276"/>
      <c r="OS30" s="276"/>
      <c r="OT30" s="276"/>
      <c r="OU30" s="276"/>
      <c r="OV30" s="276"/>
      <c r="OW30" s="276"/>
      <c r="OX30" s="276"/>
      <c r="OY30" s="276"/>
      <c r="OZ30" s="276"/>
      <c r="PA30" s="276"/>
      <c r="PB30" s="276"/>
      <c r="PC30" s="276"/>
      <c r="PD30" s="276"/>
      <c r="PE30" s="276"/>
      <c r="PF30" s="276"/>
      <c r="PG30" s="276"/>
      <c r="PH30" s="276"/>
      <c r="PI30" s="276"/>
      <c r="PJ30" s="276"/>
      <c r="PK30" s="276"/>
      <c r="PL30" s="276"/>
      <c r="PM30" s="276"/>
      <c r="PN30" s="276"/>
      <c r="PO30" s="276"/>
      <c r="PP30" s="276"/>
      <c r="PQ30" s="276"/>
      <c r="PR30" s="276"/>
      <c r="PS30" s="276"/>
      <c r="PT30" s="276"/>
      <c r="PU30" s="276"/>
      <c r="PV30" s="276"/>
      <c r="PW30" s="276"/>
      <c r="PX30" s="276"/>
      <c r="PY30" s="276"/>
      <c r="PZ30" s="276"/>
      <c r="QA30" s="276"/>
      <c r="QB30" s="276"/>
      <c r="QC30" s="276"/>
      <c r="QD30" s="276"/>
      <c r="QE30" s="276"/>
      <c r="QF30" s="276"/>
      <c r="QG30" s="276"/>
      <c r="QH30" s="276"/>
      <c r="QI30" s="276"/>
      <c r="QJ30" s="276"/>
      <c r="QK30" s="276"/>
      <c r="QL30" s="276"/>
      <c r="QM30" s="276"/>
      <c r="QN30" s="276"/>
      <c r="QO30" s="276"/>
      <c r="QP30" s="276"/>
      <c r="QQ30" s="276"/>
      <c r="QR30" s="276"/>
      <c r="QS30" s="276"/>
      <c r="QT30" s="276"/>
      <c r="QU30" s="276"/>
      <c r="QV30" s="276"/>
      <c r="QW30" s="276"/>
      <c r="QX30" s="276"/>
      <c r="QY30" s="276"/>
      <c r="QZ30" s="276"/>
      <c r="RA30" s="276"/>
      <c r="RB30" s="276"/>
      <c r="RC30" s="276"/>
      <c r="RD30" s="276"/>
      <c r="RE30" s="276"/>
      <c r="RF30" s="276"/>
      <c r="RG30" s="276"/>
      <c r="RH30" s="276"/>
      <c r="RI30" s="276"/>
      <c r="RJ30" s="276"/>
      <c r="RK30" s="276"/>
      <c r="RL30" s="276"/>
      <c r="RM30" s="276"/>
      <c r="RN30" s="276"/>
      <c r="RO30" s="276"/>
      <c r="RP30" s="276"/>
      <c r="RQ30" s="276"/>
      <c r="RR30" s="276"/>
      <c r="RS30" s="276"/>
      <c r="RT30" s="276"/>
      <c r="RU30" s="276"/>
      <c r="RV30" s="276"/>
      <c r="RW30" s="276"/>
      <c r="RX30" s="276"/>
      <c r="RY30" s="276"/>
      <c r="RZ30" s="276"/>
      <c r="SA30" s="276"/>
      <c r="SB30" s="276"/>
      <c r="SC30" s="276"/>
      <c r="SD30" s="276"/>
      <c r="SE30" s="276"/>
      <c r="SF30" s="276"/>
      <c r="SG30" s="276"/>
      <c r="SH30" s="276"/>
      <c r="SI30" s="276"/>
      <c r="SJ30" s="276"/>
      <c r="SK30" s="276"/>
      <c r="SL30" s="276"/>
      <c r="SM30" s="276"/>
      <c r="SN30" s="276"/>
      <c r="SO30" s="276"/>
      <c r="SP30" s="276"/>
      <c r="SQ30" s="276"/>
      <c r="SR30" s="276"/>
      <c r="SS30" s="276"/>
      <c r="ST30" s="276"/>
      <c r="SU30" s="276"/>
      <c r="SV30" s="276"/>
      <c r="SW30" s="276"/>
      <c r="SX30" s="276"/>
      <c r="SY30" s="276"/>
      <c r="SZ30" s="276"/>
      <c r="TA30" s="276"/>
      <c r="TB30" s="276"/>
      <c r="TC30" s="276"/>
      <c r="TD30" s="276"/>
      <c r="TE30" s="276"/>
      <c r="TF30" s="276"/>
      <c r="TG30" s="276"/>
      <c r="TH30" s="276"/>
      <c r="TI30" s="276"/>
      <c r="TJ30" s="276"/>
      <c r="TK30" s="276"/>
      <c r="TL30" s="276"/>
      <c r="TM30" s="276"/>
      <c r="TN30" s="276"/>
      <c r="TO30" s="276"/>
      <c r="TP30" s="276"/>
      <c r="TQ30" s="276"/>
      <c r="TR30" s="276"/>
      <c r="TS30" s="276"/>
      <c r="TT30" s="276"/>
      <c r="TU30" s="276"/>
      <c r="TV30" s="276"/>
      <c r="TW30" s="276"/>
      <c r="TX30" s="276"/>
      <c r="TY30" s="276"/>
      <c r="TZ30" s="276"/>
      <c r="UA30" s="276"/>
      <c r="UB30" s="276"/>
      <c r="UC30" s="276"/>
      <c r="UD30" s="276"/>
      <c r="UE30" s="276"/>
      <c r="UF30" s="276"/>
      <c r="UG30" s="276"/>
      <c r="UH30" s="276"/>
      <c r="UI30" s="276"/>
      <c r="UJ30" s="276"/>
      <c r="UK30" s="276"/>
      <c r="UL30" s="276"/>
      <c r="UM30" s="276"/>
      <c r="UN30" s="276"/>
      <c r="UO30" s="276"/>
      <c r="UP30" s="276"/>
      <c r="UQ30" s="276"/>
      <c r="UR30" s="276"/>
      <c r="US30" s="276"/>
      <c r="UT30" s="276"/>
      <c r="UU30" s="276"/>
      <c r="UV30" s="276"/>
      <c r="UW30" s="276"/>
      <c r="UX30" s="276"/>
      <c r="UY30" s="209"/>
      <c r="UZ30" s="209"/>
      <c r="VA30" s="209"/>
      <c r="VB30" s="209"/>
      <c r="VC30" s="209"/>
      <c r="VD30" s="209"/>
      <c r="VE30" s="209"/>
      <c r="VF30" s="209"/>
      <c r="VG30" s="209"/>
      <c r="VH30" s="209"/>
      <c r="VI30" s="209"/>
      <c r="VJ30" s="209"/>
      <c r="VK30" s="209"/>
      <c r="VL30" s="209"/>
      <c r="VM30" s="209"/>
      <c r="VN30" s="209"/>
    </row>
    <row r="31" spans="1:586" ht="15" customHeight="1" x14ac:dyDescent="0.2">
      <c r="A31" s="69"/>
      <c r="E31" s="265"/>
      <c r="L31" s="69"/>
      <c r="R31" s="70"/>
      <c r="T31" s="69"/>
      <c r="V31" s="71"/>
      <c r="W31" s="69"/>
      <c r="X31" s="71"/>
      <c r="Y31" s="69"/>
      <c r="Z31" s="70"/>
      <c r="AB31" s="69"/>
      <c r="AD31" s="71"/>
      <c r="AE31" s="69"/>
      <c r="AF31" s="71"/>
      <c r="AG31" s="69"/>
      <c r="AH31" s="70"/>
      <c r="AJ31" s="69"/>
      <c r="AL31" s="71"/>
      <c r="AM31" s="69"/>
      <c r="AN31" s="71"/>
      <c r="AO31" s="69"/>
      <c r="AP31" s="70"/>
      <c r="AR31" s="69"/>
      <c r="AV31" s="277"/>
      <c r="AW31" s="209"/>
      <c r="AX31" s="209"/>
      <c r="AY31" s="209"/>
      <c r="AZ31" s="276"/>
      <c r="BA31" s="209"/>
      <c r="BB31" s="209"/>
      <c r="BC31" s="209"/>
      <c r="BD31" s="209"/>
      <c r="BE31" s="209"/>
      <c r="BF31" s="209"/>
      <c r="BG31" s="277"/>
      <c r="BH31" s="277"/>
      <c r="BI31" s="277"/>
      <c r="BJ31" s="277"/>
      <c r="BK31" s="277"/>
      <c r="BL31" s="277"/>
      <c r="BM31" s="277"/>
      <c r="BN31" s="277"/>
      <c r="BO31" s="277"/>
      <c r="BP31" s="277"/>
      <c r="BQ31" s="277"/>
      <c r="BR31" s="277"/>
      <c r="BS31" s="277"/>
      <c r="BT31" s="277"/>
      <c r="BU31" s="277"/>
      <c r="BV31" s="277"/>
      <c r="BW31" s="277"/>
      <c r="BX31" s="277"/>
      <c r="BY31" s="277"/>
      <c r="BZ31" s="277"/>
      <c r="CA31" s="277"/>
      <c r="CB31" s="277"/>
      <c r="CC31" s="277"/>
      <c r="CD31" s="277"/>
      <c r="CE31" s="277"/>
      <c r="CF31" s="277"/>
      <c r="CG31" s="277"/>
      <c r="CH31" s="277"/>
      <c r="CI31" s="277"/>
      <c r="CJ31" s="277"/>
      <c r="CK31" s="277"/>
      <c r="CL31" s="277"/>
      <c r="CM31" s="277"/>
      <c r="CN31" s="277"/>
      <c r="CO31" s="277"/>
      <c r="CP31" s="277"/>
      <c r="CQ31" s="277"/>
      <c r="CR31" s="277"/>
      <c r="CS31" s="277"/>
      <c r="CT31" s="277"/>
      <c r="CU31" s="277"/>
      <c r="CV31" s="277"/>
      <c r="CW31" s="277"/>
      <c r="CX31" s="277"/>
      <c r="CY31" s="277"/>
      <c r="CZ31" s="277"/>
      <c r="DA31" s="277"/>
      <c r="DB31" s="277"/>
      <c r="DC31" s="277"/>
      <c r="DD31" s="277"/>
      <c r="DE31" s="277"/>
      <c r="DF31" s="277"/>
      <c r="DG31" s="277"/>
      <c r="DH31" s="277"/>
      <c r="DI31" s="277"/>
      <c r="DJ31" s="277"/>
      <c r="DK31" s="277"/>
      <c r="DL31" s="277"/>
      <c r="DM31" s="277"/>
      <c r="DN31" s="277"/>
      <c r="DO31" s="277"/>
      <c r="DP31" s="277"/>
      <c r="DQ31" s="277"/>
      <c r="DR31" s="277"/>
      <c r="DS31" s="209"/>
      <c r="DT31" s="209"/>
      <c r="DU31" s="209"/>
      <c r="DV31" s="209"/>
      <c r="DW31" s="209"/>
      <c r="DX31" s="209"/>
      <c r="DY31" s="209"/>
      <c r="DZ31" s="209"/>
      <c r="EA31" s="209"/>
      <c r="EB31" s="209"/>
      <c r="EC31" s="209"/>
      <c r="ED31" s="209"/>
      <c r="EE31" s="209"/>
      <c r="EF31" s="209"/>
      <c r="EG31" s="209"/>
      <c r="EH31" s="209"/>
      <c r="EI31" s="209"/>
      <c r="EJ31" s="209"/>
      <c r="EK31" s="209"/>
      <c r="EL31" s="209"/>
      <c r="EM31" s="209"/>
      <c r="EN31" s="209"/>
      <c r="EO31" s="209"/>
      <c r="EP31" s="209"/>
      <c r="EQ31" s="209"/>
      <c r="ER31" s="209"/>
      <c r="ES31" s="209"/>
      <c r="ET31" s="209"/>
      <c r="EU31" s="209"/>
      <c r="EV31" s="209"/>
      <c r="EW31" s="209"/>
      <c r="EX31" s="209"/>
      <c r="EY31" s="209"/>
      <c r="EZ31" s="209"/>
      <c r="FA31" s="209"/>
      <c r="FB31" s="209"/>
      <c r="FC31" s="209"/>
      <c r="FD31" s="209"/>
      <c r="FE31" s="209"/>
      <c r="FF31" s="209"/>
      <c r="FG31" s="209"/>
      <c r="FH31" s="209"/>
      <c r="FI31" s="209"/>
      <c r="FJ31" s="209"/>
      <c r="FK31" s="209"/>
      <c r="FL31" s="209"/>
      <c r="FM31" s="209"/>
      <c r="FN31" s="209"/>
      <c r="FO31" s="209"/>
      <c r="FP31" s="209"/>
      <c r="FQ31" s="209"/>
      <c r="FR31" s="209"/>
      <c r="FS31" s="209"/>
      <c r="FT31" s="209"/>
      <c r="FU31" s="209"/>
      <c r="FV31" s="209"/>
      <c r="FW31" s="209"/>
      <c r="FX31" s="209"/>
      <c r="FY31" s="209"/>
      <c r="FZ31" s="209"/>
      <c r="GA31" s="209"/>
      <c r="GB31" s="209"/>
      <c r="GC31" s="209"/>
      <c r="GD31" s="209"/>
      <c r="GE31" s="276"/>
      <c r="GF31" s="276"/>
      <c r="GG31" s="276"/>
      <c r="GH31" s="276"/>
      <c r="GI31" s="276"/>
      <c r="GJ31" s="276"/>
      <c r="GK31" s="276"/>
      <c r="GL31" s="276"/>
      <c r="GM31" s="276"/>
      <c r="GN31" s="276"/>
      <c r="GO31" s="276"/>
      <c r="GP31" s="276"/>
      <c r="GQ31" s="276"/>
      <c r="GR31" s="276"/>
      <c r="GS31" s="276"/>
      <c r="GT31" s="276"/>
      <c r="GU31" s="276"/>
      <c r="GV31" s="276"/>
      <c r="GW31" s="276"/>
      <c r="GX31" s="276"/>
      <c r="GY31" s="276"/>
      <c r="GZ31" s="276"/>
      <c r="HA31" s="276"/>
      <c r="HB31" s="276"/>
      <c r="HC31" s="276"/>
      <c r="HD31" s="276"/>
      <c r="HE31" s="276"/>
      <c r="HF31" s="276"/>
      <c r="HG31" s="276"/>
      <c r="HH31" s="276"/>
      <c r="HI31" s="276"/>
      <c r="HJ31" s="276"/>
      <c r="HK31" s="276"/>
      <c r="HL31" s="276"/>
      <c r="HM31" s="276"/>
      <c r="HN31" s="276"/>
      <c r="HO31" s="276"/>
      <c r="HP31" s="276"/>
      <c r="HQ31" s="276"/>
      <c r="HR31" s="276"/>
      <c r="HS31" s="276"/>
      <c r="HT31" s="276"/>
      <c r="HU31" s="276"/>
      <c r="HV31" s="276"/>
      <c r="HW31" s="276"/>
      <c r="HX31" s="276"/>
      <c r="HY31" s="276"/>
      <c r="HZ31" s="276"/>
      <c r="IA31" s="276"/>
      <c r="IB31" s="276"/>
      <c r="IC31" s="276"/>
      <c r="ID31" s="276"/>
      <c r="IE31" s="276"/>
      <c r="IF31" s="276"/>
      <c r="IG31" s="276"/>
      <c r="IH31" s="276"/>
      <c r="II31" s="276"/>
      <c r="IJ31" s="276"/>
      <c r="IK31" s="276"/>
      <c r="IL31" s="276"/>
      <c r="IM31" s="276"/>
      <c r="IN31" s="276"/>
      <c r="IO31" s="276"/>
      <c r="IP31" s="276"/>
      <c r="IQ31" s="276"/>
      <c r="IR31" s="276"/>
      <c r="IS31" s="276"/>
      <c r="IT31" s="276"/>
      <c r="IU31" s="276"/>
      <c r="IV31" s="276"/>
      <c r="IW31" s="276"/>
      <c r="IX31" s="276"/>
      <c r="IY31" s="276"/>
      <c r="IZ31" s="276"/>
      <c r="JA31" s="276"/>
      <c r="JB31" s="276"/>
      <c r="JC31" s="276"/>
      <c r="JD31" s="276"/>
      <c r="JE31" s="276"/>
      <c r="JF31" s="276"/>
      <c r="JG31" s="276"/>
      <c r="JH31" s="276"/>
      <c r="JI31" s="276"/>
      <c r="JJ31" s="276"/>
      <c r="JK31" s="276"/>
      <c r="JL31" s="276"/>
      <c r="JM31" s="276"/>
      <c r="JN31" s="276"/>
      <c r="JO31" s="276"/>
      <c r="JP31" s="276"/>
      <c r="JQ31" s="276"/>
      <c r="JR31" s="276"/>
      <c r="JS31" s="276"/>
      <c r="JT31" s="276"/>
      <c r="JU31" s="276"/>
      <c r="JV31" s="276"/>
      <c r="JW31" s="276"/>
      <c r="JX31" s="276"/>
      <c r="JY31" s="276"/>
      <c r="JZ31" s="276"/>
      <c r="KA31" s="276"/>
      <c r="KB31" s="276"/>
      <c r="KC31" s="276"/>
      <c r="KD31" s="276"/>
      <c r="KE31" s="276"/>
      <c r="KF31" s="276"/>
      <c r="KG31" s="276"/>
      <c r="KH31" s="276"/>
      <c r="KI31" s="276"/>
      <c r="KJ31" s="276"/>
      <c r="KK31" s="276"/>
      <c r="KL31" s="276"/>
      <c r="KM31" s="276"/>
      <c r="KN31" s="276"/>
      <c r="KO31" s="276"/>
      <c r="KP31" s="276"/>
      <c r="KQ31" s="276"/>
      <c r="KR31" s="276"/>
      <c r="KS31" s="276"/>
      <c r="KT31" s="276"/>
      <c r="KU31" s="276"/>
      <c r="KV31" s="276"/>
      <c r="KW31" s="276"/>
      <c r="KX31" s="276"/>
      <c r="KY31" s="276"/>
      <c r="KZ31" s="276"/>
      <c r="LA31" s="276"/>
      <c r="LB31" s="276"/>
      <c r="LC31" s="276"/>
      <c r="LD31" s="276"/>
      <c r="LE31" s="276"/>
      <c r="LF31" s="276"/>
      <c r="LG31" s="276"/>
      <c r="LH31" s="276"/>
      <c r="LI31" s="276"/>
      <c r="LJ31" s="276"/>
      <c r="LK31" s="276"/>
      <c r="LL31" s="276"/>
      <c r="LM31" s="276"/>
      <c r="LN31" s="276"/>
      <c r="LO31" s="276"/>
      <c r="LP31" s="276"/>
      <c r="LQ31" s="276"/>
      <c r="LR31" s="276"/>
      <c r="LS31" s="276"/>
      <c r="LT31" s="276"/>
      <c r="LU31" s="276"/>
      <c r="LV31" s="276"/>
      <c r="LW31" s="276"/>
      <c r="LX31" s="276"/>
      <c r="LY31" s="276"/>
      <c r="LZ31" s="276"/>
      <c r="MA31" s="276"/>
      <c r="MB31" s="276"/>
      <c r="MC31" s="276"/>
      <c r="MD31" s="276"/>
      <c r="ME31" s="276"/>
      <c r="MF31" s="276"/>
      <c r="MG31" s="276"/>
      <c r="MH31" s="276"/>
      <c r="MI31" s="276"/>
      <c r="MJ31" s="276"/>
      <c r="MK31" s="276"/>
      <c r="ML31" s="276"/>
      <c r="MM31" s="276"/>
      <c r="MN31" s="276"/>
      <c r="MO31" s="276"/>
      <c r="MP31" s="276"/>
      <c r="MQ31" s="276"/>
      <c r="MR31" s="276"/>
      <c r="MS31" s="276"/>
      <c r="MT31" s="276"/>
      <c r="MU31" s="276"/>
      <c r="MV31" s="276"/>
      <c r="MW31" s="276"/>
      <c r="MX31" s="276"/>
      <c r="MY31" s="276"/>
      <c r="MZ31" s="276"/>
      <c r="NA31" s="276"/>
      <c r="NB31" s="276"/>
      <c r="NC31" s="276"/>
      <c r="ND31" s="276"/>
      <c r="NE31" s="276"/>
      <c r="NF31" s="276"/>
      <c r="NG31" s="276"/>
      <c r="NH31" s="276"/>
      <c r="NI31" s="276"/>
      <c r="NJ31" s="276"/>
      <c r="NK31" s="276"/>
      <c r="NL31" s="276"/>
      <c r="NM31" s="276"/>
      <c r="NN31" s="276"/>
      <c r="NO31" s="276"/>
      <c r="NP31" s="276"/>
      <c r="NQ31" s="276"/>
      <c r="NR31" s="276"/>
      <c r="NS31" s="276"/>
      <c r="NT31" s="276"/>
      <c r="NU31" s="276"/>
      <c r="NV31" s="276"/>
      <c r="NW31" s="276"/>
      <c r="NX31" s="276"/>
      <c r="NY31" s="276"/>
      <c r="NZ31" s="276"/>
      <c r="OA31" s="276"/>
      <c r="OB31" s="276"/>
      <c r="OC31" s="276"/>
      <c r="OD31" s="276"/>
      <c r="OE31" s="276"/>
      <c r="OF31" s="276"/>
      <c r="OG31" s="276"/>
      <c r="OH31" s="276"/>
      <c r="OI31" s="276"/>
      <c r="OJ31" s="276"/>
      <c r="OK31" s="276"/>
      <c r="OL31" s="276"/>
      <c r="OM31" s="276"/>
      <c r="ON31" s="276"/>
      <c r="OO31" s="276"/>
      <c r="OP31" s="276"/>
      <c r="OQ31" s="276"/>
      <c r="OR31" s="276"/>
      <c r="OS31" s="276"/>
      <c r="OT31" s="276"/>
      <c r="OU31" s="276"/>
      <c r="OV31" s="276"/>
      <c r="OW31" s="276"/>
      <c r="OX31" s="276"/>
      <c r="OY31" s="276"/>
      <c r="OZ31" s="276"/>
      <c r="PA31" s="276"/>
      <c r="PB31" s="276"/>
      <c r="PC31" s="276"/>
      <c r="PD31" s="276"/>
      <c r="PE31" s="276"/>
      <c r="PF31" s="276"/>
      <c r="PG31" s="276"/>
      <c r="PH31" s="276"/>
      <c r="PI31" s="276"/>
      <c r="PJ31" s="276"/>
      <c r="PK31" s="276"/>
      <c r="PL31" s="276"/>
      <c r="PM31" s="276"/>
      <c r="PN31" s="276"/>
      <c r="PO31" s="276"/>
      <c r="PP31" s="276"/>
      <c r="PQ31" s="276"/>
      <c r="PR31" s="276"/>
      <c r="PS31" s="276"/>
      <c r="PT31" s="276"/>
      <c r="PU31" s="276"/>
      <c r="PV31" s="276"/>
      <c r="PW31" s="276"/>
      <c r="PX31" s="276"/>
      <c r="PY31" s="276"/>
      <c r="PZ31" s="276"/>
      <c r="QA31" s="276"/>
      <c r="QB31" s="276"/>
      <c r="QC31" s="276"/>
      <c r="QD31" s="276"/>
      <c r="QE31" s="276"/>
      <c r="QF31" s="276"/>
      <c r="QG31" s="276"/>
      <c r="QH31" s="276"/>
      <c r="QI31" s="276"/>
      <c r="QJ31" s="276"/>
      <c r="QK31" s="276"/>
      <c r="QL31" s="276"/>
      <c r="QM31" s="276"/>
      <c r="QN31" s="276"/>
      <c r="QO31" s="276"/>
      <c r="QP31" s="276"/>
      <c r="QQ31" s="276"/>
      <c r="QR31" s="276"/>
      <c r="QS31" s="276"/>
      <c r="QT31" s="276"/>
      <c r="QU31" s="276"/>
      <c r="QV31" s="276"/>
      <c r="QW31" s="276"/>
      <c r="QX31" s="276"/>
      <c r="QY31" s="276"/>
      <c r="QZ31" s="276"/>
      <c r="RA31" s="276"/>
      <c r="RB31" s="276"/>
      <c r="RC31" s="276"/>
      <c r="RD31" s="276"/>
      <c r="RE31" s="276"/>
      <c r="RF31" s="276"/>
      <c r="RG31" s="276"/>
      <c r="RH31" s="276"/>
      <c r="RI31" s="276"/>
      <c r="RJ31" s="276"/>
      <c r="RK31" s="276"/>
      <c r="RL31" s="276"/>
      <c r="RM31" s="276"/>
      <c r="RN31" s="276"/>
      <c r="RO31" s="276"/>
      <c r="RP31" s="276"/>
      <c r="RQ31" s="276"/>
      <c r="RR31" s="276"/>
      <c r="RS31" s="276"/>
      <c r="RT31" s="276"/>
      <c r="RU31" s="276"/>
      <c r="RV31" s="276"/>
      <c r="RW31" s="276"/>
      <c r="RX31" s="276"/>
      <c r="RY31" s="276"/>
      <c r="RZ31" s="276"/>
      <c r="SA31" s="276"/>
      <c r="SB31" s="276"/>
      <c r="SC31" s="276"/>
      <c r="SD31" s="276"/>
      <c r="SE31" s="276"/>
      <c r="SF31" s="276"/>
      <c r="SG31" s="276"/>
      <c r="SH31" s="276"/>
      <c r="SI31" s="276"/>
      <c r="SJ31" s="276"/>
      <c r="SK31" s="276"/>
      <c r="SL31" s="276"/>
      <c r="SM31" s="276"/>
      <c r="SN31" s="276"/>
      <c r="SO31" s="276"/>
      <c r="SP31" s="276"/>
      <c r="SQ31" s="276"/>
      <c r="SR31" s="276"/>
      <c r="SS31" s="276"/>
      <c r="ST31" s="276"/>
      <c r="SU31" s="276"/>
      <c r="SV31" s="276"/>
      <c r="SW31" s="276"/>
      <c r="SX31" s="276"/>
      <c r="SY31" s="276"/>
      <c r="SZ31" s="276"/>
      <c r="TA31" s="276"/>
      <c r="TB31" s="276"/>
      <c r="TC31" s="276"/>
      <c r="TD31" s="276"/>
      <c r="TE31" s="276"/>
      <c r="TF31" s="276"/>
      <c r="TG31" s="276"/>
      <c r="TH31" s="276"/>
      <c r="TI31" s="276"/>
      <c r="TJ31" s="276"/>
      <c r="TK31" s="276"/>
      <c r="TL31" s="276"/>
      <c r="TM31" s="276"/>
      <c r="TN31" s="276"/>
      <c r="TO31" s="276"/>
      <c r="TP31" s="276"/>
      <c r="TQ31" s="276"/>
      <c r="TR31" s="276"/>
      <c r="TS31" s="276"/>
      <c r="TT31" s="276"/>
      <c r="TU31" s="276"/>
      <c r="TV31" s="276"/>
      <c r="TW31" s="276"/>
      <c r="TX31" s="276"/>
      <c r="TY31" s="276"/>
      <c r="TZ31" s="276"/>
      <c r="UA31" s="276"/>
      <c r="UB31" s="276"/>
      <c r="UC31" s="276"/>
      <c r="UD31" s="276"/>
      <c r="UE31" s="276"/>
      <c r="UF31" s="276"/>
      <c r="UG31" s="276"/>
      <c r="UH31" s="276"/>
      <c r="UI31" s="276"/>
      <c r="UJ31" s="276"/>
      <c r="UK31" s="276"/>
      <c r="UL31" s="276"/>
      <c r="UM31" s="276"/>
      <c r="UN31" s="276"/>
      <c r="UO31" s="276"/>
      <c r="UP31" s="276"/>
      <c r="UQ31" s="276"/>
      <c r="UR31" s="276"/>
      <c r="US31" s="276"/>
      <c r="UT31" s="276"/>
      <c r="UU31" s="276"/>
      <c r="UV31" s="276"/>
      <c r="UW31" s="276"/>
      <c r="UX31" s="276"/>
      <c r="UY31" s="209"/>
      <c r="UZ31" s="209"/>
      <c r="VA31" s="209"/>
      <c r="VB31" s="209"/>
      <c r="VC31" s="209"/>
      <c r="VD31" s="209"/>
      <c r="VE31" s="209"/>
      <c r="VF31" s="209"/>
      <c r="VG31" s="209"/>
      <c r="VH31" s="209"/>
      <c r="VI31" s="209"/>
      <c r="VJ31" s="209"/>
      <c r="VK31" s="209"/>
      <c r="VL31" s="209"/>
      <c r="VM31" s="209"/>
      <c r="VN31" s="209"/>
    </row>
    <row r="32" spans="1:586" ht="15" customHeight="1" x14ac:dyDescent="0.2">
      <c r="A32" s="69"/>
      <c r="E32" s="265"/>
      <c r="L32" s="69"/>
      <c r="R32" s="70"/>
      <c r="T32" s="69"/>
      <c r="V32" s="71"/>
      <c r="W32" s="69"/>
      <c r="X32" s="71"/>
      <c r="Y32" s="69"/>
      <c r="Z32" s="70"/>
      <c r="AB32" s="69"/>
      <c r="AD32" s="71"/>
      <c r="AE32" s="69"/>
      <c r="AF32" s="71"/>
      <c r="AG32" s="69"/>
      <c r="AH32" s="70"/>
      <c r="AJ32" s="69"/>
      <c r="AL32" s="71"/>
      <c r="AM32" s="69"/>
      <c r="AN32" s="71"/>
      <c r="AO32" s="69"/>
      <c r="AP32" s="70"/>
      <c r="AR32" s="69"/>
      <c r="AV32" s="277"/>
      <c r="AW32" s="209"/>
      <c r="AX32" s="209"/>
      <c r="AY32" s="209"/>
      <c r="AZ32" s="276"/>
      <c r="BA32" s="209"/>
      <c r="BB32" s="209"/>
      <c r="BC32" s="209"/>
      <c r="BD32" s="209"/>
      <c r="BE32" s="209"/>
      <c r="BF32" s="209"/>
      <c r="BG32" s="277"/>
      <c r="BH32" s="277"/>
      <c r="BI32" s="277"/>
      <c r="BJ32" s="277"/>
      <c r="BK32" s="277"/>
      <c r="BL32" s="277"/>
      <c r="BM32" s="277"/>
      <c r="BN32" s="277"/>
      <c r="BO32" s="277"/>
      <c r="BP32" s="277"/>
      <c r="BQ32" s="277"/>
      <c r="BR32" s="277"/>
      <c r="BS32" s="277"/>
      <c r="BT32" s="277"/>
      <c r="BU32" s="277"/>
      <c r="BV32" s="277"/>
      <c r="BW32" s="277"/>
      <c r="BX32" s="277"/>
      <c r="BY32" s="277"/>
      <c r="BZ32" s="277"/>
      <c r="CA32" s="277"/>
      <c r="CB32" s="277"/>
      <c r="CC32" s="277"/>
      <c r="CD32" s="277"/>
      <c r="CE32" s="277"/>
      <c r="CF32" s="277"/>
      <c r="CG32" s="277"/>
      <c r="CH32" s="277"/>
      <c r="CI32" s="277"/>
      <c r="CJ32" s="277"/>
      <c r="CK32" s="277"/>
      <c r="CL32" s="277"/>
      <c r="CM32" s="277"/>
      <c r="CN32" s="277"/>
      <c r="CO32" s="277"/>
      <c r="CP32" s="277"/>
      <c r="CQ32" s="277"/>
      <c r="CR32" s="277"/>
      <c r="CS32" s="277"/>
      <c r="CT32" s="277"/>
      <c r="CU32" s="277"/>
      <c r="CV32" s="277"/>
      <c r="CW32" s="277"/>
      <c r="CX32" s="277"/>
      <c r="CY32" s="277"/>
      <c r="CZ32" s="277"/>
      <c r="DA32" s="277"/>
      <c r="DB32" s="277"/>
      <c r="DC32" s="277"/>
      <c r="DD32" s="277"/>
      <c r="DE32" s="277"/>
      <c r="DF32" s="277"/>
      <c r="DG32" s="277"/>
      <c r="DH32" s="277"/>
      <c r="DI32" s="277"/>
      <c r="DJ32" s="277"/>
      <c r="DK32" s="277"/>
      <c r="DL32" s="277"/>
      <c r="DM32" s="277"/>
      <c r="DN32" s="277"/>
      <c r="DO32" s="277"/>
      <c r="DP32" s="277"/>
      <c r="DQ32" s="277"/>
      <c r="DR32" s="277"/>
      <c r="DS32" s="209"/>
      <c r="DT32" s="209"/>
      <c r="DU32" s="209"/>
      <c r="DV32" s="209"/>
      <c r="DW32" s="209"/>
      <c r="DX32" s="209"/>
      <c r="DY32" s="209"/>
      <c r="DZ32" s="209"/>
      <c r="EA32" s="209"/>
      <c r="EB32" s="209"/>
      <c r="EC32" s="209"/>
      <c r="ED32" s="209"/>
      <c r="EE32" s="209"/>
      <c r="EF32" s="209"/>
      <c r="EG32" s="209"/>
      <c r="EH32" s="209"/>
      <c r="EI32" s="209"/>
      <c r="EJ32" s="209"/>
      <c r="EK32" s="209"/>
      <c r="EL32" s="209"/>
      <c r="EM32" s="209"/>
      <c r="EN32" s="209"/>
      <c r="EO32" s="209"/>
      <c r="EP32" s="209"/>
      <c r="EQ32" s="209"/>
      <c r="ER32" s="209"/>
      <c r="ES32" s="209"/>
      <c r="ET32" s="209"/>
      <c r="EU32" s="209"/>
      <c r="EV32" s="209"/>
      <c r="EW32" s="209"/>
      <c r="EX32" s="209"/>
      <c r="EY32" s="209"/>
      <c r="EZ32" s="209"/>
      <c r="FA32" s="209"/>
      <c r="FB32" s="209"/>
      <c r="FC32" s="209"/>
      <c r="FD32" s="209"/>
      <c r="FE32" s="209"/>
      <c r="FF32" s="209"/>
      <c r="FG32" s="209"/>
      <c r="FH32" s="209"/>
      <c r="FI32" s="209"/>
      <c r="FJ32" s="209"/>
      <c r="FK32" s="209"/>
      <c r="FL32" s="209"/>
      <c r="FM32" s="209"/>
      <c r="FN32" s="209"/>
      <c r="FO32" s="209"/>
      <c r="FP32" s="209"/>
      <c r="FQ32" s="209"/>
      <c r="FR32" s="209"/>
      <c r="FS32" s="209"/>
      <c r="FT32" s="209"/>
      <c r="FU32" s="209"/>
      <c r="FV32" s="209"/>
      <c r="FW32" s="209"/>
      <c r="FX32" s="209"/>
      <c r="FY32" s="209"/>
      <c r="FZ32" s="209"/>
      <c r="GA32" s="209"/>
      <c r="GB32" s="209"/>
      <c r="GC32" s="209"/>
      <c r="GD32" s="209"/>
      <c r="GE32" s="276"/>
      <c r="GF32" s="276"/>
      <c r="GG32" s="276"/>
      <c r="GH32" s="276"/>
      <c r="GI32" s="276"/>
      <c r="GJ32" s="276"/>
      <c r="GK32" s="276"/>
      <c r="GL32" s="276"/>
      <c r="GM32" s="276"/>
      <c r="GN32" s="276"/>
      <c r="GO32" s="276"/>
      <c r="GP32" s="276"/>
      <c r="GQ32" s="276"/>
      <c r="GR32" s="276"/>
      <c r="GS32" s="276"/>
      <c r="GT32" s="276"/>
      <c r="GU32" s="276"/>
      <c r="GV32" s="276"/>
      <c r="GW32" s="276"/>
      <c r="GX32" s="276"/>
      <c r="GY32" s="276"/>
      <c r="GZ32" s="276"/>
      <c r="HA32" s="276"/>
      <c r="HB32" s="276"/>
      <c r="HC32" s="276"/>
      <c r="HD32" s="276"/>
      <c r="HE32" s="276"/>
      <c r="HF32" s="276"/>
      <c r="HG32" s="276"/>
      <c r="HH32" s="276"/>
      <c r="HI32" s="276"/>
      <c r="HJ32" s="276"/>
      <c r="HK32" s="276"/>
      <c r="HL32" s="276"/>
      <c r="HM32" s="276"/>
      <c r="HN32" s="276"/>
      <c r="HO32" s="276"/>
      <c r="HP32" s="276"/>
      <c r="HQ32" s="276"/>
      <c r="HR32" s="276"/>
      <c r="HS32" s="276"/>
      <c r="HT32" s="276"/>
      <c r="HU32" s="276"/>
      <c r="HV32" s="276"/>
      <c r="HW32" s="276"/>
      <c r="HX32" s="276"/>
      <c r="HY32" s="276"/>
      <c r="HZ32" s="276"/>
      <c r="IA32" s="276"/>
      <c r="IB32" s="276"/>
      <c r="IC32" s="276"/>
      <c r="ID32" s="276"/>
      <c r="IE32" s="276"/>
      <c r="IF32" s="276"/>
      <c r="IG32" s="276"/>
      <c r="IH32" s="276"/>
      <c r="II32" s="276"/>
      <c r="IJ32" s="276"/>
      <c r="IK32" s="276"/>
      <c r="IL32" s="276"/>
      <c r="IM32" s="276"/>
      <c r="IN32" s="276"/>
      <c r="IO32" s="276"/>
      <c r="IP32" s="276"/>
      <c r="IQ32" s="276"/>
      <c r="IR32" s="276"/>
      <c r="IS32" s="276"/>
      <c r="IT32" s="276"/>
      <c r="IU32" s="276"/>
      <c r="IV32" s="276"/>
      <c r="IW32" s="276"/>
      <c r="IX32" s="276"/>
      <c r="IY32" s="276"/>
      <c r="IZ32" s="276"/>
      <c r="JA32" s="276"/>
      <c r="JB32" s="276"/>
      <c r="JC32" s="276"/>
      <c r="JD32" s="276"/>
      <c r="JE32" s="276"/>
      <c r="JF32" s="276"/>
      <c r="JG32" s="276"/>
      <c r="JH32" s="276"/>
      <c r="JI32" s="276"/>
      <c r="JJ32" s="276"/>
      <c r="JK32" s="276"/>
      <c r="JL32" s="276"/>
      <c r="JM32" s="276"/>
      <c r="JN32" s="276"/>
      <c r="JO32" s="276"/>
      <c r="JP32" s="276"/>
      <c r="JQ32" s="276"/>
      <c r="JR32" s="276"/>
      <c r="JS32" s="276"/>
      <c r="JT32" s="276"/>
      <c r="JU32" s="276"/>
      <c r="JV32" s="276"/>
      <c r="JW32" s="276"/>
      <c r="JX32" s="276"/>
      <c r="JY32" s="276"/>
      <c r="JZ32" s="276"/>
      <c r="KA32" s="276"/>
      <c r="KB32" s="276"/>
      <c r="KC32" s="276"/>
      <c r="KD32" s="276"/>
      <c r="KE32" s="276"/>
      <c r="KF32" s="276"/>
      <c r="KG32" s="276"/>
      <c r="KH32" s="276"/>
      <c r="KI32" s="276"/>
      <c r="KJ32" s="276"/>
      <c r="KK32" s="276"/>
      <c r="KL32" s="276"/>
      <c r="KM32" s="276"/>
      <c r="KN32" s="276"/>
      <c r="KO32" s="276"/>
      <c r="KP32" s="276"/>
      <c r="KQ32" s="276"/>
      <c r="KR32" s="276"/>
      <c r="KS32" s="276"/>
      <c r="KT32" s="276"/>
      <c r="KU32" s="276"/>
      <c r="KV32" s="276"/>
      <c r="KW32" s="276"/>
      <c r="KX32" s="276"/>
      <c r="KY32" s="276"/>
      <c r="KZ32" s="276"/>
      <c r="LA32" s="276"/>
      <c r="LB32" s="276"/>
      <c r="LC32" s="276"/>
      <c r="LD32" s="276"/>
      <c r="LE32" s="276"/>
      <c r="LF32" s="276"/>
      <c r="LG32" s="276"/>
      <c r="LH32" s="276"/>
      <c r="LI32" s="276"/>
      <c r="LJ32" s="276"/>
      <c r="LK32" s="276"/>
      <c r="LL32" s="276"/>
      <c r="LM32" s="276"/>
      <c r="LN32" s="276"/>
      <c r="LO32" s="276"/>
      <c r="LP32" s="276"/>
      <c r="LQ32" s="276"/>
      <c r="LR32" s="276"/>
      <c r="LS32" s="276"/>
      <c r="LT32" s="276"/>
      <c r="LU32" s="276"/>
      <c r="LV32" s="276"/>
      <c r="LW32" s="276"/>
      <c r="LX32" s="276"/>
      <c r="LY32" s="276"/>
      <c r="LZ32" s="276"/>
      <c r="MA32" s="276"/>
      <c r="MB32" s="276"/>
      <c r="MC32" s="276"/>
      <c r="MD32" s="276"/>
      <c r="ME32" s="276"/>
      <c r="MF32" s="276"/>
      <c r="MG32" s="276"/>
      <c r="MH32" s="276"/>
      <c r="MI32" s="276"/>
      <c r="MJ32" s="276"/>
      <c r="MK32" s="276"/>
      <c r="ML32" s="276"/>
      <c r="MM32" s="276"/>
      <c r="MN32" s="276"/>
      <c r="MO32" s="276"/>
      <c r="MP32" s="276"/>
      <c r="MQ32" s="276"/>
      <c r="MR32" s="276"/>
      <c r="MS32" s="276"/>
      <c r="MT32" s="276"/>
      <c r="MU32" s="276"/>
      <c r="MV32" s="276"/>
      <c r="MW32" s="276"/>
      <c r="MX32" s="276"/>
      <c r="MY32" s="276"/>
      <c r="MZ32" s="276"/>
      <c r="NA32" s="276"/>
      <c r="NB32" s="276"/>
      <c r="NC32" s="276"/>
      <c r="ND32" s="276"/>
      <c r="NE32" s="276"/>
      <c r="NF32" s="276"/>
      <c r="NG32" s="276"/>
      <c r="NH32" s="276"/>
      <c r="NI32" s="276"/>
      <c r="NJ32" s="276"/>
      <c r="NK32" s="276"/>
      <c r="NL32" s="276"/>
      <c r="NM32" s="276"/>
      <c r="NN32" s="276"/>
      <c r="NO32" s="276"/>
      <c r="NP32" s="276"/>
      <c r="NQ32" s="276"/>
      <c r="NR32" s="276"/>
      <c r="NS32" s="276"/>
      <c r="NT32" s="276"/>
      <c r="NU32" s="276"/>
      <c r="NV32" s="276"/>
      <c r="NW32" s="276"/>
      <c r="NX32" s="276"/>
      <c r="NY32" s="276"/>
      <c r="NZ32" s="276"/>
      <c r="OA32" s="276"/>
      <c r="OB32" s="276"/>
      <c r="OC32" s="276"/>
      <c r="OD32" s="276"/>
      <c r="OE32" s="276"/>
      <c r="OF32" s="276"/>
      <c r="OG32" s="276"/>
      <c r="OH32" s="276"/>
      <c r="OI32" s="276"/>
      <c r="OJ32" s="276"/>
      <c r="OK32" s="276"/>
      <c r="OL32" s="276"/>
      <c r="OM32" s="276"/>
      <c r="ON32" s="276"/>
      <c r="OO32" s="276"/>
      <c r="OP32" s="276"/>
      <c r="OQ32" s="276"/>
      <c r="OR32" s="276"/>
      <c r="OS32" s="276"/>
      <c r="OT32" s="276"/>
      <c r="OU32" s="276"/>
      <c r="OV32" s="276"/>
      <c r="OW32" s="276"/>
      <c r="OX32" s="276"/>
      <c r="OY32" s="276"/>
      <c r="OZ32" s="276"/>
      <c r="PA32" s="276"/>
      <c r="PB32" s="276"/>
      <c r="PC32" s="276"/>
      <c r="PD32" s="276"/>
      <c r="PE32" s="276"/>
      <c r="PF32" s="276"/>
      <c r="PG32" s="276"/>
      <c r="PH32" s="276"/>
      <c r="PI32" s="276"/>
      <c r="PJ32" s="276"/>
      <c r="PK32" s="276"/>
      <c r="PL32" s="276"/>
      <c r="PM32" s="276"/>
      <c r="PN32" s="276"/>
      <c r="PO32" s="276"/>
      <c r="PP32" s="276"/>
      <c r="PQ32" s="276"/>
      <c r="PR32" s="276"/>
      <c r="PS32" s="276"/>
      <c r="PT32" s="276"/>
      <c r="PU32" s="276"/>
      <c r="PV32" s="276"/>
      <c r="PW32" s="276"/>
      <c r="PX32" s="276"/>
      <c r="PY32" s="276"/>
      <c r="PZ32" s="276"/>
      <c r="QA32" s="276"/>
      <c r="QB32" s="276"/>
      <c r="QC32" s="276"/>
      <c r="QD32" s="276"/>
      <c r="QE32" s="276"/>
      <c r="QF32" s="276"/>
      <c r="QG32" s="276"/>
      <c r="QH32" s="276"/>
      <c r="QI32" s="276"/>
      <c r="QJ32" s="276"/>
      <c r="QK32" s="276"/>
      <c r="QL32" s="276"/>
      <c r="QM32" s="276"/>
      <c r="QN32" s="276"/>
      <c r="QO32" s="276"/>
      <c r="QP32" s="276"/>
      <c r="QQ32" s="276"/>
      <c r="QR32" s="276"/>
      <c r="QS32" s="276"/>
      <c r="QT32" s="276"/>
      <c r="QU32" s="276"/>
      <c r="QV32" s="276"/>
      <c r="QW32" s="276"/>
      <c r="QX32" s="276"/>
      <c r="QY32" s="276"/>
      <c r="QZ32" s="276"/>
      <c r="RA32" s="276"/>
      <c r="RB32" s="276"/>
      <c r="RC32" s="276"/>
      <c r="RD32" s="276"/>
      <c r="RE32" s="276"/>
      <c r="RF32" s="276"/>
      <c r="RG32" s="276"/>
      <c r="RH32" s="276"/>
      <c r="RI32" s="276"/>
      <c r="RJ32" s="276"/>
      <c r="RK32" s="276"/>
      <c r="RL32" s="276"/>
      <c r="RM32" s="276"/>
      <c r="RN32" s="276"/>
      <c r="RO32" s="276"/>
      <c r="RP32" s="276"/>
      <c r="RQ32" s="276"/>
      <c r="RR32" s="276"/>
      <c r="RS32" s="276"/>
      <c r="RT32" s="276"/>
      <c r="RU32" s="276"/>
      <c r="RV32" s="276"/>
      <c r="RW32" s="276"/>
      <c r="RX32" s="276"/>
      <c r="RY32" s="276"/>
      <c r="RZ32" s="276"/>
      <c r="SA32" s="276"/>
      <c r="SB32" s="276"/>
      <c r="SC32" s="276"/>
      <c r="SD32" s="276"/>
      <c r="SE32" s="276"/>
      <c r="SF32" s="276"/>
      <c r="SG32" s="276"/>
      <c r="SH32" s="276"/>
      <c r="SI32" s="276"/>
      <c r="SJ32" s="276"/>
      <c r="SK32" s="276"/>
      <c r="SL32" s="276"/>
      <c r="SM32" s="276"/>
      <c r="SN32" s="276"/>
      <c r="SO32" s="276"/>
      <c r="SP32" s="276"/>
      <c r="SQ32" s="276"/>
      <c r="SR32" s="276"/>
      <c r="SS32" s="276"/>
      <c r="ST32" s="276"/>
      <c r="SU32" s="276"/>
      <c r="SV32" s="276"/>
      <c r="SW32" s="276"/>
      <c r="SX32" s="276"/>
      <c r="SY32" s="276"/>
      <c r="SZ32" s="276"/>
      <c r="TA32" s="276"/>
      <c r="TB32" s="276"/>
      <c r="TC32" s="276"/>
      <c r="TD32" s="276"/>
      <c r="TE32" s="276"/>
      <c r="TF32" s="276"/>
      <c r="TG32" s="276"/>
      <c r="TH32" s="276"/>
      <c r="TI32" s="276"/>
      <c r="TJ32" s="276"/>
      <c r="TK32" s="276"/>
      <c r="TL32" s="276"/>
      <c r="TM32" s="276"/>
      <c r="TN32" s="276"/>
      <c r="TO32" s="276"/>
      <c r="TP32" s="276"/>
      <c r="TQ32" s="276"/>
      <c r="TR32" s="276"/>
      <c r="TS32" s="276"/>
      <c r="TT32" s="276"/>
      <c r="TU32" s="276"/>
      <c r="TV32" s="276"/>
      <c r="TW32" s="276"/>
      <c r="TX32" s="276"/>
      <c r="TY32" s="276"/>
      <c r="TZ32" s="276"/>
      <c r="UA32" s="276"/>
      <c r="UB32" s="276"/>
      <c r="UC32" s="276"/>
      <c r="UD32" s="276"/>
      <c r="UE32" s="276"/>
      <c r="UF32" s="276"/>
      <c r="UG32" s="276"/>
      <c r="UH32" s="276"/>
      <c r="UI32" s="276"/>
      <c r="UJ32" s="276"/>
      <c r="UK32" s="276"/>
      <c r="UL32" s="276"/>
      <c r="UM32" s="276"/>
      <c r="UN32" s="276"/>
      <c r="UO32" s="276"/>
      <c r="UP32" s="276"/>
      <c r="UQ32" s="276"/>
      <c r="UR32" s="276"/>
      <c r="US32" s="276"/>
      <c r="UT32" s="276"/>
      <c r="UU32" s="276"/>
      <c r="UV32" s="276"/>
      <c r="UW32" s="276"/>
      <c r="UX32" s="276"/>
      <c r="UY32" s="209"/>
      <c r="UZ32" s="209"/>
      <c r="VA32" s="209"/>
      <c r="VB32" s="209"/>
      <c r="VC32" s="209"/>
      <c r="VD32" s="209"/>
      <c r="VE32" s="209"/>
      <c r="VF32" s="209"/>
      <c r="VG32" s="209"/>
      <c r="VH32" s="209"/>
      <c r="VI32" s="209"/>
      <c r="VJ32" s="209"/>
      <c r="VK32" s="209"/>
      <c r="VL32" s="209"/>
      <c r="VM32" s="209"/>
      <c r="VN32" s="209"/>
    </row>
    <row r="33" spans="1:586" ht="15" customHeight="1" x14ac:dyDescent="0.2">
      <c r="A33" s="69"/>
      <c r="E33" s="265"/>
      <c r="L33" s="69"/>
      <c r="R33" s="70"/>
      <c r="T33" s="69"/>
      <c r="V33" s="71"/>
      <c r="W33" s="69"/>
      <c r="X33" s="71"/>
      <c r="Y33" s="69"/>
      <c r="Z33" s="70"/>
      <c r="AB33" s="69"/>
      <c r="AD33" s="71"/>
      <c r="AE33" s="69"/>
      <c r="AF33" s="71"/>
      <c r="AG33" s="69"/>
      <c r="AH33" s="70"/>
      <c r="AJ33" s="69"/>
      <c r="AL33" s="71"/>
      <c r="AM33" s="69"/>
      <c r="AN33" s="71"/>
      <c r="AO33" s="69"/>
      <c r="AP33" s="70"/>
      <c r="AR33" s="69"/>
      <c r="AV33" s="277"/>
      <c r="AW33" s="209"/>
      <c r="AX33" s="209"/>
      <c r="AY33" s="209"/>
      <c r="AZ33" s="276"/>
      <c r="BA33" s="209"/>
      <c r="BB33" s="209"/>
      <c r="BC33" s="209"/>
      <c r="BD33" s="209"/>
      <c r="BE33" s="209"/>
      <c r="BF33" s="209"/>
      <c r="BG33" s="277"/>
      <c r="BH33" s="277"/>
      <c r="BI33" s="277"/>
      <c r="BJ33" s="277"/>
      <c r="BK33" s="277"/>
      <c r="BL33" s="277"/>
      <c r="BM33" s="277"/>
      <c r="BN33" s="277"/>
      <c r="BO33" s="277"/>
      <c r="BP33" s="277"/>
      <c r="BQ33" s="277"/>
      <c r="BR33" s="277"/>
      <c r="BS33" s="277"/>
      <c r="BT33" s="277"/>
      <c r="BU33" s="277"/>
      <c r="BV33" s="277"/>
      <c r="BW33" s="277"/>
      <c r="BX33" s="277"/>
      <c r="BY33" s="277"/>
      <c r="BZ33" s="277"/>
      <c r="CA33" s="277"/>
      <c r="CB33" s="277"/>
      <c r="CC33" s="277"/>
      <c r="CD33" s="277"/>
      <c r="CE33" s="277"/>
      <c r="CF33" s="277"/>
      <c r="CG33" s="277"/>
      <c r="CH33" s="277"/>
      <c r="CI33" s="277"/>
      <c r="CJ33" s="277"/>
      <c r="CK33" s="277"/>
      <c r="CL33" s="277"/>
      <c r="CM33" s="277"/>
      <c r="CN33" s="277"/>
      <c r="CO33" s="277"/>
      <c r="CP33" s="277"/>
      <c r="CQ33" s="277"/>
      <c r="CR33" s="277"/>
      <c r="CS33" s="277"/>
      <c r="CT33" s="277"/>
      <c r="CU33" s="277"/>
      <c r="CV33" s="277"/>
      <c r="CW33" s="277"/>
      <c r="CX33" s="277"/>
      <c r="CY33" s="277"/>
      <c r="CZ33" s="277"/>
      <c r="DA33" s="277"/>
      <c r="DB33" s="277"/>
      <c r="DC33" s="277"/>
      <c r="DD33" s="277"/>
      <c r="DE33" s="277"/>
      <c r="DF33" s="277"/>
      <c r="DG33" s="277"/>
      <c r="DH33" s="277"/>
      <c r="DI33" s="277"/>
      <c r="DJ33" s="277"/>
      <c r="DK33" s="277"/>
      <c r="DL33" s="277"/>
      <c r="DM33" s="277"/>
      <c r="DN33" s="277"/>
      <c r="DO33" s="277"/>
      <c r="DP33" s="277"/>
      <c r="DQ33" s="277"/>
      <c r="DR33" s="277"/>
      <c r="DS33" s="209"/>
      <c r="DT33" s="209"/>
      <c r="DU33" s="209"/>
      <c r="DV33" s="209"/>
      <c r="DW33" s="209"/>
      <c r="DX33" s="209"/>
      <c r="DY33" s="209"/>
      <c r="DZ33" s="209"/>
      <c r="EA33" s="209"/>
      <c r="EB33" s="209"/>
      <c r="EC33" s="209"/>
      <c r="ED33" s="209"/>
      <c r="EE33" s="209"/>
      <c r="EF33" s="209"/>
      <c r="EG33" s="209"/>
      <c r="EH33" s="209"/>
      <c r="EI33" s="209"/>
      <c r="EJ33" s="209"/>
      <c r="EK33" s="209"/>
      <c r="EL33" s="209"/>
      <c r="EM33" s="209"/>
      <c r="EN33" s="209"/>
      <c r="EO33" s="209"/>
      <c r="EP33" s="209"/>
      <c r="EQ33" s="209"/>
      <c r="ER33" s="209"/>
      <c r="ES33" s="209"/>
      <c r="ET33" s="209"/>
      <c r="EU33" s="209"/>
      <c r="EV33" s="209"/>
      <c r="EW33" s="209"/>
      <c r="EX33" s="209"/>
      <c r="EY33" s="209"/>
      <c r="EZ33" s="209"/>
      <c r="FA33" s="209"/>
      <c r="FB33" s="209"/>
      <c r="FC33" s="209"/>
      <c r="FD33" s="209"/>
      <c r="FE33" s="209"/>
      <c r="FF33" s="209"/>
      <c r="FG33" s="209"/>
      <c r="FH33" s="209"/>
      <c r="FI33" s="209"/>
      <c r="FJ33" s="209"/>
      <c r="FK33" s="209"/>
      <c r="FL33" s="209"/>
      <c r="FM33" s="209"/>
      <c r="FN33" s="209"/>
      <c r="FO33" s="209"/>
      <c r="FP33" s="209"/>
      <c r="FQ33" s="209"/>
      <c r="FR33" s="209"/>
      <c r="FS33" s="209"/>
      <c r="FT33" s="209"/>
      <c r="FU33" s="209"/>
      <c r="FV33" s="209"/>
      <c r="FW33" s="209"/>
      <c r="FX33" s="209"/>
      <c r="FY33" s="209"/>
      <c r="FZ33" s="209"/>
      <c r="GA33" s="209"/>
      <c r="GB33" s="209"/>
      <c r="GC33" s="209"/>
      <c r="GD33" s="209"/>
      <c r="GE33" s="276"/>
      <c r="GF33" s="276"/>
      <c r="GG33" s="276"/>
      <c r="GH33" s="276"/>
      <c r="GI33" s="276"/>
      <c r="GJ33" s="276"/>
      <c r="GK33" s="276"/>
      <c r="GL33" s="276"/>
      <c r="GM33" s="276"/>
      <c r="GN33" s="276"/>
      <c r="GO33" s="276"/>
      <c r="GP33" s="276"/>
      <c r="GQ33" s="276"/>
      <c r="GR33" s="276"/>
      <c r="GS33" s="276"/>
      <c r="GT33" s="276"/>
      <c r="GU33" s="276"/>
      <c r="GV33" s="276"/>
      <c r="GW33" s="276"/>
      <c r="GX33" s="276"/>
      <c r="GY33" s="276"/>
      <c r="GZ33" s="276"/>
      <c r="HA33" s="276"/>
      <c r="HB33" s="276"/>
      <c r="HC33" s="276"/>
      <c r="HD33" s="276"/>
      <c r="HE33" s="276"/>
      <c r="HF33" s="276"/>
      <c r="HG33" s="276"/>
      <c r="HH33" s="276"/>
      <c r="HI33" s="276"/>
      <c r="HJ33" s="276"/>
      <c r="HK33" s="276"/>
      <c r="HL33" s="276"/>
      <c r="HM33" s="276"/>
      <c r="HN33" s="276"/>
      <c r="HO33" s="276"/>
      <c r="HP33" s="276"/>
      <c r="HQ33" s="276"/>
      <c r="HR33" s="276"/>
      <c r="HS33" s="276"/>
      <c r="HT33" s="276"/>
      <c r="HU33" s="276"/>
      <c r="HV33" s="276"/>
      <c r="HW33" s="276"/>
      <c r="HX33" s="276"/>
      <c r="HY33" s="276"/>
      <c r="HZ33" s="276"/>
      <c r="IA33" s="276"/>
      <c r="IB33" s="276"/>
      <c r="IC33" s="276"/>
      <c r="ID33" s="276"/>
      <c r="IE33" s="276"/>
      <c r="IF33" s="276"/>
      <c r="IG33" s="276"/>
      <c r="IH33" s="276"/>
      <c r="II33" s="276"/>
      <c r="IJ33" s="276"/>
      <c r="IK33" s="276"/>
      <c r="IL33" s="276"/>
      <c r="IM33" s="276"/>
      <c r="IN33" s="276"/>
      <c r="IO33" s="276"/>
      <c r="IP33" s="276"/>
      <c r="IQ33" s="276"/>
      <c r="IR33" s="276"/>
      <c r="IS33" s="276"/>
      <c r="IT33" s="276"/>
      <c r="IU33" s="276"/>
      <c r="IV33" s="276"/>
      <c r="IW33" s="276"/>
      <c r="IX33" s="276"/>
      <c r="IY33" s="276"/>
      <c r="IZ33" s="276"/>
      <c r="JA33" s="276"/>
      <c r="JB33" s="276"/>
      <c r="JC33" s="276"/>
      <c r="JD33" s="276"/>
      <c r="JE33" s="276"/>
      <c r="JF33" s="276"/>
      <c r="JG33" s="276"/>
      <c r="JH33" s="276"/>
      <c r="JI33" s="276"/>
      <c r="JJ33" s="276"/>
      <c r="JK33" s="276"/>
      <c r="JL33" s="276"/>
      <c r="JM33" s="276"/>
      <c r="JN33" s="276"/>
      <c r="JO33" s="276"/>
      <c r="JP33" s="276"/>
      <c r="JQ33" s="276"/>
      <c r="JR33" s="276"/>
      <c r="JS33" s="276"/>
      <c r="JT33" s="276"/>
      <c r="JU33" s="276"/>
      <c r="JV33" s="276"/>
      <c r="JW33" s="276"/>
      <c r="JX33" s="276"/>
      <c r="JY33" s="276"/>
      <c r="JZ33" s="276"/>
      <c r="KA33" s="276"/>
      <c r="KB33" s="276"/>
      <c r="KC33" s="276"/>
      <c r="KD33" s="276"/>
      <c r="KE33" s="276"/>
      <c r="KF33" s="276"/>
      <c r="KG33" s="276"/>
      <c r="KH33" s="276"/>
      <c r="KI33" s="276"/>
      <c r="KJ33" s="276"/>
      <c r="KK33" s="276"/>
      <c r="KL33" s="276"/>
      <c r="KM33" s="276"/>
      <c r="KN33" s="276"/>
      <c r="KO33" s="276"/>
      <c r="KP33" s="276"/>
      <c r="KQ33" s="276"/>
      <c r="KR33" s="276"/>
      <c r="KS33" s="276"/>
      <c r="KT33" s="276"/>
      <c r="KU33" s="276"/>
      <c r="KV33" s="276"/>
      <c r="KW33" s="276"/>
      <c r="KX33" s="276"/>
      <c r="KY33" s="276"/>
      <c r="KZ33" s="276"/>
      <c r="LA33" s="276"/>
      <c r="LB33" s="276"/>
      <c r="LC33" s="276"/>
      <c r="LD33" s="276"/>
      <c r="LE33" s="276"/>
      <c r="LF33" s="276"/>
      <c r="LG33" s="276"/>
      <c r="LH33" s="276"/>
      <c r="LI33" s="276"/>
      <c r="LJ33" s="276"/>
      <c r="LK33" s="276"/>
      <c r="LL33" s="276"/>
      <c r="LM33" s="276"/>
      <c r="LN33" s="276"/>
      <c r="LO33" s="276"/>
      <c r="LP33" s="276"/>
      <c r="LQ33" s="276"/>
      <c r="LR33" s="276"/>
      <c r="LS33" s="276"/>
      <c r="LT33" s="276"/>
      <c r="LU33" s="276"/>
      <c r="LV33" s="276"/>
      <c r="LW33" s="276"/>
      <c r="LX33" s="276"/>
      <c r="LY33" s="276"/>
      <c r="LZ33" s="276"/>
      <c r="MA33" s="276"/>
      <c r="MB33" s="276"/>
      <c r="MC33" s="276"/>
      <c r="MD33" s="276"/>
      <c r="ME33" s="276"/>
      <c r="MF33" s="276"/>
      <c r="MG33" s="276"/>
      <c r="MH33" s="276"/>
      <c r="MI33" s="276"/>
      <c r="MJ33" s="276"/>
      <c r="MK33" s="276"/>
      <c r="ML33" s="276"/>
      <c r="MM33" s="276"/>
      <c r="MN33" s="276"/>
      <c r="MO33" s="276"/>
      <c r="MP33" s="276"/>
      <c r="MQ33" s="276"/>
      <c r="MR33" s="276"/>
      <c r="MS33" s="276"/>
      <c r="MT33" s="276"/>
      <c r="MU33" s="276"/>
      <c r="MV33" s="276"/>
      <c r="MW33" s="276"/>
      <c r="MX33" s="276"/>
      <c r="MY33" s="276"/>
      <c r="MZ33" s="276"/>
      <c r="NA33" s="276"/>
      <c r="NB33" s="276"/>
      <c r="NC33" s="276"/>
      <c r="ND33" s="276"/>
      <c r="NE33" s="276"/>
      <c r="NF33" s="276"/>
      <c r="NG33" s="276"/>
      <c r="NH33" s="276"/>
      <c r="NI33" s="276"/>
      <c r="NJ33" s="276"/>
      <c r="NK33" s="276"/>
      <c r="NL33" s="276"/>
      <c r="NM33" s="276"/>
      <c r="NN33" s="276"/>
      <c r="NO33" s="276"/>
      <c r="NP33" s="276"/>
      <c r="NQ33" s="276"/>
      <c r="NR33" s="276"/>
      <c r="NS33" s="276"/>
      <c r="NT33" s="276"/>
      <c r="NU33" s="276"/>
      <c r="NV33" s="276"/>
      <c r="NW33" s="276"/>
      <c r="NX33" s="276"/>
      <c r="NY33" s="276"/>
      <c r="NZ33" s="276"/>
      <c r="OA33" s="276"/>
      <c r="OB33" s="276"/>
      <c r="OC33" s="276"/>
      <c r="OD33" s="276"/>
      <c r="OE33" s="276"/>
      <c r="OF33" s="276"/>
      <c r="OG33" s="276"/>
      <c r="OH33" s="276"/>
      <c r="OI33" s="276"/>
      <c r="OJ33" s="276"/>
      <c r="OK33" s="276"/>
      <c r="OL33" s="276"/>
      <c r="OM33" s="276"/>
      <c r="ON33" s="276"/>
      <c r="OO33" s="276"/>
      <c r="OP33" s="276"/>
      <c r="OQ33" s="276"/>
      <c r="OR33" s="276"/>
      <c r="OS33" s="276"/>
      <c r="OT33" s="276"/>
      <c r="OU33" s="276"/>
      <c r="OV33" s="276"/>
      <c r="OW33" s="276"/>
      <c r="OX33" s="276"/>
      <c r="OY33" s="276"/>
      <c r="OZ33" s="276"/>
      <c r="PA33" s="276"/>
      <c r="PB33" s="276"/>
      <c r="PC33" s="276"/>
      <c r="PD33" s="276"/>
      <c r="PE33" s="276"/>
      <c r="PF33" s="276"/>
      <c r="PG33" s="276"/>
      <c r="PH33" s="276"/>
      <c r="PI33" s="276"/>
      <c r="PJ33" s="276"/>
      <c r="PK33" s="276"/>
      <c r="PL33" s="276"/>
      <c r="PM33" s="276"/>
      <c r="PN33" s="276"/>
      <c r="PO33" s="276"/>
      <c r="PP33" s="276"/>
      <c r="PQ33" s="276"/>
      <c r="PR33" s="276"/>
      <c r="PS33" s="276"/>
      <c r="PT33" s="276"/>
      <c r="PU33" s="276"/>
      <c r="PV33" s="276"/>
      <c r="PW33" s="276"/>
      <c r="PX33" s="276"/>
      <c r="PY33" s="276"/>
      <c r="PZ33" s="276"/>
      <c r="QA33" s="276"/>
      <c r="QB33" s="276"/>
      <c r="QC33" s="276"/>
      <c r="QD33" s="276"/>
      <c r="QE33" s="276"/>
      <c r="QF33" s="276"/>
      <c r="QG33" s="276"/>
      <c r="QH33" s="276"/>
      <c r="QI33" s="276"/>
      <c r="QJ33" s="276"/>
      <c r="QK33" s="276"/>
      <c r="QL33" s="276"/>
      <c r="QM33" s="276"/>
      <c r="QN33" s="276"/>
      <c r="QO33" s="276"/>
      <c r="QP33" s="276"/>
      <c r="QQ33" s="276"/>
      <c r="QR33" s="276"/>
      <c r="QS33" s="276"/>
      <c r="QT33" s="276"/>
      <c r="QU33" s="276"/>
      <c r="QV33" s="276"/>
      <c r="QW33" s="276"/>
      <c r="QX33" s="276"/>
      <c r="QY33" s="276"/>
      <c r="QZ33" s="276"/>
      <c r="RA33" s="276"/>
      <c r="RB33" s="276"/>
      <c r="RC33" s="276"/>
      <c r="RD33" s="276"/>
      <c r="RE33" s="276"/>
      <c r="RF33" s="276"/>
      <c r="RG33" s="276"/>
      <c r="RH33" s="276"/>
      <c r="RI33" s="276"/>
      <c r="RJ33" s="276"/>
      <c r="RK33" s="276"/>
      <c r="RL33" s="276"/>
      <c r="RM33" s="276"/>
      <c r="RN33" s="276"/>
      <c r="RO33" s="276"/>
      <c r="RP33" s="276"/>
      <c r="RQ33" s="276"/>
      <c r="RR33" s="276"/>
      <c r="RS33" s="276"/>
      <c r="RT33" s="276"/>
      <c r="RU33" s="276"/>
      <c r="RV33" s="276"/>
      <c r="RW33" s="276"/>
      <c r="RX33" s="276"/>
      <c r="RY33" s="276"/>
      <c r="RZ33" s="276"/>
      <c r="SA33" s="276"/>
      <c r="SB33" s="276"/>
      <c r="SC33" s="276"/>
      <c r="SD33" s="276"/>
      <c r="SE33" s="276"/>
      <c r="SF33" s="276"/>
      <c r="SG33" s="276"/>
      <c r="SH33" s="276"/>
      <c r="SI33" s="276"/>
      <c r="SJ33" s="276"/>
      <c r="SK33" s="276"/>
      <c r="SL33" s="276"/>
      <c r="SM33" s="276"/>
      <c r="SN33" s="276"/>
      <c r="SO33" s="276"/>
      <c r="SP33" s="276"/>
      <c r="SQ33" s="276"/>
      <c r="SR33" s="276"/>
      <c r="SS33" s="276"/>
      <c r="ST33" s="276"/>
      <c r="SU33" s="276"/>
      <c r="SV33" s="276"/>
      <c r="SW33" s="276"/>
      <c r="SX33" s="276"/>
      <c r="SY33" s="276"/>
      <c r="SZ33" s="276"/>
      <c r="TA33" s="276"/>
      <c r="TB33" s="276"/>
      <c r="TC33" s="276"/>
      <c r="TD33" s="276"/>
      <c r="TE33" s="276"/>
      <c r="TF33" s="276"/>
      <c r="TG33" s="276"/>
      <c r="TH33" s="276"/>
      <c r="TI33" s="276"/>
      <c r="TJ33" s="276"/>
      <c r="TK33" s="276"/>
      <c r="TL33" s="276"/>
      <c r="TM33" s="276"/>
      <c r="TN33" s="276"/>
      <c r="TO33" s="276"/>
      <c r="TP33" s="276"/>
      <c r="TQ33" s="276"/>
      <c r="TR33" s="276"/>
      <c r="TS33" s="276"/>
      <c r="TT33" s="276"/>
      <c r="TU33" s="276"/>
      <c r="TV33" s="276"/>
      <c r="TW33" s="276"/>
      <c r="TX33" s="276"/>
      <c r="TY33" s="276"/>
      <c r="TZ33" s="276"/>
      <c r="UA33" s="276"/>
      <c r="UB33" s="276"/>
      <c r="UC33" s="276"/>
      <c r="UD33" s="276"/>
      <c r="UE33" s="276"/>
      <c r="UF33" s="276"/>
      <c r="UG33" s="276"/>
      <c r="UH33" s="276"/>
      <c r="UI33" s="276"/>
      <c r="UJ33" s="276"/>
      <c r="UK33" s="276"/>
      <c r="UL33" s="276"/>
      <c r="UM33" s="276"/>
      <c r="UN33" s="276"/>
      <c r="UO33" s="276"/>
      <c r="UP33" s="276"/>
      <c r="UQ33" s="276"/>
      <c r="UR33" s="276"/>
      <c r="US33" s="276"/>
      <c r="UT33" s="276"/>
      <c r="UU33" s="276"/>
      <c r="UV33" s="276"/>
      <c r="UW33" s="276"/>
      <c r="UX33" s="276"/>
      <c r="UY33" s="209"/>
      <c r="UZ33" s="209"/>
      <c r="VA33" s="209"/>
      <c r="VB33" s="209"/>
      <c r="VC33" s="209"/>
      <c r="VD33" s="209"/>
      <c r="VE33" s="209"/>
      <c r="VF33" s="209"/>
      <c r="VG33" s="209"/>
      <c r="VH33" s="209"/>
      <c r="VI33" s="209"/>
      <c r="VJ33" s="209"/>
      <c r="VK33" s="209"/>
      <c r="VL33" s="209"/>
      <c r="VM33" s="209"/>
      <c r="VN33" s="209"/>
    </row>
    <row r="34" spans="1:586" ht="15" customHeight="1" x14ac:dyDescent="0.2">
      <c r="A34" s="69"/>
      <c r="E34" s="265"/>
      <c r="L34" s="69"/>
      <c r="R34" s="70"/>
      <c r="T34" s="69"/>
      <c r="V34" s="71"/>
      <c r="W34" s="69"/>
      <c r="X34" s="71"/>
      <c r="Y34" s="69"/>
      <c r="Z34" s="70"/>
      <c r="AB34" s="69"/>
      <c r="AD34" s="71"/>
      <c r="AE34" s="69"/>
      <c r="AF34" s="71"/>
      <c r="AG34" s="69"/>
      <c r="AH34" s="70"/>
      <c r="AJ34" s="69"/>
      <c r="AL34" s="71"/>
      <c r="AM34" s="69"/>
      <c r="AN34" s="71"/>
      <c r="AO34" s="69"/>
      <c r="AP34" s="70"/>
      <c r="AR34" s="69"/>
      <c r="AV34" s="277"/>
      <c r="AW34" s="209"/>
      <c r="AX34" s="209"/>
      <c r="AY34" s="209"/>
      <c r="AZ34" s="276"/>
      <c r="BA34" s="209"/>
      <c r="BB34" s="209"/>
      <c r="BC34" s="209"/>
      <c r="BD34" s="209"/>
      <c r="BE34" s="209"/>
      <c r="BF34" s="209"/>
      <c r="BG34" s="277"/>
      <c r="BH34" s="277"/>
      <c r="BI34" s="277"/>
      <c r="BJ34" s="277"/>
      <c r="BK34" s="277"/>
      <c r="BL34" s="277"/>
      <c r="BM34" s="277"/>
      <c r="BN34" s="277"/>
      <c r="BO34" s="277"/>
      <c r="BP34" s="277"/>
      <c r="BQ34" s="277"/>
      <c r="BR34" s="277"/>
      <c r="BS34" s="277"/>
      <c r="BT34" s="277"/>
      <c r="BU34" s="277"/>
      <c r="BV34" s="277"/>
      <c r="BW34" s="277"/>
      <c r="BX34" s="277"/>
      <c r="BY34" s="277"/>
      <c r="BZ34" s="277"/>
      <c r="CA34" s="277"/>
      <c r="CB34" s="277"/>
      <c r="CC34" s="277"/>
      <c r="CD34" s="277"/>
      <c r="CE34" s="277"/>
      <c r="CF34" s="277"/>
      <c r="CG34" s="277"/>
      <c r="CH34" s="277"/>
      <c r="CI34" s="277"/>
      <c r="CJ34" s="277"/>
      <c r="CK34" s="277"/>
      <c r="CL34" s="277"/>
      <c r="CM34" s="277"/>
      <c r="CN34" s="277"/>
      <c r="CO34" s="277"/>
      <c r="CP34" s="277"/>
      <c r="CQ34" s="277"/>
      <c r="CR34" s="277"/>
      <c r="CS34" s="277"/>
      <c r="CT34" s="277"/>
      <c r="CU34" s="277"/>
      <c r="CV34" s="277"/>
      <c r="CW34" s="277"/>
      <c r="CX34" s="277"/>
      <c r="CY34" s="277"/>
      <c r="CZ34" s="277"/>
      <c r="DA34" s="277"/>
      <c r="DB34" s="277"/>
      <c r="DC34" s="277"/>
      <c r="DD34" s="277"/>
      <c r="DE34" s="277"/>
      <c r="DF34" s="277"/>
      <c r="DG34" s="277"/>
      <c r="DH34" s="277"/>
      <c r="DI34" s="277"/>
      <c r="DJ34" s="277"/>
      <c r="DK34" s="277"/>
      <c r="DL34" s="277"/>
      <c r="DM34" s="277"/>
      <c r="DN34" s="277"/>
      <c r="DO34" s="277"/>
      <c r="DP34" s="277"/>
      <c r="DQ34" s="277"/>
      <c r="DR34" s="277"/>
      <c r="DS34" s="209"/>
      <c r="DT34" s="209"/>
      <c r="DU34" s="209"/>
      <c r="DV34" s="209"/>
      <c r="DW34" s="209"/>
      <c r="DX34" s="209"/>
      <c r="DY34" s="209"/>
      <c r="DZ34" s="209"/>
      <c r="EA34" s="209"/>
      <c r="EB34" s="209"/>
      <c r="EC34" s="209"/>
      <c r="ED34" s="209"/>
      <c r="EE34" s="209"/>
      <c r="EF34" s="209"/>
      <c r="EG34" s="209"/>
      <c r="EH34" s="209"/>
      <c r="EI34" s="209"/>
      <c r="EJ34" s="209"/>
      <c r="EK34" s="209"/>
      <c r="EL34" s="209"/>
      <c r="EM34" s="209"/>
      <c r="EN34" s="209"/>
      <c r="EO34" s="209"/>
      <c r="EP34" s="209"/>
      <c r="EQ34" s="209"/>
      <c r="ER34" s="209"/>
      <c r="ES34" s="209"/>
      <c r="ET34" s="209"/>
      <c r="EU34" s="209"/>
      <c r="EV34" s="209"/>
      <c r="EW34" s="209"/>
      <c r="EX34" s="209"/>
      <c r="EY34" s="209"/>
      <c r="EZ34" s="209"/>
      <c r="FA34" s="209"/>
      <c r="FB34" s="209"/>
      <c r="FC34" s="209"/>
      <c r="FD34" s="209"/>
      <c r="FE34" s="209"/>
      <c r="FF34" s="209"/>
      <c r="FG34" s="209"/>
      <c r="FH34" s="209"/>
      <c r="FI34" s="209"/>
      <c r="FJ34" s="209"/>
      <c r="FK34" s="209"/>
      <c r="FL34" s="209"/>
      <c r="FM34" s="209"/>
      <c r="FN34" s="209"/>
      <c r="FO34" s="209"/>
      <c r="FP34" s="209"/>
      <c r="FQ34" s="209"/>
      <c r="FR34" s="209"/>
      <c r="FS34" s="209"/>
      <c r="FT34" s="209"/>
      <c r="FU34" s="209"/>
      <c r="FV34" s="209"/>
      <c r="FW34" s="209"/>
      <c r="FX34" s="209"/>
      <c r="FY34" s="209"/>
      <c r="FZ34" s="209"/>
      <c r="GA34" s="209"/>
      <c r="GB34" s="209"/>
      <c r="GC34" s="209"/>
      <c r="GD34" s="209"/>
      <c r="GE34" s="276"/>
      <c r="GF34" s="276"/>
      <c r="GG34" s="276"/>
      <c r="GH34" s="276"/>
      <c r="GI34" s="276"/>
      <c r="GJ34" s="276"/>
      <c r="GK34" s="276"/>
      <c r="GL34" s="276"/>
      <c r="GM34" s="276"/>
      <c r="GN34" s="276"/>
      <c r="GO34" s="276"/>
      <c r="GP34" s="276"/>
      <c r="GQ34" s="276"/>
      <c r="GR34" s="276"/>
      <c r="GS34" s="276"/>
      <c r="GT34" s="276"/>
      <c r="GU34" s="276"/>
      <c r="GV34" s="276"/>
      <c r="GW34" s="276"/>
      <c r="GX34" s="276"/>
      <c r="GY34" s="276"/>
      <c r="GZ34" s="276"/>
      <c r="HA34" s="276"/>
      <c r="HB34" s="276"/>
      <c r="HC34" s="276"/>
      <c r="HD34" s="276"/>
      <c r="HE34" s="276"/>
      <c r="HF34" s="276"/>
      <c r="HG34" s="276"/>
      <c r="HH34" s="276"/>
      <c r="HI34" s="276"/>
      <c r="HJ34" s="276"/>
      <c r="HK34" s="276"/>
      <c r="HL34" s="276"/>
      <c r="HM34" s="276"/>
      <c r="HN34" s="276"/>
      <c r="HO34" s="276"/>
      <c r="HP34" s="276"/>
      <c r="HQ34" s="276"/>
      <c r="HR34" s="276"/>
      <c r="HS34" s="276"/>
      <c r="HT34" s="276"/>
      <c r="HU34" s="276"/>
      <c r="HV34" s="276"/>
      <c r="HW34" s="276"/>
      <c r="HX34" s="276"/>
      <c r="HY34" s="276"/>
      <c r="HZ34" s="276"/>
      <c r="IA34" s="276"/>
      <c r="IB34" s="276"/>
      <c r="IC34" s="276"/>
      <c r="ID34" s="276"/>
      <c r="IE34" s="276"/>
      <c r="IF34" s="276"/>
      <c r="IG34" s="276"/>
      <c r="IH34" s="276"/>
      <c r="II34" s="276"/>
      <c r="IJ34" s="276"/>
      <c r="IK34" s="276"/>
      <c r="IL34" s="276"/>
      <c r="IM34" s="276"/>
      <c r="IN34" s="276"/>
      <c r="IO34" s="276"/>
      <c r="IP34" s="276"/>
      <c r="IQ34" s="276"/>
      <c r="IR34" s="276"/>
      <c r="IS34" s="276"/>
      <c r="IT34" s="276"/>
      <c r="IU34" s="276"/>
      <c r="IV34" s="276"/>
      <c r="IW34" s="276"/>
      <c r="IX34" s="276"/>
      <c r="IY34" s="276"/>
      <c r="IZ34" s="276"/>
      <c r="JA34" s="276"/>
      <c r="JB34" s="276"/>
      <c r="JC34" s="276"/>
      <c r="JD34" s="276"/>
      <c r="JE34" s="276"/>
      <c r="JF34" s="276"/>
      <c r="JG34" s="276"/>
      <c r="JH34" s="276"/>
      <c r="JI34" s="276"/>
      <c r="JJ34" s="276"/>
      <c r="JK34" s="276"/>
      <c r="JL34" s="276"/>
      <c r="JM34" s="276"/>
      <c r="JN34" s="276"/>
      <c r="JO34" s="276"/>
      <c r="JP34" s="276"/>
      <c r="JQ34" s="276"/>
      <c r="JR34" s="276"/>
      <c r="JS34" s="276"/>
      <c r="JT34" s="276"/>
      <c r="JU34" s="276"/>
      <c r="JV34" s="276"/>
      <c r="JW34" s="276"/>
      <c r="JX34" s="276"/>
      <c r="JY34" s="276"/>
      <c r="JZ34" s="276"/>
      <c r="KA34" s="276"/>
      <c r="KB34" s="276"/>
      <c r="KC34" s="276"/>
      <c r="KD34" s="276"/>
      <c r="KE34" s="276"/>
      <c r="KF34" s="276"/>
      <c r="KG34" s="276"/>
      <c r="KH34" s="276"/>
      <c r="KI34" s="276"/>
      <c r="KJ34" s="276"/>
      <c r="KK34" s="276"/>
      <c r="KL34" s="276"/>
      <c r="KM34" s="276"/>
      <c r="KN34" s="276"/>
      <c r="KO34" s="276"/>
      <c r="KP34" s="276"/>
      <c r="KQ34" s="276"/>
      <c r="KR34" s="276"/>
      <c r="KS34" s="276"/>
      <c r="KT34" s="276"/>
      <c r="KU34" s="276"/>
      <c r="KV34" s="276"/>
      <c r="KW34" s="276"/>
      <c r="KX34" s="276"/>
      <c r="KY34" s="276"/>
      <c r="KZ34" s="276"/>
      <c r="LA34" s="276"/>
      <c r="LB34" s="276"/>
      <c r="LC34" s="276"/>
      <c r="LD34" s="276"/>
      <c r="LE34" s="276"/>
      <c r="LF34" s="276"/>
      <c r="LG34" s="276"/>
      <c r="LH34" s="276"/>
      <c r="LI34" s="276"/>
      <c r="LJ34" s="276"/>
      <c r="LK34" s="276"/>
      <c r="LL34" s="276"/>
      <c r="LM34" s="276"/>
      <c r="LN34" s="276"/>
      <c r="LO34" s="276"/>
      <c r="LP34" s="276"/>
      <c r="LQ34" s="276"/>
      <c r="LR34" s="276"/>
      <c r="LS34" s="276"/>
      <c r="LT34" s="276"/>
      <c r="LU34" s="276"/>
      <c r="LV34" s="276"/>
      <c r="LW34" s="276"/>
      <c r="LX34" s="276"/>
      <c r="LY34" s="276"/>
      <c r="LZ34" s="276"/>
      <c r="MA34" s="276"/>
      <c r="MB34" s="276"/>
      <c r="MC34" s="276"/>
      <c r="MD34" s="276"/>
      <c r="ME34" s="276"/>
      <c r="MF34" s="276"/>
      <c r="MG34" s="276"/>
      <c r="MH34" s="276"/>
      <c r="MI34" s="276"/>
      <c r="MJ34" s="276"/>
      <c r="MK34" s="276"/>
      <c r="ML34" s="276"/>
      <c r="MM34" s="276"/>
      <c r="MN34" s="276"/>
      <c r="MO34" s="276"/>
      <c r="MP34" s="276"/>
      <c r="MQ34" s="276"/>
      <c r="MR34" s="276"/>
      <c r="MS34" s="276"/>
      <c r="MT34" s="276"/>
      <c r="MU34" s="276"/>
      <c r="MV34" s="276"/>
      <c r="MW34" s="276"/>
      <c r="MX34" s="276"/>
      <c r="MY34" s="276"/>
      <c r="MZ34" s="276"/>
      <c r="NA34" s="276"/>
      <c r="NB34" s="276"/>
      <c r="NC34" s="276"/>
      <c r="ND34" s="276"/>
      <c r="NE34" s="276"/>
      <c r="NF34" s="276"/>
      <c r="NG34" s="276"/>
      <c r="NH34" s="276"/>
      <c r="NI34" s="276"/>
      <c r="NJ34" s="276"/>
      <c r="NK34" s="276"/>
      <c r="NL34" s="276"/>
      <c r="NM34" s="276"/>
      <c r="NN34" s="276"/>
      <c r="NO34" s="276"/>
      <c r="NP34" s="276"/>
      <c r="NQ34" s="276"/>
      <c r="NR34" s="276"/>
      <c r="NS34" s="276"/>
      <c r="NT34" s="276"/>
      <c r="NU34" s="276"/>
      <c r="NV34" s="276"/>
      <c r="NW34" s="276"/>
      <c r="NX34" s="276"/>
      <c r="NY34" s="276"/>
      <c r="NZ34" s="276"/>
      <c r="OA34" s="276"/>
      <c r="OB34" s="276"/>
      <c r="OC34" s="276"/>
      <c r="OD34" s="276"/>
      <c r="OE34" s="276"/>
      <c r="OF34" s="276"/>
      <c r="OG34" s="276"/>
      <c r="OH34" s="276"/>
      <c r="OI34" s="276"/>
      <c r="OJ34" s="276"/>
      <c r="OK34" s="276"/>
      <c r="OL34" s="276"/>
      <c r="OM34" s="276"/>
      <c r="ON34" s="276"/>
      <c r="OO34" s="276"/>
      <c r="OP34" s="276"/>
      <c r="OQ34" s="276"/>
      <c r="OR34" s="276"/>
      <c r="OS34" s="276"/>
      <c r="OT34" s="276"/>
      <c r="OU34" s="276"/>
      <c r="OV34" s="276"/>
      <c r="OW34" s="276"/>
      <c r="OX34" s="276"/>
      <c r="OY34" s="276"/>
      <c r="OZ34" s="276"/>
      <c r="PA34" s="276"/>
      <c r="PB34" s="276"/>
      <c r="PC34" s="276"/>
      <c r="PD34" s="276"/>
      <c r="PE34" s="276"/>
      <c r="PF34" s="276"/>
      <c r="PG34" s="276"/>
      <c r="PH34" s="276"/>
      <c r="PI34" s="276"/>
      <c r="PJ34" s="276"/>
      <c r="PK34" s="276"/>
      <c r="PL34" s="276"/>
      <c r="PM34" s="276"/>
      <c r="PN34" s="276"/>
      <c r="PO34" s="276"/>
      <c r="PP34" s="276"/>
      <c r="PQ34" s="276"/>
      <c r="PR34" s="276"/>
      <c r="PS34" s="276"/>
      <c r="PT34" s="276"/>
      <c r="PU34" s="276"/>
      <c r="PV34" s="276"/>
      <c r="PW34" s="276"/>
      <c r="PX34" s="276"/>
      <c r="PY34" s="276"/>
      <c r="PZ34" s="276"/>
      <c r="QA34" s="276"/>
      <c r="QB34" s="276"/>
      <c r="QC34" s="276"/>
      <c r="QD34" s="276"/>
      <c r="QE34" s="276"/>
      <c r="QF34" s="276"/>
      <c r="QG34" s="276"/>
      <c r="QH34" s="276"/>
      <c r="QI34" s="276"/>
      <c r="QJ34" s="276"/>
      <c r="QK34" s="276"/>
      <c r="QL34" s="276"/>
      <c r="QM34" s="276"/>
      <c r="QN34" s="276"/>
      <c r="QO34" s="276"/>
      <c r="QP34" s="276"/>
      <c r="QQ34" s="276"/>
      <c r="QR34" s="276"/>
      <c r="QS34" s="276"/>
      <c r="QT34" s="276"/>
      <c r="QU34" s="276"/>
      <c r="QV34" s="276"/>
      <c r="QW34" s="276"/>
      <c r="QX34" s="276"/>
      <c r="QY34" s="276"/>
      <c r="QZ34" s="276"/>
      <c r="RA34" s="276"/>
      <c r="RB34" s="276"/>
      <c r="RC34" s="276"/>
      <c r="RD34" s="276"/>
      <c r="RE34" s="276"/>
      <c r="RF34" s="276"/>
      <c r="RG34" s="276"/>
      <c r="RH34" s="276"/>
      <c r="RI34" s="276"/>
      <c r="RJ34" s="276"/>
      <c r="RK34" s="276"/>
      <c r="RL34" s="276"/>
      <c r="RM34" s="276"/>
      <c r="RN34" s="276"/>
      <c r="RO34" s="276"/>
      <c r="RP34" s="276"/>
      <c r="RQ34" s="276"/>
      <c r="RR34" s="276"/>
      <c r="RS34" s="276"/>
      <c r="RT34" s="276"/>
      <c r="RU34" s="276"/>
      <c r="RV34" s="276"/>
      <c r="RW34" s="276"/>
      <c r="RX34" s="276"/>
      <c r="RY34" s="276"/>
      <c r="RZ34" s="276"/>
      <c r="SA34" s="276"/>
      <c r="SB34" s="276"/>
      <c r="SC34" s="276"/>
      <c r="SD34" s="276"/>
      <c r="SE34" s="276"/>
      <c r="SF34" s="276"/>
      <c r="SG34" s="276"/>
      <c r="SH34" s="276"/>
      <c r="SI34" s="276"/>
      <c r="SJ34" s="276"/>
      <c r="SK34" s="276"/>
      <c r="SL34" s="276"/>
      <c r="SM34" s="276"/>
      <c r="SN34" s="276"/>
      <c r="SO34" s="276"/>
      <c r="SP34" s="276"/>
      <c r="SQ34" s="276"/>
      <c r="SR34" s="276"/>
      <c r="SS34" s="276"/>
      <c r="ST34" s="276"/>
      <c r="SU34" s="276"/>
      <c r="SV34" s="276"/>
      <c r="SW34" s="276"/>
      <c r="SX34" s="276"/>
      <c r="SY34" s="276"/>
      <c r="SZ34" s="276"/>
      <c r="TA34" s="276"/>
      <c r="TB34" s="276"/>
      <c r="TC34" s="276"/>
      <c r="TD34" s="276"/>
      <c r="TE34" s="276"/>
      <c r="TF34" s="276"/>
      <c r="TG34" s="276"/>
      <c r="TH34" s="276"/>
      <c r="TI34" s="276"/>
      <c r="TJ34" s="276"/>
      <c r="TK34" s="276"/>
      <c r="TL34" s="276"/>
      <c r="TM34" s="276"/>
      <c r="TN34" s="276"/>
      <c r="TO34" s="276"/>
      <c r="TP34" s="276"/>
      <c r="TQ34" s="276"/>
      <c r="TR34" s="276"/>
      <c r="TS34" s="276"/>
      <c r="TT34" s="276"/>
      <c r="TU34" s="276"/>
      <c r="TV34" s="276"/>
      <c r="TW34" s="276"/>
      <c r="TX34" s="276"/>
      <c r="TY34" s="276"/>
      <c r="TZ34" s="276"/>
      <c r="UA34" s="276"/>
      <c r="UB34" s="276"/>
      <c r="UC34" s="276"/>
      <c r="UD34" s="276"/>
      <c r="UE34" s="276"/>
      <c r="UF34" s="276"/>
      <c r="UG34" s="276"/>
      <c r="UH34" s="276"/>
      <c r="UI34" s="276"/>
      <c r="UJ34" s="276"/>
      <c r="UK34" s="276"/>
      <c r="UL34" s="276"/>
      <c r="UM34" s="276"/>
      <c r="UN34" s="276"/>
      <c r="UO34" s="276"/>
      <c r="UP34" s="276"/>
      <c r="UQ34" s="276"/>
      <c r="UR34" s="276"/>
      <c r="US34" s="276"/>
      <c r="UT34" s="276"/>
      <c r="UU34" s="276"/>
      <c r="UV34" s="276"/>
      <c r="UW34" s="276"/>
      <c r="UX34" s="276"/>
      <c r="UY34" s="209"/>
      <c r="UZ34" s="209"/>
      <c r="VA34" s="209"/>
      <c r="VB34" s="209"/>
      <c r="VC34" s="209"/>
      <c r="VD34" s="209"/>
      <c r="VE34" s="209"/>
      <c r="VF34" s="209"/>
      <c r="VG34" s="209"/>
      <c r="VH34" s="209"/>
      <c r="VI34" s="209"/>
      <c r="VJ34" s="209"/>
      <c r="VK34" s="209"/>
      <c r="VL34" s="209"/>
      <c r="VM34" s="209"/>
      <c r="VN34" s="209"/>
    </row>
    <row r="35" spans="1:586" ht="15" customHeight="1" x14ac:dyDescent="0.2">
      <c r="A35" s="69"/>
      <c r="E35" s="265"/>
      <c r="L35" s="69"/>
      <c r="R35" s="70"/>
      <c r="T35" s="69"/>
      <c r="V35" s="71"/>
      <c r="W35" s="69"/>
      <c r="X35" s="71"/>
      <c r="Y35" s="69"/>
      <c r="Z35" s="70"/>
      <c r="AB35" s="69"/>
      <c r="AD35" s="71"/>
      <c r="AE35" s="69"/>
      <c r="AF35" s="71"/>
      <c r="AG35" s="69"/>
      <c r="AH35" s="70"/>
      <c r="AJ35" s="69"/>
      <c r="AL35" s="71"/>
      <c r="AM35" s="69"/>
      <c r="AN35" s="71"/>
      <c r="AO35" s="69"/>
      <c r="AP35" s="70"/>
      <c r="AR35" s="69"/>
      <c r="AV35" s="277"/>
      <c r="AW35" s="209"/>
      <c r="AX35" s="209"/>
      <c r="AY35" s="209"/>
      <c r="AZ35" s="276"/>
      <c r="BA35" s="209"/>
      <c r="BB35" s="209"/>
      <c r="BC35" s="209"/>
      <c r="BD35" s="209"/>
      <c r="BE35" s="209"/>
      <c r="BF35" s="209"/>
      <c r="BG35" s="277"/>
      <c r="BH35" s="277"/>
      <c r="BI35" s="277"/>
      <c r="BJ35" s="277"/>
      <c r="BK35" s="277"/>
      <c r="BL35" s="277"/>
      <c r="BM35" s="277"/>
      <c r="BN35" s="277"/>
      <c r="BO35" s="277"/>
      <c r="BP35" s="277"/>
      <c r="BQ35" s="277"/>
      <c r="BR35" s="277"/>
      <c r="BS35" s="277"/>
      <c r="BT35" s="277"/>
      <c r="BU35" s="277"/>
      <c r="BV35" s="277"/>
      <c r="BW35" s="277"/>
      <c r="BX35" s="277"/>
      <c r="BY35" s="277"/>
      <c r="BZ35" s="277"/>
      <c r="CA35" s="277"/>
      <c r="CB35" s="277"/>
      <c r="CC35" s="277"/>
      <c r="CD35" s="277"/>
      <c r="CE35" s="277"/>
      <c r="CF35" s="277"/>
      <c r="CG35" s="277"/>
      <c r="CH35" s="277"/>
      <c r="CI35" s="277"/>
      <c r="CJ35" s="277"/>
      <c r="CK35" s="277"/>
      <c r="CL35" s="277"/>
      <c r="CM35" s="277"/>
      <c r="CN35" s="277"/>
      <c r="CO35" s="277"/>
      <c r="CP35" s="277"/>
      <c r="CQ35" s="277"/>
      <c r="CR35" s="277"/>
      <c r="CS35" s="277"/>
      <c r="CT35" s="277"/>
      <c r="CU35" s="277"/>
      <c r="CV35" s="277"/>
      <c r="CW35" s="277"/>
      <c r="CX35" s="277"/>
      <c r="CY35" s="277"/>
      <c r="CZ35" s="277"/>
      <c r="DA35" s="277"/>
      <c r="DB35" s="277"/>
      <c r="DC35" s="277"/>
      <c r="DD35" s="277"/>
      <c r="DE35" s="277"/>
      <c r="DF35" s="277"/>
      <c r="DG35" s="277"/>
      <c r="DH35" s="277"/>
      <c r="DI35" s="277"/>
      <c r="DJ35" s="277"/>
      <c r="DK35" s="277"/>
      <c r="DL35" s="277"/>
      <c r="DM35" s="277"/>
      <c r="DN35" s="277"/>
      <c r="DO35" s="277"/>
      <c r="DP35" s="277"/>
      <c r="DQ35" s="277"/>
      <c r="DR35" s="277"/>
      <c r="DS35" s="209"/>
      <c r="DT35" s="209"/>
      <c r="DU35" s="209"/>
      <c r="DV35" s="209"/>
      <c r="DW35" s="209"/>
      <c r="DX35" s="209"/>
      <c r="DY35" s="209"/>
      <c r="DZ35" s="209"/>
      <c r="EA35" s="209"/>
      <c r="EB35" s="209"/>
      <c r="EC35" s="209"/>
      <c r="ED35" s="209"/>
      <c r="EE35" s="209"/>
      <c r="EF35" s="209"/>
      <c r="EG35" s="209"/>
      <c r="EH35" s="209"/>
      <c r="EI35" s="209"/>
      <c r="EJ35" s="209"/>
      <c r="EK35" s="209"/>
      <c r="EL35" s="209"/>
      <c r="EM35" s="209"/>
      <c r="EN35" s="209"/>
      <c r="EO35" s="209"/>
      <c r="EP35" s="209"/>
      <c r="EQ35" s="209"/>
      <c r="ER35" s="209"/>
      <c r="ES35" s="209"/>
      <c r="ET35" s="209"/>
      <c r="EU35" s="209"/>
      <c r="EV35" s="209"/>
      <c r="EW35" s="209"/>
      <c r="EX35" s="209"/>
      <c r="EY35" s="209"/>
      <c r="EZ35" s="209"/>
      <c r="FA35" s="209"/>
      <c r="FB35" s="209"/>
      <c r="FC35" s="209"/>
      <c r="FD35" s="209"/>
      <c r="FE35" s="209"/>
      <c r="FF35" s="209"/>
      <c r="FG35" s="209"/>
      <c r="FH35" s="209"/>
      <c r="FI35" s="209"/>
      <c r="FJ35" s="209"/>
      <c r="FK35" s="209"/>
      <c r="FL35" s="209"/>
      <c r="FM35" s="209"/>
      <c r="FN35" s="209"/>
      <c r="FO35" s="209"/>
      <c r="FP35" s="209"/>
      <c r="FQ35" s="209"/>
      <c r="FR35" s="209"/>
      <c r="FS35" s="209"/>
      <c r="FT35" s="209"/>
      <c r="FU35" s="209"/>
      <c r="FV35" s="209"/>
      <c r="FW35" s="209"/>
      <c r="FX35" s="209"/>
      <c r="FY35" s="209"/>
      <c r="FZ35" s="209"/>
      <c r="GA35" s="209"/>
      <c r="GB35" s="209"/>
      <c r="GC35" s="209"/>
      <c r="GD35" s="209"/>
      <c r="GE35" s="276"/>
      <c r="GF35" s="276"/>
      <c r="GG35" s="276"/>
      <c r="GH35" s="276"/>
      <c r="GI35" s="276"/>
      <c r="GJ35" s="276"/>
      <c r="GK35" s="276"/>
      <c r="GL35" s="276"/>
      <c r="GM35" s="276"/>
      <c r="GN35" s="276"/>
      <c r="GO35" s="276"/>
      <c r="GP35" s="276"/>
      <c r="GQ35" s="276"/>
      <c r="GR35" s="276"/>
      <c r="GS35" s="276"/>
      <c r="GT35" s="276"/>
      <c r="GU35" s="276"/>
      <c r="GV35" s="276"/>
      <c r="GW35" s="276"/>
      <c r="GX35" s="276"/>
      <c r="GY35" s="276"/>
      <c r="GZ35" s="276"/>
      <c r="HA35" s="276"/>
      <c r="HB35" s="276"/>
      <c r="HC35" s="276"/>
      <c r="HD35" s="276"/>
      <c r="HE35" s="276"/>
      <c r="HF35" s="276"/>
      <c r="HG35" s="276"/>
      <c r="HH35" s="276"/>
      <c r="HI35" s="276"/>
      <c r="HJ35" s="276"/>
      <c r="HK35" s="276"/>
      <c r="HL35" s="276"/>
      <c r="HM35" s="276"/>
      <c r="HN35" s="276"/>
      <c r="HO35" s="276"/>
      <c r="HP35" s="276"/>
      <c r="HQ35" s="276"/>
      <c r="HR35" s="276"/>
      <c r="HS35" s="276"/>
      <c r="HT35" s="276"/>
      <c r="HU35" s="276"/>
      <c r="HV35" s="276"/>
      <c r="HW35" s="276"/>
      <c r="HX35" s="276"/>
      <c r="HY35" s="276"/>
      <c r="HZ35" s="276"/>
      <c r="IA35" s="276"/>
      <c r="IB35" s="276"/>
      <c r="IC35" s="276"/>
      <c r="ID35" s="276"/>
      <c r="IE35" s="276"/>
      <c r="IF35" s="276"/>
      <c r="IG35" s="276"/>
      <c r="IH35" s="276"/>
      <c r="II35" s="276"/>
      <c r="IJ35" s="276"/>
      <c r="IK35" s="276"/>
      <c r="IL35" s="276"/>
      <c r="IM35" s="276"/>
      <c r="IN35" s="276"/>
      <c r="IO35" s="276"/>
      <c r="IP35" s="276"/>
      <c r="IQ35" s="276"/>
      <c r="IR35" s="276"/>
      <c r="IS35" s="276"/>
      <c r="IT35" s="276"/>
      <c r="IU35" s="276"/>
      <c r="IV35" s="276"/>
      <c r="IW35" s="276"/>
      <c r="IX35" s="276"/>
      <c r="IY35" s="276"/>
      <c r="IZ35" s="276"/>
      <c r="JA35" s="276"/>
      <c r="JB35" s="276"/>
      <c r="JC35" s="276"/>
      <c r="JD35" s="276"/>
      <c r="JE35" s="276"/>
      <c r="JF35" s="276"/>
      <c r="JG35" s="276"/>
      <c r="JH35" s="276"/>
      <c r="JI35" s="276"/>
      <c r="JJ35" s="276"/>
      <c r="JK35" s="276"/>
      <c r="JL35" s="276"/>
      <c r="JM35" s="276"/>
      <c r="JN35" s="276"/>
      <c r="JO35" s="276"/>
      <c r="JP35" s="276"/>
      <c r="JQ35" s="276"/>
      <c r="JR35" s="276"/>
      <c r="JS35" s="276"/>
      <c r="JT35" s="276"/>
      <c r="JU35" s="276"/>
      <c r="JV35" s="276"/>
      <c r="JW35" s="276"/>
      <c r="JX35" s="276"/>
      <c r="JY35" s="276"/>
      <c r="JZ35" s="276"/>
      <c r="KA35" s="276"/>
      <c r="KB35" s="276"/>
      <c r="KC35" s="276"/>
      <c r="KD35" s="276"/>
      <c r="KE35" s="276"/>
      <c r="KF35" s="276"/>
      <c r="KG35" s="276"/>
      <c r="KH35" s="276"/>
      <c r="KI35" s="276"/>
      <c r="KJ35" s="276"/>
      <c r="KK35" s="276"/>
      <c r="KL35" s="276"/>
      <c r="KM35" s="276"/>
      <c r="KN35" s="276"/>
      <c r="KO35" s="276"/>
      <c r="KP35" s="276"/>
      <c r="KQ35" s="276"/>
      <c r="KR35" s="276"/>
      <c r="KS35" s="276"/>
      <c r="KT35" s="276"/>
      <c r="KU35" s="276"/>
      <c r="KV35" s="276"/>
      <c r="KW35" s="276"/>
      <c r="KX35" s="276"/>
      <c r="KY35" s="276"/>
      <c r="KZ35" s="276"/>
      <c r="LA35" s="276"/>
      <c r="LB35" s="276"/>
      <c r="LC35" s="276"/>
      <c r="LD35" s="276"/>
      <c r="LE35" s="276"/>
      <c r="LF35" s="276"/>
      <c r="LG35" s="276"/>
      <c r="LH35" s="276"/>
      <c r="LI35" s="276"/>
      <c r="LJ35" s="276"/>
      <c r="LK35" s="276"/>
      <c r="LL35" s="276"/>
      <c r="LM35" s="276"/>
      <c r="LN35" s="276"/>
      <c r="LO35" s="276"/>
      <c r="LP35" s="276"/>
      <c r="LQ35" s="276"/>
      <c r="LR35" s="276"/>
      <c r="LS35" s="276"/>
      <c r="LT35" s="276"/>
      <c r="LU35" s="276"/>
      <c r="LV35" s="276"/>
      <c r="LW35" s="276"/>
      <c r="LX35" s="276"/>
      <c r="LY35" s="276"/>
      <c r="LZ35" s="276"/>
      <c r="MA35" s="276"/>
      <c r="MB35" s="276"/>
      <c r="MC35" s="276"/>
      <c r="MD35" s="276"/>
      <c r="ME35" s="276"/>
      <c r="MF35" s="276"/>
      <c r="MG35" s="276"/>
      <c r="MH35" s="276"/>
      <c r="MI35" s="276"/>
      <c r="MJ35" s="276"/>
      <c r="MK35" s="276"/>
      <c r="ML35" s="276"/>
      <c r="MM35" s="276"/>
      <c r="MN35" s="276"/>
      <c r="MO35" s="276"/>
      <c r="MP35" s="276"/>
      <c r="MQ35" s="276"/>
      <c r="MR35" s="276"/>
      <c r="MS35" s="276"/>
      <c r="MT35" s="276"/>
      <c r="MU35" s="276"/>
      <c r="MV35" s="276"/>
      <c r="MW35" s="276"/>
      <c r="MX35" s="276"/>
      <c r="MY35" s="276"/>
      <c r="MZ35" s="276"/>
      <c r="NA35" s="276"/>
      <c r="NB35" s="276"/>
      <c r="NC35" s="276"/>
      <c r="ND35" s="276"/>
      <c r="NE35" s="276"/>
      <c r="NF35" s="276"/>
      <c r="NG35" s="276"/>
      <c r="NH35" s="276"/>
      <c r="NI35" s="276"/>
      <c r="NJ35" s="276"/>
      <c r="NK35" s="276"/>
      <c r="NL35" s="276"/>
      <c r="NM35" s="276"/>
      <c r="NN35" s="276"/>
      <c r="NO35" s="276"/>
      <c r="NP35" s="276"/>
      <c r="NQ35" s="276"/>
      <c r="NR35" s="276"/>
      <c r="NS35" s="276"/>
      <c r="NT35" s="276"/>
      <c r="NU35" s="276"/>
      <c r="NV35" s="276"/>
      <c r="NW35" s="276"/>
      <c r="NX35" s="276"/>
      <c r="NY35" s="276"/>
      <c r="NZ35" s="276"/>
      <c r="OA35" s="276"/>
      <c r="OB35" s="276"/>
      <c r="OC35" s="276"/>
      <c r="OD35" s="276"/>
      <c r="OE35" s="276"/>
      <c r="OF35" s="276"/>
      <c r="OG35" s="276"/>
      <c r="OH35" s="276"/>
      <c r="OI35" s="276"/>
      <c r="OJ35" s="276"/>
      <c r="OK35" s="276"/>
      <c r="OL35" s="276"/>
      <c r="OM35" s="276"/>
      <c r="ON35" s="276"/>
      <c r="OO35" s="276"/>
      <c r="OP35" s="276"/>
      <c r="OQ35" s="276"/>
      <c r="OR35" s="276"/>
      <c r="OS35" s="276"/>
      <c r="OT35" s="276"/>
      <c r="OU35" s="276"/>
      <c r="OV35" s="276"/>
      <c r="OW35" s="276"/>
      <c r="OX35" s="276"/>
      <c r="OY35" s="276"/>
      <c r="OZ35" s="276"/>
      <c r="PA35" s="276"/>
      <c r="PB35" s="276"/>
      <c r="PC35" s="276"/>
      <c r="PD35" s="276"/>
      <c r="PE35" s="276"/>
      <c r="PF35" s="276"/>
      <c r="PG35" s="276"/>
      <c r="PH35" s="276"/>
      <c r="PI35" s="276"/>
      <c r="PJ35" s="276"/>
      <c r="PK35" s="276"/>
      <c r="PL35" s="276"/>
      <c r="PM35" s="276"/>
      <c r="PN35" s="276"/>
      <c r="PO35" s="276"/>
      <c r="PP35" s="276"/>
      <c r="PQ35" s="276"/>
      <c r="PR35" s="276"/>
      <c r="PS35" s="276"/>
      <c r="PT35" s="276"/>
      <c r="PU35" s="276"/>
      <c r="PV35" s="276"/>
      <c r="PW35" s="276"/>
      <c r="PX35" s="276"/>
      <c r="PY35" s="276"/>
      <c r="PZ35" s="276"/>
      <c r="QA35" s="276"/>
      <c r="QB35" s="276"/>
      <c r="QC35" s="276"/>
      <c r="QD35" s="276"/>
      <c r="QE35" s="276"/>
      <c r="QF35" s="276"/>
      <c r="QG35" s="276"/>
      <c r="QH35" s="276"/>
      <c r="QI35" s="276"/>
      <c r="QJ35" s="276"/>
      <c r="QK35" s="276"/>
      <c r="QL35" s="276"/>
      <c r="QM35" s="276"/>
      <c r="QN35" s="276"/>
      <c r="QO35" s="276"/>
      <c r="QP35" s="276"/>
      <c r="QQ35" s="276"/>
      <c r="QR35" s="276"/>
      <c r="QS35" s="276"/>
      <c r="QT35" s="276"/>
      <c r="QU35" s="276"/>
      <c r="QV35" s="276"/>
      <c r="QW35" s="276"/>
      <c r="QX35" s="276"/>
      <c r="QY35" s="276"/>
      <c r="QZ35" s="276"/>
      <c r="RA35" s="276"/>
      <c r="RB35" s="276"/>
      <c r="RC35" s="276"/>
      <c r="RD35" s="276"/>
      <c r="RE35" s="276"/>
      <c r="RF35" s="276"/>
      <c r="RG35" s="276"/>
      <c r="RH35" s="276"/>
      <c r="RI35" s="276"/>
      <c r="RJ35" s="276"/>
      <c r="RK35" s="276"/>
      <c r="RL35" s="276"/>
      <c r="RM35" s="276"/>
      <c r="RN35" s="276"/>
      <c r="RO35" s="276"/>
      <c r="RP35" s="276"/>
      <c r="RQ35" s="276"/>
      <c r="RR35" s="276"/>
      <c r="RS35" s="276"/>
      <c r="RT35" s="276"/>
      <c r="RU35" s="276"/>
      <c r="RV35" s="276"/>
      <c r="RW35" s="276"/>
      <c r="RX35" s="276"/>
      <c r="RY35" s="276"/>
      <c r="RZ35" s="276"/>
      <c r="SA35" s="276"/>
      <c r="SB35" s="276"/>
      <c r="SC35" s="276"/>
      <c r="SD35" s="276"/>
      <c r="SE35" s="276"/>
      <c r="SF35" s="276"/>
      <c r="SG35" s="276"/>
      <c r="SH35" s="276"/>
      <c r="SI35" s="276"/>
      <c r="SJ35" s="276"/>
      <c r="SK35" s="276"/>
      <c r="SL35" s="276"/>
      <c r="SM35" s="276"/>
      <c r="SN35" s="276"/>
      <c r="SO35" s="276"/>
      <c r="SP35" s="276"/>
      <c r="SQ35" s="276"/>
      <c r="SR35" s="276"/>
      <c r="SS35" s="276"/>
      <c r="ST35" s="276"/>
      <c r="SU35" s="276"/>
      <c r="SV35" s="276"/>
      <c r="SW35" s="276"/>
      <c r="SX35" s="276"/>
      <c r="SY35" s="276"/>
      <c r="SZ35" s="276"/>
      <c r="TA35" s="276"/>
      <c r="TB35" s="276"/>
      <c r="TC35" s="276"/>
      <c r="TD35" s="276"/>
      <c r="TE35" s="276"/>
      <c r="TF35" s="276"/>
      <c r="TG35" s="276"/>
      <c r="TH35" s="276"/>
      <c r="TI35" s="276"/>
      <c r="TJ35" s="276"/>
      <c r="TK35" s="276"/>
      <c r="TL35" s="276"/>
      <c r="TM35" s="276"/>
      <c r="TN35" s="276"/>
      <c r="TO35" s="276"/>
      <c r="TP35" s="276"/>
      <c r="TQ35" s="276"/>
      <c r="TR35" s="276"/>
      <c r="TS35" s="276"/>
      <c r="TT35" s="276"/>
      <c r="TU35" s="276"/>
      <c r="TV35" s="276"/>
      <c r="TW35" s="276"/>
      <c r="TX35" s="276"/>
      <c r="TY35" s="276"/>
      <c r="TZ35" s="276"/>
      <c r="UA35" s="276"/>
      <c r="UB35" s="276"/>
      <c r="UC35" s="276"/>
      <c r="UD35" s="276"/>
      <c r="UE35" s="276"/>
      <c r="UF35" s="276"/>
      <c r="UG35" s="276"/>
      <c r="UH35" s="276"/>
      <c r="UI35" s="276"/>
      <c r="UJ35" s="276"/>
      <c r="UK35" s="276"/>
      <c r="UL35" s="276"/>
      <c r="UM35" s="276"/>
      <c r="UN35" s="276"/>
      <c r="UO35" s="276"/>
      <c r="UP35" s="276"/>
      <c r="UQ35" s="276"/>
      <c r="UR35" s="276"/>
      <c r="US35" s="276"/>
      <c r="UT35" s="276"/>
      <c r="UU35" s="276"/>
      <c r="UV35" s="276"/>
      <c r="UW35" s="276"/>
      <c r="UX35" s="276"/>
      <c r="UY35" s="209"/>
      <c r="UZ35" s="209"/>
      <c r="VA35" s="209"/>
      <c r="VB35" s="209"/>
      <c r="VC35" s="209"/>
      <c r="VD35" s="209"/>
      <c r="VE35" s="209"/>
      <c r="VF35" s="209"/>
      <c r="VG35" s="209"/>
      <c r="VH35" s="209"/>
      <c r="VI35" s="209"/>
      <c r="VJ35" s="209"/>
      <c r="VK35" s="209"/>
      <c r="VL35" s="209"/>
      <c r="VM35" s="209"/>
      <c r="VN35" s="209"/>
    </row>
    <row r="36" spans="1:586" ht="15" customHeight="1" x14ac:dyDescent="0.2">
      <c r="A36" s="69"/>
      <c r="E36" s="265"/>
      <c r="L36" s="69"/>
      <c r="R36" s="70"/>
      <c r="T36" s="69"/>
      <c r="V36" s="71"/>
      <c r="W36" s="69"/>
      <c r="X36" s="71"/>
      <c r="Y36" s="69"/>
      <c r="Z36" s="70"/>
      <c r="AB36" s="69"/>
      <c r="AD36" s="71"/>
      <c r="AE36" s="69"/>
      <c r="AF36" s="71"/>
      <c r="AG36" s="69"/>
      <c r="AH36" s="70"/>
      <c r="AJ36" s="69"/>
      <c r="AL36" s="71"/>
      <c r="AM36" s="69"/>
      <c r="AN36" s="71"/>
      <c r="AO36" s="69"/>
      <c r="AP36" s="70"/>
      <c r="AR36" s="69"/>
      <c r="AV36" s="277"/>
      <c r="AW36" s="209"/>
      <c r="AX36" s="209"/>
      <c r="AY36" s="209"/>
      <c r="AZ36" s="276"/>
      <c r="BA36" s="209"/>
      <c r="BB36" s="209"/>
      <c r="BC36" s="209"/>
      <c r="BD36" s="209"/>
      <c r="BE36" s="209"/>
      <c r="BF36" s="209"/>
      <c r="BG36" s="277"/>
      <c r="BH36" s="277"/>
      <c r="BI36" s="277"/>
      <c r="BJ36" s="277"/>
      <c r="BK36" s="277"/>
      <c r="BL36" s="277"/>
      <c r="BM36" s="277"/>
      <c r="BN36" s="277"/>
      <c r="BO36" s="277"/>
      <c r="BP36" s="277"/>
      <c r="BQ36" s="277"/>
      <c r="BR36" s="277"/>
      <c r="BS36" s="277"/>
      <c r="BT36" s="277"/>
      <c r="BU36" s="277"/>
      <c r="BV36" s="277"/>
      <c r="BW36" s="277"/>
      <c r="BX36" s="277"/>
      <c r="BY36" s="277"/>
      <c r="BZ36" s="277"/>
      <c r="CA36" s="277"/>
      <c r="CB36" s="277"/>
      <c r="CC36" s="277"/>
      <c r="CD36" s="277"/>
      <c r="CE36" s="277"/>
      <c r="CF36" s="277"/>
      <c r="CG36" s="277"/>
      <c r="CH36" s="277"/>
      <c r="CI36" s="277"/>
      <c r="CJ36" s="277"/>
      <c r="CK36" s="277"/>
      <c r="CL36" s="277"/>
      <c r="CM36" s="277"/>
      <c r="CN36" s="277"/>
      <c r="CO36" s="277"/>
      <c r="CP36" s="277"/>
      <c r="CQ36" s="277"/>
      <c r="CR36" s="277"/>
      <c r="CS36" s="277"/>
      <c r="CT36" s="277"/>
      <c r="CU36" s="277"/>
      <c r="CV36" s="277"/>
      <c r="CW36" s="277"/>
      <c r="CX36" s="277"/>
      <c r="CY36" s="277"/>
      <c r="CZ36" s="277"/>
      <c r="DA36" s="277"/>
      <c r="DB36" s="277"/>
      <c r="DC36" s="277"/>
      <c r="DD36" s="277"/>
      <c r="DE36" s="277"/>
      <c r="DF36" s="277"/>
      <c r="DG36" s="277"/>
      <c r="DH36" s="277"/>
      <c r="DI36" s="277"/>
      <c r="DJ36" s="277"/>
      <c r="DK36" s="277"/>
      <c r="DL36" s="277"/>
      <c r="DM36" s="277"/>
      <c r="DN36" s="277"/>
      <c r="DO36" s="277"/>
      <c r="DP36" s="277"/>
      <c r="DQ36" s="277"/>
      <c r="DR36" s="277"/>
      <c r="DS36" s="209"/>
      <c r="DT36" s="209"/>
      <c r="DU36" s="209"/>
      <c r="DV36" s="209"/>
      <c r="DW36" s="209"/>
      <c r="DX36" s="209"/>
      <c r="DY36" s="209"/>
      <c r="DZ36" s="209"/>
      <c r="EA36" s="209"/>
      <c r="EB36" s="209"/>
      <c r="EC36" s="209"/>
      <c r="ED36" s="209"/>
      <c r="EE36" s="209"/>
      <c r="EF36" s="209"/>
      <c r="EG36" s="209"/>
      <c r="EH36" s="209"/>
      <c r="EI36" s="209"/>
      <c r="EJ36" s="209"/>
      <c r="EK36" s="209"/>
      <c r="EL36" s="209"/>
      <c r="EM36" s="209"/>
      <c r="EN36" s="209"/>
      <c r="EO36" s="209"/>
      <c r="EP36" s="209"/>
      <c r="EQ36" s="209"/>
      <c r="ER36" s="209"/>
      <c r="ES36" s="209"/>
      <c r="ET36" s="209"/>
      <c r="EU36" s="209"/>
      <c r="EV36" s="209"/>
      <c r="EW36" s="209"/>
      <c r="EX36" s="209"/>
      <c r="EY36" s="209"/>
      <c r="EZ36" s="209"/>
      <c r="FA36" s="209"/>
      <c r="FB36" s="209"/>
      <c r="FC36" s="209"/>
      <c r="FD36" s="209"/>
      <c r="FE36" s="209"/>
      <c r="FF36" s="209"/>
      <c r="FG36" s="209"/>
      <c r="FH36" s="209"/>
      <c r="FI36" s="209"/>
      <c r="FJ36" s="209"/>
      <c r="FK36" s="209"/>
      <c r="FL36" s="209"/>
      <c r="FM36" s="209"/>
      <c r="FN36" s="209"/>
      <c r="FO36" s="209"/>
      <c r="FP36" s="209"/>
      <c r="FQ36" s="209"/>
      <c r="FR36" s="209"/>
      <c r="FS36" s="209"/>
      <c r="FT36" s="209"/>
      <c r="FU36" s="209"/>
      <c r="FV36" s="209"/>
      <c r="FW36" s="209"/>
      <c r="FX36" s="209"/>
      <c r="FY36" s="209"/>
      <c r="FZ36" s="209"/>
      <c r="GA36" s="209"/>
      <c r="GB36" s="209"/>
      <c r="GC36" s="209"/>
      <c r="GD36" s="209"/>
      <c r="GE36" s="276"/>
      <c r="GF36" s="276"/>
      <c r="GG36" s="276"/>
      <c r="GH36" s="276"/>
      <c r="GI36" s="276"/>
      <c r="GJ36" s="276"/>
      <c r="GK36" s="276"/>
      <c r="GL36" s="276"/>
      <c r="GM36" s="276"/>
      <c r="GN36" s="276"/>
      <c r="GO36" s="276"/>
      <c r="GP36" s="276"/>
      <c r="GQ36" s="276"/>
      <c r="GR36" s="276"/>
      <c r="GS36" s="276"/>
      <c r="GT36" s="276"/>
      <c r="GU36" s="276"/>
      <c r="GV36" s="276"/>
      <c r="GW36" s="276"/>
      <c r="GX36" s="276"/>
      <c r="GY36" s="276"/>
      <c r="GZ36" s="276"/>
      <c r="HA36" s="276"/>
      <c r="HB36" s="276"/>
      <c r="HC36" s="276"/>
      <c r="HD36" s="276"/>
      <c r="HE36" s="276"/>
      <c r="HF36" s="276"/>
      <c r="HG36" s="276"/>
      <c r="HH36" s="276"/>
      <c r="HI36" s="276"/>
      <c r="HJ36" s="276"/>
      <c r="HK36" s="276"/>
      <c r="HL36" s="276"/>
      <c r="HM36" s="276"/>
      <c r="HN36" s="276"/>
      <c r="HO36" s="276"/>
      <c r="HP36" s="276"/>
      <c r="HQ36" s="276"/>
      <c r="HR36" s="276"/>
      <c r="HS36" s="276"/>
      <c r="HT36" s="276"/>
      <c r="HU36" s="276"/>
      <c r="HV36" s="276"/>
      <c r="HW36" s="276"/>
      <c r="HX36" s="276"/>
      <c r="HY36" s="276"/>
      <c r="HZ36" s="276"/>
      <c r="IA36" s="276"/>
      <c r="IB36" s="276"/>
      <c r="IC36" s="276"/>
      <c r="ID36" s="276"/>
      <c r="IE36" s="276"/>
      <c r="IF36" s="276"/>
      <c r="IG36" s="276"/>
      <c r="IH36" s="276"/>
      <c r="II36" s="276"/>
      <c r="IJ36" s="276"/>
      <c r="IK36" s="276"/>
      <c r="IL36" s="276"/>
      <c r="IM36" s="276"/>
      <c r="IN36" s="276"/>
      <c r="IO36" s="276"/>
      <c r="IP36" s="276"/>
      <c r="IQ36" s="276"/>
      <c r="IR36" s="276"/>
      <c r="IS36" s="276"/>
      <c r="IT36" s="276"/>
      <c r="IU36" s="276"/>
      <c r="IV36" s="276"/>
      <c r="IW36" s="276"/>
      <c r="IX36" s="276"/>
      <c r="IY36" s="276"/>
      <c r="IZ36" s="276"/>
      <c r="JA36" s="276"/>
      <c r="JB36" s="276"/>
      <c r="JC36" s="276"/>
      <c r="JD36" s="276"/>
      <c r="JE36" s="276"/>
      <c r="JF36" s="276"/>
      <c r="JG36" s="276"/>
      <c r="JH36" s="276"/>
      <c r="JI36" s="276"/>
      <c r="JJ36" s="276"/>
      <c r="JK36" s="276"/>
      <c r="JL36" s="276"/>
      <c r="JM36" s="276"/>
      <c r="JN36" s="276"/>
      <c r="JO36" s="276"/>
      <c r="JP36" s="276"/>
      <c r="JQ36" s="276"/>
      <c r="JR36" s="276"/>
      <c r="JS36" s="276"/>
      <c r="JT36" s="276"/>
      <c r="JU36" s="276"/>
      <c r="JV36" s="276"/>
      <c r="JW36" s="276"/>
      <c r="JX36" s="276"/>
      <c r="JY36" s="276"/>
      <c r="JZ36" s="276"/>
      <c r="KA36" s="276"/>
      <c r="KB36" s="276"/>
      <c r="KC36" s="276"/>
      <c r="KD36" s="276"/>
      <c r="KE36" s="276"/>
      <c r="KF36" s="276"/>
      <c r="KG36" s="276"/>
      <c r="KH36" s="276"/>
      <c r="KI36" s="276"/>
      <c r="KJ36" s="276"/>
      <c r="KK36" s="276"/>
      <c r="KL36" s="276"/>
      <c r="KM36" s="276"/>
      <c r="KN36" s="276"/>
      <c r="KO36" s="276"/>
      <c r="KP36" s="276"/>
      <c r="KQ36" s="276"/>
      <c r="KR36" s="276"/>
      <c r="KS36" s="276"/>
      <c r="KT36" s="276"/>
      <c r="KU36" s="276"/>
      <c r="KV36" s="276"/>
      <c r="KW36" s="276"/>
      <c r="KX36" s="276"/>
      <c r="KY36" s="276"/>
      <c r="KZ36" s="276"/>
      <c r="LA36" s="276"/>
      <c r="LB36" s="276"/>
      <c r="LC36" s="276"/>
      <c r="LD36" s="276"/>
      <c r="LE36" s="276"/>
      <c r="LF36" s="276"/>
      <c r="LG36" s="276"/>
      <c r="LH36" s="276"/>
      <c r="LI36" s="276"/>
      <c r="LJ36" s="276"/>
      <c r="LK36" s="276"/>
      <c r="LL36" s="276"/>
      <c r="LM36" s="276"/>
      <c r="LN36" s="276"/>
      <c r="LO36" s="276"/>
      <c r="LP36" s="276"/>
      <c r="LQ36" s="276"/>
      <c r="LR36" s="276"/>
      <c r="LS36" s="276"/>
      <c r="LT36" s="276"/>
      <c r="LU36" s="276"/>
      <c r="LV36" s="276"/>
      <c r="LW36" s="276"/>
      <c r="LX36" s="276"/>
      <c r="LY36" s="276"/>
      <c r="LZ36" s="276"/>
      <c r="MA36" s="276"/>
      <c r="MB36" s="276"/>
      <c r="MC36" s="276"/>
      <c r="MD36" s="276"/>
      <c r="ME36" s="276"/>
      <c r="MF36" s="276"/>
      <c r="MG36" s="276"/>
      <c r="MH36" s="276"/>
      <c r="MI36" s="276"/>
      <c r="MJ36" s="276"/>
      <c r="MK36" s="276"/>
      <c r="ML36" s="276"/>
      <c r="MM36" s="276"/>
      <c r="MN36" s="276"/>
      <c r="MO36" s="276"/>
      <c r="MP36" s="276"/>
      <c r="MQ36" s="276"/>
      <c r="MR36" s="276"/>
      <c r="MS36" s="276"/>
      <c r="MT36" s="276"/>
      <c r="MU36" s="276"/>
      <c r="MV36" s="276"/>
      <c r="MW36" s="276"/>
      <c r="MX36" s="276"/>
      <c r="MY36" s="276"/>
      <c r="MZ36" s="276"/>
      <c r="NA36" s="276"/>
      <c r="NB36" s="276"/>
      <c r="NC36" s="276"/>
      <c r="ND36" s="276"/>
      <c r="NE36" s="276"/>
      <c r="NF36" s="276"/>
      <c r="NG36" s="276"/>
      <c r="NH36" s="276"/>
      <c r="NI36" s="276"/>
      <c r="NJ36" s="276"/>
      <c r="NK36" s="276"/>
      <c r="NL36" s="276"/>
      <c r="NM36" s="276"/>
      <c r="NN36" s="276"/>
      <c r="NO36" s="276"/>
      <c r="NP36" s="276"/>
      <c r="NQ36" s="276"/>
      <c r="NR36" s="276"/>
      <c r="NS36" s="276"/>
      <c r="NT36" s="276"/>
      <c r="NU36" s="276"/>
      <c r="NV36" s="276"/>
      <c r="NW36" s="276"/>
      <c r="NX36" s="276"/>
      <c r="NY36" s="276"/>
      <c r="NZ36" s="276"/>
      <c r="OA36" s="276"/>
      <c r="OB36" s="276"/>
      <c r="OC36" s="276"/>
      <c r="OD36" s="276"/>
      <c r="OE36" s="276"/>
      <c r="OF36" s="276"/>
      <c r="OG36" s="276"/>
      <c r="OH36" s="276"/>
      <c r="OI36" s="276"/>
      <c r="OJ36" s="276"/>
      <c r="OK36" s="276"/>
      <c r="OL36" s="276"/>
      <c r="OM36" s="276"/>
      <c r="ON36" s="276"/>
      <c r="OO36" s="276"/>
      <c r="OP36" s="276"/>
      <c r="OQ36" s="276"/>
      <c r="OR36" s="276"/>
      <c r="OS36" s="276"/>
      <c r="OT36" s="276"/>
      <c r="OU36" s="276"/>
      <c r="OV36" s="276"/>
      <c r="OW36" s="276"/>
      <c r="OX36" s="276"/>
      <c r="OY36" s="276"/>
      <c r="OZ36" s="276"/>
      <c r="PA36" s="276"/>
      <c r="PB36" s="276"/>
      <c r="PC36" s="276"/>
      <c r="PD36" s="276"/>
      <c r="PE36" s="276"/>
      <c r="PF36" s="276"/>
      <c r="PG36" s="276"/>
      <c r="PH36" s="276"/>
      <c r="PI36" s="276"/>
      <c r="PJ36" s="276"/>
      <c r="PK36" s="276"/>
      <c r="PL36" s="276"/>
      <c r="PM36" s="276"/>
      <c r="PN36" s="276"/>
      <c r="PO36" s="276"/>
      <c r="PP36" s="276"/>
      <c r="PQ36" s="276"/>
      <c r="PR36" s="276"/>
      <c r="PS36" s="276"/>
      <c r="PT36" s="276"/>
      <c r="PU36" s="276"/>
      <c r="PV36" s="276"/>
      <c r="PW36" s="276"/>
      <c r="PX36" s="276"/>
      <c r="PY36" s="276"/>
      <c r="PZ36" s="276"/>
      <c r="QA36" s="276"/>
      <c r="QB36" s="276"/>
      <c r="QC36" s="276"/>
      <c r="QD36" s="276"/>
      <c r="QE36" s="276"/>
      <c r="QF36" s="276"/>
      <c r="QG36" s="276"/>
      <c r="QH36" s="276"/>
      <c r="QI36" s="276"/>
      <c r="QJ36" s="276"/>
      <c r="QK36" s="276"/>
      <c r="QL36" s="276"/>
      <c r="QM36" s="276"/>
      <c r="QN36" s="276"/>
      <c r="QO36" s="276"/>
      <c r="QP36" s="276"/>
      <c r="QQ36" s="276"/>
      <c r="QR36" s="276"/>
      <c r="QS36" s="276"/>
      <c r="QT36" s="276"/>
      <c r="QU36" s="276"/>
      <c r="QV36" s="276"/>
      <c r="QW36" s="276"/>
      <c r="QX36" s="276"/>
      <c r="QY36" s="276"/>
      <c r="QZ36" s="276"/>
      <c r="RA36" s="276"/>
      <c r="RB36" s="276"/>
      <c r="RC36" s="276"/>
      <c r="RD36" s="276"/>
      <c r="RE36" s="276"/>
      <c r="RF36" s="276"/>
      <c r="RG36" s="276"/>
      <c r="RH36" s="276"/>
      <c r="RI36" s="276"/>
      <c r="RJ36" s="276"/>
      <c r="RK36" s="276"/>
      <c r="RL36" s="276"/>
      <c r="RM36" s="276"/>
      <c r="RN36" s="276"/>
      <c r="RO36" s="276"/>
      <c r="RP36" s="276"/>
      <c r="RQ36" s="276"/>
      <c r="RR36" s="276"/>
      <c r="RS36" s="276"/>
      <c r="RT36" s="276"/>
      <c r="RU36" s="276"/>
      <c r="RV36" s="276"/>
      <c r="RW36" s="276"/>
      <c r="RX36" s="276"/>
      <c r="RY36" s="276"/>
      <c r="RZ36" s="276"/>
      <c r="SA36" s="276"/>
      <c r="SB36" s="276"/>
      <c r="SC36" s="276"/>
      <c r="SD36" s="276"/>
      <c r="SE36" s="276"/>
      <c r="SF36" s="276"/>
      <c r="SG36" s="276"/>
      <c r="SH36" s="276"/>
      <c r="SI36" s="276"/>
      <c r="SJ36" s="276"/>
      <c r="SK36" s="276"/>
      <c r="SL36" s="276"/>
      <c r="SM36" s="276"/>
      <c r="SN36" s="276"/>
      <c r="SO36" s="276"/>
      <c r="SP36" s="276"/>
      <c r="SQ36" s="276"/>
      <c r="SR36" s="276"/>
      <c r="SS36" s="276"/>
      <c r="ST36" s="276"/>
      <c r="SU36" s="276"/>
      <c r="SV36" s="276"/>
      <c r="SW36" s="276"/>
      <c r="SX36" s="276"/>
      <c r="SY36" s="276"/>
      <c r="SZ36" s="276"/>
      <c r="TA36" s="276"/>
      <c r="TB36" s="276"/>
      <c r="TC36" s="276"/>
      <c r="TD36" s="276"/>
      <c r="TE36" s="276"/>
      <c r="TF36" s="276"/>
      <c r="TG36" s="276"/>
      <c r="TH36" s="276"/>
      <c r="TI36" s="276"/>
      <c r="TJ36" s="276"/>
      <c r="TK36" s="276"/>
      <c r="TL36" s="276"/>
      <c r="TM36" s="276"/>
      <c r="TN36" s="276"/>
      <c r="TO36" s="276"/>
      <c r="TP36" s="276"/>
      <c r="TQ36" s="276"/>
      <c r="TR36" s="276"/>
      <c r="TS36" s="276"/>
      <c r="TT36" s="276"/>
      <c r="TU36" s="276"/>
      <c r="TV36" s="276"/>
      <c r="TW36" s="276"/>
      <c r="TX36" s="276"/>
      <c r="TY36" s="276"/>
      <c r="TZ36" s="276"/>
      <c r="UA36" s="276"/>
      <c r="UB36" s="276"/>
      <c r="UC36" s="276"/>
      <c r="UD36" s="276"/>
      <c r="UE36" s="276"/>
      <c r="UF36" s="276"/>
      <c r="UG36" s="276"/>
      <c r="UH36" s="276"/>
      <c r="UI36" s="276"/>
      <c r="UJ36" s="276"/>
      <c r="UK36" s="276"/>
      <c r="UL36" s="276"/>
      <c r="UM36" s="276"/>
      <c r="UN36" s="276"/>
      <c r="UO36" s="276"/>
      <c r="UP36" s="276"/>
      <c r="UQ36" s="276"/>
      <c r="UR36" s="276"/>
      <c r="US36" s="276"/>
      <c r="UT36" s="276"/>
      <c r="UU36" s="276"/>
      <c r="UV36" s="276"/>
      <c r="UW36" s="276"/>
      <c r="UX36" s="276"/>
      <c r="UY36" s="209"/>
      <c r="UZ36" s="209"/>
      <c r="VA36" s="209"/>
      <c r="VB36" s="209"/>
      <c r="VC36" s="209"/>
      <c r="VD36" s="209"/>
      <c r="VE36" s="209"/>
      <c r="VF36" s="209"/>
      <c r="VG36" s="209"/>
      <c r="VH36" s="209"/>
      <c r="VI36" s="209"/>
      <c r="VJ36" s="209"/>
      <c r="VK36" s="209"/>
      <c r="VL36" s="209"/>
      <c r="VM36" s="209"/>
      <c r="VN36" s="209"/>
    </row>
    <row r="37" spans="1:586" ht="15" customHeight="1" x14ac:dyDescent="0.2">
      <c r="A37" s="69"/>
      <c r="E37" s="265"/>
      <c r="L37" s="69"/>
      <c r="R37" s="70"/>
      <c r="T37" s="69"/>
      <c r="V37" s="71"/>
      <c r="W37" s="69"/>
      <c r="X37" s="71"/>
      <c r="Y37" s="69"/>
      <c r="Z37" s="70"/>
      <c r="AB37" s="69"/>
      <c r="AD37" s="71"/>
      <c r="AE37" s="69"/>
      <c r="AF37" s="71"/>
      <c r="AG37" s="69"/>
      <c r="AH37" s="70"/>
      <c r="AJ37" s="69"/>
      <c r="AL37" s="71"/>
      <c r="AM37" s="69"/>
      <c r="AN37" s="71"/>
      <c r="AO37" s="69"/>
      <c r="AP37" s="70"/>
      <c r="AR37" s="69"/>
      <c r="AV37" s="277"/>
      <c r="AW37" s="209"/>
      <c r="AX37" s="209"/>
      <c r="AY37" s="209"/>
      <c r="AZ37" s="276"/>
      <c r="BA37" s="209"/>
      <c r="BB37" s="209"/>
      <c r="BC37" s="209"/>
      <c r="BD37" s="209"/>
      <c r="BE37" s="209"/>
      <c r="BF37" s="209"/>
      <c r="BG37" s="277"/>
      <c r="BH37" s="277"/>
      <c r="BI37" s="277"/>
      <c r="BJ37" s="277"/>
      <c r="BK37" s="277"/>
      <c r="BL37" s="277"/>
      <c r="BM37" s="277"/>
      <c r="BN37" s="277"/>
      <c r="BO37" s="277"/>
      <c r="BP37" s="277"/>
      <c r="BQ37" s="277"/>
      <c r="BR37" s="277"/>
      <c r="BS37" s="277"/>
      <c r="BT37" s="277"/>
      <c r="BU37" s="277"/>
      <c r="BV37" s="277"/>
      <c r="BW37" s="277"/>
      <c r="BX37" s="277"/>
      <c r="BY37" s="277"/>
      <c r="BZ37" s="277"/>
      <c r="CA37" s="277"/>
      <c r="CB37" s="277"/>
      <c r="CC37" s="277"/>
      <c r="CD37" s="277"/>
      <c r="CE37" s="277"/>
      <c r="CF37" s="277"/>
      <c r="CG37" s="277"/>
      <c r="CH37" s="277"/>
      <c r="CI37" s="277"/>
      <c r="CJ37" s="277"/>
      <c r="CK37" s="277"/>
      <c r="CL37" s="277"/>
      <c r="CM37" s="277"/>
      <c r="CN37" s="277"/>
      <c r="CO37" s="277"/>
      <c r="CP37" s="277"/>
      <c r="CQ37" s="277"/>
      <c r="CR37" s="277"/>
      <c r="CS37" s="277"/>
      <c r="CT37" s="277"/>
      <c r="CU37" s="277"/>
      <c r="CV37" s="277"/>
      <c r="CW37" s="277"/>
      <c r="CX37" s="277"/>
      <c r="CY37" s="277"/>
      <c r="CZ37" s="277"/>
      <c r="DA37" s="277"/>
      <c r="DB37" s="277"/>
      <c r="DC37" s="277"/>
      <c r="DD37" s="277"/>
      <c r="DE37" s="277"/>
      <c r="DF37" s="277"/>
      <c r="DG37" s="277"/>
      <c r="DH37" s="277"/>
      <c r="DI37" s="277"/>
      <c r="DJ37" s="277"/>
      <c r="DK37" s="277"/>
      <c r="DL37" s="277"/>
      <c r="DM37" s="277"/>
      <c r="DN37" s="277"/>
      <c r="DO37" s="277"/>
      <c r="DP37" s="277"/>
      <c r="DQ37" s="277"/>
      <c r="DR37" s="277"/>
      <c r="DS37" s="209"/>
      <c r="DT37" s="209"/>
      <c r="DU37" s="209"/>
      <c r="DV37" s="209"/>
      <c r="DW37" s="209"/>
      <c r="DX37" s="209"/>
      <c r="DY37" s="209"/>
      <c r="DZ37" s="209"/>
      <c r="EA37" s="209"/>
      <c r="EB37" s="209"/>
      <c r="EC37" s="209"/>
      <c r="ED37" s="209"/>
      <c r="EE37" s="209"/>
      <c r="EF37" s="209"/>
      <c r="EG37" s="209"/>
      <c r="EH37" s="209"/>
      <c r="EI37" s="209"/>
      <c r="EJ37" s="209"/>
      <c r="EK37" s="209"/>
      <c r="EL37" s="209"/>
      <c r="EM37" s="209"/>
      <c r="EN37" s="209"/>
      <c r="EO37" s="209"/>
      <c r="EP37" s="209"/>
      <c r="EQ37" s="209"/>
      <c r="ER37" s="209"/>
      <c r="ES37" s="209"/>
      <c r="ET37" s="209"/>
      <c r="EU37" s="209"/>
      <c r="EV37" s="209"/>
      <c r="EW37" s="209"/>
      <c r="EX37" s="209"/>
      <c r="EY37" s="209"/>
      <c r="EZ37" s="209"/>
      <c r="FA37" s="209"/>
      <c r="FB37" s="209"/>
      <c r="FC37" s="209"/>
      <c r="FD37" s="209"/>
      <c r="FE37" s="209"/>
      <c r="FF37" s="209"/>
      <c r="FG37" s="209"/>
      <c r="FH37" s="209"/>
      <c r="FI37" s="209"/>
      <c r="FJ37" s="209"/>
      <c r="FK37" s="209"/>
      <c r="FL37" s="209"/>
      <c r="FM37" s="209"/>
      <c r="FN37" s="209"/>
      <c r="FO37" s="209"/>
      <c r="FP37" s="209"/>
      <c r="FQ37" s="209"/>
      <c r="FR37" s="209"/>
      <c r="FS37" s="209"/>
      <c r="FT37" s="209"/>
      <c r="FU37" s="209"/>
      <c r="FV37" s="209"/>
      <c r="FW37" s="209"/>
      <c r="FX37" s="209"/>
      <c r="FY37" s="209"/>
      <c r="FZ37" s="209"/>
      <c r="GA37" s="209"/>
      <c r="GB37" s="209"/>
      <c r="GC37" s="209"/>
      <c r="GD37" s="209"/>
      <c r="GE37" s="276"/>
      <c r="GF37" s="276"/>
      <c r="GG37" s="276"/>
      <c r="GH37" s="276"/>
      <c r="GI37" s="276"/>
      <c r="GJ37" s="276"/>
      <c r="GK37" s="276"/>
      <c r="GL37" s="276"/>
      <c r="GM37" s="276"/>
      <c r="GN37" s="276"/>
      <c r="GO37" s="276"/>
      <c r="GP37" s="276"/>
      <c r="GQ37" s="276"/>
      <c r="GR37" s="276"/>
      <c r="GS37" s="276"/>
      <c r="GT37" s="276"/>
      <c r="GU37" s="276"/>
      <c r="GV37" s="276"/>
      <c r="GW37" s="276"/>
      <c r="GX37" s="276"/>
      <c r="GY37" s="276"/>
      <c r="GZ37" s="276"/>
      <c r="HA37" s="276"/>
      <c r="HB37" s="276"/>
      <c r="HC37" s="276"/>
      <c r="HD37" s="276"/>
      <c r="HE37" s="276"/>
      <c r="HF37" s="276"/>
      <c r="HG37" s="276"/>
      <c r="HH37" s="276"/>
      <c r="HI37" s="276"/>
      <c r="HJ37" s="276"/>
      <c r="HK37" s="276"/>
      <c r="HL37" s="276"/>
      <c r="HM37" s="276"/>
      <c r="HN37" s="276"/>
      <c r="HO37" s="276"/>
      <c r="HP37" s="276"/>
      <c r="HQ37" s="276"/>
      <c r="HR37" s="276"/>
      <c r="HS37" s="276"/>
      <c r="HT37" s="276"/>
      <c r="HU37" s="276"/>
      <c r="HV37" s="276"/>
      <c r="HW37" s="276"/>
      <c r="HX37" s="276"/>
      <c r="HY37" s="276"/>
      <c r="HZ37" s="276"/>
      <c r="IA37" s="276"/>
      <c r="IB37" s="276"/>
      <c r="IC37" s="276"/>
      <c r="ID37" s="276"/>
      <c r="IE37" s="276"/>
      <c r="IF37" s="276"/>
      <c r="IG37" s="276"/>
      <c r="IH37" s="276"/>
      <c r="II37" s="276"/>
      <c r="IJ37" s="276"/>
      <c r="IK37" s="276"/>
      <c r="IL37" s="276"/>
      <c r="IM37" s="276"/>
      <c r="IN37" s="276"/>
      <c r="IO37" s="276"/>
      <c r="IP37" s="276"/>
      <c r="IQ37" s="276"/>
      <c r="IR37" s="276"/>
      <c r="IS37" s="276"/>
      <c r="IT37" s="276"/>
      <c r="IU37" s="276"/>
      <c r="IV37" s="276"/>
      <c r="IW37" s="276"/>
      <c r="IX37" s="276"/>
      <c r="IY37" s="276"/>
      <c r="IZ37" s="276"/>
      <c r="JA37" s="276"/>
      <c r="JB37" s="276"/>
      <c r="JC37" s="276"/>
      <c r="JD37" s="276"/>
      <c r="JE37" s="276"/>
      <c r="JF37" s="276"/>
      <c r="JG37" s="276"/>
      <c r="JH37" s="276"/>
      <c r="JI37" s="276"/>
      <c r="JJ37" s="276"/>
      <c r="JK37" s="276"/>
      <c r="JL37" s="276"/>
      <c r="JM37" s="276"/>
      <c r="JN37" s="276"/>
      <c r="JO37" s="276"/>
      <c r="JP37" s="276"/>
      <c r="JQ37" s="276"/>
      <c r="JR37" s="276"/>
      <c r="JS37" s="276"/>
      <c r="JT37" s="276"/>
      <c r="JU37" s="276"/>
      <c r="JV37" s="276"/>
      <c r="JW37" s="276"/>
      <c r="JX37" s="276"/>
      <c r="JY37" s="276"/>
      <c r="JZ37" s="276"/>
      <c r="KA37" s="276"/>
      <c r="KB37" s="276"/>
      <c r="KC37" s="276"/>
      <c r="KD37" s="276"/>
      <c r="KE37" s="276"/>
      <c r="KF37" s="276"/>
      <c r="KG37" s="276"/>
      <c r="KH37" s="276"/>
      <c r="KI37" s="276"/>
      <c r="KJ37" s="276"/>
      <c r="KK37" s="276"/>
      <c r="KL37" s="276"/>
      <c r="KM37" s="276"/>
      <c r="KN37" s="276"/>
      <c r="KO37" s="276"/>
      <c r="KP37" s="276"/>
      <c r="KQ37" s="276"/>
      <c r="KR37" s="276"/>
      <c r="KS37" s="276"/>
      <c r="KT37" s="276"/>
      <c r="KU37" s="276"/>
      <c r="KV37" s="276"/>
      <c r="KW37" s="276"/>
      <c r="KX37" s="276"/>
      <c r="KY37" s="276"/>
      <c r="KZ37" s="276"/>
      <c r="LA37" s="276"/>
      <c r="LB37" s="276"/>
      <c r="LC37" s="276"/>
      <c r="LD37" s="276"/>
      <c r="LE37" s="276"/>
      <c r="LF37" s="276"/>
      <c r="LG37" s="276"/>
      <c r="LH37" s="276"/>
      <c r="LI37" s="276"/>
      <c r="LJ37" s="276"/>
      <c r="LK37" s="276"/>
      <c r="LL37" s="276"/>
      <c r="LM37" s="276"/>
      <c r="LN37" s="276"/>
      <c r="LO37" s="276"/>
      <c r="LP37" s="276"/>
      <c r="LQ37" s="276"/>
      <c r="LR37" s="276"/>
      <c r="LS37" s="276"/>
      <c r="LT37" s="276"/>
      <c r="LU37" s="276"/>
      <c r="LV37" s="276"/>
      <c r="LW37" s="276"/>
      <c r="LX37" s="276"/>
      <c r="LY37" s="276"/>
      <c r="LZ37" s="276"/>
      <c r="MA37" s="276"/>
      <c r="MB37" s="276"/>
      <c r="MC37" s="276"/>
      <c r="MD37" s="276"/>
      <c r="ME37" s="276"/>
      <c r="MF37" s="276"/>
      <c r="MG37" s="276"/>
      <c r="MH37" s="276"/>
      <c r="MI37" s="276"/>
      <c r="MJ37" s="276"/>
      <c r="MK37" s="276"/>
      <c r="ML37" s="276"/>
      <c r="MM37" s="276"/>
      <c r="MN37" s="276"/>
      <c r="MO37" s="276"/>
      <c r="MP37" s="276"/>
      <c r="MQ37" s="276"/>
      <c r="MR37" s="276"/>
      <c r="MS37" s="276"/>
      <c r="MT37" s="276"/>
      <c r="MU37" s="276"/>
      <c r="MV37" s="276"/>
      <c r="MW37" s="276"/>
      <c r="MX37" s="276"/>
      <c r="MY37" s="276"/>
      <c r="MZ37" s="276"/>
      <c r="NA37" s="276"/>
      <c r="NB37" s="276"/>
      <c r="NC37" s="276"/>
      <c r="ND37" s="276"/>
      <c r="NE37" s="276"/>
      <c r="NF37" s="276"/>
      <c r="NG37" s="276"/>
      <c r="NH37" s="276"/>
      <c r="NI37" s="276"/>
      <c r="NJ37" s="276"/>
      <c r="NK37" s="276"/>
      <c r="NL37" s="276"/>
      <c r="NM37" s="276"/>
      <c r="NN37" s="276"/>
      <c r="NO37" s="276"/>
      <c r="NP37" s="276"/>
      <c r="NQ37" s="276"/>
      <c r="NR37" s="276"/>
      <c r="NS37" s="276"/>
      <c r="NT37" s="276"/>
      <c r="NU37" s="276"/>
      <c r="NV37" s="276"/>
      <c r="NW37" s="276"/>
      <c r="NX37" s="276"/>
      <c r="NY37" s="276"/>
      <c r="NZ37" s="276"/>
      <c r="OA37" s="276"/>
      <c r="OB37" s="276"/>
      <c r="OC37" s="276"/>
      <c r="OD37" s="276"/>
      <c r="OE37" s="276"/>
      <c r="OF37" s="276"/>
      <c r="OG37" s="276"/>
      <c r="OH37" s="276"/>
      <c r="OI37" s="276"/>
      <c r="OJ37" s="276"/>
      <c r="OK37" s="276"/>
      <c r="OL37" s="276"/>
      <c r="OM37" s="276"/>
      <c r="ON37" s="276"/>
      <c r="OO37" s="276"/>
      <c r="OP37" s="276"/>
      <c r="OQ37" s="276"/>
      <c r="OR37" s="276"/>
      <c r="OS37" s="276"/>
      <c r="OT37" s="276"/>
      <c r="OU37" s="276"/>
      <c r="OV37" s="276"/>
      <c r="OW37" s="276"/>
      <c r="OX37" s="276"/>
      <c r="OY37" s="276"/>
      <c r="OZ37" s="276"/>
      <c r="PA37" s="276"/>
      <c r="PB37" s="276"/>
      <c r="PC37" s="276"/>
      <c r="PD37" s="276"/>
      <c r="PE37" s="276"/>
      <c r="PF37" s="276"/>
      <c r="PG37" s="276"/>
      <c r="PH37" s="276"/>
      <c r="PI37" s="276"/>
      <c r="PJ37" s="276"/>
      <c r="PK37" s="276"/>
      <c r="PL37" s="276"/>
      <c r="PM37" s="276"/>
      <c r="PN37" s="276"/>
      <c r="PO37" s="276"/>
      <c r="PP37" s="276"/>
      <c r="PQ37" s="276"/>
      <c r="PR37" s="276"/>
      <c r="PS37" s="276"/>
      <c r="PT37" s="276"/>
      <c r="PU37" s="276"/>
      <c r="PV37" s="276"/>
      <c r="PW37" s="276"/>
      <c r="PX37" s="276"/>
      <c r="PY37" s="276"/>
      <c r="PZ37" s="276"/>
      <c r="QA37" s="276"/>
      <c r="QB37" s="276"/>
      <c r="QC37" s="276"/>
      <c r="QD37" s="276"/>
      <c r="QE37" s="276"/>
      <c r="QF37" s="276"/>
      <c r="QG37" s="276"/>
      <c r="QH37" s="276"/>
      <c r="QI37" s="276"/>
      <c r="QJ37" s="276"/>
      <c r="QK37" s="276"/>
      <c r="QL37" s="276"/>
      <c r="QM37" s="276"/>
      <c r="QN37" s="276"/>
      <c r="QO37" s="276"/>
      <c r="QP37" s="276"/>
      <c r="QQ37" s="276"/>
      <c r="QR37" s="276"/>
      <c r="QS37" s="276"/>
      <c r="QT37" s="276"/>
      <c r="QU37" s="276"/>
      <c r="QV37" s="276"/>
      <c r="QW37" s="276"/>
      <c r="QX37" s="276"/>
      <c r="QY37" s="276"/>
      <c r="QZ37" s="276"/>
      <c r="RA37" s="276"/>
      <c r="RB37" s="276"/>
      <c r="RC37" s="276"/>
      <c r="RD37" s="276"/>
      <c r="RE37" s="276"/>
      <c r="RF37" s="276"/>
      <c r="RG37" s="276"/>
      <c r="RH37" s="276"/>
      <c r="RI37" s="276"/>
      <c r="RJ37" s="276"/>
      <c r="RK37" s="276"/>
      <c r="RL37" s="276"/>
      <c r="RM37" s="276"/>
      <c r="RN37" s="276"/>
      <c r="RO37" s="276"/>
      <c r="RP37" s="276"/>
      <c r="RQ37" s="276"/>
      <c r="RR37" s="276"/>
      <c r="RS37" s="276"/>
      <c r="RT37" s="276"/>
      <c r="RU37" s="276"/>
      <c r="RV37" s="276"/>
      <c r="RW37" s="276"/>
      <c r="RX37" s="276"/>
      <c r="RY37" s="276"/>
      <c r="RZ37" s="276"/>
      <c r="SA37" s="276"/>
      <c r="SB37" s="276"/>
      <c r="SC37" s="276"/>
      <c r="SD37" s="276"/>
      <c r="SE37" s="276"/>
      <c r="SF37" s="276"/>
      <c r="SG37" s="276"/>
      <c r="SH37" s="276"/>
      <c r="SI37" s="276"/>
      <c r="SJ37" s="276"/>
      <c r="SK37" s="276"/>
      <c r="SL37" s="276"/>
      <c r="SM37" s="276"/>
      <c r="SN37" s="276"/>
      <c r="SO37" s="276"/>
      <c r="SP37" s="276"/>
      <c r="SQ37" s="276"/>
      <c r="SR37" s="276"/>
      <c r="SS37" s="276"/>
      <c r="ST37" s="276"/>
      <c r="SU37" s="276"/>
      <c r="SV37" s="276"/>
      <c r="SW37" s="276"/>
      <c r="SX37" s="276"/>
      <c r="SY37" s="276"/>
      <c r="SZ37" s="276"/>
      <c r="TA37" s="276"/>
      <c r="TB37" s="276"/>
      <c r="TC37" s="276"/>
      <c r="TD37" s="276"/>
      <c r="TE37" s="276"/>
      <c r="TF37" s="276"/>
      <c r="TG37" s="276"/>
      <c r="TH37" s="276"/>
      <c r="TI37" s="276"/>
      <c r="TJ37" s="276"/>
      <c r="TK37" s="276"/>
      <c r="TL37" s="276"/>
      <c r="TM37" s="276"/>
      <c r="TN37" s="276"/>
      <c r="TO37" s="276"/>
      <c r="TP37" s="276"/>
      <c r="TQ37" s="276"/>
      <c r="TR37" s="276"/>
      <c r="TS37" s="276"/>
      <c r="TT37" s="276"/>
      <c r="TU37" s="276"/>
      <c r="TV37" s="276"/>
      <c r="TW37" s="276"/>
      <c r="TX37" s="276"/>
      <c r="TY37" s="276"/>
      <c r="TZ37" s="276"/>
      <c r="UA37" s="276"/>
      <c r="UB37" s="276"/>
      <c r="UC37" s="276"/>
      <c r="UD37" s="276"/>
      <c r="UE37" s="276"/>
      <c r="UF37" s="276"/>
      <c r="UG37" s="276"/>
      <c r="UH37" s="276"/>
      <c r="UI37" s="276"/>
      <c r="UJ37" s="276"/>
      <c r="UK37" s="276"/>
      <c r="UL37" s="276"/>
      <c r="UM37" s="276"/>
      <c r="UN37" s="276"/>
      <c r="UO37" s="276"/>
      <c r="UP37" s="276"/>
      <c r="UQ37" s="276"/>
      <c r="UR37" s="276"/>
      <c r="US37" s="276"/>
      <c r="UT37" s="276"/>
      <c r="UU37" s="276"/>
      <c r="UV37" s="276"/>
      <c r="UW37" s="276"/>
      <c r="UX37" s="276"/>
      <c r="UY37" s="209"/>
      <c r="UZ37" s="209"/>
      <c r="VA37" s="209"/>
      <c r="VB37" s="209"/>
      <c r="VC37" s="209"/>
      <c r="VD37" s="209"/>
      <c r="VE37" s="209"/>
      <c r="VF37" s="209"/>
      <c r="VG37" s="209"/>
      <c r="VH37" s="209"/>
      <c r="VI37" s="209"/>
      <c r="VJ37" s="209"/>
      <c r="VK37" s="209"/>
      <c r="VL37" s="209"/>
      <c r="VM37" s="209"/>
      <c r="VN37" s="209"/>
    </row>
    <row r="38" spans="1:586" ht="15" customHeight="1" x14ac:dyDescent="0.2">
      <c r="A38" s="69"/>
      <c r="E38" s="265"/>
      <c r="L38" s="69"/>
      <c r="R38" s="70"/>
      <c r="T38" s="69"/>
      <c r="V38" s="71"/>
      <c r="W38" s="69"/>
      <c r="X38" s="71"/>
      <c r="Y38" s="69"/>
      <c r="Z38" s="70"/>
      <c r="AB38" s="69"/>
      <c r="AD38" s="71"/>
      <c r="AE38" s="69"/>
      <c r="AF38" s="71"/>
      <c r="AG38" s="69"/>
      <c r="AH38" s="70"/>
      <c r="AJ38" s="69"/>
      <c r="AL38" s="71"/>
      <c r="AM38" s="69"/>
      <c r="AN38" s="71"/>
      <c r="AO38" s="69"/>
      <c r="AP38" s="70"/>
      <c r="AR38" s="69"/>
      <c r="AV38" s="277"/>
      <c r="AW38" s="209"/>
      <c r="AX38" s="209"/>
      <c r="AY38" s="209"/>
      <c r="AZ38" s="276"/>
      <c r="BA38" s="209"/>
      <c r="BB38" s="209"/>
      <c r="BC38" s="209"/>
      <c r="BD38" s="209"/>
      <c r="BE38" s="209"/>
      <c r="BF38" s="209"/>
      <c r="BG38" s="277"/>
      <c r="BH38" s="277"/>
      <c r="BI38" s="277"/>
      <c r="BJ38" s="277"/>
      <c r="BK38" s="277"/>
      <c r="BL38" s="277"/>
      <c r="BM38" s="277"/>
      <c r="BN38" s="277"/>
      <c r="BO38" s="277"/>
      <c r="BP38" s="277"/>
      <c r="BQ38" s="277"/>
      <c r="BR38" s="277"/>
      <c r="BS38" s="277"/>
      <c r="BT38" s="277"/>
      <c r="BU38" s="277"/>
      <c r="BV38" s="277"/>
      <c r="BW38" s="277"/>
      <c r="BX38" s="277"/>
      <c r="BY38" s="277"/>
      <c r="BZ38" s="277"/>
      <c r="CA38" s="277"/>
      <c r="CB38" s="277"/>
      <c r="CC38" s="277"/>
      <c r="CD38" s="277"/>
      <c r="CE38" s="277"/>
      <c r="CF38" s="277"/>
      <c r="CG38" s="277"/>
      <c r="CH38" s="277"/>
      <c r="CI38" s="277"/>
      <c r="CJ38" s="277"/>
      <c r="CK38" s="277"/>
      <c r="CL38" s="277"/>
      <c r="CM38" s="277"/>
      <c r="CN38" s="277"/>
      <c r="CO38" s="277"/>
      <c r="CP38" s="277"/>
      <c r="CQ38" s="277"/>
      <c r="CR38" s="277"/>
      <c r="CS38" s="277"/>
      <c r="CT38" s="277"/>
      <c r="CU38" s="277"/>
      <c r="CV38" s="277"/>
      <c r="CW38" s="277"/>
      <c r="CX38" s="277"/>
      <c r="CY38" s="277"/>
      <c r="CZ38" s="277"/>
      <c r="DA38" s="277"/>
      <c r="DB38" s="277"/>
      <c r="DC38" s="277"/>
      <c r="DD38" s="277"/>
      <c r="DE38" s="277"/>
      <c r="DF38" s="277"/>
      <c r="DG38" s="277"/>
      <c r="DH38" s="277"/>
      <c r="DI38" s="277"/>
      <c r="DJ38" s="277"/>
      <c r="DK38" s="277"/>
      <c r="DL38" s="277"/>
      <c r="DM38" s="277"/>
      <c r="DN38" s="277"/>
      <c r="DO38" s="277"/>
      <c r="DP38" s="277"/>
      <c r="DQ38" s="277"/>
      <c r="DR38" s="277"/>
      <c r="DS38" s="209"/>
      <c r="DT38" s="209"/>
      <c r="DU38" s="209"/>
      <c r="DV38" s="209"/>
      <c r="DW38" s="209"/>
      <c r="DX38" s="209"/>
      <c r="DY38" s="209"/>
      <c r="DZ38" s="209"/>
      <c r="EA38" s="209"/>
      <c r="EB38" s="209"/>
      <c r="EC38" s="209"/>
      <c r="ED38" s="209"/>
      <c r="EE38" s="209"/>
      <c r="EF38" s="209"/>
      <c r="EG38" s="209"/>
      <c r="EH38" s="209"/>
      <c r="EI38" s="209"/>
      <c r="EJ38" s="209"/>
      <c r="EK38" s="209"/>
      <c r="EL38" s="209"/>
      <c r="EM38" s="209"/>
      <c r="EN38" s="209"/>
      <c r="EO38" s="209"/>
      <c r="EP38" s="209"/>
      <c r="EQ38" s="209"/>
      <c r="ER38" s="209"/>
      <c r="ES38" s="209"/>
      <c r="ET38" s="209"/>
      <c r="EU38" s="209"/>
      <c r="EV38" s="209"/>
      <c r="EW38" s="209"/>
      <c r="EX38" s="209"/>
      <c r="EY38" s="209"/>
      <c r="EZ38" s="209"/>
      <c r="FA38" s="209"/>
      <c r="FB38" s="209"/>
      <c r="FC38" s="209"/>
      <c r="FD38" s="209"/>
      <c r="FE38" s="209"/>
      <c r="FF38" s="209"/>
      <c r="FG38" s="209"/>
      <c r="FH38" s="209"/>
      <c r="FI38" s="209"/>
      <c r="FJ38" s="209"/>
      <c r="FK38" s="209"/>
      <c r="FL38" s="209"/>
      <c r="FM38" s="209"/>
      <c r="FN38" s="209"/>
      <c r="FO38" s="209"/>
      <c r="FP38" s="209"/>
      <c r="FQ38" s="209"/>
      <c r="FR38" s="209"/>
      <c r="FS38" s="209"/>
      <c r="FT38" s="209"/>
      <c r="FU38" s="209"/>
      <c r="FV38" s="209"/>
      <c r="FW38" s="209"/>
      <c r="FX38" s="209"/>
      <c r="FY38" s="209"/>
      <c r="FZ38" s="209"/>
      <c r="GA38" s="209"/>
      <c r="GB38" s="209"/>
      <c r="GC38" s="209"/>
      <c r="GD38" s="209"/>
      <c r="GE38" s="276"/>
      <c r="GF38" s="276"/>
      <c r="GG38" s="276"/>
      <c r="GH38" s="276"/>
      <c r="GI38" s="276"/>
      <c r="GJ38" s="276"/>
      <c r="GK38" s="276"/>
      <c r="GL38" s="276"/>
      <c r="GM38" s="276"/>
      <c r="GN38" s="276"/>
      <c r="GO38" s="276"/>
      <c r="GP38" s="276"/>
      <c r="GQ38" s="276"/>
      <c r="GR38" s="276"/>
      <c r="GS38" s="276"/>
      <c r="GT38" s="276"/>
      <c r="GU38" s="276"/>
      <c r="GV38" s="276"/>
      <c r="GW38" s="276"/>
      <c r="GX38" s="276"/>
      <c r="GY38" s="276"/>
      <c r="GZ38" s="276"/>
      <c r="HA38" s="276"/>
      <c r="HB38" s="276"/>
      <c r="HC38" s="276"/>
      <c r="HD38" s="276"/>
      <c r="HE38" s="276"/>
      <c r="HF38" s="276"/>
      <c r="HG38" s="276"/>
      <c r="HH38" s="276"/>
      <c r="HI38" s="276"/>
      <c r="HJ38" s="276"/>
      <c r="HK38" s="276"/>
      <c r="HL38" s="276"/>
      <c r="HM38" s="276"/>
      <c r="HN38" s="276"/>
      <c r="HO38" s="276"/>
      <c r="HP38" s="276"/>
      <c r="HQ38" s="276"/>
      <c r="HR38" s="276"/>
      <c r="HS38" s="276"/>
      <c r="HT38" s="276"/>
      <c r="HU38" s="276"/>
      <c r="HV38" s="276"/>
      <c r="HW38" s="276"/>
      <c r="HX38" s="276"/>
      <c r="HY38" s="276"/>
      <c r="HZ38" s="276"/>
      <c r="IA38" s="276"/>
      <c r="IB38" s="276"/>
      <c r="IC38" s="276"/>
      <c r="ID38" s="276"/>
      <c r="IE38" s="276"/>
      <c r="IF38" s="276"/>
      <c r="IG38" s="276"/>
      <c r="IH38" s="276"/>
      <c r="II38" s="276"/>
      <c r="IJ38" s="276"/>
      <c r="IK38" s="276"/>
      <c r="IL38" s="276"/>
      <c r="IM38" s="276"/>
      <c r="IN38" s="276"/>
      <c r="IO38" s="276"/>
      <c r="IP38" s="276"/>
      <c r="IQ38" s="276"/>
      <c r="IR38" s="276"/>
      <c r="IS38" s="276"/>
      <c r="IT38" s="276"/>
      <c r="IU38" s="276"/>
      <c r="IV38" s="276"/>
      <c r="IW38" s="276"/>
      <c r="IX38" s="276"/>
      <c r="IY38" s="276"/>
      <c r="IZ38" s="276"/>
      <c r="JA38" s="276"/>
      <c r="JB38" s="276"/>
      <c r="JC38" s="276"/>
      <c r="JD38" s="276"/>
      <c r="JE38" s="276"/>
      <c r="JF38" s="276"/>
      <c r="JG38" s="276"/>
      <c r="JH38" s="276"/>
      <c r="JI38" s="276"/>
      <c r="JJ38" s="276"/>
      <c r="JK38" s="276"/>
      <c r="JL38" s="276"/>
      <c r="JM38" s="276"/>
      <c r="JN38" s="276"/>
      <c r="JO38" s="276"/>
      <c r="JP38" s="276"/>
      <c r="JQ38" s="276"/>
      <c r="JR38" s="276"/>
      <c r="JS38" s="276"/>
      <c r="JT38" s="276"/>
      <c r="JU38" s="276"/>
      <c r="JV38" s="276"/>
      <c r="JW38" s="276"/>
      <c r="JX38" s="276"/>
      <c r="JY38" s="276"/>
      <c r="JZ38" s="276"/>
      <c r="KA38" s="276"/>
      <c r="KB38" s="276"/>
      <c r="KC38" s="276"/>
      <c r="KD38" s="276"/>
      <c r="KE38" s="276"/>
      <c r="KF38" s="276"/>
      <c r="KG38" s="276"/>
      <c r="KH38" s="276"/>
      <c r="KI38" s="276"/>
      <c r="KJ38" s="276"/>
      <c r="KK38" s="276"/>
      <c r="KL38" s="276"/>
      <c r="KM38" s="276"/>
      <c r="KN38" s="276"/>
      <c r="KO38" s="276"/>
      <c r="KP38" s="276"/>
      <c r="KQ38" s="276"/>
      <c r="KR38" s="276"/>
      <c r="KS38" s="276"/>
      <c r="KT38" s="276"/>
      <c r="KU38" s="276"/>
      <c r="KV38" s="276"/>
      <c r="KW38" s="276"/>
      <c r="KX38" s="276"/>
      <c r="KY38" s="276"/>
      <c r="KZ38" s="276"/>
      <c r="LA38" s="276"/>
      <c r="LB38" s="276"/>
      <c r="LC38" s="276"/>
      <c r="LD38" s="276"/>
      <c r="LE38" s="276"/>
      <c r="LF38" s="276"/>
      <c r="LG38" s="276"/>
      <c r="LH38" s="276"/>
      <c r="LI38" s="276"/>
      <c r="LJ38" s="276"/>
      <c r="LK38" s="276"/>
      <c r="LL38" s="276"/>
      <c r="LM38" s="276"/>
      <c r="LN38" s="276"/>
      <c r="LO38" s="276"/>
      <c r="LP38" s="276"/>
      <c r="LQ38" s="276"/>
      <c r="LR38" s="276"/>
      <c r="LS38" s="276"/>
      <c r="LT38" s="276"/>
      <c r="LU38" s="276"/>
      <c r="LV38" s="276"/>
      <c r="LW38" s="276"/>
      <c r="LX38" s="276"/>
      <c r="LY38" s="276"/>
      <c r="LZ38" s="276"/>
      <c r="MA38" s="276"/>
      <c r="MB38" s="276"/>
      <c r="MC38" s="276"/>
      <c r="MD38" s="276"/>
      <c r="ME38" s="276"/>
      <c r="MF38" s="276"/>
      <c r="MG38" s="276"/>
      <c r="MH38" s="276"/>
      <c r="MI38" s="276"/>
      <c r="MJ38" s="276"/>
      <c r="MK38" s="276"/>
      <c r="ML38" s="276"/>
      <c r="MM38" s="276"/>
      <c r="MN38" s="276"/>
      <c r="MO38" s="276"/>
      <c r="MP38" s="276"/>
      <c r="MQ38" s="276"/>
      <c r="MR38" s="276"/>
      <c r="MS38" s="276"/>
      <c r="MT38" s="276"/>
      <c r="MU38" s="276"/>
      <c r="MV38" s="276"/>
      <c r="MW38" s="276"/>
      <c r="MX38" s="276"/>
      <c r="MY38" s="276"/>
      <c r="MZ38" s="276"/>
      <c r="NA38" s="276"/>
      <c r="NB38" s="276"/>
      <c r="NC38" s="276"/>
      <c r="ND38" s="276"/>
      <c r="NE38" s="276"/>
      <c r="NF38" s="276"/>
      <c r="NG38" s="276"/>
      <c r="NH38" s="276"/>
      <c r="NI38" s="276"/>
      <c r="NJ38" s="276"/>
      <c r="NK38" s="276"/>
      <c r="NL38" s="276"/>
      <c r="NM38" s="276"/>
      <c r="NN38" s="276"/>
      <c r="NO38" s="276"/>
      <c r="NP38" s="276"/>
      <c r="NQ38" s="276"/>
      <c r="NR38" s="276"/>
      <c r="NS38" s="276"/>
      <c r="NT38" s="276"/>
      <c r="NU38" s="276"/>
      <c r="NV38" s="276"/>
      <c r="NW38" s="276"/>
      <c r="NX38" s="276"/>
      <c r="NY38" s="276"/>
      <c r="NZ38" s="276"/>
      <c r="OA38" s="276"/>
      <c r="OB38" s="276"/>
      <c r="OC38" s="276"/>
      <c r="OD38" s="276"/>
      <c r="OE38" s="276"/>
      <c r="OF38" s="276"/>
      <c r="OG38" s="276"/>
      <c r="OH38" s="276"/>
      <c r="OI38" s="276"/>
      <c r="OJ38" s="276"/>
      <c r="OK38" s="276"/>
      <c r="OL38" s="276"/>
      <c r="OM38" s="276"/>
      <c r="ON38" s="276"/>
      <c r="OO38" s="276"/>
      <c r="OP38" s="276"/>
      <c r="OQ38" s="276"/>
      <c r="OR38" s="276"/>
      <c r="OS38" s="276"/>
      <c r="OT38" s="276"/>
      <c r="OU38" s="276"/>
      <c r="OV38" s="276"/>
      <c r="OW38" s="276"/>
      <c r="OX38" s="276"/>
      <c r="OY38" s="276"/>
      <c r="OZ38" s="276"/>
      <c r="PA38" s="276"/>
      <c r="PB38" s="276"/>
      <c r="PC38" s="276"/>
      <c r="PD38" s="276"/>
      <c r="PE38" s="276"/>
      <c r="PF38" s="276"/>
      <c r="PG38" s="276"/>
      <c r="PH38" s="276"/>
      <c r="PI38" s="276"/>
      <c r="PJ38" s="276"/>
      <c r="PK38" s="276"/>
      <c r="PL38" s="276"/>
      <c r="PM38" s="276"/>
      <c r="PN38" s="276"/>
      <c r="PO38" s="276"/>
      <c r="PP38" s="276"/>
      <c r="PQ38" s="276"/>
      <c r="PR38" s="276"/>
      <c r="PS38" s="276"/>
      <c r="PT38" s="276"/>
      <c r="PU38" s="276"/>
      <c r="PV38" s="276"/>
      <c r="PW38" s="276"/>
      <c r="PX38" s="276"/>
      <c r="PY38" s="276"/>
      <c r="PZ38" s="276"/>
      <c r="QA38" s="276"/>
      <c r="QB38" s="276"/>
      <c r="QC38" s="276"/>
      <c r="QD38" s="276"/>
      <c r="QE38" s="276"/>
      <c r="QF38" s="276"/>
      <c r="QG38" s="276"/>
      <c r="QH38" s="276"/>
      <c r="QI38" s="276"/>
      <c r="QJ38" s="276"/>
      <c r="QK38" s="276"/>
      <c r="QL38" s="276"/>
      <c r="QM38" s="276"/>
      <c r="QN38" s="276"/>
      <c r="QO38" s="276"/>
      <c r="QP38" s="276"/>
      <c r="QQ38" s="276"/>
      <c r="QR38" s="276"/>
      <c r="QS38" s="276"/>
      <c r="QT38" s="276"/>
      <c r="QU38" s="276"/>
      <c r="QV38" s="276"/>
      <c r="QW38" s="276"/>
      <c r="QX38" s="276"/>
      <c r="QY38" s="276"/>
      <c r="QZ38" s="276"/>
      <c r="RA38" s="276"/>
      <c r="RB38" s="276"/>
      <c r="RC38" s="276"/>
      <c r="RD38" s="276"/>
      <c r="RE38" s="276"/>
      <c r="RF38" s="276"/>
      <c r="RG38" s="276"/>
      <c r="RH38" s="276"/>
      <c r="RI38" s="276"/>
      <c r="RJ38" s="276"/>
      <c r="RK38" s="276"/>
      <c r="RL38" s="276"/>
      <c r="RM38" s="276"/>
      <c r="RN38" s="276"/>
      <c r="RO38" s="276"/>
      <c r="RP38" s="276"/>
      <c r="RQ38" s="276"/>
      <c r="RR38" s="276"/>
      <c r="RS38" s="276"/>
      <c r="RT38" s="276"/>
      <c r="RU38" s="276"/>
      <c r="RV38" s="276"/>
      <c r="RW38" s="276"/>
      <c r="RX38" s="276"/>
      <c r="RY38" s="276"/>
      <c r="RZ38" s="276"/>
      <c r="SA38" s="276"/>
      <c r="SB38" s="276"/>
      <c r="SC38" s="276"/>
      <c r="SD38" s="276"/>
      <c r="SE38" s="276"/>
      <c r="SF38" s="276"/>
      <c r="SG38" s="276"/>
      <c r="SH38" s="276"/>
      <c r="SI38" s="276"/>
      <c r="SJ38" s="276"/>
      <c r="SK38" s="276"/>
      <c r="SL38" s="276"/>
      <c r="SM38" s="276"/>
      <c r="SN38" s="276"/>
      <c r="SO38" s="276"/>
      <c r="SP38" s="276"/>
      <c r="SQ38" s="276"/>
      <c r="SR38" s="276"/>
      <c r="SS38" s="276"/>
      <c r="ST38" s="276"/>
      <c r="SU38" s="276"/>
      <c r="SV38" s="276"/>
      <c r="SW38" s="276"/>
      <c r="SX38" s="276"/>
      <c r="SY38" s="276"/>
      <c r="SZ38" s="276"/>
      <c r="TA38" s="276"/>
      <c r="TB38" s="276"/>
      <c r="TC38" s="276"/>
      <c r="TD38" s="276"/>
      <c r="TE38" s="276"/>
      <c r="TF38" s="276"/>
      <c r="TG38" s="276"/>
      <c r="TH38" s="276"/>
      <c r="TI38" s="276"/>
      <c r="TJ38" s="276"/>
      <c r="TK38" s="276"/>
      <c r="TL38" s="276"/>
      <c r="TM38" s="276"/>
      <c r="TN38" s="276"/>
      <c r="TO38" s="276"/>
      <c r="TP38" s="276"/>
      <c r="TQ38" s="276"/>
      <c r="TR38" s="276"/>
      <c r="TS38" s="276"/>
      <c r="TT38" s="276"/>
      <c r="TU38" s="276"/>
      <c r="TV38" s="276"/>
      <c r="TW38" s="276"/>
      <c r="TX38" s="276"/>
      <c r="TY38" s="276"/>
      <c r="TZ38" s="276"/>
      <c r="UA38" s="276"/>
      <c r="UB38" s="276"/>
      <c r="UC38" s="276"/>
      <c r="UD38" s="276"/>
      <c r="UE38" s="276"/>
      <c r="UF38" s="276"/>
      <c r="UG38" s="276"/>
      <c r="UH38" s="276"/>
      <c r="UI38" s="276"/>
      <c r="UJ38" s="276"/>
      <c r="UK38" s="276"/>
      <c r="UL38" s="276"/>
      <c r="UM38" s="276"/>
      <c r="UN38" s="276"/>
      <c r="UO38" s="276"/>
      <c r="UP38" s="276"/>
      <c r="UQ38" s="276"/>
      <c r="UR38" s="276"/>
      <c r="US38" s="276"/>
      <c r="UT38" s="276"/>
      <c r="UU38" s="276"/>
      <c r="UV38" s="276"/>
      <c r="UW38" s="276"/>
      <c r="UX38" s="276"/>
      <c r="UY38" s="209"/>
      <c r="UZ38" s="209"/>
      <c r="VA38" s="209"/>
      <c r="VB38" s="209"/>
      <c r="VC38" s="209"/>
      <c r="VD38" s="209"/>
      <c r="VE38" s="209"/>
      <c r="VF38" s="209"/>
      <c r="VG38" s="209"/>
      <c r="VH38" s="209"/>
      <c r="VI38" s="209"/>
      <c r="VJ38" s="209"/>
      <c r="VK38" s="209"/>
      <c r="VL38" s="209"/>
      <c r="VM38" s="209"/>
      <c r="VN38" s="209"/>
    </row>
    <row r="39" spans="1:586" ht="15" customHeight="1" x14ac:dyDescent="0.2">
      <c r="A39" s="69"/>
      <c r="E39" s="265"/>
      <c r="L39" s="69"/>
      <c r="R39" s="70"/>
      <c r="T39" s="69"/>
      <c r="V39" s="71"/>
      <c r="W39" s="69"/>
      <c r="X39" s="71"/>
      <c r="Y39" s="69"/>
      <c r="Z39" s="70"/>
      <c r="AB39" s="69"/>
      <c r="AD39" s="71"/>
      <c r="AE39" s="69"/>
      <c r="AF39" s="71"/>
      <c r="AG39" s="69"/>
      <c r="AH39" s="70"/>
      <c r="AJ39" s="69"/>
      <c r="AL39" s="71"/>
      <c r="AM39" s="69"/>
      <c r="AN39" s="71"/>
      <c r="AO39" s="69"/>
      <c r="AP39" s="70"/>
      <c r="AR39" s="69"/>
      <c r="AV39" s="277"/>
      <c r="AW39" s="209"/>
      <c r="AX39" s="209"/>
      <c r="AY39" s="209"/>
      <c r="AZ39" s="276"/>
      <c r="BA39" s="209"/>
      <c r="BB39" s="209"/>
      <c r="BC39" s="209"/>
      <c r="BD39" s="209"/>
      <c r="BE39" s="209"/>
      <c r="BF39" s="209"/>
      <c r="BG39" s="277"/>
      <c r="BH39" s="277"/>
      <c r="BI39" s="277"/>
      <c r="BJ39" s="277"/>
      <c r="BK39" s="277"/>
      <c r="BL39" s="277"/>
      <c r="BM39" s="277"/>
      <c r="BN39" s="277"/>
      <c r="BO39" s="277"/>
      <c r="BP39" s="277"/>
      <c r="BQ39" s="277"/>
      <c r="BR39" s="277"/>
      <c r="BS39" s="277"/>
      <c r="BT39" s="277"/>
      <c r="BU39" s="277"/>
      <c r="BV39" s="277"/>
      <c r="BW39" s="277"/>
      <c r="BX39" s="277"/>
      <c r="BY39" s="277"/>
      <c r="BZ39" s="277"/>
      <c r="CA39" s="277"/>
      <c r="CB39" s="277"/>
      <c r="CC39" s="277"/>
      <c r="CD39" s="277"/>
      <c r="CE39" s="277"/>
      <c r="CF39" s="277"/>
      <c r="CG39" s="277"/>
      <c r="CH39" s="277"/>
      <c r="CI39" s="277"/>
      <c r="CJ39" s="277"/>
      <c r="CK39" s="277"/>
      <c r="CL39" s="277"/>
      <c r="CM39" s="277"/>
      <c r="CN39" s="277"/>
      <c r="CO39" s="277"/>
      <c r="CP39" s="277"/>
      <c r="CQ39" s="277"/>
      <c r="CR39" s="277"/>
      <c r="CS39" s="277"/>
      <c r="CT39" s="277"/>
      <c r="CU39" s="277"/>
      <c r="CV39" s="277"/>
      <c r="CW39" s="277"/>
      <c r="CX39" s="277"/>
      <c r="CY39" s="277"/>
      <c r="CZ39" s="277"/>
      <c r="DA39" s="277"/>
      <c r="DB39" s="277"/>
      <c r="DC39" s="277"/>
      <c r="DD39" s="277"/>
      <c r="DE39" s="277"/>
      <c r="DF39" s="277"/>
      <c r="DG39" s="277"/>
      <c r="DH39" s="277"/>
      <c r="DI39" s="277"/>
      <c r="DJ39" s="277"/>
      <c r="DK39" s="277"/>
      <c r="DL39" s="277"/>
      <c r="DM39" s="277"/>
      <c r="DN39" s="277"/>
      <c r="DO39" s="277"/>
      <c r="DP39" s="277"/>
      <c r="DQ39" s="277"/>
      <c r="DR39" s="277"/>
      <c r="DS39" s="209"/>
      <c r="DT39" s="209"/>
      <c r="DU39" s="209"/>
      <c r="DV39" s="209"/>
      <c r="DW39" s="209"/>
      <c r="DX39" s="209"/>
      <c r="DY39" s="209"/>
      <c r="DZ39" s="209"/>
      <c r="EA39" s="209"/>
      <c r="EB39" s="209"/>
      <c r="EC39" s="209"/>
      <c r="ED39" s="209"/>
      <c r="EE39" s="209"/>
      <c r="EF39" s="209"/>
      <c r="EG39" s="209"/>
      <c r="EH39" s="209"/>
      <c r="EI39" s="209"/>
      <c r="EJ39" s="209"/>
      <c r="EK39" s="209"/>
      <c r="EL39" s="209"/>
      <c r="EM39" s="209"/>
      <c r="EN39" s="209"/>
      <c r="EO39" s="209"/>
      <c r="EP39" s="209"/>
      <c r="EQ39" s="209"/>
      <c r="ER39" s="209"/>
      <c r="ES39" s="209"/>
      <c r="ET39" s="209"/>
      <c r="EU39" s="209"/>
      <c r="EV39" s="209"/>
      <c r="EW39" s="209"/>
      <c r="EX39" s="209"/>
      <c r="EY39" s="209"/>
      <c r="EZ39" s="209"/>
      <c r="FA39" s="209"/>
      <c r="FB39" s="209"/>
      <c r="FC39" s="209"/>
      <c r="FD39" s="209"/>
      <c r="FE39" s="209"/>
      <c r="FF39" s="209"/>
      <c r="FG39" s="209"/>
      <c r="FH39" s="209"/>
      <c r="FI39" s="209"/>
      <c r="FJ39" s="209"/>
      <c r="FK39" s="209"/>
      <c r="FL39" s="209"/>
      <c r="FM39" s="209"/>
      <c r="FN39" s="209"/>
      <c r="FO39" s="209"/>
      <c r="FP39" s="209"/>
      <c r="FQ39" s="209"/>
      <c r="FR39" s="209"/>
      <c r="FS39" s="209"/>
      <c r="FT39" s="209"/>
      <c r="FU39" s="209"/>
      <c r="FV39" s="209"/>
      <c r="FW39" s="209"/>
      <c r="FX39" s="209"/>
      <c r="FY39" s="209"/>
      <c r="FZ39" s="209"/>
      <c r="GA39" s="209"/>
      <c r="GB39" s="209"/>
      <c r="GC39" s="209"/>
      <c r="GD39" s="209"/>
      <c r="GE39" s="276"/>
      <c r="GF39" s="276"/>
      <c r="GG39" s="276"/>
      <c r="GH39" s="276"/>
      <c r="GI39" s="276"/>
      <c r="GJ39" s="276"/>
      <c r="GK39" s="276"/>
      <c r="GL39" s="276"/>
      <c r="GM39" s="276"/>
      <c r="GN39" s="276"/>
      <c r="GO39" s="276"/>
      <c r="GP39" s="276"/>
      <c r="GQ39" s="276"/>
      <c r="GR39" s="276"/>
      <c r="GS39" s="276"/>
      <c r="GT39" s="276"/>
      <c r="GU39" s="276"/>
      <c r="GV39" s="276"/>
      <c r="GW39" s="276"/>
      <c r="GX39" s="276"/>
      <c r="GY39" s="276"/>
      <c r="GZ39" s="276"/>
      <c r="HA39" s="276"/>
      <c r="HB39" s="276"/>
      <c r="HC39" s="276"/>
      <c r="HD39" s="276"/>
      <c r="HE39" s="276"/>
      <c r="HF39" s="276"/>
      <c r="HG39" s="276"/>
      <c r="HH39" s="276"/>
      <c r="HI39" s="276"/>
      <c r="HJ39" s="276"/>
      <c r="HK39" s="276"/>
      <c r="HL39" s="276"/>
      <c r="HM39" s="276"/>
      <c r="HN39" s="276"/>
      <c r="HO39" s="276"/>
      <c r="HP39" s="276"/>
      <c r="HQ39" s="276"/>
      <c r="HR39" s="276"/>
      <c r="HS39" s="276"/>
      <c r="HT39" s="276"/>
      <c r="HU39" s="276"/>
      <c r="HV39" s="276"/>
      <c r="HW39" s="276"/>
      <c r="HX39" s="276"/>
      <c r="HY39" s="276"/>
      <c r="HZ39" s="276"/>
      <c r="IA39" s="276"/>
      <c r="IB39" s="276"/>
      <c r="IC39" s="276"/>
      <c r="ID39" s="276"/>
      <c r="IE39" s="276"/>
      <c r="IF39" s="276"/>
      <c r="IG39" s="276"/>
      <c r="IH39" s="276"/>
      <c r="II39" s="276"/>
      <c r="IJ39" s="276"/>
      <c r="IK39" s="276"/>
      <c r="IL39" s="276"/>
      <c r="IM39" s="276"/>
      <c r="IN39" s="276"/>
      <c r="IO39" s="276"/>
      <c r="IP39" s="276"/>
      <c r="IQ39" s="276"/>
      <c r="IR39" s="276"/>
      <c r="IS39" s="276"/>
      <c r="IT39" s="276"/>
      <c r="IU39" s="276"/>
      <c r="IV39" s="276"/>
      <c r="IW39" s="276"/>
      <c r="IX39" s="276"/>
      <c r="IY39" s="276"/>
      <c r="IZ39" s="276"/>
      <c r="JA39" s="276"/>
      <c r="JB39" s="276"/>
      <c r="JC39" s="276"/>
      <c r="JD39" s="276"/>
      <c r="JE39" s="276"/>
      <c r="JF39" s="276"/>
      <c r="JG39" s="276"/>
      <c r="JH39" s="276"/>
      <c r="JI39" s="276"/>
      <c r="JJ39" s="276"/>
      <c r="JK39" s="276"/>
      <c r="JL39" s="276"/>
      <c r="JM39" s="276"/>
      <c r="JN39" s="276"/>
      <c r="JO39" s="276"/>
      <c r="JP39" s="276"/>
      <c r="JQ39" s="276"/>
      <c r="JR39" s="276"/>
      <c r="JS39" s="276"/>
      <c r="JT39" s="276"/>
      <c r="JU39" s="276"/>
      <c r="JV39" s="276"/>
      <c r="JW39" s="276"/>
      <c r="JX39" s="276"/>
      <c r="JY39" s="276"/>
      <c r="JZ39" s="276"/>
      <c r="KA39" s="276"/>
      <c r="KB39" s="276"/>
      <c r="KC39" s="276"/>
      <c r="KD39" s="276"/>
      <c r="KE39" s="276"/>
      <c r="KF39" s="276"/>
      <c r="KG39" s="276"/>
      <c r="KH39" s="276"/>
      <c r="KI39" s="276"/>
      <c r="KJ39" s="276"/>
      <c r="KK39" s="276"/>
      <c r="KL39" s="276"/>
      <c r="KM39" s="276"/>
      <c r="KN39" s="276"/>
      <c r="KO39" s="276"/>
      <c r="KP39" s="276"/>
      <c r="KQ39" s="276"/>
      <c r="KR39" s="276"/>
      <c r="KS39" s="276"/>
      <c r="KT39" s="276"/>
      <c r="KU39" s="276"/>
      <c r="KV39" s="276"/>
      <c r="KW39" s="276"/>
      <c r="KX39" s="276"/>
      <c r="KY39" s="276"/>
      <c r="KZ39" s="276"/>
      <c r="LA39" s="276"/>
      <c r="LB39" s="276"/>
      <c r="LC39" s="276"/>
      <c r="LD39" s="276"/>
      <c r="LE39" s="276"/>
      <c r="LF39" s="276"/>
      <c r="LG39" s="276"/>
      <c r="LH39" s="276"/>
      <c r="LI39" s="276"/>
      <c r="LJ39" s="276"/>
      <c r="LK39" s="276"/>
      <c r="LL39" s="276"/>
      <c r="LM39" s="276"/>
      <c r="LN39" s="276"/>
      <c r="LO39" s="276"/>
      <c r="LP39" s="276"/>
      <c r="LQ39" s="276"/>
      <c r="LR39" s="276"/>
      <c r="LS39" s="276"/>
      <c r="LT39" s="276"/>
      <c r="LU39" s="276"/>
      <c r="LV39" s="276"/>
      <c r="LW39" s="276"/>
      <c r="LX39" s="276"/>
      <c r="LY39" s="276"/>
      <c r="LZ39" s="276"/>
      <c r="MA39" s="276"/>
      <c r="MB39" s="276"/>
      <c r="MC39" s="276"/>
      <c r="MD39" s="276"/>
      <c r="ME39" s="276"/>
      <c r="MF39" s="276"/>
      <c r="MG39" s="276"/>
      <c r="MH39" s="276"/>
      <c r="MI39" s="276"/>
      <c r="MJ39" s="276"/>
      <c r="MK39" s="276"/>
      <c r="ML39" s="276"/>
      <c r="MM39" s="276"/>
      <c r="MN39" s="276"/>
      <c r="MO39" s="276"/>
      <c r="MP39" s="276"/>
      <c r="MQ39" s="276"/>
      <c r="MR39" s="276"/>
      <c r="MS39" s="276"/>
      <c r="MT39" s="276"/>
      <c r="MU39" s="276"/>
      <c r="MV39" s="276"/>
      <c r="MW39" s="276"/>
      <c r="MX39" s="276"/>
      <c r="MY39" s="276"/>
      <c r="MZ39" s="276"/>
      <c r="NA39" s="276"/>
      <c r="NB39" s="276"/>
      <c r="NC39" s="276"/>
      <c r="ND39" s="276"/>
      <c r="NE39" s="276"/>
      <c r="NF39" s="276"/>
      <c r="NG39" s="276"/>
      <c r="NH39" s="276"/>
      <c r="NI39" s="276"/>
      <c r="NJ39" s="276"/>
      <c r="NK39" s="276"/>
      <c r="NL39" s="276"/>
      <c r="NM39" s="276"/>
      <c r="NN39" s="276"/>
      <c r="NO39" s="276"/>
      <c r="NP39" s="276"/>
      <c r="NQ39" s="276"/>
      <c r="NR39" s="276"/>
      <c r="NS39" s="276"/>
      <c r="NT39" s="276"/>
      <c r="NU39" s="276"/>
      <c r="NV39" s="276"/>
      <c r="NW39" s="276"/>
      <c r="NX39" s="276"/>
      <c r="NY39" s="276"/>
      <c r="NZ39" s="276"/>
      <c r="OA39" s="276"/>
      <c r="OB39" s="276"/>
      <c r="OC39" s="276"/>
      <c r="OD39" s="276"/>
      <c r="OE39" s="276"/>
      <c r="OF39" s="276"/>
      <c r="OG39" s="276"/>
      <c r="OH39" s="276"/>
      <c r="OI39" s="276"/>
      <c r="OJ39" s="276"/>
      <c r="OK39" s="276"/>
      <c r="OL39" s="276"/>
      <c r="OM39" s="276"/>
      <c r="ON39" s="276"/>
      <c r="OO39" s="276"/>
      <c r="OP39" s="276"/>
      <c r="OQ39" s="276"/>
      <c r="OR39" s="276"/>
      <c r="OS39" s="276"/>
      <c r="OT39" s="276"/>
      <c r="OU39" s="276"/>
      <c r="OV39" s="276"/>
      <c r="OW39" s="276"/>
      <c r="OX39" s="276"/>
      <c r="OY39" s="276"/>
      <c r="OZ39" s="276"/>
      <c r="PA39" s="276"/>
      <c r="PB39" s="276"/>
      <c r="PC39" s="276"/>
      <c r="PD39" s="276"/>
      <c r="PE39" s="276"/>
      <c r="PF39" s="276"/>
      <c r="PG39" s="276"/>
      <c r="PH39" s="276"/>
      <c r="PI39" s="276"/>
      <c r="PJ39" s="276"/>
      <c r="PK39" s="276"/>
      <c r="PL39" s="276"/>
      <c r="PM39" s="276"/>
      <c r="PN39" s="276"/>
      <c r="PO39" s="276"/>
      <c r="PP39" s="276"/>
      <c r="PQ39" s="276"/>
      <c r="PR39" s="276"/>
      <c r="PS39" s="276"/>
      <c r="PT39" s="276"/>
      <c r="PU39" s="276"/>
      <c r="PV39" s="276"/>
      <c r="PW39" s="276"/>
      <c r="PX39" s="276"/>
      <c r="PY39" s="276"/>
      <c r="PZ39" s="276"/>
      <c r="QA39" s="276"/>
      <c r="QB39" s="276"/>
      <c r="QC39" s="276"/>
      <c r="QD39" s="276"/>
      <c r="QE39" s="276"/>
      <c r="QF39" s="276"/>
      <c r="QG39" s="276"/>
      <c r="QH39" s="276"/>
      <c r="QI39" s="276"/>
      <c r="QJ39" s="276"/>
      <c r="QK39" s="276"/>
      <c r="QL39" s="276"/>
      <c r="QM39" s="276"/>
      <c r="QN39" s="276"/>
      <c r="QO39" s="276"/>
      <c r="QP39" s="276"/>
      <c r="QQ39" s="276"/>
      <c r="QR39" s="276"/>
      <c r="QS39" s="276"/>
      <c r="QT39" s="276"/>
      <c r="QU39" s="276"/>
      <c r="QV39" s="276"/>
      <c r="QW39" s="276"/>
      <c r="QX39" s="276"/>
      <c r="QY39" s="276"/>
      <c r="QZ39" s="276"/>
      <c r="RA39" s="276"/>
      <c r="RB39" s="276"/>
      <c r="RC39" s="276"/>
      <c r="RD39" s="276"/>
      <c r="RE39" s="276"/>
      <c r="RF39" s="276"/>
      <c r="RG39" s="276"/>
      <c r="RH39" s="276"/>
      <c r="RI39" s="276"/>
      <c r="RJ39" s="276"/>
      <c r="RK39" s="276"/>
      <c r="RL39" s="276"/>
      <c r="RM39" s="276"/>
      <c r="RN39" s="276"/>
      <c r="RO39" s="276"/>
      <c r="RP39" s="276"/>
      <c r="RQ39" s="276"/>
      <c r="RR39" s="276"/>
      <c r="RS39" s="276"/>
      <c r="RT39" s="276"/>
      <c r="RU39" s="276"/>
      <c r="RV39" s="276"/>
      <c r="RW39" s="276"/>
      <c r="RX39" s="276"/>
      <c r="RY39" s="276"/>
      <c r="RZ39" s="276"/>
      <c r="SA39" s="276"/>
      <c r="SB39" s="276"/>
      <c r="SC39" s="276"/>
      <c r="SD39" s="276"/>
      <c r="SE39" s="276"/>
      <c r="SF39" s="276"/>
      <c r="SG39" s="276"/>
      <c r="SH39" s="276"/>
      <c r="SI39" s="276"/>
      <c r="SJ39" s="276"/>
      <c r="SK39" s="276"/>
      <c r="SL39" s="276"/>
      <c r="SM39" s="276"/>
      <c r="SN39" s="276"/>
      <c r="SO39" s="276"/>
      <c r="SP39" s="276"/>
      <c r="SQ39" s="276"/>
      <c r="SR39" s="276"/>
      <c r="SS39" s="276"/>
      <c r="ST39" s="276"/>
      <c r="SU39" s="276"/>
      <c r="SV39" s="276"/>
      <c r="SW39" s="276"/>
      <c r="SX39" s="276"/>
      <c r="SY39" s="276"/>
      <c r="SZ39" s="276"/>
      <c r="TA39" s="276"/>
      <c r="TB39" s="276"/>
      <c r="TC39" s="276"/>
      <c r="TD39" s="276"/>
      <c r="TE39" s="276"/>
      <c r="TF39" s="276"/>
      <c r="TG39" s="276"/>
      <c r="TH39" s="276"/>
      <c r="TI39" s="276"/>
      <c r="TJ39" s="276"/>
      <c r="TK39" s="276"/>
      <c r="TL39" s="276"/>
      <c r="TM39" s="276"/>
      <c r="TN39" s="276"/>
      <c r="TO39" s="276"/>
      <c r="TP39" s="276"/>
      <c r="TQ39" s="276"/>
      <c r="TR39" s="276"/>
      <c r="TS39" s="276"/>
      <c r="TT39" s="276"/>
      <c r="TU39" s="276"/>
      <c r="TV39" s="276"/>
      <c r="TW39" s="276"/>
      <c r="TX39" s="276"/>
      <c r="TY39" s="276"/>
      <c r="TZ39" s="276"/>
      <c r="UA39" s="276"/>
      <c r="UB39" s="276"/>
      <c r="UC39" s="276"/>
      <c r="UD39" s="276"/>
      <c r="UE39" s="276"/>
      <c r="UF39" s="276"/>
      <c r="UG39" s="276"/>
      <c r="UH39" s="276"/>
      <c r="UI39" s="276"/>
      <c r="UJ39" s="276"/>
      <c r="UK39" s="276"/>
      <c r="UL39" s="276"/>
      <c r="UM39" s="276"/>
      <c r="UN39" s="276"/>
      <c r="UO39" s="276"/>
      <c r="UP39" s="276"/>
      <c r="UQ39" s="276"/>
      <c r="UR39" s="276"/>
      <c r="US39" s="276"/>
      <c r="UT39" s="276"/>
      <c r="UU39" s="276"/>
      <c r="UV39" s="276"/>
      <c r="UW39" s="276"/>
      <c r="UX39" s="276"/>
      <c r="UY39" s="209"/>
      <c r="UZ39" s="209"/>
      <c r="VA39" s="209"/>
      <c r="VB39" s="209"/>
      <c r="VC39" s="209"/>
      <c r="VD39" s="209"/>
      <c r="VE39" s="209"/>
      <c r="VF39" s="209"/>
      <c r="VG39" s="209"/>
      <c r="VH39" s="209"/>
      <c r="VI39" s="209"/>
      <c r="VJ39" s="209"/>
      <c r="VK39" s="209"/>
      <c r="VL39" s="209"/>
      <c r="VM39" s="209"/>
      <c r="VN39" s="209"/>
    </row>
    <row r="40" spans="1:586" ht="15" customHeight="1" x14ac:dyDescent="0.2">
      <c r="A40" s="69"/>
      <c r="E40" s="265"/>
      <c r="L40" s="69"/>
      <c r="R40" s="70"/>
      <c r="T40" s="69"/>
      <c r="V40" s="71"/>
      <c r="W40" s="69"/>
      <c r="X40" s="71"/>
      <c r="Y40" s="69"/>
      <c r="Z40" s="70"/>
      <c r="AB40" s="69"/>
      <c r="AD40" s="71"/>
      <c r="AE40" s="69"/>
      <c r="AF40" s="71"/>
      <c r="AG40" s="69"/>
      <c r="AH40" s="70"/>
      <c r="AJ40" s="69"/>
      <c r="AL40" s="71"/>
      <c r="AM40" s="69"/>
      <c r="AN40" s="71"/>
      <c r="AO40" s="69"/>
      <c r="AP40" s="70"/>
      <c r="AR40" s="69"/>
      <c r="AV40" s="277"/>
      <c r="AW40" s="209"/>
      <c r="AX40" s="209"/>
      <c r="AY40" s="209"/>
      <c r="AZ40" s="276"/>
      <c r="BA40" s="209"/>
      <c r="BB40" s="209"/>
      <c r="BC40" s="209"/>
      <c r="BD40" s="209"/>
      <c r="BE40" s="209"/>
      <c r="BF40" s="209"/>
      <c r="BG40" s="277"/>
      <c r="BH40" s="277"/>
      <c r="BI40" s="277"/>
      <c r="BJ40" s="277"/>
      <c r="BK40" s="277"/>
      <c r="BL40" s="277"/>
      <c r="BM40" s="277"/>
      <c r="BN40" s="277"/>
      <c r="BO40" s="277"/>
      <c r="BP40" s="277"/>
      <c r="BQ40" s="277"/>
      <c r="BR40" s="277"/>
      <c r="BS40" s="277"/>
      <c r="BT40" s="277"/>
      <c r="BU40" s="277"/>
      <c r="BV40" s="277"/>
      <c r="BW40" s="277"/>
      <c r="BX40" s="277"/>
      <c r="BY40" s="277"/>
      <c r="BZ40" s="277"/>
      <c r="CA40" s="277"/>
      <c r="CB40" s="277"/>
      <c r="CC40" s="277"/>
      <c r="CD40" s="277"/>
      <c r="CE40" s="277"/>
      <c r="CF40" s="277"/>
      <c r="CG40" s="277"/>
      <c r="CH40" s="277"/>
      <c r="CI40" s="277"/>
      <c r="CJ40" s="277"/>
      <c r="CK40" s="277"/>
      <c r="CL40" s="277"/>
      <c r="CM40" s="277"/>
      <c r="CN40" s="277"/>
      <c r="CO40" s="277"/>
      <c r="CP40" s="277"/>
      <c r="CQ40" s="277"/>
      <c r="CR40" s="277"/>
      <c r="CS40" s="277"/>
      <c r="CT40" s="277"/>
      <c r="CU40" s="277"/>
      <c r="CV40" s="277"/>
      <c r="CW40" s="277"/>
      <c r="CX40" s="277"/>
      <c r="CY40" s="277"/>
      <c r="CZ40" s="277"/>
      <c r="DA40" s="277"/>
      <c r="DB40" s="277"/>
      <c r="DC40" s="277"/>
      <c r="DD40" s="277"/>
      <c r="DE40" s="277"/>
      <c r="DF40" s="277"/>
      <c r="DG40" s="277"/>
      <c r="DH40" s="277"/>
      <c r="DI40" s="277"/>
      <c r="DJ40" s="277"/>
      <c r="DK40" s="277"/>
      <c r="DL40" s="277"/>
      <c r="DM40" s="277"/>
      <c r="DN40" s="277"/>
      <c r="DO40" s="277"/>
      <c r="DP40" s="277"/>
      <c r="DQ40" s="277"/>
      <c r="DR40" s="277"/>
      <c r="DS40" s="209"/>
      <c r="DT40" s="209"/>
      <c r="DU40" s="209"/>
      <c r="DV40" s="209"/>
      <c r="DW40" s="209"/>
      <c r="DX40" s="209"/>
      <c r="DY40" s="209"/>
      <c r="DZ40" s="209"/>
      <c r="EA40" s="209"/>
      <c r="EB40" s="209"/>
      <c r="EC40" s="209"/>
      <c r="ED40" s="209"/>
      <c r="EE40" s="209"/>
      <c r="EF40" s="209"/>
      <c r="EG40" s="209"/>
      <c r="EH40" s="209"/>
      <c r="EI40" s="209"/>
      <c r="EJ40" s="209"/>
      <c r="EK40" s="209"/>
      <c r="EL40" s="209"/>
      <c r="EM40" s="209"/>
      <c r="EN40" s="209"/>
      <c r="EO40" s="209"/>
      <c r="EP40" s="209"/>
      <c r="EQ40" s="209"/>
      <c r="ER40" s="209"/>
      <c r="ES40" s="209"/>
      <c r="ET40" s="209"/>
      <c r="EU40" s="209"/>
      <c r="EV40" s="209"/>
      <c r="EW40" s="209"/>
      <c r="EX40" s="209"/>
      <c r="EY40" s="209"/>
      <c r="EZ40" s="209"/>
      <c r="FA40" s="209"/>
      <c r="FB40" s="209"/>
      <c r="FC40" s="209"/>
      <c r="FD40" s="209"/>
      <c r="FE40" s="209"/>
      <c r="FF40" s="209"/>
      <c r="FG40" s="209"/>
      <c r="FH40" s="209"/>
      <c r="FI40" s="209"/>
      <c r="FJ40" s="209"/>
      <c r="FK40" s="209"/>
      <c r="FL40" s="209"/>
      <c r="FM40" s="209"/>
      <c r="FN40" s="209"/>
      <c r="FO40" s="209"/>
      <c r="FP40" s="209"/>
      <c r="FQ40" s="209"/>
      <c r="FR40" s="209"/>
      <c r="FS40" s="209"/>
      <c r="FT40" s="209"/>
      <c r="FU40" s="209"/>
      <c r="FV40" s="209"/>
      <c r="FW40" s="209"/>
      <c r="FX40" s="209"/>
      <c r="FY40" s="209"/>
      <c r="FZ40" s="209"/>
      <c r="GA40" s="209"/>
      <c r="GB40" s="209"/>
      <c r="GC40" s="209"/>
      <c r="GD40" s="209"/>
      <c r="GE40" s="276"/>
      <c r="GF40" s="276"/>
      <c r="GG40" s="276"/>
      <c r="GH40" s="276"/>
      <c r="GI40" s="276"/>
      <c r="GJ40" s="276"/>
      <c r="GK40" s="276"/>
      <c r="GL40" s="276"/>
      <c r="GM40" s="276"/>
      <c r="GN40" s="276"/>
      <c r="GO40" s="276"/>
      <c r="GP40" s="276"/>
      <c r="GQ40" s="276"/>
      <c r="GR40" s="276"/>
      <c r="GS40" s="276"/>
      <c r="GT40" s="276"/>
      <c r="GU40" s="276"/>
      <c r="GV40" s="276"/>
      <c r="GW40" s="276"/>
      <c r="GX40" s="276"/>
      <c r="GY40" s="276"/>
      <c r="GZ40" s="276"/>
      <c r="HA40" s="276"/>
      <c r="HB40" s="276"/>
      <c r="HC40" s="276"/>
      <c r="HD40" s="276"/>
      <c r="HE40" s="276"/>
      <c r="HF40" s="276"/>
      <c r="HG40" s="276"/>
      <c r="HH40" s="276"/>
      <c r="HI40" s="276"/>
      <c r="HJ40" s="276"/>
      <c r="HK40" s="276"/>
      <c r="HL40" s="276"/>
      <c r="HM40" s="276"/>
      <c r="HN40" s="276"/>
      <c r="HO40" s="276"/>
      <c r="HP40" s="276"/>
      <c r="HQ40" s="276"/>
      <c r="HR40" s="276"/>
      <c r="HS40" s="276"/>
      <c r="HT40" s="276"/>
      <c r="HU40" s="276"/>
      <c r="HV40" s="276"/>
      <c r="HW40" s="276"/>
      <c r="HX40" s="276"/>
      <c r="HY40" s="276"/>
      <c r="HZ40" s="276"/>
      <c r="IA40" s="276"/>
      <c r="IB40" s="276"/>
      <c r="IC40" s="276"/>
      <c r="ID40" s="276"/>
      <c r="IE40" s="276"/>
      <c r="IF40" s="276"/>
      <c r="IG40" s="276"/>
      <c r="IH40" s="276"/>
      <c r="II40" s="276"/>
      <c r="IJ40" s="276"/>
      <c r="IK40" s="276"/>
      <c r="IL40" s="276"/>
      <c r="IM40" s="276"/>
      <c r="IN40" s="276"/>
      <c r="IO40" s="276"/>
      <c r="IP40" s="276"/>
      <c r="IQ40" s="276"/>
      <c r="IR40" s="276"/>
      <c r="IS40" s="276"/>
      <c r="IT40" s="276"/>
      <c r="IU40" s="276"/>
      <c r="IV40" s="276"/>
      <c r="IW40" s="276"/>
      <c r="IX40" s="276"/>
      <c r="IY40" s="276"/>
      <c r="IZ40" s="276"/>
      <c r="JA40" s="276"/>
      <c r="JB40" s="276"/>
      <c r="JC40" s="276"/>
      <c r="JD40" s="276"/>
      <c r="JE40" s="276"/>
      <c r="JF40" s="276"/>
      <c r="JG40" s="276"/>
      <c r="JH40" s="276"/>
      <c r="JI40" s="276"/>
      <c r="JJ40" s="276"/>
      <c r="JK40" s="276"/>
      <c r="JL40" s="276"/>
      <c r="JM40" s="276"/>
      <c r="JN40" s="276"/>
      <c r="JO40" s="276"/>
      <c r="JP40" s="276"/>
      <c r="JQ40" s="276"/>
      <c r="JR40" s="276"/>
      <c r="JS40" s="276"/>
      <c r="JT40" s="276"/>
      <c r="JU40" s="276"/>
      <c r="JV40" s="276"/>
      <c r="JW40" s="276"/>
      <c r="JX40" s="276"/>
      <c r="JY40" s="276"/>
      <c r="JZ40" s="276"/>
      <c r="KA40" s="276"/>
      <c r="KB40" s="276"/>
      <c r="KC40" s="276"/>
      <c r="KD40" s="276"/>
      <c r="KE40" s="276"/>
      <c r="KF40" s="276"/>
      <c r="KG40" s="276"/>
      <c r="KH40" s="276"/>
      <c r="KI40" s="276"/>
      <c r="KJ40" s="276"/>
      <c r="KK40" s="276"/>
      <c r="KL40" s="276"/>
      <c r="KM40" s="276"/>
      <c r="KN40" s="276"/>
      <c r="KO40" s="276"/>
      <c r="KP40" s="276"/>
      <c r="KQ40" s="276"/>
      <c r="KR40" s="276"/>
      <c r="KS40" s="276"/>
      <c r="KT40" s="276"/>
      <c r="KU40" s="276"/>
      <c r="KV40" s="276"/>
      <c r="KW40" s="276"/>
      <c r="KX40" s="276"/>
      <c r="KY40" s="276"/>
      <c r="KZ40" s="276"/>
      <c r="LA40" s="276"/>
      <c r="LB40" s="276"/>
      <c r="LC40" s="276"/>
      <c r="LD40" s="276"/>
      <c r="LE40" s="276"/>
      <c r="LF40" s="276"/>
      <c r="LG40" s="276"/>
      <c r="LH40" s="276"/>
      <c r="LI40" s="276"/>
      <c r="LJ40" s="276"/>
      <c r="LK40" s="276"/>
      <c r="LL40" s="276"/>
      <c r="LM40" s="276"/>
      <c r="LN40" s="276"/>
      <c r="LO40" s="276"/>
      <c r="LP40" s="276"/>
      <c r="LQ40" s="276"/>
      <c r="LR40" s="276"/>
      <c r="LS40" s="276"/>
      <c r="LT40" s="276"/>
      <c r="LU40" s="276"/>
      <c r="LV40" s="276"/>
      <c r="LW40" s="276"/>
      <c r="LX40" s="276"/>
      <c r="LY40" s="276"/>
      <c r="LZ40" s="276"/>
      <c r="MA40" s="276"/>
      <c r="MB40" s="276"/>
      <c r="MC40" s="276"/>
      <c r="MD40" s="276"/>
      <c r="ME40" s="276"/>
      <c r="MF40" s="276"/>
      <c r="MG40" s="276"/>
      <c r="MH40" s="276"/>
      <c r="MI40" s="276"/>
      <c r="MJ40" s="276"/>
      <c r="MK40" s="276"/>
      <c r="ML40" s="276"/>
      <c r="MM40" s="276"/>
      <c r="MN40" s="276"/>
      <c r="MO40" s="276"/>
      <c r="MP40" s="276"/>
      <c r="MQ40" s="276"/>
      <c r="MR40" s="276"/>
      <c r="MS40" s="276"/>
      <c r="MT40" s="276"/>
      <c r="MU40" s="276"/>
      <c r="MV40" s="276"/>
      <c r="MW40" s="276"/>
      <c r="MX40" s="276"/>
      <c r="MY40" s="276"/>
      <c r="MZ40" s="276"/>
      <c r="NA40" s="276"/>
      <c r="NB40" s="276"/>
      <c r="NC40" s="276"/>
      <c r="ND40" s="276"/>
      <c r="NE40" s="276"/>
      <c r="NF40" s="276"/>
      <c r="NG40" s="276"/>
      <c r="NH40" s="276"/>
      <c r="NI40" s="276"/>
      <c r="NJ40" s="276"/>
      <c r="NK40" s="276"/>
      <c r="NL40" s="276"/>
      <c r="NM40" s="276"/>
      <c r="NN40" s="276"/>
      <c r="NO40" s="276"/>
      <c r="NP40" s="276"/>
      <c r="NQ40" s="276"/>
      <c r="NR40" s="276"/>
      <c r="NS40" s="276"/>
      <c r="NT40" s="276"/>
      <c r="NU40" s="276"/>
      <c r="NV40" s="276"/>
      <c r="NW40" s="276"/>
      <c r="NX40" s="276"/>
      <c r="NY40" s="276"/>
      <c r="NZ40" s="276"/>
      <c r="OA40" s="276"/>
      <c r="OB40" s="276"/>
      <c r="OC40" s="276"/>
      <c r="OD40" s="276"/>
      <c r="OE40" s="276"/>
      <c r="OF40" s="276"/>
      <c r="OG40" s="276"/>
      <c r="OH40" s="276"/>
      <c r="OI40" s="276"/>
      <c r="OJ40" s="276"/>
      <c r="OK40" s="276"/>
      <c r="OL40" s="276"/>
      <c r="OM40" s="276"/>
      <c r="ON40" s="276"/>
      <c r="OO40" s="276"/>
      <c r="OP40" s="276"/>
      <c r="OQ40" s="276"/>
      <c r="OR40" s="276"/>
      <c r="OS40" s="276"/>
      <c r="OT40" s="276"/>
      <c r="OU40" s="276"/>
      <c r="OV40" s="276"/>
      <c r="OW40" s="276"/>
      <c r="OX40" s="276"/>
      <c r="OY40" s="276"/>
      <c r="OZ40" s="276"/>
      <c r="PA40" s="276"/>
      <c r="PB40" s="276"/>
      <c r="PC40" s="276"/>
      <c r="PD40" s="276"/>
      <c r="PE40" s="276"/>
      <c r="PF40" s="276"/>
      <c r="PG40" s="276"/>
      <c r="PH40" s="276"/>
      <c r="PI40" s="276"/>
      <c r="PJ40" s="276"/>
      <c r="PK40" s="276"/>
      <c r="PL40" s="276"/>
      <c r="PM40" s="276"/>
      <c r="PN40" s="276"/>
      <c r="PO40" s="276"/>
      <c r="PP40" s="276"/>
      <c r="PQ40" s="276"/>
      <c r="PR40" s="276"/>
      <c r="PS40" s="276"/>
      <c r="PT40" s="276"/>
      <c r="PU40" s="276"/>
      <c r="PV40" s="276"/>
      <c r="PW40" s="276"/>
      <c r="PX40" s="276"/>
      <c r="PY40" s="276"/>
      <c r="PZ40" s="276"/>
      <c r="QA40" s="276"/>
      <c r="QB40" s="276"/>
      <c r="QC40" s="276"/>
      <c r="QD40" s="276"/>
      <c r="QE40" s="276"/>
      <c r="QF40" s="276"/>
      <c r="QG40" s="276"/>
      <c r="QH40" s="276"/>
      <c r="QI40" s="276"/>
      <c r="QJ40" s="276"/>
      <c r="QK40" s="276"/>
      <c r="QL40" s="276"/>
      <c r="QM40" s="276"/>
      <c r="QN40" s="276"/>
      <c r="QO40" s="276"/>
      <c r="QP40" s="276"/>
      <c r="QQ40" s="276"/>
      <c r="QR40" s="276"/>
      <c r="QS40" s="276"/>
      <c r="QT40" s="276"/>
      <c r="QU40" s="276"/>
      <c r="QV40" s="276"/>
      <c r="QW40" s="276"/>
      <c r="QX40" s="276"/>
      <c r="QY40" s="276"/>
      <c r="QZ40" s="276"/>
      <c r="RA40" s="276"/>
      <c r="RB40" s="276"/>
      <c r="RC40" s="276"/>
      <c r="RD40" s="276"/>
      <c r="RE40" s="276"/>
      <c r="RF40" s="276"/>
      <c r="RG40" s="276"/>
      <c r="RH40" s="276"/>
      <c r="RI40" s="276"/>
      <c r="RJ40" s="276"/>
      <c r="RK40" s="276"/>
      <c r="RL40" s="276"/>
      <c r="RM40" s="276"/>
      <c r="RN40" s="276"/>
      <c r="RO40" s="276"/>
      <c r="RP40" s="276"/>
      <c r="RQ40" s="276"/>
      <c r="RR40" s="276"/>
      <c r="RS40" s="276"/>
      <c r="RT40" s="276"/>
      <c r="RU40" s="276"/>
      <c r="RV40" s="276"/>
      <c r="RW40" s="276"/>
      <c r="RX40" s="276"/>
      <c r="RY40" s="276"/>
      <c r="RZ40" s="276"/>
      <c r="SA40" s="276"/>
      <c r="SB40" s="276"/>
      <c r="SC40" s="276"/>
      <c r="SD40" s="276"/>
      <c r="SE40" s="276"/>
      <c r="SF40" s="276"/>
      <c r="SG40" s="276"/>
      <c r="SH40" s="276"/>
      <c r="SI40" s="276"/>
      <c r="SJ40" s="276"/>
      <c r="SK40" s="276"/>
      <c r="SL40" s="276"/>
      <c r="SM40" s="276"/>
      <c r="SN40" s="276"/>
      <c r="SO40" s="276"/>
      <c r="SP40" s="276"/>
      <c r="SQ40" s="276"/>
      <c r="SR40" s="276"/>
      <c r="SS40" s="276"/>
      <c r="ST40" s="276"/>
      <c r="SU40" s="276"/>
      <c r="SV40" s="276"/>
      <c r="SW40" s="276"/>
      <c r="SX40" s="276"/>
      <c r="SY40" s="276"/>
      <c r="SZ40" s="276"/>
      <c r="TA40" s="276"/>
      <c r="TB40" s="276"/>
      <c r="TC40" s="276"/>
      <c r="TD40" s="276"/>
      <c r="TE40" s="276"/>
      <c r="TF40" s="276"/>
      <c r="TG40" s="276"/>
      <c r="TH40" s="276"/>
      <c r="TI40" s="276"/>
      <c r="TJ40" s="276"/>
      <c r="TK40" s="276"/>
      <c r="TL40" s="276"/>
      <c r="TM40" s="276"/>
      <c r="TN40" s="276"/>
      <c r="TO40" s="276"/>
      <c r="TP40" s="276"/>
      <c r="TQ40" s="276"/>
      <c r="TR40" s="276"/>
      <c r="TS40" s="276"/>
      <c r="TT40" s="276"/>
      <c r="TU40" s="276"/>
      <c r="TV40" s="276"/>
      <c r="TW40" s="276"/>
      <c r="TX40" s="276"/>
      <c r="TY40" s="276"/>
      <c r="TZ40" s="276"/>
      <c r="UA40" s="276"/>
      <c r="UB40" s="276"/>
      <c r="UC40" s="276"/>
      <c r="UD40" s="276"/>
      <c r="UE40" s="276"/>
      <c r="UF40" s="276"/>
      <c r="UG40" s="276"/>
      <c r="UH40" s="276"/>
      <c r="UI40" s="276"/>
      <c r="UJ40" s="276"/>
      <c r="UK40" s="276"/>
      <c r="UL40" s="276"/>
      <c r="UM40" s="276"/>
      <c r="UN40" s="276"/>
      <c r="UO40" s="276"/>
      <c r="UP40" s="276"/>
      <c r="UQ40" s="276"/>
      <c r="UR40" s="276"/>
      <c r="US40" s="276"/>
      <c r="UT40" s="276"/>
      <c r="UU40" s="276"/>
      <c r="UV40" s="276"/>
      <c r="UW40" s="276"/>
      <c r="UX40" s="276"/>
      <c r="UY40" s="209"/>
      <c r="UZ40" s="209"/>
      <c r="VA40" s="209"/>
      <c r="VB40" s="209"/>
      <c r="VC40" s="209"/>
      <c r="VD40" s="209"/>
      <c r="VE40" s="209"/>
      <c r="VF40" s="209"/>
      <c r="VG40" s="209"/>
      <c r="VH40" s="209"/>
      <c r="VI40" s="209"/>
      <c r="VJ40" s="209"/>
      <c r="VK40" s="209"/>
      <c r="VL40" s="209"/>
      <c r="VM40" s="209"/>
      <c r="VN40" s="209"/>
    </row>
    <row r="41" spans="1:586" ht="15" customHeight="1" x14ac:dyDescent="0.2">
      <c r="A41" s="69"/>
      <c r="E41" s="265"/>
      <c r="L41" s="69"/>
      <c r="R41" s="70"/>
      <c r="T41" s="69"/>
      <c r="V41" s="71"/>
      <c r="W41" s="69"/>
      <c r="X41" s="71"/>
      <c r="Y41" s="69"/>
      <c r="Z41" s="70"/>
      <c r="AB41" s="69"/>
      <c r="AD41" s="71"/>
      <c r="AE41" s="69"/>
      <c r="AF41" s="71"/>
      <c r="AG41" s="69"/>
      <c r="AH41" s="70"/>
      <c r="AJ41" s="69"/>
      <c r="AL41" s="71"/>
      <c r="AM41" s="69"/>
      <c r="AN41" s="71"/>
      <c r="AO41" s="69"/>
      <c r="AP41" s="70"/>
      <c r="AR41" s="69"/>
      <c r="AV41" s="277"/>
      <c r="AW41" s="209"/>
      <c r="AX41" s="209"/>
      <c r="AY41" s="209"/>
      <c r="AZ41" s="276"/>
      <c r="BA41" s="209"/>
      <c r="BB41" s="209"/>
      <c r="BC41" s="209"/>
      <c r="BD41" s="209"/>
      <c r="BE41" s="209"/>
      <c r="BF41" s="209"/>
      <c r="BG41" s="277"/>
      <c r="BH41" s="277"/>
      <c r="BI41" s="277"/>
      <c r="BJ41" s="277"/>
      <c r="BK41" s="277"/>
      <c r="BL41" s="277"/>
      <c r="BM41" s="277"/>
      <c r="BN41" s="277"/>
      <c r="BO41" s="277"/>
      <c r="BP41" s="277"/>
      <c r="BQ41" s="277"/>
      <c r="BR41" s="277"/>
      <c r="BS41" s="277"/>
      <c r="BT41" s="277"/>
      <c r="BU41" s="277"/>
      <c r="BV41" s="277"/>
      <c r="BW41" s="277"/>
      <c r="BX41" s="277"/>
      <c r="BY41" s="277"/>
      <c r="BZ41" s="277"/>
      <c r="CA41" s="277"/>
      <c r="CB41" s="277"/>
      <c r="CC41" s="277"/>
      <c r="CD41" s="277"/>
      <c r="CE41" s="277"/>
      <c r="CF41" s="277"/>
      <c r="CG41" s="277"/>
      <c r="CH41" s="277"/>
      <c r="CI41" s="277"/>
      <c r="CJ41" s="277"/>
      <c r="CK41" s="277"/>
      <c r="CL41" s="277"/>
      <c r="CM41" s="277"/>
      <c r="CN41" s="277"/>
      <c r="CO41" s="277"/>
      <c r="CP41" s="277"/>
      <c r="CQ41" s="277"/>
      <c r="CR41" s="277"/>
      <c r="CS41" s="277"/>
      <c r="CT41" s="277"/>
      <c r="CU41" s="277"/>
      <c r="CV41" s="277"/>
      <c r="CW41" s="277"/>
      <c r="CX41" s="277"/>
      <c r="CY41" s="277"/>
      <c r="CZ41" s="277"/>
      <c r="DA41" s="277"/>
      <c r="DB41" s="277"/>
      <c r="DC41" s="277"/>
      <c r="DD41" s="277"/>
      <c r="DE41" s="277"/>
      <c r="DF41" s="277"/>
      <c r="DG41" s="277"/>
      <c r="DH41" s="277"/>
      <c r="DI41" s="277"/>
      <c r="DJ41" s="277"/>
      <c r="DK41" s="277"/>
      <c r="DL41" s="277"/>
      <c r="DM41" s="277"/>
      <c r="DN41" s="277"/>
      <c r="DO41" s="277"/>
      <c r="DP41" s="277"/>
      <c r="DQ41" s="277"/>
      <c r="DR41" s="277"/>
      <c r="DS41" s="209"/>
      <c r="DT41" s="209"/>
      <c r="DU41" s="209"/>
      <c r="DV41" s="209"/>
      <c r="DW41" s="209"/>
      <c r="DX41" s="209"/>
      <c r="DY41" s="209"/>
      <c r="DZ41" s="209"/>
      <c r="EA41" s="209"/>
      <c r="EB41" s="209"/>
      <c r="EC41" s="209"/>
      <c r="ED41" s="209"/>
      <c r="EE41" s="209"/>
      <c r="EF41" s="209"/>
      <c r="EG41" s="209"/>
      <c r="EH41" s="209"/>
      <c r="EI41" s="209"/>
      <c r="EJ41" s="209"/>
      <c r="EK41" s="209"/>
      <c r="EL41" s="209"/>
      <c r="EM41" s="209"/>
      <c r="EN41" s="209"/>
      <c r="EO41" s="209"/>
      <c r="EP41" s="209"/>
      <c r="EQ41" s="209"/>
      <c r="ER41" s="209"/>
      <c r="ES41" s="209"/>
      <c r="ET41" s="209"/>
      <c r="EU41" s="209"/>
      <c r="EV41" s="209"/>
      <c r="EW41" s="209"/>
      <c r="EX41" s="209"/>
      <c r="EY41" s="209"/>
      <c r="EZ41" s="209"/>
      <c r="FA41" s="209"/>
      <c r="FB41" s="209"/>
      <c r="FC41" s="209"/>
      <c r="FD41" s="209"/>
      <c r="FE41" s="209"/>
      <c r="FF41" s="209"/>
      <c r="FG41" s="209"/>
      <c r="FH41" s="209"/>
      <c r="FI41" s="209"/>
      <c r="FJ41" s="209"/>
      <c r="FK41" s="209"/>
      <c r="FL41" s="209"/>
      <c r="FM41" s="209"/>
      <c r="FN41" s="209"/>
      <c r="FO41" s="209"/>
      <c r="FP41" s="209"/>
      <c r="FQ41" s="209"/>
      <c r="FR41" s="209"/>
      <c r="FS41" s="209"/>
      <c r="FT41" s="209"/>
      <c r="FU41" s="209"/>
      <c r="FV41" s="209"/>
      <c r="FW41" s="209"/>
      <c r="FX41" s="209"/>
      <c r="FY41" s="209"/>
      <c r="FZ41" s="209"/>
      <c r="GA41" s="209"/>
      <c r="GB41" s="209"/>
      <c r="GC41" s="209"/>
      <c r="GD41" s="209"/>
      <c r="GE41" s="276"/>
      <c r="GF41" s="276"/>
      <c r="GG41" s="276"/>
      <c r="GH41" s="276"/>
      <c r="GI41" s="276"/>
      <c r="GJ41" s="276"/>
      <c r="GK41" s="276"/>
      <c r="GL41" s="276"/>
      <c r="GM41" s="276"/>
      <c r="GN41" s="276"/>
      <c r="GO41" s="276"/>
      <c r="GP41" s="276"/>
      <c r="GQ41" s="276"/>
      <c r="GR41" s="276"/>
      <c r="GS41" s="276"/>
      <c r="GT41" s="276"/>
      <c r="GU41" s="276"/>
      <c r="GV41" s="276"/>
      <c r="GW41" s="276"/>
      <c r="GX41" s="276"/>
      <c r="GY41" s="276"/>
      <c r="GZ41" s="276"/>
      <c r="HA41" s="276"/>
      <c r="HB41" s="276"/>
      <c r="HC41" s="276"/>
      <c r="HD41" s="276"/>
      <c r="HE41" s="276"/>
      <c r="HF41" s="276"/>
      <c r="HG41" s="276"/>
      <c r="HH41" s="276"/>
      <c r="HI41" s="276"/>
      <c r="HJ41" s="276"/>
      <c r="HK41" s="276"/>
      <c r="HL41" s="276"/>
      <c r="HM41" s="276"/>
      <c r="HN41" s="276"/>
      <c r="HO41" s="276"/>
      <c r="HP41" s="276"/>
      <c r="HQ41" s="276"/>
      <c r="HR41" s="276"/>
      <c r="HS41" s="276"/>
      <c r="HT41" s="276"/>
      <c r="HU41" s="276"/>
      <c r="HV41" s="276"/>
      <c r="HW41" s="276"/>
      <c r="HX41" s="276"/>
      <c r="HY41" s="276"/>
      <c r="HZ41" s="276"/>
      <c r="IA41" s="276"/>
      <c r="IB41" s="276"/>
      <c r="IC41" s="276"/>
      <c r="ID41" s="276"/>
      <c r="IE41" s="276"/>
      <c r="IF41" s="276"/>
      <c r="IG41" s="276"/>
      <c r="IH41" s="276"/>
      <c r="II41" s="276"/>
      <c r="IJ41" s="276"/>
      <c r="IK41" s="276"/>
      <c r="IL41" s="276"/>
      <c r="IM41" s="276"/>
      <c r="IN41" s="276"/>
      <c r="IO41" s="276"/>
      <c r="IP41" s="276"/>
      <c r="IQ41" s="276"/>
      <c r="IR41" s="276"/>
      <c r="IS41" s="276"/>
      <c r="IT41" s="276"/>
      <c r="IU41" s="276"/>
      <c r="IV41" s="276"/>
      <c r="IW41" s="276"/>
      <c r="IX41" s="276"/>
      <c r="IY41" s="276"/>
      <c r="IZ41" s="276"/>
      <c r="JA41" s="276"/>
      <c r="JB41" s="276"/>
      <c r="JC41" s="276"/>
      <c r="JD41" s="276"/>
      <c r="JE41" s="276"/>
      <c r="JF41" s="276"/>
      <c r="JG41" s="276"/>
      <c r="JH41" s="276"/>
      <c r="JI41" s="276"/>
      <c r="JJ41" s="276"/>
      <c r="JK41" s="276"/>
      <c r="JL41" s="276"/>
      <c r="JM41" s="276"/>
      <c r="JN41" s="276"/>
      <c r="JO41" s="276"/>
      <c r="JP41" s="276"/>
      <c r="JQ41" s="276"/>
      <c r="JR41" s="276"/>
      <c r="JS41" s="276"/>
      <c r="JT41" s="276"/>
      <c r="JU41" s="276"/>
      <c r="JV41" s="276"/>
      <c r="JW41" s="276"/>
      <c r="JX41" s="276"/>
      <c r="JY41" s="276"/>
      <c r="JZ41" s="276"/>
      <c r="KA41" s="276"/>
      <c r="KB41" s="276"/>
      <c r="KC41" s="276"/>
      <c r="KD41" s="276"/>
      <c r="KE41" s="276"/>
      <c r="KF41" s="276"/>
      <c r="KG41" s="276"/>
      <c r="KH41" s="276"/>
      <c r="KI41" s="276"/>
      <c r="KJ41" s="276"/>
      <c r="KK41" s="276"/>
      <c r="KL41" s="276"/>
      <c r="KM41" s="276"/>
      <c r="KN41" s="276"/>
      <c r="KO41" s="276"/>
      <c r="KP41" s="276"/>
      <c r="KQ41" s="276"/>
      <c r="KR41" s="276"/>
      <c r="KS41" s="276"/>
      <c r="KT41" s="276"/>
      <c r="KU41" s="276"/>
      <c r="KV41" s="276"/>
      <c r="KW41" s="276"/>
      <c r="KX41" s="276"/>
      <c r="KY41" s="276"/>
      <c r="KZ41" s="276"/>
      <c r="LA41" s="276"/>
      <c r="LB41" s="276"/>
      <c r="LC41" s="276"/>
      <c r="LD41" s="276"/>
      <c r="LE41" s="276"/>
      <c r="LF41" s="276"/>
      <c r="LG41" s="276"/>
      <c r="LH41" s="276"/>
      <c r="LI41" s="276"/>
      <c r="LJ41" s="276"/>
      <c r="LK41" s="276"/>
      <c r="LL41" s="276"/>
      <c r="LM41" s="276"/>
      <c r="LN41" s="276"/>
      <c r="LO41" s="276"/>
      <c r="LP41" s="276"/>
      <c r="LQ41" s="276"/>
      <c r="LR41" s="276"/>
      <c r="LS41" s="276"/>
      <c r="LT41" s="276"/>
      <c r="LU41" s="276"/>
      <c r="LV41" s="276"/>
      <c r="LW41" s="276"/>
      <c r="LX41" s="276"/>
      <c r="LY41" s="276"/>
      <c r="LZ41" s="276"/>
      <c r="MA41" s="276"/>
      <c r="MB41" s="276"/>
      <c r="MC41" s="276"/>
      <c r="MD41" s="276"/>
      <c r="ME41" s="276"/>
      <c r="MF41" s="276"/>
      <c r="MG41" s="276"/>
      <c r="MH41" s="276"/>
      <c r="MI41" s="276"/>
      <c r="MJ41" s="276"/>
      <c r="MK41" s="276"/>
      <c r="ML41" s="276"/>
      <c r="MM41" s="276"/>
      <c r="MN41" s="276"/>
      <c r="MO41" s="276"/>
      <c r="MP41" s="276"/>
      <c r="MQ41" s="276"/>
      <c r="MR41" s="276"/>
      <c r="MS41" s="276"/>
      <c r="MT41" s="276"/>
      <c r="MU41" s="276"/>
      <c r="MV41" s="276"/>
      <c r="MW41" s="276"/>
      <c r="MX41" s="276"/>
      <c r="MY41" s="276"/>
      <c r="MZ41" s="276"/>
      <c r="NA41" s="276"/>
      <c r="NB41" s="276"/>
      <c r="NC41" s="276"/>
      <c r="ND41" s="276"/>
      <c r="NE41" s="276"/>
      <c r="NF41" s="276"/>
      <c r="NG41" s="276"/>
      <c r="NH41" s="276"/>
      <c r="NI41" s="276"/>
      <c r="NJ41" s="276"/>
      <c r="NK41" s="276"/>
      <c r="NL41" s="276"/>
      <c r="NM41" s="276"/>
      <c r="NN41" s="276"/>
      <c r="NO41" s="276"/>
      <c r="NP41" s="276"/>
      <c r="NQ41" s="276"/>
      <c r="NR41" s="276"/>
      <c r="NS41" s="276"/>
      <c r="NT41" s="276"/>
      <c r="NU41" s="276"/>
      <c r="NV41" s="276"/>
      <c r="NW41" s="276"/>
      <c r="NX41" s="276"/>
      <c r="NY41" s="276"/>
      <c r="NZ41" s="276"/>
      <c r="OA41" s="276"/>
      <c r="OB41" s="276"/>
      <c r="OC41" s="276"/>
      <c r="OD41" s="276"/>
      <c r="OE41" s="276"/>
      <c r="OF41" s="276"/>
      <c r="OG41" s="276"/>
      <c r="OH41" s="276"/>
      <c r="OI41" s="276"/>
      <c r="OJ41" s="276"/>
      <c r="OK41" s="276"/>
      <c r="OL41" s="276"/>
      <c r="OM41" s="276"/>
      <c r="ON41" s="276"/>
      <c r="OO41" s="276"/>
      <c r="OP41" s="276"/>
      <c r="OQ41" s="276"/>
      <c r="OR41" s="276"/>
      <c r="OS41" s="276"/>
      <c r="OT41" s="276"/>
      <c r="OU41" s="276"/>
      <c r="OV41" s="276"/>
      <c r="OW41" s="276"/>
      <c r="OX41" s="276"/>
      <c r="OY41" s="276"/>
      <c r="OZ41" s="276"/>
      <c r="PA41" s="276"/>
      <c r="PB41" s="276"/>
      <c r="PC41" s="276"/>
      <c r="PD41" s="276"/>
      <c r="PE41" s="276"/>
      <c r="PF41" s="276"/>
      <c r="PG41" s="276"/>
      <c r="PH41" s="276"/>
      <c r="PI41" s="276"/>
      <c r="PJ41" s="276"/>
      <c r="PK41" s="276"/>
      <c r="PL41" s="276"/>
      <c r="PM41" s="276"/>
      <c r="PN41" s="276"/>
      <c r="PO41" s="276"/>
      <c r="PP41" s="276"/>
      <c r="PQ41" s="276"/>
      <c r="PR41" s="276"/>
      <c r="PS41" s="276"/>
      <c r="PT41" s="276"/>
      <c r="PU41" s="276"/>
      <c r="PV41" s="276"/>
      <c r="PW41" s="276"/>
      <c r="PX41" s="276"/>
      <c r="PY41" s="276"/>
      <c r="PZ41" s="276"/>
      <c r="QA41" s="276"/>
      <c r="QB41" s="276"/>
      <c r="QC41" s="276"/>
      <c r="QD41" s="276"/>
      <c r="QE41" s="276"/>
      <c r="QF41" s="276"/>
      <c r="QG41" s="276"/>
      <c r="QH41" s="276"/>
      <c r="QI41" s="276"/>
      <c r="QJ41" s="276"/>
      <c r="QK41" s="276"/>
      <c r="QL41" s="276"/>
      <c r="QM41" s="276"/>
      <c r="QN41" s="276"/>
      <c r="QO41" s="276"/>
      <c r="QP41" s="276"/>
      <c r="QQ41" s="276"/>
      <c r="QR41" s="276"/>
      <c r="QS41" s="276"/>
      <c r="QT41" s="276"/>
      <c r="QU41" s="276"/>
      <c r="QV41" s="276"/>
      <c r="QW41" s="276"/>
      <c r="QX41" s="276"/>
      <c r="QY41" s="276"/>
      <c r="QZ41" s="276"/>
      <c r="RA41" s="276"/>
      <c r="RB41" s="276"/>
      <c r="RC41" s="276"/>
      <c r="RD41" s="276"/>
      <c r="RE41" s="276"/>
      <c r="RF41" s="276"/>
      <c r="RG41" s="276"/>
      <c r="RH41" s="276"/>
      <c r="RI41" s="276"/>
      <c r="RJ41" s="276"/>
      <c r="RK41" s="276"/>
      <c r="RL41" s="276"/>
      <c r="RM41" s="276"/>
      <c r="RN41" s="276"/>
      <c r="RO41" s="276"/>
      <c r="RP41" s="276"/>
      <c r="RQ41" s="276"/>
      <c r="RR41" s="276"/>
      <c r="RS41" s="276"/>
      <c r="RT41" s="276"/>
      <c r="RU41" s="276"/>
      <c r="RV41" s="276"/>
      <c r="RW41" s="276"/>
      <c r="RX41" s="276"/>
      <c r="RY41" s="276"/>
      <c r="RZ41" s="276"/>
      <c r="SA41" s="276"/>
      <c r="SB41" s="276"/>
      <c r="SC41" s="276"/>
      <c r="SD41" s="276"/>
      <c r="SE41" s="276"/>
      <c r="SF41" s="276"/>
      <c r="SG41" s="276"/>
      <c r="SH41" s="276"/>
      <c r="SI41" s="276"/>
      <c r="SJ41" s="276"/>
      <c r="SK41" s="276"/>
      <c r="SL41" s="276"/>
      <c r="SM41" s="276"/>
      <c r="SN41" s="276"/>
      <c r="SO41" s="276"/>
      <c r="SP41" s="276"/>
      <c r="SQ41" s="276"/>
      <c r="SR41" s="276"/>
      <c r="SS41" s="276"/>
      <c r="ST41" s="276"/>
      <c r="SU41" s="276"/>
      <c r="SV41" s="276"/>
      <c r="SW41" s="276"/>
      <c r="SX41" s="276"/>
      <c r="SY41" s="276"/>
      <c r="SZ41" s="276"/>
      <c r="TA41" s="276"/>
      <c r="TB41" s="276"/>
      <c r="TC41" s="276"/>
      <c r="TD41" s="276"/>
      <c r="TE41" s="276"/>
      <c r="TF41" s="276"/>
      <c r="TG41" s="276"/>
      <c r="TH41" s="276"/>
      <c r="TI41" s="276"/>
      <c r="TJ41" s="276"/>
      <c r="TK41" s="276"/>
      <c r="TL41" s="276"/>
      <c r="TM41" s="276"/>
      <c r="TN41" s="276"/>
      <c r="TO41" s="276"/>
      <c r="TP41" s="276"/>
      <c r="TQ41" s="276"/>
      <c r="TR41" s="276"/>
      <c r="TS41" s="276"/>
      <c r="TT41" s="276"/>
      <c r="TU41" s="276"/>
      <c r="TV41" s="276"/>
      <c r="TW41" s="276"/>
      <c r="TX41" s="276"/>
      <c r="TY41" s="276"/>
      <c r="TZ41" s="276"/>
      <c r="UA41" s="276"/>
      <c r="UB41" s="276"/>
      <c r="UC41" s="276"/>
      <c r="UD41" s="276"/>
      <c r="UE41" s="276"/>
      <c r="UF41" s="276"/>
      <c r="UG41" s="276"/>
      <c r="UH41" s="276"/>
      <c r="UI41" s="276"/>
      <c r="UJ41" s="276"/>
      <c r="UK41" s="276"/>
      <c r="UL41" s="276"/>
      <c r="UM41" s="276"/>
      <c r="UN41" s="276"/>
      <c r="UO41" s="276"/>
      <c r="UP41" s="276"/>
      <c r="UQ41" s="276"/>
      <c r="UR41" s="276"/>
      <c r="US41" s="276"/>
      <c r="UT41" s="276"/>
      <c r="UU41" s="276"/>
      <c r="UV41" s="276"/>
      <c r="UW41" s="276"/>
      <c r="UX41" s="276"/>
      <c r="UY41" s="209"/>
      <c r="UZ41" s="209"/>
      <c r="VA41" s="209"/>
      <c r="VB41" s="209"/>
      <c r="VC41" s="209"/>
      <c r="VD41" s="209"/>
      <c r="VE41" s="209"/>
      <c r="VF41" s="209"/>
      <c r="VG41" s="209"/>
      <c r="VH41" s="209"/>
      <c r="VI41" s="209"/>
      <c r="VJ41" s="209"/>
      <c r="VK41" s="209"/>
      <c r="VL41" s="209"/>
      <c r="VM41" s="209"/>
      <c r="VN41" s="209"/>
    </row>
    <row r="42" spans="1:586" ht="15" customHeight="1" x14ac:dyDescent="0.2">
      <c r="A42" s="69"/>
      <c r="E42" s="265"/>
      <c r="L42" s="69"/>
      <c r="R42" s="70"/>
      <c r="T42" s="69"/>
      <c r="V42" s="71"/>
      <c r="W42" s="69"/>
      <c r="X42" s="71"/>
      <c r="Y42" s="69"/>
      <c r="Z42" s="70"/>
      <c r="AB42" s="69"/>
      <c r="AD42" s="71"/>
      <c r="AE42" s="69"/>
      <c r="AF42" s="71"/>
      <c r="AG42" s="69"/>
      <c r="AH42" s="70"/>
      <c r="AJ42" s="69"/>
      <c r="AL42" s="71"/>
      <c r="AM42" s="69"/>
      <c r="AN42" s="71"/>
      <c r="AO42" s="69"/>
      <c r="AP42" s="70"/>
      <c r="AR42" s="69"/>
      <c r="AV42" s="277"/>
      <c r="AW42" s="209"/>
      <c r="AX42" s="209"/>
      <c r="AY42" s="209"/>
      <c r="AZ42" s="276"/>
      <c r="BA42" s="209"/>
      <c r="BB42" s="209"/>
      <c r="BC42" s="209"/>
      <c r="BD42" s="209"/>
      <c r="BE42" s="209"/>
      <c r="BF42" s="209"/>
      <c r="BG42" s="277"/>
      <c r="BH42" s="277"/>
      <c r="BI42" s="277"/>
      <c r="BJ42" s="277"/>
      <c r="BK42" s="277"/>
      <c r="BL42" s="277"/>
      <c r="BM42" s="277"/>
      <c r="BN42" s="277"/>
      <c r="BO42" s="277"/>
      <c r="BP42" s="277"/>
      <c r="BQ42" s="277"/>
      <c r="BR42" s="277"/>
      <c r="BS42" s="277"/>
      <c r="BT42" s="277"/>
      <c r="BU42" s="277"/>
      <c r="BV42" s="277"/>
      <c r="BW42" s="277"/>
      <c r="BX42" s="277"/>
      <c r="BY42" s="277"/>
      <c r="BZ42" s="277"/>
      <c r="CA42" s="277"/>
      <c r="CB42" s="277"/>
      <c r="CC42" s="277"/>
      <c r="CD42" s="277"/>
      <c r="CE42" s="277"/>
      <c r="CF42" s="277"/>
      <c r="CG42" s="277"/>
      <c r="CH42" s="277"/>
      <c r="CI42" s="277"/>
      <c r="CJ42" s="277"/>
      <c r="CK42" s="277"/>
      <c r="CL42" s="277"/>
      <c r="CM42" s="277"/>
      <c r="CN42" s="277"/>
      <c r="CO42" s="277"/>
      <c r="CP42" s="277"/>
      <c r="CQ42" s="277"/>
      <c r="CR42" s="277"/>
      <c r="CS42" s="277"/>
      <c r="CT42" s="277"/>
      <c r="CU42" s="277"/>
      <c r="CV42" s="277"/>
      <c r="CW42" s="277"/>
      <c r="CX42" s="277"/>
      <c r="CY42" s="277"/>
      <c r="CZ42" s="277"/>
      <c r="DA42" s="277"/>
      <c r="DB42" s="277"/>
      <c r="DC42" s="277"/>
      <c r="DD42" s="277"/>
      <c r="DE42" s="277"/>
      <c r="DF42" s="277"/>
      <c r="DG42" s="277"/>
      <c r="DH42" s="277"/>
      <c r="DI42" s="277"/>
      <c r="DJ42" s="277"/>
      <c r="DK42" s="277"/>
      <c r="DL42" s="277"/>
      <c r="DM42" s="277"/>
      <c r="DN42" s="277"/>
      <c r="DO42" s="277"/>
      <c r="DP42" s="277"/>
      <c r="DQ42" s="277"/>
      <c r="DR42" s="277"/>
      <c r="DS42" s="209"/>
      <c r="DT42" s="209"/>
      <c r="DU42" s="209"/>
      <c r="DV42" s="209"/>
      <c r="DW42" s="209"/>
      <c r="DX42" s="209"/>
      <c r="DY42" s="209"/>
      <c r="DZ42" s="209"/>
      <c r="EA42" s="209"/>
      <c r="EB42" s="209"/>
      <c r="EC42" s="209"/>
      <c r="ED42" s="209"/>
      <c r="EE42" s="209"/>
      <c r="EF42" s="209"/>
      <c r="EG42" s="209"/>
      <c r="EH42" s="209"/>
      <c r="EI42" s="209"/>
      <c r="EJ42" s="209"/>
      <c r="EK42" s="209"/>
      <c r="EL42" s="209"/>
      <c r="EM42" s="209"/>
      <c r="EN42" s="209"/>
      <c r="EO42" s="209"/>
      <c r="EP42" s="209"/>
      <c r="EQ42" s="209"/>
      <c r="ER42" s="209"/>
      <c r="ES42" s="209"/>
      <c r="ET42" s="209"/>
      <c r="EU42" s="209"/>
      <c r="EV42" s="209"/>
      <c r="EW42" s="209"/>
      <c r="EX42" s="209"/>
      <c r="EY42" s="209"/>
      <c r="EZ42" s="209"/>
      <c r="FA42" s="209"/>
      <c r="FB42" s="209"/>
      <c r="FC42" s="209"/>
      <c r="FD42" s="209"/>
      <c r="FE42" s="209"/>
      <c r="FF42" s="209"/>
      <c r="FG42" s="209"/>
      <c r="FH42" s="209"/>
      <c r="FI42" s="209"/>
      <c r="FJ42" s="209"/>
      <c r="FK42" s="209"/>
      <c r="FL42" s="209"/>
      <c r="FM42" s="209"/>
      <c r="FN42" s="209"/>
      <c r="FO42" s="209"/>
      <c r="FP42" s="209"/>
      <c r="FQ42" s="209"/>
      <c r="FR42" s="209"/>
      <c r="FS42" s="209"/>
      <c r="FT42" s="209"/>
      <c r="FU42" s="209"/>
      <c r="FV42" s="209"/>
      <c r="FW42" s="209"/>
      <c r="FX42" s="209"/>
      <c r="FY42" s="209"/>
      <c r="FZ42" s="209"/>
      <c r="GA42" s="209"/>
      <c r="GB42" s="209"/>
      <c r="GC42" s="209"/>
      <c r="GD42" s="209"/>
      <c r="GE42" s="276"/>
      <c r="GF42" s="276"/>
      <c r="GG42" s="276"/>
      <c r="GH42" s="276"/>
      <c r="GI42" s="276"/>
      <c r="GJ42" s="276"/>
      <c r="GK42" s="276"/>
      <c r="GL42" s="276"/>
      <c r="GM42" s="276"/>
      <c r="GN42" s="276"/>
      <c r="GO42" s="276"/>
      <c r="GP42" s="276"/>
      <c r="GQ42" s="276"/>
      <c r="GR42" s="276"/>
      <c r="GS42" s="276"/>
      <c r="GT42" s="276"/>
      <c r="GU42" s="276"/>
      <c r="GV42" s="276"/>
      <c r="GW42" s="276"/>
      <c r="GX42" s="276"/>
      <c r="GY42" s="276"/>
      <c r="GZ42" s="276"/>
      <c r="HA42" s="276"/>
      <c r="HB42" s="276"/>
      <c r="HC42" s="276"/>
      <c r="HD42" s="276"/>
      <c r="HE42" s="276"/>
      <c r="HF42" s="276"/>
      <c r="HG42" s="276"/>
      <c r="HH42" s="276"/>
      <c r="HI42" s="276"/>
      <c r="HJ42" s="276"/>
      <c r="HK42" s="276"/>
      <c r="HL42" s="276"/>
      <c r="HM42" s="276"/>
      <c r="HN42" s="276"/>
      <c r="HO42" s="276"/>
      <c r="HP42" s="276"/>
      <c r="HQ42" s="276"/>
      <c r="HR42" s="276"/>
      <c r="HS42" s="276"/>
      <c r="HT42" s="276"/>
      <c r="HU42" s="276"/>
      <c r="HV42" s="276"/>
      <c r="HW42" s="276"/>
      <c r="HX42" s="276"/>
      <c r="HY42" s="276"/>
      <c r="HZ42" s="276"/>
      <c r="IA42" s="276"/>
      <c r="IB42" s="276"/>
      <c r="IC42" s="276"/>
      <c r="ID42" s="276"/>
      <c r="IE42" s="276"/>
      <c r="IF42" s="276"/>
      <c r="IG42" s="276"/>
      <c r="IH42" s="276"/>
      <c r="II42" s="276"/>
      <c r="IJ42" s="276"/>
      <c r="IK42" s="276"/>
      <c r="IL42" s="276"/>
      <c r="IM42" s="276"/>
      <c r="IN42" s="276"/>
      <c r="IO42" s="276"/>
      <c r="IP42" s="276"/>
      <c r="IQ42" s="276"/>
      <c r="IR42" s="276"/>
      <c r="IS42" s="276"/>
      <c r="IT42" s="276"/>
      <c r="IU42" s="276"/>
      <c r="IV42" s="276"/>
      <c r="IW42" s="276"/>
      <c r="IX42" s="276"/>
      <c r="IY42" s="276"/>
      <c r="IZ42" s="276"/>
      <c r="JA42" s="276"/>
      <c r="JB42" s="276"/>
      <c r="JC42" s="276"/>
      <c r="JD42" s="276"/>
      <c r="JE42" s="276"/>
      <c r="JF42" s="276"/>
      <c r="JG42" s="276"/>
      <c r="JH42" s="276"/>
      <c r="JI42" s="276"/>
      <c r="JJ42" s="276"/>
      <c r="JK42" s="276"/>
      <c r="JL42" s="276"/>
      <c r="JM42" s="276"/>
      <c r="JN42" s="276"/>
      <c r="JO42" s="276"/>
      <c r="JP42" s="276"/>
      <c r="JQ42" s="276"/>
      <c r="JR42" s="276"/>
      <c r="JS42" s="276"/>
      <c r="JT42" s="276"/>
      <c r="JU42" s="276"/>
      <c r="JV42" s="276"/>
      <c r="JW42" s="276"/>
      <c r="JX42" s="276"/>
      <c r="JY42" s="276"/>
      <c r="JZ42" s="276"/>
      <c r="KA42" s="276"/>
      <c r="KB42" s="276"/>
      <c r="KC42" s="276"/>
      <c r="KD42" s="276"/>
      <c r="KE42" s="276"/>
      <c r="KF42" s="276"/>
      <c r="KG42" s="276"/>
      <c r="KH42" s="276"/>
      <c r="KI42" s="276"/>
      <c r="KJ42" s="276"/>
      <c r="KK42" s="276"/>
      <c r="KL42" s="276"/>
      <c r="KM42" s="276"/>
      <c r="KN42" s="276"/>
      <c r="KO42" s="276"/>
      <c r="KP42" s="276"/>
      <c r="KQ42" s="276"/>
      <c r="KR42" s="276"/>
      <c r="KS42" s="276"/>
      <c r="KT42" s="276"/>
      <c r="KU42" s="276"/>
      <c r="KV42" s="276"/>
      <c r="KW42" s="276"/>
      <c r="KX42" s="276"/>
      <c r="KY42" s="276"/>
      <c r="KZ42" s="276"/>
      <c r="LA42" s="276"/>
      <c r="LB42" s="276"/>
      <c r="LC42" s="276"/>
      <c r="LD42" s="276"/>
      <c r="LE42" s="276"/>
      <c r="LF42" s="276"/>
      <c r="LG42" s="276"/>
      <c r="LH42" s="276"/>
      <c r="LI42" s="276"/>
      <c r="LJ42" s="276"/>
      <c r="LK42" s="276"/>
      <c r="LL42" s="276"/>
      <c r="LM42" s="276"/>
      <c r="LN42" s="276"/>
      <c r="LO42" s="276"/>
      <c r="LP42" s="276"/>
      <c r="LQ42" s="276"/>
      <c r="LR42" s="276"/>
      <c r="LS42" s="276"/>
      <c r="LT42" s="276"/>
      <c r="LU42" s="276"/>
      <c r="LV42" s="276"/>
      <c r="LW42" s="276"/>
      <c r="LX42" s="276"/>
      <c r="LY42" s="276"/>
      <c r="LZ42" s="276"/>
      <c r="MA42" s="276"/>
      <c r="MB42" s="276"/>
      <c r="MC42" s="276"/>
      <c r="MD42" s="276"/>
      <c r="ME42" s="276"/>
      <c r="MF42" s="276"/>
      <c r="MG42" s="276"/>
      <c r="MH42" s="276"/>
      <c r="MI42" s="276"/>
      <c r="MJ42" s="276"/>
      <c r="MK42" s="276"/>
      <c r="ML42" s="276"/>
      <c r="MM42" s="276"/>
      <c r="MN42" s="276"/>
      <c r="MO42" s="276"/>
      <c r="MP42" s="276"/>
      <c r="MQ42" s="276"/>
      <c r="MR42" s="276"/>
      <c r="MS42" s="276"/>
      <c r="MT42" s="276"/>
      <c r="MU42" s="276"/>
      <c r="MV42" s="276"/>
      <c r="MW42" s="276"/>
      <c r="MX42" s="276"/>
      <c r="MY42" s="276"/>
      <c r="MZ42" s="276"/>
      <c r="NA42" s="276"/>
      <c r="NB42" s="276"/>
      <c r="NC42" s="276"/>
      <c r="ND42" s="276"/>
      <c r="NE42" s="276"/>
      <c r="NF42" s="276"/>
      <c r="NG42" s="276"/>
      <c r="NH42" s="276"/>
      <c r="NI42" s="276"/>
      <c r="NJ42" s="276"/>
      <c r="NK42" s="276"/>
      <c r="NL42" s="276"/>
      <c r="NM42" s="276"/>
      <c r="NN42" s="276"/>
      <c r="NO42" s="276"/>
      <c r="NP42" s="276"/>
      <c r="NQ42" s="276"/>
      <c r="NR42" s="276"/>
      <c r="NS42" s="276"/>
      <c r="NT42" s="276"/>
      <c r="NU42" s="276"/>
      <c r="NV42" s="276"/>
      <c r="NW42" s="276"/>
      <c r="NX42" s="276"/>
      <c r="NY42" s="276"/>
      <c r="NZ42" s="276"/>
      <c r="OA42" s="276"/>
      <c r="OB42" s="276"/>
      <c r="OC42" s="276"/>
      <c r="OD42" s="276"/>
      <c r="OE42" s="276"/>
      <c r="OF42" s="276"/>
      <c r="OG42" s="276"/>
      <c r="OH42" s="276"/>
      <c r="OI42" s="276"/>
      <c r="OJ42" s="276"/>
      <c r="OK42" s="276"/>
      <c r="OL42" s="276"/>
      <c r="OM42" s="276"/>
      <c r="ON42" s="276"/>
      <c r="OO42" s="276"/>
      <c r="OP42" s="276"/>
      <c r="OQ42" s="276"/>
      <c r="OR42" s="276"/>
      <c r="OS42" s="276"/>
      <c r="OT42" s="276"/>
      <c r="OU42" s="276"/>
      <c r="OV42" s="276"/>
      <c r="OW42" s="276"/>
      <c r="OX42" s="276"/>
      <c r="OY42" s="276"/>
      <c r="OZ42" s="276"/>
      <c r="PA42" s="276"/>
      <c r="PB42" s="276"/>
      <c r="PC42" s="276"/>
      <c r="PD42" s="276"/>
      <c r="PE42" s="276"/>
      <c r="PF42" s="276"/>
      <c r="PG42" s="276"/>
      <c r="PH42" s="276"/>
      <c r="PI42" s="276"/>
      <c r="PJ42" s="276"/>
      <c r="PK42" s="276"/>
      <c r="PL42" s="276"/>
      <c r="PM42" s="276"/>
      <c r="PN42" s="276"/>
      <c r="PO42" s="276"/>
      <c r="PP42" s="276"/>
      <c r="PQ42" s="276"/>
      <c r="PR42" s="276"/>
      <c r="PS42" s="276"/>
      <c r="PT42" s="276"/>
      <c r="PU42" s="276"/>
      <c r="PV42" s="276"/>
      <c r="PW42" s="276"/>
      <c r="PX42" s="276"/>
      <c r="PY42" s="276"/>
      <c r="PZ42" s="276"/>
      <c r="QA42" s="276"/>
      <c r="QB42" s="276"/>
      <c r="QC42" s="276"/>
      <c r="QD42" s="276"/>
      <c r="QE42" s="276"/>
      <c r="QF42" s="276"/>
      <c r="QG42" s="276"/>
      <c r="QH42" s="276"/>
      <c r="QI42" s="276"/>
      <c r="QJ42" s="276"/>
      <c r="QK42" s="276"/>
      <c r="QL42" s="276"/>
      <c r="QM42" s="276"/>
      <c r="QN42" s="276"/>
      <c r="QO42" s="276"/>
      <c r="QP42" s="276"/>
      <c r="QQ42" s="276"/>
      <c r="QR42" s="276"/>
      <c r="QS42" s="276"/>
      <c r="QT42" s="276"/>
      <c r="QU42" s="276"/>
      <c r="QV42" s="276"/>
      <c r="QW42" s="276"/>
      <c r="QX42" s="276"/>
      <c r="QY42" s="276"/>
      <c r="QZ42" s="276"/>
      <c r="RA42" s="276"/>
      <c r="RB42" s="276"/>
      <c r="RC42" s="276"/>
      <c r="RD42" s="276"/>
      <c r="RE42" s="276"/>
      <c r="RF42" s="276"/>
      <c r="RG42" s="276"/>
      <c r="RH42" s="276"/>
      <c r="RI42" s="276"/>
      <c r="RJ42" s="276"/>
      <c r="RK42" s="276"/>
      <c r="RL42" s="276"/>
      <c r="RM42" s="276"/>
      <c r="RN42" s="276"/>
      <c r="RO42" s="276"/>
      <c r="RP42" s="276"/>
      <c r="RQ42" s="276"/>
      <c r="RR42" s="276"/>
      <c r="RS42" s="276"/>
      <c r="RT42" s="276"/>
      <c r="RU42" s="276"/>
      <c r="RV42" s="276"/>
      <c r="RW42" s="276"/>
      <c r="RX42" s="276"/>
      <c r="RY42" s="276"/>
      <c r="RZ42" s="276"/>
      <c r="SA42" s="276"/>
      <c r="SB42" s="276"/>
      <c r="SC42" s="276"/>
      <c r="SD42" s="276"/>
      <c r="SE42" s="276"/>
      <c r="SF42" s="276"/>
      <c r="SG42" s="276"/>
      <c r="SH42" s="276"/>
      <c r="SI42" s="276"/>
      <c r="SJ42" s="276"/>
      <c r="SK42" s="276"/>
      <c r="SL42" s="276"/>
      <c r="SM42" s="276"/>
      <c r="SN42" s="276"/>
      <c r="SO42" s="276"/>
      <c r="SP42" s="276"/>
      <c r="SQ42" s="276"/>
      <c r="SR42" s="276"/>
      <c r="SS42" s="276"/>
      <c r="ST42" s="276"/>
      <c r="SU42" s="276"/>
      <c r="SV42" s="276"/>
      <c r="SW42" s="276"/>
      <c r="SX42" s="276"/>
      <c r="SY42" s="276"/>
      <c r="SZ42" s="276"/>
      <c r="TA42" s="276"/>
      <c r="TB42" s="276"/>
      <c r="TC42" s="276"/>
      <c r="TD42" s="276"/>
      <c r="TE42" s="276"/>
      <c r="TF42" s="276"/>
      <c r="TG42" s="276"/>
      <c r="TH42" s="276"/>
      <c r="TI42" s="276"/>
      <c r="TJ42" s="276"/>
      <c r="TK42" s="276"/>
      <c r="TL42" s="276"/>
      <c r="TM42" s="276"/>
      <c r="TN42" s="276"/>
      <c r="TO42" s="276"/>
      <c r="TP42" s="276"/>
      <c r="TQ42" s="276"/>
      <c r="TR42" s="276"/>
      <c r="TS42" s="276"/>
      <c r="TT42" s="276"/>
      <c r="TU42" s="276"/>
      <c r="TV42" s="276"/>
      <c r="TW42" s="276"/>
      <c r="TX42" s="276"/>
      <c r="TY42" s="276"/>
      <c r="TZ42" s="276"/>
      <c r="UA42" s="276"/>
      <c r="UB42" s="276"/>
      <c r="UC42" s="276"/>
      <c r="UD42" s="276"/>
      <c r="UE42" s="276"/>
      <c r="UF42" s="276"/>
      <c r="UG42" s="276"/>
      <c r="UH42" s="276"/>
      <c r="UI42" s="276"/>
      <c r="UJ42" s="276"/>
      <c r="UK42" s="276"/>
      <c r="UL42" s="276"/>
      <c r="UM42" s="276"/>
      <c r="UN42" s="276"/>
      <c r="UO42" s="276"/>
      <c r="UP42" s="276"/>
      <c r="UQ42" s="276"/>
      <c r="UR42" s="276"/>
      <c r="US42" s="276"/>
      <c r="UT42" s="276"/>
      <c r="UU42" s="276"/>
      <c r="UV42" s="276"/>
      <c r="UW42" s="276"/>
      <c r="UX42" s="276"/>
      <c r="UY42" s="209"/>
      <c r="UZ42" s="209"/>
      <c r="VA42" s="209"/>
      <c r="VB42" s="209"/>
      <c r="VC42" s="209"/>
      <c r="VD42" s="209"/>
      <c r="VE42" s="209"/>
      <c r="VF42" s="209"/>
      <c r="VG42" s="209"/>
      <c r="VH42" s="209"/>
      <c r="VI42" s="209"/>
      <c r="VJ42" s="209"/>
      <c r="VK42" s="209"/>
      <c r="VL42" s="209"/>
      <c r="VM42" s="209"/>
      <c r="VN42" s="209"/>
    </row>
    <row r="43" spans="1:586" ht="15" customHeight="1" x14ac:dyDescent="0.2">
      <c r="A43" s="69"/>
      <c r="E43" s="265"/>
      <c r="L43" s="69"/>
      <c r="R43" s="70"/>
      <c r="T43" s="69"/>
      <c r="V43" s="71"/>
      <c r="W43" s="69"/>
      <c r="X43" s="71"/>
      <c r="Y43" s="69"/>
      <c r="Z43" s="70"/>
      <c r="AB43" s="69"/>
      <c r="AD43" s="71"/>
      <c r="AE43" s="69"/>
      <c r="AF43" s="71"/>
      <c r="AG43" s="69"/>
      <c r="AH43" s="70"/>
      <c r="AJ43" s="69"/>
      <c r="AL43" s="71"/>
      <c r="AM43" s="69"/>
      <c r="AN43" s="71"/>
      <c r="AO43" s="69"/>
      <c r="AP43" s="70"/>
      <c r="AR43" s="69"/>
      <c r="AV43" s="277"/>
      <c r="AW43" s="209"/>
      <c r="AX43" s="209"/>
      <c r="AY43" s="209"/>
      <c r="AZ43" s="276"/>
      <c r="BA43" s="209"/>
      <c r="BB43" s="209"/>
      <c r="BC43" s="209"/>
      <c r="BD43" s="209"/>
      <c r="BE43" s="209"/>
      <c r="BF43" s="209"/>
      <c r="BG43" s="277"/>
      <c r="BH43" s="277"/>
      <c r="BI43" s="277"/>
      <c r="BJ43" s="277"/>
      <c r="BK43" s="277"/>
      <c r="BL43" s="277"/>
      <c r="BM43" s="277"/>
      <c r="BN43" s="277"/>
      <c r="BO43" s="277"/>
      <c r="BP43" s="277"/>
      <c r="BQ43" s="277"/>
      <c r="BR43" s="277"/>
      <c r="BS43" s="277"/>
      <c r="BT43" s="277"/>
      <c r="BU43" s="277"/>
      <c r="BV43" s="277"/>
      <c r="BW43" s="277"/>
      <c r="BX43" s="277"/>
      <c r="BY43" s="277"/>
      <c r="BZ43" s="277"/>
      <c r="CA43" s="277"/>
      <c r="CB43" s="277"/>
      <c r="CC43" s="277"/>
      <c r="CD43" s="277"/>
      <c r="CE43" s="277"/>
      <c r="CF43" s="277"/>
      <c r="CG43" s="277"/>
      <c r="CH43" s="277"/>
      <c r="CI43" s="277"/>
      <c r="CJ43" s="277"/>
      <c r="CK43" s="277"/>
      <c r="CL43" s="277"/>
      <c r="CM43" s="277"/>
      <c r="CN43" s="277"/>
      <c r="CO43" s="277"/>
      <c r="CP43" s="277"/>
      <c r="CQ43" s="277"/>
      <c r="CR43" s="277"/>
      <c r="CS43" s="277"/>
      <c r="CT43" s="277"/>
      <c r="CU43" s="277"/>
      <c r="CV43" s="277"/>
      <c r="CW43" s="277"/>
      <c r="CX43" s="277"/>
      <c r="CY43" s="277"/>
      <c r="CZ43" s="277"/>
      <c r="DA43" s="277"/>
      <c r="DB43" s="277"/>
      <c r="DC43" s="277"/>
      <c r="DD43" s="277"/>
      <c r="DE43" s="277"/>
      <c r="DF43" s="277"/>
      <c r="DG43" s="277"/>
      <c r="DH43" s="277"/>
      <c r="DI43" s="277"/>
      <c r="DJ43" s="277"/>
      <c r="DK43" s="277"/>
      <c r="DL43" s="277"/>
      <c r="DM43" s="277"/>
      <c r="DN43" s="277"/>
      <c r="DO43" s="277"/>
      <c r="DP43" s="277"/>
      <c r="DQ43" s="277"/>
      <c r="DR43" s="277"/>
      <c r="DS43" s="209"/>
      <c r="DT43" s="209"/>
      <c r="DU43" s="209"/>
      <c r="DV43" s="209"/>
      <c r="DW43" s="209"/>
      <c r="DX43" s="209"/>
      <c r="DY43" s="209"/>
      <c r="DZ43" s="209"/>
      <c r="EA43" s="209"/>
      <c r="EB43" s="209"/>
      <c r="EC43" s="209"/>
      <c r="ED43" s="209"/>
      <c r="EE43" s="209"/>
      <c r="EF43" s="209"/>
      <c r="EG43" s="209"/>
      <c r="EH43" s="209"/>
      <c r="EI43" s="209"/>
      <c r="EJ43" s="209"/>
      <c r="EK43" s="209"/>
      <c r="EL43" s="209"/>
      <c r="EM43" s="209"/>
      <c r="EN43" s="209"/>
      <c r="EO43" s="209"/>
      <c r="EP43" s="209"/>
      <c r="EQ43" s="209"/>
      <c r="ER43" s="209"/>
      <c r="ES43" s="209"/>
      <c r="ET43" s="209"/>
      <c r="EU43" s="209"/>
      <c r="EV43" s="209"/>
      <c r="EW43" s="209"/>
      <c r="EX43" s="209"/>
      <c r="EY43" s="209"/>
      <c r="EZ43" s="209"/>
      <c r="FA43" s="209"/>
      <c r="FB43" s="209"/>
      <c r="FC43" s="209"/>
      <c r="FD43" s="209"/>
      <c r="FE43" s="209"/>
      <c r="FF43" s="209"/>
      <c r="FG43" s="209"/>
      <c r="FH43" s="209"/>
      <c r="FI43" s="209"/>
      <c r="FJ43" s="209"/>
      <c r="FK43" s="209"/>
      <c r="FL43" s="209"/>
      <c r="FM43" s="209"/>
      <c r="FN43" s="209"/>
      <c r="FO43" s="209"/>
      <c r="FP43" s="209"/>
      <c r="FQ43" s="209"/>
      <c r="FR43" s="209"/>
      <c r="FS43" s="209"/>
      <c r="FT43" s="209"/>
      <c r="FU43" s="209"/>
      <c r="FV43" s="209"/>
      <c r="FW43" s="209"/>
      <c r="FX43" s="209"/>
      <c r="FY43" s="209"/>
      <c r="FZ43" s="209"/>
      <c r="GA43" s="209"/>
      <c r="GB43" s="209"/>
      <c r="GC43" s="209"/>
      <c r="GD43" s="209"/>
      <c r="GE43" s="276"/>
      <c r="GF43" s="276"/>
      <c r="GG43" s="276"/>
      <c r="GH43" s="276"/>
      <c r="GI43" s="276"/>
      <c r="GJ43" s="276"/>
      <c r="GK43" s="276"/>
      <c r="GL43" s="276"/>
      <c r="GM43" s="276"/>
      <c r="GN43" s="276"/>
      <c r="GO43" s="276"/>
      <c r="GP43" s="276"/>
      <c r="GQ43" s="276"/>
      <c r="GR43" s="276"/>
      <c r="GS43" s="276"/>
      <c r="GT43" s="276"/>
      <c r="GU43" s="276"/>
      <c r="GV43" s="276"/>
      <c r="GW43" s="276"/>
      <c r="GX43" s="276"/>
      <c r="GY43" s="276"/>
      <c r="GZ43" s="276"/>
      <c r="HA43" s="276"/>
      <c r="HB43" s="276"/>
      <c r="HC43" s="276"/>
      <c r="HD43" s="276"/>
      <c r="HE43" s="276"/>
      <c r="HF43" s="276"/>
      <c r="HG43" s="276"/>
      <c r="HH43" s="276"/>
      <c r="HI43" s="276"/>
      <c r="HJ43" s="276"/>
      <c r="HK43" s="276"/>
      <c r="HL43" s="276"/>
      <c r="HM43" s="276"/>
      <c r="HN43" s="276"/>
      <c r="HO43" s="276"/>
      <c r="HP43" s="276"/>
      <c r="HQ43" s="276"/>
      <c r="HR43" s="276"/>
      <c r="HS43" s="276"/>
      <c r="HT43" s="276"/>
      <c r="HU43" s="276"/>
      <c r="HV43" s="276"/>
      <c r="HW43" s="276"/>
      <c r="HX43" s="276"/>
      <c r="HY43" s="276"/>
      <c r="HZ43" s="276"/>
      <c r="IA43" s="276"/>
      <c r="IB43" s="276"/>
      <c r="IC43" s="276"/>
      <c r="ID43" s="276"/>
      <c r="IE43" s="276"/>
      <c r="IF43" s="276"/>
      <c r="IG43" s="276"/>
      <c r="IH43" s="276"/>
      <c r="II43" s="276"/>
      <c r="IJ43" s="276"/>
      <c r="IK43" s="276"/>
      <c r="IL43" s="276"/>
      <c r="IM43" s="276"/>
      <c r="IN43" s="276"/>
      <c r="IO43" s="276"/>
      <c r="IP43" s="276"/>
      <c r="IQ43" s="276"/>
      <c r="IR43" s="276"/>
      <c r="IS43" s="276"/>
      <c r="IT43" s="276"/>
      <c r="IU43" s="276"/>
      <c r="IV43" s="276"/>
      <c r="IW43" s="276"/>
      <c r="IX43" s="276"/>
      <c r="IY43" s="276"/>
      <c r="IZ43" s="276"/>
      <c r="JA43" s="276"/>
      <c r="JB43" s="276"/>
      <c r="JC43" s="276"/>
      <c r="JD43" s="276"/>
      <c r="JE43" s="276"/>
      <c r="JF43" s="276"/>
      <c r="JG43" s="276"/>
      <c r="JH43" s="276"/>
      <c r="JI43" s="276"/>
      <c r="JJ43" s="276"/>
      <c r="JK43" s="276"/>
      <c r="JL43" s="276"/>
      <c r="JM43" s="276"/>
      <c r="JN43" s="276"/>
      <c r="JO43" s="276"/>
      <c r="JP43" s="276"/>
      <c r="JQ43" s="276"/>
      <c r="JR43" s="276"/>
      <c r="JS43" s="276"/>
      <c r="JT43" s="276"/>
      <c r="JU43" s="276"/>
      <c r="JV43" s="276"/>
      <c r="JW43" s="276"/>
      <c r="JX43" s="276"/>
      <c r="JY43" s="276"/>
      <c r="JZ43" s="276"/>
      <c r="KA43" s="276"/>
      <c r="KB43" s="276"/>
      <c r="KC43" s="276"/>
      <c r="KD43" s="276"/>
      <c r="KE43" s="276"/>
      <c r="KF43" s="276"/>
      <c r="KG43" s="276"/>
      <c r="KH43" s="276"/>
      <c r="KI43" s="276"/>
      <c r="KJ43" s="276"/>
      <c r="KK43" s="276"/>
      <c r="KL43" s="276"/>
      <c r="KM43" s="276"/>
      <c r="KN43" s="276"/>
      <c r="KO43" s="276"/>
      <c r="KP43" s="276"/>
      <c r="KQ43" s="276"/>
      <c r="KR43" s="276"/>
      <c r="KS43" s="276"/>
      <c r="KT43" s="276"/>
      <c r="KU43" s="276"/>
      <c r="KV43" s="276"/>
      <c r="KW43" s="276"/>
      <c r="KX43" s="276"/>
      <c r="KY43" s="276"/>
      <c r="KZ43" s="276"/>
      <c r="LA43" s="276"/>
      <c r="LB43" s="276"/>
      <c r="LC43" s="276"/>
      <c r="LD43" s="276"/>
      <c r="LE43" s="276"/>
      <c r="LF43" s="276"/>
      <c r="LG43" s="276"/>
      <c r="LH43" s="276"/>
      <c r="LI43" s="276"/>
      <c r="LJ43" s="276"/>
      <c r="LK43" s="276"/>
      <c r="LL43" s="276"/>
      <c r="LM43" s="276"/>
      <c r="LN43" s="276"/>
      <c r="LO43" s="276"/>
      <c r="LP43" s="276"/>
      <c r="LQ43" s="276"/>
      <c r="LR43" s="276"/>
      <c r="LS43" s="276"/>
      <c r="LT43" s="276"/>
      <c r="LU43" s="276"/>
      <c r="LV43" s="276"/>
      <c r="LW43" s="276"/>
      <c r="LX43" s="276"/>
      <c r="LY43" s="276"/>
      <c r="LZ43" s="276"/>
      <c r="MA43" s="276"/>
      <c r="MB43" s="276"/>
      <c r="MC43" s="276"/>
      <c r="MD43" s="276"/>
      <c r="ME43" s="276"/>
      <c r="MF43" s="276"/>
      <c r="MG43" s="276"/>
      <c r="MH43" s="276"/>
      <c r="MI43" s="276"/>
      <c r="MJ43" s="276"/>
      <c r="MK43" s="276"/>
      <c r="ML43" s="276"/>
      <c r="MM43" s="276"/>
      <c r="MN43" s="276"/>
      <c r="MO43" s="276"/>
      <c r="MP43" s="276"/>
      <c r="MQ43" s="276"/>
      <c r="MR43" s="276"/>
      <c r="MS43" s="276"/>
      <c r="MT43" s="276"/>
      <c r="MU43" s="276"/>
      <c r="MV43" s="276"/>
      <c r="MW43" s="276"/>
      <c r="MX43" s="276"/>
      <c r="MY43" s="276"/>
      <c r="MZ43" s="276"/>
      <c r="NA43" s="276"/>
      <c r="NB43" s="276"/>
      <c r="NC43" s="276"/>
      <c r="ND43" s="276"/>
      <c r="NE43" s="276"/>
      <c r="NF43" s="276"/>
      <c r="NG43" s="276"/>
      <c r="NH43" s="276"/>
      <c r="NI43" s="276"/>
      <c r="NJ43" s="276"/>
      <c r="NK43" s="276"/>
      <c r="NL43" s="276"/>
      <c r="NM43" s="276"/>
      <c r="NN43" s="276"/>
      <c r="NO43" s="276"/>
      <c r="NP43" s="276"/>
      <c r="NQ43" s="276"/>
      <c r="NR43" s="276"/>
      <c r="NS43" s="276"/>
      <c r="NT43" s="276"/>
      <c r="NU43" s="276"/>
      <c r="NV43" s="276"/>
      <c r="NW43" s="276"/>
      <c r="NX43" s="276"/>
      <c r="NY43" s="276"/>
      <c r="NZ43" s="276"/>
      <c r="OA43" s="276"/>
      <c r="OB43" s="276"/>
      <c r="OC43" s="276"/>
      <c r="OD43" s="276"/>
      <c r="OE43" s="276"/>
      <c r="OF43" s="276"/>
      <c r="OG43" s="276"/>
      <c r="OH43" s="276"/>
      <c r="OI43" s="276"/>
      <c r="OJ43" s="276"/>
      <c r="OK43" s="276"/>
      <c r="OL43" s="276"/>
      <c r="OM43" s="276"/>
      <c r="ON43" s="276"/>
      <c r="OO43" s="276"/>
      <c r="OP43" s="276"/>
      <c r="OQ43" s="276"/>
      <c r="OR43" s="276"/>
      <c r="OS43" s="276"/>
      <c r="OT43" s="276"/>
      <c r="OU43" s="276"/>
      <c r="OV43" s="276"/>
      <c r="OW43" s="276"/>
      <c r="OX43" s="276"/>
      <c r="OY43" s="276"/>
      <c r="OZ43" s="276"/>
      <c r="PA43" s="276"/>
      <c r="PB43" s="276"/>
      <c r="PC43" s="276"/>
      <c r="PD43" s="276"/>
      <c r="PE43" s="276"/>
      <c r="PF43" s="276"/>
      <c r="PG43" s="276"/>
      <c r="PH43" s="276"/>
      <c r="PI43" s="276"/>
      <c r="PJ43" s="276"/>
      <c r="PK43" s="276"/>
      <c r="PL43" s="276"/>
      <c r="PM43" s="276"/>
      <c r="PN43" s="276"/>
      <c r="PO43" s="276"/>
      <c r="PP43" s="276"/>
      <c r="PQ43" s="276"/>
      <c r="PR43" s="276"/>
      <c r="PS43" s="276"/>
      <c r="PT43" s="276"/>
      <c r="PU43" s="276"/>
      <c r="PV43" s="276"/>
      <c r="PW43" s="276"/>
      <c r="PX43" s="276"/>
      <c r="PY43" s="276"/>
      <c r="PZ43" s="276"/>
      <c r="QA43" s="276"/>
      <c r="QB43" s="276"/>
      <c r="QC43" s="276"/>
      <c r="QD43" s="276"/>
      <c r="QE43" s="276"/>
      <c r="QF43" s="276"/>
      <c r="QG43" s="276"/>
      <c r="QH43" s="276"/>
      <c r="QI43" s="276"/>
      <c r="QJ43" s="276"/>
      <c r="QK43" s="276"/>
      <c r="QL43" s="276"/>
      <c r="QM43" s="276"/>
      <c r="QN43" s="276"/>
      <c r="QO43" s="276"/>
      <c r="QP43" s="276"/>
      <c r="QQ43" s="276"/>
      <c r="QR43" s="276"/>
      <c r="QS43" s="276"/>
      <c r="QT43" s="276"/>
      <c r="QU43" s="276"/>
      <c r="QV43" s="276"/>
      <c r="QW43" s="276"/>
      <c r="QX43" s="276"/>
      <c r="QY43" s="276"/>
      <c r="QZ43" s="276"/>
      <c r="RA43" s="276"/>
      <c r="RB43" s="276"/>
      <c r="RC43" s="276"/>
      <c r="RD43" s="276"/>
      <c r="RE43" s="276"/>
      <c r="RF43" s="276"/>
      <c r="RG43" s="276"/>
      <c r="RH43" s="276"/>
      <c r="RI43" s="276"/>
      <c r="RJ43" s="276"/>
      <c r="RK43" s="276"/>
      <c r="RL43" s="276"/>
      <c r="RM43" s="276"/>
      <c r="RN43" s="276"/>
      <c r="RO43" s="276"/>
      <c r="RP43" s="276"/>
      <c r="RQ43" s="276"/>
      <c r="RR43" s="276"/>
      <c r="RS43" s="276"/>
      <c r="RT43" s="276"/>
      <c r="RU43" s="276"/>
      <c r="RV43" s="276"/>
      <c r="RW43" s="276"/>
      <c r="RX43" s="276"/>
      <c r="RY43" s="276"/>
      <c r="RZ43" s="276"/>
      <c r="SA43" s="276"/>
      <c r="SB43" s="276"/>
      <c r="SC43" s="276"/>
      <c r="SD43" s="276"/>
      <c r="SE43" s="276"/>
      <c r="SF43" s="276"/>
      <c r="SG43" s="276"/>
      <c r="SH43" s="276"/>
      <c r="SI43" s="276"/>
      <c r="SJ43" s="276"/>
      <c r="SK43" s="276"/>
      <c r="SL43" s="276"/>
      <c r="SM43" s="276"/>
      <c r="SN43" s="276"/>
      <c r="SO43" s="276"/>
      <c r="SP43" s="276"/>
      <c r="SQ43" s="276"/>
      <c r="SR43" s="276"/>
      <c r="SS43" s="276"/>
      <c r="ST43" s="276"/>
      <c r="SU43" s="276"/>
      <c r="SV43" s="276"/>
      <c r="SW43" s="276"/>
      <c r="SX43" s="276"/>
      <c r="SY43" s="276"/>
      <c r="SZ43" s="276"/>
      <c r="TA43" s="276"/>
      <c r="TB43" s="276"/>
      <c r="TC43" s="276"/>
      <c r="TD43" s="276"/>
      <c r="TE43" s="276"/>
      <c r="TF43" s="276"/>
      <c r="TG43" s="276"/>
      <c r="TH43" s="276"/>
      <c r="TI43" s="276"/>
      <c r="TJ43" s="276"/>
      <c r="TK43" s="276"/>
      <c r="TL43" s="276"/>
      <c r="TM43" s="276"/>
      <c r="TN43" s="276"/>
      <c r="TO43" s="276"/>
      <c r="TP43" s="276"/>
      <c r="TQ43" s="276"/>
      <c r="TR43" s="276"/>
      <c r="TS43" s="276"/>
      <c r="TT43" s="276"/>
      <c r="TU43" s="276"/>
      <c r="TV43" s="276"/>
      <c r="TW43" s="276"/>
      <c r="TX43" s="276"/>
      <c r="TY43" s="276"/>
      <c r="TZ43" s="276"/>
      <c r="UA43" s="276"/>
      <c r="UB43" s="276"/>
      <c r="UC43" s="276"/>
      <c r="UD43" s="276"/>
      <c r="UE43" s="276"/>
      <c r="UF43" s="276"/>
      <c r="UG43" s="276"/>
      <c r="UH43" s="276"/>
      <c r="UI43" s="276"/>
      <c r="UJ43" s="276"/>
      <c r="UK43" s="276"/>
      <c r="UL43" s="276"/>
      <c r="UM43" s="276"/>
      <c r="UN43" s="276"/>
      <c r="UO43" s="276"/>
      <c r="UP43" s="276"/>
      <c r="UQ43" s="276"/>
      <c r="UR43" s="276"/>
      <c r="US43" s="276"/>
      <c r="UT43" s="276"/>
      <c r="UU43" s="276"/>
      <c r="UV43" s="276"/>
      <c r="UW43" s="276"/>
      <c r="UX43" s="276"/>
      <c r="UY43" s="209"/>
      <c r="UZ43" s="209"/>
      <c r="VA43" s="209"/>
      <c r="VB43" s="209"/>
      <c r="VC43" s="209"/>
      <c r="VD43" s="209"/>
      <c r="VE43" s="209"/>
      <c r="VF43" s="209"/>
      <c r="VG43" s="209"/>
      <c r="VH43" s="209"/>
      <c r="VI43" s="209"/>
      <c r="VJ43" s="209"/>
      <c r="VK43" s="209"/>
      <c r="VL43" s="209"/>
      <c r="VM43" s="209"/>
      <c r="VN43" s="209"/>
    </row>
    <row r="44" spans="1:586" ht="15" customHeight="1" x14ac:dyDescent="0.2">
      <c r="A44" s="69"/>
      <c r="E44" s="265"/>
      <c r="L44" s="69"/>
      <c r="R44" s="70"/>
      <c r="T44" s="69"/>
      <c r="V44" s="71"/>
      <c r="W44" s="69"/>
      <c r="X44" s="71"/>
      <c r="Y44" s="69"/>
      <c r="Z44" s="70"/>
      <c r="AB44" s="69"/>
      <c r="AD44" s="71"/>
      <c r="AE44" s="69"/>
      <c r="AF44" s="71"/>
      <c r="AG44" s="69"/>
      <c r="AH44" s="70"/>
      <c r="AJ44" s="69"/>
      <c r="AL44" s="71"/>
      <c r="AM44" s="69"/>
      <c r="AN44" s="71"/>
      <c r="AO44" s="69"/>
      <c r="AP44" s="70"/>
      <c r="AR44" s="69"/>
      <c r="AV44" s="277"/>
      <c r="AW44" s="209"/>
      <c r="AX44" s="209"/>
      <c r="AY44" s="209"/>
      <c r="AZ44" s="276"/>
      <c r="BA44" s="209"/>
      <c r="BB44" s="209"/>
      <c r="BC44" s="209"/>
      <c r="BD44" s="209"/>
      <c r="BE44" s="209"/>
      <c r="BF44" s="209"/>
      <c r="BG44" s="277"/>
      <c r="BH44" s="277"/>
      <c r="BI44" s="277"/>
      <c r="BJ44" s="277"/>
      <c r="BK44" s="277"/>
      <c r="BL44" s="277"/>
      <c r="BM44" s="277"/>
      <c r="BN44" s="277"/>
      <c r="BO44" s="277"/>
      <c r="BP44" s="277"/>
      <c r="BQ44" s="277"/>
      <c r="BR44" s="277"/>
      <c r="BS44" s="277"/>
      <c r="BT44" s="277"/>
      <c r="BU44" s="277"/>
      <c r="BV44" s="277"/>
      <c r="BW44" s="277"/>
      <c r="BX44" s="277"/>
      <c r="BY44" s="277"/>
      <c r="BZ44" s="277"/>
      <c r="CA44" s="277"/>
      <c r="CB44" s="277"/>
      <c r="CC44" s="277"/>
      <c r="CD44" s="277"/>
      <c r="CE44" s="277"/>
      <c r="CF44" s="277"/>
      <c r="CG44" s="277"/>
      <c r="CH44" s="277"/>
      <c r="CI44" s="277"/>
      <c r="CJ44" s="277"/>
      <c r="CK44" s="277"/>
      <c r="CL44" s="277"/>
      <c r="CM44" s="277"/>
      <c r="CN44" s="277"/>
      <c r="CO44" s="277"/>
      <c r="CP44" s="277"/>
      <c r="CQ44" s="277"/>
      <c r="CR44" s="277"/>
      <c r="CS44" s="277"/>
      <c r="CT44" s="277"/>
      <c r="CU44" s="277"/>
      <c r="CV44" s="277"/>
      <c r="CW44" s="277"/>
      <c r="CX44" s="277"/>
      <c r="CY44" s="277"/>
      <c r="CZ44" s="277"/>
      <c r="DA44" s="277"/>
      <c r="DB44" s="277"/>
      <c r="DC44" s="277"/>
      <c r="DD44" s="277"/>
      <c r="DE44" s="277"/>
      <c r="DF44" s="277"/>
      <c r="DG44" s="277"/>
      <c r="DH44" s="277"/>
      <c r="DI44" s="277"/>
      <c r="DJ44" s="277"/>
      <c r="DK44" s="277"/>
      <c r="DL44" s="277"/>
      <c r="DM44" s="277"/>
      <c r="DN44" s="277"/>
      <c r="DO44" s="277"/>
      <c r="DP44" s="277"/>
      <c r="DQ44" s="277"/>
      <c r="DR44" s="277"/>
      <c r="DS44" s="209"/>
      <c r="DT44" s="209"/>
      <c r="DU44" s="209"/>
      <c r="DV44" s="209"/>
      <c r="DW44" s="209"/>
      <c r="DX44" s="209"/>
      <c r="DY44" s="209"/>
      <c r="DZ44" s="209"/>
      <c r="EA44" s="209"/>
      <c r="EB44" s="209"/>
      <c r="EC44" s="209"/>
      <c r="ED44" s="209"/>
      <c r="EE44" s="209"/>
      <c r="EF44" s="209"/>
      <c r="EG44" s="209"/>
      <c r="EH44" s="209"/>
      <c r="EI44" s="209"/>
      <c r="EJ44" s="209"/>
      <c r="EK44" s="209"/>
      <c r="EL44" s="209"/>
      <c r="EM44" s="209"/>
      <c r="EN44" s="209"/>
      <c r="EO44" s="209"/>
      <c r="EP44" s="209"/>
      <c r="EQ44" s="209"/>
      <c r="ER44" s="209"/>
      <c r="ES44" s="209"/>
      <c r="ET44" s="209"/>
      <c r="EU44" s="209"/>
      <c r="EV44" s="209"/>
      <c r="EW44" s="209"/>
      <c r="EX44" s="209"/>
      <c r="EY44" s="209"/>
      <c r="EZ44" s="209"/>
      <c r="FA44" s="209"/>
      <c r="FB44" s="209"/>
      <c r="FC44" s="209"/>
      <c r="FD44" s="209"/>
      <c r="FE44" s="209"/>
      <c r="FF44" s="209"/>
      <c r="FG44" s="209"/>
      <c r="FH44" s="209"/>
      <c r="FI44" s="209"/>
      <c r="FJ44" s="209"/>
      <c r="FK44" s="209"/>
      <c r="FL44" s="209"/>
      <c r="FM44" s="209"/>
      <c r="FN44" s="209"/>
      <c r="FO44" s="209"/>
      <c r="FP44" s="209"/>
      <c r="FQ44" s="209"/>
      <c r="FR44" s="209"/>
      <c r="FS44" s="209"/>
      <c r="FT44" s="209"/>
      <c r="FU44" s="209"/>
      <c r="FV44" s="209"/>
      <c r="FW44" s="209"/>
      <c r="FX44" s="209"/>
      <c r="FY44" s="209"/>
      <c r="FZ44" s="209"/>
      <c r="GA44" s="209"/>
      <c r="GB44" s="209"/>
      <c r="GC44" s="209"/>
      <c r="GD44" s="209"/>
      <c r="GE44" s="276"/>
      <c r="GF44" s="276"/>
      <c r="GG44" s="276"/>
      <c r="GH44" s="276"/>
      <c r="GI44" s="276"/>
      <c r="GJ44" s="276"/>
      <c r="GK44" s="276"/>
      <c r="GL44" s="276"/>
      <c r="GM44" s="276"/>
      <c r="GN44" s="276"/>
      <c r="GO44" s="276"/>
      <c r="GP44" s="276"/>
      <c r="GQ44" s="276"/>
      <c r="GR44" s="276"/>
      <c r="GS44" s="276"/>
      <c r="GT44" s="276"/>
      <c r="GU44" s="276"/>
      <c r="GV44" s="276"/>
      <c r="GW44" s="276"/>
      <c r="GX44" s="276"/>
      <c r="GY44" s="276"/>
      <c r="GZ44" s="276"/>
      <c r="HA44" s="276"/>
      <c r="HB44" s="276"/>
      <c r="HC44" s="276"/>
      <c r="HD44" s="276"/>
      <c r="HE44" s="276"/>
      <c r="HF44" s="276"/>
      <c r="HG44" s="276"/>
      <c r="HH44" s="276"/>
      <c r="HI44" s="276"/>
      <c r="HJ44" s="276"/>
      <c r="HK44" s="276"/>
      <c r="HL44" s="276"/>
      <c r="HM44" s="276"/>
      <c r="HN44" s="276"/>
      <c r="HO44" s="276"/>
      <c r="HP44" s="276"/>
      <c r="HQ44" s="276"/>
      <c r="HR44" s="276"/>
      <c r="HS44" s="276"/>
      <c r="HT44" s="276"/>
      <c r="HU44" s="276"/>
      <c r="HV44" s="276"/>
      <c r="HW44" s="276"/>
      <c r="HX44" s="276"/>
      <c r="HY44" s="276"/>
      <c r="HZ44" s="276"/>
      <c r="IA44" s="276"/>
      <c r="IB44" s="276"/>
      <c r="IC44" s="276"/>
      <c r="ID44" s="276"/>
      <c r="IE44" s="276"/>
      <c r="IF44" s="276"/>
      <c r="IG44" s="276"/>
      <c r="IH44" s="276"/>
      <c r="II44" s="276"/>
      <c r="IJ44" s="276"/>
      <c r="IK44" s="276"/>
      <c r="IL44" s="276"/>
      <c r="IM44" s="276"/>
      <c r="IN44" s="276"/>
      <c r="IO44" s="276"/>
      <c r="IP44" s="276"/>
      <c r="IQ44" s="276"/>
      <c r="IR44" s="276"/>
      <c r="IS44" s="276"/>
      <c r="IT44" s="276"/>
      <c r="IU44" s="276"/>
      <c r="IV44" s="276"/>
      <c r="IW44" s="276"/>
      <c r="IX44" s="276"/>
      <c r="IY44" s="276"/>
      <c r="IZ44" s="276"/>
      <c r="JA44" s="276"/>
      <c r="JB44" s="276"/>
      <c r="JC44" s="276"/>
      <c r="JD44" s="276"/>
      <c r="JE44" s="276"/>
      <c r="JF44" s="276"/>
      <c r="JG44" s="276"/>
      <c r="JH44" s="276"/>
      <c r="JI44" s="276"/>
      <c r="JJ44" s="276"/>
      <c r="JK44" s="276"/>
      <c r="JL44" s="276"/>
      <c r="JM44" s="276"/>
      <c r="JN44" s="276"/>
      <c r="JO44" s="276"/>
      <c r="JP44" s="276"/>
      <c r="JQ44" s="276"/>
      <c r="JR44" s="276"/>
      <c r="JS44" s="276"/>
      <c r="JT44" s="276"/>
      <c r="JU44" s="276"/>
      <c r="JV44" s="276"/>
      <c r="JW44" s="276"/>
      <c r="JX44" s="276"/>
      <c r="JY44" s="276"/>
      <c r="JZ44" s="276"/>
      <c r="KA44" s="276"/>
      <c r="KB44" s="276"/>
      <c r="KC44" s="276"/>
      <c r="KD44" s="276"/>
      <c r="KE44" s="276"/>
      <c r="KF44" s="276"/>
      <c r="KG44" s="276"/>
      <c r="KH44" s="276"/>
      <c r="KI44" s="276"/>
      <c r="KJ44" s="276"/>
      <c r="KK44" s="276"/>
      <c r="KL44" s="276"/>
      <c r="KM44" s="276"/>
      <c r="KN44" s="276"/>
      <c r="KO44" s="276"/>
      <c r="KP44" s="276"/>
      <c r="KQ44" s="276"/>
      <c r="KR44" s="276"/>
      <c r="KS44" s="276"/>
      <c r="KT44" s="276"/>
      <c r="KU44" s="276"/>
      <c r="KV44" s="276"/>
      <c r="KW44" s="276"/>
      <c r="KX44" s="276"/>
      <c r="KY44" s="276"/>
      <c r="KZ44" s="276"/>
      <c r="LA44" s="276"/>
      <c r="LB44" s="276"/>
      <c r="LC44" s="276"/>
      <c r="LD44" s="276"/>
      <c r="LE44" s="276"/>
      <c r="LF44" s="276"/>
      <c r="LG44" s="276"/>
      <c r="LH44" s="276"/>
      <c r="LI44" s="276"/>
      <c r="LJ44" s="276"/>
      <c r="LK44" s="276"/>
      <c r="LL44" s="276"/>
      <c r="LM44" s="276"/>
      <c r="LN44" s="276"/>
      <c r="LO44" s="276"/>
      <c r="LP44" s="276"/>
      <c r="LQ44" s="276"/>
      <c r="LR44" s="276"/>
      <c r="LS44" s="276"/>
      <c r="LT44" s="276"/>
      <c r="LU44" s="276"/>
      <c r="LV44" s="276"/>
      <c r="LW44" s="276"/>
      <c r="LX44" s="276"/>
      <c r="LY44" s="276"/>
      <c r="LZ44" s="276"/>
      <c r="MA44" s="276"/>
      <c r="MB44" s="276"/>
      <c r="MC44" s="276"/>
      <c r="MD44" s="276"/>
      <c r="ME44" s="276"/>
      <c r="MF44" s="276"/>
      <c r="MG44" s="276"/>
      <c r="MH44" s="276"/>
      <c r="MI44" s="276"/>
      <c r="MJ44" s="276"/>
      <c r="MK44" s="276"/>
      <c r="ML44" s="276"/>
      <c r="MM44" s="276"/>
      <c r="MN44" s="276"/>
      <c r="MO44" s="276"/>
      <c r="MP44" s="276"/>
      <c r="MQ44" s="276"/>
      <c r="MR44" s="276"/>
      <c r="MS44" s="276"/>
      <c r="MT44" s="276"/>
      <c r="MU44" s="276"/>
      <c r="MV44" s="276"/>
      <c r="MW44" s="276"/>
      <c r="MX44" s="276"/>
      <c r="MY44" s="276"/>
      <c r="MZ44" s="276"/>
      <c r="NA44" s="276"/>
      <c r="NB44" s="276"/>
      <c r="NC44" s="276"/>
      <c r="ND44" s="276"/>
      <c r="NE44" s="276"/>
      <c r="NF44" s="276"/>
      <c r="NG44" s="276"/>
      <c r="NH44" s="276"/>
      <c r="NI44" s="276"/>
      <c r="NJ44" s="276"/>
      <c r="NK44" s="276"/>
      <c r="NL44" s="276"/>
      <c r="NM44" s="276"/>
      <c r="NN44" s="276"/>
      <c r="NO44" s="276"/>
      <c r="NP44" s="276"/>
      <c r="NQ44" s="276"/>
      <c r="NR44" s="276"/>
      <c r="NS44" s="276"/>
      <c r="NT44" s="276"/>
      <c r="NU44" s="276"/>
      <c r="NV44" s="276"/>
      <c r="NW44" s="276"/>
      <c r="NX44" s="276"/>
      <c r="NY44" s="276"/>
      <c r="NZ44" s="276"/>
      <c r="OA44" s="276"/>
      <c r="OB44" s="276"/>
      <c r="OC44" s="276"/>
      <c r="OD44" s="276"/>
      <c r="OE44" s="276"/>
      <c r="OF44" s="276"/>
      <c r="OG44" s="276"/>
      <c r="OH44" s="276"/>
      <c r="OI44" s="276"/>
      <c r="OJ44" s="276"/>
      <c r="OK44" s="276"/>
      <c r="OL44" s="276"/>
      <c r="OM44" s="276"/>
      <c r="ON44" s="276"/>
      <c r="OO44" s="276"/>
      <c r="OP44" s="276"/>
      <c r="OQ44" s="276"/>
      <c r="OR44" s="276"/>
      <c r="OS44" s="276"/>
      <c r="OT44" s="276"/>
      <c r="OU44" s="276"/>
      <c r="OV44" s="276"/>
      <c r="OW44" s="276"/>
      <c r="OX44" s="276"/>
      <c r="OY44" s="276"/>
      <c r="OZ44" s="276"/>
      <c r="PA44" s="276"/>
      <c r="PB44" s="276"/>
      <c r="PC44" s="276"/>
      <c r="PD44" s="276"/>
      <c r="PE44" s="276"/>
      <c r="PF44" s="276"/>
      <c r="PG44" s="276"/>
      <c r="PH44" s="276"/>
      <c r="PI44" s="276"/>
      <c r="PJ44" s="276"/>
      <c r="PK44" s="276"/>
      <c r="PL44" s="276"/>
      <c r="PM44" s="276"/>
      <c r="PN44" s="276"/>
      <c r="PO44" s="276"/>
      <c r="PP44" s="276"/>
      <c r="PQ44" s="276"/>
      <c r="PR44" s="276"/>
      <c r="PS44" s="276"/>
      <c r="PT44" s="276"/>
      <c r="PU44" s="276"/>
      <c r="PV44" s="276"/>
      <c r="PW44" s="276"/>
      <c r="PX44" s="276"/>
      <c r="PY44" s="276"/>
      <c r="PZ44" s="276"/>
      <c r="QA44" s="276"/>
      <c r="QB44" s="276"/>
      <c r="QC44" s="276"/>
      <c r="QD44" s="276"/>
      <c r="QE44" s="276"/>
      <c r="QF44" s="276"/>
      <c r="QG44" s="276"/>
      <c r="QH44" s="276"/>
      <c r="QI44" s="276"/>
      <c r="QJ44" s="276"/>
      <c r="QK44" s="276"/>
      <c r="QL44" s="276"/>
      <c r="QM44" s="276"/>
      <c r="QN44" s="276"/>
      <c r="QO44" s="276"/>
      <c r="QP44" s="276"/>
      <c r="QQ44" s="276"/>
      <c r="QR44" s="276"/>
      <c r="QS44" s="276"/>
      <c r="QT44" s="276"/>
      <c r="QU44" s="276"/>
      <c r="QV44" s="276"/>
      <c r="QW44" s="276"/>
      <c r="QX44" s="276"/>
      <c r="QY44" s="276"/>
      <c r="QZ44" s="276"/>
      <c r="RA44" s="276"/>
      <c r="RB44" s="276"/>
      <c r="RC44" s="276"/>
      <c r="RD44" s="276"/>
      <c r="RE44" s="276"/>
      <c r="RF44" s="276"/>
      <c r="RG44" s="276"/>
      <c r="RH44" s="276"/>
      <c r="RI44" s="276"/>
      <c r="RJ44" s="276"/>
      <c r="RK44" s="276"/>
      <c r="RL44" s="276"/>
      <c r="RM44" s="276"/>
      <c r="RN44" s="276"/>
      <c r="RO44" s="276"/>
      <c r="RP44" s="276"/>
      <c r="RQ44" s="276"/>
      <c r="RR44" s="276"/>
      <c r="RS44" s="276"/>
      <c r="RT44" s="276"/>
      <c r="RU44" s="276"/>
      <c r="RV44" s="276"/>
      <c r="RW44" s="276"/>
      <c r="RX44" s="276"/>
      <c r="RY44" s="276"/>
      <c r="RZ44" s="276"/>
      <c r="SA44" s="276"/>
      <c r="SB44" s="276"/>
      <c r="SC44" s="276"/>
      <c r="SD44" s="276"/>
      <c r="SE44" s="276"/>
      <c r="SF44" s="276"/>
      <c r="SG44" s="276"/>
      <c r="SH44" s="276"/>
      <c r="SI44" s="276"/>
      <c r="SJ44" s="276"/>
      <c r="SK44" s="276"/>
      <c r="SL44" s="276"/>
      <c r="SM44" s="276"/>
      <c r="SN44" s="276"/>
      <c r="SO44" s="276"/>
      <c r="SP44" s="276"/>
      <c r="SQ44" s="276"/>
      <c r="SR44" s="276"/>
      <c r="SS44" s="276"/>
      <c r="ST44" s="276"/>
      <c r="SU44" s="276"/>
      <c r="SV44" s="276"/>
      <c r="SW44" s="276"/>
      <c r="SX44" s="276"/>
      <c r="SY44" s="276"/>
      <c r="SZ44" s="276"/>
      <c r="TA44" s="276"/>
      <c r="TB44" s="276"/>
      <c r="TC44" s="276"/>
      <c r="TD44" s="276"/>
      <c r="TE44" s="276"/>
      <c r="TF44" s="276"/>
      <c r="TG44" s="276"/>
      <c r="TH44" s="276"/>
      <c r="TI44" s="276"/>
      <c r="TJ44" s="276"/>
      <c r="TK44" s="276"/>
      <c r="TL44" s="276"/>
      <c r="TM44" s="276"/>
      <c r="TN44" s="276"/>
      <c r="TO44" s="276"/>
      <c r="TP44" s="276"/>
      <c r="TQ44" s="276"/>
      <c r="TR44" s="276"/>
      <c r="TS44" s="276"/>
      <c r="TT44" s="276"/>
      <c r="TU44" s="276"/>
      <c r="TV44" s="276"/>
      <c r="TW44" s="276"/>
      <c r="TX44" s="276"/>
      <c r="TY44" s="276"/>
      <c r="TZ44" s="276"/>
      <c r="UA44" s="276"/>
      <c r="UB44" s="276"/>
      <c r="UC44" s="276"/>
      <c r="UD44" s="276"/>
      <c r="UE44" s="276"/>
      <c r="UF44" s="276"/>
      <c r="UG44" s="276"/>
      <c r="UH44" s="276"/>
      <c r="UI44" s="276"/>
      <c r="UJ44" s="276"/>
      <c r="UK44" s="276"/>
      <c r="UL44" s="276"/>
      <c r="UM44" s="276"/>
      <c r="UN44" s="276"/>
      <c r="UO44" s="276"/>
      <c r="UP44" s="276"/>
      <c r="UQ44" s="276"/>
      <c r="UR44" s="276"/>
      <c r="US44" s="276"/>
      <c r="UT44" s="276"/>
      <c r="UU44" s="276"/>
      <c r="UV44" s="276"/>
      <c r="UW44" s="276"/>
      <c r="UX44" s="276"/>
      <c r="UY44" s="209"/>
      <c r="UZ44" s="209"/>
      <c r="VA44" s="209"/>
      <c r="VB44" s="209"/>
      <c r="VC44" s="209"/>
      <c r="VD44" s="209"/>
      <c r="VE44" s="209"/>
      <c r="VF44" s="209"/>
      <c r="VG44" s="209"/>
      <c r="VH44" s="209"/>
      <c r="VI44" s="209"/>
      <c r="VJ44" s="209"/>
      <c r="VK44" s="209"/>
      <c r="VL44" s="209"/>
      <c r="VM44" s="209"/>
      <c r="VN44" s="209"/>
    </row>
    <row r="45" spans="1:586" ht="15" customHeight="1" x14ac:dyDescent="0.2">
      <c r="A45" s="69"/>
      <c r="E45" s="265"/>
      <c r="L45" s="69"/>
      <c r="R45" s="70"/>
      <c r="T45" s="69"/>
      <c r="V45" s="71"/>
      <c r="W45" s="69"/>
      <c r="X45" s="71"/>
      <c r="Y45" s="69"/>
      <c r="Z45" s="70"/>
      <c r="AB45" s="69"/>
      <c r="AD45" s="71"/>
      <c r="AE45" s="69"/>
      <c r="AF45" s="71"/>
      <c r="AG45" s="69"/>
      <c r="AH45" s="70"/>
      <c r="AJ45" s="69"/>
      <c r="AL45" s="71"/>
      <c r="AM45" s="69"/>
      <c r="AN45" s="71"/>
      <c r="AO45" s="69"/>
      <c r="AP45" s="70"/>
      <c r="AR45" s="69"/>
      <c r="AV45" s="277"/>
      <c r="AW45" s="209"/>
      <c r="AX45" s="209"/>
      <c r="AY45" s="209"/>
      <c r="AZ45" s="276"/>
      <c r="BA45" s="209"/>
      <c r="BB45" s="209"/>
      <c r="BC45" s="209"/>
      <c r="BD45" s="209"/>
      <c r="BE45" s="209"/>
      <c r="BF45" s="209"/>
      <c r="BG45" s="277"/>
      <c r="BH45" s="277"/>
      <c r="BI45" s="277"/>
      <c r="BJ45" s="277"/>
      <c r="BK45" s="277"/>
      <c r="BL45" s="277"/>
      <c r="BM45" s="277"/>
      <c r="BN45" s="277"/>
      <c r="BO45" s="277"/>
      <c r="BP45" s="277"/>
      <c r="BQ45" s="277"/>
      <c r="BR45" s="277"/>
      <c r="BS45" s="277"/>
      <c r="BT45" s="277"/>
      <c r="BU45" s="277"/>
      <c r="BV45" s="277"/>
      <c r="BW45" s="277"/>
      <c r="BX45" s="277"/>
      <c r="BY45" s="277"/>
      <c r="BZ45" s="277"/>
      <c r="CA45" s="277"/>
      <c r="CB45" s="277"/>
      <c r="CC45" s="277"/>
      <c r="CD45" s="277"/>
      <c r="CE45" s="277"/>
      <c r="CF45" s="277"/>
      <c r="CG45" s="277"/>
      <c r="CH45" s="277"/>
      <c r="CI45" s="277"/>
      <c r="CJ45" s="277"/>
      <c r="CK45" s="277"/>
      <c r="CL45" s="277"/>
      <c r="CM45" s="277"/>
      <c r="CN45" s="277"/>
      <c r="CO45" s="277"/>
      <c r="CP45" s="277"/>
      <c r="CQ45" s="277"/>
      <c r="CR45" s="277"/>
      <c r="CS45" s="277"/>
      <c r="CT45" s="277"/>
      <c r="CU45" s="277"/>
      <c r="CV45" s="277"/>
      <c r="CW45" s="277"/>
      <c r="CX45" s="277"/>
      <c r="CY45" s="277"/>
      <c r="CZ45" s="277"/>
      <c r="DA45" s="277"/>
      <c r="DB45" s="277"/>
      <c r="DC45" s="277"/>
      <c r="DD45" s="277"/>
      <c r="DE45" s="277"/>
      <c r="DF45" s="277"/>
      <c r="DG45" s="277"/>
      <c r="DH45" s="277"/>
      <c r="DI45" s="277"/>
      <c r="DJ45" s="277"/>
      <c r="DK45" s="277"/>
      <c r="DL45" s="277"/>
      <c r="DM45" s="277"/>
      <c r="DN45" s="277"/>
      <c r="DO45" s="277"/>
      <c r="DP45" s="277"/>
      <c r="DQ45" s="277"/>
      <c r="DR45" s="277"/>
      <c r="DS45" s="209"/>
      <c r="DT45" s="209"/>
      <c r="DU45" s="209"/>
      <c r="DV45" s="209"/>
      <c r="DW45" s="209"/>
      <c r="DX45" s="209"/>
      <c r="DY45" s="209"/>
      <c r="DZ45" s="209"/>
      <c r="EA45" s="209"/>
      <c r="EB45" s="209"/>
      <c r="EC45" s="209"/>
      <c r="ED45" s="209"/>
      <c r="EE45" s="209"/>
      <c r="EF45" s="209"/>
      <c r="EG45" s="209"/>
      <c r="EH45" s="209"/>
      <c r="EI45" s="209"/>
      <c r="EJ45" s="209"/>
      <c r="EK45" s="209"/>
      <c r="EL45" s="209"/>
      <c r="EM45" s="209"/>
      <c r="EN45" s="209"/>
      <c r="EO45" s="209"/>
      <c r="EP45" s="209"/>
      <c r="EQ45" s="209"/>
      <c r="ER45" s="209"/>
      <c r="ES45" s="209"/>
      <c r="ET45" s="209"/>
      <c r="EU45" s="209"/>
      <c r="EV45" s="209"/>
      <c r="EW45" s="209"/>
      <c r="EX45" s="209"/>
      <c r="EY45" s="209"/>
      <c r="EZ45" s="209"/>
      <c r="FA45" s="209"/>
      <c r="FB45" s="209"/>
      <c r="FC45" s="209"/>
      <c r="FD45" s="209"/>
      <c r="FE45" s="209"/>
      <c r="FF45" s="209"/>
      <c r="FG45" s="209"/>
      <c r="FH45" s="209"/>
      <c r="FI45" s="209"/>
      <c r="FJ45" s="209"/>
      <c r="FK45" s="209"/>
      <c r="FL45" s="209"/>
      <c r="FM45" s="209"/>
      <c r="FN45" s="209"/>
      <c r="FO45" s="209"/>
      <c r="FP45" s="209"/>
      <c r="FQ45" s="209"/>
      <c r="FR45" s="209"/>
      <c r="FS45" s="209"/>
      <c r="FT45" s="209"/>
      <c r="FU45" s="209"/>
      <c r="FV45" s="209"/>
      <c r="FW45" s="209"/>
      <c r="FX45" s="209"/>
      <c r="FY45" s="209"/>
      <c r="FZ45" s="209"/>
      <c r="GA45" s="209"/>
      <c r="GB45" s="209"/>
      <c r="GC45" s="209"/>
      <c r="GD45" s="209"/>
      <c r="GE45" s="276"/>
      <c r="GF45" s="276"/>
      <c r="GG45" s="276"/>
      <c r="GH45" s="276"/>
      <c r="GI45" s="276"/>
      <c r="GJ45" s="276"/>
      <c r="GK45" s="276"/>
      <c r="GL45" s="276"/>
      <c r="GM45" s="276"/>
      <c r="GN45" s="276"/>
      <c r="GO45" s="276"/>
      <c r="GP45" s="276"/>
      <c r="GQ45" s="276"/>
      <c r="GR45" s="276"/>
      <c r="GS45" s="276"/>
      <c r="GT45" s="276"/>
      <c r="GU45" s="276"/>
      <c r="GV45" s="276"/>
      <c r="GW45" s="276"/>
      <c r="GX45" s="276"/>
      <c r="GY45" s="276"/>
      <c r="GZ45" s="276"/>
      <c r="HA45" s="276"/>
      <c r="HB45" s="276"/>
      <c r="HC45" s="276"/>
      <c r="HD45" s="276"/>
      <c r="HE45" s="276"/>
      <c r="HF45" s="276"/>
      <c r="HG45" s="276"/>
      <c r="HH45" s="276"/>
      <c r="HI45" s="276"/>
      <c r="HJ45" s="276"/>
      <c r="HK45" s="276"/>
      <c r="HL45" s="276"/>
      <c r="HM45" s="276"/>
      <c r="HN45" s="276"/>
      <c r="HO45" s="276"/>
      <c r="HP45" s="276"/>
      <c r="HQ45" s="276"/>
      <c r="HR45" s="276"/>
      <c r="HS45" s="276"/>
      <c r="HT45" s="276"/>
      <c r="HU45" s="276"/>
      <c r="HV45" s="276"/>
      <c r="HW45" s="276"/>
      <c r="HX45" s="276"/>
      <c r="HY45" s="276"/>
      <c r="HZ45" s="276"/>
      <c r="IA45" s="276"/>
      <c r="IB45" s="276"/>
      <c r="IC45" s="276"/>
      <c r="ID45" s="276"/>
      <c r="IE45" s="276"/>
      <c r="IF45" s="276"/>
      <c r="IG45" s="276"/>
      <c r="IH45" s="276"/>
      <c r="II45" s="276"/>
      <c r="IJ45" s="276"/>
      <c r="IK45" s="276"/>
      <c r="IL45" s="276"/>
      <c r="IM45" s="276"/>
      <c r="IN45" s="276"/>
      <c r="IO45" s="276"/>
      <c r="IP45" s="276"/>
      <c r="IQ45" s="276"/>
      <c r="IR45" s="276"/>
      <c r="IS45" s="276"/>
      <c r="IT45" s="276"/>
      <c r="IU45" s="276"/>
      <c r="IV45" s="276"/>
      <c r="IW45" s="276"/>
      <c r="IX45" s="276"/>
      <c r="IY45" s="276"/>
      <c r="IZ45" s="276"/>
      <c r="JA45" s="276"/>
      <c r="JB45" s="276"/>
      <c r="JC45" s="276"/>
      <c r="JD45" s="276"/>
      <c r="JE45" s="276"/>
      <c r="JF45" s="276"/>
      <c r="JG45" s="276"/>
      <c r="JH45" s="276"/>
      <c r="JI45" s="276"/>
      <c r="JJ45" s="276"/>
      <c r="JK45" s="276"/>
      <c r="JL45" s="276"/>
      <c r="JM45" s="276"/>
      <c r="JN45" s="276"/>
      <c r="JO45" s="276"/>
      <c r="JP45" s="276"/>
      <c r="JQ45" s="276"/>
      <c r="JR45" s="276"/>
      <c r="JS45" s="276"/>
      <c r="JT45" s="276"/>
      <c r="JU45" s="276"/>
      <c r="JV45" s="276"/>
      <c r="JW45" s="276"/>
      <c r="JX45" s="276"/>
      <c r="JY45" s="276"/>
      <c r="JZ45" s="276"/>
      <c r="KA45" s="276"/>
      <c r="KB45" s="276"/>
      <c r="KC45" s="276"/>
      <c r="KD45" s="276"/>
      <c r="KE45" s="276"/>
      <c r="KF45" s="276"/>
      <c r="KG45" s="276"/>
      <c r="KH45" s="276"/>
      <c r="KI45" s="276"/>
      <c r="KJ45" s="276"/>
      <c r="KK45" s="276"/>
      <c r="KL45" s="276"/>
      <c r="KM45" s="276"/>
      <c r="KN45" s="276"/>
      <c r="KO45" s="276"/>
      <c r="KP45" s="276"/>
      <c r="KQ45" s="276"/>
      <c r="KR45" s="276"/>
      <c r="KS45" s="276"/>
      <c r="KT45" s="276"/>
      <c r="KU45" s="276"/>
      <c r="KV45" s="276"/>
      <c r="KW45" s="276"/>
      <c r="KX45" s="276"/>
      <c r="KY45" s="276"/>
      <c r="KZ45" s="276"/>
      <c r="LA45" s="276"/>
      <c r="LB45" s="276"/>
      <c r="LC45" s="276"/>
      <c r="LD45" s="276"/>
      <c r="LE45" s="276"/>
      <c r="LF45" s="276"/>
      <c r="LG45" s="276"/>
      <c r="LH45" s="276"/>
      <c r="LI45" s="276"/>
      <c r="LJ45" s="276"/>
      <c r="LK45" s="276"/>
      <c r="LL45" s="276"/>
      <c r="LM45" s="276"/>
      <c r="LN45" s="276"/>
      <c r="LO45" s="276"/>
      <c r="LP45" s="276"/>
      <c r="LQ45" s="276"/>
      <c r="LR45" s="276"/>
      <c r="LS45" s="276"/>
      <c r="LT45" s="276"/>
      <c r="LU45" s="276"/>
      <c r="LV45" s="276"/>
      <c r="LW45" s="276"/>
      <c r="LX45" s="276"/>
      <c r="LY45" s="276"/>
      <c r="LZ45" s="276"/>
      <c r="MA45" s="276"/>
      <c r="MB45" s="276"/>
      <c r="MC45" s="276"/>
      <c r="MD45" s="276"/>
      <c r="ME45" s="276"/>
      <c r="MF45" s="276"/>
      <c r="MG45" s="276"/>
      <c r="MH45" s="276"/>
      <c r="MI45" s="276"/>
      <c r="MJ45" s="276"/>
      <c r="MK45" s="276"/>
      <c r="ML45" s="276"/>
      <c r="MM45" s="276"/>
      <c r="MN45" s="276"/>
      <c r="MO45" s="276"/>
      <c r="MP45" s="276"/>
      <c r="MQ45" s="276"/>
      <c r="MR45" s="276"/>
      <c r="MS45" s="276"/>
      <c r="MT45" s="276"/>
      <c r="MU45" s="276"/>
      <c r="MV45" s="276"/>
      <c r="MW45" s="276"/>
      <c r="MX45" s="276"/>
      <c r="MY45" s="276"/>
      <c r="MZ45" s="276"/>
      <c r="NA45" s="276"/>
      <c r="NB45" s="276"/>
      <c r="NC45" s="276"/>
      <c r="ND45" s="276"/>
      <c r="NE45" s="276"/>
      <c r="NF45" s="276"/>
      <c r="NG45" s="276"/>
      <c r="NH45" s="276"/>
      <c r="NI45" s="276"/>
      <c r="NJ45" s="276"/>
      <c r="NK45" s="276"/>
      <c r="NL45" s="276"/>
      <c r="NM45" s="276"/>
      <c r="NN45" s="276"/>
      <c r="NO45" s="276"/>
      <c r="NP45" s="276"/>
      <c r="NQ45" s="276"/>
      <c r="NR45" s="276"/>
      <c r="NS45" s="276"/>
      <c r="NT45" s="276"/>
      <c r="NU45" s="276"/>
      <c r="NV45" s="276"/>
      <c r="NW45" s="276"/>
      <c r="NX45" s="276"/>
      <c r="NY45" s="276"/>
      <c r="NZ45" s="276"/>
      <c r="OA45" s="276"/>
      <c r="OB45" s="276"/>
      <c r="OC45" s="276"/>
      <c r="OD45" s="276"/>
      <c r="OE45" s="276"/>
      <c r="OF45" s="276"/>
      <c r="OG45" s="276"/>
      <c r="OH45" s="276"/>
      <c r="OI45" s="276"/>
      <c r="OJ45" s="276"/>
      <c r="OK45" s="276"/>
      <c r="OL45" s="276"/>
      <c r="OM45" s="276"/>
      <c r="ON45" s="276"/>
      <c r="OO45" s="276"/>
      <c r="OP45" s="276"/>
      <c r="OQ45" s="276"/>
      <c r="OR45" s="276"/>
      <c r="OS45" s="276"/>
      <c r="OT45" s="276"/>
      <c r="OU45" s="276"/>
      <c r="OV45" s="276"/>
      <c r="OW45" s="276"/>
      <c r="OX45" s="276"/>
      <c r="OY45" s="276"/>
      <c r="OZ45" s="276"/>
      <c r="PA45" s="276"/>
      <c r="PB45" s="276"/>
      <c r="PC45" s="276"/>
      <c r="PD45" s="276"/>
      <c r="PE45" s="276"/>
      <c r="PF45" s="276"/>
      <c r="PG45" s="276"/>
      <c r="PH45" s="276"/>
      <c r="PI45" s="276"/>
      <c r="PJ45" s="276"/>
      <c r="PK45" s="276"/>
      <c r="PL45" s="276"/>
      <c r="PM45" s="276"/>
      <c r="PN45" s="276"/>
      <c r="PO45" s="276"/>
      <c r="PP45" s="276"/>
      <c r="PQ45" s="276"/>
      <c r="PR45" s="276"/>
      <c r="PS45" s="276"/>
      <c r="PT45" s="276"/>
      <c r="PU45" s="276"/>
      <c r="PV45" s="276"/>
      <c r="PW45" s="276"/>
      <c r="PX45" s="276"/>
      <c r="PY45" s="276"/>
      <c r="PZ45" s="276"/>
      <c r="QA45" s="276"/>
      <c r="QB45" s="276"/>
      <c r="QC45" s="276"/>
      <c r="QD45" s="276"/>
      <c r="QE45" s="276"/>
      <c r="QF45" s="276"/>
      <c r="QG45" s="276"/>
      <c r="QH45" s="276"/>
      <c r="QI45" s="276"/>
      <c r="QJ45" s="276"/>
      <c r="QK45" s="276"/>
      <c r="QL45" s="276"/>
      <c r="QM45" s="276"/>
      <c r="QN45" s="276"/>
      <c r="QO45" s="276"/>
      <c r="QP45" s="276"/>
      <c r="QQ45" s="276"/>
      <c r="QR45" s="276"/>
      <c r="QS45" s="276"/>
      <c r="QT45" s="276"/>
      <c r="QU45" s="276"/>
      <c r="QV45" s="276"/>
      <c r="QW45" s="276"/>
      <c r="QX45" s="276"/>
      <c r="QY45" s="276"/>
      <c r="QZ45" s="276"/>
      <c r="RA45" s="276"/>
      <c r="RB45" s="276"/>
      <c r="RC45" s="276"/>
      <c r="RD45" s="276"/>
      <c r="RE45" s="276"/>
      <c r="RF45" s="276"/>
      <c r="RG45" s="276"/>
      <c r="RH45" s="276"/>
      <c r="RI45" s="276"/>
      <c r="RJ45" s="276"/>
      <c r="RK45" s="276"/>
      <c r="RL45" s="276"/>
      <c r="RM45" s="276"/>
      <c r="RN45" s="276"/>
      <c r="RO45" s="276"/>
      <c r="RP45" s="276"/>
      <c r="RQ45" s="276"/>
      <c r="RR45" s="276"/>
      <c r="RS45" s="276"/>
      <c r="RT45" s="276"/>
      <c r="RU45" s="276"/>
      <c r="RV45" s="276"/>
      <c r="RW45" s="276"/>
      <c r="RX45" s="276"/>
      <c r="RY45" s="276"/>
      <c r="RZ45" s="276"/>
      <c r="SA45" s="276"/>
      <c r="SB45" s="276"/>
      <c r="SC45" s="276"/>
      <c r="SD45" s="276"/>
      <c r="SE45" s="276"/>
      <c r="SF45" s="276"/>
      <c r="SG45" s="276"/>
      <c r="SH45" s="276"/>
      <c r="SI45" s="276"/>
      <c r="SJ45" s="276"/>
      <c r="SK45" s="276"/>
      <c r="SL45" s="276"/>
      <c r="SM45" s="276"/>
      <c r="SN45" s="276"/>
      <c r="SO45" s="276"/>
      <c r="SP45" s="276"/>
      <c r="SQ45" s="276"/>
      <c r="SR45" s="276"/>
      <c r="SS45" s="276"/>
      <c r="ST45" s="276"/>
      <c r="SU45" s="276"/>
      <c r="SV45" s="276"/>
      <c r="SW45" s="276"/>
      <c r="SX45" s="276"/>
      <c r="SY45" s="276"/>
      <c r="SZ45" s="276"/>
      <c r="TA45" s="276"/>
      <c r="TB45" s="276"/>
      <c r="TC45" s="276"/>
      <c r="TD45" s="276"/>
      <c r="TE45" s="276"/>
      <c r="TF45" s="276"/>
      <c r="TG45" s="276"/>
      <c r="TH45" s="276"/>
      <c r="TI45" s="276"/>
      <c r="TJ45" s="276"/>
      <c r="TK45" s="276"/>
      <c r="TL45" s="276"/>
      <c r="TM45" s="276"/>
      <c r="TN45" s="276"/>
      <c r="TO45" s="276"/>
      <c r="TP45" s="276"/>
      <c r="TQ45" s="276"/>
      <c r="TR45" s="276"/>
      <c r="TS45" s="276"/>
      <c r="TT45" s="276"/>
      <c r="TU45" s="276"/>
      <c r="TV45" s="276"/>
      <c r="TW45" s="276"/>
      <c r="TX45" s="276"/>
      <c r="TY45" s="276"/>
      <c r="TZ45" s="276"/>
      <c r="UA45" s="276"/>
      <c r="UB45" s="276"/>
      <c r="UC45" s="276"/>
      <c r="UD45" s="276"/>
      <c r="UE45" s="276"/>
      <c r="UF45" s="276"/>
      <c r="UG45" s="276"/>
      <c r="UH45" s="276"/>
      <c r="UI45" s="276"/>
      <c r="UJ45" s="276"/>
      <c r="UK45" s="276"/>
      <c r="UL45" s="276"/>
      <c r="UM45" s="276"/>
      <c r="UN45" s="276"/>
      <c r="UO45" s="276"/>
      <c r="UP45" s="276"/>
      <c r="UQ45" s="276"/>
      <c r="UR45" s="276"/>
      <c r="US45" s="276"/>
      <c r="UT45" s="276"/>
      <c r="UU45" s="276"/>
      <c r="UV45" s="276"/>
      <c r="UW45" s="276"/>
      <c r="UX45" s="276"/>
      <c r="UY45" s="209"/>
      <c r="UZ45" s="209"/>
      <c r="VA45" s="209"/>
      <c r="VB45" s="209"/>
      <c r="VC45" s="209"/>
      <c r="VD45" s="209"/>
      <c r="VE45" s="209"/>
      <c r="VF45" s="209"/>
      <c r="VG45" s="209"/>
      <c r="VH45" s="209"/>
      <c r="VI45" s="209"/>
      <c r="VJ45" s="209"/>
      <c r="VK45" s="209"/>
      <c r="VL45" s="209"/>
      <c r="VM45" s="209"/>
      <c r="VN45" s="209"/>
    </row>
    <row r="46" spans="1:586" ht="15" customHeight="1" x14ac:dyDescent="0.2">
      <c r="A46" s="69"/>
      <c r="E46" s="265"/>
      <c r="L46" s="69"/>
      <c r="R46" s="70"/>
      <c r="T46" s="69"/>
      <c r="V46" s="71"/>
      <c r="W46" s="69"/>
      <c r="X46" s="71"/>
      <c r="Y46" s="69"/>
      <c r="Z46" s="70"/>
      <c r="AB46" s="69"/>
      <c r="AD46" s="71"/>
      <c r="AE46" s="69"/>
      <c r="AF46" s="71"/>
      <c r="AG46" s="69"/>
      <c r="AH46" s="70"/>
      <c r="AJ46" s="69"/>
      <c r="AL46" s="71"/>
      <c r="AM46" s="69"/>
      <c r="AN46" s="71"/>
      <c r="AO46" s="69"/>
      <c r="AP46" s="70"/>
      <c r="AR46" s="69"/>
      <c r="AV46" s="277"/>
      <c r="AW46" s="209"/>
      <c r="AX46" s="209"/>
      <c r="AY46" s="209"/>
      <c r="AZ46" s="276"/>
      <c r="BA46" s="209"/>
      <c r="BB46" s="209"/>
      <c r="BC46" s="209"/>
      <c r="BD46" s="209"/>
      <c r="BE46" s="209"/>
      <c r="BF46" s="209"/>
      <c r="BG46" s="277"/>
      <c r="BH46" s="277"/>
      <c r="BI46" s="277"/>
      <c r="BJ46" s="277"/>
      <c r="BK46" s="277"/>
      <c r="BL46" s="277"/>
      <c r="BM46" s="277"/>
      <c r="BN46" s="277"/>
      <c r="BO46" s="277"/>
      <c r="BP46" s="277"/>
      <c r="BQ46" s="277"/>
      <c r="BR46" s="277"/>
      <c r="BS46" s="277"/>
      <c r="BT46" s="277"/>
      <c r="BU46" s="277"/>
      <c r="BV46" s="277"/>
      <c r="BW46" s="277"/>
      <c r="BX46" s="277"/>
      <c r="BY46" s="277"/>
      <c r="BZ46" s="277"/>
      <c r="CA46" s="277"/>
      <c r="CB46" s="277"/>
      <c r="CC46" s="277"/>
      <c r="CD46" s="277"/>
      <c r="CE46" s="277"/>
      <c r="CF46" s="277"/>
      <c r="CG46" s="277"/>
      <c r="CH46" s="277"/>
      <c r="CI46" s="277"/>
      <c r="CJ46" s="277"/>
      <c r="CK46" s="277"/>
      <c r="CL46" s="277"/>
      <c r="CM46" s="277"/>
      <c r="CN46" s="277"/>
      <c r="CO46" s="277"/>
      <c r="CP46" s="277"/>
      <c r="CQ46" s="277"/>
      <c r="CR46" s="277"/>
      <c r="CS46" s="277"/>
      <c r="CT46" s="277"/>
      <c r="CU46" s="277"/>
      <c r="CV46" s="277"/>
      <c r="CW46" s="277"/>
      <c r="CX46" s="277"/>
      <c r="CY46" s="277"/>
      <c r="CZ46" s="277"/>
      <c r="DA46" s="277"/>
      <c r="DB46" s="277"/>
      <c r="DC46" s="277"/>
      <c r="DD46" s="277"/>
      <c r="DE46" s="277"/>
      <c r="DF46" s="277"/>
      <c r="DG46" s="277"/>
      <c r="DH46" s="277"/>
      <c r="DI46" s="277"/>
      <c r="DJ46" s="277"/>
      <c r="DK46" s="277"/>
      <c r="DL46" s="277"/>
      <c r="DM46" s="277"/>
      <c r="DN46" s="277"/>
      <c r="DO46" s="277"/>
      <c r="DP46" s="277"/>
      <c r="DQ46" s="277"/>
      <c r="DR46" s="277"/>
      <c r="DS46" s="209"/>
      <c r="DT46" s="209"/>
      <c r="DU46" s="209"/>
      <c r="DV46" s="209"/>
      <c r="DW46" s="209"/>
      <c r="DX46" s="209"/>
      <c r="DY46" s="209"/>
      <c r="DZ46" s="209"/>
      <c r="EA46" s="209"/>
      <c r="EB46" s="209"/>
      <c r="EC46" s="209"/>
      <c r="ED46" s="209"/>
      <c r="EE46" s="209"/>
      <c r="EF46" s="209"/>
      <c r="EG46" s="209"/>
      <c r="EH46" s="209"/>
      <c r="EI46" s="209"/>
      <c r="EJ46" s="209"/>
      <c r="EK46" s="209"/>
      <c r="EL46" s="209"/>
      <c r="EM46" s="209"/>
      <c r="EN46" s="209"/>
      <c r="EO46" s="209"/>
      <c r="EP46" s="209"/>
      <c r="EQ46" s="209"/>
      <c r="ER46" s="209"/>
      <c r="ES46" s="209"/>
      <c r="ET46" s="209"/>
      <c r="EU46" s="209"/>
      <c r="EV46" s="209"/>
      <c r="EW46" s="209"/>
      <c r="EX46" s="209"/>
      <c r="EY46" s="209"/>
      <c r="EZ46" s="209"/>
      <c r="FA46" s="209"/>
      <c r="FB46" s="209"/>
      <c r="FC46" s="209"/>
      <c r="FD46" s="209"/>
      <c r="FE46" s="209"/>
      <c r="FF46" s="209"/>
      <c r="FG46" s="209"/>
      <c r="FH46" s="209"/>
      <c r="FI46" s="209"/>
      <c r="FJ46" s="209"/>
      <c r="FK46" s="209"/>
      <c r="FL46" s="209"/>
      <c r="FM46" s="209"/>
      <c r="FN46" s="209"/>
      <c r="FO46" s="209"/>
      <c r="FP46" s="209"/>
      <c r="FQ46" s="209"/>
      <c r="FR46" s="209"/>
      <c r="FS46" s="209"/>
      <c r="FT46" s="209"/>
      <c r="FU46" s="209"/>
      <c r="FV46" s="209"/>
      <c r="FW46" s="209"/>
      <c r="FX46" s="209"/>
      <c r="FY46" s="209"/>
      <c r="FZ46" s="209"/>
      <c r="GA46" s="209"/>
      <c r="GB46" s="209"/>
      <c r="GC46" s="209"/>
      <c r="GD46" s="209"/>
      <c r="GE46" s="276"/>
      <c r="GF46" s="276"/>
      <c r="GG46" s="276"/>
      <c r="GH46" s="276"/>
      <c r="GI46" s="276"/>
      <c r="GJ46" s="276"/>
      <c r="GK46" s="276"/>
      <c r="GL46" s="276"/>
      <c r="GM46" s="276"/>
      <c r="GN46" s="276"/>
      <c r="GO46" s="276"/>
      <c r="GP46" s="276"/>
      <c r="GQ46" s="276"/>
      <c r="GR46" s="276"/>
      <c r="GS46" s="276"/>
      <c r="GT46" s="276"/>
      <c r="GU46" s="276"/>
      <c r="GV46" s="276"/>
      <c r="GW46" s="276"/>
      <c r="GX46" s="276"/>
      <c r="GY46" s="276"/>
      <c r="GZ46" s="276"/>
      <c r="HA46" s="276"/>
      <c r="HB46" s="276"/>
      <c r="HC46" s="276"/>
      <c r="HD46" s="276"/>
      <c r="HE46" s="276"/>
      <c r="HF46" s="276"/>
      <c r="HG46" s="276"/>
      <c r="HH46" s="276"/>
      <c r="HI46" s="276"/>
      <c r="HJ46" s="276"/>
      <c r="HK46" s="276"/>
      <c r="HL46" s="276"/>
      <c r="HM46" s="276"/>
      <c r="HN46" s="276"/>
      <c r="HO46" s="276"/>
      <c r="HP46" s="276"/>
      <c r="HQ46" s="276"/>
      <c r="HR46" s="276"/>
      <c r="HS46" s="276"/>
      <c r="HT46" s="276"/>
      <c r="HU46" s="276"/>
      <c r="HV46" s="276"/>
      <c r="HW46" s="276"/>
      <c r="HX46" s="276"/>
      <c r="HY46" s="276"/>
      <c r="HZ46" s="276"/>
      <c r="IA46" s="276"/>
      <c r="IB46" s="276"/>
      <c r="IC46" s="276"/>
      <c r="ID46" s="276"/>
      <c r="IE46" s="276"/>
      <c r="IF46" s="276"/>
      <c r="IG46" s="276"/>
      <c r="IH46" s="276"/>
      <c r="II46" s="276"/>
      <c r="IJ46" s="276"/>
      <c r="IK46" s="276"/>
      <c r="IL46" s="276"/>
      <c r="IM46" s="276"/>
      <c r="IN46" s="276"/>
      <c r="IO46" s="276"/>
      <c r="IP46" s="276"/>
      <c r="IQ46" s="276"/>
      <c r="IR46" s="276"/>
      <c r="IS46" s="276"/>
      <c r="IT46" s="276"/>
      <c r="IU46" s="276"/>
      <c r="IV46" s="276"/>
      <c r="IW46" s="276"/>
      <c r="IX46" s="276"/>
      <c r="IY46" s="276"/>
      <c r="IZ46" s="276"/>
      <c r="JA46" s="276"/>
      <c r="JB46" s="276"/>
      <c r="JC46" s="276"/>
      <c r="JD46" s="276"/>
      <c r="JE46" s="276"/>
      <c r="JF46" s="276"/>
      <c r="JG46" s="276"/>
      <c r="JH46" s="276"/>
      <c r="JI46" s="276"/>
      <c r="JJ46" s="276"/>
      <c r="JK46" s="276"/>
      <c r="JL46" s="276"/>
      <c r="JM46" s="276"/>
      <c r="JN46" s="276"/>
      <c r="JO46" s="276"/>
      <c r="JP46" s="276"/>
      <c r="JQ46" s="276"/>
      <c r="JR46" s="276"/>
      <c r="JS46" s="276"/>
      <c r="JT46" s="276"/>
      <c r="JU46" s="276"/>
      <c r="JV46" s="276"/>
      <c r="JW46" s="276"/>
      <c r="JX46" s="276"/>
      <c r="JY46" s="276"/>
      <c r="JZ46" s="276"/>
      <c r="KA46" s="276"/>
      <c r="KB46" s="276"/>
      <c r="KC46" s="276"/>
      <c r="KD46" s="276"/>
      <c r="KE46" s="276"/>
      <c r="KF46" s="276"/>
      <c r="KG46" s="276"/>
      <c r="KH46" s="276"/>
      <c r="KI46" s="276"/>
      <c r="KJ46" s="276"/>
      <c r="KK46" s="276"/>
      <c r="KL46" s="276"/>
      <c r="KM46" s="276"/>
      <c r="KN46" s="276"/>
      <c r="KO46" s="276"/>
      <c r="KP46" s="276"/>
      <c r="KQ46" s="276"/>
      <c r="KR46" s="276"/>
      <c r="KS46" s="276"/>
      <c r="KT46" s="276"/>
      <c r="KU46" s="276"/>
      <c r="KV46" s="276"/>
      <c r="KW46" s="276"/>
      <c r="KX46" s="276"/>
      <c r="KY46" s="276"/>
      <c r="KZ46" s="276"/>
      <c r="LA46" s="276"/>
      <c r="LB46" s="276"/>
      <c r="LC46" s="276"/>
      <c r="LD46" s="276"/>
      <c r="LE46" s="276"/>
      <c r="LF46" s="276"/>
      <c r="LG46" s="276"/>
      <c r="LH46" s="276"/>
      <c r="LI46" s="276"/>
      <c r="LJ46" s="276"/>
      <c r="LK46" s="276"/>
      <c r="LL46" s="276"/>
      <c r="LM46" s="276"/>
      <c r="LN46" s="276"/>
      <c r="LO46" s="276"/>
      <c r="LP46" s="276"/>
      <c r="LQ46" s="276"/>
      <c r="LR46" s="276"/>
      <c r="LS46" s="276"/>
      <c r="LT46" s="276"/>
      <c r="LU46" s="276"/>
      <c r="LV46" s="276"/>
      <c r="LW46" s="276"/>
      <c r="LX46" s="276"/>
      <c r="LY46" s="276"/>
      <c r="LZ46" s="276"/>
      <c r="MA46" s="276"/>
      <c r="MB46" s="276"/>
      <c r="MC46" s="276"/>
      <c r="MD46" s="276"/>
      <c r="ME46" s="276"/>
      <c r="MF46" s="276"/>
      <c r="MG46" s="276"/>
      <c r="MH46" s="276"/>
      <c r="MI46" s="276"/>
      <c r="MJ46" s="276"/>
      <c r="MK46" s="276"/>
      <c r="ML46" s="276"/>
      <c r="MM46" s="276"/>
      <c r="MN46" s="276"/>
      <c r="MO46" s="276"/>
      <c r="MP46" s="276"/>
      <c r="MQ46" s="276"/>
      <c r="MR46" s="276"/>
      <c r="MS46" s="276"/>
      <c r="MT46" s="276"/>
      <c r="MU46" s="276"/>
      <c r="MV46" s="276"/>
      <c r="MW46" s="276"/>
      <c r="MX46" s="276"/>
      <c r="MY46" s="276"/>
      <c r="MZ46" s="276"/>
      <c r="NA46" s="276"/>
      <c r="NB46" s="276"/>
      <c r="NC46" s="276"/>
      <c r="ND46" s="276"/>
      <c r="NE46" s="276"/>
      <c r="NF46" s="276"/>
      <c r="NG46" s="276"/>
      <c r="NH46" s="276"/>
      <c r="NI46" s="276"/>
      <c r="NJ46" s="276"/>
      <c r="NK46" s="276"/>
      <c r="NL46" s="276"/>
      <c r="NM46" s="276"/>
      <c r="NN46" s="276"/>
      <c r="NO46" s="276"/>
      <c r="NP46" s="276"/>
      <c r="NQ46" s="276"/>
      <c r="NR46" s="276"/>
      <c r="NS46" s="276"/>
      <c r="NT46" s="276"/>
      <c r="NU46" s="276"/>
      <c r="NV46" s="276"/>
      <c r="NW46" s="276"/>
      <c r="NX46" s="276"/>
      <c r="NY46" s="276"/>
      <c r="NZ46" s="276"/>
      <c r="OA46" s="276"/>
      <c r="OB46" s="276"/>
      <c r="OC46" s="276"/>
      <c r="OD46" s="276"/>
      <c r="OE46" s="276"/>
      <c r="OF46" s="276"/>
      <c r="OG46" s="276"/>
      <c r="OH46" s="276"/>
      <c r="OI46" s="276"/>
      <c r="OJ46" s="276"/>
      <c r="OK46" s="276"/>
      <c r="OL46" s="276"/>
      <c r="OM46" s="276"/>
      <c r="ON46" s="276"/>
      <c r="OO46" s="276"/>
      <c r="OP46" s="276"/>
      <c r="OQ46" s="276"/>
      <c r="OR46" s="276"/>
      <c r="OS46" s="276"/>
      <c r="OT46" s="276"/>
      <c r="OU46" s="276"/>
      <c r="OV46" s="276"/>
      <c r="OW46" s="276"/>
      <c r="OX46" s="276"/>
      <c r="OY46" s="276"/>
      <c r="OZ46" s="276"/>
      <c r="PA46" s="276"/>
      <c r="PB46" s="276"/>
      <c r="PC46" s="276"/>
      <c r="PD46" s="276"/>
      <c r="PE46" s="276"/>
      <c r="PF46" s="276"/>
      <c r="PG46" s="276"/>
      <c r="PH46" s="276"/>
      <c r="PI46" s="276"/>
      <c r="PJ46" s="276"/>
      <c r="PK46" s="276"/>
      <c r="PL46" s="276"/>
      <c r="PM46" s="276"/>
      <c r="PN46" s="276"/>
      <c r="PO46" s="276"/>
      <c r="PP46" s="276"/>
      <c r="PQ46" s="276"/>
      <c r="PR46" s="276"/>
      <c r="PS46" s="276"/>
      <c r="PT46" s="276"/>
      <c r="PU46" s="276"/>
      <c r="PV46" s="276"/>
      <c r="PW46" s="276"/>
      <c r="PX46" s="276"/>
      <c r="PY46" s="276"/>
      <c r="PZ46" s="276"/>
      <c r="QA46" s="276"/>
      <c r="QB46" s="276"/>
      <c r="QC46" s="276"/>
      <c r="QD46" s="276"/>
      <c r="QE46" s="276"/>
      <c r="QF46" s="276"/>
      <c r="QG46" s="276"/>
      <c r="QH46" s="276"/>
      <c r="QI46" s="276"/>
      <c r="QJ46" s="276"/>
      <c r="QK46" s="276"/>
      <c r="QL46" s="276"/>
      <c r="QM46" s="276"/>
      <c r="QN46" s="276"/>
      <c r="QO46" s="276"/>
      <c r="QP46" s="276"/>
      <c r="QQ46" s="276"/>
      <c r="QR46" s="276"/>
      <c r="QS46" s="276"/>
      <c r="QT46" s="276"/>
      <c r="QU46" s="276"/>
      <c r="QV46" s="276"/>
      <c r="QW46" s="276"/>
      <c r="QX46" s="276"/>
      <c r="QY46" s="276"/>
      <c r="QZ46" s="276"/>
      <c r="RA46" s="276"/>
      <c r="RB46" s="276"/>
      <c r="RC46" s="276"/>
      <c r="RD46" s="276"/>
      <c r="RE46" s="276"/>
      <c r="RF46" s="276"/>
      <c r="RG46" s="276"/>
      <c r="RH46" s="276"/>
      <c r="RI46" s="276"/>
      <c r="RJ46" s="276"/>
      <c r="RK46" s="276"/>
      <c r="RL46" s="276"/>
      <c r="RM46" s="276"/>
      <c r="RN46" s="276"/>
      <c r="RO46" s="276"/>
      <c r="RP46" s="276"/>
      <c r="RQ46" s="276"/>
      <c r="RR46" s="276"/>
      <c r="RS46" s="276"/>
      <c r="RT46" s="276"/>
      <c r="RU46" s="276"/>
      <c r="RV46" s="276"/>
      <c r="RW46" s="276"/>
      <c r="RX46" s="276"/>
      <c r="RY46" s="276"/>
      <c r="RZ46" s="276"/>
      <c r="SA46" s="276"/>
      <c r="SB46" s="276"/>
      <c r="SC46" s="276"/>
      <c r="SD46" s="276"/>
      <c r="SE46" s="276"/>
      <c r="SF46" s="276"/>
      <c r="SG46" s="276"/>
      <c r="SH46" s="276"/>
      <c r="SI46" s="276"/>
      <c r="SJ46" s="276"/>
      <c r="SK46" s="276"/>
      <c r="SL46" s="276"/>
      <c r="SM46" s="276"/>
      <c r="SN46" s="276"/>
      <c r="SO46" s="276"/>
      <c r="SP46" s="276"/>
      <c r="SQ46" s="276"/>
      <c r="SR46" s="276"/>
      <c r="SS46" s="276"/>
      <c r="ST46" s="276"/>
      <c r="SU46" s="276"/>
      <c r="SV46" s="276"/>
      <c r="SW46" s="276"/>
      <c r="SX46" s="276"/>
      <c r="SY46" s="276"/>
      <c r="SZ46" s="276"/>
      <c r="TA46" s="276"/>
      <c r="TB46" s="276"/>
      <c r="TC46" s="276"/>
      <c r="TD46" s="276"/>
      <c r="TE46" s="276"/>
      <c r="TF46" s="276"/>
      <c r="TG46" s="276"/>
      <c r="TH46" s="276"/>
      <c r="TI46" s="276"/>
      <c r="TJ46" s="276"/>
      <c r="TK46" s="276"/>
      <c r="TL46" s="276"/>
      <c r="TM46" s="276"/>
      <c r="TN46" s="276"/>
      <c r="TO46" s="276"/>
      <c r="TP46" s="276"/>
      <c r="TQ46" s="276"/>
      <c r="TR46" s="276"/>
      <c r="TS46" s="276"/>
      <c r="TT46" s="276"/>
      <c r="TU46" s="276"/>
      <c r="TV46" s="276"/>
      <c r="TW46" s="276"/>
      <c r="TX46" s="276"/>
      <c r="TY46" s="276"/>
      <c r="TZ46" s="276"/>
      <c r="UA46" s="276"/>
      <c r="UB46" s="276"/>
      <c r="UC46" s="276"/>
      <c r="UD46" s="276"/>
      <c r="UE46" s="276"/>
      <c r="UF46" s="276"/>
      <c r="UG46" s="276"/>
      <c r="UH46" s="276"/>
      <c r="UI46" s="276"/>
      <c r="UJ46" s="276"/>
      <c r="UK46" s="276"/>
      <c r="UL46" s="276"/>
      <c r="UM46" s="276"/>
      <c r="UN46" s="276"/>
      <c r="UO46" s="276"/>
      <c r="UP46" s="276"/>
      <c r="UQ46" s="276"/>
      <c r="UR46" s="276"/>
      <c r="US46" s="276"/>
      <c r="UT46" s="276"/>
      <c r="UU46" s="276"/>
      <c r="UV46" s="276"/>
      <c r="UW46" s="276"/>
      <c r="UX46" s="276"/>
      <c r="UY46" s="209"/>
      <c r="UZ46" s="209"/>
      <c r="VA46" s="209"/>
      <c r="VB46" s="209"/>
      <c r="VC46" s="209"/>
      <c r="VD46" s="209"/>
      <c r="VE46" s="209"/>
      <c r="VF46" s="209"/>
      <c r="VG46" s="209"/>
      <c r="VH46" s="209"/>
      <c r="VI46" s="209"/>
      <c r="VJ46" s="209"/>
      <c r="VK46" s="209"/>
      <c r="VL46" s="209"/>
      <c r="VM46" s="209"/>
      <c r="VN46" s="209"/>
    </row>
    <row r="47" spans="1:586" ht="15" customHeight="1" x14ac:dyDescent="0.2">
      <c r="A47" s="69"/>
      <c r="E47" s="265"/>
      <c r="L47" s="69"/>
      <c r="R47" s="70"/>
      <c r="T47" s="69"/>
      <c r="V47" s="71"/>
      <c r="W47" s="69"/>
      <c r="X47" s="71"/>
      <c r="Y47" s="69"/>
      <c r="Z47" s="70"/>
      <c r="AB47" s="69"/>
      <c r="AD47" s="71"/>
      <c r="AE47" s="69"/>
      <c r="AF47" s="71"/>
      <c r="AG47" s="69"/>
      <c r="AH47" s="70"/>
      <c r="AJ47" s="69"/>
      <c r="AL47" s="71"/>
      <c r="AM47" s="69"/>
      <c r="AN47" s="71"/>
      <c r="AO47" s="69"/>
      <c r="AP47" s="70"/>
      <c r="AR47" s="69"/>
      <c r="AV47" s="277"/>
      <c r="AW47" s="209"/>
      <c r="AX47" s="209"/>
      <c r="AY47" s="209"/>
      <c r="AZ47" s="276"/>
      <c r="BA47" s="209"/>
      <c r="BB47" s="209"/>
      <c r="BC47" s="209"/>
      <c r="BD47" s="209"/>
      <c r="BE47" s="209"/>
      <c r="BF47" s="209"/>
      <c r="BG47" s="277"/>
      <c r="BH47" s="277"/>
      <c r="BI47" s="277"/>
      <c r="BJ47" s="277"/>
      <c r="BK47" s="277"/>
      <c r="BL47" s="277"/>
      <c r="BM47" s="277"/>
      <c r="BN47" s="277"/>
      <c r="BO47" s="277"/>
      <c r="BP47" s="277"/>
      <c r="BQ47" s="277"/>
      <c r="BR47" s="277"/>
      <c r="BS47" s="277"/>
      <c r="BT47" s="277"/>
      <c r="BU47" s="277"/>
      <c r="BV47" s="277"/>
      <c r="BW47" s="277"/>
      <c r="BX47" s="277"/>
      <c r="BY47" s="277"/>
      <c r="BZ47" s="277"/>
      <c r="CA47" s="277"/>
      <c r="CB47" s="277"/>
      <c r="CC47" s="277"/>
      <c r="CD47" s="277"/>
      <c r="CE47" s="277"/>
      <c r="CF47" s="277"/>
      <c r="CG47" s="277"/>
      <c r="CH47" s="277"/>
      <c r="CI47" s="277"/>
      <c r="CJ47" s="277"/>
      <c r="CK47" s="277"/>
      <c r="CL47" s="277"/>
      <c r="CM47" s="277"/>
      <c r="CN47" s="277"/>
      <c r="CO47" s="277"/>
      <c r="CP47" s="277"/>
      <c r="CQ47" s="277"/>
      <c r="CR47" s="277"/>
      <c r="CS47" s="277"/>
      <c r="CT47" s="277"/>
      <c r="CU47" s="277"/>
      <c r="CV47" s="277"/>
      <c r="CW47" s="277"/>
      <c r="CX47" s="277"/>
      <c r="CY47" s="277"/>
      <c r="CZ47" s="277"/>
      <c r="DA47" s="277"/>
      <c r="DB47" s="277"/>
      <c r="DC47" s="277"/>
      <c r="DD47" s="277"/>
      <c r="DE47" s="277"/>
      <c r="DF47" s="277"/>
      <c r="DG47" s="277"/>
      <c r="DH47" s="277"/>
      <c r="DI47" s="277"/>
      <c r="DJ47" s="277"/>
      <c r="DK47" s="277"/>
      <c r="DL47" s="277"/>
      <c r="DM47" s="277"/>
      <c r="DN47" s="277"/>
      <c r="DO47" s="277"/>
      <c r="DP47" s="277"/>
      <c r="DQ47" s="277"/>
      <c r="DR47" s="277"/>
      <c r="DS47" s="209"/>
      <c r="DT47" s="209"/>
      <c r="DU47" s="209"/>
      <c r="DV47" s="209"/>
      <c r="DW47" s="209"/>
      <c r="DX47" s="209"/>
      <c r="DY47" s="209"/>
      <c r="DZ47" s="209"/>
      <c r="EA47" s="209"/>
      <c r="EB47" s="209"/>
      <c r="EC47" s="209"/>
      <c r="ED47" s="209"/>
      <c r="EE47" s="209"/>
      <c r="EF47" s="209"/>
      <c r="EG47" s="209"/>
      <c r="EH47" s="209"/>
      <c r="EI47" s="209"/>
      <c r="EJ47" s="209"/>
      <c r="EK47" s="209"/>
      <c r="EL47" s="209"/>
      <c r="EM47" s="209"/>
      <c r="EN47" s="209"/>
      <c r="EO47" s="209"/>
      <c r="EP47" s="209"/>
      <c r="EQ47" s="209"/>
      <c r="ER47" s="209"/>
      <c r="ES47" s="209"/>
      <c r="ET47" s="209"/>
      <c r="EU47" s="209"/>
      <c r="EV47" s="209"/>
      <c r="EW47" s="209"/>
      <c r="EX47" s="209"/>
      <c r="EY47" s="209"/>
      <c r="EZ47" s="209"/>
      <c r="FA47" s="209"/>
      <c r="FB47" s="209"/>
      <c r="FC47" s="209"/>
      <c r="FD47" s="209"/>
      <c r="FE47" s="209"/>
      <c r="FF47" s="209"/>
      <c r="FG47" s="209"/>
      <c r="FH47" s="209"/>
      <c r="FI47" s="209"/>
      <c r="FJ47" s="209"/>
      <c r="FK47" s="209"/>
      <c r="FL47" s="209"/>
      <c r="FM47" s="209"/>
      <c r="FN47" s="209"/>
      <c r="FO47" s="209"/>
      <c r="FP47" s="209"/>
      <c r="FQ47" s="209"/>
      <c r="FR47" s="209"/>
      <c r="FS47" s="209"/>
      <c r="FT47" s="209"/>
      <c r="FU47" s="209"/>
      <c r="FV47" s="209"/>
      <c r="FW47" s="209"/>
      <c r="FX47" s="209"/>
      <c r="FY47" s="209"/>
      <c r="FZ47" s="209"/>
      <c r="GA47" s="209"/>
      <c r="GB47" s="209"/>
      <c r="GC47" s="209"/>
      <c r="GD47" s="209"/>
      <c r="GE47" s="276"/>
      <c r="GF47" s="276"/>
      <c r="GG47" s="276"/>
      <c r="GH47" s="276"/>
      <c r="GI47" s="276"/>
      <c r="GJ47" s="276"/>
      <c r="GK47" s="276"/>
      <c r="GL47" s="276"/>
      <c r="GM47" s="276"/>
      <c r="GN47" s="276"/>
      <c r="GO47" s="276"/>
      <c r="GP47" s="276"/>
      <c r="GQ47" s="276"/>
      <c r="GR47" s="276"/>
      <c r="GS47" s="276"/>
      <c r="GT47" s="276"/>
      <c r="GU47" s="276"/>
      <c r="GV47" s="276"/>
      <c r="GW47" s="276"/>
      <c r="GX47" s="276"/>
      <c r="GY47" s="276"/>
      <c r="GZ47" s="276"/>
      <c r="HA47" s="276"/>
      <c r="HB47" s="276"/>
      <c r="HC47" s="276"/>
      <c r="HD47" s="276"/>
      <c r="HE47" s="276"/>
      <c r="HF47" s="276"/>
      <c r="HG47" s="276"/>
      <c r="HH47" s="276"/>
      <c r="HI47" s="276"/>
      <c r="HJ47" s="276"/>
      <c r="HK47" s="276"/>
      <c r="HL47" s="276"/>
      <c r="HM47" s="276"/>
      <c r="HN47" s="276"/>
      <c r="HO47" s="276"/>
      <c r="HP47" s="276"/>
      <c r="HQ47" s="276"/>
      <c r="HR47" s="276"/>
      <c r="HS47" s="276"/>
      <c r="HT47" s="276"/>
      <c r="HU47" s="276"/>
      <c r="HV47" s="276"/>
      <c r="HW47" s="276"/>
      <c r="HX47" s="276"/>
      <c r="HY47" s="276"/>
      <c r="HZ47" s="276"/>
      <c r="IA47" s="276"/>
      <c r="IB47" s="276"/>
      <c r="IC47" s="276"/>
      <c r="ID47" s="276"/>
      <c r="IE47" s="276"/>
      <c r="IF47" s="276"/>
      <c r="IG47" s="276"/>
      <c r="IH47" s="276"/>
      <c r="II47" s="276"/>
      <c r="IJ47" s="276"/>
      <c r="IK47" s="276"/>
      <c r="IL47" s="276"/>
      <c r="IM47" s="276"/>
      <c r="IN47" s="276"/>
      <c r="IO47" s="276"/>
      <c r="IP47" s="276"/>
      <c r="IQ47" s="276"/>
      <c r="IR47" s="276"/>
      <c r="IS47" s="276"/>
      <c r="IT47" s="276"/>
      <c r="IU47" s="276"/>
      <c r="IV47" s="276"/>
      <c r="IW47" s="276"/>
      <c r="IX47" s="276"/>
      <c r="IY47" s="276"/>
      <c r="IZ47" s="276"/>
      <c r="JA47" s="276"/>
      <c r="JB47" s="276"/>
      <c r="JC47" s="276"/>
      <c r="JD47" s="276"/>
      <c r="JE47" s="276"/>
      <c r="JF47" s="276"/>
      <c r="JG47" s="276"/>
      <c r="JH47" s="276"/>
      <c r="JI47" s="276"/>
      <c r="JJ47" s="276"/>
      <c r="JK47" s="276"/>
      <c r="JL47" s="276"/>
      <c r="JM47" s="276"/>
      <c r="JN47" s="276"/>
      <c r="JO47" s="276"/>
      <c r="JP47" s="276"/>
      <c r="JQ47" s="276"/>
      <c r="JR47" s="276"/>
      <c r="JS47" s="276"/>
      <c r="JT47" s="276"/>
      <c r="JU47" s="276"/>
      <c r="JV47" s="276"/>
      <c r="JW47" s="276"/>
      <c r="JX47" s="276"/>
      <c r="JY47" s="276"/>
      <c r="JZ47" s="276"/>
      <c r="KA47" s="276"/>
      <c r="KB47" s="276"/>
      <c r="KC47" s="276"/>
      <c r="KD47" s="276"/>
      <c r="KE47" s="276"/>
      <c r="KF47" s="276"/>
      <c r="KG47" s="276"/>
      <c r="KH47" s="276"/>
      <c r="KI47" s="276"/>
      <c r="KJ47" s="276"/>
      <c r="KK47" s="276"/>
      <c r="KL47" s="276"/>
      <c r="KM47" s="276"/>
      <c r="KN47" s="276"/>
      <c r="KO47" s="276"/>
      <c r="KP47" s="276"/>
      <c r="KQ47" s="276"/>
      <c r="KR47" s="276"/>
      <c r="KS47" s="276"/>
      <c r="KT47" s="276"/>
      <c r="KU47" s="276"/>
      <c r="KV47" s="276"/>
      <c r="KW47" s="276"/>
      <c r="KX47" s="276"/>
      <c r="KY47" s="276"/>
      <c r="KZ47" s="276"/>
      <c r="LA47" s="276"/>
      <c r="LB47" s="276"/>
      <c r="LC47" s="276"/>
      <c r="LD47" s="276"/>
      <c r="LE47" s="276"/>
      <c r="LF47" s="276"/>
      <c r="LG47" s="276"/>
      <c r="LH47" s="276"/>
      <c r="LI47" s="276"/>
      <c r="LJ47" s="276"/>
      <c r="LK47" s="276"/>
      <c r="LL47" s="276"/>
      <c r="LM47" s="276"/>
      <c r="LN47" s="276"/>
      <c r="LO47" s="276"/>
      <c r="LP47" s="276"/>
      <c r="LQ47" s="276"/>
      <c r="LR47" s="276"/>
      <c r="LS47" s="276"/>
      <c r="LT47" s="276"/>
      <c r="LU47" s="276"/>
      <c r="LV47" s="276"/>
      <c r="LW47" s="276"/>
      <c r="LX47" s="276"/>
      <c r="LY47" s="276"/>
      <c r="LZ47" s="276"/>
      <c r="MA47" s="276"/>
      <c r="MB47" s="276"/>
      <c r="MC47" s="276"/>
      <c r="MD47" s="276"/>
      <c r="ME47" s="276"/>
      <c r="MF47" s="276"/>
      <c r="MG47" s="276"/>
      <c r="MH47" s="276"/>
      <c r="MI47" s="276"/>
      <c r="MJ47" s="276"/>
      <c r="MK47" s="276"/>
      <c r="ML47" s="276"/>
      <c r="MM47" s="276"/>
      <c r="MN47" s="276"/>
      <c r="MO47" s="276"/>
      <c r="MP47" s="276"/>
      <c r="MQ47" s="276"/>
      <c r="MR47" s="276"/>
      <c r="MS47" s="276"/>
      <c r="MT47" s="276"/>
      <c r="MU47" s="276"/>
      <c r="MV47" s="276"/>
      <c r="MW47" s="276"/>
      <c r="MX47" s="276"/>
      <c r="MY47" s="276"/>
      <c r="MZ47" s="276"/>
      <c r="NA47" s="276"/>
      <c r="NB47" s="276"/>
      <c r="NC47" s="276"/>
      <c r="ND47" s="276"/>
      <c r="NE47" s="276"/>
      <c r="NF47" s="276"/>
      <c r="NG47" s="276"/>
      <c r="NH47" s="276"/>
      <c r="NI47" s="276"/>
      <c r="NJ47" s="276"/>
      <c r="NK47" s="276"/>
      <c r="NL47" s="276"/>
      <c r="NM47" s="276"/>
      <c r="NN47" s="276"/>
      <c r="NO47" s="276"/>
      <c r="NP47" s="276"/>
      <c r="NQ47" s="276"/>
      <c r="NR47" s="276"/>
      <c r="NS47" s="276"/>
      <c r="NT47" s="276"/>
      <c r="NU47" s="276"/>
      <c r="NV47" s="276"/>
      <c r="NW47" s="276"/>
      <c r="NX47" s="276"/>
      <c r="NY47" s="276"/>
      <c r="NZ47" s="276"/>
      <c r="OA47" s="276"/>
      <c r="OB47" s="276"/>
      <c r="OC47" s="276"/>
      <c r="OD47" s="276"/>
      <c r="OE47" s="276"/>
      <c r="OF47" s="276"/>
      <c r="OG47" s="276"/>
      <c r="OH47" s="276"/>
      <c r="OI47" s="276"/>
      <c r="OJ47" s="276"/>
      <c r="OK47" s="276"/>
      <c r="OL47" s="276"/>
      <c r="OM47" s="276"/>
      <c r="ON47" s="276"/>
      <c r="OO47" s="276"/>
      <c r="OP47" s="276"/>
      <c r="OQ47" s="276"/>
      <c r="OR47" s="276"/>
      <c r="OS47" s="276"/>
      <c r="OT47" s="276"/>
      <c r="OU47" s="276"/>
      <c r="OV47" s="276"/>
      <c r="OW47" s="276"/>
      <c r="OX47" s="276"/>
      <c r="OY47" s="276"/>
      <c r="OZ47" s="276"/>
      <c r="PA47" s="276"/>
      <c r="PB47" s="276"/>
      <c r="PC47" s="276"/>
      <c r="PD47" s="276"/>
      <c r="PE47" s="276"/>
      <c r="PF47" s="276"/>
      <c r="PG47" s="276"/>
      <c r="PH47" s="276"/>
      <c r="PI47" s="276"/>
      <c r="PJ47" s="276"/>
      <c r="PK47" s="276"/>
      <c r="PL47" s="276"/>
      <c r="PM47" s="276"/>
      <c r="PN47" s="276"/>
      <c r="PO47" s="276"/>
      <c r="PP47" s="276"/>
      <c r="PQ47" s="276"/>
      <c r="PR47" s="276"/>
      <c r="PS47" s="276"/>
      <c r="PT47" s="276"/>
      <c r="PU47" s="276"/>
      <c r="PV47" s="276"/>
      <c r="PW47" s="276"/>
      <c r="PX47" s="276"/>
      <c r="PY47" s="276"/>
      <c r="PZ47" s="276"/>
      <c r="QA47" s="276"/>
      <c r="QB47" s="276"/>
      <c r="QC47" s="276"/>
      <c r="QD47" s="276"/>
      <c r="QE47" s="276"/>
      <c r="QF47" s="276"/>
      <c r="QG47" s="276"/>
      <c r="QH47" s="276"/>
      <c r="QI47" s="276"/>
      <c r="QJ47" s="276"/>
      <c r="QK47" s="276"/>
      <c r="QL47" s="276"/>
      <c r="QM47" s="276"/>
      <c r="QN47" s="276"/>
      <c r="QO47" s="276"/>
      <c r="QP47" s="276"/>
      <c r="QQ47" s="276"/>
      <c r="QR47" s="276"/>
      <c r="QS47" s="276"/>
      <c r="QT47" s="276"/>
      <c r="QU47" s="276"/>
      <c r="QV47" s="276"/>
      <c r="QW47" s="276"/>
      <c r="QX47" s="276"/>
      <c r="QY47" s="276"/>
      <c r="QZ47" s="276"/>
      <c r="RA47" s="276"/>
      <c r="RB47" s="276"/>
      <c r="RC47" s="276"/>
      <c r="RD47" s="276"/>
      <c r="RE47" s="276"/>
      <c r="RF47" s="276"/>
      <c r="RG47" s="276"/>
      <c r="RH47" s="276"/>
      <c r="RI47" s="276"/>
      <c r="RJ47" s="276"/>
      <c r="RK47" s="276"/>
      <c r="RL47" s="276"/>
      <c r="RM47" s="276"/>
      <c r="RN47" s="276"/>
      <c r="RO47" s="276"/>
      <c r="RP47" s="276"/>
      <c r="RQ47" s="276"/>
      <c r="RR47" s="276"/>
      <c r="RS47" s="276"/>
      <c r="RT47" s="276"/>
      <c r="RU47" s="276"/>
      <c r="RV47" s="276"/>
      <c r="RW47" s="276"/>
      <c r="RX47" s="276"/>
      <c r="RY47" s="276"/>
      <c r="RZ47" s="276"/>
      <c r="SA47" s="276"/>
      <c r="SB47" s="276"/>
      <c r="SC47" s="276"/>
      <c r="SD47" s="276"/>
      <c r="SE47" s="276"/>
      <c r="SF47" s="276"/>
      <c r="SG47" s="276"/>
      <c r="SH47" s="276"/>
      <c r="SI47" s="276"/>
      <c r="SJ47" s="276"/>
      <c r="SK47" s="276"/>
      <c r="SL47" s="276"/>
      <c r="SM47" s="276"/>
      <c r="SN47" s="276"/>
      <c r="SO47" s="276"/>
      <c r="SP47" s="276"/>
      <c r="SQ47" s="276"/>
      <c r="SR47" s="276"/>
      <c r="SS47" s="276"/>
      <c r="ST47" s="276"/>
      <c r="SU47" s="276"/>
      <c r="SV47" s="276"/>
      <c r="SW47" s="276"/>
      <c r="SX47" s="276"/>
      <c r="SY47" s="276"/>
      <c r="SZ47" s="276"/>
      <c r="TA47" s="276"/>
      <c r="TB47" s="276"/>
      <c r="TC47" s="276"/>
      <c r="TD47" s="276"/>
      <c r="TE47" s="276"/>
      <c r="TF47" s="276"/>
      <c r="TG47" s="276"/>
      <c r="TH47" s="276"/>
      <c r="TI47" s="276"/>
      <c r="TJ47" s="276"/>
      <c r="TK47" s="276"/>
      <c r="TL47" s="276"/>
      <c r="TM47" s="276"/>
      <c r="TN47" s="276"/>
      <c r="TO47" s="276"/>
      <c r="TP47" s="276"/>
      <c r="TQ47" s="276"/>
      <c r="TR47" s="276"/>
      <c r="TS47" s="276"/>
      <c r="TT47" s="276"/>
      <c r="TU47" s="276"/>
      <c r="TV47" s="276"/>
      <c r="TW47" s="276"/>
      <c r="TX47" s="276"/>
      <c r="TY47" s="276"/>
      <c r="TZ47" s="276"/>
      <c r="UA47" s="276"/>
      <c r="UB47" s="276"/>
      <c r="UC47" s="276"/>
      <c r="UD47" s="276"/>
      <c r="UE47" s="276"/>
      <c r="UF47" s="276"/>
      <c r="UG47" s="276"/>
      <c r="UH47" s="276"/>
      <c r="UI47" s="276"/>
      <c r="UJ47" s="276"/>
      <c r="UK47" s="276"/>
      <c r="UL47" s="276"/>
      <c r="UM47" s="276"/>
      <c r="UN47" s="276"/>
      <c r="UO47" s="276"/>
      <c r="UP47" s="276"/>
      <c r="UQ47" s="276"/>
      <c r="UR47" s="276"/>
      <c r="US47" s="276"/>
      <c r="UT47" s="276"/>
      <c r="UU47" s="276"/>
      <c r="UV47" s="276"/>
      <c r="UW47" s="276"/>
      <c r="UX47" s="276"/>
      <c r="UY47" s="209"/>
      <c r="UZ47" s="209"/>
      <c r="VA47" s="209"/>
      <c r="VB47" s="209"/>
      <c r="VC47" s="209"/>
      <c r="VD47" s="209"/>
      <c r="VE47" s="209"/>
      <c r="VF47" s="209"/>
      <c r="VG47" s="209"/>
      <c r="VH47" s="209"/>
      <c r="VI47" s="209"/>
      <c r="VJ47" s="209"/>
      <c r="VK47" s="209"/>
      <c r="VL47" s="209"/>
      <c r="VM47" s="209"/>
      <c r="VN47" s="209"/>
    </row>
    <row r="48" spans="1:586" ht="15" customHeight="1" x14ac:dyDescent="0.2">
      <c r="A48" s="69"/>
      <c r="E48" s="265"/>
      <c r="L48" s="69"/>
      <c r="R48" s="70"/>
      <c r="T48" s="69"/>
      <c r="V48" s="71"/>
      <c r="W48" s="69"/>
      <c r="X48" s="71"/>
      <c r="Y48" s="69"/>
      <c r="Z48" s="70"/>
      <c r="AB48" s="69"/>
      <c r="AD48" s="71"/>
      <c r="AE48" s="69"/>
      <c r="AF48" s="71"/>
      <c r="AG48" s="69"/>
      <c r="AH48" s="70"/>
      <c r="AJ48" s="69"/>
      <c r="AL48" s="71"/>
      <c r="AM48" s="69"/>
      <c r="AN48" s="71"/>
      <c r="AO48" s="69"/>
      <c r="AP48" s="70"/>
      <c r="AR48" s="69"/>
      <c r="AV48" s="277"/>
      <c r="AW48" s="209"/>
      <c r="AX48" s="209"/>
      <c r="AY48" s="209"/>
      <c r="AZ48" s="276"/>
      <c r="BA48" s="209"/>
      <c r="BB48" s="209"/>
      <c r="BC48" s="209"/>
      <c r="BD48" s="209"/>
      <c r="BE48" s="209"/>
      <c r="BF48" s="209"/>
      <c r="BG48" s="277"/>
      <c r="BH48" s="277"/>
      <c r="BI48" s="277"/>
      <c r="BJ48" s="277"/>
      <c r="BK48" s="277"/>
      <c r="BL48" s="277"/>
      <c r="BM48" s="277"/>
      <c r="BN48" s="277"/>
      <c r="BO48" s="277"/>
      <c r="BP48" s="277"/>
      <c r="BQ48" s="277"/>
      <c r="BR48" s="277"/>
      <c r="BS48" s="277"/>
      <c r="BT48" s="277"/>
      <c r="BU48" s="277"/>
      <c r="BV48" s="277"/>
      <c r="BW48" s="277"/>
      <c r="BX48" s="277"/>
      <c r="BY48" s="277"/>
      <c r="BZ48" s="277"/>
      <c r="CA48" s="277"/>
      <c r="CB48" s="277"/>
      <c r="CC48" s="277"/>
      <c r="CD48" s="277"/>
      <c r="CE48" s="277"/>
      <c r="CF48" s="277"/>
      <c r="CG48" s="277"/>
      <c r="CH48" s="277"/>
      <c r="CI48" s="277"/>
      <c r="CJ48" s="277"/>
      <c r="CK48" s="277"/>
      <c r="CL48" s="277"/>
      <c r="CM48" s="277"/>
      <c r="CN48" s="277"/>
      <c r="CO48" s="277"/>
      <c r="CP48" s="277"/>
      <c r="CQ48" s="277"/>
      <c r="CR48" s="277"/>
      <c r="CS48" s="277"/>
      <c r="CT48" s="277"/>
      <c r="CU48" s="277"/>
      <c r="CV48" s="277"/>
      <c r="CW48" s="277"/>
      <c r="CX48" s="277"/>
      <c r="CY48" s="277"/>
      <c r="CZ48" s="277"/>
      <c r="DA48" s="277"/>
      <c r="DB48" s="277"/>
      <c r="DC48" s="277"/>
      <c r="DD48" s="277"/>
      <c r="DE48" s="277"/>
      <c r="DF48" s="277"/>
      <c r="DG48" s="277"/>
      <c r="DH48" s="277"/>
      <c r="DI48" s="277"/>
      <c r="DJ48" s="277"/>
      <c r="DK48" s="277"/>
      <c r="DL48" s="277"/>
      <c r="DM48" s="277"/>
      <c r="DN48" s="277"/>
      <c r="DO48" s="277"/>
      <c r="DP48" s="277"/>
      <c r="DQ48" s="277"/>
      <c r="DR48" s="277"/>
      <c r="DS48" s="209"/>
      <c r="DT48" s="209"/>
      <c r="DU48" s="209"/>
      <c r="DV48" s="209"/>
      <c r="DW48" s="209"/>
      <c r="DX48" s="209"/>
      <c r="DY48" s="209"/>
      <c r="DZ48" s="209"/>
      <c r="EA48" s="209"/>
      <c r="EB48" s="209"/>
      <c r="EC48" s="209"/>
      <c r="ED48" s="209"/>
      <c r="EE48" s="209"/>
      <c r="EF48" s="209"/>
      <c r="EG48" s="209"/>
      <c r="EH48" s="209"/>
      <c r="EI48" s="209"/>
      <c r="EJ48" s="209"/>
      <c r="EK48" s="209"/>
      <c r="EL48" s="209"/>
      <c r="EM48" s="209"/>
      <c r="EN48" s="209"/>
      <c r="EO48" s="209"/>
      <c r="EP48" s="209"/>
      <c r="EQ48" s="209"/>
      <c r="ER48" s="209"/>
      <c r="ES48" s="209"/>
      <c r="ET48" s="209"/>
      <c r="EU48" s="209"/>
      <c r="EV48" s="209"/>
      <c r="EW48" s="209"/>
      <c r="EX48" s="209"/>
      <c r="EY48" s="209"/>
      <c r="EZ48" s="209"/>
      <c r="FA48" s="209"/>
      <c r="FB48" s="209"/>
      <c r="FC48" s="209"/>
      <c r="FD48" s="209"/>
      <c r="FE48" s="209"/>
      <c r="FF48" s="209"/>
      <c r="FG48" s="209"/>
      <c r="FH48" s="209"/>
      <c r="FI48" s="209"/>
      <c r="FJ48" s="209"/>
      <c r="FK48" s="209"/>
      <c r="FL48" s="209"/>
      <c r="FM48" s="209"/>
      <c r="FN48" s="209"/>
      <c r="FO48" s="209"/>
      <c r="FP48" s="209"/>
      <c r="FQ48" s="209"/>
      <c r="FR48" s="209"/>
      <c r="FS48" s="209"/>
      <c r="FT48" s="209"/>
      <c r="FU48" s="209"/>
      <c r="FV48" s="209"/>
      <c r="FW48" s="209"/>
      <c r="FX48" s="209"/>
      <c r="FY48" s="209"/>
      <c r="FZ48" s="209"/>
      <c r="GA48" s="209"/>
      <c r="GB48" s="209"/>
      <c r="GC48" s="209"/>
      <c r="GD48" s="209"/>
      <c r="GE48" s="276"/>
      <c r="GF48" s="276"/>
      <c r="GG48" s="276"/>
      <c r="GH48" s="276"/>
      <c r="GI48" s="276"/>
      <c r="GJ48" s="276"/>
      <c r="GK48" s="276"/>
      <c r="GL48" s="276"/>
      <c r="GM48" s="276"/>
      <c r="GN48" s="276"/>
      <c r="GO48" s="276"/>
      <c r="GP48" s="276"/>
      <c r="GQ48" s="276"/>
      <c r="GR48" s="276"/>
      <c r="GS48" s="276"/>
      <c r="GT48" s="276"/>
      <c r="GU48" s="276"/>
      <c r="GV48" s="276"/>
      <c r="GW48" s="276"/>
      <c r="GX48" s="276"/>
      <c r="GY48" s="276"/>
      <c r="GZ48" s="276"/>
      <c r="HA48" s="276"/>
      <c r="HB48" s="276"/>
      <c r="HC48" s="276"/>
      <c r="HD48" s="276"/>
      <c r="HE48" s="276"/>
      <c r="HF48" s="276"/>
      <c r="HG48" s="276"/>
      <c r="HH48" s="276"/>
      <c r="HI48" s="276"/>
      <c r="HJ48" s="276"/>
      <c r="HK48" s="276"/>
      <c r="HL48" s="276"/>
      <c r="HM48" s="276"/>
      <c r="HN48" s="276"/>
      <c r="HO48" s="276"/>
      <c r="HP48" s="276"/>
      <c r="HQ48" s="276"/>
      <c r="HR48" s="276"/>
      <c r="HS48" s="276"/>
      <c r="HT48" s="276"/>
      <c r="HU48" s="276"/>
      <c r="HV48" s="276"/>
      <c r="HW48" s="276"/>
      <c r="HX48" s="276"/>
      <c r="HY48" s="276"/>
      <c r="HZ48" s="276"/>
      <c r="IA48" s="276"/>
      <c r="IB48" s="276"/>
      <c r="IC48" s="276"/>
      <c r="ID48" s="276"/>
      <c r="IE48" s="276"/>
      <c r="IF48" s="276"/>
      <c r="IG48" s="276"/>
      <c r="IH48" s="276"/>
      <c r="II48" s="276"/>
      <c r="IJ48" s="276"/>
      <c r="IK48" s="276"/>
      <c r="IL48" s="276"/>
      <c r="IM48" s="276"/>
      <c r="IN48" s="276"/>
      <c r="IO48" s="276"/>
      <c r="IP48" s="276"/>
      <c r="IQ48" s="276"/>
      <c r="IR48" s="276"/>
      <c r="IS48" s="276"/>
      <c r="IT48" s="276"/>
      <c r="IU48" s="276"/>
      <c r="IV48" s="276"/>
      <c r="IW48" s="276"/>
      <c r="IX48" s="276"/>
      <c r="IY48" s="276"/>
      <c r="IZ48" s="276"/>
      <c r="JA48" s="276"/>
      <c r="JB48" s="276"/>
      <c r="JC48" s="276"/>
      <c r="JD48" s="276"/>
      <c r="JE48" s="276"/>
      <c r="JF48" s="276"/>
      <c r="JG48" s="276"/>
      <c r="JH48" s="276"/>
      <c r="JI48" s="276"/>
      <c r="JJ48" s="276"/>
      <c r="JK48" s="276"/>
      <c r="JL48" s="276"/>
      <c r="JM48" s="276"/>
      <c r="JN48" s="276"/>
      <c r="JO48" s="276"/>
      <c r="JP48" s="276"/>
      <c r="JQ48" s="276"/>
      <c r="JR48" s="276"/>
      <c r="JS48" s="276"/>
      <c r="JT48" s="276"/>
      <c r="JU48" s="276"/>
      <c r="JV48" s="276"/>
      <c r="JW48" s="276"/>
      <c r="JX48" s="276"/>
      <c r="JY48" s="276"/>
      <c r="JZ48" s="276"/>
      <c r="KA48" s="276"/>
      <c r="KB48" s="276"/>
      <c r="KC48" s="276"/>
      <c r="KD48" s="276"/>
      <c r="KE48" s="276"/>
      <c r="KF48" s="276"/>
      <c r="KG48" s="276"/>
      <c r="KH48" s="276"/>
      <c r="KI48" s="276"/>
      <c r="KJ48" s="276"/>
      <c r="KK48" s="276"/>
      <c r="KL48" s="276"/>
      <c r="KM48" s="276"/>
      <c r="KN48" s="276"/>
      <c r="KO48" s="276"/>
      <c r="KP48" s="276"/>
      <c r="KQ48" s="276"/>
      <c r="KR48" s="276"/>
      <c r="KS48" s="276"/>
      <c r="KT48" s="276"/>
      <c r="KU48" s="276"/>
      <c r="KV48" s="276"/>
      <c r="KW48" s="276"/>
      <c r="KX48" s="276"/>
      <c r="KY48" s="276"/>
      <c r="KZ48" s="276"/>
      <c r="LA48" s="276"/>
      <c r="LB48" s="276"/>
      <c r="LC48" s="276"/>
      <c r="LD48" s="276"/>
      <c r="LE48" s="276"/>
      <c r="LF48" s="276"/>
      <c r="LG48" s="276"/>
      <c r="LH48" s="276"/>
      <c r="LI48" s="276"/>
      <c r="LJ48" s="276"/>
      <c r="LK48" s="276"/>
      <c r="LL48" s="276"/>
      <c r="LM48" s="276"/>
      <c r="LN48" s="276"/>
      <c r="LO48" s="276"/>
      <c r="LP48" s="276"/>
      <c r="LQ48" s="276"/>
      <c r="LR48" s="276"/>
      <c r="LS48" s="276"/>
      <c r="LT48" s="276"/>
      <c r="LU48" s="276"/>
      <c r="LV48" s="276"/>
      <c r="LW48" s="276"/>
      <c r="LX48" s="276"/>
      <c r="LY48" s="276"/>
      <c r="LZ48" s="276"/>
      <c r="MA48" s="276"/>
      <c r="MB48" s="276"/>
      <c r="MC48" s="276"/>
      <c r="MD48" s="276"/>
      <c r="ME48" s="276"/>
      <c r="MF48" s="276"/>
      <c r="MG48" s="276"/>
      <c r="MH48" s="276"/>
      <c r="MI48" s="276"/>
      <c r="MJ48" s="276"/>
      <c r="MK48" s="276"/>
      <c r="ML48" s="276"/>
      <c r="MM48" s="276"/>
      <c r="MN48" s="276"/>
      <c r="MO48" s="276"/>
      <c r="MP48" s="276"/>
      <c r="MQ48" s="276"/>
      <c r="MR48" s="276"/>
      <c r="MS48" s="276"/>
      <c r="MT48" s="276"/>
      <c r="MU48" s="276"/>
      <c r="MV48" s="276"/>
      <c r="MW48" s="276"/>
      <c r="MX48" s="276"/>
      <c r="MY48" s="276"/>
      <c r="MZ48" s="276"/>
      <c r="NA48" s="276"/>
      <c r="NB48" s="276"/>
      <c r="NC48" s="276"/>
      <c r="ND48" s="276"/>
      <c r="NE48" s="276"/>
      <c r="NF48" s="276"/>
      <c r="NG48" s="276"/>
      <c r="NH48" s="276"/>
      <c r="NI48" s="276"/>
      <c r="NJ48" s="276"/>
      <c r="NK48" s="276"/>
      <c r="NL48" s="276"/>
      <c r="NM48" s="276"/>
      <c r="NN48" s="276"/>
      <c r="NO48" s="276"/>
      <c r="NP48" s="276"/>
      <c r="NQ48" s="276"/>
      <c r="NR48" s="276"/>
      <c r="NS48" s="276"/>
      <c r="NT48" s="276"/>
      <c r="NU48" s="276"/>
      <c r="NV48" s="276"/>
      <c r="NW48" s="276"/>
      <c r="NX48" s="276"/>
      <c r="NY48" s="276"/>
      <c r="NZ48" s="276"/>
      <c r="OA48" s="276"/>
      <c r="OB48" s="276"/>
      <c r="OC48" s="276"/>
      <c r="OD48" s="276"/>
      <c r="OE48" s="276"/>
      <c r="OF48" s="276"/>
      <c r="OG48" s="276"/>
      <c r="OH48" s="276"/>
      <c r="OI48" s="276"/>
      <c r="OJ48" s="276"/>
      <c r="OK48" s="276"/>
      <c r="OL48" s="276"/>
      <c r="OM48" s="276"/>
      <c r="ON48" s="276"/>
      <c r="OO48" s="276"/>
      <c r="OP48" s="276"/>
      <c r="OQ48" s="276"/>
      <c r="OR48" s="276"/>
      <c r="OS48" s="276"/>
      <c r="OT48" s="276"/>
      <c r="OU48" s="276"/>
      <c r="OV48" s="276"/>
      <c r="OW48" s="276"/>
      <c r="OX48" s="276"/>
      <c r="OY48" s="276"/>
      <c r="OZ48" s="276"/>
      <c r="PA48" s="276"/>
      <c r="PB48" s="276"/>
      <c r="PC48" s="276"/>
      <c r="PD48" s="276"/>
      <c r="PE48" s="276"/>
      <c r="PF48" s="276"/>
      <c r="PG48" s="276"/>
      <c r="PH48" s="276"/>
      <c r="PI48" s="276"/>
      <c r="PJ48" s="276"/>
      <c r="PK48" s="276"/>
      <c r="PL48" s="276"/>
      <c r="PM48" s="276"/>
      <c r="PN48" s="276"/>
      <c r="PO48" s="276"/>
      <c r="PP48" s="276"/>
      <c r="PQ48" s="276"/>
      <c r="PR48" s="276"/>
      <c r="PS48" s="276"/>
      <c r="PT48" s="276"/>
      <c r="PU48" s="276"/>
      <c r="PV48" s="276"/>
      <c r="PW48" s="276"/>
      <c r="PX48" s="276"/>
      <c r="PY48" s="276"/>
      <c r="PZ48" s="276"/>
      <c r="QA48" s="276"/>
      <c r="QB48" s="276"/>
      <c r="QC48" s="276"/>
      <c r="QD48" s="276"/>
      <c r="QE48" s="276"/>
      <c r="QF48" s="276"/>
      <c r="QG48" s="276"/>
      <c r="QH48" s="276"/>
      <c r="QI48" s="276"/>
      <c r="QJ48" s="276"/>
      <c r="QK48" s="276"/>
      <c r="QL48" s="276"/>
      <c r="QM48" s="276"/>
      <c r="QN48" s="276"/>
      <c r="QO48" s="276"/>
      <c r="QP48" s="276"/>
      <c r="QQ48" s="276"/>
      <c r="QR48" s="276"/>
      <c r="QS48" s="276"/>
      <c r="QT48" s="276"/>
      <c r="QU48" s="276"/>
      <c r="QV48" s="276"/>
      <c r="QW48" s="276"/>
      <c r="QX48" s="276"/>
      <c r="QY48" s="276"/>
      <c r="QZ48" s="276"/>
      <c r="RA48" s="276"/>
      <c r="RB48" s="276"/>
      <c r="RC48" s="276"/>
      <c r="RD48" s="276"/>
      <c r="RE48" s="276"/>
      <c r="RF48" s="276"/>
      <c r="RG48" s="276"/>
      <c r="RH48" s="276"/>
      <c r="RI48" s="276"/>
      <c r="RJ48" s="276"/>
      <c r="RK48" s="276"/>
      <c r="RL48" s="276"/>
      <c r="RM48" s="276"/>
      <c r="RN48" s="276"/>
      <c r="RO48" s="276"/>
      <c r="RP48" s="276"/>
      <c r="RQ48" s="276"/>
      <c r="RR48" s="276"/>
      <c r="RS48" s="276"/>
      <c r="RT48" s="276"/>
      <c r="RU48" s="276"/>
      <c r="RV48" s="276"/>
      <c r="RW48" s="276"/>
      <c r="RX48" s="276"/>
      <c r="RY48" s="276"/>
      <c r="RZ48" s="276"/>
      <c r="SA48" s="276"/>
      <c r="SB48" s="276"/>
      <c r="SC48" s="276"/>
      <c r="SD48" s="276"/>
      <c r="SE48" s="276"/>
      <c r="SF48" s="276"/>
      <c r="SG48" s="276"/>
      <c r="SH48" s="276"/>
      <c r="SI48" s="276"/>
      <c r="SJ48" s="276"/>
      <c r="SK48" s="276"/>
      <c r="SL48" s="276"/>
      <c r="SM48" s="276"/>
      <c r="SN48" s="276"/>
      <c r="SO48" s="276"/>
      <c r="SP48" s="276"/>
      <c r="SQ48" s="276"/>
      <c r="SR48" s="276"/>
      <c r="SS48" s="276"/>
      <c r="ST48" s="276"/>
      <c r="SU48" s="276"/>
      <c r="SV48" s="276"/>
      <c r="SW48" s="276"/>
      <c r="SX48" s="276"/>
      <c r="SY48" s="276"/>
      <c r="SZ48" s="276"/>
      <c r="TA48" s="276"/>
      <c r="TB48" s="276"/>
      <c r="TC48" s="276"/>
      <c r="TD48" s="276"/>
      <c r="TE48" s="276"/>
      <c r="TF48" s="276"/>
      <c r="TG48" s="276"/>
      <c r="TH48" s="276"/>
      <c r="TI48" s="276"/>
      <c r="TJ48" s="276"/>
      <c r="TK48" s="276"/>
      <c r="TL48" s="276"/>
      <c r="TM48" s="276"/>
      <c r="TN48" s="276"/>
      <c r="TO48" s="276"/>
      <c r="TP48" s="276"/>
      <c r="TQ48" s="276"/>
      <c r="TR48" s="276"/>
      <c r="TS48" s="276"/>
      <c r="TT48" s="276"/>
      <c r="TU48" s="276"/>
      <c r="TV48" s="276"/>
      <c r="TW48" s="276"/>
      <c r="TX48" s="276"/>
      <c r="TY48" s="276"/>
      <c r="TZ48" s="276"/>
      <c r="UA48" s="276"/>
      <c r="UB48" s="276"/>
      <c r="UC48" s="276"/>
      <c r="UD48" s="276"/>
      <c r="UE48" s="276"/>
      <c r="UF48" s="276"/>
      <c r="UG48" s="276"/>
      <c r="UH48" s="276"/>
      <c r="UI48" s="276"/>
      <c r="UJ48" s="276"/>
      <c r="UK48" s="276"/>
      <c r="UL48" s="276"/>
      <c r="UM48" s="276"/>
      <c r="UN48" s="276"/>
      <c r="UO48" s="276"/>
      <c r="UP48" s="276"/>
      <c r="UQ48" s="276"/>
      <c r="UR48" s="276"/>
      <c r="US48" s="276"/>
      <c r="UT48" s="276"/>
      <c r="UU48" s="276"/>
      <c r="UV48" s="276"/>
      <c r="UW48" s="276"/>
      <c r="UX48" s="276"/>
      <c r="UY48" s="209"/>
      <c r="UZ48" s="209"/>
      <c r="VA48" s="209"/>
      <c r="VB48" s="209"/>
      <c r="VC48" s="209"/>
      <c r="VD48" s="209"/>
      <c r="VE48" s="209"/>
      <c r="VF48" s="209"/>
      <c r="VG48" s="209"/>
      <c r="VH48" s="209"/>
      <c r="VI48" s="209"/>
      <c r="VJ48" s="209"/>
      <c r="VK48" s="209"/>
      <c r="VL48" s="209"/>
      <c r="VM48" s="209"/>
      <c r="VN48" s="209"/>
    </row>
    <row r="49" spans="1:586" ht="15" customHeight="1" x14ac:dyDescent="0.2">
      <c r="A49" s="69"/>
      <c r="E49" s="265"/>
      <c r="L49" s="69"/>
      <c r="R49" s="70"/>
      <c r="T49" s="69"/>
      <c r="V49" s="71"/>
      <c r="W49" s="69"/>
      <c r="X49" s="71"/>
      <c r="Y49" s="69"/>
      <c r="Z49" s="70"/>
      <c r="AB49" s="69"/>
      <c r="AD49" s="71"/>
      <c r="AE49" s="69"/>
      <c r="AF49" s="71"/>
      <c r="AG49" s="69"/>
      <c r="AH49" s="70"/>
      <c r="AJ49" s="69"/>
      <c r="AL49" s="71"/>
      <c r="AM49" s="69"/>
      <c r="AN49" s="71"/>
      <c r="AO49" s="69"/>
      <c r="AP49" s="70"/>
      <c r="AR49" s="69"/>
      <c r="AV49" s="277"/>
      <c r="AW49" s="209"/>
      <c r="AX49" s="209"/>
      <c r="AY49" s="209"/>
      <c r="AZ49" s="276"/>
      <c r="BA49" s="209"/>
      <c r="BB49" s="209"/>
      <c r="BC49" s="209"/>
      <c r="BD49" s="209"/>
      <c r="BE49" s="209"/>
      <c r="BF49" s="209"/>
      <c r="BG49" s="277"/>
      <c r="BH49" s="277"/>
      <c r="BI49" s="277"/>
      <c r="BJ49" s="277"/>
      <c r="BK49" s="277"/>
      <c r="BL49" s="277"/>
      <c r="BM49" s="277"/>
      <c r="BN49" s="277"/>
      <c r="BO49" s="277"/>
      <c r="BP49" s="277"/>
      <c r="BQ49" s="277"/>
      <c r="BR49" s="277"/>
      <c r="BS49" s="277"/>
      <c r="BT49" s="277"/>
      <c r="BU49" s="277"/>
      <c r="BV49" s="277"/>
      <c r="BW49" s="277"/>
      <c r="BX49" s="277"/>
      <c r="BY49" s="277"/>
      <c r="BZ49" s="277"/>
      <c r="CA49" s="277"/>
      <c r="CB49" s="277"/>
      <c r="CC49" s="277"/>
      <c r="CD49" s="277"/>
      <c r="CE49" s="277"/>
      <c r="CF49" s="277"/>
      <c r="CG49" s="277"/>
      <c r="CH49" s="277"/>
      <c r="CI49" s="277"/>
      <c r="CJ49" s="277"/>
      <c r="CK49" s="277"/>
      <c r="CL49" s="277"/>
      <c r="CM49" s="277"/>
      <c r="CN49" s="277"/>
      <c r="CO49" s="277"/>
      <c r="CP49" s="277"/>
      <c r="CQ49" s="277"/>
      <c r="CR49" s="277"/>
      <c r="CS49" s="277"/>
      <c r="CT49" s="277"/>
      <c r="CU49" s="277"/>
      <c r="CV49" s="277"/>
      <c r="CW49" s="277"/>
      <c r="CX49" s="277"/>
      <c r="CY49" s="277"/>
      <c r="CZ49" s="277"/>
      <c r="DA49" s="277"/>
      <c r="DB49" s="277"/>
      <c r="DC49" s="277"/>
      <c r="DD49" s="277"/>
      <c r="DE49" s="277"/>
      <c r="DF49" s="277"/>
      <c r="DG49" s="277"/>
      <c r="DH49" s="277"/>
      <c r="DI49" s="277"/>
      <c r="DJ49" s="277"/>
      <c r="DK49" s="277"/>
      <c r="DL49" s="277"/>
      <c r="DM49" s="277"/>
      <c r="DN49" s="277"/>
      <c r="DO49" s="277"/>
      <c r="DP49" s="277"/>
      <c r="DQ49" s="277"/>
      <c r="DR49" s="277"/>
      <c r="DS49" s="209"/>
      <c r="DT49" s="209"/>
      <c r="DU49" s="209"/>
      <c r="DV49" s="209"/>
      <c r="DW49" s="209"/>
      <c r="DX49" s="209"/>
      <c r="DY49" s="209"/>
      <c r="DZ49" s="209"/>
      <c r="EA49" s="209"/>
      <c r="EB49" s="209"/>
      <c r="EC49" s="209"/>
      <c r="ED49" s="209"/>
      <c r="EE49" s="209"/>
      <c r="EF49" s="209"/>
      <c r="EG49" s="209"/>
      <c r="EH49" s="209"/>
      <c r="EI49" s="209"/>
      <c r="EJ49" s="209"/>
      <c r="EK49" s="209"/>
      <c r="EL49" s="209"/>
      <c r="EM49" s="209"/>
      <c r="EN49" s="209"/>
      <c r="EO49" s="209"/>
      <c r="EP49" s="209"/>
      <c r="EQ49" s="209"/>
      <c r="ER49" s="209"/>
      <c r="ES49" s="209"/>
      <c r="ET49" s="209"/>
      <c r="EU49" s="209"/>
      <c r="EV49" s="209"/>
      <c r="EW49" s="209"/>
      <c r="EX49" s="209"/>
      <c r="EY49" s="209"/>
      <c r="EZ49" s="209"/>
      <c r="FA49" s="209"/>
      <c r="FB49" s="209"/>
      <c r="FC49" s="209"/>
      <c r="FD49" s="209"/>
      <c r="FE49" s="209"/>
      <c r="FF49" s="209"/>
      <c r="FG49" s="209"/>
      <c r="FH49" s="209"/>
      <c r="FI49" s="209"/>
      <c r="FJ49" s="209"/>
      <c r="FK49" s="209"/>
      <c r="FL49" s="209"/>
      <c r="FM49" s="209"/>
      <c r="FN49" s="209"/>
      <c r="FO49" s="209"/>
      <c r="FP49" s="209"/>
      <c r="FQ49" s="209"/>
      <c r="FR49" s="209"/>
      <c r="FS49" s="209"/>
      <c r="FT49" s="209"/>
      <c r="FU49" s="209"/>
      <c r="FV49" s="209"/>
      <c r="FW49" s="209"/>
      <c r="FX49" s="209"/>
      <c r="FY49" s="209"/>
      <c r="FZ49" s="209"/>
      <c r="GA49" s="209"/>
      <c r="GB49" s="209"/>
      <c r="GC49" s="209"/>
      <c r="GD49" s="209"/>
      <c r="GE49" s="276"/>
      <c r="GF49" s="276"/>
      <c r="GG49" s="276"/>
      <c r="GH49" s="276"/>
      <c r="GI49" s="276"/>
      <c r="GJ49" s="276"/>
      <c r="GK49" s="276"/>
      <c r="GL49" s="276"/>
      <c r="GM49" s="276"/>
      <c r="GN49" s="276"/>
      <c r="GO49" s="276"/>
      <c r="GP49" s="276"/>
      <c r="GQ49" s="276"/>
      <c r="GR49" s="276"/>
      <c r="GS49" s="276"/>
      <c r="GT49" s="276"/>
      <c r="GU49" s="276"/>
      <c r="GV49" s="276"/>
      <c r="GW49" s="276"/>
      <c r="GX49" s="276"/>
      <c r="GY49" s="276"/>
      <c r="GZ49" s="276"/>
      <c r="HA49" s="276"/>
      <c r="HB49" s="276"/>
      <c r="HC49" s="276"/>
      <c r="HD49" s="276"/>
      <c r="HE49" s="276"/>
      <c r="HF49" s="276"/>
      <c r="HG49" s="276"/>
      <c r="HH49" s="276"/>
      <c r="HI49" s="276"/>
      <c r="HJ49" s="276"/>
      <c r="HK49" s="276"/>
      <c r="HL49" s="276"/>
      <c r="HM49" s="276"/>
      <c r="HN49" s="276"/>
      <c r="HO49" s="276"/>
      <c r="HP49" s="276"/>
      <c r="HQ49" s="276"/>
      <c r="HR49" s="276"/>
      <c r="HS49" s="276"/>
      <c r="HT49" s="276"/>
      <c r="HU49" s="276"/>
      <c r="HV49" s="276"/>
      <c r="HW49" s="276"/>
      <c r="HX49" s="276"/>
      <c r="HY49" s="276"/>
      <c r="HZ49" s="276"/>
      <c r="IA49" s="276"/>
      <c r="IB49" s="276"/>
      <c r="IC49" s="276"/>
      <c r="ID49" s="276"/>
      <c r="IE49" s="276"/>
      <c r="IF49" s="276"/>
      <c r="IG49" s="276"/>
      <c r="IH49" s="276"/>
      <c r="II49" s="276"/>
      <c r="IJ49" s="276"/>
      <c r="IK49" s="276"/>
      <c r="IL49" s="276"/>
      <c r="IM49" s="276"/>
      <c r="IN49" s="276"/>
      <c r="IO49" s="276"/>
      <c r="IP49" s="276"/>
      <c r="IQ49" s="276"/>
      <c r="IR49" s="276"/>
      <c r="IS49" s="276"/>
      <c r="IT49" s="276"/>
      <c r="IU49" s="276"/>
      <c r="IV49" s="276"/>
      <c r="IW49" s="276"/>
      <c r="IX49" s="276"/>
      <c r="IY49" s="276"/>
      <c r="IZ49" s="276"/>
      <c r="JA49" s="276"/>
      <c r="JB49" s="276"/>
      <c r="JC49" s="276"/>
      <c r="JD49" s="276"/>
      <c r="JE49" s="276"/>
      <c r="JF49" s="276"/>
      <c r="JG49" s="276"/>
      <c r="JH49" s="276"/>
      <c r="JI49" s="276"/>
      <c r="JJ49" s="276"/>
      <c r="JK49" s="276"/>
      <c r="JL49" s="276"/>
      <c r="JM49" s="276"/>
      <c r="JN49" s="276"/>
      <c r="JO49" s="276"/>
      <c r="JP49" s="276"/>
      <c r="JQ49" s="276"/>
      <c r="JR49" s="276"/>
      <c r="JS49" s="276"/>
      <c r="JT49" s="276"/>
      <c r="JU49" s="276"/>
      <c r="JV49" s="276"/>
      <c r="JW49" s="276"/>
      <c r="JX49" s="276"/>
      <c r="JY49" s="276"/>
      <c r="JZ49" s="276"/>
      <c r="KA49" s="276"/>
      <c r="KB49" s="276"/>
      <c r="KC49" s="276"/>
      <c r="KD49" s="276"/>
      <c r="KE49" s="276"/>
      <c r="KF49" s="276"/>
      <c r="KG49" s="276"/>
      <c r="KH49" s="276"/>
      <c r="KI49" s="276"/>
      <c r="KJ49" s="276"/>
      <c r="KK49" s="276"/>
      <c r="KL49" s="276"/>
      <c r="KM49" s="276"/>
      <c r="KN49" s="276"/>
      <c r="KO49" s="276"/>
      <c r="KP49" s="276"/>
      <c r="KQ49" s="276"/>
      <c r="KR49" s="276"/>
      <c r="KS49" s="276"/>
      <c r="KT49" s="276"/>
      <c r="KU49" s="276"/>
      <c r="KV49" s="276"/>
      <c r="KW49" s="276"/>
      <c r="KX49" s="276"/>
      <c r="KY49" s="276"/>
      <c r="KZ49" s="276"/>
      <c r="LA49" s="276"/>
      <c r="LB49" s="276"/>
      <c r="LC49" s="276"/>
      <c r="LD49" s="276"/>
      <c r="LE49" s="276"/>
      <c r="LF49" s="276"/>
      <c r="LG49" s="276"/>
      <c r="LH49" s="276"/>
      <c r="LI49" s="276"/>
      <c r="LJ49" s="276"/>
      <c r="LK49" s="276"/>
      <c r="LL49" s="276"/>
      <c r="LM49" s="276"/>
      <c r="LN49" s="276"/>
      <c r="LO49" s="276"/>
      <c r="LP49" s="276"/>
      <c r="LQ49" s="276"/>
      <c r="LR49" s="276"/>
      <c r="LS49" s="276"/>
      <c r="LT49" s="276"/>
      <c r="LU49" s="276"/>
      <c r="LV49" s="276"/>
      <c r="LW49" s="276"/>
      <c r="LX49" s="276"/>
      <c r="LY49" s="276"/>
      <c r="LZ49" s="276"/>
      <c r="MA49" s="276"/>
      <c r="MB49" s="276"/>
      <c r="MC49" s="276"/>
      <c r="MD49" s="276"/>
      <c r="ME49" s="276"/>
      <c r="MF49" s="276"/>
      <c r="MG49" s="276"/>
      <c r="MH49" s="276"/>
      <c r="MI49" s="276"/>
      <c r="MJ49" s="276"/>
      <c r="MK49" s="276"/>
      <c r="ML49" s="276"/>
      <c r="MM49" s="276"/>
      <c r="MN49" s="276"/>
      <c r="MO49" s="276"/>
      <c r="MP49" s="276"/>
      <c r="MQ49" s="276"/>
      <c r="MR49" s="276"/>
      <c r="MS49" s="276"/>
      <c r="MT49" s="276"/>
      <c r="MU49" s="276"/>
      <c r="MV49" s="276"/>
      <c r="MW49" s="276"/>
      <c r="MX49" s="276"/>
      <c r="MY49" s="276"/>
      <c r="MZ49" s="276"/>
      <c r="NA49" s="276"/>
      <c r="NB49" s="276"/>
      <c r="NC49" s="276"/>
      <c r="ND49" s="276"/>
      <c r="NE49" s="276"/>
      <c r="NF49" s="276"/>
      <c r="NG49" s="276"/>
      <c r="NH49" s="276"/>
      <c r="NI49" s="276"/>
      <c r="NJ49" s="276"/>
      <c r="NK49" s="276"/>
      <c r="NL49" s="276"/>
      <c r="NM49" s="276"/>
      <c r="NN49" s="276"/>
      <c r="NO49" s="276"/>
      <c r="NP49" s="276"/>
      <c r="NQ49" s="276"/>
      <c r="NR49" s="276"/>
      <c r="NS49" s="276"/>
      <c r="NT49" s="276"/>
      <c r="NU49" s="276"/>
      <c r="NV49" s="276"/>
      <c r="NW49" s="276"/>
      <c r="NX49" s="276"/>
      <c r="NY49" s="276"/>
      <c r="NZ49" s="276"/>
      <c r="OA49" s="276"/>
      <c r="OB49" s="276"/>
      <c r="OC49" s="276"/>
      <c r="OD49" s="276"/>
      <c r="OE49" s="276"/>
      <c r="OF49" s="276"/>
      <c r="OG49" s="276"/>
      <c r="OH49" s="276"/>
      <c r="OI49" s="276"/>
      <c r="OJ49" s="276"/>
      <c r="OK49" s="276"/>
      <c r="OL49" s="276"/>
      <c r="OM49" s="276"/>
      <c r="ON49" s="276"/>
      <c r="OO49" s="276"/>
      <c r="OP49" s="276"/>
      <c r="OQ49" s="276"/>
      <c r="OR49" s="276"/>
      <c r="OS49" s="276"/>
      <c r="OT49" s="276"/>
      <c r="OU49" s="276"/>
      <c r="OV49" s="276"/>
      <c r="OW49" s="276"/>
      <c r="OX49" s="276"/>
      <c r="OY49" s="276"/>
      <c r="OZ49" s="276"/>
      <c r="PA49" s="276"/>
      <c r="PB49" s="276"/>
      <c r="PC49" s="276"/>
      <c r="PD49" s="276"/>
      <c r="PE49" s="276"/>
      <c r="PF49" s="276"/>
      <c r="PG49" s="276"/>
      <c r="PH49" s="276"/>
      <c r="PI49" s="276"/>
      <c r="PJ49" s="276"/>
      <c r="PK49" s="276"/>
      <c r="PL49" s="276"/>
      <c r="PM49" s="276"/>
      <c r="PN49" s="276"/>
      <c r="PO49" s="276"/>
      <c r="PP49" s="276"/>
      <c r="PQ49" s="276"/>
      <c r="PR49" s="276"/>
      <c r="PS49" s="276"/>
      <c r="PT49" s="276"/>
      <c r="PU49" s="276"/>
      <c r="PV49" s="276"/>
      <c r="PW49" s="276"/>
      <c r="PX49" s="276"/>
      <c r="PY49" s="276"/>
      <c r="PZ49" s="276"/>
      <c r="QA49" s="276"/>
      <c r="QB49" s="276"/>
      <c r="QC49" s="276"/>
      <c r="QD49" s="276"/>
      <c r="QE49" s="276"/>
      <c r="QF49" s="276"/>
      <c r="QG49" s="276"/>
      <c r="QH49" s="276"/>
      <c r="QI49" s="276"/>
      <c r="QJ49" s="276"/>
      <c r="QK49" s="276"/>
      <c r="QL49" s="276"/>
      <c r="QM49" s="276"/>
      <c r="QN49" s="276"/>
      <c r="QO49" s="276"/>
      <c r="QP49" s="276"/>
      <c r="QQ49" s="276"/>
      <c r="QR49" s="276"/>
      <c r="QS49" s="276"/>
      <c r="QT49" s="276"/>
      <c r="QU49" s="276"/>
      <c r="QV49" s="276"/>
      <c r="QW49" s="276"/>
      <c r="QX49" s="276"/>
      <c r="QY49" s="276"/>
      <c r="QZ49" s="276"/>
      <c r="RA49" s="276"/>
      <c r="RB49" s="276"/>
      <c r="RC49" s="276"/>
      <c r="RD49" s="276"/>
      <c r="RE49" s="276"/>
      <c r="RF49" s="276"/>
      <c r="RG49" s="276"/>
      <c r="RH49" s="276"/>
      <c r="RI49" s="276"/>
      <c r="RJ49" s="276"/>
      <c r="RK49" s="276"/>
      <c r="RL49" s="276"/>
      <c r="RM49" s="276"/>
      <c r="RN49" s="276"/>
      <c r="RO49" s="276"/>
      <c r="RP49" s="276"/>
      <c r="RQ49" s="276"/>
      <c r="RR49" s="276"/>
      <c r="RS49" s="276"/>
      <c r="RT49" s="276"/>
      <c r="RU49" s="276"/>
      <c r="RV49" s="276"/>
      <c r="RW49" s="276"/>
      <c r="RX49" s="276"/>
      <c r="RY49" s="276"/>
      <c r="RZ49" s="276"/>
      <c r="SA49" s="276"/>
      <c r="SB49" s="276"/>
      <c r="SC49" s="276"/>
      <c r="SD49" s="276"/>
      <c r="SE49" s="276"/>
      <c r="SF49" s="276"/>
      <c r="SG49" s="276"/>
      <c r="SH49" s="276"/>
      <c r="SI49" s="276"/>
      <c r="SJ49" s="276"/>
      <c r="SK49" s="276"/>
      <c r="SL49" s="276"/>
      <c r="SM49" s="276"/>
      <c r="SN49" s="276"/>
      <c r="SO49" s="276"/>
      <c r="SP49" s="276"/>
      <c r="SQ49" s="276"/>
      <c r="SR49" s="276"/>
      <c r="SS49" s="276"/>
      <c r="ST49" s="276"/>
      <c r="SU49" s="276"/>
      <c r="SV49" s="276"/>
      <c r="SW49" s="276"/>
      <c r="SX49" s="276"/>
      <c r="SY49" s="276"/>
      <c r="SZ49" s="276"/>
      <c r="TA49" s="276"/>
      <c r="TB49" s="276"/>
      <c r="TC49" s="276"/>
      <c r="TD49" s="276"/>
      <c r="TE49" s="276"/>
      <c r="TF49" s="276"/>
      <c r="TG49" s="276"/>
      <c r="TH49" s="276"/>
      <c r="TI49" s="276"/>
      <c r="TJ49" s="276"/>
      <c r="TK49" s="276"/>
      <c r="TL49" s="276"/>
      <c r="TM49" s="276"/>
      <c r="TN49" s="276"/>
      <c r="TO49" s="276"/>
      <c r="TP49" s="276"/>
      <c r="TQ49" s="276"/>
      <c r="TR49" s="276"/>
      <c r="TS49" s="276"/>
      <c r="TT49" s="276"/>
      <c r="TU49" s="276"/>
      <c r="TV49" s="276"/>
      <c r="TW49" s="276"/>
      <c r="TX49" s="276"/>
      <c r="TY49" s="276"/>
      <c r="TZ49" s="276"/>
      <c r="UA49" s="276"/>
      <c r="UB49" s="276"/>
      <c r="UC49" s="276"/>
      <c r="UD49" s="276"/>
      <c r="UE49" s="276"/>
      <c r="UF49" s="276"/>
      <c r="UG49" s="276"/>
      <c r="UH49" s="276"/>
      <c r="UI49" s="276"/>
      <c r="UJ49" s="276"/>
      <c r="UK49" s="276"/>
      <c r="UL49" s="276"/>
      <c r="UM49" s="276"/>
      <c r="UN49" s="276"/>
      <c r="UO49" s="276"/>
      <c r="UP49" s="276"/>
      <c r="UQ49" s="276"/>
      <c r="UR49" s="276"/>
      <c r="US49" s="276"/>
      <c r="UT49" s="276"/>
      <c r="UU49" s="276"/>
      <c r="UV49" s="276"/>
      <c r="UW49" s="276"/>
      <c r="UX49" s="276"/>
      <c r="UY49" s="209"/>
      <c r="UZ49" s="209"/>
      <c r="VA49" s="209"/>
      <c r="VB49" s="209"/>
      <c r="VC49" s="209"/>
      <c r="VD49" s="209"/>
      <c r="VE49" s="209"/>
      <c r="VF49" s="209"/>
      <c r="VG49" s="209"/>
      <c r="VH49" s="209"/>
      <c r="VI49" s="209"/>
      <c r="VJ49" s="209"/>
      <c r="VK49" s="209"/>
      <c r="VL49" s="209"/>
      <c r="VM49" s="209"/>
      <c r="VN49" s="209"/>
    </row>
    <row r="50" spans="1:586" ht="15" customHeight="1" x14ac:dyDescent="0.2">
      <c r="A50" s="69"/>
      <c r="E50" s="265"/>
      <c r="L50" s="69"/>
      <c r="R50" s="70"/>
      <c r="T50" s="69"/>
      <c r="V50" s="71"/>
      <c r="W50" s="69"/>
      <c r="X50" s="71"/>
      <c r="Y50" s="69"/>
      <c r="Z50" s="70"/>
      <c r="AB50" s="69"/>
      <c r="AD50" s="71"/>
      <c r="AE50" s="69"/>
      <c r="AF50" s="71"/>
      <c r="AG50" s="69"/>
      <c r="AH50" s="70"/>
      <c r="AJ50" s="69"/>
      <c r="AL50" s="71"/>
      <c r="AM50" s="69"/>
      <c r="AN50" s="71"/>
      <c r="AO50" s="69"/>
      <c r="AP50" s="70"/>
      <c r="AR50" s="69"/>
      <c r="AV50" s="277"/>
      <c r="AW50" s="209"/>
      <c r="AX50" s="209"/>
      <c r="AY50" s="209"/>
      <c r="AZ50" s="276"/>
      <c r="BA50" s="209"/>
      <c r="BB50" s="209"/>
      <c r="BC50" s="209"/>
      <c r="BD50" s="209"/>
      <c r="BE50" s="209"/>
      <c r="BF50" s="209"/>
      <c r="BG50" s="277"/>
      <c r="BH50" s="277"/>
      <c r="BI50" s="277"/>
      <c r="BJ50" s="277"/>
      <c r="BK50" s="277"/>
      <c r="BL50" s="277"/>
      <c r="BM50" s="277"/>
      <c r="BN50" s="277"/>
      <c r="BO50" s="277"/>
      <c r="BP50" s="277"/>
      <c r="BQ50" s="277"/>
      <c r="BR50" s="277"/>
      <c r="BS50" s="277"/>
      <c r="BT50" s="277"/>
      <c r="BU50" s="277"/>
      <c r="BV50" s="277"/>
      <c r="BW50" s="277"/>
      <c r="BX50" s="277"/>
      <c r="BY50" s="277"/>
      <c r="BZ50" s="277"/>
      <c r="CA50" s="277"/>
      <c r="CB50" s="277"/>
      <c r="CC50" s="277"/>
      <c r="CD50" s="277"/>
      <c r="CE50" s="277"/>
      <c r="CF50" s="277"/>
      <c r="CG50" s="277"/>
      <c r="CH50" s="277"/>
      <c r="CI50" s="277"/>
      <c r="CJ50" s="277"/>
      <c r="CK50" s="277"/>
      <c r="CL50" s="277"/>
      <c r="CM50" s="277"/>
      <c r="CN50" s="277"/>
      <c r="CO50" s="277"/>
      <c r="CP50" s="277"/>
      <c r="CQ50" s="277"/>
      <c r="CR50" s="277"/>
      <c r="CS50" s="277"/>
      <c r="CT50" s="277"/>
      <c r="CU50" s="277"/>
      <c r="CV50" s="277"/>
      <c r="CW50" s="277"/>
      <c r="CX50" s="277"/>
      <c r="CY50" s="277"/>
      <c r="CZ50" s="277"/>
      <c r="DA50" s="277"/>
      <c r="DB50" s="277"/>
      <c r="DC50" s="277"/>
      <c r="DD50" s="277"/>
      <c r="DE50" s="277"/>
      <c r="DF50" s="277"/>
      <c r="DG50" s="277"/>
      <c r="DH50" s="277"/>
      <c r="DI50" s="277"/>
      <c r="DJ50" s="277"/>
      <c r="DK50" s="277"/>
      <c r="DL50" s="277"/>
      <c r="DM50" s="277"/>
      <c r="DN50" s="277"/>
      <c r="DO50" s="277"/>
      <c r="DP50" s="277"/>
      <c r="DQ50" s="277"/>
      <c r="DR50" s="277"/>
      <c r="DS50" s="209"/>
      <c r="DT50" s="209"/>
      <c r="DU50" s="209"/>
      <c r="DV50" s="209"/>
      <c r="DW50" s="209"/>
      <c r="DX50" s="209"/>
      <c r="DY50" s="209"/>
      <c r="DZ50" s="209"/>
      <c r="EA50" s="209"/>
      <c r="EB50" s="209"/>
      <c r="EC50" s="209"/>
      <c r="ED50" s="209"/>
      <c r="EE50" s="209"/>
      <c r="EF50" s="209"/>
      <c r="EG50" s="209"/>
      <c r="EH50" s="209"/>
      <c r="EI50" s="209"/>
      <c r="EJ50" s="209"/>
      <c r="EK50" s="209"/>
      <c r="EL50" s="209"/>
      <c r="EM50" s="209"/>
      <c r="EN50" s="209"/>
      <c r="EO50" s="209"/>
      <c r="EP50" s="209"/>
      <c r="EQ50" s="209"/>
      <c r="ER50" s="209"/>
      <c r="ES50" s="209"/>
      <c r="ET50" s="209"/>
      <c r="EU50" s="209"/>
      <c r="EV50" s="209"/>
      <c r="EW50" s="209"/>
      <c r="EX50" s="209"/>
      <c r="EY50" s="209"/>
      <c r="EZ50" s="209"/>
      <c r="FA50" s="209"/>
      <c r="FB50" s="209"/>
      <c r="FC50" s="209"/>
      <c r="FD50" s="209"/>
      <c r="FE50" s="209"/>
      <c r="FF50" s="209"/>
      <c r="FG50" s="209"/>
      <c r="FH50" s="209"/>
      <c r="FI50" s="209"/>
      <c r="FJ50" s="209"/>
      <c r="FK50" s="209"/>
      <c r="FL50" s="209"/>
      <c r="FM50" s="209"/>
      <c r="FN50" s="209"/>
      <c r="FO50" s="209"/>
      <c r="FP50" s="209"/>
      <c r="FQ50" s="209"/>
      <c r="FR50" s="209"/>
      <c r="FS50" s="209"/>
      <c r="FT50" s="209"/>
      <c r="FU50" s="209"/>
      <c r="FV50" s="209"/>
      <c r="FW50" s="209"/>
      <c r="FX50" s="209"/>
      <c r="FY50" s="209"/>
      <c r="FZ50" s="209"/>
      <c r="GA50" s="209"/>
      <c r="GB50" s="209"/>
      <c r="GC50" s="209"/>
      <c r="GD50" s="209"/>
      <c r="GE50" s="276"/>
      <c r="GF50" s="276"/>
      <c r="GG50" s="276"/>
      <c r="GH50" s="276"/>
      <c r="GI50" s="276"/>
      <c r="GJ50" s="276"/>
      <c r="GK50" s="276"/>
      <c r="GL50" s="276"/>
      <c r="GM50" s="276"/>
      <c r="GN50" s="276"/>
      <c r="GO50" s="276"/>
      <c r="GP50" s="276"/>
      <c r="GQ50" s="276"/>
      <c r="GR50" s="276"/>
      <c r="GS50" s="276"/>
      <c r="GT50" s="276"/>
      <c r="GU50" s="276"/>
      <c r="GV50" s="276"/>
      <c r="GW50" s="276"/>
      <c r="GX50" s="276"/>
      <c r="GY50" s="276"/>
      <c r="GZ50" s="276"/>
      <c r="HA50" s="276"/>
      <c r="HB50" s="276"/>
      <c r="HC50" s="276"/>
      <c r="HD50" s="276"/>
      <c r="HE50" s="276"/>
      <c r="HF50" s="276"/>
      <c r="HG50" s="276"/>
      <c r="HH50" s="276"/>
      <c r="HI50" s="276"/>
      <c r="HJ50" s="276"/>
      <c r="HK50" s="276"/>
      <c r="HL50" s="276"/>
      <c r="HM50" s="276"/>
      <c r="HN50" s="276"/>
      <c r="HO50" s="276"/>
      <c r="HP50" s="276"/>
      <c r="HQ50" s="276"/>
      <c r="HR50" s="276"/>
      <c r="HS50" s="276"/>
      <c r="HT50" s="276"/>
      <c r="HU50" s="276"/>
      <c r="HV50" s="276"/>
      <c r="HW50" s="276"/>
      <c r="HX50" s="276"/>
      <c r="HY50" s="276"/>
      <c r="HZ50" s="276"/>
      <c r="IA50" s="276"/>
      <c r="IB50" s="276"/>
      <c r="IC50" s="276"/>
      <c r="ID50" s="276"/>
      <c r="IE50" s="276"/>
      <c r="IF50" s="276"/>
      <c r="IG50" s="276"/>
      <c r="IH50" s="276"/>
      <c r="II50" s="276"/>
      <c r="IJ50" s="276"/>
      <c r="IK50" s="276"/>
      <c r="IL50" s="276"/>
      <c r="IM50" s="276"/>
      <c r="IN50" s="276"/>
      <c r="IO50" s="276"/>
      <c r="IP50" s="276"/>
      <c r="IQ50" s="276"/>
      <c r="IR50" s="276"/>
      <c r="IS50" s="276"/>
      <c r="IT50" s="276"/>
      <c r="IU50" s="276"/>
      <c r="IV50" s="276"/>
      <c r="IW50" s="276"/>
      <c r="IX50" s="276"/>
      <c r="IY50" s="276"/>
      <c r="IZ50" s="276"/>
      <c r="JA50" s="276"/>
      <c r="JB50" s="276"/>
      <c r="JC50" s="276"/>
      <c r="JD50" s="276"/>
      <c r="JE50" s="276"/>
      <c r="JF50" s="276"/>
      <c r="JG50" s="276"/>
      <c r="JH50" s="276"/>
      <c r="JI50" s="276"/>
      <c r="JJ50" s="276"/>
      <c r="JK50" s="276"/>
      <c r="JL50" s="276"/>
      <c r="JM50" s="276"/>
      <c r="JN50" s="276"/>
      <c r="JO50" s="276"/>
      <c r="JP50" s="276"/>
      <c r="JQ50" s="276"/>
      <c r="JR50" s="276"/>
      <c r="JS50" s="276"/>
      <c r="JT50" s="276"/>
      <c r="JU50" s="276"/>
      <c r="JV50" s="276"/>
      <c r="JW50" s="276"/>
      <c r="JX50" s="276"/>
      <c r="JY50" s="276"/>
      <c r="JZ50" s="276"/>
      <c r="KA50" s="276"/>
      <c r="KB50" s="276"/>
      <c r="KC50" s="276"/>
      <c r="KD50" s="276"/>
      <c r="KE50" s="276"/>
      <c r="KF50" s="276"/>
      <c r="KG50" s="276"/>
      <c r="KH50" s="276"/>
      <c r="KI50" s="276"/>
      <c r="KJ50" s="276"/>
      <c r="KK50" s="276"/>
      <c r="KL50" s="276"/>
      <c r="KM50" s="276"/>
      <c r="KN50" s="276"/>
      <c r="KO50" s="276"/>
      <c r="KP50" s="276"/>
      <c r="KQ50" s="276"/>
      <c r="KR50" s="276"/>
      <c r="KS50" s="276"/>
      <c r="KT50" s="276"/>
      <c r="KU50" s="276"/>
      <c r="KV50" s="276"/>
      <c r="KW50" s="276"/>
      <c r="KX50" s="276"/>
      <c r="KY50" s="276"/>
      <c r="KZ50" s="276"/>
      <c r="LA50" s="276"/>
      <c r="LB50" s="276"/>
      <c r="LC50" s="276"/>
      <c r="LD50" s="276"/>
      <c r="LE50" s="276"/>
      <c r="LF50" s="276"/>
      <c r="LG50" s="276"/>
      <c r="LH50" s="276"/>
      <c r="LI50" s="276"/>
      <c r="LJ50" s="276"/>
      <c r="LK50" s="276"/>
      <c r="LL50" s="276"/>
      <c r="LM50" s="276"/>
      <c r="LN50" s="276"/>
      <c r="LO50" s="276"/>
      <c r="LP50" s="276"/>
      <c r="LQ50" s="276"/>
      <c r="LR50" s="276"/>
      <c r="LS50" s="276"/>
      <c r="LT50" s="276"/>
      <c r="LU50" s="276"/>
      <c r="LV50" s="276"/>
      <c r="LW50" s="276"/>
      <c r="LX50" s="276"/>
      <c r="LY50" s="276"/>
      <c r="LZ50" s="276"/>
      <c r="MA50" s="276"/>
      <c r="MB50" s="276"/>
      <c r="MC50" s="276"/>
      <c r="MD50" s="276"/>
      <c r="ME50" s="276"/>
      <c r="MF50" s="276"/>
      <c r="MG50" s="276"/>
      <c r="MH50" s="276"/>
      <c r="MI50" s="276"/>
      <c r="MJ50" s="276"/>
      <c r="MK50" s="276"/>
      <c r="ML50" s="276"/>
      <c r="MM50" s="276"/>
      <c r="MN50" s="276"/>
      <c r="MO50" s="276"/>
      <c r="MP50" s="276"/>
      <c r="MQ50" s="276"/>
      <c r="MR50" s="276"/>
      <c r="MS50" s="276"/>
      <c r="MT50" s="276"/>
      <c r="MU50" s="276"/>
      <c r="MV50" s="276"/>
      <c r="MW50" s="276"/>
      <c r="MX50" s="276"/>
      <c r="MY50" s="276"/>
      <c r="MZ50" s="276"/>
      <c r="NA50" s="276"/>
      <c r="NB50" s="276"/>
      <c r="NC50" s="276"/>
      <c r="ND50" s="276"/>
      <c r="NE50" s="276"/>
      <c r="NF50" s="276"/>
      <c r="NG50" s="276"/>
      <c r="NH50" s="276"/>
      <c r="NI50" s="276"/>
      <c r="NJ50" s="276"/>
      <c r="NK50" s="276"/>
      <c r="NL50" s="276"/>
      <c r="NM50" s="276"/>
      <c r="NN50" s="276"/>
      <c r="NO50" s="276"/>
      <c r="NP50" s="276"/>
      <c r="NQ50" s="276"/>
      <c r="NR50" s="276"/>
      <c r="NS50" s="276"/>
      <c r="NT50" s="276"/>
      <c r="NU50" s="276"/>
      <c r="NV50" s="276"/>
      <c r="NW50" s="276"/>
      <c r="NX50" s="276"/>
      <c r="NY50" s="276"/>
      <c r="NZ50" s="276"/>
      <c r="OA50" s="276"/>
      <c r="OB50" s="276"/>
      <c r="OC50" s="276"/>
      <c r="OD50" s="276"/>
      <c r="OE50" s="276"/>
      <c r="OF50" s="276"/>
      <c r="OG50" s="276"/>
      <c r="OH50" s="276"/>
      <c r="OI50" s="276"/>
      <c r="OJ50" s="276"/>
      <c r="OK50" s="276"/>
      <c r="OL50" s="276"/>
      <c r="OM50" s="276"/>
      <c r="ON50" s="276"/>
      <c r="OO50" s="276"/>
      <c r="OP50" s="276"/>
      <c r="OQ50" s="276"/>
      <c r="OR50" s="276"/>
      <c r="OS50" s="276"/>
      <c r="OT50" s="276"/>
      <c r="OU50" s="276"/>
      <c r="OV50" s="276"/>
      <c r="OW50" s="276"/>
      <c r="OX50" s="276"/>
      <c r="OY50" s="276"/>
      <c r="OZ50" s="276"/>
      <c r="PA50" s="276"/>
      <c r="PB50" s="276"/>
      <c r="PC50" s="276"/>
      <c r="PD50" s="276"/>
      <c r="PE50" s="276"/>
      <c r="PF50" s="276"/>
      <c r="PG50" s="276"/>
      <c r="PH50" s="276"/>
      <c r="PI50" s="276"/>
      <c r="PJ50" s="276"/>
      <c r="PK50" s="276"/>
      <c r="PL50" s="276"/>
      <c r="PM50" s="276"/>
      <c r="PN50" s="276"/>
      <c r="PO50" s="276"/>
      <c r="PP50" s="276"/>
      <c r="PQ50" s="276"/>
      <c r="PR50" s="276"/>
      <c r="PS50" s="276"/>
      <c r="PT50" s="276"/>
      <c r="PU50" s="276"/>
      <c r="PV50" s="276"/>
      <c r="PW50" s="276"/>
      <c r="PX50" s="276"/>
      <c r="PY50" s="276"/>
      <c r="PZ50" s="276"/>
      <c r="QA50" s="276"/>
      <c r="QB50" s="276"/>
      <c r="QC50" s="276"/>
      <c r="QD50" s="276"/>
      <c r="QE50" s="276"/>
      <c r="QF50" s="276"/>
      <c r="QG50" s="276"/>
      <c r="QH50" s="276"/>
      <c r="QI50" s="276"/>
      <c r="QJ50" s="276"/>
      <c r="QK50" s="276"/>
      <c r="QL50" s="276"/>
      <c r="QM50" s="276"/>
      <c r="QN50" s="276"/>
      <c r="QO50" s="276"/>
      <c r="QP50" s="276"/>
      <c r="QQ50" s="276"/>
      <c r="QR50" s="276"/>
      <c r="QS50" s="276"/>
      <c r="QT50" s="276"/>
      <c r="QU50" s="276"/>
      <c r="QV50" s="276"/>
      <c r="QW50" s="276"/>
      <c r="QX50" s="276"/>
      <c r="QY50" s="276"/>
      <c r="QZ50" s="276"/>
      <c r="RA50" s="276"/>
      <c r="RB50" s="276"/>
      <c r="RC50" s="276"/>
      <c r="RD50" s="276"/>
      <c r="RE50" s="276"/>
      <c r="RF50" s="276"/>
      <c r="RG50" s="276"/>
      <c r="RH50" s="276"/>
      <c r="RI50" s="276"/>
      <c r="RJ50" s="276"/>
      <c r="RK50" s="276"/>
      <c r="RL50" s="276"/>
      <c r="RM50" s="276"/>
      <c r="RN50" s="276"/>
      <c r="RO50" s="276"/>
      <c r="RP50" s="276"/>
      <c r="RQ50" s="276"/>
      <c r="RR50" s="276"/>
      <c r="RS50" s="276"/>
      <c r="RT50" s="276"/>
      <c r="RU50" s="276"/>
      <c r="RV50" s="276"/>
      <c r="RW50" s="276"/>
      <c r="RX50" s="276"/>
      <c r="RY50" s="276"/>
      <c r="RZ50" s="276"/>
      <c r="SA50" s="276"/>
      <c r="SB50" s="276"/>
      <c r="SC50" s="276"/>
      <c r="SD50" s="276"/>
      <c r="SE50" s="276"/>
      <c r="SF50" s="276"/>
      <c r="SG50" s="276"/>
      <c r="SH50" s="276"/>
      <c r="SI50" s="276"/>
      <c r="SJ50" s="276"/>
      <c r="SK50" s="276"/>
      <c r="SL50" s="276"/>
      <c r="SM50" s="276"/>
      <c r="SN50" s="276"/>
      <c r="SO50" s="276"/>
      <c r="SP50" s="276"/>
      <c r="SQ50" s="276"/>
      <c r="SR50" s="276"/>
      <c r="SS50" s="276"/>
      <c r="ST50" s="276"/>
      <c r="SU50" s="276"/>
      <c r="SV50" s="276"/>
      <c r="SW50" s="276"/>
      <c r="SX50" s="276"/>
      <c r="SY50" s="276"/>
      <c r="SZ50" s="276"/>
      <c r="TA50" s="276"/>
      <c r="TB50" s="276"/>
      <c r="TC50" s="276"/>
      <c r="TD50" s="276"/>
      <c r="TE50" s="276"/>
      <c r="TF50" s="276"/>
      <c r="TG50" s="276"/>
      <c r="TH50" s="276"/>
      <c r="TI50" s="276"/>
      <c r="TJ50" s="276"/>
      <c r="TK50" s="276"/>
      <c r="TL50" s="276"/>
      <c r="TM50" s="276"/>
      <c r="TN50" s="276"/>
      <c r="TO50" s="276"/>
      <c r="TP50" s="276"/>
      <c r="TQ50" s="276"/>
      <c r="TR50" s="276"/>
      <c r="TS50" s="276"/>
      <c r="TT50" s="276"/>
      <c r="TU50" s="276"/>
      <c r="TV50" s="276"/>
      <c r="TW50" s="276"/>
      <c r="TX50" s="276"/>
      <c r="TY50" s="276"/>
      <c r="TZ50" s="276"/>
      <c r="UA50" s="276"/>
      <c r="UB50" s="276"/>
      <c r="UC50" s="276"/>
      <c r="UD50" s="276"/>
      <c r="UE50" s="276"/>
      <c r="UF50" s="276"/>
      <c r="UG50" s="276"/>
      <c r="UH50" s="276"/>
      <c r="UI50" s="276"/>
      <c r="UJ50" s="276"/>
      <c r="UK50" s="276"/>
      <c r="UL50" s="276"/>
      <c r="UM50" s="276"/>
      <c r="UN50" s="276"/>
      <c r="UO50" s="276"/>
      <c r="UP50" s="276"/>
      <c r="UQ50" s="276"/>
      <c r="UR50" s="276"/>
      <c r="US50" s="276"/>
      <c r="UT50" s="276"/>
      <c r="UU50" s="276"/>
      <c r="UV50" s="276"/>
      <c r="UW50" s="276"/>
      <c r="UX50" s="276"/>
      <c r="UY50" s="209"/>
      <c r="UZ50" s="209"/>
      <c r="VA50" s="209"/>
      <c r="VB50" s="209"/>
      <c r="VC50" s="209"/>
      <c r="VD50" s="209"/>
      <c r="VE50" s="209"/>
      <c r="VF50" s="209"/>
      <c r="VG50" s="209"/>
      <c r="VH50" s="209"/>
      <c r="VI50" s="209"/>
      <c r="VJ50" s="209"/>
      <c r="VK50" s="209"/>
      <c r="VL50" s="209"/>
      <c r="VM50" s="209"/>
      <c r="VN50" s="209"/>
    </row>
    <row r="51" spans="1:586" ht="15" customHeight="1" x14ac:dyDescent="0.2">
      <c r="A51" s="69"/>
      <c r="E51" s="265"/>
      <c r="L51" s="69"/>
      <c r="R51" s="70"/>
      <c r="T51" s="69"/>
      <c r="V51" s="71"/>
      <c r="W51" s="69"/>
      <c r="X51" s="71"/>
      <c r="Y51" s="69"/>
      <c r="Z51" s="70"/>
      <c r="AB51" s="69"/>
      <c r="AD51" s="71"/>
      <c r="AE51" s="69"/>
      <c r="AF51" s="71"/>
      <c r="AG51" s="69"/>
      <c r="AH51" s="70"/>
      <c r="AJ51" s="69"/>
      <c r="AL51" s="71"/>
      <c r="AM51" s="69"/>
      <c r="AN51" s="71"/>
      <c r="AO51" s="69"/>
      <c r="AP51" s="70"/>
      <c r="AR51" s="69"/>
      <c r="AV51" s="277"/>
      <c r="AW51" s="209"/>
      <c r="AX51" s="209"/>
      <c r="AY51" s="209"/>
      <c r="AZ51" s="276"/>
      <c r="BA51" s="209"/>
      <c r="BB51" s="209"/>
      <c r="BC51" s="209"/>
      <c r="BD51" s="209"/>
      <c r="BE51" s="209"/>
      <c r="BF51" s="209"/>
      <c r="BG51" s="277"/>
      <c r="BH51" s="277"/>
      <c r="BI51" s="277"/>
      <c r="BJ51" s="277"/>
      <c r="BK51" s="277"/>
      <c r="BL51" s="277"/>
      <c r="BM51" s="277"/>
      <c r="BN51" s="277"/>
      <c r="BO51" s="277"/>
      <c r="BP51" s="277"/>
      <c r="BQ51" s="277"/>
      <c r="BR51" s="277"/>
      <c r="BS51" s="277"/>
      <c r="BT51" s="277"/>
      <c r="BU51" s="277"/>
      <c r="BV51" s="277"/>
      <c r="BW51" s="277"/>
      <c r="BX51" s="277"/>
      <c r="BY51" s="277"/>
      <c r="BZ51" s="277"/>
      <c r="CA51" s="277"/>
      <c r="CB51" s="277"/>
      <c r="CC51" s="277"/>
      <c r="CD51" s="277"/>
      <c r="CE51" s="277"/>
      <c r="CF51" s="277"/>
      <c r="CG51" s="277"/>
      <c r="CH51" s="277"/>
      <c r="CI51" s="277"/>
      <c r="CJ51" s="277"/>
      <c r="CK51" s="277"/>
      <c r="CL51" s="277"/>
      <c r="CM51" s="277"/>
      <c r="CN51" s="277"/>
      <c r="CO51" s="277"/>
      <c r="CP51" s="277"/>
      <c r="CQ51" s="277"/>
      <c r="CR51" s="277"/>
      <c r="CS51" s="277"/>
      <c r="CT51" s="277"/>
      <c r="CU51" s="277"/>
      <c r="CV51" s="277"/>
      <c r="CW51" s="277"/>
      <c r="CX51" s="277"/>
      <c r="CY51" s="277"/>
      <c r="CZ51" s="277"/>
      <c r="DA51" s="277"/>
      <c r="DB51" s="277"/>
      <c r="DC51" s="277"/>
      <c r="DD51" s="277"/>
      <c r="DE51" s="277"/>
      <c r="DF51" s="277"/>
      <c r="DG51" s="277"/>
      <c r="DH51" s="277"/>
      <c r="DI51" s="277"/>
      <c r="DJ51" s="277"/>
      <c r="DK51" s="277"/>
      <c r="DL51" s="277"/>
      <c r="DM51" s="277"/>
      <c r="DN51" s="277"/>
      <c r="DO51" s="277"/>
      <c r="DP51" s="277"/>
      <c r="DQ51" s="277"/>
      <c r="DR51" s="277"/>
      <c r="DS51" s="209"/>
      <c r="DT51" s="209"/>
      <c r="DU51" s="209"/>
      <c r="DV51" s="209"/>
      <c r="DW51" s="209"/>
      <c r="DX51" s="209"/>
      <c r="DY51" s="209"/>
      <c r="DZ51" s="209"/>
      <c r="EA51" s="209"/>
      <c r="EB51" s="209"/>
      <c r="EC51" s="209"/>
      <c r="ED51" s="209"/>
      <c r="EE51" s="209"/>
      <c r="EF51" s="209"/>
      <c r="EG51" s="209"/>
      <c r="EH51" s="209"/>
      <c r="EI51" s="209"/>
      <c r="EJ51" s="209"/>
      <c r="EK51" s="209"/>
      <c r="EL51" s="209"/>
      <c r="EM51" s="209"/>
      <c r="EN51" s="209"/>
      <c r="EO51" s="209"/>
      <c r="EP51" s="209"/>
      <c r="EQ51" s="209"/>
      <c r="ER51" s="209"/>
      <c r="ES51" s="209"/>
      <c r="ET51" s="209"/>
      <c r="EU51" s="209"/>
      <c r="EV51" s="209"/>
      <c r="EW51" s="209"/>
      <c r="EX51" s="209"/>
      <c r="EY51" s="209"/>
      <c r="EZ51" s="209"/>
      <c r="FA51" s="209"/>
      <c r="FB51" s="209"/>
      <c r="FC51" s="209"/>
      <c r="FD51" s="209"/>
      <c r="FE51" s="209"/>
      <c r="FF51" s="209"/>
      <c r="FG51" s="209"/>
      <c r="FH51" s="209"/>
      <c r="FI51" s="209"/>
      <c r="FJ51" s="209"/>
      <c r="FK51" s="209"/>
      <c r="FL51" s="209"/>
      <c r="FM51" s="209"/>
      <c r="FN51" s="209"/>
      <c r="FO51" s="209"/>
      <c r="FP51" s="209"/>
      <c r="FQ51" s="209"/>
      <c r="FR51" s="209"/>
      <c r="FS51" s="209"/>
      <c r="FT51" s="209"/>
      <c r="FU51" s="209"/>
      <c r="FV51" s="209"/>
      <c r="FW51" s="209"/>
      <c r="FX51" s="209"/>
      <c r="FY51" s="209"/>
      <c r="FZ51" s="209"/>
      <c r="GA51" s="209"/>
      <c r="GB51" s="209"/>
      <c r="GC51" s="209"/>
      <c r="GD51" s="209"/>
      <c r="GE51" s="276"/>
      <c r="GF51" s="276"/>
      <c r="GG51" s="276"/>
      <c r="GH51" s="276"/>
      <c r="GI51" s="276"/>
      <c r="GJ51" s="276"/>
      <c r="GK51" s="276"/>
      <c r="GL51" s="276"/>
      <c r="GM51" s="276"/>
      <c r="GN51" s="276"/>
      <c r="GO51" s="276"/>
      <c r="GP51" s="276"/>
      <c r="GQ51" s="276"/>
      <c r="GR51" s="276"/>
      <c r="GS51" s="276"/>
      <c r="GT51" s="276"/>
      <c r="GU51" s="276"/>
      <c r="GV51" s="276"/>
      <c r="GW51" s="276"/>
      <c r="GX51" s="276"/>
      <c r="GY51" s="276"/>
      <c r="GZ51" s="276"/>
      <c r="HA51" s="276"/>
      <c r="HB51" s="276"/>
      <c r="HC51" s="276"/>
      <c r="HD51" s="276"/>
      <c r="HE51" s="276"/>
      <c r="HF51" s="276"/>
      <c r="HG51" s="276"/>
      <c r="HH51" s="276"/>
      <c r="HI51" s="276"/>
      <c r="HJ51" s="276"/>
      <c r="HK51" s="276"/>
      <c r="HL51" s="276"/>
      <c r="HM51" s="276"/>
      <c r="HN51" s="276"/>
      <c r="HO51" s="276"/>
      <c r="HP51" s="276"/>
      <c r="HQ51" s="276"/>
      <c r="HR51" s="276"/>
      <c r="HS51" s="276"/>
      <c r="HT51" s="276"/>
      <c r="HU51" s="276"/>
      <c r="HV51" s="276"/>
      <c r="HW51" s="276"/>
      <c r="HX51" s="276"/>
      <c r="HY51" s="276"/>
      <c r="HZ51" s="276"/>
      <c r="IA51" s="276"/>
      <c r="IB51" s="276"/>
      <c r="IC51" s="276"/>
      <c r="ID51" s="276"/>
      <c r="IE51" s="276"/>
      <c r="IF51" s="276"/>
      <c r="IG51" s="276"/>
      <c r="IH51" s="276"/>
      <c r="II51" s="276"/>
      <c r="IJ51" s="276"/>
      <c r="IK51" s="276"/>
      <c r="IL51" s="276"/>
      <c r="IM51" s="276"/>
      <c r="IN51" s="276"/>
      <c r="IO51" s="276"/>
      <c r="IP51" s="276"/>
      <c r="IQ51" s="276"/>
      <c r="IR51" s="276"/>
      <c r="IS51" s="276"/>
      <c r="IT51" s="276"/>
      <c r="IU51" s="276"/>
      <c r="IV51" s="276"/>
      <c r="IW51" s="276"/>
      <c r="IX51" s="276"/>
      <c r="IY51" s="276"/>
      <c r="IZ51" s="276"/>
      <c r="JA51" s="276"/>
      <c r="JB51" s="276"/>
      <c r="JC51" s="276"/>
      <c r="JD51" s="276"/>
      <c r="JE51" s="276"/>
      <c r="JF51" s="276"/>
      <c r="JG51" s="276"/>
      <c r="JH51" s="276"/>
      <c r="JI51" s="276"/>
      <c r="JJ51" s="276"/>
      <c r="JK51" s="276"/>
      <c r="JL51" s="276"/>
      <c r="JM51" s="276"/>
      <c r="JN51" s="276"/>
      <c r="JO51" s="276"/>
      <c r="JP51" s="276"/>
      <c r="JQ51" s="276"/>
      <c r="JR51" s="276"/>
      <c r="JS51" s="276"/>
      <c r="JT51" s="276"/>
      <c r="JU51" s="276"/>
      <c r="JV51" s="276"/>
      <c r="JW51" s="276"/>
      <c r="JX51" s="276"/>
      <c r="JY51" s="276"/>
      <c r="JZ51" s="276"/>
      <c r="KA51" s="276"/>
      <c r="KB51" s="276"/>
      <c r="KC51" s="276"/>
      <c r="KD51" s="276"/>
      <c r="KE51" s="276"/>
      <c r="KF51" s="276"/>
      <c r="KG51" s="276"/>
      <c r="KH51" s="276"/>
      <c r="KI51" s="276"/>
      <c r="KJ51" s="276"/>
      <c r="KK51" s="276"/>
      <c r="KL51" s="276"/>
      <c r="KM51" s="276"/>
      <c r="KN51" s="276"/>
      <c r="KO51" s="276"/>
      <c r="KP51" s="276"/>
      <c r="KQ51" s="276"/>
      <c r="KR51" s="276"/>
      <c r="KS51" s="276"/>
      <c r="KT51" s="276"/>
      <c r="KU51" s="276"/>
      <c r="KV51" s="276"/>
      <c r="KW51" s="276"/>
      <c r="KX51" s="276"/>
      <c r="KY51" s="276"/>
      <c r="KZ51" s="276"/>
      <c r="LA51" s="276"/>
      <c r="LB51" s="276"/>
      <c r="LC51" s="276"/>
      <c r="LD51" s="276"/>
      <c r="LE51" s="276"/>
      <c r="LF51" s="276"/>
      <c r="LG51" s="276"/>
      <c r="LH51" s="276"/>
      <c r="LI51" s="276"/>
      <c r="LJ51" s="276"/>
      <c r="LK51" s="276"/>
      <c r="LL51" s="276"/>
      <c r="LM51" s="276"/>
      <c r="LN51" s="276"/>
      <c r="LO51" s="276"/>
      <c r="LP51" s="276"/>
      <c r="LQ51" s="276"/>
      <c r="LR51" s="276"/>
      <c r="LS51" s="276"/>
      <c r="LT51" s="276"/>
      <c r="LU51" s="276"/>
      <c r="LV51" s="276"/>
      <c r="LW51" s="276"/>
      <c r="LX51" s="276"/>
      <c r="LY51" s="276"/>
      <c r="LZ51" s="276"/>
      <c r="MA51" s="276"/>
      <c r="MB51" s="276"/>
      <c r="MC51" s="276"/>
      <c r="MD51" s="276"/>
      <c r="ME51" s="276"/>
      <c r="MF51" s="276"/>
      <c r="MG51" s="276"/>
      <c r="MH51" s="276"/>
      <c r="MI51" s="276"/>
      <c r="MJ51" s="276"/>
      <c r="MK51" s="276"/>
      <c r="ML51" s="276"/>
      <c r="MM51" s="276"/>
      <c r="MN51" s="276"/>
      <c r="MO51" s="276"/>
      <c r="MP51" s="276"/>
      <c r="MQ51" s="276"/>
      <c r="MR51" s="276"/>
      <c r="MS51" s="276"/>
      <c r="MT51" s="276"/>
      <c r="MU51" s="276"/>
      <c r="MV51" s="276"/>
      <c r="MW51" s="276"/>
      <c r="MX51" s="276"/>
      <c r="MY51" s="276"/>
      <c r="MZ51" s="276"/>
      <c r="NA51" s="276"/>
      <c r="NB51" s="276"/>
      <c r="NC51" s="276"/>
      <c r="ND51" s="276"/>
      <c r="NE51" s="276"/>
      <c r="NF51" s="276"/>
      <c r="NG51" s="276"/>
      <c r="NH51" s="276"/>
      <c r="NI51" s="276"/>
      <c r="NJ51" s="276"/>
      <c r="NK51" s="276"/>
      <c r="NL51" s="276"/>
      <c r="NM51" s="276"/>
      <c r="NN51" s="276"/>
      <c r="NO51" s="276"/>
      <c r="NP51" s="276"/>
      <c r="NQ51" s="276"/>
      <c r="NR51" s="276"/>
      <c r="NS51" s="276"/>
      <c r="NT51" s="276"/>
      <c r="NU51" s="276"/>
      <c r="NV51" s="276"/>
      <c r="NW51" s="276"/>
      <c r="NX51" s="276"/>
      <c r="NY51" s="276"/>
      <c r="NZ51" s="276"/>
      <c r="OA51" s="276"/>
      <c r="OB51" s="276"/>
      <c r="OC51" s="276"/>
      <c r="OD51" s="276"/>
      <c r="OE51" s="276"/>
      <c r="OF51" s="276"/>
      <c r="OG51" s="276"/>
      <c r="OH51" s="276"/>
      <c r="OI51" s="276"/>
      <c r="OJ51" s="276"/>
      <c r="OK51" s="276"/>
      <c r="OL51" s="276"/>
      <c r="OM51" s="276"/>
      <c r="ON51" s="276"/>
      <c r="OO51" s="276"/>
      <c r="OP51" s="276"/>
      <c r="OQ51" s="276"/>
      <c r="OR51" s="276"/>
      <c r="OS51" s="276"/>
      <c r="OT51" s="276"/>
      <c r="OU51" s="276"/>
      <c r="OV51" s="276"/>
      <c r="OW51" s="276"/>
      <c r="OX51" s="276"/>
      <c r="OY51" s="276"/>
      <c r="OZ51" s="276"/>
      <c r="PA51" s="276"/>
      <c r="PB51" s="276"/>
      <c r="PC51" s="276"/>
      <c r="PD51" s="276"/>
      <c r="PE51" s="276"/>
      <c r="PF51" s="276"/>
      <c r="PG51" s="276"/>
      <c r="PH51" s="276"/>
      <c r="PI51" s="276"/>
      <c r="PJ51" s="276"/>
      <c r="PK51" s="276"/>
      <c r="PL51" s="276"/>
      <c r="PM51" s="276"/>
      <c r="PN51" s="276"/>
      <c r="PO51" s="276"/>
      <c r="PP51" s="276"/>
      <c r="PQ51" s="276"/>
      <c r="PR51" s="276"/>
      <c r="PS51" s="276"/>
      <c r="PT51" s="276"/>
      <c r="PU51" s="276"/>
      <c r="PV51" s="276"/>
      <c r="PW51" s="276"/>
      <c r="PX51" s="276"/>
      <c r="PY51" s="276"/>
      <c r="PZ51" s="276"/>
      <c r="QA51" s="276"/>
      <c r="QB51" s="276"/>
      <c r="QC51" s="276"/>
      <c r="QD51" s="276"/>
      <c r="QE51" s="276"/>
      <c r="QF51" s="276"/>
      <c r="QG51" s="276"/>
      <c r="QH51" s="276"/>
      <c r="QI51" s="276"/>
      <c r="QJ51" s="276"/>
      <c r="QK51" s="276"/>
      <c r="QL51" s="276"/>
      <c r="QM51" s="276"/>
      <c r="QN51" s="276"/>
      <c r="QO51" s="276"/>
      <c r="QP51" s="276"/>
      <c r="QQ51" s="276"/>
      <c r="QR51" s="276"/>
      <c r="QS51" s="276"/>
      <c r="QT51" s="276"/>
      <c r="QU51" s="276"/>
      <c r="QV51" s="276"/>
      <c r="QW51" s="276"/>
      <c r="QX51" s="276"/>
      <c r="QY51" s="276"/>
      <c r="QZ51" s="276"/>
      <c r="RA51" s="276"/>
      <c r="RB51" s="276"/>
      <c r="RC51" s="276"/>
      <c r="RD51" s="276"/>
      <c r="RE51" s="276"/>
      <c r="RF51" s="276"/>
      <c r="RG51" s="276"/>
      <c r="RH51" s="276"/>
      <c r="RI51" s="276"/>
      <c r="RJ51" s="276"/>
      <c r="RK51" s="276"/>
      <c r="RL51" s="276"/>
      <c r="RM51" s="276"/>
      <c r="RN51" s="276"/>
      <c r="RO51" s="276"/>
      <c r="RP51" s="276"/>
      <c r="RQ51" s="276"/>
      <c r="RR51" s="276"/>
      <c r="RS51" s="276"/>
      <c r="RT51" s="276"/>
      <c r="RU51" s="276"/>
      <c r="RV51" s="276"/>
      <c r="RW51" s="276"/>
      <c r="RX51" s="276"/>
      <c r="RY51" s="276"/>
      <c r="RZ51" s="276"/>
      <c r="SA51" s="276"/>
      <c r="SB51" s="276"/>
      <c r="SC51" s="276"/>
      <c r="SD51" s="276"/>
      <c r="SE51" s="276"/>
      <c r="SF51" s="276"/>
      <c r="SG51" s="276"/>
      <c r="SH51" s="276"/>
      <c r="SI51" s="276"/>
      <c r="SJ51" s="276"/>
      <c r="SK51" s="276"/>
      <c r="SL51" s="276"/>
      <c r="SM51" s="276"/>
      <c r="SN51" s="276"/>
      <c r="SO51" s="276"/>
      <c r="SP51" s="276"/>
      <c r="SQ51" s="276"/>
      <c r="SR51" s="276"/>
      <c r="SS51" s="276"/>
      <c r="ST51" s="276"/>
      <c r="SU51" s="276"/>
      <c r="SV51" s="276"/>
      <c r="SW51" s="276"/>
      <c r="SX51" s="276"/>
      <c r="SY51" s="276"/>
      <c r="SZ51" s="276"/>
      <c r="TA51" s="276"/>
      <c r="TB51" s="276"/>
      <c r="TC51" s="276"/>
      <c r="TD51" s="276"/>
      <c r="TE51" s="276"/>
      <c r="TF51" s="276"/>
      <c r="TG51" s="276"/>
      <c r="TH51" s="276"/>
      <c r="TI51" s="276"/>
      <c r="TJ51" s="276"/>
      <c r="TK51" s="276"/>
      <c r="TL51" s="276"/>
      <c r="TM51" s="276"/>
      <c r="TN51" s="276"/>
      <c r="TO51" s="276"/>
      <c r="TP51" s="276"/>
      <c r="TQ51" s="276"/>
      <c r="TR51" s="276"/>
      <c r="TS51" s="276"/>
      <c r="TT51" s="276"/>
      <c r="TU51" s="276"/>
      <c r="TV51" s="276"/>
      <c r="TW51" s="276"/>
      <c r="TX51" s="276"/>
      <c r="TY51" s="276"/>
      <c r="TZ51" s="276"/>
      <c r="UA51" s="276"/>
      <c r="UB51" s="276"/>
      <c r="UC51" s="276"/>
      <c r="UD51" s="276"/>
      <c r="UE51" s="276"/>
      <c r="UF51" s="276"/>
      <c r="UG51" s="276"/>
      <c r="UH51" s="276"/>
      <c r="UI51" s="276"/>
      <c r="UJ51" s="276"/>
      <c r="UK51" s="276"/>
      <c r="UL51" s="276"/>
      <c r="UM51" s="276"/>
      <c r="UN51" s="276"/>
      <c r="UO51" s="276"/>
      <c r="UP51" s="276"/>
      <c r="UQ51" s="276"/>
      <c r="UR51" s="276"/>
      <c r="US51" s="276"/>
      <c r="UT51" s="276"/>
      <c r="UU51" s="276"/>
      <c r="UV51" s="276"/>
      <c r="UW51" s="276"/>
      <c r="UX51" s="276"/>
      <c r="UY51" s="209"/>
      <c r="UZ51" s="209"/>
      <c r="VA51" s="209"/>
      <c r="VB51" s="209"/>
      <c r="VC51" s="209"/>
      <c r="VD51" s="209"/>
      <c r="VE51" s="209"/>
      <c r="VF51" s="209"/>
      <c r="VG51" s="209"/>
      <c r="VH51" s="209"/>
      <c r="VI51" s="209"/>
      <c r="VJ51" s="209"/>
      <c r="VK51" s="209"/>
      <c r="VL51" s="209"/>
      <c r="VM51" s="209"/>
      <c r="VN51" s="209"/>
    </row>
    <row r="52" spans="1:586" ht="15" customHeight="1" x14ac:dyDescent="0.2">
      <c r="A52" s="69"/>
      <c r="E52" s="265"/>
      <c r="L52" s="69"/>
      <c r="R52" s="70"/>
      <c r="T52" s="69"/>
      <c r="V52" s="71"/>
      <c r="W52" s="69"/>
      <c r="X52" s="71"/>
      <c r="Y52" s="69"/>
      <c r="Z52" s="70"/>
      <c r="AB52" s="69"/>
      <c r="AD52" s="71"/>
      <c r="AE52" s="69"/>
      <c r="AF52" s="71"/>
      <c r="AG52" s="69"/>
      <c r="AH52" s="70"/>
      <c r="AJ52" s="69"/>
      <c r="AL52" s="71"/>
      <c r="AM52" s="69"/>
      <c r="AN52" s="71"/>
      <c r="AO52" s="69"/>
      <c r="AP52" s="70"/>
      <c r="AR52" s="69"/>
      <c r="AV52" s="277"/>
      <c r="AW52" s="209"/>
      <c r="AX52" s="209"/>
      <c r="AY52" s="209"/>
      <c r="AZ52" s="276"/>
      <c r="BA52" s="209"/>
      <c r="BB52" s="209"/>
      <c r="BC52" s="209"/>
      <c r="BD52" s="209"/>
      <c r="BE52" s="209"/>
      <c r="BF52" s="209"/>
      <c r="BG52" s="277"/>
      <c r="BH52" s="277"/>
      <c r="BI52" s="277"/>
      <c r="BJ52" s="277"/>
      <c r="BK52" s="277"/>
      <c r="BL52" s="277"/>
      <c r="BM52" s="277"/>
      <c r="BN52" s="277"/>
      <c r="BO52" s="277"/>
      <c r="BP52" s="277"/>
      <c r="BQ52" s="277"/>
      <c r="BR52" s="277"/>
      <c r="BS52" s="277"/>
      <c r="BT52" s="277"/>
      <c r="BU52" s="277"/>
      <c r="BV52" s="277"/>
      <c r="BW52" s="277"/>
      <c r="BX52" s="277"/>
      <c r="BY52" s="277"/>
      <c r="BZ52" s="277"/>
      <c r="CA52" s="277"/>
      <c r="CB52" s="277"/>
      <c r="CC52" s="277"/>
      <c r="CD52" s="277"/>
      <c r="CE52" s="277"/>
      <c r="CF52" s="277"/>
      <c r="CG52" s="277"/>
      <c r="CH52" s="277"/>
      <c r="CI52" s="277"/>
      <c r="CJ52" s="277"/>
      <c r="CK52" s="277"/>
      <c r="CL52" s="277"/>
      <c r="CM52" s="277"/>
      <c r="CN52" s="277"/>
      <c r="CO52" s="277"/>
      <c r="CP52" s="277"/>
      <c r="CQ52" s="277"/>
      <c r="CR52" s="277"/>
      <c r="CS52" s="277"/>
      <c r="CT52" s="277"/>
      <c r="CU52" s="277"/>
      <c r="CV52" s="277"/>
      <c r="CW52" s="277"/>
      <c r="CX52" s="277"/>
      <c r="CY52" s="277"/>
      <c r="CZ52" s="277"/>
      <c r="DA52" s="277"/>
      <c r="DB52" s="277"/>
      <c r="DC52" s="277"/>
      <c r="DD52" s="277"/>
      <c r="DE52" s="277"/>
      <c r="DF52" s="277"/>
      <c r="DG52" s="277"/>
      <c r="DH52" s="277"/>
      <c r="DI52" s="277"/>
      <c r="DJ52" s="277"/>
      <c r="DK52" s="277"/>
      <c r="DL52" s="277"/>
      <c r="DM52" s="277"/>
      <c r="DN52" s="277"/>
      <c r="DO52" s="277"/>
      <c r="DP52" s="277"/>
      <c r="DQ52" s="277"/>
      <c r="DR52" s="277"/>
      <c r="DS52" s="209"/>
      <c r="DT52" s="209"/>
      <c r="DU52" s="209"/>
      <c r="DV52" s="209"/>
      <c r="DW52" s="209"/>
      <c r="DX52" s="209"/>
      <c r="DY52" s="209"/>
      <c r="DZ52" s="209"/>
      <c r="EA52" s="209"/>
      <c r="EB52" s="209"/>
      <c r="EC52" s="209"/>
      <c r="ED52" s="209"/>
      <c r="EE52" s="209"/>
      <c r="EF52" s="209"/>
      <c r="EG52" s="209"/>
      <c r="EH52" s="209"/>
      <c r="EI52" s="209"/>
      <c r="EJ52" s="209"/>
      <c r="EK52" s="209"/>
      <c r="EL52" s="209"/>
      <c r="EM52" s="209"/>
      <c r="EN52" s="209"/>
      <c r="EO52" s="209"/>
      <c r="EP52" s="209"/>
      <c r="EQ52" s="209"/>
      <c r="ER52" s="209"/>
      <c r="ES52" s="209"/>
      <c r="ET52" s="209"/>
      <c r="EU52" s="209"/>
      <c r="EV52" s="209"/>
      <c r="EW52" s="209"/>
      <c r="EX52" s="209"/>
      <c r="EY52" s="209"/>
      <c r="EZ52" s="209"/>
      <c r="FA52" s="209"/>
      <c r="FB52" s="209"/>
      <c r="FC52" s="209"/>
      <c r="FD52" s="209"/>
      <c r="FE52" s="209"/>
      <c r="FF52" s="209"/>
      <c r="FG52" s="209"/>
      <c r="FH52" s="209"/>
      <c r="FI52" s="209"/>
      <c r="FJ52" s="209"/>
      <c r="FK52" s="209"/>
      <c r="FL52" s="209"/>
      <c r="FM52" s="209"/>
      <c r="FN52" s="209"/>
      <c r="FO52" s="209"/>
      <c r="FP52" s="209"/>
      <c r="FQ52" s="209"/>
      <c r="FR52" s="209"/>
      <c r="FS52" s="209"/>
      <c r="FT52" s="209"/>
      <c r="FU52" s="209"/>
      <c r="FV52" s="209"/>
      <c r="FW52" s="209"/>
      <c r="FX52" s="209"/>
      <c r="FY52" s="209"/>
      <c r="FZ52" s="209"/>
      <c r="GA52" s="209"/>
      <c r="GB52" s="209"/>
      <c r="GC52" s="209"/>
      <c r="GD52" s="209"/>
      <c r="GE52" s="276"/>
      <c r="GF52" s="276"/>
      <c r="GG52" s="276"/>
      <c r="GH52" s="276"/>
      <c r="GI52" s="276"/>
      <c r="GJ52" s="276"/>
      <c r="GK52" s="276"/>
      <c r="GL52" s="276"/>
      <c r="GM52" s="276"/>
      <c r="GN52" s="276"/>
      <c r="GO52" s="276"/>
      <c r="GP52" s="276"/>
      <c r="GQ52" s="276"/>
      <c r="GR52" s="276"/>
      <c r="GS52" s="276"/>
      <c r="GT52" s="276"/>
      <c r="GU52" s="276"/>
      <c r="GV52" s="276"/>
      <c r="GW52" s="276"/>
      <c r="GX52" s="276"/>
      <c r="GY52" s="276"/>
      <c r="GZ52" s="276"/>
      <c r="HA52" s="276"/>
      <c r="HB52" s="276"/>
      <c r="HC52" s="276"/>
      <c r="HD52" s="276"/>
      <c r="HE52" s="276"/>
      <c r="HF52" s="276"/>
      <c r="HG52" s="276"/>
      <c r="HH52" s="276"/>
      <c r="HI52" s="276"/>
      <c r="HJ52" s="276"/>
      <c r="HK52" s="276"/>
      <c r="HL52" s="276"/>
      <c r="HM52" s="276"/>
      <c r="HN52" s="276"/>
      <c r="HO52" s="276"/>
      <c r="HP52" s="276"/>
      <c r="HQ52" s="276"/>
      <c r="HR52" s="276"/>
      <c r="HS52" s="276"/>
      <c r="HT52" s="276"/>
      <c r="HU52" s="276"/>
      <c r="HV52" s="276"/>
      <c r="HW52" s="276"/>
      <c r="HX52" s="276"/>
      <c r="HY52" s="276"/>
      <c r="HZ52" s="276"/>
      <c r="IA52" s="276"/>
      <c r="IB52" s="276"/>
      <c r="IC52" s="276"/>
      <c r="ID52" s="276"/>
      <c r="IE52" s="276"/>
      <c r="IF52" s="276"/>
      <c r="IG52" s="276"/>
      <c r="IH52" s="276"/>
      <c r="II52" s="276"/>
      <c r="IJ52" s="276"/>
      <c r="IK52" s="276"/>
      <c r="IL52" s="276"/>
      <c r="IM52" s="276"/>
      <c r="IN52" s="276"/>
      <c r="IO52" s="276"/>
      <c r="IP52" s="276"/>
      <c r="IQ52" s="276"/>
      <c r="IR52" s="276"/>
      <c r="IS52" s="276"/>
      <c r="IT52" s="276"/>
      <c r="IU52" s="276"/>
      <c r="IV52" s="276"/>
      <c r="IW52" s="276"/>
      <c r="IX52" s="276"/>
      <c r="IY52" s="276"/>
      <c r="IZ52" s="276"/>
      <c r="JA52" s="276"/>
      <c r="JB52" s="276"/>
      <c r="JC52" s="276"/>
      <c r="JD52" s="276"/>
      <c r="JE52" s="276"/>
      <c r="JF52" s="276"/>
      <c r="JG52" s="276"/>
      <c r="JH52" s="276"/>
      <c r="JI52" s="276"/>
      <c r="JJ52" s="276"/>
      <c r="JK52" s="276"/>
      <c r="JL52" s="276"/>
      <c r="JM52" s="276"/>
      <c r="JN52" s="276"/>
      <c r="JO52" s="276"/>
      <c r="JP52" s="276"/>
      <c r="JQ52" s="276"/>
      <c r="JR52" s="276"/>
      <c r="JS52" s="276"/>
      <c r="JT52" s="276"/>
      <c r="JU52" s="276"/>
      <c r="JV52" s="276"/>
      <c r="JW52" s="276"/>
      <c r="JX52" s="276"/>
      <c r="JY52" s="276"/>
      <c r="JZ52" s="276"/>
      <c r="KA52" s="276"/>
      <c r="KB52" s="276"/>
      <c r="KC52" s="276"/>
      <c r="KD52" s="276"/>
      <c r="KE52" s="276"/>
      <c r="KF52" s="276"/>
      <c r="KG52" s="276"/>
      <c r="KH52" s="276"/>
      <c r="KI52" s="276"/>
      <c r="KJ52" s="276"/>
      <c r="KK52" s="276"/>
      <c r="KL52" s="276"/>
      <c r="KM52" s="276"/>
      <c r="KN52" s="276"/>
      <c r="KO52" s="276"/>
      <c r="KP52" s="276"/>
      <c r="KQ52" s="276"/>
      <c r="KR52" s="276"/>
      <c r="KS52" s="276"/>
      <c r="KT52" s="276"/>
      <c r="KU52" s="276"/>
      <c r="KV52" s="276"/>
      <c r="KW52" s="276"/>
      <c r="KX52" s="276"/>
      <c r="KY52" s="276"/>
      <c r="KZ52" s="276"/>
      <c r="LA52" s="276"/>
      <c r="LB52" s="276"/>
      <c r="LC52" s="276"/>
      <c r="LD52" s="276"/>
      <c r="LE52" s="276"/>
      <c r="LF52" s="276"/>
      <c r="LG52" s="276"/>
      <c r="LH52" s="276"/>
      <c r="LI52" s="276"/>
      <c r="LJ52" s="276"/>
      <c r="LK52" s="276"/>
      <c r="LL52" s="276"/>
      <c r="LM52" s="276"/>
      <c r="LN52" s="276"/>
      <c r="LO52" s="276"/>
      <c r="LP52" s="276"/>
      <c r="LQ52" s="276"/>
      <c r="LR52" s="276"/>
      <c r="LS52" s="276"/>
      <c r="LT52" s="276"/>
      <c r="LU52" s="276"/>
      <c r="LV52" s="276"/>
      <c r="LW52" s="276"/>
      <c r="LX52" s="276"/>
      <c r="LY52" s="276"/>
      <c r="LZ52" s="276"/>
      <c r="MA52" s="276"/>
      <c r="MB52" s="276"/>
      <c r="MC52" s="276"/>
      <c r="MD52" s="276"/>
      <c r="ME52" s="276"/>
      <c r="MF52" s="276"/>
      <c r="MG52" s="276"/>
      <c r="MH52" s="276"/>
      <c r="MI52" s="276"/>
      <c r="MJ52" s="276"/>
      <c r="MK52" s="276"/>
      <c r="ML52" s="276"/>
      <c r="MM52" s="276"/>
      <c r="MN52" s="276"/>
      <c r="MO52" s="276"/>
      <c r="MP52" s="276"/>
      <c r="MQ52" s="276"/>
      <c r="MR52" s="276"/>
      <c r="MS52" s="276"/>
      <c r="MT52" s="276"/>
      <c r="MU52" s="276"/>
      <c r="MV52" s="276"/>
      <c r="MW52" s="276"/>
      <c r="MX52" s="276"/>
      <c r="MY52" s="276"/>
      <c r="MZ52" s="276"/>
      <c r="NA52" s="276"/>
      <c r="NB52" s="276"/>
      <c r="NC52" s="276"/>
      <c r="ND52" s="276"/>
      <c r="NE52" s="276"/>
      <c r="NF52" s="276"/>
      <c r="NG52" s="276"/>
      <c r="NH52" s="276"/>
      <c r="NI52" s="276"/>
      <c r="NJ52" s="276"/>
      <c r="NK52" s="276"/>
      <c r="NL52" s="276"/>
      <c r="NM52" s="276"/>
      <c r="NN52" s="276"/>
      <c r="NO52" s="276"/>
      <c r="NP52" s="276"/>
      <c r="NQ52" s="276"/>
      <c r="NR52" s="276"/>
      <c r="NS52" s="276"/>
      <c r="NT52" s="276"/>
      <c r="NU52" s="276"/>
      <c r="NV52" s="276"/>
      <c r="NW52" s="276"/>
      <c r="NX52" s="276"/>
      <c r="NY52" s="276"/>
      <c r="NZ52" s="276"/>
      <c r="OA52" s="276"/>
      <c r="OB52" s="276"/>
      <c r="OC52" s="276"/>
      <c r="OD52" s="276"/>
      <c r="OE52" s="276"/>
      <c r="OF52" s="276"/>
      <c r="OG52" s="276"/>
      <c r="OH52" s="276"/>
      <c r="OI52" s="276"/>
      <c r="OJ52" s="276"/>
      <c r="OK52" s="276"/>
      <c r="OL52" s="276"/>
      <c r="OM52" s="276"/>
      <c r="ON52" s="276"/>
      <c r="OO52" s="276"/>
      <c r="OP52" s="276"/>
      <c r="OQ52" s="276"/>
      <c r="OR52" s="276"/>
      <c r="OS52" s="276"/>
      <c r="OT52" s="276"/>
      <c r="OU52" s="276"/>
      <c r="OV52" s="276"/>
      <c r="OW52" s="276"/>
      <c r="OX52" s="276"/>
      <c r="OY52" s="276"/>
      <c r="OZ52" s="276"/>
      <c r="PA52" s="276"/>
      <c r="PB52" s="276"/>
      <c r="PC52" s="276"/>
      <c r="PD52" s="276"/>
      <c r="PE52" s="276"/>
      <c r="PF52" s="276"/>
      <c r="PG52" s="276"/>
      <c r="PH52" s="276"/>
      <c r="PI52" s="276"/>
      <c r="PJ52" s="276"/>
      <c r="PK52" s="276"/>
      <c r="PL52" s="276"/>
      <c r="PM52" s="276"/>
      <c r="PN52" s="276"/>
      <c r="PO52" s="276"/>
      <c r="PP52" s="276"/>
      <c r="PQ52" s="276"/>
      <c r="PR52" s="276"/>
      <c r="PS52" s="276"/>
      <c r="PT52" s="276"/>
      <c r="PU52" s="276"/>
      <c r="PV52" s="276"/>
      <c r="PW52" s="276"/>
      <c r="PX52" s="276"/>
      <c r="PY52" s="276"/>
      <c r="PZ52" s="276"/>
      <c r="QA52" s="276"/>
      <c r="QB52" s="276"/>
      <c r="QC52" s="276"/>
      <c r="QD52" s="276"/>
      <c r="QE52" s="276"/>
      <c r="QF52" s="276"/>
      <c r="QG52" s="276"/>
      <c r="QH52" s="276"/>
      <c r="QI52" s="276"/>
      <c r="QJ52" s="276"/>
      <c r="QK52" s="276"/>
      <c r="QL52" s="276"/>
      <c r="QM52" s="276"/>
      <c r="QN52" s="276"/>
      <c r="QO52" s="276"/>
      <c r="QP52" s="276"/>
      <c r="QQ52" s="276"/>
      <c r="QR52" s="276"/>
      <c r="QS52" s="276"/>
      <c r="QT52" s="276"/>
      <c r="QU52" s="276"/>
      <c r="QV52" s="276"/>
      <c r="QW52" s="276"/>
      <c r="QX52" s="276"/>
      <c r="QY52" s="276"/>
      <c r="QZ52" s="276"/>
      <c r="RA52" s="276"/>
      <c r="RB52" s="276"/>
      <c r="RC52" s="276"/>
      <c r="RD52" s="276"/>
      <c r="RE52" s="276"/>
      <c r="RF52" s="276"/>
      <c r="RG52" s="276"/>
      <c r="RH52" s="276"/>
      <c r="RI52" s="276"/>
      <c r="RJ52" s="276"/>
      <c r="RK52" s="276"/>
      <c r="RL52" s="276"/>
      <c r="RM52" s="276"/>
      <c r="RN52" s="276"/>
      <c r="RO52" s="276"/>
      <c r="RP52" s="276"/>
      <c r="RQ52" s="276"/>
      <c r="RR52" s="276"/>
      <c r="RS52" s="276"/>
      <c r="RT52" s="276"/>
      <c r="RU52" s="276"/>
      <c r="RV52" s="276"/>
      <c r="RW52" s="276"/>
      <c r="RX52" s="276"/>
      <c r="RY52" s="276"/>
      <c r="RZ52" s="276"/>
      <c r="SA52" s="276"/>
      <c r="SB52" s="276"/>
      <c r="SC52" s="276"/>
      <c r="SD52" s="276"/>
      <c r="SE52" s="276"/>
      <c r="SF52" s="276"/>
      <c r="SG52" s="276"/>
      <c r="SH52" s="276"/>
      <c r="SI52" s="276"/>
      <c r="SJ52" s="276"/>
      <c r="SK52" s="276"/>
      <c r="SL52" s="276"/>
      <c r="SM52" s="276"/>
      <c r="SN52" s="276"/>
      <c r="SO52" s="276"/>
      <c r="SP52" s="276"/>
      <c r="SQ52" s="276"/>
      <c r="SR52" s="276"/>
      <c r="SS52" s="276"/>
      <c r="ST52" s="276"/>
      <c r="SU52" s="276"/>
      <c r="SV52" s="276"/>
      <c r="SW52" s="276"/>
      <c r="SX52" s="276"/>
      <c r="SY52" s="276"/>
      <c r="SZ52" s="276"/>
      <c r="TA52" s="276"/>
      <c r="TB52" s="276"/>
      <c r="TC52" s="276"/>
      <c r="TD52" s="276"/>
      <c r="TE52" s="276"/>
      <c r="TF52" s="276"/>
      <c r="TG52" s="276"/>
      <c r="TH52" s="276"/>
      <c r="TI52" s="276"/>
      <c r="TJ52" s="276"/>
      <c r="TK52" s="276"/>
      <c r="TL52" s="276"/>
      <c r="TM52" s="276"/>
      <c r="TN52" s="276"/>
      <c r="TO52" s="276"/>
      <c r="TP52" s="276"/>
      <c r="TQ52" s="276"/>
      <c r="TR52" s="276"/>
      <c r="TS52" s="276"/>
      <c r="TT52" s="276"/>
      <c r="TU52" s="276"/>
      <c r="TV52" s="276"/>
      <c r="TW52" s="276"/>
      <c r="TX52" s="276"/>
      <c r="TY52" s="276"/>
      <c r="TZ52" s="276"/>
      <c r="UA52" s="276"/>
      <c r="UB52" s="276"/>
      <c r="UC52" s="276"/>
      <c r="UD52" s="276"/>
      <c r="UE52" s="276"/>
      <c r="UF52" s="276"/>
      <c r="UG52" s="276"/>
      <c r="UH52" s="276"/>
      <c r="UI52" s="276"/>
      <c r="UJ52" s="276"/>
      <c r="UK52" s="276"/>
      <c r="UL52" s="276"/>
      <c r="UM52" s="276"/>
      <c r="UN52" s="276"/>
      <c r="UO52" s="276"/>
      <c r="UP52" s="276"/>
      <c r="UQ52" s="276"/>
      <c r="UR52" s="276"/>
      <c r="US52" s="276"/>
      <c r="UT52" s="276"/>
      <c r="UU52" s="276"/>
      <c r="UV52" s="276"/>
      <c r="UW52" s="276"/>
      <c r="UX52" s="276"/>
      <c r="UY52" s="209"/>
      <c r="UZ52" s="209"/>
      <c r="VA52" s="209"/>
      <c r="VB52" s="209"/>
      <c r="VC52" s="209"/>
      <c r="VD52" s="209"/>
      <c r="VE52" s="209"/>
      <c r="VF52" s="209"/>
      <c r="VG52" s="209"/>
      <c r="VH52" s="209"/>
      <c r="VI52" s="209"/>
      <c r="VJ52" s="209"/>
      <c r="VK52" s="209"/>
      <c r="VL52" s="209"/>
      <c r="VM52" s="209"/>
      <c r="VN52" s="209"/>
    </row>
    <row r="53" spans="1:586" ht="15" customHeight="1" x14ac:dyDescent="0.2">
      <c r="A53" s="69"/>
      <c r="E53" s="265"/>
      <c r="L53" s="69"/>
      <c r="R53" s="70"/>
      <c r="T53" s="69"/>
      <c r="V53" s="71"/>
      <c r="W53" s="69"/>
      <c r="X53" s="71"/>
      <c r="Y53" s="69"/>
      <c r="Z53" s="70"/>
      <c r="AB53" s="69"/>
      <c r="AD53" s="71"/>
      <c r="AE53" s="69"/>
      <c r="AF53" s="71"/>
      <c r="AG53" s="69"/>
      <c r="AH53" s="70"/>
      <c r="AJ53" s="69"/>
      <c r="AL53" s="71"/>
      <c r="AM53" s="69"/>
      <c r="AN53" s="71"/>
      <c r="AO53" s="69"/>
      <c r="AP53" s="70"/>
      <c r="AR53" s="69"/>
      <c r="AV53" s="277"/>
      <c r="AW53" s="209"/>
      <c r="AX53" s="209"/>
      <c r="AY53" s="209"/>
      <c r="AZ53" s="276"/>
      <c r="BA53" s="209"/>
      <c r="BB53" s="209"/>
      <c r="BC53" s="209"/>
      <c r="BD53" s="209"/>
      <c r="BE53" s="209"/>
      <c r="BF53" s="209"/>
      <c r="BG53" s="277"/>
      <c r="BH53" s="277"/>
      <c r="BI53" s="277"/>
      <c r="BJ53" s="277"/>
      <c r="BK53" s="277"/>
      <c r="BL53" s="277"/>
      <c r="BM53" s="277"/>
      <c r="BN53" s="277"/>
      <c r="BO53" s="277"/>
      <c r="BP53" s="277"/>
      <c r="BQ53" s="277"/>
      <c r="BR53" s="277"/>
      <c r="BS53" s="277"/>
      <c r="BT53" s="277"/>
      <c r="BU53" s="277"/>
      <c r="BV53" s="277"/>
      <c r="BW53" s="277"/>
      <c r="BX53" s="277"/>
      <c r="BY53" s="277"/>
      <c r="BZ53" s="277"/>
      <c r="CA53" s="277"/>
      <c r="CB53" s="277"/>
      <c r="CC53" s="277"/>
      <c r="CD53" s="277"/>
      <c r="CE53" s="277"/>
      <c r="CF53" s="277"/>
      <c r="CG53" s="277"/>
      <c r="CH53" s="277"/>
      <c r="CI53" s="277"/>
      <c r="CJ53" s="277"/>
      <c r="CK53" s="277"/>
      <c r="CL53" s="277"/>
      <c r="CM53" s="277"/>
      <c r="CN53" s="277"/>
      <c r="CO53" s="277"/>
      <c r="CP53" s="277"/>
      <c r="CQ53" s="277"/>
      <c r="CR53" s="277"/>
      <c r="CS53" s="277"/>
      <c r="CT53" s="277"/>
      <c r="CU53" s="277"/>
      <c r="CV53" s="277"/>
      <c r="CW53" s="277"/>
      <c r="CX53" s="277"/>
      <c r="CY53" s="277"/>
      <c r="CZ53" s="277"/>
      <c r="DA53" s="277"/>
      <c r="DB53" s="277"/>
      <c r="DC53" s="277"/>
      <c r="DD53" s="277"/>
      <c r="DE53" s="277"/>
      <c r="DF53" s="277"/>
      <c r="DG53" s="277"/>
      <c r="DH53" s="277"/>
      <c r="DI53" s="277"/>
      <c r="DJ53" s="277"/>
      <c r="DK53" s="277"/>
      <c r="DL53" s="277"/>
      <c r="DM53" s="277"/>
      <c r="DN53" s="277"/>
      <c r="DO53" s="277"/>
      <c r="DP53" s="277"/>
      <c r="DQ53" s="277"/>
      <c r="DR53" s="277"/>
      <c r="DS53" s="209"/>
      <c r="DT53" s="209"/>
      <c r="DU53" s="209"/>
      <c r="DV53" s="209"/>
      <c r="DW53" s="209"/>
      <c r="DX53" s="209"/>
      <c r="DY53" s="209"/>
      <c r="DZ53" s="209"/>
      <c r="EA53" s="209"/>
      <c r="EB53" s="209"/>
      <c r="EC53" s="209"/>
      <c r="ED53" s="209"/>
      <c r="EE53" s="209"/>
      <c r="EF53" s="209"/>
      <c r="EG53" s="209"/>
      <c r="EH53" s="209"/>
      <c r="EI53" s="209"/>
      <c r="EJ53" s="209"/>
      <c r="EK53" s="209"/>
      <c r="EL53" s="209"/>
      <c r="EM53" s="209"/>
      <c r="EN53" s="209"/>
      <c r="EO53" s="209"/>
      <c r="EP53" s="209"/>
      <c r="EQ53" s="209"/>
      <c r="ER53" s="209"/>
      <c r="ES53" s="209"/>
      <c r="ET53" s="209"/>
      <c r="EU53" s="209"/>
      <c r="EV53" s="209"/>
      <c r="EW53" s="209"/>
      <c r="EX53" s="209"/>
      <c r="EY53" s="209"/>
      <c r="EZ53" s="209"/>
      <c r="FA53" s="209"/>
      <c r="FB53" s="209"/>
      <c r="FC53" s="209"/>
      <c r="FD53" s="209"/>
      <c r="FE53" s="209"/>
      <c r="FF53" s="209"/>
      <c r="FG53" s="209"/>
      <c r="FH53" s="209"/>
      <c r="FI53" s="209"/>
      <c r="FJ53" s="209"/>
      <c r="FK53" s="209"/>
      <c r="FL53" s="209"/>
      <c r="FM53" s="209"/>
      <c r="FN53" s="209"/>
      <c r="FO53" s="209"/>
      <c r="FP53" s="209"/>
      <c r="FQ53" s="209"/>
      <c r="FR53" s="209"/>
      <c r="FS53" s="209"/>
      <c r="FT53" s="209"/>
      <c r="FU53" s="209"/>
      <c r="FV53" s="209"/>
      <c r="FW53" s="209"/>
      <c r="FX53" s="209"/>
      <c r="FY53" s="209"/>
      <c r="FZ53" s="209"/>
      <c r="GA53" s="209"/>
      <c r="GB53" s="209"/>
      <c r="GC53" s="209"/>
      <c r="GD53" s="209"/>
      <c r="GE53" s="276"/>
      <c r="GF53" s="276"/>
      <c r="GG53" s="276"/>
      <c r="GH53" s="276"/>
      <c r="GI53" s="276"/>
      <c r="GJ53" s="276"/>
      <c r="GK53" s="276"/>
      <c r="GL53" s="276"/>
      <c r="GM53" s="276"/>
      <c r="GN53" s="276"/>
      <c r="GO53" s="276"/>
      <c r="GP53" s="276"/>
      <c r="GQ53" s="276"/>
      <c r="GR53" s="276"/>
      <c r="GS53" s="276"/>
      <c r="GT53" s="276"/>
      <c r="GU53" s="276"/>
      <c r="GV53" s="276"/>
      <c r="GW53" s="276"/>
      <c r="GX53" s="276"/>
      <c r="GY53" s="276"/>
      <c r="GZ53" s="276"/>
      <c r="HA53" s="276"/>
      <c r="HB53" s="276"/>
      <c r="HC53" s="276"/>
      <c r="HD53" s="276"/>
      <c r="HE53" s="276"/>
      <c r="HF53" s="276"/>
      <c r="HG53" s="276"/>
      <c r="HH53" s="276"/>
      <c r="HI53" s="276"/>
      <c r="HJ53" s="276"/>
      <c r="HK53" s="276"/>
      <c r="HL53" s="276"/>
      <c r="HM53" s="276"/>
      <c r="HN53" s="276"/>
      <c r="HO53" s="276"/>
      <c r="HP53" s="276"/>
      <c r="HQ53" s="276"/>
      <c r="HR53" s="276"/>
      <c r="HS53" s="276"/>
      <c r="HT53" s="276"/>
      <c r="HU53" s="276"/>
      <c r="HV53" s="276"/>
      <c r="HW53" s="276"/>
      <c r="HX53" s="276"/>
      <c r="HY53" s="276"/>
      <c r="HZ53" s="276"/>
      <c r="IA53" s="276"/>
      <c r="IB53" s="276"/>
      <c r="IC53" s="276"/>
      <c r="ID53" s="276"/>
      <c r="IE53" s="276"/>
      <c r="IF53" s="276"/>
      <c r="IG53" s="276"/>
      <c r="IH53" s="276"/>
      <c r="II53" s="276"/>
      <c r="IJ53" s="276"/>
      <c r="IK53" s="276"/>
      <c r="IL53" s="276"/>
      <c r="IM53" s="276"/>
      <c r="IN53" s="276"/>
      <c r="IO53" s="276"/>
      <c r="IP53" s="276"/>
      <c r="IQ53" s="276"/>
      <c r="IR53" s="276"/>
      <c r="IS53" s="276"/>
      <c r="IT53" s="276"/>
      <c r="IU53" s="276"/>
      <c r="IV53" s="276"/>
      <c r="IW53" s="276"/>
      <c r="IX53" s="276"/>
      <c r="IY53" s="276"/>
      <c r="IZ53" s="276"/>
      <c r="JA53" s="276"/>
      <c r="JB53" s="276"/>
      <c r="JC53" s="276"/>
      <c r="JD53" s="276"/>
      <c r="JE53" s="276"/>
      <c r="JF53" s="276"/>
      <c r="JG53" s="276"/>
      <c r="JH53" s="276"/>
      <c r="JI53" s="276"/>
      <c r="JJ53" s="276"/>
      <c r="JK53" s="276"/>
      <c r="JL53" s="276"/>
      <c r="JM53" s="276"/>
      <c r="JN53" s="276"/>
      <c r="JO53" s="276"/>
      <c r="JP53" s="276"/>
      <c r="JQ53" s="276"/>
      <c r="JR53" s="276"/>
      <c r="JS53" s="276"/>
      <c r="JT53" s="276"/>
      <c r="JU53" s="276"/>
      <c r="JV53" s="276"/>
      <c r="JW53" s="276"/>
      <c r="JX53" s="276"/>
      <c r="JY53" s="276"/>
      <c r="JZ53" s="276"/>
      <c r="KA53" s="276"/>
      <c r="KB53" s="276"/>
      <c r="KC53" s="276"/>
      <c r="KD53" s="276"/>
      <c r="KE53" s="276"/>
      <c r="KF53" s="276"/>
      <c r="KG53" s="276"/>
      <c r="KH53" s="276"/>
      <c r="KI53" s="276"/>
      <c r="KJ53" s="276"/>
      <c r="KK53" s="276"/>
      <c r="KL53" s="276"/>
      <c r="KM53" s="276"/>
      <c r="KN53" s="276"/>
      <c r="KO53" s="276"/>
      <c r="KP53" s="276"/>
      <c r="KQ53" s="276"/>
      <c r="KR53" s="276"/>
      <c r="KS53" s="276"/>
      <c r="KT53" s="276"/>
      <c r="KU53" s="276"/>
      <c r="KV53" s="276"/>
      <c r="KW53" s="276"/>
      <c r="KX53" s="276"/>
      <c r="KY53" s="276"/>
      <c r="KZ53" s="276"/>
      <c r="LA53" s="276"/>
      <c r="LB53" s="276"/>
      <c r="LC53" s="276"/>
      <c r="LD53" s="276"/>
      <c r="LE53" s="276"/>
      <c r="LF53" s="276"/>
      <c r="LG53" s="276"/>
      <c r="LH53" s="276"/>
      <c r="LI53" s="276"/>
      <c r="LJ53" s="276"/>
      <c r="LK53" s="276"/>
      <c r="LL53" s="276"/>
      <c r="LM53" s="276"/>
      <c r="LN53" s="276"/>
      <c r="LO53" s="276"/>
      <c r="LP53" s="276"/>
      <c r="LQ53" s="276"/>
      <c r="LR53" s="276"/>
      <c r="LS53" s="276"/>
      <c r="LT53" s="276"/>
      <c r="LU53" s="276"/>
      <c r="LV53" s="276"/>
      <c r="LW53" s="276"/>
      <c r="LX53" s="276"/>
      <c r="LY53" s="276"/>
      <c r="LZ53" s="276"/>
      <c r="MA53" s="276"/>
      <c r="MB53" s="276"/>
      <c r="MC53" s="276"/>
      <c r="MD53" s="276"/>
      <c r="ME53" s="276"/>
      <c r="MF53" s="276"/>
      <c r="MG53" s="276"/>
      <c r="MH53" s="276"/>
      <c r="MI53" s="276"/>
      <c r="MJ53" s="276"/>
      <c r="MK53" s="276"/>
      <c r="ML53" s="276"/>
      <c r="MM53" s="276"/>
      <c r="MN53" s="276"/>
      <c r="MO53" s="276"/>
      <c r="MP53" s="276"/>
      <c r="MQ53" s="276"/>
      <c r="MR53" s="276"/>
      <c r="MS53" s="276"/>
      <c r="MT53" s="276"/>
      <c r="MU53" s="276"/>
      <c r="MV53" s="276"/>
      <c r="MW53" s="276"/>
      <c r="MX53" s="276"/>
      <c r="MY53" s="276"/>
      <c r="MZ53" s="276"/>
      <c r="NA53" s="276"/>
      <c r="NB53" s="276"/>
      <c r="NC53" s="276"/>
      <c r="ND53" s="276"/>
      <c r="NE53" s="276"/>
      <c r="NF53" s="276"/>
      <c r="NG53" s="276"/>
      <c r="NH53" s="276"/>
      <c r="NI53" s="276"/>
      <c r="NJ53" s="276"/>
      <c r="NK53" s="276"/>
      <c r="NL53" s="276"/>
      <c r="NM53" s="276"/>
      <c r="NN53" s="276"/>
      <c r="NO53" s="276"/>
      <c r="NP53" s="276"/>
      <c r="NQ53" s="276"/>
      <c r="NR53" s="276"/>
      <c r="NS53" s="276"/>
      <c r="NT53" s="276"/>
      <c r="NU53" s="276"/>
      <c r="NV53" s="276"/>
      <c r="NW53" s="276"/>
      <c r="NX53" s="276"/>
      <c r="NY53" s="276"/>
      <c r="NZ53" s="276"/>
      <c r="OA53" s="276"/>
      <c r="OB53" s="276"/>
      <c r="OC53" s="276"/>
      <c r="OD53" s="276"/>
      <c r="OE53" s="276"/>
      <c r="OF53" s="276"/>
      <c r="OG53" s="276"/>
      <c r="OH53" s="276"/>
      <c r="OI53" s="276"/>
      <c r="OJ53" s="276"/>
      <c r="OK53" s="276"/>
      <c r="OL53" s="276"/>
      <c r="OM53" s="276"/>
      <c r="ON53" s="276"/>
      <c r="OO53" s="276"/>
      <c r="OP53" s="276"/>
      <c r="OQ53" s="276"/>
      <c r="OR53" s="276"/>
      <c r="OS53" s="276"/>
      <c r="OT53" s="276"/>
      <c r="OU53" s="276"/>
      <c r="OV53" s="276"/>
      <c r="OW53" s="276"/>
      <c r="OX53" s="276"/>
      <c r="OY53" s="276"/>
      <c r="OZ53" s="276"/>
      <c r="PA53" s="276"/>
      <c r="PB53" s="276"/>
      <c r="PC53" s="276"/>
      <c r="PD53" s="276"/>
      <c r="PE53" s="276"/>
      <c r="PF53" s="276"/>
      <c r="PG53" s="276"/>
      <c r="PH53" s="276"/>
      <c r="PI53" s="276"/>
      <c r="PJ53" s="276"/>
      <c r="PK53" s="276"/>
      <c r="PL53" s="276"/>
      <c r="PM53" s="276"/>
      <c r="PN53" s="276"/>
      <c r="PO53" s="276"/>
      <c r="PP53" s="276"/>
      <c r="PQ53" s="276"/>
      <c r="PR53" s="276"/>
      <c r="PS53" s="276"/>
      <c r="PT53" s="276"/>
      <c r="PU53" s="276"/>
      <c r="PV53" s="276"/>
      <c r="PW53" s="276"/>
      <c r="PX53" s="276"/>
      <c r="PY53" s="276"/>
      <c r="PZ53" s="276"/>
      <c r="QA53" s="276"/>
      <c r="QB53" s="276"/>
      <c r="QC53" s="276"/>
      <c r="QD53" s="276"/>
      <c r="QE53" s="276"/>
      <c r="QF53" s="276"/>
      <c r="QG53" s="276"/>
      <c r="QH53" s="276"/>
      <c r="QI53" s="276"/>
      <c r="QJ53" s="276"/>
      <c r="QK53" s="276"/>
      <c r="QL53" s="276"/>
      <c r="QM53" s="276"/>
      <c r="QN53" s="276"/>
      <c r="QO53" s="276"/>
      <c r="QP53" s="276"/>
      <c r="QQ53" s="276"/>
      <c r="QR53" s="276"/>
      <c r="QS53" s="276"/>
      <c r="QT53" s="276"/>
      <c r="QU53" s="276"/>
      <c r="QV53" s="276"/>
      <c r="QW53" s="276"/>
      <c r="QX53" s="276"/>
      <c r="QY53" s="276"/>
      <c r="QZ53" s="276"/>
      <c r="RA53" s="276"/>
      <c r="RB53" s="276"/>
      <c r="RC53" s="276"/>
      <c r="RD53" s="276"/>
      <c r="RE53" s="276"/>
      <c r="RF53" s="276"/>
      <c r="RG53" s="276"/>
      <c r="RH53" s="276"/>
      <c r="RI53" s="276"/>
      <c r="RJ53" s="276"/>
      <c r="RK53" s="276"/>
      <c r="RL53" s="276"/>
      <c r="RM53" s="276"/>
      <c r="RN53" s="276"/>
      <c r="RO53" s="276"/>
      <c r="RP53" s="276"/>
      <c r="RQ53" s="276"/>
      <c r="RR53" s="276"/>
      <c r="RS53" s="276"/>
      <c r="RT53" s="276"/>
      <c r="RU53" s="276"/>
      <c r="RV53" s="276"/>
      <c r="RW53" s="276"/>
      <c r="RX53" s="276"/>
      <c r="RY53" s="276"/>
      <c r="RZ53" s="276"/>
      <c r="SA53" s="276"/>
      <c r="SB53" s="276"/>
      <c r="SC53" s="276"/>
      <c r="SD53" s="276"/>
      <c r="SE53" s="276"/>
      <c r="SF53" s="276"/>
      <c r="SG53" s="276"/>
      <c r="SH53" s="276"/>
      <c r="SI53" s="276"/>
      <c r="SJ53" s="276"/>
      <c r="SK53" s="276"/>
      <c r="SL53" s="276"/>
      <c r="SM53" s="276"/>
      <c r="SN53" s="276"/>
      <c r="SO53" s="276"/>
      <c r="SP53" s="276"/>
      <c r="SQ53" s="276"/>
      <c r="SR53" s="276"/>
      <c r="SS53" s="276"/>
      <c r="ST53" s="276"/>
      <c r="SU53" s="276"/>
      <c r="SV53" s="276"/>
      <c r="SW53" s="276"/>
      <c r="SX53" s="276"/>
      <c r="SY53" s="276"/>
      <c r="SZ53" s="276"/>
      <c r="TA53" s="276"/>
      <c r="TB53" s="276"/>
      <c r="TC53" s="276"/>
      <c r="TD53" s="276"/>
      <c r="TE53" s="276"/>
      <c r="TF53" s="276"/>
      <c r="TG53" s="276"/>
      <c r="TH53" s="276"/>
      <c r="TI53" s="276"/>
      <c r="TJ53" s="276"/>
      <c r="TK53" s="276"/>
      <c r="TL53" s="276"/>
      <c r="TM53" s="276"/>
      <c r="TN53" s="276"/>
      <c r="TO53" s="276"/>
      <c r="TP53" s="276"/>
      <c r="TQ53" s="276"/>
      <c r="TR53" s="276"/>
      <c r="TS53" s="276"/>
      <c r="TT53" s="276"/>
      <c r="TU53" s="276"/>
      <c r="TV53" s="276"/>
      <c r="TW53" s="276"/>
      <c r="TX53" s="276"/>
      <c r="TY53" s="276"/>
      <c r="TZ53" s="276"/>
      <c r="UA53" s="276"/>
      <c r="UB53" s="276"/>
      <c r="UC53" s="276"/>
      <c r="UD53" s="276"/>
      <c r="UE53" s="276"/>
      <c r="UF53" s="276"/>
      <c r="UG53" s="276"/>
      <c r="UH53" s="276"/>
      <c r="UI53" s="276"/>
      <c r="UJ53" s="276"/>
      <c r="UK53" s="276"/>
      <c r="UL53" s="276"/>
      <c r="UM53" s="276"/>
      <c r="UN53" s="276"/>
      <c r="UO53" s="276"/>
      <c r="UP53" s="276"/>
      <c r="UQ53" s="276"/>
      <c r="UR53" s="276"/>
      <c r="US53" s="276"/>
      <c r="UT53" s="276"/>
      <c r="UU53" s="276"/>
      <c r="UV53" s="276"/>
      <c r="UW53" s="276"/>
      <c r="UX53" s="276"/>
      <c r="UY53" s="209"/>
      <c r="UZ53" s="209"/>
      <c r="VA53" s="209"/>
      <c r="VB53" s="209"/>
      <c r="VC53" s="209"/>
      <c r="VD53" s="209"/>
      <c r="VE53" s="209"/>
      <c r="VF53" s="209"/>
      <c r="VG53" s="209"/>
      <c r="VH53" s="209"/>
      <c r="VI53" s="209"/>
      <c r="VJ53" s="209"/>
      <c r="VK53" s="209"/>
      <c r="VL53" s="209"/>
      <c r="VM53" s="209"/>
      <c r="VN53" s="209"/>
    </row>
    <row r="54" spans="1:586" ht="15" customHeight="1" x14ac:dyDescent="0.2">
      <c r="A54" s="291"/>
      <c r="B54" s="2"/>
      <c r="C54" s="2"/>
      <c r="D54" s="2"/>
      <c r="E54" s="292"/>
      <c r="G54" s="2"/>
      <c r="H54" s="2"/>
      <c r="I54" s="2"/>
      <c r="J54" s="2"/>
      <c r="K54" s="2"/>
      <c r="L54" s="2"/>
      <c r="M54" s="2"/>
      <c r="N54" s="2"/>
      <c r="O54" s="2"/>
      <c r="P54" s="2"/>
      <c r="Q54" s="2"/>
      <c r="R54" s="293"/>
      <c r="S54" s="293"/>
      <c r="T54" s="293"/>
      <c r="U54" s="2"/>
      <c r="V54" s="294"/>
      <c r="W54" s="294"/>
      <c r="X54" s="294"/>
      <c r="Y54" s="294"/>
      <c r="Z54" s="70"/>
      <c r="AB54" s="293"/>
      <c r="AC54" s="2"/>
      <c r="AD54" s="294"/>
      <c r="AE54" s="294"/>
      <c r="AF54" s="294"/>
      <c r="AG54" s="294"/>
      <c r="AH54" s="70"/>
    </row>
    <row r="55" spans="1:586" ht="15" customHeight="1" x14ac:dyDescent="0.2">
      <c r="A55" s="291"/>
      <c r="B55" s="2"/>
      <c r="C55" s="2"/>
      <c r="D55" s="2"/>
      <c r="E55" s="292"/>
      <c r="G55" s="2"/>
      <c r="H55" s="2"/>
      <c r="I55" s="2"/>
      <c r="J55" s="2"/>
      <c r="K55" s="2"/>
      <c r="L55" s="2"/>
      <c r="M55" s="2"/>
      <c r="N55" s="2"/>
      <c r="O55" s="2"/>
      <c r="P55" s="2"/>
      <c r="Q55" s="2"/>
      <c r="R55" s="293"/>
      <c r="S55" s="293"/>
      <c r="T55" s="293"/>
      <c r="U55" s="2"/>
      <c r="V55" s="294"/>
      <c r="W55" s="294"/>
      <c r="X55" s="294"/>
      <c r="Y55" s="294"/>
      <c r="Z55" s="70"/>
      <c r="AB55" s="293"/>
      <c r="AC55" s="2"/>
      <c r="AD55" s="294"/>
      <c r="AE55" s="294"/>
      <c r="AF55" s="294"/>
      <c r="AG55" s="294"/>
      <c r="AH55" s="70"/>
    </row>
    <row r="56" spans="1:586" ht="15" customHeight="1" x14ac:dyDescent="0.2">
      <c r="A56" s="291"/>
      <c r="B56" s="2"/>
      <c r="C56" s="2"/>
      <c r="D56" s="2"/>
      <c r="E56" s="292"/>
      <c r="G56" s="2"/>
      <c r="H56" s="2"/>
      <c r="I56" s="2"/>
      <c r="J56" s="2"/>
      <c r="K56" s="2"/>
    </row>
    <row r="57" spans="1:586" ht="15" customHeight="1" x14ac:dyDescent="0.2">
      <c r="A57" s="291"/>
      <c r="B57" s="2"/>
      <c r="C57" s="2"/>
      <c r="D57" s="2"/>
      <c r="E57" s="292"/>
      <c r="G57" s="2"/>
      <c r="H57" s="2"/>
      <c r="I57" s="2"/>
      <c r="J57" s="2"/>
      <c r="K57" s="2"/>
    </row>
    <row r="58" spans="1:586" ht="15" customHeight="1" x14ac:dyDescent="0.2">
      <c r="A58" s="291"/>
      <c r="B58" s="2"/>
      <c r="C58" s="2"/>
      <c r="D58" s="2"/>
      <c r="E58" s="292"/>
      <c r="G58" s="2"/>
      <c r="H58" s="2"/>
      <c r="I58" s="2"/>
      <c r="J58" s="2"/>
      <c r="K58" s="2"/>
    </row>
    <row r="59" spans="1:586" ht="15" customHeight="1" x14ac:dyDescent="0.2">
      <c r="A59" s="291"/>
      <c r="B59" s="2"/>
      <c r="C59" s="2"/>
      <c r="D59" s="2"/>
      <c r="E59" s="292"/>
      <c r="G59" s="2"/>
      <c r="H59" s="2"/>
      <c r="I59" s="2"/>
      <c r="J59" s="2"/>
      <c r="K59" s="2"/>
    </row>
    <row r="60" spans="1:586" ht="15" customHeight="1" x14ac:dyDescent="0.2">
      <c r="A60" s="291"/>
      <c r="B60" s="2"/>
      <c r="C60" s="2"/>
      <c r="D60" s="2"/>
      <c r="E60" s="292"/>
      <c r="G60" s="2"/>
      <c r="H60" s="2"/>
      <c r="I60" s="2"/>
      <c r="J60" s="2"/>
      <c r="K60" s="2"/>
    </row>
    <row r="61" spans="1:586" ht="15" customHeight="1" x14ac:dyDescent="0.2">
      <c r="A61" s="291"/>
      <c r="B61" s="2"/>
      <c r="C61" s="2"/>
      <c r="D61" s="2"/>
      <c r="E61" s="292"/>
      <c r="G61" s="2"/>
      <c r="H61" s="2"/>
      <c r="I61" s="2"/>
      <c r="J61" s="2"/>
      <c r="K61" s="2"/>
    </row>
    <row r="62" spans="1:586" ht="15" customHeight="1" x14ac:dyDescent="0.2">
      <c r="A62" s="291"/>
      <c r="B62" s="2"/>
      <c r="C62" s="2"/>
      <c r="D62" s="2"/>
      <c r="E62" s="292"/>
      <c r="G62" s="2"/>
      <c r="H62" s="2"/>
      <c r="I62" s="2"/>
      <c r="J62" s="2"/>
      <c r="K62" s="2"/>
    </row>
    <row r="63" spans="1:586" ht="15" customHeight="1" x14ac:dyDescent="0.2">
      <c r="A63" s="291"/>
      <c r="B63" s="2"/>
      <c r="C63" s="2"/>
      <c r="D63" s="2"/>
      <c r="E63" s="292"/>
      <c r="G63" s="2"/>
      <c r="H63" s="2"/>
      <c r="I63" s="2"/>
      <c r="J63" s="2"/>
      <c r="K63" s="2"/>
    </row>
    <row r="64" spans="1:586" ht="15" customHeight="1" x14ac:dyDescent="0.2">
      <c r="A64" s="291"/>
      <c r="B64" s="2"/>
      <c r="C64" s="2"/>
      <c r="D64" s="2"/>
      <c r="E64" s="292"/>
      <c r="G64" s="2"/>
      <c r="H64" s="2"/>
      <c r="I64" s="2"/>
      <c r="J64" s="2"/>
      <c r="K64" s="2"/>
    </row>
    <row r="65" spans="1:11" ht="15" customHeight="1" x14ac:dyDescent="0.2">
      <c r="A65" s="291"/>
      <c r="B65" s="2"/>
      <c r="C65" s="2"/>
      <c r="D65" s="2"/>
      <c r="E65" s="292"/>
      <c r="G65" s="2"/>
      <c r="H65" s="2"/>
      <c r="I65" s="2"/>
      <c r="J65" s="2"/>
      <c r="K65" s="2"/>
    </row>
    <row r="66" spans="1:11" ht="15" customHeight="1" x14ac:dyDescent="0.2">
      <c r="A66" s="291"/>
      <c r="B66" s="2"/>
      <c r="C66" s="2"/>
      <c r="D66" s="2"/>
      <c r="E66" s="292"/>
      <c r="G66" s="2"/>
      <c r="H66" s="2"/>
      <c r="I66" s="2"/>
      <c r="J66" s="2"/>
      <c r="K66" s="2"/>
    </row>
    <row r="67" spans="1:11" ht="15" customHeight="1" x14ac:dyDescent="0.2">
      <c r="A67" s="291"/>
      <c r="B67" s="2"/>
      <c r="C67" s="2"/>
      <c r="D67" s="2"/>
      <c r="E67" s="292"/>
      <c r="G67" s="2"/>
      <c r="H67" s="2"/>
      <c r="I67" s="2"/>
      <c r="J67" s="2"/>
      <c r="K67" s="2"/>
    </row>
    <row r="68" spans="1:11" ht="15" customHeight="1" x14ac:dyDescent="0.2">
      <c r="A68" s="291"/>
      <c r="B68" s="2"/>
      <c r="C68" s="2"/>
      <c r="D68" s="2"/>
      <c r="E68" s="292"/>
      <c r="G68" s="2"/>
      <c r="H68" s="2"/>
      <c r="I68" s="2"/>
      <c r="J68" s="2"/>
      <c r="K68" s="2"/>
    </row>
    <row r="69" spans="1:11" ht="15" customHeight="1" x14ac:dyDescent="0.2">
      <c r="A69" s="291"/>
      <c r="B69" s="2"/>
      <c r="C69" s="2"/>
      <c r="D69" s="2"/>
      <c r="E69" s="292"/>
      <c r="G69" s="2"/>
      <c r="H69" s="2"/>
      <c r="I69" s="2"/>
      <c r="J69" s="2"/>
      <c r="K69" s="2"/>
    </row>
    <row r="70" spans="1:11" ht="15" customHeight="1" x14ac:dyDescent="0.2">
      <c r="A70" s="291"/>
      <c r="B70" s="2"/>
      <c r="C70" s="2"/>
      <c r="D70" s="2"/>
      <c r="E70" s="292"/>
      <c r="G70" s="2"/>
      <c r="H70" s="2"/>
      <c r="I70" s="2"/>
      <c r="J70" s="2"/>
      <c r="K70" s="2"/>
    </row>
    <row r="71" spans="1:11" ht="15" customHeight="1" x14ac:dyDescent="0.2">
      <c r="A71" s="291"/>
      <c r="B71" s="2"/>
      <c r="C71" s="2"/>
      <c r="D71" s="2"/>
      <c r="E71" s="292"/>
      <c r="G71" s="2"/>
      <c r="H71" s="2"/>
      <c r="I71" s="2"/>
      <c r="J71" s="2"/>
      <c r="K71" s="2"/>
    </row>
    <row r="72" spans="1:11" ht="15" customHeight="1" x14ac:dyDescent="0.2">
      <c r="A72" s="291"/>
      <c r="B72" s="2"/>
      <c r="C72" s="2"/>
      <c r="D72" s="2"/>
      <c r="E72" s="292"/>
      <c r="G72" s="2"/>
      <c r="H72" s="2"/>
      <c r="I72" s="2"/>
      <c r="J72" s="2"/>
      <c r="K72" s="2"/>
    </row>
    <row r="73" spans="1:11" ht="15" customHeight="1" x14ac:dyDescent="0.2">
      <c r="A73" s="291"/>
      <c r="B73" s="2"/>
      <c r="C73" s="2"/>
      <c r="D73" s="2"/>
      <c r="E73" s="292"/>
      <c r="G73" s="2"/>
      <c r="H73" s="2"/>
      <c r="I73" s="2"/>
      <c r="J73" s="2"/>
      <c r="K73" s="2"/>
    </row>
    <row r="74" spans="1:11" ht="15" customHeight="1" x14ac:dyDescent="0.2">
      <c r="A74" s="291"/>
      <c r="B74" s="2"/>
      <c r="C74" s="2"/>
      <c r="D74" s="2"/>
      <c r="E74" s="292"/>
      <c r="G74" s="2"/>
      <c r="H74" s="2"/>
      <c r="I74" s="2"/>
      <c r="J74" s="2"/>
      <c r="K74" s="2"/>
    </row>
    <row r="75" spans="1:11" ht="15" customHeight="1" x14ac:dyDescent="0.2">
      <c r="A75" s="291"/>
      <c r="B75" s="2"/>
      <c r="C75" s="2"/>
      <c r="D75" s="2"/>
      <c r="E75" s="292"/>
      <c r="G75" s="2"/>
      <c r="H75" s="2"/>
      <c r="I75" s="2"/>
      <c r="J75" s="2"/>
      <c r="K75" s="2"/>
    </row>
    <row r="76" spans="1:11" ht="15" customHeight="1" x14ac:dyDescent="0.2">
      <c r="A76" s="291"/>
      <c r="B76" s="2"/>
      <c r="C76" s="2"/>
      <c r="D76" s="2"/>
      <c r="E76" s="292"/>
      <c r="G76" s="2"/>
      <c r="H76" s="2"/>
      <c r="I76" s="2"/>
      <c r="J76" s="2"/>
      <c r="K76" s="2"/>
    </row>
    <row r="77" spans="1:11" ht="15" customHeight="1" x14ac:dyDescent="0.2">
      <c r="A77" s="291"/>
      <c r="B77" s="2"/>
      <c r="C77" s="2"/>
      <c r="D77" s="2"/>
      <c r="E77" s="292"/>
      <c r="G77" s="2"/>
      <c r="H77" s="2"/>
      <c r="I77" s="2"/>
      <c r="J77" s="2"/>
      <c r="K77" s="2"/>
    </row>
    <row r="78" spans="1:11" ht="15" customHeight="1" x14ac:dyDescent="0.2">
      <c r="A78" s="291"/>
      <c r="B78" s="2"/>
      <c r="C78" s="2"/>
      <c r="D78" s="2"/>
      <c r="E78" s="292"/>
      <c r="G78" s="2"/>
      <c r="H78" s="2"/>
      <c r="I78" s="2"/>
      <c r="J78" s="2"/>
      <c r="K78" s="2"/>
    </row>
    <row r="79" spans="1:11" ht="15" customHeight="1" x14ac:dyDescent="0.2">
      <c r="A79" s="291"/>
      <c r="B79" s="2"/>
      <c r="C79" s="2"/>
      <c r="D79" s="2"/>
      <c r="E79" s="292"/>
      <c r="G79" s="2"/>
      <c r="H79" s="2"/>
      <c r="I79" s="2"/>
      <c r="J79" s="2"/>
      <c r="K79" s="2"/>
    </row>
    <row r="80" spans="1:11" ht="15" customHeight="1" x14ac:dyDescent="0.2">
      <c r="A80" s="291"/>
      <c r="B80" s="2"/>
      <c r="C80" s="2"/>
      <c r="D80" s="2"/>
      <c r="E80" s="292"/>
      <c r="G80" s="2"/>
      <c r="H80" s="2"/>
      <c r="I80" s="2"/>
      <c r="J80" s="2"/>
      <c r="K80" s="2"/>
    </row>
    <row r="81" spans="1:11" ht="15" customHeight="1" x14ac:dyDescent="0.2">
      <c r="A81" s="291"/>
      <c r="B81" s="2"/>
      <c r="C81" s="2"/>
      <c r="D81" s="2"/>
      <c r="E81" s="292"/>
      <c r="G81" s="2"/>
      <c r="H81" s="2"/>
      <c r="I81" s="2"/>
      <c r="J81" s="2"/>
      <c r="K81" s="2"/>
    </row>
    <row r="82" spans="1:11" ht="15" customHeight="1" x14ac:dyDescent="0.2">
      <c r="A82" s="291"/>
      <c r="B82" s="2"/>
      <c r="C82" s="2"/>
      <c r="D82" s="2"/>
      <c r="E82" s="292"/>
      <c r="G82" s="2"/>
      <c r="H82" s="2"/>
      <c r="I82" s="2"/>
      <c r="J82" s="2"/>
      <c r="K82" s="2"/>
    </row>
    <row r="83" spans="1:11" ht="15" customHeight="1" x14ac:dyDescent="0.2">
      <c r="A83" s="291"/>
      <c r="B83" s="2"/>
      <c r="C83" s="2"/>
      <c r="D83" s="2"/>
      <c r="E83" s="292"/>
      <c r="G83" s="2"/>
      <c r="H83" s="2"/>
      <c r="I83" s="2"/>
      <c r="J83" s="2"/>
      <c r="K83" s="2"/>
    </row>
    <row r="84" spans="1:11" ht="15" customHeight="1" x14ac:dyDescent="0.2">
      <c r="A84" s="291"/>
      <c r="B84" s="2"/>
      <c r="C84" s="2"/>
      <c r="D84" s="2"/>
      <c r="E84" s="292"/>
      <c r="G84" s="2"/>
      <c r="H84" s="2"/>
      <c r="I84" s="2"/>
      <c r="J84" s="2"/>
      <c r="K84" s="2"/>
    </row>
    <row r="85" spans="1:11" ht="15" customHeight="1" x14ac:dyDescent="0.2">
      <c r="A85" s="291"/>
      <c r="B85" s="2"/>
      <c r="C85" s="2"/>
      <c r="D85" s="2"/>
      <c r="E85" s="292"/>
      <c r="G85" s="2"/>
      <c r="H85" s="2"/>
      <c r="I85" s="2"/>
      <c r="J85" s="2"/>
      <c r="K85" s="2"/>
    </row>
    <row r="86" spans="1:11" ht="15" customHeight="1" x14ac:dyDescent="0.2">
      <c r="A86" s="291"/>
      <c r="B86" s="2"/>
      <c r="C86" s="2"/>
      <c r="D86" s="2"/>
      <c r="E86" s="292"/>
      <c r="G86" s="2"/>
      <c r="H86" s="2"/>
      <c r="I86" s="2"/>
      <c r="J86" s="2"/>
      <c r="K86" s="2"/>
    </row>
    <row r="87" spans="1:11" ht="15" customHeight="1" x14ac:dyDescent="0.2">
      <c r="A87" s="291"/>
      <c r="B87" s="2"/>
      <c r="C87" s="2"/>
      <c r="D87" s="2"/>
      <c r="E87" s="292"/>
      <c r="G87" s="2"/>
      <c r="H87" s="2"/>
      <c r="I87" s="2"/>
      <c r="J87" s="2"/>
      <c r="K87" s="2"/>
    </row>
    <row r="88" spans="1:11" ht="15" customHeight="1" x14ac:dyDescent="0.2">
      <c r="A88" s="291"/>
      <c r="B88" s="2"/>
      <c r="C88" s="2"/>
      <c r="D88" s="2"/>
      <c r="E88" s="292"/>
      <c r="G88" s="2"/>
      <c r="H88" s="2"/>
      <c r="I88" s="2"/>
      <c r="J88" s="2"/>
      <c r="K88" s="2"/>
    </row>
    <row r="89" spans="1:11" ht="15" customHeight="1" x14ac:dyDescent="0.2">
      <c r="A89" s="291"/>
      <c r="B89" s="2"/>
      <c r="C89" s="2"/>
      <c r="D89" s="2"/>
      <c r="E89" s="292"/>
      <c r="G89" s="2"/>
      <c r="H89" s="2"/>
      <c r="I89" s="2"/>
      <c r="J89" s="2"/>
      <c r="K89" s="2"/>
    </row>
    <row r="90" spans="1:11" ht="15" customHeight="1" x14ac:dyDescent="0.2">
      <c r="A90" s="291"/>
      <c r="B90" s="2"/>
      <c r="C90" s="2"/>
      <c r="D90" s="2"/>
      <c r="E90" s="292"/>
      <c r="G90" s="2"/>
      <c r="H90" s="2"/>
      <c r="I90" s="2"/>
      <c r="J90" s="2"/>
      <c r="K90" s="2"/>
    </row>
    <row r="91" spans="1:11" ht="15" customHeight="1" x14ac:dyDescent="0.2">
      <c r="A91" s="291"/>
      <c r="B91" s="2"/>
      <c r="C91" s="2"/>
      <c r="D91" s="2"/>
      <c r="E91" s="292"/>
      <c r="G91" s="2"/>
      <c r="H91" s="2"/>
      <c r="I91" s="2"/>
      <c r="J91" s="2"/>
      <c r="K91" s="2"/>
    </row>
    <row r="92" spans="1:11" ht="15" customHeight="1" x14ac:dyDescent="0.2">
      <c r="A92" s="291"/>
      <c r="B92" s="2"/>
      <c r="C92" s="2"/>
      <c r="D92" s="2"/>
      <c r="E92" s="292"/>
      <c r="G92" s="2"/>
      <c r="H92" s="2"/>
      <c r="I92" s="2"/>
      <c r="J92" s="2"/>
      <c r="K92" s="2"/>
    </row>
    <row r="93" spans="1:11" ht="15" customHeight="1" x14ac:dyDescent="0.2">
      <c r="A93" s="291"/>
      <c r="B93" s="2"/>
      <c r="C93" s="2"/>
      <c r="D93" s="2"/>
      <c r="E93" s="292"/>
      <c r="G93" s="2"/>
      <c r="H93" s="2"/>
      <c r="I93" s="2"/>
      <c r="J93" s="2"/>
      <c r="K93" s="2"/>
    </row>
    <row r="94" spans="1:11" ht="15" customHeight="1" x14ac:dyDescent="0.2">
      <c r="A94" s="291"/>
      <c r="B94" s="2"/>
      <c r="C94" s="2"/>
      <c r="D94" s="2"/>
      <c r="E94" s="292"/>
      <c r="G94" s="2"/>
      <c r="H94" s="2"/>
      <c r="I94" s="2"/>
      <c r="J94" s="2"/>
      <c r="K94" s="2"/>
    </row>
    <row r="95" spans="1:11" ht="15" customHeight="1" x14ac:dyDescent="0.2">
      <c r="A95" s="291"/>
      <c r="B95" s="2"/>
      <c r="C95" s="2"/>
      <c r="D95" s="2"/>
      <c r="E95" s="292"/>
      <c r="G95" s="2"/>
      <c r="H95" s="2"/>
      <c r="I95" s="2"/>
      <c r="J95" s="2"/>
      <c r="K95" s="2"/>
    </row>
    <row r="96" spans="1:11" ht="15" customHeight="1" x14ac:dyDescent="0.2">
      <c r="A96" s="291"/>
      <c r="B96" s="2"/>
      <c r="C96" s="2"/>
      <c r="D96" s="2"/>
      <c r="E96" s="292"/>
      <c r="G96" s="2"/>
      <c r="H96" s="2"/>
      <c r="I96" s="2"/>
      <c r="J96" s="2"/>
      <c r="K96" s="2"/>
    </row>
    <row r="97" spans="1:11" ht="15" customHeight="1" x14ac:dyDescent="0.2">
      <c r="A97" s="291"/>
      <c r="B97" s="2"/>
      <c r="C97" s="2"/>
      <c r="D97" s="2"/>
      <c r="E97" s="292"/>
      <c r="G97" s="2"/>
      <c r="H97" s="2"/>
      <c r="I97" s="2"/>
      <c r="J97" s="2"/>
      <c r="K97" s="2"/>
    </row>
    <row r="98" spans="1:11" ht="15" customHeight="1" x14ac:dyDescent="0.2">
      <c r="A98" s="291"/>
      <c r="B98" s="2"/>
      <c r="C98" s="2"/>
      <c r="D98" s="2"/>
      <c r="E98" s="292"/>
      <c r="G98" s="2"/>
      <c r="H98" s="2"/>
      <c r="I98" s="2"/>
      <c r="J98" s="2"/>
      <c r="K98" s="2"/>
    </row>
    <row r="99" spans="1:11" ht="15" customHeight="1" x14ac:dyDescent="0.2">
      <c r="A99" s="291"/>
      <c r="B99" s="2"/>
      <c r="C99" s="2"/>
      <c r="D99" s="2"/>
      <c r="E99" s="292"/>
      <c r="G99" s="2"/>
      <c r="H99" s="2"/>
      <c r="I99" s="2"/>
      <c r="J99" s="2"/>
      <c r="K99" s="2"/>
    </row>
    <row r="100" spans="1:11" ht="15" customHeight="1" x14ac:dyDescent="0.2">
      <c r="A100" s="291"/>
      <c r="B100" s="2"/>
      <c r="C100" s="2"/>
      <c r="D100" s="2"/>
      <c r="E100" s="292"/>
      <c r="G100" s="2"/>
      <c r="H100" s="2"/>
      <c r="I100" s="2"/>
      <c r="J100" s="2"/>
      <c r="K100" s="2"/>
    </row>
    <row r="101" spans="1:11" ht="15" customHeight="1" x14ac:dyDescent="0.2">
      <c r="A101" s="291"/>
      <c r="B101" s="2"/>
      <c r="C101" s="2"/>
      <c r="D101" s="2"/>
      <c r="E101" s="292"/>
      <c r="G101" s="2"/>
      <c r="H101" s="2"/>
      <c r="I101" s="2"/>
      <c r="J101" s="2"/>
      <c r="K101" s="2"/>
    </row>
    <row r="102" spans="1:11" ht="15" customHeight="1" x14ac:dyDescent="0.2">
      <c r="A102" s="291"/>
      <c r="B102" s="2"/>
      <c r="C102" s="2"/>
      <c r="D102" s="2"/>
      <c r="E102" s="292"/>
      <c r="G102" s="2"/>
      <c r="H102" s="2"/>
      <c r="I102" s="2"/>
      <c r="J102" s="2"/>
      <c r="K102" s="2"/>
    </row>
    <row r="103" spans="1:11" ht="15" customHeight="1" x14ac:dyDescent="0.2">
      <c r="A103" s="291"/>
      <c r="B103" s="2"/>
      <c r="C103" s="2"/>
      <c r="D103" s="2"/>
      <c r="E103" s="292"/>
      <c r="G103" s="2"/>
      <c r="H103" s="2"/>
      <c r="I103" s="2"/>
      <c r="J103" s="2"/>
      <c r="K103" s="2"/>
    </row>
    <row r="104" spans="1:11" ht="15" customHeight="1" x14ac:dyDescent="0.2">
      <c r="A104" s="291"/>
      <c r="B104" s="2"/>
      <c r="C104" s="2"/>
      <c r="D104" s="2"/>
      <c r="E104" s="292"/>
      <c r="G104" s="2"/>
      <c r="H104" s="2"/>
      <c r="I104" s="2"/>
      <c r="J104" s="2"/>
      <c r="K104" s="2"/>
    </row>
    <row r="105" spans="1:11" ht="15" customHeight="1" x14ac:dyDescent="0.2">
      <c r="A105" s="291"/>
      <c r="B105" s="2"/>
      <c r="C105" s="2"/>
      <c r="D105" s="2"/>
      <c r="E105" s="292"/>
      <c r="G105" s="2"/>
      <c r="H105" s="2"/>
      <c r="I105" s="2"/>
      <c r="J105" s="2"/>
      <c r="K105" s="2"/>
    </row>
    <row r="106" spans="1:11" ht="15" customHeight="1" x14ac:dyDescent="0.2">
      <c r="A106" s="291"/>
      <c r="B106" s="2"/>
      <c r="C106" s="2"/>
      <c r="D106" s="2"/>
      <c r="E106" s="292"/>
      <c r="G106" s="2"/>
      <c r="H106" s="2"/>
      <c r="I106" s="2"/>
      <c r="J106" s="2"/>
      <c r="K106" s="2"/>
    </row>
    <row r="107" spans="1:11" ht="15" customHeight="1" x14ac:dyDescent="0.2">
      <c r="A107" s="291"/>
      <c r="B107" s="2"/>
      <c r="C107" s="2"/>
      <c r="D107" s="2"/>
      <c r="E107" s="292"/>
      <c r="G107" s="2"/>
      <c r="H107" s="2"/>
      <c r="I107" s="2"/>
      <c r="J107" s="2"/>
      <c r="K107" s="2"/>
    </row>
    <row r="108" spans="1:11" ht="15" customHeight="1" x14ac:dyDescent="0.2">
      <c r="A108" s="291"/>
      <c r="B108" s="2"/>
      <c r="C108" s="2"/>
      <c r="D108" s="2"/>
      <c r="E108" s="292"/>
      <c r="G108" s="2"/>
      <c r="H108" s="2"/>
      <c r="I108" s="2"/>
      <c r="J108" s="2"/>
      <c r="K108" s="2"/>
    </row>
    <row r="109" spans="1:11" ht="15" customHeight="1" x14ac:dyDescent="0.2">
      <c r="A109" s="291"/>
      <c r="B109" s="295"/>
      <c r="C109" s="2"/>
      <c r="D109" s="2"/>
      <c r="E109" s="292"/>
      <c r="G109" s="2"/>
      <c r="H109" s="2"/>
      <c r="I109" s="2"/>
      <c r="J109" s="2"/>
      <c r="K109" s="2"/>
    </row>
    <row r="110" spans="1:11" ht="15" customHeight="1" x14ac:dyDescent="0.2">
      <c r="A110" s="291"/>
      <c r="B110" s="2"/>
      <c r="C110" s="2"/>
      <c r="D110" s="2"/>
      <c r="E110" s="292"/>
      <c r="G110" s="2"/>
      <c r="H110" s="2"/>
      <c r="I110" s="2"/>
      <c r="J110" s="2"/>
      <c r="K110" s="2"/>
    </row>
    <row r="111" spans="1:11" ht="15" customHeight="1" x14ac:dyDescent="0.2">
      <c r="A111" s="291"/>
      <c r="B111" s="2"/>
      <c r="C111" s="2"/>
      <c r="D111" s="2"/>
      <c r="E111" s="292"/>
      <c r="G111" s="2"/>
      <c r="H111" s="2"/>
      <c r="I111" s="2"/>
      <c r="J111" s="2"/>
      <c r="K111" s="2"/>
    </row>
    <row r="112" spans="1:11" ht="15" customHeight="1" x14ac:dyDescent="0.2">
      <c r="A112" s="291"/>
      <c r="B112" s="2"/>
      <c r="C112" s="2"/>
      <c r="D112" s="2"/>
      <c r="E112" s="292"/>
      <c r="G112" s="2"/>
      <c r="H112" s="2"/>
      <c r="I112" s="2"/>
      <c r="J112" s="2"/>
      <c r="K112" s="2"/>
    </row>
    <row r="113" spans="1:11" ht="15" customHeight="1" x14ac:dyDescent="0.2">
      <c r="A113" s="291"/>
      <c r="B113" s="2"/>
      <c r="C113" s="2"/>
      <c r="D113" s="2"/>
      <c r="E113" s="292"/>
      <c r="G113" s="2"/>
      <c r="H113" s="2"/>
      <c r="I113" s="2"/>
      <c r="J113" s="2"/>
      <c r="K113" s="2"/>
    </row>
  </sheetData>
  <mergeCells count="46">
    <mergeCell ref="UY2:VB2"/>
    <mergeCell ref="VC2:VF2"/>
    <mergeCell ref="VG2:VJ2"/>
    <mergeCell ref="VK2:VN2"/>
    <mergeCell ref="A2:F2"/>
    <mergeCell ref="RG2:RV2"/>
    <mergeCell ref="RW2:SL2"/>
    <mergeCell ref="SM2:TB2"/>
    <mergeCell ref="TC2:TR2"/>
    <mergeCell ref="TS2:UH2"/>
    <mergeCell ref="UI2:UX2"/>
    <mergeCell ref="NO2:OD2"/>
    <mergeCell ref="OE2:OT2"/>
    <mergeCell ref="OU2:PJ2"/>
    <mergeCell ref="PK2:PZ2"/>
    <mergeCell ref="QA2:QP2"/>
    <mergeCell ref="QQ2:RF2"/>
    <mergeCell ref="JW2:KL2"/>
    <mergeCell ref="KM2:LB2"/>
    <mergeCell ref="LC2:LR2"/>
    <mergeCell ref="LS2:MH2"/>
    <mergeCell ref="MI2:MX2"/>
    <mergeCell ref="MY2:NN2"/>
    <mergeCell ref="JG2:JV2"/>
    <mergeCell ref="CM2:DB2"/>
    <mergeCell ref="DC2:DR2"/>
    <mergeCell ref="DS2:EH2"/>
    <mergeCell ref="EI2:EX2"/>
    <mergeCell ref="EY2:FN2"/>
    <mergeCell ref="FO2:GD2"/>
    <mergeCell ref="GE2:GT2"/>
    <mergeCell ref="GU2:HJ2"/>
    <mergeCell ref="HK2:HZ2"/>
    <mergeCell ref="IA2:IP2"/>
    <mergeCell ref="IQ2:JF2"/>
    <mergeCell ref="BW2:CL2"/>
    <mergeCell ref="G2:I2"/>
    <mergeCell ref="J2:K2"/>
    <mergeCell ref="N2:S2"/>
    <mergeCell ref="V2:AA2"/>
    <mergeCell ref="AD2:AI2"/>
    <mergeCell ref="AL2:AQ2"/>
    <mergeCell ref="AR2:AU2"/>
    <mergeCell ref="AV2:AZ2"/>
    <mergeCell ref="BA2:BF2"/>
    <mergeCell ref="BG2:BV2"/>
  </mergeCells>
  <conditionalFormatting sqref="M2">
    <cfRule type="containsBlanks" dxfId="680" priority="4">
      <formula>LEN(TRIM(M2))=0</formula>
    </cfRule>
  </conditionalFormatting>
  <conditionalFormatting sqref="U2">
    <cfRule type="containsBlanks" dxfId="679" priority="3">
      <formula>LEN(TRIM(U2))=0</formula>
    </cfRule>
  </conditionalFormatting>
  <conditionalFormatting sqref="AC2">
    <cfRule type="containsBlanks" dxfId="678" priority="2">
      <formula>LEN(TRIM(AC2))=0</formula>
    </cfRule>
  </conditionalFormatting>
  <conditionalFormatting sqref="AK2">
    <cfRule type="containsBlanks" dxfId="677" priority="1">
      <formula>LEN(TRIM(AK2))=0</formula>
    </cfRule>
  </conditionalFormatting>
  <dataValidations count="3">
    <dataValidation type="list" allowBlank="1" showInputMessage="1" showErrorMessage="1" sqref="D4:D28" xr:uid="{07CA0B97-28B0-447B-93E3-A01C5E798F84}">
      <formula1>"Antenna, TME, Dish"</formula1>
    </dataValidation>
    <dataValidation type="list" allowBlank="1" showInputMessage="1" showErrorMessage="1" sqref="E6:E53 E4" xr:uid="{EFCCFDB2-C5EC-4BBB-80EE-7D8DFB3BE28B}">
      <formula1>"Flat,Round, ,Generic,Mount, ,Dish, Radome, Shroud, Grid, ,CFD"</formula1>
    </dataValidation>
    <dataValidation type="list" allowBlank="1" showInputMessage="1" showErrorMessage="1" sqref="E5" xr:uid="{19F2F791-877C-4B1C-B410-DE3DF54A6E91}">
      <formula1>"Flat,Round, ,Generic,Mount, ,Dish, Radome, Shroud, Grid, CCI,CFD"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Show_ExportForm">
                <anchor moveWithCells="1" sizeWithCells="1">
                  <from>
                    <xdr:col>6</xdr:col>
                    <xdr:colOff>323850</xdr:colOff>
                    <xdr:row>0</xdr:row>
                    <xdr:rowOff>28575</xdr:rowOff>
                  </from>
                  <to>
                    <xdr:col>9</xdr:col>
                    <xdr:colOff>28575</xdr:colOff>
                    <xdr:row>0</xdr:row>
                    <xdr:rowOff>400050</xdr:rowOff>
                  </to>
                </anchor>
              </controlPr>
            </control>
          </mc:Choice>
        </mc:AlternateContent>
        <mc:AlternateContent xmlns:mc="http://schemas.openxmlformats.org/markup-compatibility/2006">
          <mc:Choice Requires="x14">
            <control shapeId="65545" r:id="rId5" name="Button 9">
              <controlPr defaultSize="0" print="0" autoFill="0" autoPict="0" macro="[0]!RFDS_Click">
                <anchor moveWithCells="1" sizeWithCells="1">
                  <from>
                    <xdr:col>3</xdr:col>
                    <xdr:colOff>428625</xdr:colOff>
                    <xdr:row>0</xdr:row>
                    <xdr:rowOff>38100</xdr:rowOff>
                  </from>
                  <to>
                    <xdr:col>4</xdr:col>
                    <xdr:colOff>485775</xdr:colOff>
                    <xdr:row>0</xdr:row>
                    <xdr:rowOff>400050</xdr:rowOff>
                  </to>
                </anchor>
              </controlPr>
            </control>
          </mc:Choice>
        </mc:AlternateContent>
        <mc:AlternateContent xmlns:mc="http://schemas.openxmlformats.org/markup-compatibility/2006">
          <mc:Choice Requires="x14">
            <control shapeId="65546" r:id="rId6" name="Button 10">
              <controlPr defaultSize="0" print="0" autoFill="0" autoPict="0" macro="[0]!Fill_Dimensions_From_Arc">
                <anchor moveWithCells="1" sizeWithCells="1">
                  <from>
                    <xdr:col>4</xdr:col>
                    <xdr:colOff>514350</xdr:colOff>
                    <xdr:row>0</xdr:row>
                    <xdr:rowOff>38100</xdr:rowOff>
                  </from>
                  <to>
                    <xdr:col>5</xdr:col>
                    <xdr:colOff>571500</xdr:colOff>
                    <xdr:row>0</xdr:row>
                    <xdr:rowOff>400050</xdr:rowOff>
                  </to>
                </anchor>
              </controlPr>
            </control>
          </mc:Choice>
        </mc:AlternateContent>
        <mc:AlternateContent xmlns:mc="http://schemas.openxmlformats.org/markup-compatibility/2006">
          <mc:Choice Requires="x14">
            <control shapeId="65549" r:id="rId7" name="Button 13">
              <controlPr defaultSize="0" print="0" autoFill="0" autoPict="0" macro="[0]!Import_Loading_tnxTower">
                <anchor moveWithCells="1" sizeWithCells="1">
                  <from>
                    <xdr:col>9</xdr:col>
                    <xdr:colOff>38100</xdr:colOff>
                    <xdr:row>0</xdr:row>
                    <xdr:rowOff>19050</xdr:rowOff>
                  </from>
                  <to>
                    <xdr:col>11</xdr:col>
                    <xdr:colOff>323850</xdr:colOff>
                    <xdr:row>0</xdr:row>
                    <xdr:rowOff>400050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extLst>
    <ext xmlns:x14="http://schemas.microsoft.com/office/spreadsheetml/2009/9/main" uri="{CCE6A557-97BC-4b89-ADB6-D9C93CAAB3DF}">
      <x14:dataValidations xmlns:xm="http://schemas.microsoft.com/office/excel/2006/main" count="1">
        <x14:dataValidation type="list" allowBlank="1" showInputMessage="1" xr:uid="{A24E0F35-6E22-4B80-B3E9-F316B2B07608}">
          <x14:formula1>
            <xm:f>Geometry!$E$6:$E$1048576</xm:f>
          </x14:formula1>
          <xm:sqref>N4:N28 V4:V28 X4:X28 AD4:AD28 AF4:AF28 AL4:AL28 P4:P28 AN4:AN28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0A263-1620-4EAF-8E3A-C4348FC28445}">
  <sheetPr codeName="shPointLoadTables"/>
  <dimension ref="A1:HQ141"/>
  <sheetViews>
    <sheetView workbookViewId="0">
      <pane ySplit="3" topLeftCell="A4" activePane="bottomLeft" state="frozen"/>
      <selection activeCell="A4" sqref="A4"/>
      <selection pane="bottomLeft" activeCell="A4" sqref="A4"/>
    </sheetView>
  </sheetViews>
  <sheetFormatPr defaultColWidth="0" defaultRowHeight="11.25" x14ac:dyDescent="0.2"/>
  <cols>
    <col min="1" max="1" width="7.7109375" style="49" customWidth="1"/>
    <col min="2" max="3" width="7.7109375" style="50" customWidth="1"/>
    <col min="4" max="4" width="7.7109375" style="54" customWidth="1"/>
    <col min="5" max="5" width="2.7109375" style="53" customWidth="1"/>
    <col min="6" max="6" width="7.7109375" style="49" customWidth="1"/>
    <col min="7" max="8" width="7.7109375" style="50" customWidth="1"/>
    <col min="9" max="9" width="7.7109375" style="54" customWidth="1"/>
    <col min="10" max="10" width="2.7109375" style="53" customWidth="1"/>
    <col min="11" max="11" width="7.7109375" style="49" customWidth="1"/>
    <col min="12" max="13" width="7.7109375" style="50" customWidth="1"/>
    <col min="14" max="14" width="7.7109375" style="54" customWidth="1"/>
    <col min="15" max="15" width="2.7109375" style="53" customWidth="1"/>
    <col min="16" max="16" width="7.7109375" style="49" customWidth="1"/>
    <col min="17" max="18" width="7.7109375" style="50" customWidth="1"/>
    <col min="19" max="19" width="7.7109375" style="54" customWidth="1"/>
    <col min="20" max="20" width="2.7109375" style="53" customWidth="1"/>
    <col min="21" max="21" width="7.7109375" style="49" customWidth="1"/>
    <col min="22" max="23" width="7.7109375" style="50" customWidth="1"/>
    <col min="24" max="24" width="7.7109375" style="54" customWidth="1"/>
    <col min="25" max="25" width="2.7109375" style="53" customWidth="1"/>
    <col min="26" max="26" width="7.7109375" style="49" customWidth="1"/>
    <col min="27" max="28" width="7.7109375" style="50" customWidth="1"/>
    <col min="29" max="29" width="7.7109375" style="54" customWidth="1"/>
    <col min="30" max="30" width="2.7109375" style="53" customWidth="1"/>
    <col min="31" max="31" width="7.7109375" style="49" customWidth="1"/>
    <col min="32" max="33" width="7.7109375" style="50" customWidth="1"/>
    <col min="34" max="34" width="7.7109375" style="54" customWidth="1"/>
    <col min="35" max="35" width="2.7109375" style="53" customWidth="1"/>
    <col min="36" max="36" width="7.7109375" style="49" customWidth="1"/>
    <col min="37" max="38" width="7.7109375" style="50" customWidth="1"/>
    <col min="39" max="39" width="7.7109375" style="54" customWidth="1"/>
    <col min="40" max="40" width="2.7109375" style="53" customWidth="1"/>
    <col min="41" max="41" width="7.7109375" style="49" customWidth="1"/>
    <col min="42" max="43" width="7.7109375" style="50" customWidth="1"/>
    <col min="44" max="44" width="7.7109375" style="54" customWidth="1"/>
    <col min="45" max="45" width="2.7109375" style="53" customWidth="1"/>
    <col min="46" max="46" width="7.7109375" style="49" customWidth="1"/>
    <col min="47" max="48" width="7.7109375" style="50" customWidth="1"/>
    <col min="49" max="49" width="7.7109375" style="54" customWidth="1"/>
    <col min="50" max="50" width="2.7109375" style="53" customWidth="1"/>
    <col min="51" max="51" width="7.7109375" style="49" customWidth="1"/>
    <col min="52" max="53" width="7.7109375" style="50" customWidth="1"/>
    <col min="54" max="54" width="7.7109375" style="54" customWidth="1"/>
    <col min="55" max="55" width="2.7109375" style="53" customWidth="1"/>
    <col min="56" max="56" width="7.7109375" style="49" customWidth="1"/>
    <col min="57" max="58" width="7.7109375" style="50" customWidth="1"/>
    <col min="59" max="59" width="7.7109375" style="54" customWidth="1"/>
    <col min="60" max="60" width="2.7109375" style="53" customWidth="1"/>
    <col min="61" max="61" width="7.7109375" style="49" customWidth="1"/>
    <col min="62" max="63" width="7.7109375" style="50" customWidth="1"/>
    <col min="64" max="64" width="7.7109375" style="54" customWidth="1"/>
    <col min="65" max="65" width="2.7109375" style="53" customWidth="1"/>
    <col min="66" max="66" width="7.7109375" style="49" customWidth="1"/>
    <col min="67" max="68" width="7.7109375" style="50" customWidth="1"/>
    <col min="69" max="69" width="7.7109375" style="54" customWidth="1"/>
    <col min="70" max="70" width="2.7109375" style="53" customWidth="1"/>
    <col min="71" max="71" width="7.7109375" style="49" customWidth="1"/>
    <col min="72" max="73" width="7.7109375" style="50" customWidth="1"/>
    <col min="74" max="74" width="7.7109375" style="54" customWidth="1"/>
    <col min="75" max="75" width="2.7109375" style="53" customWidth="1"/>
    <col min="76" max="76" width="7.7109375" style="49" customWidth="1"/>
    <col min="77" max="78" width="7.7109375" style="50" customWidth="1"/>
    <col min="79" max="79" width="7.7109375" style="54" customWidth="1"/>
    <col min="80" max="80" width="2.7109375" style="53" customWidth="1"/>
    <col min="81" max="81" width="7.7109375" style="49" customWidth="1"/>
    <col min="82" max="83" width="7.7109375" style="50" customWidth="1"/>
    <col min="84" max="84" width="7.7109375" style="54" customWidth="1"/>
    <col min="85" max="85" width="2.7109375" style="53" customWidth="1"/>
    <col min="86" max="86" width="7.7109375" style="49" customWidth="1"/>
    <col min="87" max="88" width="7.7109375" style="50" customWidth="1"/>
    <col min="89" max="89" width="7.7109375" style="54" customWidth="1"/>
    <col min="90" max="90" width="2.7109375" style="53" customWidth="1"/>
    <col min="91" max="91" width="7.7109375" style="49" customWidth="1"/>
    <col min="92" max="93" width="7.7109375" style="50" customWidth="1"/>
    <col min="94" max="94" width="7.7109375" style="54" customWidth="1"/>
    <col min="95" max="95" width="2.7109375" style="53" customWidth="1"/>
    <col min="96" max="96" width="7.7109375" style="49" customWidth="1"/>
    <col min="97" max="98" width="7.7109375" style="50" customWidth="1"/>
    <col min="99" max="99" width="7.7109375" style="54" customWidth="1"/>
    <col min="100" max="100" width="2.7109375" style="53" customWidth="1"/>
    <col min="101" max="101" width="7.7109375" style="49" customWidth="1"/>
    <col min="102" max="103" width="7.7109375" style="50" customWidth="1"/>
    <col min="104" max="104" width="7.7109375" style="54" customWidth="1"/>
    <col min="105" max="105" width="2.7109375" style="53" customWidth="1"/>
    <col min="106" max="106" width="7.7109375" style="49" customWidth="1"/>
    <col min="107" max="108" width="7.7109375" style="50" customWidth="1"/>
    <col min="109" max="109" width="7.7109375" style="54" customWidth="1"/>
    <col min="110" max="110" width="2.7109375" style="53" customWidth="1"/>
    <col min="111" max="111" width="7.7109375" style="49" customWidth="1"/>
    <col min="112" max="113" width="7.7109375" style="50" customWidth="1"/>
    <col min="114" max="114" width="7.7109375" style="54" customWidth="1"/>
    <col min="115" max="115" width="2.7109375" style="53" customWidth="1"/>
    <col min="116" max="116" width="7.7109375" style="49" customWidth="1"/>
    <col min="117" max="118" width="7.7109375" style="50" customWidth="1"/>
    <col min="119" max="119" width="7.7109375" style="54" customWidth="1"/>
    <col min="120" max="120" width="2.7109375" style="53" customWidth="1"/>
    <col min="121" max="121" width="7.7109375" style="49" customWidth="1"/>
    <col min="122" max="123" width="7.7109375" style="50" customWidth="1"/>
    <col min="124" max="124" width="7.7109375" style="54" customWidth="1"/>
    <col min="125" max="125" width="2.7109375" style="53" customWidth="1"/>
    <col min="126" max="126" width="7.7109375" style="49" customWidth="1"/>
    <col min="127" max="128" width="7.7109375" style="50" customWidth="1"/>
    <col min="129" max="129" width="7.7109375" style="54" customWidth="1"/>
    <col min="130" max="130" width="2.7109375" style="53" customWidth="1"/>
    <col min="131" max="131" width="7.7109375" style="49" customWidth="1"/>
    <col min="132" max="133" width="7.7109375" style="50" customWidth="1"/>
    <col min="134" max="134" width="7.7109375" style="54" customWidth="1"/>
    <col min="135" max="135" width="2.7109375" style="53" customWidth="1"/>
    <col min="136" max="136" width="7.7109375" style="49" customWidth="1"/>
    <col min="137" max="138" width="7.7109375" style="50" customWidth="1"/>
    <col min="139" max="139" width="7.7109375" style="54" customWidth="1"/>
    <col min="140" max="140" width="2.7109375" style="53" customWidth="1"/>
    <col min="141" max="141" width="7.7109375" style="49" customWidth="1"/>
    <col min="142" max="143" width="7.7109375" style="50" customWidth="1"/>
    <col min="144" max="144" width="7.7109375" style="54" customWidth="1"/>
    <col min="145" max="145" width="2.7109375" style="53" customWidth="1"/>
    <col min="146" max="146" width="7.7109375" style="49" customWidth="1"/>
    <col min="147" max="148" width="7.7109375" style="50" customWidth="1"/>
    <col min="149" max="149" width="7.7109375" style="54" customWidth="1"/>
    <col min="150" max="150" width="2.7109375" style="53" customWidth="1"/>
    <col min="151" max="151" width="7.7109375" style="49" customWidth="1"/>
    <col min="152" max="153" width="7.7109375" style="50" customWidth="1"/>
    <col min="154" max="154" width="7.7109375" style="54" customWidth="1"/>
    <col min="155" max="155" width="2.7109375" style="53" customWidth="1"/>
    <col min="156" max="156" width="7.7109375" style="49" customWidth="1"/>
    <col min="157" max="158" width="7.7109375" style="50" customWidth="1"/>
    <col min="159" max="159" width="7.7109375" style="54" customWidth="1"/>
    <col min="160" max="160" width="2.7109375" style="53" customWidth="1"/>
    <col min="161" max="161" width="7.7109375" style="49" customWidth="1"/>
    <col min="162" max="163" width="7.7109375" style="50" customWidth="1"/>
    <col min="164" max="164" width="7.7109375" style="54" customWidth="1"/>
    <col min="165" max="165" width="2.7109375" style="53" customWidth="1"/>
    <col min="166" max="166" width="7.7109375" style="49" customWidth="1"/>
    <col min="167" max="168" width="7.7109375" style="50" customWidth="1"/>
    <col min="169" max="169" width="7.7109375" style="54" customWidth="1"/>
    <col min="170" max="170" width="2.7109375" style="53" customWidth="1"/>
    <col min="171" max="171" width="7.7109375" style="49" customWidth="1"/>
    <col min="172" max="173" width="7.7109375" style="50" customWidth="1"/>
    <col min="174" max="174" width="7.7109375" style="54" customWidth="1"/>
    <col min="175" max="175" width="2.7109375" style="53" customWidth="1"/>
    <col min="176" max="176" width="7.7109375" style="49" customWidth="1"/>
    <col min="177" max="178" width="7.7109375" style="50" customWidth="1"/>
    <col min="179" max="179" width="7.7109375" style="54" customWidth="1"/>
    <col min="180" max="180" width="2.7109375" style="53" customWidth="1"/>
    <col min="181" max="181" width="7.7109375" style="49" customWidth="1"/>
    <col min="182" max="183" width="7.7109375" style="50" customWidth="1"/>
    <col min="184" max="184" width="7.7109375" style="54" customWidth="1"/>
    <col min="185" max="185" width="2.7109375" style="53" customWidth="1"/>
    <col min="186" max="186" width="7.7109375" style="49" customWidth="1"/>
    <col min="187" max="188" width="7.7109375" style="50" customWidth="1"/>
    <col min="189" max="189" width="7.7109375" style="54" customWidth="1"/>
    <col min="190" max="190" width="2.7109375" style="53" customWidth="1"/>
    <col min="191" max="191" width="7.7109375" style="49" customWidth="1"/>
    <col min="192" max="193" width="7.7109375" style="50" customWidth="1"/>
    <col min="194" max="194" width="7.7109375" style="54" customWidth="1"/>
    <col min="195" max="195" width="2.7109375" style="53" customWidth="1"/>
    <col min="196" max="196" width="7.7109375" style="49" customWidth="1"/>
    <col min="197" max="198" width="7.7109375" style="50" customWidth="1"/>
    <col min="199" max="199" width="7.7109375" style="54" customWidth="1"/>
    <col min="200" max="200" width="2.7109375" style="53" customWidth="1"/>
    <col min="201" max="201" width="7.7109375" style="49" customWidth="1"/>
    <col min="202" max="203" width="7.7109375" style="50" customWidth="1"/>
    <col min="204" max="204" width="7.7109375" style="54" customWidth="1"/>
    <col min="205" max="205" width="2.7109375" style="53" customWidth="1"/>
    <col min="206" max="206" width="7.7109375" style="49" customWidth="1"/>
    <col min="207" max="208" width="7.7109375" style="50" customWidth="1"/>
    <col min="209" max="209" width="7.7109375" style="54" customWidth="1"/>
    <col min="210" max="210" width="2.7109375" style="53" customWidth="1"/>
    <col min="211" max="211" width="7.7109375" style="49" customWidth="1"/>
    <col min="212" max="213" width="7.7109375" style="50" customWidth="1"/>
    <col min="214" max="214" width="7.7109375" style="54" customWidth="1"/>
    <col min="215" max="215" width="2.7109375" style="53" customWidth="1"/>
    <col min="216" max="216" width="7.7109375" style="49" customWidth="1"/>
    <col min="217" max="218" width="7.7109375" style="50" customWidth="1"/>
    <col min="219" max="219" width="7.7109375" style="54" customWidth="1"/>
    <col min="220" max="220" width="2.7109375" style="53" customWidth="1"/>
    <col min="221" max="221" width="7.7109375" style="49" customWidth="1"/>
    <col min="222" max="223" width="7.7109375" style="50" customWidth="1"/>
    <col min="224" max="224" width="7.7109375" style="54" customWidth="1"/>
    <col min="225" max="225" width="2.7109375" style="53" customWidth="1"/>
    <col min="226" max="16384" width="10.7109375" style="50" hidden="1"/>
  </cols>
  <sheetData>
    <row r="1" spans="1:225" s="47" customFormat="1" ht="16.5" thickBot="1" x14ac:dyDescent="0.3">
      <c r="A1" s="23" t="s">
        <v>323</v>
      </c>
      <c r="B1" s="37"/>
      <c r="C1" s="38"/>
      <c r="D1" s="39"/>
      <c r="E1" s="40"/>
      <c r="F1" s="41"/>
      <c r="G1" s="37"/>
      <c r="H1" s="37"/>
      <c r="I1" s="42"/>
      <c r="J1" s="40"/>
      <c r="K1" s="41"/>
      <c r="L1" s="37"/>
      <c r="M1" s="37"/>
      <c r="N1" s="42"/>
      <c r="O1" s="40"/>
      <c r="P1" s="41"/>
      <c r="Q1" s="37"/>
      <c r="R1" s="37"/>
      <c r="S1" s="42"/>
      <c r="T1" s="40"/>
      <c r="U1" s="41"/>
      <c r="V1" s="37"/>
      <c r="W1" s="37"/>
      <c r="X1" s="42"/>
      <c r="Y1" s="40"/>
      <c r="Z1" s="41"/>
      <c r="AA1" s="37"/>
      <c r="AB1" s="37"/>
      <c r="AC1" s="42"/>
      <c r="AD1" s="40"/>
      <c r="AE1" s="41"/>
      <c r="AF1" s="37"/>
      <c r="AG1" s="37"/>
      <c r="AH1" s="42"/>
      <c r="AI1" s="40"/>
      <c r="AJ1" s="41"/>
      <c r="AK1" s="37"/>
      <c r="AL1" s="37"/>
      <c r="AM1" s="42"/>
      <c r="AN1" s="40"/>
      <c r="AO1" s="23"/>
      <c r="AP1" s="37"/>
      <c r="AQ1" s="37"/>
      <c r="AR1" s="42"/>
      <c r="AS1" s="40"/>
      <c r="AT1" s="41"/>
      <c r="AU1" s="37"/>
      <c r="AV1" s="37"/>
      <c r="AW1" s="42"/>
      <c r="AX1" s="40"/>
      <c r="AY1" s="41"/>
      <c r="AZ1" s="37"/>
      <c r="BA1" s="37"/>
      <c r="BB1" s="42"/>
      <c r="BC1" s="40"/>
      <c r="BD1" s="41"/>
      <c r="BE1" s="37"/>
      <c r="BF1" s="37"/>
      <c r="BG1" s="42"/>
      <c r="BH1" s="40"/>
      <c r="BI1" s="41"/>
      <c r="BJ1" s="37"/>
      <c r="BK1" s="37"/>
      <c r="BL1" s="42"/>
      <c r="BM1" s="40"/>
      <c r="BN1" s="41"/>
      <c r="BO1" s="37"/>
      <c r="BP1" s="37"/>
      <c r="BQ1" s="42"/>
      <c r="BR1" s="40"/>
      <c r="BS1" s="41"/>
      <c r="BT1" s="37"/>
      <c r="BU1" s="37"/>
      <c r="BV1" s="42"/>
      <c r="BW1" s="40"/>
      <c r="BX1" s="41"/>
      <c r="BY1" s="37"/>
      <c r="BZ1" s="37"/>
      <c r="CA1" s="42"/>
      <c r="CB1" s="40"/>
      <c r="CC1" s="41"/>
      <c r="CD1" s="37"/>
      <c r="CE1" s="43"/>
      <c r="CF1" s="44"/>
      <c r="CG1" s="40"/>
      <c r="CH1" s="41"/>
      <c r="CI1" s="37"/>
      <c r="CJ1" s="43"/>
      <c r="CK1" s="44"/>
      <c r="CL1" s="40"/>
      <c r="CM1" s="41"/>
      <c r="CN1" s="37"/>
      <c r="CO1" s="43"/>
      <c r="CP1" s="44"/>
      <c r="CQ1" s="40"/>
      <c r="CR1" s="41"/>
      <c r="CS1" s="37"/>
      <c r="CT1" s="43"/>
      <c r="CU1" s="44"/>
      <c r="CV1" s="40"/>
      <c r="CW1" s="41"/>
      <c r="CX1" s="37"/>
      <c r="CY1" s="43"/>
      <c r="CZ1" s="44"/>
      <c r="DA1" s="40"/>
      <c r="DB1" s="41"/>
      <c r="DC1" s="43"/>
      <c r="DD1" s="37"/>
      <c r="DE1" s="44"/>
      <c r="DF1" s="40"/>
      <c r="DG1" s="41"/>
      <c r="DH1" s="37"/>
      <c r="DI1" s="43"/>
      <c r="DJ1" s="44"/>
      <c r="DK1" s="40"/>
      <c r="DL1" s="41"/>
      <c r="DM1" s="37"/>
      <c r="DN1" s="43"/>
      <c r="DO1" s="44"/>
      <c r="DP1" s="40"/>
      <c r="DQ1" s="41"/>
      <c r="DR1" s="37"/>
      <c r="DS1" s="43"/>
      <c r="DT1" s="44"/>
      <c r="DU1" s="40"/>
      <c r="DV1" s="41"/>
      <c r="DW1" s="37"/>
      <c r="DX1" s="43"/>
      <c r="DY1" s="44"/>
      <c r="DZ1" s="40"/>
      <c r="EA1" s="41"/>
      <c r="EB1" s="37"/>
      <c r="EC1" s="43"/>
      <c r="ED1" s="44"/>
      <c r="EE1" s="40"/>
      <c r="EF1" s="41"/>
      <c r="EG1" s="37"/>
      <c r="EH1" s="43"/>
      <c r="EI1" s="44"/>
      <c r="EJ1" s="40"/>
      <c r="EK1" s="41"/>
      <c r="EL1" s="37"/>
      <c r="EM1" s="43"/>
      <c r="EN1" s="44"/>
      <c r="EO1" s="40"/>
      <c r="EP1" s="45"/>
      <c r="EQ1" s="37"/>
      <c r="ER1" s="43"/>
      <c r="ES1" s="44"/>
      <c r="ET1" s="40"/>
      <c r="EU1" s="41"/>
      <c r="EV1" s="37"/>
      <c r="EW1" s="43"/>
      <c r="EX1" s="44"/>
      <c r="EY1" s="40"/>
      <c r="EZ1" s="41"/>
      <c r="FA1" s="37"/>
      <c r="FB1" s="43"/>
      <c r="FC1" s="46"/>
      <c r="FD1" s="40"/>
      <c r="FE1" s="41"/>
      <c r="FF1" s="37"/>
      <c r="FG1" s="37"/>
      <c r="FH1" s="42"/>
      <c r="FI1" s="40"/>
      <c r="FJ1" s="41"/>
      <c r="FK1" s="37"/>
      <c r="FL1" s="37"/>
      <c r="FM1" s="42"/>
      <c r="FN1" s="40"/>
      <c r="FO1" s="41"/>
      <c r="FP1" s="37"/>
      <c r="FQ1" s="37"/>
      <c r="FR1" s="42"/>
      <c r="FS1" s="40"/>
      <c r="FT1" s="41"/>
      <c r="FU1" s="37"/>
      <c r="FV1" s="37"/>
      <c r="FW1" s="42"/>
      <c r="FX1" s="40"/>
      <c r="FY1" s="45"/>
      <c r="FZ1" s="37"/>
      <c r="GA1" s="37"/>
      <c r="GB1" s="46"/>
      <c r="GC1" s="40"/>
      <c r="GD1" s="45"/>
      <c r="GE1" s="37"/>
      <c r="GF1" s="37"/>
      <c r="GG1" s="42"/>
      <c r="GH1" s="40"/>
      <c r="GI1" s="45"/>
      <c r="GJ1" s="37"/>
      <c r="GK1" s="37"/>
      <c r="GL1" s="46"/>
      <c r="GM1" s="40"/>
      <c r="GN1" s="45"/>
      <c r="GO1" s="37"/>
      <c r="GP1" s="37"/>
      <c r="GQ1" s="42"/>
      <c r="GR1" s="40"/>
      <c r="GS1" s="45"/>
      <c r="GT1" s="37"/>
      <c r="GU1" s="37"/>
      <c r="GV1" s="46"/>
      <c r="GW1" s="40"/>
      <c r="GX1" s="45"/>
      <c r="GY1" s="37"/>
      <c r="GZ1" s="37"/>
      <c r="HA1" s="42"/>
      <c r="HB1" s="40"/>
      <c r="HC1" s="41"/>
      <c r="HD1" s="37"/>
      <c r="HE1" s="37"/>
      <c r="HF1" s="46"/>
      <c r="HG1" s="40"/>
      <c r="HH1" s="41"/>
      <c r="HI1" s="37"/>
      <c r="HJ1" s="37"/>
      <c r="HK1" s="42"/>
      <c r="HL1" s="40"/>
      <c r="HM1" s="37"/>
      <c r="HN1" s="37"/>
      <c r="HP1" s="46"/>
      <c r="HQ1" s="7"/>
    </row>
    <row r="2" spans="1:225" s="20" customFormat="1" x14ac:dyDescent="0.2">
      <c r="A2" s="488" t="s">
        <v>1258</v>
      </c>
      <c r="B2" s="489"/>
      <c r="C2" s="489"/>
      <c r="D2" s="490"/>
      <c r="E2" s="9"/>
      <c r="F2" s="488" t="s">
        <v>1259</v>
      </c>
      <c r="G2" s="489"/>
      <c r="H2" s="489"/>
      <c r="I2" s="490"/>
      <c r="J2" s="9"/>
      <c r="K2" s="488" t="s">
        <v>1260</v>
      </c>
      <c r="L2" s="489"/>
      <c r="M2" s="489"/>
      <c r="N2" s="490"/>
      <c r="O2" s="9"/>
      <c r="P2" s="488" t="s">
        <v>1261</v>
      </c>
      <c r="Q2" s="489"/>
      <c r="R2" s="489"/>
      <c r="S2" s="490"/>
      <c r="T2" s="9"/>
      <c r="U2" s="488" t="s">
        <v>1262</v>
      </c>
      <c r="V2" s="489"/>
      <c r="W2" s="489"/>
      <c r="X2" s="490"/>
      <c r="Y2" s="9"/>
      <c r="Z2" s="488" t="s">
        <v>1263</v>
      </c>
      <c r="AA2" s="489"/>
      <c r="AB2" s="502"/>
      <c r="AC2" s="490"/>
      <c r="AD2" s="9"/>
      <c r="AE2" s="488" t="s">
        <v>1264</v>
      </c>
      <c r="AF2" s="489"/>
      <c r="AG2" s="489"/>
      <c r="AH2" s="490"/>
      <c r="AI2" s="9"/>
      <c r="AJ2" s="488" t="s">
        <v>1265</v>
      </c>
      <c r="AK2" s="489"/>
      <c r="AL2" s="489"/>
      <c r="AM2" s="490"/>
      <c r="AN2" s="9"/>
      <c r="AO2" s="488" t="s">
        <v>1266</v>
      </c>
      <c r="AP2" s="489"/>
      <c r="AQ2" s="489"/>
      <c r="AR2" s="490"/>
      <c r="AS2" s="9"/>
      <c r="AT2" s="488" t="s">
        <v>1267</v>
      </c>
      <c r="AU2" s="489"/>
      <c r="AV2" s="489"/>
      <c r="AW2" s="490"/>
      <c r="AX2" s="9"/>
      <c r="AY2" s="488" t="s">
        <v>1268</v>
      </c>
      <c r="AZ2" s="489"/>
      <c r="BA2" s="489"/>
      <c r="BB2" s="490"/>
      <c r="BC2" s="9"/>
      <c r="BD2" s="488" t="s">
        <v>1269</v>
      </c>
      <c r="BE2" s="489"/>
      <c r="BF2" s="489"/>
      <c r="BG2" s="490"/>
      <c r="BH2" s="9"/>
      <c r="BI2" s="488" t="s">
        <v>1270</v>
      </c>
      <c r="BJ2" s="489"/>
      <c r="BK2" s="489"/>
      <c r="BL2" s="490"/>
      <c r="BM2" s="9"/>
      <c r="BN2" s="488" t="s">
        <v>1271</v>
      </c>
      <c r="BO2" s="489"/>
      <c r="BP2" s="489"/>
      <c r="BQ2" s="490"/>
      <c r="BR2" s="9"/>
      <c r="BS2" s="488" t="s">
        <v>1272</v>
      </c>
      <c r="BT2" s="489"/>
      <c r="BU2" s="489"/>
      <c r="BV2" s="490"/>
      <c r="BW2" s="9"/>
      <c r="BX2" s="488" t="s">
        <v>1273</v>
      </c>
      <c r="BY2" s="489"/>
      <c r="BZ2" s="489"/>
      <c r="CA2" s="490"/>
      <c r="CB2" s="9"/>
      <c r="CC2" s="491" t="s">
        <v>1274</v>
      </c>
      <c r="CD2" s="492"/>
      <c r="CE2" s="492"/>
      <c r="CF2" s="493"/>
      <c r="CG2" s="9"/>
      <c r="CH2" s="491" t="s">
        <v>1275</v>
      </c>
      <c r="CI2" s="492"/>
      <c r="CJ2" s="492"/>
      <c r="CK2" s="493"/>
      <c r="CL2" s="9"/>
      <c r="CM2" s="491" t="s">
        <v>1276</v>
      </c>
      <c r="CN2" s="492"/>
      <c r="CO2" s="492"/>
      <c r="CP2" s="493"/>
      <c r="CQ2" s="9"/>
      <c r="CR2" s="491" t="s">
        <v>1277</v>
      </c>
      <c r="CS2" s="492"/>
      <c r="CT2" s="492"/>
      <c r="CU2" s="493"/>
      <c r="CV2" s="9"/>
      <c r="CW2" s="491" t="s">
        <v>1278</v>
      </c>
      <c r="CX2" s="492"/>
      <c r="CY2" s="492"/>
      <c r="CZ2" s="493"/>
      <c r="DA2" s="9"/>
      <c r="DB2" s="491" t="s">
        <v>1279</v>
      </c>
      <c r="DC2" s="492"/>
      <c r="DD2" s="492"/>
      <c r="DE2" s="493"/>
      <c r="DF2" s="9"/>
      <c r="DG2" s="491" t="s">
        <v>1280</v>
      </c>
      <c r="DH2" s="492"/>
      <c r="DI2" s="492"/>
      <c r="DJ2" s="493"/>
      <c r="DK2" s="9"/>
      <c r="DL2" s="491" t="s">
        <v>1281</v>
      </c>
      <c r="DM2" s="492"/>
      <c r="DN2" s="492"/>
      <c r="DO2" s="493"/>
      <c r="DP2" s="9"/>
      <c r="DQ2" s="491" t="s">
        <v>1282</v>
      </c>
      <c r="DR2" s="492"/>
      <c r="DS2" s="492"/>
      <c r="DT2" s="493"/>
      <c r="DU2" s="9"/>
      <c r="DV2" s="491" t="s">
        <v>1283</v>
      </c>
      <c r="DW2" s="492"/>
      <c r="DX2" s="492"/>
      <c r="DY2" s="493"/>
      <c r="DZ2" s="9"/>
      <c r="EA2" s="491" t="s">
        <v>1284</v>
      </c>
      <c r="EB2" s="492"/>
      <c r="EC2" s="492"/>
      <c r="ED2" s="493"/>
      <c r="EE2" s="9"/>
      <c r="EF2" s="491" t="s">
        <v>1285</v>
      </c>
      <c r="EG2" s="492"/>
      <c r="EH2" s="492"/>
      <c r="EI2" s="493"/>
      <c r="EJ2" s="9"/>
      <c r="EK2" s="491" t="s">
        <v>1286</v>
      </c>
      <c r="EL2" s="492"/>
      <c r="EM2" s="492"/>
      <c r="EN2" s="493"/>
      <c r="EO2" s="9"/>
      <c r="EP2" s="491" t="s">
        <v>1287</v>
      </c>
      <c r="EQ2" s="492"/>
      <c r="ER2" s="492"/>
      <c r="ES2" s="493"/>
      <c r="ET2" s="9"/>
      <c r="EU2" s="491" t="s">
        <v>1288</v>
      </c>
      <c r="EV2" s="492"/>
      <c r="EW2" s="492"/>
      <c r="EX2" s="493"/>
      <c r="EY2" s="9"/>
      <c r="EZ2" s="491" t="s">
        <v>1289</v>
      </c>
      <c r="FA2" s="492"/>
      <c r="FB2" s="492"/>
      <c r="FC2" s="493"/>
      <c r="FD2" s="9"/>
      <c r="FE2" s="488" t="s">
        <v>324</v>
      </c>
      <c r="FF2" s="489"/>
      <c r="FG2" s="502"/>
      <c r="FH2" s="507"/>
      <c r="FI2" s="9"/>
      <c r="FJ2" s="491" t="s">
        <v>292</v>
      </c>
      <c r="FK2" s="492"/>
      <c r="FL2" s="508"/>
      <c r="FM2" s="509"/>
      <c r="FN2" s="9"/>
      <c r="FO2" s="510" t="s">
        <v>325</v>
      </c>
      <c r="FP2" s="511"/>
      <c r="FQ2" s="512"/>
      <c r="FR2" s="513"/>
      <c r="FS2" s="9"/>
      <c r="FT2" s="510" t="s">
        <v>1290</v>
      </c>
      <c r="FU2" s="511"/>
      <c r="FV2" s="512"/>
      <c r="FW2" s="513"/>
      <c r="FX2" s="9"/>
      <c r="FY2" s="510" t="s">
        <v>1291</v>
      </c>
      <c r="FZ2" s="511"/>
      <c r="GA2" s="512"/>
      <c r="GB2" s="513"/>
      <c r="GC2" s="9"/>
      <c r="GD2" s="503" t="s">
        <v>670</v>
      </c>
      <c r="GE2" s="504"/>
      <c r="GF2" s="505"/>
      <c r="GG2" s="506"/>
      <c r="GH2" s="9"/>
      <c r="GI2" s="503" t="s">
        <v>671</v>
      </c>
      <c r="GJ2" s="504"/>
      <c r="GK2" s="505"/>
      <c r="GL2" s="506"/>
      <c r="GM2" s="9"/>
      <c r="GN2" s="503" t="s">
        <v>672</v>
      </c>
      <c r="GO2" s="504"/>
      <c r="GP2" s="505"/>
      <c r="GQ2" s="506"/>
      <c r="GR2" s="9"/>
      <c r="GS2" s="503" t="s">
        <v>1396</v>
      </c>
      <c r="GT2" s="504"/>
      <c r="GU2" s="505"/>
      <c r="GV2" s="506"/>
      <c r="GW2" s="9"/>
      <c r="GX2" s="503" t="s">
        <v>673</v>
      </c>
      <c r="GY2" s="504"/>
      <c r="GZ2" s="505"/>
      <c r="HA2" s="506"/>
      <c r="HB2" s="9"/>
      <c r="HC2" s="503" t="s">
        <v>674</v>
      </c>
      <c r="HD2" s="504"/>
      <c r="HE2" s="505"/>
      <c r="HF2" s="506"/>
      <c r="HG2" s="9"/>
      <c r="HH2" s="503" t="s">
        <v>680</v>
      </c>
      <c r="HI2" s="504"/>
      <c r="HJ2" s="505"/>
      <c r="HK2" s="506"/>
      <c r="HL2" s="9"/>
      <c r="HM2" s="503" t="s">
        <v>1397</v>
      </c>
      <c r="HN2" s="504"/>
      <c r="HO2" s="505"/>
      <c r="HP2" s="506"/>
      <c r="HQ2" s="10"/>
    </row>
    <row r="3" spans="1:225" s="20" customFormat="1" ht="23.25" thickBot="1" x14ac:dyDescent="0.25">
      <c r="A3" s="12" t="s">
        <v>255</v>
      </c>
      <c r="B3" s="13" t="s">
        <v>293</v>
      </c>
      <c r="C3" s="14" t="str" cm="1">
        <f t="array" ref="C3">CONCATENATE("Force (",RISA3D.Unit.Force,")")</f>
        <v>Force ()</v>
      </c>
      <c r="D3" s="34" t="s">
        <v>322</v>
      </c>
      <c r="E3" s="17"/>
      <c r="F3" s="48" t="s">
        <v>255</v>
      </c>
      <c r="G3" s="15" t="s">
        <v>293</v>
      </c>
      <c r="H3" s="14" t="str">
        <f>CONCATENATE("Force (",RISA3D.Unit.Force,")")</f>
        <v>Force ()</v>
      </c>
      <c r="I3" s="34" t="s">
        <v>322</v>
      </c>
      <c r="J3" s="17"/>
      <c r="K3" s="12" t="s">
        <v>255</v>
      </c>
      <c r="L3" s="13" t="s">
        <v>293</v>
      </c>
      <c r="M3" s="14" t="str">
        <f>CONCATENATE("Force (",RISA3D.Unit.Force,")")</f>
        <v>Force ()</v>
      </c>
      <c r="N3" s="34" t="s">
        <v>322</v>
      </c>
      <c r="O3" s="17"/>
      <c r="P3" s="12" t="s">
        <v>255</v>
      </c>
      <c r="Q3" s="13" t="s">
        <v>293</v>
      </c>
      <c r="R3" s="14" t="str">
        <f>CONCATENATE("Force (",RISA3D.Unit.Force,")")</f>
        <v>Force ()</v>
      </c>
      <c r="S3" s="34" t="s">
        <v>322</v>
      </c>
      <c r="T3" s="17"/>
      <c r="U3" s="12" t="s">
        <v>255</v>
      </c>
      <c r="V3" s="13" t="s">
        <v>293</v>
      </c>
      <c r="W3" s="14" t="str">
        <f>CONCATENATE("Force (",RISA3D.Unit.Force,")")</f>
        <v>Force ()</v>
      </c>
      <c r="X3" s="34" t="s">
        <v>322</v>
      </c>
      <c r="Y3" s="17"/>
      <c r="Z3" s="12" t="s">
        <v>255</v>
      </c>
      <c r="AA3" s="13" t="s">
        <v>293</v>
      </c>
      <c r="AB3" s="14" t="str">
        <f>CONCATENATE("Force (",RISA3D.Unit.Force,")")</f>
        <v>Force ()</v>
      </c>
      <c r="AC3" s="34" t="s">
        <v>322</v>
      </c>
      <c r="AD3" s="17"/>
      <c r="AE3" s="12" t="s">
        <v>255</v>
      </c>
      <c r="AF3" s="13" t="s">
        <v>293</v>
      </c>
      <c r="AG3" s="14" t="str">
        <f>CONCATENATE("Force (",RISA3D.Unit.Force,")")</f>
        <v>Force ()</v>
      </c>
      <c r="AH3" s="34" t="s">
        <v>322</v>
      </c>
      <c r="AI3" s="17"/>
      <c r="AJ3" s="12" t="s">
        <v>255</v>
      </c>
      <c r="AK3" s="13" t="s">
        <v>293</v>
      </c>
      <c r="AL3" s="14" t="str">
        <f>CONCATENATE("Force (",RISA3D.Unit.Force,")")</f>
        <v>Force ()</v>
      </c>
      <c r="AM3" s="34" t="s">
        <v>322</v>
      </c>
      <c r="AN3" s="10"/>
      <c r="AO3" s="12" t="s">
        <v>255</v>
      </c>
      <c r="AP3" s="13" t="s">
        <v>293</v>
      </c>
      <c r="AQ3" s="14" t="str" cm="1">
        <f t="array" ref="AQ3">CONCATENATE("Force (",RISA3D.Unit.Force,")")</f>
        <v>Force ()</v>
      </c>
      <c r="AR3" s="34" t="s">
        <v>322</v>
      </c>
      <c r="AS3" s="17"/>
      <c r="AT3" s="48" t="s">
        <v>255</v>
      </c>
      <c r="AU3" s="15" t="s">
        <v>293</v>
      </c>
      <c r="AV3" s="14" t="str">
        <f>CONCATENATE("Force (",RISA3D.Unit.Force,")")</f>
        <v>Force ()</v>
      </c>
      <c r="AW3" s="34" t="s">
        <v>322</v>
      </c>
      <c r="AX3" s="17"/>
      <c r="AY3" s="12" t="s">
        <v>255</v>
      </c>
      <c r="AZ3" s="13" t="s">
        <v>293</v>
      </c>
      <c r="BA3" s="14" t="str">
        <f>CONCATENATE("Force (",RISA3D.Unit.Force,")")</f>
        <v>Force ()</v>
      </c>
      <c r="BB3" s="34" t="s">
        <v>322</v>
      </c>
      <c r="BC3" s="17"/>
      <c r="BD3" s="12" t="s">
        <v>255</v>
      </c>
      <c r="BE3" s="13" t="s">
        <v>293</v>
      </c>
      <c r="BF3" s="14" t="str">
        <f>CONCATENATE("Force (",RISA3D.Unit.Force,")")</f>
        <v>Force ()</v>
      </c>
      <c r="BG3" s="34" t="s">
        <v>322</v>
      </c>
      <c r="BH3" s="17"/>
      <c r="BI3" s="12" t="s">
        <v>255</v>
      </c>
      <c r="BJ3" s="13" t="s">
        <v>293</v>
      </c>
      <c r="BK3" s="14" t="str">
        <f>CONCATENATE("Force (",RISA3D.Unit.Force,")")</f>
        <v>Force ()</v>
      </c>
      <c r="BL3" s="34" t="s">
        <v>322</v>
      </c>
      <c r="BM3" s="17"/>
      <c r="BN3" s="12" t="s">
        <v>255</v>
      </c>
      <c r="BO3" s="13" t="s">
        <v>293</v>
      </c>
      <c r="BP3" s="14" t="str">
        <f>CONCATENATE("Force (",RISA3D.Unit.Force,")")</f>
        <v>Force ()</v>
      </c>
      <c r="BQ3" s="34" t="s">
        <v>322</v>
      </c>
      <c r="BR3" s="17"/>
      <c r="BS3" s="12" t="s">
        <v>255</v>
      </c>
      <c r="BT3" s="13" t="s">
        <v>293</v>
      </c>
      <c r="BU3" s="14" t="str">
        <f>CONCATENATE("Force (",RISA3D.Unit.Force,")")</f>
        <v>Force ()</v>
      </c>
      <c r="BV3" s="34" t="s">
        <v>322</v>
      </c>
      <c r="BW3" s="17"/>
      <c r="BX3" s="12" t="s">
        <v>255</v>
      </c>
      <c r="BY3" s="13" t="s">
        <v>293</v>
      </c>
      <c r="BZ3" s="14" t="str">
        <f>CONCATENATE("Force (",RISA3D.Unit.Force,")")</f>
        <v>Force ()</v>
      </c>
      <c r="CA3" s="34" t="s">
        <v>322</v>
      </c>
      <c r="CB3" s="17"/>
      <c r="CC3" s="12" t="s">
        <v>255</v>
      </c>
      <c r="CD3" s="13" t="s">
        <v>293</v>
      </c>
      <c r="CE3" s="14" t="str" cm="1">
        <f t="array" ref="CE3">CONCATENATE("Force (",RISA3D.Unit.Force,")")</f>
        <v>Force ()</v>
      </c>
      <c r="CF3" s="34" t="s">
        <v>322</v>
      </c>
      <c r="CG3" s="17"/>
      <c r="CH3" s="48" t="s">
        <v>255</v>
      </c>
      <c r="CI3" s="15" t="s">
        <v>293</v>
      </c>
      <c r="CJ3" s="14" t="str">
        <f>CONCATENATE("Force (",RISA3D.Unit.Force,")")</f>
        <v>Force ()</v>
      </c>
      <c r="CK3" s="34" t="s">
        <v>322</v>
      </c>
      <c r="CL3" s="17"/>
      <c r="CM3" s="12" t="s">
        <v>255</v>
      </c>
      <c r="CN3" s="13" t="s">
        <v>293</v>
      </c>
      <c r="CO3" s="14" t="str">
        <f>CONCATENATE("Force (",RISA3D.Unit.Force,")")</f>
        <v>Force ()</v>
      </c>
      <c r="CP3" s="34" t="s">
        <v>322</v>
      </c>
      <c r="CQ3" s="17"/>
      <c r="CR3" s="12" t="s">
        <v>255</v>
      </c>
      <c r="CS3" s="13" t="s">
        <v>293</v>
      </c>
      <c r="CT3" s="14" t="str">
        <f>CONCATENATE("Force (",RISA3D.Unit.Force,")")</f>
        <v>Force ()</v>
      </c>
      <c r="CU3" s="34" t="s">
        <v>322</v>
      </c>
      <c r="CV3" s="17"/>
      <c r="CW3" s="12" t="s">
        <v>255</v>
      </c>
      <c r="CX3" s="13" t="s">
        <v>293</v>
      </c>
      <c r="CY3" s="14" t="str">
        <f>CONCATENATE("Force (",RISA3D.Unit.Force,")")</f>
        <v>Force ()</v>
      </c>
      <c r="CZ3" s="34" t="s">
        <v>322</v>
      </c>
      <c r="DA3" s="17"/>
      <c r="DB3" s="12" t="s">
        <v>255</v>
      </c>
      <c r="DC3" s="14" t="s">
        <v>293</v>
      </c>
      <c r="DD3" s="14" t="str">
        <f>CONCATENATE("Force (",RISA3D.Unit.Force,")")</f>
        <v>Force ()</v>
      </c>
      <c r="DE3" s="34" t="s">
        <v>322</v>
      </c>
      <c r="DF3" s="17"/>
      <c r="DG3" s="12" t="s">
        <v>255</v>
      </c>
      <c r="DH3" s="13" t="s">
        <v>293</v>
      </c>
      <c r="DI3" s="14" t="str">
        <f>CONCATENATE("Force (",RISA3D.Unit.Force,")")</f>
        <v>Force ()</v>
      </c>
      <c r="DJ3" s="34" t="s">
        <v>322</v>
      </c>
      <c r="DK3" s="17"/>
      <c r="DL3" s="12" t="s">
        <v>255</v>
      </c>
      <c r="DM3" s="13" t="s">
        <v>293</v>
      </c>
      <c r="DN3" s="14" t="str">
        <f>CONCATENATE("Force (",RISA3D.Unit.Force,")")</f>
        <v>Force ()</v>
      </c>
      <c r="DO3" s="34" t="s">
        <v>322</v>
      </c>
      <c r="DP3" s="10"/>
      <c r="DQ3" s="12" t="s">
        <v>255</v>
      </c>
      <c r="DR3" s="13" t="s">
        <v>293</v>
      </c>
      <c r="DS3" s="14" t="str" cm="1">
        <f t="array" ref="DS3">CONCATENATE("Force (",RISA3D.Unit.Force,")")</f>
        <v>Force ()</v>
      </c>
      <c r="DT3" s="34" t="s">
        <v>322</v>
      </c>
      <c r="DU3" s="17"/>
      <c r="DV3" s="48" t="s">
        <v>255</v>
      </c>
      <c r="DW3" s="15" t="s">
        <v>293</v>
      </c>
      <c r="DX3" s="14" t="str">
        <f>CONCATENATE("Force (",RISA3D.Unit.Force,")")</f>
        <v>Force ()</v>
      </c>
      <c r="DY3" s="34" t="s">
        <v>322</v>
      </c>
      <c r="DZ3" s="17"/>
      <c r="EA3" s="12" t="s">
        <v>255</v>
      </c>
      <c r="EB3" s="13" t="s">
        <v>293</v>
      </c>
      <c r="EC3" s="14" t="str">
        <f>CONCATENATE("Force (",RISA3D.Unit.Force,")")</f>
        <v>Force ()</v>
      </c>
      <c r="ED3" s="34" t="s">
        <v>322</v>
      </c>
      <c r="EE3" s="17"/>
      <c r="EF3" s="12" t="s">
        <v>255</v>
      </c>
      <c r="EG3" s="13" t="s">
        <v>293</v>
      </c>
      <c r="EH3" s="14" t="str">
        <f>CONCATENATE("Force (",RISA3D.Unit.Force,")")</f>
        <v>Force ()</v>
      </c>
      <c r="EI3" s="34" t="s">
        <v>322</v>
      </c>
      <c r="EJ3" s="17"/>
      <c r="EK3" s="12" t="s">
        <v>255</v>
      </c>
      <c r="EL3" s="13" t="s">
        <v>293</v>
      </c>
      <c r="EM3" s="14" t="str">
        <f>CONCATENATE("Force (",RISA3D.Unit.Force,")")</f>
        <v>Force ()</v>
      </c>
      <c r="EN3" s="34" t="s">
        <v>322</v>
      </c>
      <c r="EO3" s="17"/>
      <c r="EP3" s="12" t="s">
        <v>255</v>
      </c>
      <c r="EQ3" s="13" t="s">
        <v>293</v>
      </c>
      <c r="ER3" s="14" t="str">
        <f>CONCATENATE("Force (",RISA3D.Unit.Force,")")</f>
        <v>Force ()</v>
      </c>
      <c r="ES3" s="34" t="s">
        <v>322</v>
      </c>
      <c r="ET3" s="17"/>
      <c r="EU3" s="12" t="s">
        <v>255</v>
      </c>
      <c r="EV3" s="13" t="s">
        <v>293</v>
      </c>
      <c r="EW3" s="14" t="str">
        <f>CONCATENATE("Force (",RISA3D.Unit.Force,")")</f>
        <v>Force ()</v>
      </c>
      <c r="EX3" s="34" t="s">
        <v>322</v>
      </c>
      <c r="EY3" s="17"/>
      <c r="EZ3" s="12" t="s">
        <v>255</v>
      </c>
      <c r="FA3" s="13" t="s">
        <v>293</v>
      </c>
      <c r="FB3" s="14" t="str">
        <f>CONCATENATE("Force (",RISA3D.Unit.Force,")")</f>
        <v>Force ()</v>
      </c>
      <c r="FC3" s="34" t="s">
        <v>322</v>
      </c>
      <c r="FD3" s="17"/>
      <c r="FE3" s="12" t="s">
        <v>255</v>
      </c>
      <c r="FF3" s="13" t="s">
        <v>293</v>
      </c>
      <c r="FG3" s="14" t="str">
        <f>CONCATENATE("Force (",RISA3D.Unit.Force,")")</f>
        <v>Force ()</v>
      </c>
      <c r="FH3" s="34" t="s">
        <v>322</v>
      </c>
      <c r="FI3" s="17"/>
      <c r="FJ3" s="12" t="s">
        <v>255</v>
      </c>
      <c r="FK3" s="13" t="s">
        <v>293</v>
      </c>
      <c r="FL3" s="14" t="str">
        <f>CONCATENATE("Force (",RISA3D.Unit.Force,")")</f>
        <v>Force ()</v>
      </c>
      <c r="FM3" s="34" t="s">
        <v>322</v>
      </c>
      <c r="FN3" s="17"/>
      <c r="FO3" s="12" t="s">
        <v>255</v>
      </c>
      <c r="FP3" s="13" t="s">
        <v>293</v>
      </c>
      <c r="FQ3" s="14" t="str">
        <f>CONCATENATE("Force (",RISA3D.Unit.Force,")")</f>
        <v>Force ()</v>
      </c>
      <c r="FR3" s="34" t="s">
        <v>322</v>
      </c>
      <c r="FS3" s="17"/>
      <c r="FT3" s="12" t="s">
        <v>255</v>
      </c>
      <c r="FU3" s="13" t="s">
        <v>293</v>
      </c>
      <c r="FV3" s="14" t="str">
        <f>CONCATENATE("Force (",RISA3D.Unit.Force,")")</f>
        <v>Force ()</v>
      </c>
      <c r="FW3" s="34" t="s">
        <v>322</v>
      </c>
      <c r="FX3" s="17"/>
      <c r="FY3" s="12" t="s">
        <v>255</v>
      </c>
      <c r="FZ3" s="13" t="s">
        <v>293</v>
      </c>
      <c r="GA3" s="14" t="str">
        <f>CONCATENATE("Force (",RISA3D.Unit.Force,")")</f>
        <v>Force ()</v>
      </c>
      <c r="GB3" s="34" t="s">
        <v>322</v>
      </c>
      <c r="GC3" s="17"/>
      <c r="GD3" s="12" t="s">
        <v>255</v>
      </c>
      <c r="GE3" s="13" t="s">
        <v>293</v>
      </c>
      <c r="GF3" s="14" t="str">
        <f>CONCATENATE("Force (",RISA3D.Unit.Force,")")</f>
        <v>Force ()</v>
      </c>
      <c r="GG3" s="34" t="s">
        <v>322</v>
      </c>
      <c r="GH3" s="17"/>
      <c r="GI3" s="12" t="s">
        <v>255</v>
      </c>
      <c r="GJ3" s="13" t="s">
        <v>293</v>
      </c>
      <c r="GK3" s="14" t="str">
        <f>CONCATENATE("Force (",RISA3D.Unit.Force,")")</f>
        <v>Force ()</v>
      </c>
      <c r="GL3" s="34" t="s">
        <v>322</v>
      </c>
      <c r="GM3" s="17"/>
      <c r="GN3" s="12" t="s">
        <v>255</v>
      </c>
      <c r="GO3" s="13" t="s">
        <v>293</v>
      </c>
      <c r="GP3" s="14" t="str">
        <f>CONCATENATE("Force (",RISA3D.Unit.Force,")")</f>
        <v>Force ()</v>
      </c>
      <c r="GQ3" s="34" t="s">
        <v>322</v>
      </c>
      <c r="GR3" s="17"/>
      <c r="GS3" s="12" t="s">
        <v>255</v>
      </c>
      <c r="GT3" s="13" t="s">
        <v>293</v>
      </c>
      <c r="GU3" s="14" t="str">
        <f>CONCATENATE("Force (",RISA3D.Unit.Force,")")</f>
        <v>Force ()</v>
      </c>
      <c r="GV3" s="34" t="s">
        <v>322</v>
      </c>
      <c r="GW3" s="17"/>
      <c r="GX3" s="12" t="s">
        <v>255</v>
      </c>
      <c r="GY3" s="13" t="s">
        <v>293</v>
      </c>
      <c r="GZ3" s="14" t="str">
        <f>CONCATENATE("Force (",RISA3D.Unit.Force,")")</f>
        <v>Force ()</v>
      </c>
      <c r="HA3" s="34" t="s">
        <v>322</v>
      </c>
      <c r="HB3" s="17"/>
      <c r="HC3" s="12" t="s">
        <v>255</v>
      </c>
      <c r="HD3" s="13" t="s">
        <v>293</v>
      </c>
      <c r="HE3" s="14" t="str">
        <f>CONCATENATE("Force (",RISA3D.Unit.Force,")")</f>
        <v>Force ()</v>
      </c>
      <c r="HF3" s="34" t="s">
        <v>322</v>
      </c>
      <c r="HG3" s="17"/>
      <c r="HH3" s="12" t="s">
        <v>255</v>
      </c>
      <c r="HI3" s="13" t="s">
        <v>293</v>
      </c>
      <c r="HJ3" s="14" t="str">
        <f>CONCATENATE("Force (",RISA3D.Unit.Force,")")</f>
        <v>Force ()</v>
      </c>
      <c r="HK3" s="34" t="s">
        <v>322</v>
      </c>
      <c r="HL3" s="17"/>
      <c r="HM3" s="12" t="s">
        <v>255</v>
      </c>
      <c r="HN3" s="13" t="s">
        <v>293</v>
      </c>
      <c r="HO3" s="14" t="str">
        <f>CONCATENATE("Force (",RISA3D.Unit.Force,")")</f>
        <v>Force ()</v>
      </c>
      <c r="HP3" s="34" t="s">
        <v>322</v>
      </c>
      <c r="HQ3" s="17"/>
    </row>
    <row r="4" spans="1:225" x14ac:dyDescent="0.2">
      <c r="C4" s="51"/>
      <c r="D4" s="52"/>
      <c r="H4" s="51"/>
      <c r="I4" s="52"/>
      <c r="M4" s="51"/>
      <c r="N4" s="52"/>
      <c r="R4" s="51"/>
      <c r="S4" s="52"/>
      <c r="W4" s="51"/>
      <c r="X4" s="52"/>
      <c r="AB4" s="51"/>
      <c r="AC4" s="52"/>
      <c r="AG4" s="51"/>
      <c r="AH4" s="52"/>
      <c r="AL4" s="51"/>
      <c r="AM4" s="52"/>
      <c r="AQ4" s="51"/>
      <c r="AR4" s="52"/>
      <c r="AV4" s="51"/>
      <c r="AW4" s="52"/>
      <c r="BA4" s="51"/>
      <c r="BB4" s="52"/>
      <c r="BF4" s="51"/>
      <c r="BG4" s="52"/>
      <c r="BK4" s="51"/>
      <c r="BL4" s="52"/>
      <c r="BP4" s="51"/>
      <c r="BQ4" s="52"/>
      <c r="BU4" s="51"/>
      <c r="BV4" s="52"/>
      <c r="BZ4" s="51"/>
      <c r="CA4" s="52"/>
      <c r="CE4" s="51"/>
      <c r="CF4" s="52"/>
      <c r="CJ4" s="51"/>
      <c r="CK4" s="52"/>
      <c r="CO4" s="51"/>
      <c r="CP4" s="52"/>
      <c r="CT4" s="51"/>
      <c r="CU4" s="52"/>
      <c r="CY4" s="51"/>
      <c r="CZ4" s="52"/>
      <c r="DC4" s="51"/>
      <c r="DE4" s="52"/>
      <c r="DI4" s="51"/>
      <c r="DJ4" s="52"/>
      <c r="DN4" s="51"/>
      <c r="DO4" s="52"/>
      <c r="DS4" s="51"/>
      <c r="DT4" s="52"/>
      <c r="DX4" s="51"/>
      <c r="DY4" s="52"/>
      <c r="EC4" s="51"/>
      <c r="ED4" s="52"/>
      <c r="EH4" s="51"/>
      <c r="EI4" s="52"/>
      <c r="EM4" s="51"/>
      <c r="EN4" s="52"/>
      <c r="ER4" s="51"/>
      <c r="ES4" s="52"/>
      <c r="EW4" s="51"/>
      <c r="EX4" s="52"/>
      <c r="FB4" s="51"/>
      <c r="FC4" s="52"/>
      <c r="FG4" s="51"/>
      <c r="FH4" s="52"/>
      <c r="FL4" s="51"/>
      <c r="FM4" s="52"/>
      <c r="FQ4" s="51"/>
      <c r="FR4" s="52"/>
      <c r="FV4" s="51"/>
      <c r="FW4" s="52"/>
      <c r="GA4" s="51"/>
      <c r="GB4" s="52"/>
      <c r="GF4" s="51"/>
      <c r="GG4" s="52"/>
      <c r="GK4" s="51"/>
      <c r="GL4" s="52"/>
      <c r="GP4" s="51"/>
      <c r="GQ4" s="52"/>
      <c r="GU4" s="51"/>
      <c r="GV4" s="52"/>
      <c r="GZ4" s="51"/>
      <c r="HA4" s="52"/>
      <c r="HE4" s="51"/>
      <c r="HF4" s="52"/>
      <c r="HJ4" s="51"/>
      <c r="HK4" s="52"/>
      <c r="HO4" s="51"/>
      <c r="HP4" s="52"/>
    </row>
    <row r="5" spans="1:225" x14ac:dyDescent="0.2">
      <c r="C5" s="51"/>
      <c r="D5" s="52"/>
      <c r="H5" s="51"/>
      <c r="I5" s="52"/>
      <c r="M5" s="51"/>
      <c r="N5" s="52"/>
      <c r="R5" s="51"/>
      <c r="S5" s="52"/>
      <c r="W5" s="51"/>
      <c r="X5" s="52"/>
      <c r="AB5" s="51"/>
      <c r="AC5" s="52"/>
      <c r="AG5" s="51"/>
      <c r="AH5" s="52"/>
      <c r="AL5" s="51"/>
      <c r="AM5" s="52"/>
      <c r="AQ5" s="51"/>
      <c r="AR5" s="52"/>
      <c r="AV5" s="51"/>
      <c r="AW5" s="52"/>
      <c r="BA5" s="51"/>
      <c r="BB5" s="52"/>
      <c r="BF5" s="51"/>
      <c r="BG5" s="52"/>
      <c r="BK5" s="51"/>
      <c r="BL5" s="52"/>
      <c r="BP5" s="51"/>
      <c r="BQ5" s="52"/>
      <c r="BU5" s="51"/>
      <c r="BV5" s="52"/>
      <c r="BZ5" s="51"/>
      <c r="CA5" s="52"/>
      <c r="CE5" s="51"/>
      <c r="CF5" s="52"/>
      <c r="CJ5" s="51"/>
      <c r="CK5" s="52"/>
      <c r="CO5" s="51"/>
      <c r="CP5" s="52"/>
      <c r="CT5" s="51"/>
      <c r="CU5" s="52"/>
      <c r="CY5" s="51"/>
      <c r="CZ5" s="52"/>
      <c r="DC5" s="51"/>
      <c r="DE5" s="52"/>
      <c r="DI5" s="51"/>
      <c r="DJ5" s="52"/>
      <c r="DN5" s="51"/>
      <c r="DO5" s="52"/>
      <c r="DS5" s="51"/>
      <c r="DT5" s="52"/>
      <c r="DX5" s="51"/>
      <c r="DY5" s="52"/>
      <c r="EC5" s="51"/>
      <c r="ED5" s="52"/>
      <c r="EH5" s="51"/>
      <c r="EI5" s="52"/>
      <c r="EM5" s="51"/>
      <c r="EN5" s="52"/>
      <c r="ER5" s="51"/>
      <c r="ES5" s="52"/>
      <c r="EW5" s="51"/>
      <c r="EX5" s="52"/>
      <c r="FB5" s="51"/>
      <c r="FC5" s="52"/>
      <c r="FG5" s="51"/>
      <c r="FH5" s="52"/>
      <c r="FL5" s="51"/>
      <c r="FM5" s="52"/>
      <c r="FQ5" s="51"/>
      <c r="FR5" s="52"/>
      <c r="FV5" s="51"/>
      <c r="FW5" s="52"/>
      <c r="GA5" s="51"/>
      <c r="GB5" s="52"/>
      <c r="GF5" s="51"/>
      <c r="GG5" s="52"/>
      <c r="GK5" s="51"/>
      <c r="GL5" s="52"/>
      <c r="GP5" s="51"/>
      <c r="GQ5" s="52"/>
      <c r="GU5" s="51"/>
      <c r="GV5" s="52"/>
      <c r="GZ5" s="51"/>
      <c r="HA5" s="52"/>
      <c r="HE5" s="51"/>
      <c r="HF5" s="52"/>
      <c r="HJ5" s="51"/>
      <c r="HK5" s="52"/>
      <c r="HO5" s="51"/>
      <c r="HP5" s="52"/>
    </row>
    <row r="6" spans="1:225" x14ac:dyDescent="0.2">
      <c r="C6" s="51"/>
      <c r="D6" s="52"/>
      <c r="H6" s="51"/>
      <c r="I6" s="52"/>
      <c r="M6" s="51"/>
      <c r="N6" s="52"/>
      <c r="R6" s="51"/>
      <c r="S6" s="52"/>
      <c r="W6" s="51"/>
      <c r="X6" s="52"/>
      <c r="AB6" s="51"/>
      <c r="AC6" s="52"/>
      <c r="AG6" s="51"/>
      <c r="AH6" s="52"/>
      <c r="AL6" s="51"/>
      <c r="AM6" s="52"/>
      <c r="AQ6" s="51"/>
      <c r="AR6" s="52"/>
      <c r="AV6" s="51"/>
      <c r="AW6" s="52"/>
      <c r="BA6" s="51"/>
      <c r="BB6" s="52"/>
      <c r="BF6" s="51"/>
      <c r="BG6" s="52"/>
      <c r="BK6" s="51"/>
      <c r="BL6" s="52"/>
      <c r="BP6" s="51"/>
      <c r="BQ6" s="52"/>
      <c r="BU6" s="51"/>
      <c r="BV6" s="52"/>
      <c r="BZ6" s="51"/>
      <c r="CA6" s="52"/>
      <c r="CE6" s="51"/>
      <c r="CF6" s="52"/>
      <c r="CJ6" s="51"/>
      <c r="CK6" s="52"/>
      <c r="CO6" s="51"/>
      <c r="CP6" s="52"/>
      <c r="CT6" s="51"/>
      <c r="CU6" s="52"/>
      <c r="CY6" s="51"/>
      <c r="CZ6" s="52"/>
      <c r="DC6" s="51"/>
      <c r="DE6" s="52"/>
      <c r="DI6" s="51"/>
      <c r="DJ6" s="52"/>
      <c r="DN6" s="51"/>
      <c r="DO6" s="52"/>
      <c r="DS6" s="51"/>
      <c r="DT6" s="52"/>
      <c r="DX6" s="51"/>
      <c r="DY6" s="52"/>
      <c r="EC6" s="51"/>
      <c r="ED6" s="52"/>
      <c r="EH6" s="51"/>
      <c r="EI6" s="52"/>
      <c r="EM6" s="51"/>
      <c r="EN6" s="52"/>
      <c r="ER6" s="51"/>
      <c r="ES6" s="52"/>
      <c r="EW6" s="51"/>
      <c r="EX6" s="52"/>
      <c r="FB6" s="51"/>
      <c r="FC6" s="52"/>
      <c r="FG6" s="51"/>
      <c r="FH6" s="52"/>
      <c r="FL6" s="51"/>
      <c r="FM6" s="52"/>
      <c r="FQ6" s="51"/>
      <c r="FR6" s="52"/>
      <c r="FV6" s="51"/>
      <c r="FW6" s="52"/>
      <c r="GA6" s="51"/>
      <c r="GB6" s="52"/>
    </row>
    <row r="7" spans="1:225" x14ac:dyDescent="0.2">
      <c r="C7" s="51"/>
      <c r="D7" s="52"/>
      <c r="H7" s="51"/>
      <c r="I7" s="52"/>
      <c r="M7" s="51"/>
      <c r="N7" s="52"/>
      <c r="R7" s="51"/>
      <c r="S7" s="52"/>
      <c r="W7" s="51"/>
      <c r="X7" s="52"/>
      <c r="AB7" s="51"/>
      <c r="AC7" s="52"/>
      <c r="AG7" s="51"/>
      <c r="AH7" s="52"/>
      <c r="AL7" s="51"/>
      <c r="AM7" s="52"/>
      <c r="AQ7" s="51"/>
      <c r="AR7" s="52"/>
      <c r="AV7" s="51"/>
      <c r="AW7" s="52"/>
      <c r="BA7" s="51"/>
      <c r="BB7" s="52"/>
      <c r="BF7" s="51"/>
      <c r="BG7" s="52"/>
      <c r="BK7" s="51"/>
      <c r="BL7" s="52"/>
      <c r="BP7" s="51"/>
      <c r="BQ7" s="52"/>
      <c r="BU7" s="51"/>
      <c r="BV7" s="52"/>
      <c r="BZ7" s="51"/>
      <c r="CA7" s="52"/>
      <c r="CE7" s="51"/>
      <c r="CF7" s="52"/>
      <c r="CJ7" s="51"/>
      <c r="CK7" s="52"/>
      <c r="CO7" s="51"/>
      <c r="CP7" s="52"/>
      <c r="CT7" s="51"/>
      <c r="CU7" s="52"/>
      <c r="CY7" s="51"/>
      <c r="CZ7" s="52"/>
      <c r="DC7" s="51"/>
      <c r="DE7" s="52"/>
      <c r="DI7" s="51"/>
      <c r="DJ7" s="52"/>
      <c r="DN7" s="51"/>
      <c r="DO7" s="52"/>
      <c r="DS7" s="51"/>
      <c r="DT7" s="52"/>
      <c r="DX7" s="51"/>
      <c r="DY7" s="52"/>
      <c r="EC7" s="51"/>
      <c r="ED7" s="52"/>
      <c r="EH7" s="51"/>
      <c r="EI7" s="52"/>
      <c r="EM7" s="51"/>
      <c r="EN7" s="52"/>
      <c r="ER7" s="51"/>
      <c r="ES7" s="52"/>
      <c r="EW7" s="51"/>
      <c r="EX7" s="52"/>
      <c r="FB7" s="51"/>
      <c r="FC7" s="52"/>
      <c r="FG7" s="51"/>
      <c r="FH7" s="52"/>
      <c r="FL7" s="51"/>
      <c r="FM7" s="52"/>
      <c r="FQ7" s="51"/>
      <c r="FR7" s="52"/>
      <c r="FV7" s="51"/>
      <c r="FW7" s="52"/>
      <c r="GA7" s="51"/>
      <c r="GB7" s="52"/>
    </row>
    <row r="8" spans="1:225" x14ac:dyDescent="0.2">
      <c r="C8" s="51"/>
      <c r="D8" s="52"/>
      <c r="H8" s="51"/>
      <c r="I8" s="52"/>
      <c r="M8" s="51"/>
      <c r="N8" s="52"/>
      <c r="R8" s="51"/>
      <c r="S8" s="52"/>
      <c r="W8" s="51"/>
      <c r="X8" s="52"/>
      <c r="AB8" s="51"/>
      <c r="AC8" s="52"/>
      <c r="AG8" s="51"/>
      <c r="AH8" s="52"/>
      <c r="AL8" s="51"/>
      <c r="AM8" s="52"/>
      <c r="AQ8" s="51"/>
      <c r="AR8" s="52"/>
      <c r="AV8" s="51"/>
      <c r="AW8" s="52"/>
      <c r="BA8" s="51"/>
      <c r="BB8" s="52"/>
      <c r="BF8" s="51"/>
      <c r="BG8" s="52"/>
      <c r="BK8" s="51"/>
      <c r="BL8" s="52"/>
      <c r="BP8" s="51"/>
      <c r="BQ8" s="52"/>
      <c r="BU8" s="51"/>
      <c r="BV8" s="52"/>
      <c r="BZ8" s="51"/>
      <c r="CA8" s="52"/>
      <c r="CE8" s="51"/>
      <c r="CF8" s="52"/>
      <c r="CJ8" s="51"/>
      <c r="CK8" s="52"/>
      <c r="CO8" s="51"/>
      <c r="CP8" s="52"/>
      <c r="CT8" s="51"/>
      <c r="CU8" s="52"/>
      <c r="CY8" s="51"/>
      <c r="CZ8" s="52"/>
      <c r="DC8" s="51"/>
      <c r="DE8" s="52"/>
      <c r="DI8" s="51"/>
      <c r="DJ8" s="52"/>
      <c r="DN8" s="51"/>
      <c r="DO8" s="52"/>
      <c r="DS8" s="51"/>
      <c r="DT8" s="52"/>
      <c r="DX8" s="51"/>
      <c r="DY8" s="52"/>
      <c r="EC8" s="51"/>
      <c r="ED8" s="52"/>
      <c r="EH8" s="51"/>
      <c r="EI8" s="52"/>
      <c r="EM8" s="51"/>
      <c r="EN8" s="52"/>
      <c r="ER8" s="51"/>
      <c r="ES8" s="52"/>
      <c r="EW8" s="51"/>
      <c r="EX8" s="52"/>
      <c r="FB8" s="51"/>
      <c r="FC8" s="52"/>
      <c r="FG8" s="51"/>
      <c r="FH8" s="52"/>
      <c r="FL8" s="51"/>
      <c r="FM8" s="52"/>
      <c r="FQ8" s="51"/>
      <c r="FR8" s="52"/>
      <c r="FV8" s="51"/>
      <c r="FW8" s="52"/>
      <c r="GA8" s="51"/>
      <c r="GB8" s="52"/>
    </row>
    <row r="9" spans="1:225" x14ac:dyDescent="0.2">
      <c r="C9" s="51"/>
      <c r="D9" s="52"/>
      <c r="H9" s="51"/>
      <c r="I9" s="52"/>
      <c r="M9" s="51"/>
      <c r="N9" s="52"/>
      <c r="R9" s="51"/>
      <c r="S9" s="52"/>
      <c r="W9" s="51"/>
      <c r="X9" s="52"/>
      <c r="AB9" s="51"/>
      <c r="AC9" s="52"/>
      <c r="AG9" s="51"/>
      <c r="AH9" s="52"/>
      <c r="AL9" s="51"/>
      <c r="AM9" s="52"/>
      <c r="AQ9" s="51"/>
      <c r="AR9" s="52"/>
      <c r="AV9" s="51"/>
      <c r="AW9" s="52"/>
      <c r="BA9" s="51"/>
      <c r="BB9" s="52"/>
      <c r="BF9" s="51"/>
      <c r="BG9" s="52"/>
      <c r="BK9" s="51"/>
      <c r="BL9" s="52"/>
      <c r="BP9" s="51"/>
      <c r="BQ9" s="52"/>
      <c r="BU9" s="51"/>
      <c r="BV9" s="52"/>
      <c r="BZ9" s="51"/>
      <c r="CA9" s="52"/>
      <c r="CE9" s="51"/>
      <c r="CF9" s="52"/>
      <c r="CJ9" s="51"/>
      <c r="CK9" s="52"/>
      <c r="CO9" s="51"/>
      <c r="CP9" s="52"/>
      <c r="CT9" s="51"/>
      <c r="CU9" s="52"/>
      <c r="CY9" s="51"/>
      <c r="CZ9" s="52"/>
      <c r="DC9" s="51"/>
      <c r="DE9" s="52"/>
      <c r="DI9" s="51"/>
      <c r="DJ9" s="52"/>
      <c r="DN9" s="51"/>
      <c r="DO9" s="52"/>
      <c r="DS9" s="51"/>
      <c r="DT9" s="52"/>
      <c r="DX9" s="51"/>
      <c r="DY9" s="52"/>
      <c r="EC9" s="51"/>
      <c r="ED9" s="52"/>
      <c r="EH9" s="51"/>
      <c r="EI9" s="52"/>
      <c r="EM9" s="51"/>
      <c r="EN9" s="52"/>
      <c r="ER9" s="51"/>
      <c r="ES9" s="52"/>
      <c r="EW9" s="51"/>
      <c r="EX9" s="52"/>
      <c r="FB9" s="51"/>
      <c r="FC9" s="52"/>
      <c r="FG9" s="51"/>
      <c r="FH9" s="52"/>
      <c r="FL9" s="51"/>
      <c r="FM9" s="52"/>
      <c r="FQ9" s="51"/>
      <c r="FR9" s="52"/>
      <c r="FV9" s="51"/>
      <c r="FW9" s="52"/>
      <c r="GA9" s="51"/>
      <c r="GB9" s="52"/>
    </row>
    <row r="10" spans="1:225" x14ac:dyDescent="0.2">
      <c r="C10" s="51"/>
      <c r="D10" s="52"/>
      <c r="H10" s="51"/>
      <c r="I10" s="52"/>
      <c r="M10" s="51"/>
      <c r="N10" s="52"/>
      <c r="R10" s="51"/>
      <c r="S10" s="52"/>
      <c r="W10" s="51"/>
      <c r="X10" s="52"/>
      <c r="AB10" s="51"/>
      <c r="AC10" s="52"/>
      <c r="AG10" s="51"/>
      <c r="AH10" s="52"/>
      <c r="AL10" s="51"/>
      <c r="AM10" s="52"/>
      <c r="AQ10" s="51"/>
      <c r="AR10" s="52"/>
      <c r="AV10" s="51"/>
      <c r="AW10" s="52"/>
      <c r="BA10" s="51"/>
      <c r="BB10" s="52"/>
      <c r="BF10" s="51"/>
      <c r="BG10" s="52"/>
      <c r="BK10" s="51"/>
      <c r="BL10" s="52"/>
      <c r="BP10" s="51"/>
      <c r="BQ10" s="52"/>
      <c r="BU10" s="51"/>
      <c r="BV10" s="52"/>
      <c r="BZ10" s="51"/>
      <c r="CA10" s="52"/>
      <c r="CE10" s="51"/>
      <c r="CF10" s="52"/>
      <c r="CJ10" s="51"/>
      <c r="CK10" s="52"/>
      <c r="CO10" s="51"/>
      <c r="CP10" s="52"/>
      <c r="CT10" s="51"/>
      <c r="CU10" s="52"/>
      <c r="CY10" s="51"/>
      <c r="CZ10" s="52"/>
      <c r="DC10" s="51"/>
      <c r="DE10" s="52"/>
      <c r="DI10" s="51"/>
      <c r="DJ10" s="52"/>
      <c r="DN10" s="51"/>
      <c r="DO10" s="52"/>
      <c r="DS10" s="51"/>
      <c r="DT10" s="52"/>
      <c r="DX10" s="51"/>
      <c r="DY10" s="52"/>
      <c r="EC10" s="51"/>
      <c r="ED10" s="52"/>
      <c r="EH10" s="51"/>
      <c r="EI10" s="52"/>
      <c r="EM10" s="51"/>
      <c r="EN10" s="52"/>
      <c r="ER10" s="51"/>
      <c r="ES10" s="52"/>
      <c r="EW10" s="51"/>
      <c r="EX10" s="52"/>
      <c r="FB10" s="51"/>
      <c r="FC10" s="52"/>
      <c r="FG10" s="51"/>
      <c r="FH10" s="52"/>
      <c r="FL10" s="51"/>
      <c r="FM10" s="52"/>
      <c r="FQ10" s="51"/>
      <c r="FR10" s="52"/>
      <c r="FV10" s="51"/>
      <c r="FW10" s="52"/>
      <c r="GA10" s="51"/>
      <c r="GB10" s="52"/>
    </row>
    <row r="11" spans="1:225" x14ac:dyDescent="0.2">
      <c r="C11" s="51"/>
      <c r="D11" s="52"/>
      <c r="H11" s="51"/>
      <c r="I11" s="52"/>
      <c r="M11" s="51"/>
      <c r="N11" s="52"/>
      <c r="R11" s="51"/>
      <c r="S11" s="52"/>
      <c r="W11" s="51"/>
      <c r="X11" s="52"/>
      <c r="AB11" s="51"/>
      <c r="AC11" s="52"/>
      <c r="AG11" s="51"/>
      <c r="AH11" s="52"/>
      <c r="AL11" s="51"/>
      <c r="AM11" s="52"/>
      <c r="AQ11" s="51"/>
      <c r="AR11" s="52"/>
      <c r="AV11" s="51"/>
      <c r="AW11" s="52"/>
      <c r="BA11" s="51"/>
      <c r="BB11" s="52"/>
      <c r="BF11" s="51"/>
      <c r="BG11" s="52"/>
      <c r="BK11" s="51"/>
      <c r="BL11" s="52"/>
      <c r="BP11" s="51"/>
      <c r="BQ11" s="52"/>
      <c r="BU11" s="51"/>
      <c r="BV11" s="52"/>
      <c r="BZ11" s="51"/>
      <c r="CA11" s="52"/>
      <c r="CE11" s="51"/>
      <c r="CF11" s="52"/>
      <c r="CJ11" s="51"/>
      <c r="CK11" s="52"/>
      <c r="CO11" s="51"/>
      <c r="CP11" s="52"/>
      <c r="CT11" s="51"/>
      <c r="CU11" s="52"/>
      <c r="CY11" s="51"/>
      <c r="CZ11" s="52"/>
      <c r="DC11" s="51"/>
      <c r="DE11" s="52"/>
      <c r="DI11" s="51"/>
      <c r="DJ11" s="52"/>
      <c r="DN11" s="51"/>
      <c r="DO11" s="52"/>
      <c r="DS11" s="51"/>
      <c r="DT11" s="52"/>
      <c r="DX11" s="51"/>
      <c r="DY11" s="52"/>
      <c r="EC11" s="51"/>
      <c r="ED11" s="52"/>
      <c r="EH11" s="51"/>
      <c r="EI11" s="52"/>
      <c r="EM11" s="51"/>
      <c r="EN11" s="52"/>
      <c r="ER11" s="51"/>
      <c r="ES11" s="52"/>
      <c r="EW11" s="51"/>
      <c r="EX11" s="52"/>
      <c r="FB11" s="51"/>
      <c r="FC11" s="52"/>
      <c r="FG11" s="51"/>
      <c r="FH11" s="52"/>
      <c r="FL11" s="51"/>
      <c r="FM11" s="52"/>
      <c r="FQ11" s="51"/>
      <c r="FR11" s="52"/>
      <c r="FV11" s="51"/>
      <c r="FW11" s="52"/>
      <c r="GA11" s="51"/>
      <c r="GB11" s="52"/>
    </row>
    <row r="12" spans="1:225" x14ac:dyDescent="0.2">
      <c r="C12" s="51"/>
      <c r="D12" s="52"/>
      <c r="H12" s="51"/>
      <c r="I12" s="52"/>
      <c r="M12" s="51"/>
      <c r="N12" s="52"/>
      <c r="R12" s="51"/>
      <c r="S12" s="52"/>
      <c r="W12" s="51"/>
      <c r="X12" s="52"/>
      <c r="AB12" s="51"/>
      <c r="AC12" s="52"/>
      <c r="AG12" s="51"/>
      <c r="AH12" s="52"/>
      <c r="AL12" s="51"/>
      <c r="AM12" s="52"/>
      <c r="AQ12" s="51"/>
      <c r="AR12" s="52"/>
      <c r="AV12" s="51"/>
      <c r="AW12" s="52"/>
      <c r="BA12" s="51"/>
      <c r="BB12" s="52"/>
      <c r="BF12" s="51"/>
      <c r="BG12" s="52"/>
      <c r="BK12" s="51"/>
      <c r="BL12" s="52"/>
      <c r="BP12" s="51"/>
      <c r="BQ12" s="52"/>
      <c r="BU12" s="51"/>
      <c r="BV12" s="52"/>
      <c r="BZ12" s="51"/>
      <c r="CA12" s="52"/>
      <c r="CE12" s="51"/>
      <c r="CF12" s="52"/>
      <c r="CJ12" s="51"/>
      <c r="CK12" s="52"/>
      <c r="CO12" s="51"/>
      <c r="CP12" s="52"/>
      <c r="CT12" s="51"/>
      <c r="CU12" s="52"/>
      <c r="CY12" s="51"/>
      <c r="CZ12" s="52"/>
      <c r="DC12" s="51"/>
      <c r="DE12" s="52"/>
      <c r="DI12" s="51"/>
      <c r="DJ12" s="52"/>
      <c r="DN12" s="51"/>
      <c r="DO12" s="52"/>
      <c r="DS12" s="51"/>
      <c r="DT12" s="52"/>
      <c r="DX12" s="51"/>
      <c r="DY12" s="52"/>
      <c r="EC12" s="51"/>
      <c r="ED12" s="52"/>
      <c r="EH12" s="51"/>
      <c r="EI12" s="52"/>
      <c r="EM12" s="51"/>
      <c r="EN12" s="52"/>
      <c r="ER12" s="51"/>
      <c r="ES12" s="52"/>
      <c r="EW12" s="51"/>
      <c r="EX12" s="52"/>
      <c r="FB12" s="51"/>
      <c r="FC12" s="52"/>
      <c r="FG12" s="51"/>
      <c r="FH12" s="52"/>
      <c r="FL12" s="51"/>
      <c r="FM12" s="52"/>
      <c r="FQ12" s="51"/>
      <c r="FR12" s="52"/>
      <c r="FV12" s="51"/>
      <c r="FW12" s="52"/>
      <c r="GA12" s="51"/>
      <c r="GB12" s="52"/>
    </row>
    <row r="13" spans="1:225" x14ac:dyDescent="0.2">
      <c r="C13" s="51"/>
      <c r="D13" s="52"/>
      <c r="H13" s="51"/>
      <c r="I13" s="52"/>
      <c r="M13" s="51"/>
      <c r="N13" s="52"/>
      <c r="R13" s="51"/>
      <c r="S13" s="52"/>
      <c r="W13" s="51"/>
      <c r="X13" s="52"/>
      <c r="AB13" s="51"/>
      <c r="AC13" s="52"/>
      <c r="AG13" s="51"/>
      <c r="AH13" s="52"/>
      <c r="AL13" s="51"/>
      <c r="AM13" s="52"/>
      <c r="AQ13" s="51"/>
      <c r="AR13" s="52"/>
      <c r="AV13" s="51"/>
      <c r="AW13" s="52"/>
      <c r="BA13" s="51"/>
      <c r="BB13" s="52"/>
      <c r="BF13" s="51"/>
      <c r="BG13" s="52"/>
      <c r="BK13" s="51"/>
      <c r="BL13" s="52"/>
      <c r="BP13" s="51"/>
      <c r="BQ13" s="52"/>
      <c r="BU13" s="51"/>
      <c r="BV13" s="52"/>
      <c r="BZ13" s="51"/>
      <c r="CA13" s="52"/>
      <c r="CE13" s="51"/>
      <c r="CF13" s="52"/>
      <c r="CJ13" s="51"/>
      <c r="CK13" s="52"/>
      <c r="CO13" s="51"/>
      <c r="CP13" s="52"/>
      <c r="CT13" s="51"/>
      <c r="CU13" s="52"/>
      <c r="CY13" s="51"/>
      <c r="CZ13" s="52"/>
      <c r="DC13" s="51"/>
      <c r="DE13" s="52"/>
      <c r="DI13" s="51"/>
      <c r="DJ13" s="52"/>
      <c r="DN13" s="51"/>
      <c r="DO13" s="52"/>
      <c r="DS13" s="51"/>
      <c r="DT13" s="52"/>
      <c r="DX13" s="51"/>
      <c r="DY13" s="52"/>
      <c r="EC13" s="51"/>
      <c r="ED13" s="52"/>
      <c r="EH13" s="51"/>
      <c r="EI13" s="52"/>
      <c r="EM13" s="51"/>
      <c r="EN13" s="52"/>
      <c r="ER13" s="51"/>
      <c r="ES13" s="52"/>
      <c r="EW13" s="51"/>
      <c r="EX13" s="52"/>
      <c r="FB13" s="51"/>
      <c r="FC13" s="52"/>
      <c r="FG13" s="51"/>
      <c r="FH13" s="52"/>
      <c r="FL13" s="51"/>
      <c r="FM13" s="52"/>
      <c r="FQ13" s="51"/>
      <c r="FR13" s="52"/>
      <c r="FV13" s="51"/>
      <c r="FW13" s="52"/>
      <c r="GA13" s="51"/>
      <c r="GB13" s="52"/>
    </row>
    <row r="14" spans="1:225" x14ac:dyDescent="0.2">
      <c r="C14" s="51"/>
      <c r="D14" s="52"/>
      <c r="H14" s="51"/>
      <c r="I14" s="52"/>
      <c r="M14" s="51"/>
      <c r="N14" s="52"/>
      <c r="R14" s="51"/>
      <c r="S14" s="52"/>
      <c r="W14" s="51"/>
      <c r="X14" s="52"/>
      <c r="AB14" s="51"/>
      <c r="AC14" s="52"/>
      <c r="AG14" s="51"/>
      <c r="AH14" s="52"/>
      <c r="AL14" s="51"/>
      <c r="AM14" s="52"/>
      <c r="AQ14" s="51"/>
      <c r="AR14" s="52"/>
      <c r="AV14" s="51"/>
      <c r="AW14" s="52"/>
      <c r="BA14" s="51"/>
      <c r="BB14" s="52"/>
      <c r="BF14" s="51"/>
      <c r="BG14" s="52"/>
      <c r="BK14" s="51"/>
      <c r="BL14" s="52"/>
      <c r="BP14" s="51"/>
      <c r="BQ14" s="52"/>
      <c r="BU14" s="51"/>
      <c r="BV14" s="52"/>
      <c r="BZ14" s="51"/>
      <c r="CA14" s="52"/>
      <c r="CE14" s="51"/>
      <c r="CF14" s="52"/>
      <c r="CJ14" s="51"/>
      <c r="CK14" s="52"/>
      <c r="CO14" s="51"/>
      <c r="CP14" s="52"/>
      <c r="CT14" s="51"/>
      <c r="CU14" s="52"/>
      <c r="CY14" s="51"/>
      <c r="CZ14" s="52"/>
      <c r="DC14" s="51"/>
      <c r="DE14" s="52"/>
      <c r="DI14" s="51"/>
      <c r="DJ14" s="52"/>
      <c r="DN14" s="51"/>
      <c r="DO14" s="52"/>
      <c r="DS14" s="51"/>
      <c r="DT14" s="52"/>
      <c r="DX14" s="51"/>
      <c r="DY14" s="52"/>
      <c r="EC14" s="51"/>
      <c r="ED14" s="52"/>
      <c r="EH14" s="51"/>
      <c r="EI14" s="52"/>
      <c r="EM14" s="51"/>
      <c r="EN14" s="52"/>
      <c r="ER14" s="51"/>
      <c r="ES14" s="52"/>
      <c r="EW14" s="51"/>
      <c r="EX14" s="52"/>
      <c r="FB14" s="51"/>
      <c r="FC14" s="52"/>
      <c r="FG14" s="51"/>
      <c r="FH14" s="52"/>
      <c r="FL14" s="51"/>
      <c r="FM14" s="52"/>
      <c r="FQ14" s="51"/>
      <c r="FR14" s="52"/>
      <c r="FV14" s="51"/>
      <c r="FW14" s="52"/>
      <c r="GA14" s="51"/>
      <c r="GB14" s="52"/>
    </row>
    <row r="15" spans="1:225" x14ac:dyDescent="0.2">
      <c r="C15" s="51"/>
      <c r="D15" s="52"/>
      <c r="H15" s="51"/>
      <c r="I15" s="52"/>
      <c r="M15" s="51"/>
      <c r="N15" s="52"/>
      <c r="R15" s="51"/>
      <c r="S15" s="52"/>
      <c r="W15" s="51"/>
      <c r="X15" s="52"/>
      <c r="AB15" s="51"/>
      <c r="AC15" s="52"/>
      <c r="AG15" s="51"/>
      <c r="AH15" s="52"/>
      <c r="AL15" s="51"/>
      <c r="AM15" s="52"/>
      <c r="AQ15" s="51"/>
      <c r="AR15" s="52"/>
      <c r="AV15" s="51"/>
      <c r="AW15" s="52"/>
      <c r="BA15" s="51"/>
      <c r="BB15" s="52"/>
      <c r="BF15" s="51"/>
      <c r="BG15" s="52"/>
      <c r="BK15" s="51"/>
      <c r="BL15" s="52"/>
      <c r="BP15" s="51"/>
      <c r="BQ15" s="52"/>
      <c r="BU15" s="51"/>
      <c r="BV15" s="52"/>
      <c r="BZ15" s="51"/>
      <c r="CA15" s="52"/>
      <c r="CE15" s="51"/>
      <c r="CF15" s="52"/>
      <c r="CJ15" s="51"/>
      <c r="CK15" s="52"/>
      <c r="CO15" s="51"/>
      <c r="CP15" s="52"/>
      <c r="CT15" s="51"/>
      <c r="CU15" s="52"/>
      <c r="CY15" s="51"/>
      <c r="CZ15" s="52"/>
      <c r="DC15" s="51"/>
      <c r="DE15" s="52"/>
      <c r="DI15" s="51"/>
      <c r="DJ15" s="52"/>
      <c r="DN15" s="51"/>
      <c r="DO15" s="52"/>
      <c r="DS15" s="51"/>
      <c r="DT15" s="52"/>
      <c r="DX15" s="51"/>
      <c r="DY15" s="52"/>
      <c r="EC15" s="51"/>
      <c r="ED15" s="52"/>
      <c r="EH15" s="51"/>
      <c r="EI15" s="52"/>
      <c r="EM15" s="51"/>
      <c r="EN15" s="52"/>
      <c r="ER15" s="51"/>
      <c r="ES15" s="52"/>
      <c r="EW15" s="51"/>
      <c r="EX15" s="52"/>
      <c r="FB15" s="51"/>
      <c r="FC15" s="52"/>
      <c r="FG15" s="51"/>
      <c r="FH15" s="52"/>
      <c r="FL15" s="51"/>
      <c r="FM15" s="52"/>
      <c r="FQ15" s="51"/>
      <c r="FR15" s="52"/>
      <c r="FV15" s="51"/>
      <c r="FW15" s="52"/>
      <c r="GA15" s="51"/>
      <c r="GB15" s="52"/>
    </row>
    <row r="16" spans="1:225" x14ac:dyDescent="0.2">
      <c r="C16" s="51"/>
      <c r="D16" s="52"/>
      <c r="H16" s="51"/>
      <c r="I16" s="52"/>
      <c r="M16" s="51"/>
      <c r="N16" s="52"/>
      <c r="R16" s="51"/>
      <c r="S16" s="52"/>
      <c r="W16" s="51"/>
      <c r="X16" s="52"/>
      <c r="AB16" s="51"/>
      <c r="AC16" s="52"/>
      <c r="AG16" s="51"/>
      <c r="AH16" s="52"/>
      <c r="AL16" s="51"/>
      <c r="AM16" s="52"/>
      <c r="AQ16" s="51"/>
      <c r="AR16" s="52"/>
      <c r="AV16" s="51"/>
      <c r="AW16" s="52"/>
      <c r="BA16" s="51"/>
      <c r="BB16" s="52"/>
      <c r="BF16" s="51"/>
      <c r="BG16" s="52"/>
      <c r="BK16" s="51"/>
      <c r="BL16" s="52"/>
      <c r="BP16" s="51"/>
      <c r="BQ16" s="52"/>
      <c r="BU16" s="51"/>
      <c r="BV16" s="52"/>
      <c r="BZ16" s="51"/>
      <c r="CA16" s="52"/>
      <c r="CE16" s="51"/>
      <c r="CF16" s="52"/>
      <c r="CJ16" s="51"/>
      <c r="CK16" s="52"/>
      <c r="CO16" s="51"/>
      <c r="CP16" s="52"/>
      <c r="CT16" s="51"/>
      <c r="CU16" s="52"/>
      <c r="CY16" s="51"/>
      <c r="CZ16" s="52"/>
      <c r="DC16" s="51"/>
      <c r="DE16" s="52"/>
      <c r="DI16" s="51"/>
      <c r="DJ16" s="52"/>
      <c r="DN16" s="51"/>
      <c r="DO16" s="52"/>
      <c r="DS16" s="51"/>
      <c r="DT16" s="52"/>
      <c r="DX16" s="51"/>
      <c r="DY16" s="52"/>
      <c r="EC16" s="51"/>
      <c r="ED16" s="52"/>
      <c r="EH16" s="51"/>
      <c r="EI16" s="52"/>
      <c r="EM16" s="51"/>
      <c r="EN16" s="52"/>
      <c r="ER16" s="51"/>
      <c r="ES16" s="52"/>
      <c r="EW16" s="51"/>
      <c r="EX16" s="52"/>
      <c r="FB16" s="51"/>
      <c r="FC16" s="52"/>
      <c r="FG16" s="51"/>
      <c r="FH16" s="52"/>
      <c r="FL16" s="51"/>
      <c r="FM16" s="52"/>
      <c r="FQ16" s="51"/>
      <c r="FR16" s="52"/>
      <c r="FV16" s="51"/>
      <c r="FW16" s="52"/>
      <c r="GA16" s="51"/>
      <c r="GB16" s="52"/>
    </row>
    <row r="17" spans="3:184" x14ac:dyDescent="0.2">
      <c r="C17" s="51"/>
      <c r="D17" s="52"/>
      <c r="H17" s="51"/>
      <c r="I17" s="52"/>
      <c r="M17" s="51"/>
      <c r="N17" s="52"/>
      <c r="R17" s="51"/>
      <c r="S17" s="52"/>
      <c r="W17" s="51"/>
      <c r="X17" s="52"/>
      <c r="AB17" s="51"/>
      <c r="AC17" s="52"/>
      <c r="AG17" s="51"/>
      <c r="AH17" s="52"/>
      <c r="AL17" s="51"/>
      <c r="AM17" s="52"/>
      <c r="AQ17" s="51"/>
      <c r="AR17" s="52"/>
      <c r="AV17" s="51"/>
      <c r="AW17" s="52"/>
      <c r="BA17" s="51"/>
      <c r="BB17" s="52"/>
      <c r="BF17" s="51"/>
      <c r="BG17" s="52"/>
      <c r="BK17" s="51"/>
      <c r="BL17" s="52"/>
      <c r="BP17" s="51"/>
      <c r="BQ17" s="52"/>
      <c r="BU17" s="51"/>
      <c r="BV17" s="52"/>
      <c r="BZ17" s="51"/>
      <c r="CA17" s="52"/>
      <c r="CE17" s="51"/>
      <c r="CF17" s="52"/>
      <c r="CJ17" s="51"/>
      <c r="CK17" s="52"/>
      <c r="CO17" s="51"/>
      <c r="CP17" s="52"/>
      <c r="CT17" s="51"/>
      <c r="CU17" s="52"/>
      <c r="CY17" s="51"/>
      <c r="CZ17" s="52"/>
      <c r="DC17" s="51"/>
      <c r="DE17" s="52"/>
      <c r="DI17" s="51"/>
      <c r="DJ17" s="52"/>
      <c r="DN17" s="51"/>
      <c r="DO17" s="52"/>
      <c r="DS17" s="51"/>
      <c r="DT17" s="52"/>
      <c r="DX17" s="51"/>
      <c r="DY17" s="52"/>
      <c r="EC17" s="51"/>
      <c r="ED17" s="52"/>
      <c r="EH17" s="51"/>
      <c r="EI17" s="52"/>
      <c r="EM17" s="51"/>
      <c r="EN17" s="52"/>
      <c r="ER17" s="51"/>
      <c r="ES17" s="52"/>
      <c r="EW17" s="51"/>
      <c r="EX17" s="52"/>
      <c r="FB17" s="51"/>
      <c r="FC17" s="52"/>
      <c r="FG17" s="51"/>
      <c r="FH17" s="52"/>
      <c r="FL17" s="51"/>
      <c r="FM17" s="52"/>
      <c r="FQ17" s="51"/>
      <c r="FR17" s="52"/>
      <c r="FV17" s="51"/>
      <c r="FW17" s="52"/>
      <c r="GA17" s="51"/>
      <c r="GB17" s="52"/>
    </row>
    <row r="18" spans="3:184" x14ac:dyDescent="0.2">
      <c r="C18" s="51"/>
      <c r="D18" s="52"/>
      <c r="H18" s="51"/>
      <c r="I18" s="52"/>
      <c r="M18" s="51"/>
      <c r="N18" s="52"/>
      <c r="R18" s="51"/>
      <c r="S18" s="52"/>
      <c r="W18" s="51"/>
      <c r="X18" s="52"/>
      <c r="AB18" s="51"/>
      <c r="AC18" s="52"/>
      <c r="AG18" s="51"/>
      <c r="AH18" s="52"/>
      <c r="AL18" s="51"/>
      <c r="AM18" s="52"/>
      <c r="AQ18" s="51"/>
      <c r="AR18" s="52"/>
      <c r="AV18" s="51"/>
      <c r="AW18" s="52"/>
      <c r="BA18" s="51"/>
      <c r="BB18" s="52"/>
      <c r="BF18" s="51"/>
      <c r="BG18" s="52"/>
      <c r="BK18" s="51"/>
      <c r="BL18" s="52"/>
      <c r="BP18" s="51"/>
      <c r="BQ18" s="52"/>
      <c r="BU18" s="51"/>
      <c r="BV18" s="52"/>
      <c r="BZ18" s="51"/>
      <c r="CA18" s="52"/>
      <c r="CE18" s="51"/>
      <c r="CF18" s="52"/>
      <c r="CJ18" s="51"/>
      <c r="CK18" s="52"/>
      <c r="CO18" s="51"/>
      <c r="CP18" s="52"/>
      <c r="CT18" s="51"/>
      <c r="CU18" s="52"/>
      <c r="CY18" s="51"/>
      <c r="CZ18" s="52"/>
      <c r="DC18" s="51"/>
      <c r="DE18" s="52"/>
      <c r="DI18" s="51"/>
      <c r="DJ18" s="52"/>
      <c r="DN18" s="51"/>
      <c r="DO18" s="52"/>
      <c r="DS18" s="51"/>
      <c r="DT18" s="52"/>
      <c r="DX18" s="51"/>
      <c r="DY18" s="52"/>
      <c r="EC18" s="51"/>
      <c r="ED18" s="52"/>
      <c r="EH18" s="51"/>
      <c r="EI18" s="52"/>
      <c r="EM18" s="51"/>
      <c r="EN18" s="52"/>
      <c r="ER18" s="51"/>
      <c r="ES18" s="52"/>
      <c r="EW18" s="51"/>
      <c r="EX18" s="52"/>
      <c r="FB18" s="51"/>
      <c r="FC18" s="52"/>
      <c r="FG18" s="51"/>
      <c r="FH18" s="52"/>
      <c r="FL18" s="51"/>
      <c r="FM18" s="52"/>
      <c r="FQ18" s="51"/>
      <c r="FR18" s="52"/>
      <c r="FV18" s="51"/>
      <c r="FW18" s="52"/>
      <c r="GA18" s="51"/>
      <c r="GB18" s="52"/>
    </row>
    <row r="19" spans="3:184" x14ac:dyDescent="0.2">
      <c r="C19" s="51"/>
      <c r="D19" s="52"/>
      <c r="H19" s="51"/>
      <c r="I19" s="52"/>
      <c r="M19" s="51"/>
      <c r="N19" s="52"/>
      <c r="R19" s="51"/>
      <c r="S19" s="52"/>
      <c r="W19" s="51"/>
      <c r="X19" s="52"/>
      <c r="AB19" s="51"/>
      <c r="AC19" s="52"/>
      <c r="AG19" s="51"/>
      <c r="AH19" s="52"/>
      <c r="AL19" s="51"/>
      <c r="AM19" s="52"/>
      <c r="AQ19" s="51"/>
      <c r="AR19" s="52"/>
      <c r="AV19" s="51"/>
      <c r="AW19" s="52"/>
      <c r="BA19" s="51"/>
      <c r="BB19" s="52"/>
      <c r="BF19" s="51"/>
      <c r="BG19" s="52"/>
      <c r="BK19" s="51"/>
      <c r="BL19" s="52"/>
      <c r="BP19" s="51"/>
      <c r="BQ19" s="52"/>
      <c r="BU19" s="51"/>
      <c r="BV19" s="52"/>
      <c r="BZ19" s="51"/>
      <c r="CA19" s="52"/>
      <c r="CE19" s="51"/>
      <c r="CF19" s="52"/>
      <c r="CJ19" s="51"/>
      <c r="CK19" s="52"/>
      <c r="CO19" s="51"/>
      <c r="CP19" s="52"/>
      <c r="CT19" s="51"/>
      <c r="CU19" s="52"/>
      <c r="CY19" s="51"/>
      <c r="CZ19" s="52"/>
      <c r="DC19" s="51"/>
      <c r="DE19" s="52"/>
      <c r="DI19" s="51"/>
      <c r="DJ19" s="52"/>
      <c r="DN19" s="51"/>
      <c r="DO19" s="52"/>
      <c r="DS19" s="51"/>
      <c r="DT19" s="52"/>
      <c r="DX19" s="51"/>
      <c r="DY19" s="52"/>
      <c r="EC19" s="51"/>
      <c r="ED19" s="52"/>
      <c r="EH19" s="51"/>
      <c r="EI19" s="52"/>
      <c r="EM19" s="51"/>
      <c r="EN19" s="52"/>
      <c r="ER19" s="51"/>
      <c r="ES19" s="52"/>
      <c r="EW19" s="51"/>
      <c r="EX19" s="52"/>
      <c r="FB19" s="51"/>
      <c r="FC19" s="52"/>
      <c r="FG19" s="51"/>
      <c r="FH19" s="52"/>
      <c r="FL19" s="51"/>
      <c r="FM19" s="52"/>
      <c r="FQ19" s="51"/>
      <c r="FR19" s="52"/>
      <c r="FV19" s="51"/>
      <c r="FW19" s="52"/>
      <c r="GA19" s="51"/>
      <c r="GB19" s="52"/>
    </row>
    <row r="20" spans="3:184" x14ac:dyDescent="0.2">
      <c r="C20" s="51"/>
      <c r="D20" s="52"/>
      <c r="H20" s="51"/>
      <c r="I20" s="52"/>
      <c r="M20" s="51"/>
      <c r="N20" s="52"/>
      <c r="R20" s="51"/>
      <c r="S20" s="52"/>
      <c r="W20" s="51"/>
      <c r="X20" s="52"/>
      <c r="AB20" s="51"/>
      <c r="AC20" s="52"/>
      <c r="AG20" s="51"/>
      <c r="AH20" s="52"/>
      <c r="AL20" s="51"/>
      <c r="AM20" s="52"/>
      <c r="AQ20" s="51"/>
      <c r="AR20" s="52"/>
      <c r="AV20" s="51"/>
      <c r="AW20" s="52"/>
      <c r="BA20" s="51"/>
      <c r="BB20" s="52"/>
      <c r="BF20" s="51"/>
      <c r="BG20" s="52"/>
      <c r="BK20" s="51"/>
      <c r="BL20" s="52"/>
      <c r="BP20" s="51"/>
      <c r="BQ20" s="52"/>
      <c r="BU20" s="51"/>
      <c r="BV20" s="52"/>
      <c r="BZ20" s="51"/>
      <c r="CA20" s="52"/>
      <c r="CE20" s="51"/>
      <c r="CF20" s="52"/>
      <c r="CJ20" s="51"/>
      <c r="CK20" s="52"/>
      <c r="CO20" s="51"/>
      <c r="CP20" s="52"/>
      <c r="CT20" s="51"/>
      <c r="CU20" s="52"/>
      <c r="CY20" s="51"/>
      <c r="CZ20" s="52"/>
      <c r="DC20" s="51"/>
      <c r="DE20" s="52"/>
      <c r="DI20" s="51"/>
      <c r="DJ20" s="52"/>
      <c r="DN20" s="51"/>
      <c r="DO20" s="52"/>
      <c r="DS20" s="51"/>
      <c r="DT20" s="52"/>
      <c r="DX20" s="51"/>
      <c r="DY20" s="52"/>
      <c r="EC20" s="51"/>
      <c r="ED20" s="52"/>
      <c r="EH20" s="51"/>
      <c r="EI20" s="52"/>
      <c r="EM20" s="51"/>
      <c r="EN20" s="52"/>
      <c r="ER20" s="51"/>
      <c r="ES20" s="52"/>
      <c r="EW20" s="51"/>
      <c r="EX20" s="52"/>
      <c r="FB20" s="51"/>
      <c r="FC20" s="52"/>
      <c r="FG20" s="51"/>
      <c r="FH20" s="52"/>
      <c r="FL20" s="51"/>
      <c r="FM20" s="52"/>
      <c r="FQ20" s="51"/>
      <c r="FR20" s="52"/>
      <c r="FV20" s="51"/>
      <c r="FW20" s="52"/>
      <c r="GA20" s="51"/>
      <c r="GB20" s="52"/>
    </row>
    <row r="21" spans="3:184" x14ac:dyDescent="0.2">
      <c r="C21" s="51"/>
      <c r="D21" s="52"/>
      <c r="H21" s="51"/>
      <c r="I21" s="52"/>
      <c r="M21" s="51"/>
      <c r="N21" s="52"/>
      <c r="R21" s="51"/>
      <c r="S21" s="52"/>
      <c r="W21" s="51"/>
      <c r="X21" s="52"/>
      <c r="AB21" s="51"/>
      <c r="AC21" s="52"/>
      <c r="AG21" s="51"/>
      <c r="AH21" s="52"/>
      <c r="AL21" s="51"/>
      <c r="AM21" s="52"/>
      <c r="AQ21" s="51"/>
      <c r="AR21" s="52"/>
      <c r="AV21" s="51"/>
      <c r="AW21" s="52"/>
      <c r="BA21" s="51"/>
      <c r="BB21" s="52"/>
      <c r="BF21" s="51"/>
      <c r="BG21" s="52"/>
      <c r="BK21" s="51"/>
      <c r="BL21" s="52"/>
      <c r="BP21" s="51"/>
      <c r="BQ21" s="52"/>
      <c r="BU21" s="51"/>
      <c r="BV21" s="52"/>
      <c r="BZ21" s="51"/>
      <c r="CA21" s="52"/>
      <c r="CE21" s="51"/>
      <c r="CF21" s="52"/>
      <c r="CJ21" s="51"/>
      <c r="CK21" s="52"/>
      <c r="CO21" s="51"/>
      <c r="CP21" s="52"/>
      <c r="CT21" s="51"/>
      <c r="CU21" s="52"/>
      <c r="CY21" s="51"/>
      <c r="CZ21" s="52"/>
      <c r="DC21" s="51"/>
      <c r="DE21" s="52"/>
      <c r="DI21" s="51"/>
      <c r="DJ21" s="52"/>
      <c r="DN21" s="51"/>
      <c r="DO21" s="52"/>
      <c r="DS21" s="51"/>
      <c r="DT21" s="52"/>
      <c r="DX21" s="51"/>
      <c r="DY21" s="52"/>
      <c r="EC21" s="51"/>
      <c r="ED21" s="52"/>
      <c r="EH21" s="51"/>
      <c r="EI21" s="52"/>
      <c r="EM21" s="51"/>
      <c r="EN21" s="52"/>
      <c r="ER21" s="51"/>
      <c r="ES21" s="52"/>
      <c r="EW21" s="51"/>
      <c r="EX21" s="52"/>
      <c r="FB21" s="51"/>
      <c r="FC21" s="52"/>
      <c r="FG21" s="51"/>
      <c r="FH21" s="52"/>
      <c r="FL21" s="51"/>
      <c r="FM21" s="52"/>
      <c r="FQ21" s="51"/>
      <c r="FR21" s="52"/>
      <c r="FV21" s="51"/>
      <c r="FW21" s="52"/>
      <c r="GA21" s="51"/>
      <c r="GB21" s="52"/>
    </row>
    <row r="22" spans="3:184" x14ac:dyDescent="0.2">
      <c r="C22" s="51"/>
      <c r="D22" s="52"/>
      <c r="H22" s="51"/>
      <c r="I22" s="52"/>
      <c r="M22" s="51"/>
      <c r="N22" s="52"/>
      <c r="R22" s="51"/>
      <c r="S22" s="52"/>
      <c r="W22" s="51"/>
      <c r="X22" s="52"/>
      <c r="AB22" s="51"/>
      <c r="AC22" s="52"/>
      <c r="AG22" s="51"/>
      <c r="AH22" s="52"/>
      <c r="AL22" s="51"/>
      <c r="AM22" s="52"/>
      <c r="AQ22" s="51"/>
      <c r="AR22" s="52"/>
      <c r="AV22" s="51"/>
      <c r="AW22" s="52"/>
      <c r="BA22" s="51"/>
      <c r="BB22" s="52"/>
      <c r="BF22" s="51"/>
      <c r="BG22" s="52"/>
      <c r="BK22" s="51"/>
      <c r="BL22" s="52"/>
      <c r="BP22" s="51"/>
      <c r="BQ22" s="52"/>
      <c r="BU22" s="51"/>
      <c r="BV22" s="52"/>
      <c r="BZ22" s="51"/>
      <c r="CA22" s="52"/>
      <c r="CE22" s="51"/>
      <c r="CF22" s="52"/>
      <c r="CJ22" s="51"/>
      <c r="CK22" s="52"/>
      <c r="CO22" s="51"/>
      <c r="CP22" s="52"/>
      <c r="CT22" s="51"/>
      <c r="CU22" s="52"/>
      <c r="CY22" s="51"/>
      <c r="CZ22" s="52"/>
      <c r="DC22" s="51"/>
      <c r="DE22" s="52"/>
      <c r="DI22" s="51"/>
      <c r="DJ22" s="52"/>
      <c r="DN22" s="51"/>
      <c r="DO22" s="52"/>
      <c r="DS22" s="51"/>
      <c r="DT22" s="52"/>
      <c r="DX22" s="51"/>
      <c r="DY22" s="52"/>
      <c r="EC22" s="51"/>
      <c r="ED22" s="52"/>
      <c r="EH22" s="51"/>
      <c r="EI22" s="52"/>
      <c r="EM22" s="51"/>
      <c r="EN22" s="52"/>
      <c r="ER22" s="51"/>
      <c r="ES22" s="52"/>
      <c r="EW22" s="51"/>
      <c r="EX22" s="52"/>
      <c r="FB22" s="51"/>
      <c r="FC22" s="52"/>
      <c r="FG22" s="51"/>
      <c r="FH22" s="52"/>
      <c r="FL22" s="51"/>
      <c r="FM22" s="52"/>
      <c r="FQ22" s="51"/>
      <c r="FR22" s="52"/>
      <c r="FV22" s="51"/>
      <c r="FW22" s="52"/>
      <c r="GA22" s="51"/>
      <c r="GB22" s="52"/>
    </row>
    <row r="23" spans="3:184" x14ac:dyDescent="0.2">
      <c r="C23" s="51"/>
      <c r="D23" s="52"/>
      <c r="H23" s="51"/>
      <c r="I23" s="52"/>
      <c r="M23" s="51"/>
      <c r="N23" s="52"/>
      <c r="R23" s="51"/>
      <c r="S23" s="52"/>
      <c r="W23" s="51"/>
      <c r="X23" s="52"/>
      <c r="AB23" s="51"/>
      <c r="AC23" s="52"/>
      <c r="AG23" s="51"/>
      <c r="AH23" s="52"/>
      <c r="AL23" s="51"/>
      <c r="AM23" s="52"/>
      <c r="AQ23" s="51"/>
      <c r="AR23" s="52"/>
      <c r="AV23" s="51"/>
      <c r="AW23" s="52"/>
      <c r="BA23" s="51"/>
      <c r="BB23" s="52"/>
      <c r="BF23" s="51"/>
      <c r="BG23" s="52"/>
      <c r="BK23" s="51"/>
      <c r="BL23" s="52"/>
      <c r="BP23" s="51"/>
      <c r="BQ23" s="52"/>
      <c r="BU23" s="51"/>
      <c r="BV23" s="52"/>
      <c r="BZ23" s="51"/>
      <c r="CA23" s="52"/>
      <c r="CE23" s="51"/>
      <c r="CF23" s="52"/>
      <c r="CJ23" s="51"/>
      <c r="CK23" s="52"/>
      <c r="CO23" s="51"/>
      <c r="CP23" s="52"/>
      <c r="CT23" s="51"/>
      <c r="CU23" s="52"/>
      <c r="CY23" s="51"/>
      <c r="CZ23" s="52"/>
      <c r="DC23" s="51"/>
      <c r="DE23" s="52"/>
      <c r="DI23" s="51"/>
      <c r="DJ23" s="52"/>
      <c r="DN23" s="51"/>
      <c r="DO23" s="52"/>
      <c r="DS23" s="51"/>
      <c r="DT23" s="52"/>
      <c r="DX23" s="51"/>
      <c r="DY23" s="52"/>
      <c r="EC23" s="51"/>
      <c r="ED23" s="52"/>
      <c r="EH23" s="51"/>
      <c r="EI23" s="52"/>
      <c r="EM23" s="51"/>
      <c r="EN23" s="52"/>
      <c r="ER23" s="51"/>
      <c r="ES23" s="52"/>
      <c r="EW23" s="51"/>
      <c r="EX23" s="52"/>
      <c r="FB23" s="51"/>
      <c r="FC23" s="52"/>
      <c r="FG23" s="51"/>
      <c r="FH23" s="52"/>
      <c r="FL23" s="51"/>
      <c r="FM23" s="52"/>
      <c r="FQ23" s="51"/>
      <c r="FR23" s="52"/>
      <c r="FV23" s="51"/>
      <c r="FW23" s="52"/>
      <c r="GA23" s="51"/>
      <c r="GB23" s="52"/>
    </row>
    <row r="24" spans="3:184" x14ac:dyDescent="0.2">
      <c r="C24" s="51"/>
      <c r="D24" s="52"/>
      <c r="H24" s="51"/>
      <c r="I24" s="52"/>
      <c r="M24" s="51"/>
      <c r="N24" s="52"/>
      <c r="R24" s="51"/>
      <c r="S24" s="52"/>
      <c r="W24" s="51"/>
      <c r="X24" s="52"/>
      <c r="AB24" s="51"/>
      <c r="AC24" s="52"/>
      <c r="AG24" s="51"/>
      <c r="AH24" s="52"/>
      <c r="AL24" s="51"/>
      <c r="AM24" s="52"/>
      <c r="AQ24" s="51"/>
      <c r="AR24" s="52"/>
      <c r="AV24" s="51"/>
      <c r="AW24" s="52"/>
      <c r="BA24" s="51"/>
      <c r="BB24" s="52"/>
      <c r="BF24" s="51"/>
      <c r="BG24" s="52"/>
      <c r="BK24" s="51"/>
      <c r="BL24" s="52"/>
      <c r="BP24" s="51"/>
      <c r="BQ24" s="52"/>
      <c r="BU24" s="51"/>
      <c r="BV24" s="52"/>
      <c r="BZ24" s="51"/>
      <c r="CA24" s="52"/>
      <c r="CE24" s="51"/>
      <c r="CF24" s="52"/>
      <c r="CJ24" s="51"/>
      <c r="CK24" s="52"/>
      <c r="CO24" s="51"/>
      <c r="CP24" s="52"/>
      <c r="CT24" s="51"/>
      <c r="CU24" s="52"/>
      <c r="CY24" s="51"/>
      <c r="CZ24" s="52"/>
      <c r="DC24" s="51"/>
      <c r="DE24" s="52"/>
      <c r="DI24" s="51"/>
      <c r="DJ24" s="52"/>
      <c r="DN24" s="51"/>
      <c r="DO24" s="52"/>
      <c r="DS24" s="51"/>
      <c r="DT24" s="52"/>
      <c r="DX24" s="51"/>
      <c r="DY24" s="52"/>
      <c r="EC24" s="51"/>
      <c r="ED24" s="52"/>
      <c r="EH24" s="51"/>
      <c r="EI24" s="52"/>
      <c r="EM24" s="51"/>
      <c r="EN24" s="52"/>
      <c r="ER24" s="51"/>
      <c r="ES24" s="52"/>
      <c r="EW24" s="51"/>
      <c r="EX24" s="52"/>
      <c r="FB24" s="51"/>
      <c r="FC24" s="52"/>
      <c r="FG24" s="51"/>
      <c r="FH24" s="52"/>
      <c r="FL24" s="51"/>
      <c r="FM24" s="52"/>
      <c r="FQ24" s="51"/>
      <c r="FR24" s="52"/>
      <c r="FV24" s="51"/>
      <c r="FW24" s="52"/>
      <c r="GA24" s="51"/>
      <c r="GB24" s="52"/>
    </row>
    <row r="25" spans="3:184" x14ac:dyDescent="0.2">
      <c r="C25" s="51"/>
      <c r="D25" s="52"/>
      <c r="H25" s="51"/>
      <c r="I25" s="52"/>
      <c r="M25" s="51"/>
      <c r="N25" s="52"/>
      <c r="R25" s="51"/>
      <c r="S25" s="52"/>
      <c r="W25" s="51"/>
      <c r="X25" s="52"/>
      <c r="AB25" s="51"/>
      <c r="AC25" s="52"/>
      <c r="AG25" s="51"/>
      <c r="AH25" s="52"/>
      <c r="AL25" s="51"/>
      <c r="AM25" s="52"/>
      <c r="AQ25" s="51"/>
      <c r="AR25" s="52"/>
      <c r="AV25" s="51"/>
      <c r="AW25" s="52"/>
      <c r="BA25" s="51"/>
      <c r="BB25" s="52"/>
      <c r="BF25" s="51"/>
      <c r="BG25" s="52"/>
      <c r="BK25" s="51"/>
      <c r="BL25" s="52"/>
      <c r="BP25" s="51"/>
      <c r="BQ25" s="52"/>
      <c r="BU25" s="51"/>
      <c r="BV25" s="52"/>
      <c r="BZ25" s="51"/>
      <c r="CA25" s="52"/>
      <c r="CE25" s="51"/>
      <c r="CF25" s="52"/>
      <c r="CJ25" s="51"/>
      <c r="CK25" s="52"/>
      <c r="CO25" s="51"/>
      <c r="CP25" s="52"/>
      <c r="CT25" s="51"/>
      <c r="CU25" s="52"/>
      <c r="CY25" s="51"/>
      <c r="CZ25" s="52"/>
      <c r="DC25" s="51"/>
      <c r="DE25" s="52"/>
      <c r="DI25" s="51"/>
      <c r="DJ25" s="52"/>
      <c r="DN25" s="51"/>
      <c r="DO25" s="52"/>
      <c r="DS25" s="51"/>
      <c r="DT25" s="52"/>
      <c r="DX25" s="51"/>
      <c r="DY25" s="52"/>
      <c r="EC25" s="51"/>
      <c r="ED25" s="52"/>
      <c r="EH25" s="51"/>
      <c r="EI25" s="52"/>
      <c r="EM25" s="51"/>
      <c r="EN25" s="52"/>
      <c r="ER25" s="51"/>
      <c r="ES25" s="52"/>
      <c r="EW25" s="51"/>
      <c r="EX25" s="52"/>
      <c r="FB25" s="51"/>
      <c r="FC25" s="52"/>
      <c r="FG25" s="51"/>
      <c r="FH25" s="52"/>
      <c r="FL25" s="51"/>
      <c r="FM25" s="52"/>
      <c r="FQ25" s="51"/>
      <c r="FR25" s="52"/>
      <c r="FV25" s="51"/>
      <c r="FW25" s="52"/>
      <c r="GA25" s="51"/>
      <c r="GB25" s="52"/>
    </row>
    <row r="26" spans="3:184" x14ac:dyDescent="0.2">
      <c r="C26" s="51"/>
      <c r="D26" s="52"/>
      <c r="H26" s="51"/>
      <c r="I26" s="52"/>
      <c r="M26" s="51"/>
      <c r="N26" s="52"/>
      <c r="R26" s="51"/>
      <c r="S26" s="52"/>
      <c r="W26" s="51"/>
      <c r="X26" s="52"/>
      <c r="AB26" s="51"/>
      <c r="AC26" s="52"/>
      <c r="AG26" s="51"/>
      <c r="AH26" s="52"/>
      <c r="AL26" s="51"/>
      <c r="AM26" s="52"/>
      <c r="AQ26" s="51"/>
      <c r="AR26" s="52"/>
      <c r="AV26" s="51"/>
      <c r="AW26" s="52"/>
      <c r="BA26" s="51"/>
      <c r="BB26" s="52"/>
      <c r="BF26" s="51"/>
      <c r="BG26" s="52"/>
      <c r="BK26" s="51"/>
      <c r="BL26" s="52"/>
      <c r="BP26" s="51"/>
      <c r="BQ26" s="52"/>
      <c r="BU26" s="51"/>
      <c r="BV26" s="52"/>
      <c r="BZ26" s="51"/>
      <c r="CA26" s="52"/>
      <c r="CE26" s="51"/>
      <c r="CF26" s="52"/>
      <c r="CJ26" s="51"/>
      <c r="CK26" s="52"/>
      <c r="CO26" s="51"/>
      <c r="CP26" s="52"/>
      <c r="CT26" s="51"/>
      <c r="CU26" s="52"/>
      <c r="CY26" s="51"/>
      <c r="CZ26" s="52"/>
      <c r="DC26" s="51"/>
      <c r="DE26" s="52"/>
      <c r="DI26" s="51"/>
      <c r="DJ26" s="52"/>
      <c r="DN26" s="51"/>
      <c r="DO26" s="52"/>
      <c r="DS26" s="51"/>
      <c r="DT26" s="52"/>
      <c r="DX26" s="51"/>
      <c r="DY26" s="52"/>
      <c r="EC26" s="51"/>
      <c r="ED26" s="52"/>
      <c r="EH26" s="51"/>
      <c r="EI26" s="52"/>
      <c r="EM26" s="51"/>
      <c r="EN26" s="52"/>
      <c r="ER26" s="51"/>
      <c r="ES26" s="52"/>
      <c r="EW26" s="51"/>
      <c r="EX26" s="52"/>
      <c r="FB26" s="51"/>
      <c r="FC26" s="52"/>
      <c r="FG26" s="51"/>
      <c r="FH26" s="52"/>
      <c r="FL26" s="51"/>
      <c r="FM26" s="52"/>
      <c r="FQ26" s="51"/>
      <c r="FR26" s="52"/>
      <c r="FV26" s="51"/>
      <c r="FW26" s="52"/>
      <c r="GA26" s="51"/>
      <c r="GB26" s="52"/>
    </row>
    <row r="27" spans="3:184" x14ac:dyDescent="0.2">
      <c r="C27" s="51"/>
      <c r="D27" s="52"/>
      <c r="H27" s="51"/>
      <c r="I27" s="52"/>
      <c r="M27" s="51"/>
      <c r="N27" s="52"/>
      <c r="R27" s="51"/>
      <c r="S27" s="52"/>
      <c r="W27" s="51"/>
      <c r="X27" s="52"/>
      <c r="AB27" s="51"/>
      <c r="AC27" s="52"/>
      <c r="AG27" s="51"/>
      <c r="AH27" s="52"/>
      <c r="AL27" s="51"/>
      <c r="AM27" s="52"/>
      <c r="AQ27" s="51"/>
      <c r="AR27" s="52"/>
      <c r="AV27" s="51"/>
      <c r="AW27" s="52"/>
      <c r="BA27" s="51"/>
      <c r="BB27" s="52"/>
      <c r="BF27" s="51"/>
      <c r="BG27" s="52"/>
      <c r="BK27" s="51"/>
      <c r="BL27" s="52"/>
      <c r="BP27" s="51"/>
      <c r="BQ27" s="52"/>
      <c r="BU27" s="51"/>
      <c r="BV27" s="52"/>
      <c r="BZ27" s="51"/>
      <c r="CA27" s="52"/>
      <c r="CE27" s="51"/>
      <c r="CF27" s="52"/>
      <c r="CJ27" s="51"/>
      <c r="CK27" s="52"/>
      <c r="CO27" s="51"/>
      <c r="CP27" s="52"/>
      <c r="CT27" s="51"/>
      <c r="CU27" s="52"/>
      <c r="CY27" s="51"/>
      <c r="CZ27" s="52"/>
      <c r="DC27" s="51"/>
      <c r="DE27" s="52"/>
      <c r="DI27" s="51"/>
      <c r="DJ27" s="52"/>
      <c r="DN27" s="51"/>
      <c r="DO27" s="52"/>
      <c r="DS27" s="51"/>
      <c r="DT27" s="52"/>
      <c r="DX27" s="51"/>
      <c r="DY27" s="52"/>
      <c r="EC27" s="51"/>
      <c r="ED27" s="52"/>
      <c r="EH27" s="51"/>
      <c r="EI27" s="52"/>
      <c r="EM27" s="51"/>
      <c r="EN27" s="52"/>
      <c r="ER27" s="51"/>
      <c r="ES27" s="52"/>
      <c r="EW27" s="51"/>
      <c r="EX27" s="52"/>
      <c r="FB27" s="51"/>
      <c r="FC27" s="52"/>
      <c r="FG27" s="51"/>
      <c r="FH27" s="52"/>
      <c r="FL27" s="51"/>
      <c r="FM27" s="52"/>
      <c r="FQ27" s="51"/>
      <c r="FR27" s="52"/>
      <c r="FV27" s="51"/>
      <c r="FW27" s="52"/>
      <c r="GA27" s="51"/>
      <c r="GB27" s="52"/>
    </row>
    <row r="28" spans="3:184" x14ac:dyDescent="0.2">
      <c r="C28" s="51"/>
      <c r="D28" s="52"/>
      <c r="H28" s="51"/>
      <c r="I28" s="52"/>
      <c r="M28" s="51"/>
      <c r="N28" s="52"/>
      <c r="R28" s="51"/>
      <c r="S28" s="52"/>
      <c r="W28" s="51"/>
      <c r="X28" s="52"/>
      <c r="AB28" s="51"/>
      <c r="AC28" s="52"/>
      <c r="AG28" s="51"/>
      <c r="AH28" s="52"/>
      <c r="AL28" s="51"/>
      <c r="AM28" s="52"/>
      <c r="AQ28" s="51"/>
      <c r="AR28" s="52"/>
      <c r="AV28" s="51"/>
      <c r="AW28" s="52"/>
      <c r="BA28" s="51"/>
      <c r="BB28" s="52"/>
      <c r="BF28" s="51"/>
      <c r="BG28" s="52"/>
      <c r="BK28" s="51"/>
      <c r="BL28" s="52"/>
      <c r="BP28" s="51"/>
      <c r="BQ28" s="52"/>
      <c r="BU28" s="51"/>
      <c r="BV28" s="52"/>
      <c r="BZ28" s="51"/>
      <c r="CA28" s="52"/>
      <c r="CE28" s="51"/>
      <c r="CF28" s="52"/>
      <c r="CJ28" s="51"/>
      <c r="CK28" s="52"/>
      <c r="CO28" s="51"/>
      <c r="CP28" s="52"/>
      <c r="CT28" s="51"/>
      <c r="CU28" s="52"/>
      <c r="CY28" s="51"/>
      <c r="CZ28" s="52"/>
      <c r="DC28" s="51"/>
      <c r="DE28" s="52"/>
      <c r="DI28" s="51"/>
      <c r="DJ28" s="52"/>
      <c r="DN28" s="51"/>
      <c r="DO28" s="52"/>
      <c r="DS28" s="51"/>
      <c r="DT28" s="52"/>
      <c r="DX28" s="51"/>
      <c r="DY28" s="52"/>
      <c r="EC28" s="51"/>
      <c r="ED28" s="52"/>
      <c r="EH28" s="51"/>
      <c r="EI28" s="52"/>
      <c r="EM28" s="51"/>
      <c r="EN28" s="52"/>
      <c r="ER28" s="51"/>
      <c r="ES28" s="52"/>
      <c r="EW28" s="51"/>
      <c r="EX28" s="52"/>
      <c r="FB28" s="51"/>
      <c r="FC28" s="52"/>
      <c r="FG28" s="51"/>
      <c r="FH28" s="52"/>
      <c r="FL28" s="51"/>
      <c r="FM28" s="52"/>
      <c r="FQ28" s="51"/>
      <c r="FR28" s="52"/>
      <c r="FV28" s="51"/>
      <c r="FW28" s="52"/>
      <c r="GA28" s="51"/>
      <c r="GB28" s="52"/>
    </row>
    <row r="29" spans="3:184" x14ac:dyDescent="0.2">
      <c r="C29" s="51"/>
      <c r="D29" s="52"/>
      <c r="H29" s="51"/>
      <c r="I29" s="52"/>
      <c r="M29" s="51"/>
      <c r="N29" s="52"/>
      <c r="R29" s="51"/>
      <c r="S29" s="52"/>
      <c r="W29" s="51"/>
      <c r="X29" s="52"/>
      <c r="AB29" s="51"/>
      <c r="AC29" s="52"/>
      <c r="AG29" s="51"/>
      <c r="AH29" s="52"/>
      <c r="AL29" s="51"/>
      <c r="AM29" s="52"/>
      <c r="AQ29" s="51"/>
      <c r="AR29" s="52"/>
      <c r="AV29" s="51"/>
      <c r="AW29" s="52"/>
      <c r="BA29" s="51"/>
      <c r="BB29" s="52"/>
      <c r="BF29" s="51"/>
      <c r="BG29" s="52"/>
      <c r="BK29" s="51"/>
      <c r="BL29" s="52"/>
      <c r="BP29" s="51"/>
      <c r="BQ29" s="52"/>
      <c r="BU29" s="51"/>
      <c r="BV29" s="52"/>
      <c r="BZ29" s="51"/>
      <c r="CA29" s="52"/>
      <c r="CE29" s="51"/>
      <c r="CF29" s="52"/>
      <c r="CJ29" s="51"/>
      <c r="CK29" s="52"/>
      <c r="CO29" s="51"/>
      <c r="CP29" s="52"/>
      <c r="CT29" s="51"/>
      <c r="CU29" s="52"/>
      <c r="CY29" s="51"/>
      <c r="CZ29" s="52"/>
      <c r="DC29" s="51"/>
      <c r="DE29" s="52"/>
      <c r="DI29" s="51"/>
      <c r="DJ29" s="52"/>
      <c r="DN29" s="51"/>
      <c r="DO29" s="52"/>
      <c r="DS29" s="51"/>
      <c r="DT29" s="52"/>
      <c r="DX29" s="51"/>
      <c r="DY29" s="52"/>
      <c r="EC29" s="51"/>
      <c r="ED29" s="52"/>
      <c r="EH29" s="51"/>
      <c r="EI29" s="52"/>
      <c r="EM29" s="51"/>
      <c r="EN29" s="52"/>
      <c r="ER29" s="51"/>
      <c r="ES29" s="52"/>
      <c r="EW29" s="51"/>
      <c r="EX29" s="52"/>
      <c r="FB29" s="51"/>
      <c r="FC29" s="52"/>
      <c r="FG29" s="51"/>
      <c r="FH29" s="52"/>
      <c r="FL29" s="51"/>
      <c r="FM29" s="52"/>
      <c r="FQ29" s="51"/>
      <c r="FR29" s="52"/>
      <c r="FV29" s="51"/>
      <c r="FW29" s="52"/>
      <c r="GA29" s="51"/>
      <c r="GB29" s="52"/>
    </row>
    <row r="30" spans="3:184" x14ac:dyDescent="0.2">
      <c r="C30" s="51"/>
      <c r="D30" s="52"/>
      <c r="H30" s="51"/>
      <c r="I30" s="52"/>
      <c r="M30" s="51"/>
      <c r="N30" s="52"/>
      <c r="R30" s="51"/>
      <c r="S30" s="52"/>
      <c r="W30" s="51"/>
      <c r="X30" s="52"/>
      <c r="AB30" s="51"/>
      <c r="AC30" s="52"/>
      <c r="AG30" s="51"/>
      <c r="AH30" s="52"/>
      <c r="AL30" s="51"/>
      <c r="AM30" s="52"/>
      <c r="AQ30" s="51"/>
      <c r="AR30" s="52"/>
      <c r="AV30" s="51"/>
      <c r="AW30" s="52"/>
      <c r="BA30" s="51"/>
      <c r="BB30" s="52"/>
      <c r="BF30" s="51"/>
      <c r="BG30" s="52"/>
      <c r="BK30" s="51"/>
      <c r="BL30" s="52"/>
      <c r="BP30" s="51"/>
      <c r="BQ30" s="52"/>
      <c r="BU30" s="51"/>
      <c r="BV30" s="52"/>
      <c r="BZ30" s="51"/>
      <c r="CA30" s="52"/>
      <c r="CE30" s="51"/>
      <c r="CF30" s="52"/>
      <c r="CJ30" s="51"/>
      <c r="CK30" s="52"/>
      <c r="CO30" s="51"/>
      <c r="CP30" s="52"/>
      <c r="CT30" s="51"/>
      <c r="CU30" s="52"/>
      <c r="CY30" s="51"/>
      <c r="CZ30" s="52"/>
      <c r="DC30" s="51"/>
      <c r="DE30" s="52"/>
      <c r="DI30" s="51"/>
      <c r="DJ30" s="52"/>
      <c r="DN30" s="51"/>
      <c r="DO30" s="52"/>
      <c r="DS30" s="51"/>
      <c r="DT30" s="52"/>
      <c r="DX30" s="51"/>
      <c r="DY30" s="52"/>
      <c r="EC30" s="51"/>
      <c r="ED30" s="52"/>
      <c r="EH30" s="51"/>
      <c r="EI30" s="52"/>
      <c r="EM30" s="51"/>
      <c r="EN30" s="52"/>
      <c r="ER30" s="51"/>
      <c r="ES30" s="52"/>
      <c r="EW30" s="51"/>
      <c r="EX30" s="52"/>
      <c r="FB30" s="51"/>
      <c r="FC30" s="52"/>
      <c r="FG30" s="51"/>
      <c r="FH30" s="52"/>
      <c r="FL30" s="51"/>
      <c r="FM30" s="52"/>
      <c r="FQ30" s="51"/>
      <c r="FR30" s="52"/>
      <c r="FV30" s="51"/>
      <c r="FW30" s="52"/>
      <c r="GA30" s="51"/>
      <c r="GB30" s="52"/>
    </row>
    <row r="31" spans="3:184" x14ac:dyDescent="0.2">
      <c r="C31" s="51"/>
      <c r="D31" s="52"/>
      <c r="H31" s="51"/>
      <c r="I31" s="52"/>
      <c r="M31" s="51"/>
      <c r="N31" s="52"/>
      <c r="R31" s="51"/>
      <c r="S31" s="52"/>
      <c r="W31" s="51"/>
      <c r="X31" s="52"/>
      <c r="AB31" s="51"/>
      <c r="AC31" s="52"/>
      <c r="AG31" s="51"/>
      <c r="AH31" s="52"/>
      <c r="AL31" s="51"/>
      <c r="AM31" s="52"/>
      <c r="AQ31" s="51"/>
      <c r="AR31" s="52"/>
      <c r="AV31" s="51"/>
      <c r="AW31" s="52"/>
      <c r="BA31" s="51"/>
      <c r="BB31" s="52"/>
      <c r="BF31" s="51"/>
      <c r="BG31" s="52"/>
      <c r="BK31" s="51"/>
      <c r="BL31" s="52"/>
      <c r="BP31" s="51"/>
      <c r="BQ31" s="52"/>
      <c r="BU31" s="51"/>
      <c r="BV31" s="52"/>
      <c r="BZ31" s="51"/>
      <c r="CA31" s="52"/>
      <c r="CE31" s="51"/>
      <c r="CF31" s="52"/>
      <c r="CJ31" s="51"/>
      <c r="CK31" s="52"/>
      <c r="CO31" s="51"/>
      <c r="CP31" s="52"/>
      <c r="CT31" s="51"/>
      <c r="CU31" s="52"/>
      <c r="CY31" s="51"/>
      <c r="CZ31" s="52"/>
      <c r="DC31" s="51"/>
      <c r="DE31" s="52"/>
      <c r="DI31" s="51"/>
      <c r="DJ31" s="52"/>
      <c r="DN31" s="51"/>
      <c r="DO31" s="52"/>
      <c r="DS31" s="51"/>
      <c r="DT31" s="52"/>
      <c r="DX31" s="51"/>
      <c r="DY31" s="52"/>
      <c r="EC31" s="51"/>
      <c r="ED31" s="52"/>
      <c r="EH31" s="51"/>
      <c r="EI31" s="52"/>
      <c r="EM31" s="51"/>
      <c r="EN31" s="52"/>
      <c r="ER31" s="51"/>
      <c r="ES31" s="52"/>
      <c r="EW31" s="51"/>
      <c r="EX31" s="52"/>
      <c r="FB31" s="51"/>
      <c r="FC31" s="52"/>
      <c r="FG31" s="51"/>
      <c r="FH31" s="52"/>
      <c r="FL31" s="51"/>
      <c r="FM31" s="52"/>
      <c r="FQ31" s="51"/>
      <c r="FR31" s="52"/>
      <c r="FV31" s="51"/>
      <c r="FW31" s="52"/>
      <c r="GA31" s="51"/>
      <c r="GB31" s="52"/>
    </row>
    <row r="32" spans="3:184" x14ac:dyDescent="0.2">
      <c r="C32" s="51"/>
      <c r="D32" s="52"/>
      <c r="H32" s="51"/>
      <c r="I32" s="52"/>
      <c r="M32" s="51"/>
      <c r="N32" s="52"/>
      <c r="R32" s="51"/>
      <c r="S32" s="52"/>
      <c r="W32" s="51"/>
      <c r="X32" s="52"/>
      <c r="AB32" s="51"/>
      <c r="AC32" s="52"/>
      <c r="AG32" s="51"/>
      <c r="AH32" s="52"/>
      <c r="AL32" s="51"/>
      <c r="AM32" s="52"/>
      <c r="AQ32" s="51"/>
      <c r="AR32" s="52"/>
      <c r="AV32" s="51"/>
      <c r="AW32" s="52"/>
      <c r="BA32" s="51"/>
      <c r="BB32" s="52"/>
      <c r="BF32" s="51"/>
      <c r="BG32" s="52"/>
      <c r="BK32" s="51"/>
      <c r="BL32" s="52"/>
      <c r="BP32" s="51"/>
      <c r="BQ32" s="52"/>
      <c r="BU32" s="51"/>
      <c r="BV32" s="52"/>
      <c r="BZ32" s="51"/>
      <c r="CA32" s="52"/>
      <c r="CE32" s="51"/>
      <c r="CF32" s="52"/>
      <c r="CJ32" s="51"/>
      <c r="CK32" s="52"/>
      <c r="CO32" s="51"/>
      <c r="CP32" s="52"/>
      <c r="CT32" s="51"/>
      <c r="CU32" s="52"/>
      <c r="CY32" s="51"/>
      <c r="CZ32" s="52"/>
      <c r="DC32" s="51"/>
      <c r="DE32" s="52"/>
      <c r="DI32" s="51"/>
      <c r="DJ32" s="52"/>
      <c r="DN32" s="51"/>
      <c r="DO32" s="52"/>
      <c r="DS32" s="51"/>
      <c r="DT32" s="52"/>
      <c r="DX32" s="51"/>
      <c r="DY32" s="52"/>
      <c r="EC32" s="51"/>
      <c r="ED32" s="52"/>
      <c r="EH32" s="51"/>
      <c r="EI32" s="52"/>
      <c r="EM32" s="51"/>
      <c r="EN32" s="52"/>
      <c r="ER32" s="51"/>
      <c r="ES32" s="52"/>
      <c r="EW32" s="51"/>
      <c r="EX32" s="52"/>
      <c r="FB32" s="51"/>
      <c r="FC32" s="52"/>
      <c r="FG32" s="51"/>
      <c r="FH32" s="52"/>
      <c r="FL32" s="51"/>
      <c r="FM32" s="52"/>
      <c r="FQ32" s="51"/>
      <c r="FR32" s="52"/>
      <c r="FV32" s="51"/>
      <c r="FW32" s="52"/>
      <c r="GA32" s="51"/>
      <c r="GB32" s="52"/>
    </row>
    <row r="33" spans="3:184" x14ac:dyDescent="0.2">
      <c r="C33" s="51"/>
      <c r="D33" s="52"/>
      <c r="H33" s="51"/>
      <c r="I33" s="52"/>
      <c r="M33" s="51"/>
      <c r="N33" s="52"/>
      <c r="R33" s="51"/>
      <c r="S33" s="52"/>
      <c r="W33" s="51"/>
      <c r="X33" s="52"/>
      <c r="AB33" s="51"/>
      <c r="AC33" s="52"/>
      <c r="AG33" s="51"/>
      <c r="AH33" s="52"/>
      <c r="AL33" s="51"/>
      <c r="AM33" s="52"/>
      <c r="AQ33" s="51"/>
      <c r="AR33" s="52"/>
      <c r="AV33" s="51"/>
      <c r="AW33" s="52"/>
      <c r="BA33" s="51"/>
      <c r="BB33" s="52"/>
      <c r="BF33" s="51"/>
      <c r="BG33" s="52"/>
      <c r="BK33" s="51"/>
      <c r="BL33" s="52"/>
      <c r="BP33" s="51"/>
      <c r="BQ33" s="52"/>
      <c r="BU33" s="51"/>
      <c r="BV33" s="52"/>
      <c r="BZ33" s="51"/>
      <c r="CA33" s="52"/>
      <c r="CE33" s="51"/>
      <c r="CF33" s="52"/>
      <c r="CJ33" s="51"/>
      <c r="CK33" s="52"/>
      <c r="CO33" s="51"/>
      <c r="CP33" s="52"/>
      <c r="CT33" s="51"/>
      <c r="CU33" s="52"/>
      <c r="CY33" s="51"/>
      <c r="CZ33" s="52"/>
      <c r="DC33" s="51"/>
      <c r="DE33" s="52"/>
      <c r="DI33" s="51"/>
      <c r="DJ33" s="52"/>
      <c r="DN33" s="51"/>
      <c r="DO33" s="52"/>
      <c r="DS33" s="51"/>
      <c r="DT33" s="52"/>
      <c r="DX33" s="51"/>
      <c r="DY33" s="52"/>
      <c r="EC33" s="51"/>
      <c r="ED33" s="52"/>
      <c r="EH33" s="51"/>
      <c r="EI33" s="52"/>
      <c r="EM33" s="51"/>
      <c r="EN33" s="52"/>
      <c r="ER33" s="51"/>
      <c r="ES33" s="52"/>
      <c r="EW33" s="51"/>
      <c r="EX33" s="52"/>
      <c r="FB33" s="51"/>
      <c r="FC33" s="52"/>
      <c r="FG33" s="51"/>
      <c r="FH33" s="52"/>
      <c r="FL33" s="51"/>
      <c r="FM33" s="52"/>
      <c r="FQ33" s="51"/>
      <c r="FR33" s="52"/>
      <c r="FV33" s="51"/>
      <c r="FW33" s="52"/>
      <c r="GA33" s="51"/>
      <c r="GB33" s="52"/>
    </row>
    <row r="34" spans="3:184" x14ac:dyDescent="0.2">
      <c r="C34" s="51"/>
      <c r="D34" s="52"/>
      <c r="H34" s="51"/>
      <c r="I34" s="52"/>
      <c r="M34" s="51"/>
      <c r="N34" s="52"/>
      <c r="R34" s="51"/>
      <c r="S34" s="52"/>
      <c r="W34" s="51"/>
      <c r="X34" s="52"/>
      <c r="AB34" s="51"/>
      <c r="AC34" s="52"/>
      <c r="AG34" s="51"/>
      <c r="AH34" s="52"/>
      <c r="AL34" s="51"/>
      <c r="AM34" s="52"/>
      <c r="AQ34" s="51"/>
      <c r="AR34" s="52"/>
      <c r="AV34" s="51"/>
      <c r="AW34" s="52"/>
      <c r="BA34" s="51"/>
      <c r="BB34" s="52"/>
      <c r="BF34" s="51"/>
      <c r="BG34" s="52"/>
      <c r="BK34" s="51"/>
      <c r="BL34" s="52"/>
      <c r="BP34" s="51"/>
      <c r="BQ34" s="52"/>
      <c r="BU34" s="51"/>
      <c r="BV34" s="52"/>
      <c r="BZ34" s="51"/>
      <c r="CA34" s="52"/>
      <c r="CE34" s="51"/>
      <c r="CF34" s="52"/>
      <c r="CJ34" s="51"/>
      <c r="CK34" s="52"/>
      <c r="CO34" s="51"/>
      <c r="CP34" s="52"/>
      <c r="CT34" s="51"/>
      <c r="CU34" s="52"/>
      <c r="CY34" s="51"/>
      <c r="CZ34" s="52"/>
      <c r="DC34" s="51"/>
      <c r="DE34" s="52"/>
      <c r="DI34" s="51"/>
      <c r="DJ34" s="52"/>
      <c r="DN34" s="51"/>
      <c r="DO34" s="52"/>
      <c r="DS34" s="51"/>
      <c r="DT34" s="52"/>
      <c r="DX34" s="51"/>
      <c r="DY34" s="52"/>
      <c r="EC34" s="51"/>
      <c r="ED34" s="52"/>
      <c r="EH34" s="51"/>
      <c r="EI34" s="52"/>
      <c r="EM34" s="51"/>
      <c r="EN34" s="52"/>
      <c r="ER34" s="51"/>
      <c r="ES34" s="52"/>
      <c r="EW34" s="51"/>
      <c r="EX34" s="52"/>
      <c r="FB34" s="51"/>
      <c r="FC34" s="52"/>
      <c r="FG34" s="51"/>
      <c r="FH34" s="52"/>
      <c r="FL34" s="51"/>
      <c r="FM34" s="52"/>
      <c r="FQ34" s="51"/>
      <c r="FR34" s="52"/>
      <c r="FV34" s="51"/>
      <c r="FW34" s="52"/>
      <c r="GA34" s="51"/>
      <c r="GB34" s="52"/>
    </row>
    <row r="35" spans="3:184" x14ac:dyDescent="0.2">
      <c r="C35" s="51"/>
      <c r="D35" s="52"/>
      <c r="H35" s="51"/>
      <c r="I35" s="52"/>
      <c r="M35" s="51"/>
      <c r="N35" s="52"/>
      <c r="R35" s="51"/>
      <c r="S35" s="52"/>
      <c r="W35" s="51"/>
      <c r="X35" s="52"/>
      <c r="AB35" s="51"/>
      <c r="AC35" s="52"/>
      <c r="AG35" s="51"/>
      <c r="AH35" s="52"/>
      <c r="AL35" s="51"/>
      <c r="AM35" s="52"/>
      <c r="AQ35" s="51"/>
      <c r="AR35" s="52"/>
      <c r="AV35" s="51"/>
      <c r="AW35" s="52"/>
      <c r="BA35" s="51"/>
      <c r="BB35" s="52"/>
      <c r="BF35" s="51"/>
      <c r="BG35" s="52"/>
      <c r="BK35" s="51"/>
      <c r="BL35" s="52"/>
      <c r="BP35" s="51"/>
      <c r="BQ35" s="52"/>
      <c r="BU35" s="51"/>
      <c r="BV35" s="52"/>
      <c r="BZ35" s="51"/>
      <c r="CA35" s="52"/>
      <c r="CE35" s="51"/>
      <c r="CF35" s="52"/>
      <c r="CJ35" s="51"/>
      <c r="CK35" s="52"/>
      <c r="CO35" s="51"/>
      <c r="CP35" s="52"/>
      <c r="CT35" s="51"/>
      <c r="CU35" s="52"/>
      <c r="CY35" s="51"/>
      <c r="CZ35" s="52"/>
      <c r="DC35" s="51"/>
      <c r="DE35" s="52"/>
      <c r="DI35" s="51"/>
      <c r="DJ35" s="52"/>
      <c r="DN35" s="51"/>
      <c r="DO35" s="52"/>
      <c r="DS35" s="51"/>
      <c r="DT35" s="52"/>
      <c r="DX35" s="51"/>
      <c r="DY35" s="52"/>
      <c r="EC35" s="51"/>
      <c r="ED35" s="52"/>
      <c r="EH35" s="51"/>
      <c r="EI35" s="52"/>
      <c r="EM35" s="51"/>
      <c r="EN35" s="52"/>
      <c r="ER35" s="51"/>
      <c r="ES35" s="52"/>
      <c r="EW35" s="51"/>
      <c r="EX35" s="52"/>
      <c r="FB35" s="51"/>
      <c r="FC35" s="52"/>
      <c r="FG35" s="51"/>
      <c r="FH35" s="52"/>
      <c r="FL35" s="51"/>
      <c r="FM35" s="52"/>
      <c r="FQ35" s="51"/>
      <c r="FR35" s="52"/>
      <c r="FV35" s="51"/>
      <c r="FW35" s="52"/>
      <c r="GA35" s="51"/>
      <c r="GB35" s="52"/>
    </row>
    <row r="36" spans="3:184" x14ac:dyDescent="0.2">
      <c r="C36" s="51"/>
      <c r="D36" s="52"/>
      <c r="H36" s="51"/>
      <c r="I36" s="52"/>
      <c r="M36" s="51"/>
      <c r="N36" s="52"/>
      <c r="R36" s="51"/>
      <c r="S36" s="52"/>
      <c r="W36" s="51"/>
      <c r="X36" s="52"/>
      <c r="AB36" s="51"/>
      <c r="AC36" s="52"/>
      <c r="AG36" s="51"/>
      <c r="AH36" s="52"/>
      <c r="AL36" s="51"/>
      <c r="AM36" s="52"/>
      <c r="AQ36" s="51"/>
      <c r="AR36" s="52"/>
      <c r="AV36" s="51"/>
      <c r="AW36" s="52"/>
      <c r="BA36" s="51"/>
      <c r="BB36" s="52"/>
      <c r="BF36" s="51"/>
      <c r="BG36" s="52"/>
      <c r="BK36" s="51"/>
      <c r="BL36" s="52"/>
      <c r="BP36" s="51"/>
      <c r="BQ36" s="52"/>
      <c r="BU36" s="51"/>
      <c r="BV36" s="52"/>
      <c r="BZ36" s="51"/>
      <c r="CA36" s="52"/>
      <c r="CE36" s="51"/>
      <c r="CF36" s="52"/>
      <c r="CJ36" s="51"/>
      <c r="CK36" s="52"/>
      <c r="CO36" s="51"/>
      <c r="CP36" s="52"/>
      <c r="CT36" s="51"/>
      <c r="CU36" s="52"/>
      <c r="CY36" s="51"/>
      <c r="CZ36" s="52"/>
      <c r="DC36" s="51"/>
      <c r="DE36" s="52"/>
      <c r="DI36" s="51"/>
      <c r="DJ36" s="52"/>
      <c r="DN36" s="51"/>
      <c r="DO36" s="52"/>
      <c r="DS36" s="51"/>
      <c r="DT36" s="52"/>
      <c r="DX36" s="51"/>
      <c r="DY36" s="52"/>
      <c r="EC36" s="51"/>
      <c r="ED36" s="52"/>
      <c r="EH36" s="51"/>
      <c r="EI36" s="52"/>
      <c r="EM36" s="51"/>
      <c r="EN36" s="52"/>
      <c r="ER36" s="51"/>
      <c r="ES36" s="52"/>
      <c r="EW36" s="51"/>
      <c r="EX36" s="52"/>
      <c r="FB36" s="51"/>
      <c r="FC36" s="52"/>
      <c r="FG36" s="51"/>
      <c r="FH36" s="52"/>
      <c r="FL36" s="51"/>
      <c r="FM36" s="52"/>
      <c r="FQ36" s="51"/>
      <c r="FR36" s="52"/>
      <c r="FV36" s="51"/>
      <c r="FW36" s="52"/>
      <c r="GA36" s="51"/>
      <c r="GB36" s="52"/>
    </row>
    <row r="37" spans="3:184" x14ac:dyDescent="0.2">
      <c r="C37" s="51"/>
      <c r="D37" s="52"/>
      <c r="H37" s="51"/>
      <c r="I37" s="52"/>
      <c r="M37" s="51"/>
      <c r="N37" s="52"/>
      <c r="R37" s="51"/>
      <c r="S37" s="52"/>
      <c r="W37" s="51"/>
      <c r="X37" s="52"/>
      <c r="AB37" s="51"/>
      <c r="AC37" s="52"/>
      <c r="AG37" s="51"/>
      <c r="AH37" s="52"/>
      <c r="AL37" s="51"/>
      <c r="AM37" s="52"/>
      <c r="AQ37" s="51"/>
      <c r="AR37" s="52"/>
      <c r="AV37" s="51"/>
      <c r="AW37" s="52"/>
      <c r="BA37" s="51"/>
      <c r="BB37" s="52"/>
      <c r="BF37" s="51"/>
      <c r="BG37" s="52"/>
      <c r="BK37" s="51"/>
      <c r="BL37" s="52"/>
      <c r="BP37" s="51"/>
      <c r="BQ37" s="52"/>
      <c r="BU37" s="51"/>
      <c r="BV37" s="52"/>
      <c r="BZ37" s="51"/>
      <c r="CA37" s="52"/>
      <c r="CE37" s="51"/>
      <c r="CF37" s="52"/>
      <c r="CJ37" s="51"/>
      <c r="CK37" s="52"/>
      <c r="CO37" s="51"/>
      <c r="CP37" s="52"/>
      <c r="CT37" s="51"/>
      <c r="CU37" s="52"/>
      <c r="CY37" s="51"/>
      <c r="CZ37" s="52"/>
      <c r="DC37" s="51"/>
      <c r="DE37" s="52"/>
      <c r="DI37" s="51"/>
      <c r="DJ37" s="52"/>
      <c r="DN37" s="51"/>
      <c r="DO37" s="52"/>
      <c r="DS37" s="51"/>
      <c r="DT37" s="52"/>
      <c r="DX37" s="51"/>
      <c r="DY37" s="52"/>
      <c r="EC37" s="51"/>
      <c r="ED37" s="52"/>
      <c r="EH37" s="51"/>
      <c r="EI37" s="52"/>
      <c r="EM37" s="51"/>
      <c r="EN37" s="52"/>
      <c r="ER37" s="51"/>
      <c r="ES37" s="52"/>
      <c r="EW37" s="51"/>
      <c r="EX37" s="52"/>
      <c r="FB37" s="51"/>
      <c r="FC37" s="52"/>
      <c r="FG37" s="51"/>
      <c r="FH37" s="52"/>
      <c r="FL37" s="51"/>
      <c r="FM37" s="52"/>
      <c r="FQ37" s="51"/>
      <c r="FR37" s="52"/>
      <c r="FV37" s="51"/>
      <c r="FW37" s="52"/>
      <c r="GA37" s="51"/>
      <c r="GB37" s="52"/>
    </row>
    <row r="38" spans="3:184" x14ac:dyDescent="0.2">
      <c r="C38" s="51"/>
      <c r="D38" s="52"/>
      <c r="H38" s="51"/>
      <c r="I38" s="52"/>
      <c r="M38" s="51"/>
      <c r="N38" s="52"/>
      <c r="R38" s="51"/>
      <c r="S38" s="52"/>
      <c r="W38" s="51"/>
      <c r="X38" s="52"/>
      <c r="AB38" s="51"/>
      <c r="AC38" s="52"/>
      <c r="AG38" s="51"/>
      <c r="AH38" s="52"/>
      <c r="AL38" s="51"/>
      <c r="AM38" s="52"/>
      <c r="AQ38" s="51"/>
      <c r="AR38" s="52"/>
      <c r="AV38" s="51"/>
      <c r="AW38" s="52"/>
      <c r="BA38" s="51"/>
      <c r="BB38" s="52"/>
      <c r="BF38" s="51"/>
      <c r="BG38" s="52"/>
      <c r="BK38" s="51"/>
      <c r="BL38" s="52"/>
      <c r="BP38" s="51"/>
      <c r="BQ38" s="52"/>
      <c r="BU38" s="51"/>
      <c r="BV38" s="52"/>
      <c r="BZ38" s="51"/>
      <c r="CA38" s="52"/>
      <c r="CE38" s="51"/>
      <c r="CF38" s="52"/>
      <c r="CJ38" s="51"/>
      <c r="CK38" s="52"/>
      <c r="CO38" s="51"/>
      <c r="CP38" s="52"/>
      <c r="CT38" s="51"/>
      <c r="CU38" s="52"/>
      <c r="CY38" s="51"/>
      <c r="CZ38" s="52"/>
      <c r="DC38" s="51"/>
      <c r="DE38" s="52"/>
      <c r="DI38" s="51"/>
      <c r="DJ38" s="52"/>
      <c r="DN38" s="51"/>
      <c r="DO38" s="52"/>
      <c r="DS38" s="51"/>
      <c r="DT38" s="52"/>
      <c r="DX38" s="51"/>
      <c r="DY38" s="52"/>
      <c r="EC38" s="51"/>
      <c r="ED38" s="52"/>
      <c r="EH38" s="51"/>
      <c r="EI38" s="52"/>
      <c r="EM38" s="51"/>
      <c r="EN38" s="52"/>
      <c r="ER38" s="51"/>
      <c r="ES38" s="52"/>
      <c r="EW38" s="51"/>
      <c r="EX38" s="52"/>
      <c r="FB38" s="51"/>
      <c r="FC38" s="52"/>
      <c r="FG38" s="51"/>
      <c r="FH38" s="52"/>
      <c r="FL38" s="51"/>
      <c r="FM38" s="52"/>
      <c r="FQ38" s="51"/>
      <c r="FR38" s="52"/>
      <c r="FV38" s="51"/>
      <c r="FW38" s="52"/>
      <c r="GA38" s="51"/>
      <c r="GB38" s="52"/>
    </row>
    <row r="39" spans="3:184" x14ac:dyDescent="0.2">
      <c r="C39" s="51"/>
      <c r="D39" s="52"/>
      <c r="H39" s="51"/>
      <c r="I39" s="52"/>
      <c r="M39" s="51"/>
      <c r="N39" s="52"/>
      <c r="R39" s="51"/>
      <c r="S39" s="52"/>
      <c r="W39" s="51"/>
      <c r="X39" s="52"/>
      <c r="AB39" s="51"/>
      <c r="AC39" s="52"/>
      <c r="AG39" s="51"/>
      <c r="AH39" s="52"/>
      <c r="AL39" s="51"/>
      <c r="AM39" s="52"/>
      <c r="AQ39" s="51"/>
      <c r="AR39" s="52"/>
      <c r="AV39" s="51"/>
      <c r="AW39" s="52"/>
      <c r="BA39" s="51"/>
      <c r="BB39" s="52"/>
      <c r="BF39" s="51"/>
      <c r="BG39" s="52"/>
      <c r="BK39" s="51"/>
      <c r="BL39" s="52"/>
      <c r="BP39" s="51"/>
      <c r="BQ39" s="52"/>
      <c r="BU39" s="51"/>
      <c r="BV39" s="52"/>
      <c r="BZ39" s="51"/>
      <c r="CA39" s="52"/>
      <c r="CE39" s="51"/>
      <c r="CF39" s="52"/>
      <c r="CJ39" s="51"/>
      <c r="CK39" s="52"/>
      <c r="CO39" s="51"/>
      <c r="CP39" s="52"/>
      <c r="CT39" s="51"/>
      <c r="CU39" s="52"/>
      <c r="CY39" s="51"/>
      <c r="CZ39" s="52"/>
      <c r="DC39" s="51"/>
      <c r="DE39" s="52"/>
      <c r="DI39" s="51"/>
      <c r="DJ39" s="52"/>
      <c r="DN39" s="51"/>
      <c r="DO39" s="52"/>
      <c r="DS39" s="51"/>
      <c r="DT39" s="52"/>
      <c r="DX39" s="51"/>
      <c r="DY39" s="52"/>
      <c r="EC39" s="51"/>
      <c r="ED39" s="52"/>
      <c r="EH39" s="51"/>
      <c r="EI39" s="52"/>
      <c r="EM39" s="51"/>
      <c r="EN39" s="52"/>
      <c r="ER39" s="51"/>
      <c r="ES39" s="52"/>
      <c r="EW39" s="51"/>
      <c r="EX39" s="52"/>
      <c r="FB39" s="51"/>
      <c r="FC39" s="52"/>
      <c r="FG39" s="51"/>
      <c r="FH39" s="52"/>
      <c r="FL39" s="51"/>
      <c r="FM39" s="52"/>
      <c r="FQ39" s="51"/>
      <c r="FR39" s="52"/>
      <c r="FV39" s="51"/>
      <c r="FW39" s="52"/>
      <c r="GA39" s="51"/>
      <c r="GB39" s="52"/>
    </row>
    <row r="40" spans="3:184" x14ac:dyDescent="0.2">
      <c r="C40" s="51"/>
      <c r="D40" s="52"/>
      <c r="H40" s="51"/>
      <c r="I40" s="52"/>
      <c r="M40" s="51"/>
      <c r="N40" s="52"/>
      <c r="R40" s="51"/>
      <c r="S40" s="52"/>
      <c r="W40" s="51"/>
      <c r="X40" s="52"/>
      <c r="AB40" s="51"/>
      <c r="AC40" s="52"/>
      <c r="AG40" s="51"/>
      <c r="AH40" s="52"/>
      <c r="AL40" s="51"/>
      <c r="AM40" s="52"/>
      <c r="AQ40" s="51"/>
      <c r="AR40" s="52"/>
      <c r="AV40" s="51"/>
      <c r="AW40" s="52"/>
      <c r="BA40" s="51"/>
      <c r="BB40" s="52"/>
      <c r="BF40" s="51"/>
      <c r="BG40" s="52"/>
      <c r="BK40" s="51"/>
      <c r="BL40" s="52"/>
      <c r="BP40" s="51"/>
      <c r="BQ40" s="52"/>
      <c r="BU40" s="51"/>
      <c r="BV40" s="52"/>
      <c r="BZ40" s="51"/>
      <c r="CA40" s="52"/>
      <c r="CE40" s="51"/>
      <c r="CF40" s="52"/>
      <c r="CJ40" s="51"/>
      <c r="CK40" s="52"/>
      <c r="CO40" s="51"/>
      <c r="CP40" s="52"/>
      <c r="CT40" s="51"/>
      <c r="CU40" s="52"/>
      <c r="CY40" s="51"/>
      <c r="CZ40" s="52"/>
      <c r="DC40" s="51"/>
      <c r="DE40" s="52"/>
      <c r="DI40" s="51"/>
      <c r="DJ40" s="52"/>
      <c r="DN40" s="51"/>
      <c r="DO40" s="52"/>
      <c r="DS40" s="51"/>
      <c r="DT40" s="52"/>
      <c r="DX40" s="51"/>
      <c r="DY40" s="52"/>
      <c r="EC40" s="51"/>
      <c r="ED40" s="52"/>
      <c r="EH40" s="51"/>
      <c r="EI40" s="52"/>
      <c r="EM40" s="51"/>
      <c r="EN40" s="52"/>
      <c r="ER40" s="51"/>
      <c r="ES40" s="52"/>
      <c r="EW40" s="51"/>
      <c r="EX40" s="52"/>
      <c r="FB40" s="51"/>
      <c r="FC40" s="52"/>
      <c r="FG40" s="51"/>
      <c r="FH40" s="52"/>
      <c r="FL40" s="51"/>
      <c r="FM40" s="52"/>
      <c r="FQ40" s="51"/>
      <c r="FR40" s="52"/>
      <c r="FV40" s="51"/>
      <c r="FW40" s="52"/>
      <c r="GA40" s="51"/>
      <c r="GB40" s="52"/>
    </row>
    <row r="41" spans="3:184" x14ac:dyDescent="0.2">
      <c r="C41" s="51"/>
      <c r="D41" s="52"/>
      <c r="H41" s="51"/>
      <c r="I41" s="52"/>
      <c r="M41" s="51"/>
      <c r="N41" s="52"/>
      <c r="R41" s="51"/>
      <c r="S41" s="52"/>
      <c r="W41" s="51"/>
      <c r="X41" s="52"/>
      <c r="AB41" s="51"/>
      <c r="AC41" s="52"/>
      <c r="AG41" s="51"/>
      <c r="AH41" s="52"/>
      <c r="AL41" s="51"/>
      <c r="AM41" s="52"/>
      <c r="AQ41" s="51"/>
      <c r="AR41" s="52"/>
      <c r="AV41" s="51"/>
      <c r="AW41" s="52"/>
      <c r="BA41" s="51"/>
      <c r="BB41" s="52"/>
      <c r="BF41" s="51"/>
      <c r="BG41" s="52"/>
      <c r="BK41" s="51"/>
      <c r="BL41" s="52"/>
      <c r="BP41" s="51"/>
      <c r="BQ41" s="52"/>
      <c r="BU41" s="51"/>
      <c r="BV41" s="52"/>
      <c r="BZ41" s="51"/>
      <c r="CA41" s="52"/>
      <c r="CE41" s="51"/>
      <c r="CF41" s="52"/>
      <c r="CJ41" s="51"/>
      <c r="CK41" s="52"/>
      <c r="CO41" s="51"/>
      <c r="CP41" s="52"/>
      <c r="CT41" s="51"/>
      <c r="CU41" s="52"/>
      <c r="CY41" s="51"/>
      <c r="CZ41" s="52"/>
      <c r="DC41" s="51"/>
      <c r="DE41" s="52"/>
      <c r="DI41" s="51"/>
      <c r="DJ41" s="52"/>
      <c r="DN41" s="51"/>
      <c r="DO41" s="52"/>
      <c r="DS41" s="51"/>
      <c r="DT41" s="52"/>
      <c r="DX41" s="51"/>
      <c r="DY41" s="52"/>
      <c r="EC41" s="51"/>
      <c r="ED41" s="52"/>
      <c r="EH41" s="51"/>
      <c r="EI41" s="52"/>
      <c r="EM41" s="51"/>
      <c r="EN41" s="52"/>
      <c r="ER41" s="51"/>
      <c r="ES41" s="52"/>
      <c r="EW41" s="51"/>
      <c r="EX41" s="52"/>
      <c r="FB41" s="51"/>
      <c r="FC41" s="52"/>
      <c r="FG41" s="51"/>
      <c r="FH41" s="52"/>
      <c r="FL41" s="51"/>
      <c r="FM41" s="52"/>
      <c r="FQ41" s="51"/>
      <c r="FR41" s="52"/>
      <c r="FV41" s="51"/>
      <c r="FW41" s="52"/>
      <c r="GA41" s="51"/>
      <c r="GB41" s="52"/>
    </row>
    <row r="42" spans="3:184" x14ac:dyDescent="0.2">
      <c r="C42" s="51"/>
      <c r="D42" s="52"/>
      <c r="H42" s="51"/>
      <c r="I42" s="52"/>
      <c r="M42" s="51"/>
      <c r="N42" s="52"/>
      <c r="R42" s="51"/>
      <c r="S42" s="52"/>
      <c r="W42" s="51"/>
      <c r="X42" s="52"/>
      <c r="AB42" s="51"/>
      <c r="AC42" s="52"/>
      <c r="AG42" s="51"/>
      <c r="AH42" s="52"/>
      <c r="AL42" s="51"/>
      <c r="AM42" s="52"/>
      <c r="AQ42" s="51"/>
      <c r="AR42" s="52"/>
      <c r="AV42" s="51"/>
      <c r="AW42" s="52"/>
      <c r="BA42" s="51"/>
      <c r="BB42" s="52"/>
      <c r="BF42" s="51"/>
      <c r="BG42" s="52"/>
      <c r="BK42" s="51"/>
      <c r="BL42" s="52"/>
      <c r="BP42" s="51"/>
      <c r="BQ42" s="52"/>
      <c r="BU42" s="51"/>
      <c r="BV42" s="52"/>
      <c r="BZ42" s="51"/>
      <c r="CA42" s="52"/>
      <c r="CE42" s="51"/>
      <c r="CF42" s="52"/>
      <c r="CJ42" s="51"/>
      <c r="CK42" s="52"/>
      <c r="CO42" s="51"/>
      <c r="CP42" s="52"/>
      <c r="CT42" s="51"/>
      <c r="CU42" s="52"/>
      <c r="CY42" s="51"/>
      <c r="CZ42" s="52"/>
      <c r="DC42" s="51"/>
      <c r="DE42" s="52"/>
      <c r="DI42" s="51"/>
      <c r="DJ42" s="52"/>
      <c r="DN42" s="51"/>
      <c r="DO42" s="52"/>
      <c r="DS42" s="51"/>
      <c r="DT42" s="52"/>
      <c r="DX42" s="51"/>
      <c r="DY42" s="52"/>
      <c r="EC42" s="51"/>
      <c r="ED42" s="52"/>
      <c r="EH42" s="51"/>
      <c r="EI42" s="52"/>
      <c r="EM42" s="51"/>
      <c r="EN42" s="52"/>
      <c r="ER42" s="51"/>
      <c r="ES42" s="52"/>
      <c r="EW42" s="51"/>
      <c r="EX42" s="52"/>
      <c r="FB42" s="51"/>
      <c r="FC42" s="52"/>
      <c r="FG42" s="51"/>
      <c r="FH42" s="52"/>
      <c r="FL42" s="51"/>
      <c r="FM42" s="52"/>
      <c r="FQ42" s="51"/>
      <c r="FR42" s="52"/>
      <c r="FV42" s="51"/>
      <c r="FW42" s="52"/>
      <c r="GA42" s="51"/>
      <c r="GB42" s="52"/>
    </row>
    <row r="43" spans="3:184" x14ac:dyDescent="0.2">
      <c r="C43" s="51"/>
      <c r="D43" s="52"/>
      <c r="H43" s="51"/>
      <c r="I43" s="52"/>
      <c r="M43" s="51"/>
      <c r="N43" s="52"/>
      <c r="R43" s="51"/>
      <c r="S43" s="52"/>
      <c r="W43" s="51"/>
      <c r="X43" s="52"/>
      <c r="AB43" s="51"/>
      <c r="AC43" s="52"/>
      <c r="AG43" s="51"/>
      <c r="AH43" s="52"/>
      <c r="AL43" s="51"/>
      <c r="AM43" s="52"/>
      <c r="AQ43" s="51"/>
      <c r="AR43" s="52"/>
      <c r="AV43" s="51"/>
      <c r="AW43" s="52"/>
      <c r="BA43" s="51"/>
      <c r="BB43" s="52"/>
      <c r="BF43" s="51"/>
      <c r="BG43" s="52"/>
      <c r="BK43" s="51"/>
      <c r="BL43" s="52"/>
      <c r="BP43" s="51"/>
      <c r="BQ43" s="52"/>
      <c r="BU43" s="51"/>
      <c r="BV43" s="52"/>
      <c r="BZ43" s="51"/>
      <c r="CA43" s="52"/>
      <c r="CE43" s="51"/>
      <c r="CF43" s="52"/>
      <c r="CJ43" s="51"/>
      <c r="CK43" s="52"/>
      <c r="CO43" s="51"/>
      <c r="CP43" s="52"/>
      <c r="CT43" s="51"/>
      <c r="CU43" s="52"/>
      <c r="CY43" s="51"/>
      <c r="CZ43" s="52"/>
      <c r="DC43" s="51"/>
      <c r="DE43" s="52"/>
      <c r="DI43" s="51"/>
      <c r="DJ43" s="52"/>
      <c r="DN43" s="51"/>
      <c r="DO43" s="52"/>
      <c r="DS43" s="51"/>
      <c r="DT43" s="52"/>
      <c r="DX43" s="51"/>
      <c r="DY43" s="52"/>
      <c r="EC43" s="51"/>
      <c r="ED43" s="52"/>
      <c r="EH43" s="51"/>
      <c r="EI43" s="52"/>
      <c r="EM43" s="51"/>
      <c r="EN43" s="52"/>
      <c r="ER43" s="51"/>
      <c r="ES43" s="52"/>
      <c r="EW43" s="51"/>
      <c r="EX43" s="52"/>
      <c r="FB43" s="51"/>
      <c r="FC43" s="52"/>
      <c r="FG43" s="51"/>
      <c r="FH43" s="52"/>
      <c r="FL43" s="51"/>
      <c r="FM43" s="52"/>
      <c r="FQ43" s="51"/>
      <c r="FR43" s="52"/>
      <c r="FV43" s="51"/>
      <c r="FW43" s="52"/>
      <c r="GA43" s="51"/>
      <c r="GB43" s="52"/>
    </row>
    <row r="44" spans="3:184" x14ac:dyDescent="0.2">
      <c r="C44" s="51"/>
      <c r="D44" s="52"/>
      <c r="H44" s="51"/>
      <c r="I44" s="52"/>
      <c r="M44" s="51"/>
      <c r="N44" s="52"/>
      <c r="R44" s="51"/>
      <c r="S44" s="52"/>
      <c r="W44" s="51"/>
      <c r="X44" s="52"/>
      <c r="AB44" s="51"/>
      <c r="AC44" s="52"/>
      <c r="AG44" s="51"/>
      <c r="AH44" s="52"/>
      <c r="AL44" s="51"/>
      <c r="AM44" s="52"/>
      <c r="AQ44" s="51"/>
      <c r="AR44" s="52"/>
      <c r="AV44" s="51"/>
      <c r="AW44" s="52"/>
      <c r="BA44" s="51"/>
      <c r="BB44" s="52"/>
      <c r="BF44" s="51"/>
      <c r="BG44" s="52"/>
      <c r="BK44" s="51"/>
      <c r="BL44" s="52"/>
      <c r="BP44" s="51"/>
      <c r="BQ44" s="52"/>
      <c r="BU44" s="51"/>
      <c r="BV44" s="52"/>
      <c r="BZ44" s="51"/>
      <c r="CA44" s="52"/>
      <c r="CE44" s="51"/>
      <c r="CF44" s="52"/>
      <c r="CJ44" s="51"/>
      <c r="CK44" s="52"/>
      <c r="CO44" s="51"/>
      <c r="CP44" s="52"/>
      <c r="CT44" s="51"/>
      <c r="CU44" s="52"/>
      <c r="CY44" s="51"/>
      <c r="CZ44" s="52"/>
      <c r="DC44" s="51"/>
      <c r="DE44" s="52"/>
      <c r="DI44" s="51"/>
      <c r="DJ44" s="52"/>
      <c r="DN44" s="51"/>
      <c r="DO44" s="52"/>
      <c r="DS44" s="51"/>
      <c r="DT44" s="52"/>
      <c r="DX44" s="51"/>
      <c r="DY44" s="52"/>
      <c r="EC44" s="51"/>
      <c r="ED44" s="52"/>
      <c r="EH44" s="51"/>
      <c r="EI44" s="52"/>
      <c r="EM44" s="51"/>
      <c r="EN44" s="52"/>
      <c r="ER44" s="51"/>
      <c r="ES44" s="52"/>
      <c r="EW44" s="51"/>
      <c r="EX44" s="52"/>
      <c r="FB44" s="51"/>
      <c r="FC44" s="52"/>
      <c r="FG44" s="51"/>
      <c r="FH44" s="52"/>
      <c r="FL44" s="51"/>
      <c r="FM44" s="52"/>
      <c r="FQ44" s="51"/>
      <c r="FR44" s="52"/>
      <c r="FV44" s="51"/>
      <c r="FW44" s="52"/>
      <c r="GA44" s="51"/>
      <c r="GB44" s="52"/>
    </row>
    <row r="45" spans="3:184" x14ac:dyDescent="0.2">
      <c r="C45" s="51"/>
      <c r="D45" s="52"/>
      <c r="H45" s="51"/>
      <c r="I45" s="52"/>
      <c r="M45" s="51"/>
      <c r="N45" s="52"/>
      <c r="R45" s="51"/>
      <c r="S45" s="52"/>
      <c r="W45" s="51"/>
      <c r="X45" s="52"/>
      <c r="AB45" s="51"/>
      <c r="AC45" s="52"/>
      <c r="AG45" s="51"/>
      <c r="AH45" s="52"/>
      <c r="AL45" s="51"/>
      <c r="AM45" s="52"/>
      <c r="AQ45" s="51"/>
      <c r="AR45" s="52"/>
      <c r="AV45" s="51"/>
      <c r="AW45" s="52"/>
      <c r="BA45" s="51"/>
      <c r="BB45" s="52"/>
      <c r="BF45" s="51"/>
      <c r="BG45" s="52"/>
      <c r="BK45" s="51"/>
      <c r="BL45" s="52"/>
      <c r="BP45" s="51"/>
      <c r="BQ45" s="52"/>
      <c r="BU45" s="51"/>
      <c r="BV45" s="52"/>
      <c r="BZ45" s="51"/>
      <c r="CA45" s="52"/>
      <c r="CE45" s="51"/>
      <c r="CF45" s="52"/>
      <c r="CJ45" s="51"/>
      <c r="CK45" s="52"/>
      <c r="CO45" s="51"/>
      <c r="CP45" s="52"/>
      <c r="CT45" s="51"/>
      <c r="CU45" s="52"/>
      <c r="CY45" s="51"/>
      <c r="CZ45" s="52"/>
      <c r="DC45" s="51"/>
      <c r="DE45" s="52"/>
      <c r="DI45" s="51"/>
      <c r="DJ45" s="52"/>
      <c r="DN45" s="51"/>
      <c r="DO45" s="52"/>
      <c r="DS45" s="51"/>
      <c r="DT45" s="52"/>
      <c r="DX45" s="51"/>
      <c r="DY45" s="52"/>
      <c r="EC45" s="51"/>
      <c r="ED45" s="52"/>
      <c r="EH45" s="51"/>
      <c r="EI45" s="52"/>
      <c r="EM45" s="51"/>
      <c r="EN45" s="52"/>
      <c r="ER45" s="51"/>
      <c r="ES45" s="52"/>
      <c r="EW45" s="51"/>
      <c r="EX45" s="52"/>
      <c r="FB45" s="51"/>
      <c r="FC45" s="52"/>
      <c r="FG45" s="51"/>
      <c r="FH45" s="52"/>
      <c r="FL45" s="51"/>
      <c r="FM45" s="52"/>
      <c r="FQ45" s="51"/>
      <c r="FR45" s="52"/>
      <c r="FV45" s="51"/>
      <c r="FW45" s="52"/>
      <c r="GA45" s="51"/>
      <c r="GB45" s="52"/>
    </row>
    <row r="46" spans="3:184" x14ac:dyDescent="0.2">
      <c r="C46" s="51"/>
      <c r="D46" s="52"/>
      <c r="H46" s="51"/>
      <c r="I46" s="52"/>
      <c r="M46" s="51"/>
      <c r="N46" s="52"/>
      <c r="R46" s="51"/>
      <c r="S46" s="52"/>
      <c r="W46" s="51"/>
      <c r="X46" s="52"/>
      <c r="AB46" s="51"/>
      <c r="AC46" s="52"/>
      <c r="AG46" s="51"/>
      <c r="AH46" s="52"/>
      <c r="AL46" s="51"/>
      <c r="AM46" s="52"/>
      <c r="AQ46" s="51"/>
      <c r="AR46" s="52"/>
      <c r="AV46" s="51"/>
      <c r="AW46" s="52"/>
      <c r="BA46" s="51"/>
      <c r="BB46" s="52"/>
      <c r="BF46" s="51"/>
      <c r="BG46" s="52"/>
      <c r="BK46" s="51"/>
      <c r="BL46" s="52"/>
      <c r="BP46" s="51"/>
      <c r="BQ46" s="52"/>
      <c r="BU46" s="51"/>
      <c r="BV46" s="52"/>
      <c r="BZ46" s="51"/>
      <c r="CA46" s="52"/>
      <c r="CE46" s="51"/>
      <c r="CF46" s="52"/>
      <c r="CJ46" s="51"/>
      <c r="CK46" s="52"/>
      <c r="CO46" s="51"/>
      <c r="CP46" s="52"/>
      <c r="CT46" s="51"/>
      <c r="CU46" s="52"/>
      <c r="CY46" s="51"/>
      <c r="CZ46" s="52"/>
      <c r="DC46" s="51"/>
      <c r="DE46" s="52"/>
      <c r="DI46" s="51"/>
      <c r="DJ46" s="52"/>
      <c r="DN46" s="51"/>
      <c r="DO46" s="52"/>
      <c r="DS46" s="51"/>
      <c r="DT46" s="52"/>
      <c r="DX46" s="51"/>
      <c r="DY46" s="52"/>
      <c r="EC46" s="51"/>
      <c r="ED46" s="52"/>
      <c r="EH46" s="51"/>
      <c r="EI46" s="52"/>
      <c r="EM46" s="51"/>
      <c r="EN46" s="52"/>
      <c r="ER46" s="51"/>
      <c r="ES46" s="52"/>
      <c r="EW46" s="51"/>
      <c r="EX46" s="52"/>
      <c r="FB46" s="51"/>
      <c r="FC46" s="52"/>
      <c r="FG46" s="51"/>
      <c r="FH46" s="52"/>
      <c r="FL46" s="51"/>
      <c r="FM46" s="52"/>
      <c r="FQ46" s="51"/>
      <c r="FR46" s="52"/>
      <c r="FV46" s="51"/>
      <c r="FW46" s="52"/>
      <c r="GA46" s="51"/>
      <c r="GB46" s="52"/>
    </row>
    <row r="47" spans="3:184" x14ac:dyDescent="0.2">
      <c r="C47" s="51"/>
      <c r="D47" s="52"/>
      <c r="H47" s="51"/>
      <c r="I47" s="52"/>
      <c r="M47" s="51"/>
      <c r="N47" s="52"/>
      <c r="R47" s="51"/>
      <c r="S47" s="52"/>
      <c r="W47" s="51"/>
      <c r="X47" s="52"/>
      <c r="AB47" s="51"/>
      <c r="AC47" s="52"/>
      <c r="AG47" s="51"/>
      <c r="AH47" s="52"/>
      <c r="AL47" s="51"/>
      <c r="AM47" s="52"/>
      <c r="AQ47" s="51"/>
      <c r="AR47" s="52"/>
      <c r="AV47" s="51"/>
      <c r="AW47" s="52"/>
      <c r="BA47" s="51"/>
      <c r="BB47" s="52"/>
      <c r="BF47" s="51"/>
      <c r="BG47" s="52"/>
      <c r="BK47" s="51"/>
      <c r="BL47" s="52"/>
      <c r="BP47" s="51"/>
      <c r="BQ47" s="52"/>
      <c r="BU47" s="51"/>
      <c r="BV47" s="52"/>
      <c r="BZ47" s="51"/>
      <c r="CA47" s="52"/>
      <c r="CE47" s="51"/>
      <c r="CF47" s="52"/>
      <c r="CJ47" s="51"/>
      <c r="CK47" s="52"/>
      <c r="CO47" s="51"/>
      <c r="CP47" s="52"/>
      <c r="CT47" s="51"/>
      <c r="CU47" s="52"/>
      <c r="CY47" s="51"/>
      <c r="CZ47" s="52"/>
      <c r="DC47" s="51"/>
      <c r="DE47" s="52"/>
      <c r="DI47" s="51"/>
      <c r="DJ47" s="52"/>
      <c r="DN47" s="51"/>
      <c r="DO47" s="52"/>
      <c r="DS47" s="51"/>
      <c r="DT47" s="52"/>
      <c r="DX47" s="51"/>
      <c r="DY47" s="52"/>
      <c r="EC47" s="51"/>
      <c r="ED47" s="52"/>
      <c r="EH47" s="51"/>
      <c r="EI47" s="52"/>
      <c r="EM47" s="51"/>
      <c r="EN47" s="52"/>
      <c r="ER47" s="51"/>
      <c r="ES47" s="52"/>
      <c r="EW47" s="51"/>
      <c r="EX47" s="52"/>
      <c r="FB47" s="51"/>
      <c r="FC47" s="52"/>
      <c r="FG47" s="51"/>
      <c r="FH47" s="52"/>
      <c r="FL47" s="51"/>
      <c r="FM47" s="52"/>
      <c r="FQ47" s="51"/>
      <c r="FR47" s="52"/>
      <c r="FV47" s="51"/>
      <c r="FW47" s="52"/>
      <c r="GA47" s="51"/>
      <c r="GB47" s="52"/>
    </row>
    <row r="48" spans="3:184" x14ac:dyDescent="0.2">
      <c r="C48" s="51"/>
      <c r="D48" s="52"/>
      <c r="H48" s="51"/>
      <c r="I48" s="52"/>
      <c r="M48" s="51"/>
      <c r="N48" s="52"/>
      <c r="R48" s="51"/>
      <c r="S48" s="52"/>
      <c r="W48" s="51"/>
      <c r="X48" s="52"/>
      <c r="AB48" s="51"/>
      <c r="AC48" s="52"/>
      <c r="AG48" s="51"/>
      <c r="AH48" s="52"/>
      <c r="AL48" s="51"/>
      <c r="AM48" s="52"/>
      <c r="AQ48" s="51"/>
      <c r="AR48" s="52"/>
      <c r="AV48" s="51"/>
      <c r="AW48" s="52"/>
      <c r="BA48" s="51"/>
      <c r="BB48" s="52"/>
      <c r="BF48" s="51"/>
      <c r="BG48" s="52"/>
      <c r="BK48" s="51"/>
      <c r="BL48" s="52"/>
      <c r="BP48" s="51"/>
      <c r="BQ48" s="52"/>
      <c r="BU48" s="51"/>
      <c r="BV48" s="52"/>
      <c r="BZ48" s="51"/>
      <c r="CA48" s="52"/>
      <c r="CE48" s="51"/>
      <c r="CF48" s="52"/>
      <c r="CJ48" s="51"/>
      <c r="CK48" s="52"/>
      <c r="CO48" s="51"/>
      <c r="CP48" s="52"/>
      <c r="CT48" s="51"/>
      <c r="CU48" s="52"/>
      <c r="CY48" s="51"/>
      <c r="CZ48" s="52"/>
      <c r="DC48" s="51"/>
      <c r="DE48" s="52"/>
      <c r="DI48" s="51"/>
      <c r="DJ48" s="52"/>
      <c r="DN48" s="51"/>
      <c r="DO48" s="52"/>
      <c r="DS48" s="51"/>
      <c r="DT48" s="52"/>
      <c r="DX48" s="51"/>
      <c r="DY48" s="52"/>
      <c r="EC48" s="51"/>
      <c r="ED48" s="52"/>
      <c r="EH48" s="51"/>
      <c r="EI48" s="52"/>
      <c r="EM48" s="51"/>
      <c r="EN48" s="52"/>
      <c r="ER48" s="51"/>
      <c r="ES48" s="52"/>
      <c r="EW48" s="51"/>
      <c r="EX48" s="52"/>
      <c r="FB48" s="51"/>
      <c r="FC48" s="52"/>
      <c r="FG48" s="51"/>
      <c r="FH48" s="52"/>
      <c r="FL48" s="51"/>
      <c r="FM48" s="52"/>
      <c r="FQ48" s="51"/>
      <c r="FR48" s="52"/>
      <c r="FV48" s="51"/>
      <c r="FW48" s="52"/>
      <c r="GA48" s="51"/>
      <c r="GB48" s="52"/>
    </row>
    <row r="49" spans="3:184" x14ac:dyDescent="0.2">
      <c r="C49" s="51"/>
      <c r="D49" s="52"/>
      <c r="H49" s="51"/>
      <c r="I49" s="52"/>
      <c r="M49" s="51"/>
      <c r="N49" s="52"/>
      <c r="R49" s="51"/>
      <c r="S49" s="52"/>
      <c r="W49" s="51"/>
      <c r="X49" s="52"/>
      <c r="AB49" s="51"/>
      <c r="AC49" s="52"/>
      <c r="AG49" s="51"/>
      <c r="AH49" s="52"/>
      <c r="AL49" s="51"/>
      <c r="AM49" s="52"/>
      <c r="AQ49" s="51"/>
      <c r="AR49" s="52"/>
      <c r="AV49" s="51"/>
      <c r="AW49" s="52"/>
      <c r="BA49" s="51"/>
      <c r="BB49" s="52"/>
      <c r="BF49" s="51"/>
      <c r="BG49" s="52"/>
      <c r="BK49" s="51"/>
      <c r="BL49" s="52"/>
      <c r="BP49" s="51"/>
      <c r="BQ49" s="52"/>
      <c r="BU49" s="51"/>
      <c r="BV49" s="52"/>
      <c r="BZ49" s="51"/>
      <c r="CA49" s="52"/>
      <c r="CE49" s="51"/>
      <c r="CF49" s="52"/>
      <c r="CJ49" s="51"/>
      <c r="CK49" s="52"/>
      <c r="CO49" s="51"/>
      <c r="CP49" s="52"/>
      <c r="CT49" s="51"/>
      <c r="CU49" s="52"/>
      <c r="CY49" s="51"/>
      <c r="CZ49" s="52"/>
      <c r="DC49" s="51"/>
      <c r="DE49" s="52"/>
      <c r="DI49" s="51"/>
      <c r="DJ49" s="52"/>
      <c r="DN49" s="51"/>
      <c r="DO49" s="52"/>
      <c r="DS49" s="51"/>
      <c r="DT49" s="52"/>
      <c r="DX49" s="51"/>
      <c r="DY49" s="52"/>
      <c r="EC49" s="51"/>
      <c r="ED49" s="52"/>
      <c r="EH49" s="51"/>
      <c r="EI49" s="52"/>
      <c r="EM49" s="51"/>
      <c r="EN49" s="52"/>
      <c r="ER49" s="51"/>
      <c r="ES49" s="52"/>
      <c r="EW49" s="51"/>
      <c r="EX49" s="52"/>
      <c r="FB49" s="51"/>
      <c r="FC49" s="52"/>
      <c r="FG49" s="51"/>
      <c r="FH49" s="52"/>
      <c r="FL49" s="51"/>
      <c r="FM49" s="52"/>
      <c r="FQ49" s="51"/>
      <c r="FR49" s="52"/>
      <c r="FV49" s="51"/>
      <c r="FW49" s="52"/>
      <c r="GA49" s="51"/>
      <c r="GB49" s="52"/>
    </row>
    <row r="50" spans="3:184" x14ac:dyDescent="0.2">
      <c r="C50" s="51"/>
      <c r="D50" s="52"/>
      <c r="H50" s="51"/>
      <c r="I50" s="52"/>
      <c r="M50" s="51"/>
      <c r="N50" s="52"/>
      <c r="R50" s="51"/>
      <c r="S50" s="52"/>
      <c r="W50" s="51"/>
      <c r="X50" s="52"/>
      <c r="AB50" s="51"/>
      <c r="AC50" s="52"/>
      <c r="AG50" s="51"/>
      <c r="AH50" s="52"/>
      <c r="AL50" s="51"/>
      <c r="AM50" s="52"/>
      <c r="AQ50" s="51"/>
      <c r="AR50" s="52"/>
      <c r="AV50" s="51"/>
      <c r="AW50" s="52"/>
      <c r="BA50" s="51"/>
      <c r="BB50" s="52"/>
      <c r="BF50" s="51"/>
      <c r="BG50" s="52"/>
      <c r="BK50" s="51"/>
      <c r="BL50" s="52"/>
      <c r="BP50" s="51"/>
      <c r="BQ50" s="52"/>
      <c r="BU50" s="51"/>
      <c r="BV50" s="52"/>
      <c r="BZ50" s="51"/>
      <c r="CA50" s="52"/>
      <c r="CE50" s="51"/>
      <c r="CF50" s="52"/>
      <c r="CJ50" s="51"/>
      <c r="CK50" s="52"/>
      <c r="CO50" s="51"/>
      <c r="CP50" s="52"/>
      <c r="CT50" s="51"/>
      <c r="CU50" s="52"/>
      <c r="CY50" s="51"/>
      <c r="CZ50" s="52"/>
      <c r="DC50" s="51"/>
      <c r="DE50" s="52"/>
      <c r="DI50" s="51"/>
      <c r="DJ50" s="52"/>
      <c r="DN50" s="51"/>
      <c r="DO50" s="52"/>
      <c r="DS50" s="51"/>
      <c r="DT50" s="52"/>
      <c r="DX50" s="51"/>
      <c r="DY50" s="52"/>
      <c r="EC50" s="51"/>
      <c r="ED50" s="52"/>
      <c r="EH50" s="51"/>
      <c r="EI50" s="52"/>
      <c r="EM50" s="51"/>
      <c r="EN50" s="52"/>
      <c r="ER50" s="51"/>
      <c r="ES50" s="52"/>
      <c r="EW50" s="51"/>
      <c r="EX50" s="52"/>
      <c r="FB50" s="51"/>
      <c r="FC50" s="52"/>
      <c r="FG50" s="51"/>
      <c r="FH50" s="52"/>
      <c r="FL50" s="51"/>
      <c r="FM50" s="52"/>
      <c r="FQ50" s="51"/>
      <c r="FR50" s="52"/>
      <c r="FV50" s="51"/>
      <c r="FW50" s="52"/>
      <c r="GA50" s="51"/>
      <c r="GB50" s="52"/>
    </row>
    <row r="51" spans="3:184" x14ac:dyDescent="0.2">
      <c r="C51" s="51"/>
      <c r="D51" s="52"/>
      <c r="H51" s="51"/>
      <c r="I51" s="52"/>
      <c r="M51" s="51"/>
      <c r="N51" s="52"/>
      <c r="R51" s="51"/>
      <c r="S51" s="52"/>
      <c r="W51" s="51"/>
      <c r="X51" s="52"/>
      <c r="AB51" s="51"/>
      <c r="AC51" s="52"/>
      <c r="AG51" s="51"/>
      <c r="AH51" s="52"/>
      <c r="AL51" s="51"/>
      <c r="AM51" s="52"/>
      <c r="AQ51" s="51"/>
      <c r="AR51" s="52"/>
      <c r="AV51" s="51"/>
      <c r="AW51" s="52"/>
      <c r="BA51" s="51"/>
      <c r="BB51" s="52"/>
      <c r="BF51" s="51"/>
      <c r="BG51" s="52"/>
      <c r="BK51" s="51"/>
      <c r="BL51" s="52"/>
      <c r="BP51" s="51"/>
      <c r="BQ51" s="52"/>
      <c r="BU51" s="51"/>
      <c r="BV51" s="52"/>
      <c r="BZ51" s="51"/>
      <c r="CA51" s="52"/>
      <c r="CE51" s="51"/>
      <c r="CF51" s="52"/>
      <c r="CJ51" s="51"/>
      <c r="CK51" s="52"/>
      <c r="CO51" s="51"/>
      <c r="CP51" s="52"/>
      <c r="CT51" s="51"/>
      <c r="CU51" s="52"/>
      <c r="CY51" s="51"/>
      <c r="CZ51" s="52"/>
      <c r="DC51" s="51"/>
      <c r="DE51" s="52"/>
      <c r="DI51" s="51"/>
      <c r="DJ51" s="52"/>
      <c r="DN51" s="51"/>
      <c r="DO51" s="52"/>
      <c r="DS51" s="51"/>
      <c r="DT51" s="52"/>
      <c r="DX51" s="51"/>
      <c r="DY51" s="52"/>
      <c r="EC51" s="51"/>
      <c r="ED51" s="52"/>
      <c r="EH51" s="51"/>
      <c r="EI51" s="52"/>
      <c r="EM51" s="51"/>
      <c r="EN51" s="52"/>
      <c r="ER51" s="51"/>
      <c r="ES51" s="52"/>
      <c r="EW51" s="51"/>
      <c r="EX51" s="52"/>
      <c r="FB51" s="51"/>
      <c r="FC51" s="52"/>
      <c r="FG51" s="51"/>
      <c r="FH51" s="52"/>
      <c r="FL51" s="51"/>
      <c r="FM51" s="52"/>
      <c r="FQ51" s="51"/>
      <c r="FR51" s="52"/>
      <c r="FV51" s="51"/>
      <c r="FW51" s="52"/>
      <c r="GA51" s="51"/>
      <c r="GB51" s="52"/>
    </row>
    <row r="52" spans="3:184" x14ac:dyDescent="0.2">
      <c r="C52" s="51"/>
      <c r="D52" s="52"/>
      <c r="H52" s="51"/>
      <c r="I52" s="52"/>
      <c r="M52" s="51"/>
      <c r="N52" s="52"/>
      <c r="R52" s="51"/>
      <c r="S52" s="52"/>
      <c r="W52" s="51"/>
      <c r="X52" s="52"/>
      <c r="AB52" s="51"/>
      <c r="AC52" s="52"/>
      <c r="AG52" s="51"/>
      <c r="AH52" s="52"/>
      <c r="AL52" s="51"/>
      <c r="AM52" s="52"/>
      <c r="AQ52" s="51"/>
      <c r="AR52" s="52"/>
      <c r="AV52" s="51"/>
      <c r="AW52" s="52"/>
      <c r="BA52" s="51"/>
      <c r="BB52" s="52"/>
      <c r="BF52" s="51"/>
      <c r="BG52" s="52"/>
      <c r="BK52" s="51"/>
      <c r="BL52" s="52"/>
      <c r="BP52" s="51"/>
      <c r="BQ52" s="52"/>
      <c r="BU52" s="51"/>
      <c r="BV52" s="52"/>
      <c r="BZ52" s="51"/>
      <c r="CA52" s="52"/>
      <c r="CE52" s="51"/>
      <c r="CF52" s="52"/>
      <c r="CJ52" s="51"/>
      <c r="CK52" s="52"/>
      <c r="CO52" s="51"/>
      <c r="CP52" s="52"/>
      <c r="CT52" s="51"/>
      <c r="CU52" s="52"/>
      <c r="CY52" s="51"/>
      <c r="CZ52" s="52"/>
      <c r="DC52" s="51"/>
      <c r="DE52" s="52"/>
      <c r="DI52" s="51"/>
      <c r="DJ52" s="52"/>
      <c r="DN52" s="51"/>
      <c r="DO52" s="52"/>
      <c r="DS52" s="51"/>
      <c r="DT52" s="52"/>
      <c r="DX52" s="51"/>
      <c r="DY52" s="52"/>
      <c r="EC52" s="51"/>
      <c r="ED52" s="52"/>
      <c r="EH52" s="51"/>
      <c r="EI52" s="52"/>
      <c r="EM52" s="51"/>
      <c r="EN52" s="52"/>
      <c r="ER52" s="51"/>
      <c r="ES52" s="52"/>
      <c r="EW52" s="51"/>
      <c r="EX52" s="52"/>
      <c r="FB52" s="51"/>
      <c r="FC52" s="52"/>
      <c r="FG52" s="51"/>
      <c r="FH52" s="52"/>
      <c r="FL52" s="51"/>
      <c r="FM52" s="52"/>
      <c r="FQ52" s="51"/>
      <c r="FR52" s="52"/>
      <c r="FV52" s="51"/>
      <c r="FW52" s="52"/>
      <c r="GA52" s="51"/>
      <c r="GB52" s="52"/>
    </row>
    <row r="53" spans="3:184" x14ac:dyDescent="0.2">
      <c r="C53" s="51"/>
      <c r="D53" s="52"/>
      <c r="H53" s="51"/>
      <c r="I53" s="52"/>
      <c r="M53" s="51"/>
      <c r="N53" s="52"/>
      <c r="R53" s="51"/>
      <c r="S53" s="52"/>
      <c r="W53" s="51"/>
      <c r="X53" s="52"/>
      <c r="AB53" s="51"/>
      <c r="AC53" s="52"/>
      <c r="AG53" s="51"/>
      <c r="AH53" s="52"/>
      <c r="AL53" s="51"/>
      <c r="AM53" s="52"/>
      <c r="AQ53" s="51"/>
      <c r="AR53" s="52"/>
      <c r="AV53" s="51"/>
      <c r="AW53" s="52"/>
      <c r="BA53" s="51"/>
      <c r="BB53" s="52"/>
      <c r="BF53" s="51"/>
      <c r="BG53" s="52"/>
      <c r="BK53" s="51"/>
      <c r="BL53" s="52"/>
      <c r="BP53" s="51"/>
      <c r="BQ53" s="52"/>
      <c r="BU53" s="51"/>
      <c r="BV53" s="52"/>
      <c r="BZ53" s="51"/>
      <c r="CA53" s="52"/>
      <c r="CE53" s="51"/>
      <c r="CF53" s="52"/>
      <c r="CJ53" s="51"/>
      <c r="CK53" s="52"/>
      <c r="CO53" s="51"/>
      <c r="CP53" s="52"/>
      <c r="CT53" s="51"/>
      <c r="CU53" s="52"/>
      <c r="CY53" s="51"/>
      <c r="CZ53" s="52"/>
      <c r="DC53" s="51"/>
      <c r="DE53" s="52"/>
      <c r="DI53" s="51"/>
      <c r="DJ53" s="52"/>
      <c r="DN53" s="51"/>
      <c r="DO53" s="52"/>
      <c r="DS53" s="51"/>
      <c r="DT53" s="52"/>
      <c r="DX53" s="51"/>
      <c r="DY53" s="52"/>
      <c r="EC53" s="51"/>
      <c r="ED53" s="52"/>
      <c r="EH53" s="51"/>
      <c r="EI53" s="52"/>
      <c r="EM53" s="51"/>
      <c r="EN53" s="52"/>
      <c r="ER53" s="51"/>
      <c r="ES53" s="52"/>
      <c r="EW53" s="51"/>
      <c r="EX53" s="52"/>
      <c r="FB53" s="51"/>
      <c r="FC53" s="52"/>
      <c r="FG53" s="51"/>
      <c r="FH53" s="52"/>
      <c r="FL53" s="51"/>
      <c r="FM53" s="52"/>
      <c r="FQ53" s="51"/>
      <c r="FR53" s="52"/>
      <c r="FV53" s="51"/>
      <c r="FW53" s="52"/>
      <c r="GA53" s="51"/>
      <c r="GB53" s="52"/>
    </row>
    <row r="54" spans="3:184" x14ac:dyDescent="0.2">
      <c r="C54" s="51"/>
      <c r="D54" s="52"/>
      <c r="H54" s="51"/>
      <c r="I54" s="52"/>
      <c r="M54" s="51"/>
      <c r="N54" s="52"/>
      <c r="R54" s="51"/>
      <c r="S54" s="52"/>
      <c r="W54" s="51"/>
      <c r="X54" s="52"/>
      <c r="AB54" s="51"/>
      <c r="AC54" s="52"/>
      <c r="AG54" s="51"/>
      <c r="AH54" s="52"/>
      <c r="AL54" s="51"/>
      <c r="AM54" s="52"/>
      <c r="AQ54" s="51"/>
      <c r="AR54" s="52"/>
      <c r="AV54" s="51"/>
      <c r="AW54" s="52"/>
      <c r="BA54" s="51"/>
      <c r="BB54" s="52"/>
      <c r="BF54" s="51"/>
      <c r="BG54" s="52"/>
      <c r="BK54" s="51"/>
      <c r="BL54" s="52"/>
      <c r="BP54" s="51"/>
      <c r="BQ54" s="52"/>
      <c r="BU54" s="51"/>
      <c r="BV54" s="52"/>
      <c r="BZ54" s="51"/>
      <c r="CA54" s="52"/>
      <c r="CE54" s="51"/>
      <c r="CF54" s="52"/>
      <c r="CJ54" s="51"/>
      <c r="CK54" s="52"/>
      <c r="CO54" s="51"/>
      <c r="CP54" s="52"/>
      <c r="CT54" s="51"/>
      <c r="CU54" s="52"/>
      <c r="CY54" s="51"/>
      <c r="CZ54" s="52"/>
      <c r="DC54" s="51"/>
      <c r="DE54" s="52"/>
      <c r="DI54" s="51"/>
      <c r="DJ54" s="52"/>
      <c r="DN54" s="51"/>
      <c r="DO54" s="52"/>
      <c r="DS54" s="51"/>
      <c r="DT54" s="52"/>
      <c r="DX54" s="51"/>
      <c r="DY54" s="52"/>
      <c r="EC54" s="51"/>
      <c r="ED54" s="52"/>
      <c r="EH54" s="51"/>
      <c r="EI54" s="52"/>
      <c r="EM54" s="51"/>
      <c r="EN54" s="52"/>
      <c r="ER54" s="51"/>
      <c r="ES54" s="52"/>
      <c r="EW54" s="51"/>
      <c r="EX54" s="52"/>
      <c r="FB54" s="51"/>
      <c r="FC54" s="52"/>
      <c r="FG54" s="51"/>
      <c r="FH54" s="52"/>
      <c r="FL54" s="51"/>
      <c r="FM54" s="52"/>
      <c r="FQ54" s="51"/>
      <c r="FR54" s="52"/>
      <c r="FV54" s="51"/>
      <c r="FW54" s="52"/>
      <c r="GA54" s="51"/>
      <c r="GB54" s="52"/>
    </row>
    <row r="55" spans="3:184" x14ac:dyDescent="0.2">
      <c r="C55" s="51"/>
      <c r="D55" s="52"/>
      <c r="H55" s="51"/>
      <c r="I55" s="52"/>
      <c r="M55" s="51"/>
      <c r="N55" s="52"/>
      <c r="R55" s="51"/>
      <c r="S55" s="52"/>
      <c r="W55" s="51"/>
      <c r="X55" s="52"/>
      <c r="AB55" s="51"/>
      <c r="AC55" s="52"/>
      <c r="AG55" s="51"/>
      <c r="AH55" s="52"/>
      <c r="AL55" s="51"/>
      <c r="AM55" s="52"/>
      <c r="AQ55" s="51"/>
      <c r="AR55" s="52"/>
      <c r="AV55" s="51"/>
      <c r="AW55" s="52"/>
      <c r="BA55" s="51"/>
      <c r="BB55" s="52"/>
      <c r="BF55" s="51"/>
      <c r="BG55" s="52"/>
      <c r="BK55" s="51"/>
      <c r="BL55" s="52"/>
      <c r="BP55" s="51"/>
      <c r="BQ55" s="52"/>
      <c r="BU55" s="51"/>
      <c r="BV55" s="52"/>
      <c r="BZ55" s="51"/>
      <c r="CA55" s="52"/>
      <c r="CE55" s="51"/>
      <c r="CF55" s="52"/>
      <c r="CJ55" s="51"/>
      <c r="CK55" s="52"/>
      <c r="CO55" s="51"/>
      <c r="CP55" s="52"/>
      <c r="CT55" s="51"/>
      <c r="CU55" s="52"/>
      <c r="CY55" s="51"/>
      <c r="CZ55" s="52"/>
      <c r="DC55" s="51"/>
      <c r="DE55" s="52"/>
      <c r="DI55" s="51"/>
      <c r="DJ55" s="52"/>
      <c r="DN55" s="51"/>
      <c r="DO55" s="52"/>
      <c r="DS55" s="51"/>
      <c r="DT55" s="52"/>
      <c r="DX55" s="51"/>
      <c r="DY55" s="52"/>
      <c r="EC55" s="51"/>
      <c r="ED55" s="52"/>
      <c r="EH55" s="51"/>
      <c r="EI55" s="52"/>
      <c r="EM55" s="51"/>
      <c r="EN55" s="52"/>
      <c r="ER55" s="51"/>
      <c r="ES55" s="52"/>
      <c r="EW55" s="51"/>
      <c r="EX55" s="52"/>
      <c r="FB55" s="51"/>
      <c r="FC55" s="52"/>
      <c r="FG55" s="51"/>
      <c r="FH55" s="52"/>
      <c r="FL55" s="51"/>
      <c r="FM55" s="52"/>
      <c r="FQ55" s="51"/>
      <c r="FR55" s="52"/>
      <c r="FV55" s="51"/>
      <c r="FW55" s="52"/>
      <c r="GA55" s="51"/>
      <c r="GB55" s="52"/>
    </row>
    <row r="56" spans="3:184" x14ac:dyDescent="0.2">
      <c r="C56" s="51"/>
      <c r="D56" s="52"/>
      <c r="H56" s="51"/>
      <c r="I56" s="52"/>
      <c r="M56" s="51"/>
      <c r="N56" s="52"/>
      <c r="R56" s="51"/>
      <c r="S56" s="52"/>
      <c r="W56" s="51"/>
      <c r="X56" s="52"/>
      <c r="AB56" s="51"/>
      <c r="AC56" s="52"/>
      <c r="AG56" s="51"/>
      <c r="AH56" s="52"/>
      <c r="AL56" s="51"/>
      <c r="AM56" s="52"/>
      <c r="AQ56" s="51"/>
      <c r="AR56" s="52"/>
      <c r="AV56" s="51"/>
      <c r="AW56" s="52"/>
      <c r="BA56" s="51"/>
      <c r="BB56" s="52"/>
      <c r="BF56" s="51"/>
      <c r="BG56" s="52"/>
      <c r="BK56" s="51"/>
      <c r="BL56" s="52"/>
      <c r="BP56" s="51"/>
      <c r="BQ56" s="52"/>
      <c r="BU56" s="51"/>
      <c r="BV56" s="52"/>
      <c r="BZ56" s="51"/>
      <c r="CA56" s="52"/>
      <c r="CE56" s="51"/>
      <c r="CF56" s="52"/>
      <c r="CJ56" s="51"/>
      <c r="CK56" s="52"/>
      <c r="CO56" s="51"/>
      <c r="CP56" s="52"/>
      <c r="CT56" s="51"/>
      <c r="CU56" s="52"/>
      <c r="CY56" s="51"/>
      <c r="CZ56" s="52"/>
      <c r="DC56" s="51"/>
      <c r="DE56" s="52"/>
      <c r="DI56" s="51"/>
      <c r="DJ56" s="52"/>
      <c r="DN56" s="51"/>
      <c r="DO56" s="52"/>
      <c r="DS56" s="51"/>
      <c r="DT56" s="52"/>
      <c r="DX56" s="51"/>
      <c r="DY56" s="52"/>
      <c r="EC56" s="51"/>
      <c r="ED56" s="52"/>
      <c r="EH56" s="51"/>
      <c r="EI56" s="52"/>
      <c r="EM56" s="51"/>
      <c r="EN56" s="52"/>
      <c r="ER56" s="51"/>
      <c r="ES56" s="52"/>
      <c r="EW56" s="51"/>
      <c r="EX56" s="52"/>
      <c r="FB56" s="51"/>
      <c r="FC56" s="52"/>
      <c r="FG56" s="51"/>
      <c r="FH56" s="52"/>
      <c r="FL56" s="51"/>
      <c r="FM56" s="52"/>
      <c r="FQ56" s="51"/>
      <c r="FR56" s="52"/>
      <c r="FV56" s="51"/>
      <c r="FW56" s="52"/>
      <c r="GA56" s="51"/>
      <c r="GB56" s="52"/>
    </row>
    <row r="57" spans="3:184" x14ac:dyDescent="0.2">
      <c r="C57" s="51"/>
      <c r="D57" s="52"/>
      <c r="H57" s="51"/>
      <c r="I57" s="52"/>
      <c r="M57" s="51"/>
      <c r="N57" s="52"/>
      <c r="R57" s="51"/>
      <c r="S57" s="52"/>
      <c r="W57" s="51"/>
      <c r="X57" s="52"/>
      <c r="AB57" s="51"/>
      <c r="AC57" s="52"/>
      <c r="AG57" s="51"/>
      <c r="AH57" s="52"/>
      <c r="AL57" s="51"/>
      <c r="AM57" s="52"/>
      <c r="AQ57" s="51"/>
      <c r="AR57" s="52"/>
      <c r="AV57" s="51"/>
      <c r="AW57" s="52"/>
      <c r="BA57" s="51"/>
      <c r="BB57" s="52"/>
      <c r="BF57" s="51"/>
      <c r="BG57" s="52"/>
      <c r="BK57" s="51"/>
      <c r="BL57" s="52"/>
      <c r="BP57" s="51"/>
      <c r="BQ57" s="52"/>
      <c r="BU57" s="51"/>
      <c r="BV57" s="52"/>
      <c r="BZ57" s="51"/>
      <c r="CA57" s="52"/>
      <c r="CE57" s="51"/>
      <c r="CF57" s="52"/>
      <c r="CJ57" s="51"/>
      <c r="CK57" s="52"/>
      <c r="CO57" s="51"/>
      <c r="CP57" s="52"/>
      <c r="CT57" s="51"/>
      <c r="CU57" s="52"/>
      <c r="CY57" s="51"/>
      <c r="CZ57" s="52"/>
      <c r="DC57" s="51"/>
      <c r="DE57" s="52"/>
      <c r="DI57" s="51"/>
      <c r="DJ57" s="52"/>
      <c r="DN57" s="51"/>
      <c r="DO57" s="52"/>
      <c r="DS57" s="51"/>
      <c r="DT57" s="52"/>
      <c r="DX57" s="51"/>
      <c r="DY57" s="52"/>
      <c r="EC57" s="51"/>
      <c r="ED57" s="52"/>
      <c r="EH57" s="51"/>
      <c r="EI57" s="52"/>
      <c r="EM57" s="51"/>
      <c r="EN57" s="52"/>
      <c r="ER57" s="51"/>
      <c r="ES57" s="52"/>
      <c r="EW57" s="51"/>
      <c r="EX57" s="52"/>
      <c r="FB57" s="51"/>
      <c r="FC57" s="52"/>
      <c r="FG57" s="51"/>
      <c r="FH57" s="52"/>
      <c r="FL57" s="51"/>
      <c r="FM57" s="52"/>
      <c r="FQ57" s="51"/>
      <c r="FR57" s="52"/>
      <c r="FV57" s="51"/>
      <c r="FW57" s="52"/>
      <c r="GA57" s="51"/>
      <c r="GB57" s="52"/>
    </row>
    <row r="58" spans="3:184" x14ac:dyDescent="0.2">
      <c r="C58" s="51"/>
      <c r="D58" s="52"/>
      <c r="H58" s="51"/>
      <c r="I58" s="52"/>
      <c r="M58" s="51"/>
      <c r="N58" s="52"/>
      <c r="R58" s="51"/>
      <c r="S58" s="52"/>
      <c r="W58" s="51"/>
      <c r="X58" s="52"/>
      <c r="AB58" s="51"/>
      <c r="AC58" s="52"/>
      <c r="AG58" s="51"/>
      <c r="AH58" s="52"/>
      <c r="AL58" s="51"/>
      <c r="AM58" s="52"/>
      <c r="AQ58" s="51"/>
      <c r="AR58" s="52"/>
      <c r="AV58" s="51"/>
      <c r="AW58" s="52"/>
      <c r="BA58" s="51"/>
      <c r="BB58" s="52"/>
      <c r="BF58" s="51"/>
      <c r="BG58" s="52"/>
      <c r="BK58" s="51"/>
      <c r="BL58" s="52"/>
      <c r="BP58" s="51"/>
      <c r="BQ58" s="52"/>
      <c r="BU58" s="51"/>
      <c r="BV58" s="52"/>
      <c r="BZ58" s="51"/>
      <c r="CA58" s="52"/>
      <c r="CE58" s="51"/>
      <c r="CF58" s="52"/>
      <c r="CJ58" s="51"/>
      <c r="CK58" s="52"/>
      <c r="CO58" s="51"/>
      <c r="CP58" s="52"/>
      <c r="CT58" s="51"/>
      <c r="CU58" s="52"/>
      <c r="CY58" s="51"/>
      <c r="CZ58" s="52"/>
      <c r="DC58" s="51"/>
      <c r="DE58" s="52"/>
      <c r="DI58" s="51"/>
      <c r="DJ58" s="52"/>
      <c r="DN58" s="51"/>
      <c r="DO58" s="52"/>
      <c r="DS58" s="51"/>
      <c r="DT58" s="52"/>
      <c r="DX58" s="51"/>
      <c r="DY58" s="52"/>
      <c r="EC58" s="51"/>
      <c r="ED58" s="52"/>
      <c r="EH58" s="51"/>
      <c r="EI58" s="52"/>
      <c r="EM58" s="51"/>
      <c r="EN58" s="52"/>
      <c r="ER58" s="51"/>
      <c r="ES58" s="52"/>
      <c r="EW58" s="51"/>
      <c r="EX58" s="52"/>
      <c r="FB58" s="51"/>
      <c r="FC58" s="52"/>
      <c r="FG58" s="51"/>
      <c r="FH58" s="52"/>
      <c r="FL58" s="51"/>
      <c r="FM58" s="52"/>
      <c r="FQ58" s="51"/>
      <c r="FR58" s="52"/>
      <c r="FV58" s="51"/>
      <c r="FW58" s="52"/>
      <c r="GA58" s="51"/>
      <c r="GB58" s="52"/>
    </row>
    <row r="59" spans="3:184" x14ac:dyDescent="0.2">
      <c r="C59" s="51"/>
      <c r="D59" s="52"/>
      <c r="H59" s="51"/>
      <c r="I59" s="52"/>
      <c r="M59" s="51"/>
      <c r="N59" s="52"/>
      <c r="R59" s="51"/>
      <c r="S59" s="52"/>
      <c r="W59" s="51"/>
      <c r="X59" s="52"/>
      <c r="AB59" s="51"/>
      <c r="AC59" s="52"/>
      <c r="AG59" s="51"/>
      <c r="AH59" s="52"/>
      <c r="AL59" s="51"/>
      <c r="AM59" s="52"/>
      <c r="AQ59" s="51"/>
      <c r="AR59" s="52"/>
      <c r="AV59" s="51"/>
      <c r="AW59" s="52"/>
      <c r="BA59" s="51"/>
      <c r="BB59" s="52"/>
      <c r="BF59" s="51"/>
      <c r="BG59" s="52"/>
      <c r="BK59" s="51"/>
      <c r="BL59" s="52"/>
      <c r="BP59" s="51"/>
      <c r="BQ59" s="52"/>
      <c r="BU59" s="51"/>
      <c r="BV59" s="52"/>
      <c r="BZ59" s="51"/>
      <c r="CA59" s="52"/>
      <c r="CE59" s="51"/>
      <c r="CF59" s="52"/>
      <c r="CJ59" s="51"/>
      <c r="CK59" s="52"/>
      <c r="CO59" s="51"/>
      <c r="CP59" s="52"/>
      <c r="CT59" s="51"/>
      <c r="CU59" s="52"/>
      <c r="CY59" s="51"/>
      <c r="CZ59" s="52"/>
      <c r="DC59" s="51"/>
      <c r="DE59" s="52"/>
      <c r="DI59" s="51"/>
      <c r="DJ59" s="52"/>
      <c r="DN59" s="51"/>
      <c r="DO59" s="52"/>
      <c r="DS59" s="51"/>
      <c r="DT59" s="52"/>
      <c r="DX59" s="51"/>
      <c r="DY59" s="52"/>
      <c r="EC59" s="51"/>
      <c r="ED59" s="52"/>
      <c r="EH59" s="51"/>
      <c r="EI59" s="52"/>
      <c r="EM59" s="51"/>
      <c r="EN59" s="52"/>
      <c r="ER59" s="51"/>
      <c r="ES59" s="52"/>
      <c r="EW59" s="51"/>
      <c r="EX59" s="52"/>
      <c r="FB59" s="51"/>
      <c r="FC59" s="52"/>
      <c r="FG59" s="51"/>
      <c r="FH59" s="52"/>
      <c r="FL59" s="51"/>
      <c r="FM59" s="52"/>
      <c r="FQ59" s="51"/>
      <c r="FR59" s="52"/>
      <c r="FV59" s="51"/>
      <c r="FW59" s="52"/>
      <c r="GA59" s="51"/>
      <c r="GB59" s="52"/>
    </row>
    <row r="60" spans="3:184" x14ac:dyDescent="0.2">
      <c r="C60" s="51"/>
      <c r="D60" s="52"/>
      <c r="H60" s="51"/>
      <c r="I60" s="52"/>
      <c r="M60" s="51"/>
      <c r="N60" s="52"/>
      <c r="R60" s="51"/>
      <c r="S60" s="52"/>
      <c r="W60" s="51"/>
      <c r="X60" s="52"/>
      <c r="AB60" s="51"/>
      <c r="AC60" s="52"/>
      <c r="AG60" s="51"/>
      <c r="AH60" s="52"/>
      <c r="AL60" s="51"/>
      <c r="AM60" s="52"/>
      <c r="AQ60" s="51"/>
      <c r="AR60" s="52"/>
      <c r="AV60" s="51"/>
      <c r="AW60" s="52"/>
      <c r="BA60" s="51"/>
      <c r="BB60" s="52"/>
      <c r="BF60" s="51"/>
      <c r="BG60" s="52"/>
      <c r="BK60" s="51"/>
      <c r="BL60" s="52"/>
      <c r="BP60" s="51"/>
      <c r="BQ60" s="52"/>
      <c r="BU60" s="51"/>
      <c r="BV60" s="52"/>
      <c r="BZ60" s="51"/>
      <c r="CA60" s="52"/>
      <c r="CE60" s="51"/>
      <c r="CF60" s="52"/>
      <c r="CJ60" s="51"/>
      <c r="CK60" s="52"/>
      <c r="CO60" s="51"/>
      <c r="CP60" s="52"/>
      <c r="CT60" s="51"/>
      <c r="CU60" s="52"/>
      <c r="CY60" s="51"/>
      <c r="CZ60" s="52"/>
      <c r="DC60" s="51"/>
      <c r="DE60" s="52"/>
      <c r="DI60" s="51"/>
      <c r="DJ60" s="52"/>
      <c r="DN60" s="51"/>
      <c r="DO60" s="52"/>
      <c r="DS60" s="51"/>
      <c r="DT60" s="52"/>
      <c r="DX60" s="51"/>
      <c r="DY60" s="52"/>
      <c r="EC60" s="51"/>
      <c r="ED60" s="52"/>
      <c r="EH60" s="51"/>
      <c r="EI60" s="52"/>
      <c r="EM60" s="51"/>
      <c r="EN60" s="52"/>
      <c r="ER60" s="51"/>
      <c r="ES60" s="52"/>
      <c r="EW60" s="51"/>
      <c r="EX60" s="52"/>
      <c r="FB60" s="51"/>
      <c r="FC60" s="52"/>
      <c r="FG60" s="51"/>
      <c r="FH60" s="52"/>
      <c r="FL60" s="51"/>
      <c r="FM60" s="52"/>
      <c r="FQ60" s="51"/>
      <c r="FR60" s="52"/>
      <c r="FV60" s="51"/>
      <c r="FW60" s="52"/>
      <c r="GA60" s="51"/>
      <c r="GB60" s="52"/>
    </row>
    <row r="61" spans="3:184" x14ac:dyDescent="0.2">
      <c r="C61" s="51"/>
      <c r="D61" s="52"/>
      <c r="H61" s="51"/>
      <c r="I61" s="52"/>
      <c r="M61" s="51"/>
      <c r="N61" s="52"/>
      <c r="R61" s="51"/>
      <c r="S61" s="52"/>
      <c r="W61" s="51"/>
      <c r="X61" s="52"/>
      <c r="AB61" s="51"/>
      <c r="AC61" s="52"/>
      <c r="AG61" s="51"/>
      <c r="AH61" s="52"/>
      <c r="AL61" s="51"/>
      <c r="AM61" s="52"/>
      <c r="AQ61" s="51"/>
      <c r="AR61" s="52"/>
      <c r="AV61" s="51"/>
      <c r="AW61" s="52"/>
      <c r="BA61" s="51"/>
      <c r="BB61" s="52"/>
      <c r="BF61" s="51"/>
      <c r="BG61" s="52"/>
      <c r="BK61" s="51"/>
      <c r="BL61" s="52"/>
      <c r="BP61" s="51"/>
      <c r="BQ61" s="52"/>
      <c r="BU61" s="51"/>
      <c r="BV61" s="52"/>
      <c r="BZ61" s="51"/>
      <c r="CA61" s="52"/>
      <c r="CE61" s="51"/>
      <c r="CF61" s="52"/>
      <c r="CJ61" s="51"/>
      <c r="CK61" s="52"/>
      <c r="CO61" s="51"/>
      <c r="CP61" s="52"/>
      <c r="CT61" s="51"/>
      <c r="CU61" s="52"/>
      <c r="CY61" s="51"/>
      <c r="CZ61" s="52"/>
      <c r="DC61" s="51"/>
      <c r="DE61" s="52"/>
      <c r="DI61" s="51"/>
      <c r="DJ61" s="52"/>
      <c r="DN61" s="51"/>
      <c r="DO61" s="52"/>
      <c r="DS61" s="51"/>
      <c r="DT61" s="52"/>
      <c r="DX61" s="51"/>
      <c r="DY61" s="52"/>
      <c r="EC61" s="51"/>
      <c r="ED61" s="52"/>
      <c r="EH61" s="51"/>
      <c r="EI61" s="52"/>
      <c r="EM61" s="51"/>
      <c r="EN61" s="52"/>
      <c r="ER61" s="51"/>
      <c r="ES61" s="52"/>
      <c r="EW61" s="51"/>
      <c r="EX61" s="52"/>
      <c r="FB61" s="51"/>
      <c r="FC61" s="52"/>
      <c r="FG61" s="51"/>
      <c r="FH61" s="52"/>
      <c r="FL61" s="51"/>
      <c r="FM61" s="52"/>
      <c r="FQ61" s="51"/>
      <c r="FR61" s="52"/>
      <c r="FV61" s="51"/>
      <c r="FW61" s="52"/>
      <c r="GA61" s="51"/>
      <c r="GB61" s="52"/>
    </row>
    <row r="62" spans="3:184" x14ac:dyDescent="0.2">
      <c r="C62" s="51"/>
      <c r="D62" s="52"/>
      <c r="H62" s="51"/>
      <c r="I62" s="52"/>
      <c r="M62" s="51"/>
      <c r="N62" s="52"/>
      <c r="R62" s="51"/>
      <c r="S62" s="52"/>
      <c r="W62" s="51"/>
      <c r="X62" s="52"/>
      <c r="AB62" s="51"/>
      <c r="AC62" s="52"/>
      <c r="AG62" s="51"/>
      <c r="AH62" s="52"/>
      <c r="AL62" s="51"/>
      <c r="AM62" s="52"/>
      <c r="AQ62" s="51"/>
      <c r="AR62" s="52"/>
      <c r="AV62" s="51"/>
      <c r="AW62" s="52"/>
      <c r="BA62" s="51"/>
      <c r="BB62" s="52"/>
      <c r="BF62" s="51"/>
      <c r="BG62" s="52"/>
      <c r="BK62" s="51"/>
      <c r="BL62" s="52"/>
      <c r="BP62" s="51"/>
      <c r="BQ62" s="52"/>
      <c r="BU62" s="51"/>
      <c r="BV62" s="52"/>
      <c r="BZ62" s="51"/>
      <c r="CA62" s="52"/>
      <c r="CE62" s="51"/>
      <c r="CF62" s="52"/>
      <c r="CJ62" s="51"/>
      <c r="CK62" s="52"/>
      <c r="CO62" s="51"/>
      <c r="CP62" s="52"/>
      <c r="CT62" s="51"/>
      <c r="CU62" s="52"/>
      <c r="CY62" s="51"/>
      <c r="CZ62" s="52"/>
      <c r="DC62" s="51"/>
      <c r="DE62" s="52"/>
      <c r="DI62" s="51"/>
      <c r="DJ62" s="52"/>
      <c r="DN62" s="51"/>
      <c r="DO62" s="52"/>
      <c r="DS62" s="51"/>
      <c r="DT62" s="52"/>
      <c r="DX62" s="51"/>
      <c r="DY62" s="52"/>
      <c r="EC62" s="51"/>
      <c r="ED62" s="52"/>
      <c r="EH62" s="51"/>
      <c r="EI62" s="52"/>
      <c r="EM62" s="51"/>
      <c r="EN62" s="52"/>
      <c r="ER62" s="51"/>
      <c r="ES62" s="52"/>
      <c r="EW62" s="51"/>
      <c r="EX62" s="52"/>
      <c r="FB62" s="51"/>
      <c r="FC62" s="52"/>
      <c r="FG62" s="51"/>
      <c r="FH62" s="52"/>
      <c r="FL62" s="51"/>
      <c r="FM62" s="52"/>
      <c r="FQ62" s="51"/>
      <c r="FR62" s="52"/>
      <c r="FV62" s="51"/>
      <c r="FW62" s="52"/>
      <c r="GA62" s="51"/>
      <c r="GB62" s="52"/>
    </row>
    <row r="63" spans="3:184" x14ac:dyDescent="0.2">
      <c r="C63" s="51"/>
      <c r="D63" s="52"/>
      <c r="H63" s="51"/>
      <c r="I63" s="52"/>
      <c r="M63" s="51"/>
      <c r="N63" s="52"/>
      <c r="R63" s="51"/>
      <c r="S63" s="52"/>
      <c r="W63" s="51"/>
      <c r="X63" s="52"/>
      <c r="AB63" s="51"/>
      <c r="AC63" s="52"/>
      <c r="AG63" s="51"/>
      <c r="AH63" s="52"/>
      <c r="AL63" s="51"/>
      <c r="AM63" s="52"/>
      <c r="AQ63" s="51"/>
      <c r="AR63" s="52"/>
      <c r="AV63" s="51"/>
      <c r="AW63" s="52"/>
      <c r="BA63" s="51"/>
      <c r="BB63" s="52"/>
      <c r="BF63" s="51"/>
      <c r="BG63" s="52"/>
      <c r="BK63" s="51"/>
      <c r="BL63" s="52"/>
      <c r="BP63" s="51"/>
      <c r="BQ63" s="52"/>
      <c r="BU63" s="51"/>
      <c r="BV63" s="52"/>
      <c r="BZ63" s="51"/>
      <c r="CA63" s="52"/>
      <c r="CE63" s="51"/>
      <c r="CF63" s="52"/>
      <c r="CJ63" s="51"/>
      <c r="CK63" s="52"/>
      <c r="CO63" s="51"/>
      <c r="CP63" s="52"/>
      <c r="CT63" s="51"/>
      <c r="CU63" s="52"/>
      <c r="CY63" s="51"/>
      <c r="CZ63" s="52"/>
      <c r="DC63" s="51"/>
      <c r="DE63" s="52"/>
      <c r="DI63" s="51"/>
      <c r="DJ63" s="52"/>
      <c r="DN63" s="51"/>
      <c r="DO63" s="52"/>
      <c r="DS63" s="51"/>
      <c r="DT63" s="52"/>
      <c r="DX63" s="51"/>
      <c r="DY63" s="52"/>
      <c r="EC63" s="51"/>
      <c r="ED63" s="52"/>
      <c r="EH63" s="51"/>
      <c r="EI63" s="52"/>
      <c r="EM63" s="51"/>
      <c r="EN63" s="52"/>
      <c r="ER63" s="51"/>
      <c r="ES63" s="52"/>
      <c r="EW63" s="51"/>
      <c r="EX63" s="52"/>
      <c r="FB63" s="51"/>
      <c r="FC63" s="52"/>
      <c r="FG63" s="51"/>
      <c r="FH63" s="52"/>
      <c r="FL63" s="51"/>
      <c r="FM63" s="52"/>
      <c r="FQ63" s="51"/>
      <c r="FR63" s="52"/>
      <c r="FV63" s="51"/>
      <c r="FW63" s="52"/>
      <c r="GA63" s="51"/>
      <c r="GB63" s="52"/>
    </row>
    <row r="64" spans="3:184" x14ac:dyDescent="0.2">
      <c r="C64" s="51"/>
      <c r="D64" s="52"/>
      <c r="H64" s="51"/>
      <c r="I64" s="52"/>
      <c r="M64" s="51"/>
      <c r="N64" s="52"/>
      <c r="R64" s="51"/>
      <c r="S64" s="52"/>
      <c r="W64" s="51"/>
      <c r="X64" s="52"/>
      <c r="AB64" s="51"/>
      <c r="AC64" s="52"/>
      <c r="AG64" s="51"/>
      <c r="AH64" s="52"/>
      <c r="AL64" s="51"/>
      <c r="AM64" s="52"/>
      <c r="AQ64" s="51"/>
      <c r="AR64" s="52"/>
      <c r="AV64" s="51"/>
      <c r="AW64" s="52"/>
      <c r="BA64" s="51"/>
      <c r="BB64" s="52"/>
      <c r="BF64" s="51"/>
      <c r="BG64" s="52"/>
      <c r="BK64" s="51"/>
      <c r="BL64" s="52"/>
      <c r="BP64" s="51"/>
      <c r="BQ64" s="52"/>
      <c r="BU64" s="51"/>
      <c r="BV64" s="52"/>
      <c r="BZ64" s="51"/>
      <c r="CA64" s="52"/>
      <c r="CE64" s="51"/>
      <c r="CF64" s="52"/>
      <c r="CJ64" s="51"/>
      <c r="CK64" s="52"/>
      <c r="CO64" s="51"/>
      <c r="CP64" s="52"/>
      <c r="CT64" s="51"/>
      <c r="CU64" s="52"/>
      <c r="CY64" s="51"/>
      <c r="CZ64" s="52"/>
      <c r="DC64" s="51"/>
      <c r="DE64" s="52"/>
      <c r="DI64" s="51"/>
      <c r="DJ64" s="52"/>
      <c r="DN64" s="51"/>
      <c r="DO64" s="52"/>
      <c r="DS64" s="51"/>
      <c r="DT64" s="52"/>
      <c r="DX64" s="51"/>
      <c r="DY64" s="52"/>
      <c r="EC64" s="51"/>
      <c r="ED64" s="52"/>
      <c r="EH64" s="51"/>
      <c r="EI64" s="52"/>
      <c r="EM64" s="51"/>
      <c r="EN64" s="52"/>
      <c r="ER64" s="51"/>
      <c r="ES64" s="52"/>
      <c r="EW64" s="51"/>
      <c r="EX64" s="52"/>
      <c r="FB64" s="51"/>
      <c r="FC64" s="52"/>
      <c r="FG64" s="51"/>
      <c r="FH64" s="52"/>
      <c r="FL64" s="51"/>
      <c r="FM64" s="52"/>
      <c r="FQ64" s="51"/>
      <c r="FR64" s="52"/>
      <c r="FV64" s="51"/>
      <c r="FW64" s="52"/>
      <c r="GA64" s="51"/>
      <c r="GB64" s="52"/>
    </row>
    <row r="65" spans="3:184" x14ac:dyDescent="0.2">
      <c r="C65" s="51"/>
      <c r="D65" s="52"/>
      <c r="H65" s="51"/>
      <c r="I65" s="52"/>
      <c r="M65" s="51"/>
      <c r="N65" s="52"/>
      <c r="R65" s="51"/>
      <c r="S65" s="52"/>
      <c r="W65" s="51"/>
      <c r="X65" s="52"/>
      <c r="AB65" s="51"/>
      <c r="AC65" s="52"/>
      <c r="AG65" s="51"/>
      <c r="AH65" s="52"/>
      <c r="AL65" s="51"/>
      <c r="AM65" s="52"/>
      <c r="AQ65" s="51"/>
      <c r="AR65" s="52"/>
      <c r="AV65" s="51"/>
      <c r="AW65" s="52"/>
      <c r="BA65" s="51"/>
      <c r="BB65" s="52"/>
      <c r="BF65" s="51"/>
      <c r="BG65" s="52"/>
      <c r="BK65" s="51"/>
      <c r="BL65" s="52"/>
      <c r="BP65" s="51"/>
      <c r="BQ65" s="52"/>
      <c r="BU65" s="51"/>
      <c r="BV65" s="52"/>
      <c r="BZ65" s="51"/>
      <c r="CA65" s="52"/>
      <c r="CE65" s="51"/>
      <c r="CF65" s="52"/>
      <c r="CJ65" s="51"/>
      <c r="CK65" s="52"/>
      <c r="CO65" s="51"/>
      <c r="CP65" s="52"/>
      <c r="CT65" s="51"/>
      <c r="CU65" s="52"/>
      <c r="CY65" s="51"/>
      <c r="CZ65" s="52"/>
      <c r="DC65" s="51"/>
      <c r="DE65" s="52"/>
      <c r="DI65" s="51"/>
      <c r="DJ65" s="52"/>
      <c r="DN65" s="51"/>
      <c r="DO65" s="52"/>
      <c r="DS65" s="51"/>
      <c r="DT65" s="52"/>
      <c r="DX65" s="51"/>
      <c r="DY65" s="52"/>
      <c r="EC65" s="51"/>
      <c r="ED65" s="52"/>
      <c r="EH65" s="51"/>
      <c r="EI65" s="52"/>
      <c r="EM65" s="51"/>
      <c r="EN65" s="52"/>
      <c r="ER65" s="51"/>
      <c r="ES65" s="52"/>
      <c r="EW65" s="51"/>
      <c r="EX65" s="52"/>
      <c r="FB65" s="51"/>
      <c r="FC65" s="52"/>
      <c r="FG65" s="51"/>
      <c r="FH65" s="52"/>
      <c r="FL65" s="51"/>
      <c r="FM65" s="52"/>
      <c r="FQ65" s="51"/>
      <c r="FR65" s="52"/>
      <c r="FV65" s="51"/>
      <c r="FW65" s="52"/>
      <c r="GA65" s="51"/>
      <c r="GB65" s="52"/>
    </row>
    <row r="66" spans="3:184" x14ac:dyDescent="0.2">
      <c r="C66" s="51"/>
      <c r="D66" s="52"/>
      <c r="H66" s="51"/>
      <c r="I66" s="52"/>
      <c r="M66" s="51"/>
      <c r="N66" s="52"/>
      <c r="R66" s="51"/>
      <c r="S66" s="52"/>
      <c r="W66" s="51"/>
      <c r="X66" s="52"/>
      <c r="AB66" s="51"/>
      <c r="AC66" s="52"/>
      <c r="AG66" s="51"/>
      <c r="AH66" s="52"/>
      <c r="AL66" s="51"/>
      <c r="AM66" s="52"/>
      <c r="AQ66" s="51"/>
      <c r="AR66" s="52"/>
      <c r="AV66" s="51"/>
      <c r="AW66" s="52"/>
      <c r="BA66" s="51"/>
      <c r="BB66" s="52"/>
      <c r="BF66" s="51"/>
      <c r="BG66" s="52"/>
      <c r="BK66" s="51"/>
      <c r="BL66" s="52"/>
      <c r="BP66" s="51"/>
      <c r="BQ66" s="52"/>
      <c r="BU66" s="51"/>
      <c r="BV66" s="52"/>
      <c r="BZ66" s="51"/>
      <c r="CA66" s="52"/>
      <c r="CE66" s="51"/>
      <c r="CF66" s="52"/>
      <c r="CJ66" s="51"/>
      <c r="CK66" s="52"/>
      <c r="CO66" s="51"/>
      <c r="CP66" s="52"/>
      <c r="CT66" s="51"/>
      <c r="CU66" s="52"/>
      <c r="CY66" s="51"/>
      <c r="CZ66" s="52"/>
      <c r="DC66" s="51"/>
      <c r="DE66" s="52"/>
      <c r="DI66" s="51"/>
      <c r="DJ66" s="52"/>
      <c r="DN66" s="51"/>
      <c r="DO66" s="52"/>
      <c r="DS66" s="51"/>
      <c r="DT66" s="52"/>
      <c r="DX66" s="51"/>
      <c r="DY66" s="52"/>
      <c r="EC66" s="51"/>
      <c r="ED66" s="52"/>
      <c r="EH66" s="51"/>
      <c r="EI66" s="52"/>
      <c r="EM66" s="51"/>
      <c r="EN66" s="52"/>
      <c r="ER66" s="51"/>
      <c r="ES66" s="52"/>
      <c r="EW66" s="51"/>
      <c r="EX66" s="52"/>
      <c r="FB66" s="51"/>
      <c r="FC66" s="52"/>
      <c r="FG66" s="51"/>
      <c r="FH66" s="52"/>
      <c r="FL66" s="51"/>
      <c r="FM66" s="52"/>
      <c r="FQ66" s="51"/>
      <c r="FR66" s="52"/>
      <c r="FV66" s="51"/>
      <c r="FW66" s="52"/>
      <c r="GA66" s="51"/>
      <c r="GB66" s="52"/>
    </row>
    <row r="67" spans="3:184" x14ac:dyDescent="0.2">
      <c r="C67" s="51"/>
      <c r="D67" s="52"/>
      <c r="H67" s="51"/>
      <c r="I67" s="52"/>
      <c r="M67" s="51"/>
      <c r="N67" s="52"/>
      <c r="R67" s="51"/>
      <c r="S67" s="52"/>
      <c r="W67" s="51"/>
      <c r="X67" s="52"/>
      <c r="AB67" s="51"/>
      <c r="AC67" s="52"/>
      <c r="AG67" s="51"/>
      <c r="AH67" s="52"/>
      <c r="AL67" s="51"/>
      <c r="AM67" s="52"/>
      <c r="AQ67" s="51"/>
      <c r="AR67" s="52"/>
      <c r="AV67" s="51"/>
      <c r="AW67" s="52"/>
      <c r="BA67" s="51"/>
      <c r="BB67" s="52"/>
      <c r="BF67" s="51"/>
      <c r="BG67" s="52"/>
      <c r="BK67" s="51"/>
      <c r="BL67" s="52"/>
      <c r="BP67" s="51"/>
      <c r="BQ67" s="52"/>
      <c r="BU67" s="51"/>
      <c r="BV67" s="52"/>
      <c r="BZ67" s="51"/>
      <c r="CA67" s="52"/>
      <c r="CE67" s="51"/>
      <c r="CF67" s="52"/>
      <c r="CJ67" s="51"/>
      <c r="CK67" s="52"/>
      <c r="CO67" s="51"/>
      <c r="CP67" s="52"/>
      <c r="CT67" s="51"/>
      <c r="CU67" s="52"/>
      <c r="CY67" s="51"/>
      <c r="CZ67" s="52"/>
      <c r="DC67" s="51"/>
      <c r="DE67" s="52"/>
      <c r="DI67" s="51"/>
      <c r="DJ67" s="52"/>
      <c r="DN67" s="51"/>
      <c r="DO67" s="52"/>
      <c r="DS67" s="51"/>
      <c r="DT67" s="52"/>
      <c r="DX67" s="51"/>
      <c r="DY67" s="52"/>
      <c r="EC67" s="51"/>
      <c r="ED67" s="52"/>
      <c r="EH67" s="51"/>
      <c r="EI67" s="52"/>
      <c r="EM67" s="51"/>
      <c r="EN67" s="52"/>
      <c r="ER67" s="51"/>
      <c r="ES67" s="52"/>
      <c r="EW67" s="51"/>
      <c r="EX67" s="52"/>
      <c r="FB67" s="51"/>
      <c r="FC67" s="52"/>
      <c r="FG67" s="51"/>
      <c r="FH67" s="52"/>
      <c r="FL67" s="51"/>
      <c r="FM67" s="52"/>
      <c r="FQ67" s="51"/>
      <c r="FR67" s="52"/>
      <c r="FV67" s="51"/>
      <c r="FW67" s="52"/>
      <c r="GA67" s="51"/>
      <c r="GB67" s="52"/>
    </row>
    <row r="68" spans="3:184" x14ac:dyDescent="0.2">
      <c r="C68" s="51"/>
      <c r="D68" s="52"/>
      <c r="H68" s="51"/>
      <c r="I68" s="52"/>
      <c r="M68" s="51"/>
      <c r="N68" s="52"/>
      <c r="R68" s="51"/>
      <c r="S68" s="52"/>
      <c r="W68" s="51"/>
      <c r="X68" s="52"/>
      <c r="AB68" s="51"/>
      <c r="AC68" s="52"/>
      <c r="AG68" s="51"/>
      <c r="AH68" s="52"/>
      <c r="AL68" s="51"/>
      <c r="AM68" s="52"/>
      <c r="AQ68" s="51"/>
      <c r="AR68" s="52"/>
      <c r="AV68" s="51"/>
      <c r="AW68" s="52"/>
      <c r="BA68" s="51"/>
      <c r="BB68" s="52"/>
      <c r="BF68" s="51"/>
      <c r="BG68" s="52"/>
      <c r="BK68" s="51"/>
      <c r="BL68" s="52"/>
      <c r="BP68" s="51"/>
      <c r="BQ68" s="52"/>
      <c r="BU68" s="51"/>
      <c r="BV68" s="52"/>
      <c r="BZ68" s="51"/>
      <c r="CA68" s="52"/>
      <c r="CE68" s="51"/>
      <c r="CF68" s="52"/>
      <c r="CJ68" s="51"/>
      <c r="CK68" s="52"/>
      <c r="CO68" s="51"/>
      <c r="CP68" s="52"/>
      <c r="CT68" s="51"/>
      <c r="CU68" s="52"/>
      <c r="CY68" s="51"/>
      <c r="CZ68" s="52"/>
      <c r="DC68" s="51"/>
      <c r="DE68" s="52"/>
      <c r="DI68" s="51"/>
      <c r="DJ68" s="52"/>
      <c r="DN68" s="51"/>
      <c r="DO68" s="52"/>
      <c r="DS68" s="51"/>
      <c r="DT68" s="52"/>
      <c r="DX68" s="51"/>
      <c r="DY68" s="52"/>
      <c r="EC68" s="51"/>
      <c r="ED68" s="52"/>
      <c r="EH68" s="51"/>
      <c r="EI68" s="52"/>
      <c r="EM68" s="51"/>
      <c r="EN68" s="52"/>
      <c r="ER68" s="51"/>
      <c r="ES68" s="52"/>
      <c r="EW68" s="51"/>
      <c r="EX68" s="52"/>
      <c r="FB68" s="51"/>
      <c r="FC68" s="52"/>
      <c r="FG68" s="51"/>
      <c r="FH68" s="52"/>
      <c r="FL68" s="51"/>
      <c r="FM68" s="52"/>
      <c r="FQ68" s="51"/>
      <c r="FR68" s="52"/>
      <c r="FV68" s="51"/>
      <c r="FW68" s="52"/>
      <c r="GA68" s="51"/>
      <c r="GB68" s="52"/>
    </row>
    <row r="69" spans="3:184" x14ac:dyDescent="0.2">
      <c r="C69" s="51"/>
      <c r="D69" s="52"/>
      <c r="H69" s="51"/>
      <c r="I69" s="52"/>
      <c r="M69" s="51"/>
      <c r="N69" s="52"/>
      <c r="R69" s="51"/>
      <c r="S69" s="52"/>
      <c r="W69" s="51"/>
      <c r="X69" s="52"/>
      <c r="AB69" s="51"/>
      <c r="AC69" s="52"/>
      <c r="AG69" s="51"/>
      <c r="AH69" s="52"/>
      <c r="AL69" s="51"/>
      <c r="AM69" s="52"/>
      <c r="AQ69" s="51"/>
      <c r="AR69" s="52"/>
      <c r="AV69" s="51"/>
      <c r="AW69" s="52"/>
      <c r="BA69" s="51"/>
      <c r="BB69" s="52"/>
      <c r="BF69" s="51"/>
      <c r="BG69" s="52"/>
      <c r="BK69" s="51"/>
      <c r="BL69" s="52"/>
      <c r="BP69" s="51"/>
      <c r="BQ69" s="52"/>
      <c r="BU69" s="51"/>
      <c r="BV69" s="52"/>
      <c r="BZ69" s="51"/>
      <c r="CA69" s="52"/>
      <c r="CE69" s="51"/>
      <c r="CF69" s="52"/>
      <c r="CJ69" s="51"/>
      <c r="CK69" s="52"/>
      <c r="CO69" s="51"/>
      <c r="CP69" s="52"/>
      <c r="CT69" s="51"/>
      <c r="CU69" s="52"/>
      <c r="CY69" s="51"/>
      <c r="CZ69" s="52"/>
      <c r="DC69" s="51"/>
      <c r="DE69" s="52"/>
      <c r="DI69" s="51"/>
      <c r="DJ69" s="52"/>
      <c r="DN69" s="51"/>
      <c r="DO69" s="52"/>
      <c r="DS69" s="51"/>
      <c r="DT69" s="52"/>
      <c r="DX69" s="51"/>
      <c r="DY69" s="52"/>
      <c r="EC69" s="51"/>
      <c r="ED69" s="52"/>
      <c r="EH69" s="51"/>
      <c r="EI69" s="52"/>
      <c r="EM69" s="51"/>
      <c r="EN69" s="52"/>
      <c r="ER69" s="51"/>
      <c r="ES69" s="52"/>
      <c r="EW69" s="51"/>
      <c r="EX69" s="52"/>
      <c r="FB69" s="51"/>
      <c r="FC69" s="52"/>
      <c r="FG69" s="51"/>
      <c r="FH69" s="52"/>
      <c r="FL69" s="51"/>
      <c r="FM69" s="52"/>
      <c r="FQ69" s="51"/>
      <c r="FR69" s="52"/>
      <c r="FV69" s="51"/>
      <c r="FW69" s="52"/>
      <c r="GA69" s="51"/>
      <c r="GB69" s="52"/>
    </row>
    <row r="70" spans="3:184" x14ac:dyDescent="0.2">
      <c r="C70" s="51"/>
      <c r="D70" s="52"/>
      <c r="H70" s="51"/>
      <c r="I70" s="52"/>
      <c r="M70" s="51"/>
      <c r="N70" s="52"/>
      <c r="R70" s="51"/>
      <c r="S70" s="52"/>
      <c r="W70" s="51"/>
      <c r="X70" s="52"/>
      <c r="AB70" s="51"/>
      <c r="AC70" s="52"/>
      <c r="AG70" s="51"/>
      <c r="AH70" s="52"/>
      <c r="AL70" s="51"/>
      <c r="AM70" s="52"/>
      <c r="AQ70" s="51"/>
      <c r="AR70" s="52"/>
      <c r="AV70" s="51"/>
      <c r="AW70" s="52"/>
      <c r="BA70" s="51"/>
      <c r="BB70" s="52"/>
      <c r="BF70" s="51"/>
      <c r="BG70" s="52"/>
      <c r="BK70" s="51"/>
      <c r="BL70" s="52"/>
      <c r="BP70" s="51"/>
      <c r="BQ70" s="52"/>
      <c r="BU70" s="51"/>
      <c r="BV70" s="52"/>
      <c r="BZ70" s="51"/>
      <c r="CA70" s="52"/>
      <c r="CE70" s="51"/>
      <c r="CF70" s="52"/>
      <c r="CJ70" s="51"/>
      <c r="CK70" s="52"/>
      <c r="CO70" s="51"/>
      <c r="CP70" s="52"/>
      <c r="CT70" s="51"/>
      <c r="CU70" s="52"/>
      <c r="CY70" s="51"/>
      <c r="CZ70" s="52"/>
      <c r="DC70" s="51"/>
      <c r="DE70" s="52"/>
      <c r="DI70" s="51"/>
      <c r="DJ70" s="52"/>
      <c r="DN70" s="51"/>
      <c r="DO70" s="52"/>
      <c r="DS70" s="51"/>
      <c r="DT70" s="52"/>
      <c r="DX70" s="51"/>
      <c r="DY70" s="52"/>
      <c r="EC70" s="51"/>
      <c r="ED70" s="52"/>
      <c r="EH70" s="51"/>
      <c r="EI70" s="52"/>
      <c r="EM70" s="51"/>
      <c r="EN70" s="52"/>
      <c r="ER70" s="51"/>
      <c r="ES70" s="52"/>
      <c r="EW70" s="51"/>
      <c r="EX70" s="52"/>
      <c r="FB70" s="51"/>
      <c r="FC70" s="52"/>
      <c r="FG70" s="51"/>
      <c r="FH70" s="52"/>
      <c r="FL70" s="51"/>
      <c r="FM70" s="52"/>
      <c r="FQ70" s="51"/>
      <c r="FR70" s="52"/>
      <c r="FV70" s="51"/>
      <c r="FW70" s="52"/>
      <c r="GA70" s="51"/>
      <c r="GB70" s="52"/>
    </row>
    <row r="71" spans="3:184" x14ac:dyDescent="0.2">
      <c r="C71" s="51"/>
      <c r="D71" s="52"/>
      <c r="H71" s="51"/>
      <c r="I71" s="52"/>
      <c r="M71" s="51"/>
      <c r="N71" s="52"/>
      <c r="R71" s="51"/>
      <c r="S71" s="52"/>
      <c r="W71" s="51"/>
      <c r="X71" s="52"/>
      <c r="AB71" s="51"/>
      <c r="AC71" s="52"/>
      <c r="AG71" s="51"/>
      <c r="AH71" s="52"/>
      <c r="AL71" s="51"/>
      <c r="AM71" s="52"/>
      <c r="AQ71" s="51"/>
      <c r="AR71" s="52"/>
      <c r="AV71" s="51"/>
      <c r="AW71" s="52"/>
      <c r="BA71" s="51"/>
      <c r="BB71" s="52"/>
      <c r="BF71" s="51"/>
      <c r="BG71" s="52"/>
      <c r="BK71" s="51"/>
      <c r="BL71" s="52"/>
      <c r="BP71" s="51"/>
      <c r="BQ71" s="52"/>
      <c r="BU71" s="51"/>
      <c r="BV71" s="52"/>
      <c r="BZ71" s="51"/>
      <c r="CA71" s="52"/>
      <c r="CE71" s="51"/>
      <c r="CF71" s="52"/>
      <c r="CJ71" s="51"/>
      <c r="CK71" s="52"/>
      <c r="CO71" s="51"/>
      <c r="CP71" s="52"/>
      <c r="CT71" s="51"/>
      <c r="CU71" s="52"/>
      <c r="CY71" s="51"/>
      <c r="CZ71" s="52"/>
      <c r="DC71" s="51"/>
      <c r="DE71" s="52"/>
      <c r="DI71" s="51"/>
      <c r="DJ71" s="52"/>
      <c r="DN71" s="51"/>
      <c r="DO71" s="52"/>
      <c r="DS71" s="51"/>
      <c r="DT71" s="52"/>
      <c r="DX71" s="51"/>
      <c r="DY71" s="52"/>
      <c r="EC71" s="51"/>
      <c r="ED71" s="52"/>
      <c r="EH71" s="51"/>
      <c r="EI71" s="52"/>
      <c r="EM71" s="51"/>
      <c r="EN71" s="52"/>
      <c r="ER71" s="51"/>
      <c r="ES71" s="52"/>
      <c r="EW71" s="51"/>
      <c r="EX71" s="52"/>
      <c r="FB71" s="51"/>
      <c r="FC71" s="52"/>
      <c r="FG71" s="51"/>
      <c r="FH71" s="52"/>
      <c r="FL71" s="51"/>
      <c r="FM71" s="52"/>
      <c r="FQ71" s="51"/>
      <c r="FR71" s="52"/>
      <c r="FV71" s="51"/>
      <c r="FW71" s="52"/>
      <c r="GA71" s="51"/>
      <c r="GB71" s="52"/>
    </row>
    <row r="72" spans="3:184" x14ac:dyDescent="0.2">
      <c r="C72" s="51"/>
      <c r="D72" s="52"/>
      <c r="H72" s="51"/>
      <c r="I72" s="52"/>
      <c r="M72" s="51"/>
      <c r="N72" s="52"/>
      <c r="R72" s="51"/>
      <c r="S72" s="52"/>
      <c r="W72" s="51"/>
      <c r="X72" s="52"/>
      <c r="AB72" s="51"/>
      <c r="AC72" s="52"/>
      <c r="AG72" s="51"/>
      <c r="AH72" s="52"/>
      <c r="AL72" s="51"/>
      <c r="AM72" s="52"/>
      <c r="AQ72" s="51"/>
      <c r="AR72" s="52"/>
      <c r="AV72" s="51"/>
      <c r="AW72" s="52"/>
      <c r="BA72" s="51"/>
      <c r="BB72" s="52"/>
      <c r="BF72" s="51"/>
      <c r="BG72" s="52"/>
      <c r="BK72" s="51"/>
      <c r="BL72" s="52"/>
      <c r="BP72" s="51"/>
      <c r="BQ72" s="52"/>
      <c r="BU72" s="51"/>
      <c r="BV72" s="52"/>
      <c r="BZ72" s="51"/>
      <c r="CA72" s="52"/>
      <c r="CE72" s="51"/>
      <c r="CF72" s="52"/>
      <c r="CJ72" s="51"/>
      <c r="CK72" s="52"/>
      <c r="CO72" s="51"/>
      <c r="CP72" s="52"/>
      <c r="CT72" s="51"/>
      <c r="CU72" s="52"/>
      <c r="CY72" s="51"/>
      <c r="CZ72" s="52"/>
      <c r="DC72" s="51"/>
      <c r="DE72" s="52"/>
      <c r="DI72" s="51"/>
      <c r="DJ72" s="52"/>
      <c r="DN72" s="51"/>
      <c r="DO72" s="52"/>
      <c r="DS72" s="51"/>
      <c r="DT72" s="52"/>
      <c r="DX72" s="51"/>
      <c r="DY72" s="52"/>
      <c r="EC72" s="51"/>
      <c r="ED72" s="52"/>
      <c r="EH72" s="51"/>
      <c r="EI72" s="52"/>
      <c r="EM72" s="51"/>
      <c r="EN72" s="52"/>
      <c r="ER72" s="51"/>
      <c r="ES72" s="52"/>
      <c r="EW72" s="51"/>
      <c r="EX72" s="52"/>
      <c r="FB72" s="51"/>
      <c r="FC72" s="52"/>
      <c r="FG72" s="51"/>
      <c r="FH72" s="52"/>
      <c r="FL72" s="51"/>
      <c r="FM72" s="52"/>
      <c r="FQ72" s="51"/>
      <c r="FR72" s="52"/>
      <c r="FV72" s="51"/>
      <c r="FW72" s="52"/>
      <c r="GA72" s="51"/>
      <c r="GB72" s="52"/>
    </row>
    <row r="73" spans="3:184" x14ac:dyDescent="0.2">
      <c r="C73" s="51"/>
      <c r="D73" s="52"/>
      <c r="H73" s="51"/>
      <c r="I73" s="52"/>
      <c r="M73" s="51"/>
      <c r="N73" s="52"/>
      <c r="R73" s="51"/>
      <c r="S73" s="52"/>
      <c r="W73" s="51"/>
      <c r="X73" s="52"/>
      <c r="AB73" s="51"/>
      <c r="AC73" s="52"/>
      <c r="AG73" s="51"/>
      <c r="AH73" s="52"/>
      <c r="AL73" s="51"/>
      <c r="AM73" s="52"/>
      <c r="AQ73" s="51"/>
      <c r="AR73" s="52"/>
      <c r="AV73" s="51"/>
      <c r="AW73" s="52"/>
      <c r="BA73" s="51"/>
      <c r="BB73" s="52"/>
      <c r="BF73" s="51"/>
      <c r="BG73" s="52"/>
      <c r="BK73" s="51"/>
      <c r="BL73" s="52"/>
      <c r="BP73" s="51"/>
      <c r="BQ73" s="52"/>
      <c r="BU73" s="51"/>
      <c r="BV73" s="52"/>
      <c r="BZ73" s="51"/>
      <c r="CA73" s="52"/>
      <c r="CE73" s="51"/>
      <c r="CF73" s="52"/>
      <c r="CJ73" s="51"/>
      <c r="CK73" s="52"/>
      <c r="CO73" s="51"/>
      <c r="CP73" s="52"/>
      <c r="CT73" s="51"/>
      <c r="CU73" s="52"/>
      <c r="CY73" s="51"/>
      <c r="CZ73" s="52"/>
      <c r="DC73" s="51"/>
      <c r="DE73" s="52"/>
      <c r="DI73" s="51"/>
      <c r="DJ73" s="52"/>
      <c r="DN73" s="51"/>
      <c r="DO73" s="52"/>
      <c r="DS73" s="51"/>
      <c r="DT73" s="52"/>
      <c r="DX73" s="51"/>
      <c r="DY73" s="52"/>
      <c r="EC73" s="51"/>
      <c r="ED73" s="52"/>
      <c r="EH73" s="51"/>
      <c r="EI73" s="52"/>
      <c r="EM73" s="51"/>
      <c r="EN73" s="52"/>
      <c r="ER73" s="51"/>
      <c r="ES73" s="52"/>
      <c r="EW73" s="51"/>
      <c r="EX73" s="52"/>
      <c r="FB73" s="51"/>
      <c r="FC73" s="52"/>
      <c r="FG73" s="51"/>
      <c r="FH73" s="52"/>
      <c r="FL73" s="51"/>
      <c r="FM73" s="52"/>
      <c r="FQ73" s="51"/>
      <c r="FR73" s="52"/>
      <c r="FV73" s="51"/>
      <c r="FW73" s="52"/>
      <c r="GA73" s="51"/>
      <c r="GB73" s="52"/>
    </row>
    <row r="74" spans="3:184" x14ac:dyDescent="0.2">
      <c r="C74" s="51"/>
      <c r="D74" s="52"/>
      <c r="H74" s="51"/>
      <c r="I74" s="52"/>
      <c r="M74" s="51"/>
      <c r="N74" s="52"/>
      <c r="R74" s="51"/>
      <c r="S74" s="52"/>
      <c r="W74" s="51"/>
      <c r="X74" s="52"/>
      <c r="AB74" s="51"/>
      <c r="AC74" s="52"/>
      <c r="AG74" s="51"/>
      <c r="AH74" s="52"/>
      <c r="AL74" s="51"/>
      <c r="AM74" s="52"/>
      <c r="AQ74" s="51"/>
      <c r="AR74" s="52"/>
      <c r="AV74" s="51"/>
      <c r="AW74" s="52"/>
      <c r="BA74" s="51"/>
      <c r="BB74" s="52"/>
      <c r="BF74" s="51"/>
      <c r="BG74" s="52"/>
      <c r="BK74" s="51"/>
      <c r="BL74" s="52"/>
      <c r="BP74" s="51"/>
      <c r="BQ74" s="52"/>
      <c r="BU74" s="51"/>
      <c r="BV74" s="52"/>
      <c r="BZ74" s="51"/>
      <c r="CA74" s="52"/>
      <c r="CE74" s="51"/>
      <c r="CF74" s="52"/>
      <c r="CJ74" s="51"/>
      <c r="CK74" s="52"/>
      <c r="CO74" s="51"/>
      <c r="CP74" s="52"/>
      <c r="CT74" s="51"/>
      <c r="CU74" s="52"/>
      <c r="CY74" s="51"/>
      <c r="CZ74" s="52"/>
      <c r="DC74" s="51"/>
      <c r="DE74" s="52"/>
      <c r="DI74" s="51"/>
      <c r="DJ74" s="52"/>
      <c r="DN74" s="51"/>
      <c r="DO74" s="52"/>
      <c r="DS74" s="51"/>
      <c r="DT74" s="52"/>
      <c r="DX74" s="51"/>
      <c r="DY74" s="52"/>
      <c r="EC74" s="51"/>
      <c r="ED74" s="52"/>
      <c r="EH74" s="51"/>
      <c r="EI74" s="52"/>
      <c r="EM74" s="51"/>
      <c r="EN74" s="52"/>
      <c r="ER74" s="51"/>
      <c r="ES74" s="52"/>
      <c r="EW74" s="51"/>
      <c r="EX74" s="52"/>
      <c r="FB74" s="51"/>
      <c r="FC74" s="52"/>
      <c r="FG74" s="51"/>
      <c r="FH74" s="52"/>
      <c r="FL74" s="51"/>
      <c r="FM74" s="52"/>
      <c r="FQ74" s="51"/>
      <c r="FR74" s="52"/>
      <c r="FV74" s="51"/>
      <c r="FW74" s="52"/>
      <c r="GA74" s="51"/>
      <c r="GB74" s="52"/>
    </row>
    <row r="75" spans="3:184" x14ac:dyDescent="0.2">
      <c r="C75" s="51"/>
      <c r="D75" s="52"/>
      <c r="H75" s="51"/>
      <c r="I75" s="52"/>
      <c r="M75" s="51"/>
      <c r="N75" s="52"/>
      <c r="R75" s="51"/>
      <c r="S75" s="52"/>
      <c r="W75" s="51"/>
      <c r="X75" s="52"/>
      <c r="AB75" s="51"/>
      <c r="AC75" s="52"/>
      <c r="AG75" s="51"/>
      <c r="AH75" s="52"/>
      <c r="AL75" s="51"/>
      <c r="AM75" s="52"/>
      <c r="AQ75" s="51"/>
      <c r="AR75" s="52"/>
      <c r="AV75" s="51"/>
      <c r="AW75" s="52"/>
      <c r="BA75" s="51"/>
      <c r="BB75" s="52"/>
      <c r="BF75" s="51"/>
      <c r="BG75" s="52"/>
      <c r="BK75" s="51"/>
      <c r="BL75" s="52"/>
      <c r="BP75" s="51"/>
      <c r="BQ75" s="52"/>
      <c r="BU75" s="51"/>
      <c r="BV75" s="52"/>
      <c r="BZ75" s="51"/>
      <c r="CA75" s="52"/>
      <c r="CE75" s="51"/>
      <c r="CF75" s="52"/>
      <c r="CJ75" s="51"/>
      <c r="CK75" s="52"/>
      <c r="CO75" s="51"/>
      <c r="CP75" s="52"/>
      <c r="CT75" s="51"/>
      <c r="CU75" s="52"/>
      <c r="CY75" s="51"/>
      <c r="CZ75" s="52"/>
      <c r="DC75" s="51"/>
      <c r="DE75" s="52"/>
      <c r="DI75" s="51"/>
      <c r="DJ75" s="52"/>
      <c r="DN75" s="51"/>
      <c r="DO75" s="52"/>
      <c r="DS75" s="51"/>
      <c r="DT75" s="52"/>
      <c r="DX75" s="51"/>
      <c r="DY75" s="52"/>
      <c r="EC75" s="51"/>
      <c r="ED75" s="52"/>
      <c r="EH75" s="51"/>
      <c r="EI75" s="52"/>
      <c r="EM75" s="51"/>
      <c r="EN75" s="52"/>
      <c r="ER75" s="51"/>
      <c r="ES75" s="52"/>
      <c r="EW75" s="51"/>
      <c r="EX75" s="52"/>
      <c r="FB75" s="51"/>
      <c r="FC75" s="52"/>
      <c r="FG75" s="51"/>
      <c r="FH75" s="52"/>
      <c r="FL75" s="51"/>
      <c r="FM75" s="52"/>
      <c r="FQ75" s="51"/>
      <c r="FR75" s="52"/>
      <c r="FV75" s="51"/>
      <c r="FW75" s="52"/>
      <c r="GA75" s="51"/>
      <c r="GB75" s="52"/>
    </row>
    <row r="76" spans="3:184" x14ac:dyDescent="0.2">
      <c r="C76" s="51"/>
      <c r="D76" s="52"/>
      <c r="H76" s="51"/>
      <c r="I76" s="52"/>
      <c r="M76" s="51"/>
      <c r="N76" s="52"/>
      <c r="R76" s="51"/>
      <c r="S76" s="52"/>
      <c r="W76" s="51"/>
      <c r="X76" s="52"/>
      <c r="AB76" s="51"/>
      <c r="AC76" s="52"/>
      <c r="AG76" s="51"/>
      <c r="AH76" s="52"/>
      <c r="AL76" s="51"/>
      <c r="AM76" s="52"/>
      <c r="AQ76" s="51"/>
      <c r="AR76" s="52"/>
      <c r="AV76" s="51"/>
      <c r="AW76" s="52"/>
      <c r="BA76" s="51"/>
      <c r="BB76" s="52"/>
      <c r="BF76" s="51"/>
      <c r="BG76" s="52"/>
      <c r="BK76" s="51"/>
      <c r="BL76" s="52"/>
      <c r="BP76" s="51"/>
      <c r="BQ76" s="52"/>
      <c r="BU76" s="51"/>
      <c r="BV76" s="52"/>
      <c r="BZ76" s="51"/>
      <c r="CA76" s="52"/>
      <c r="CE76" s="51"/>
      <c r="CF76" s="52"/>
      <c r="CJ76" s="51"/>
      <c r="CK76" s="52"/>
      <c r="CO76" s="51"/>
      <c r="CP76" s="52"/>
      <c r="CT76" s="51"/>
      <c r="CU76" s="52"/>
      <c r="CY76" s="51"/>
      <c r="CZ76" s="52"/>
      <c r="DC76" s="51"/>
      <c r="DE76" s="52"/>
      <c r="DI76" s="51"/>
      <c r="DJ76" s="52"/>
      <c r="DN76" s="51"/>
      <c r="DO76" s="52"/>
      <c r="DS76" s="51"/>
      <c r="DT76" s="52"/>
      <c r="DX76" s="51"/>
      <c r="DY76" s="52"/>
      <c r="EC76" s="51"/>
      <c r="ED76" s="52"/>
      <c r="EH76" s="51"/>
      <c r="EI76" s="52"/>
      <c r="EM76" s="51"/>
      <c r="EN76" s="52"/>
      <c r="ER76" s="51"/>
      <c r="ES76" s="52"/>
      <c r="EW76" s="51"/>
      <c r="EX76" s="52"/>
      <c r="FB76" s="51"/>
      <c r="FC76" s="52"/>
      <c r="FG76" s="51"/>
      <c r="FH76" s="52"/>
      <c r="FL76" s="51"/>
      <c r="FM76" s="52"/>
      <c r="FQ76" s="51"/>
      <c r="FR76" s="52"/>
      <c r="FV76" s="51"/>
      <c r="FW76" s="52"/>
      <c r="GA76" s="51"/>
      <c r="GB76" s="52"/>
    </row>
    <row r="77" spans="3:184" x14ac:dyDescent="0.2">
      <c r="C77" s="51"/>
      <c r="D77" s="52"/>
      <c r="H77" s="51"/>
      <c r="I77" s="52"/>
      <c r="M77" s="51"/>
      <c r="N77" s="52"/>
      <c r="R77" s="51"/>
      <c r="S77" s="52"/>
      <c r="W77" s="51"/>
      <c r="X77" s="52"/>
      <c r="AB77" s="51"/>
      <c r="AC77" s="52"/>
      <c r="AG77" s="51"/>
      <c r="AH77" s="52"/>
      <c r="AL77" s="51"/>
      <c r="AM77" s="52"/>
      <c r="AQ77" s="51"/>
      <c r="AR77" s="52"/>
      <c r="AV77" s="51"/>
      <c r="AW77" s="52"/>
      <c r="BA77" s="51"/>
      <c r="BB77" s="52"/>
      <c r="BF77" s="51"/>
      <c r="BG77" s="52"/>
      <c r="BK77" s="51"/>
      <c r="BL77" s="52"/>
      <c r="BP77" s="51"/>
      <c r="BQ77" s="52"/>
      <c r="BU77" s="51"/>
      <c r="BV77" s="52"/>
      <c r="BZ77" s="51"/>
      <c r="CA77" s="52"/>
      <c r="CE77" s="51"/>
      <c r="CF77" s="52"/>
      <c r="CJ77" s="51"/>
      <c r="CK77" s="52"/>
      <c r="CO77" s="51"/>
      <c r="CP77" s="52"/>
      <c r="CT77" s="51"/>
      <c r="CU77" s="52"/>
      <c r="CY77" s="51"/>
      <c r="CZ77" s="52"/>
      <c r="DC77" s="51"/>
      <c r="DE77" s="52"/>
      <c r="DI77" s="51"/>
      <c r="DJ77" s="52"/>
      <c r="DN77" s="51"/>
      <c r="DO77" s="52"/>
      <c r="DS77" s="51"/>
      <c r="DT77" s="52"/>
      <c r="DX77" s="51"/>
      <c r="DY77" s="52"/>
      <c r="EC77" s="51"/>
      <c r="ED77" s="52"/>
      <c r="EH77" s="51"/>
      <c r="EI77" s="52"/>
      <c r="EM77" s="51"/>
      <c r="EN77" s="52"/>
      <c r="ER77" s="51"/>
      <c r="ES77" s="52"/>
      <c r="EW77" s="51"/>
      <c r="EX77" s="52"/>
      <c r="FB77" s="51"/>
      <c r="FC77" s="52"/>
      <c r="FG77" s="51"/>
      <c r="FH77" s="52"/>
      <c r="FL77" s="51"/>
      <c r="FM77" s="52"/>
      <c r="FQ77" s="51"/>
      <c r="FR77" s="52"/>
      <c r="FV77" s="51"/>
      <c r="FW77" s="52"/>
      <c r="GA77" s="51"/>
      <c r="GB77" s="52"/>
    </row>
    <row r="78" spans="3:184" x14ac:dyDescent="0.2">
      <c r="C78" s="51"/>
      <c r="D78" s="52"/>
      <c r="H78" s="51"/>
      <c r="I78" s="52"/>
      <c r="M78" s="51"/>
      <c r="N78" s="52"/>
      <c r="R78" s="51"/>
      <c r="S78" s="52"/>
      <c r="W78" s="51"/>
      <c r="X78" s="52"/>
      <c r="AB78" s="51"/>
      <c r="AC78" s="52"/>
      <c r="AG78" s="51"/>
      <c r="AH78" s="52"/>
      <c r="AL78" s="51"/>
      <c r="AM78" s="52"/>
      <c r="AQ78" s="51"/>
      <c r="AR78" s="52"/>
      <c r="AV78" s="51"/>
      <c r="AW78" s="52"/>
      <c r="BA78" s="51"/>
      <c r="BB78" s="52"/>
      <c r="BF78" s="51"/>
      <c r="BG78" s="52"/>
      <c r="BK78" s="51"/>
      <c r="BL78" s="52"/>
      <c r="BP78" s="51"/>
      <c r="BQ78" s="52"/>
      <c r="BU78" s="51"/>
      <c r="BV78" s="52"/>
      <c r="BZ78" s="51"/>
      <c r="CA78" s="52"/>
      <c r="CE78" s="51"/>
      <c r="CF78" s="52"/>
      <c r="CJ78" s="51"/>
      <c r="CK78" s="52"/>
      <c r="CO78" s="51"/>
      <c r="CP78" s="52"/>
      <c r="CT78" s="51"/>
      <c r="CU78" s="52"/>
      <c r="CY78" s="51"/>
      <c r="CZ78" s="52"/>
      <c r="DC78" s="51"/>
      <c r="DE78" s="52"/>
      <c r="DI78" s="51"/>
      <c r="DJ78" s="52"/>
      <c r="DN78" s="51"/>
      <c r="DO78" s="52"/>
      <c r="DS78" s="51"/>
      <c r="DT78" s="52"/>
      <c r="DX78" s="51"/>
      <c r="DY78" s="52"/>
      <c r="EC78" s="51"/>
      <c r="ED78" s="52"/>
      <c r="EH78" s="51"/>
      <c r="EI78" s="52"/>
      <c r="EM78" s="51"/>
      <c r="EN78" s="52"/>
      <c r="ER78" s="51"/>
      <c r="ES78" s="52"/>
      <c r="EW78" s="51"/>
      <c r="EX78" s="52"/>
      <c r="FB78" s="51"/>
      <c r="FC78" s="52"/>
      <c r="FG78" s="51"/>
      <c r="FH78" s="52"/>
      <c r="FL78" s="51"/>
      <c r="FM78" s="52"/>
      <c r="FQ78" s="51"/>
      <c r="FR78" s="52"/>
      <c r="FV78" s="51"/>
      <c r="FW78" s="52"/>
      <c r="GA78" s="51"/>
      <c r="GB78" s="52"/>
    </row>
    <row r="79" spans="3:184" x14ac:dyDescent="0.2">
      <c r="C79" s="51"/>
      <c r="D79" s="52"/>
      <c r="H79" s="51"/>
      <c r="I79" s="52"/>
      <c r="M79" s="51"/>
      <c r="N79" s="52"/>
      <c r="R79" s="51"/>
      <c r="S79" s="52"/>
      <c r="W79" s="51"/>
      <c r="X79" s="52"/>
      <c r="AB79" s="51"/>
      <c r="AC79" s="52"/>
      <c r="AG79" s="51"/>
      <c r="AH79" s="52"/>
      <c r="AL79" s="51"/>
      <c r="AM79" s="52"/>
      <c r="AQ79" s="51"/>
      <c r="AR79" s="52"/>
      <c r="AV79" s="51"/>
      <c r="AW79" s="52"/>
      <c r="BA79" s="51"/>
      <c r="BB79" s="52"/>
      <c r="BF79" s="51"/>
      <c r="BG79" s="52"/>
      <c r="BK79" s="51"/>
      <c r="BL79" s="52"/>
      <c r="BP79" s="51"/>
      <c r="BQ79" s="52"/>
      <c r="BU79" s="51"/>
      <c r="BV79" s="52"/>
      <c r="BZ79" s="51"/>
      <c r="CA79" s="52"/>
      <c r="CE79" s="51"/>
      <c r="CF79" s="52"/>
      <c r="CJ79" s="51"/>
      <c r="CK79" s="52"/>
      <c r="CO79" s="51"/>
      <c r="CP79" s="52"/>
      <c r="CT79" s="51"/>
      <c r="CU79" s="52"/>
      <c r="CY79" s="51"/>
      <c r="CZ79" s="52"/>
      <c r="DC79" s="51"/>
      <c r="DE79" s="52"/>
      <c r="DI79" s="51"/>
      <c r="DJ79" s="52"/>
      <c r="DN79" s="51"/>
      <c r="DO79" s="52"/>
      <c r="DS79" s="51"/>
      <c r="DT79" s="52"/>
      <c r="DX79" s="51"/>
      <c r="DY79" s="52"/>
      <c r="EC79" s="51"/>
      <c r="ED79" s="52"/>
      <c r="EH79" s="51"/>
      <c r="EI79" s="52"/>
      <c r="EM79" s="51"/>
      <c r="EN79" s="52"/>
      <c r="ER79" s="51"/>
      <c r="ES79" s="52"/>
      <c r="EW79" s="51"/>
      <c r="EX79" s="52"/>
      <c r="FB79" s="51"/>
      <c r="FC79" s="52"/>
      <c r="FG79" s="51"/>
      <c r="FH79" s="52"/>
      <c r="FL79" s="51"/>
      <c r="FM79" s="52"/>
      <c r="FQ79" s="51"/>
      <c r="FR79" s="52"/>
      <c r="FV79" s="51"/>
      <c r="FW79" s="52"/>
      <c r="GA79" s="51"/>
      <c r="GB79" s="52"/>
    </row>
    <row r="80" spans="3:184" x14ac:dyDescent="0.2">
      <c r="C80" s="51"/>
      <c r="D80" s="52"/>
      <c r="H80" s="51"/>
      <c r="I80" s="52"/>
      <c r="M80" s="51"/>
      <c r="N80" s="52"/>
      <c r="R80" s="51"/>
      <c r="S80" s="52"/>
      <c r="W80" s="51"/>
      <c r="X80" s="52"/>
      <c r="AB80" s="51"/>
      <c r="AC80" s="52"/>
      <c r="AG80" s="51"/>
      <c r="AH80" s="52"/>
      <c r="AL80" s="51"/>
      <c r="AM80" s="52"/>
      <c r="AQ80" s="51"/>
      <c r="AR80" s="52"/>
      <c r="AV80" s="51"/>
      <c r="AW80" s="52"/>
      <c r="BA80" s="51"/>
      <c r="BB80" s="52"/>
      <c r="BF80" s="51"/>
      <c r="BG80" s="52"/>
      <c r="BK80" s="51"/>
      <c r="BL80" s="52"/>
      <c r="BP80" s="51"/>
      <c r="BQ80" s="52"/>
      <c r="BU80" s="51"/>
      <c r="BV80" s="52"/>
      <c r="BZ80" s="51"/>
      <c r="CA80" s="52"/>
      <c r="CE80" s="51"/>
      <c r="CF80" s="52"/>
      <c r="CJ80" s="51"/>
      <c r="CK80" s="52"/>
      <c r="CO80" s="51"/>
      <c r="CP80" s="52"/>
      <c r="CT80" s="51"/>
      <c r="CU80" s="52"/>
      <c r="CY80" s="51"/>
      <c r="CZ80" s="52"/>
      <c r="DC80" s="51"/>
      <c r="DE80" s="52"/>
      <c r="DI80" s="51"/>
      <c r="DJ80" s="52"/>
      <c r="DN80" s="51"/>
      <c r="DO80" s="52"/>
      <c r="DS80" s="51"/>
      <c r="DT80" s="52"/>
      <c r="DX80" s="51"/>
      <c r="DY80" s="52"/>
      <c r="EC80" s="51"/>
      <c r="ED80" s="52"/>
      <c r="EH80" s="51"/>
      <c r="EI80" s="52"/>
      <c r="EM80" s="51"/>
      <c r="EN80" s="52"/>
      <c r="ER80" s="51"/>
      <c r="ES80" s="52"/>
      <c r="EW80" s="51"/>
      <c r="EX80" s="52"/>
      <c r="FB80" s="51"/>
      <c r="FC80" s="52"/>
      <c r="FG80" s="51"/>
      <c r="FH80" s="52"/>
      <c r="FL80" s="51"/>
      <c r="FM80" s="52"/>
      <c r="FQ80" s="51"/>
      <c r="FR80" s="52"/>
      <c r="FV80" s="51"/>
      <c r="FW80" s="52"/>
      <c r="GA80" s="51"/>
      <c r="GB80" s="52"/>
    </row>
    <row r="81" spans="3:184" x14ac:dyDescent="0.2">
      <c r="C81" s="51"/>
      <c r="D81" s="52"/>
      <c r="H81" s="51"/>
      <c r="I81" s="52"/>
      <c r="M81" s="51"/>
      <c r="N81" s="52"/>
      <c r="R81" s="51"/>
      <c r="S81" s="52"/>
      <c r="W81" s="51"/>
      <c r="X81" s="52"/>
      <c r="AB81" s="51"/>
      <c r="AC81" s="52"/>
      <c r="AG81" s="51"/>
      <c r="AH81" s="52"/>
      <c r="AL81" s="51"/>
      <c r="AM81" s="52"/>
      <c r="AQ81" s="51"/>
      <c r="AR81" s="52"/>
      <c r="AV81" s="51"/>
      <c r="AW81" s="52"/>
      <c r="BA81" s="51"/>
      <c r="BB81" s="52"/>
      <c r="BF81" s="51"/>
      <c r="BG81" s="52"/>
      <c r="BK81" s="51"/>
      <c r="BL81" s="52"/>
      <c r="BP81" s="51"/>
      <c r="BQ81" s="52"/>
      <c r="BU81" s="51"/>
      <c r="BV81" s="52"/>
      <c r="BZ81" s="51"/>
      <c r="CA81" s="52"/>
      <c r="CE81" s="51"/>
      <c r="CF81" s="52"/>
      <c r="CJ81" s="51"/>
      <c r="CK81" s="52"/>
      <c r="CO81" s="51"/>
      <c r="CP81" s="52"/>
      <c r="CT81" s="51"/>
      <c r="CU81" s="52"/>
      <c r="CY81" s="51"/>
      <c r="CZ81" s="52"/>
      <c r="DC81" s="51"/>
      <c r="DE81" s="52"/>
      <c r="DI81" s="51"/>
      <c r="DJ81" s="52"/>
      <c r="DN81" s="51"/>
      <c r="DO81" s="52"/>
      <c r="DS81" s="51"/>
      <c r="DT81" s="52"/>
      <c r="DX81" s="51"/>
      <c r="DY81" s="52"/>
      <c r="EC81" s="51"/>
      <c r="ED81" s="52"/>
      <c r="EH81" s="51"/>
      <c r="EI81" s="52"/>
      <c r="EM81" s="51"/>
      <c r="EN81" s="52"/>
      <c r="ER81" s="51"/>
      <c r="ES81" s="52"/>
      <c r="EW81" s="51"/>
      <c r="EX81" s="52"/>
      <c r="FB81" s="51"/>
      <c r="FC81" s="52"/>
      <c r="FG81" s="51"/>
      <c r="FH81" s="52"/>
      <c r="FL81" s="51"/>
      <c r="FM81" s="52"/>
      <c r="FQ81" s="51"/>
      <c r="FR81" s="52"/>
      <c r="FV81" s="51"/>
      <c r="FW81" s="52"/>
      <c r="GA81" s="51"/>
      <c r="GB81" s="52"/>
    </row>
    <row r="82" spans="3:184" x14ac:dyDescent="0.2">
      <c r="C82" s="51"/>
      <c r="D82" s="52"/>
      <c r="H82" s="51"/>
      <c r="I82" s="52"/>
      <c r="M82" s="51"/>
      <c r="N82" s="52"/>
      <c r="R82" s="51"/>
      <c r="S82" s="52"/>
      <c r="W82" s="51"/>
      <c r="X82" s="52"/>
      <c r="AB82" s="51"/>
      <c r="AC82" s="52"/>
      <c r="AG82" s="51"/>
      <c r="AH82" s="52"/>
      <c r="AL82" s="51"/>
      <c r="AM82" s="52"/>
      <c r="AQ82" s="51"/>
      <c r="AR82" s="52"/>
      <c r="AV82" s="51"/>
      <c r="AW82" s="52"/>
      <c r="BA82" s="51"/>
      <c r="BB82" s="52"/>
      <c r="BF82" s="51"/>
      <c r="BG82" s="52"/>
      <c r="BK82" s="51"/>
      <c r="BL82" s="52"/>
      <c r="BP82" s="51"/>
      <c r="BQ82" s="52"/>
      <c r="BU82" s="51"/>
      <c r="BV82" s="52"/>
      <c r="BZ82" s="51"/>
      <c r="CA82" s="52"/>
      <c r="CE82" s="51"/>
      <c r="CF82" s="52"/>
      <c r="CJ82" s="51"/>
      <c r="CK82" s="52"/>
      <c r="CO82" s="51"/>
      <c r="CP82" s="52"/>
      <c r="CT82" s="51"/>
      <c r="CU82" s="52"/>
      <c r="CY82" s="51"/>
      <c r="CZ82" s="52"/>
      <c r="DC82" s="51"/>
      <c r="DE82" s="52"/>
      <c r="DI82" s="51"/>
      <c r="DJ82" s="52"/>
      <c r="DN82" s="51"/>
      <c r="DO82" s="52"/>
      <c r="DS82" s="51"/>
      <c r="DT82" s="52"/>
      <c r="DX82" s="51"/>
      <c r="DY82" s="52"/>
      <c r="EC82" s="51"/>
      <c r="ED82" s="52"/>
      <c r="EH82" s="51"/>
      <c r="EI82" s="52"/>
      <c r="EM82" s="51"/>
      <c r="EN82" s="52"/>
      <c r="ER82" s="51"/>
      <c r="ES82" s="52"/>
      <c r="EW82" s="51"/>
      <c r="EX82" s="52"/>
      <c r="FB82" s="51"/>
      <c r="FC82" s="52"/>
      <c r="FG82" s="51"/>
      <c r="FH82" s="52"/>
      <c r="FL82" s="51"/>
      <c r="FM82" s="52"/>
      <c r="FQ82" s="51"/>
      <c r="FR82" s="52"/>
      <c r="FV82" s="51"/>
      <c r="FW82" s="52"/>
      <c r="GA82" s="51"/>
      <c r="GB82" s="52"/>
    </row>
    <row r="83" spans="3:184" x14ac:dyDescent="0.2">
      <c r="C83" s="51"/>
      <c r="D83" s="52"/>
      <c r="H83" s="51"/>
      <c r="I83" s="52"/>
      <c r="M83" s="51"/>
      <c r="N83" s="52"/>
      <c r="R83" s="51"/>
      <c r="S83" s="52"/>
      <c r="W83" s="51"/>
      <c r="X83" s="52"/>
      <c r="AB83" s="51"/>
      <c r="AC83" s="52"/>
      <c r="AG83" s="51"/>
      <c r="AH83" s="52"/>
      <c r="AL83" s="51"/>
      <c r="AM83" s="52"/>
      <c r="AQ83" s="51"/>
      <c r="AR83" s="52"/>
      <c r="AV83" s="51"/>
      <c r="AW83" s="52"/>
      <c r="BA83" s="51"/>
      <c r="BB83" s="52"/>
      <c r="BF83" s="51"/>
      <c r="BG83" s="52"/>
      <c r="BK83" s="51"/>
      <c r="BL83" s="52"/>
      <c r="BP83" s="51"/>
      <c r="BQ83" s="52"/>
      <c r="BU83" s="51"/>
      <c r="BV83" s="52"/>
      <c r="BZ83" s="51"/>
      <c r="CA83" s="52"/>
      <c r="CE83" s="51"/>
      <c r="CF83" s="52"/>
      <c r="CJ83" s="51"/>
      <c r="CK83" s="52"/>
      <c r="CO83" s="51"/>
      <c r="CP83" s="52"/>
      <c r="CT83" s="51"/>
      <c r="CU83" s="52"/>
      <c r="CY83" s="51"/>
      <c r="CZ83" s="52"/>
      <c r="DC83" s="51"/>
      <c r="DE83" s="52"/>
      <c r="DI83" s="51"/>
      <c r="DJ83" s="52"/>
      <c r="DN83" s="51"/>
      <c r="DO83" s="52"/>
      <c r="DS83" s="51"/>
      <c r="DT83" s="52"/>
      <c r="DX83" s="51"/>
      <c r="DY83" s="52"/>
      <c r="EC83" s="51"/>
      <c r="ED83" s="52"/>
      <c r="EH83" s="51"/>
      <c r="EI83" s="52"/>
      <c r="EM83" s="51"/>
      <c r="EN83" s="52"/>
      <c r="ER83" s="51"/>
      <c r="ES83" s="52"/>
      <c r="EW83" s="51"/>
      <c r="EX83" s="52"/>
      <c r="FB83" s="51"/>
      <c r="FC83" s="52"/>
      <c r="FG83" s="51"/>
      <c r="FH83" s="52"/>
      <c r="FL83" s="51"/>
      <c r="FM83" s="52"/>
      <c r="FQ83" s="51"/>
      <c r="FR83" s="52"/>
      <c r="FV83" s="51"/>
      <c r="FW83" s="52"/>
      <c r="GA83" s="51"/>
      <c r="GB83" s="52"/>
    </row>
    <row r="84" spans="3:184" x14ac:dyDescent="0.2">
      <c r="C84" s="51"/>
      <c r="D84" s="52"/>
      <c r="H84" s="51"/>
      <c r="I84" s="52"/>
      <c r="M84" s="51"/>
      <c r="N84" s="52"/>
      <c r="R84" s="51"/>
      <c r="S84" s="52"/>
      <c r="W84" s="51"/>
      <c r="X84" s="52"/>
      <c r="AB84" s="51"/>
      <c r="AC84" s="52"/>
      <c r="AG84" s="51"/>
      <c r="AH84" s="52"/>
      <c r="AL84" s="51"/>
      <c r="AM84" s="52"/>
      <c r="AQ84" s="51"/>
      <c r="AR84" s="52"/>
      <c r="AV84" s="51"/>
      <c r="AW84" s="52"/>
      <c r="BA84" s="51"/>
      <c r="BB84" s="52"/>
      <c r="BF84" s="51"/>
      <c r="BG84" s="52"/>
      <c r="BK84" s="51"/>
      <c r="BL84" s="52"/>
      <c r="BP84" s="51"/>
      <c r="BQ84" s="52"/>
      <c r="BU84" s="51"/>
      <c r="BV84" s="52"/>
      <c r="BZ84" s="51"/>
      <c r="CA84" s="52"/>
      <c r="CE84" s="51"/>
      <c r="CF84" s="52"/>
      <c r="CJ84" s="51"/>
      <c r="CK84" s="52"/>
      <c r="CO84" s="51"/>
      <c r="CP84" s="52"/>
      <c r="CT84" s="51"/>
      <c r="CU84" s="52"/>
      <c r="CY84" s="51"/>
      <c r="CZ84" s="52"/>
      <c r="DC84" s="51"/>
      <c r="DE84" s="52"/>
      <c r="DI84" s="51"/>
      <c r="DJ84" s="52"/>
      <c r="DN84" s="51"/>
      <c r="DO84" s="52"/>
      <c r="DS84" s="51"/>
      <c r="DT84" s="52"/>
      <c r="DX84" s="51"/>
      <c r="DY84" s="52"/>
      <c r="EC84" s="51"/>
      <c r="ED84" s="52"/>
      <c r="EH84" s="51"/>
      <c r="EI84" s="52"/>
      <c r="EM84" s="51"/>
      <c r="EN84" s="52"/>
      <c r="ER84" s="51"/>
      <c r="ES84" s="52"/>
      <c r="EW84" s="51"/>
      <c r="EX84" s="52"/>
      <c r="FB84" s="51"/>
      <c r="FC84" s="52"/>
      <c r="FG84" s="51"/>
      <c r="FH84" s="52"/>
      <c r="FL84" s="51"/>
      <c r="FM84" s="52"/>
      <c r="FQ84" s="51"/>
      <c r="FR84" s="52"/>
      <c r="FV84" s="51"/>
      <c r="FW84" s="52"/>
      <c r="GA84" s="51"/>
      <c r="GB84" s="52"/>
    </row>
    <row r="85" spans="3:184" x14ac:dyDescent="0.2">
      <c r="C85" s="51"/>
      <c r="D85" s="52"/>
      <c r="H85" s="51"/>
      <c r="I85" s="52"/>
      <c r="M85" s="51"/>
      <c r="N85" s="52"/>
      <c r="R85" s="51"/>
      <c r="S85" s="52"/>
      <c r="W85" s="51"/>
      <c r="X85" s="52"/>
      <c r="AB85" s="51"/>
      <c r="AC85" s="52"/>
      <c r="AG85" s="51"/>
      <c r="AH85" s="52"/>
      <c r="AL85" s="51"/>
      <c r="AM85" s="52"/>
      <c r="AQ85" s="51"/>
      <c r="AR85" s="52"/>
      <c r="AV85" s="51"/>
      <c r="AW85" s="52"/>
      <c r="BA85" s="51"/>
      <c r="BB85" s="52"/>
      <c r="BF85" s="51"/>
      <c r="BG85" s="52"/>
      <c r="BK85" s="51"/>
      <c r="BL85" s="52"/>
      <c r="BP85" s="51"/>
      <c r="BQ85" s="52"/>
      <c r="BU85" s="51"/>
      <c r="BV85" s="52"/>
      <c r="BZ85" s="51"/>
      <c r="CA85" s="52"/>
      <c r="CE85" s="51"/>
      <c r="CF85" s="52"/>
      <c r="CJ85" s="51"/>
      <c r="CK85" s="52"/>
      <c r="CO85" s="51"/>
      <c r="CP85" s="52"/>
      <c r="CT85" s="51"/>
      <c r="CU85" s="52"/>
      <c r="CY85" s="51"/>
      <c r="CZ85" s="52"/>
      <c r="DC85" s="51"/>
      <c r="DE85" s="52"/>
      <c r="DI85" s="51"/>
      <c r="DJ85" s="52"/>
      <c r="DN85" s="51"/>
      <c r="DO85" s="52"/>
      <c r="DS85" s="51"/>
      <c r="DT85" s="52"/>
      <c r="DX85" s="51"/>
      <c r="DY85" s="52"/>
      <c r="EC85" s="51"/>
      <c r="ED85" s="52"/>
      <c r="EH85" s="51"/>
      <c r="EI85" s="52"/>
      <c r="EM85" s="51"/>
      <c r="EN85" s="52"/>
      <c r="ER85" s="51"/>
      <c r="ES85" s="52"/>
      <c r="EW85" s="51"/>
      <c r="EX85" s="52"/>
      <c r="FB85" s="51"/>
      <c r="FC85" s="52"/>
      <c r="FG85" s="51"/>
      <c r="FH85" s="52"/>
      <c r="FL85" s="51"/>
      <c r="FM85" s="52"/>
      <c r="FQ85" s="51"/>
      <c r="FR85" s="52"/>
      <c r="FV85" s="51"/>
      <c r="FW85" s="52"/>
      <c r="GA85" s="51"/>
      <c r="GB85" s="52"/>
    </row>
    <row r="86" spans="3:184" x14ac:dyDescent="0.2">
      <c r="C86" s="51"/>
      <c r="D86" s="52"/>
      <c r="H86" s="51"/>
      <c r="I86" s="52"/>
      <c r="M86" s="51"/>
      <c r="N86" s="52"/>
      <c r="R86" s="51"/>
      <c r="S86" s="52"/>
      <c r="W86" s="51"/>
      <c r="X86" s="52"/>
      <c r="AB86" s="51"/>
      <c r="AC86" s="52"/>
      <c r="AG86" s="51"/>
      <c r="AH86" s="52"/>
      <c r="AL86" s="51"/>
      <c r="AM86" s="52"/>
      <c r="AQ86" s="51"/>
      <c r="AR86" s="52"/>
      <c r="AV86" s="51"/>
      <c r="AW86" s="52"/>
      <c r="BA86" s="51"/>
      <c r="BB86" s="52"/>
      <c r="BF86" s="51"/>
      <c r="BG86" s="52"/>
      <c r="BK86" s="51"/>
      <c r="BL86" s="52"/>
      <c r="BP86" s="51"/>
      <c r="BQ86" s="52"/>
      <c r="BU86" s="51"/>
      <c r="BV86" s="52"/>
      <c r="BZ86" s="51"/>
      <c r="CA86" s="52"/>
      <c r="CE86" s="51"/>
      <c r="CF86" s="52"/>
      <c r="CJ86" s="51"/>
      <c r="CK86" s="52"/>
      <c r="CO86" s="51"/>
      <c r="CP86" s="52"/>
      <c r="CT86" s="51"/>
      <c r="CU86" s="52"/>
      <c r="CY86" s="51"/>
      <c r="CZ86" s="52"/>
      <c r="DC86" s="51"/>
      <c r="DE86" s="52"/>
      <c r="DI86" s="51"/>
      <c r="DJ86" s="52"/>
      <c r="DN86" s="51"/>
      <c r="DO86" s="52"/>
      <c r="DS86" s="51"/>
      <c r="DT86" s="52"/>
      <c r="DX86" s="51"/>
      <c r="DY86" s="52"/>
      <c r="EC86" s="51"/>
      <c r="ED86" s="52"/>
      <c r="EH86" s="51"/>
      <c r="EI86" s="52"/>
      <c r="EM86" s="51"/>
      <c r="EN86" s="52"/>
      <c r="ER86" s="51"/>
      <c r="ES86" s="52"/>
      <c r="EW86" s="51"/>
      <c r="EX86" s="52"/>
      <c r="FB86" s="51"/>
      <c r="FC86" s="52"/>
      <c r="FG86" s="51"/>
      <c r="FH86" s="52"/>
      <c r="FL86" s="51"/>
      <c r="FM86" s="52"/>
      <c r="FQ86" s="51"/>
      <c r="FR86" s="52"/>
      <c r="FV86" s="51"/>
      <c r="FW86" s="52"/>
      <c r="GA86" s="51"/>
      <c r="GB86" s="52"/>
    </row>
    <row r="87" spans="3:184" x14ac:dyDescent="0.2">
      <c r="C87" s="51"/>
      <c r="D87" s="52"/>
      <c r="H87" s="51"/>
      <c r="I87" s="52"/>
      <c r="M87" s="51"/>
      <c r="N87" s="52"/>
      <c r="R87" s="51"/>
      <c r="S87" s="52"/>
      <c r="W87" s="51"/>
      <c r="X87" s="52"/>
      <c r="AB87" s="51"/>
      <c r="AC87" s="52"/>
      <c r="AG87" s="51"/>
      <c r="AH87" s="52"/>
      <c r="AL87" s="51"/>
      <c r="AM87" s="52"/>
      <c r="AQ87" s="51"/>
      <c r="AR87" s="52"/>
      <c r="AV87" s="51"/>
      <c r="AW87" s="52"/>
      <c r="BA87" s="51"/>
      <c r="BB87" s="52"/>
      <c r="BF87" s="51"/>
      <c r="BG87" s="52"/>
      <c r="BK87" s="51"/>
      <c r="BL87" s="52"/>
      <c r="BP87" s="51"/>
      <c r="BQ87" s="52"/>
      <c r="BU87" s="51"/>
      <c r="BV87" s="52"/>
      <c r="BZ87" s="51"/>
      <c r="CA87" s="52"/>
      <c r="CE87" s="51"/>
      <c r="CF87" s="52"/>
      <c r="CJ87" s="51"/>
      <c r="CK87" s="52"/>
      <c r="CO87" s="51"/>
      <c r="CP87" s="52"/>
      <c r="CT87" s="51"/>
      <c r="CU87" s="52"/>
      <c r="CY87" s="51"/>
      <c r="CZ87" s="52"/>
      <c r="DC87" s="51"/>
      <c r="DE87" s="52"/>
      <c r="DI87" s="51"/>
      <c r="DJ87" s="52"/>
      <c r="DN87" s="51"/>
      <c r="DO87" s="52"/>
      <c r="DS87" s="51"/>
      <c r="DT87" s="52"/>
      <c r="DX87" s="51"/>
      <c r="DY87" s="52"/>
      <c r="EC87" s="51"/>
      <c r="ED87" s="52"/>
      <c r="EH87" s="51"/>
      <c r="EI87" s="52"/>
      <c r="EM87" s="51"/>
      <c r="EN87" s="52"/>
      <c r="ER87" s="51"/>
      <c r="ES87" s="52"/>
      <c r="EW87" s="51"/>
      <c r="EX87" s="52"/>
      <c r="FB87" s="51"/>
      <c r="FC87" s="52"/>
      <c r="FG87" s="51"/>
      <c r="FH87" s="52"/>
      <c r="FL87" s="51"/>
      <c r="FM87" s="52"/>
      <c r="FQ87" s="51"/>
      <c r="FR87" s="52"/>
      <c r="FV87" s="51"/>
      <c r="FW87" s="52"/>
      <c r="GA87" s="51"/>
      <c r="GB87" s="52"/>
    </row>
    <row r="88" spans="3:184" x14ac:dyDescent="0.2">
      <c r="C88" s="51"/>
      <c r="D88" s="52"/>
      <c r="H88" s="51"/>
      <c r="I88" s="52"/>
      <c r="M88" s="51"/>
      <c r="N88" s="52"/>
      <c r="R88" s="51"/>
      <c r="S88" s="52"/>
      <c r="W88" s="51"/>
      <c r="X88" s="52"/>
      <c r="AB88" s="51"/>
      <c r="AC88" s="52"/>
      <c r="AG88" s="51"/>
      <c r="AH88" s="52"/>
      <c r="AL88" s="51"/>
      <c r="AM88" s="52"/>
      <c r="AQ88" s="51"/>
      <c r="AR88" s="52"/>
      <c r="AV88" s="51"/>
      <c r="AW88" s="52"/>
      <c r="BA88" s="51"/>
      <c r="BB88" s="52"/>
      <c r="BF88" s="51"/>
      <c r="BG88" s="52"/>
      <c r="BK88" s="51"/>
      <c r="BL88" s="52"/>
      <c r="BP88" s="51"/>
      <c r="BQ88" s="52"/>
      <c r="BU88" s="51"/>
      <c r="BV88" s="52"/>
      <c r="BZ88" s="51"/>
      <c r="CA88" s="52"/>
      <c r="CE88" s="51"/>
      <c r="CF88" s="52"/>
      <c r="CJ88" s="51"/>
      <c r="CK88" s="52"/>
      <c r="CO88" s="51"/>
      <c r="CP88" s="52"/>
      <c r="CT88" s="51"/>
      <c r="CU88" s="52"/>
      <c r="CY88" s="51"/>
      <c r="CZ88" s="52"/>
      <c r="DC88" s="51"/>
      <c r="DE88" s="52"/>
      <c r="DI88" s="51"/>
      <c r="DJ88" s="52"/>
      <c r="DN88" s="51"/>
      <c r="DO88" s="52"/>
      <c r="DS88" s="51"/>
      <c r="DT88" s="52"/>
      <c r="DX88" s="51"/>
      <c r="DY88" s="52"/>
      <c r="EC88" s="51"/>
      <c r="ED88" s="52"/>
      <c r="EH88" s="51"/>
      <c r="EI88" s="52"/>
      <c r="EM88" s="51"/>
      <c r="EN88" s="52"/>
      <c r="ER88" s="51"/>
      <c r="ES88" s="52"/>
      <c r="EW88" s="51"/>
      <c r="EX88" s="52"/>
      <c r="FB88" s="51"/>
      <c r="FC88" s="52"/>
      <c r="FG88" s="51"/>
      <c r="FH88" s="52"/>
      <c r="FL88" s="51"/>
      <c r="FM88" s="52"/>
      <c r="FQ88" s="51"/>
      <c r="FR88" s="52"/>
      <c r="FV88" s="51"/>
      <c r="FW88" s="52"/>
      <c r="GA88" s="51"/>
      <c r="GB88" s="52"/>
    </row>
    <row r="89" spans="3:184" x14ac:dyDescent="0.2">
      <c r="C89" s="51"/>
      <c r="D89" s="52"/>
      <c r="H89" s="51"/>
      <c r="I89" s="52"/>
      <c r="M89" s="51"/>
      <c r="N89" s="52"/>
      <c r="R89" s="51"/>
      <c r="S89" s="52"/>
      <c r="W89" s="51"/>
      <c r="X89" s="52"/>
      <c r="AB89" s="51"/>
      <c r="AC89" s="52"/>
      <c r="AG89" s="51"/>
      <c r="AH89" s="52"/>
      <c r="AL89" s="51"/>
      <c r="AM89" s="52"/>
      <c r="AQ89" s="51"/>
      <c r="AR89" s="52"/>
      <c r="AV89" s="51"/>
      <c r="AW89" s="52"/>
      <c r="BA89" s="51"/>
      <c r="BB89" s="52"/>
      <c r="BF89" s="51"/>
      <c r="BG89" s="52"/>
      <c r="BK89" s="51"/>
      <c r="BL89" s="52"/>
      <c r="BP89" s="51"/>
      <c r="BQ89" s="52"/>
      <c r="BU89" s="51"/>
      <c r="BV89" s="52"/>
      <c r="BZ89" s="51"/>
      <c r="CA89" s="52"/>
      <c r="CE89" s="51"/>
      <c r="CF89" s="52"/>
      <c r="CJ89" s="51"/>
      <c r="CK89" s="52"/>
      <c r="CO89" s="51"/>
      <c r="CP89" s="52"/>
      <c r="CT89" s="51"/>
      <c r="CU89" s="52"/>
      <c r="CY89" s="51"/>
      <c r="CZ89" s="52"/>
      <c r="DC89" s="51"/>
      <c r="DE89" s="52"/>
      <c r="DI89" s="51"/>
      <c r="DJ89" s="52"/>
      <c r="DN89" s="51"/>
      <c r="DO89" s="52"/>
      <c r="DS89" s="51"/>
      <c r="DT89" s="52"/>
      <c r="DX89" s="51"/>
      <c r="DY89" s="52"/>
      <c r="EC89" s="51"/>
      <c r="ED89" s="52"/>
      <c r="EH89" s="51"/>
      <c r="EI89" s="52"/>
      <c r="EM89" s="51"/>
      <c r="EN89" s="52"/>
      <c r="ER89" s="51"/>
      <c r="ES89" s="52"/>
      <c r="EW89" s="51"/>
      <c r="EX89" s="52"/>
      <c r="FB89" s="51"/>
      <c r="FC89" s="52"/>
      <c r="FG89" s="51"/>
      <c r="FH89" s="52"/>
      <c r="FL89" s="51"/>
      <c r="FM89" s="52"/>
      <c r="FQ89" s="51"/>
      <c r="FR89" s="52"/>
      <c r="FV89" s="51"/>
      <c r="FW89" s="52"/>
      <c r="GA89" s="51"/>
      <c r="GB89" s="52"/>
    </row>
    <row r="90" spans="3:184" x14ac:dyDescent="0.2">
      <c r="C90" s="51"/>
      <c r="D90" s="52"/>
      <c r="H90" s="51"/>
      <c r="I90" s="52"/>
      <c r="M90" s="51"/>
      <c r="N90" s="52"/>
      <c r="R90" s="51"/>
      <c r="S90" s="52"/>
      <c r="W90" s="51"/>
      <c r="X90" s="52"/>
      <c r="AB90" s="51"/>
      <c r="AC90" s="52"/>
      <c r="AG90" s="51"/>
      <c r="AH90" s="52"/>
      <c r="AL90" s="51"/>
      <c r="AM90" s="52"/>
      <c r="AQ90" s="51"/>
      <c r="AR90" s="52"/>
      <c r="AV90" s="51"/>
      <c r="AW90" s="52"/>
      <c r="BA90" s="51"/>
      <c r="BB90" s="52"/>
      <c r="BF90" s="51"/>
      <c r="BG90" s="52"/>
      <c r="BK90" s="51"/>
      <c r="BL90" s="52"/>
      <c r="BP90" s="51"/>
      <c r="BQ90" s="52"/>
      <c r="BU90" s="51"/>
      <c r="BV90" s="52"/>
      <c r="BZ90" s="51"/>
      <c r="CA90" s="52"/>
      <c r="CE90" s="51"/>
      <c r="CF90" s="52"/>
      <c r="CJ90" s="51"/>
      <c r="CK90" s="52"/>
      <c r="CO90" s="51"/>
      <c r="CP90" s="52"/>
      <c r="CT90" s="51"/>
      <c r="CU90" s="52"/>
      <c r="CY90" s="51"/>
      <c r="CZ90" s="52"/>
      <c r="DC90" s="51"/>
      <c r="DE90" s="52"/>
      <c r="DI90" s="51"/>
      <c r="DJ90" s="52"/>
      <c r="DN90" s="51"/>
      <c r="DO90" s="52"/>
      <c r="DS90" s="51"/>
      <c r="DT90" s="52"/>
      <c r="DX90" s="51"/>
      <c r="DY90" s="52"/>
      <c r="EC90" s="51"/>
      <c r="ED90" s="52"/>
      <c r="EH90" s="51"/>
      <c r="EI90" s="52"/>
      <c r="EM90" s="51"/>
      <c r="EN90" s="52"/>
      <c r="ER90" s="51"/>
      <c r="ES90" s="52"/>
      <c r="EW90" s="51"/>
      <c r="EX90" s="52"/>
      <c r="FB90" s="51"/>
      <c r="FC90" s="52"/>
      <c r="FG90" s="51"/>
      <c r="FH90" s="52"/>
      <c r="FL90" s="51"/>
      <c r="FM90" s="52"/>
      <c r="FQ90" s="51"/>
      <c r="FR90" s="52"/>
      <c r="FV90" s="51"/>
      <c r="FW90" s="52"/>
      <c r="GA90" s="51"/>
      <c r="GB90" s="52"/>
    </row>
    <row r="91" spans="3:184" x14ac:dyDescent="0.2">
      <c r="C91" s="51"/>
      <c r="D91" s="52"/>
      <c r="H91" s="51"/>
      <c r="I91" s="52"/>
      <c r="M91" s="51"/>
      <c r="N91" s="52"/>
      <c r="R91" s="51"/>
      <c r="S91" s="52"/>
      <c r="W91" s="51"/>
      <c r="X91" s="52"/>
      <c r="AB91" s="51"/>
      <c r="AC91" s="52"/>
      <c r="AG91" s="51"/>
      <c r="AH91" s="52"/>
      <c r="AL91" s="51"/>
      <c r="AM91" s="52"/>
      <c r="AQ91" s="51"/>
      <c r="AR91" s="52"/>
      <c r="AV91" s="51"/>
      <c r="AW91" s="52"/>
      <c r="BA91" s="51"/>
      <c r="BB91" s="52"/>
      <c r="BF91" s="51"/>
      <c r="BG91" s="52"/>
      <c r="BK91" s="51"/>
      <c r="BL91" s="52"/>
      <c r="BP91" s="51"/>
      <c r="BQ91" s="52"/>
      <c r="BU91" s="51"/>
      <c r="BV91" s="52"/>
      <c r="BZ91" s="51"/>
      <c r="CA91" s="52"/>
      <c r="CE91" s="51"/>
      <c r="CF91" s="52"/>
      <c r="CJ91" s="51"/>
      <c r="CK91" s="52"/>
      <c r="CO91" s="51"/>
      <c r="CP91" s="52"/>
      <c r="CT91" s="51"/>
      <c r="CU91" s="52"/>
      <c r="CY91" s="51"/>
      <c r="CZ91" s="52"/>
      <c r="DC91" s="51"/>
      <c r="DE91" s="52"/>
      <c r="DI91" s="51"/>
      <c r="DJ91" s="52"/>
      <c r="DN91" s="51"/>
      <c r="DO91" s="52"/>
      <c r="DS91" s="51"/>
      <c r="DT91" s="52"/>
      <c r="DX91" s="51"/>
      <c r="DY91" s="52"/>
      <c r="EC91" s="51"/>
      <c r="ED91" s="52"/>
      <c r="EH91" s="51"/>
      <c r="EI91" s="52"/>
      <c r="EM91" s="51"/>
      <c r="EN91" s="52"/>
      <c r="ER91" s="51"/>
      <c r="ES91" s="52"/>
      <c r="EW91" s="51"/>
      <c r="EX91" s="52"/>
      <c r="FB91" s="51"/>
      <c r="FC91" s="52"/>
      <c r="FG91" s="51"/>
      <c r="FH91" s="52"/>
      <c r="FL91" s="51"/>
      <c r="FM91" s="52"/>
      <c r="FQ91" s="51"/>
      <c r="FR91" s="52"/>
      <c r="FV91" s="51"/>
      <c r="FW91" s="52"/>
      <c r="GA91" s="51"/>
      <c r="GB91" s="52"/>
    </row>
    <row r="92" spans="3:184" x14ac:dyDescent="0.2">
      <c r="C92" s="51"/>
      <c r="D92" s="52"/>
      <c r="H92" s="51"/>
      <c r="I92" s="52"/>
      <c r="M92" s="51"/>
      <c r="N92" s="52"/>
      <c r="R92" s="51"/>
      <c r="S92" s="52"/>
      <c r="W92" s="51"/>
      <c r="X92" s="52"/>
      <c r="AB92" s="51"/>
      <c r="AC92" s="52"/>
      <c r="AG92" s="51"/>
      <c r="AH92" s="52"/>
      <c r="AL92" s="51"/>
      <c r="AM92" s="52"/>
      <c r="AQ92" s="51"/>
      <c r="AR92" s="52"/>
      <c r="AV92" s="51"/>
      <c r="AW92" s="52"/>
      <c r="BA92" s="51"/>
      <c r="BB92" s="52"/>
      <c r="BF92" s="51"/>
      <c r="BG92" s="52"/>
      <c r="BK92" s="51"/>
      <c r="BL92" s="52"/>
      <c r="BP92" s="51"/>
      <c r="BQ92" s="52"/>
      <c r="BU92" s="51"/>
      <c r="BV92" s="52"/>
      <c r="BZ92" s="51"/>
      <c r="CA92" s="52"/>
      <c r="CE92" s="51"/>
      <c r="CF92" s="52"/>
      <c r="CJ92" s="51"/>
      <c r="CK92" s="52"/>
      <c r="CO92" s="51"/>
      <c r="CP92" s="52"/>
      <c r="CT92" s="51"/>
      <c r="CU92" s="52"/>
      <c r="CY92" s="51"/>
      <c r="CZ92" s="52"/>
      <c r="DC92" s="51"/>
      <c r="DE92" s="52"/>
      <c r="DI92" s="51"/>
      <c r="DJ92" s="52"/>
      <c r="DN92" s="51"/>
      <c r="DO92" s="52"/>
      <c r="DS92" s="51"/>
      <c r="DT92" s="52"/>
      <c r="DX92" s="51"/>
      <c r="DY92" s="52"/>
      <c r="EC92" s="51"/>
      <c r="ED92" s="52"/>
      <c r="EH92" s="51"/>
      <c r="EI92" s="52"/>
      <c r="EM92" s="51"/>
      <c r="EN92" s="52"/>
      <c r="ER92" s="51"/>
      <c r="ES92" s="52"/>
      <c r="EW92" s="51"/>
      <c r="EX92" s="52"/>
      <c r="FB92" s="51"/>
      <c r="FC92" s="52"/>
      <c r="FG92" s="51"/>
      <c r="FH92" s="52"/>
      <c r="FL92" s="51"/>
      <c r="FM92" s="52"/>
      <c r="FQ92" s="51"/>
      <c r="FR92" s="52"/>
      <c r="FV92" s="51"/>
      <c r="FW92" s="52"/>
      <c r="GA92" s="51"/>
      <c r="GB92" s="52"/>
    </row>
    <row r="93" spans="3:184" x14ac:dyDescent="0.2">
      <c r="C93" s="51"/>
      <c r="D93" s="52"/>
      <c r="H93" s="51"/>
      <c r="I93" s="52"/>
      <c r="M93" s="51"/>
      <c r="N93" s="52"/>
      <c r="R93" s="51"/>
      <c r="S93" s="52"/>
      <c r="W93" s="51"/>
      <c r="X93" s="52"/>
      <c r="AB93" s="51"/>
      <c r="AC93" s="52"/>
      <c r="AG93" s="51"/>
      <c r="AH93" s="52"/>
      <c r="AL93" s="51"/>
      <c r="AM93" s="52"/>
      <c r="AQ93" s="51"/>
      <c r="AR93" s="52"/>
      <c r="AV93" s="51"/>
      <c r="AW93" s="52"/>
      <c r="BA93" s="51"/>
      <c r="BB93" s="52"/>
      <c r="BF93" s="51"/>
      <c r="BG93" s="52"/>
      <c r="BK93" s="51"/>
      <c r="BL93" s="52"/>
      <c r="BP93" s="51"/>
      <c r="BQ93" s="52"/>
      <c r="BU93" s="51"/>
      <c r="BV93" s="52"/>
      <c r="BZ93" s="51"/>
      <c r="CA93" s="52"/>
      <c r="CE93" s="51"/>
      <c r="CF93" s="52"/>
      <c r="CJ93" s="51"/>
      <c r="CK93" s="52"/>
      <c r="CO93" s="51"/>
      <c r="CP93" s="52"/>
      <c r="CT93" s="51"/>
      <c r="CU93" s="52"/>
      <c r="CY93" s="51"/>
      <c r="CZ93" s="52"/>
      <c r="DC93" s="51"/>
      <c r="DE93" s="52"/>
      <c r="DI93" s="51"/>
      <c r="DJ93" s="52"/>
      <c r="DN93" s="51"/>
      <c r="DO93" s="52"/>
      <c r="DS93" s="51"/>
      <c r="DT93" s="52"/>
      <c r="DX93" s="51"/>
      <c r="DY93" s="52"/>
      <c r="EC93" s="51"/>
      <c r="ED93" s="52"/>
      <c r="EH93" s="51"/>
      <c r="EI93" s="52"/>
      <c r="EM93" s="51"/>
      <c r="EN93" s="52"/>
      <c r="ER93" s="51"/>
      <c r="ES93" s="52"/>
      <c r="EW93" s="51"/>
      <c r="EX93" s="52"/>
      <c r="FB93" s="51"/>
      <c r="FC93" s="52"/>
      <c r="FG93" s="51"/>
      <c r="FH93" s="52"/>
      <c r="FL93" s="51"/>
      <c r="FM93" s="52"/>
      <c r="FQ93" s="51"/>
      <c r="FR93" s="52"/>
      <c r="FV93" s="51"/>
      <c r="FW93" s="52"/>
      <c r="GA93" s="51"/>
      <c r="GB93" s="52"/>
    </row>
    <row r="94" spans="3:184" x14ac:dyDescent="0.2">
      <c r="C94" s="51"/>
      <c r="D94" s="52"/>
      <c r="H94" s="51"/>
      <c r="I94" s="52"/>
      <c r="M94" s="51"/>
      <c r="N94" s="52"/>
      <c r="R94" s="51"/>
      <c r="S94" s="52"/>
      <c r="W94" s="51"/>
      <c r="X94" s="52"/>
      <c r="AB94" s="51"/>
      <c r="AC94" s="52"/>
      <c r="AG94" s="51"/>
      <c r="AH94" s="52"/>
      <c r="AL94" s="51"/>
      <c r="AM94" s="52"/>
      <c r="AQ94" s="51"/>
      <c r="AR94" s="52"/>
      <c r="AV94" s="51"/>
      <c r="AW94" s="52"/>
      <c r="BA94" s="51"/>
      <c r="BB94" s="52"/>
      <c r="BF94" s="51"/>
      <c r="BG94" s="52"/>
      <c r="BK94" s="51"/>
      <c r="BL94" s="52"/>
      <c r="BP94" s="51"/>
      <c r="BQ94" s="52"/>
      <c r="BU94" s="51"/>
      <c r="BV94" s="52"/>
      <c r="BZ94" s="51"/>
      <c r="CA94" s="52"/>
      <c r="CE94" s="51"/>
      <c r="CF94" s="52"/>
      <c r="CJ94" s="51"/>
      <c r="CK94" s="52"/>
      <c r="CO94" s="51"/>
      <c r="CP94" s="52"/>
      <c r="CT94" s="51"/>
      <c r="CU94" s="52"/>
      <c r="CY94" s="51"/>
      <c r="CZ94" s="52"/>
      <c r="DC94" s="51"/>
      <c r="DE94" s="52"/>
      <c r="DI94" s="51"/>
      <c r="DJ94" s="52"/>
      <c r="DN94" s="51"/>
      <c r="DO94" s="52"/>
      <c r="DS94" s="51"/>
      <c r="DT94" s="52"/>
      <c r="DX94" s="51"/>
      <c r="DY94" s="52"/>
      <c r="EC94" s="51"/>
      <c r="ED94" s="52"/>
      <c r="EH94" s="51"/>
      <c r="EI94" s="52"/>
      <c r="EM94" s="51"/>
      <c r="EN94" s="52"/>
      <c r="ER94" s="51"/>
      <c r="ES94" s="52"/>
      <c r="EW94" s="51"/>
      <c r="EX94" s="52"/>
      <c r="FB94" s="51"/>
      <c r="FC94" s="52"/>
      <c r="FG94" s="51"/>
      <c r="FH94" s="52"/>
      <c r="FL94" s="51"/>
      <c r="FM94" s="52"/>
      <c r="FQ94" s="51"/>
      <c r="FR94" s="52"/>
      <c r="FV94" s="51"/>
      <c r="FW94" s="52"/>
      <c r="GA94" s="51"/>
      <c r="GB94" s="52"/>
    </row>
    <row r="95" spans="3:184" x14ac:dyDescent="0.2">
      <c r="C95" s="51"/>
      <c r="D95" s="52"/>
      <c r="H95" s="51"/>
      <c r="I95" s="52"/>
      <c r="M95" s="51"/>
      <c r="N95" s="52"/>
      <c r="R95" s="51"/>
      <c r="S95" s="52"/>
      <c r="W95" s="51"/>
      <c r="X95" s="52"/>
      <c r="AB95" s="51"/>
      <c r="AC95" s="52"/>
      <c r="AG95" s="51"/>
      <c r="AH95" s="52"/>
      <c r="AL95" s="51"/>
      <c r="AM95" s="52"/>
      <c r="AQ95" s="51"/>
      <c r="AR95" s="52"/>
      <c r="AV95" s="51"/>
      <c r="AW95" s="52"/>
      <c r="BA95" s="51"/>
      <c r="BB95" s="52"/>
      <c r="BF95" s="51"/>
      <c r="BG95" s="52"/>
      <c r="BK95" s="51"/>
      <c r="BL95" s="52"/>
      <c r="BP95" s="51"/>
      <c r="BQ95" s="52"/>
      <c r="BU95" s="51"/>
      <c r="BV95" s="52"/>
      <c r="BZ95" s="51"/>
      <c r="CA95" s="52"/>
      <c r="CE95" s="51"/>
      <c r="CF95" s="52"/>
      <c r="CJ95" s="51"/>
      <c r="CK95" s="52"/>
      <c r="CO95" s="51"/>
      <c r="CP95" s="52"/>
      <c r="CT95" s="51"/>
      <c r="CU95" s="52"/>
      <c r="CY95" s="51"/>
      <c r="CZ95" s="52"/>
      <c r="DC95" s="51"/>
      <c r="DE95" s="52"/>
      <c r="DI95" s="51"/>
      <c r="DJ95" s="52"/>
      <c r="DN95" s="51"/>
      <c r="DO95" s="52"/>
      <c r="DS95" s="51"/>
      <c r="DT95" s="52"/>
      <c r="DX95" s="51"/>
      <c r="DY95" s="52"/>
      <c r="EC95" s="51"/>
      <c r="ED95" s="52"/>
      <c r="EH95" s="51"/>
      <c r="EI95" s="52"/>
      <c r="EM95" s="51"/>
      <c r="EN95" s="52"/>
      <c r="ER95" s="51"/>
      <c r="ES95" s="52"/>
      <c r="EW95" s="51"/>
      <c r="EX95" s="52"/>
      <c r="FB95" s="51"/>
      <c r="FC95" s="52"/>
      <c r="FG95" s="51"/>
      <c r="FH95" s="52"/>
      <c r="FL95" s="51"/>
      <c r="FM95" s="52"/>
      <c r="FQ95" s="51"/>
      <c r="FR95" s="52"/>
      <c r="FV95" s="51"/>
      <c r="FW95" s="52"/>
      <c r="GA95" s="51"/>
      <c r="GB95" s="52"/>
    </row>
    <row r="96" spans="3:184" x14ac:dyDescent="0.2">
      <c r="C96" s="51"/>
      <c r="D96" s="52"/>
      <c r="H96" s="51"/>
      <c r="I96" s="52"/>
      <c r="M96" s="51"/>
      <c r="N96" s="52"/>
      <c r="R96" s="51"/>
      <c r="S96" s="52"/>
      <c r="W96" s="51"/>
      <c r="X96" s="52"/>
      <c r="AB96" s="51"/>
      <c r="AC96" s="52"/>
      <c r="AG96" s="51"/>
      <c r="AH96" s="52"/>
      <c r="AL96" s="51"/>
      <c r="AM96" s="52"/>
      <c r="AQ96" s="51"/>
      <c r="AR96" s="52"/>
      <c r="AV96" s="51"/>
      <c r="AW96" s="52"/>
      <c r="BA96" s="51"/>
      <c r="BB96" s="52"/>
      <c r="BF96" s="51"/>
      <c r="BG96" s="52"/>
      <c r="BK96" s="51"/>
      <c r="BL96" s="52"/>
      <c r="BP96" s="51"/>
      <c r="BQ96" s="52"/>
      <c r="BU96" s="51"/>
      <c r="BV96" s="52"/>
      <c r="BZ96" s="51"/>
      <c r="CA96" s="52"/>
      <c r="CE96" s="51"/>
      <c r="CF96" s="52"/>
      <c r="CJ96" s="51"/>
      <c r="CK96" s="52"/>
      <c r="CO96" s="51"/>
      <c r="CP96" s="52"/>
      <c r="CT96" s="51"/>
      <c r="CU96" s="52"/>
      <c r="CY96" s="51"/>
      <c r="CZ96" s="52"/>
      <c r="DC96" s="51"/>
      <c r="DE96" s="52"/>
      <c r="DI96" s="51"/>
      <c r="DJ96" s="52"/>
      <c r="DN96" s="51"/>
      <c r="DO96" s="52"/>
      <c r="DS96" s="51"/>
      <c r="DT96" s="52"/>
      <c r="DX96" s="51"/>
      <c r="DY96" s="52"/>
      <c r="EC96" s="51"/>
      <c r="ED96" s="52"/>
      <c r="EH96" s="51"/>
      <c r="EI96" s="52"/>
      <c r="EM96" s="51"/>
      <c r="EN96" s="52"/>
      <c r="ER96" s="51"/>
      <c r="ES96" s="52"/>
      <c r="EW96" s="51"/>
      <c r="EX96" s="52"/>
      <c r="FB96" s="51"/>
      <c r="FC96" s="52"/>
      <c r="FG96" s="51"/>
      <c r="FH96" s="52"/>
      <c r="FL96" s="51"/>
      <c r="FM96" s="52"/>
      <c r="FQ96" s="51"/>
      <c r="FR96" s="52"/>
      <c r="FV96" s="51"/>
      <c r="FW96" s="52"/>
      <c r="GA96" s="51"/>
      <c r="GB96" s="52"/>
    </row>
    <row r="97" spans="3:184" x14ac:dyDescent="0.2">
      <c r="C97" s="51"/>
      <c r="D97" s="52"/>
      <c r="H97" s="51"/>
      <c r="I97" s="52"/>
      <c r="M97" s="51"/>
      <c r="N97" s="52"/>
      <c r="R97" s="51"/>
      <c r="S97" s="52"/>
      <c r="W97" s="51"/>
      <c r="X97" s="52"/>
      <c r="AB97" s="51"/>
      <c r="AC97" s="52"/>
      <c r="AG97" s="51"/>
      <c r="AH97" s="52"/>
      <c r="AL97" s="51"/>
      <c r="AM97" s="52"/>
      <c r="AQ97" s="51"/>
      <c r="AR97" s="52"/>
      <c r="AV97" s="51"/>
      <c r="AW97" s="52"/>
      <c r="BA97" s="51"/>
      <c r="BB97" s="52"/>
      <c r="BF97" s="51"/>
      <c r="BG97" s="52"/>
      <c r="BK97" s="51"/>
      <c r="BL97" s="52"/>
      <c r="BP97" s="51"/>
      <c r="BQ97" s="52"/>
      <c r="BU97" s="51"/>
      <c r="BV97" s="52"/>
      <c r="BZ97" s="51"/>
      <c r="CA97" s="52"/>
      <c r="CE97" s="51"/>
      <c r="CF97" s="52"/>
      <c r="CJ97" s="51"/>
      <c r="CK97" s="52"/>
      <c r="CO97" s="51"/>
      <c r="CP97" s="52"/>
      <c r="CT97" s="51"/>
      <c r="CU97" s="52"/>
      <c r="CY97" s="51"/>
      <c r="CZ97" s="52"/>
      <c r="DC97" s="51"/>
      <c r="DE97" s="52"/>
      <c r="DI97" s="51"/>
      <c r="DJ97" s="52"/>
      <c r="DN97" s="51"/>
      <c r="DO97" s="52"/>
      <c r="DS97" s="51"/>
      <c r="DT97" s="52"/>
      <c r="DX97" s="51"/>
      <c r="DY97" s="52"/>
      <c r="EC97" s="51"/>
      <c r="ED97" s="52"/>
      <c r="EH97" s="51"/>
      <c r="EI97" s="52"/>
      <c r="EM97" s="51"/>
      <c r="EN97" s="52"/>
      <c r="ER97" s="51"/>
      <c r="ES97" s="52"/>
      <c r="EW97" s="51"/>
      <c r="EX97" s="52"/>
      <c r="FB97" s="51"/>
      <c r="FC97" s="52"/>
      <c r="FG97" s="51"/>
      <c r="FH97" s="52"/>
      <c r="FL97" s="51"/>
      <c r="FM97" s="52"/>
      <c r="FQ97" s="51"/>
      <c r="FR97" s="52"/>
      <c r="FV97" s="51"/>
      <c r="FW97" s="52"/>
      <c r="GA97" s="51"/>
      <c r="GB97" s="52"/>
    </row>
    <row r="98" spans="3:184" x14ac:dyDescent="0.2">
      <c r="C98" s="51"/>
      <c r="D98" s="52"/>
      <c r="H98" s="51"/>
      <c r="I98" s="52"/>
      <c r="M98" s="51"/>
      <c r="N98" s="52"/>
      <c r="R98" s="51"/>
      <c r="S98" s="52"/>
      <c r="W98" s="51"/>
      <c r="X98" s="52"/>
      <c r="AB98" s="51"/>
      <c r="AC98" s="52"/>
      <c r="AG98" s="51"/>
      <c r="AH98" s="52"/>
      <c r="AL98" s="51"/>
      <c r="AM98" s="52"/>
      <c r="AQ98" s="51"/>
      <c r="AR98" s="52"/>
      <c r="AV98" s="51"/>
      <c r="AW98" s="52"/>
      <c r="BA98" s="51"/>
      <c r="BB98" s="52"/>
      <c r="BF98" s="51"/>
      <c r="BG98" s="52"/>
      <c r="BK98" s="51"/>
      <c r="BL98" s="52"/>
      <c r="BP98" s="51"/>
      <c r="BQ98" s="52"/>
      <c r="BU98" s="51"/>
      <c r="BV98" s="52"/>
      <c r="BZ98" s="51"/>
      <c r="CA98" s="52"/>
      <c r="CE98" s="51"/>
      <c r="CF98" s="52"/>
      <c r="CJ98" s="51"/>
      <c r="CK98" s="52"/>
      <c r="CO98" s="51"/>
      <c r="CP98" s="52"/>
      <c r="CT98" s="51"/>
      <c r="CU98" s="52"/>
      <c r="CY98" s="51"/>
      <c r="CZ98" s="52"/>
      <c r="DC98" s="51"/>
      <c r="DE98" s="52"/>
      <c r="DI98" s="51"/>
      <c r="DJ98" s="52"/>
      <c r="DN98" s="51"/>
      <c r="DO98" s="52"/>
      <c r="DS98" s="51"/>
      <c r="DT98" s="52"/>
      <c r="DX98" s="51"/>
      <c r="DY98" s="52"/>
      <c r="EC98" s="51"/>
      <c r="ED98" s="52"/>
      <c r="EH98" s="51"/>
      <c r="EI98" s="52"/>
      <c r="EM98" s="51"/>
      <c r="EN98" s="52"/>
      <c r="ER98" s="51"/>
      <c r="ES98" s="52"/>
      <c r="EW98" s="51"/>
      <c r="EX98" s="52"/>
      <c r="FB98" s="51"/>
      <c r="FC98" s="52"/>
      <c r="FG98" s="51"/>
      <c r="FH98" s="52"/>
      <c r="FL98" s="51"/>
      <c r="FM98" s="52"/>
      <c r="FQ98" s="51"/>
      <c r="FR98" s="52"/>
      <c r="FV98" s="51"/>
      <c r="FW98" s="52"/>
      <c r="GA98" s="51"/>
      <c r="GB98" s="52"/>
    </row>
    <row r="99" spans="3:184" x14ac:dyDescent="0.2">
      <c r="C99" s="51"/>
      <c r="D99" s="52"/>
      <c r="H99" s="51"/>
      <c r="I99" s="52"/>
      <c r="M99" s="51"/>
      <c r="N99" s="52"/>
      <c r="R99" s="51"/>
      <c r="S99" s="52"/>
      <c r="W99" s="51"/>
      <c r="X99" s="52"/>
      <c r="AB99" s="51"/>
      <c r="AC99" s="52"/>
      <c r="AG99" s="51"/>
      <c r="AH99" s="52"/>
      <c r="AL99" s="51"/>
      <c r="AM99" s="52"/>
      <c r="AQ99" s="51"/>
      <c r="AR99" s="52"/>
      <c r="AV99" s="51"/>
      <c r="AW99" s="52"/>
      <c r="BA99" s="51"/>
      <c r="BB99" s="52"/>
      <c r="BF99" s="51"/>
      <c r="BG99" s="52"/>
      <c r="BK99" s="51"/>
      <c r="BL99" s="52"/>
      <c r="BP99" s="51"/>
      <c r="BQ99" s="52"/>
      <c r="BU99" s="51"/>
      <c r="BV99" s="52"/>
      <c r="BZ99" s="51"/>
      <c r="CA99" s="52"/>
      <c r="CE99" s="51"/>
      <c r="CF99" s="52"/>
      <c r="CJ99" s="51"/>
      <c r="CK99" s="52"/>
      <c r="CO99" s="51"/>
      <c r="CP99" s="52"/>
      <c r="CT99" s="51"/>
      <c r="CU99" s="52"/>
      <c r="CY99" s="51"/>
      <c r="CZ99" s="52"/>
      <c r="DC99" s="51"/>
      <c r="DE99" s="52"/>
      <c r="DI99" s="51"/>
      <c r="DJ99" s="52"/>
      <c r="DN99" s="51"/>
      <c r="DO99" s="52"/>
      <c r="DS99" s="51"/>
      <c r="DT99" s="52"/>
      <c r="DX99" s="51"/>
      <c r="DY99" s="52"/>
      <c r="EC99" s="51"/>
      <c r="ED99" s="52"/>
      <c r="EH99" s="51"/>
      <c r="EI99" s="52"/>
      <c r="EM99" s="51"/>
      <c r="EN99" s="52"/>
      <c r="ER99" s="51"/>
      <c r="ES99" s="52"/>
      <c r="EW99" s="51"/>
      <c r="EX99" s="52"/>
      <c r="FB99" s="51"/>
      <c r="FC99" s="52"/>
      <c r="FG99" s="51"/>
      <c r="FH99" s="52"/>
      <c r="FL99" s="51"/>
      <c r="FM99" s="52"/>
      <c r="FQ99" s="51"/>
      <c r="FR99" s="52"/>
      <c r="FV99" s="51"/>
      <c r="FW99" s="52"/>
      <c r="GA99" s="51"/>
      <c r="GB99" s="52"/>
    </row>
    <row r="100" spans="3:184" x14ac:dyDescent="0.2">
      <c r="C100" s="51"/>
      <c r="D100" s="52"/>
      <c r="H100" s="51"/>
      <c r="I100" s="52"/>
      <c r="M100" s="51"/>
      <c r="N100" s="52"/>
      <c r="R100" s="51"/>
      <c r="S100" s="52"/>
      <c r="W100" s="51"/>
      <c r="X100" s="52"/>
      <c r="AB100" s="51"/>
      <c r="AC100" s="52"/>
      <c r="AG100" s="51"/>
      <c r="AH100" s="52"/>
      <c r="AL100" s="51"/>
      <c r="AM100" s="52"/>
      <c r="AQ100" s="51"/>
      <c r="AR100" s="52"/>
      <c r="AV100" s="51"/>
      <c r="AW100" s="52"/>
      <c r="BA100" s="51"/>
      <c r="BB100" s="52"/>
      <c r="BF100" s="51"/>
      <c r="BG100" s="52"/>
      <c r="BK100" s="51"/>
      <c r="BL100" s="52"/>
      <c r="BP100" s="51"/>
      <c r="BQ100" s="52"/>
      <c r="BU100" s="51"/>
      <c r="BV100" s="52"/>
      <c r="BZ100" s="51"/>
      <c r="CA100" s="52"/>
      <c r="CE100" s="51"/>
      <c r="CF100" s="52"/>
      <c r="CJ100" s="51"/>
      <c r="CK100" s="52"/>
      <c r="CO100" s="51"/>
      <c r="CP100" s="52"/>
      <c r="CT100" s="51"/>
      <c r="CU100" s="52"/>
      <c r="CY100" s="51"/>
      <c r="CZ100" s="52"/>
      <c r="DC100" s="51"/>
      <c r="DE100" s="52"/>
      <c r="DI100" s="51"/>
      <c r="DJ100" s="52"/>
      <c r="DN100" s="51"/>
      <c r="DO100" s="52"/>
      <c r="DS100" s="51"/>
      <c r="DT100" s="52"/>
      <c r="DX100" s="51"/>
      <c r="DY100" s="52"/>
      <c r="EC100" s="51"/>
      <c r="ED100" s="52"/>
      <c r="EH100" s="51"/>
      <c r="EI100" s="52"/>
      <c r="EM100" s="51"/>
      <c r="EN100" s="52"/>
      <c r="ER100" s="51"/>
      <c r="ES100" s="52"/>
      <c r="EW100" s="51"/>
      <c r="EX100" s="52"/>
      <c r="FB100" s="51"/>
      <c r="FC100" s="52"/>
      <c r="FG100" s="51"/>
      <c r="FH100" s="52"/>
      <c r="FL100" s="51"/>
      <c r="FM100" s="52"/>
      <c r="FQ100" s="51"/>
      <c r="FR100" s="52"/>
      <c r="FV100" s="51"/>
      <c r="FW100" s="52"/>
      <c r="GA100" s="51"/>
      <c r="GB100" s="52"/>
    </row>
    <row r="101" spans="3:184" x14ac:dyDescent="0.2">
      <c r="C101" s="51"/>
      <c r="D101" s="52"/>
      <c r="H101" s="51"/>
      <c r="I101" s="52"/>
      <c r="M101" s="51"/>
      <c r="N101" s="52"/>
      <c r="R101" s="51"/>
      <c r="S101" s="52"/>
      <c r="W101" s="51"/>
      <c r="X101" s="52"/>
      <c r="AB101" s="51"/>
      <c r="AC101" s="52"/>
      <c r="AG101" s="51"/>
      <c r="AH101" s="52"/>
      <c r="AL101" s="51"/>
      <c r="AM101" s="52"/>
      <c r="AQ101" s="51"/>
      <c r="AR101" s="52"/>
      <c r="AV101" s="51"/>
      <c r="AW101" s="52"/>
      <c r="BA101" s="51"/>
      <c r="BB101" s="52"/>
      <c r="BF101" s="51"/>
      <c r="BG101" s="52"/>
      <c r="BK101" s="51"/>
      <c r="BL101" s="52"/>
      <c r="BP101" s="51"/>
      <c r="BQ101" s="52"/>
      <c r="BU101" s="51"/>
      <c r="BV101" s="52"/>
      <c r="BZ101" s="51"/>
      <c r="CA101" s="52"/>
      <c r="CE101" s="51"/>
      <c r="CF101" s="52"/>
      <c r="CJ101" s="51"/>
      <c r="CK101" s="52"/>
      <c r="CO101" s="51"/>
      <c r="CP101" s="52"/>
      <c r="CT101" s="51"/>
      <c r="CU101" s="52"/>
      <c r="CY101" s="51"/>
      <c r="CZ101" s="52"/>
      <c r="DC101" s="51"/>
      <c r="DE101" s="52"/>
      <c r="DI101" s="51"/>
      <c r="DJ101" s="52"/>
      <c r="DN101" s="51"/>
      <c r="DO101" s="52"/>
      <c r="DS101" s="51"/>
      <c r="DT101" s="52"/>
      <c r="DX101" s="51"/>
      <c r="DY101" s="52"/>
      <c r="EC101" s="51"/>
      <c r="ED101" s="52"/>
      <c r="EH101" s="51"/>
      <c r="EI101" s="52"/>
      <c r="EM101" s="51"/>
      <c r="EN101" s="52"/>
      <c r="ER101" s="51"/>
      <c r="ES101" s="52"/>
      <c r="EW101" s="51"/>
      <c r="EX101" s="52"/>
      <c r="FB101" s="51"/>
      <c r="FC101" s="52"/>
      <c r="FG101" s="51"/>
      <c r="FH101" s="52"/>
      <c r="FL101" s="51"/>
      <c r="FM101" s="52"/>
      <c r="FQ101" s="51"/>
      <c r="FR101" s="52"/>
      <c r="FV101" s="51"/>
      <c r="FW101" s="52"/>
      <c r="GA101" s="51"/>
      <c r="GB101" s="52"/>
    </row>
    <row r="102" spans="3:184" x14ac:dyDescent="0.2">
      <c r="C102" s="51"/>
      <c r="D102" s="52"/>
      <c r="H102" s="51"/>
      <c r="I102" s="52"/>
      <c r="M102" s="51"/>
      <c r="N102" s="52"/>
      <c r="R102" s="51"/>
      <c r="S102" s="52"/>
      <c r="W102" s="51"/>
      <c r="X102" s="52"/>
      <c r="AB102" s="51"/>
      <c r="AC102" s="52"/>
      <c r="AG102" s="51"/>
      <c r="AH102" s="52"/>
      <c r="AL102" s="51"/>
      <c r="AM102" s="52"/>
      <c r="AQ102" s="51"/>
      <c r="AR102" s="52"/>
      <c r="AV102" s="51"/>
      <c r="AW102" s="52"/>
      <c r="BA102" s="51"/>
      <c r="BB102" s="52"/>
      <c r="BF102" s="51"/>
      <c r="BG102" s="52"/>
      <c r="BK102" s="51"/>
      <c r="BL102" s="52"/>
      <c r="BP102" s="51"/>
      <c r="BQ102" s="52"/>
      <c r="BU102" s="51"/>
      <c r="BV102" s="52"/>
      <c r="BZ102" s="51"/>
      <c r="CA102" s="52"/>
      <c r="CE102" s="51"/>
      <c r="CF102" s="52"/>
      <c r="CJ102" s="51"/>
      <c r="CK102" s="52"/>
      <c r="CO102" s="51"/>
      <c r="CP102" s="52"/>
      <c r="CT102" s="51"/>
      <c r="CU102" s="52"/>
      <c r="CY102" s="51"/>
      <c r="CZ102" s="52"/>
      <c r="DC102" s="51"/>
      <c r="DE102" s="52"/>
      <c r="DI102" s="51"/>
      <c r="DJ102" s="52"/>
      <c r="DN102" s="51"/>
      <c r="DO102" s="52"/>
      <c r="DS102" s="51"/>
      <c r="DT102" s="52"/>
      <c r="DX102" s="51"/>
      <c r="DY102" s="52"/>
      <c r="EC102" s="51"/>
      <c r="ED102" s="52"/>
      <c r="EH102" s="51"/>
      <c r="EI102" s="52"/>
      <c r="EM102" s="51"/>
      <c r="EN102" s="52"/>
      <c r="ER102" s="51"/>
      <c r="ES102" s="52"/>
      <c r="EW102" s="51"/>
      <c r="EX102" s="52"/>
      <c r="FB102" s="51"/>
      <c r="FC102" s="52"/>
      <c r="FG102" s="51"/>
      <c r="FH102" s="52"/>
      <c r="FL102" s="51"/>
      <c r="FM102" s="52"/>
      <c r="FQ102" s="51"/>
      <c r="FR102" s="52"/>
      <c r="FV102" s="51"/>
      <c r="FW102" s="52"/>
      <c r="GA102" s="51"/>
      <c r="GB102" s="52"/>
    </row>
    <row r="103" spans="3:184" x14ac:dyDescent="0.2">
      <c r="C103" s="51"/>
      <c r="D103" s="52"/>
      <c r="H103" s="51"/>
      <c r="I103" s="52"/>
      <c r="M103" s="51"/>
      <c r="N103" s="52"/>
      <c r="R103" s="51"/>
      <c r="S103" s="52"/>
      <c r="W103" s="51"/>
      <c r="X103" s="52"/>
      <c r="AB103" s="51"/>
      <c r="AC103" s="52"/>
      <c r="AG103" s="51"/>
      <c r="AH103" s="52"/>
      <c r="AL103" s="51"/>
      <c r="AM103" s="52"/>
      <c r="AQ103" s="51"/>
      <c r="AR103" s="52"/>
      <c r="AV103" s="51"/>
      <c r="AW103" s="52"/>
      <c r="BA103" s="51"/>
      <c r="BB103" s="52"/>
      <c r="BF103" s="51"/>
      <c r="BG103" s="52"/>
      <c r="BK103" s="51"/>
      <c r="BL103" s="52"/>
      <c r="BP103" s="51"/>
      <c r="BQ103" s="52"/>
      <c r="BU103" s="51"/>
      <c r="BV103" s="52"/>
      <c r="BZ103" s="51"/>
      <c r="CA103" s="52"/>
      <c r="CE103" s="51"/>
      <c r="CF103" s="52"/>
      <c r="CJ103" s="51"/>
      <c r="CK103" s="52"/>
      <c r="CO103" s="51"/>
      <c r="CP103" s="52"/>
      <c r="CT103" s="51"/>
      <c r="CU103" s="52"/>
      <c r="CY103" s="51"/>
      <c r="CZ103" s="52"/>
      <c r="DC103" s="51"/>
      <c r="DE103" s="52"/>
      <c r="DI103" s="51"/>
      <c r="DJ103" s="52"/>
      <c r="DN103" s="51"/>
      <c r="DO103" s="52"/>
      <c r="DS103" s="51"/>
      <c r="DT103" s="52"/>
      <c r="DX103" s="51"/>
      <c r="DY103" s="52"/>
      <c r="EC103" s="51"/>
      <c r="ED103" s="52"/>
      <c r="EH103" s="51"/>
      <c r="EI103" s="52"/>
      <c r="EM103" s="51"/>
      <c r="EN103" s="52"/>
      <c r="ER103" s="51"/>
      <c r="ES103" s="52"/>
      <c r="EW103" s="51"/>
      <c r="EX103" s="52"/>
      <c r="FB103" s="51"/>
      <c r="FC103" s="52"/>
      <c r="FG103" s="51"/>
      <c r="FH103" s="52"/>
      <c r="FL103" s="51"/>
      <c r="FM103" s="52"/>
      <c r="FQ103" s="51"/>
      <c r="FR103" s="52"/>
      <c r="FV103" s="51"/>
      <c r="FW103" s="52"/>
      <c r="GA103" s="51"/>
      <c r="GB103" s="52"/>
    </row>
    <row r="104" spans="3:184" x14ac:dyDescent="0.2">
      <c r="C104" s="51"/>
      <c r="D104" s="52"/>
      <c r="H104" s="51"/>
      <c r="I104" s="52"/>
      <c r="M104" s="51"/>
      <c r="N104" s="52"/>
      <c r="R104" s="51"/>
      <c r="S104" s="52"/>
      <c r="W104" s="51"/>
      <c r="X104" s="52"/>
      <c r="AB104" s="51"/>
      <c r="AC104" s="52"/>
      <c r="AG104" s="51"/>
      <c r="AH104" s="52"/>
      <c r="AL104" s="51"/>
      <c r="AM104" s="52"/>
      <c r="AQ104" s="51"/>
      <c r="AR104" s="52"/>
      <c r="AV104" s="51"/>
      <c r="AW104" s="52"/>
      <c r="BA104" s="51"/>
      <c r="BB104" s="52"/>
      <c r="BF104" s="51"/>
      <c r="BG104" s="52"/>
      <c r="BK104" s="51"/>
      <c r="BL104" s="52"/>
      <c r="BP104" s="51"/>
      <c r="BQ104" s="52"/>
      <c r="BU104" s="51"/>
      <c r="BV104" s="52"/>
      <c r="BZ104" s="51"/>
      <c r="CA104" s="52"/>
      <c r="CE104" s="51"/>
      <c r="CF104" s="52"/>
      <c r="CJ104" s="51"/>
      <c r="CK104" s="52"/>
      <c r="CO104" s="51"/>
      <c r="CP104" s="52"/>
      <c r="CT104" s="51"/>
      <c r="CU104" s="52"/>
      <c r="CY104" s="51"/>
      <c r="CZ104" s="52"/>
      <c r="DC104" s="51"/>
      <c r="DE104" s="52"/>
      <c r="DI104" s="51"/>
      <c r="DJ104" s="52"/>
      <c r="DN104" s="51"/>
      <c r="DO104" s="52"/>
      <c r="DS104" s="51"/>
      <c r="DT104" s="52"/>
      <c r="DX104" s="51"/>
      <c r="DY104" s="52"/>
      <c r="EC104" s="51"/>
      <c r="ED104" s="52"/>
      <c r="EH104" s="51"/>
      <c r="EI104" s="52"/>
      <c r="EM104" s="51"/>
      <c r="EN104" s="52"/>
      <c r="ER104" s="51"/>
      <c r="ES104" s="52"/>
      <c r="EW104" s="51"/>
      <c r="EX104" s="52"/>
      <c r="FB104" s="51"/>
      <c r="FC104" s="52"/>
      <c r="FG104" s="51"/>
      <c r="FH104" s="52"/>
      <c r="FL104" s="51"/>
      <c r="FM104" s="52"/>
      <c r="FQ104" s="51"/>
      <c r="FR104" s="52"/>
      <c r="FV104" s="51"/>
      <c r="FW104" s="52"/>
      <c r="GA104" s="51"/>
      <c r="GB104" s="52"/>
    </row>
    <row r="105" spans="3:184" x14ac:dyDescent="0.2">
      <c r="C105" s="51"/>
      <c r="D105" s="52"/>
      <c r="H105" s="51"/>
      <c r="I105" s="52"/>
      <c r="M105" s="51"/>
      <c r="N105" s="52"/>
      <c r="R105" s="51"/>
      <c r="S105" s="52"/>
      <c r="W105" s="51"/>
      <c r="X105" s="52"/>
      <c r="AB105" s="51"/>
      <c r="AC105" s="52"/>
      <c r="AG105" s="51"/>
      <c r="AH105" s="52"/>
      <c r="AL105" s="51"/>
      <c r="AM105" s="52"/>
      <c r="AQ105" s="51"/>
      <c r="AR105" s="52"/>
      <c r="AV105" s="51"/>
      <c r="AW105" s="52"/>
      <c r="BA105" s="51"/>
      <c r="BB105" s="52"/>
      <c r="BF105" s="51"/>
      <c r="BG105" s="52"/>
      <c r="BK105" s="51"/>
      <c r="BL105" s="52"/>
      <c r="BP105" s="51"/>
      <c r="BQ105" s="52"/>
      <c r="BU105" s="51"/>
      <c r="BV105" s="52"/>
      <c r="BZ105" s="51"/>
      <c r="CA105" s="52"/>
      <c r="CE105" s="51"/>
      <c r="CF105" s="52"/>
      <c r="CJ105" s="51"/>
      <c r="CK105" s="52"/>
      <c r="CO105" s="51"/>
      <c r="CP105" s="52"/>
      <c r="CT105" s="51"/>
      <c r="CU105" s="52"/>
      <c r="CY105" s="51"/>
      <c r="CZ105" s="52"/>
      <c r="DC105" s="51"/>
      <c r="DE105" s="52"/>
      <c r="DI105" s="51"/>
      <c r="DJ105" s="52"/>
      <c r="DN105" s="51"/>
      <c r="DO105" s="52"/>
      <c r="DS105" s="51"/>
      <c r="DT105" s="52"/>
      <c r="DX105" s="51"/>
      <c r="DY105" s="52"/>
      <c r="EC105" s="51"/>
      <c r="ED105" s="52"/>
      <c r="EH105" s="51"/>
      <c r="EI105" s="52"/>
      <c r="EM105" s="51"/>
      <c r="EN105" s="52"/>
      <c r="ER105" s="51"/>
      <c r="ES105" s="52"/>
      <c r="EW105" s="51"/>
      <c r="EX105" s="52"/>
      <c r="FB105" s="51"/>
      <c r="FC105" s="52"/>
      <c r="FG105" s="51"/>
      <c r="FH105" s="52"/>
      <c r="FL105" s="51"/>
      <c r="FM105" s="52"/>
      <c r="FQ105" s="51"/>
      <c r="FR105" s="52"/>
      <c r="FV105" s="51"/>
      <c r="FW105" s="52"/>
      <c r="GA105" s="51"/>
      <c r="GB105" s="52"/>
    </row>
    <row r="106" spans="3:184" x14ac:dyDescent="0.2">
      <c r="C106" s="51"/>
      <c r="D106" s="52"/>
      <c r="H106" s="51"/>
      <c r="I106" s="52"/>
      <c r="M106" s="51"/>
      <c r="N106" s="52"/>
      <c r="R106" s="51"/>
      <c r="S106" s="52"/>
      <c r="W106" s="51"/>
      <c r="X106" s="52"/>
      <c r="AB106" s="51"/>
      <c r="AC106" s="52"/>
      <c r="AG106" s="51"/>
      <c r="AH106" s="52"/>
      <c r="AL106" s="51"/>
      <c r="AM106" s="52"/>
      <c r="AQ106" s="51"/>
      <c r="AR106" s="52"/>
      <c r="AV106" s="51"/>
      <c r="AW106" s="52"/>
      <c r="BA106" s="51"/>
      <c r="BB106" s="52"/>
      <c r="BF106" s="51"/>
      <c r="BG106" s="52"/>
      <c r="BK106" s="51"/>
      <c r="BL106" s="52"/>
      <c r="BP106" s="51"/>
      <c r="BQ106" s="52"/>
      <c r="BU106" s="51"/>
      <c r="BV106" s="52"/>
      <c r="BZ106" s="51"/>
      <c r="CA106" s="52"/>
      <c r="CE106" s="51"/>
      <c r="CF106" s="52"/>
      <c r="CJ106" s="51"/>
      <c r="CK106" s="52"/>
      <c r="CO106" s="51"/>
      <c r="CP106" s="52"/>
      <c r="CT106" s="51"/>
      <c r="CU106" s="52"/>
      <c r="CY106" s="51"/>
      <c r="CZ106" s="52"/>
      <c r="DC106" s="51"/>
      <c r="DE106" s="52"/>
      <c r="DI106" s="51"/>
      <c r="DJ106" s="52"/>
      <c r="DN106" s="51"/>
      <c r="DO106" s="52"/>
      <c r="DS106" s="51"/>
      <c r="DT106" s="52"/>
      <c r="DX106" s="51"/>
      <c r="DY106" s="52"/>
      <c r="EC106" s="51"/>
      <c r="ED106" s="52"/>
      <c r="EH106" s="51"/>
      <c r="EI106" s="52"/>
      <c r="EM106" s="51"/>
      <c r="EN106" s="52"/>
      <c r="ER106" s="51"/>
      <c r="ES106" s="52"/>
      <c r="EW106" s="51"/>
      <c r="EX106" s="52"/>
      <c r="FB106" s="51"/>
      <c r="FC106" s="52"/>
      <c r="FG106" s="51"/>
      <c r="FH106" s="52"/>
      <c r="FL106" s="51"/>
      <c r="FM106" s="52"/>
      <c r="FQ106" s="51"/>
      <c r="FR106" s="52"/>
      <c r="FV106" s="51"/>
      <c r="FW106" s="52"/>
      <c r="GA106" s="51"/>
      <c r="GB106" s="52"/>
    </row>
    <row r="107" spans="3:184" x14ac:dyDescent="0.2">
      <c r="C107" s="51"/>
      <c r="D107" s="52"/>
      <c r="H107" s="51"/>
      <c r="I107" s="52"/>
      <c r="M107" s="51"/>
      <c r="N107" s="52"/>
      <c r="R107" s="51"/>
      <c r="S107" s="52"/>
      <c r="W107" s="51"/>
      <c r="X107" s="52"/>
      <c r="AB107" s="51"/>
      <c r="AC107" s="52"/>
      <c r="AG107" s="51"/>
      <c r="AH107" s="52"/>
      <c r="AL107" s="51"/>
      <c r="AM107" s="52"/>
      <c r="AQ107" s="51"/>
      <c r="AR107" s="52"/>
      <c r="AV107" s="51"/>
      <c r="AW107" s="52"/>
      <c r="BA107" s="51"/>
      <c r="BB107" s="52"/>
      <c r="BF107" s="51"/>
      <c r="BG107" s="52"/>
      <c r="BK107" s="51"/>
      <c r="BL107" s="52"/>
      <c r="BP107" s="51"/>
      <c r="BQ107" s="52"/>
      <c r="BU107" s="51"/>
      <c r="BV107" s="52"/>
      <c r="BZ107" s="51"/>
      <c r="CA107" s="52"/>
      <c r="CE107" s="51"/>
      <c r="CF107" s="52"/>
      <c r="CJ107" s="51"/>
      <c r="CK107" s="52"/>
      <c r="CO107" s="51"/>
      <c r="CP107" s="52"/>
      <c r="CT107" s="51"/>
      <c r="CU107" s="52"/>
      <c r="CY107" s="51"/>
      <c r="CZ107" s="52"/>
      <c r="DC107" s="51"/>
      <c r="DE107" s="52"/>
      <c r="DI107" s="51"/>
      <c r="DJ107" s="52"/>
      <c r="DN107" s="51"/>
      <c r="DO107" s="52"/>
      <c r="DS107" s="51"/>
      <c r="DT107" s="52"/>
      <c r="DX107" s="51"/>
      <c r="DY107" s="52"/>
      <c r="EC107" s="51"/>
      <c r="ED107" s="52"/>
      <c r="EH107" s="51"/>
      <c r="EI107" s="52"/>
      <c r="EM107" s="51"/>
      <c r="EN107" s="52"/>
      <c r="ER107" s="51"/>
      <c r="ES107" s="52"/>
      <c r="EW107" s="51"/>
      <c r="EX107" s="52"/>
      <c r="FB107" s="51"/>
      <c r="FC107" s="52"/>
      <c r="FG107" s="51"/>
      <c r="FH107" s="52"/>
      <c r="FL107" s="51"/>
      <c r="FM107" s="52"/>
      <c r="FQ107" s="51"/>
      <c r="FR107" s="52"/>
      <c r="FV107" s="51"/>
      <c r="FW107" s="52"/>
      <c r="GA107" s="51"/>
      <c r="GB107" s="52"/>
    </row>
    <row r="108" spans="3:184" x14ac:dyDescent="0.2">
      <c r="C108" s="51"/>
      <c r="D108" s="52"/>
      <c r="H108" s="51"/>
      <c r="I108" s="52"/>
      <c r="M108" s="51"/>
      <c r="N108" s="52"/>
      <c r="R108" s="51"/>
      <c r="S108" s="52"/>
      <c r="W108" s="51"/>
      <c r="X108" s="52"/>
      <c r="AB108" s="51"/>
      <c r="AC108" s="52"/>
      <c r="AG108" s="51"/>
      <c r="AH108" s="52"/>
      <c r="AL108" s="51"/>
      <c r="AM108" s="52"/>
      <c r="AQ108" s="51"/>
      <c r="AR108" s="52"/>
      <c r="AV108" s="51"/>
      <c r="AW108" s="52"/>
      <c r="BA108" s="51"/>
      <c r="BB108" s="52"/>
      <c r="BF108" s="51"/>
      <c r="BG108" s="52"/>
      <c r="BK108" s="51"/>
      <c r="BL108" s="52"/>
      <c r="BP108" s="51"/>
      <c r="BQ108" s="52"/>
      <c r="BU108" s="51"/>
      <c r="BV108" s="52"/>
      <c r="BZ108" s="51"/>
      <c r="CA108" s="52"/>
      <c r="CE108" s="51"/>
      <c r="CF108" s="52"/>
      <c r="CJ108" s="51"/>
      <c r="CK108" s="52"/>
      <c r="CO108" s="51"/>
      <c r="CP108" s="52"/>
      <c r="CT108" s="51"/>
      <c r="CU108" s="52"/>
      <c r="CY108" s="51"/>
      <c r="CZ108" s="52"/>
      <c r="DC108" s="51"/>
      <c r="DE108" s="52"/>
      <c r="DI108" s="51"/>
      <c r="DJ108" s="52"/>
      <c r="DN108" s="51"/>
      <c r="DO108" s="52"/>
      <c r="DS108" s="51"/>
      <c r="DT108" s="52"/>
      <c r="DX108" s="51"/>
      <c r="DY108" s="52"/>
      <c r="EC108" s="51"/>
      <c r="ED108" s="52"/>
      <c r="EH108" s="51"/>
      <c r="EI108" s="52"/>
      <c r="EM108" s="51"/>
      <c r="EN108" s="52"/>
      <c r="ER108" s="51"/>
      <c r="ES108" s="52"/>
      <c r="EW108" s="51"/>
      <c r="EX108" s="52"/>
      <c r="FB108" s="51"/>
      <c r="FC108" s="52"/>
      <c r="FG108" s="51"/>
      <c r="FH108" s="52"/>
      <c r="FL108" s="51"/>
      <c r="FM108" s="52"/>
      <c r="FQ108" s="51"/>
      <c r="FR108" s="52"/>
      <c r="FV108" s="51"/>
      <c r="FW108" s="52"/>
      <c r="GA108" s="51"/>
      <c r="GB108" s="52"/>
    </row>
    <row r="109" spans="3:184" x14ac:dyDescent="0.2">
      <c r="C109" s="51"/>
      <c r="D109" s="52"/>
      <c r="H109" s="51"/>
      <c r="I109" s="52"/>
      <c r="M109" s="51"/>
      <c r="N109" s="52"/>
      <c r="R109" s="51"/>
      <c r="S109" s="52"/>
      <c r="W109" s="51"/>
      <c r="X109" s="52"/>
      <c r="AB109" s="51"/>
      <c r="AC109" s="52"/>
      <c r="AG109" s="51"/>
      <c r="AH109" s="52"/>
      <c r="AL109" s="51"/>
      <c r="AM109" s="52"/>
      <c r="AQ109" s="51"/>
      <c r="AR109" s="52"/>
      <c r="AV109" s="51"/>
      <c r="AW109" s="52"/>
      <c r="BA109" s="51"/>
      <c r="BB109" s="52"/>
      <c r="BF109" s="51"/>
      <c r="BG109" s="52"/>
      <c r="BK109" s="51"/>
      <c r="BL109" s="52"/>
      <c r="BP109" s="51"/>
      <c r="BQ109" s="52"/>
      <c r="BU109" s="51"/>
      <c r="BV109" s="52"/>
      <c r="BZ109" s="51"/>
      <c r="CA109" s="52"/>
      <c r="CE109" s="51"/>
      <c r="CF109" s="52"/>
      <c r="CJ109" s="51"/>
      <c r="CK109" s="52"/>
      <c r="CO109" s="51"/>
      <c r="CP109" s="52"/>
      <c r="CT109" s="51"/>
      <c r="CU109" s="52"/>
      <c r="CY109" s="51"/>
      <c r="CZ109" s="52"/>
      <c r="DC109" s="51"/>
      <c r="DE109" s="52"/>
      <c r="DI109" s="51"/>
      <c r="DJ109" s="52"/>
      <c r="DN109" s="51"/>
      <c r="DO109" s="52"/>
      <c r="DS109" s="51"/>
      <c r="DT109" s="52"/>
      <c r="DX109" s="51"/>
      <c r="DY109" s="52"/>
      <c r="EC109" s="51"/>
      <c r="ED109" s="52"/>
      <c r="EH109" s="51"/>
      <c r="EI109" s="52"/>
      <c r="EM109" s="51"/>
      <c r="EN109" s="52"/>
      <c r="ER109" s="51"/>
      <c r="ES109" s="52"/>
      <c r="EW109" s="51"/>
      <c r="EX109" s="52"/>
      <c r="FB109" s="51"/>
      <c r="FC109" s="52"/>
      <c r="FG109" s="51"/>
      <c r="FH109" s="52"/>
      <c r="FL109" s="51"/>
      <c r="FM109" s="52"/>
      <c r="FQ109" s="51"/>
      <c r="FR109" s="52"/>
      <c r="FV109" s="51"/>
      <c r="FW109" s="52"/>
      <c r="GA109" s="51"/>
      <c r="GB109" s="52"/>
    </row>
    <row r="110" spans="3:184" x14ac:dyDescent="0.2">
      <c r="C110" s="51"/>
      <c r="D110" s="52"/>
      <c r="H110" s="51"/>
      <c r="I110" s="52"/>
      <c r="M110" s="51"/>
      <c r="N110" s="52"/>
      <c r="R110" s="51"/>
      <c r="S110" s="52"/>
      <c r="W110" s="51"/>
      <c r="X110" s="52"/>
      <c r="AB110" s="51"/>
      <c r="AC110" s="52"/>
      <c r="AG110" s="51"/>
      <c r="AH110" s="52"/>
      <c r="AL110" s="51"/>
      <c r="AM110" s="52"/>
      <c r="AQ110" s="51"/>
      <c r="AR110" s="52"/>
      <c r="AV110" s="51"/>
      <c r="AW110" s="52"/>
      <c r="BA110" s="51"/>
      <c r="BB110" s="52"/>
      <c r="BF110" s="51"/>
      <c r="BG110" s="52"/>
      <c r="BK110" s="51"/>
      <c r="BL110" s="52"/>
      <c r="BP110" s="51"/>
      <c r="BQ110" s="52"/>
      <c r="BU110" s="51"/>
      <c r="BV110" s="52"/>
      <c r="BZ110" s="51"/>
      <c r="CA110" s="52"/>
      <c r="CE110" s="51"/>
      <c r="CF110" s="52"/>
      <c r="CJ110" s="51"/>
      <c r="CK110" s="52"/>
      <c r="CO110" s="51"/>
      <c r="CP110" s="52"/>
      <c r="CT110" s="51"/>
      <c r="CU110" s="52"/>
      <c r="CY110" s="51"/>
      <c r="CZ110" s="52"/>
      <c r="DC110" s="51"/>
      <c r="DE110" s="52"/>
      <c r="DI110" s="51"/>
      <c r="DJ110" s="52"/>
      <c r="DN110" s="51"/>
      <c r="DO110" s="52"/>
      <c r="DS110" s="51"/>
      <c r="DT110" s="52"/>
      <c r="DX110" s="51"/>
      <c r="DY110" s="52"/>
      <c r="EC110" s="51"/>
      <c r="ED110" s="52"/>
      <c r="EH110" s="51"/>
      <c r="EI110" s="52"/>
      <c r="EM110" s="51"/>
      <c r="EN110" s="52"/>
      <c r="ER110" s="51"/>
      <c r="ES110" s="52"/>
      <c r="EW110" s="51"/>
      <c r="EX110" s="52"/>
      <c r="FB110" s="51"/>
      <c r="FC110" s="52"/>
      <c r="FG110" s="51"/>
      <c r="FH110" s="52"/>
      <c r="FL110" s="51"/>
      <c r="FM110" s="52"/>
      <c r="FQ110" s="51"/>
      <c r="FR110" s="52"/>
      <c r="FV110" s="51"/>
      <c r="FW110" s="52"/>
      <c r="GA110" s="51"/>
      <c r="GB110" s="52"/>
    </row>
    <row r="111" spans="3:184" x14ac:dyDescent="0.2">
      <c r="C111" s="51"/>
      <c r="D111" s="52"/>
      <c r="H111" s="51"/>
      <c r="I111" s="52"/>
      <c r="M111" s="51"/>
      <c r="N111" s="52"/>
      <c r="R111" s="51"/>
      <c r="S111" s="52"/>
      <c r="W111" s="51"/>
      <c r="X111" s="52"/>
      <c r="AB111" s="51"/>
      <c r="AC111" s="52"/>
      <c r="AG111" s="51"/>
      <c r="AH111" s="52"/>
      <c r="AL111" s="51"/>
      <c r="AM111" s="52"/>
      <c r="AQ111" s="51"/>
      <c r="AR111" s="52"/>
      <c r="AV111" s="51"/>
      <c r="AW111" s="52"/>
      <c r="BA111" s="51"/>
      <c r="BB111" s="52"/>
      <c r="BF111" s="51"/>
      <c r="BG111" s="52"/>
      <c r="BK111" s="51"/>
      <c r="BL111" s="52"/>
      <c r="BP111" s="51"/>
      <c r="BQ111" s="52"/>
      <c r="BU111" s="51"/>
      <c r="BV111" s="52"/>
      <c r="BZ111" s="51"/>
      <c r="CA111" s="52"/>
      <c r="CE111" s="51"/>
      <c r="CF111" s="52"/>
      <c r="CJ111" s="51"/>
      <c r="CK111" s="52"/>
      <c r="CO111" s="51"/>
      <c r="CP111" s="52"/>
      <c r="CT111" s="51"/>
      <c r="CU111" s="52"/>
      <c r="CY111" s="51"/>
      <c r="CZ111" s="52"/>
      <c r="DC111" s="51"/>
      <c r="DE111" s="52"/>
      <c r="DI111" s="51"/>
      <c r="DJ111" s="52"/>
      <c r="DN111" s="51"/>
      <c r="DO111" s="52"/>
      <c r="DS111" s="51"/>
      <c r="DT111" s="52"/>
      <c r="DX111" s="51"/>
      <c r="DY111" s="52"/>
      <c r="EC111" s="51"/>
      <c r="ED111" s="52"/>
      <c r="EH111" s="51"/>
      <c r="EI111" s="52"/>
      <c r="EM111" s="51"/>
      <c r="EN111" s="52"/>
      <c r="ER111" s="51"/>
      <c r="ES111" s="52"/>
      <c r="EW111" s="51"/>
      <c r="EX111" s="52"/>
      <c r="FB111" s="51"/>
      <c r="FC111" s="52"/>
      <c r="FG111" s="51"/>
      <c r="FH111" s="52"/>
      <c r="FL111" s="51"/>
      <c r="FM111" s="52"/>
      <c r="FQ111" s="51"/>
      <c r="FR111" s="52"/>
      <c r="FV111" s="51"/>
      <c r="FW111" s="52"/>
      <c r="GA111" s="51"/>
      <c r="GB111" s="52"/>
    </row>
    <row r="112" spans="3:184" x14ac:dyDescent="0.2">
      <c r="C112" s="51"/>
      <c r="D112" s="52"/>
      <c r="H112" s="51"/>
      <c r="I112" s="52"/>
      <c r="M112" s="51"/>
      <c r="N112" s="52"/>
      <c r="R112" s="51"/>
      <c r="S112" s="52"/>
      <c r="W112" s="51"/>
      <c r="X112" s="52"/>
      <c r="AB112" s="51"/>
      <c r="AC112" s="52"/>
      <c r="AG112" s="51"/>
      <c r="AH112" s="52"/>
      <c r="AL112" s="51"/>
      <c r="AM112" s="52"/>
      <c r="AQ112" s="51"/>
      <c r="AR112" s="52"/>
      <c r="AV112" s="51"/>
      <c r="AW112" s="52"/>
      <c r="BA112" s="51"/>
      <c r="BB112" s="52"/>
      <c r="BF112" s="51"/>
      <c r="BG112" s="52"/>
      <c r="BK112" s="51"/>
      <c r="BL112" s="52"/>
      <c r="BP112" s="51"/>
      <c r="BQ112" s="52"/>
      <c r="BU112" s="51"/>
      <c r="BV112" s="52"/>
      <c r="BZ112" s="51"/>
      <c r="CA112" s="52"/>
      <c r="CE112" s="51"/>
      <c r="CF112" s="52"/>
      <c r="CJ112" s="51"/>
      <c r="CK112" s="52"/>
      <c r="CO112" s="51"/>
      <c r="CP112" s="52"/>
      <c r="CT112" s="51"/>
      <c r="CU112" s="52"/>
      <c r="CY112" s="51"/>
      <c r="CZ112" s="52"/>
      <c r="DC112" s="51"/>
      <c r="DE112" s="52"/>
      <c r="DI112" s="51"/>
      <c r="DJ112" s="52"/>
      <c r="DN112" s="51"/>
      <c r="DO112" s="52"/>
      <c r="DS112" s="51"/>
      <c r="DT112" s="52"/>
      <c r="DX112" s="51"/>
      <c r="DY112" s="52"/>
      <c r="EC112" s="51"/>
      <c r="ED112" s="52"/>
      <c r="EH112" s="51"/>
      <c r="EI112" s="52"/>
      <c r="EM112" s="51"/>
      <c r="EN112" s="52"/>
      <c r="ER112" s="51"/>
      <c r="ES112" s="52"/>
      <c r="EW112" s="51"/>
      <c r="EX112" s="52"/>
      <c r="FB112" s="51"/>
      <c r="FC112" s="52"/>
      <c r="FG112" s="51"/>
      <c r="FH112" s="52"/>
      <c r="FL112" s="51"/>
      <c r="FM112" s="52"/>
      <c r="FQ112" s="51"/>
      <c r="FR112" s="52"/>
      <c r="FV112" s="51"/>
      <c r="FW112" s="52"/>
      <c r="GA112" s="51"/>
      <c r="GB112" s="52"/>
    </row>
    <row r="113" spans="3:184" x14ac:dyDescent="0.2">
      <c r="C113" s="51"/>
      <c r="D113" s="52"/>
      <c r="H113" s="51"/>
      <c r="I113" s="52"/>
      <c r="M113" s="51"/>
      <c r="N113" s="52"/>
      <c r="R113" s="51"/>
      <c r="S113" s="52"/>
      <c r="W113" s="51"/>
      <c r="X113" s="52"/>
      <c r="AB113" s="51"/>
      <c r="AC113" s="52"/>
      <c r="AG113" s="51"/>
      <c r="AH113" s="52"/>
      <c r="AL113" s="51"/>
      <c r="AM113" s="52"/>
      <c r="AQ113" s="51"/>
      <c r="AR113" s="52"/>
      <c r="AV113" s="51"/>
      <c r="AW113" s="52"/>
      <c r="BA113" s="51"/>
      <c r="BB113" s="52"/>
      <c r="BF113" s="51"/>
      <c r="BG113" s="52"/>
      <c r="BK113" s="51"/>
      <c r="BL113" s="52"/>
      <c r="BP113" s="51"/>
      <c r="BQ113" s="52"/>
      <c r="BU113" s="51"/>
      <c r="BV113" s="52"/>
      <c r="BZ113" s="51"/>
      <c r="CA113" s="52"/>
      <c r="CE113" s="51"/>
      <c r="CF113" s="52"/>
      <c r="CJ113" s="51"/>
      <c r="CK113" s="52"/>
      <c r="CO113" s="51"/>
      <c r="CP113" s="52"/>
      <c r="CT113" s="51"/>
      <c r="CU113" s="52"/>
      <c r="CY113" s="51"/>
      <c r="CZ113" s="52"/>
      <c r="DC113" s="51"/>
      <c r="DE113" s="52"/>
      <c r="DI113" s="51"/>
      <c r="DJ113" s="52"/>
      <c r="DN113" s="51"/>
      <c r="DO113" s="52"/>
      <c r="DS113" s="51"/>
      <c r="DT113" s="52"/>
      <c r="DX113" s="51"/>
      <c r="DY113" s="52"/>
      <c r="EC113" s="51"/>
      <c r="ED113" s="52"/>
      <c r="EH113" s="51"/>
      <c r="EI113" s="52"/>
      <c r="EM113" s="51"/>
      <c r="EN113" s="52"/>
      <c r="ER113" s="51"/>
      <c r="ES113" s="52"/>
      <c r="EW113" s="51"/>
      <c r="EX113" s="52"/>
      <c r="FB113" s="51"/>
      <c r="FC113" s="52"/>
      <c r="FG113" s="51"/>
      <c r="FH113" s="52"/>
      <c r="FL113" s="51"/>
      <c r="FM113" s="52"/>
      <c r="FQ113" s="51"/>
      <c r="FR113" s="52"/>
      <c r="FV113" s="51"/>
      <c r="FW113" s="52"/>
      <c r="GA113" s="51"/>
      <c r="GB113" s="52"/>
    </row>
    <row r="114" spans="3:184" x14ac:dyDescent="0.2">
      <c r="C114" s="51"/>
      <c r="D114" s="52"/>
      <c r="H114" s="51"/>
      <c r="I114" s="52"/>
      <c r="M114" s="51"/>
      <c r="N114" s="52"/>
      <c r="R114" s="51"/>
      <c r="S114" s="52"/>
      <c r="W114" s="51"/>
      <c r="X114" s="52"/>
      <c r="AB114" s="51"/>
      <c r="AC114" s="52"/>
      <c r="AG114" s="51"/>
      <c r="AH114" s="52"/>
      <c r="AL114" s="51"/>
      <c r="AM114" s="52"/>
      <c r="AQ114" s="51"/>
      <c r="AR114" s="52"/>
      <c r="AV114" s="51"/>
      <c r="AW114" s="52"/>
      <c r="BA114" s="51"/>
      <c r="BB114" s="52"/>
      <c r="BF114" s="51"/>
      <c r="BG114" s="52"/>
      <c r="BK114" s="51"/>
      <c r="BL114" s="52"/>
      <c r="BP114" s="51"/>
      <c r="BQ114" s="52"/>
      <c r="BU114" s="51"/>
      <c r="BV114" s="52"/>
      <c r="BZ114" s="51"/>
      <c r="CA114" s="52"/>
      <c r="CE114" s="51"/>
      <c r="CF114" s="52"/>
      <c r="CJ114" s="51"/>
      <c r="CK114" s="52"/>
      <c r="CO114" s="51"/>
      <c r="CP114" s="52"/>
      <c r="CT114" s="51"/>
      <c r="CU114" s="52"/>
      <c r="CY114" s="51"/>
      <c r="CZ114" s="52"/>
      <c r="DC114" s="51"/>
      <c r="DE114" s="52"/>
      <c r="DI114" s="51"/>
      <c r="DJ114" s="52"/>
      <c r="DN114" s="51"/>
      <c r="DO114" s="52"/>
      <c r="DS114" s="51"/>
      <c r="DT114" s="52"/>
      <c r="DX114" s="51"/>
      <c r="DY114" s="52"/>
      <c r="EC114" s="51"/>
      <c r="ED114" s="52"/>
      <c r="EH114" s="51"/>
      <c r="EI114" s="52"/>
      <c r="EM114" s="51"/>
      <c r="EN114" s="52"/>
      <c r="ER114" s="51"/>
      <c r="ES114" s="52"/>
      <c r="EW114" s="51"/>
      <c r="EX114" s="52"/>
      <c r="FB114" s="51"/>
      <c r="FC114" s="52"/>
      <c r="FG114" s="51"/>
      <c r="FH114" s="52"/>
      <c r="FL114" s="51"/>
      <c r="FM114" s="52"/>
      <c r="FQ114" s="51"/>
      <c r="FR114" s="52"/>
      <c r="FV114" s="51"/>
      <c r="FW114" s="52"/>
      <c r="GA114" s="51"/>
      <c r="GB114" s="52"/>
    </row>
    <row r="115" spans="3:184" x14ac:dyDescent="0.2">
      <c r="C115" s="51"/>
      <c r="D115" s="52"/>
      <c r="H115" s="51"/>
      <c r="I115" s="52"/>
      <c r="M115" s="51"/>
      <c r="N115" s="52"/>
      <c r="R115" s="51"/>
      <c r="S115" s="52"/>
      <c r="W115" s="51"/>
      <c r="X115" s="52"/>
      <c r="AB115" s="51"/>
      <c r="AC115" s="52"/>
      <c r="AG115" s="51"/>
      <c r="AH115" s="52"/>
      <c r="AL115" s="51"/>
      <c r="AM115" s="52"/>
      <c r="AQ115" s="51"/>
      <c r="AR115" s="52"/>
      <c r="AV115" s="51"/>
      <c r="AW115" s="52"/>
      <c r="BA115" s="51"/>
      <c r="BB115" s="52"/>
      <c r="BF115" s="51"/>
      <c r="BG115" s="52"/>
      <c r="BK115" s="51"/>
      <c r="BL115" s="52"/>
      <c r="BP115" s="51"/>
      <c r="BQ115" s="52"/>
      <c r="BU115" s="51"/>
      <c r="BV115" s="52"/>
      <c r="BZ115" s="51"/>
      <c r="CA115" s="52"/>
      <c r="CE115" s="51"/>
      <c r="CF115" s="52"/>
      <c r="CJ115" s="51"/>
      <c r="CK115" s="52"/>
      <c r="CO115" s="51"/>
      <c r="CP115" s="52"/>
      <c r="CT115" s="51"/>
      <c r="CU115" s="52"/>
      <c r="CY115" s="51"/>
      <c r="CZ115" s="52"/>
      <c r="DC115" s="51"/>
      <c r="DE115" s="52"/>
      <c r="DI115" s="51"/>
      <c r="DJ115" s="52"/>
      <c r="DN115" s="51"/>
      <c r="DO115" s="52"/>
      <c r="DS115" s="51"/>
      <c r="DT115" s="52"/>
      <c r="DX115" s="51"/>
      <c r="DY115" s="52"/>
      <c r="EC115" s="51"/>
      <c r="ED115" s="52"/>
      <c r="EH115" s="51"/>
      <c r="EI115" s="52"/>
      <c r="EM115" s="51"/>
      <c r="EN115" s="52"/>
      <c r="ER115" s="51"/>
      <c r="ES115" s="52"/>
      <c r="EW115" s="51"/>
      <c r="EX115" s="52"/>
      <c r="FB115" s="51"/>
      <c r="FC115" s="52"/>
      <c r="FG115" s="51"/>
      <c r="FH115" s="52"/>
      <c r="FL115" s="51"/>
      <c r="FM115" s="52"/>
      <c r="FQ115" s="51"/>
      <c r="FR115" s="52"/>
      <c r="FV115" s="51"/>
      <c r="FW115" s="52"/>
      <c r="GA115" s="51"/>
      <c r="GB115" s="52"/>
    </row>
    <row r="116" spans="3:184" x14ac:dyDescent="0.2">
      <c r="C116" s="51"/>
      <c r="D116" s="52"/>
      <c r="H116" s="51"/>
      <c r="I116" s="52"/>
      <c r="M116" s="51"/>
      <c r="N116" s="52"/>
      <c r="R116" s="51"/>
      <c r="S116" s="52"/>
      <c r="W116" s="51"/>
      <c r="X116" s="52"/>
      <c r="AB116" s="51"/>
      <c r="AC116" s="52"/>
      <c r="AG116" s="51"/>
      <c r="AH116" s="52"/>
      <c r="AL116" s="51"/>
      <c r="AM116" s="52"/>
      <c r="AQ116" s="51"/>
      <c r="AR116" s="52"/>
      <c r="AV116" s="51"/>
      <c r="AW116" s="52"/>
      <c r="BA116" s="51"/>
      <c r="BB116" s="52"/>
      <c r="BF116" s="51"/>
      <c r="BG116" s="52"/>
      <c r="BK116" s="51"/>
      <c r="BL116" s="52"/>
      <c r="BP116" s="51"/>
      <c r="BQ116" s="52"/>
      <c r="BU116" s="51"/>
      <c r="BV116" s="52"/>
      <c r="BZ116" s="51"/>
      <c r="CA116" s="52"/>
      <c r="CE116" s="51"/>
      <c r="CF116" s="52"/>
      <c r="CJ116" s="51"/>
      <c r="CK116" s="52"/>
      <c r="CO116" s="51"/>
      <c r="CP116" s="52"/>
      <c r="CT116" s="51"/>
      <c r="CU116" s="52"/>
      <c r="CY116" s="51"/>
      <c r="CZ116" s="52"/>
      <c r="DC116" s="51"/>
      <c r="DE116" s="52"/>
      <c r="DI116" s="51"/>
      <c r="DJ116" s="52"/>
      <c r="DN116" s="51"/>
      <c r="DO116" s="52"/>
      <c r="DS116" s="51"/>
      <c r="DT116" s="52"/>
      <c r="DX116" s="51"/>
      <c r="DY116" s="52"/>
      <c r="EC116" s="51"/>
      <c r="ED116" s="52"/>
      <c r="EH116" s="51"/>
      <c r="EI116" s="52"/>
      <c r="EM116" s="51"/>
      <c r="EN116" s="52"/>
      <c r="ER116" s="51"/>
      <c r="ES116" s="52"/>
      <c r="EW116" s="51"/>
      <c r="EX116" s="52"/>
      <c r="FB116" s="51"/>
      <c r="FC116" s="52"/>
      <c r="FG116" s="51"/>
      <c r="FH116" s="52"/>
      <c r="FL116" s="51"/>
      <c r="FM116" s="52"/>
      <c r="FQ116" s="51"/>
      <c r="FR116" s="52"/>
      <c r="FV116" s="51"/>
      <c r="FW116" s="52"/>
      <c r="GA116" s="51"/>
      <c r="GB116" s="52"/>
    </row>
    <row r="117" spans="3:184" x14ac:dyDescent="0.2">
      <c r="C117" s="51"/>
      <c r="D117" s="52"/>
      <c r="H117" s="51"/>
      <c r="I117" s="52"/>
      <c r="M117" s="51"/>
      <c r="N117" s="52"/>
      <c r="R117" s="51"/>
      <c r="S117" s="52"/>
      <c r="W117" s="51"/>
      <c r="X117" s="52"/>
      <c r="AB117" s="51"/>
      <c r="AC117" s="52"/>
      <c r="AG117" s="51"/>
      <c r="AH117" s="52"/>
      <c r="AL117" s="51"/>
      <c r="AM117" s="52"/>
      <c r="AQ117" s="51"/>
      <c r="AR117" s="52"/>
      <c r="AV117" s="51"/>
      <c r="AW117" s="52"/>
      <c r="BA117" s="51"/>
      <c r="BB117" s="52"/>
      <c r="BF117" s="51"/>
      <c r="BG117" s="52"/>
      <c r="BK117" s="51"/>
      <c r="BL117" s="52"/>
      <c r="BP117" s="51"/>
      <c r="BQ117" s="52"/>
      <c r="BU117" s="51"/>
      <c r="BV117" s="52"/>
      <c r="BZ117" s="51"/>
      <c r="CA117" s="52"/>
      <c r="CE117" s="51"/>
      <c r="CF117" s="52"/>
      <c r="CJ117" s="51"/>
      <c r="CK117" s="52"/>
      <c r="CO117" s="51"/>
      <c r="CP117" s="52"/>
      <c r="CT117" s="51"/>
      <c r="CU117" s="52"/>
      <c r="CY117" s="51"/>
      <c r="CZ117" s="52"/>
      <c r="DC117" s="51"/>
      <c r="DE117" s="52"/>
      <c r="DI117" s="51"/>
      <c r="DJ117" s="52"/>
      <c r="DN117" s="51"/>
      <c r="DO117" s="52"/>
      <c r="DS117" s="51"/>
      <c r="DT117" s="52"/>
      <c r="DX117" s="51"/>
      <c r="DY117" s="52"/>
      <c r="EC117" s="51"/>
      <c r="ED117" s="52"/>
      <c r="EH117" s="51"/>
      <c r="EI117" s="52"/>
      <c r="EM117" s="51"/>
      <c r="EN117" s="52"/>
      <c r="ER117" s="51"/>
      <c r="ES117" s="52"/>
      <c r="EW117" s="51"/>
      <c r="EX117" s="52"/>
      <c r="FB117" s="51"/>
      <c r="FC117" s="52"/>
      <c r="FG117" s="51"/>
      <c r="FH117" s="52"/>
      <c r="FL117" s="51"/>
      <c r="FM117" s="52"/>
      <c r="FQ117" s="51"/>
      <c r="FR117" s="52"/>
      <c r="FV117" s="51"/>
      <c r="FW117" s="52"/>
      <c r="GA117" s="51"/>
      <c r="GB117" s="52"/>
    </row>
    <row r="118" spans="3:184" x14ac:dyDescent="0.2">
      <c r="C118" s="51"/>
      <c r="D118" s="52"/>
      <c r="H118" s="51"/>
      <c r="I118" s="52"/>
      <c r="M118" s="51"/>
      <c r="N118" s="52"/>
      <c r="R118" s="51"/>
      <c r="S118" s="52"/>
      <c r="W118" s="51"/>
      <c r="X118" s="52"/>
      <c r="AB118" s="51"/>
      <c r="AC118" s="52"/>
      <c r="AG118" s="51"/>
      <c r="AH118" s="52"/>
      <c r="AL118" s="51"/>
      <c r="AM118" s="52"/>
      <c r="AQ118" s="51"/>
      <c r="AR118" s="52"/>
      <c r="AV118" s="51"/>
      <c r="AW118" s="52"/>
      <c r="BA118" s="51"/>
      <c r="BB118" s="52"/>
      <c r="BF118" s="51"/>
      <c r="BG118" s="52"/>
      <c r="BK118" s="51"/>
      <c r="BL118" s="52"/>
      <c r="BP118" s="51"/>
      <c r="BQ118" s="52"/>
      <c r="BU118" s="51"/>
      <c r="BV118" s="52"/>
      <c r="BZ118" s="51"/>
      <c r="CA118" s="52"/>
      <c r="CE118" s="51"/>
      <c r="CF118" s="52"/>
      <c r="CJ118" s="51"/>
      <c r="CK118" s="52"/>
      <c r="CO118" s="51"/>
      <c r="CP118" s="52"/>
      <c r="CT118" s="51"/>
      <c r="CU118" s="52"/>
      <c r="CY118" s="51"/>
      <c r="CZ118" s="52"/>
      <c r="DC118" s="51"/>
      <c r="DE118" s="52"/>
      <c r="DI118" s="51"/>
      <c r="DJ118" s="52"/>
      <c r="DN118" s="51"/>
      <c r="DO118" s="52"/>
      <c r="DS118" s="51"/>
      <c r="DT118" s="52"/>
      <c r="DX118" s="51"/>
      <c r="DY118" s="52"/>
      <c r="EC118" s="51"/>
      <c r="ED118" s="52"/>
      <c r="EH118" s="51"/>
      <c r="EI118" s="52"/>
      <c r="EM118" s="51"/>
      <c r="EN118" s="52"/>
      <c r="ER118" s="51"/>
      <c r="ES118" s="52"/>
      <c r="EW118" s="51"/>
      <c r="EX118" s="52"/>
      <c r="FB118" s="51"/>
      <c r="FC118" s="52"/>
      <c r="FG118" s="51"/>
      <c r="FH118" s="52"/>
      <c r="FL118" s="51"/>
      <c r="FM118" s="52"/>
      <c r="FQ118" s="51"/>
      <c r="FR118" s="52"/>
      <c r="FV118" s="51"/>
      <c r="FW118" s="52"/>
      <c r="GA118" s="51"/>
      <c r="GB118" s="52"/>
    </row>
    <row r="119" spans="3:184" x14ac:dyDescent="0.2">
      <c r="C119" s="51"/>
      <c r="D119" s="52"/>
      <c r="H119" s="51"/>
      <c r="I119" s="52"/>
      <c r="M119" s="51"/>
      <c r="N119" s="52"/>
      <c r="R119" s="51"/>
      <c r="S119" s="52"/>
      <c r="W119" s="51"/>
      <c r="X119" s="52"/>
      <c r="AB119" s="51"/>
      <c r="AC119" s="52"/>
      <c r="AG119" s="51"/>
      <c r="AH119" s="52"/>
      <c r="AL119" s="51"/>
      <c r="AM119" s="52"/>
      <c r="AQ119" s="51"/>
      <c r="AR119" s="52"/>
      <c r="AV119" s="51"/>
      <c r="AW119" s="52"/>
      <c r="BA119" s="51"/>
      <c r="BB119" s="52"/>
      <c r="BF119" s="51"/>
      <c r="BG119" s="52"/>
      <c r="BK119" s="51"/>
      <c r="BL119" s="52"/>
      <c r="BP119" s="51"/>
      <c r="BQ119" s="52"/>
      <c r="BU119" s="51"/>
      <c r="BV119" s="52"/>
      <c r="BZ119" s="51"/>
      <c r="CA119" s="52"/>
      <c r="CE119" s="51"/>
      <c r="CF119" s="52"/>
      <c r="CJ119" s="51"/>
      <c r="CK119" s="52"/>
      <c r="CO119" s="51"/>
      <c r="CP119" s="52"/>
      <c r="CT119" s="51"/>
      <c r="CU119" s="52"/>
      <c r="CY119" s="51"/>
      <c r="CZ119" s="52"/>
      <c r="DC119" s="51"/>
      <c r="DE119" s="52"/>
      <c r="DI119" s="51"/>
      <c r="DJ119" s="52"/>
      <c r="DN119" s="51"/>
      <c r="DO119" s="52"/>
      <c r="DS119" s="51"/>
      <c r="DT119" s="52"/>
      <c r="DX119" s="51"/>
      <c r="DY119" s="52"/>
      <c r="EC119" s="51"/>
      <c r="ED119" s="52"/>
      <c r="EH119" s="51"/>
      <c r="EI119" s="52"/>
      <c r="EM119" s="51"/>
      <c r="EN119" s="52"/>
      <c r="ER119" s="51"/>
      <c r="ES119" s="52"/>
      <c r="EW119" s="51"/>
      <c r="EX119" s="52"/>
      <c r="FB119" s="51"/>
      <c r="FC119" s="52"/>
      <c r="FG119" s="51"/>
      <c r="FH119" s="52"/>
      <c r="FL119" s="51"/>
      <c r="FM119" s="52"/>
      <c r="FQ119" s="51"/>
      <c r="FR119" s="52"/>
      <c r="FV119" s="51"/>
      <c r="FW119" s="52"/>
      <c r="GA119" s="51"/>
      <c r="GB119" s="52"/>
    </row>
    <row r="120" spans="3:184" x14ac:dyDescent="0.2">
      <c r="C120" s="51"/>
      <c r="D120" s="52"/>
      <c r="H120" s="51"/>
      <c r="I120" s="52"/>
      <c r="M120" s="51"/>
      <c r="N120" s="52"/>
      <c r="R120" s="51"/>
      <c r="S120" s="52"/>
      <c r="W120" s="51"/>
      <c r="X120" s="52"/>
      <c r="AB120" s="51"/>
      <c r="AC120" s="52"/>
      <c r="AG120" s="51"/>
      <c r="AH120" s="52"/>
      <c r="AL120" s="51"/>
      <c r="AM120" s="52"/>
      <c r="AQ120" s="51"/>
      <c r="AR120" s="52"/>
      <c r="AV120" s="51"/>
      <c r="AW120" s="52"/>
      <c r="BA120" s="51"/>
      <c r="BB120" s="52"/>
      <c r="BF120" s="51"/>
      <c r="BG120" s="52"/>
      <c r="BK120" s="51"/>
      <c r="BL120" s="52"/>
      <c r="BP120" s="51"/>
      <c r="BQ120" s="52"/>
      <c r="BU120" s="51"/>
      <c r="BV120" s="52"/>
      <c r="BZ120" s="51"/>
      <c r="CA120" s="52"/>
      <c r="CE120" s="51"/>
      <c r="CF120" s="52"/>
      <c r="CJ120" s="51"/>
      <c r="CK120" s="52"/>
      <c r="CO120" s="51"/>
      <c r="CP120" s="52"/>
      <c r="CT120" s="51"/>
      <c r="CU120" s="52"/>
      <c r="CY120" s="51"/>
      <c r="CZ120" s="52"/>
      <c r="DC120" s="51"/>
      <c r="DE120" s="52"/>
      <c r="DI120" s="51"/>
      <c r="DJ120" s="52"/>
      <c r="DN120" s="51"/>
      <c r="DO120" s="52"/>
      <c r="DS120" s="51"/>
      <c r="DT120" s="52"/>
      <c r="DX120" s="51"/>
      <c r="DY120" s="52"/>
      <c r="EC120" s="51"/>
      <c r="ED120" s="52"/>
      <c r="EH120" s="51"/>
      <c r="EI120" s="52"/>
      <c r="EM120" s="51"/>
      <c r="EN120" s="52"/>
      <c r="ER120" s="51"/>
      <c r="ES120" s="52"/>
      <c r="EW120" s="51"/>
      <c r="EX120" s="52"/>
      <c r="FB120" s="51"/>
      <c r="FC120" s="52"/>
      <c r="FG120" s="51"/>
      <c r="FH120" s="52"/>
      <c r="FL120" s="51"/>
      <c r="FM120" s="52"/>
      <c r="FQ120" s="51"/>
      <c r="FR120" s="52"/>
      <c r="FV120" s="51"/>
      <c r="FW120" s="52"/>
      <c r="GA120" s="51"/>
      <c r="GB120" s="52"/>
    </row>
    <row r="121" spans="3:184" x14ac:dyDescent="0.2">
      <c r="C121" s="51"/>
      <c r="D121" s="52"/>
      <c r="H121" s="51"/>
      <c r="I121" s="52"/>
      <c r="M121" s="51"/>
      <c r="N121" s="52"/>
      <c r="R121" s="51"/>
      <c r="S121" s="52"/>
      <c r="W121" s="51"/>
      <c r="X121" s="52"/>
      <c r="AB121" s="51"/>
      <c r="AC121" s="52"/>
      <c r="AG121" s="51"/>
      <c r="AH121" s="52"/>
      <c r="AL121" s="51"/>
      <c r="AM121" s="52"/>
      <c r="AQ121" s="51"/>
      <c r="AR121" s="52"/>
      <c r="AV121" s="51"/>
      <c r="AW121" s="52"/>
      <c r="BA121" s="51"/>
      <c r="BB121" s="52"/>
      <c r="BF121" s="51"/>
      <c r="BG121" s="52"/>
      <c r="BK121" s="51"/>
      <c r="BL121" s="52"/>
      <c r="BP121" s="51"/>
      <c r="BQ121" s="52"/>
      <c r="BU121" s="51"/>
      <c r="BV121" s="52"/>
      <c r="BZ121" s="51"/>
      <c r="CA121" s="52"/>
      <c r="CE121" s="51"/>
      <c r="CF121" s="52"/>
      <c r="CJ121" s="51"/>
      <c r="CK121" s="52"/>
      <c r="CO121" s="51"/>
      <c r="CP121" s="52"/>
      <c r="CT121" s="51"/>
      <c r="CU121" s="52"/>
      <c r="CY121" s="51"/>
      <c r="CZ121" s="52"/>
      <c r="DC121" s="51"/>
      <c r="DE121" s="52"/>
      <c r="DI121" s="51"/>
      <c r="DJ121" s="52"/>
      <c r="DN121" s="51"/>
      <c r="DO121" s="52"/>
      <c r="DS121" s="51"/>
      <c r="DT121" s="52"/>
      <c r="DX121" s="51"/>
      <c r="DY121" s="52"/>
      <c r="EC121" s="51"/>
      <c r="ED121" s="52"/>
      <c r="EH121" s="51"/>
      <c r="EI121" s="52"/>
      <c r="EM121" s="51"/>
      <c r="EN121" s="52"/>
      <c r="ER121" s="51"/>
      <c r="ES121" s="52"/>
      <c r="EW121" s="51"/>
      <c r="EX121" s="52"/>
      <c r="FB121" s="51"/>
      <c r="FC121" s="52"/>
      <c r="FG121" s="51"/>
      <c r="FH121" s="52"/>
      <c r="FL121" s="51"/>
      <c r="FM121" s="52"/>
      <c r="FQ121" s="51"/>
      <c r="FR121" s="52"/>
      <c r="FV121" s="51"/>
      <c r="FW121" s="52"/>
      <c r="GA121" s="51"/>
      <c r="GB121" s="52"/>
    </row>
    <row r="122" spans="3:184" x14ac:dyDescent="0.2">
      <c r="C122" s="51"/>
      <c r="D122" s="52"/>
      <c r="H122" s="51"/>
      <c r="I122" s="52"/>
      <c r="M122" s="51"/>
      <c r="N122" s="52"/>
      <c r="R122" s="51"/>
      <c r="S122" s="52"/>
      <c r="W122" s="51"/>
      <c r="X122" s="52"/>
      <c r="AB122" s="51"/>
      <c r="AC122" s="52"/>
      <c r="AG122" s="51"/>
      <c r="AH122" s="52"/>
      <c r="AL122" s="51"/>
      <c r="AM122" s="52"/>
      <c r="AQ122" s="51"/>
      <c r="AR122" s="52"/>
      <c r="AV122" s="51"/>
      <c r="AW122" s="52"/>
      <c r="BA122" s="51"/>
      <c r="BB122" s="52"/>
      <c r="BF122" s="51"/>
      <c r="BG122" s="52"/>
      <c r="BK122" s="51"/>
      <c r="BL122" s="52"/>
      <c r="BP122" s="51"/>
      <c r="BQ122" s="52"/>
      <c r="BU122" s="51"/>
      <c r="BV122" s="52"/>
      <c r="BZ122" s="51"/>
      <c r="CA122" s="52"/>
      <c r="CE122" s="51"/>
      <c r="CF122" s="52"/>
      <c r="CJ122" s="51"/>
      <c r="CK122" s="52"/>
      <c r="CO122" s="51"/>
      <c r="CP122" s="52"/>
      <c r="CT122" s="51"/>
      <c r="CU122" s="52"/>
      <c r="CY122" s="51"/>
      <c r="CZ122" s="52"/>
      <c r="DC122" s="51"/>
      <c r="DE122" s="52"/>
      <c r="DI122" s="51"/>
      <c r="DJ122" s="52"/>
      <c r="DN122" s="51"/>
      <c r="DO122" s="52"/>
      <c r="DS122" s="51"/>
      <c r="DT122" s="52"/>
      <c r="DX122" s="51"/>
      <c r="DY122" s="52"/>
      <c r="EC122" s="51"/>
      <c r="ED122" s="52"/>
      <c r="EH122" s="51"/>
      <c r="EI122" s="52"/>
      <c r="EM122" s="51"/>
      <c r="EN122" s="52"/>
      <c r="ER122" s="51"/>
      <c r="ES122" s="52"/>
      <c r="EW122" s="51"/>
      <c r="EX122" s="52"/>
      <c r="FB122" s="51"/>
      <c r="FC122" s="52"/>
      <c r="FG122" s="51"/>
      <c r="FH122" s="52"/>
      <c r="FL122" s="51"/>
      <c r="FM122" s="52"/>
      <c r="FQ122" s="51"/>
      <c r="FR122" s="52"/>
      <c r="FV122" s="51"/>
      <c r="FW122" s="52"/>
      <c r="GA122" s="51"/>
      <c r="GB122" s="52"/>
    </row>
    <row r="123" spans="3:184" x14ac:dyDescent="0.2">
      <c r="C123" s="51"/>
      <c r="D123" s="52"/>
      <c r="H123" s="51"/>
      <c r="I123" s="52"/>
      <c r="M123" s="51"/>
      <c r="N123" s="52"/>
      <c r="R123" s="51"/>
      <c r="S123" s="52"/>
      <c r="W123" s="51"/>
      <c r="X123" s="52"/>
      <c r="AB123" s="51"/>
      <c r="AC123" s="52"/>
      <c r="AG123" s="51"/>
      <c r="AH123" s="52"/>
      <c r="AL123" s="51"/>
      <c r="AM123" s="52"/>
      <c r="AQ123" s="51"/>
      <c r="AR123" s="52"/>
      <c r="AV123" s="51"/>
      <c r="AW123" s="52"/>
      <c r="BA123" s="51"/>
      <c r="BB123" s="52"/>
      <c r="BF123" s="51"/>
      <c r="BG123" s="52"/>
      <c r="BK123" s="51"/>
      <c r="BL123" s="52"/>
      <c r="BP123" s="51"/>
      <c r="BQ123" s="52"/>
      <c r="BU123" s="51"/>
      <c r="BV123" s="52"/>
      <c r="BZ123" s="51"/>
      <c r="CA123" s="52"/>
      <c r="CE123" s="51"/>
      <c r="CF123" s="52"/>
      <c r="CJ123" s="51"/>
      <c r="CK123" s="52"/>
      <c r="CO123" s="51"/>
      <c r="CP123" s="52"/>
      <c r="CT123" s="51"/>
      <c r="CU123" s="52"/>
      <c r="CY123" s="51"/>
      <c r="CZ123" s="52"/>
      <c r="DC123" s="51"/>
      <c r="DE123" s="52"/>
      <c r="DI123" s="51"/>
      <c r="DJ123" s="52"/>
      <c r="DN123" s="51"/>
      <c r="DO123" s="52"/>
      <c r="DS123" s="51"/>
      <c r="DT123" s="52"/>
      <c r="DX123" s="51"/>
      <c r="DY123" s="52"/>
      <c r="EC123" s="51"/>
      <c r="ED123" s="52"/>
      <c r="EH123" s="51"/>
      <c r="EI123" s="52"/>
      <c r="EM123" s="51"/>
      <c r="EN123" s="52"/>
      <c r="ER123" s="51"/>
      <c r="ES123" s="52"/>
      <c r="EW123" s="51"/>
      <c r="EX123" s="52"/>
      <c r="FB123" s="51"/>
      <c r="FC123" s="52"/>
      <c r="FG123" s="51"/>
      <c r="FH123" s="52"/>
      <c r="FL123" s="51"/>
      <c r="FM123" s="52"/>
      <c r="FQ123" s="51"/>
      <c r="FR123" s="52"/>
      <c r="FV123" s="51"/>
      <c r="FW123" s="52"/>
      <c r="GA123" s="51"/>
      <c r="GB123" s="52"/>
    </row>
    <row r="124" spans="3:184" x14ac:dyDescent="0.2">
      <c r="C124" s="51"/>
      <c r="D124" s="52"/>
      <c r="H124" s="51"/>
      <c r="I124" s="52"/>
      <c r="M124" s="51"/>
      <c r="N124" s="52"/>
      <c r="R124" s="51"/>
      <c r="S124" s="52"/>
      <c r="W124" s="51"/>
      <c r="X124" s="52"/>
      <c r="AB124" s="51"/>
      <c r="AC124" s="52"/>
      <c r="AG124" s="51"/>
      <c r="AH124" s="52"/>
      <c r="AL124" s="51"/>
      <c r="AM124" s="52"/>
      <c r="AQ124" s="51"/>
      <c r="AR124" s="52"/>
      <c r="AV124" s="51"/>
      <c r="AW124" s="52"/>
      <c r="BA124" s="51"/>
      <c r="BB124" s="52"/>
      <c r="BF124" s="51"/>
      <c r="BG124" s="52"/>
      <c r="BK124" s="51"/>
      <c r="BL124" s="52"/>
      <c r="BP124" s="51"/>
      <c r="BQ124" s="52"/>
      <c r="BU124" s="51"/>
      <c r="BV124" s="52"/>
      <c r="BZ124" s="51"/>
      <c r="CA124" s="52"/>
      <c r="CE124" s="51"/>
      <c r="CF124" s="52"/>
      <c r="CJ124" s="51"/>
      <c r="CK124" s="52"/>
      <c r="CO124" s="51"/>
      <c r="CP124" s="52"/>
      <c r="CT124" s="51"/>
      <c r="CU124" s="52"/>
      <c r="CY124" s="51"/>
      <c r="CZ124" s="52"/>
      <c r="DC124" s="51"/>
      <c r="DE124" s="52"/>
      <c r="DI124" s="51"/>
      <c r="DJ124" s="52"/>
      <c r="DN124" s="51"/>
      <c r="DO124" s="52"/>
      <c r="DS124" s="51"/>
      <c r="DT124" s="52"/>
      <c r="DX124" s="51"/>
      <c r="DY124" s="52"/>
      <c r="EC124" s="51"/>
      <c r="ED124" s="52"/>
      <c r="EH124" s="51"/>
      <c r="EI124" s="52"/>
      <c r="EM124" s="51"/>
      <c r="EN124" s="52"/>
      <c r="ER124" s="51"/>
      <c r="ES124" s="52"/>
      <c r="EW124" s="51"/>
      <c r="EX124" s="52"/>
      <c r="FB124" s="51"/>
      <c r="FC124" s="52"/>
      <c r="FG124" s="51"/>
      <c r="FH124" s="52"/>
      <c r="FL124" s="51"/>
      <c r="FM124" s="52"/>
      <c r="FQ124" s="51"/>
      <c r="FR124" s="52"/>
      <c r="FV124" s="51"/>
      <c r="FW124" s="52"/>
      <c r="GA124" s="51"/>
      <c r="GB124" s="52"/>
    </row>
    <row r="125" spans="3:184" x14ac:dyDescent="0.2">
      <c r="C125" s="51"/>
      <c r="D125" s="52"/>
      <c r="H125" s="51"/>
      <c r="I125" s="52"/>
      <c r="M125" s="51"/>
      <c r="N125" s="52"/>
      <c r="R125" s="51"/>
      <c r="S125" s="52"/>
      <c r="W125" s="51"/>
      <c r="X125" s="52"/>
      <c r="AB125" s="51"/>
      <c r="AC125" s="52"/>
      <c r="AG125" s="51"/>
      <c r="AH125" s="52"/>
      <c r="AL125" s="51"/>
      <c r="AM125" s="52"/>
      <c r="AQ125" s="51"/>
      <c r="AR125" s="52"/>
      <c r="AV125" s="51"/>
      <c r="AW125" s="52"/>
      <c r="BA125" s="51"/>
      <c r="BB125" s="52"/>
      <c r="BF125" s="51"/>
      <c r="BG125" s="52"/>
      <c r="BK125" s="51"/>
      <c r="BL125" s="52"/>
      <c r="BP125" s="51"/>
      <c r="BQ125" s="52"/>
      <c r="BU125" s="51"/>
      <c r="BV125" s="52"/>
      <c r="BZ125" s="51"/>
      <c r="CA125" s="52"/>
      <c r="CE125" s="51"/>
      <c r="CF125" s="52"/>
      <c r="CJ125" s="51"/>
      <c r="CK125" s="52"/>
      <c r="CO125" s="51"/>
      <c r="CP125" s="52"/>
      <c r="CT125" s="51"/>
      <c r="CU125" s="52"/>
      <c r="CY125" s="51"/>
      <c r="CZ125" s="52"/>
      <c r="DC125" s="51"/>
      <c r="DE125" s="52"/>
      <c r="DI125" s="51"/>
      <c r="DJ125" s="52"/>
      <c r="DN125" s="51"/>
      <c r="DO125" s="52"/>
      <c r="DS125" s="51"/>
      <c r="DT125" s="52"/>
      <c r="DX125" s="51"/>
      <c r="DY125" s="52"/>
      <c r="EC125" s="51"/>
      <c r="ED125" s="52"/>
      <c r="EH125" s="51"/>
      <c r="EI125" s="52"/>
      <c r="EM125" s="51"/>
      <c r="EN125" s="52"/>
      <c r="ER125" s="51"/>
      <c r="ES125" s="52"/>
      <c r="EW125" s="51"/>
      <c r="EX125" s="52"/>
      <c r="FB125" s="51"/>
      <c r="FC125" s="52"/>
      <c r="FG125" s="51"/>
      <c r="FH125" s="52"/>
      <c r="FL125" s="51"/>
      <c r="FM125" s="52"/>
      <c r="FQ125" s="51"/>
      <c r="FR125" s="52"/>
      <c r="FV125" s="51"/>
      <c r="FW125" s="52"/>
      <c r="GA125" s="51"/>
      <c r="GB125" s="52"/>
    </row>
    <row r="126" spans="3:184" x14ac:dyDescent="0.2">
      <c r="C126" s="51"/>
      <c r="D126" s="52"/>
      <c r="H126" s="51"/>
      <c r="I126" s="52"/>
      <c r="M126" s="51"/>
      <c r="N126" s="52"/>
      <c r="R126" s="51"/>
      <c r="S126" s="52"/>
      <c r="W126" s="51"/>
      <c r="X126" s="52"/>
      <c r="AB126" s="51"/>
      <c r="AC126" s="52"/>
      <c r="AG126" s="51"/>
      <c r="AH126" s="52"/>
      <c r="AL126" s="51"/>
      <c r="AM126" s="52"/>
      <c r="AQ126" s="51"/>
      <c r="AR126" s="52"/>
      <c r="AV126" s="51"/>
      <c r="AW126" s="52"/>
      <c r="BA126" s="51"/>
      <c r="BB126" s="52"/>
      <c r="BF126" s="51"/>
      <c r="BG126" s="52"/>
      <c r="BK126" s="51"/>
      <c r="BL126" s="52"/>
      <c r="BP126" s="51"/>
      <c r="BQ126" s="52"/>
      <c r="BU126" s="51"/>
      <c r="BV126" s="52"/>
      <c r="BZ126" s="51"/>
      <c r="CA126" s="52"/>
      <c r="CE126" s="51"/>
      <c r="CF126" s="52"/>
      <c r="CJ126" s="51"/>
      <c r="CK126" s="52"/>
      <c r="CO126" s="51"/>
      <c r="CP126" s="52"/>
      <c r="CT126" s="51"/>
      <c r="CU126" s="52"/>
      <c r="CY126" s="51"/>
      <c r="CZ126" s="52"/>
      <c r="DC126" s="51"/>
      <c r="DE126" s="52"/>
      <c r="DI126" s="51"/>
      <c r="DJ126" s="52"/>
      <c r="DN126" s="51"/>
      <c r="DO126" s="52"/>
      <c r="DS126" s="51"/>
      <c r="DT126" s="52"/>
      <c r="DX126" s="51"/>
      <c r="DY126" s="52"/>
      <c r="EC126" s="51"/>
      <c r="ED126" s="52"/>
      <c r="EH126" s="51"/>
      <c r="EI126" s="52"/>
      <c r="EM126" s="51"/>
      <c r="EN126" s="52"/>
      <c r="ER126" s="51"/>
      <c r="ES126" s="52"/>
      <c r="EW126" s="51"/>
      <c r="EX126" s="52"/>
      <c r="FB126" s="51"/>
      <c r="FC126" s="52"/>
      <c r="FG126" s="51"/>
      <c r="FH126" s="52"/>
      <c r="FL126" s="51"/>
      <c r="FM126" s="52"/>
      <c r="FQ126" s="51"/>
      <c r="FR126" s="52"/>
      <c r="FV126" s="51"/>
      <c r="FW126" s="52"/>
      <c r="GA126" s="51"/>
      <c r="GB126" s="52"/>
    </row>
    <row r="127" spans="3:184" x14ac:dyDescent="0.2">
      <c r="C127" s="51"/>
      <c r="D127" s="52"/>
      <c r="H127" s="51"/>
      <c r="I127" s="52"/>
      <c r="M127" s="51"/>
      <c r="N127" s="52"/>
      <c r="R127" s="51"/>
      <c r="S127" s="52"/>
      <c r="W127" s="51"/>
      <c r="X127" s="52"/>
      <c r="AB127" s="51"/>
      <c r="AC127" s="52"/>
      <c r="AG127" s="51"/>
      <c r="AH127" s="52"/>
      <c r="AL127" s="51"/>
      <c r="AM127" s="52"/>
      <c r="AQ127" s="51"/>
      <c r="AR127" s="52"/>
      <c r="AV127" s="51"/>
      <c r="AW127" s="52"/>
      <c r="BA127" s="51"/>
      <c r="BB127" s="52"/>
      <c r="BF127" s="51"/>
      <c r="BG127" s="52"/>
      <c r="BK127" s="51"/>
      <c r="BL127" s="52"/>
      <c r="BP127" s="51"/>
      <c r="BQ127" s="52"/>
      <c r="BU127" s="51"/>
      <c r="BV127" s="52"/>
      <c r="BZ127" s="51"/>
      <c r="CA127" s="52"/>
      <c r="CE127" s="51"/>
      <c r="CF127" s="52"/>
      <c r="CJ127" s="51"/>
      <c r="CK127" s="52"/>
      <c r="CO127" s="51"/>
      <c r="CP127" s="52"/>
      <c r="CT127" s="51"/>
      <c r="CU127" s="52"/>
      <c r="CY127" s="51"/>
      <c r="CZ127" s="52"/>
      <c r="DC127" s="51"/>
      <c r="DE127" s="52"/>
      <c r="DI127" s="51"/>
      <c r="DJ127" s="52"/>
      <c r="DN127" s="51"/>
      <c r="DO127" s="52"/>
      <c r="DS127" s="51"/>
      <c r="DT127" s="52"/>
      <c r="DX127" s="51"/>
      <c r="DY127" s="52"/>
      <c r="EC127" s="51"/>
      <c r="ED127" s="52"/>
      <c r="EH127" s="51"/>
      <c r="EI127" s="52"/>
      <c r="EM127" s="51"/>
      <c r="EN127" s="52"/>
      <c r="ER127" s="51"/>
      <c r="ES127" s="52"/>
      <c r="EW127" s="51"/>
      <c r="EX127" s="52"/>
      <c r="FB127" s="51"/>
      <c r="FC127" s="52"/>
      <c r="FG127" s="51"/>
      <c r="FH127" s="52"/>
      <c r="FL127" s="51"/>
      <c r="FM127" s="52"/>
      <c r="FQ127" s="51"/>
      <c r="FR127" s="52"/>
      <c r="FV127" s="51"/>
      <c r="FW127" s="52"/>
      <c r="GA127" s="51"/>
      <c r="GB127" s="52"/>
    </row>
    <row r="128" spans="3:184" x14ac:dyDescent="0.2">
      <c r="C128" s="51"/>
      <c r="D128" s="52"/>
      <c r="H128" s="51"/>
      <c r="I128" s="52"/>
      <c r="M128" s="51"/>
      <c r="N128" s="52"/>
      <c r="R128" s="51"/>
      <c r="S128" s="52"/>
      <c r="W128" s="51"/>
      <c r="X128" s="52"/>
      <c r="AB128" s="51"/>
      <c r="AC128" s="52"/>
      <c r="AG128" s="51"/>
      <c r="AH128" s="52"/>
      <c r="AL128" s="51"/>
      <c r="AM128" s="52"/>
      <c r="AQ128" s="51"/>
      <c r="AR128" s="52"/>
      <c r="AV128" s="51"/>
      <c r="AW128" s="52"/>
      <c r="BA128" s="51"/>
      <c r="BB128" s="52"/>
      <c r="BF128" s="51"/>
      <c r="BG128" s="52"/>
      <c r="BK128" s="51"/>
      <c r="BL128" s="52"/>
      <c r="BP128" s="51"/>
      <c r="BQ128" s="52"/>
      <c r="BU128" s="51"/>
      <c r="BV128" s="52"/>
      <c r="BZ128" s="51"/>
      <c r="CA128" s="52"/>
      <c r="CE128" s="51"/>
      <c r="CF128" s="52"/>
      <c r="CJ128" s="51"/>
      <c r="CK128" s="52"/>
      <c r="CO128" s="51"/>
      <c r="CP128" s="52"/>
      <c r="CT128" s="51"/>
      <c r="CU128" s="52"/>
      <c r="CY128" s="51"/>
      <c r="CZ128" s="52"/>
      <c r="DC128" s="51"/>
      <c r="DE128" s="52"/>
      <c r="DI128" s="51"/>
      <c r="DJ128" s="52"/>
      <c r="DN128" s="51"/>
      <c r="DO128" s="52"/>
      <c r="DS128" s="51"/>
      <c r="DT128" s="52"/>
      <c r="DX128" s="51"/>
      <c r="DY128" s="52"/>
      <c r="EC128" s="51"/>
      <c r="ED128" s="52"/>
      <c r="EH128" s="51"/>
      <c r="EI128" s="52"/>
      <c r="EM128" s="51"/>
      <c r="EN128" s="52"/>
      <c r="ER128" s="51"/>
      <c r="ES128" s="52"/>
      <c r="EW128" s="51"/>
      <c r="EX128" s="52"/>
      <c r="FB128" s="51"/>
      <c r="FC128" s="52"/>
      <c r="FG128" s="51"/>
      <c r="FH128" s="52"/>
      <c r="FL128" s="51"/>
      <c r="FM128" s="52"/>
      <c r="FQ128" s="51"/>
      <c r="FR128" s="52"/>
      <c r="FV128" s="51"/>
      <c r="FW128" s="52"/>
      <c r="GA128" s="51"/>
      <c r="GB128" s="52"/>
    </row>
    <row r="129" spans="3:184" x14ac:dyDescent="0.2">
      <c r="C129" s="51"/>
      <c r="D129" s="52"/>
      <c r="H129" s="51"/>
      <c r="I129" s="52"/>
      <c r="M129" s="51"/>
      <c r="N129" s="52"/>
      <c r="R129" s="51"/>
      <c r="S129" s="52"/>
      <c r="W129" s="51"/>
      <c r="X129" s="52"/>
      <c r="AB129" s="51"/>
      <c r="AC129" s="52"/>
      <c r="AG129" s="51"/>
      <c r="AH129" s="52"/>
      <c r="AL129" s="51"/>
      <c r="AM129" s="52"/>
      <c r="AQ129" s="51"/>
      <c r="AR129" s="52"/>
      <c r="AV129" s="51"/>
      <c r="AW129" s="52"/>
      <c r="BA129" s="51"/>
      <c r="BB129" s="52"/>
      <c r="BF129" s="51"/>
      <c r="BG129" s="52"/>
      <c r="BK129" s="51"/>
      <c r="BL129" s="52"/>
      <c r="BP129" s="51"/>
      <c r="BQ129" s="52"/>
      <c r="BU129" s="51"/>
      <c r="BV129" s="52"/>
      <c r="BZ129" s="51"/>
      <c r="CA129" s="52"/>
      <c r="CE129" s="51"/>
      <c r="CF129" s="52"/>
      <c r="CJ129" s="51"/>
      <c r="CK129" s="52"/>
      <c r="CO129" s="51"/>
      <c r="CP129" s="52"/>
      <c r="CT129" s="51"/>
      <c r="CU129" s="52"/>
      <c r="CY129" s="51"/>
      <c r="CZ129" s="52"/>
      <c r="DC129" s="51"/>
      <c r="DE129" s="52"/>
      <c r="DI129" s="51"/>
      <c r="DJ129" s="52"/>
      <c r="DN129" s="51"/>
      <c r="DO129" s="52"/>
      <c r="DS129" s="51"/>
      <c r="DT129" s="52"/>
      <c r="DX129" s="51"/>
      <c r="DY129" s="52"/>
      <c r="EC129" s="51"/>
      <c r="ED129" s="52"/>
      <c r="EH129" s="51"/>
      <c r="EI129" s="52"/>
      <c r="EM129" s="51"/>
      <c r="EN129" s="52"/>
      <c r="ER129" s="51"/>
      <c r="ES129" s="52"/>
      <c r="EW129" s="51"/>
      <c r="EX129" s="52"/>
      <c r="FB129" s="51"/>
      <c r="FC129" s="52"/>
      <c r="FG129" s="51"/>
      <c r="FH129" s="52"/>
      <c r="FL129" s="51"/>
      <c r="FM129" s="52"/>
      <c r="FQ129" s="51"/>
      <c r="FR129" s="52"/>
      <c r="FV129" s="51"/>
      <c r="FW129" s="52"/>
      <c r="GA129" s="51"/>
      <c r="GB129" s="52"/>
    </row>
    <row r="130" spans="3:184" x14ac:dyDescent="0.2">
      <c r="C130" s="51"/>
      <c r="D130" s="52"/>
      <c r="H130" s="51"/>
      <c r="I130" s="52"/>
      <c r="M130" s="51"/>
      <c r="N130" s="52"/>
      <c r="R130" s="51"/>
      <c r="S130" s="52"/>
      <c r="W130" s="51"/>
      <c r="X130" s="52"/>
      <c r="AB130" s="51"/>
      <c r="AC130" s="52"/>
      <c r="AG130" s="51"/>
      <c r="AH130" s="52"/>
      <c r="AL130" s="51"/>
      <c r="AM130" s="52"/>
      <c r="AQ130" s="51"/>
      <c r="AR130" s="52"/>
      <c r="AV130" s="51"/>
      <c r="AW130" s="52"/>
      <c r="BA130" s="51"/>
      <c r="BB130" s="52"/>
      <c r="BF130" s="51"/>
      <c r="BG130" s="52"/>
      <c r="BK130" s="51"/>
      <c r="BL130" s="52"/>
      <c r="BP130" s="51"/>
      <c r="BQ130" s="52"/>
      <c r="BU130" s="51"/>
      <c r="BV130" s="52"/>
      <c r="BZ130" s="51"/>
      <c r="CA130" s="52"/>
      <c r="CE130" s="51"/>
      <c r="CF130" s="52"/>
      <c r="CJ130" s="51"/>
      <c r="CK130" s="52"/>
      <c r="CO130" s="51"/>
      <c r="CP130" s="52"/>
      <c r="CT130" s="51"/>
      <c r="CU130" s="52"/>
      <c r="CY130" s="51"/>
      <c r="CZ130" s="52"/>
      <c r="DC130" s="51"/>
      <c r="DE130" s="52"/>
      <c r="DI130" s="51"/>
      <c r="DJ130" s="52"/>
      <c r="DN130" s="51"/>
      <c r="DO130" s="52"/>
      <c r="DS130" s="51"/>
      <c r="DT130" s="52"/>
      <c r="DX130" s="51"/>
      <c r="DY130" s="52"/>
      <c r="EC130" s="51"/>
      <c r="ED130" s="52"/>
      <c r="EH130" s="51"/>
      <c r="EI130" s="52"/>
      <c r="EM130" s="51"/>
      <c r="EN130" s="52"/>
      <c r="ER130" s="51"/>
      <c r="ES130" s="52"/>
      <c r="EW130" s="51"/>
      <c r="EX130" s="52"/>
      <c r="FB130" s="51"/>
      <c r="FC130" s="52"/>
      <c r="FG130" s="51"/>
      <c r="FH130" s="52"/>
      <c r="FL130" s="51"/>
      <c r="FM130" s="52"/>
      <c r="FQ130" s="51"/>
      <c r="FR130" s="52"/>
      <c r="FV130" s="51"/>
      <c r="FW130" s="52"/>
      <c r="GA130" s="51"/>
      <c r="GB130" s="52"/>
    </row>
    <row r="131" spans="3:184" x14ac:dyDescent="0.2">
      <c r="AB131" s="51"/>
      <c r="FG131" s="51"/>
      <c r="FH131" s="52"/>
      <c r="FL131" s="51"/>
      <c r="FM131" s="52"/>
      <c r="FQ131" s="51"/>
      <c r="FR131" s="52"/>
      <c r="FV131" s="51"/>
      <c r="FW131" s="52"/>
      <c r="GA131" s="51"/>
      <c r="GB131" s="52"/>
    </row>
    <row r="132" spans="3:184" x14ac:dyDescent="0.2">
      <c r="AB132" s="51"/>
      <c r="FG132" s="51"/>
      <c r="FH132" s="52"/>
      <c r="FL132" s="51"/>
      <c r="FM132" s="52"/>
      <c r="FQ132" s="51"/>
      <c r="FR132" s="52"/>
      <c r="FV132" s="51"/>
      <c r="FW132" s="52"/>
      <c r="GA132" s="51"/>
      <c r="GB132" s="52"/>
    </row>
    <row r="133" spans="3:184" x14ac:dyDescent="0.2">
      <c r="AB133" s="51"/>
      <c r="FG133" s="51"/>
      <c r="FH133" s="52"/>
      <c r="FL133" s="51"/>
      <c r="FM133" s="52"/>
      <c r="FQ133" s="51"/>
      <c r="FR133" s="52"/>
      <c r="FV133" s="51"/>
      <c r="FW133" s="52"/>
      <c r="GA133" s="51"/>
      <c r="GB133" s="52"/>
    </row>
    <row r="134" spans="3:184" x14ac:dyDescent="0.2">
      <c r="AB134" s="51"/>
      <c r="FG134" s="51"/>
      <c r="FH134" s="52"/>
      <c r="FL134" s="51"/>
      <c r="FM134" s="52"/>
      <c r="FQ134" s="51"/>
      <c r="FR134" s="52"/>
      <c r="FV134" s="51"/>
      <c r="FW134" s="52"/>
      <c r="GA134" s="51"/>
      <c r="GB134" s="52"/>
    </row>
    <row r="135" spans="3:184" x14ac:dyDescent="0.2">
      <c r="AB135" s="51"/>
      <c r="FG135" s="51"/>
      <c r="FH135" s="52"/>
      <c r="FL135" s="51"/>
      <c r="FM135" s="52"/>
      <c r="FQ135" s="51"/>
      <c r="FR135" s="52"/>
      <c r="FV135" s="51"/>
      <c r="FW135" s="52"/>
      <c r="GA135" s="51"/>
      <c r="GB135" s="52"/>
    </row>
    <row r="136" spans="3:184" x14ac:dyDescent="0.2">
      <c r="AB136" s="51"/>
      <c r="FG136" s="51"/>
      <c r="FH136" s="52"/>
      <c r="FL136" s="51"/>
      <c r="FM136" s="52"/>
      <c r="FQ136" s="51"/>
      <c r="FR136" s="52"/>
      <c r="FV136" s="51"/>
      <c r="FW136" s="52"/>
      <c r="GA136" s="51"/>
      <c r="GB136" s="52"/>
    </row>
    <row r="137" spans="3:184" x14ac:dyDescent="0.2">
      <c r="AB137" s="51"/>
      <c r="FG137" s="51"/>
      <c r="FH137" s="52"/>
      <c r="FL137" s="51"/>
      <c r="FM137" s="52"/>
      <c r="FQ137" s="51"/>
      <c r="FR137" s="52"/>
      <c r="FV137" s="51"/>
      <c r="FW137" s="52"/>
      <c r="GA137" s="51"/>
      <c r="GB137" s="52"/>
    </row>
    <row r="138" spans="3:184" x14ac:dyDescent="0.2">
      <c r="AB138" s="51"/>
      <c r="FG138" s="51"/>
      <c r="FH138" s="52"/>
      <c r="FL138" s="51"/>
      <c r="FM138" s="52"/>
      <c r="FQ138" s="51"/>
      <c r="FR138" s="52"/>
      <c r="FV138" s="51"/>
      <c r="FW138" s="52"/>
      <c r="GA138" s="51"/>
      <c r="GB138" s="52"/>
    </row>
    <row r="139" spans="3:184" x14ac:dyDescent="0.2">
      <c r="AB139" s="51"/>
      <c r="FG139" s="51"/>
      <c r="FH139" s="52"/>
      <c r="FL139" s="51"/>
      <c r="FM139" s="52"/>
      <c r="FQ139" s="51"/>
      <c r="FR139" s="52"/>
      <c r="FV139" s="51"/>
      <c r="FW139" s="52"/>
      <c r="GA139" s="51"/>
      <c r="GB139" s="52"/>
    </row>
    <row r="140" spans="3:184" x14ac:dyDescent="0.2">
      <c r="AB140" s="51"/>
      <c r="FG140" s="51"/>
      <c r="FH140" s="52"/>
      <c r="FL140" s="51"/>
      <c r="FM140" s="52"/>
      <c r="FQ140" s="51"/>
      <c r="FR140" s="52"/>
      <c r="FV140" s="51"/>
      <c r="FW140" s="52"/>
      <c r="GA140" s="51"/>
      <c r="GB140" s="52"/>
    </row>
    <row r="141" spans="3:184" x14ac:dyDescent="0.2">
      <c r="AB141" s="51"/>
      <c r="FG141" s="51"/>
      <c r="FH141" s="52"/>
      <c r="FL141" s="51"/>
      <c r="FM141" s="52"/>
      <c r="FQ141" s="51"/>
      <c r="FR141" s="52"/>
      <c r="FV141" s="51"/>
      <c r="FW141" s="52"/>
      <c r="GA141" s="51"/>
      <c r="GB141" s="52"/>
    </row>
  </sheetData>
  <sheetProtection selectLockedCells="1"/>
  <sortState xmlns:xlrd2="http://schemas.microsoft.com/office/spreadsheetml/2017/richdata2" ref="A4:FC99999">
    <sortCondition ref="A4:A99999"/>
  </sortState>
  <mergeCells count="45">
    <mergeCell ref="EP2:ES2"/>
    <mergeCell ref="CC2:CF2"/>
    <mergeCell ref="CH2:CK2"/>
    <mergeCell ref="CR2:CU2"/>
    <mergeCell ref="CW2:CZ2"/>
    <mergeCell ref="DB2:DE2"/>
    <mergeCell ref="DQ2:DT2"/>
    <mergeCell ref="DV2:DY2"/>
    <mergeCell ref="EA2:ED2"/>
    <mergeCell ref="EF2:EI2"/>
    <mergeCell ref="EK2:EN2"/>
    <mergeCell ref="DL2:DO2"/>
    <mergeCell ref="GN2:GQ2"/>
    <mergeCell ref="FE2:FH2"/>
    <mergeCell ref="FJ2:FM2"/>
    <mergeCell ref="FO2:FR2"/>
    <mergeCell ref="FT2:FW2"/>
    <mergeCell ref="FY2:GB2"/>
    <mergeCell ref="GD2:GG2"/>
    <mergeCell ref="GI2:GL2"/>
    <mergeCell ref="HM2:HP2"/>
    <mergeCell ref="K2:N2"/>
    <mergeCell ref="AE2:AH2"/>
    <mergeCell ref="CM2:CP2"/>
    <mergeCell ref="DG2:DJ2"/>
    <mergeCell ref="AO2:AR2"/>
    <mergeCell ref="AT2:AW2"/>
    <mergeCell ref="AY2:BB2"/>
    <mergeCell ref="BD2:BG2"/>
    <mergeCell ref="BI2:BL2"/>
    <mergeCell ref="EU2:EX2"/>
    <mergeCell ref="EZ2:FC2"/>
    <mergeCell ref="GS2:GV2"/>
    <mergeCell ref="GX2:HA2"/>
    <mergeCell ref="HC2:HF2"/>
    <mergeCell ref="HH2:HK2"/>
    <mergeCell ref="AJ2:AM2"/>
    <mergeCell ref="BN2:BQ2"/>
    <mergeCell ref="BS2:BV2"/>
    <mergeCell ref="BX2:CA2"/>
    <mergeCell ref="A2:D2"/>
    <mergeCell ref="F2:I2"/>
    <mergeCell ref="P2:S2"/>
    <mergeCell ref="U2:X2"/>
    <mergeCell ref="Z2:AC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7D240-6502-4AA1-92BA-8682ED3AE9BF}">
  <sheetPr codeName="shMaintenance_Loads">
    <tabColor theme="8"/>
  </sheetPr>
  <dimension ref="A1:R39"/>
  <sheetViews>
    <sheetView showGridLines="0" topLeftCell="B1" workbookViewId="0">
      <selection activeCell="B7" sqref="B7"/>
    </sheetView>
  </sheetViews>
  <sheetFormatPr defaultColWidth="9.140625" defaultRowHeight="12" x14ac:dyDescent="0.2"/>
  <cols>
    <col min="1" max="1" width="2.7109375" style="72" hidden="1" customWidth="1"/>
    <col min="2" max="5" width="12.7109375" style="72" customWidth="1"/>
    <col min="6" max="6" width="2.7109375" style="72" customWidth="1"/>
    <col min="7" max="10" width="12.7109375" style="72" customWidth="1"/>
    <col min="11" max="11" width="2.7109375" style="72" customWidth="1"/>
    <col min="12" max="18" width="12.7109375" style="72" customWidth="1"/>
    <col min="19" max="16384" width="9.140625" style="72"/>
  </cols>
  <sheetData>
    <row r="1" spans="1:18" ht="35.1" customHeight="1" x14ac:dyDescent="0.2"/>
    <row r="2" spans="1:18" ht="12" customHeight="1" x14ac:dyDescent="0.2">
      <c r="B2" s="514" t="s">
        <v>326</v>
      </c>
      <c r="C2" s="514"/>
      <c r="D2" s="514"/>
      <c r="E2" s="514"/>
      <c r="F2" s="514"/>
      <c r="G2" s="514"/>
      <c r="H2" s="514"/>
      <c r="I2" s="514"/>
      <c r="J2" s="514"/>
      <c r="K2" s="514"/>
      <c r="L2" s="514"/>
      <c r="M2" s="514"/>
      <c r="N2" s="514"/>
      <c r="O2" s="514"/>
      <c r="P2" s="514"/>
      <c r="Q2" s="514"/>
      <c r="R2" s="514"/>
    </row>
    <row r="4" spans="1:18" ht="15" customHeight="1" x14ac:dyDescent="0.2">
      <c r="B4" s="73" t="s">
        <v>668</v>
      </c>
      <c r="C4" s="74"/>
      <c r="D4" s="74"/>
      <c r="E4" s="75">
        <f>COUNTA(B7:B10)</f>
        <v>0</v>
      </c>
      <c r="G4" s="73" t="s">
        <v>669</v>
      </c>
      <c r="H4" s="74"/>
      <c r="I4" s="74"/>
      <c r="J4" s="75">
        <f>COUNTA(G7:G10)</f>
        <v>0</v>
      </c>
      <c r="L4" s="73" t="s">
        <v>327</v>
      </c>
      <c r="M4" s="74"/>
      <c r="N4" s="74"/>
      <c r="O4" s="74"/>
      <c r="P4" s="74"/>
      <c r="Q4" s="74"/>
      <c r="R4" s="75">
        <f>COUNTA(L7:L10)</f>
        <v>0</v>
      </c>
    </row>
    <row r="5" spans="1:18" ht="15" customHeight="1" x14ac:dyDescent="0.2">
      <c r="B5" s="515" t="s">
        <v>255</v>
      </c>
      <c r="C5" s="515" t="s">
        <v>293</v>
      </c>
      <c r="D5" s="516" t="str">
        <f>CONCATENATE("Magnitude [",Code!R17,"]")</f>
        <v>Magnitude []</v>
      </c>
      <c r="E5" s="516" t="s">
        <v>328</v>
      </c>
      <c r="F5" s="69"/>
      <c r="G5" s="515" t="s">
        <v>255</v>
      </c>
      <c r="H5" s="515" t="s">
        <v>293</v>
      </c>
      <c r="I5" s="516" t="str">
        <f>CONCATENATE("Magnitude [",Code!R17,"]")</f>
        <v>Magnitude []</v>
      </c>
      <c r="J5" s="516" t="s">
        <v>328</v>
      </c>
      <c r="L5" s="515" t="s">
        <v>329</v>
      </c>
      <c r="M5" s="515" t="s">
        <v>330</v>
      </c>
      <c r="N5" s="515" t="s">
        <v>331</v>
      </c>
      <c r="O5" s="515" t="s">
        <v>332</v>
      </c>
      <c r="P5" s="515" t="s">
        <v>293</v>
      </c>
      <c r="Q5" s="515" t="s">
        <v>333</v>
      </c>
      <c r="R5" s="515" t="s">
        <v>334</v>
      </c>
    </row>
    <row r="6" spans="1:18" ht="15" customHeight="1" x14ac:dyDescent="0.2">
      <c r="B6" s="515"/>
      <c r="C6" s="515"/>
      <c r="D6" s="516"/>
      <c r="E6" s="516"/>
      <c r="F6" s="69"/>
      <c r="G6" s="515"/>
      <c r="H6" s="515"/>
      <c r="I6" s="516"/>
      <c r="J6" s="516"/>
      <c r="L6" s="515"/>
      <c r="M6" s="515"/>
      <c r="N6" s="515"/>
      <c r="O6" s="515"/>
      <c r="P6" s="515"/>
      <c r="Q6" s="515"/>
      <c r="R6" s="515"/>
    </row>
    <row r="7" spans="1:18" ht="15" customHeight="1" x14ac:dyDescent="0.2">
      <c r="A7" s="517" t="s">
        <v>335</v>
      </c>
      <c r="B7" s="191"/>
      <c r="C7" s="199" t="str">
        <f>IF(B7="","","Y")</f>
        <v/>
      </c>
      <c r="D7" s="200" t="str">
        <f>IF(B7="","",-Lm * IF(RISA3D.Unit.Force="lbf",1,IF(RISA3D.Unit.Force="kip",1/1000,IF(RISA3D.Unit.Force="N",4.44822,4.44822/1000))))</f>
        <v/>
      </c>
      <c r="E7" s="193"/>
      <c r="G7" s="196"/>
      <c r="H7" s="202" t="str">
        <f>IF(G7="","","Y")</f>
        <v/>
      </c>
      <c r="I7" s="203" t="str">
        <f>IF(G7="","",-Lv * IF(RISA3D.Unit.Force="lbf",1,IF(RISA3D.Unit.Force="kip",1/1000,IF(RISA3D.Unit.Force="N",4.44822,4.44822/1000))))</f>
        <v/>
      </c>
      <c r="J7" s="198"/>
      <c r="L7" s="76"/>
      <c r="M7" s="76"/>
      <c r="N7" s="76"/>
      <c r="O7" s="76"/>
      <c r="P7" s="199" t="s">
        <v>170</v>
      </c>
      <c r="Q7" s="199" t="s">
        <v>336</v>
      </c>
      <c r="R7" s="204">
        <f>-Grating/1000</f>
        <v>0</v>
      </c>
    </row>
    <row r="8" spans="1:18" ht="15" customHeight="1" x14ac:dyDescent="0.2">
      <c r="A8" s="517"/>
      <c r="B8" s="194"/>
      <c r="C8" s="199" t="str">
        <f>IF(B8="","","Y")</f>
        <v/>
      </c>
      <c r="D8" s="199" t="str">
        <f>IF(B8="","",-Lm * IF(RISA3D.Unit.Force="lbf",1,IF(RISA3D.Unit.Force="kip",1/1000,IF(RISA3D.Unit.Force="N",4.44822,4.44822/1000))))</f>
        <v/>
      </c>
      <c r="E8" s="193"/>
      <c r="G8" s="194"/>
      <c r="H8" s="199" t="str">
        <f>IF(G8="","","Y")</f>
        <v/>
      </c>
      <c r="I8" s="199" t="str">
        <f>IF(G8="","",-Lv * IF(RISA3D.Unit.Force="lbf",1,IF(RISA3D.Unit.Force="kip",1/1000,IF(RISA3D.Unit.Force="N",4.44822,4.44822/1000))))</f>
        <v/>
      </c>
      <c r="J8" s="193"/>
      <c r="L8" s="76"/>
      <c r="M8" s="76"/>
      <c r="N8" s="76"/>
      <c r="O8" s="76"/>
      <c r="P8" s="199" t="s">
        <v>170</v>
      </c>
      <c r="Q8" s="199" t="s">
        <v>336</v>
      </c>
      <c r="R8" s="204">
        <f>-Grating/1000</f>
        <v>0</v>
      </c>
    </row>
    <row r="9" spans="1:18" ht="15" customHeight="1" x14ac:dyDescent="0.2">
      <c r="A9" s="517"/>
      <c r="B9" s="194"/>
      <c r="C9" s="199" t="str">
        <f>IF(B9="","","Y")</f>
        <v/>
      </c>
      <c r="D9" s="199" t="str">
        <f>IF(B9="","",-Lm * IF(RISA3D.Unit.Force="lbf",1,IF(RISA3D.Unit.Force="kip",1/1000,IF(RISA3D.Unit.Force="N",4.44822,4.44822/1000))))</f>
        <v/>
      </c>
      <c r="E9" s="193"/>
      <c r="G9" s="194"/>
      <c r="H9" s="199" t="str">
        <f>IF(G9="","","Y")</f>
        <v/>
      </c>
      <c r="I9" s="199" t="str">
        <f>IF(G9="","",-Lv * IF(RISA3D.Unit.Force="lbf",1,IF(RISA3D.Unit.Force="kip",1/1000,IF(RISA3D.Unit.Force="N",4.44822,4.44822/1000))))</f>
        <v/>
      </c>
      <c r="J9" s="193"/>
      <c r="L9" s="76"/>
      <c r="M9" s="76"/>
      <c r="N9" s="76"/>
      <c r="O9" s="76"/>
      <c r="P9" s="199" t="s">
        <v>170</v>
      </c>
      <c r="Q9" s="199" t="s">
        <v>336</v>
      </c>
      <c r="R9" s="204">
        <f>-Grating/1000</f>
        <v>0</v>
      </c>
    </row>
    <row r="10" spans="1:18" ht="15" customHeight="1" thickBot="1" x14ac:dyDescent="0.25">
      <c r="A10" s="517"/>
      <c r="B10" s="194"/>
      <c r="C10" s="199" t="str">
        <f>IF(B10="","","Y")</f>
        <v/>
      </c>
      <c r="D10" s="199" t="str">
        <f>IF(B10="","",-Lm * IF(RISA3D.Unit.Force="lbf",1,IF(RISA3D.Unit.Force="kip",1/1000,IF(RISA3D.Unit.Force="N",4.44822,4.44822/1000))))</f>
        <v/>
      </c>
      <c r="E10" s="193"/>
      <c r="G10" s="194"/>
      <c r="H10" s="199" t="str">
        <f>IF(G10="","","Y")</f>
        <v/>
      </c>
      <c r="I10" s="199" t="str">
        <f>IF(G10="","",-Lv * IF(RISA3D.Unit.Force="lbf",1,IF(RISA3D.Unit.Force="kip",1/1000,IF(RISA3D.Unit.Force="N",4.44822,4.44822/1000))))</f>
        <v/>
      </c>
      <c r="J10" s="193"/>
      <c r="L10" s="195"/>
      <c r="M10" s="195"/>
      <c r="N10" s="195"/>
      <c r="O10" s="195"/>
      <c r="P10" s="201" t="s">
        <v>170</v>
      </c>
      <c r="Q10" s="201" t="s">
        <v>336</v>
      </c>
      <c r="R10" s="205">
        <f>-Grating/1000</f>
        <v>0</v>
      </c>
    </row>
    <row r="11" spans="1:18" ht="15" customHeight="1" thickTop="1" x14ac:dyDescent="0.2">
      <c r="A11" s="517" t="s">
        <v>337</v>
      </c>
      <c r="L11" s="197" t="str">
        <f t="shared" ref="L11:O14" si="0">IF(L7="","",L7)</f>
        <v/>
      </c>
      <c r="M11" s="197" t="str">
        <f t="shared" si="0"/>
        <v/>
      </c>
      <c r="N11" s="197" t="str">
        <f t="shared" si="0"/>
        <v/>
      </c>
      <c r="O11" s="197" t="str">
        <f t="shared" si="0"/>
        <v/>
      </c>
      <c r="P11" s="202" t="s">
        <v>170</v>
      </c>
      <c r="Q11" s="202" t="s">
        <v>336</v>
      </c>
      <c r="R11" s="206">
        <f>-iGrating/1000</f>
        <v>0</v>
      </c>
    </row>
    <row r="12" spans="1:18" ht="15" customHeight="1" x14ac:dyDescent="0.2">
      <c r="A12" s="517"/>
      <c r="L12" s="192" t="str">
        <f t="shared" si="0"/>
        <v/>
      </c>
      <c r="M12" s="192" t="str">
        <f t="shared" si="0"/>
        <v/>
      </c>
      <c r="N12" s="192" t="str">
        <f t="shared" si="0"/>
        <v/>
      </c>
      <c r="O12" s="192" t="str">
        <f t="shared" si="0"/>
        <v/>
      </c>
      <c r="P12" s="199" t="s">
        <v>170</v>
      </c>
      <c r="Q12" s="199" t="s">
        <v>336</v>
      </c>
      <c r="R12" s="204">
        <f>-iGrating/1000</f>
        <v>0</v>
      </c>
    </row>
    <row r="13" spans="1:18" ht="15" customHeight="1" x14ac:dyDescent="0.2">
      <c r="A13" s="517"/>
      <c r="L13" s="192" t="str">
        <f t="shared" si="0"/>
        <v/>
      </c>
      <c r="M13" s="192" t="str">
        <f t="shared" si="0"/>
        <v/>
      </c>
      <c r="N13" s="192" t="str">
        <f t="shared" si="0"/>
        <v/>
      </c>
      <c r="O13" s="192" t="str">
        <f t="shared" si="0"/>
        <v/>
      </c>
      <c r="P13" s="199" t="s">
        <v>170</v>
      </c>
      <c r="Q13" s="199" t="s">
        <v>336</v>
      </c>
      <c r="R13" s="204">
        <f>-iGrating/1000</f>
        <v>0</v>
      </c>
    </row>
    <row r="14" spans="1:18" ht="15" customHeight="1" x14ac:dyDescent="0.2">
      <c r="A14" s="517"/>
      <c r="L14" s="192" t="str">
        <f t="shared" si="0"/>
        <v/>
      </c>
      <c r="M14" s="192" t="str">
        <f t="shared" si="0"/>
        <v/>
      </c>
      <c r="N14" s="192" t="str">
        <f t="shared" si="0"/>
        <v/>
      </c>
      <c r="O14" s="192" t="str">
        <f t="shared" si="0"/>
        <v/>
      </c>
      <c r="P14" s="199" t="s">
        <v>170</v>
      </c>
      <c r="Q14" s="199" t="s">
        <v>336</v>
      </c>
      <c r="R14" s="204">
        <f>-iGrating/1000</f>
        <v>0</v>
      </c>
    </row>
    <row r="37" spans="15:18" x14ac:dyDescent="0.2">
      <c r="O37" s="242" t="s">
        <v>287</v>
      </c>
      <c r="P37" s="242" t="s">
        <v>289</v>
      </c>
      <c r="Q37" s="242" t="s">
        <v>290</v>
      </c>
      <c r="R37" s="242" t="s">
        <v>288</v>
      </c>
    </row>
    <row r="38" spans="15:18" x14ac:dyDescent="0.2">
      <c r="O38" s="242" t="s">
        <v>284</v>
      </c>
      <c r="P38" s="242" t="s">
        <v>285</v>
      </c>
      <c r="Q38" s="242" t="s">
        <v>279</v>
      </c>
      <c r="R38" s="242" t="s">
        <v>286</v>
      </c>
    </row>
    <row r="39" spans="15:18" x14ac:dyDescent="0.2">
      <c r="O39" s="242" t="s">
        <v>281</v>
      </c>
      <c r="P39" s="242" t="s">
        <v>282</v>
      </c>
      <c r="Q39" s="242" t="s">
        <v>280</v>
      </c>
      <c r="R39" s="242" t="s">
        <v>283</v>
      </c>
    </row>
  </sheetData>
  <mergeCells count="18">
    <mergeCell ref="A7:A10"/>
    <mergeCell ref="A11:A14"/>
    <mergeCell ref="L5:L6"/>
    <mergeCell ref="M5:M6"/>
    <mergeCell ref="N5:N6"/>
    <mergeCell ref="B5:B6"/>
    <mergeCell ref="C5:C6"/>
    <mergeCell ref="D5:D6"/>
    <mergeCell ref="E5:E6"/>
    <mergeCell ref="B2:R2"/>
    <mergeCell ref="G5:G6"/>
    <mergeCell ref="H5:H6"/>
    <mergeCell ref="I5:I6"/>
    <mergeCell ref="J5:J6"/>
    <mergeCell ref="R5:R6"/>
    <mergeCell ref="O5:O6"/>
    <mergeCell ref="P5:P6"/>
    <mergeCell ref="Q5:Q6"/>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35CB678-93D2-4FA9-BC8D-A3A51ED3EDD7}">
          <x14:formula1>
            <xm:f>Geometry!$S$6:$S$1048576</xm:f>
          </x14:formula1>
          <xm:sqref>L7:O14</xm:sqref>
        </x14:dataValidation>
        <x14:dataValidation type="list" allowBlank="1" showInputMessage="1" showErrorMessage="1" xr:uid="{0E13D7CF-1C51-4E87-8C3F-FD6FF4538F49}">
          <x14:formula1>
            <xm:f>Geometry!$B$6:$B$1048576</xm:f>
          </x14:formula1>
          <xm:sqref>G7:G10 B7:B10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5CDA1-1598-4F10-9E17-4EE609CFEAFE}">
  <sheetPr codeName="shAreaLoadTables"/>
  <dimension ref="A1:P6"/>
  <sheetViews>
    <sheetView workbookViewId="0">
      <pane ySplit="3" topLeftCell="A4" activePane="bottomLeft" state="frozen"/>
      <selection activeCell="A4" sqref="A4"/>
      <selection pane="bottomLeft" activeCell="A4" sqref="A4"/>
    </sheetView>
  </sheetViews>
  <sheetFormatPr defaultColWidth="0" defaultRowHeight="11.25" x14ac:dyDescent="0.2"/>
  <cols>
    <col min="1" max="7" width="8.7109375" style="20" customWidth="1"/>
    <col min="8" max="8" width="2.7109375" style="22" customWidth="1"/>
    <col min="9" max="15" width="8.7109375" style="20" customWidth="1"/>
    <col min="16" max="16" width="2.7109375" style="19" customWidth="1"/>
    <col min="17" max="16384" width="9.140625" style="11" hidden="1"/>
  </cols>
  <sheetData>
    <row r="1" spans="1:16" s="8" customFormat="1" ht="16.5" thickBot="1" x14ac:dyDescent="0.3">
      <c r="A1" s="3" t="s">
        <v>338</v>
      </c>
      <c r="B1" s="4"/>
      <c r="C1" s="4"/>
      <c r="D1" s="4"/>
      <c r="E1" s="4"/>
      <c r="F1" s="4"/>
      <c r="G1" s="4"/>
      <c r="H1" s="5"/>
      <c r="I1" s="6"/>
      <c r="J1" s="4"/>
      <c r="K1" s="4"/>
      <c r="L1" s="4"/>
      <c r="M1" s="4"/>
      <c r="N1" s="4"/>
      <c r="O1" s="6"/>
      <c r="P1" s="7"/>
    </row>
    <row r="2" spans="1:16" x14ac:dyDescent="0.2">
      <c r="A2" s="488" t="s">
        <v>339</v>
      </c>
      <c r="B2" s="489"/>
      <c r="C2" s="489"/>
      <c r="D2" s="489"/>
      <c r="E2" s="489"/>
      <c r="F2" s="489"/>
      <c r="G2" s="518"/>
      <c r="H2" s="9"/>
      <c r="I2" s="519" t="s">
        <v>340</v>
      </c>
      <c r="J2" s="492"/>
      <c r="K2" s="492"/>
      <c r="L2" s="492"/>
      <c r="M2" s="492"/>
      <c r="N2" s="492"/>
      <c r="O2" s="493"/>
      <c r="P2" s="10"/>
    </row>
    <row r="3" spans="1:16" ht="23.25" thickBot="1" x14ac:dyDescent="0.25">
      <c r="A3" s="12" t="s">
        <v>329</v>
      </c>
      <c r="B3" s="13" t="s">
        <v>330</v>
      </c>
      <c r="C3" s="14" t="s">
        <v>331</v>
      </c>
      <c r="D3" s="15" t="s">
        <v>332</v>
      </c>
      <c r="E3" s="15" t="s">
        <v>293</v>
      </c>
      <c r="F3" s="15" t="s">
        <v>341</v>
      </c>
      <c r="G3" s="16" t="s">
        <v>342</v>
      </c>
      <c r="H3" s="17"/>
      <c r="I3" s="13" t="s">
        <v>329</v>
      </c>
      <c r="J3" s="14" t="s">
        <v>330</v>
      </c>
      <c r="K3" s="15" t="s">
        <v>331</v>
      </c>
      <c r="L3" s="15" t="s">
        <v>332</v>
      </c>
      <c r="M3" s="15" t="s">
        <v>293</v>
      </c>
      <c r="N3" s="15" t="s">
        <v>341</v>
      </c>
      <c r="O3" s="18" t="s">
        <v>342</v>
      </c>
    </row>
    <row r="4" spans="1:16" x14ac:dyDescent="0.2">
      <c r="G4" s="21"/>
      <c r="O4" s="21"/>
    </row>
    <row r="5" spans="1:16" x14ac:dyDescent="0.2">
      <c r="G5" s="21"/>
      <c r="O5" s="21"/>
    </row>
    <row r="6" spans="1:16" x14ac:dyDescent="0.2">
      <c r="G6" s="21"/>
      <c r="O6" s="21"/>
    </row>
  </sheetData>
  <mergeCells count="2">
    <mergeCell ref="A2:G2"/>
    <mergeCell ref="I2:O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8C913-8695-4C61-BDFB-60EDDADD001A}">
  <sheetPr codeName="shRISA_3D">
    <tabColor rgb="FF553092"/>
  </sheetPr>
  <dimension ref="A1:GL138"/>
  <sheetViews>
    <sheetView showGridLines="0" zoomScaleNormal="100" workbookViewId="0">
      <pane xSplit="2" ySplit="4" topLeftCell="C5" activePane="bottomRight" state="frozen"/>
      <selection pane="topRight" activeCell="C1" sqref="C1"/>
      <selection pane="bottomLeft" activeCell="A5" sqref="A5"/>
      <selection pane="bottomRight" activeCell="C5" sqref="C5"/>
    </sheetView>
  </sheetViews>
  <sheetFormatPr defaultColWidth="9.140625" defaultRowHeight="15" customHeight="1" x14ac:dyDescent="0.2"/>
  <cols>
    <col min="1" max="1" width="5.7109375" style="2" customWidth="1"/>
    <col min="2" max="2" width="22" style="2" bestFit="1" customWidth="1"/>
    <col min="3" max="7" width="8.7109375" style="2" customWidth="1"/>
    <col min="8" max="10" width="16.7109375" style="2" customWidth="1"/>
    <col min="11" max="11" width="8.7109375" style="2" customWidth="1"/>
    <col min="12" max="12" width="24.7109375" style="2" customWidth="1"/>
    <col min="13" max="13" width="5.7109375" style="2" customWidth="1"/>
    <col min="14" max="14" width="30.7109375" style="2" bestFit="1" customWidth="1"/>
    <col min="15" max="18" width="8.7109375" style="2" customWidth="1"/>
    <col min="19" max="19" width="8.85546875" style="2" customWidth="1"/>
    <col min="20" max="27" width="8.7109375" style="2" customWidth="1"/>
    <col min="28" max="29" width="5.7109375" style="2" customWidth="1"/>
    <col min="30" max="30" width="24.5703125" style="2" bestFit="1" customWidth="1"/>
    <col min="31" max="43" width="8.7109375" style="2" customWidth="1"/>
    <col min="44" max="45" width="5.7109375" style="2" customWidth="1"/>
    <col min="46" max="46" width="30.28515625" style="2" bestFit="1" customWidth="1"/>
    <col min="47" max="59" width="8.7109375" style="2" customWidth="1"/>
    <col min="60" max="61" width="5.7109375" style="2" customWidth="1"/>
    <col min="62" max="62" width="23.5703125" style="2" customWidth="1"/>
    <col min="63" max="75" width="8.7109375" style="2" customWidth="1"/>
    <col min="76" max="77" width="5.7109375" style="2" customWidth="1"/>
    <col min="78" max="78" width="23.5703125" style="2" customWidth="1"/>
    <col min="79" max="91" width="8.7109375" style="2" customWidth="1"/>
    <col min="92" max="93" width="5.7109375" style="2" customWidth="1"/>
    <col min="94" max="94" width="23.5703125" style="2" customWidth="1"/>
    <col min="95" max="107" width="8.7109375" style="2" customWidth="1"/>
    <col min="108" max="109" width="5.7109375" style="2" customWidth="1"/>
    <col min="110" max="110" width="23.5703125" style="2" customWidth="1"/>
    <col min="111" max="123" width="8.7109375" style="2" customWidth="1"/>
    <col min="124" max="125" width="5.7109375" style="2" customWidth="1"/>
    <col min="126" max="126" width="30.85546875" style="2" customWidth="1"/>
    <col min="127" max="140" width="9.140625" style="2" customWidth="1"/>
    <col min="141" max="141" width="24.140625" style="2" customWidth="1"/>
    <col min="142" max="142" width="9.140625" style="2" customWidth="1"/>
    <col min="143" max="144" width="5.7109375" style="2" customWidth="1"/>
    <col min="145" max="145" width="23.7109375" style="2" customWidth="1"/>
    <col min="146" max="158" width="9.140625" style="2" customWidth="1"/>
    <col min="159" max="160" width="5.7109375" style="2" customWidth="1"/>
    <col min="161" max="174" width="9.140625" style="2" customWidth="1"/>
    <col min="175" max="176" width="5.7109375" style="2" customWidth="1"/>
    <col min="177" max="190" width="9.140625" style="2" customWidth="1"/>
    <col min="191" max="191" width="9.140625" style="2"/>
    <col min="192" max="192" width="22.85546875" style="2" bestFit="1" customWidth="1"/>
    <col min="193" max="193" width="29.42578125" style="2" bestFit="1" customWidth="1"/>
    <col min="194" max="16384" width="9.140625" style="2"/>
  </cols>
  <sheetData>
    <row r="1" spans="1:194" ht="35.1" customHeight="1" x14ac:dyDescent="0.2">
      <c r="N1" s="259" t="s">
        <v>663</v>
      </c>
      <c r="O1" s="260" cm="1">
        <f t="array" ref="O1">COUNTA(_xlfn._xlws.FILTER(N5:N137,N5:N137&lt;&gt;""))</f>
        <v>133</v>
      </c>
      <c r="BK1" s="2" t="b">
        <v>0</v>
      </c>
      <c r="CA1" s="2" t="b">
        <v>0</v>
      </c>
      <c r="CQ1" s="2" t="b">
        <v>0</v>
      </c>
      <c r="DG1" s="2" t="b">
        <v>0</v>
      </c>
    </row>
    <row r="2" spans="1:194" ht="30" customHeight="1" x14ac:dyDescent="0.2">
      <c r="A2" s="521" t="s">
        <v>343</v>
      </c>
      <c r="B2" s="521"/>
      <c r="C2" s="521"/>
      <c r="D2" s="521"/>
      <c r="E2" s="521"/>
      <c r="F2" s="521"/>
      <c r="G2" s="521"/>
      <c r="H2" s="521"/>
      <c r="I2" s="521"/>
      <c r="J2" s="521"/>
      <c r="K2" s="521"/>
      <c r="M2" s="521" t="s">
        <v>344</v>
      </c>
      <c r="N2" s="521"/>
      <c r="O2" s="521"/>
      <c r="P2" s="521"/>
      <c r="Q2" s="521"/>
      <c r="R2" s="521"/>
      <c r="S2" s="521"/>
      <c r="T2" s="521"/>
      <c r="U2" s="521"/>
      <c r="V2" s="521"/>
      <c r="W2" s="521"/>
      <c r="X2" s="521"/>
      <c r="Y2" s="521"/>
      <c r="Z2" s="521"/>
      <c r="AA2" s="521"/>
      <c r="AC2" s="521" t="s">
        <v>344</v>
      </c>
      <c r="AD2" s="521"/>
      <c r="AE2" s="521"/>
      <c r="AF2" s="521"/>
      <c r="AG2" s="521"/>
      <c r="AH2" s="521"/>
      <c r="AI2" s="521"/>
      <c r="AJ2" s="521"/>
      <c r="AK2" s="521"/>
      <c r="AL2" s="521"/>
      <c r="AM2" s="521"/>
      <c r="AN2" s="521"/>
      <c r="AO2" s="521"/>
      <c r="AP2" s="521"/>
      <c r="AQ2" s="521"/>
      <c r="AS2" s="521" t="s">
        <v>344</v>
      </c>
      <c r="AT2" s="521"/>
      <c r="AU2" s="521"/>
      <c r="AV2" s="521"/>
      <c r="AW2" s="521"/>
      <c r="AX2" s="521"/>
      <c r="AY2" s="521"/>
      <c r="AZ2" s="521"/>
      <c r="BA2" s="521"/>
      <c r="BB2" s="521"/>
      <c r="BC2" s="521"/>
      <c r="BD2" s="521"/>
      <c r="BE2" s="521"/>
      <c r="BF2" s="521"/>
      <c r="BG2" s="521"/>
      <c r="BI2" s="521" t="s">
        <v>344</v>
      </c>
      <c r="BJ2" s="521"/>
      <c r="BK2" s="521"/>
      <c r="BL2" s="521"/>
      <c r="BM2" s="521"/>
      <c r="BN2" s="521"/>
      <c r="BO2" s="521"/>
      <c r="BP2" s="521"/>
      <c r="BQ2" s="521"/>
      <c r="BR2" s="521"/>
      <c r="BS2" s="521"/>
      <c r="BT2" s="521"/>
      <c r="BU2" s="521"/>
      <c r="BV2" s="521"/>
      <c r="BW2" s="521"/>
      <c r="BY2" s="521" t="s">
        <v>344</v>
      </c>
      <c r="BZ2" s="521"/>
      <c r="CA2" s="521"/>
      <c r="CB2" s="521"/>
      <c r="CC2" s="521"/>
      <c r="CD2" s="521"/>
      <c r="CE2" s="521"/>
      <c r="CF2" s="521"/>
      <c r="CG2" s="521"/>
      <c r="CH2" s="521"/>
      <c r="CI2" s="521"/>
      <c r="CJ2" s="521"/>
      <c r="CK2" s="521"/>
      <c r="CL2" s="521"/>
      <c r="CM2" s="521"/>
      <c r="CO2" s="521" t="s">
        <v>344</v>
      </c>
      <c r="CP2" s="521"/>
      <c r="CQ2" s="521"/>
      <c r="CR2" s="521"/>
      <c r="CS2" s="521"/>
      <c r="CT2" s="521"/>
      <c r="CU2" s="521"/>
      <c r="CV2" s="521"/>
      <c r="CW2" s="521"/>
      <c r="CX2" s="521"/>
      <c r="CY2" s="521"/>
      <c r="CZ2" s="521"/>
      <c r="DA2" s="521"/>
      <c r="DB2" s="521"/>
      <c r="DC2" s="521"/>
      <c r="DE2" s="521" t="s">
        <v>344</v>
      </c>
      <c r="DF2" s="521"/>
      <c r="DG2" s="521"/>
      <c r="DH2" s="521"/>
      <c r="DI2" s="521"/>
      <c r="DJ2" s="521"/>
      <c r="DK2" s="521"/>
      <c r="DL2" s="521"/>
      <c r="DM2" s="521"/>
      <c r="DN2" s="521"/>
      <c r="DO2" s="521"/>
      <c r="DP2" s="521"/>
      <c r="DQ2" s="521"/>
      <c r="DR2" s="521"/>
      <c r="DS2" s="521"/>
      <c r="DU2" s="521" t="s">
        <v>344</v>
      </c>
      <c r="DV2" s="521"/>
      <c r="DW2" s="521"/>
      <c r="DX2" s="521"/>
      <c r="DY2" s="521"/>
      <c r="DZ2" s="521"/>
      <c r="EA2" s="521"/>
      <c r="EB2" s="521"/>
      <c r="EC2" s="521"/>
      <c r="ED2" s="521"/>
      <c r="EE2" s="521"/>
      <c r="EF2" s="521"/>
      <c r="EG2" s="521"/>
      <c r="EH2" s="521"/>
      <c r="EI2" s="521"/>
      <c r="EJ2" s="521"/>
      <c r="EK2" s="521"/>
      <c r="EL2" s="521"/>
      <c r="EN2" s="521" t="s">
        <v>344</v>
      </c>
      <c r="EO2" s="521"/>
      <c r="EP2" s="521"/>
      <c r="EQ2" s="521"/>
      <c r="ER2" s="521"/>
      <c r="ES2" s="521"/>
      <c r="ET2" s="521"/>
      <c r="EU2" s="521"/>
      <c r="EV2" s="521"/>
      <c r="EW2" s="521"/>
      <c r="EX2" s="521"/>
      <c r="EY2" s="521"/>
      <c r="EZ2" s="521"/>
      <c r="FA2" s="521"/>
      <c r="FB2" s="521"/>
      <c r="FD2" s="521" t="s">
        <v>344</v>
      </c>
      <c r="FE2" s="521"/>
      <c r="FF2" s="521"/>
      <c r="FG2" s="521"/>
      <c r="FH2" s="521"/>
      <c r="FI2" s="521"/>
      <c r="FJ2" s="521"/>
      <c r="FK2" s="521"/>
      <c r="FL2" s="521"/>
      <c r="FM2" s="521"/>
      <c r="FN2" s="521"/>
      <c r="FO2" s="521"/>
      <c r="FP2" s="521"/>
      <c r="FQ2" s="521"/>
      <c r="FR2" s="521"/>
      <c r="FT2" s="521" t="s">
        <v>344</v>
      </c>
      <c r="FU2" s="521"/>
      <c r="FV2" s="521"/>
      <c r="FW2" s="521"/>
      <c r="FX2" s="521"/>
      <c r="FY2" s="521"/>
      <c r="FZ2" s="521"/>
      <c r="GA2" s="521"/>
      <c r="GB2" s="521"/>
      <c r="GC2" s="521"/>
      <c r="GD2" s="521"/>
      <c r="GE2" s="521"/>
      <c r="GF2" s="521"/>
      <c r="GG2" s="521"/>
      <c r="GH2" s="521"/>
    </row>
    <row r="3" spans="1:194" ht="30" customHeight="1" x14ac:dyDescent="0.2">
      <c r="A3" s="520" t="s">
        <v>345</v>
      </c>
      <c r="B3" s="520"/>
      <c r="C3" s="520"/>
      <c r="D3" s="520"/>
      <c r="E3" s="520"/>
      <c r="F3" s="520"/>
      <c r="G3" s="520"/>
      <c r="H3" s="520"/>
      <c r="I3" s="520"/>
      <c r="J3" s="520"/>
      <c r="K3" s="520"/>
      <c r="M3" s="520" t="str">
        <f>_xlfn.CONCAT(Standard," ",Method)</f>
        <v>TIA MA</v>
      </c>
      <c r="N3" s="520"/>
      <c r="O3" s="520"/>
      <c r="P3" s="520"/>
      <c r="Q3" s="520"/>
      <c r="R3" s="520"/>
      <c r="S3" s="520"/>
      <c r="T3" s="520"/>
      <c r="U3" s="520"/>
      <c r="V3" s="520"/>
      <c r="W3" s="520"/>
      <c r="X3" s="520"/>
      <c r="Y3" s="520"/>
      <c r="Z3" s="520"/>
      <c r="AA3" s="520"/>
      <c r="AC3" s="520" t="s">
        <v>346</v>
      </c>
      <c r="AD3" s="520"/>
      <c r="AE3" s="520"/>
      <c r="AF3" s="520"/>
      <c r="AG3" s="520"/>
      <c r="AH3" s="520"/>
      <c r="AI3" s="520"/>
      <c r="AJ3" s="520"/>
      <c r="AK3" s="520"/>
      <c r="AL3" s="520"/>
      <c r="AM3" s="520"/>
      <c r="AN3" s="520"/>
      <c r="AO3" s="520"/>
      <c r="AP3" s="520"/>
      <c r="AQ3" s="520"/>
      <c r="AS3" s="520" t="s">
        <v>347</v>
      </c>
      <c r="AT3" s="520"/>
      <c r="AU3" s="520"/>
      <c r="AV3" s="520"/>
      <c r="AW3" s="520"/>
      <c r="AX3" s="520"/>
      <c r="AY3" s="520"/>
      <c r="AZ3" s="520"/>
      <c r="BA3" s="520"/>
      <c r="BB3" s="520"/>
      <c r="BC3" s="520"/>
      <c r="BD3" s="520"/>
      <c r="BE3" s="520"/>
      <c r="BF3" s="520"/>
      <c r="BG3" s="520"/>
      <c r="BI3" s="520" t="s">
        <v>348</v>
      </c>
      <c r="BJ3" s="520"/>
      <c r="BK3" s="520"/>
      <c r="BL3" s="520"/>
      <c r="BM3" s="520"/>
      <c r="BN3" s="520"/>
      <c r="BO3" s="520"/>
      <c r="BP3" s="520"/>
      <c r="BQ3" s="520"/>
      <c r="BR3" s="520"/>
      <c r="BS3" s="520"/>
      <c r="BT3" s="520"/>
      <c r="BU3" s="520"/>
      <c r="BV3" s="520"/>
      <c r="BW3" s="520"/>
      <c r="BY3" s="520" t="s">
        <v>349</v>
      </c>
      <c r="BZ3" s="520"/>
      <c r="CA3" s="520"/>
      <c r="CB3" s="520"/>
      <c r="CC3" s="520"/>
      <c r="CD3" s="520"/>
      <c r="CE3" s="520"/>
      <c r="CF3" s="520"/>
      <c r="CG3" s="520"/>
      <c r="CH3" s="520"/>
      <c r="CI3" s="520"/>
      <c r="CJ3" s="520"/>
      <c r="CK3" s="520"/>
      <c r="CL3" s="520"/>
      <c r="CM3" s="520"/>
      <c r="CO3" s="520" t="s">
        <v>350</v>
      </c>
      <c r="CP3" s="520"/>
      <c r="CQ3" s="520"/>
      <c r="CR3" s="520"/>
      <c r="CS3" s="520"/>
      <c r="CT3" s="520"/>
      <c r="CU3" s="520"/>
      <c r="CV3" s="520"/>
      <c r="CW3" s="520"/>
      <c r="CX3" s="520"/>
      <c r="CY3" s="520"/>
      <c r="CZ3" s="520"/>
      <c r="DA3" s="520"/>
      <c r="DB3" s="520"/>
      <c r="DC3" s="520"/>
      <c r="DE3" s="520" t="s">
        <v>351</v>
      </c>
      <c r="DF3" s="520"/>
      <c r="DG3" s="520"/>
      <c r="DH3" s="520"/>
      <c r="DI3" s="520"/>
      <c r="DJ3" s="520"/>
      <c r="DK3" s="520"/>
      <c r="DL3" s="520"/>
      <c r="DM3" s="520"/>
      <c r="DN3" s="520"/>
      <c r="DO3" s="520"/>
      <c r="DP3" s="520"/>
      <c r="DQ3" s="520"/>
      <c r="DR3" s="520"/>
      <c r="DS3" s="520"/>
      <c r="DU3" s="520" t="s">
        <v>352</v>
      </c>
      <c r="DV3" s="520"/>
      <c r="DW3" s="520"/>
      <c r="DX3" s="520"/>
      <c r="DY3" s="520"/>
      <c r="DZ3" s="520"/>
      <c r="EA3" s="520"/>
      <c r="EB3" s="520"/>
      <c r="EC3" s="520"/>
      <c r="ED3" s="520"/>
      <c r="EE3" s="520"/>
      <c r="EF3" s="520"/>
      <c r="EG3" s="520"/>
      <c r="EH3" s="520"/>
      <c r="EI3" s="520"/>
      <c r="EJ3" s="520"/>
      <c r="EK3" s="520"/>
      <c r="EL3" s="520"/>
      <c r="EN3" s="520" t="s">
        <v>353</v>
      </c>
      <c r="EO3" s="520"/>
      <c r="EP3" s="520"/>
      <c r="EQ3" s="520"/>
      <c r="ER3" s="520"/>
      <c r="ES3" s="520"/>
      <c r="ET3" s="520"/>
      <c r="EU3" s="520"/>
      <c r="EV3" s="520"/>
      <c r="EW3" s="520"/>
      <c r="EX3" s="520"/>
      <c r="EY3" s="520"/>
      <c r="EZ3" s="520"/>
      <c r="FA3" s="520"/>
      <c r="FB3" s="520"/>
      <c r="FD3" s="520" t="s">
        <v>354</v>
      </c>
      <c r="FE3" s="520"/>
      <c r="FF3" s="520"/>
      <c r="FG3" s="520"/>
      <c r="FH3" s="520"/>
      <c r="FI3" s="520"/>
      <c r="FJ3" s="520"/>
      <c r="FK3" s="520"/>
      <c r="FL3" s="520"/>
      <c r="FM3" s="520"/>
      <c r="FN3" s="520"/>
      <c r="FO3" s="520"/>
      <c r="FP3" s="520"/>
      <c r="FQ3" s="520"/>
      <c r="FR3" s="520"/>
      <c r="FT3" s="520" t="s">
        <v>355</v>
      </c>
      <c r="FU3" s="520"/>
      <c r="FV3" s="520"/>
      <c r="FW3" s="520"/>
      <c r="FX3" s="520"/>
      <c r="FY3" s="520"/>
      <c r="FZ3" s="520"/>
      <c r="GA3" s="520"/>
      <c r="GB3" s="520"/>
      <c r="GC3" s="520"/>
      <c r="GD3" s="520"/>
      <c r="GE3" s="520"/>
      <c r="GF3" s="520"/>
      <c r="GG3" s="520"/>
      <c r="GH3" s="520"/>
    </row>
    <row r="4" spans="1:194" ht="30" customHeight="1" x14ac:dyDescent="0.2">
      <c r="A4" s="165" t="s">
        <v>356</v>
      </c>
      <c r="B4" s="166" t="s">
        <v>357</v>
      </c>
      <c r="C4" s="166" t="s">
        <v>358</v>
      </c>
      <c r="D4" s="166" t="s">
        <v>359</v>
      </c>
      <c r="E4" s="166" t="s">
        <v>360</v>
      </c>
      <c r="F4" s="166" t="s">
        <v>361</v>
      </c>
      <c r="G4" s="166" t="s">
        <v>362</v>
      </c>
      <c r="H4" s="166" t="s">
        <v>363</v>
      </c>
      <c r="I4" s="166" t="s">
        <v>364</v>
      </c>
      <c r="J4" s="167" t="s">
        <v>365</v>
      </c>
      <c r="K4" s="167" t="s">
        <v>366</v>
      </c>
      <c r="M4" s="168" t="s">
        <v>356</v>
      </c>
      <c r="N4" s="169" t="s">
        <v>367</v>
      </c>
      <c r="O4" s="169" t="s">
        <v>368</v>
      </c>
      <c r="P4" s="169" t="s">
        <v>369</v>
      </c>
      <c r="Q4" s="169" t="s">
        <v>370</v>
      </c>
      <c r="R4" s="169" t="s">
        <v>371</v>
      </c>
      <c r="S4" s="169" t="s">
        <v>372</v>
      </c>
      <c r="T4" s="169" t="s">
        <v>371</v>
      </c>
      <c r="U4" s="169" t="s">
        <v>372</v>
      </c>
      <c r="V4" s="169" t="s">
        <v>371</v>
      </c>
      <c r="W4" s="169" t="s">
        <v>372</v>
      </c>
      <c r="X4" s="169" t="s">
        <v>371</v>
      </c>
      <c r="Y4" s="169" t="s">
        <v>372</v>
      </c>
      <c r="Z4" s="169" t="s">
        <v>371</v>
      </c>
      <c r="AA4" s="169" t="s">
        <v>372</v>
      </c>
      <c r="AC4" s="168" t="s">
        <v>356</v>
      </c>
      <c r="AD4" s="169" t="s">
        <v>367</v>
      </c>
      <c r="AE4" s="169" t="s">
        <v>368</v>
      </c>
      <c r="AF4" s="169" t="s">
        <v>369</v>
      </c>
      <c r="AG4" s="169" t="s">
        <v>370</v>
      </c>
      <c r="AH4" s="169" t="s">
        <v>371</v>
      </c>
      <c r="AI4" s="169" t="s">
        <v>372</v>
      </c>
      <c r="AJ4" s="169" t="s">
        <v>371</v>
      </c>
      <c r="AK4" s="169" t="s">
        <v>372</v>
      </c>
      <c r="AL4" s="169" t="s">
        <v>371</v>
      </c>
      <c r="AM4" s="169" t="s">
        <v>372</v>
      </c>
      <c r="AN4" s="169" t="s">
        <v>371</v>
      </c>
      <c r="AO4" s="169" t="s">
        <v>372</v>
      </c>
      <c r="AP4" s="169" t="s">
        <v>371</v>
      </c>
      <c r="AQ4" s="169" t="s">
        <v>372</v>
      </c>
      <c r="AS4" s="168" t="s">
        <v>356</v>
      </c>
      <c r="AT4" s="169" t="s">
        <v>367</v>
      </c>
      <c r="AU4" s="169" t="s">
        <v>368</v>
      </c>
      <c r="AV4" s="169" t="s">
        <v>369</v>
      </c>
      <c r="AW4" s="169" t="s">
        <v>370</v>
      </c>
      <c r="AX4" s="169" t="s">
        <v>371</v>
      </c>
      <c r="AY4" s="169" t="s">
        <v>372</v>
      </c>
      <c r="AZ4" s="169" t="s">
        <v>371</v>
      </c>
      <c r="BA4" s="169" t="s">
        <v>372</v>
      </c>
      <c r="BB4" s="169" t="s">
        <v>371</v>
      </c>
      <c r="BC4" s="169" t="s">
        <v>372</v>
      </c>
      <c r="BD4" s="169" t="s">
        <v>371</v>
      </c>
      <c r="BE4" s="169" t="s">
        <v>372</v>
      </c>
      <c r="BF4" s="169" t="s">
        <v>371</v>
      </c>
      <c r="BG4" s="169" t="s">
        <v>372</v>
      </c>
      <c r="BI4" s="168" t="s">
        <v>356</v>
      </c>
      <c r="BJ4" s="169" t="s">
        <v>367</v>
      </c>
      <c r="BK4" s="169" t="s">
        <v>368</v>
      </c>
      <c r="BL4" s="169" t="s">
        <v>369</v>
      </c>
      <c r="BM4" s="169" t="s">
        <v>370</v>
      </c>
      <c r="BN4" s="169" t="s">
        <v>371</v>
      </c>
      <c r="BO4" s="169" t="s">
        <v>372</v>
      </c>
      <c r="BP4" s="169" t="s">
        <v>371</v>
      </c>
      <c r="BQ4" s="169" t="s">
        <v>372</v>
      </c>
      <c r="BR4" s="169" t="s">
        <v>371</v>
      </c>
      <c r="BS4" s="169" t="s">
        <v>372</v>
      </c>
      <c r="BT4" s="169" t="s">
        <v>371</v>
      </c>
      <c r="BU4" s="169" t="s">
        <v>372</v>
      </c>
      <c r="BV4" s="169" t="s">
        <v>371</v>
      </c>
      <c r="BW4" s="169" t="s">
        <v>372</v>
      </c>
      <c r="BY4" s="168" t="s">
        <v>356</v>
      </c>
      <c r="BZ4" s="169" t="s">
        <v>367</v>
      </c>
      <c r="CA4" s="169" t="s">
        <v>368</v>
      </c>
      <c r="CB4" s="169" t="s">
        <v>369</v>
      </c>
      <c r="CC4" s="169" t="s">
        <v>370</v>
      </c>
      <c r="CD4" s="169" t="s">
        <v>371</v>
      </c>
      <c r="CE4" s="169" t="s">
        <v>372</v>
      </c>
      <c r="CF4" s="169" t="s">
        <v>371</v>
      </c>
      <c r="CG4" s="169" t="s">
        <v>372</v>
      </c>
      <c r="CH4" s="169" t="s">
        <v>371</v>
      </c>
      <c r="CI4" s="169" t="s">
        <v>372</v>
      </c>
      <c r="CJ4" s="169" t="s">
        <v>371</v>
      </c>
      <c r="CK4" s="169" t="s">
        <v>372</v>
      </c>
      <c r="CL4" s="169" t="s">
        <v>371</v>
      </c>
      <c r="CM4" s="169" t="s">
        <v>372</v>
      </c>
      <c r="CO4" s="168" t="s">
        <v>356</v>
      </c>
      <c r="CP4" s="169" t="s">
        <v>367</v>
      </c>
      <c r="CQ4" s="169" t="s">
        <v>368</v>
      </c>
      <c r="CR4" s="169" t="s">
        <v>369</v>
      </c>
      <c r="CS4" s="169" t="s">
        <v>370</v>
      </c>
      <c r="CT4" s="169" t="s">
        <v>371</v>
      </c>
      <c r="CU4" s="169" t="s">
        <v>372</v>
      </c>
      <c r="CV4" s="169" t="s">
        <v>371</v>
      </c>
      <c r="CW4" s="169" t="s">
        <v>372</v>
      </c>
      <c r="CX4" s="169" t="s">
        <v>371</v>
      </c>
      <c r="CY4" s="169" t="s">
        <v>372</v>
      </c>
      <c r="CZ4" s="169" t="s">
        <v>371</v>
      </c>
      <c r="DA4" s="169" t="s">
        <v>372</v>
      </c>
      <c r="DB4" s="169" t="s">
        <v>371</v>
      </c>
      <c r="DC4" s="169" t="s">
        <v>372</v>
      </c>
      <c r="DE4" s="168" t="s">
        <v>356</v>
      </c>
      <c r="DF4" s="169" t="s">
        <v>367</v>
      </c>
      <c r="DG4" s="169" t="s">
        <v>368</v>
      </c>
      <c r="DH4" s="169" t="s">
        <v>369</v>
      </c>
      <c r="DI4" s="169" t="s">
        <v>370</v>
      </c>
      <c r="DJ4" s="169" t="s">
        <v>371</v>
      </c>
      <c r="DK4" s="169" t="s">
        <v>372</v>
      </c>
      <c r="DL4" s="169" t="s">
        <v>371</v>
      </c>
      <c r="DM4" s="169" t="s">
        <v>372</v>
      </c>
      <c r="DN4" s="169" t="s">
        <v>371</v>
      </c>
      <c r="DO4" s="169" t="s">
        <v>372</v>
      </c>
      <c r="DP4" s="169" t="s">
        <v>371</v>
      </c>
      <c r="DQ4" s="169" t="s">
        <v>372</v>
      </c>
      <c r="DR4" s="169" t="s">
        <v>371</v>
      </c>
      <c r="DS4" s="169" t="s">
        <v>372</v>
      </c>
      <c r="DU4" s="168" t="s">
        <v>356</v>
      </c>
      <c r="DV4" s="169" t="s">
        <v>367</v>
      </c>
      <c r="DW4" s="169" t="s">
        <v>368</v>
      </c>
      <c r="DX4" s="169" t="s">
        <v>369</v>
      </c>
      <c r="DY4" s="169" t="s">
        <v>370</v>
      </c>
      <c r="DZ4" s="169" t="s">
        <v>371</v>
      </c>
      <c r="EA4" s="169" t="s">
        <v>372</v>
      </c>
      <c r="EB4" s="169" t="s">
        <v>371</v>
      </c>
      <c r="EC4" s="169" t="s">
        <v>372</v>
      </c>
      <c r="ED4" s="169" t="s">
        <v>371</v>
      </c>
      <c r="EE4" s="169" t="s">
        <v>372</v>
      </c>
      <c r="EF4" s="169" t="s">
        <v>371</v>
      </c>
      <c r="EG4" s="169" t="s">
        <v>372</v>
      </c>
      <c r="EH4" s="169" t="s">
        <v>371</v>
      </c>
      <c r="EI4" s="169" t="s">
        <v>372</v>
      </c>
      <c r="EN4" s="168" t="s">
        <v>356</v>
      </c>
      <c r="EO4" s="169" t="s">
        <v>367</v>
      </c>
      <c r="EP4" s="169" t="s">
        <v>368</v>
      </c>
      <c r="EQ4" s="169" t="s">
        <v>369</v>
      </c>
      <c r="ER4" s="169" t="s">
        <v>370</v>
      </c>
      <c r="ES4" s="169" t="s">
        <v>371</v>
      </c>
      <c r="ET4" s="169" t="s">
        <v>372</v>
      </c>
      <c r="EU4" s="169" t="s">
        <v>371</v>
      </c>
      <c r="EV4" s="169" t="s">
        <v>372</v>
      </c>
      <c r="EW4" s="169" t="s">
        <v>371</v>
      </c>
      <c r="EX4" s="169" t="s">
        <v>372</v>
      </c>
      <c r="EY4" s="169" t="s">
        <v>371</v>
      </c>
      <c r="EZ4" s="169" t="s">
        <v>372</v>
      </c>
      <c r="FA4" s="169" t="s">
        <v>371</v>
      </c>
      <c r="FB4" s="169" t="s">
        <v>372</v>
      </c>
    </row>
    <row r="5" spans="1:194" ht="18" customHeight="1" thickBot="1" x14ac:dyDescent="0.25">
      <c r="A5" s="165">
        <v>1</v>
      </c>
      <c r="B5" s="170" t="s">
        <v>373</v>
      </c>
      <c r="C5" s="171" t="s">
        <v>374</v>
      </c>
      <c r="D5" s="171"/>
      <c r="E5" s="171"/>
      <c r="F5" s="171"/>
      <c r="G5" s="171"/>
      <c r="H5" s="185">
        <f>COUNTA('Point Load Tables'!$A$4:$A$1048576)</f>
        <v>0</v>
      </c>
      <c r="I5" s="185"/>
      <c r="J5" s="185"/>
      <c r="K5" s="171"/>
      <c r="M5" s="176">
        <v>1</v>
      </c>
      <c r="N5" s="170" t="str">
        <f t="shared" ref="N5:N36" si="0">IF(IF($M$3=$AC$3,AD5,
 IF($M$3=$AS$3,AT5,
 IF($M$3=$BI$3,BJ5,
 IF($M$3=$BY$3,BZ5,
 IF($M$3=$CO$3,CP5,
 IF($M$3=$DE$3,DF5))))))="","",
IF($M$3=$AC$3,AD5,
 IF($M$3=$AS$3,AT5,
 IF($M$3=$BI$3,BJ5,
 IF($M$3=$BY$3,BZ5,
 IF($M$3=$CO$3,CP5,
 IF($M$3=$DE$3,DF5)))))))</f>
        <v>1.4D</v>
      </c>
      <c r="O5" s="170" t="b">
        <f t="shared" ref="O5" si="1">IF(IF($M$3=$AC$3,AE5,
 IF($M$3=$AS$3,AU5,
 IF($M$3=$BI$3,BK5,
 IF($M$3=$BY$3,CA5,
 IF($M$3=$CO$3,CQ5,
 IF($M$3=$DE$3,DG5))))))="","",
IF($M$3=$AC$3,AE5,
 IF($M$3=$AS$3,AU5,
 IF($M$3=$BI$3,BK5,
 IF($M$3=$BY$3,CA5,
 IF($M$3=$CO$3,CQ5,
 IF($M$3=$DE$3,DG5)))))))</f>
        <v>1</v>
      </c>
      <c r="P5" s="170" t="str">
        <f t="shared" ref="P5:P36" si="2">IF(IF($M$3=$AC$3,AF5,
 IF($M$3=$AS$3,AV5,
 IF($M$3=$BI$3,BL5,
 IF($M$3=$BY$3,CB5,
 IF($M$3=$CO$3,CR5,
 IF($M$3=$DE$3,DH5))))))="","",
IF($M$3=$AC$3,AF5,
 IF($M$3=$AS$3,AV5,
 IF($M$3=$BI$3,BL5,
 IF($M$3=$BY$3,CB5,
 IF($M$3=$CO$3,CR5,
 IF($M$3=$DE$3,DH5)))))))</f>
        <v>Y</v>
      </c>
      <c r="Q5" s="170" t="str">
        <f t="shared" ref="Q5:Q36" si="3">IF(IF($M$3=$AC$3,AG5,
 IF($M$3=$AS$3,AW5,
 IF($M$3=$BI$3,BM5,
 IF($M$3=$BY$3,CC5,
 IF($M$3=$CO$3,CS5,
 IF($M$3=$DE$3,DI5))))))="","",
IF($M$3=$AC$3,AG5,
 IF($M$3=$AS$3,AW5,
 IF($M$3=$BI$3,BM5,
 IF($M$3=$BY$3,CC5,
 IF($M$3=$CO$3,CS5,
 IF($M$3=$DE$3,DI5)))))))</f>
        <v/>
      </c>
      <c r="R5" s="170">
        <f t="shared" ref="R5:R36" si="4">IF(IF($M$3=$AC$3,AH5,
 IF($M$3=$AS$3,AX5,
 IF($M$3=$BI$3,BN5,
 IF($M$3=$BY$3,CD5,
 IF($M$3=$CO$3,CT5,
 IF($M$3=$DE$3,DJ5))))))="","",
IF($M$3=$AC$3,AH5,
 IF($M$3=$AS$3,AX5,
 IF($M$3=$BI$3,BN5,
 IF($M$3=$BY$3,CD5,
 IF($M$3=$CO$3,CT5,
 IF($M$3=$DE$3,DJ5)))))))</f>
        <v>65</v>
      </c>
      <c r="S5" s="170">
        <f t="shared" ref="S5:S36" si="5">IF(IF($M$3=$AC$3,AI5,
 IF($M$3=$AS$3,AY5,
 IF($M$3=$BI$3,BO5,
 IF($M$3=$BY$3,CE5,
 IF($M$3=$CO$3,CU5,
 IF($M$3=$DE$3,DK5))))))="","",
IF($M$3=$AC$3,AI5,
 IF($M$3=$AS$3,AY5,
 IF($M$3=$BI$3,BO5,
 IF($M$3=$BY$3,CE5,
 IF($M$3=$CO$3,CU5,
 IF($M$3=$DE$3,DK5)))))))</f>
        <v>1.4</v>
      </c>
      <c r="T5" s="170" t="str">
        <f t="shared" ref="T5:T36" si="6">IF(IF($M$3=$AC$3,AJ5,
 IF($M$3=$AS$3,AZ5,
 IF($M$3=$BI$3,BP5,
 IF($M$3=$BY$3,CF5,
 IF($M$3=$CO$3,CV5,
 IF($M$3=$DE$3,DL5))))))="","",
IF($M$3=$AC$3,AJ5,
 IF($M$3=$AS$3,AZ5,
 IF($M$3=$BI$3,BP5,
 IF($M$3=$BY$3,CF5,
 IF($M$3=$CO$3,CV5,
 IF($M$3=$DE$3,DL5)))))))</f>
        <v/>
      </c>
      <c r="U5" s="170" t="str">
        <f t="shared" ref="U5:U36" si="7">IF(IF($M$3=$AC$3,AK5,
 IF($M$3=$AS$3,BA5,
 IF($M$3=$BI$3,BQ5,
 IF($M$3=$BY$3,CG5,
 IF($M$3=$CO$3,CW5,
 IF($M$3=$DE$3,DM5))))))="","",
IF($M$3=$AC$3,AK5,
 IF($M$3=$AS$3,BA5,
 IF($M$3=$BI$3,BQ5,
 IF($M$3=$BY$3,CG5,
 IF($M$3=$CO$3,CW5,
 IF($M$3=$DE$3,DM5)))))))</f>
        <v/>
      </c>
      <c r="V5" s="170" t="str">
        <f t="shared" ref="V5:V36" si="8">IF(IF($M$3=$AC$3,AL5,
 IF($M$3=$AS$3,BB5,
 IF($M$3=$BI$3,BR5,
 IF($M$3=$BY$3,CH5,
 IF($M$3=$CO$3,CX5,
 IF($M$3=$DE$3,DN5))))))="","",
IF($M$3=$AC$3,AL5,
 IF($M$3=$AS$3,BB5,
 IF($M$3=$BI$3,BR5,
 IF($M$3=$BY$3,CH5,
 IF($M$3=$CO$3,CX5,
 IF($M$3=$DE$3,DN5)))))))</f>
        <v/>
      </c>
      <c r="W5" s="170" t="str">
        <f t="shared" ref="W5:W36" si="9">IF(IF($M$3=$AC$3,AM5,
 IF($M$3=$AS$3,BC5,
 IF($M$3=$BI$3,BS5,
 IF($M$3=$BY$3,CI5,
 IF($M$3=$CO$3,CY5,
 IF($M$3=$DE$3,DO5))))))="","",
IF($M$3=$AC$3,AM5,
 IF($M$3=$AS$3,BC5,
 IF($M$3=$BI$3,BS5,
 IF($M$3=$BY$3,CI5,
 IF($M$3=$CO$3,CY5,
 IF($M$3=$DE$3,DO5)))))))</f>
        <v/>
      </c>
      <c r="X5" s="170" t="str">
        <f t="shared" ref="X5:X36" si="10">IF(IF($M$3=$AC$3,AN5,
 IF($M$3=$AS$3,BD5,
 IF($M$3=$BI$3,BT5,
 IF($M$3=$BY$3,CJ5,
 IF($M$3=$CO$3,CZ5,
 IF($M$3=$DE$3,DP5))))))="","",
IF($M$3=$AC$3,AN5,
 IF($M$3=$AS$3,BD5,
 IF($M$3=$BI$3,BT5,
 IF($M$3=$BY$3,CJ5,
 IF($M$3=$CO$3,CZ5,
 IF($M$3=$DE$3,DP5)))))))</f>
        <v/>
      </c>
      <c r="Y5" s="170" t="str">
        <f t="shared" ref="Y5:Y36" si="11">IF(IF($M$3=$AC$3,AO5,
 IF($M$3=$AS$3,BE5,
 IF($M$3=$BI$3,BU5,
 IF($M$3=$BY$3,CK5,
 IF($M$3=$CO$3,DA5,
 IF($M$3=$DE$3,DQ5))))))="","",
IF($M$3=$AC$3,AO5,
 IF($M$3=$AS$3,BE5,
 IF($M$3=$BI$3,BU5,
 IF($M$3=$BY$3,CK5,
 IF($M$3=$CO$3,DA5,
 IF($M$3=$DE$3,DQ5)))))))</f>
        <v/>
      </c>
      <c r="Z5" s="170" t="str">
        <f t="shared" ref="Z5:Z36" si="12">IF(IF($M$3=$AC$3,AP5,
 IF($M$3=$AS$3,BF5,
 IF($M$3=$BI$3,BV5,
 IF($M$3=$BY$3,CL5,
 IF($M$3=$CO$3,DB5,
 IF($M$3=$DE$3,DR5))))))="","",
IF($M$3=$AC$3,AP5,
 IF($M$3=$AS$3,BF5,
 IF($M$3=$BI$3,BV5,
 IF($M$3=$BY$3,CL5,
 IF($M$3=$CO$3,DB5,
 IF($M$3=$DE$3,DR5)))))))</f>
        <v/>
      </c>
      <c r="AA5" s="170" t="str">
        <f t="shared" ref="AA5:AA36" si="13">IF(IF($M$3=$AC$3,AQ5,
 IF($M$3=$AS$3,BG5,
 IF($M$3=$BI$3,BW5,
 IF($M$3=$BY$3,CM5,
 IF($M$3=$CO$3,DC5,
 IF($M$3=$DE$3,DS5))))))="","",
IF($M$3=$AC$3,AQ5,
 IF($M$3=$AS$3,BG5,
 IF($M$3=$BI$3,BW5,
 IF($M$3=$BY$3,CM5,
 IF($M$3=$CO$3,DC5,
 IF($M$3=$DE$3,DS5)))))))</f>
        <v/>
      </c>
      <c r="AC5" s="172">
        <v>1</v>
      </c>
      <c r="AD5" s="173" t="s">
        <v>375</v>
      </c>
      <c r="AE5" s="173" t="b">
        <v>1</v>
      </c>
      <c r="AF5" s="173" t="s">
        <v>170</v>
      </c>
      <c r="AG5" s="173"/>
      <c r="AH5" s="173">
        <v>65</v>
      </c>
      <c r="AI5" s="173">
        <v>1.4</v>
      </c>
      <c r="AJ5" s="173"/>
      <c r="AK5" s="173"/>
      <c r="AL5" s="173"/>
      <c r="AM5" s="173"/>
      <c r="AN5" s="173"/>
      <c r="AO5" s="173"/>
      <c r="AP5" s="173"/>
      <c r="AQ5" s="173"/>
      <c r="AS5" s="172">
        <v>1</v>
      </c>
      <c r="AT5" s="173" t="s">
        <v>171</v>
      </c>
      <c r="AU5" s="173" t="b">
        <v>1</v>
      </c>
      <c r="AV5" s="173" t="s">
        <v>170</v>
      </c>
      <c r="AW5" s="173"/>
      <c r="AX5" s="173">
        <v>65</v>
      </c>
      <c r="AY5" s="173">
        <v>1.4</v>
      </c>
      <c r="AZ5" s="173"/>
      <c r="BA5" s="173"/>
      <c r="BB5" s="173"/>
      <c r="BC5" s="173"/>
      <c r="BD5" s="173"/>
      <c r="BE5" s="173"/>
      <c r="BF5" s="173"/>
      <c r="BG5" s="173"/>
      <c r="BI5" s="172">
        <v>1</v>
      </c>
      <c r="BJ5" s="173" t="s">
        <v>375</v>
      </c>
      <c r="BK5" s="173" t="b">
        <v>1</v>
      </c>
      <c r="BL5" s="173" t="s">
        <v>170</v>
      </c>
      <c r="BM5" s="173"/>
      <c r="BN5" s="173">
        <v>65</v>
      </c>
      <c r="BO5" s="173">
        <v>1.4</v>
      </c>
      <c r="BP5" s="173"/>
      <c r="BQ5" s="173"/>
      <c r="BR5" s="173"/>
      <c r="BS5" s="173"/>
      <c r="BT5" s="173"/>
      <c r="BU5" s="173"/>
      <c r="BV5" s="173"/>
      <c r="BW5" s="173"/>
      <c r="BY5" s="172">
        <v>1</v>
      </c>
      <c r="BZ5" s="247" t="s">
        <v>171</v>
      </c>
      <c r="CA5" s="247" t="b">
        <v>1</v>
      </c>
      <c r="CB5" s="247" t="s">
        <v>170</v>
      </c>
      <c r="CC5" s="247"/>
      <c r="CD5" s="247">
        <v>65</v>
      </c>
      <c r="CE5" s="247">
        <v>1</v>
      </c>
      <c r="CF5" s="247"/>
      <c r="CG5" s="247"/>
      <c r="CH5" s="247"/>
      <c r="CI5" s="247"/>
      <c r="CJ5" s="247"/>
      <c r="CK5" s="247"/>
      <c r="CL5" s="247"/>
      <c r="CM5" s="247"/>
      <c r="CO5" s="172">
        <v>1</v>
      </c>
      <c r="CP5" s="247" t="s">
        <v>171</v>
      </c>
      <c r="CQ5" s="247" t="b">
        <v>1</v>
      </c>
      <c r="CR5" s="247" t="s">
        <v>170</v>
      </c>
      <c r="CS5" s="247"/>
      <c r="CT5" s="247">
        <v>65</v>
      </c>
      <c r="CU5" s="247">
        <v>1</v>
      </c>
      <c r="CV5" s="247"/>
      <c r="CW5" s="247"/>
      <c r="CX5" s="247"/>
      <c r="CY5" s="247"/>
      <c r="CZ5" s="247"/>
      <c r="DA5" s="247"/>
      <c r="DB5" s="247"/>
      <c r="DC5" s="247"/>
      <c r="DE5" s="172">
        <v>1</v>
      </c>
      <c r="DF5" s="247" t="s">
        <v>171</v>
      </c>
      <c r="DG5" s="247" t="b">
        <v>1</v>
      </c>
      <c r="DH5" s="247" t="s">
        <v>170</v>
      </c>
      <c r="DI5" s="247"/>
      <c r="DJ5" s="247">
        <v>65</v>
      </c>
      <c r="DK5" s="247">
        <v>1</v>
      </c>
      <c r="DL5" s="247"/>
      <c r="DM5" s="247"/>
      <c r="DN5" s="247"/>
      <c r="DO5" s="247"/>
      <c r="DP5" s="247"/>
      <c r="DQ5" s="247"/>
      <c r="DR5" s="247"/>
      <c r="DS5" s="247"/>
      <c r="DU5" s="172">
        <v>1</v>
      </c>
      <c r="DV5" s="173" t="s">
        <v>375</v>
      </c>
      <c r="DW5" s="173">
        <v>1</v>
      </c>
      <c r="DX5" s="173" t="s">
        <v>170</v>
      </c>
      <c r="DY5" s="173"/>
      <c r="DZ5" s="173">
        <v>65</v>
      </c>
      <c r="EA5" s="173">
        <v>1.4</v>
      </c>
      <c r="EB5" s="173"/>
      <c r="EC5" s="173"/>
      <c r="ED5" s="173"/>
      <c r="EE5" s="173"/>
      <c r="EF5" s="173"/>
      <c r="EG5" s="173"/>
      <c r="EH5" s="173"/>
      <c r="EI5" s="173"/>
      <c r="EK5" s="2" t="s">
        <v>375</v>
      </c>
      <c r="EN5" s="172">
        <v>1</v>
      </c>
      <c r="EO5" s="2" t="s">
        <v>376</v>
      </c>
      <c r="GJ5" s="2" t="s">
        <v>171</v>
      </c>
      <c r="GK5" s="2" t="s">
        <v>171</v>
      </c>
      <c r="GL5" s="184" t="s">
        <v>377</v>
      </c>
    </row>
    <row r="6" spans="1:194" ht="18" customHeight="1" thickTop="1" x14ac:dyDescent="0.2">
      <c r="A6" s="165">
        <v>2</v>
      </c>
      <c r="B6" s="174" t="s">
        <v>378</v>
      </c>
      <c r="C6" s="174" t="s">
        <v>374</v>
      </c>
      <c r="D6" s="174"/>
      <c r="E6" s="174"/>
      <c r="F6" s="174"/>
      <c r="G6" s="174"/>
      <c r="H6" s="186">
        <f>COUNTA('Point Load Tables'!$F$4:$F$1048576)</f>
        <v>0</v>
      </c>
      <c r="I6" s="186"/>
      <c r="J6" s="186"/>
      <c r="K6" s="174"/>
      <c r="M6" s="176">
        <f>IF(N6="","",M5+1)</f>
        <v>2</v>
      </c>
      <c r="N6" s="174" t="str">
        <f t="shared" si="0"/>
        <v>1.2D + 1.0W  | 0 deg</v>
      </c>
      <c r="O6" s="174" t="b">
        <v>1</v>
      </c>
      <c r="P6" s="174" t="str">
        <f t="shared" si="2"/>
        <v>Y</v>
      </c>
      <c r="Q6" s="174" t="str">
        <f t="shared" si="3"/>
        <v/>
      </c>
      <c r="R6" s="174">
        <f t="shared" si="4"/>
        <v>65</v>
      </c>
      <c r="S6" s="174">
        <f t="shared" si="5"/>
        <v>1.2</v>
      </c>
      <c r="T6" s="174">
        <f t="shared" si="6"/>
        <v>1</v>
      </c>
      <c r="U6" s="174">
        <f t="shared" si="7"/>
        <v>1</v>
      </c>
      <c r="V6" s="174">
        <f t="shared" si="8"/>
        <v>17</v>
      </c>
      <c r="W6" s="174">
        <f t="shared" si="9"/>
        <v>1</v>
      </c>
      <c r="X6" s="174" t="str">
        <f t="shared" si="10"/>
        <v/>
      </c>
      <c r="Y6" s="174" t="str">
        <f t="shared" si="11"/>
        <v/>
      </c>
      <c r="Z6" s="174" t="str">
        <f t="shared" si="12"/>
        <v/>
      </c>
      <c r="AA6" s="174" t="str">
        <f t="shared" si="13"/>
        <v/>
      </c>
      <c r="AC6" s="168">
        <v>2</v>
      </c>
      <c r="AD6" s="175" t="str">
        <f>CONCATENATE("1.2D + ",TEXT(IF(RIGHT(TIA,1)="G",1.6,1),"0.0"),"W  | 0 deg")</f>
        <v>1.2D + 1.0W  | 0 deg</v>
      </c>
      <c r="AE6" s="175" t="b">
        <v>1</v>
      </c>
      <c r="AF6" s="175" t="s">
        <v>170</v>
      </c>
      <c r="AG6" s="175"/>
      <c r="AH6" s="175">
        <v>65</v>
      </c>
      <c r="AI6" s="175">
        <v>1.2</v>
      </c>
      <c r="AJ6" s="175">
        <v>1</v>
      </c>
      <c r="AK6" s="175">
        <v>1</v>
      </c>
      <c r="AL6" s="175">
        <v>17</v>
      </c>
      <c r="AM6" s="175">
        <v>1</v>
      </c>
      <c r="AN6" s="175"/>
      <c r="AO6" s="175"/>
      <c r="AP6" s="175"/>
      <c r="AQ6" s="175"/>
      <c r="AS6" s="168">
        <v>2</v>
      </c>
      <c r="AT6" s="175" t="s">
        <v>1398</v>
      </c>
      <c r="AU6" s="175" t="b">
        <v>1</v>
      </c>
      <c r="AV6" s="175" t="s">
        <v>170</v>
      </c>
      <c r="AW6" s="175"/>
      <c r="AX6" s="175">
        <v>65</v>
      </c>
      <c r="AY6" s="175">
        <v>1.2</v>
      </c>
      <c r="AZ6" s="175">
        <v>1</v>
      </c>
      <c r="BA6" s="175">
        <v>1</v>
      </c>
      <c r="BB6" s="175">
        <v>17</v>
      </c>
      <c r="BC6" s="175">
        <v>1</v>
      </c>
      <c r="BD6" s="175"/>
      <c r="BE6" s="175"/>
      <c r="BF6" s="175"/>
      <c r="BG6" s="175"/>
      <c r="BI6" s="168">
        <v>2</v>
      </c>
      <c r="BJ6" s="175" t="str">
        <f>CONCATENATE("1.2D + ",TEXT(IF(RIGHT(TIA,1)="G",1.6,1),"0.0"),"W  | 0 deg")</f>
        <v>1.2D + 1.0W  | 0 deg</v>
      </c>
      <c r="BK6" s="175" t="b">
        <v>1</v>
      </c>
      <c r="BL6" s="175" t="s">
        <v>170</v>
      </c>
      <c r="BM6" s="175"/>
      <c r="BN6" s="175">
        <v>65</v>
      </c>
      <c r="BO6" s="175">
        <v>1.2</v>
      </c>
      <c r="BP6" s="175">
        <v>1</v>
      </c>
      <c r="BQ6" s="175">
        <v>1</v>
      </c>
      <c r="BR6" s="175">
        <v>17</v>
      </c>
      <c r="BS6" s="175">
        <v>1</v>
      </c>
      <c r="BT6" s="175"/>
      <c r="BU6" s="175"/>
      <c r="BV6" s="175"/>
      <c r="BW6" s="175"/>
      <c r="BY6" s="168">
        <v>2</v>
      </c>
      <c r="BZ6" s="248" t="s">
        <v>1399</v>
      </c>
      <c r="CA6" s="248" t="b">
        <v>1</v>
      </c>
      <c r="CB6" s="248" t="s">
        <v>170</v>
      </c>
      <c r="CC6" s="248"/>
      <c r="CD6" s="248">
        <v>65</v>
      </c>
      <c r="CE6" s="248">
        <v>1</v>
      </c>
      <c r="CF6" s="248">
        <v>1</v>
      </c>
      <c r="CG6" s="248">
        <v>0.6</v>
      </c>
      <c r="CH6" s="248">
        <v>17</v>
      </c>
      <c r="CI6" s="248">
        <v>0.6</v>
      </c>
      <c r="CJ6" s="248"/>
      <c r="CK6" s="248"/>
      <c r="CL6" s="248"/>
      <c r="CM6" s="248"/>
      <c r="CO6" s="168">
        <v>2</v>
      </c>
      <c r="CP6" s="248" t="s">
        <v>1399</v>
      </c>
      <c r="CQ6" s="248" t="b">
        <v>1</v>
      </c>
      <c r="CR6" s="248" t="s">
        <v>170</v>
      </c>
      <c r="CS6" s="248"/>
      <c r="CT6" s="248">
        <v>65</v>
      </c>
      <c r="CU6" s="248">
        <v>1</v>
      </c>
      <c r="CV6" s="248">
        <v>1</v>
      </c>
      <c r="CW6" s="248">
        <v>0.6</v>
      </c>
      <c r="CX6" s="248">
        <v>17</v>
      </c>
      <c r="CY6" s="248">
        <v>0.6</v>
      </c>
      <c r="CZ6" s="248"/>
      <c r="DA6" s="248"/>
      <c r="DB6" s="248"/>
      <c r="DC6" s="248"/>
      <c r="DE6" s="168">
        <v>2</v>
      </c>
      <c r="DF6" s="248" t="s">
        <v>1399</v>
      </c>
      <c r="DG6" s="248" t="b">
        <v>1</v>
      </c>
      <c r="DH6" s="248" t="s">
        <v>170</v>
      </c>
      <c r="DI6" s="248"/>
      <c r="DJ6" s="248">
        <v>65</v>
      </c>
      <c r="DK6" s="248">
        <v>1</v>
      </c>
      <c r="DL6" s="248">
        <v>1</v>
      </c>
      <c r="DM6" s="248">
        <v>0.6</v>
      </c>
      <c r="DN6" s="248">
        <v>17</v>
      </c>
      <c r="DO6" s="248">
        <v>0.6</v>
      </c>
      <c r="DP6" s="248"/>
      <c r="DQ6" s="248"/>
      <c r="DR6" s="248"/>
      <c r="DS6" s="248"/>
      <c r="DU6" s="168">
        <v>2</v>
      </c>
      <c r="DV6" s="175" t="str">
        <f t="shared" ref="DV6:DV37" si="14">CONCATENATE(EK6," (",EL6," deg")</f>
        <v>1.2D + 1.6L + 0.5(Lr or S or R) (0 deg</v>
      </c>
      <c r="DW6" s="175">
        <v>1</v>
      </c>
      <c r="DX6" s="175" t="s">
        <v>170</v>
      </c>
      <c r="DY6" s="175"/>
      <c r="DZ6" s="175">
        <v>65</v>
      </c>
      <c r="EA6" s="175">
        <v>1.2</v>
      </c>
      <c r="EB6" s="175">
        <v>1</v>
      </c>
      <c r="EC6" s="175">
        <v>1</v>
      </c>
      <c r="ED6" s="175"/>
      <c r="EE6" s="175"/>
      <c r="EF6" s="175"/>
      <c r="EG6" s="175"/>
      <c r="EH6" s="175"/>
      <c r="EI6" s="175"/>
      <c r="EK6" s="2" t="s">
        <v>379</v>
      </c>
      <c r="EL6" s="2">
        <v>0</v>
      </c>
      <c r="EN6" s="168">
        <v>2</v>
      </c>
      <c r="EO6" s="2" t="s">
        <v>380</v>
      </c>
      <c r="GJ6" s="2" t="s">
        <v>381</v>
      </c>
      <c r="GK6" s="2" t="str">
        <f>_xlfn.CONCAT(GJ6," (",EL6," deg)")</f>
        <v>1.2D + 1.0W + 1.0G (0 deg)</v>
      </c>
      <c r="GL6" s="184" t="s">
        <v>382</v>
      </c>
    </row>
    <row r="7" spans="1:194" ht="18" customHeight="1" x14ac:dyDescent="0.2">
      <c r="A7" s="165">
        <v>3</v>
      </c>
      <c r="B7" s="170" t="s">
        <v>383</v>
      </c>
      <c r="C7" s="171" t="s">
        <v>374</v>
      </c>
      <c r="D7" s="171"/>
      <c r="E7" s="171"/>
      <c r="F7" s="171"/>
      <c r="G7" s="171"/>
      <c r="H7" s="185">
        <f>COUNTA('Point Load Tables'!$K$4:$K$1048576)</f>
        <v>0</v>
      </c>
      <c r="I7" s="185"/>
      <c r="J7" s="185"/>
      <c r="K7" s="171"/>
      <c r="M7" s="176">
        <f t="shared" ref="M7:M70" si="15">IF(N7="","",M6+1)</f>
        <v>3</v>
      </c>
      <c r="N7" s="170" t="str">
        <f t="shared" si="0"/>
        <v>1.2D + 1.0W  | 30 deg</v>
      </c>
      <c r="O7" s="170" t="b">
        <v>1</v>
      </c>
      <c r="P7" s="170" t="str">
        <f t="shared" si="2"/>
        <v>Y</v>
      </c>
      <c r="Q7" s="170" t="str">
        <f t="shared" si="3"/>
        <v/>
      </c>
      <c r="R7" s="170">
        <f t="shared" si="4"/>
        <v>65</v>
      </c>
      <c r="S7" s="170">
        <f t="shared" si="5"/>
        <v>1.2</v>
      </c>
      <c r="T7" s="170">
        <f t="shared" si="6"/>
        <v>2</v>
      </c>
      <c r="U7" s="170">
        <f t="shared" si="7"/>
        <v>1</v>
      </c>
      <c r="V7" s="170">
        <f t="shared" si="8"/>
        <v>18</v>
      </c>
      <c r="W7" s="170">
        <f t="shared" si="9"/>
        <v>1</v>
      </c>
      <c r="X7" s="170" t="str">
        <f t="shared" si="10"/>
        <v/>
      </c>
      <c r="Y7" s="170" t="str">
        <f t="shared" si="11"/>
        <v/>
      </c>
      <c r="Z7" s="170" t="str">
        <f t="shared" si="12"/>
        <v/>
      </c>
      <c r="AA7" s="170" t="str">
        <f t="shared" si="13"/>
        <v/>
      </c>
      <c r="AC7" s="165">
        <v>3</v>
      </c>
      <c r="AD7" s="170" t="str">
        <f>CONCATENATE("1.2D + ",TEXT(IF(RIGHT(TIA,1)="G",1.6,1),"0.0"),"W  | 30 deg")</f>
        <v>1.2D + 1.0W  | 30 deg</v>
      </c>
      <c r="AE7" s="170" t="b">
        <v>1</v>
      </c>
      <c r="AF7" s="170" t="s">
        <v>170</v>
      </c>
      <c r="AG7" s="170"/>
      <c r="AH7" s="170">
        <v>65</v>
      </c>
      <c r="AI7" s="170">
        <v>1.2</v>
      </c>
      <c r="AJ7" s="170">
        <v>2</v>
      </c>
      <c r="AK7" s="170">
        <v>1</v>
      </c>
      <c r="AL7" s="170">
        <v>18</v>
      </c>
      <c r="AM7" s="170">
        <v>1</v>
      </c>
      <c r="AN7" s="170"/>
      <c r="AO7" s="170"/>
      <c r="AP7" s="170"/>
      <c r="AQ7" s="170"/>
      <c r="AS7" s="165">
        <v>3</v>
      </c>
      <c r="AT7" s="170" t="s">
        <v>1614</v>
      </c>
      <c r="AU7" s="170" t="b">
        <v>1</v>
      </c>
      <c r="AV7" s="170" t="s">
        <v>170</v>
      </c>
      <c r="AW7" s="170"/>
      <c r="AX7" s="170">
        <v>65</v>
      </c>
      <c r="AY7" s="170">
        <v>1.2</v>
      </c>
      <c r="AZ7" s="170">
        <v>2</v>
      </c>
      <c r="BA7" s="170">
        <v>1</v>
      </c>
      <c r="BB7" s="170">
        <v>18</v>
      </c>
      <c r="BC7" s="170">
        <v>1</v>
      </c>
      <c r="BD7" s="170"/>
      <c r="BE7" s="170"/>
      <c r="BF7" s="170"/>
      <c r="BG7" s="170"/>
      <c r="BI7" s="165">
        <v>3</v>
      </c>
      <c r="BJ7" s="170" t="str">
        <f>CONCATENATE("1.2D + ",TEXT(IF(RIGHT(TIA,1)="G",1.6,1),"0.0"),"W  | 30 deg")</f>
        <v>1.2D + 1.0W  | 30 deg</v>
      </c>
      <c r="BK7" s="170" t="b">
        <v>1</v>
      </c>
      <c r="BL7" s="170" t="s">
        <v>170</v>
      </c>
      <c r="BM7" s="170"/>
      <c r="BN7" s="170">
        <v>65</v>
      </c>
      <c r="BO7" s="170">
        <v>1.2</v>
      </c>
      <c r="BP7" s="170">
        <v>2</v>
      </c>
      <c r="BQ7" s="170">
        <v>1</v>
      </c>
      <c r="BR7" s="170">
        <v>18</v>
      </c>
      <c r="BS7" s="170">
        <v>1</v>
      </c>
      <c r="BT7" s="170"/>
      <c r="BU7" s="170"/>
      <c r="BV7" s="170"/>
      <c r="BW7" s="170"/>
      <c r="BY7" s="165">
        <v>3</v>
      </c>
      <c r="BZ7" s="246" t="s">
        <v>1615</v>
      </c>
      <c r="CA7" s="246" t="b">
        <v>1</v>
      </c>
      <c r="CB7" s="246" t="s">
        <v>170</v>
      </c>
      <c r="CC7" s="246"/>
      <c r="CD7" s="246">
        <v>65</v>
      </c>
      <c r="CE7" s="246">
        <v>1</v>
      </c>
      <c r="CF7" s="246">
        <v>2</v>
      </c>
      <c r="CG7" s="246">
        <v>0.6</v>
      </c>
      <c r="CH7" s="246">
        <v>18</v>
      </c>
      <c r="CI7" s="246">
        <v>0.6</v>
      </c>
      <c r="CJ7" s="246"/>
      <c r="CK7" s="246"/>
      <c r="CL7" s="246"/>
      <c r="CM7" s="246"/>
      <c r="CO7" s="165">
        <v>3</v>
      </c>
      <c r="CP7" s="246" t="s">
        <v>1615</v>
      </c>
      <c r="CQ7" s="246" t="b">
        <v>1</v>
      </c>
      <c r="CR7" s="246" t="s">
        <v>170</v>
      </c>
      <c r="CS7" s="246"/>
      <c r="CT7" s="246">
        <v>65</v>
      </c>
      <c r="CU7" s="246">
        <v>1</v>
      </c>
      <c r="CV7" s="246">
        <v>2</v>
      </c>
      <c r="CW7" s="246">
        <v>0.6</v>
      </c>
      <c r="CX7" s="246">
        <v>18</v>
      </c>
      <c r="CY7" s="246">
        <v>0.6</v>
      </c>
      <c r="CZ7" s="246"/>
      <c r="DA7" s="246"/>
      <c r="DB7" s="246"/>
      <c r="DC7" s="246"/>
      <c r="DE7" s="165">
        <v>3</v>
      </c>
      <c r="DF7" s="246" t="s">
        <v>1615</v>
      </c>
      <c r="DG7" s="246" t="b">
        <v>1</v>
      </c>
      <c r="DH7" s="246" t="s">
        <v>170</v>
      </c>
      <c r="DI7" s="246"/>
      <c r="DJ7" s="246">
        <v>65</v>
      </c>
      <c r="DK7" s="246">
        <v>1</v>
      </c>
      <c r="DL7" s="246">
        <v>2</v>
      </c>
      <c r="DM7" s="246">
        <v>0.6</v>
      </c>
      <c r="DN7" s="246">
        <v>18</v>
      </c>
      <c r="DO7" s="246">
        <v>0.6</v>
      </c>
      <c r="DP7" s="246"/>
      <c r="DQ7" s="246"/>
      <c r="DR7" s="246"/>
      <c r="DS7" s="246"/>
      <c r="DU7" s="165">
        <v>3</v>
      </c>
      <c r="DV7" s="170" t="str">
        <f t="shared" si="14"/>
        <v>1.2D + 1.6L + 0.5(Lr or S or R) (30 deg</v>
      </c>
      <c r="DW7" s="170">
        <v>1</v>
      </c>
      <c r="DX7" s="170" t="s">
        <v>170</v>
      </c>
      <c r="DY7" s="170"/>
      <c r="DZ7" s="170">
        <v>65</v>
      </c>
      <c r="EA7" s="170">
        <v>1.2</v>
      </c>
      <c r="EB7" s="170">
        <v>2</v>
      </c>
      <c r="EC7" s="170">
        <v>1</v>
      </c>
      <c r="ED7" s="170"/>
      <c r="EE7" s="170"/>
      <c r="EF7" s="170"/>
      <c r="EG7" s="170"/>
      <c r="EH7" s="170"/>
      <c r="EI7" s="170"/>
      <c r="EK7" s="2" t="s">
        <v>379</v>
      </c>
      <c r="EL7" s="2">
        <v>30</v>
      </c>
      <c r="EN7" s="165">
        <v>3</v>
      </c>
      <c r="EO7" s="2" t="s">
        <v>384</v>
      </c>
      <c r="GJ7" s="2" t="s">
        <v>381</v>
      </c>
      <c r="GK7" s="2" t="str">
        <f t="shared" ref="GK7:GK17" si="16">_xlfn.CONCAT(GJ7," (",EL7," deg)")</f>
        <v>1.2D + 1.0W + 1.0G (30 deg)</v>
      </c>
      <c r="GL7" s="184" t="s">
        <v>385</v>
      </c>
    </row>
    <row r="8" spans="1:194" ht="18" customHeight="1" x14ac:dyDescent="0.2">
      <c r="A8" s="165">
        <v>4</v>
      </c>
      <c r="B8" s="174" t="s">
        <v>386</v>
      </c>
      <c r="C8" s="174" t="s">
        <v>374</v>
      </c>
      <c r="D8" s="174"/>
      <c r="E8" s="174"/>
      <c r="F8" s="174"/>
      <c r="G8" s="174"/>
      <c r="H8" s="186">
        <f>COUNTA('Point Load Tables'!$P$4:$P$1048576)</f>
        <v>0</v>
      </c>
      <c r="I8" s="186"/>
      <c r="J8" s="186"/>
      <c r="K8" s="174"/>
      <c r="M8" s="176">
        <f t="shared" si="15"/>
        <v>4</v>
      </c>
      <c r="N8" s="174" t="str">
        <f t="shared" si="0"/>
        <v>1.2D + 1.0W  | 45 deg</v>
      </c>
      <c r="O8" s="174" t="b">
        <v>1</v>
      </c>
      <c r="P8" s="174" t="str">
        <f t="shared" si="2"/>
        <v>Y</v>
      </c>
      <c r="Q8" s="174" t="str">
        <f t="shared" si="3"/>
        <v/>
      </c>
      <c r="R8" s="174">
        <f t="shared" si="4"/>
        <v>65</v>
      </c>
      <c r="S8" s="174">
        <f t="shared" si="5"/>
        <v>1.2</v>
      </c>
      <c r="T8" s="174">
        <f t="shared" si="6"/>
        <v>3</v>
      </c>
      <c r="U8" s="174">
        <f t="shared" si="7"/>
        <v>1</v>
      </c>
      <c r="V8" s="174">
        <f t="shared" si="8"/>
        <v>19</v>
      </c>
      <c r="W8" s="174">
        <f t="shared" si="9"/>
        <v>1</v>
      </c>
      <c r="X8" s="174" t="str">
        <f t="shared" si="10"/>
        <v/>
      </c>
      <c r="Y8" s="174" t="str">
        <f t="shared" si="11"/>
        <v/>
      </c>
      <c r="Z8" s="174" t="str">
        <f t="shared" si="12"/>
        <v/>
      </c>
      <c r="AA8" s="174" t="str">
        <f t="shared" si="13"/>
        <v/>
      </c>
      <c r="AC8" s="165">
        <v>4</v>
      </c>
      <c r="AD8" s="174" t="str">
        <f>CONCATENATE("1.2D + ",TEXT(IF(RIGHT(TIA,1)="G",1.6,1),"0.0"),"W  | 45 deg")</f>
        <v>1.2D + 1.0W  | 45 deg</v>
      </c>
      <c r="AE8" s="174" t="b">
        <v>1</v>
      </c>
      <c r="AF8" s="174" t="s">
        <v>170</v>
      </c>
      <c r="AG8" s="174"/>
      <c r="AH8" s="174">
        <v>65</v>
      </c>
      <c r="AI8" s="174">
        <v>1.2</v>
      </c>
      <c r="AJ8" s="174">
        <v>3</v>
      </c>
      <c r="AK8" s="174">
        <v>1</v>
      </c>
      <c r="AL8" s="174">
        <v>19</v>
      </c>
      <c r="AM8" s="174">
        <v>1</v>
      </c>
      <c r="AN8" s="174"/>
      <c r="AO8" s="174"/>
      <c r="AP8" s="174"/>
      <c r="AQ8" s="174"/>
      <c r="AS8" s="165">
        <v>4</v>
      </c>
      <c r="AT8" s="174" t="s">
        <v>1710</v>
      </c>
      <c r="AU8" s="174"/>
      <c r="AV8" s="174" t="s">
        <v>170</v>
      </c>
      <c r="AW8" s="174"/>
      <c r="AX8" s="174">
        <v>65</v>
      </c>
      <c r="AY8" s="174">
        <v>1.2</v>
      </c>
      <c r="AZ8" s="174">
        <v>3</v>
      </c>
      <c r="BA8" s="174">
        <v>1</v>
      </c>
      <c r="BB8" s="174">
        <v>19</v>
      </c>
      <c r="BC8" s="174">
        <v>1</v>
      </c>
      <c r="BD8" s="174"/>
      <c r="BE8" s="174"/>
      <c r="BF8" s="174"/>
      <c r="BG8" s="174"/>
      <c r="BI8" s="165">
        <v>4</v>
      </c>
      <c r="BJ8" s="174" t="str">
        <f>CONCATENATE("1.2D + ",TEXT(IF(RIGHT(TIA,1)="G",1.6,1),"0.0"),"W  | 45 deg")</f>
        <v>1.2D + 1.0W  | 45 deg</v>
      </c>
      <c r="BK8" s="174" t="b">
        <v>1</v>
      </c>
      <c r="BL8" s="174" t="s">
        <v>170</v>
      </c>
      <c r="BM8" s="174"/>
      <c r="BN8" s="174">
        <v>65</v>
      </c>
      <c r="BO8" s="174">
        <v>1.2</v>
      </c>
      <c r="BP8" s="174">
        <v>3</v>
      </c>
      <c r="BQ8" s="174">
        <v>1</v>
      </c>
      <c r="BR8" s="174">
        <v>19</v>
      </c>
      <c r="BS8" s="174">
        <v>1</v>
      </c>
      <c r="BT8" s="174"/>
      <c r="BU8" s="174"/>
      <c r="BV8" s="174"/>
      <c r="BW8" s="174"/>
      <c r="BY8" s="165">
        <v>4</v>
      </c>
      <c r="BZ8" s="249" t="s">
        <v>1711</v>
      </c>
      <c r="CA8" s="249" t="b">
        <v>1</v>
      </c>
      <c r="CB8" s="249" t="s">
        <v>170</v>
      </c>
      <c r="CC8" s="249"/>
      <c r="CD8" s="249">
        <v>65</v>
      </c>
      <c r="CE8" s="249">
        <v>1</v>
      </c>
      <c r="CF8" s="249">
        <v>3</v>
      </c>
      <c r="CG8" s="249">
        <v>0.6</v>
      </c>
      <c r="CH8" s="249">
        <v>19</v>
      </c>
      <c r="CI8" s="249">
        <v>0.6</v>
      </c>
      <c r="CJ8" s="249"/>
      <c r="CK8" s="249"/>
      <c r="CL8" s="249"/>
      <c r="CM8" s="249"/>
      <c r="CO8" s="165">
        <v>4</v>
      </c>
      <c r="CP8" s="249" t="s">
        <v>1711</v>
      </c>
      <c r="CQ8" s="249" t="b">
        <v>1</v>
      </c>
      <c r="CR8" s="249" t="s">
        <v>170</v>
      </c>
      <c r="CS8" s="249"/>
      <c r="CT8" s="249">
        <v>65</v>
      </c>
      <c r="CU8" s="249">
        <v>1</v>
      </c>
      <c r="CV8" s="249">
        <v>3</v>
      </c>
      <c r="CW8" s="249">
        <v>0.6</v>
      </c>
      <c r="CX8" s="249">
        <v>19</v>
      </c>
      <c r="CY8" s="249">
        <v>0.6</v>
      </c>
      <c r="CZ8" s="249"/>
      <c r="DA8" s="249"/>
      <c r="DB8" s="249"/>
      <c r="DC8" s="249"/>
      <c r="DE8" s="165">
        <v>4</v>
      </c>
      <c r="DF8" s="249" t="s">
        <v>1711</v>
      </c>
      <c r="DG8" s="249" t="b">
        <v>1</v>
      </c>
      <c r="DH8" s="249" t="s">
        <v>170</v>
      </c>
      <c r="DI8" s="249"/>
      <c r="DJ8" s="249">
        <v>65</v>
      </c>
      <c r="DK8" s="249">
        <v>1</v>
      </c>
      <c r="DL8" s="249">
        <v>3</v>
      </c>
      <c r="DM8" s="249">
        <v>0.6</v>
      </c>
      <c r="DN8" s="249">
        <v>19</v>
      </c>
      <c r="DO8" s="249">
        <v>0.6</v>
      </c>
      <c r="DP8" s="249"/>
      <c r="DQ8" s="249"/>
      <c r="DR8" s="249"/>
      <c r="DS8" s="249"/>
      <c r="DU8" s="165">
        <v>4</v>
      </c>
      <c r="DV8" s="174" t="str">
        <f t="shared" si="14"/>
        <v>1.2D + 1.6L + 0.5(Lr or S or R) (45 deg</v>
      </c>
      <c r="DW8" s="174">
        <v>1</v>
      </c>
      <c r="DX8" s="174" t="s">
        <v>170</v>
      </c>
      <c r="DY8" s="174"/>
      <c r="DZ8" s="174">
        <v>65</v>
      </c>
      <c r="EA8" s="174">
        <v>1.2</v>
      </c>
      <c r="EB8" s="174">
        <v>3</v>
      </c>
      <c r="EC8" s="174">
        <v>1</v>
      </c>
      <c r="ED8" s="174"/>
      <c r="EE8" s="174"/>
      <c r="EF8" s="174"/>
      <c r="EG8" s="174"/>
      <c r="EH8" s="174"/>
      <c r="EI8" s="174"/>
      <c r="EK8" s="2" t="s">
        <v>379</v>
      </c>
      <c r="EL8" s="2">
        <v>45</v>
      </c>
      <c r="EN8" s="165">
        <v>4</v>
      </c>
      <c r="EO8" s="2" t="s">
        <v>387</v>
      </c>
      <c r="GJ8" s="2" t="s">
        <v>381</v>
      </c>
      <c r="GK8" s="2" t="str">
        <f t="shared" si="16"/>
        <v>1.2D + 1.0W + 1.0G (45 deg)</v>
      </c>
      <c r="GL8" s="184" t="s">
        <v>388</v>
      </c>
    </row>
    <row r="9" spans="1:194" ht="18" customHeight="1" x14ac:dyDescent="0.2">
      <c r="A9" s="165">
        <v>5</v>
      </c>
      <c r="B9" s="170" t="s">
        <v>389</v>
      </c>
      <c r="C9" s="171" t="s">
        <v>374</v>
      </c>
      <c r="D9" s="171"/>
      <c r="E9" s="171"/>
      <c r="F9" s="171"/>
      <c r="G9" s="171"/>
      <c r="H9" s="185">
        <f>COUNTA('Point Load Tables'!$U$4:$U$1048576)</f>
        <v>0</v>
      </c>
      <c r="I9" s="185"/>
      <c r="J9" s="185"/>
      <c r="K9" s="171"/>
      <c r="M9" s="176">
        <f t="shared" si="15"/>
        <v>5</v>
      </c>
      <c r="N9" s="170" t="str">
        <f t="shared" si="0"/>
        <v>1.2D + 1.0W  | 60 deg</v>
      </c>
      <c r="O9" s="170" t="b">
        <v>1</v>
      </c>
      <c r="P9" s="170" t="str">
        <f t="shared" si="2"/>
        <v>Y</v>
      </c>
      <c r="Q9" s="170" t="str">
        <f t="shared" si="3"/>
        <v/>
      </c>
      <c r="R9" s="170">
        <f t="shared" si="4"/>
        <v>65</v>
      </c>
      <c r="S9" s="170">
        <f t="shared" si="5"/>
        <v>1.2</v>
      </c>
      <c r="T9" s="170">
        <f t="shared" si="6"/>
        <v>4</v>
      </c>
      <c r="U9" s="170">
        <f t="shared" si="7"/>
        <v>1</v>
      </c>
      <c r="V9" s="170">
        <f t="shared" si="8"/>
        <v>20</v>
      </c>
      <c r="W9" s="170">
        <f t="shared" si="9"/>
        <v>1</v>
      </c>
      <c r="X9" s="170" t="str">
        <f t="shared" si="10"/>
        <v/>
      </c>
      <c r="Y9" s="170" t="str">
        <f t="shared" si="11"/>
        <v/>
      </c>
      <c r="Z9" s="170" t="str">
        <f t="shared" si="12"/>
        <v/>
      </c>
      <c r="AA9" s="170" t="str">
        <f t="shared" si="13"/>
        <v/>
      </c>
      <c r="AC9" s="165">
        <v>5</v>
      </c>
      <c r="AD9" s="170" t="str">
        <f>CONCATENATE("1.2D + ",TEXT(IF(RIGHT(TIA,1)="G",1.6,1),"0.0"),"W  | 60 deg")</f>
        <v>1.2D + 1.0W  | 60 deg</v>
      </c>
      <c r="AE9" s="170" t="b">
        <v>1</v>
      </c>
      <c r="AF9" s="170" t="s">
        <v>170</v>
      </c>
      <c r="AG9" s="170"/>
      <c r="AH9" s="170">
        <v>65</v>
      </c>
      <c r="AI9" s="170">
        <v>1.2</v>
      </c>
      <c r="AJ9" s="170">
        <v>4</v>
      </c>
      <c r="AK9" s="170">
        <v>1</v>
      </c>
      <c r="AL9" s="170">
        <v>20</v>
      </c>
      <c r="AM9" s="170">
        <v>1</v>
      </c>
      <c r="AN9" s="170"/>
      <c r="AO9" s="170"/>
      <c r="AP9" s="170"/>
      <c r="AQ9" s="170"/>
      <c r="AS9" s="165">
        <v>5</v>
      </c>
      <c r="AT9" s="170" t="s">
        <v>1734</v>
      </c>
      <c r="AU9" s="170" t="b">
        <v>1</v>
      </c>
      <c r="AV9" s="170" t="s">
        <v>170</v>
      </c>
      <c r="AW9" s="170"/>
      <c r="AX9" s="170">
        <v>65</v>
      </c>
      <c r="AY9" s="170">
        <v>1.2</v>
      </c>
      <c r="AZ9" s="170">
        <v>4</v>
      </c>
      <c r="BA9" s="170">
        <v>1</v>
      </c>
      <c r="BB9" s="170">
        <v>20</v>
      </c>
      <c r="BC9" s="170">
        <v>1</v>
      </c>
      <c r="BD9" s="170"/>
      <c r="BE9" s="170"/>
      <c r="BF9" s="170"/>
      <c r="BG9" s="170"/>
      <c r="BI9" s="165">
        <v>5</v>
      </c>
      <c r="BJ9" s="170" t="str">
        <f>CONCATENATE("1.2D + ",TEXT(IF(RIGHT(TIA,1)="G",1.6,1),"0.0"),"W  | 60 deg")</f>
        <v>1.2D + 1.0W  | 60 deg</v>
      </c>
      <c r="BK9" s="170" t="b">
        <v>1</v>
      </c>
      <c r="BL9" s="170" t="s">
        <v>170</v>
      </c>
      <c r="BM9" s="170"/>
      <c r="BN9" s="170">
        <v>65</v>
      </c>
      <c r="BO9" s="170">
        <v>1.2</v>
      </c>
      <c r="BP9" s="170">
        <v>4</v>
      </c>
      <c r="BQ9" s="170">
        <v>1</v>
      </c>
      <c r="BR9" s="170">
        <v>20</v>
      </c>
      <c r="BS9" s="170">
        <v>1</v>
      </c>
      <c r="BT9" s="170"/>
      <c r="BU9" s="170"/>
      <c r="BV9" s="170"/>
      <c r="BW9" s="170"/>
      <c r="BY9" s="165">
        <v>5</v>
      </c>
      <c r="BZ9" s="246" t="s">
        <v>1735</v>
      </c>
      <c r="CA9" s="246" t="b">
        <v>1</v>
      </c>
      <c r="CB9" s="246" t="s">
        <v>170</v>
      </c>
      <c r="CC9" s="246"/>
      <c r="CD9" s="246">
        <v>65</v>
      </c>
      <c r="CE9" s="246">
        <v>1</v>
      </c>
      <c r="CF9" s="246">
        <v>4</v>
      </c>
      <c r="CG9" s="246">
        <v>0.6</v>
      </c>
      <c r="CH9" s="246">
        <v>20</v>
      </c>
      <c r="CI9" s="246">
        <v>0.6</v>
      </c>
      <c r="CJ9" s="246"/>
      <c r="CK9" s="246"/>
      <c r="CL9" s="246"/>
      <c r="CM9" s="246"/>
      <c r="CO9" s="165">
        <v>5</v>
      </c>
      <c r="CP9" s="246" t="s">
        <v>1735</v>
      </c>
      <c r="CQ9" s="246" t="b">
        <v>1</v>
      </c>
      <c r="CR9" s="246" t="s">
        <v>170</v>
      </c>
      <c r="CS9" s="246"/>
      <c r="CT9" s="246">
        <v>65</v>
      </c>
      <c r="CU9" s="246">
        <v>1</v>
      </c>
      <c r="CV9" s="246">
        <v>4</v>
      </c>
      <c r="CW9" s="246">
        <v>0.6</v>
      </c>
      <c r="CX9" s="246">
        <v>20</v>
      </c>
      <c r="CY9" s="246">
        <v>0.6</v>
      </c>
      <c r="CZ9" s="246"/>
      <c r="DA9" s="246"/>
      <c r="DB9" s="246"/>
      <c r="DC9" s="246"/>
      <c r="DE9" s="165">
        <v>5</v>
      </c>
      <c r="DF9" s="246" t="s">
        <v>1735</v>
      </c>
      <c r="DG9" s="246" t="b">
        <v>1</v>
      </c>
      <c r="DH9" s="246" t="s">
        <v>170</v>
      </c>
      <c r="DI9" s="246"/>
      <c r="DJ9" s="246">
        <v>65</v>
      </c>
      <c r="DK9" s="246">
        <v>1</v>
      </c>
      <c r="DL9" s="246">
        <v>4</v>
      </c>
      <c r="DM9" s="246">
        <v>0.6</v>
      </c>
      <c r="DN9" s="246">
        <v>20</v>
      </c>
      <c r="DO9" s="246">
        <v>0.6</v>
      </c>
      <c r="DP9" s="246"/>
      <c r="DQ9" s="246"/>
      <c r="DR9" s="246"/>
      <c r="DS9" s="246"/>
      <c r="DU9" s="165">
        <v>5</v>
      </c>
      <c r="DV9" s="170" t="str">
        <f t="shared" si="14"/>
        <v>1.2D + 1.6L + 0.5(Lr or S or R) (60 deg</v>
      </c>
      <c r="DW9" s="170">
        <v>1</v>
      </c>
      <c r="DX9" s="170" t="s">
        <v>170</v>
      </c>
      <c r="DY9" s="170"/>
      <c r="DZ9" s="170">
        <v>65</v>
      </c>
      <c r="EA9" s="170">
        <v>1.2</v>
      </c>
      <c r="EB9" s="170">
        <v>4</v>
      </c>
      <c r="EC9" s="170">
        <v>1</v>
      </c>
      <c r="ED9" s="170"/>
      <c r="EE9" s="170"/>
      <c r="EF9" s="170"/>
      <c r="EG9" s="170"/>
      <c r="EH9" s="170"/>
      <c r="EI9" s="170"/>
      <c r="EK9" s="2" t="s">
        <v>379</v>
      </c>
      <c r="EL9" s="2">
        <v>60</v>
      </c>
      <c r="EN9" s="165">
        <v>5</v>
      </c>
      <c r="EO9" s="2" t="s">
        <v>390</v>
      </c>
      <c r="GJ9" s="2" t="s">
        <v>381</v>
      </c>
      <c r="GK9" s="2" t="str">
        <f t="shared" si="16"/>
        <v>1.2D + 1.0W + 1.0G (60 deg)</v>
      </c>
      <c r="GL9" s="184" t="s">
        <v>391</v>
      </c>
    </row>
    <row r="10" spans="1:194" ht="18" customHeight="1" x14ac:dyDescent="0.2">
      <c r="A10" s="165">
        <v>6</v>
      </c>
      <c r="B10" s="174" t="s">
        <v>392</v>
      </c>
      <c r="C10" s="174" t="s">
        <v>374</v>
      </c>
      <c r="D10" s="174"/>
      <c r="E10" s="174"/>
      <c r="F10" s="174"/>
      <c r="G10" s="174"/>
      <c r="H10" s="186">
        <f>COUNTA('Point Load Tables'!$Z$4:$Z$1048576)</f>
        <v>0</v>
      </c>
      <c r="I10" s="186"/>
      <c r="J10" s="186"/>
      <c r="K10" s="174"/>
      <c r="M10" s="176">
        <f t="shared" si="15"/>
        <v>6</v>
      </c>
      <c r="N10" s="174" t="str">
        <f t="shared" si="0"/>
        <v>1.2D + 1.0W  | 90 deg</v>
      </c>
      <c r="O10" s="174" t="b">
        <v>1</v>
      </c>
      <c r="P10" s="174" t="str">
        <f t="shared" si="2"/>
        <v>Y</v>
      </c>
      <c r="Q10" s="174" t="str">
        <f t="shared" si="3"/>
        <v/>
      </c>
      <c r="R10" s="174">
        <f t="shared" si="4"/>
        <v>65</v>
      </c>
      <c r="S10" s="174">
        <f t="shared" si="5"/>
        <v>1.2</v>
      </c>
      <c r="T10" s="174">
        <f t="shared" si="6"/>
        <v>5</v>
      </c>
      <c r="U10" s="174">
        <f t="shared" si="7"/>
        <v>1</v>
      </c>
      <c r="V10" s="174">
        <f t="shared" si="8"/>
        <v>21</v>
      </c>
      <c r="W10" s="174">
        <f t="shared" si="9"/>
        <v>1</v>
      </c>
      <c r="X10" s="174" t="str">
        <f t="shared" si="10"/>
        <v/>
      </c>
      <c r="Y10" s="174" t="str">
        <f t="shared" si="11"/>
        <v/>
      </c>
      <c r="Z10" s="174" t="str">
        <f t="shared" si="12"/>
        <v/>
      </c>
      <c r="AA10" s="174" t="str">
        <f t="shared" si="13"/>
        <v/>
      </c>
      <c r="AC10" s="176">
        <v>6</v>
      </c>
      <c r="AD10" s="174" t="str">
        <f>CONCATENATE("1.2D + ",TEXT(IF(RIGHT(TIA,1)="G",1.6,1),"0.0"),"W  | 90 deg")</f>
        <v>1.2D + 1.0W  | 90 deg</v>
      </c>
      <c r="AE10" s="174" t="b">
        <v>1</v>
      </c>
      <c r="AF10" s="174" t="s">
        <v>170</v>
      </c>
      <c r="AG10" s="174"/>
      <c r="AH10" s="174">
        <v>65</v>
      </c>
      <c r="AI10" s="174">
        <v>1.2</v>
      </c>
      <c r="AJ10" s="174">
        <v>5</v>
      </c>
      <c r="AK10" s="174">
        <v>1</v>
      </c>
      <c r="AL10" s="174">
        <v>21</v>
      </c>
      <c r="AM10" s="174">
        <v>1</v>
      </c>
      <c r="AN10" s="174"/>
      <c r="AO10" s="174"/>
      <c r="AP10" s="174"/>
      <c r="AQ10" s="174"/>
      <c r="AS10" s="176">
        <v>6</v>
      </c>
      <c r="AT10" s="174" t="s">
        <v>1758</v>
      </c>
      <c r="AU10" s="174" t="b">
        <v>1</v>
      </c>
      <c r="AV10" s="174" t="s">
        <v>170</v>
      </c>
      <c r="AW10" s="174"/>
      <c r="AX10" s="174">
        <v>65</v>
      </c>
      <c r="AY10" s="174">
        <v>1.2</v>
      </c>
      <c r="AZ10" s="174">
        <v>5</v>
      </c>
      <c r="BA10" s="174">
        <v>1</v>
      </c>
      <c r="BB10" s="174">
        <v>21</v>
      </c>
      <c r="BC10" s="174">
        <v>1</v>
      </c>
      <c r="BD10" s="174"/>
      <c r="BE10" s="174"/>
      <c r="BF10" s="174"/>
      <c r="BG10" s="174"/>
      <c r="BI10" s="176">
        <v>6</v>
      </c>
      <c r="BJ10" s="174" t="str">
        <f>CONCATENATE("1.2D + ",TEXT(IF(RIGHT(TIA,1)="G",1.6,1),"0.0"),"W  | 90 deg")</f>
        <v>1.2D + 1.0W  | 90 deg</v>
      </c>
      <c r="BK10" s="174" t="b">
        <v>1</v>
      </c>
      <c r="BL10" s="174" t="s">
        <v>170</v>
      </c>
      <c r="BM10" s="174"/>
      <c r="BN10" s="174">
        <v>65</v>
      </c>
      <c r="BO10" s="174">
        <v>1.2</v>
      </c>
      <c r="BP10" s="174">
        <v>5</v>
      </c>
      <c r="BQ10" s="174">
        <v>1</v>
      </c>
      <c r="BR10" s="174">
        <v>21</v>
      </c>
      <c r="BS10" s="174">
        <v>1</v>
      </c>
      <c r="BT10" s="174"/>
      <c r="BU10" s="174"/>
      <c r="BV10" s="174"/>
      <c r="BW10" s="174"/>
      <c r="BY10" s="176">
        <v>6</v>
      </c>
      <c r="BZ10" s="249" t="s">
        <v>1759</v>
      </c>
      <c r="CA10" s="249" t="b">
        <v>1</v>
      </c>
      <c r="CB10" s="249" t="s">
        <v>170</v>
      </c>
      <c r="CC10" s="249"/>
      <c r="CD10" s="249">
        <v>65</v>
      </c>
      <c r="CE10" s="249">
        <v>1</v>
      </c>
      <c r="CF10" s="249">
        <v>5</v>
      </c>
      <c r="CG10" s="249">
        <v>0.6</v>
      </c>
      <c r="CH10" s="249">
        <v>21</v>
      </c>
      <c r="CI10" s="249">
        <v>0.6</v>
      </c>
      <c r="CJ10" s="249"/>
      <c r="CK10" s="249"/>
      <c r="CL10" s="249"/>
      <c r="CM10" s="249"/>
      <c r="CO10" s="176">
        <v>6</v>
      </c>
      <c r="CP10" s="249" t="s">
        <v>1759</v>
      </c>
      <c r="CQ10" s="249" t="b">
        <v>1</v>
      </c>
      <c r="CR10" s="249" t="s">
        <v>170</v>
      </c>
      <c r="CS10" s="249"/>
      <c r="CT10" s="249">
        <v>65</v>
      </c>
      <c r="CU10" s="249">
        <v>1</v>
      </c>
      <c r="CV10" s="249">
        <v>5</v>
      </c>
      <c r="CW10" s="249">
        <v>0.6</v>
      </c>
      <c r="CX10" s="249">
        <v>21</v>
      </c>
      <c r="CY10" s="249">
        <v>0.6</v>
      </c>
      <c r="CZ10" s="249"/>
      <c r="DA10" s="249"/>
      <c r="DB10" s="249"/>
      <c r="DC10" s="249"/>
      <c r="DE10" s="176">
        <v>6</v>
      </c>
      <c r="DF10" s="249" t="s">
        <v>1759</v>
      </c>
      <c r="DG10" s="249" t="b">
        <v>1</v>
      </c>
      <c r="DH10" s="249" t="s">
        <v>170</v>
      </c>
      <c r="DI10" s="249"/>
      <c r="DJ10" s="249">
        <v>65</v>
      </c>
      <c r="DK10" s="249">
        <v>1</v>
      </c>
      <c r="DL10" s="249">
        <v>5</v>
      </c>
      <c r="DM10" s="249">
        <v>0.6</v>
      </c>
      <c r="DN10" s="249">
        <v>21</v>
      </c>
      <c r="DO10" s="249">
        <v>0.6</v>
      </c>
      <c r="DP10" s="249"/>
      <c r="DQ10" s="249"/>
      <c r="DR10" s="249"/>
      <c r="DS10" s="249"/>
      <c r="DU10" s="176">
        <v>6</v>
      </c>
      <c r="DV10" s="174" t="str">
        <f t="shared" si="14"/>
        <v>1.2D + 1.6L + 0.5(Lr or S or R) (90 deg</v>
      </c>
      <c r="DW10" s="174">
        <v>1</v>
      </c>
      <c r="DX10" s="174" t="s">
        <v>170</v>
      </c>
      <c r="DY10" s="174"/>
      <c r="DZ10" s="174">
        <v>65</v>
      </c>
      <c r="EA10" s="174">
        <v>1.2</v>
      </c>
      <c r="EB10" s="174">
        <v>5</v>
      </c>
      <c r="EC10" s="174">
        <v>1</v>
      </c>
      <c r="ED10" s="174"/>
      <c r="EE10" s="174"/>
      <c r="EF10" s="174"/>
      <c r="EG10" s="174"/>
      <c r="EH10" s="174"/>
      <c r="EI10" s="174"/>
      <c r="EK10" s="2" t="s">
        <v>379</v>
      </c>
      <c r="EL10" s="2">
        <v>90</v>
      </c>
      <c r="EN10" s="176">
        <v>6</v>
      </c>
      <c r="EO10" s="2" t="s">
        <v>393</v>
      </c>
      <c r="GJ10" s="2" t="s">
        <v>381</v>
      </c>
      <c r="GK10" s="2" t="str">
        <f t="shared" si="16"/>
        <v>1.2D + 1.0W + 1.0G (90 deg)</v>
      </c>
      <c r="GL10" s="184" t="s">
        <v>394</v>
      </c>
    </row>
    <row r="11" spans="1:194" ht="18" customHeight="1" x14ac:dyDescent="0.2">
      <c r="A11" s="165">
        <v>7</v>
      </c>
      <c r="B11" s="170" t="s">
        <v>395</v>
      </c>
      <c r="C11" s="171" t="s">
        <v>374</v>
      </c>
      <c r="D11" s="171"/>
      <c r="E11" s="171"/>
      <c r="F11" s="171"/>
      <c r="G11" s="171"/>
      <c r="H11" s="185">
        <f>COUNTA('Point Load Tables'!$AE$4:$AE$1048576)</f>
        <v>0</v>
      </c>
      <c r="I11" s="185"/>
      <c r="J11" s="185"/>
      <c r="K11" s="171"/>
      <c r="M11" s="176">
        <f t="shared" si="15"/>
        <v>7</v>
      </c>
      <c r="N11" s="170" t="str">
        <f t="shared" si="0"/>
        <v>1.2D + 1.0W  | 120 deg</v>
      </c>
      <c r="O11" s="170" t="b">
        <v>1</v>
      </c>
      <c r="P11" s="170" t="str">
        <f t="shared" si="2"/>
        <v>Y</v>
      </c>
      <c r="Q11" s="170" t="str">
        <f t="shared" si="3"/>
        <v/>
      </c>
      <c r="R11" s="170">
        <f t="shared" si="4"/>
        <v>65</v>
      </c>
      <c r="S11" s="170">
        <f t="shared" si="5"/>
        <v>1.2</v>
      </c>
      <c r="T11" s="170">
        <f t="shared" si="6"/>
        <v>6</v>
      </c>
      <c r="U11" s="170">
        <f t="shared" si="7"/>
        <v>1</v>
      </c>
      <c r="V11" s="170">
        <f t="shared" si="8"/>
        <v>22</v>
      </c>
      <c r="W11" s="170">
        <f t="shared" si="9"/>
        <v>1</v>
      </c>
      <c r="X11" s="170" t="str">
        <f t="shared" si="10"/>
        <v/>
      </c>
      <c r="Y11" s="170" t="str">
        <f t="shared" si="11"/>
        <v/>
      </c>
      <c r="Z11" s="170" t="str">
        <f t="shared" si="12"/>
        <v/>
      </c>
      <c r="AA11" s="170" t="str">
        <f t="shared" si="13"/>
        <v/>
      </c>
      <c r="AC11" s="176">
        <v>7</v>
      </c>
      <c r="AD11" s="170" t="str">
        <f>CONCATENATE("1.2D + ",TEXT(IF(RIGHT(TIA,1)="G",1.6,1),"0.0"),"W  | 120 deg")</f>
        <v>1.2D + 1.0W  | 120 deg</v>
      </c>
      <c r="AE11" s="170" t="b">
        <v>1</v>
      </c>
      <c r="AF11" s="170" t="s">
        <v>170</v>
      </c>
      <c r="AG11" s="170"/>
      <c r="AH11" s="170">
        <v>65</v>
      </c>
      <c r="AI11" s="170">
        <v>1.2</v>
      </c>
      <c r="AJ11" s="170">
        <v>6</v>
      </c>
      <c r="AK11" s="170">
        <v>1</v>
      </c>
      <c r="AL11" s="170">
        <v>22</v>
      </c>
      <c r="AM11" s="170">
        <v>1</v>
      </c>
      <c r="AN11" s="170"/>
      <c r="AO11" s="170"/>
      <c r="AP11" s="170"/>
      <c r="AQ11" s="170"/>
      <c r="AS11" s="176">
        <v>7</v>
      </c>
      <c r="AT11" s="170" t="s">
        <v>1422</v>
      </c>
      <c r="AU11" s="170" t="b">
        <v>1</v>
      </c>
      <c r="AV11" s="170" t="s">
        <v>170</v>
      </c>
      <c r="AW11" s="170"/>
      <c r="AX11" s="170">
        <v>65</v>
      </c>
      <c r="AY11" s="170">
        <v>1.2</v>
      </c>
      <c r="AZ11" s="170">
        <v>6</v>
      </c>
      <c r="BA11" s="170">
        <v>1</v>
      </c>
      <c r="BB11" s="170">
        <v>22</v>
      </c>
      <c r="BC11" s="170">
        <v>1</v>
      </c>
      <c r="BD11" s="170"/>
      <c r="BE11" s="170"/>
      <c r="BF11" s="170"/>
      <c r="BG11" s="170"/>
      <c r="BI11" s="176">
        <v>7</v>
      </c>
      <c r="BJ11" s="170" t="str">
        <f>CONCATENATE("1.2D + ",TEXT(IF(RIGHT(TIA,1)="G",1.6,1),"0.0"),"W  | 120 deg")</f>
        <v>1.2D + 1.0W  | 120 deg</v>
      </c>
      <c r="BK11" s="170" t="b">
        <v>1</v>
      </c>
      <c r="BL11" s="170" t="s">
        <v>170</v>
      </c>
      <c r="BM11" s="170"/>
      <c r="BN11" s="170">
        <v>65</v>
      </c>
      <c r="BO11" s="170">
        <v>1.2</v>
      </c>
      <c r="BP11" s="170">
        <v>6</v>
      </c>
      <c r="BQ11" s="170">
        <v>1</v>
      </c>
      <c r="BR11" s="170">
        <v>22</v>
      </c>
      <c r="BS11" s="170">
        <v>1</v>
      </c>
      <c r="BT11" s="170"/>
      <c r="BU11" s="170"/>
      <c r="BV11" s="170"/>
      <c r="BW11" s="170"/>
      <c r="BY11" s="176">
        <v>7</v>
      </c>
      <c r="BZ11" s="246" t="s">
        <v>1423</v>
      </c>
      <c r="CA11" s="246" t="b">
        <v>1</v>
      </c>
      <c r="CB11" s="246" t="s">
        <v>170</v>
      </c>
      <c r="CC11" s="246"/>
      <c r="CD11" s="246">
        <v>65</v>
      </c>
      <c r="CE11" s="246">
        <v>1</v>
      </c>
      <c r="CF11" s="246">
        <v>6</v>
      </c>
      <c r="CG11" s="246">
        <v>0.6</v>
      </c>
      <c r="CH11" s="246">
        <v>22</v>
      </c>
      <c r="CI11" s="246">
        <v>0.6</v>
      </c>
      <c r="CJ11" s="246"/>
      <c r="CK11" s="246"/>
      <c r="CL11" s="246"/>
      <c r="CM11" s="246"/>
      <c r="CO11" s="176">
        <v>7</v>
      </c>
      <c r="CP11" s="246" t="s">
        <v>1423</v>
      </c>
      <c r="CQ11" s="246" t="b">
        <v>1</v>
      </c>
      <c r="CR11" s="246" t="s">
        <v>170</v>
      </c>
      <c r="CS11" s="246"/>
      <c r="CT11" s="246">
        <v>65</v>
      </c>
      <c r="CU11" s="246">
        <v>1</v>
      </c>
      <c r="CV11" s="246">
        <v>6</v>
      </c>
      <c r="CW11" s="246">
        <v>0.6</v>
      </c>
      <c r="CX11" s="246">
        <v>22</v>
      </c>
      <c r="CY11" s="246">
        <v>0.6</v>
      </c>
      <c r="CZ11" s="246"/>
      <c r="DA11" s="246"/>
      <c r="DB11" s="246"/>
      <c r="DC11" s="246"/>
      <c r="DE11" s="176">
        <v>7</v>
      </c>
      <c r="DF11" s="246" t="s">
        <v>1423</v>
      </c>
      <c r="DG11" s="246" t="b">
        <v>1</v>
      </c>
      <c r="DH11" s="246" t="s">
        <v>170</v>
      </c>
      <c r="DI11" s="246"/>
      <c r="DJ11" s="246">
        <v>65</v>
      </c>
      <c r="DK11" s="246">
        <v>1</v>
      </c>
      <c r="DL11" s="246">
        <v>6</v>
      </c>
      <c r="DM11" s="246">
        <v>0.6</v>
      </c>
      <c r="DN11" s="246">
        <v>22</v>
      </c>
      <c r="DO11" s="246">
        <v>0.6</v>
      </c>
      <c r="DP11" s="246"/>
      <c r="DQ11" s="246"/>
      <c r="DR11" s="246"/>
      <c r="DS11" s="246"/>
      <c r="DU11" s="176">
        <v>7</v>
      </c>
      <c r="DV11" s="170" t="str">
        <f t="shared" si="14"/>
        <v>1.2D + 1.6L + 0.5(Lr or S or R) (120 deg</v>
      </c>
      <c r="DW11" s="170">
        <v>1</v>
      </c>
      <c r="DX11" s="170" t="s">
        <v>170</v>
      </c>
      <c r="DY11" s="170"/>
      <c r="DZ11" s="170">
        <v>65</v>
      </c>
      <c r="EA11" s="170">
        <v>1.2</v>
      </c>
      <c r="EB11" s="170">
        <v>6</v>
      </c>
      <c r="EC11" s="170">
        <v>1</v>
      </c>
      <c r="ED11" s="170"/>
      <c r="EE11" s="170"/>
      <c r="EF11" s="170"/>
      <c r="EG11" s="170"/>
      <c r="EH11" s="170"/>
      <c r="EI11" s="170"/>
      <c r="EK11" s="2" t="s">
        <v>379</v>
      </c>
      <c r="EL11" s="2">
        <v>120</v>
      </c>
      <c r="EN11" s="176">
        <v>7</v>
      </c>
      <c r="EO11" s="2" t="s">
        <v>396</v>
      </c>
      <c r="GJ11" s="2" t="s">
        <v>381</v>
      </c>
      <c r="GK11" s="2" t="str">
        <f t="shared" si="16"/>
        <v>1.2D + 1.0W + 1.0G (120 deg)</v>
      </c>
      <c r="GL11" s="184" t="s">
        <v>397</v>
      </c>
    </row>
    <row r="12" spans="1:194" ht="18" customHeight="1" x14ac:dyDescent="0.2">
      <c r="A12" s="165">
        <v>8</v>
      </c>
      <c r="B12" s="174" t="s">
        <v>398</v>
      </c>
      <c r="C12" s="174" t="s">
        <v>374</v>
      </c>
      <c r="D12" s="174"/>
      <c r="E12" s="174"/>
      <c r="F12" s="174"/>
      <c r="G12" s="174"/>
      <c r="H12" s="186">
        <f>COUNTA('Point Load Tables'!$AJ$4:$AJ$1048576)</f>
        <v>0</v>
      </c>
      <c r="I12" s="186"/>
      <c r="J12" s="186"/>
      <c r="K12" s="174"/>
      <c r="M12" s="176">
        <f t="shared" si="15"/>
        <v>8</v>
      </c>
      <c r="N12" s="174" t="str">
        <f t="shared" si="0"/>
        <v>1.2D + 1.0W  | 135 deg</v>
      </c>
      <c r="O12" s="174" t="b">
        <v>1</v>
      </c>
      <c r="P12" s="174" t="str">
        <f t="shared" si="2"/>
        <v>Y</v>
      </c>
      <c r="Q12" s="174" t="str">
        <f t="shared" si="3"/>
        <v/>
      </c>
      <c r="R12" s="174">
        <f t="shared" si="4"/>
        <v>65</v>
      </c>
      <c r="S12" s="174">
        <f t="shared" si="5"/>
        <v>1.2</v>
      </c>
      <c r="T12" s="174">
        <f t="shared" si="6"/>
        <v>7</v>
      </c>
      <c r="U12" s="174">
        <f t="shared" si="7"/>
        <v>1</v>
      </c>
      <c r="V12" s="174">
        <f t="shared" si="8"/>
        <v>23</v>
      </c>
      <c r="W12" s="174">
        <f t="shared" si="9"/>
        <v>1</v>
      </c>
      <c r="X12" s="174" t="str">
        <f t="shared" si="10"/>
        <v/>
      </c>
      <c r="Y12" s="174" t="str">
        <f t="shared" si="11"/>
        <v/>
      </c>
      <c r="Z12" s="174" t="str">
        <f t="shared" si="12"/>
        <v/>
      </c>
      <c r="AA12" s="174" t="str">
        <f t="shared" si="13"/>
        <v/>
      </c>
      <c r="AC12" s="176">
        <v>8</v>
      </c>
      <c r="AD12" s="174" t="str">
        <f>CONCATENATE("1.2D + ",TEXT(IF(RIGHT(TIA,1)="G",1.6,1),"0.0"),"W  | 135 deg")</f>
        <v>1.2D + 1.0W  | 135 deg</v>
      </c>
      <c r="AE12" s="174" t="b">
        <v>1</v>
      </c>
      <c r="AF12" s="174" t="s">
        <v>170</v>
      </c>
      <c r="AG12" s="174"/>
      <c r="AH12" s="174">
        <v>65</v>
      </c>
      <c r="AI12" s="174">
        <v>1.2</v>
      </c>
      <c r="AJ12" s="174">
        <v>7</v>
      </c>
      <c r="AK12" s="174">
        <v>1</v>
      </c>
      <c r="AL12" s="174">
        <v>23</v>
      </c>
      <c r="AM12" s="174">
        <v>1</v>
      </c>
      <c r="AN12" s="174"/>
      <c r="AO12" s="174"/>
      <c r="AP12" s="174"/>
      <c r="AQ12" s="174"/>
      <c r="AS12" s="176">
        <v>8</v>
      </c>
      <c r="AT12" s="174" t="s">
        <v>1424</v>
      </c>
      <c r="AU12" s="174"/>
      <c r="AV12" s="174" t="s">
        <v>170</v>
      </c>
      <c r="AW12" s="174"/>
      <c r="AX12" s="174">
        <v>65</v>
      </c>
      <c r="AY12" s="174">
        <v>1.2</v>
      </c>
      <c r="AZ12" s="174">
        <v>7</v>
      </c>
      <c r="BA12" s="174">
        <v>1</v>
      </c>
      <c r="BB12" s="174">
        <v>23</v>
      </c>
      <c r="BC12" s="174">
        <v>1</v>
      </c>
      <c r="BD12" s="174"/>
      <c r="BE12" s="174"/>
      <c r="BF12" s="174"/>
      <c r="BG12" s="174"/>
      <c r="BI12" s="176">
        <v>8</v>
      </c>
      <c r="BJ12" s="174" t="str">
        <f>CONCATENATE("1.2D + ",TEXT(IF(RIGHT(TIA,1)="G",1.6,1),"0.0"),"W  | 135 deg")</f>
        <v>1.2D + 1.0W  | 135 deg</v>
      </c>
      <c r="BK12" s="174" t="b">
        <v>1</v>
      </c>
      <c r="BL12" s="174" t="s">
        <v>170</v>
      </c>
      <c r="BM12" s="174"/>
      <c r="BN12" s="174">
        <v>65</v>
      </c>
      <c r="BO12" s="174">
        <v>1.2</v>
      </c>
      <c r="BP12" s="174">
        <v>7</v>
      </c>
      <c r="BQ12" s="174">
        <v>1</v>
      </c>
      <c r="BR12" s="174">
        <v>23</v>
      </c>
      <c r="BS12" s="174">
        <v>1</v>
      </c>
      <c r="BT12" s="174"/>
      <c r="BU12" s="174"/>
      <c r="BV12" s="174"/>
      <c r="BW12" s="174"/>
      <c r="BY12" s="176">
        <v>8</v>
      </c>
      <c r="BZ12" s="249" t="s">
        <v>1425</v>
      </c>
      <c r="CA12" s="249" t="b">
        <v>1</v>
      </c>
      <c r="CB12" s="249" t="s">
        <v>170</v>
      </c>
      <c r="CC12" s="249"/>
      <c r="CD12" s="249">
        <v>65</v>
      </c>
      <c r="CE12" s="249">
        <v>1</v>
      </c>
      <c r="CF12" s="249">
        <v>7</v>
      </c>
      <c r="CG12" s="249">
        <v>0.6</v>
      </c>
      <c r="CH12" s="249">
        <v>23</v>
      </c>
      <c r="CI12" s="249">
        <v>0.6</v>
      </c>
      <c r="CJ12" s="249"/>
      <c r="CK12" s="249"/>
      <c r="CL12" s="249"/>
      <c r="CM12" s="249"/>
      <c r="CO12" s="176">
        <v>8</v>
      </c>
      <c r="CP12" s="249" t="s">
        <v>1425</v>
      </c>
      <c r="CQ12" s="249" t="b">
        <v>1</v>
      </c>
      <c r="CR12" s="249" t="s">
        <v>170</v>
      </c>
      <c r="CS12" s="249"/>
      <c r="CT12" s="249">
        <v>65</v>
      </c>
      <c r="CU12" s="249">
        <v>1</v>
      </c>
      <c r="CV12" s="249">
        <v>7</v>
      </c>
      <c r="CW12" s="249">
        <v>0.6</v>
      </c>
      <c r="CX12" s="249">
        <v>23</v>
      </c>
      <c r="CY12" s="249">
        <v>0.6</v>
      </c>
      <c r="CZ12" s="249"/>
      <c r="DA12" s="249"/>
      <c r="DB12" s="249"/>
      <c r="DC12" s="249"/>
      <c r="DE12" s="176">
        <v>8</v>
      </c>
      <c r="DF12" s="249" t="s">
        <v>1425</v>
      </c>
      <c r="DG12" s="249" t="b">
        <v>1</v>
      </c>
      <c r="DH12" s="249" t="s">
        <v>170</v>
      </c>
      <c r="DI12" s="249"/>
      <c r="DJ12" s="249">
        <v>65</v>
      </c>
      <c r="DK12" s="249">
        <v>1</v>
      </c>
      <c r="DL12" s="249">
        <v>7</v>
      </c>
      <c r="DM12" s="249">
        <v>0.6</v>
      </c>
      <c r="DN12" s="249">
        <v>23</v>
      </c>
      <c r="DO12" s="249">
        <v>0.6</v>
      </c>
      <c r="DP12" s="249"/>
      <c r="DQ12" s="249"/>
      <c r="DR12" s="249"/>
      <c r="DS12" s="249"/>
      <c r="DU12" s="176">
        <v>8</v>
      </c>
      <c r="DV12" s="174" t="str">
        <f t="shared" si="14"/>
        <v>1.2D + 1.6L + 0.5(Lr or S or R) (135 deg</v>
      </c>
      <c r="DW12" s="174">
        <v>1</v>
      </c>
      <c r="DX12" s="174" t="s">
        <v>170</v>
      </c>
      <c r="DY12" s="174"/>
      <c r="DZ12" s="174">
        <v>65</v>
      </c>
      <c r="EA12" s="174">
        <v>1.2</v>
      </c>
      <c r="EB12" s="174">
        <v>7</v>
      </c>
      <c r="EC12" s="174">
        <v>1</v>
      </c>
      <c r="ED12" s="174"/>
      <c r="EE12" s="174"/>
      <c r="EF12" s="174"/>
      <c r="EG12" s="174"/>
      <c r="EH12" s="174"/>
      <c r="EI12" s="174"/>
      <c r="EK12" s="2" t="s">
        <v>379</v>
      </c>
      <c r="EL12" s="2">
        <v>135</v>
      </c>
      <c r="EN12" s="176">
        <v>8</v>
      </c>
      <c r="GJ12" s="2" t="s">
        <v>381</v>
      </c>
      <c r="GK12" s="2" t="str">
        <f t="shared" si="16"/>
        <v>1.2D + 1.0W + 1.0G (135 deg)</v>
      </c>
      <c r="GL12" s="184" t="s">
        <v>399</v>
      </c>
    </row>
    <row r="13" spans="1:194" ht="18" customHeight="1" x14ac:dyDescent="0.2">
      <c r="A13" s="165">
        <v>9</v>
      </c>
      <c r="B13" s="170" t="s">
        <v>400</v>
      </c>
      <c r="C13" s="171" t="s">
        <v>374</v>
      </c>
      <c r="D13" s="171"/>
      <c r="E13" s="171"/>
      <c r="F13" s="171"/>
      <c r="G13" s="171"/>
      <c r="H13" s="185">
        <f>COUNTA('Point Load Tables'!$AO$4:$AO$1048576)</f>
        <v>0</v>
      </c>
      <c r="I13" s="185"/>
      <c r="J13" s="185"/>
      <c r="K13" s="171"/>
      <c r="M13" s="176">
        <f t="shared" si="15"/>
        <v>9</v>
      </c>
      <c r="N13" s="170" t="str">
        <f t="shared" si="0"/>
        <v>1.2D + 1.0W  | 150 deg</v>
      </c>
      <c r="O13" s="170" t="b">
        <v>1</v>
      </c>
      <c r="P13" s="170" t="str">
        <f t="shared" si="2"/>
        <v>Y</v>
      </c>
      <c r="Q13" s="170" t="str">
        <f t="shared" si="3"/>
        <v/>
      </c>
      <c r="R13" s="170">
        <f t="shared" si="4"/>
        <v>65</v>
      </c>
      <c r="S13" s="170">
        <f t="shared" si="5"/>
        <v>1.2</v>
      </c>
      <c r="T13" s="170">
        <f t="shared" si="6"/>
        <v>8</v>
      </c>
      <c r="U13" s="170">
        <f t="shared" si="7"/>
        <v>1</v>
      </c>
      <c r="V13" s="170">
        <f t="shared" si="8"/>
        <v>24</v>
      </c>
      <c r="W13" s="170">
        <f t="shared" si="9"/>
        <v>1</v>
      </c>
      <c r="X13" s="170" t="str">
        <f t="shared" si="10"/>
        <v/>
      </c>
      <c r="Y13" s="170" t="str">
        <f t="shared" si="11"/>
        <v/>
      </c>
      <c r="Z13" s="170" t="str">
        <f t="shared" si="12"/>
        <v/>
      </c>
      <c r="AA13" s="170" t="str">
        <f t="shared" si="13"/>
        <v/>
      </c>
      <c r="AC13" s="176">
        <v>9</v>
      </c>
      <c r="AD13" s="170" t="str">
        <f>CONCATENATE("1.2D + ",TEXT(IF(RIGHT(TIA,1)="G",1.6,1),"0.0"),"W  | 150 deg")</f>
        <v>1.2D + 1.0W  | 150 deg</v>
      </c>
      <c r="AE13" s="170" t="b">
        <v>1</v>
      </c>
      <c r="AF13" s="170" t="s">
        <v>170</v>
      </c>
      <c r="AG13" s="170"/>
      <c r="AH13" s="170">
        <v>65</v>
      </c>
      <c r="AI13" s="170">
        <v>1.2</v>
      </c>
      <c r="AJ13" s="170">
        <v>8</v>
      </c>
      <c r="AK13" s="170">
        <v>1</v>
      </c>
      <c r="AL13" s="170">
        <v>24</v>
      </c>
      <c r="AM13" s="170">
        <v>1</v>
      </c>
      <c r="AN13" s="170"/>
      <c r="AO13" s="170"/>
      <c r="AP13" s="170"/>
      <c r="AQ13" s="170"/>
      <c r="AS13" s="176">
        <v>9</v>
      </c>
      <c r="AT13" s="170" t="s">
        <v>1426</v>
      </c>
      <c r="AU13" s="170" t="b">
        <v>1</v>
      </c>
      <c r="AV13" s="170" t="s">
        <v>170</v>
      </c>
      <c r="AW13" s="170"/>
      <c r="AX13" s="170">
        <v>65</v>
      </c>
      <c r="AY13" s="170">
        <v>1.2</v>
      </c>
      <c r="AZ13" s="170">
        <v>8</v>
      </c>
      <c r="BA13" s="170">
        <v>1</v>
      </c>
      <c r="BB13" s="170">
        <v>24</v>
      </c>
      <c r="BC13" s="170">
        <v>1</v>
      </c>
      <c r="BD13" s="170"/>
      <c r="BE13" s="170"/>
      <c r="BF13" s="170"/>
      <c r="BG13" s="170"/>
      <c r="BI13" s="176">
        <v>9</v>
      </c>
      <c r="BJ13" s="170" t="str">
        <f>CONCATENATE("1.2D + ",TEXT(IF(RIGHT(TIA,1)="G",1.6,1),"0.0"),"W  | 150 deg")</f>
        <v>1.2D + 1.0W  | 150 deg</v>
      </c>
      <c r="BK13" s="170" t="b">
        <v>1</v>
      </c>
      <c r="BL13" s="170" t="s">
        <v>170</v>
      </c>
      <c r="BM13" s="170"/>
      <c r="BN13" s="170">
        <v>65</v>
      </c>
      <c r="BO13" s="170">
        <v>1.2</v>
      </c>
      <c r="BP13" s="170">
        <v>8</v>
      </c>
      <c r="BQ13" s="170">
        <v>1</v>
      </c>
      <c r="BR13" s="170">
        <v>24</v>
      </c>
      <c r="BS13" s="170">
        <v>1</v>
      </c>
      <c r="BT13" s="170"/>
      <c r="BU13" s="170"/>
      <c r="BV13" s="170"/>
      <c r="BW13" s="170"/>
      <c r="BY13" s="176">
        <v>9</v>
      </c>
      <c r="BZ13" s="246" t="s">
        <v>1427</v>
      </c>
      <c r="CA13" s="246" t="b">
        <v>1</v>
      </c>
      <c r="CB13" s="246" t="s">
        <v>170</v>
      </c>
      <c r="CC13" s="246"/>
      <c r="CD13" s="246">
        <v>65</v>
      </c>
      <c r="CE13" s="246">
        <v>1</v>
      </c>
      <c r="CF13" s="246">
        <v>8</v>
      </c>
      <c r="CG13" s="246">
        <v>0.6</v>
      </c>
      <c r="CH13" s="246">
        <v>24</v>
      </c>
      <c r="CI13" s="246">
        <v>0.6</v>
      </c>
      <c r="CJ13" s="246"/>
      <c r="CK13" s="246"/>
      <c r="CL13" s="246"/>
      <c r="CM13" s="246"/>
      <c r="CO13" s="176">
        <v>9</v>
      </c>
      <c r="CP13" s="246" t="s">
        <v>1427</v>
      </c>
      <c r="CQ13" s="246" t="b">
        <v>1</v>
      </c>
      <c r="CR13" s="246" t="s">
        <v>170</v>
      </c>
      <c r="CS13" s="246"/>
      <c r="CT13" s="246">
        <v>65</v>
      </c>
      <c r="CU13" s="246">
        <v>1</v>
      </c>
      <c r="CV13" s="246">
        <v>8</v>
      </c>
      <c r="CW13" s="246">
        <v>0.6</v>
      </c>
      <c r="CX13" s="246">
        <v>24</v>
      </c>
      <c r="CY13" s="246">
        <v>0.6</v>
      </c>
      <c r="CZ13" s="246"/>
      <c r="DA13" s="246"/>
      <c r="DB13" s="246"/>
      <c r="DC13" s="246"/>
      <c r="DE13" s="176">
        <v>9</v>
      </c>
      <c r="DF13" s="246" t="s">
        <v>1427</v>
      </c>
      <c r="DG13" s="246" t="b">
        <v>1</v>
      </c>
      <c r="DH13" s="246" t="s">
        <v>170</v>
      </c>
      <c r="DI13" s="246"/>
      <c r="DJ13" s="246">
        <v>65</v>
      </c>
      <c r="DK13" s="246">
        <v>1</v>
      </c>
      <c r="DL13" s="246">
        <v>8</v>
      </c>
      <c r="DM13" s="246">
        <v>0.6</v>
      </c>
      <c r="DN13" s="246">
        <v>24</v>
      </c>
      <c r="DO13" s="246">
        <v>0.6</v>
      </c>
      <c r="DP13" s="246"/>
      <c r="DQ13" s="246"/>
      <c r="DR13" s="246"/>
      <c r="DS13" s="246"/>
      <c r="DU13" s="176">
        <v>9</v>
      </c>
      <c r="DV13" s="170" t="str">
        <f t="shared" si="14"/>
        <v>1.2D + 1.6L + 0.5(Lr or S or R) (150 deg</v>
      </c>
      <c r="DW13" s="170">
        <v>1</v>
      </c>
      <c r="DX13" s="170" t="s">
        <v>170</v>
      </c>
      <c r="DY13" s="170"/>
      <c r="DZ13" s="170">
        <v>65</v>
      </c>
      <c r="EA13" s="170">
        <v>1.2</v>
      </c>
      <c r="EB13" s="170">
        <v>8</v>
      </c>
      <c r="EC13" s="170">
        <v>1</v>
      </c>
      <c r="ED13" s="170"/>
      <c r="EE13" s="170"/>
      <c r="EF13" s="170"/>
      <c r="EG13" s="170"/>
      <c r="EH13" s="170"/>
      <c r="EI13" s="170"/>
      <c r="EK13" s="2" t="s">
        <v>379</v>
      </c>
      <c r="EL13" s="2">
        <v>150</v>
      </c>
      <c r="EN13" s="176">
        <v>9</v>
      </c>
      <c r="GJ13" s="2" t="s">
        <v>381</v>
      </c>
      <c r="GK13" s="2" t="str">
        <f t="shared" si="16"/>
        <v>1.2D + 1.0W + 1.0G (150 deg)</v>
      </c>
      <c r="GL13" s="184" t="s">
        <v>401</v>
      </c>
    </row>
    <row r="14" spans="1:194" ht="18" customHeight="1" x14ac:dyDescent="0.2">
      <c r="A14" s="165">
        <v>10</v>
      </c>
      <c r="B14" s="174" t="s">
        <v>402</v>
      </c>
      <c r="C14" s="174" t="s">
        <v>374</v>
      </c>
      <c r="D14" s="174"/>
      <c r="E14" s="174"/>
      <c r="F14" s="174"/>
      <c r="G14" s="174"/>
      <c r="H14" s="186">
        <f>COUNTA('Point Load Tables'!$AT$4:$AT$1048576)</f>
        <v>0</v>
      </c>
      <c r="I14" s="186"/>
      <c r="J14" s="186"/>
      <c r="K14" s="174"/>
      <c r="M14" s="176">
        <f t="shared" si="15"/>
        <v>10</v>
      </c>
      <c r="N14" s="174" t="str">
        <f t="shared" si="0"/>
        <v>1.2D + 1.0W  | 180 deg</v>
      </c>
      <c r="O14" s="174" t="b">
        <v>1</v>
      </c>
      <c r="P14" s="174" t="str">
        <f t="shared" si="2"/>
        <v>Y</v>
      </c>
      <c r="Q14" s="174" t="str">
        <f t="shared" si="3"/>
        <v/>
      </c>
      <c r="R14" s="174">
        <f t="shared" si="4"/>
        <v>65</v>
      </c>
      <c r="S14" s="174">
        <f t="shared" si="5"/>
        <v>1.2</v>
      </c>
      <c r="T14" s="174">
        <f t="shared" si="6"/>
        <v>9</v>
      </c>
      <c r="U14" s="174">
        <f t="shared" si="7"/>
        <v>1</v>
      </c>
      <c r="V14" s="174">
        <f t="shared" si="8"/>
        <v>25</v>
      </c>
      <c r="W14" s="174">
        <f t="shared" si="9"/>
        <v>1</v>
      </c>
      <c r="X14" s="174" t="str">
        <f t="shared" si="10"/>
        <v/>
      </c>
      <c r="Y14" s="174" t="str">
        <f t="shared" si="11"/>
        <v/>
      </c>
      <c r="Z14" s="174" t="str">
        <f t="shared" si="12"/>
        <v/>
      </c>
      <c r="AA14" s="174" t="str">
        <f t="shared" si="13"/>
        <v/>
      </c>
      <c r="AC14" s="176">
        <v>10</v>
      </c>
      <c r="AD14" s="174" t="str">
        <f>CONCATENATE("1.2D + ",TEXT(IF(RIGHT(TIA,1)="G",1.6,1),"0.0"),"W  | 180 deg")</f>
        <v>1.2D + 1.0W  | 180 deg</v>
      </c>
      <c r="AE14" s="174" t="b">
        <v>1</v>
      </c>
      <c r="AF14" s="174" t="s">
        <v>170</v>
      </c>
      <c r="AG14" s="174"/>
      <c r="AH14" s="174">
        <v>65</v>
      </c>
      <c r="AI14" s="174">
        <v>1.2</v>
      </c>
      <c r="AJ14" s="174">
        <v>9</v>
      </c>
      <c r="AK14" s="174">
        <v>1</v>
      </c>
      <c r="AL14" s="174">
        <v>25</v>
      </c>
      <c r="AM14" s="174">
        <v>1</v>
      </c>
      <c r="AN14" s="174"/>
      <c r="AO14" s="174"/>
      <c r="AP14" s="174"/>
      <c r="AQ14" s="174"/>
      <c r="AS14" s="176">
        <v>10</v>
      </c>
      <c r="AT14" s="174" t="s">
        <v>1428</v>
      </c>
      <c r="AU14" s="174" t="b">
        <v>1</v>
      </c>
      <c r="AV14" s="174" t="s">
        <v>170</v>
      </c>
      <c r="AW14" s="174"/>
      <c r="AX14" s="174">
        <v>65</v>
      </c>
      <c r="AY14" s="174">
        <v>1.2</v>
      </c>
      <c r="AZ14" s="174">
        <v>9</v>
      </c>
      <c r="BA14" s="174">
        <v>1</v>
      </c>
      <c r="BB14" s="174">
        <v>25</v>
      </c>
      <c r="BC14" s="174">
        <v>1</v>
      </c>
      <c r="BD14" s="174"/>
      <c r="BE14" s="174"/>
      <c r="BF14" s="174"/>
      <c r="BG14" s="174"/>
      <c r="BI14" s="176">
        <v>10</v>
      </c>
      <c r="BJ14" s="174" t="str">
        <f>CONCATENATE("1.2D + ",TEXT(IF(RIGHT(TIA,1)="G",1.6,1),"0.0"),"W  | 180 deg")</f>
        <v>1.2D + 1.0W  | 180 deg</v>
      </c>
      <c r="BK14" s="174" t="b">
        <v>1</v>
      </c>
      <c r="BL14" s="174" t="s">
        <v>170</v>
      </c>
      <c r="BM14" s="174"/>
      <c r="BN14" s="174">
        <v>65</v>
      </c>
      <c r="BO14" s="174">
        <v>1.2</v>
      </c>
      <c r="BP14" s="174">
        <v>9</v>
      </c>
      <c r="BQ14" s="174">
        <v>1</v>
      </c>
      <c r="BR14" s="174">
        <v>25</v>
      </c>
      <c r="BS14" s="174">
        <v>1</v>
      </c>
      <c r="BT14" s="174"/>
      <c r="BU14" s="174"/>
      <c r="BV14" s="174"/>
      <c r="BW14" s="174"/>
      <c r="BY14" s="176">
        <v>10</v>
      </c>
      <c r="BZ14" s="249" t="s">
        <v>1429</v>
      </c>
      <c r="CA14" s="249" t="b">
        <v>1</v>
      </c>
      <c r="CB14" s="249" t="s">
        <v>170</v>
      </c>
      <c r="CC14" s="249"/>
      <c r="CD14" s="249">
        <v>65</v>
      </c>
      <c r="CE14" s="249">
        <v>1</v>
      </c>
      <c r="CF14" s="249">
        <v>9</v>
      </c>
      <c r="CG14" s="249">
        <v>0.6</v>
      </c>
      <c r="CH14" s="249">
        <v>25</v>
      </c>
      <c r="CI14" s="249">
        <v>0.6</v>
      </c>
      <c r="CJ14" s="249"/>
      <c r="CK14" s="249"/>
      <c r="CL14" s="249"/>
      <c r="CM14" s="249"/>
      <c r="CO14" s="176">
        <v>10</v>
      </c>
      <c r="CP14" s="249" t="s">
        <v>1429</v>
      </c>
      <c r="CQ14" s="249" t="b">
        <v>1</v>
      </c>
      <c r="CR14" s="249" t="s">
        <v>170</v>
      </c>
      <c r="CS14" s="249"/>
      <c r="CT14" s="249">
        <v>65</v>
      </c>
      <c r="CU14" s="249">
        <v>1</v>
      </c>
      <c r="CV14" s="249">
        <v>9</v>
      </c>
      <c r="CW14" s="249">
        <v>0.6</v>
      </c>
      <c r="CX14" s="249">
        <v>25</v>
      </c>
      <c r="CY14" s="249">
        <v>0.6</v>
      </c>
      <c r="CZ14" s="249"/>
      <c r="DA14" s="249"/>
      <c r="DB14" s="249"/>
      <c r="DC14" s="249"/>
      <c r="DE14" s="176">
        <v>10</v>
      </c>
      <c r="DF14" s="249" t="s">
        <v>1429</v>
      </c>
      <c r="DG14" s="249" t="b">
        <v>1</v>
      </c>
      <c r="DH14" s="249" t="s">
        <v>170</v>
      </c>
      <c r="DI14" s="249"/>
      <c r="DJ14" s="249">
        <v>65</v>
      </c>
      <c r="DK14" s="249">
        <v>1</v>
      </c>
      <c r="DL14" s="249">
        <v>9</v>
      </c>
      <c r="DM14" s="249">
        <v>0.6</v>
      </c>
      <c r="DN14" s="249">
        <v>25</v>
      </c>
      <c r="DO14" s="249">
        <v>0.6</v>
      </c>
      <c r="DP14" s="249"/>
      <c r="DQ14" s="249"/>
      <c r="DR14" s="249"/>
      <c r="DS14" s="249"/>
      <c r="DU14" s="176">
        <v>10</v>
      </c>
      <c r="DV14" s="174" t="str">
        <f t="shared" si="14"/>
        <v>1.2D + 1.6L + 0.5(Lr or S or R) (180 deg</v>
      </c>
      <c r="DW14" s="174">
        <v>1</v>
      </c>
      <c r="DX14" s="174" t="s">
        <v>170</v>
      </c>
      <c r="DY14" s="174"/>
      <c r="DZ14" s="174">
        <v>65</v>
      </c>
      <c r="EA14" s="174">
        <v>1.2</v>
      </c>
      <c r="EB14" s="174">
        <v>9</v>
      </c>
      <c r="EC14" s="174">
        <v>1</v>
      </c>
      <c r="ED14" s="174"/>
      <c r="EE14" s="174"/>
      <c r="EF14" s="174"/>
      <c r="EG14" s="174"/>
      <c r="EH14" s="174"/>
      <c r="EI14" s="174"/>
      <c r="EK14" s="2" t="s">
        <v>379</v>
      </c>
      <c r="EL14" s="2">
        <v>180</v>
      </c>
      <c r="EN14" s="176">
        <v>10</v>
      </c>
      <c r="GJ14" s="2" t="s">
        <v>381</v>
      </c>
      <c r="GK14" s="2" t="str">
        <f t="shared" si="16"/>
        <v>1.2D + 1.0W + 1.0G (180 deg)</v>
      </c>
      <c r="GL14" s="184" t="s">
        <v>403</v>
      </c>
    </row>
    <row r="15" spans="1:194" ht="18" customHeight="1" x14ac:dyDescent="0.2">
      <c r="A15" s="165">
        <v>11</v>
      </c>
      <c r="B15" s="170" t="s">
        <v>404</v>
      </c>
      <c r="C15" s="171" t="s">
        <v>374</v>
      </c>
      <c r="D15" s="171"/>
      <c r="E15" s="171"/>
      <c r="F15" s="171"/>
      <c r="G15" s="171"/>
      <c r="H15" s="185">
        <f>COUNTA('Point Load Tables'!$AY$4:$AY$1048576)</f>
        <v>0</v>
      </c>
      <c r="I15" s="185"/>
      <c r="J15" s="185"/>
      <c r="K15" s="171"/>
      <c r="M15" s="176">
        <f t="shared" si="15"/>
        <v>11</v>
      </c>
      <c r="N15" s="170" t="str">
        <f t="shared" si="0"/>
        <v>1.2D + 1.0W  | 210 deg</v>
      </c>
      <c r="O15" s="170" t="b">
        <v>1</v>
      </c>
      <c r="P15" s="170" t="str">
        <f t="shared" si="2"/>
        <v>Y</v>
      </c>
      <c r="Q15" s="170" t="str">
        <f t="shared" si="3"/>
        <v/>
      </c>
      <c r="R15" s="170">
        <f t="shared" si="4"/>
        <v>65</v>
      </c>
      <c r="S15" s="170">
        <f t="shared" si="5"/>
        <v>1.2</v>
      </c>
      <c r="T15" s="170">
        <f t="shared" si="6"/>
        <v>10</v>
      </c>
      <c r="U15" s="170">
        <f t="shared" si="7"/>
        <v>1</v>
      </c>
      <c r="V15" s="170">
        <f t="shared" si="8"/>
        <v>26</v>
      </c>
      <c r="W15" s="170">
        <f t="shared" si="9"/>
        <v>1</v>
      </c>
      <c r="X15" s="170" t="str">
        <f t="shared" si="10"/>
        <v/>
      </c>
      <c r="Y15" s="170" t="str">
        <f t="shared" si="11"/>
        <v/>
      </c>
      <c r="Z15" s="170" t="str">
        <f t="shared" si="12"/>
        <v/>
      </c>
      <c r="AA15" s="170" t="str">
        <f t="shared" si="13"/>
        <v/>
      </c>
      <c r="AC15" s="176">
        <v>11</v>
      </c>
      <c r="AD15" s="170" t="str">
        <f>CONCATENATE("1.2D + ",TEXT(IF(RIGHT(TIA,1)="G",1.6,1),"0.0"),"W  | 210 deg")</f>
        <v>1.2D + 1.0W  | 210 deg</v>
      </c>
      <c r="AE15" s="170" t="b">
        <v>1</v>
      </c>
      <c r="AF15" s="170" t="s">
        <v>170</v>
      </c>
      <c r="AG15" s="170"/>
      <c r="AH15" s="170">
        <v>65</v>
      </c>
      <c r="AI15" s="170">
        <v>1.2</v>
      </c>
      <c r="AJ15" s="170">
        <v>10</v>
      </c>
      <c r="AK15" s="170">
        <v>1</v>
      </c>
      <c r="AL15" s="170">
        <v>26</v>
      </c>
      <c r="AM15" s="170">
        <v>1</v>
      </c>
      <c r="AN15" s="170"/>
      <c r="AO15" s="170"/>
      <c r="AP15" s="170"/>
      <c r="AQ15" s="170"/>
      <c r="AS15" s="176">
        <v>11</v>
      </c>
      <c r="AT15" s="170" t="s">
        <v>1518</v>
      </c>
      <c r="AU15" s="170" t="b">
        <v>1</v>
      </c>
      <c r="AV15" s="170" t="s">
        <v>170</v>
      </c>
      <c r="AW15" s="170"/>
      <c r="AX15" s="170">
        <v>65</v>
      </c>
      <c r="AY15" s="170">
        <v>1.2</v>
      </c>
      <c r="AZ15" s="170">
        <v>10</v>
      </c>
      <c r="BA15" s="170">
        <v>1</v>
      </c>
      <c r="BB15" s="170">
        <v>26</v>
      </c>
      <c r="BC15" s="170">
        <v>1</v>
      </c>
      <c r="BD15" s="170"/>
      <c r="BE15" s="170"/>
      <c r="BF15" s="170"/>
      <c r="BG15" s="170"/>
      <c r="BI15" s="176">
        <v>11</v>
      </c>
      <c r="BJ15" s="170" t="str">
        <f>CONCATENATE("1.2D + ",TEXT(IF(RIGHT(TIA,1)="G",1.6,1),"0.0"),"W  | 210 deg")</f>
        <v>1.2D + 1.0W  | 210 deg</v>
      </c>
      <c r="BK15" s="170" t="b">
        <v>1</v>
      </c>
      <c r="BL15" s="170" t="s">
        <v>170</v>
      </c>
      <c r="BM15" s="170"/>
      <c r="BN15" s="170">
        <v>65</v>
      </c>
      <c r="BO15" s="170">
        <v>1.2</v>
      </c>
      <c r="BP15" s="170">
        <v>10</v>
      </c>
      <c r="BQ15" s="170">
        <v>1</v>
      </c>
      <c r="BR15" s="170">
        <v>26</v>
      </c>
      <c r="BS15" s="170">
        <v>1</v>
      </c>
      <c r="BT15" s="170"/>
      <c r="BU15" s="170"/>
      <c r="BV15" s="170"/>
      <c r="BW15" s="170"/>
      <c r="BY15" s="176">
        <v>11</v>
      </c>
      <c r="BZ15" s="246" t="s">
        <v>1519</v>
      </c>
      <c r="CA15" s="246" t="b">
        <v>1</v>
      </c>
      <c r="CB15" s="246" t="s">
        <v>170</v>
      </c>
      <c r="CC15" s="246"/>
      <c r="CD15" s="246">
        <v>65</v>
      </c>
      <c r="CE15" s="246">
        <v>1</v>
      </c>
      <c r="CF15" s="246">
        <v>10</v>
      </c>
      <c r="CG15" s="246">
        <v>0.6</v>
      </c>
      <c r="CH15" s="246">
        <v>26</v>
      </c>
      <c r="CI15" s="246">
        <v>0.6</v>
      </c>
      <c r="CJ15" s="246"/>
      <c r="CK15" s="246"/>
      <c r="CL15" s="246"/>
      <c r="CM15" s="246"/>
      <c r="CO15" s="176">
        <v>11</v>
      </c>
      <c r="CP15" s="246" t="s">
        <v>1519</v>
      </c>
      <c r="CQ15" s="246" t="b">
        <v>1</v>
      </c>
      <c r="CR15" s="246" t="s">
        <v>170</v>
      </c>
      <c r="CS15" s="246"/>
      <c r="CT15" s="246">
        <v>65</v>
      </c>
      <c r="CU15" s="246">
        <v>1</v>
      </c>
      <c r="CV15" s="246">
        <v>10</v>
      </c>
      <c r="CW15" s="246">
        <v>0.6</v>
      </c>
      <c r="CX15" s="246">
        <v>26</v>
      </c>
      <c r="CY15" s="246">
        <v>0.6</v>
      </c>
      <c r="CZ15" s="246"/>
      <c r="DA15" s="246"/>
      <c r="DB15" s="246"/>
      <c r="DC15" s="246"/>
      <c r="DE15" s="176">
        <v>11</v>
      </c>
      <c r="DF15" s="246" t="s">
        <v>1519</v>
      </c>
      <c r="DG15" s="246" t="b">
        <v>1</v>
      </c>
      <c r="DH15" s="246" t="s">
        <v>170</v>
      </c>
      <c r="DI15" s="246"/>
      <c r="DJ15" s="246">
        <v>65</v>
      </c>
      <c r="DK15" s="246">
        <v>1</v>
      </c>
      <c r="DL15" s="246">
        <v>10</v>
      </c>
      <c r="DM15" s="246">
        <v>0.6</v>
      </c>
      <c r="DN15" s="246">
        <v>26</v>
      </c>
      <c r="DO15" s="246">
        <v>0.6</v>
      </c>
      <c r="DP15" s="246"/>
      <c r="DQ15" s="246"/>
      <c r="DR15" s="246"/>
      <c r="DS15" s="246"/>
      <c r="DU15" s="176">
        <v>11</v>
      </c>
      <c r="DV15" s="170" t="str">
        <f t="shared" si="14"/>
        <v>1.2D + 1.6L + 0.5(Lr or S or R) (210 deg</v>
      </c>
      <c r="DW15" s="170">
        <v>1</v>
      </c>
      <c r="DX15" s="170" t="s">
        <v>170</v>
      </c>
      <c r="DY15" s="170"/>
      <c r="DZ15" s="170">
        <v>65</v>
      </c>
      <c r="EA15" s="170">
        <v>1.2</v>
      </c>
      <c r="EB15" s="170">
        <v>10</v>
      </c>
      <c r="EC15" s="170">
        <v>1</v>
      </c>
      <c r="ED15" s="170"/>
      <c r="EE15" s="170"/>
      <c r="EF15" s="170"/>
      <c r="EG15" s="170"/>
      <c r="EH15" s="170"/>
      <c r="EI15" s="170"/>
      <c r="EK15" s="2" t="s">
        <v>379</v>
      </c>
      <c r="EL15" s="2">
        <v>210</v>
      </c>
      <c r="EN15" s="176">
        <v>11</v>
      </c>
      <c r="GJ15" s="2" t="s">
        <v>381</v>
      </c>
      <c r="GK15" s="2" t="str">
        <f t="shared" si="16"/>
        <v>1.2D + 1.0W + 1.0G (210 deg)</v>
      </c>
      <c r="GL15" s="184" t="s">
        <v>405</v>
      </c>
    </row>
    <row r="16" spans="1:194" ht="18" customHeight="1" x14ac:dyDescent="0.2">
      <c r="A16" s="165">
        <v>12</v>
      </c>
      <c r="B16" s="174" t="s">
        <v>406</v>
      </c>
      <c r="C16" s="174" t="s">
        <v>374</v>
      </c>
      <c r="D16" s="174"/>
      <c r="E16" s="174"/>
      <c r="F16" s="174"/>
      <c r="G16" s="174"/>
      <c r="H16" s="186">
        <f>COUNTA('Point Load Tables'!$BD$4:$BD$1048576)</f>
        <v>0</v>
      </c>
      <c r="I16" s="186"/>
      <c r="J16" s="186"/>
      <c r="K16" s="174"/>
      <c r="L16" s="260" t="s">
        <v>675</v>
      </c>
      <c r="M16" s="176">
        <f t="shared" si="15"/>
        <v>12</v>
      </c>
      <c r="N16" s="174" t="str">
        <f t="shared" si="0"/>
        <v>1.2D + 1.0W  | 225 deg</v>
      </c>
      <c r="O16" s="174" t="b">
        <v>1</v>
      </c>
      <c r="P16" s="174" t="str">
        <f t="shared" si="2"/>
        <v>Y</v>
      </c>
      <c r="Q16" s="174" t="str">
        <f t="shared" si="3"/>
        <v/>
      </c>
      <c r="R16" s="174">
        <f t="shared" si="4"/>
        <v>65</v>
      </c>
      <c r="S16" s="174">
        <f t="shared" si="5"/>
        <v>1.2</v>
      </c>
      <c r="T16" s="174">
        <f t="shared" si="6"/>
        <v>11</v>
      </c>
      <c r="U16" s="174">
        <f t="shared" si="7"/>
        <v>1</v>
      </c>
      <c r="V16" s="174">
        <f t="shared" si="8"/>
        <v>27</v>
      </c>
      <c r="W16" s="174">
        <f t="shared" si="9"/>
        <v>1</v>
      </c>
      <c r="X16" s="174" t="str">
        <f t="shared" si="10"/>
        <v/>
      </c>
      <c r="Y16" s="174" t="str">
        <f t="shared" si="11"/>
        <v/>
      </c>
      <c r="Z16" s="174" t="str">
        <f t="shared" si="12"/>
        <v/>
      </c>
      <c r="AA16" s="174" t="str">
        <f t="shared" si="13"/>
        <v/>
      </c>
      <c r="AC16" s="176">
        <v>12</v>
      </c>
      <c r="AD16" s="174" t="str">
        <f>CONCATENATE("1.2D + ",TEXT(IF(RIGHT(TIA,1)="G",1.6,1),"0.0"),"W  | 225 deg")</f>
        <v>1.2D + 1.0W  | 225 deg</v>
      </c>
      <c r="AE16" s="174" t="b">
        <v>1</v>
      </c>
      <c r="AF16" s="174" t="s">
        <v>170</v>
      </c>
      <c r="AG16" s="174"/>
      <c r="AH16" s="174">
        <v>65</v>
      </c>
      <c r="AI16" s="174">
        <v>1.2</v>
      </c>
      <c r="AJ16" s="174">
        <v>11</v>
      </c>
      <c r="AK16" s="174">
        <v>1</v>
      </c>
      <c r="AL16" s="174">
        <v>27</v>
      </c>
      <c r="AM16" s="174">
        <v>1</v>
      </c>
      <c r="AN16" s="174"/>
      <c r="AO16" s="174"/>
      <c r="AP16" s="174"/>
      <c r="AQ16" s="174"/>
      <c r="AS16" s="176">
        <v>12</v>
      </c>
      <c r="AT16" s="174" t="s">
        <v>1520</v>
      </c>
      <c r="AU16" s="174"/>
      <c r="AV16" s="174" t="s">
        <v>170</v>
      </c>
      <c r="AW16" s="174"/>
      <c r="AX16" s="174">
        <v>65</v>
      </c>
      <c r="AY16" s="174">
        <v>1.2</v>
      </c>
      <c r="AZ16" s="174">
        <v>11</v>
      </c>
      <c r="BA16" s="174">
        <v>1</v>
      </c>
      <c r="BB16" s="174">
        <v>27</v>
      </c>
      <c r="BC16" s="174">
        <v>1</v>
      </c>
      <c r="BD16" s="174"/>
      <c r="BE16" s="174"/>
      <c r="BF16" s="174"/>
      <c r="BG16" s="174"/>
      <c r="BI16" s="176">
        <v>12</v>
      </c>
      <c r="BJ16" s="174" t="str">
        <f>CONCATENATE("1.2D + ",TEXT(IF(RIGHT(TIA,1)="G",1.6,1),"0.0"),"W  | 225 deg")</f>
        <v>1.2D + 1.0W  | 225 deg</v>
      </c>
      <c r="BK16" s="174" t="b">
        <v>1</v>
      </c>
      <c r="BL16" s="174" t="s">
        <v>170</v>
      </c>
      <c r="BM16" s="174"/>
      <c r="BN16" s="174">
        <v>65</v>
      </c>
      <c r="BO16" s="174">
        <v>1.2</v>
      </c>
      <c r="BP16" s="174">
        <v>11</v>
      </c>
      <c r="BQ16" s="174">
        <v>1</v>
      </c>
      <c r="BR16" s="174">
        <v>27</v>
      </c>
      <c r="BS16" s="174">
        <v>1</v>
      </c>
      <c r="BT16" s="174"/>
      <c r="BU16" s="174"/>
      <c r="BV16" s="174"/>
      <c r="BW16" s="174"/>
      <c r="BY16" s="176">
        <v>12</v>
      </c>
      <c r="BZ16" s="249" t="s">
        <v>1521</v>
      </c>
      <c r="CA16" s="249" t="b">
        <v>1</v>
      </c>
      <c r="CB16" s="249" t="s">
        <v>170</v>
      </c>
      <c r="CC16" s="249"/>
      <c r="CD16" s="249">
        <v>65</v>
      </c>
      <c r="CE16" s="249">
        <v>1</v>
      </c>
      <c r="CF16" s="249">
        <v>11</v>
      </c>
      <c r="CG16" s="249">
        <v>0.6</v>
      </c>
      <c r="CH16" s="249">
        <v>27</v>
      </c>
      <c r="CI16" s="249">
        <v>0.6</v>
      </c>
      <c r="CJ16" s="249"/>
      <c r="CK16" s="249"/>
      <c r="CL16" s="249"/>
      <c r="CM16" s="249"/>
      <c r="CO16" s="176">
        <v>12</v>
      </c>
      <c r="CP16" s="249" t="s">
        <v>1521</v>
      </c>
      <c r="CQ16" s="249" t="b">
        <v>1</v>
      </c>
      <c r="CR16" s="249" t="s">
        <v>170</v>
      </c>
      <c r="CS16" s="249"/>
      <c r="CT16" s="249">
        <v>65</v>
      </c>
      <c r="CU16" s="249">
        <v>1</v>
      </c>
      <c r="CV16" s="249">
        <v>11</v>
      </c>
      <c r="CW16" s="249">
        <v>0.6</v>
      </c>
      <c r="CX16" s="249">
        <v>27</v>
      </c>
      <c r="CY16" s="249">
        <v>0.6</v>
      </c>
      <c r="CZ16" s="249"/>
      <c r="DA16" s="249"/>
      <c r="DB16" s="249"/>
      <c r="DC16" s="249"/>
      <c r="DE16" s="176">
        <v>12</v>
      </c>
      <c r="DF16" s="249" t="s">
        <v>1521</v>
      </c>
      <c r="DG16" s="249" t="b">
        <v>1</v>
      </c>
      <c r="DH16" s="249" t="s">
        <v>170</v>
      </c>
      <c r="DI16" s="249"/>
      <c r="DJ16" s="249">
        <v>65</v>
      </c>
      <c r="DK16" s="249">
        <v>1</v>
      </c>
      <c r="DL16" s="249">
        <v>11</v>
      </c>
      <c r="DM16" s="249">
        <v>0.6</v>
      </c>
      <c r="DN16" s="249">
        <v>27</v>
      </c>
      <c r="DO16" s="249">
        <v>0.6</v>
      </c>
      <c r="DP16" s="249"/>
      <c r="DQ16" s="249"/>
      <c r="DR16" s="249"/>
      <c r="DS16" s="249"/>
      <c r="DU16" s="176">
        <v>12</v>
      </c>
      <c r="DV16" s="174" t="str">
        <f t="shared" si="14"/>
        <v>1.2D + 1.6L + 0.5(Lr or S or R) (225 deg</v>
      </c>
      <c r="DW16" s="174">
        <v>1</v>
      </c>
      <c r="DX16" s="174" t="s">
        <v>170</v>
      </c>
      <c r="DY16" s="174"/>
      <c r="DZ16" s="174">
        <v>65</v>
      </c>
      <c r="EA16" s="174">
        <v>1.2</v>
      </c>
      <c r="EB16" s="174">
        <v>11</v>
      </c>
      <c r="EC16" s="174">
        <v>1</v>
      </c>
      <c r="ED16" s="174"/>
      <c r="EE16" s="174"/>
      <c r="EF16" s="174"/>
      <c r="EG16" s="174"/>
      <c r="EH16" s="174"/>
      <c r="EI16" s="174"/>
      <c r="EK16" s="2" t="s">
        <v>379</v>
      </c>
      <c r="EL16" s="2">
        <v>225</v>
      </c>
      <c r="EN16" s="176">
        <v>12</v>
      </c>
      <c r="GJ16" s="2" t="s">
        <v>381</v>
      </c>
      <c r="GK16" s="2" t="str">
        <f t="shared" si="16"/>
        <v>1.2D + 1.0W + 1.0G (225 deg)</v>
      </c>
      <c r="GL16" s="184" t="s">
        <v>407</v>
      </c>
    </row>
    <row r="17" spans="1:194" ht="18" customHeight="1" x14ac:dyDescent="0.2">
      <c r="A17" s="165">
        <v>13</v>
      </c>
      <c r="B17" s="170" t="s">
        <v>408</v>
      </c>
      <c r="C17" s="171" t="s">
        <v>374</v>
      </c>
      <c r="D17" s="171"/>
      <c r="E17" s="171"/>
      <c r="F17" s="171"/>
      <c r="G17" s="171"/>
      <c r="H17" s="185">
        <f>COUNTA('Point Load Tables'!$BI$4:$BI$1048576)</f>
        <v>0</v>
      </c>
      <c r="I17" s="185"/>
      <c r="J17" s="185"/>
      <c r="K17" s="171"/>
      <c r="L17" s="260" t="s">
        <v>323</v>
      </c>
      <c r="M17" s="176">
        <f t="shared" si="15"/>
        <v>13</v>
      </c>
      <c r="N17" s="170" t="str">
        <f t="shared" si="0"/>
        <v>1.2D + 1.0W  | 240 deg</v>
      </c>
      <c r="O17" s="170" t="b">
        <v>1</v>
      </c>
      <c r="P17" s="170" t="str">
        <f t="shared" si="2"/>
        <v>Y</v>
      </c>
      <c r="Q17" s="170" t="str">
        <f t="shared" si="3"/>
        <v/>
      </c>
      <c r="R17" s="170">
        <f t="shared" si="4"/>
        <v>65</v>
      </c>
      <c r="S17" s="170">
        <f t="shared" si="5"/>
        <v>1.2</v>
      </c>
      <c r="T17" s="170">
        <f t="shared" si="6"/>
        <v>12</v>
      </c>
      <c r="U17" s="170">
        <f t="shared" si="7"/>
        <v>1</v>
      </c>
      <c r="V17" s="170">
        <f t="shared" si="8"/>
        <v>28</v>
      </c>
      <c r="W17" s="170">
        <f t="shared" si="9"/>
        <v>1</v>
      </c>
      <c r="X17" s="170" t="str">
        <f t="shared" si="10"/>
        <v/>
      </c>
      <c r="Y17" s="170" t="str">
        <f t="shared" si="11"/>
        <v/>
      </c>
      <c r="Z17" s="170" t="str">
        <f t="shared" si="12"/>
        <v/>
      </c>
      <c r="AA17" s="170" t="str">
        <f t="shared" si="13"/>
        <v/>
      </c>
      <c r="AC17" s="176">
        <v>13</v>
      </c>
      <c r="AD17" s="170" t="str">
        <f>CONCATENATE("1.2D + ",TEXT(IF(RIGHT(TIA,1)="G",1.6,1),"0.0"),"W  | 240 deg")</f>
        <v>1.2D + 1.0W  | 240 deg</v>
      </c>
      <c r="AE17" s="170" t="b">
        <v>1</v>
      </c>
      <c r="AF17" s="170" t="s">
        <v>170</v>
      </c>
      <c r="AG17" s="170"/>
      <c r="AH17" s="170">
        <v>65</v>
      </c>
      <c r="AI17" s="170">
        <v>1.2</v>
      </c>
      <c r="AJ17" s="170">
        <v>12</v>
      </c>
      <c r="AK17" s="170">
        <v>1</v>
      </c>
      <c r="AL17" s="170">
        <v>28</v>
      </c>
      <c r="AM17" s="170">
        <v>1</v>
      </c>
      <c r="AN17" s="170"/>
      <c r="AO17" s="170"/>
      <c r="AP17" s="170"/>
      <c r="AQ17" s="170"/>
      <c r="AS17" s="176">
        <v>13</v>
      </c>
      <c r="AT17" s="170" t="s">
        <v>1522</v>
      </c>
      <c r="AU17" s="170" t="b">
        <v>1</v>
      </c>
      <c r="AV17" s="170" t="s">
        <v>170</v>
      </c>
      <c r="AW17" s="170"/>
      <c r="AX17" s="170">
        <v>65</v>
      </c>
      <c r="AY17" s="170">
        <v>1.2</v>
      </c>
      <c r="AZ17" s="170">
        <v>12</v>
      </c>
      <c r="BA17" s="170">
        <v>1</v>
      </c>
      <c r="BB17" s="170">
        <v>28</v>
      </c>
      <c r="BC17" s="170">
        <v>1</v>
      </c>
      <c r="BD17" s="170"/>
      <c r="BE17" s="170"/>
      <c r="BF17" s="170"/>
      <c r="BG17" s="170"/>
      <c r="BI17" s="176">
        <v>13</v>
      </c>
      <c r="BJ17" s="170" t="str">
        <f>CONCATENATE("1.2D + ",TEXT(IF(RIGHT(TIA,1)="G",1.6,1),"0.0"),"W  | 240 deg")</f>
        <v>1.2D + 1.0W  | 240 deg</v>
      </c>
      <c r="BK17" s="170" t="b">
        <v>1</v>
      </c>
      <c r="BL17" s="170" t="s">
        <v>170</v>
      </c>
      <c r="BM17" s="170"/>
      <c r="BN17" s="170">
        <v>65</v>
      </c>
      <c r="BO17" s="170">
        <v>1.2</v>
      </c>
      <c r="BP17" s="170">
        <v>12</v>
      </c>
      <c r="BQ17" s="170">
        <v>1</v>
      </c>
      <c r="BR17" s="170">
        <v>28</v>
      </c>
      <c r="BS17" s="170">
        <v>1</v>
      </c>
      <c r="BT17" s="170"/>
      <c r="BU17" s="170"/>
      <c r="BV17" s="170"/>
      <c r="BW17" s="170"/>
      <c r="BY17" s="176">
        <v>13</v>
      </c>
      <c r="BZ17" s="246" t="s">
        <v>1523</v>
      </c>
      <c r="CA17" s="246" t="b">
        <v>1</v>
      </c>
      <c r="CB17" s="246" t="s">
        <v>170</v>
      </c>
      <c r="CC17" s="246"/>
      <c r="CD17" s="246">
        <v>65</v>
      </c>
      <c r="CE17" s="246">
        <v>1</v>
      </c>
      <c r="CF17" s="246">
        <v>12</v>
      </c>
      <c r="CG17" s="246">
        <v>0.6</v>
      </c>
      <c r="CH17" s="246">
        <v>28</v>
      </c>
      <c r="CI17" s="246">
        <v>0.6</v>
      </c>
      <c r="CJ17" s="246"/>
      <c r="CK17" s="246"/>
      <c r="CL17" s="246"/>
      <c r="CM17" s="246"/>
      <c r="CO17" s="176">
        <v>13</v>
      </c>
      <c r="CP17" s="246" t="s">
        <v>1523</v>
      </c>
      <c r="CQ17" s="246" t="b">
        <v>1</v>
      </c>
      <c r="CR17" s="246" t="s">
        <v>170</v>
      </c>
      <c r="CS17" s="246"/>
      <c r="CT17" s="246">
        <v>65</v>
      </c>
      <c r="CU17" s="246">
        <v>1</v>
      </c>
      <c r="CV17" s="246">
        <v>12</v>
      </c>
      <c r="CW17" s="246">
        <v>0.6</v>
      </c>
      <c r="CX17" s="246">
        <v>28</v>
      </c>
      <c r="CY17" s="246">
        <v>0.6</v>
      </c>
      <c r="CZ17" s="246"/>
      <c r="DA17" s="246"/>
      <c r="DB17" s="246"/>
      <c r="DC17" s="246"/>
      <c r="DE17" s="176">
        <v>13</v>
      </c>
      <c r="DF17" s="246" t="s">
        <v>1523</v>
      </c>
      <c r="DG17" s="246" t="b">
        <v>1</v>
      </c>
      <c r="DH17" s="246" t="s">
        <v>170</v>
      </c>
      <c r="DI17" s="246"/>
      <c r="DJ17" s="246">
        <v>65</v>
      </c>
      <c r="DK17" s="246">
        <v>1</v>
      </c>
      <c r="DL17" s="246">
        <v>12</v>
      </c>
      <c r="DM17" s="246">
        <v>0.6</v>
      </c>
      <c r="DN17" s="246">
        <v>28</v>
      </c>
      <c r="DO17" s="246">
        <v>0.6</v>
      </c>
      <c r="DP17" s="246"/>
      <c r="DQ17" s="246"/>
      <c r="DR17" s="246"/>
      <c r="DS17" s="246"/>
      <c r="DU17" s="176">
        <v>13</v>
      </c>
      <c r="DV17" s="170" t="str">
        <f t="shared" si="14"/>
        <v>1.2D + 1.6L + 0.5(Lr or S or R) (240 deg</v>
      </c>
      <c r="DW17" s="170">
        <v>1</v>
      </c>
      <c r="DX17" s="170" t="s">
        <v>170</v>
      </c>
      <c r="DY17" s="170"/>
      <c r="DZ17" s="170">
        <v>65</v>
      </c>
      <c r="EA17" s="170">
        <v>1.2</v>
      </c>
      <c r="EB17" s="170">
        <v>12</v>
      </c>
      <c r="EC17" s="170">
        <v>1</v>
      </c>
      <c r="ED17" s="170"/>
      <c r="EE17" s="170"/>
      <c r="EF17" s="170"/>
      <c r="EG17" s="170"/>
      <c r="EH17" s="170"/>
      <c r="EI17" s="170"/>
      <c r="EK17" s="2" t="s">
        <v>379</v>
      </c>
      <c r="EL17" s="2">
        <v>240</v>
      </c>
      <c r="EN17" s="176">
        <v>13</v>
      </c>
      <c r="GJ17" s="2" t="s">
        <v>381</v>
      </c>
      <c r="GK17" s="2" t="str">
        <f t="shared" si="16"/>
        <v>1.2D + 1.0W + 1.0G (240 deg)</v>
      </c>
      <c r="GL17" s="184" t="s">
        <v>409</v>
      </c>
    </row>
    <row r="18" spans="1:194" ht="18" customHeight="1" x14ac:dyDescent="0.2">
      <c r="A18" s="165">
        <v>14</v>
      </c>
      <c r="B18" s="174" t="s">
        <v>410</v>
      </c>
      <c r="C18" s="174" t="s">
        <v>374</v>
      </c>
      <c r="D18" s="174"/>
      <c r="E18" s="174"/>
      <c r="F18" s="174"/>
      <c r="G18" s="174"/>
      <c r="H18" s="186">
        <f>COUNTA('Point Load Tables'!$BN$4:$BN$1048576)</f>
        <v>0</v>
      </c>
      <c r="I18" s="186"/>
      <c r="J18" s="186"/>
      <c r="K18" s="174"/>
      <c r="L18" s="2">
        <f>IF('Point Load Tables'!A4="",0,181)+(COUNTA('Maintenance Loads'!B7:B14)+COUNTA('Maintenance Loads'!G7:G14))*5</f>
        <v>0</v>
      </c>
      <c r="M18" s="176">
        <f t="shared" si="15"/>
        <v>14</v>
      </c>
      <c r="N18" s="174" t="str">
        <f t="shared" si="0"/>
        <v>1.2D + 1.0W | 270 deg</v>
      </c>
      <c r="O18" s="174" t="b">
        <v>1</v>
      </c>
      <c r="P18" s="174" t="str">
        <f t="shared" si="2"/>
        <v>Y</v>
      </c>
      <c r="Q18" s="174" t="str">
        <f t="shared" si="3"/>
        <v/>
      </c>
      <c r="R18" s="174">
        <f t="shared" si="4"/>
        <v>65</v>
      </c>
      <c r="S18" s="174">
        <f t="shared" si="5"/>
        <v>1.2</v>
      </c>
      <c r="T18" s="174">
        <f t="shared" si="6"/>
        <v>13</v>
      </c>
      <c r="U18" s="174">
        <f t="shared" si="7"/>
        <v>1</v>
      </c>
      <c r="V18" s="174">
        <f t="shared" si="8"/>
        <v>29</v>
      </c>
      <c r="W18" s="174">
        <f t="shared" si="9"/>
        <v>1</v>
      </c>
      <c r="X18" s="174" t="str">
        <f t="shared" si="10"/>
        <v/>
      </c>
      <c r="Y18" s="174" t="str">
        <f t="shared" si="11"/>
        <v/>
      </c>
      <c r="Z18" s="174" t="str">
        <f t="shared" si="12"/>
        <v/>
      </c>
      <c r="AA18" s="174" t="str">
        <f t="shared" si="13"/>
        <v/>
      </c>
      <c r="AC18" s="176">
        <v>14</v>
      </c>
      <c r="AD18" s="174" t="str">
        <f>CONCATENATE("1.2D + ",TEXT(IF(RIGHT(TIA,1)="G",1.6,1),"0.0"),"W | ",270," deg")</f>
        <v>1.2D + 1.0W | 270 deg</v>
      </c>
      <c r="AE18" s="174" t="b">
        <v>1</v>
      </c>
      <c r="AF18" s="174" t="s">
        <v>170</v>
      </c>
      <c r="AG18" s="174"/>
      <c r="AH18" s="174">
        <v>65</v>
      </c>
      <c r="AI18" s="174">
        <v>1.2</v>
      </c>
      <c r="AJ18" s="174">
        <v>13</v>
      </c>
      <c r="AK18" s="174">
        <v>1</v>
      </c>
      <c r="AL18" s="174">
        <v>29</v>
      </c>
      <c r="AM18" s="174">
        <v>1</v>
      </c>
      <c r="AN18" s="174"/>
      <c r="AO18" s="174"/>
      <c r="AP18" s="174"/>
      <c r="AQ18" s="174"/>
      <c r="AS18" s="176">
        <v>14</v>
      </c>
      <c r="AT18" s="174" t="s">
        <v>1524</v>
      </c>
      <c r="AU18" s="174" t="b">
        <v>1</v>
      </c>
      <c r="AV18" s="174" t="s">
        <v>170</v>
      </c>
      <c r="AW18" s="174"/>
      <c r="AX18" s="174">
        <v>65</v>
      </c>
      <c r="AY18" s="174">
        <v>1.2</v>
      </c>
      <c r="AZ18" s="174">
        <v>13</v>
      </c>
      <c r="BA18" s="174">
        <v>1</v>
      </c>
      <c r="BB18" s="174">
        <v>29</v>
      </c>
      <c r="BC18" s="174">
        <v>1</v>
      </c>
      <c r="BD18" s="174"/>
      <c r="BE18" s="174"/>
      <c r="BF18" s="174"/>
      <c r="BG18" s="174"/>
      <c r="BI18" s="176">
        <v>14</v>
      </c>
      <c r="BJ18" s="174" t="str">
        <f>CONCATENATE("1.2D + ",TEXT(IF(RIGHT(TIA,1)="G",1.6,1),"0.0"),"W | ",270," deg")</f>
        <v>1.2D + 1.0W | 270 deg</v>
      </c>
      <c r="BK18" s="174" t="b">
        <v>1</v>
      </c>
      <c r="BL18" s="174" t="s">
        <v>170</v>
      </c>
      <c r="BM18" s="174"/>
      <c r="BN18" s="174">
        <v>65</v>
      </c>
      <c r="BO18" s="174">
        <v>1.2</v>
      </c>
      <c r="BP18" s="174">
        <v>13</v>
      </c>
      <c r="BQ18" s="174">
        <v>1</v>
      </c>
      <c r="BR18" s="174">
        <v>29</v>
      </c>
      <c r="BS18" s="174">
        <v>1</v>
      </c>
      <c r="BT18" s="174"/>
      <c r="BU18" s="174"/>
      <c r="BV18" s="174"/>
      <c r="BW18" s="174"/>
      <c r="BY18" s="176">
        <v>14</v>
      </c>
      <c r="BZ18" s="249" t="s">
        <v>1525</v>
      </c>
      <c r="CA18" s="249" t="b">
        <v>1</v>
      </c>
      <c r="CB18" s="249" t="s">
        <v>170</v>
      </c>
      <c r="CC18" s="249"/>
      <c r="CD18" s="249">
        <v>65</v>
      </c>
      <c r="CE18" s="249">
        <v>1</v>
      </c>
      <c r="CF18" s="249">
        <v>13</v>
      </c>
      <c r="CG18" s="249">
        <v>0.6</v>
      </c>
      <c r="CH18" s="249">
        <v>29</v>
      </c>
      <c r="CI18" s="249">
        <v>0.6</v>
      </c>
      <c r="CJ18" s="249"/>
      <c r="CK18" s="249"/>
      <c r="CL18" s="249"/>
      <c r="CM18" s="249"/>
      <c r="CO18" s="176">
        <v>14</v>
      </c>
      <c r="CP18" s="249" t="s">
        <v>1525</v>
      </c>
      <c r="CQ18" s="249" t="b">
        <v>1</v>
      </c>
      <c r="CR18" s="249" t="s">
        <v>170</v>
      </c>
      <c r="CS18" s="249"/>
      <c r="CT18" s="249">
        <v>65</v>
      </c>
      <c r="CU18" s="249">
        <v>1</v>
      </c>
      <c r="CV18" s="249">
        <v>13</v>
      </c>
      <c r="CW18" s="249">
        <v>0.6</v>
      </c>
      <c r="CX18" s="249">
        <v>29</v>
      </c>
      <c r="CY18" s="249">
        <v>0.6</v>
      </c>
      <c r="CZ18" s="249"/>
      <c r="DA18" s="249"/>
      <c r="DB18" s="249"/>
      <c r="DC18" s="249"/>
      <c r="DE18" s="176">
        <v>14</v>
      </c>
      <c r="DF18" s="249" t="s">
        <v>1525</v>
      </c>
      <c r="DG18" s="249" t="b">
        <v>1</v>
      </c>
      <c r="DH18" s="249" t="s">
        <v>170</v>
      </c>
      <c r="DI18" s="249"/>
      <c r="DJ18" s="249">
        <v>65</v>
      </c>
      <c r="DK18" s="249">
        <v>1</v>
      </c>
      <c r="DL18" s="249">
        <v>13</v>
      </c>
      <c r="DM18" s="249">
        <v>0.6</v>
      </c>
      <c r="DN18" s="249">
        <v>29</v>
      </c>
      <c r="DO18" s="249">
        <v>0.6</v>
      </c>
      <c r="DP18" s="249"/>
      <c r="DQ18" s="249"/>
      <c r="DR18" s="249"/>
      <c r="DS18" s="249"/>
      <c r="DU18" s="176">
        <v>14</v>
      </c>
      <c r="DV18" s="174" t="str">
        <f t="shared" si="14"/>
        <v>1.2D + 1.6L + 0.5(Lr or S or R) (270 deg</v>
      </c>
      <c r="DW18" s="174">
        <v>1</v>
      </c>
      <c r="DX18" s="174" t="s">
        <v>170</v>
      </c>
      <c r="DY18" s="174"/>
      <c r="DZ18" s="174">
        <v>65</v>
      </c>
      <c r="EA18" s="174">
        <v>1.2</v>
      </c>
      <c r="EB18" s="174">
        <v>13</v>
      </c>
      <c r="EC18" s="174">
        <v>1</v>
      </c>
      <c r="ED18" s="174"/>
      <c r="EE18" s="174"/>
      <c r="EF18" s="174"/>
      <c r="EG18" s="174"/>
      <c r="EH18" s="174"/>
      <c r="EI18" s="174"/>
      <c r="EK18" s="2" t="s">
        <v>379</v>
      </c>
      <c r="EL18" s="2">
        <v>270</v>
      </c>
      <c r="EN18" s="176">
        <v>14</v>
      </c>
      <c r="GJ18" s="2" t="s">
        <v>381</v>
      </c>
      <c r="GK18" s="2" t="str">
        <f>_xlfn.CONCAT(GJ18," (",EL18," deg)")</f>
        <v>1.2D + 1.0W + 1.0G (270 deg)</v>
      </c>
      <c r="GL18" s="184"/>
    </row>
    <row r="19" spans="1:194" ht="18" customHeight="1" x14ac:dyDescent="0.2">
      <c r="A19" s="165">
        <v>15</v>
      </c>
      <c r="B19" s="170" t="s">
        <v>411</v>
      </c>
      <c r="C19" s="171" t="s">
        <v>374</v>
      </c>
      <c r="D19" s="171"/>
      <c r="E19" s="171"/>
      <c r="F19" s="171"/>
      <c r="G19" s="171"/>
      <c r="H19" s="185">
        <f>COUNTA('Point Load Tables'!$BS$4:$BS$1048576)</f>
        <v>0</v>
      </c>
      <c r="I19" s="185"/>
      <c r="J19" s="185"/>
      <c r="K19" s="171"/>
      <c r="L19" s="260" t="s">
        <v>291</v>
      </c>
      <c r="M19" s="176">
        <f t="shared" si="15"/>
        <v>15</v>
      </c>
      <c r="N19" s="170" t="str">
        <f t="shared" si="0"/>
        <v>1.2D + 1.0W  | 300 deg</v>
      </c>
      <c r="O19" s="170" t="b">
        <v>1</v>
      </c>
      <c r="P19" s="170" t="str">
        <f t="shared" si="2"/>
        <v>Y</v>
      </c>
      <c r="Q19" s="170" t="str">
        <f t="shared" si="3"/>
        <v/>
      </c>
      <c r="R19" s="170">
        <f t="shared" si="4"/>
        <v>65</v>
      </c>
      <c r="S19" s="170">
        <f t="shared" si="5"/>
        <v>1.2</v>
      </c>
      <c r="T19" s="170">
        <f t="shared" si="6"/>
        <v>14</v>
      </c>
      <c r="U19" s="170">
        <f t="shared" si="7"/>
        <v>1</v>
      </c>
      <c r="V19" s="170">
        <f t="shared" si="8"/>
        <v>30</v>
      </c>
      <c r="W19" s="170">
        <f t="shared" si="9"/>
        <v>1</v>
      </c>
      <c r="X19" s="170" t="str">
        <f t="shared" si="10"/>
        <v/>
      </c>
      <c r="Y19" s="170" t="str">
        <f t="shared" si="11"/>
        <v/>
      </c>
      <c r="Z19" s="170" t="str">
        <f t="shared" si="12"/>
        <v/>
      </c>
      <c r="AA19" s="170" t="str">
        <f t="shared" si="13"/>
        <v/>
      </c>
      <c r="AC19" s="176">
        <v>15</v>
      </c>
      <c r="AD19" s="170" t="str">
        <f>CONCATENATE("1.2D + ",TEXT(IF(RIGHT(TIA,1)="G",1.6,1),"0.0"),"W  | 300 deg")</f>
        <v>1.2D + 1.0W  | 300 deg</v>
      </c>
      <c r="AE19" s="170" t="b">
        <v>1</v>
      </c>
      <c r="AF19" s="170" t="s">
        <v>170</v>
      </c>
      <c r="AG19" s="170"/>
      <c r="AH19" s="170">
        <v>65</v>
      </c>
      <c r="AI19" s="170">
        <v>1.2</v>
      </c>
      <c r="AJ19" s="170">
        <v>14</v>
      </c>
      <c r="AK19" s="170">
        <v>1</v>
      </c>
      <c r="AL19" s="170">
        <v>30</v>
      </c>
      <c r="AM19" s="170">
        <v>1</v>
      </c>
      <c r="AN19" s="170"/>
      <c r="AO19" s="170"/>
      <c r="AP19" s="170"/>
      <c r="AQ19" s="170"/>
      <c r="AS19" s="176">
        <v>15</v>
      </c>
      <c r="AT19" s="170" t="s">
        <v>1616</v>
      </c>
      <c r="AU19" s="170" t="b">
        <v>1</v>
      </c>
      <c r="AV19" s="170" t="s">
        <v>170</v>
      </c>
      <c r="AW19" s="170"/>
      <c r="AX19" s="170">
        <v>65</v>
      </c>
      <c r="AY19" s="170">
        <v>1.2</v>
      </c>
      <c r="AZ19" s="170">
        <v>14</v>
      </c>
      <c r="BA19" s="170">
        <v>1</v>
      </c>
      <c r="BB19" s="170">
        <v>30</v>
      </c>
      <c r="BC19" s="170">
        <v>1</v>
      </c>
      <c r="BD19" s="170"/>
      <c r="BE19" s="170"/>
      <c r="BF19" s="170"/>
      <c r="BG19" s="170"/>
      <c r="BI19" s="176">
        <v>15</v>
      </c>
      <c r="BJ19" s="170" t="str">
        <f>CONCATENATE("1.2D + ",TEXT(IF(RIGHT(TIA,1)="G",1.6,1),"0.0"),"W  | 300 deg")</f>
        <v>1.2D + 1.0W  | 300 deg</v>
      </c>
      <c r="BK19" s="170" t="b">
        <v>1</v>
      </c>
      <c r="BL19" s="170" t="s">
        <v>170</v>
      </c>
      <c r="BM19" s="170"/>
      <c r="BN19" s="170">
        <v>65</v>
      </c>
      <c r="BO19" s="170">
        <v>1.2</v>
      </c>
      <c r="BP19" s="170">
        <v>14</v>
      </c>
      <c r="BQ19" s="170">
        <v>1</v>
      </c>
      <c r="BR19" s="170">
        <v>30</v>
      </c>
      <c r="BS19" s="170">
        <v>1</v>
      </c>
      <c r="BT19" s="170"/>
      <c r="BU19" s="170"/>
      <c r="BV19" s="170"/>
      <c r="BW19" s="170"/>
      <c r="BY19" s="176">
        <v>15</v>
      </c>
      <c r="BZ19" s="246" t="s">
        <v>1617</v>
      </c>
      <c r="CA19" s="246" t="b">
        <v>1</v>
      </c>
      <c r="CB19" s="246" t="s">
        <v>170</v>
      </c>
      <c r="CC19" s="246"/>
      <c r="CD19" s="246">
        <v>65</v>
      </c>
      <c r="CE19" s="246">
        <v>1</v>
      </c>
      <c r="CF19" s="246">
        <v>14</v>
      </c>
      <c r="CG19" s="246">
        <v>0.6</v>
      </c>
      <c r="CH19" s="246">
        <v>30</v>
      </c>
      <c r="CI19" s="246">
        <v>0.6</v>
      </c>
      <c r="CJ19" s="246"/>
      <c r="CK19" s="246"/>
      <c r="CL19" s="246"/>
      <c r="CM19" s="246"/>
      <c r="CO19" s="176">
        <v>15</v>
      </c>
      <c r="CP19" s="246" t="s">
        <v>1617</v>
      </c>
      <c r="CQ19" s="246" t="b">
        <v>1</v>
      </c>
      <c r="CR19" s="246" t="s">
        <v>170</v>
      </c>
      <c r="CS19" s="246"/>
      <c r="CT19" s="246">
        <v>65</v>
      </c>
      <c r="CU19" s="246">
        <v>1</v>
      </c>
      <c r="CV19" s="246">
        <v>14</v>
      </c>
      <c r="CW19" s="246">
        <v>0.6</v>
      </c>
      <c r="CX19" s="246">
        <v>30</v>
      </c>
      <c r="CY19" s="246">
        <v>0.6</v>
      </c>
      <c r="CZ19" s="246"/>
      <c r="DA19" s="246"/>
      <c r="DB19" s="246"/>
      <c r="DC19" s="246"/>
      <c r="DE19" s="176">
        <v>15</v>
      </c>
      <c r="DF19" s="246" t="s">
        <v>1617</v>
      </c>
      <c r="DG19" s="246" t="b">
        <v>1</v>
      </c>
      <c r="DH19" s="246" t="s">
        <v>170</v>
      </c>
      <c r="DI19" s="246"/>
      <c r="DJ19" s="246">
        <v>65</v>
      </c>
      <c r="DK19" s="246">
        <v>1</v>
      </c>
      <c r="DL19" s="246">
        <v>14</v>
      </c>
      <c r="DM19" s="246">
        <v>0.6</v>
      </c>
      <c r="DN19" s="246">
        <v>30</v>
      </c>
      <c r="DO19" s="246">
        <v>0.6</v>
      </c>
      <c r="DP19" s="246"/>
      <c r="DQ19" s="246"/>
      <c r="DR19" s="246"/>
      <c r="DS19" s="246"/>
      <c r="DU19" s="176">
        <v>15</v>
      </c>
      <c r="DV19" s="170" t="str">
        <f t="shared" si="14"/>
        <v>1.2D + 1.6L + 0.5(Lr or S or R) (300 deg</v>
      </c>
      <c r="DW19" s="170">
        <v>1</v>
      </c>
      <c r="DX19" s="170" t="s">
        <v>170</v>
      </c>
      <c r="DY19" s="170"/>
      <c r="DZ19" s="170">
        <v>65</v>
      </c>
      <c r="EA19" s="170">
        <v>1.2</v>
      </c>
      <c r="EB19" s="170">
        <v>14</v>
      </c>
      <c r="EC19" s="170">
        <v>1</v>
      </c>
      <c r="ED19" s="170"/>
      <c r="EE19" s="170"/>
      <c r="EF19" s="170"/>
      <c r="EG19" s="170"/>
      <c r="EH19" s="170"/>
      <c r="EI19" s="170"/>
      <c r="EK19" s="2" t="s">
        <v>379</v>
      </c>
      <c r="EL19" s="2">
        <v>300</v>
      </c>
      <c r="EN19" s="176">
        <v>15</v>
      </c>
      <c r="GJ19" s="2" t="s">
        <v>381</v>
      </c>
      <c r="GK19" s="2" t="str">
        <f>_xlfn.CONCAT(GJ19," (",EL19," deg)")</f>
        <v>1.2D + 1.0W + 1.0G (300 deg)</v>
      </c>
      <c r="GL19" s="184"/>
    </row>
    <row r="20" spans="1:194" ht="18" customHeight="1" x14ac:dyDescent="0.2">
      <c r="A20" s="165">
        <v>16</v>
      </c>
      <c r="B20" s="174" t="s">
        <v>412</v>
      </c>
      <c r="C20" s="174" t="s">
        <v>374</v>
      </c>
      <c r="D20" s="174"/>
      <c r="E20" s="174"/>
      <c r="F20" s="174"/>
      <c r="G20" s="174"/>
      <c r="H20" s="186">
        <f>COUNTA('Point Load Tables'!$BX$4:$BX$1048576)</f>
        <v>0</v>
      </c>
      <c r="I20" s="186"/>
      <c r="J20" s="186"/>
      <c r="K20" s="174"/>
      <c r="L20" s="2">
        <f>IF('Distributed Load Tables'!A4="",0,225)</f>
        <v>0</v>
      </c>
      <c r="M20" s="176">
        <f t="shared" si="15"/>
        <v>16</v>
      </c>
      <c r="N20" s="174" t="str">
        <f t="shared" si="0"/>
        <v>1.2D + 1.0W  | 315 deg</v>
      </c>
      <c r="O20" s="174" t="b">
        <v>1</v>
      </c>
      <c r="P20" s="174" t="str">
        <f t="shared" si="2"/>
        <v>Y</v>
      </c>
      <c r="Q20" s="174" t="str">
        <f t="shared" si="3"/>
        <v/>
      </c>
      <c r="R20" s="174">
        <f t="shared" si="4"/>
        <v>65</v>
      </c>
      <c r="S20" s="174">
        <f t="shared" si="5"/>
        <v>1.2</v>
      </c>
      <c r="T20" s="174">
        <f t="shared" si="6"/>
        <v>15</v>
      </c>
      <c r="U20" s="174">
        <f t="shared" si="7"/>
        <v>1</v>
      </c>
      <c r="V20" s="174">
        <f t="shared" si="8"/>
        <v>31</v>
      </c>
      <c r="W20" s="174">
        <f t="shared" si="9"/>
        <v>1</v>
      </c>
      <c r="X20" s="174" t="str">
        <f t="shared" si="10"/>
        <v/>
      </c>
      <c r="Y20" s="174" t="str">
        <f t="shared" si="11"/>
        <v/>
      </c>
      <c r="Z20" s="174" t="str">
        <f t="shared" si="12"/>
        <v/>
      </c>
      <c r="AA20" s="174" t="str">
        <f t="shared" si="13"/>
        <v/>
      </c>
      <c r="AC20" s="176">
        <v>16</v>
      </c>
      <c r="AD20" s="174" t="str">
        <f>CONCATENATE("1.2D + ",TEXT(IF(RIGHT(TIA,1)="G",1.6,1),"0.0"),"W  | 315 deg")</f>
        <v>1.2D + 1.0W  | 315 deg</v>
      </c>
      <c r="AE20" s="174" t="b">
        <v>1</v>
      </c>
      <c r="AF20" s="174" t="s">
        <v>170</v>
      </c>
      <c r="AG20" s="174"/>
      <c r="AH20" s="174">
        <v>65</v>
      </c>
      <c r="AI20" s="174">
        <v>1.2</v>
      </c>
      <c r="AJ20" s="174">
        <v>15</v>
      </c>
      <c r="AK20" s="174">
        <v>1</v>
      </c>
      <c r="AL20" s="174">
        <v>31</v>
      </c>
      <c r="AM20" s="174">
        <v>1</v>
      </c>
      <c r="AN20" s="174"/>
      <c r="AO20" s="174"/>
      <c r="AP20" s="174"/>
      <c r="AQ20" s="174"/>
      <c r="AS20" s="176">
        <v>16</v>
      </c>
      <c r="AT20" s="174" t="s">
        <v>1618</v>
      </c>
      <c r="AU20" s="174"/>
      <c r="AV20" s="174" t="s">
        <v>170</v>
      </c>
      <c r="AW20" s="174"/>
      <c r="AX20" s="174">
        <v>65</v>
      </c>
      <c r="AY20" s="174">
        <v>1.2</v>
      </c>
      <c r="AZ20" s="174">
        <v>15</v>
      </c>
      <c r="BA20" s="174">
        <v>1</v>
      </c>
      <c r="BB20" s="174">
        <v>31</v>
      </c>
      <c r="BC20" s="174">
        <v>1</v>
      </c>
      <c r="BD20" s="174"/>
      <c r="BE20" s="174"/>
      <c r="BF20" s="174"/>
      <c r="BG20" s="174"/>
      <c r="BI20" s="176">
        <v>16</v>
      </c>
      <c r="BJ20" s="174" t="str">
        <f>CONCATENATE("1.2D + ",TEXT(IF(RIGHT(TIA,1)="G",1.6,1),"0.0"),"W  | 315 deg")</f>
        <v>1.2D + 1.0W  | 315 deg</v>
      </c>
      <c r="BK20" s="174" t="b">
        <v>1</v>
      </c>
      <c r="BL20" s="174" t="s">
        <v>170</v>
      </c>
      <c r="BM20" s="174"/>
      <c r="BN20" s="174">
        <v>65</v>
      </c>
      <c r="BO20" s="174">
        <v>1.2</v>
      </c>
      <c r="BP20" s="174">
        <v>15</v>
      </c>
      <c r="BQ20" s="174">
        <v>1</v>
      </c>
      <c r="BR20" s="174">
        <v>31</v>
      </c>
      <c r="BS20" s="174">
        <v>1</v>
      </c>
      <c r="BT20" s="174"/>
      <c r="BU20" s="174"/>
      <c r="BV20" s="174"/>
      <c r="BW20" s="174"/>
      <c r="BY20" s="176">
        <v>16</v>
      </c>
      <c r="BZ20" s="249" t="s">
        <v>1619</v>
      </c>
      <c r="CA20" s="249" t="b">
        <v>1</v>
      </c>
      <c r="CB20" s="249" t="s">
        <v>170</v>
      </c>
      <c r="CC20" s="249"/>
      <c r="CD20" s="249">
        <v>65</v>
      </c>
      <c r="CE20" s="249">
        <v>1</v>
      </c>
      <c r="CF20" s="249">
        <v>15</v>
      </c>
      <c r="CG20" s="249">
        <v>0.6</v>
      </c>
      <c r="CH20" s="249">
        <v>31</v>
      </c>
      <c r="CI20" s="249">
        <v>0.6</v>
      </c>
      <c r="CJ20" s="249"/>
      <c r="CK20" s="249"/>
      <c r="CL20" s="249"/>
      <c r="CM20" s="249"/>
      <c r="CO20" s="176">
        <v>16</v>
      </c>
      <c r="CP20" s="249" t="s">
        <v>1619</v>
      </c>
      <c r="CQ20" s="249" t="b">
        <v>1</v>
      </c>
      <c r="CR20" s="249" t="s">
        <v>170</v>
      </c>
      <c r="CS20" s="249"/>
      <c r="CT20" s="249">
        <v>65</v>
      </c>
      <c r="CU20" s="249">
        <v>1</v>
      </c>
      <c r="CV20" s="249">
        <v>15</v>
      </c>
      <c r="CW20" s="249">
        <v>0.6</v>
      </c>
      <c r="CX20" s="249">
        <v>31</v>
      </c>
      <c r="CY20" s="249">
        <v>0.6</v>
      </c>
      <c r="CZ20" s="249"/>
      <c r="DA20" s="249"/>
      <c r="DB20" s="249"/>
      <c r="DC20" s="249"/>
      <c r="DE20" s="176">
        <v>16</v>
      </c>
      <c r="DF20" s="249" t="s">
        <v>1619</v>
      </c>
      <c r="DG20" s="249" t="b">
        <v>1</v>
      </c>
      <c r="DH20" s="249" t="s">
        <v>170</v>
      </c>
      <c r="DI20" s="249"/>
      <c r="DJ20" s="249">
        <v>65</v>
      </c>
      <c r="DK20" s="249">
        <v>1</v>
      </c>
      <c r="DL20" s="249">
        <v>15</v>
      </c>
      <c r="DM20" s="249">
        <v>0.6</v>
      </c>
      <c r="DN20" s="249">
        <v>31</v>
      </c>
      <c r="DO20" s="249">
        <v>0.6</v>
      </c>
      <c r="DP20" s="249"/>
      <c r="DQ20" s="249"/>
      <c r="DR20" s="249"/>
      <c r="DS20" s="249"/>
      <c r="DU20" s="176">
        <v>16</v>
      </c>
      <c r="DV20" s="174" t="str">
        <f t="shared" si="14"/>
        <v>1.2D + 1.6L + 0.5(Lr or S or R) (315 deg</v>
      </c>
      <c r="DW20" s="174">
        <v>1</v>
      </c>
      <c r="DX20" s="174" t="s">
        <v>170</v>
      </c>
      <c r="DY20" s="174"/>
      <c r="DZ20" s="174">
        <v>65</v>
      </c>
      <c r="EA20" s="174">
        <v>1.2</v>
      </c>
      <c r="EB20" s="174">
        <v>15</v>
      </c>
      <c r="EC20" s="174">
        <v>1</v>
      </c>
      <c r="ED20" s="174"/>
      <c r="EE20" s="174"/>
      <c r="EF20" s="174"/>
      <c r="EG20" s="174"/>
      <c r="EH20" s="174"/>
      <c r="EI20" s="174"/>
      <c r="EK20" s="2" t="s">
        <v>379</v>
      </c>
      <c r="EL20" s="2">
        <v>315</v>
      </c>
      <c r="EN20" s="176">
        <v>16</v>
      </c>
      <c r="GJ20" s="2" t="s">
        <v>381</v>
      </c>
      <c r="GK20" s="2" t="str">
        <f>_xlfn.CONCAT(GJ20," (",EL20," deg)")</f>
        <v>1.2D + 1.0W + 1.0G (315 deg)</v>
      </c>
      <c r="GL20" s="184"/>
    </row>
    <row r="21" spans="1:194" ht="18" customHeight="1" thickBot="1" x14ac:dyDescent="0.25">
      <c r="A21" s="165">
        <v>17</v>
      </c>
      <c r="B21" s="170" t="s">
        <v>413</v>
      </c>
      <c r="C21" s="171" t="s">
        <v>374</v>
      </c>
      <c r="D21" s="171"/>
      <c r="E21" s="171"/>
      <c r="F21" s="171"/>
      <c r="G21" s="171"/>
      <c r="H21" s="185"/>
      <c r="I21" s="185">
        <f>COUNTA('Distributed Load Tables'!$A$4:$A$1048576)</f>
        <v>0</v>
      </c>
      <c r="J21" s="185"/>
      <c r="K21" s="171"/>
      <c r="L21" s="260" t="s">
        <v>338</v>
      </c>
      <c r="M21" s="176">
        <f t="shared" si="15"/>
        <v>17</v>
      </c>
      <c r="N21" s="170" t="str">
        <f t="shared" si="0"/>
        <v>1.2D + 1.0W  | 330 deg</v>
      </c>
      <c r="O21" s="170" t="b">
        <v>1</v>
      </c>
      <c r="P21" s="170" t="str">
        <f t="shared" si="2"/>
        <v>Y</v>
      </c>
      <c r="Q21" s="170" t="str">
        <f t="shared" si="3"/>
        <v/>
      </c>
      <c r="R21" s="170">
        <f t="shared" si="4"/>
        <v>65</v>
      </c>
      <c r="S21" s="170">
        <f t="shared" si="5"/>
        <v>1.2</v>
      </c>
      <c r="T21" s="170">
        <f t="shared" si="6"/>
        <v>16</v>
      </c>
      <c r="U21" s="170">
        <f t="shared" si="7"/>
        <v>1</v>
      </c>
      <c r="V21" s="170">
        <f t="shared" si="8"/>
        <v>32</v>
      </c>
      <c r="W21" s="170">
        <f t="shared" si="9"/>
        <v>1</v>
      </c>
      <c r="X21" s="170" t="str">
        <f t="shared" si="10"/>
        <v/>
      </c>
      <c r="Y21" s="170" t="str">
        <f t="shared" si="11"/>
        <v/>
      </c>
      <c r="Z21" s="170" t="str">
        <f t="shared" si="12"/>
        <v/>
      </c>
      <c r="AA21" s="170" t="str">
        <f t="shared" si="13"/>
        <v/>
      </c>
      <c r="AC21" s="177">
        <v>17</v>
      </c>
      <c r="AD21" s="173" t="str">
        <f>CONCATENATE("1.2D + ",TEXT(IF(RIGHT(TIA,1)="G",1.6,1),"0.0"),"W  | 330 deg")</f>
        <v>1.2D + 1.0W  | 330 deg</v>
      </c>
      <c r="AE21" s="173" t="b">
        <v>1</v>
      </c>
      <c r="AF21" s="173" t="s">
        <v>170</v>
      </c>
      <c r="AG21" s="173"/>
      <c r="AH21" s="173">
        <v>65</v>
      </c>
      <c r="AI21" s="173">
        <v>1.2</v>
      </c>
      <c r="AJ21" s="173">
        <v>16</v>
      </c>
      <c r="AK21" s="173">
        <v>1</v>
      </c>
      <c r="AL21" s="173">
        <v>32</v>
      </c>
      <c r="AM21" s="173">
        <v>1</v>
      </c>
      <c r="AN21" s="173"/>
      <c r="AO21" s="173"/>
      <c r="AP21" s="173"/>
      <c r="AQ21" s="173"/>
      <c r="AS21" s="177">
        <v>17</v>
      </c>
      <c r="AT21" s="173" t="s">
        <v>1620</v>
      </c>
      <c r="AU21" s="173" t="b">
        <v>1</v>
      </c>
      <c r="AV21" s="173" t="s">
        <v>170</v>
      </c>
      <c r="AW21" s="173"/>
      <c r="AX21" s="173">
        <v>65</v>
      </c>
      <c r="AY21" s="173">
        <v>1.2</v>
      </c>
      <c r="AZ21" s="173">
        <v>16</v>
      </c>
      <c r="BA21" s="173">
        <v>1</v>
      </c>
      <c r="BB21" s="173">
        <v>32</v>
      </c>
      <c r="BC21" s="173">
        <v>1</v>
      </c>
      <c r="BD21" s="173"/>
      <c r="BE21" s="173"/>
      <c r="BF21" s="173"/>
      <c r="BG21" s="173"/>
      <c r="BI21" s="177">
        <v>17</v>
      </c>
      <c r="BJ21" s="173" t="str">
        <f>CONCATENATE("1.2D + ",TEXT(IF(RIGHT(TIA,1)="G",1.6,1),"0.0"),"W  | 330 deg")</f>
        <v>1.2D + 1.0W  | 330 deg</v>
      </c>
      <c r="BK21" s="173" t="b">
        <v>1</v>
      </c>
      <c r="BL21" s="173" t="s">
        <v>170</v>
      </c>
      <c r="BM21" s="173"/>
      <c r="BN21" s="173">
        <v>65</v>
      </c>
      <c r="BO21" s="173">
        <v>1.2</v>
      </c>
      <c r="BP21" s="173">
        <v>16</v>
      </c>
      <c r="BQ21" s="173">
        <v>1</v>
      </c>
      <c r="BR21" s="173">
        <v>32</v>
      </c>
      <c r="BS21" s="173">
        <v>1</v>
      </c>
      <c r="BT21" s="173"/>
      <c r="BU21" s="173"/>
      <c r="BV21" s="173"/>
      <c r="BW21" s="173"/>
      <c r="BY21" s="177">
        <v>17</v>
      </c>
      <c r="BZ21" s="247" t="s">
        <v>1621</v>
      </c>
      <c r="CA21" s="247" t="b">
        <v>1</v>
      </c>
      <c r="CB21" s="247" t="s">
        <v>170</v>
      </c>
      <c r="CC21" s="247"/>
      <c r="CD21" s="247">
        <v>65</v>
      </c>
      <c r="CE21" s="247">
        <v>1</v>
      </c>
      <c r="CF21" s="247">
        <v>16</v>
      </c>
      <c r="CG21" s="247">
        <v>0.6</v>
      </c>
      <c r="CH21" s="247">
        <v>32</v>
      </c>
      <c r="CI21" s="247">
        <v>0.6</v>
      </c>
      <c r="CJ21" s="247"/>
      <c r="CK21" s="247"/>
      <c r="CL21" s="247"/>
      <c r="CM21" s="247"/>
      <c r="CO21" s="177">
        <v>17</v>
      </c>
      <c r="CP21" s="247" t="s">
        <v>1621</v>
      </c>
      <c r="CQ21" s="247" t="b">
        <v>1</v>
      </c>
      <c r="CR21" s="247" t="s">
        <v>170</v>
      </c>
      <c r="CS21" s="247"/>
      <c r="CT21" s="247">
        <v>65</v>
      </c>
      <c r="CU21" s="247">
        <v>1</v>
      </c>
      <c r="CV21" s="247">
        <v>16</v>
      </c>
      <c r="CW21" s="247">
        <v>0.6</v>
      </c>
      <c r="CX21" s="247">
        <v>32</v>
      </c>
      <c r="CY21" s="247">
        <v>0.6</v>
      </c>
      <c r="CZ21" s="247"/>
      <c r="DA21" s="247"/>
      <c r="DB21" s="247"/>
      <c r="DC21" s="247"/>
      <c r="DE21" s="177">
        <v>17</v>
      </c>
      <c r="DF21" s="247" t="s">
        <v>1621</v>
      </c>
      <c r="DG21" s="247" t="b">
        <v>1</v>
      </c>
      <c r="DH21" s="247" t="s">
        <v>170</v>
      </c>
      <c r="DI21" s="247"/>
      <c r="DJ21" s="247">
        <v>65</v>
      </c>
      <c r="DK21" s="247">
        <v>1</v>
      </c>
      <c r="DL21" s="247">
        <v>16</v>
      </c>
      <c r="DM21" s="247">
        <v>0.6</v>
      </c>
      <c r="DN21" s="247">
        <v>32</v>
      </c>
      <c r="DO21" s="247">
        <v>0.6</v>
      </c>
      <c r="DP21" s="247"/>
      <c r="DQ21" s="247"/>
      <c r="DR21" s="247"/>
      <c r="DS21" s="247"/>
      <c r="DU21" s="177">
        <v>17</v>
      </c>
      <c r="DV21" s="173" t="str">
        <f t="shared" si="14"/>
        <v>1.2D + 1.6L + 0.5(Lr or S or R) (330 deg</v>
      </c>
      <c r="DW21" s="173">
        <v>1</v>
      </c>
      <c r="DX21" s="173" t="s">
        <v>170</v>
      </c>
      <c r="DY21" s="173"/>
      <c r="DZ21" s="173">
        <v>65</v>
      </c>
      <c r="EA21" s="173">
        <v>1.2</v>
      </c>
      <c r="EB21" s="173">
        <v>16</v>
      </c>
      <c r="EC21" s="173">
        <v>1</v>
      </c>
      <c r="ED21" s="173"/>
      <c r="EE21" s="173"/>
      <c r="EF21" s="173"/>
      <c r="EG21" s="173"/>
      <c r="EH21" s="173"/>
      <c r="EI21" s="173"/>
      <c r="EK21" s="2" t="s">
        <v>379</v>
      </c>
      <c r="EL21" s="2">
        <v>330</v>
      </c>
      <c r="EN21" s="177">
        <v>17</v>
      </c>
      <c r="GJ21" s="2" t="s">
        <v>381</v>
      </c>
      <c r="GK21" s="2" t="str">
        <f>_xlfn.CONCAT(GJ21," (",EL21," deg)")</f>
        <v>1.2D + 1.0W + 1.0G (330 deg)</v>
      </c>
      <c r="GL21" s="184"/>
    </row>
    <row r="22" spans="1:194" ht="18" customHeight="1" thickTop="1" x14ac:dyDescent="0.2">
      <c r="A22" s="165">
        <v>18</v>
      </c>
      <c r="B22" s="174" t="s">
        <v>414</v>
      </c>
      <c r="C22" s="174" t="s">
        <v>374</v>
      </c>
      <c r="D22" s="174"/>
      <c r="E22" s="174"/>
      <c r="F22" s="174"/>
      <c r="G22" s="174"/>
      <c r="H22" s="186"/>
      <c r="I22" s="186">
        <f>COUNTA('Distributed Load Tables'!$A$4:$A$1048576)</f>
        <v>0</v>
      </c>
      <c r="J22" s="186"/>
      <c r="K22" s="174"/>
      <c r="L22" s="2">
        <f>IF('Area Load Tables'!A4="",0,9)</f>
        <v>0</v>
      </c>
      <c r="M22" s="176">
        <f t="shared" si="15"/>
        <v>18</v>
      </c>
      <c r="N22" s="174" t="str">
        <f t="shared" si="0"/>
        <v>1.2D + 1.0Di + 1.0Wi  | 0 deg</v>
      </c>
      <c r="O22" s="174" t="b">
        <v>1</v>
      </c>
      <c r="P22" s="174" t="str">
        <f t="shared" si="2"/>
        <v>Y</v>
      </c>
      <c r="Q22" s="174" t="str">
        <f t="shared" si="3"/>
        <v/>
      </c>
      <c r="R22" s="174">
        <f t="shared" si="4"/>
        <v>65</v>
      </c>
      <c r="S22" s="174">
        <f t="shared" si="5"/>
        <v>1.2</v>
      </c>
      <c r="T22" s="174">
        <f t="shared" si="6"/>
        <v>66</v>
      </c>
      <c r="U22" s="174">
        <f t="shared" si="7"/>
        <v>1</v>
      </c>
      <c r="V22" s="174">
        <f t="shared" si="8"/>
        <v>33</v>
      </c>
      <c r="W22" s="174">
        <f t="shared" si="9"/>
        <v>1</v>
      </c>
      <c r="X22" s="174">
        <f t="shared" si="10"/>
        <v>49</v>
      </c>
      <c r="Y22" s="174">
        <f t="shared" si="11"/>
        <v>1</v>
      </c>
      <c r="Z22" s="174" t="str">
        <f t="shared" si="12"/>
        <v/>
      </c>
      <c r="AA22" s="174" t="str">
        <f t="shared" si="13"/>
        <v/>
      </c>
      <c r="AC22" s="178">
        <v>18</v>
      </c>
      <c r="AD22" s="175" t="s">
        <v>1400</v>
      </c>
      <c r="AE22" s="175" t="b">
        <v>1</v>
      </c>
      <c r="AF22" s="175" t="s">
        <v>170</v>
      </c>
      <c r="AG22" s="175"/>
      <c r="AH22" s="175">
        <v>65</v>
      </c>
      <c r="AI22" s="175">
        <v>1.2</v>
      </c>
      <c r="AJ22" s="175">
        <v>66</v>
      </c>
      <c r="AK22" s="175">
        <v>1</v>
      </c>
      <c r="AL22" s="175">
        <v>33</v>
      </c>
      <c r="AM22" s="175">
        <v>1</v>
      </c>
      <c r="AN22" s="175">
        <v>49</v>
      </c>
      <c r="AO22" s="175">
        <v>1</v>
      </c>
      <c r="AP22" s="175"/>
      <c r="AQ22" s="175"/>
      <c r="AS22" s="178">
        <v>18</v>
      </c>
      <c r="AT22" s="175" t="s">
        <v>1401</v>
      </c>
      <c r="AU22" s="175" t="b">
        <v>1</v>
      </c>
      <c r="AV22" s="175" t="s">
        <v>170</v>
      </c>
      <c r="AW22" s="175"/>
      <c r="AX22" s="175">
        <v>65</v>
      </c>
      <c r="AY22" s="175">
        <v>0.9</v>
      </c>
      <c r="AZ22" s="175">
        <v>1</v>
      </c>
      <c r="BA22" s="175">
        <v>1</v>
      </c>
      <c r="BB22" s="175">
        <v>17</v>
      </c>
      <c r="BC22" s="175">
        <v>1</v>
      </c>
      <c r="BD22" s="175"/>
      <c r="BE22" s="175"/>
      <c r="BF22" s="175"/>
      <c r="BG22" s="175"/>
      <c r="BI22" s="178">
        <v>18</v>
      </c>
      <c r="BJ22" s="175" t="s">
        <v>1400</v>
      </c>
      <c r="BK22" s="175" t="b">
        <v>1</v>
      </c>
      <c r="BL22" s="175" t="s">
        <v>170</v>
      </c>
      <c r="BM22" s="175"/>
      <c r="BN22" s="175">
        <v>65</v>
      </c>
      <c r="BO22" s="175">
        <v>1.2</v>
      </c>
      <c r="BP22" s="175">
        <v>66</v>
      </c>
      <c r="BQ22" s="175">
        <v>1</v>
      </c>
      <c r="BR22" s="175">
        <v>33</v>
      </c>
      <c r="BS22" s="175">
        <v>1</v>
      </c>
      <c r="BT22" s="175">
        <v>49</v>
      </c>
      <c r="BU22" s="175">
        <v>1</v>
      </c>
      <c r="BV22" s="175"/>
      <c r="BW22" s="175"/>
      <c r="BY22" s="178">
        <v>18</v>
      </c>
      <c r="BZ22" s="248" t="s">
        <v>1402</v>
      </c>
      <c r="CA22" s="248" t="b">
        <v>1</v>
      </c>
      <c r="CB22" s="248" t="s">
        <v>170</v>
      </c>
      <c r="CC22" s="248"/>
      <c r="CD22" s="248">
        <v>65</v>
      </c>
      <c r="CE22" s="248">
        <v>1</v>
      </c>
      <c r="CF22" s="248">
        <v>66</v>
      </c>
      <c r="CG22" s="248">
        <v>0.7</v>
      </c>
      <c r="CH22" s="248">
        <v>33</v>
      </c>
      <c r="CI22" s="248">
        <v>0.7</v>
      </c>
      <c r="CJ22" s="248">
        <v>49</v>
      </c>
      <c r="CK22" s="248">
        <v>0.7</v>
      </c>
      <c r="CL22" s="248"/>
      <c r="CM22" s="248"/>
      <c r="CO22" s="178">
        <v>18</v>
      </c>
      <c r="CP22" s="248" t="s">
        <v>1402</v>
      </c>
      <c r="CQ22" s="248" t="b">
        <v>1</v>
      </c>
      <c r="CR22" s="248" t="s">
        <v>170</v>
      </c>
      <c r="CS22" s="248"/>
      <c r="CT22" s="248">
        <v>65</v>
      </c>
      <c r="CU22" s="248">
        <v>1</v>
      </c>
      <c r="CV22" s="248">
        <v>66</v>
      </c>
      <c r="CW22" s="248">
        <v>0.7</v>
      </c>
      <c r="CX22" s="248">
        <v>33</v>
      </c>
      <c r="CY22" s="248">
        <v>0.7</v>
      </c>
      <c r="CZ22" s="248">
        <v>49</v>
      </c>
      <c r="DA22" s="248">
        <v>0.7</v>
      </c>
      <c r="DB22" s="248"/>
      <c r="DC22" s="248"/>
      <c r="DE22" s="178">
        <v>18</v>
      </c>
      <c r="DF22" s="248" t="s">
        <v>1402</v>
      </c>
      <c r="DG22" s="248" t="b">
        <v>1</v>
      </c>
      <c r="DH22" s="248" t="s">
        <v>170</v>
      </c>
      <c r="DI22" s="248"/>
      <c r="DJ22" s="248">
        <v>65</v>
      </c>
      <c r="DK22" s="248">
        <v>1</v>
      </c>
      <c r="DL22" s="248">
        <v>66</v>
      </c>
      <c r="DM22" s="248">
        <v>0.7</v>
      </c>
      <c r="DN22" s="248">
        <v>33</v>
      </c>
      <c r="DO22" s="248">
        <v>0.7</v>
      </c>
      <c r="DP22" s="248">
        <v>49</v>
      </c>
      <c r="DQ22" s="248">
        <v>0.7</v>
      </c>
      <c r="DR22" s="248"/>
      <c r="DS22" s="248"/>
      <c r="DU22" s="178">
        <v>18</v>
      </c>
      <c r="DV22" s="175" t="str">
        <f t="shared" si="14"/>
        <v>1.2D + 1.6(Lr or S or R) + (L or 0.5W) (0 deg</v>
      </c>
      <c r="DW22" s="175">
        <v>1</v>
      </c>
      <c r="DX22" s="175" t="s">
        <v>170</v>
      </c>
      <c r="DY22" s="175"/>
      <c r="DZ22" s="175">
        <v>65</v>
      </c>
      <c r="EA22" s="175">
        <v>1.2</v>
      </c>
      <c r="EB22" s="175">
        <v>66</v>
      </c>
      <c r="EC22" s="175">
        <v>1</v>
      </c>
      <c r="ED22" s="175">
        <v>17</v>
      </c>
      <c r="EE22" s="175">
        <v>1</v>
      </c>
      <c r="EF22" s="175"/>
      <c r="EG22" s="175"/>
      <c r="EH22" s="175"/>
      <c r="EI22" s="175"/>
      <c r="EK22" s="2" t="s">
        <v>415</v>
      </c>
      <c r="EL22" s="2">
        <v>0</v>
      </c>
      <c r="EN22" s="178">
        <v>18</v>
      </c>
      <c r="GJ22" s="2" t="s">
        <v>416</v>
      </c>
      <c r="GK22" s="2" t="s">
        <v>416</v>
      </c>
      <c r="GL22" s="184" t="s">
        <v>417</v>
      </c>
    </row>
    <row r="23" spans="1:194" ht="18" customHeight="1" x14ac:dyDescent="0.2">
      <c r="A23" s="165">
        <v>19</v>
      </c>
      <c r="B23" s="170" t="s">
        <v>418</v>
      </c>
      <c r="C23" s="171" t="s">
        <v>374</v>
      </c>
      <c r="D23" s="171"/>
      <c r="E23" s="171"/>
      <c r="F23" s="171"/>
      <c r="G23" s="171"/>
      <c r="H23" s="185"/>
      <c r="I23" s="185">
        <f>COUNTA('Distributed Load Tables'!$A$4:$A$1048576)</f>
        <v>0</v>
      </c>
      <c r="J23" s="185"/>
      <c r="K23" s="171"/>
      <c r="M23" s="176">
        <f t="shared" si="15"/>
        <v>19</v>
      </c>
      <c r="N23" s="170" t="str">
        <f t="shared" si="0"/>
        <v>1.2D + 1.0Di + 1.0Wi  | 30 deg</v>
      </c>
      <c r="O23" s="170" t="b">
        <v>1</v>
      </c>
      <c r="P23" s="170" t="str">
        <f t="shared" si="2"/>
        <v>Y</v>
      </c>
      <c r="Q23" s="170" t="str">
        <f t="shared" si="3"/>
        <v/>
      </c>
      <c r="R23" s="170">
        <f t="shared" si="4"/>
        <v>65</v>
      </c>
      <c r="S23" s="170">
        <f t="shared" si="5"/>
        <v>1.2</v>
      </c>
      <c r="T23" s="170">
        <f t="shared" si="6"/>
        <v>66</v>
      </c>
      <c r="U23" s="170">
        <f t="shared" si="7"/>
        <v>1</v>
      </c>
      <c r="V23" s="170">
        <f t="shared" si="8"/>
        <v>34</v>
      </c>
      <c r="W23" s="170">
        <f t="shared" si="9"/>
        <v>1</v>
      </c>
      <c r="X23" s="170">
        <f t="shared" si="10"/>
        <v>50</v>
      </c>
      <c r="Y23" s="170">
        <f t="shared" si="11"/>
        <v>1</v>
      </c>
      <c r="Z23" s="170" t="str">
        <f t="shared" si="12"/>
        <v/>
      </c>
      <c r="AA23" s="170" t="str">
        <f t="shared" si="13"/>
        <v/>
      </c>
      <c r="AC23" s="176">
        <v>19</v>
      </c>
      <c r="AD23" s="170" t="s">
        <v>1622</v>
      </c>
      <c r="AE23" s="170" t="b">
        <v>1</v>
      </c>
      <c r="AF23" s="170" t="s">
        <v>170</v>
      </c>
      <c r="AG23" s="170"/>
      <c r="AH23" s="170">
        <v>65</v>
      </c>
      <c r="AI23" s="170">
        <v>1.2</v>
      </c>
      <c r="AJ23" s="170">
        <v>66</v>
      </c>
      <c r="AK23" s="170">
        <v>1</v>
      </c>
      <c r="AL23" s="170">
        <v>34</v>
      </c>
      <c r="AM23" s="170">
        <v>1</v>
      </c>
      <c r="AN23" s="170">
        <v>50</v>
      </c>
      <c r="AO23" s="170">
        <v>1</v>
      </c>
      <c r="AP23" s="170"/>
      <c r="AQ23" s="170"/>
      <c r="AS23" s="176">
        <v>19</v>
      </c>
      <c r="AT23" s="170" t="s">
        <v>1623</v>
      </c>
      <c r="AU23" s="170" t="b">
        <v>1</v>
      </c>
      <c r="AV23" s="170" t="s">
        <v>170</v>
      </c>
      <c r="AW23" s="170"/>
      <c r="AX23" s="170">
        <v>65</v>
      </c>
      <c r="AY23" s="170">
        <v>0.9</v>
      </c>
      <c r="AZ23" s="170">
        <v>2</v>
      </c>
      <c r="BA23" s="170">
        <v>1</v>
      </c>
      <c r="BB23" s="170">
        <v>18</v>
      </c>
      <c r="BC23" s="170">
        <v>1</v>
      </c>
      <c r="BD23" s="170"/>
      <c r="BE23" s="170"/>
      <c r="BF23" s="170"/>
      <c r="BG23" s="170"/>
      <c r="BI23" s="176">
        <v>19</v>
      </c>
      <c r="BJ23" s="170" t="s">
        <v>1622</v>
      </c>
      <c r="BK23" s="170" t="b">
        <v>1</v>
      </c>
      <c r="BL23" s="170" t="s">
        <v>170</v>
      </c>
      <c r="BM23" s="170"/>
      <c r="BN23" s="170">
        <v>65</v>
      </c>
      <c r="BO23" s="170">
        <v>1.2</v>
      </c>
      <c r="BP23" s="170">
        <v>66</v>
      </c>
      <c r="BQ23" s="170">
        <v>1</v>
      </c>
      <c r="BR23" s="170">
        <v>34</v>
      </c>
      <c r="BS23" s="170">
        <v>1</v>
      </c>
      <c r="BT23" s="170">
        <v>50</v>
      </c>
      <c r="BU23" s="170">
        <v>1</v>
      </c>
      <c r="BV23" s="170"/>
      <c r="BW23" s="170"/>
      <c r="BY23" s="176">
        <v>19</v>
      </c>
      <c r="BZ23" s="246" t="s">
        <v>1624</v>
      </c>
      <c r="CA23" s="246" t="b">
        <v>1</v>
      </c>
      <c r="CB23" s="246" t="s">
        <v>170</v>
      </c>
      <c r="CC23" s="246"/>
      <c r="CD23" s="246">
        <v>65</v>
      </c>
      <c r="CE23" s="246">
        <v>1</v>
      </c>
      <c r="CF23" s="246">
        <v>66</v>
      </c>
      <c r="CG23" s="246">
        <v>0.7</v>
      </c>
      <c r="CH23" s="246">
        <v>34</v>
      </c>
      <c r="CI23" s="246">
        <v>0.7</v>
      </c>
      <c r="CJ23" s="246">
        <v>50</v>
      </c>
      <c r="CK23" s="246">
        <v>0.7</v>
      </c>
      <c r="CL23" s="246"/>
      <c r="CM23" s="246"/>
      <c r="CO23" s="176">
        <v>19</v>
      </c>
      <c r="CP23" s="246" t="s">
        <v>1624</v>
      </c>
      <c r="CQ23" s="246" t="b">
        <v>1</v>
      </c>
      <c r="CR23" s="246" t="s">
        <v>170</v>
      </c>
      <c r="CS23" s="246"/>
      <c r="CT23" s="246">
        <v>65</v>
      </c>
      <c r="CU23" s="246">
        <v>1</v>
      </c>
      <c r="CV23" s="246">
        <v>66</v>
      </c>
      <c r="CW23" s="246">
        <v>0.7</v>
      </c>
      <c r="CX23" s="246">
        <v>34</v>
      </c>
      <c r="CY23" s="246">
        <v>0.7</v>
      </c>
      <c r="CZ23" s="246">
        <v>50</v>
      </c>
      <c r="DA23" s="246">
        <v>0.7</v>
      </c>
      <c r="DB23" s="246"/>
      <c r="DC23" s="246"/>
      <c r="DE23" s="176">
        <v>19</v>
      </c>
      <c r="DF23" s="246" t="s">
        <v>1624</v>
      </c>
      <c r="DG23" s="246" t="b">
        <v>1</v>
      </c>
      <c r="DH23" s="246" t="s">
        <v>170</v>
      </c>
      <c r="DI23" s="246"/>
      <c r="DJ23" s="246">
        <v>65</v>
      </c>
      <c r="DK23" s="246">
        <v>1</v>
      </c>
      <c r="DL23" s="246">
        <v>66</v>
      </c>
      <c r="DM23" s="246">
        <v>0.7</v>
      </c>
      <c r="DN23" s="246">
        <v>34</v>
      </c>
      <c r="DO23" s="246">
        <v>0.7</v>
      </c>
      <c r="DP23" s="246">
        <v>50</v>
      </c>
      <c r="DQ23" s="246">
        <v>0.7</v>
      </c>
      <c r="DR23" s="246"/>
      <c r="DS23" s="246"/>
      <c r="DU23" s="176">
        <v>19</v>
      </c>
      <c r="DV23" s="170" t="str">
        <f t="shared" si="14"/>
        <v>1.2D + 1.6(Lr or S or R) + (L or 0.5W) (30 deg</v>
      </c>
      <c r="DW23" s="170">
        <v>1</v>
      </c>
      <c r="DX23" s="170" t="s">
        <v>170</v>
      </c>
      <c r="DY23" s="170"/>
      <c r="DZ23" s="170">
        <v>65</v>
      </c>
      <c r="EA23" s="170">
        <v>1.2</v>
      </c>
      <c r="EB23" s="170">
        <v>66</v>
      </c>
      <c r="EC23" s="170">
        <v>1</v>
      </c>
      <c r="ED23" s="170">
        <v>18</v>
      </c>
      <c r="EE23" s="170">
        <v>1</v>
      </c>
      <c r="EF23" s="170"/>
      <c r="EG23" s="170"/>
      <c r="EH23" s="170"/>
      <c r="EI23" s="170"/>
      <c r="EK23" s="2" t="s">
        <v>415</v>
      </c>
      <c r="EL23" s="2">
        <v>30</v>
      </c>
      <c r="EN23" s="176">
        <v>19</v>
      </c>
      <c r="GJ23" s="2" t="s">
        <v>419</v>
      </c>
      <c r="GK23" s="2" t="str">
        <f>_xlfn.CONCAT(GJ23," (",EL6," deg)")</f>
        <v>1.2D + 1.0W + 1.0Di + 1.0T + 1.0G (0 deg)</v>
      </c>
      <c r="GL23" s="184" t="s">
        <v>420</v>
      </c>
    </row>
    <row r="24" spans="1:194" ht="18" customHeight="1" x14ac:dyDescent="0.2">
      <c r="A24" s="165">
        <v>20</v>
      </c>
      <c r="B24" s="174" t="s">
        <v>421</v>
      </c>
      <c r="C24" s="174" t="s">
        <v>374</v>
      </c>
      <c r="D24" s="174"/>
      <c r="E24" s="174"/>
      <c r="F24" s="174"/>
      <c r="G24" s="174"/>
      <c r="H24" s="186"/>
      <c r="I24" s="186">
        <f>COUNTA('Distributed Load Tables'!$A$4:$A$1048576)</f>
        <v>0</v>
      </c>
      <c r="J24" s="186"/>
      <c r="K24" s="174"/>
      <c r="L24" s="263"/>
      <c r="M24" s="176">
        <f t="shared" si="15"/>
        <v>20</v>
      </c>
      <c r="N24" s="174" t="str">
        <f t="shared" si="0"/>
        <v>1.2D + 1.0Di + 1.0Wi  | 45 deg</v>
      </c>
      <c r="O24" s="174" t="b">
        <v>1</v>
      </c>
      <c r="P24" s="174" t="str">
        <f t="shared" si="2"/>
        <v>Y</v>
      </c>
      <c r="Q24" s="174" t="str">
        <f t="shared" si="3"/>
        <v/>
      </c>
      <c r="R24" s="174">
        <f t="shared" si="4"/>
        <v>65</v>
      </c>
      <c r="S24" s="174">
        <f t="shared" si="5"/>
        <v>1.2</v>
      </c>
      <c r="T24" s="174">
        <f t="shared" si="6"/>
        <v>66</v>
      </c>
      <c r="U24" s="174">
        <f t="shared" si="7"/>
        <v>1</v>
      </c>
      <c r="V24" s="174">
        <f t="shared" si="8"/>
        <v>35</v>
      </c>
      <c r="W24" s="174">
        <f t="shared" si="9"/>
        <v>1</v>
      </c>
      <c r="X24" s="174">
        <f t="shared" si="10"/>
        <v>51</v>
      </c>
      <c r="Y24" s="174">
        <f t="shared" si="11"/>
        <v>1</v>
      </c>
      <c r="Z24" s="174" t="str">
        <f t="shared" si="12"/>
        <v/>
      </c>
      <c r="AA24" s="174" t="str">
        <f t="shared" si="13"/>
        <v/>
      </c>
      <c r="AC24" s="176">
        <v>20</v>
      </c>
      <c r="AD24" s="174" t="s">
        <v>1712</v>
      </c>
      <c r="AE24" s="174" t="b">
        <v>1</v>
      </c>
      <c r="AF24" s="174" t="s">
        <v>170</v>
      </c>
      <c r="AG24" s="174"/>
      <c r="AH24" s="174">
        <v>65</v>
      </c>
      <c r="AI24" s="174">
        <v>1.2</v>
      </c>
      <c r="AJ24" s="174">
        <v>66</v>
      </c>
      <c r="AK24" s="174">
        <v>1</v>
      </c>
      <c r="AL24" s="174">
        <v>35</v>
      </c>
      <c r="AM24" s="174">
        <v>1</v>
      </c>
      <c r="AN24" s="174">
        <v>51</v>
      </c>
      <c r="AO24" s="174">
        <v>1</v>
      </c>
      <c r="AP24" s="174"/>
      <c r="AQ24" s="174"/>
      <c r="AS24" s="176">
        <v>20</v>
      </c>
      <c r="AT24" s="174" t="s">
        <v>1713</v>
      </c>
      <c r="AU24" s="174"/>
      <c r="AV24" s="174" t="s">
        <v>170</v>
      </c>
      <c r="AW24" s="174"/>
      <c r="AX24" s="174">
        <v>65</v>
      </c>
      <c r="AY24" s="174">
        <v>0.9</v>
      </c>
      <c r="AZ24" s="174">
        <v>3</v>
      </c>
      <c r="BA24" s="174">
        <v>1</v>
      </c>
      <c r="BB24" s="174">
        <v>19</v>
      </c>
      <c r="BC24" s="174">
        <v>1</v>
      </c>
      <c r="BD24" s="174"/>
      <c r="BE24" s="174"/>
      <c r="BF24" s="174"/>
      <c r="BG24" s="174"/>
      <c r="BI24" s="176">
        <v>20</v>
      </c>
      <c r="BJ24" s="174" t="s">
        <v>1712</v>
      </c>
      <c r="BK24" s="174" t="b">
        <v>1</v>
      </c>
      <c r="BL24" s="174" t="s">
        <v>170</v>
      </c>
      <c r="BM24" s="174"/>
      <c r="BN24" s="174">
        <v>65</v>
      </c>
      <c r="BO24" s="174">
        <v>1.2</v>
      </c>
      <c r="BP24" s="174">
        <v>66</v>
      </c>
      <c r="BQ24" s="174">
        <v>1</v>
      </c>
      <c r="BR24" s="174">
        <v>35</v>
      </c>
      <c r="BS24" s="174">
        <v>1</v>
      </c>
      <c r="BT24" s="174">
        <v>51</v>
      </c>
      <c r="BU24" s="174">
        <v>1</v>
      </c>
      <c r="BV24" s="174"/>
      <c r="BW24" s="174"/>
      <c r="BY24" s="176">
        <v>20</v>
      </c>
      <c r="BZ24" s="249" t="s">
        <v>1714</v>
      </c>
      <c r="CA24" s="249" t="b">
        <v>1</v>
      </c>
      <c r="CB24" s="249" t="s">
        <v>170</v>
      </c>
      <c r="CC24" s="249"/>
      <c r="CD24" s="249">
        <v>65</v>
      </c>
      <c r="CE24" s="249">
        <v>1</v>
      </c>
      <c r="CF24" s="249">
        <v>66</v>
      </c>
      <c r="CG24" s="249">
        <v>0.7</v>
      </c>
      <c r="CH24" s="249">
        <v>35</v>
      </c>
      <c r="CI24" s="249">
        <v>0.7</v>
      </c>
      <c r="CJ24" s="249">
        <v>51</v>
      </c>
      <c r="CK24" s="249">
        <v>0.7</v>
      </c>
      <c r="CL24" s="249"/>
      <c r="CM24" s="249"/>
      <c r="CO24" s="176">
        <v>20</v>
      </c>
      <c r="CP24" s="249" t="s">
        <v>1714</v>
      </c>
      <c r="CQ24" s="249" t="b">
        <v>1</v>
      </c>
      <c r="CR24" s="249" t="s">
        <v>170</v>
      </c>
      <c r="CS24" s="249"/>
      <c r="CT24" s="249">
        <v>65</v>
      </c>
      <c r="CU24" s="249">
        <v>1</v>
      </c>
      <c r="CV24" s="249">
        <v>66</v>
      </c>
      <c r="CW24" s="249">
        <v>0.7</v>
      </c>
      <c r="CX24" s="249">
        <v>35</v>
      </c>
      <c r="CY24" s="249">
        <v>0.7</v>
      </c>
      <c r="CZ24" s="249">
        <v>51</v>
      </c>
      <c r="DA24" s="249">
        <v>0.7</v>
      </c>
      <c r="DB24" s="249"/>
      <c r="DC24" s="249"/>
      <c r="DE24" s="176">
        <v>20</v>
      </c>
      <c r="DF24" s="249" t="s">
        <v>1714</v>
      </c>
      <c r="DG24" s="249" t="b">
        <v>1</v>
      </c>
      <c r="DH24" s="249" t="s">
        <v>170</v>
      </c>
      <c r="DI24" s="249"/>
      <c r="DJ24" s="249">
        <v>65</v>
      </c>
      <c r="DK24" s="249">
        <v>1</v>
      </c>
      <c r="DL24" s="249">
        <v>66</v>
      </c>
      <c r="DM24" s="249">
        <v>0.7</v>
      </c>
      <c r="DN24" s="249">
        <v>35</v>
      </c>
      <c r="DO24" s="249">
        <v>0.7</v>
      </c>
      <c r="DP24" s="249">
        <v>51</v>
      </c>
      <c r="DQ24" s="249">
        <v>0.7</v>
      </c>
      <c r="DR24" s="249"/>
      <c r="DS24" s="249"/>
      <c r="DU24" s="176">
        <v>20</v>
      </c>
      <c r="DV24" s="174" t="str">
        <f t="shared" si="14"/>
        <v>1.2D + 1.6(Lr or S or R) + (L or 0.5W) (45 deg</v>
      </c>
      <c r="DW24" s="174">
        <v>1</v>
      </c>
      <c r="DX24" s="174" t="s">
        <v>170</v>
      </c>
      <c r="DY24" s="174"/>
      <c r="DZ24" s="174">
        <v>65</v>
      </c>
      <c r="EA24" s="174">
        <v>1.2</v>
      </c>
      <c r="EB24" s="174">
        <v>66</v>
      </c>
      <c r="EC24" s="174">
        <v>1</v>
      </c>
      <c r="ED24" s="174">
        <v>19</v>
      </c>
      <c r="EE24" s="174">
        <v>1</v>
      </c>
      <c r="EF24" s="174"/>
      <c r="EG24" s="174"/>
      <c r="EH24" s="174"/>
      <c r="EI24" s="174"/>
      <c r="EK24" s="2" t="s">
        <v>415</v>
      </c>
      <c r="EL24" s="2">
        <v>45</v>
      </c>
      <c r="EN24" s="176">
        <v>20</v>
      </c>
      <c r="GJ24" s="2" t="s">
        <v>419</v>
      </c>
      <c r="GK24" s="2" t="str">
        <f t="shared" ref="GK24:GK37" si="17">_xlfn.CONCAT(GJ24," (",EL7," deg)")</f>
        <v>1.2D + 1.0W + 1.0Di + 1.0T + 1.0G (30 deg)</v>
      </c>
      <c r="GL24" s="184" t="s">
        <v>422</v>
      </c>
    </row>
    <row r="25" spans="1:194" ht="18" customHeight="1" x14ac:dyDescent="0.2">
      <c r="A25" s="165">
        <v>21</v>
      </c>
      <c r="B25" s="170" t="s">
        <v>423</v>
      </c>
      <c r="C25" s="171" t="s">
        <v>374</v>
      </c>
      <c r="D25" s="171"/>
      <c r="E25" s="171"/>
      <c r="F25" s="171"/>
      <c r="G25" s="171"/>
      <c r="H25" s="185"/>
      <c r="I25" s="185">
        <f>COUNTA('Distributed Load Tables'!$A$4:$A$1048576)</f>
        <v>0</v>
      </c>
      <c r="J25" s="185"/>
      <c r="K25" s="171"/>
      <c r="M25" s="176">
        <f t="shared" si="15"/>
        <v>21</v>
      </c>
      <c r="N25" s="170" t="str">
        <f t="shared" si="0"/>
        <v>1.2D + 1.0Di + 1.0Wi  | 60 deg</v>
      </c>
      <c r="O25" s="170" t="b">
        <v>1</v>
      </c>
      <c r="P25" s="170" t="str">
        <f t="shared" si="2"/>
        <v>Y</v>
      </c>
      <c r="Q25" s="170" t="str">
        <f t="shared" si="3"/>
        <v/>
      </c>
      <c r="R25" s="170">
        <f t="shared" si="4"/>
        <v>65</v>
      </c>
      <c r="S25" s="170">
        <f t="shared" si="5"/>
        <v>1.2</v>
      </c>
      <c r="T25" s="170">
        <f t="shared" si="6"/>
        <v>66</v>
      </c>
      <c r="U25" s="170">
        <f t="shared" si="7"/>
        <v>1</v>
      </c>
      <c r="V25" s="170">
        <f t="shared" si="8"/>
        <v>36</v>
      </c>
      <c r="W25" s="170">
        <f t="shared" si="9"/>
        <v>1</v>
      </c>
      <c r="X25" s="170">
        <f t="shared" si="10"/>
        <v>52</v>
      </c>
      <c r="Y25" s="170">
        <f t="shared" si="11"/>
        <v>1</v>
      </c>
      <c r="Z25" s="170" t="str">
        <f t="shared" si="12"/>
        <v/>
      </c>
      <c r="AA25" s="170" t="str">
        <f t="shared" si="13"/>
        <v/>
      </c>
      <c r="AC25" s="176">
        <v>21</v>
      </c>
      <c r="AD25" s="170" t="s">
        <v>1736</v>
      </c>
      <c r="AE25" s="170" t="b">
        <v>1</v>
      </c>
      <c r="AF25" s="170" t="s">
        <v>170</v>
      </c>
      <c r="AG25" s="170"/>
      <c r="AH25" s="170">
        <v>65</v>
      </c>
      <c r="AI25" s="170">
        <v>1.2</v>
      </c>
      <c r="AJ25" s="170">
        <v>66</v>
      </c>
      <c r="AK25" s="170">
        <v>1</v>
      </c>
      <c r="AL25" s="170">
        <v>36</v>
      </c>
      <c r="AM25" s="170">
        <v>1</v>
      </c>
      <c r="AN25" s="170">
        <v>52</v>
      </c>
      <c r="AO25" s="170">
        <v>1</v>
      </c>
      <c r="AP25" s="170"/>
      <c r="AQ25" s="170"/>
      <c r="AS25" s="176">
        <v>21</v>
      </c>
      <c r="AT25" s="170" t="s">
        <v>1737</v>
      </c>
      <c r="AU25" s="170" t="b">
        <v>1</v>
      </c>
      <c r="AV25" s="170" t="s">
        <v>170</v>
      </c>
      <c r="AW25" s="170"/>
      <c r="AX25" s="170">
        <v>65</v>
      </c>
      <c r="AY25" s="170">
        <v>0.9</v>
      </c>
      <c r="AZ25" s="170">
        <v>4</v>
      </c>
      <c r="BA25" s="170">
        <v>1</v>
      </c>
      <c r="BB25" s="170">
        <v>20</v>
      </c>
      <c r="BC25" s="170">
        <v>1</v>
      </c>
      <c r="BD25" s="170"/>
      <c r="BE25" s="170"/>
      <c r="BF25" s="170"/>
      <c r="BG25" s="170"/>
      <c r="BI25" s="176">
        <v>21</v>
      </c>
      <c r="BJ25" s="170" t="s">
        <v>1736</v>
      </c>
      <c r="BK25" s="170" t="b">
        <v>1</v>
      </c>
      <c r="BL25" s="170" t="s">
        <v>170</v>
      </c>
      <c r="BM25" s="170"/>
      <c r="BN25" s="170">
        <v>65</v>
      </c>
      <c r="BO25" s="170">
        <v>1.2</v>
      </c>
      <c r="BP25" s="170">
        <v>66</v>
      </c>
      <c r="BQ25" s="170">
        <v>1</v>
      </c>
      <c r="BR25" s="170">
        <v>36</v>
      </c>
      <c r="BS25" s="170">
        <v>1</v>
      </c>
      <c r="BT25" s="170">
        <v>52</v>
      </c>
      <c r="BU25" s="170">
        <v>1</v>
      </c>
      <c r="BV25" s="170"/>
      <c r="BW25" s="170"/>
      <c r="BY25" s="176">
        <v>21</v>
      </c>
      <c r="BZ25" s="246" t="s">
        <v>1738</v>
      </c>
      <c r="CA25" s="246" t="b">
        <v>1</v>
      </c>
      <c r="CB25" s="246" t="s">
        <v>170</v>
      </c>
      <c r="CC25" s="246"/>
      <c r="CD25" s="246">
        <v>65</v>
      </c>
      <c r="CE25" s="246">
        <v>1</v>
      </c>
      <c r="CF25" s="246">
        <v>66</v>
      </c>
      <c r="CG25" s="246">
        <v>0.7</v>
      </c>
      <c r="CH25" s="246">
        <v>36</v>
      </c>
      <c r="CI25" s="246">
        <v>0.7</v>
      </c>
      <c r="CJ25" s="246">
        <v>52</v>
      </c>
      <c r="CK25" s="246">
        <v>0.7</v>
      </c>
      <c r="CL25" s="246"/>
      <c r="CM25" s="246"/>
      <c r="CO25" s="176">
        <v>21</v>
      </c>
      <c r="CP25" s="246" t="s">
        <v>1738</v>
      </c>
      <c r="CQ25" s="246" t="b">
        <v>1</v>
      </c>
      <c r="CR25" s="246" t="s">
        <v>170</v>
      </c>
      <c r="CS25" s="246"/>
      <c r="CT25" s="246">
        <v>65</v>
      </c>
      <c r="CU25" s="246">
        <v>1</v>
      </c>
      <c r="CV25" s="246">
        <v>66</v>
      </c>
      <c r="CW25" s="246">
        <v>0.7</v>
      </c>
      <c r="CX25" s="246">
        <v>36</v>
      </c>
      <c r="CY25" s="246">
        <v>0.7</v>
      </c>
      <c r="CZ25" s="246">
        <v>52</v>
      </c>
      <c r="DA25" s="246">
        <v>0.7</v>
      </c>
      <c r="DB25" s="246"/>
      <c r="DC25" s="246"/>
      <c r="DE25" s="176">
        <v>21</v>
      </c>
      <c r="DF25" s="246" t="s">
        <v>1738</v>
      </c>
      <c r="DG25" s="246" t="b">
        <v>1</v>
      </c>
      <c r="DH25" s="246" t="s">
        <v>170</v>
      </c>
      <c r="DI25" s="246"/>
      <c r="DJ25" s="246">
        <v>65</v>
      </c>
      <c r="DK25" s="246">
        <v>1</v>
      </c>
      <c r="DL25" s="246">
        <v>66</v>
      </c>
      <c r="DM25" s="246">
        <v>0.7</v>
      </c>
      <c r="DN25" s="246">
        <v>36</v>
      </c>
      <c r="DO25" s="246">
        <v>0.7</v>
      </c>
      <c r="DP25" s="246">
        <v>52</v>
      </c>
      <c r="DQ25" s="246">
        <v>0.7</v>
      </c>
      <c r="DR25" s="246"/>
      <c r="DS25" s="246"/>
      <c r="DU25" s="176">
        <v>21</v>
      </c>
      <c r="DV25" s="170" t="str">
        <f t="shared" si="14"/>
        <v>1.2D + 1.6(Lr or S or R) + (L or 0.5W) (60 deg</v>
      </c>
      <c r="DW25" s="170">
        <v>1</v>
      </c>
      <c r="DX25" s="170" t="s">
        <v>170</v>
      </c>
      <c r="DY25" s="170"/>
      <c r="DZ25" s="170">
        <v>65</v>
      </c>
      <c r="EA25" s="170">
        <v>1.2</v>
      </c>
      <c r="EB25" s="170">
        <v>66</v>
      </c>
      <c r="EC25" s="170">
        <v>1</v>
      </c>
      <c r="ED25" s="170">
        <v>20</v>
      </c>
      <c r="EE25" s="170">
        <v>1</v>
      </c>
      <c r="EF25" s="170"/>
      <c r="EG25" s="170"/>
      <c r="EH25" s="170"/>
      <c r="EI25" s="170"/>
      <c r="EK25" s="2" t="s">
        <v>415</v>
      </c>
      <c r="EL25" s="2">
        <v>60</v>
      </c>
      <c r="EN25" s="176">
        <v>21</v>
      </c>
      <c r="GJ25" s="2" t="s">
        <v>419</v>
      </c>
      <c r="GK25" s="2" t="str">
        <f t="shared" si="17"/>
        <v>1.2D + 1.0W + 1.0Di + 1.0T + 1.0G (45 deg)</v>
      </c>
      <c r="GL25" s="184" t="s">
        <v>424</v>
      </c>
    </row>
    <row r="26" spans="1:194" ht="18" customHeight="1" x14ac:dyDescent="0.2">
      <c r="A26" s="165">
        <v>22</v>
      </c>
      <c r="B26" s="174" t="s">
        <v>425</v>
      </c>
      <c r="C26" s="174" t="s">
        <v>374</v>
      </c>
      <c r="D26" s="174"/>
      <c r="E26" s="174"/>
      <c r="F26" s="174"/>
      <c r="G26" s="174"/>
      <c r="H26" s="186"/>
      <c r="I26" s="186">
        <f>COUNTA('Distributed Load Tables'!$A$4:$A$1048576)</f>
        <v>0</v>
      </c>
      <c r="J26" s="186"/>
      <c r="K26" s="174"/>
      <c r="M26" s="176">
        <f t="shared" si="15"/>
        <v>22</v>
      </c>
      <c r="N26" s="174" t="str">
        <f t="shared" si="0"/>
        <v>1.2D + 1.0Di + 1.0Wi  | 90 deg</v>
      </c>
      <c r="O26" s="174" t="b">
        <v>1</v>
      </c>
      <c r="P26" s="174" t="str">
        <f t="shared" si="2"/>
        <v>Y</v>
      </c>
      <c r="Q26" s="174" t="str">
        <f t="shared" si="3"/>
        <v/>
      </c>
      <c r="R26" s="174">
        <f t="shared" si="4"/>
        <v>65</v>
      </c>
      <c r="S26" s="174">
        <f t="shared" si="5"/>
        <v>1.2</v>
      </c>
      <c r="T26" s="174">
        <f t="shared" si="6"/>
        <v>66</v>
      </c>
      <c r="U26" s="174">
        <f t="shared" si="7"/>
        <v>1</v>
      </c>
      <c r="V26" s="174">
        <f t="shared" si="8"/>
        <v>37</v>
      </c>
      <c r="W26" s="174">
        <f t="shared" si="9"/>
        <v>1</v>
      </c>
      <c r="X26" s="174">
        <f t="shared" si="10"/>
        <v>53</v>
      </c>
      <c r="Y26" s="174">
        <f t="shared" si="11"/>
        <v>1</v>
      </c>
      <c r="Z26" s="174" t="str">
        <f t="shared" si="12"/>
        <v/>
      </c>
      <c r="AA26" s="174" t="str">
        <f t="shared" si="13"/>
        <v/>
      </c>
      <c r="AC26" s="176">
        <v>22</v>
      </c>
      <c r="AD26" s="174" t="s">
        <v>1760</v>
      </c>
      <c r="AE26" s="174" t="b">
        <v>1</v>
      </c>
      <c r="AF26" s="174" t="s">
        <v>170</v>
      </c>
      <c r="AG26" s="174"/>
      <c r="AH26" s="174">
        <v>65</v>
      </c>
      <c r="AI26" s="174">
        <v>1.2</v>
      </c>
      <c r="AJ26" s="174">
        <v>66</v>
      </c>
      <c r="AK26" s="174">
        <v>1</v>
      </c>
      <c r="AL26" s="174">
        <v>37</v>
      </c>
      <c r="AM26" s="174">
        <v>1</v>
      </c>
      <c r="AN26" s="174">
        <v>53</v>
      </c>
      <c r="AO26" s="174">
        <v>1</v>
      </c>
      <c r="AP26" s="174"/>
      <c r="AQ26" s="174"/>
      <c r="AS26" s="176">
        <v>22</v>
      </c>
      <c r="AT26" s="174" t="s">
        <v>1761</v>
      </c>
      <c r="AU26" s="174" t="b">
        <v>1</v>
      </c>
      <c r="AV26" s="174" t="s">
        <v>170</v>
      </c>
      <c r="AW26" s="174"/>
      <c r="AX26" s="174">
        <v>65</v>
      </c>
      <c r="AY26" s="174">
        <v>0.9</v>
      </c>
      <c r="AZ26" s="174">
        <v>5</v>
      </c>
      <c r="BA26" s="174">
        <v>1</v>
      </c>
      <c r="BB26" s="174">
        <v>21</v>
      </c>
      <c r="BC26" s="174">
        <v>1</v>
      </c>
      <c r="BD26" s="174"/>
      <c r="BE26" s="174"/>
      <c r="BF26" s="174"/>
      <c r="BG26" s="174"/>
      <c r="BI26" s="176">
        <v>22</v>
      </c>
      <c r="BJ26" s="174" t="s">
        <v>1760</v>
      </c>
      <c r="BK26" s="174" t="b">
        <v>1</v>
      </c>
      <c r="BL26" s="174" t="s">
        <v>170</v>
      </c>
      <c r="BM26" s="174"/>
      <c r="BN26" s="174">
        <v>65</v>
      </c>
      <c r="BO26" s="174">
        <v>1.2</v>
      </c>
      <c r="BP26" s="174">
        <v>66</v>
      </c>
      <c r="BQ26" s="174">
        <v>1</v>
      </c>
      <c r="BR26" s="174">
        <v>37</v>
      </c>
      <c r="BS26" s="174">
        <v>1</v>
      </c>
      <c r="BT26" s="174">
        <v>53</v>
      </c>
      <c r="BU26" s="174">
        <v>1</v>
      </c>
      <c r="BV26" s="174"/>
      <c r="BW26" s="174"/>
      <c r="BY26" s="176">
        <v>22</v>
      </c>
      <c r="BZ26" s="249" t="s">
        <v>1762</v>
      </c>
      <c r="CA26" s="249" t="b">
        <v>1</v>
      </c>
      <c r="CB26" s="249" t="s">
        <v>170</v>
      </c>
      <c r="CC26" s="249"/>
      <c r="CD26" s="249">
        <v>65</v>
      </c>
      <c r="CE26" s="249">
        <v>1</v>
      </c>
      <c r="CF26" s="249">
        <v>66</v>
      </c>
      <c r="CG26" s="249">
        <v>0.7</v>
      </c>
      <c r="CH26" s="249">
        <v>37</v>
      </c>
      <c r="CI26" s="249">
        <v>0.7</v>
      </c>
      <c r="CJ26" s="249">
        <v>53</v>
      </c>
      <c r="CK26" s="249">
        <v>0.7</v>
      </c>
      <c r="CL26" s="249"/>
      <c r="CM26" s="249"/>
      <c r="CO26" s="176">
        <v>22</v>
      </c>
      <c r="CP26" s="249" t="s">
        <v>1762</v>
      </c>
      <c r="CQ26" s="249" t="b">
        <v>1</v>
      </c>
      <c r="CR26" s="249" t="s">
        <v>170</v>
      </c>
      <c r="CS26" s="249"/>
      <c r="CT26" s="249">
        <v>65</v>
      </c>
      <c r="CU26" s="249">
        <v>1</v>
      </c>
      <c r="CV26" s="249">
        <v>66</v>
      </c>
      <c r="CW26" s="249">
        <v>0.7</v>
      </c>
      <c r="CX26" s="249">
        <v>37</v>
      </c>
      <c r="CY26" s="249">
        <v>0.7</v>
      </c>
      <c r="CZ26" s="249">
        <v>53</v>
      </c>
      <c r="DA26" s="249">
        <v>0.7</v>
      </c>
      <c r="DB26" s="249"/>
      <c r="DC26" s="249"/>
      <c r="DE26" s="176">
        <v>22</v>
      </c>
      <c r="DF26" s="249" t="s">
        <v>1762</v>
      </c>
      <c r="DG26" s="249" t="b">
        <v>1</v>
      </c>
      <c r="DH26" s="249" t="s">
        <v>170</v>
      </c>
      <c r="DI26" s="249"/>
      <c r="DJ26" s="249">
        <v>65</v>
      </c>
      <c r="DK26" s="249">
        <v>1</v>
      </c>
      <c r="DL26" s="249">
        <v>66</v>
      </c>
      <c r="DM26" s="249">
        <v>0.7</v>
      </c>
      <c r="DN26" s="249">
        <v>37</v>
      </c>
      <c r="DO26" s="249">
        <v>0.7</v>
      </c>
      <c r="DP26" s="249">
        <v>53</v>
      </c>
      <c r="DQ26" s="249">
        <v>0.7</v>
      </c>
      <c r="DR26" s="249"/>
      <c r="DS26" s="249"/>
      <c r="DU26" s="176">
        <v>22</v>
      </c>
      <c r="DV26" s="174" t="str">
        <f t="shared" si="14"/>
        <v>1.2D + 1.6(Lr or S or R) + (L or 0.5W) (90 deg</v>
      </c>
      <c r="DW26" s="174">
        <v>1</v>
      </c>
      <c r="DX26" s="174" t="s">
        <v>170</v>
      </c>
      <c r="DY26" s="174"/>
      <c r="DZ26" s="174">
        <v>65</v>
      </c>
      <c r="EA26" s="174">
        <v>1.2</v>
      </c>
      <c r="EB26" s="174">
        <v>66</v>
      </c>
      <c r="EC26" s="174">
        <v>1</v>
      </c>
      <c r="ED26" s="174">
        <v>21</v>
      </c>
      <c r="EE26" s="174">
        <v>1</v>
      </c>
      <c r="EF26" s="174"/>
      <c r="EG26" s="174"/>
      <c r="EH26" s="174"/>
      <c r="EI26" s="174"/>
      <c r="EK26" s="2" t="s">
        <v>415</v>
      </c>
      <c r="EL26" s="2">
        <v>90</v>
      </c>
      <c r="EN26" s="176">
        <v>22</v>
      </c>
      <c r="GJ26" s="2" t="s">
        <v>419</v>
      </c>
      <c r="GK26" s="2" t="str">
        <f t="shared" si="17"/>
        <v>1.2D + 1.0W + 1.0Di + 1.0T + 1.0G (60 deg)</v>
      </c>
      <c r="GL26" s="184" t="s">
        <v>426</v>
      </c>
    </row>
    <row r="27" spans="1:194" ht="18" customHeight="1" x14ac:dyDescent="0.2">
      <c r="A27" s="165">
        <v>23</v>
      </c>
      <c r="B27" s="170" t="s">
        <v>427</v>
      </c>
      <c r="C27" s="171" t="s">
        <v>374</v>
      </c>
      <c r="D27" s="171"/>
      <c r="E27" s="171"/>
      <c r="F27" s="171"/>
      <c r="G27" s="171"/>
      <c r="H27" s="185"/>
      <c r="I27" s="185">
        <f>COUNTA('Distributed Load Tables'!$A$4:$A$1048576)</f>
        <v>0</v>
      </c>
      <c r="J27" s="185"/>
      <c r="K27" s="171"/>
      <c r="M27" s="176">
        <f t="shared" si="15"/>
        <v>23</v>
      </c>
      <c r="N27" s="170" t="str">
        <f t="shared" si="0"/>
        <v>1.2D + 1.0Di + 1.0Wi  | 120 deg</v>
      </c>
      <c r="O27" s="170" t="b">
        <v>1</v>
      </c>
      <c r="P27" s="170" t="str">
        <f t="shared" si="2"/>
        <v>Y</v>
      </c>
      <c r="Q27" s="170" t="str">
        <f t="shared" si="3"/>
        <v/>
      </c>
      <c r="R27" s="170">
        <f t="shared" si="4"/>
        <v>65</v>
      </c>
      <c r="S27" s="170">
        <f t="shared" si="5"/>
        <v>1.2</v>
      </c>
      <c r="T27" s="170">
        <f t="shared" si="6"/>
        <v>66</v>
      </c>
      <c r="U27" s="170">
        <f t="shared" si="7"/>
        <v>1</v>
      </c>
      <c r="V27" s="170">
        <f t="shared" si="8"/>
        <v>38</v>
      </c>
      <c r="W27" s="170">
        <f t="shared" si="9"/>
        <v>1</v>
      </c>
      <c r="X27" s="170">
        <f t="shared" si="10"/>
        <v>54</v>
      </c>
      <c r="Y27" s="170">
        <f t="shared" si="11"/>
        <v>1</v>
      </c>
      <c r="Z27" s="170" t="str">
        <f t="shared" si="12"/>
        <v/>
      </c>
      <c r="AA27" s="170" t="str">
        <f t="shared" si="13"/>
        <v/>
      </c>
      <c r="AC27" s="176">
        <v>23</v>
      </c>
      <c r="AD27" s="170" t="s">
        <v>1430</v>
      </c>
      <c r="AE27" s="170" t="b">
        <v>1</v>
      </c>
      <c r="AF27" s="170" t="s">
        <v>170</v>
      </c>
      <c r="AG27" s="170"/>
      <c r="AH27" s="170">
        <v>65</v>
      </c>
      <c r="AI27" s="170">
        <v>1.2</v>
      </c>
      <c r="AJ27" s="170">
        <v>66</v>
      </c>
      <c r="AK27" s="170">
        <v>1</v>
      </c>
      <c r="AL27" s="170">
        <v>38</v>
      </c>
      <c r="AM27" s="170">
        <v>1</v>
      </c>
      <c r="AN27" s="170">
        <v>54</v>
      </c>
      <c r="AO27" s="170">
        <v>1</v>
      </c>
      <c r="AP27" s="170"/>
      <c r="AQ27" s="170"/>
      <c r="AS27" s="176">
        <v>23</v>
      </c>
      <c r="AT27" s="170" t="s">
        <v>1431</v>
      </c>
      <c r="AU27" s="170" t="b">
        <v>1</v>
      </c>
      <c r="AV27" s="170" t="s">
        <v>170</v>
      </c>
      <c r="AW27" s="170"/>
      <c r="AX27" s="170">
        <v>65</v>
      </c>
      <c r="AY27" s="170">
        <v>0.9</v>
      </c>
      <c r="AZ27" s="170">
        <v>6</v>
      </c>
      <c r="BA27" s="170">
        <v>1</v>
      </c>
      <c r="BB27" s="170">
        <v>22</v>
      </c>
      <c r="BC27" s="170">
        <v>1</v>
      </c>
      <c r="BD27" s="170"/>
      <c r="BE27" s="170"/>
      <c r="BF27" s="170"/>
      <c r="BG27" s="170"/>
      <c r="BI27" s="176">
        <v>23</v>
      </c>
      <c r="BJ27" s="170" t="s">
        <v>1430</v>
      </c>
      <c r="BK27" s="170" t="b">
        <v>1</v>
      </c>
      <c r="BL27" s="170" t="s">
        <v>170</v>
      </c>
      <c r="BM27" s="170"/>
      <c r="BN27" s="170">
        <v>65</v>
      </c>
      <c r="BO27" s="170">
        <v>1.2</v>
      </c>
      <c r="BP27" s="170">
        <v>66</v>
      </c>
      <c r="BQ27" s="170">
        <v>1</v>
      </c>
      <c r="BR27" s="170">
        <v>38</v>
      </c>
      <c r="BS27" s="170">
        <v>1</v>
      </c>
      <c r="BT27" s="170">
        <v>54</v>
      </c>
      <c r="BU27" s="170">
        <v>1</v>
      </c>
      <c r="BV27" s="170"/>
      <c r="BW27" s="170"/>
      <c r="BY27" s="176">
        <v>23</v>
      </c>
      <c r="BZ27" s="246" t="s">
        <v>1432</v>
      </c>
      <c r="CA27" s="246" t="b">
        <v>1</v>
      </c>
      <c r="CB27" s="246" t="s">
        <v>170</v>
      </c>
      <c r="CC27" s="246"/>
      <c r="CD27" s="246">
        <v>65</v>
      </c>
      <c r="CE27" s="246">
        <v>1</v>
      </c>
      <c r="CF27" s="246">
        <v>66</v>
      </c>
      <c r="CG27" s="246">
        <v>0.7</v>
      </c>
      <c r="CH27" s="246">
        <v>38</v>
      </c>
      <c r="CI27" s="246">
        <v>0.7</v>
      </c>
      <c r="CJ27" s="246">
        <v>54</v>
      </c>
      <c r="CK27" s="246">
        <v>0.7</v>
      </c>
      <c r="CL27" s="246"/>
      <c r="CM27" s="246"/>
      <c r="CO27" s="176">
        <v>23</v>
      </c>
      <c r="CP27" s="246" t="s">
        <v>1432</v>
      </c>
      <c r="CQ27" s="246" t="b">
        <v>1</v>
      </c>
      <c r="CR27" s="246" t="s">
        <v>170</v>
      </c>
      <c r="CS27" s="246"/>
      <c r="CT27" s="246">
        <v>65</v>
      </c>
      <c r="CU27" s="246">
        <v>1</v>
      </c>
      <c r="CV27" s="246">
        <v>66</v>
      </c>
      <c r="CW27" s="246">
        <v>0.7</v>
      </c>
      <c r="CX27" s="246">
        <v>38</v>
      </c>
      <c r="CY27" s="246">
        <v>0.7</v>
      </c>
      <c r="CZ27" s="246">
        <v>54</v>
      </c>
      <c r="DA27" s="246">
        <v>0.7</v>
      </c>
      <c r="DB27" s="246"/>
      <c r="DC27" s="246"/>
      <c r="DE27" s="176">
        <v>23</v>
      </c>
      <c r="DF27" s="246" t="s">
        <v>1432</v>
      </c>
      <c r="DG27" s="246" t="b">
        <v>1</v>
      </c>
      <c r="DH27" s="246" t="s">
        <v>170</v>
      </c>
      <c r="DI27" s="246"/>
      <c r="DJ27" s="246">
        <v>65</v>
      </c>
      <c r="DK27" s="246">
        <v>1</v>
      </c>
      <c r="DL27" s="246">
        <v>66</v>
      </c>
      <c r="DM27" s="246">
        <v>0.7</v>
      </c>
      <c r="DN27" s="246">
        <v>38</v>
      </c>
      <c r="DO27" s="246">
        <v>0.7</v>
      </c>
      <c r="DP27" s="246">
        <v>54</v>
      </c>
      <c r="DQ27" s="246">
        <v>0.7</v>
      </c>
      <c r="DR27" s="246"/>
      <c r="DS27" s="246"/>
      <c r="DU27" s="176">
        <v>23</v>
      </c>
      <c r="DV27" s="170" t="str">
        <f t="shared" si="14"/>
        <v>1.2D + 1.6(Lr or S or R) + (L or 0.5W) (120 deg</v>
      </c>
      <c r="DW27" s="170">
        <v>1</v>
      </c>
      <c r="DX27" s="170" t="s">
        <v>170</v>
      </c>
      <c r="DY27" s="170"/>
      <c r="DZ27" s="170">
        <v>65</v>
      </c>
      <c r="EA27" s="170">
        <v>1.2</v>
      </c>
      <c r="EB27" s="170">
        <v>66</v>
      </c>
      <c r="EC27" s="170">
        <v>1</v>
      </c>
      <c r="ED27" s="170">
        <v>22</v>
      </c>
      <c r="EE27" s="170">
        <v>1</v>
      </c>
      <c r="EF27" s="170"/>
      <c r="EG27" s="170"/>
      <c r="EH27" s="170"/>
      <c r="EI27" s="170"/>
      <c r="EK27" s="2" t="s">
        <v>415</v>
      </c>
      <c r="EL27" s="2">
        <v>120</v>
      </c>
      <c r="EN27" s="176">
        <v>23</v>
      </c>
      <c r="GJ27" s="2" t="s">
        <v>419</v>
      </c>
      <c r="GK27" s="2" t="str">
        <f t="shared" si="17"/>
        <v>1.2D + 1.0W + 1.0Di + 1.0T + 1.0G (90 deg)</v>
      </c>
      <c r="GL27" s="184" t="s">
        <v>428</v>
      </c>
    </row>
    <row r="28" spans="1:194" ht="18" customHeight="1" x14ac:dyDescent="0.2">
      <c r="A28" s="165">
        <v>24</v>
      </c>
      <c r="B28" s="174" t="s">
        <v>429</v>
      </c>
      <c r="C28" s="174" t="s">
        <v>374</v>
      </c>
      <c r="D28" s="174"/>
      <c r="E28" s="174"/>
      <c r="F28" s="174"/>
      <c r="G28" s="174"/>
      <c r="H28" s="186"/>
      <c r="I28" s="186">
        <f>COUNTA('Distributed Load Tables'!$A$4:$A$1048576)</f>
        <v>0</v>
      </c>
      <c r="J28" s="186"/>
      <c r="K28" s="174"/>
      <c r="M28" s="176">
        <f t="shared" si="15"/>
        <v>24</v>
      </c>
      <c r="N28" s="174" t="str">
        <f t="shared" si="0"/>
        <v>1.2D + 1.0Di + 1.0Wi  | 135 deg</v>
      </c>
      <c r="O28" s="174" t="b">
        <v>1</v>
      </c>
      <c r="P28" s="174" t="str">
        <f t="shared" si="2"/>
        <v>Y</v>
      </c>
      <c r="Q28" s="174" t="str">
        <f t="shared" si="3"/>
        <v/>
      </c>
      <c r="R28" s="174">
        <f t="shared" si="4"/>
        <v>65</v>
      </c>
      <c r="S28" s="174">
        <f t="shared" si="5"/>
        <v>1.2</v>
      </c>
      <c r="T28" s="174">
        <f t="shared" si="6"/>
        <v>66</v>
      </c>
      <c r="U28" s="174">
        <f t="shared" si="7"/>
        <v>1</v>
      </c>
      <c r="V28" s="174">
        <f t="shared" si="8"/>
        <v>39</v>
      </c>
      <c r="W28" s="174">
        <f t="shared" si="9"/>
        <v>1</v>
      </c>
      <c r="X28" s="174">
        <f t="shared" si="10"/>
        <v>55</v>
      </c>
      <c r="Y28" s="174">
        <f t="shared" si="11"/>
        <v>1</v>
      </c>
      <c r="Z28" s="174" t="str">
        <f t="shared" si="12"/>
        <v/>
      </c>
      <c r="AA28" s="174" t="str">
        <f t="shared" si="13"/>
        <v/>
      </c>
      <c r="AC28" s="176">
        <v>24</v>
      </c>
      <c r="AD28" s="174" t="s">
        <v>1433</v>
      </c>
      <c r="AE28" s="174" t="b">
        <v>1</v>
      </c>
      <c r="AF28" s="174" t="s">
        <v>170</v>
      </c>
      <c r="AG28" s="174"/>
      <c r="AH28" s="174">
        <v>65</v>
      </c>
      <c r="AI28" s="174">
        <v>1.2</v>
      </c>
      <c r="AJ28" s="174">
        <v>66</v>
      </c>
      <c r="AK28" s="174">
        <v>1</v>
      </c>
      <c r="AL28" s="174">
        <v>39</v>
      </c>
      <c r="AM28" s="174">
        <v>1</v>
      </c>
      <c r="AN28" s="174">
        <v>55</v>
      </c>
      <c r="AO28" s="174">
        <v>1</v>
      </c>
      <c r="AP28" s="174"/>
      <c r="AQ28" s="174"/>
      <c r="AS28" s="176">
        <v>24</v>
      </c>
      <c r="AT28" s="174" t="s">
        <v>1434</v>
      </c>
      <c r="AU28" s="174"/>
      <c r="AV28" s="174" t="s">
        <v>170</v>
      </c>
      <c r="AW28" s="174"/>
      <c r="AX28" s="174">
        <v>65</v>
      </c>
      <c r="AY28" s="174">
        <v>0.9</v>
      </c>
      <c r="AZ28" s="174">
        <v>7</v>
      </c>
      <c r="BA28" s="174">
        <v>1</v>
      </c>
      <c r="BB28" s="174">
        <v>23</v>
      </c>
      <c r="BC28" s="174">
        <v>1</v>
      </c>
      <c r="BD28" s="174"/>
      <c r="BE28" s="174"/>
      <c r="BF28" s="174"/>
      <c r="BG28" s="174"/>
      <c r="BI28" s="176">
        <v>24</v>
      </c>
      <c r="BJ28" s="174" t="s">
        <v>1433</v>
      </c>
      <c r="BK28" s="174" t="b">
        <v>1</v>
      </c>
      <c r="BL28" s="174" t="s">
        <v>170</v>
      </c>
      <c r="BM28" s="174"/>
      <c r="BN28" s="174">
        <v>65</v>
      </c>
      <c r="BO28" s="174">
        <v>1.2</v>
      </c>
      <c r="BP28" s="174">
        <v>66</v>
      </c>
      <c r="BQ28" s="174">
        <v>1</v>
      </c>
      <c r="BR28" s="174">
        <v>39</v>
      </c>
      <c r="BS28" s="174">
        <v>1</v>
      </c>
      <c r="BT28" s="174">
        <v>55</v>
      </c>
      <c r="BU28" s="174">
        <v>1</v>
      </c>
      <c r="BV28" s="174"/>
      <c r="BW28" s="174"/>
      <c r="BY28" s="176">
        <v>24</v>
      </c>
      <c r="BZ28" s="249" t="s">
        <v>1435</v>
      </c>
      <c r="CA28" s="249" t="b">
        <v>1</v>
      </c>
      <c r="CB28" s="249" t="s">
        <v>170</v>
      </c>
      <c r="CC28" s="249"/>
      <c r="CD28" s="249">
        <v>65</v>
      </c>
      <c r="CE28" s="249">
        <v>1</v>
      </c>
      <c r="CF28" s="249">
        <v>66</v>
      </c>
      <c r="CG28" s="249">
        <v>0.7</v>
      </c>
      <c r="CH28" s="249">
        <v>39</v>
      </c>
      <c r="CI28" s="249">
        <v>0.7</v>
      </c>
      <c r="CJ28" s="249">
        <v>55</v>
      </c>
      <c r="CK28" s="249">
        <v>0.7</v>
      </c>
      <c r="CL28" s="249"/>
      <c r="CM28" s="249"/>
      <c r="CO28" s="176">
        <v>24</v>
      </c>
      <c r="CP28" s="249" t="s">
        <v>1435</v>
      </c>
      <c r="CQ28" s="249" t="b">
        <v>1</v>
      </c>
      <c r="CR28" s="249" t="s">
        <v>170</v>
      </c>
      <c r="CS28" s="249"/>
      <c r="CT28" s="249">
        <v>65</v>
      </c>
      <c r="CU28" s="249">
        <v>1</v>
      </c>
      <c r="CV28" s="249">
        <v>66</v>
      </c>
      <c r="CW28" s="249">
        <v>0.7</v>
      </c>
      <c r="CX28" s="249">
        <v>39</v>
      </c>
      <c r="CY28" s="249">
        <v>0.7</v>
      </c>
      <c r="CZ28" s="249">
        <v>55</v>
      </c>
      <c r="DA28" s="249">
        <v>0.7</v>
      </c>
      <c r="DB28" s="249"/>
      <c r="DC28" s="249"/>
      <c r="DE28" s="176">
        <v>24</v>
      </c>
      <c r="DF28" s="249" t="s">
        <v>1435</v>
      </c>
      <c r="DG28" s="249" t="b">
        <v>1</v>
      </c>
      <c r="DH28" s="249" t="s">
        <v>170</v>
      </c>
      <c r="DI28" s="249"/>
      <c r="DJ28" s="249">
        <v>65</v>
      </c>
      <c r="DK28" s="249">
        <v>1</v>
      </c>
      <c r="DL28" s="249">
        <v>66</v>
      </c>
      <c r="DM28" s="249">
        <v>0.7</v>
      </c>
      <c r="DN28" s="249">
        <v>39</v>
      </c>
      <c r="DO28" s="249">
        <v>0.7</v>
      </c>
      <c r="DP28" s="249">
        <v>55</v>
      </c>
      <c r="DQ28" s="249">
        <v>0.7</v>
      </c>
      <c r="DR28" s="249"/>
      <c r="DS28" s="249"/>
      <c r="DU28" s="176">
        <v>24</v>
      </c>
      <c r="DV28" s="174" t="str">
        <f t="shared" si="14"/>
        <v>1.2D + 1.6(Lr or S or R) + (L or 0.5W) (135 deg</v>
      </c>
      <c r="DW28" s="174">
        <v>1</v>
      </c>
      <c r="DX28" s="174" t="s">
        <v>170</v>
      </c>
      <c r="DY28" s="174"/>
      <c r="DZ28" s="174">
        <v>65</v>
      </c>
      <c r="EA28" s="174">
        <v>1.2</v>
      </c>
      <c r="EB28" s="174">
        <v>66</v>
      </c>
      <c r="EC28" s="174">
        <v>1</v>
      </c>
      <c r="ED28" s="174">
        <v>23</v>
      </c>
      <c r="EE28" s="174">
        <v>1</v>
      </c>
      <c r="EF28" s="174"/>
      <c r="EG28" s="174"/>
      <c r="EH28" s="174"/>
      <c r="EI28" s="174"/>
      <c r="EK28" s="2" t="s">
        <v>415</v>
      </c>
      <c r="EL28" s="2">
        <v>135</v>
      </c>
      <c r="EN28" s="176">
        <v>24</v>
      </c>
      <c r="GJ28" s="2" t="s">
        <v>419</v>
      </c>
      <c r="GK28" s="2" t="str">
        <f t="shared" si="17"/>
        <v>1.2D + 1.0W + 1.0Di + 1.0T + 1.0G (120 deg)</v>
      </c>
      <c r="GL28" s="184" t="s">
        <v>430</v>
      </c>
    </row>
    <row r="29" spans="1:194" ht="18" customHeight="1" x14ac:dyDescent="0.2">
      <c r="A29" s="165">
        <v>25</v>
      </c>
      <c r="B29" s="170" t="s">
        <v>431</v>
      </c>
      <c r="C29" s="171" t="s">
        <v>374</v>
      </c>
      <c r="D29" s="171"/>
      <c r="E29" s="171"/>
      <c r="F29" s="171"/>
      <c r="G29" s="171"/>
      <c r="H29" s="185"/>
      <c r="I29" s="185">
        <f>COUNTA('Distributed Load Tables'!$A$4:$A$1048576)</f>
        <v>0</v>
      </c>
      <c r="J29" s="185"/>
      <c r="K29" s="171"/>
      <c r="M29" s="176">
        <f t="shared" si="15"/>
        <v>25</v>
      </c>
      <c r="N29" s="170" t="str">
        <f t="shared" si="0"/>
        <v>1.2D + 1.0Di + 1.0Wi  | 150 deg</v>
      </c>
      <c r="O29" s="170" t="b">
        <v>1</v>
      </c>
      <c r="P29" s="170" t="str">
        <f t="shared" si="2"/>
        <v>Y</v>
      </c>
      <c r="Q29" s="170" t="str">
        <f t="shared" si="3"/>
        <v/>
      </c>
      <c r="R29" s="170">
        <f t="shared" si="4"/>
        <v>65</v>
      </c>
      <c r="S29" s="170">
        <f t="shared" si="5"/>
        <v>1.2</v>
      </c>
      <c r="T29" s="170">
        <f t="shared" si="6"/>
        <v>66</v>
      </c>
      <c r="U29" s="170">
        <f t="shared" si="7"/>
        <v>1</v>
      </c>
      <c r="V29" s="170">
        <f t="shared" si="8"/>
        <v>40</v>
      </c>
      <c r="W29" s="170">
        <f t="shared" si="9"/>
        <v>1</v>
      </c>
      <c r="X29" s="170">
        <f t="shared" si="10"/>
        <v>56</v>
      </c>
      <c r="Y29" s="170">
        <f t="shared" si="11"/>
        <v>1</v>
      </c>
      <c r="Z29" s="170" t="str">
        <f t="shared" si="12"/>
        <v/>
      </c>
      <c r="AA29" s="170" t="str">
        <f t="shared" si="13"/>
        <v/>
      </c>
      <c r="AC29" s="176">
        <v>25</v>
      </c>
      <c r="AD29" s="170" t="s">
        <v>1436</v>
      </c>
      <c r="AE29" s="170" t="b">
        <v>1</v>
      </c>
      <c r="AF29" s="170" t="s">
        <v>170</v>
      </c>
      <c r="AG29" s="170"/>
      <c r="AH29" s="170">
        <v>65</v>
      </c>
      <c r="AI29" s="170">
        <v>1.2</v>
      </c>
      <c r="AJ29" s="170">
        <v>66</v>
      </c>
      <c r="AK29" s="170">
        <v>1</v>
      </c>
      <c r="AL29" s="170">
        <v>40</v>
      </c>
      <c r="AM29" s="170">
        <v>1</v>
      </c>
      <c r="AN29" s="170">
        <v>56</v>
      </c>
      <c r="AO29" s="170">
        <v>1</v>
      </c>
      <c r="AP29" s="170"/>
      <c r="AQ29" s="170"/>
      <c r="AS29" s="176">
        <v>25</v>
      </c>
      <c r="AT29" s="170" t="s">
        <v>1437</v>
      </c>
      <c r="AU29" s="170" t="b">
        <v>1</v>
      </c>
      <c r="AV29" s="170" t="s">
        <v>170</v>
      </c>
      <c r="AW29" s="170"/>
      <c r="AX29" s="170">
        <v>65</v>
      </c>
      <c r="AY29" s="170">
        <v>0.9</v>
      </c>
      <c r="AZ29" s="170">
        <v>8</v>
      </c>
      <c r="BA29" s="170">
        <v>1</v>
      </c>
      <c r="BB29" s="170">
        <v>24</v>
      </c>
      <c r="BC29" s="170">
        <v>1</v>
      </c>
      <c r="BD29" s="170"/>
      <c r="BE29" s="170"/>
      <c r="BF29" s="170"/>
      <c r="BG29" s="170"/>
      <c r="BI29" s="176">
        <v>25</v>
      </c>
      <c r="BJ29" s="170" t="s">
        <v>1436</v>
      </c>
      <c r="BK29" s="170" t="b">
        <v>1</v>
      </c>
      <c r="BL29" s="170" t="s">
        <v>170</v>
      </c>
      <c r="BM29" s="170"/>
      <c r="BN29" s="170">
        <v>65</v>
      </c>
      <c r="BO29" s="170">
        <v>1.2</v>
      </c>
      <c r="BP29" s="170">
        <v>66</v>
      </c>
      <c r="BQ29" s="170">
        <v>1</v>
      </c>
      <c r="BR29" s="170">
        <v>40</v>
      </c>
      <c r="BS29" s="170">
        <v>1</v>
      </c>
      <c r="BT29" s="170">
        <v>56</v>
      </c>
      <c r="BU29" s="170">
        <v>1</v>
      </c>
      <c r="BV29" s="170"/>
      <c r="BW29" s="170"/>
      <c r="BY29" s="176">
        <v>25</v>
      </c>
      <c r="BZ29" s="246" t="s">
        <v>1438</v>
      </c>
      <c r="CA29" s="246" t="b">
        <v>1</v>
      </c>
      <c r="CB29" s="246" t="s">
        <v>170</v>
      </c>
      <c r="CC29" s="246"/>
      <c r="CD29" s="246">
        <v>65</v>
      </c>
      <c r="CE29" s="246">
        <v>1</v>
      </c>
      <c r="CF29" s="246">
        <v>66</v>
      </c>
      <c r="CG29" s="246">
        <v>0.7</v>
      </c>
      <c r="CH29" s="246">
        <v>40</v>
      </c>
      <c r="CI29" s="246">
        <v>0.7</v>
      </c>
      <c r="CJ29" s="246">
        <v>56</v>
      </c>
      <c r="CK29" s="246">
        <v>0.7</v>
      </c>
      <c r="CL29" s="246"/>
      <c r="CM29" s="246"/>
      <c r="CO29" s="176">
        <v>25</v>
      </c>
      <c r="CP29" s="246" t="s">
        <v>1438</v>
      </c>
      <c r="CQ29" s="246" t="b">
        <v>1</v>
      </c>
      <c r="CR29" s="246" t="s">
        <v>170</v>
      </c>
      <c r="CS29" s="246"/>
      <c r="CT29" s="246">
        <v>65</v>
      </c>
      <c r="CU29" s="246">
        <v>1</v>
      </c>
      <c r="CV29" s="246">
        <v>66</v>
      </c>
      <c r="CW29" s="246">
        <v>0.7</v>
      </c>
      <c r="CX29" s="246">
        <v>40</v>
      </c>
      <c r="CY29" s="246">
        <v>0.7</v>
      </c>
      <c r="CZ29" s="246">
        <v>56</v>
      </c>
      <c r="DA29" s="246">
        <v>0.7</v>
      </c>
      <c r="DB29" s="246"/>
      <c r="DC29" s="246"/>
      <c r="DE29" s="176">
        <v>25</v>
      </c>
      <c r="DF29" s="246" t="s">
        <v>1438</v>
      </c>
      <c r="DG29" s="246" t="b">
        <v>1</v>
      </c>
      <c r="DH29" s="246" t="s">
        <v>170</v>
      </c>
      <c r="DI29" s="246"/>
      <c r="DJ29" s="246">
        <v>65</v>
      </c>
      <c r="DK29" s="246">
        <v>1</v>
      </c>
      <c r="DL29" s="246">
        <v>66</v>
      </c>
      <c r="DM29" s="246">
        <v>0.7</v>
      </c>
      <c r="DN29" s="246">
        <v>40</v>
      </c>
      <c r="DO29" s="246">
        <v>0.7</v>
      </c>
      <c r="DP29" s="246">
        <v>56</v>
      </c>
      <c r="DQ29" s="246">
        <v>0.7</v>
      </c>
      <c r="DR29" s="246"/>
      <c r="DS29" s="246"/>
      <c r="DU29" s="176">
        <v>25</v>
      </c>
      <c r="DV29" s="170" t="str">
        <f t="shared" si="14"/>
        <v>1.2D + 1.6(Lr or S or R) + (L or 0.5W) (150 deg</v>
      </c>
      <c r="DW29" s="170">
        <v>1</v>
      </c>
      <c r="DX29" s="170" t="s">
        <v>170</v>
      </c>
      <c r="DY29" s="170"/>
      <c r="DZ29" s="170">
        <v>65</v>
      </c>
      <c r="EA29" s="170">
        <v>1.2</v>
      </c>
      <c r="EB29" s="170">
        <v>66</v>
      </c>
      <c r="EC29" s="170">
        <v>1</v>
      </c>
      <c r="ED29" s="170">
        <v>24</v>
      </c>
      <c r="EE29" s="170">
        <v>1</v>
      </c>
      <c r="EF29" s="170"/>
      <c r="EG29" s="170"/>
      <c r="EH29" s="170"/>
      <c r="EI29" s="170"/>
      <c r="EK29" s="2" t="s">
        <v>415</v>
      </c>
      <c r="EL29" s="2">
        <v>150</v>
      </c>
      <c r="EN29" s="176">
        <v>25</v>
      </c>
      <c r="GJ29" s="2" t="s">
        <v>419</v>
      </c>
      <c r="GK29" s="2" t="str">
        <f t="shared" si="17"/>
        <v>1.2D + 1.0W + 1.0Di + 1.0T + 1.0G (135 deg)</v>
      </c>
      <c r="GL29" s="184" t="s">
        <v>432</v>
      </c>
    </row>
    <row r="30" spans="1:194" ht="18" customHeight="1" x14ac:dyDescent="0.2">
      <c r="A30" s="165">
        <v>26</v>
      </c>
      <c r="B30" s="174" t="s">
        <v>433</v>
      </c>
      <c r="C30" s="174" t="s">
        <v>374</v>
      </c>
      <c r="D30" s="174"/>
      <c r="E30" s="174"/>
      <c r="F30" s="174"/>
      <c r="G30" s="174"/>
      <c r="H30" s="186"/>
      <c r="I30" s="186">
        <f>COUNTA('Distributed Load Tables'!$A$4:$A$1048576)</f>
        <v>0</v>
      </c>
      <c r="J30" s="186"/>
      <c r="K30" s="174"/>
      <c r="M30" s="176">
        <f t="shared" si="15"/>
        <v>26</v>
      </c>
      <c r="N30" s="174" t="str">
        <f t="shared" si="0"/>
        <v>1.2D + 1.0Di + 1.0Wi  | 180 deg</v>
      </c>
      <c r="O30" s="174" t="b">
        <v>1</v>
      </c>
      <c r="P30" s="174" t="str">
        <f t="shared" si="2"/>
        <v>Y</v>
      </c>
      <c r="Q30" s="174" t="str">
        <f t="shared" si="3"/>
        <v/>
      </c>
      <c r="R30" s="174">
        <f t="shared" si="4"/>
        <v>65</v>
      </c>
      <c r="S30" s="174">
        <f t="shared" si="5"/>
        <v>1.2</v>
      </c>
      <c r="T30" s="174">
        <f t="shared" si="6"/>
        <v>66</v>
      </c>
      <c r="U30" s="174">
        <f t="shared" si="7"/>
        <v>1</v>
      </c>
      <c r="V30" s="174">
        <f t="shared" si="8"/>
        <v>41</v>
      </c>
      <c r="W30" s="174">
        <f t="shared" si="9"/>
        <v>1</v>
      </c>
      <c r="X30" s="174">
        <f t="shared" si="10"/>
        <v>57</v>
      </c>
      <c r="Y30" s="174">
        <f t="shared" si="11"/>
        <v>1</v>
      </c>
      <c r="Z30" s="174" t="str">
        <f t="shared" si="12"/>
        <v/>
      </c>
      <c r="AA30" s="174" t="str">
        <f t="shared" si="13"/>
        <v/>
      </c>
      <c r="AC30" s="176">
        <v>26</v>
      </c>
      <c r="AD30" s="174" t="s">
        <v>1439</v>
      </c>
      <c r="AE30" s="174" t="b">
        <v>1</v>
      </c>
      <c r="AF30" s="174" t="s">
        <v>170</v>
      </c>
      <c r="AG30" s="174"/>
      <c r="AH30" s="174">
        <v>65</v>
      </c>
      <c r="AI30" s="174">
        <v>1.2</v>
      </c>
      <c r="AJ30" s="174">
        <v>66</v>
      </c>
      <c r="AK30" s="174">
        <v>1</v>
      </c>
      <c r="AL30" s="174">
        <v>41</v>
      </c>
      <c r="AM30" s="174">
        <v>1</v>
      </c>
      <c r="AN30" s="174">
        <v>57</v>
      </c>
      <c r="AO30" s="174">
        <v>1</v>
      </c>
      <c r="AP30" s="174"/>
      <c r="AQ30" s="174"/>
      <c r="AS30" s="176">
        <v>26</v>
      </c>
      <c r="AT30" s="174" t="s">
        <v>1440</v>
      </c>
      <c r="AU30" s="174" t="b">
        <v>1</v>
      </c>
      <c r="AV30" s="174" t="s">
        <v>170</v>
      </c>
      <c r="AW30" s="174"/>
      <c r="AX30" s="174">
        <v>65</v>
      </c>
      <c r="AY30" s="174">
        <v>0.9</v>
      </c>
      <c r="AZ30" s="174">
        <v>9</v>
      </c>
      <c r="BA30" s="174">
        <v>1</v>
      </c>
      <c r="BB30" s="174">
        <v>25</v>
      </c>
      <c r="BC30" s="174">
        <v>1</v>
      </c>
      <c r="BD30" s="174"/>
      <c r="BE30" s="174"/>
      <c r="BF30" s="174"/>
      <c r="BG30" s="174"/>
      <c r="BI30" s="176">
        <v>26</v>
      </c>
      <c r="BJ30" s="174" t="s">
        <v>1439</v>
      </c>
      <c r="BK30" s="174" t="b">
        <v>1</v>
      </c>
      <c r="BL30" s="174" t="s">
        <v>170</v>
      </c>
      <c r="BM30" s="174"/>
      <c r="BN30" s="174">
        <v>65</v>
      </c>
      <c r="BO30" s="174">
        <v>1.2</v>
      </c>
      <c r="BP30" s="174">
        <v>66</v>
      </c>
      <c r="BQ30" s="174">
        <v>1</v>
      </c>
      <c r="BR30" s="174">
        <v>41</v>
      </c>
      <c r="BS30" s="174">
        <v>1</v>
      </c>
      <c r="BT30" s="174">
        <v>57</v>
      </c>
      <c r="BU30" s="174">
        <v>1</v>
      </c>
      <c r="BV30" s="174"/>
      <c r="BW30" s="174"/>
      <c r="BY30" s="176">
        <v>26</v>
      </c>
      <c r="BZ30" s="249" t="s">
        <v>1441</v>
      </c>
      <c r="CA30" s="249" t="b">
        <v>1</v>
      </c>
      <c r="CB30" s="249" t="s">
        <v>170</v>
      </c>
      <c r="CC30" s="249"/>
      <c r="CD30" s="249">
        <v>65</v>
      </c>
      <c r="CE30" s="249">
        <v>1</v>
      </c>
      <c r="CF30" s="249">
        <v>66</v>
      </c>
      <c r="CG30" s="249">
        <v>0.7</v>
      </c>
      <c r="CH30" s="249">
        <v>41</v>
      </c>
      <c r="CI30" s="249">
        <v>0.7</v>
      </c>
      <c r="CJ30" s="249">
        <v>57</v>
      </c>
      <c r="CK30" s="249">
        <v>0.7</v>
      </c>
      <c r="CL30" s="249"/>
      <c r="CM30" s="249"/>
      <c r="CO30" s="176">
        <v>26</v>
      </c>
      <c r="CP30" s="249" t="s">
        <v>1441</v>
      </c>
      <c r="CQ30" s="249" t="b">
        <v>1</v>
      </c>
      <c r="CR30" s="249" t="s">
        <v>170</v>
      </c>
      <c r="CS30" s="249"/>
      <c r="CT30" s="249">
        <v>65</v>
      </c>
      <c r="CU30" s="249">
        <v>1</v>
      </c>
      <c r="CV30" s="249">
        <v>66</v>
      </c>
      <c r="CW30" s="249">
        <v>0.7</v>
      </c>
      <c r="CX30" s="249">
        <v>41</v>
      </c>
      <c r="CY30" s="249">
        <v>0.7</v>
      </c>
      <c r="CZ30" s="249">
        <v>57</v>
      </c>
      <c r="DA30" s="249">
        <v>0.7</v>
      </c>
      <c r="DB30" s="249"/>
      <c r="DC30" s="249"/>
      <c r="DE30" s="176">
        <v>26</v>
      </c>
      <c r="DF30" s="249" t="s">
        <v>1441</v>
      </c>
      <c r="DG30" s="249" t="b">
        <v>1</v>
      </c>
      <c r="DH30" s="249" t="s">
        <v>170</v>
      </c>
      <c r="DI30" s="249"/>
      <c r="DJ30" s="249">
        <v>65</v>
      </c>
      <c r="DK30" s="249">
        <v>1</v>
      </c>
      <c r="DL30" s="249">
        <v>66</v>
      </c>
      <c r="DM30" s="249">
        <v>0.7</v>
      </c>
      <c r="DN30" s="249">
        <v>41</v>
      </c>
      <c r="DO30" s="249">
        <v>0.7</v>
      </c>
      <c r="DP30" s="249">
        <v>57</v>
      </c>
      <c r="DQ30" s="249">
        <v>0.7</v>
      </c>
      <c r="DR30" s="249"/>
      <c r="DS30" s="249"/>
      <c r="DU30" s="176">
        <v>26</v>
      </c>
      <c r="DV30" s="174" t="str">
        <f t="shared" si="14"/>
        <v>1.2D + 1.6(Lr or S or R) + (L or 0.5W) (180 deg</v>
      </c>
      <c r="DW30" s="174">
        <v>1</v>
      </c>
      <c r="DX30" s="174" t="s">
        <v>170</v>
      </c>
      <c r="DY30" s="174"/>
      <c r="DZ30" s="174">
        <v>65</v>
      </c>
      <c r="EA30" s="174">
        <v>1.2</v>
      </c>
      <c r="EB30" s="174">
        <v>66</v>
      </c>
      <c r="EC30" s="174">
        <v>1</v>
      </c>
      <c r="ED30" s="174">
        <v>25</v>
      </c>
      <c r="EE30" s="174">
        <v>1</v>
      </c>
      <c r="EF30" s="174"/>
      <c r="EG30" s="174"/>
      <c r="EH30" s="174"/>
      <c r="EI30" s="174"/>
      <c r="EK30" s="2" t="s">
        <v>415</v>
      </c>
      <c r="EL30" s="2">
        <v>180</v>
      </c>
      <c r="EN30" s="176">
        <v>26</v>
      </c>
      <c r="GJ30" s="2" t="s">
        <v>419</v>
      </c>
      <c r="GK30" s="2" t="str">
        <f t="shared" si="17"/>
        <v>1.2D + 1.0W + 1.0Di + 1.0T + 1.0G (150 deg)</v>
      </c>
      <c r="GL30" s="184" t="s">
        <v>434</v>
      </c>
    </row>
    <row r="31" spans="1:194" ht="18" customHeight="1" x14ac:dyDescent="0.2">
      <c r="A31" s="165">
        <v>27</v>
      </c>
      <c r="B31" s="170" t="s">
        <v>435</v>
      </c>
      <c r="C31" s="171" t="s">
        <v>374</v>
      </c>
      <c r="D31" s="171"/>
      <c r="E31" s="171"/>
      <c r="F31" s="171"/>
      <c r="G31" s="171"/>
      <c r="H31" s="185"/>
      <c r="I31" s="185">
        <f>COUNTA('Distributed Load Tables'!$A$4:$A$1048576)</f>
        <v>0</v>
      </c>
      <c r="J31" s="185"/>
      <c r="K31" s="171"/>
      <c r="M31" s="176">
        <f t="shared" si="15"/>
        <v>27</v>
      </c>
      <c r="N31" s="170" t="str">
        <f t="shared" si="0"/>
        <v>1.2D + 1.0Di + 1.0Wi  | 210 deg</v>
      </c>
      <c r="O31" s="170" t="b">
        <v>1</v>
      </c>
      <c r="P31" s="170" t="str">
        <f t="shared" si="2"/>
        <v>Y</v>
      </c>
      <c r="Q31" s="170" t="str">
        <f t="shared" si="3"/>
        <v/>
      </c>
      <c r="R31" s="170">
        <f t="shared" si="4"/>
        <v>65</v>
      </c>
      <c r="S31" s="170">
        <f t="shared" si="5"/>
        <v>1.2</v>
      </c>
      <c r="T31" s="170">
        <f t="shared" si="6"/>
        <v>66</v>
      </c>
      <c r="U31" s="170">
        <f t="shared" si="7"/>
        <v>1</v>
      </c>
      <c r="V31" s="170">
        <f t="shared" si="8"/>
        <v>42</v>
      </c>
      <c r="W31" s="170">
        <f t="shared" si="9"/>
        <v>1</v>
      </c>
      <c r="X31" s="170">
        <f t="shared" si="10"/>
        <v>58</v>
      </c>
      <c r="Y31" s="170">
        <f t="shared" si="11"/>
        <v>1</v>
      </c>
      <c r="Z31" s="170" t="str">
        <f t="shared" si="12"/>
        <v/>
      </c>
      <c r="AA31" s="170" t="str">
        <f t="shared" si="13"/>
        <v/>
      </c>
      <c r="AC31" s="176">
        <v>27</v>
      </c>
      <c r="AD31" s="170" t="s">
        <v>1526</v>
      </c>
      <c r="AE31" s="170" t="b">
        <v>1</v>
      </c>
      <c r="AF31" s="170" t="s">
        <v>170</v>
      </c>
      <c r="AG31" s="170"/>
      <c r="AH31" s="170">
        <v>65</v>
      </c>
      <c r="AI31" s="170">
        <v>1.2</v>
      </c>
      <c r="AJ31" s="170">
        <v>66</v>
      </c>
      <c r="AK31" s="170">
        <v>1</v>
      </c>
      <c r="AL31" s="170">
        <v>42</v>
      </c>
      <c r="AM31" s="170">
        <v>1</v>
      </c>
      <c r="AN31" s="170">
        <v>58</v>
      </c>
      <c r="AO31" s="170">
        <v>1</v>
      </c>
      <c r="AP31" s="170"/>
      <c r="AQ31" s="170"/>
      <c r="AS31" s="176">
        <v>27</v>
      </c>
      <c r="AT31" s="170" t="s">
        <v>1527</v>
      </c>
      <c r="AU31" s="170" t="b">
        <v>1</v>
      </c>
      <c r="AV31" s="170" t="s">
        <v>170</v>
      </c>
      <c r="AW31" s="170"/>
      <c r="AX31" s="170">
        <v>65</v>
      </c>
      <c r="AY31" s="170">
        <v>0.9</v>
      </c>
      <c r="AZ31" s="170">
        <v>10</v>
      </c>
      <c r="BA31" s="170">
        <v>1</v>
      </c>
      <c r="BB31" s="170">
        <v>26</v>
      </c>
      <c r="BC31" s="170">
        <v>1</v>
      </c>
      <c r="BD31" s="170"/>
      <c r="BE31" s="170"/>
      <c r="BF31" s="170"/>
      <c r="BG31" s="170"/>
      <c r="BI31" s="176">
        <v>27</v>
      </c>
      <c r="BJ31" s="170" t="s">
        <v>1526</v>
      </c>
      <c r="BK31" s="170" t="b">
        <v>1</v>
      </c>
      <c r="BL31" s="170" t="s">
        <v>170</v>
      </c>
      <c r="BM31" s="170"/>
      <c r="BN31" s="170">
        <v>65</v>
      </c>
      <c r="BO31" s="170">
        <v>1.2</v>
      </c>
      <c r="BP31" s="170">
        <v>66</v>
      </c>
      <c r="BQ31" s="170">
        <v>1</v>
      </c>
      <c r="BR31" s="170">
        <v>42</v>
      </c>
      <c r="BS31" s="170">
        <v>1</v>
      </c>
      <c r="BT31" s="170">
        <v>58</v>
      </c>
      <c r="BU31" s="170">
        <v>1</v>
      </c>
      <c r="BV31" s="170"/>
      <c r="BW31" s="170"/>
      <c r="BY31" s="176">
        <v>27</v>
      </c>
      <c r="BZ31" s="246" t="s">
        <v>1528</v>
      </c>
      <c r="CA31" s="246" t="b">
        <v>1</v>
      </c>
      <c r="CB31" s="246" t="s">
        <v>170</v>
      </c>
      <c r="CC31" s="246"/>
      <c r="CD31" s="246">
        <v>65</v>
      </c>
      <c r="CE31" s="246">
        <v>1</v>
      </c>
      <c r="CF31" s="246">
        <v>66</v>
      </c>
      <c r="CG31" s="246">
        <v>0.7</v>
      </c>
      <c r="CH31" s="246">
        <v>42</v>
      </c>
      <c r="CI31" s="246">
        <v>0.7</v>
      </c>
      <c r="CJ31" s="246">
        <v>58</v>
      </c>
      <c r="CK31" s="246">
        <v>0.7</v>
      </c>
      <c r="CL31" s="246"/>
      <c r="CM31" s="246"/>
      <c r="CO31" s="176">
        <v>27</v>
      </c>
      <c r="CP31" s="246" t="s">
        <v>1528</v>
      </c>
      <c r="CQ31" s="246" t="b">
        <v>1</v>
      </c>
      <c r="CR31" s="246" t="s">
        <v>170</v>
      </c>
      <c r="CS31" s="246"/>
      <c r="CT31" s="246">
        <v>65</v>
      </c>
      <c r="CU31" s="246">
        <v>1</v>
      </c>
      <c r="CV31" s="246">
        <v>66</v>
      </c>
      <c r="CW31" s="246">
        <v>0.7</v>
      </c>
      <c r="CX31" s="246">
        <v>42</v>
      </c>
      <c r="CY31" s="246">
        <v>0.7</v>
      </c>
      <c r="CZ31" s="246">
        <v>58</v>
      </c>
      <c r="DA31" s="246">
        <v>0.7</v>
      </c>
      <c r="DB31" s="246"/>
      <c r="DC31" s="246"/>
      <c r="DE31" s="176">
        <v>27</v>
      </c>
      <c r="DF31" s="246" t="s">
        <v>1528</v>
      </c>
      <c r="DG31" s="246" t="b">
        <v>1</v>
      </c>
      <c r="DH31" s="246" t="s">
        <v>170</v>
      </c>
      <c r="DI31" s="246"/>
      <c r="DJ31" s="246">
        <v>65</v>
      </c>
      <c r="DK31" s="246">
        <v>1</v>
      </c>
      <c r="DL31" s="246">
        <v>66</v>
      </c>
      <c r="DM31" s="246">
        <v>0.7</v>
      </c>
      <c r="DN31" s="246">
        <v>42</v>
      </c>
      <c r="DO31" s="246">
        <v>0.7</v>
      </c>
      <c r="DP31" s="246">
        <v>58</v>
      </c>
      <c r="DQ31" s="246">
        <v>0.7</v>
      </c>
      <c r="DR31" s="246"/>
      <c r="DS31" s="246"/>
      <c r="DU31" s="176">
        <v>27</v>
      </c>
      <c r="DV31" s="170" t="str">
        <f t="shared" si="14"/>
        <v>1.2D + 1.6(Lr or S or R) + (L or 0.5W) (210 deg</v>
      </c>
      <c r="DW31" s="170">
        <v>1</v>
      </c>
      <c r="DX31" s="170" t="s">
        <v>170</v>
      </c>
      <c r="DY31" s="170"/>
      <c r="DZ31" s="170">
        <v>65</v>
      </c>
      <c r="EA31" s="170">
        <v>1.2</v>
      </c>
      <c r="EB31" s="170">
        <v>66</v>
      </c>
      <c r="EC31" s="170">
        <v>1</v>
      </c>
      <c r="ED31" s="170">
        <v>26</v>
      </c>
      <c r="EE31" s="170">
        <v>1</v>
      </c>
      <c r="EF31" s="170"/>
      <c r="EG31" s="170"/>
      <c r="EH31" s="170"/>
      <c r="EI31" s="170"/>
      <c r="EK31" s="2" t="s">
        <v>415</v>
      </c>
      <c r="EL31" s="2">
        <v>210</v>
      </c>
      <c r="EN31" s="176">
        <v>27</v>
      </c>
      <c r="GJ31" s="2" t="s">
        <v>419</v>
      </c>
      <c r="GK31" s="2" t="str">
        <f t="shared" si="17"/>
        <v>1.2D + 1.0W + 1.0Di + 1.0T + 1.0G (180 deg)</v>
      </c>
      <c r="GL31" s="184" t="s">
        <v>436</v>
      </c>
    </row>
    <row r="32" spans="1:194" ht="18" customHeight="1" x14ac:dyDescent="0.2">
      <c r="A32" s="165">
        <v>28</v>
      </c>
      <c r="B32" s="174" t="s">
        <v>437</v>
      </c>
      <c r="C32" s="174" t="s">
        <v>374</v>
      </c>
      <c r="D32" s="174"/>
      <c r="E32" s="174"/>
      <c r="F32" s="174"/>
      <c r="G32" s="174"/>
      <c r="H32" s="186"/>
      <c r="I32" s="186">
        <f>COUNTA('Distributed Load Tables'!$A$4:$A$1048576)</f>
        <v>0</v>
      </c>
      <c r="J32" s="186"/>
      <c r="K32" s="174"/>
      <c r="M32" s="176">
        <f t="shared" si="15"/>
        <v>28</v>
      </c>
      <c r="N32" s="174" t="str">
        <f t="shared" si="0"/>
        <v>1.2D + 1.0Di + 1.0Wi  | 225 deg</v>
      </c>
      <c r="O32" s="174" t="b">
        <v>1</v>
      </c>
      <c r="P32" s="174" t="str">
        <f t="shared" si="2"/>
        <v>Y</v>
      </c>
      <c r="Q32" s="174" t="str">
        <f t="shared" si="3"/>
        <v/>
      </c>
      <c r="R32" s="174">
        <f t="shared" si="4"/>
        <v>65</v>
      </c>
      <c r="S32" s="174">
        <f t="shared" si="5"/>
        <v>1.2</v>
      </c>
      <c r="T32" s="174">
        <f t="shared" si="6"/>
        <v>66</v>
      </c>
      <c r="U32" s="174">
        <f t="shared" si="7"/>
        <v>1</v>
      </c>
      <c r="V32" s="174">
        <f t="shared" si="8"/>
        <v>43</v>
      </c>
      <c r="W32" s="174">
        <f t="shared" si="9"/>
        <v>1</v>
      </c>
      <c r="X32" s="174">
        <f t="shared" si="10"/>
        <v>59</v>
      </c>
      <c r="Y32" s="174">
        <f t="shared" si="11"/>
        <v>1</v>
      </c>
      <c r="Z32" s="174" t="str">
        <f t="shared" si="12"/>
        <v/>
      </c>
      <c r="AA32" s="174" t="str">
        <f t="shared" si="13"/>
        <v/>
      </c>
      <c r="AC32" s="176">
        <v>28</v>
      </c>
      <c r="AD32" s="174" t="s">
        <v>1529</v>
      </c>
      <c r="AE32" s="174" t="b">
        <v>1</v>
      </c>
      <c r="AF32" s="174" t="s">
        <v>170</v>
      </c>
      <c r="AG32" s="174"/>
      <c r="AH32" s="174">
        <v>65</v>
      </c>
      <c r="AI32" s="174">
        <v>1.2</v>
      </c>
      <c r="AJ32" s="174">
        <v>66</v>
      </c>
      <c r="AK32" s="174">
        <v>1</v>
      </c>
      <c r="AL32" s="174">
        <v>43</v>
      </c>
      <c r="AM32" s="174">
        <v>1</v>
      </c>
      <c r="AN32" s="174">
        <v>59</v>
      </c>
      <c r="AO32" s="174">
        <v>1</v>
      </c>
      <c r="AP32" s="174"/>
      <c r="AQ32" s="174"/>
      <c r="AS32" s="176">
        <v>28</v>
      </c>
      <c r="AT32" s="174" t="s">
        <v>1530</v>
      </c>
      <c r="AU32" s="174"/>
      <c r="AV32" s="174" t="s">
        <v>170</v>
      </c>
      <c r="AW32" s="174"/>
      <c r="AX32" s="174">
        <v>65</v>
      </c>
      <c r="AY32" s="174">
        <v>0.9</v>
      </c>
      <c r="AZ32" s="174">
        <v>11</v>
      </c>
      <c r="BA32" s="174">
        <v>1</v>
      </c>
      <c r="BB32" s="174">
        <v>27</v>
      </c>
      <c r="BC32" s="174">
        <v>1</v>
      </c>
      <c r="BD32" s="174"/>
      <c r="BE32" s="174"/>
      <c r="BF32" s="174"/>
      <c r="BG32" s="174"/>
      <c r="BI32" s="176">
        <v>28</v>
      </c>
      <c r="BJ32" s="174" t="s">
        <v>1529</v>
      </c>
      <c r="BK32" s="174" t="b">
        <v>1</v>
      </c>
      <c r="BL32" s="174" t="s">
        <v>170</v>
      </c>
      <c r="BM32" s="174"/>
      <c r="BN32" s="174">
        <v>65</v>
      </c>
      <c r="BO32" s="174">
        <v>1.2</v>
      </c>
      <c r="BP32" s="174">
        <v>66</v>
      </c>
      <c r="BQ32" s="174">
        <v>1</v>
      </c>
      <c r="BR32" s="174">
        <v>43</v>
      </c>
      <c r="BS32" s="174">
        <v>1</v>
      </c>
      <c r="BT32" s="174">
        <v>59</v>
      </c>
      <c r="BU32" s="174">
        <v>1</v>
      </c>
      <c r="BV32" s="174"/>
      <c r="BW32" s="174"/>
      <c r="BY32" s="176">
        <v>28</v>
      </c>
      <c r="BZ32" s="249" t="s">
        <v>1531</v>
      </c>
      <c r="CA32" s="249" t="b">
        <v>1</v>
      </c>
      <c r="CB32" s="249" t="s">
        <v>170</v>
      </c>
      <c r="CC32" s="249"/>
      <c r="CD32" s="249">
        <v>65</v>
      </c>
      <c r="CE32" s="249">
        <v>1</v>
      </c>
      <c r="CF32" s="249">
        <v>66</v>
      </c>
      <c r="CG32" s="249">
        <v>0.7</v>
      </c>
      <c r="CH32" s="249">
        <v>43</v>
      </c>
      <c r="CI32" s="249">
        <v>0.7</v>
      </c>
      <c r="CJ32" s="249">
        <v>59</v>
      </c>
      <c r="CK32" s="249">
        <v>0.7</v>
      </c>
      <c r="CL32" s="249"/>
      <c r="CM32" s="249"/>
      <c r="CO32" s="176">
        <v>28</v>
      </c>
      <c r="CP32" s="249" t="s">
        <v>1531</v>
      </c>
      <c r="CQ32" s="249" t="b">
        <v>1</v>
      </c>
      <c r="CR32" s="249" t="s">
        <v>170</v>
      </c>
      <c r="CS32" s="249"/>
      <c r="CT32" s="249">
        <v>65</v>
      </c>
      <c r="CU32" s="249">
        <v>1</v>
      </c>
      <c r="CV32" s="249">
        <v>66</v>
      </c>
      <c r="CW32" s="249">
        <v>0.7</v>
      </c>
      <c r="CX32" s="249">
        <v>43</v>
      </c>
      <c r="CY32" s="249">
        <v>0.7</v>
      </c>
      <c r="CZ32" s="249">
        <v>59</v>
      </c>
      <c r="DA32" s="249">
        <v>0.7</v>
      </c>
      <c r="DB32" s="249"/>
      <c r="DC32" s="249"/>
      <c r="DE32" s="176">
        <v>28</v>
      </c>
      <c r="DF32" s="249" t="s">
        <v>1531</v>
      </c>
      <c r="DG32" s="249" t="b">
        <v>1</v>
      </c>
      <c r="DH32" s="249" t="s">
        <v>170</v>
      </c>
      <c r="DI32" s="249"/>
      <c r="DJ32" s="249">
        <v>65</v>
      </c>
      <c r="DK32" s="249">
        <v>1</v>
      </c>
      <c r="DL32" s="249">
        <v>66</v>
      </c>
      <c r="DM32" s="249">
        <v>0.7</v>
      </c>
      <c r="DN32" s="249">
        <v>43</v>
      </c>
      <c r="DO32" s="249">
        <v>0.7</v>
      </c>
      <c r="DP32" s="249">
        <v>59</v>
      </c>
      <c r="DQ32" s="249">
        <v>0.7</v>
      </c>
      <c r="DR32" s="249"/>
      <c r="DS32" s="249"/>
      <c r="DU32" s="176">
        <v>28</v>
      </c>
      <c r="DV32" s="174" t="str">
        <f t="shared" si="14"/>
        <v>1.2D + 1.6(Lr or S or R) + (L or 0.5W) (225 deg</v>
      </c>
      <c r="DW32" s="174">
        <v>1</v>
      </c>
      <c r="DX32" s="174" t="s">
        <v>170</v>
      </c>
      <c r="DY32" s="174"/>
      <c r="DZ32" s="174">
        <v>65</v>
      </c>
      <c r="EA32" s="174">
        <v>1.2</v>
      </c>
      <c r="EB32" s="174">
        <v>66</v>
      </c>
      <c r="EC32" s="174">
        <v>1</v>
      </c>
      <c r="ED32" s="174">
        <v>27</v>
      </c>
      <c r="EE32" s="174">
        <v>1</v>
      </c>
      <c r="EF32" s="174"/>
      <c r="EG32" s="174"/>
      <c r="EH32" s="174"/>
      <c r="EI32" s="174"/>
      <c r="EK32" s="2" t="s">
        <v>415</v>
      </c>
      <c r="EL32" s="2">
        <v>225</v>
      </c>
      <c r="EN32" s="176">
        <v>28</v>
      </c>
      <c r="GJ32" s="2" t="s">
        <v>419</v>
      </c>
      <c r="GK32" s="2" t="str">
        <f t="shared" si="17"/>
        <v>1.2D + 1.0W + 1.0Di + 1.0T + 1.0G (210 deg)</v>
      </c>
      <c r="GL32" s="184" t="s">
        <v>438</v>
      </c>
    </row>
    <row r="33" spans="1:194" ht="18" customHeight="1" x14ac:dyDescent="0.2">
      <c r="A33" s="165">
        <v>29</v>
      </c>
      <c r="B33" s="170" t="s">
        <v>439</v>
      </c>
      <c r="C33" s="171" t="s">
        <v>374</v>
      </c>
      <c r="D33" s="171"/>
      <c r="E33" s="171"/>
      <c r="F33" s="171"/>
      <c r="G33" s="171"/>
      <c r="H33" s="185"/>
      <c r="I33" s="185">
        <f>COUNTA('Distributed Load Tables'!$A$4:$A$1048576)</f>
        <v>0</v>
      </c>
      <c r="J33" s="185"/>
      <c r="K33" s="171"/>
      <c r="M33" s="176">
        <f t="shared" si="15"/>
        <v>29</v>
      </c>
      <c r="N33" s="170" t="str">
        <f t="shared" si="0"/>
        <v>1.2D + 1.0Di + 1.0Wi  | 240 deg</v>
      </c>
      <c r="O33" s="170" t="b">
        <v>1</v>
      </c>
      <c r="P33" s="170" t="str">
        <f t="shared" si="2"/>
        <v>Y</v>
      </c>
      <c r="Q33" s="170" t="str">
        <f t="shared" si="3"/>
        <v/>
      </c>
      <c r="R33" s="170">
        <f t="shared" si="4"/>
        <v>65</v>
      </c>
      <c r="S33" s="170">
        <f t="shared" si="5"/>
        <v>1.2</v>
      </c>
      <c r="T33" s="170">
        <f t="shared" si="6"/>
        <v>66</v>
      </c>
      <c r="U33" s="170">
        <f t="shared" si="7"/>
        <v>1</v>
      </c>
      <c r="V33" s="170">
        <f t="shared" si="8"/>
        <v>44</v>
      </c>
      <c r="W33" s="170">
        <f t="shared" si="9"/>
        <v>1</v>
      </c>
      <c r="X33" s="170">
        <f t="shared" si="10"/>
        <v>60</v>
      </c>
      <c r="Y33" s="170">
        <f t="shared" si="11"/>
        <v>1</v>
      </c>
      <c r="Z33" s="170" t="str">
        <f t="shared" si="12"/>
        <v/>
      </c>
      <c r="AA33" s="170" t="str">
        <f t="shared" si="13"/>
        <v/>
      </c>
      <c r="AC33" s="176">
        <v>29</v>
      </c>
      <c r="AD33" s="170" t="s">
        <v>1532</v>
      </c>
      <c r="AE33" s="170" t="b">
        <v>1</v>
      </c>
      <c r="AF33" s="170" t="s">
        <v>170</v>
      </c>
      <c r="AG33" s="170"/>
      <c r="AH33" s="170">
        <v>65</v>
      </c>
      <c r="AI33" s="170">
        <v>1.2</v>
      </c>
      <c r="AJ33" s="170">
        <v>66</v>
      </c>
      <c r="AK33" s="170">
        <v>1</v>
      </c>
      <c r="AL33" s="170">
        <v>44</v>
      </c>
      <c r="AM33" s="170">
        <v>1</v>
      </c>
      <c r="AN33" s="170">
        <v>60</v>
      </c>
      <c r="AO33" s="170">
        <v>1</v>
      </c>
      <c r="AP33" s="170"/>
      <c r="AQ33" s="170"/>
      <c r="AS33" s="176">
        <v>29</v>
      </c>
      <c r="AT33" s="170" t="s">
        <v>1533</v>
      </c>
      <c r="AU33" s="170" t="b">
        <v>1</v>
      </c>
      <c r="AV33" s="170" t="s">
        <v>170</v>
      </c>
      <c r="AW33" s="170"/>
      <c r="AX33" s="170">
        <v>65</v>
      </c>
      <c r="AY33" s="170">
        <v>0.9</v>
      </c>
      <c r="AZ33" s="170">
        <v>12</v>
      </c>
      <c r="BA33" s="170">
        <v>1</v>
      </c>
      <c r="BB33" s="170">
        <v>28</v>
      </c>
      <c r="BC33" s="170">
        <v>1</v>
      </c>
      <c r="BD33" s="170"/>
      <c r="BE33" s="170"/>
      <c r="BF33" s="170"/>
      <c r="BG33" s="170"/>
      <c r="BI33" s="176">
        <v>29</v>
      </c>
      <c r="BJ33" s="170" t="s">
        <v>1532</v>
      </c>
      <c r="BK33" s="170" t="b">
        <v>1</v>
      </c>
      <c r="BL33" s="170" t="s">
        <v>170</v>
      </c>
      <c r="BM33" s="170"/>
      <c r="BN33" s="170">
        <v>65</v>
      </c>
      <c r="BO33" s="170">
        <v>1.2</v>
      </c>
      <c r="BP33" s="170">
        <v>66</v>
      </c>
      <c r="BQ33" s="170">
        <v>1</v>
      </c>
      <c r="BR33" s="170">
        <v>44</v>
      </c>
      <c r="BS33" s="170">
        <v>1</v>
      </c>
      <c r="BT33" s="170">
        <v>60</v>
      </c>
      <c r="BU33" s="170">
        <v>1</v>
      </c>
      <c r="BV33" s="170"/>
      <c r="BW33" s="170"/>
      <c r="BY33" s="176">
        <v>29</v>
      </c>
      <c r="BZ33" s="246" t="s">
        <v>1534</v>
      </c>
      <c r="CA33" s="246" t="b">
        <v>1</v>
      </c>
      <c r="CB33" s="246" t="s">
        <v>170</v>
      </c>
      <c r="CC33" s="246"/>
      <c r="CD33" s="246">
        <v>65</v>
      </c>
      <c r="CE33" s="246">
        <v>1</v>
      </c>
      <c r="CF33" s="246">
        <v>66</v>
      </c>
      <c r="CG33" s="246">
        <v>0.7</v>
      </c>
      <c r="CH33" s="246">
        <v>44</v>
      </c>
      <c r="CI33" s="246">
        <v>0.7</v>
      </c>
      <c r="CJ33" s="246">
        <v>60</v>
      </c>
      <c r="CK33" s="246">
        <v>0.7</v>
      </c>
      <c r="CL33" s="246"/>
      <c r="CM33" s="246"/>
      <c r="CO33" s="176">
        <v>29</v>
      </c>
      <c r="CP33" s="246" t="s">
        <v>1534</v>
      </c>
      <c r="CQ33" s="246" t="b">
        <v>1</v>
      </c>
      <c r="CR33" s="246" t="s">
        <v>170</v>
      </c>
      <c r="CS33" s="246"/>
      <c r="CT33" s="246">
        <v>65</v>
      </c>
      <c r="CU33" s="246">
        <v>1</v>
      </c>
      <c r="CV33" s="246">
        <v>66</v>
      </c>
      <c r="CW33" s="246">
        <v>0.7</v>
      </c>
      <c r="CX33" s="246">
        <v>44</v>
      </c>
      <c r="CY33" s="246">
        <v>0.7</v>
      </c>
      <c r="CZ33" s="246">
        <v>60</v>
      </c>
      <c r="DA33" s="246">
        <v>0.7</v>
      </c>
      <c r="DB33" s="246"/>
      <c r="DC33" s="246"/>
      <c r="DE33" s="176">
        <v>29</v>
      </c>
      <c r="DF33" s="246" t="s">
        <v>1534</v>
      </c>
      <c r="DG33" s="246" t="b">
        <v>1</v>
      </c>
      <c r="DH33" s="246" t="s">
        <v>170</v>
      </c>
      <c r="DI33" s="246"/>
      <c r="DJ33" s="246">
        <v>65</v>
      </c>
      <c r="DK33" s="246">
        <v>1</v>
      </c>
      <c r="DL33" s="246">
        <v>66</v>
      </c>
      <c r="DM33" s="246">
        <v>0.7</v>
      </c>
      <c r="DN33" s="246">
        <v>44</v>
      </c>
      <c r="DO33" s="246">
        <v>0.7</v>
      </c>
      <c r="DP33" s="246">
        <v>60</v>
      </c>
      <c r="DQ33" s="246">
        <v>0.7</v>
      </c>
      <c r="DR33" s="246"/>
      <c r="DS33" s="246"/>
      <c r="DU33" s="176">
        <v>29</v>
      </c>
      <c r="DV33" s="170" t="str">
        <f t="shared" si="14"/>
        <v>1.2D + 1.6(Lr or S or R) + (L or 0.5W) (240 deg</v>
      </c>
      <c r="DW33" s="170">
        <v>1</v>
      </c>
      <c r="DX33" s="170" t="s">
        <v>170</v>
      </c>
      <c r="DY33" s="170"/>
      <c r="DZ33" s="170">
        <v>65</v>
      </c>
      <c r="EA33" s="170">
        <v>1.2</v>
      </c>
      <c r="EB33" s="170">
        <v>66</v>
      </c>
      <c r="EC33" s="170">
        <v>1</v>
      </c>
      <c r="ED33" s="170">
        <v>28</v>
      </c>
      <c r="EE33" s="170">
        <v>1</v>
      </c>
      <c r="EF33" s="170"/>
      <c r="EG33" s="170"/>
      <c r="EH33" s="170"/>
      <c r="EI33" s="170"/>
      <c r="EK33" s="2" t="s">
        <v>415</v>
      </c>
      <c r="EL33" s="2">
        <v>240</v>
      </c>
      <c r="EN33" s="176">
        <v>29</v>
      </c>
      <c r="GJ33" s="2" t="s">
        <v>419</v>
      </c>
      <c r="GK33" s="2" t="str">
        <f t="shared" si="17"/>
        <v>1.2D + 1.0W + 1.0Di + 1.0T + 1.0G (225 deg)</v>
      </c>
      <c r="GL33" s="184" t="s">
        <v>440</v>
      </c>
    </row>
    <row r="34" spans="1:194" ht="18" customHeight="1" x14ac:dyDescent="0.2">
      <c r="A34" s="165">
        <v>30</v>
      </c>
      <c r="B34" s="174" t="s">
        <v>441</v>
      </c>
      <c r="C34" s="174" t="s">
        <v>374</v>
      </c>
      <c r="D34" s="174"/>
      <c r="E34" s="174"/>
      <c r="F34" s="174"/>
      <c r="G34" s="174"/>
      <c r="H34" s="186"/>
      <c r="I34" s="186">
        <f>COUNTA('Distributed Load Tables'!$A$4:$A$1048576)</f>
        <v>0</v>
      </c>
      <c r="J34" s="186"/>
      <c r="K34" s="174"/>
      <c r="M34" s="176">
        <f t="shared" si="15"/>
        <v>30</v>
      </c>
      <c r="N34" s="174" t="str">
        <f t="shared" si="0"/>
        <v>1.2D + 1.0Di + 1.0Wi  | 270 deg</v>
      </c>
      <c r="O34" s="174" t="b">
        <v>1</v>
      </c>
      <c r="P34" s="174" t="str">
        <f t="shared" si="2"/>
        <v>Y</v>
      </c>
      <c r="Q34" s="174" t="str">
        <f t="shared" si="3"/>
        <v/>
      </c>
      <c r="R34" s="174">
        <f t="shared" si="4"/>
        <v>65</v>
      </c>
      <c r="S34" s="174">
        <f t="shared" si="5"/>
        <v>1.2</v>
      </c>
      <c r="T34" s="174">
        <f t="shared" si="6"/>
        <v>66</v>
      </c>
      <c r="U34" s="174">
        <f t="shared" si="7"/>
        <v>1</v>
      </c>
      <c r="V34" s="174">
        <f t="shared" si="8"/>
        <v>45</v>
      </c>
      <c r="W34" s="174">
        <f t="shared" si="9"/>
        <v>1</v>
      </c>
      <c r="X34" s="174">
        <f t="shared" si="10"/>
        <v>61</v>
      </c>
      <c r="Y34" s="174">
        <f t="shared" si="11"/>
        <v>1</v>
      </c>
      <c r="Z34" s="174" t="str">
        <f t="shared" si="12"/>
        <v/>
      </c>
      <c r="AA34" s="174" t="str">
        <f t="shared" si="13"/>
        <v/>
      </c>
      <c r="AC34" s="176">
        <v>30</v>
      </c>
      <c r="AD34" s="174" t="s">
        <v>1535</v>
      </c>
      <c r="AE34" s="174" t="b">
        <v>1</v>
      </c>
      <c r="AF34" s="174" t="s">
        <v>170</v>
      </c>
      <c r="AG34" s="174"/>
      <c r="AH34" s="174">
        <v>65</v>
      </c>
      <c r="AI34" s="174">
        <v>1.2</v>
      </c>
      <c r="AJ34" s="174">
        <v>66</v>
      </c>
      <c r="AK34" s="174">
        <v>1</v>
      </c>
      <c r="AL34" s="174">
        <v>45</v>
      </c>
      <c r="AM34" s="174">
        <v>1</v>
      </c>
      <c r="AN34" s="174">
        <v>61</v>
      </c>
      <c r="AO34" s="174">
        <v>1</v>
      </c>
      <c r="AP34" s="174"/>
      <c r="AQ34" s="174"/>
      <c r="AS34" s="176">
        <v>30</v>
      </c>
      <c r="AT34" s="174" t="s">
        <v>1536</v>
      </c>
      <c r="AU34" s="174" t="b">
        <v>1</v>
      </c>
      <c r="AV34" s="174" t="s">
        <v>170</v>
      </c>
      <c r="AW34" s="174"/>
      <c r="AX34" s="174">
        <v>65</v>
      </c>
      <c r="AY34" s="174">
        <v>0.9</v>
      </c>
      <c r="AZ34" s="174">
        <v>13</v>
      </c>
      <c r="BA34" s="174">
        <v>1</v>
      </c>
      <c r="BB34" s="174">
        <v>29</v>
      </c>
      <c r="BC34" s="174">
        <v>1</v>
      </c>
      <c r="BD34" s="174"/>
      <c r="BE34" s="174"/>
      <c r="BF34" s="174"/>
      <c r="BG34" s="174"/>
      <c r="BI34" s="176">
        <v>30</v>
      </c>
      <c r="BJ34" s="174" t="s">
        <v>1535</v>
      </c>
      <c r="BK34" s="174" t="b">
        <v>1</v>
      </c>
      <c r="BL34" s="174" t="s">
        <v>170</v>
      </c>
      <c r="BM34" s="174"/>
      <c r="BN34" s="174">
        <v>65</v>
      </c>
      <c r="BO34" s="174">
        <v>1.2</v>
      </c>
      <c r="BP34" s="174">
        <v>66</v>
      </c>
      <c r="BQ34" s="174">
        <v>1</v>
      </c>
      <c r="BR34" s="174">
        <v>45</v>
      </c>
      <c r="BS34" s="174">
        <v>1</v>
      </c>
      <c r="BT34" s="174">
        <v>61</v>
      </c>
      <c r="BU34" s="174">
        <v>1</v>
      </c>
      <c r="BV34" s="174"/>
      <c r="BW34" s="174"/>
      <c r="BY34" s="176">
        <v>30</v>
      </c>
      <c r="BZ34" s="249" t="s">
        <v>1537</v>
      </c>
      <c r="CA34" s="249" t="b">
        <v>1</v>
      </c>
      <c r="CB34" s="249" t="s">
        <v>170</v>
      </c>
      <c r="CC34" s="249"/>
      <c r="CD34" s="249">
        <v>65</v>
      </c>
      <c r="CE34" s="249">
        <v>1</v>
      </c>
      <c r="CF34" s="249">
        <v>66</v>
      </c>
      <c r="CG34" s="249">
        <v>0.7</v>
      </c>
      <c r="CH34" s="249">
        <v>45</v>
      </c>
      <c r="CI34" s="249">
        <v>0.7</v>
      </c>
      <c r="CJ34" s="249">
        <v>61</v>
      </c>
      <c r="CK34" s="249">
        <v>0.7</v>
      </c>
      <c r="CL34" s="249"/>
      <c r="CM34" s="249"/>
      <c r="CO34" s="176">
        <v>30</v>
      </c>
      <c r="CP34" s="249" t="s">
        <v>1537</v>
      </c>
      <c r="CQ34" s="249" t="b">
        <v>1</v>
      </c>
      <c r="CR34" s="249" t="s">
        <v>170</v>
      </c>
      <c r="CS34" s="249"/>
      <c r="CT34" s="249">
        <v>65</v>
      </c>
      <c r="CU34" s="249">
        <v>1</v>
      </c>
      <c r="CV34" s="249">
        <v>66</v>
      </c>
      <c r="CW34" s="249">
        <v>0.7</v>
      </c>
      <c r="CX34" s="249">
        <v>45</v>
      </c>
      <c r="CY34" s="249">
        <v>0.7</v>
      </c>
      <c r="CZ34" s="249">
        <v>61</v>
      </c>
      <c r="DA34" s="249">
        <v>0.7</v>
      </c>
      <c r="DB34" s="249"/>
      <c r="DC34" s="249"/>
      <c r="DE34" s="176">
        <v>30</v>
      </c>
      <c r="DF34" s="249" t="s">
        <v>1537</v>
      </c>
      <c r="DG34" s="249" t="b">
        <v>1</v>
      </c>
      <c r="DH34" s="249" t="s">
        <v>170</v>
      </c>
      <c r="DI34" s="249"/>
      <c r="DJ34" s="249">
        <v>65</v>
      </c>
      <c r="DK34" s="249">
        <v>1</v>
      </c>
      <c r="DL34" s="249">
        <v>66</v>
      </c>
      <c r="DM34" s="249">
        <v>0.7</v>
      </c>
      <c r="DN34" s="249">
        <v>45</v>
      </c>
      <c r="DO34" s="249">
        <v>0.7</v>
      </c>
      <c r="DP34" s="249">
        <v>61</v>
      </c>
      <c r="DQ34" s="249">
        <v>0.7</v>
      </c>
      <c r="DR34" s="249"/>
      <c r="DS34" s="249"/>
      <c r="DU34" s="176">
        <v>30</v>
      </c>
      <c r="DV34" s="174" t="str">
        <f t="shared" si="14"/>
        <v>1.2D + 1.6(Lr or S or R) + (L or 0.5W) (270 deg</v>
      </c>
      <c r="DW34" s="174">
        <v>1</v>
      </c>
      <c r="DX34" s="174" t="s">
        <v>170</v>
      </c>
      <c r="DY34" s="174"/>
      <c r="DZ34" s="174">
        <v>65</v>
      </c>
      <c r="EA34" s="174">
        <v>1.2</v>
      </c>
      <c r="EB34" s="174">
        <v>66</v>
      </c>
      <c r="EC34" s="174">
        <v>1</v>
      </c>
      <c r="ED34" s="174">
        <v>29</v>
      </c>
      <c r="EE34" s="174">
        <v>1</v>
      </c>
      <c r="EF34" s="174"/>
      <c r="EG34" s="174"/>
      <c r="EH34" s="174"/>
      <c r="EI34" s="174"/>
      <c r="EK34" s="2" t="s">
        <v>415</v>
      </c>
      <c r="EL34" s="2">
        <v>270</v>
      </c>
      <c r="EN34" s="176">
        <v>30</v>
      </c>
      <c r="GJ34" s="2" t="s">
        <v>419</v>
      </c>
      <c r="GK34" s="2" t="str">
        <f t="shared" si="17"/>
        <v>1.2D + 1.0W + 1.0Di + 1.0T + 1.0G (240 deg)</v>
      </c>
      <c r="GL34" s="184" t="s">
        <v>442</v>
      </c>
    </row>
    <row r="35" spans="1:194" ht="18" customHeight="1" x14ac:dyDescent="0.2">
      <c r="A35" s="165">
        <v>31</v>
      </c>
      <c r="B35" s="170" t="s">
        <v>443</v>
      </c>
      <c r="C35" s="171" t="s">
        <v>374</v>
      </c>
      <c r="D35" s="171"/>
      <c r="E35" s="171"/>
      <c r="F35" s="171"/>
      <c r="G35" s="171"/>
      <c r="H35" s="185"/>
      <c r="I35" s="185">
        <f>COUNTA('Distributed Load Tables'!$A$4:$A$1048576)</f>
        <v>0</v>
      </c>
      <c r="J35" s="185"/>
      <c r="K35" s="171"/>
      <c r="M35" s="176">
        <f t="shared" si="15"/>
        <v>31</v>
      </c>
      <c r="N35" s="170" t="str">
        <f t="shared" si="0"/>
        <v>1.2D + 1.0Di + 1.0Wi  | 300 deg</v>
      </c>
      <c r="O35" s="170" t="b">
        <v>1</v>
      </c>
      <c r="P35" s="170" t="str">
        <f t="shared" si="2"/>
        <v>Y</v>
      </c>
      <c r="Q35" s="170" t="str">
        <f t="shared" si="3"/>
        <v/>
      </c>
      <c r="R35" s="170">
        <f t="shared" si="4"/>
        <v>65</v>
      </c>
      <c r="S35" s="170">
        <f t="shared" si="5"/>
        <v>1.2</v>
      </c>
      <c r="T35" s="170">
        <f t="shared" si="6"/>
        <v>66</v>
      </c>
      <c r="U35" s="170">
        <f t="shared" si="7"/>
        <v>1</v>
      </c>
      <c r="V35" s="170">
        <f t="shared" si="8"/>
        <v>46</v>
      </c>
      <c r="W35" s="170">
        <f t="shared" si="9"/>
        <v>1</v>
      </c>
      <c r="X35" s="170">
        <f t="shared" si="10"/>
        <v>62</v>
      </c>
      <c r="Y35" s="170">
        <f t="shared" si="11"/>
        <v>1</v>
      </c>
      <c r="Z35" s="170" t="str">
        <f t="shared" si="12"/>
        <v/>
      </c>
      <c r="AA35" s="170" t="str">
        <f t="shared" si="13"/>
        <v/>
      </c>
      <c r="AC35" s="176">
        <v>31</v>
      </c>
      <c r="AD35" s="170" t="s">
        <v>1625</v>
      </c>
      <c r="AE35" s="170" t="b">
        <v>1</v>
      </c>
      <c r="AF35" s="170" t="s">
        <v>170</v>
      </c>
      <c r="AG35" s="170"/>
      <c r="AH35" s="170">
        <v>65</v>
      </c>
      <c r="AI35" s="170">
        <v>1.2</v>
      </c>
      <c r="AJ35" s="170">
        <v>66</v>
      </c>
      <c r="AK35" s="170">
        <v>1</v>
      </c>
      <c r="AL35" s="170">
        <v>46</v>
      </c>
      <c r="AM35" s="170">
        <v>1</v>
      </c>
      <c r="AN35" s="170">
        <v>62</v>
      </c>
      <c r="AO35" s="170">
        <v>1</v>
      </c>
      <c r="AP35" s="170"/>
      <c r="AQ35" s="170"/>
      <c r="AS35" s="176">
        <v>31</v>
      </c>
      <c r="AT35" s="170" t="s">
        <v>1626</v>
      </c>
      <c r="AU35" s="170" t="b">
        <v>1</v>
      </c>
      <c r="AV35" s="170" t="s">
        <v>170</v>
      </c>
      <c r="AW35" s="170"/>
      <c r="AX35" s="170">
        <v>65</v>
      </c>
      <c r="AY35" s="170">
        <v>0.9</v>
      </c>
      <c r="AZ35" s="170">
        <v>14</v>
      </c>
      <c r="BA35" s="170">
        <v>1</v>
      </c>
      <c r="BB35" s="170">
        <v>30</v>
      </c>
      <c r="BC35" s="170">
        <v>1</v>
      </c>
      <c r="BD35" s="170"/>
      <c r="BE35" s="170"/>
      <c r="BF35" s="170"/>
      <c r="BG35" s="170"/>
      <c r="BI35" s="176">
        <v>31</v>
      </c>
      <c r="BJ35" s="170" t="s">
        <v>1625</v>
      </c>
      <c r="BK35" s="170" t="b">
        <v>1</v>
      </c>
      <c r="BL35" s="170" t="s">
        <v>170</v>
      </c>
      <c r="BM35" s="170"/>
      <c r="BN35" s="170">
        <v>65</v>
      </c>
      <c r="BO35" s="170">
        <v>1.2</v>
      </c>
      <c r="BP35" s="170">
        <v>66</v>
      </c>
      <c r="BQ35" s="170">
        <v>1</v>
      </c>
      <c r="BR35" s="170">
        <v>46</v>
      </c>
      <c r="BS35" s="170">
        <v>1</v>
      </c>
      <c r="BT35" s="170">
        <v>62</v>
      </c>
      <c r="BU35" s="170">
        <v>1</v>
      </c>
      <c r="BV35" s="170"/>
      <c r="BW35" s="170"/>
      <c r="BY35" s="176">
        <v>31</v>
      </c>
      <c r="BZ35" s="246" t="s">
        <v>1627</v>
      </c>
      <c r="CA35" s="246" t="b">
        <v>1</v>
      </c>
      <c r="CB35" s="246" t="s">
        <v>170</v>
      </c>
      <c r="CC35" s="246"/>
      <c r="CD35" s="246">
        <v>65</v>
      </c>
      <c r="CE35" s="246">
        <v>1</v>
      </c>
      <c r="CF35" s="246">
        <v>66</v>
      </c>
      <c r="CG35" s="246">
        <v>0.7</v>
      </c>
      <c r="CH35" s="246">
        <v>46</v>
      </c>
      <c r="CI35" s="246">
        <v>0.7</v>
      </c>
      <c r="CJ35" s="246">
        <v>62</v>
      </c>
      <c r="CK35" s="246">
        <v>0.7</v>
      </c>
      <c r="CL35" s="246"/>
      <c r="CM35" s="246"/>
      <c r="CO35" s="176">
        <v>31</v>
      </c>
      <c r="CP35" s="246" t="s">
        <v>1627</v>
      </c>
      <c r="CQ35" s="246" t="b">
        <v>1</v>
      </c>
      <c r="CR35" s="246" t="s">
        <v>170</v>
      </c>
      <c r="CS35" s="246"/>
      <c r="CT35" s="246">
        <v>65</v>
      </c>
      <c r="CU35" s="246">
        <v>1</v>
      </c>
      <c r="CV35" s="246">
        <v>66</v>
      </c>
      <c r="CW35" s="246">
        <v>0.7</v>
      </c>
      <c r="CX35" s="246">
        <v>46</v>
      </c>
      <c r="CY35" s="246">
        <v>0.7</v>
      </c>
      <c r="CZ35" s="246">
        <v>62</v>
      </c>
      <c r="DA35" s="246">
        <v>0.7</v>
      </c>
      <c r="DB35" s="246"/>
      <c r="DC35" s="246"/>
      <c r="DE35" s="176">
        <v>31</v>
      </c>
      <c r="DF35" s="246" t="s">
        <v>1627</v>
      </c>
      <c r="DG35" s="246" t="b">
        <v>1</v>
      </c>
      <c r="DH35" s="246" t="s">
        <v>170</v>
      </c>
      <c r="DI35" s="246"/>
      <c r="DJ35" s="246">
        <v>65</v>
      </c>
      <c r="DK35" s="246">
        <v>1</v>
      </c>
      <c r="DL35" s="246">
        <v>66</v>
      </c>
      <c r="DM35" s="246">
        <v>0.7</v>
      </c>
      <c r="DN35" s="246">
        <v>46</v>
      </c>
      <c r="DO35" s="246">
        <v>0.7</v>
      </c>
      <c r="DP35" s="246">
        <v>62</v>
      </c>
      <c r="DQ35" s="246">
        <v>0.7</v>
      </c>
      <c r="DR35" s="246"/>
      <c r="DS35" s="246"/>
      <c r="DU35" s="176">
        <v>31</v>
      </c>
      <c r="DV35" s="170" t="str">
        <f t="shared" si="14"/>
        <v>1.2D + 1.6(Lr or S or R) + (L or 0.5W) (300 deg</v>
      </c>
      <c r="DW35" s="170">
        <v>1</v>
      </c>
      <c r="DX35" s="170" t="s">
        <v>170</v>
      </c>
      <c r="DY35" s="170"/>
      <c r="DZ35" s="170">
        <v>65</v>
      </c>
      <c r="EA35" s="170">
        <v>1.2</v>
      </c>
      <c r="EB35" s="170">
        <v>66</v>
      </c>
      <c r="EC35" s="170">
        <v>1</v>
      </c>
      <c r="ED35" s="170">
        <v>30</v>
      </c>
      <c r="EE35" s="170">
        <v>1</v>
      </c>
      <c r="EF35" s="170"/>
      <c r="EG35" s="170"/>
      <c r="EH35" s="170"/>
      <c r="EI35" s="170"/>
      <c r="EK35" s="2" t="s">
        <v>415</v>
      </c>
      <c r="EL35" s="2">
        <v>300</v>
      </c>
      <c r="EN35" s="176">
        <v>31</v>
      </c>
      <c r="GJ35" s="2" t="s">
        <v>419</v>
      </c>
      <c r="GK35" s="2" t="str">
        <f t="shared" si="17"/>
        <v>1.2D + 1.0W + 1.0Di + 1.0T + 1.0G (270 deg)</v>
      </c>
      <c r="GL35" s="184"/>
    </row>
    <row r="36" spans="1:194" ht="18" customHeight="1" x14ac:dyDescent="0.2">
      <c r="A36" s="165">
        <v>32</v>
      </c>
      <c r="B36" s="174" t="s">
        <v>444</v>
      </c>
      <c r="C36" s="174" t="s">
        <v>374</v>
      </c>
      <c r="D36" s="174"/>
      <c r="E36" s="174"/>
      <c r="F36" s="174"/>
      <c r="G36" s="174"/>
      <c r="H36" s="186"/>
      <c r="I36" s="186">
        <f>COUNTA('Distributed Load Tables'!$A$4:$A$1048576)</f>
        <v>0</v>
      </c>
      <c r="J36" s="186"/>
      <c r="K36" s="174"/>
      <c r="M36" s="176">
        <f t="shared" si="15"/>
        <v>32</v>
      </c>
      <c r="N36" s="174" t="str">
        <f t="shared" si="0"/>
        <v>1.2D + 1.0Di + 1.0Wi  | 315 deg</v>
      </c>
      <c r="O36" s="174" t="b">
        <v>1</v>
      </c>
      <c r="P36" s="174" t="str">
        <f t="shared" si="2"/>
        <v>Y</v>
      </c>
      <c r="Q36" s="174" t="str">
        <f t="shared" si="3"/>
        <v/>
      </c>
      <c r="R36" s="174">
        <f t="shared" si="4"/>
        <v>65</v>
      </c>
      <c r="S36" s="174">
        <f t="shared" si="5"/>
        <v>1.2</v>
      </c>
      <c r="T36" s="174">
        <f t="shared" si="6"/>
        <v>66</v>
      </c>
      <c r="U36" s="174">
        <f t="shared" si="7"/>
        <v>1</v>
      </c>
      <c r="V36" s="174">
        <f t="shared" si="8"/>
        <v>47</v>
      </c>
      <c r="W36" s="174">
        <f t="shared" si="9"/>
        <v>1</v>
      </c>
      <c r="X36" s="174">
        <f t="shared" si="10"/>
        <v>63</v>
      </c>
      <c r="Y36" s="174">
        <f t="shared" si="11"/>
        <v>1</v>
      </c>
      <c r="Z36" s="174" t="str">
        <f t="shared" si="12"/>
        <v/>
      </c>
      <c r="AA36" s="174" t="str">
        <f t="shared" si="13"/>
        <v/>
      </c>
      <c r="AC36" s="176">
        <v>32</v>
      </c>
      <c r="AD36" s="174" t="s">
        <v>1628</v>
      </c>
      <c r="AE36" s="174" t="b">
        <v>1</v>
      </c>
      <c r="AF36" s="174" t="s">
        <v>170</v>
      </c>
      <c r="AG36" s="174"/>
      <c r="AH36" s="174">
        <v>65</v>
      </c>
      <c r="AI36" s="174">
        <v>1.2</v>
      </c>
      <c r="AJ36" s="174">
        <v>66</v>
      </c>
      <c r="AK36" s="174">
        <v>1</v>
      </c>
      <c r="AL36" s="174">
        <v>47</v>
      </c>
      <c r="AM36" s="174">
        <v>1</v>
      </c>
      <c r="AN36" s="174">
        <v>63</v>
      </c>
      <c r="AO36" s="174">
        <v>1</v>
      </c>
      <c r="AP36" s="174"/>
      <c r="AQ36" s="174"/>
      <c r="AS36" s="176">
        <v>32</v>
      </c>
      <c r="AT36" s="174" t="s">
        <v>1629</v>
      </c>
      <c r="AU36" s="174"/>
      <c r="AV36" s="174" t="s">
        <v>170</v>
      </c>
      <c r="AW36" s="174"/>
      <c r="AX36" s="174">
        <v>65</v>
      </c>
      <c r="AY36" s="174">
        <v>0.9</v>
      </c>
      <c r="AZ36" s="174">
        <v>15</v>
      </c>
      <c r="BA36" s="174">
        <v>1</v>
      </c>
      <c r="BB36" s="174">
        <v>31</v>
      </c>
      <c r="BC36" s="174">
        <v>1</v>
      </c>
      <c r="BD36" s="174"/>
      <c r="BE36" s="174"/>
      <c r="BF36" s="174"/>
      <c r="BG36" s="174"/>
      <c r="BI36" s="176">
        <v>32</v>
      </c>
      <c r="BJ36" s="174" t="s">
        <v>1628</v>
      </c>
      <c r="BK36" s="174" t="b">
        <v>1</v>
      </c>
      <c r="BL36" s="174" t="s">
        <v>170</v>
      </c>
      <c r="BM36" s="174"/>
      <c r="BN36" s="174">
        <v>65</v>
      </c>
      <c r="BO36" s="174">
        <v>1.2</v>
      </c>
      <c r="BP36" s="174">
        <v>66</v>
      </c>
      <c r="BQ36" s="174">
        <v>1</v>
      </c>
      <c r="BR36" s="174">
        <v>47</v>
      </c>
      <c r="BS36" s="174">
        <v>1</v>
      </c>
      <c r="BT36" s="174">
        <v>63</v>
      </c>
      <c r="BU36" s="174">
        <v>1</v>
      </c>
      <c r="BV36" s="174"/>
      <c r="BW36" s="174"/>
      <c r="BY36" s="176">
        <v>32</v>
      </c>
      <c r="BZ36" s="249" t="s">
        <v>1630</v>
      </c>
      <c r="CA36" s="249" t="b">
        <v>1</v>
      </c>
      <c r="CB36" s="249" t="s">
        <v>170</v>
      </c>
      <c r="CC36" s="249"/>
      <c r="CD36" s="249">
        <v>65</v>
      </c>
      <c r="CE36" s="249">
        <v>1</v>
      </c>
      <c r="CF36" s="249">
        <v>66</v>
      </c>
      <c r="CG36" s="249">
        <v>0.7</v>
      </c>
      <c r="CH36" s="249">
        <v>47</v>
      </c>
      <c r="CI36" s="249">
        <v>0.7</v>
      </c>
      <c r="CJ36" s="249">
        <v>63</v>
      </c>
      <c r="CK36" s="249">
        <v>0.7</v>
      </c>
      <c r="CL36" s="249"/>
      <c r="CM36" s="249"/>
      <c r="CO36" s="176">
        <v>32</v>
      </c>
      <c r="CP36" s="249" t="s">
        <v>1630</v>
      </c>
      <c r="CQ36" s="249" t="b">
        <v>1</v>
      </c>
      <c r="CR36" s="249" t="s">
        <v>170</v>
      </c>
      <c r="CS36" s="249"/>
      <c r="CT36" s="249">
        <v>65</v>
      </c>
      <c r="CU36" s="249">
        <v>1</v>
      </c>
      <c r="CV36" s="249">
        <v>66</v>
      </c>
      <c r="CW36" s="249">
        <v>0.7</v>
      </c>
      <c r="CX36" s="249">
        <v>47</v>
      </c>
      <c r="CY36" s="249">
        <v>0.7</v>
      </c>
      <c r="CZ36" s="249">
        <v>63</v>
      </c>
      <c r="DA36" s="249">
        <v>0.7</v>
      </c>
      <c r="DB36" s="249"/>
      <c r="DC36" s="249"/>
      <c r="DE36" s="176">
        <v>32</v>
      </c>
      <c r="DF36" s="249" t="s">
        <v>1630</v>
      </c>
      <c r="DG36" s="249" t="b">
        <v>1</v>
      </c>
      <c r="DH36" s="249" t="s">
        <v>170</v>
      </c>
      <c r="DI36" s="249"/>
      <c r="DJ36" s="249">
        <v>65</v>
      </c>
      <c r="DK36" s="249">
        <v>1</v>
      </c>
      <c r="DL36" s="249">
        <v>66</v>
      </c>
      <c r="DM36" s="249">
        <v>0.7</v>
      </c>
      <c r="DN36" s="249">
        <v>47</v>
      </c>
      <c r="DO36" s="249">
        <v>0.7</v>
      </c>
      <c r="DP36" s="249">
        <v>63</v>
      </c>
      <c r="DQ36" s="249">
        <v>0.7</v>
      </c>
      <c r="DR36" s="249"/>
      <c r="DS36" s="249"/>
      <c r="DU36" s="176">
        <v>32</v>
      </c>
      <c r="DV36" s="174" t="str">
        <f t="shared" si="14"/>
        <v>1.2D + 1.6(Lr or S or R) + (L or 0.5W) (315 deg</v>
      </c>
      <c r="DW36" s="174">
        <v>1</v>
      </c>
      <c r="DX36" s="174" t="s">
        <v>170</v>
      </c>
      <c r="DY36" s="174"/>
      <c r="DZ36" s="174">
        <v>65</v>
      </c>
      <c r="EA36" s="174">
        <v>1.2</v>
      </c>
      <c r="EB36" s="174">
        <v>66</v>
      </c>
      <c r="EC36" s="174">
        <v>1</v>
      </c>
      <c r="ED36" s="174">
        <v>31</v>
      </c>
      <c r="EE36" s="174">
        <v>1</v>
      </c>
      <c r="EF36" s="174"/>
      <c r="EG36" s="174"/>
      <c r="EH36" s="174"/>
      <c r="EI36" s="174"/>
      <c r="EK36" s="2" t="s">
        <v>415</v>
      </c>
      <c r="EL36" s="2">
        <v>315</v>
      </c>
      <c r="EN36" s="176">
        <v>32</v>
      </c>
      <c r="GJ36" s="2" t="s">
        <v>419</v>
      </c>
      <c r="GK36" s="2" t="str">
        <f t="shared" si="17"/>
        <v>1.2D + 1.0W + 1.0Di + 1.0T + 1.0G (300 deg)</v>
      </c>
      <c r="GL36" s="184"/>
    </row>
    <row r="37" spans="1:194" ht="18" customHeight="1" thickBot="1" x14ac:dyDescent="0.25">
      <c r="A37" s="165">
        <v>33</v>
      </c>
      <c r="B37" s="170" t="s">
        <v>445</v>
      </c>
      <c r="C37" s="171" t="s">
        <v>446</v>
      </c>
      <c r="D37" s="171"/>
      <c r="E37" s="171"/>
      <c r="F37" s="171"/>
      <c r="G37" s="171"/>
      <c r="H37" s="185">
        <f>COUNTA('Point Load Tables'!$CC$4:$CC$1048576)</f>
        <v>0</v>
      </c>
      <c r="I37" s="185"/>
      <c r="J37" s="185"/>
      <c r="K37" s="171"/>
      <c r="M37" s="176">
        <f t="shared" si="15"/>
        <v>33</v>
      </c>
      <c r="N37" s="170" t="str">
        <f t="shared" ref="N37:N53" si="18">IF(IF($M$3=$AC$3,AD37,
 IF($M$3=$AS$3,AT37,
 IF($M$3=$BI$3,BJ37,
 IF($M$3=$BY$3,BZ37,
 IF($M$3=$CO$3,CP37,
 IF($M$3=$DE$3,DF37))))))="","",
IF($M$3=$AC$3,AD37,
 IF($M$3=$AS$3,AT37,
 IF($M$3=$BI$3,BJ37,
 IF($M$3=$BY$3,BZ37,
 IF($M$3=$CO$3,CP37,
 IF($M$3=$DE$3,DF37)))))))</f>
        <v>1.2D + 1.0Di + 1.0Wi  | 330 deg</v>
      </c>
      <c r="O37" s="170" t="b">
        <v>1</v>
      </c>
      <c r="P37" s="170" t="str">
        <f t="shared" ref="P37:P53" si="19">IF(IF($M$3=$AC$3,AF37,
 IF($M$3=$AS$3,AV37,
 IF($M$3=$BI$3,BL37,
 IF($M$3=$BY$3,CB37,
 IF($M$3=$CO$3,CR37,
 IF($M$3=$DE$3,DH37))))))="","",
IF($M$3=$AC$3,AF37,
 IF($M$3=$AS$3,AV37,
 IF($M$3=$BI$3,BL37,
 IF($M$3=$BY$3,CB37,
 IF($M$3=$CO$3,CR37,
 IF($M$3=$DE$3,DH37)))))))</f>
        <v>Y</v>
      </c>
      <c r="Q37" s="170" t="str">
        <f t="shared" ref="Q37:Q53" si="20">IF(IF($M$3=$AC$3,AG37,
 IF($M$3=$AS$3,AW37,
 IF($M$3=$BI$3,BM37,
 IF($M$3=$BY$3,CC37,
 IF($M$3=$CO$3,CS37,
 IF($M$3=$DE$3,DI37))))))="","",
IF($M$3=$AC$3,AG37,
 IF($M$3=$AS$3,AW37,
 IF($M$3=$BI$3,BM37,
 IF($M$3=$BY$3,CC37,
 IF($M$3=$CO$3,CS37,
 IF($M$3=$DE$3,DI37)))))))</f>
        <v/>
      </c>
      <c r="R37" s="170">
        <f t="shared" ref="R37:R53" si="21">IF(IF($M$3=$AC$3,AH37,
 IF($M$3=$AS$3,AX37,
 IF($M$3=$BI$3,BN37,
 IF($M$3=$BY$3,CD37,
 IF($M$3=$CO$3,CT37,
 IF($M$3=$DE$3,DJ37))))))="","",
IF($M$3=$AC$3,AH37,
 IF($M$3=$AS$3,AX37,
 IF($M$3=$BI$3,BN37,
 IF($M$3=$BY$3,CD37,
 IF($M$3=$CO$3,CT37,
 IF($M$3=$DE$3,DJ37)))))))</f>
        <v>65</v>
      </c>
      <c r="S37" s="170">
        <f t="shared" ref="S37:S53" si="22">IF(IF($M$3=$AC$3,AI37,
 IF($M$3=$AS$3,AY37,
 IF($M$3=$BI$3,BO37,
 IF($M$3=$BY$3,CE37,
 IF($M$3=$CO$3,CU37,
 IF($M$3=$DE$3,DK37))))))="","",
IF($M$3=$AC$3,AI37,
 IF($M$3=$AS$3,AY37,
 IF($M$3=$BI$3,BO37,
 IF($M$3=$BY$3,CE37,
 IF($M$3=$CO$3,CU37,
 IF($M$3=$DE$3,DK37)))))))</f>
        <v>1.2</v>
      </c>
      <c r="T37" s="170">
        <f t="shared" ref="T37:T53" si="23">IF(IF($M$3=$AC$3,AJ37,
 IF($M$3=$AS$3,AZ37,
 IF($M$3=$BI$3,BP37,
 IF($M$3=$BY$3,CF37,
 IF($M$3=$CO$3,CV37,
 IF($M$3=$DE$3,DL37))))))="","",
IF($M$3=$AC$3,AJ37,
 IF($M$3=$AS$3,AZ37,
 IF($M$3=$BI$3,BP37,
 IF($M$3=$BY$3,CF37,
 IF($M$3=$CO$3,CV37,
 IF($M$3=$DE$3,DL37)))))))</f>
        <v>66</v>
      </c>
      <c r="U37" s="170">
        <f t="shared" ref="U37:U53" si="24">IF(IF($M$3=$AC$3,AK37,
 IF($M$3=$AS$3,BA37,
 IF($M$3=$BI$3,BQ37,
 IF($M$3=$BY$3,CG37,
 IF($M$3=$CO$3,CW37,
 IF($M$3=$DE$3,DM37))))))="","",
IF($M$3=$AC$3,AK37,
 IF($M$3=$AS$3,BA37,
 IF($M$3=$BI$3,BQ37,
 IF($M$3=$BY$3,CG37,
 IF($M$3=$CO$3,CW37,
 IF($M$3=$DE$3,DM37)))))))</f>
        <v>1</v>
      </c>
      <c r="V37" s="170">
        <f t="shared" ref="V37:V53" si="25">IF(IF($M$3=$AC$3,AL37,
 IF($M$3=$AS$3,BB37,
 IF($M$3=$BI$3,BR37,
 IF($M$3=$BY$3,CH37,
 IF($M$3=$CO$3,CX37,
 IF($M$3=$DE$3,DN37))))))="","",
IF($M$3=$AC$3,AL37,
 IF($M$3=$AS$3,BB37,
 IF($M$3=$BI$3,BR37,
 IF($M$3=$BY$3,CH37,
 IF($M$3=$CO$3,CX37,
 IF($M$3=$DE$3,DN37)))))))</f>
        <v>48</v>
      </c>
      <c r="W37" s="170">
        <f t="shared" ref="W37:W53" si="26">IF(IF($M$3=$AC$3,AM37,
 IF($M$3=$AS$3,BC37,
 IF($M$3=$BI$3,BS37,
 IF($M$3=$BY$3,CI37,
 IF($M$3=$CO$3,CY37,
 IF($M$3=$DE$3,DO37))))))="","",
IF($M$3=$AC$3,AM37,
 IF($M$3=$AS$3,BC37,
 IF($M$3=$BI$3,BS37,
 IF($M$3=$BY$3,CI37,
 IF($M$3=$CO$3,CY37,
 IF($M$3=$DE$3,DO37)))))))</f>
        <v>1</v>
      </c>
      <c r="X37" s="170">
        <f t="shared" ref="X37:X53" si="27">IF(IF($M$3=$AC$3,AN37,
 IF($M$3=$AS$3,BD37,
 IF($M$3=$BI$3,BT37,
 IF($M$3=$BY$3,CJ37,
 IF($M$3=$CO$3,CZ37,
 IF($M$3=$DE$3,DP37))))))="","",
IF($M$3=$AC$3,AN37,
 IF($M$3=$AS$3,BD37,
 IF($M$3=$BI$3,BT37,
 IF($M$3=$BY$3,CJ37,
 IF($M$3=$CO$3,CZ37,
 IF($M$3=$DE$3,DP37)))))))</f>
        <v>64</v>
      </c>
      <c r="Y37" s="170">
        <f t="shared" ref="Y37:Y53" si="28">IF(IF($M$3=$AC$3,AO37,
 IF($M$3=$AS$3,BE37,
 IF($M$3=$BI$3,BU37,
 IF($M$3=$BY$3,CK37,
 IF($M$3=$CO$3,DA37,
 IF($M$3=$DE$3,DQ37))))))="","",
IF($M$3=$AC$3,AO37,
 IF($M$3=$AS$3,BE37,
 IF($M$3=$BI$3,BU37,
 IF($M$3=$BY$3,CK37,
 IF($M$3=$CO$3,DA37,
 IF($M$3=$DE$3,DQ37)))))))</f>
        <v>1</v>
      </c>
      <c r="Z37" s="170" t="str">
        <f t="shared" ref="Z37:Z53" si="29">IF(IF($M$3=$AC$3,AP37,
 IF($M$3=$AS$3,BF37,
 IF($M$3=$BI$3,BV37,
 IF($M$3=$BY$3,CL37,
 IF($M$3=$CO$3,DB37,
 IF($M$3=$DE$3,DR37))))))="","",
IF($M$3=$AC$3,AP37,
 IF($M$3=$AS$3,BF37,
 IF($M$3=$BI$3,BV37,
 IF($M$3=$BY$3,CL37,
 IF($M$3=$CO$3,DB37,
 IF($M$3=$DE$3,DR37)))))))</f>
        <v/>
      </c>
      <c r="AA37" s="170" t="str">
        <f t="shared" ref="AA37:AA53" si="30">IF(IF($M$3=$AC$3,AQ37,
 IF($M$3=$AS$3,BG37,
 IF($M$3=$BI$3,BW37,
 IF($M$3=$BY$3,CM37,
 IF($M$3=$CO$3,DC37,
 IF($M$3=$DE$3,DS37))))))="","",
IF($M$3=$AC$3,AQ37,
 IF($M$3=$AS$3,BG37,
 IF($M$3=$BI$3,BW37,
 IF($M$3=$BY$3,CM37,
 IF($M$3=$CO$3,DC37,
 IF($M$3=$DE$3,DS37)))))))</f>
        <v/>
      </c>
      <c r="AC37" s="177">
        <v>33</v>
      </c>
      <c r="AD37" s="173" t="s">
        <v>1631</v>
      </c>
      <c r="AE37" s="173" t="b">
        <v>1</v>
      </c>
      <c r="AF37" s="173" t="s">
        <v>170</v>
      </c>
      <c r="AG37" s="173"/>
      <c r="AH37" s="173">
        <v>65</v>
      </c>
      <c r="AI37" s="173">
        <v>1.2</v>
      </c>
      <c r="AJ37" s="173">
        <v>66</v>
      </c>
      <c r="AK37" s="173">
        <v>1</v>
      </c>
      <c r="AL37" s="173">
        <v>48</v>
      </c>
      <c r="AM37" s="173">
        <v>1</v>
      </c>
      <c r="AN37" s="173">
        <v>64</v>
      </c>
      <c r="AO37" s="173">
        <v>1</v>
      </c>
      <c r="AP37" s="173"/>
      <c r="AQ37" s="173"/>
      <c r="AS37" s="177">
        <v>33</v>
      </c>
      <c r="AT37" s="173" t="s">
        <v>1632</v>
      </c>
      <c r="AU37" s="173" t="b">
        <v>1</v>
      </c>
      <c r="AV37" s="173" t="s">
        <v>170</v>
      </c>
      <c r="AW37" s="173"/>
      <c r="AX37" s="173">
        <v>65</v>
      </c>
      <c r="AY37" s="173">
        <v>0.9</v>
      </c>
      <c r="AZ37" s="173">
        <v>16</v>
      </c>
      <c r="BA37" s="173">
        <v>1</v>
      </c>
      <c r="BB37" s="173">
        <v>32</v>
      </c>
      <c r="BC37" s="173">
        <v>1</v>
      </c>
      <c r="BD37" s="173"/>
      <c r="BE37" s="173"/>
      <c r="BF37" s="173"/>
      <c r="BG37" s="173"/>
      <c r="BI37" s="177">
        <v>33</v>
      </c>
      <c r="BJ37" s="173" t="s">
        <v>1631</v>
      </c>
      <c r="BK37" s="173" t="b">
        <v>1</v>
      </c>
      <c r="BL37" s="173" t="s">
        <v>170</v>
      </c>
      <c r="BM37" s="173"/>
      <c r="BN37" s="173">
        <v>65</v>
      </c>
      <c r="BO37" s="173">
        <v>1.2</v>
      </c>
      <c r="BP37" s="173">
        <v>66</v>
      </c>
      <c r="BQ37" s="173">
        <v>1</v>
      </c>
      <c r="BR37" s="173">
        <v>48</v>
      </c>
      <c r="BS37" s="173">
        <v>1</v>
      </c>
      <c r="BT37" s="173">
        <v>64</v>
      </c>
      <c r="BU37" s="173">
        <v>1</v>
      </c>
      <c r="BV37" s="173"/>
      <c r="BW37" s="173"/>
      <c r="BY37" s="177">
        <v>33</v>
      </c>
      <c r="BZ37" s="247" t="s">
        <v>1633</v>
      </c>
      <c r="CA37" s="247" t="b">
        <v>1</v>
      </c>
      <c r="CB37" s="247" t="s">
        <v>170</v>
      </c>
      <c r="CC37" s="247"/>
      <c r="CD37" s="247">
        <v>65</v>
      </c>
      <c r="CE37" s="247">
        <v>1</v>
      </c>
      <c r="CF37" s="247">
        <v>66</v>
      </c>
      <c r="CG37" s="247">
        <v>0.7</v>
      </c>
      <c r="CH37" s="247">
        <v>48</v>
      </c>
      <c r="CI37" s="247">
        <v>0.7</v>
      </c>
      <c r="CJ37" s="247">
        <v>64</v>
      </c>
      <c r="CK37" s="247">
        <v>0.7</v>
      </c>
      <c r="CL37" s="247"/>
      <c r="CM37" s="247"/>
      <c r="CO37" s="177">
        <v>33</v>
      </c>
      <c r="CP37" s="247" t="s">
        <v>1633</v>
      </c>
      <c r="CQ37" s="247" t="b">
        <v>1</v>
      </c>
      <c r="CR37" s="247" t="s">
        <v>170</v>
      </c>
      <c r="CS37" s="247"/>
      <c r="CT37" s="247">
        <v>65</v>
      </c>
      <c r="CU37" s="247">
        <v>1</v>
      </c>
      <c r="CV37" s="247">
        <v>66</v>
      </c>
      <c r="CW37" s="247">
        <v>0.7</v>
      </c>
      <c r="CX37" s="247">
        <v>48</v>
      </c>
      <c r="CY37" s="247">
        <v>0.7</v>
      </c>
      <c r="CZ37" s="247">
        <v>64</v>
      </c>
      <c r="DA37" s="247">
        <v>0.7</v>
      </c>
      <c r="DB37" s="247"/>
      <c r="DC37" s="247"/>
      <c r="DE37" s="177">
        <v>33</v>
      </c>
      <c r="DF37" s="247" t="s">
        <v>1633</v>
      </c>
      <c r="DG37" s="247" t="b">
        <v>1</v>
      </c>
      <c r="DH37" s="247" t="s">
        <v>170</v>
      </c>
      <c r="DI37" s="247"/>
      <c r="DJ37" s="247">
        <v>65</v>
      </c>
      <c r="DK37" s="247">
        <v>1</v>
      </c>
      <c r="DL37" s="247">
        <v>66</v>
      </c>
      <c r="DM37" s="247">
        <v>0.7</v>
      </c>
      <c r="DN37" s="247">
        <v>48</v>
      </c>
      <c r="DO37" s="247">
        <v>0.7</v>
      </c>
      <c r="DP37" s="247">
        <v>64</v>
      </c>
      <c r="DQ37" s="247">
        <v>0.7</v>
      </c>
      <c r="DR37" s="247"/>
      <c r="DS37" s="247"/>
      <c r="DU37" s="177">
        <v>33</v>
      </c>
      <c r="DV37" s="173" t="str">
        <f t="shared" si="14"/>
        <v>1.2D + 1.6(Lr or S or R) + (L or 0.5W) (330 deg</v>
      </c>
      <c r="DW37" s="173">
        <v>1</v>
      </c>
      <c r="DX37" s="173" t="s">
        <v>170</v>
      </c>
      <c r="DY37" s="173"/>
      <c r="DZ37" s="173">
        <v>65</v>
      </c>
      <c r="EA37" s="173">
        <v>1.2</v>
      </c>
      <c r="EB37" s="173">
        <v>66</v>
      </c>
      <c r="EC37" s="173">
        <v>1</v>
      </c>
      <c r="ED37" s="173">
        <v>32</v>
      </c>
      <c r="EE37" s="173">
        <v>1</v>
      </c>
      <c r="EF37" s="173"/>
      <c r="EG37" s="173"/>
      <c r="EH37" s="173"/>
      <c r="EI37" s="173"/>
      <c r="EK37" s="2" t="s">
        <v>415</v>
      </c>
      <c r="EL37" s="2">
        <v>330</v>
      </c>
      <c r="EN37" s="177">
        <v>33</v>
      </c>
      <c r="GJ37" s="2" t="s">
        <v>419</v>
      </c>
      <c r="GK37" s="2" t="str">
        <f t="shared" si="17"/>
        <v>1.2D + 1.0W + 1.0Di + 1.0T + 1.0G (315 deg)</v>
      </c>
      <c r="GL37" s="184"/>
    </row>
    <row r="38" spans="1:194" ht="18" customHeight="1" thickTop="1" x14ac:dyDescent="0.2">
      <c r="A38" s="165">
        <v>34</v>
      </c>
      <c r="B38" s="174" t="s">
        <v>447</v>
      </c>
      <c r="C38" s="174" t="s">
        <v>446</v>
      </c>
      <c r="D38" s="174"/>
      <c r="E38" s="174"/>
      <c r="F38" s="174"/>
      <c r="G38" s="174"/>
      <c r="H38" s="186">
        <f>COUNTA('Point Load Tables'!$CH$4:$CH$1048576)</f>
        <v>0</v>
      </c>
      <c r="I38" s="186"/>
      <c r="J38" s="186"/>
      <c r="K38" s="174"/>
      <c r="M38" s="176">
        <f t="shared" si="15"/>
        <v>34</v>
      </c>
      <c r="N38" s="174" t="str">
        <f t="shared" si="18"/>
        <v>1.2D + 1.5Lm_1 + 1.0Wm  | 0 deg</v>
      </c>
      <c r="O38" s="174" t="b">
        <v>1</v>
      </c>
      <c r="P38" s="174" t="str">
        <f t="shared" si="19"/>
        <v>Y</v>
      </c>
      <c r="Q38" s="174" t="str">
        <f t="shared" si="20"/>
        <v/>
      </c>
      <c r="R38" s="174">
        <f t="shared" si="21"/>
        <v>65</v>
      </c>
      <c r="S38" s="174">
        <f t="shared" si="22"/>
        <v>1.2</v>
      </c>
      <c r="T38" s="174">
        <f t="shared" si="23"/>
        <v>86</v>
      </c>
      <c r="U38" s="174">
        <f t="shared" si="24"/>
        <v>1.5</v>
      </c>
      <c r="V38" s="174">
        <f t="shared" si="25"/>
        <v>1</v>
      </c>
      <c r="W38" s="174" t="e">
        <f t="shared" si="26"/>
        <v>#VALUE!</v>
      </c>
      <c r="X38" s="174">
        <f t="shared" si="27"/>
        <v>17</v>
      </c>
      <c r="Y38" s="174" t="e">
        <f t="shared" si="28"/>
        <v>#VALUE!</v>
      </c>
      <c r="Z38" s="174" t="str">
        <f t="shared" si="29"/>
        <v/>
      </c>
      <c r="AA38" s="174" t="str">
        <f t="shared" si="30"/>
        <v/>
      </c>
      <c r="AC38" s="178">
        <v>34</v>
      </c>
      <c r="AD38" s="175" t="s">
        <v>1403</v>
      </c>
      <c r="AE38" s="175" t="b">
        <v>1</v>
      </c>
      <c r="AF38" s="175" t="s">
        <v>170</v>
      </c>
      <c r="AG38" s="175"/>
      <c r="AH38" s="175">
        <v>65</v>
      </c>
      <c r="AI38" s="175">
        <v>1.2</v>
      </c>
      <c r="AJ38" s="175">
        <f>IFERROR(INDEX($A:$A, MATCH("*Lm_1", $B:$B, 0)),86)</f>
        <v>86</v>
      </c>
      <c r="AK38" s="175">
        <v>1.5</v>
      </c>
      <c r="AL38" s="175">
        <v>1</v>
      </c>
      <c r="AM38" s="179" t="e">
        <f>qmz/qz/Kes.w</f>
        <v>#VALUE!</v>
      </c>
      <c r="AN38" s="175">
        <v>17</v>
      </c>
      <c r="AO38" s="179" t="e">
        <f>qmz/qz/Kes.w</f>
        <v>#VALUE!</v>
      </c>
      <c r="AP38" s="175"/>
      <c r="AQ38" s="175"/>
      <c r="AS38" s="178">
        <v>34</v>
      </c>
      <c r="AT38" s="175" t="s">
        <v>1404</v>
      </c>
      <c r="AU38" s="175" t="b">
        <v>1</v>
      </c>
      <c r="AV38" s="175" t="s">
        <v>170</v>
      </c>
      <c r="AW38" s="175"/>
      <c r="AX38" s="175">
        <v>65</v>
      </c>
      <c r="AY38" s="175">
        <v>1.2</v>
      </c>
      <c r="AZ38" s="175">
        <v>33</v>
      </c>
      <c r="BA38" s="175">
        <v>1</v>
      </c>
      <c r="BB38" s="175">
        <v>49</v>
      </c>
      <c r="BC38" s="175">
        <v>1</v>
      </c>
      <c r="BD38" s="175">
        <v>66</v>
      </c>
      <c r="BE38" s="175">
        <v>1</v>
      </c>
      <c r="BF38" s="175"/>
      <c r="BG38" s="175"/>
      <c r="BI38" s="178">
        <v>34</v>
      </c>
      <c r="BJ38" s="175" t="s">
        <v>1403</v>
      </c>
      <c r="BK38" s="175" t="b">
        <v>1</v>
      </c>
      <c r="BL38" s="175" t="s">
        <v>170</v>
      </c>
      <c r="BM38" s="175"/>
      <c r="BN38" s="175">
        <v>65</v>
      </c>
      <c r="BO38" s="175">
        <v>1.2</v>
      </c>
      <c r="BP38" s="175">
        <f>IFERROR(INDEX($A:$A, MATCH("*Lm_1", $B:$B, 0)),86)</f>
        <v>86</v>
      </c>
      <c r="BQ38" s="175">
        <v>1.5</v>
      </c>
      <c r="BR38" s="175">
        <v>1</v>
      </c>
      <c r="BS38" s="179" t="e">
        <f>qmz/qz/Kes.w</f>
        <v>#VALUE!</v>
      </c>
      <c r="BT38" s="175">
        <v>17</v>
      </c>
      <c r="BU38" s="179" t="e">
        <f>qmz/qz/Kes.w</f>
        <v>#VALUE!</v>
      </c>
      <c r="BV38" s="175"/>
      <c r="BW38" s="175"/>
      <c r="BY38" s="178">
        <v>34</v>
      </c>
      <c r="BZ38" s="248" t="s">
        <v>1405</v>
      </c>
      <c r="CA38" s="248" t="b">
        <v>1</v>
      </c>
      <c r="CB38" s="248" t="s">
        <v>170</v>
      </c>
      <c r="CC38" s="248"/>
      <c r="CD38" s="248">
        <v>65</v>
      </c>
      <c r="CE38" s="248">
        <v>1</v>
      </c>
      <c r="CF38" s="175">
        <f t="shared" ref="CF38:CF53" si="31">IFERROR(INDEX($A:$A, MATCH("*Lm_1", $B:$B, 0)),0)</f>
        <v>86</v>
      </c>
      <c r="CG38" s="248">
        <v>1.25</v>
      </c>
      <c r="CH38" s="248">
        <v>1</v>
      </c>
      <c r="CI38" s="250" t="e">
        <f t="shared" ref="CI38:CI69" si="32">0.6*qmz/qz</f>
        <v>#VALUE!</v>
      </c>
      <c r="CJ38" s="248">
        <v>17</v>
      </c>
      <c r="CK38" s="250" t="e">
        <f t="shared" ref="CK38:CK69" si="33">0.6*qmz/qz</f>
        <v>#VALUE!</v>
      </c>
      <c r="CL38" s="248"/>
      <c r="CM38" s="248"/>
      <c r="CO38" s="178">
        <v>34</v>
      </c>
      <c r="CP38" s="248" t="s">
        <v>1405</v>
      </c>
      <c r="CQ38" s="248" t="b">
        <v>1</v>
      </c>
      <c r="CR38" s="248" t="s">
        <v>170</v>
      </c>
      <c r="CS38" s="248"/>
      <c r="CT38" s="248">
        <v>65</v>
      </c>
      <c r="CU38" s="248">
        <v>1</v>
      </c>
      <c r="CV38" s="175">
        <f t="shared" ref="CV38:CV53" si="34">IFERROR(INDEX($A:$A, MATCH("*Lm_1", $B:$B, 0)),0)</f>
        <v>86</v>
      </c>
      <c r="CW38" s="248">
        <v>1.25</v>
      </c>
      <c r="CX38" s="248">
        <v>1</v>
      </c>
      <c r="CY38" s="250" t="e">
        <f t="shared" ref="CY38:CY69" si="35">0.6*qmz/qz</f>
        <v>#VALUE!</v>
      </c>
      <c r="CZ38" s="248">
        <v>17</v>
      </c>
      <c r="DA38" s="250" t="e">
        <f t="shared" ref="DA38:DA69" si="36">0.6*qmz/qz</f>
        <v>#VALUE!</v>
      </c>
      <c r="DB38" s="248"/>
      <c r="DC38" s="248"/>
      <c r="DE38" s="178">
        <v>34</v>
      </c>
      <c r="DF38" s="248" t="s">
        <v>1405</v>
      </c>
      <c r="DG38" s="248" t="b">
        <v>1</v>
      </c>
      <c r="DH38" s="248" t="s">
        <v>170</v>
      </c>
      <c r="DI38" s="248"/>
      <c r="DJ38" s="248">
        <v>65</v>
      </c>
      <c r="DK38" s="248">
        <v>1</v>
      </c>
      <c r="DL38" s="175">
        <f t="shared" ref="DL38:DL53" si="37">IFERROR(INDEX($A:$A, MATCH("*Lm_1", $B:$B, 0)),0)</f>
        <v>86</v>
      </c>
      <c r="DM38" s="248">
        <v>1.25</v>
      </c>
      <c r="DN38" s="248">
        <v>1</v>
      </c>
      <c r="DO38" s="250" t="e">
        <f t="shared" ref="DO38:DO69" si="38">0.6*qmz/qz</f>
        <v>#VALUE!</v>
      </c>
      <c r="DP38" s="248">
        <v>17</v>
      </c>
      <c r="DQ38" s="250" t="e">
        <f t="shared" ref="DQ38:DQ69" si="39">0.6*qmz/qz</f>
        <v>#VALUE!</v>
      </c>
      <c r="DR38" s="248"/>
      <c r="DS38" s="248"/>
      <c r="DU38" s="178">
        <v>34</v>
      </c>
      <c r="DV38" s="175" t="str">
        <f t="shared" ref="DV38:DV69" si="40">CONCATENATE(EK38," (",EL38," deg")</f>
        <v>1.2D + 1.0W + L + 0.5(Lr or S or R) (0 deg</v>
      </c>
      <c r="DW38" s="175">
        <v>1</v>
      </c>
      <c r="DX38" s="175" t="s">
        <v>170</v>
      </c>
      <c r="DY38" s="175"/>
      <c r="DZ38" s="175">
        <v>65</v>
      </c>
      <c r="EA38" s="175">
        <v>1.2</v>
      </c>
      <c r="EB38" s="175">
        <v>86</v>
      </c>
      <c r="EC38" s="175">
        <v>1.5</v>
      </c>
      <c r="ED38" s="175">
        <v>1</v>
      </c>
      <c r="EE38" s="179" t="e">
        <f>qmz/qz/Kes.w</f>
        <v>#VALUE!</v>
      </c>
      <c r="EF38" s="175"/>
      <c r="EG38" s="175"/>
      <c r="EH38" s="175"/>
      <c r="EI38" s="175"/>
      <c r="EK38" s="2" t="s">
        <v>448</v>
      </c>
      <c r="EL38" s="2">
        <v>0</v>
      </c>
      <c r="EN38" s="178">
        <v>34</v>
      </c>
      <c r="GJ38" s="2" t="s">
        <v>419</v>
      </c>
      <c r="GK38" s="2" t="str">
        <f>_xlfn.CONCAT(GJ38," (",EL21," deg)")</f>
        <v>1.2D + 1.0W + 1.0Di + 1.0T + 1.0G (330 deg)</v>
      </c>
      <c r="GL38" s="184"/>
    </row>
    <row r="39" spans="1:194" ht="18" customHeight="1" x14ac:dyDescent="0.2">
      <c r="A39" s="165">
        <v>35</v>
      </c>
      <c r="B39" s="170" t="s">
        <v>449</v>
      </c>
      <c r="C39" s="171" t="s">
        <v>446</v>
      </c>
      <c r="D39" s="171"/>
      <c r="E39" s="171"/>
      <c r="F39" s="171"/>
      <c r="G39" s="171"/>
      <c r="H39" s="185">
        <f>COUNTA('Point Load Tables'!$CM$4:$CM$1048576)</f>
        <v>0</v>
      </c>
      <c r="I39" s="185"/>
      <c r="J39" s="185"/>
      <c r="K39" s="171"/>
      <c r="M39" s="176">
        <f t="shared" si="15"/>
        <v>35</v>
      </c>
      <c r="N39" s="170" t="str">
        <f t="shared" si="18"/>
        <v>1.2D + 1.5Lm_1 + 1.0Wm  | 30 deg</v>
      </c>
      <c r="O39" s="170" t="b">
        <v>1</v>
      </c>
      <c r="P39" s="170" t="str">
        <f t="shared" si="19"/>
        <v>Y</v>
      </c>
      <c r="Q39" s="170" t="str">
        <f t="shared" si="20"/>
        <v/>
      </c>
      <c r="R39" s="170">
        <f t="shared" si="21"/>
        <v>65</v>
      </c>
      <c r="S39" s="170">
        <f t="shared" si="22"/>
        <v>1.2</v>
      </c>
      <c r="T39" s="170">
        <f t="shared" si="23"/>
        <v>86</v>
      </c>
      <c r="U39" s="170">
        <f t="shared" si="24"/>
        <v>1.5</v>
      </c>
      <c r="V39" s="170">
        <f t="shared" si="25"/>
        <v>2</v>
      </c>
      <c r="W39" s="170" t="e">
        <f t="shared" si="26"/>
        <v>#VALUE!</v>
      </c>
      <c r="X39" s="170">
        <f t="shared" si="27"/>
        <v>18</v>
      </c>
      <c r="Y39" s="170" t="e">
        <f t="shared" si="28"/>
        <v>#VALUE!</v>
      </c>
      <c r="Z39" s="170" t="str">
        <f t="shared" si="29"/>
        <v/>
      </c>
      <c r="AA39" s="170" t="str">
        <f t="shared" si="30"/>
        <v/>
      </c>
      <c r="AC39" s="176">
        <v>35</v>
      </c>
      <c r="AD39" s="170" t="s">
        <v>1634</v>
      </c>
      <c r="AE39" s="170" t="b">
        <v>1</v>
      </c>
      <c r="AF39" s="170" t="s">
        <v>170</v>
      </c>
      <c r="AG39" s="170"/>
      <c r="AH39" s="170">
        <v>65</v>
      </c>
      <c r="AI39" s="170">
        <v>1.2</v>
      </c>
      <c r="AJ39" s="170">
        <f t="shared" ref="AJ39:AJ53" si="41">IFERROR(INDEX($A:$A, MATCH("*Lm_1", $B:$B, 0)),86)</f>
        <v>86</v>
      </c>
      <c r="AK39" s="170">
        <v>1.5</v>
      </c>
      <c r="AL39" s="170">
        <v>2</v>
      </c>
      <c r="AM39" s="180" t="e">
        <f>qmz/qz/Kes.w</f>
        <v>#VALUE!</v>
      </c>
      <c r="AN39" s="170">
        <v>18</v>
      </c>
      <c r="AO39" s="180" t="e">
        <f>qmz/qz/Kes.w</f>
        <v>#VALUE!</v>
      </c>
      <c r="AP39" s="170"/>
      <c r="AQ39" s="170"/>
      <c r="AS39" s="176">
        <v>35</v>
      </c>
      <c r="AT39" s="170" t="s">
        <v>1635</v>
      </c>
      <c r="AU39" s="170" t="b">
        <v>1</v>
      </c>
      <c r="AV39" s="170" t="s">
        <v>170</v>
      </c>
      <c r="AW39" s="170"/>
      <c r="AX39" s="170">
        <v>65</v>
      </c>
      <c r="AY39" s="170">
        <v>1.2</v>
      </c>
      <c r="AZ39" s="170">
        <v>34</v>
      </c>
      <c r="BA39" s="170">
        <v>1</v>
      </c>
      <c r="BB39" s="170">
        <v>50</v>
      </c>
      <c r="BC39" s="170">
        <v>1</v>
      </c>
      <c r="BD39" s="170">
        <v>66</v>
      </c>
      <c r="BE39" s="170">
        <v>1</v>
      </c>
      <c r="BF39" s="170"/>
      <c r="BG39" s="170"/>
      <c r="BI39" s="176">
        <v>35</v>
      </c>
      <c r="BJ39" s="170" t="s">
        <v>1634</v>
      </c>
      <c r="BK39" s="170" t="b">
        <v>1</v>
      </c>
      <c r="BL39" s="170" t="s">
        <v>170</v>
      </c>
      <c r="BM39" s="170"/>
      <c r="BN39" s="170">
        <v>65</v>
      </c>
      <c r="BO39" s="170">
        <v>1.2</v>
      </c>
      <c r="BP39" s="170">
        <f t="shared" ref="BP39:BP53" si="42">IFERROR(INDEX($A:$A, MATCH("*Lm_1", $B:$B, 0)),86)</f>
        <v>86</v>
      </c>
      <c r="BQ39" s="170">
        <v>1.5</v>
      </c>
      <c r="BR39" s="170">
        <v>2</v>
      </c>
      <c r="BS39" s="180" t="e">
        <f>qmz/qz/Kes.w</f>
        <v>#VALUE!</v>
      </c>
      <c r="BT39" s="170">
        <v>18</v>
      </c>
      <c r="BU39" s="180" t="e">
        <f>qmz/qz/Kes.w</f>
        <v>#VALUE!</v>
      </c>
      <c r="BV39" s="170"/>
      <c r="BW39" s="170"/>
      <c r="BY39" s="176">
        <v>35</v>
      </c>
      <c r="BZ39" s="246" t="s">
        <v>1636</v>
      </c>
      <c r="CA39" s="246" t="b">
        <v>1</v>
      </c>
      <c r="CB39" s="246" t="s">
        <v>170</v>
      </c>
      <c r="CC39" s="246"/>
      <c r="CD39" s="246">
        <v>65</v>
      </c>
      <c r="CE39" s="246">
        <v>1</v>
      </c>
      <c r="CF39" s="170">
        <f t="shared" si="31"/>
        <v>86</v>
      </c>
      <c r="CG39" s="246">
        <v>1.25</v>
      </c>
      <c r="CH39" s="246">
        <v>2</v>
      </c>
      <c r="CI39" s="251" t="e">
        <f t="shared" si="32"/>
        <v>#VALUE!</v>
      </c>
      <c r="CJ39" s="246">
        <v>18</v>
      </c>
      <c r="CK39" s="251" t="e">
        <f t="shared" si="33"/>
        <v>#VALUE!</v>
      </c>
      <c r="CL39" s="246"/>
      <c r="CM39" s="246"/>
      <c r="CO39" s="176">
        <v>35</v>
      </c>
      <c r="CP39" s="246" t="s">
        <v>1636</v>
      </c>
      <c r="CQ39" s="246" t="b">
        <v>1</v>
      </c>
      <c r="CR39" s="246" t="s">
        <v>170</v>
      </c>
      <c r="CS39" s="246"/>
      <c r="CT39" s="246">
        <v>65</v>
      </c>
      <c r="CU39" s="246">
        <v>1</v>
      </c>
      <c r="CV39" s="170">
        <f t="shared" si="34"/>
        <v>86</v>
      </c>
      <c r="CW39" s="246">
        <v>1.25</v>
      </c>
      <c r="CX39" s="246">
        <v>2</v>
      </c>
      <c r="CY39" s="251" t="e">
        <f t="shared" si="35"/>
        <v>#VALUE!</v>
      </c>
      <c r="CZ39" s="246">
        <v>18</v>
      </c>
      <c r="DA39" s="251" t="e">
        <f t="shared" si="36"/>
        <v>#VALUE!</v>
      </c>
      <c r="DB39" s="246"/>
      <c r="DC39" s="246"/>
      <c r="DE39" s="176">
        <v>35</v>
      </c>
      <c r="DF39" s="246" t="s">
        <v>1636</v>
      </c>
      <c r="DG39" s="246" t="b">
        <v>1</v>
      </c>
      <c r="DH39" s="246" t="s">
        <v>170</v>
      </c>
      <c r="DI39" s="246"/>
      <c r="DJ39" s="246">
        <v>65</v>
      </c>
      <c r="DK39" s="246">
        <v>1</v>
      </c>
      <c r="DL39" s="170">
        <f t="shared" si="37"/>
        <v>86</v>
      </c>
      <c r="DM39" s="246">
        <v>1.25</v>
      </c>
      <c r="DN39" s="246">
        <v>2</v>
      </c>
      <c r="DO39" s="251" t="e">
        <f t="shared" si="38"/>
        <v>#VALUE!</v>
      </c>
      <c r="DP39" s="246">
        <v>18</v>
      </c>
      <c r="DQ39" s="251" t="e">
        <f t="shared" si="39"/>
        <v>#VALUE!</v>
      </c>
      <c r="DR39" s="246"/>
      <c r="DS39" s="246"/>
      <c r="DU39" s="176">
        <v>35</v>
      </c>
      <c r="DV39" s="170" t="str">
        <f t="shared" si="40"/>
        <v>1.2D + 1.0W + L + 0.5(Lr or S or R) (30 deg</v>
      </c>
      <c r="DW39" s="170">
        <v>1</v>
      </c>
      <c r="DX39" s="170" t="s">
        <v>170</v>
      </c>
      <c r="DY39" s="170"/>
      <c r="DZ39" s="170">
        <v>65</v>
      </c>
      <c r="EA39" s="170">
        <v>1.2</v>
      </c>
      <c r="EB39" s="170">
        <v>86</v>
      </c>
      <c r="EC39" s="170">
        <v>1.5</v>
      </c>
      <c r="ED39" s="170">
        <v>2</v>
      </c>
      <c r="EE39" s="180" t="e">
        <f>qmz/qz/Kes.w</f>
        <v>#VALUE!</v>
      </c>
      <c r="EF39" s="170"/>
      <c r="EG39" s="170"/>
      <c r="EH39" s="170"/>
      <c r="EI39" s="170"/>
      <c r="EK39" s="2" t="s">
        <v>448</v>
      </c>
      <c r="EL39" s="2">
        <v>30</v>
      </c>
      <c r="EN39" s="176">
        <v>35</v>
      </c>
      <c r="GJ39" s="2" t="s">
        <v>450</v>
      </c>
      <c r="GK39" s="2" t="str">
        <f>_xlfn.CONCAT(GJ39," (",EL22," deg)")</f>
        <v>D + Ws + G (0 deg)</v>
      </c>
      <c r="GL39" s="184" t="s">
        <v>451</v>
      </c>
    </row>
    <row r="40" spans="1:194" ht="18" customHeight="1" x14ac:dyDescent="0.2">
      <c r="A40" s="165">
        <v>36</v>
      </c>
      <c r="B40" s="174" t="s">
        <v>452</v>
      </c>
      <c r="C40" s="174" t="s">
        <v>446</v>
      </c>
      <c r="D40" s="174"/>
      <c r="E40" s="174"/>
      <c r="F40" s="174"/>
      <c r="G40" s="174"/>
      <c r="H40" s="186">
        <f>COUNTA('Point Load Tables'!$CR$4:$CR$1048576)</f>
        <v>0</v>
      </c>
      <c r="I40" s="186"/>
      <c r="J40" s="186"/>
      <c r="K40" s="174"/>
      <c r="M40" s="176">
        <f t="shared" si="15"/>
        <v>36</v>
      </c>
      <c r="N40" s="174" t="str">
        <f t="shared" si="18"/>
        <v>1.2D + 1.5Lm_1 + 1.0Wm  | 45 deg</v>
      </c>
      <c r="O40" s="174" t="b">
        <v>1</v>
      </c>
      <c r="P40" s="174" t="str">
        <f t="shared" si="19"/>
        <v>Y</v>
      </c>
      <c r="Q40" s="174" t="str">
        <f t="shared" si="20"/>
        <v/>
      </c>
      <c r="R40" s="174">
        <f t="shared" si="21"/>
        <v>65</v>
      </c>
      <c r="S40" s="174">
        <f t="shared" si="22"/>
        <v>1.2</v>
      </c>
      <c r="T40" s="174">
        <f t="shared" si="23"/>
        <v>86</v>
      </c>
      <c r="U40" s="174">
        <f t="shared" si="24"/>
        <v>1.5</v>
      </c>
      <c r="V40" s="174">
        <f t="shared" si="25"/>
        <v>3</v>
      </c>
      <c r="W40" s="174" t="e">
        <f t="shared" si="26"/>
        <v>#VALUE!</v>
      </c>
      <c r="X40" s="174">
        <f t="shared" si="27"/>
        <v>19</v>
      </c>
      <c r="Y40" s="174" t="e">
        <f t="shared" si="28"/>
        <v>#VALUE!</v>
      </c>
      <c r="Z40" s="174" t="str">
        <f t="shared" si="29"/>
        <v/>
      </c>
      <c r="AA40" s="174" t="str">
        <f t="shared" si="30"/>
        <v/>
      </c>
      <c r="AC40" s="176">
        <v>36</v>
      </c>
      <c r="AD40" s="174" t="s">
        <v>1715</v>
      </c>
      <c r="AE40" s="174" t="b">
        <v>1</v>
      </c>
      <c r="AF40" s="174" t="s">
        <v>170</v>
      </c>
      <c r="AG40" s="174"/>
      <c r="AH40" s="174">
        <v>65</v>
      </c>
      <c r="AI40" s="174">
        <v>1.2</v>
      </c>
      <c r="AJ40" s="174">
        <f t="shared" si="41"/>
        <v>86</v>
      </c>
      <c r="AK40" s="175">
        <v>1.5</v>
      </c>
      <c r="AL40" s="174">
        <v>3</v>
      </c>
      <c r="AM40" s="181" t="e">
        <f>qmz/qz/Kes.w</f>
        <v>#VALUE!</v>
      </c>
      <c r="AN40" s="174">
        <v>19</v>
      </c>
      <c r="AO40" s="181" t="e">
        <f>qmz/qz/Kes.w</f>
        <v>#VALUE!</v>
      </c>
      <c r="AP40" s="174"/>
      <c r="AQ40" s="174"/>
      <c r="AS40" s="176">
        <v>36</v>
      </c>
      <c r="AT40" s="174" t="s">
        <v>1716</v>
      </c>
      <c r="AU40" s="174"/>
      <c r="AV40" s="174" t="s">
        <v>170</v>
      </c>
      <c r="AW40" s="174"/>
      <c r="AX40" s="174">
        <v>65</v>
      </c>
      <c r="AY40" s="174">
        <v>1.2</v>
      </c>
      <c r="AZ40" s="174">
        <v>35</v>
      </c>
      <c r="BA40" s="174">
        <v>1</v>
      </c>
      <c r="BB40" s="174">
        <v>51</v>
      </c>
      <c r="BC40" s="174">
        <v>1</v>
      </c>
      <c r="BD40" s="174">
        <v>66</v>
      </c>
      <c r="BE40" s="174">
        <v>1</v>
      </c>
      <c r="BF40" s="174"/>
      <c r="BG40" s="174"/>
      <c r="BI40" s="176">
        <v>36</v>
      </c>
      <c r="BJ40" s="174" t="s">
        <v>1715</v>
      </c>
      <c r="BK40" s="174" t="b">
        <v>1</v>
      </c>
      <c r="BL40" s="174" t="s">
        <v>170</v>
      </c>
      <c r="BM40" s="174"/>
      <c r="BN40" s="174">
        <v>65</v>
      </c>
      <c r="BO40" s="174">
        <v>1.2</v>
      </c>
      <c r="BP40" s="174">
        <f t="shared" si="42"/>
        <v>86</v>
      </c>
      <c r="BQ40" s="175">
        <v>1.5</v>
      </c>
      <c r="BR40" s="174">
        <v>3</v>
      </c>
      <c r="BS40" s="181" t="e">
        <f>qmz/qz/Kes.w</f>
        <v>#VALUE!</v>
      </c>
      <c r="BT40" s="174">
        <v>19</v>
      </c>
      <c r="BU40" s="181" t="e">
        <f>qmz/qz/Kes.w</f>
        <v>#VALUE!</v>
      </c>
      <c r="BV40" s="174"/>
      <c r="BW40" s="174"/>
      <c r="BY40" s="176">
        <v>36</v>
      </c>
      <c r="BZ40" s="249" t="s">
        <v>1717</v>
      </c>
      <c r="CA40" s="249" t="b">
        <v>1</v>
      </c>
      <c r="CB40" s="249" t="s">
        <v>170</v>
      </c>
      <c r="CC40" s="249"/>
      <c r="CD40" s="249">
        <v>65</v>
      </c>
      <c r="CE40" s="249">
        <v>1</v>
      </c>
      <c r="CF40" s="174">
        <f t="shared" si="31"/>
        <v>86</v>
      </c>
      <c r="CG40" s="248">
        <v>1.25</v>
      </c>
      <c r="CH40" s="249">
        <v>3</v>
      </c>
      <c r="CI40" s="252" t="e">
        <f t="shared" si="32"/>
        <v>#VALUE!</v>
      </c>
      <c r="CJ40" s="249">
        <v>19</v>
      </c>
      <c r="CK40" s="252" t="e">
        <f t="shared" si="33"/>
        <v>#VALUE!</v>
      </c>
      <c r="CL40" s="249"/>
      <c r="CM40" s="249"/>
      <c r="CO40" s="176">
        <v>36</v>
      </c>
      <c r="CP40" s="249" t="s">
        <v>1717</v>
      </c>
      <c r="CQ40" s="249" t="b">
        <v>1</v>
      </c>
      <c r="CR40" s="249" t="s">
        <v>170</v>
      </c>
      <c r="CS40" s="249"/>
      <c r="CT40" s="249">
        <v>65</v>
      </c>
      <c r="CU40" s="249">
        <v>1</v>
      </c>
      <c r="CV40" s="174">
        <f t="shared" si="34"/>
        <v>86</v>
      </c>
      <c r="CW40" s="248">
        <v>1.25</v>
      </c>
      <c r="CX40" s="249">
        <v>3</v>
      </c>
      <c r="CY40" s="252" t="e">
        <f t="shared" si="35"/>
        <v>#VALUE!</v>
      </c>
      <c r="CZ40" s="249">
        <v>19</v>
      </c>
      <c r="DA40" s="252" t="e">
        <f t="shared" si="36"/>
        <v>#VALUE!</v>
      </c>
      <c r="DB40" s="249"/>
      <c r="DC40" s="249"/>
      <c r="DE40" s="176">
        <v>36</v>
      </c>
      <c r="DF40" s="249" t="s">
        <v>1717</v>
      </c>
      <c r="DG40" s="249" t="b">
        <v>1</v>
      </c>
      <c r="DH40" s="249" t="s">
        <v>170</v>
      </c>
      <c r="DI40" s="249"/>
      <c r="DJ40" s="249">
        <v>65</v>
      </c>
      <c r="DK40" s="249">
        <v>1</v>
      </c>
      <c r="DL40" s="174">
        <f t="shared" si="37"/>
        <v>86</v>
      </c>
      <c r="DM40" s="248">
        <v>1.25</v>
      </c>
      <c r="DN40" s="249">
        <v>3</v>
      </c>
      <c r="DO40" s="252" t="e">
        <f t="shared" si="38"/>
        <v>#VALUE!</v>
      </c>
      <c r="DP40" s="249">
        <v>19</v>
      </c>
      <c r="DQ40" s="252" t="e">
        <f t="shared" si="39"/>
        <v>#VALUE!</v>
      </c>
      <c r="DR40" s="249"/>
      <c r="DS40" s="249"/>
      <c r="DU40" s="176">
        <v>36</v>
      </c>
      <c r="DV40" s="174" t="str">
        <f t="shared" si="40"/>
        <v>1.2D + 1.0W + L + 0.5(Lr or S or R) (45 deg</v>
      </c>
      <c r="DW40" s="174">
        <v>1</v>
      </c>
      <c r="DX40" s="174" t="s">
        <v>170</v>
      </c>
      <c r="DY40" s="174"/>
      <c r="DZ40" s="174">
        <v>65</v>
      </c>
      <c r="EA40" s="174">
        <v>1.2</v>
      </c>
      <c r="EB40" s="174">
        <v>86</v>
      </c>
      <c r="EC40" s="175">
        <v>1.5</v>
      </c>
      <c r="ED40" s="174">
        <v>3</v>
      </c>
      <c r="EE40" s="181" t="e">
        <f>qmz/qz/Kes.w</f>
        <v>#VALUE!</v>
      </c>
      <c r="EF40" s="174"/>
      <c r="EG40" s="174"/>
      <c r="EH40" s="174"/>
      <c r="EI40" s="174"/>
      <c r="EK40" s="2" t="s">
        <v>448</v>
      </c>
      <c r="EL40" s="2">
        <v>45</v>
      </c>
      <c r="EN40" s="176">
        <v>36</v>
      </c>
      <c r="GJ40" s="2" t="s">
        <v>450</v>
      </c>
      <c r="GK40" s="2" t="str">
        <f t="shared" ref="GK40:GK54" si="43">_xlfn.CONCAT(GJ40," (",EL23," deg)")</f>
        <v>D + Ws + G (30 deg)</v>
      </c>
      <c r="GL40" s="184" t="s">
        <v>453</v>
      </c>
    </row>
    <row r="41" spans="1:194" ht="18" customHeight="1" x14ac:dyDescent="0.2">
      <c r="A41" s="165">
        <v>37</v>
      </c>
      <c r="B41" s="170" t="s">
        <v>454</v>
      </c>
      <c r="C41" s="171" t="s">
        <v>446</v>
      </c>
      <c r="D41" s="171"/>
      <c r="E41" s="171"/>
      <c r="F41" s="171"/>
      <c r="G41" s="171"/>
      <c r="H41" s="185">
        <f>COUNTA('Point Load Tables'!$CW$4:$CW$1048576)</f>
        <v>0</v>
      </c>
      <c r="I41" s="185"/>
      <c r="J41" s="185"/>
      <c r="K41" s="171"/>
      <c r="M41" s="176">
        <f t="shared" si="15"/>
        <v>37</v>
      </c>
      <c r="N41" s="170" t="str">
        <f t="shared" si="18"/>
        <v>1.2D + 1.5Lm_1 + 1.0Wm  | 60 deg</v>
      </c>
      <c r="O41" s="170" t="b">
        <v>1</v>
      </c>
      <c r="P41" s="170" t="str">
        <f t="shared" si="19"/>
        <v>Y</v>
      </c>
      <c r="Q41" s="170" t="str">
        <f t="shared" si="20"/>
        <v/>
      </c>
      <c r="R41" s="170">
        <f t="shared" si="21"/>
        <v>65</v>
      </c>
      <c r="S41" s="170">
        <f t="shared" si="22"/>
        <v>1.2</v>
      </c>
      <c r="T41" s="170">
        <f t="shared" si="23"/>
        <v>86</v>
      </c>
      <c r="U41" s="170">
        <f t="shared" si="24"/>
        <v>1.5</v>
      </c>
      <c r="V41" s="170">
        <f t="shared" si="25"/>
        <v>4</v>
      </c>
      <c r="W41" s="170" t="e">
        <f t="shared" si="26"/>
        <v>#VALUE!</v>
      </c>
      <c r="X41" s="170">
        <f t="shared" si="27"/>
        <v>20</v>
      </c>
      <c r="Y41" s="170" t="e">
        <f t="shared" si="28"/>
        <v>#VALUE!</v>
      </c>
      <c r="Z41" s="170" t="str">
        <f t="shared" si="29"/>
        <v/>
      </c>
      <c r="AA41" s="170" t="str">
        <f t="shared" si="30"/>
        <v/>
      </c>
      <c r="AC41" s="176">
        <v>37</v>
      </c>
      <c r="AD41" s="170" t="s">
        <v>1739</v>
      </c>
      <c r="AE41" s="170" t="b">
        <v>1</v>
      </c>
      <c r="AF41" s="170" t="s">
        <v>170</v>
      </c>
      <c r="AG41" s="170"/>
      <c r="AH41" s="170">
        <v>65</v>
      </c>
      <c r="AI41" s="170">
        <v>1.2</v>
      </c>
      <c r="AJ41" s="170">
        <f t="shared" si="41"/>
        <v>86</v>
      </c>
      <c r="AK41" s="170">
        <v>1.5</v>
      </c>
      <c r="AL41" s="170">
        <v>4</v>
      </c>
      <c r="AM41" s="180" t="e">
        <f>qmz/qz/Kes.w</f>
        <v>#VALUE!</v>
      </c>
      <c r="AN41" s="170">
        <v>20</v>
      </c>
      <c r="AO41" s="180" t="e">
        <f>qmz/qz/Kes.w</f>
        <v>#VALUE!</v>
      </c>
      <c r="AP41" s="170"/>
      <c r="AQ41" s="170"/>
      <c r="AS41" s="176">
        <v>37</v>
      </c>
      <c r="AT41" s="170" t="s">
        <v>1740</v>
      </c>
      <c r="AU41" s="170" t="b">
        <v>1</v>
      </c>
      <c r="AV41" s="170" t="s">
        <v>170</v>
      </c>
      <c r="AW41" s="170"/>
      <c r="AX41" s="170">
        <v>65</v>
      </c>
      <c r="AY41" s="170">
        <v>1.2</v>
      </c>
      <c r="AZ41" s="170">
        <v>36</v>
      </c>
      <c r="BA41" s="170">
        <v>1</v>
      </c>
      <c r="BB41" s="170">
        <v>52</v>
      </c>
      <c r="BC41" s="170">
        <v>1</v>
      </c>
      <c r="BD41" s="170">
        <v>66</v>
      </c>
      <c r="BE41" s="170">
        <v>1</v>
      </c>
      <c r="BF41" s="170"/>
      <c r="BG41" s="170"/>
      <c r="BI41" s="176">
        <v>37</v>
      </c>
      <c r="BJ41" s="170" t="s">
        <v>1739</v>
      </c>
      <c r="BK41" s="170" t="b">
        <v>1</v>
      </c>
      <c r="BL41" s="170" t="s">
        <v>170</v>
      </c>
      <c r="BM41" s="170"/>
      <c r="BN41" s="170">
        <v>65</v>
      </c>
      <c r="BO41" s="170">
        <v>1.2</v>
      </c>
      <c r="BP41" s="170">
        <f t="shared" si="42"/>
        <v>86</v>
      </c>
      <c r="BQ41" s="170">
        <v>1.5</v>
      </c>
      <c r="BR41" s="170">
        <v>4</v>
      </c>
      <c r="BS41" s="180" t="e">
        <f>qmz/qz/Kes.w</f>
        <v>#VALUE!</v>
      </c>
      <c r="BT41" s="170">
        <v>20</v>
      </c>
      <c r="BU41" s="180" t="e">
        <f>qmz/qz/Kes.w</f>
        <v>#VALUE!</v>
      </c>
      <c r="BV41" s="170"/>
      <c r="BW41" s="170"/>
      <c r="BY41" s="176">
        <v>37</v>
      </c>
      <c r="BZ41" s="246" t="s">
        <v>1741</v>
      </c>
      <c r="CA41" s="246" t="b">
        <v>1</v>
      </c>
      <c r="CB41" s="246" t="s">
        <v>170</v>
      </c>
      <c r="CC41" s="246"/>
      <c r="CD41" s="246">
        <v>65</v>
      </c>
      <c r="CE41" s="246">
        <v>1</v>
      </c>
      <c r="CF41" s="170">
        <f t="shared" si="31"/>
        <v>86</v>
      </c>
      <c r="CG41" s="246">
        <v>1.25</v>
      </c>
      <c r="CH41" s="246">
        <v>4</v>
      </c>
      <c r="CI41" s="251" t="e">
        <f t="shared" si="32"/>
        <v>#VALUE!</v>
      </c>
      <c r="CJ41" s="246">
        <v>20</v>
      </c>
      <c r="CK41" s="251" t="e">
        <f t="shared" si="33"/>
        <v>#VALUE!</v>
      </c>
      <c r="CL41" s="246"/>
      <c r="CM41" s="246"/>
      <c r="CO41" s="176">
        <v>37</v>
      </c>
      <c r="CP41" s="246" t="s">
        <v>1741</v>
      </c>
      <c r="CQ41" s="246" t="b">
        <v>1</v>
      </c>
      <c r="CR41" s="246" t="s">
        <v>170</v>
      </c>
      <c r="CS41" s="246"/>
      <c r="CT41" s="246">
        <v>65</v>
      </c>
      <c r="CU41" s="246">
        <v>1</v>
      </c>
      <c r="CV41" s="170">
        <f t="shared" si="34"/>
        <v>86</v>
      </c>
      <c r="CW41" s="246">
        <v>1.25</v>
      </c>
      <c r="CX41" s="246">
        <v>4</v>
      </c>
      <c r="CY41" s="251" t="e">
        <f t="shared" si="35"/>
        <v>#VALUE!</v>
      </c>
      <c r="CZ41" s="246">
        <v>20</v>
      </c>
      <c r="DA41" s="251" t="e">
        <f t="shared" si="36"/>
        <v>#VALUE!</v>
      </c>
      <c r="DB41" s="246"/>
      <c r="DC41" s="246"/>
      <c r="DE41" s="176">
        <v>37</v>
      </c>
      <c r="DF41" s="246" t="s">
        <v>1741</v>
      </c>
      <c r="DG41" s="246" t="b">
        <v>1</v>
      </c>
      <c r="DH41" s="246" t="s">
        <v>170</v>
      </c>
      <c r="DI41" s="246"/>
      <c r="DJ41" s="246">
        <v>65</v>
      </c>
      <c r="DK41" s="246">
        <v>1</v>
      </c>
      <c r="DL41" s="170">
        <f t="shared" si="37"/>
        <v>86</v>
      </c>
      <c r="DM41" s="246">
        <v>1.25</v>
      </c>
      <c r="DN41" s="246">
        <v>4</v>
      </c>
      <c r="DO41" s="251" t="e">
        <f t="shared" si="38"/>
        <v>#VALUE!</v>
      </c>
      <c r="DP41" s="246">
        <v>20</v>
      </c>
      <c r="DQ41" s="251" t="e">
        <f t="shared" si="39"/>
        <v>#VALUE!</v>
      </c>
      <c r="DR41" s="246"/>
      <c r="DS41" s="246"/>
      <c r="DU41" s="176">
        <v>37</v>
      </c>
      <c r="DV41" s="170" t="str">
        <f t="shared" si="40"/>
        <v>1.2D + 1.0W + L + 0.5(Lr or S or R) (60 deg</v>
      </c>
      <c r="DW41" s="170">
        <v>1</v>
      </c>
      <c r="DX41" s="170" t="s">
        <v>170</v>
      </c>
      <c r="DY41" s="170"/>
      <c r="DZ41" s="170">
        <v>65</v>
      </c>
      <c r="EA41" s="170">
        <v>1.2</v>
      </c>
      <c r="EB41" s="170">
        <v>86</v>
      </c>
      <c r="EC41" s="170">
        <v>1.5</v>
      </c>
      <c r="ED41" s="170">
        <v>4</v>
      </c>
      <c r="EE41" s="180" t="e">
        <f>qmz/qz/Kes.w</f>
        <v>#VALUE!</v>
      </c>
      <c r="EF41" s="170"/>
      <c r="EG41" s="170"/>
      <c r="EH41" s="170"/>
      <c r="EI41" s="170"/>
      <c r="EK41" s="2" t="s">
        <v>448</v>
      </c>
      <c r="EL41" s="2">
        <v>60</v>
      </c>
      <c r="EN41" s="176">
        <v>37</v>
      </c>
      <c r="GJ41" s="2" t="s">
        <v>450</v>
      </c>
      <c r="GK41" s="2" t="str">
        <f t="shared" si="43"/>
        <v>D + Ws + G (45 deg)</v>
      </c>
      <c r="GL41" s="184" t="s">
        <v>455</v>
      </c>
    </row>
    <row r="42" spans="1:194" ht="18" customHeight="1" x14ac:dyDescent="0.2">
      <c r="A42" s="165">
        <v>38</v>
      </c>
      <c r="B42" s="174" t="s">
        <v>456</v>
      </c>
      <c r="C42" s="174" t="s">
        <v>446</v>
      </c>
      <c r="D42" s="174"/>
      <c r="E42" s="174"/>
      <c r="F42" s="174"/>
      <c r="G42" s="174"/>
      <c r="H42" s="186">
        <f>COUNTA('Point Load Tables'!$DB$4:$DB$1048576)</f>
        <v>0</v>
      </c>
      <c r="I42" s="186"/>
      <c r="J42" s="186"/>
      <c r="K42" s="174"/>
      <c r="M42" s="176">
        <f t="shared" si="15"/>
        <v>38</v>
      </c>
      <c r="N42" s="174" t="str">
        <f t="shared" si="18"/>
        <v>1.2D + 1.5Lm_1 + 1.0Wm  | 90 deg</v>
      </c>
      <c r="O42" s="174" t="b">
        <v>1</v>
      </c>
      <c r="P42" s="174" t="str">
        <f t="shared" si="19"/>
        <v>Y</v>
      </c>
      <c r="Q42" s="174" t="str">
        <f t="shared" si="20"/>
        <v/>
      </c>
      <c r="R42" s="174">
        <f t="shared" si="21"/>
        <v>65</v>
      </c>
      <c r="S42" s="174">
        <f t="shared" si="22"/>
        <v>1.2</v>
      </c>
      <c r="T42" s="174">
        <f t="shared" si="23"/>
        <v>86</v>
      </c>
      <c r="U42" s="174">
        <f t="shared" si="24"/>
        <v>1.5</v>
      </c>
      <c r="V42" s="174">
        <f t="shared" si="25"/>
        <v>5</v>
      </c>
      <c r="W42" s="174" t="e">
        <f t="shared" si="26"/>
        <v>#VALUE!</v>
      </c>
      <c r="X42" s="174">
        <f t="shared" si="27"/>
        <v>21</v>
      </c>
      <c r="Y42" s="174" t="e">
        <f t="shared" si="28"/>
        <v>#VALUE!</v>
      </c>
      <c r="Z42" s="174" t="str">
        <f t="shared" si="29"/>
        <v/>
      </c>
      <c r="AA42" s="174" t="str">
        <f t="shared" si="30"/>
        <v/>
      </c>
      <c r="AC42" s="176">
        <v>38</v>
      </c>
      <c r="AD42" s="174" t="s">
        <v>1763</v>
      </c>
      <c r="AE42" s="174" t="b">
        <v>1</v>
      </c>
      <c r="AF42" s="174" t="s">
        <v>170</v>
      </c>
      <c r="AG42" s="174"/>
      <c r="AH42" s="174">
        <v>65</v>
      </c>
      <c r="AI42" s="174">
        <v>1.2</v>
      </c>
      <c r="AJ42" s="174">
        <f t="shared" si="41"/>
        <v>86</v>
      </c>
      <c r="AK42" s="175">
        <v>1.5</v>
      </c>
      <c r="AL42" s="174">
        <v>5</v>
      </c>
      <c r="AM42" s="181" t="e">
        <f>qmz/qz/Kes.w</f>
        <v>#VALUE!</v>
      </c>
      <c r="AN42" s="174">
        <v>21</v>
      </c>
      <c r="AO42" s="181" t="e">
        <f>qmz/qz/Kes.w</f>
        <v>#VALUE!</v>
      </c>
      <c r="AP42" s="174"/>
      <c r="AQ42" s="174"/>
      <c r="AS42" s="176">
        <v>38</v>
      </c>
      <c r="AT42" s="174" t="s">
        <v>1764</v>
      </c>
      <c r="AU42" s="174" t="b">
        <v>1</v>
      </c>
      <c r="AV42" s="174" t="s">
        <v>170</v>
      </c>
      <c r="AW42" s="174"/>
      <c r="AX42" s="174">
        <v>65</v>
      </c>
      <c r="AY42" s="174">
        <v>1.2</v>
      </c>
      <c r="AZ42" s="174">
        <v>37</v>
      </c>
      <c r="BA42" s="174">
        <v>1</v>
      </c>
      <c r="BB42" s="174">
        <v>53</v>
      </c>
      <c r="BC42" s="174">
        <v>1</v>
      </c>
      <c r="BD42" s="174">
        <v>66</v>
      </c>
      <c r="BE42" s="174">
        <v>1</v>
      </c>
      <c r="BF42" s="174"/>
      <c r="BG42" s="174"/>
      <c r="BI42" s="176">
        <v>38</v>
      </c>
      <c r="BJ42" s="174" t="s">
        <v>1763</v>
      </c>
      <c r="BK42" s="174" t="b">
        <v>1</v>
      </c>
      <c r="BL42" s="174" t="s">
        <v>170</v>
      </c>
      <c r="BM42" s="174"/>
      <c r="BN42" s="174">
        <v>65</v>
      </c>
      <c r="BO42" s="174">
        <v>1.2</v>
      </c>
      <c r="BP42" s="174">
        <f t="shared" si="42"/>
        <v>86</v>
      </c>
      <c r="BQ42" s="175">
        <v>1.5</v>
      </c>
      <c r="BR42" s="174">
        <v>5</v>
      </c>
      <c r="BS42" s="181" t="e">
        <f>qmz/qz/Kes.w</f>
        <v>#VALUE!</v>
      </c>
      <c r="BT42" s="174">
        <v>21</v>
      </c>
      <c r="BU42" s="181" t="e">
        <f>qmz/qz/Kes.w</f>
        <v>#VALUE!</v>
      </c>
      <c r="BV42" s="174"/>
      <c r="BW42" s="174"/>
      <c r="BY42" s="176">
        <v>38</v>
      </c>
      <c r="BZ42" s="249" t="s">
        <v>1765</v>
      </c>
      <c r="CA42" s="249" t="b">
        <v>1</v>
      </c>
      <c r="CB42" s="249" t="s">
        <v>170</v>
      </c>
      <c r="CC42" s="249"/>
      <c r="CD42" s="249">
        <v>65</v>
      </c>
      <c r="CE42" s="249">
        <v>1</v>
      </c>
      <c r="CF42" s="174">
        <f t="shared" si="31"/>
        <v>86</v>
      </c>
      <c r="CG42" s="248">
        <v>1.25</v>
      </c>
      <c r="CH42" s="249">
        <v>5</v>
      </c>
      <c r="CI42" s="252" t="e">
        <f t="shared" si="32"/>
        <v>#VALUE!</v>
      </c>
      <c r="CJ42" s="249">
        <v>21</v>
      </c>
      <c r="CK42" s="252" t="e">
        <f t="shared" si="33"/>
        <v>#VALUE!</v>
      </c>
      <c r="CL42" s="249"/>
      <c r="CM42" s="249"/>
      <c r="CO42" s="176">
        <v>38</v>
      </c>
      <c r="CP42" s="249" t="s">
        <v>1765</v>
      </c>
      <c r="CQ42" s="249" t="b">
        <v>1</v>
      </c>
      <c r="CR42" s="249" t="s">
        <v>170</v>
      </c>
      <c r="CS42" s="249"/>
      <c r="CT42" s="249">
        <v>65</v>
      </c>
      <c r="CU42" s="249">
        <v>1</v>
      </c>
      <c r="CV42" s="174">
        <f t="shared" si="34"/>
        <v>86</v>
      </c>
      <c r="CW42" s="248">
        <v>1.25</v>
      </c>
      <c r="CX42" s="249">
        <v>5</v>
      </c>
      <c r="CY42" s="252" t="e">
        <f t="shared" si="35"/>
        <v>#VALUE!</v>
      </c>
      <c r="CZ42" s="249">
        <v>21</v>
      </c>
      <c r="DA42" s="252" t="e">
        <f t="shared" si="36"/>
        <v>#VALUE!</v>
      </c>
      <c r="DB42" s="249"/>
      <c r="DC42" s="249"/>
      <c r="DE42" s="176">
        <v>38</v>
      </c>
      <c r="DF42" s="249" t="s">
        <v>1765</v>
      </c>
      <c r="DG42" s="249" t="b">
        <v>1</v>
      </c>
      <c r="DH42" s="249" t="s">
        <v>170</v>
      </c>
      <c r="DI42" s="249"/>
      <c r="DJ42" s="249">
        <v>65</v>
      </c>
      <c r="DK42" s="249">
        <v>1</v>
      </c>
      <c r="DL42" s="174">
        <f t="shared" si="37"/>
        <v>86</v>
      </c>
      <c r="DM42" s="248">
        <v>1.25</v>
      </c>
      <c r="DN42" s="249">
        <v>5</v>
      </c>
      <c r="DO42" s="252" t="e">
        <f t="shared" si="38"/>
        <v>#VALUE!</v>
      </c>
      <c r="DP42" s="249">
        <v>21</v>
      </c>
      <c r="DQ42" s="252" t="e">
        <f t="shared" si="39"/>
        <v>#VALUE!</v>
      </c>
      <c r="DR42" s="249"/>
      <c r="DS42" s="249"/>
      <c r="DU42" s="176">
        <v>38</v>
      </c>
      <c r="DV42" s="174" t="str">
        <f t="shared" si="40"/>
        <v>1.2D + 1.0W + L + 0.5(Lr or S or R) (90 deg</v>
      </c>
      <c r="DW42" s="174">
        <v>1</v>
      </c>
      <c r="DX42" s="174" t="s">
        <v>170</v>
      </c>
      <c r="DY42" s="174"/>
      <c r="DZ42" s="174">
        <v>65</v>
      </c>
      <c r="EA42" s="174">
        <v>1.2</v>
      </c>
      <c r="EB42" s="174">
        <v>86</v>
      </c>
      <c r="EC42" s="175">
        <v>1.5</v>
      </c>
      <c r="ED42" s="174">
        <v>5</v>
      </c>
      <c r="EE42" s="181" t="e">
        <f>qmz/qz/Kes.w</f>
        <v>#VALUE!</v>
      </c>
      <c r="EF42" s="174"/>
      <c r="EG42" s="174"/>
      <c r="EH42" s="174"/>
      <c r="EI42" s="174"/>
      <c r="EK42" s="2" t="s">
        <v>448</v>
      </c>
      <c r="EL42" s="2">
        <v>90</v>
      </c>
      <c r="EN42" s="176">
        <v>38</v>
      </c>
      <c r="GJ42" s="2" t="s">
        <v>450</v>
      </c>
      <c r="GK42" s="2" t="str">
        <f t="shared" si="43"/>
        <v>D + Ws + G (60 deg)</v>
      </c>
      <c r="GL42" s="184" t="s">
        <v>457</v>
      </c>
    </row>
    <row r="43" spans="1:194" ht="18" customHeight="1" x14ac:dyDescent="0.2">
      <c r="A43" s="165">
        <v>39</v>
      </c>
      <c r="B43" s="170" t="s">
        <v>458</v>
      </c>
      <c r="C43" s="171" t="s">
        <v>446</v>
      </c>
      <c r="D43" s="171"/>
      <c r="E43" s="171"/>
      <c r="F43" s="171"/>
      <c r="G43" s="171"/>
      <c r="H43" s="185">
        <f>COUNTA('Point Load Tables'!$DG$4:$DG$1048576)</f>
        <v>0</v>
      </c>
      <c r="I43" s="185"/>
      <c r="J43" s="185"/>
      <c r="K43" s="171"/>
      <c r="M43" s="176">
        <f t="shared" si="15"/>
        <v>39</v>
      </c>
      <c r="N43" s="170" t="str">
        <f t="shared" si="18"/>
        <v>1.2D + 1.5Lm_1 + 1.0Wm  | 120 deg</v>
      </c>
      <c r="O43" s="170" t="b">
        <v>1</v>
      </c>
      <c r="P43" s="170" t="str">
        <f t="shared" si="19"/>
        <v>Y</v>
      </c>
      <c r="Q43" s="170" t="str">
        <f t="shared" si="20"/>
        <v/>
      </c>
      <c r="R43" s="170">
        <f t="shared" si="21"/>
        <v>65</v>
      </c>
      <c r="S43" s="170">
        <f t="shared" si="22"/>
        <v>1.2</v>
      </c>
      <c r="T43" s="170">
        <f t="shared" si="23"/>
        <v>86</v>
      </c>
      <c r="U43" s="170">
        <f t="shared" si="24"/>
        <v>1.5</v>
      </c>
      <c r="V43" s="170">
        <f t="shared" si="25"/>
        <v>6</v>
      </c>
      <c r="W43" s="170" t="e">
        <f t="shared" si="26"/>
        <v>#VALUE!</v>
      </c>
      <c r="X43" s="170">
        <f t="shared" si="27"/>
        <v>22</v>
      </c>
      <c r="Y43" s="170" t="e">
        <f t="shared" si="28"/>
        <v>#VALUE!</v>
      </c>
      <c r="Z43" s="170" t="str">
        <f t="shared" si="29"/>
        <v/>
      </c>
      <c r="AA43" s="170" t="str">
        <f t="shared" si="30"/>
        <v/>
      </c>
      <c r="AC43" s="176">
        <v>39</v>
      </c>
      <c r="AD43" s="170" t="s">
        <v>1442</v>
      </c>
      <c r="AE43" s="170" t="b">
        <v>1</v>
      </c>
      <c r="AF43" s="170" t="s">
        <v>170</v>
      </c>
      <c r="AG43" s="170"/>
      <c r="AH43" s="170">
        <v>65</v>
      </c>
      <c r="AI43" s="170">
        <v>1.2</v>
      </c>
      <c r="AJ43" s="170">
        <f t="shared" si="41"/>
        <v>86</v>
      </c>
      <c r="AK43" s="170">
        <v>1.5</v>
      </c>
      <c r="AL43" s="170">
        <v>6</v>
      </c>
      <c r="AM43" s="180" t="e">
        <f>qmz/qz/Kes.w</f>
        <v>#VALUE!</v>
      </c>
      <c r="AN43" s="170">
        <v>22</v>
      </c>
      <c r="AO43" s="180" t="e">
        <f>qmz/qz/Kes.w</f>
        <v>#VALUE!</v>
      </c>
      <c r="AP43" s="170"/>
      <c r="AQ43" s="170"/>
      <c r="AS43" s="176">
        <v>39</v>
      </c>
      <c r="AT43" s="170" t="s">
        <v>1443</v>
      </c>
      <c r="AU43" s="170" t="b">
        <v>1</v>
      </c>
      <c r="AV43" s="170" t="s">
        <v>170</v>
      </c>
      <c r="AW43" s="170"/>
      <c r="AX43" s="170">
        <v>65</v>
      </c>
      <c r="AY43" s="170">
        <v>1.2</v>
      </c>
      <c r="AZ43" s="170">
        <v>38</v>
      </c>
      <c r="BA43" s="170">
        <v>1</v>
      </c>
      <c r="BB43" s="170">
        <v>54</v>
      </c>
      <c r="BC43" s="170">
        <v>1</v>
      </c>
      <c r="BD43" s="170">
        <v>66</v>
      </c>
      <c r="BE43" s="170">
        <v>1</v>
      </c>
      <c r="BF43" s="170"/>
      <c r="BG43" s="170"/>
      <c r="BI43" s="176">
        <v>39</v>
      </c>
      <c r="BJ43" s="170" t="s">
        <v>1442</v>
      </c>
      <c r="BK43" s="170" t="b">
        <v>1</v>
      </c>
      <c r="BL43" s="170" t="s">
        <v>170</v>
      </c>
      <c r="BM43" s="170"/>
      <c r="BN43" s="170">
        <v>65</v>
      </c>
      <c r="BO43" s="170">
        <v>1.2</v>
      </c>
      <c r="BP43" s="170">
        <f t="shared" si="42"/>
        <v>86</v>
      </c>
      <c r="BQ43" s="170">
        <v>1.5</v>
      </c>
      <c r="BR43" s="170">
        <v>6</v>
      </c>
      <c r="BS43" s="180" t="e">
        <f>qmz/qz/Kes.w</f>
        <v>#VALUE!</v>
      </c>
      <c r="BT43" s="170">
        <v>22</v>
      </c>
      <c r="BU43" s="180" t="e">
        <f>qmz/qz/Kes.w</f>
        <v>#VALUE!</v>
      </c>
      <c r="BV43" s="170"/>
      <c r="BW43" s="170"/>
      <c r="BY43" s="176">
        <v>39</v>
      </c>
      <c r="BZ43" s="246" t="s">
        <v>1444</v>
      </c>
      <c r="CA43" s="246" t="b">
        <v>1</v>
      </c>
      <c r="CB43" s="246" t="s">
        <v>170</v>
      </c>
      <c r="CC43" s="246"/>
      <c r="CD43" s="246">
        <v>65</v>
      </c>
      <c r="CE43" s="246">
        <v>1</v>
      </c>
      <c r="CF43" s="170">
        <f t="shared" si="31"/>
        <v>86</v>
      </c>
      <c r="CG43" s="246">
        <v>1.25</v>
      </c>
      <c r="CH43" s="246">
        <v>6</v>
      </c>
      <c r="CI43" s="251" t="e">
        <f t="shared" si="32"/>
        <v>#VALUE!</v>
      </c>
      <c r="CJ43" s="246">
        <v>22</v>
      </c>
      <c r="CK43" s="251" t="e">
        <f t="shared" si="33"/>
        <v>#VALUE!</v>
      </c>
      <c r="CL43" s="246"/>
      <c r="CM43" s="246"/>
      <c r="CO43" s="176">
        <v>39</v>
      </c>
      <c r="CP43" s="246" t="s">
        <v>1444</v>
      </c>
      <c r="CQ43" s="246" t="b">
        <v>1</v>
      </c>
      <c r="CR43" s="246" t="s">
        <v>170</v>
      </c>
      <c r="CS43" s="246"/>
      <c r="CT43" s="246">
        <v>65</v>
      </c>
      <c r="CU43" s="246">
        <v>1</v>
      </c>
      <c r="CV43" s="170">
        <f t="shared" si="34"/>
        <v>86</v>
      </c>
      <c r="CW43" s="246">
        <v>1.25</v>
      </c>
      <c r="CX43" s="246">
        <v>6</v>
      </c>
      <c r="CY43" s="251" t="e">
        <f t="shared" si="35"/>
        <v>#VALUE!</v>
      </c>
      <c r="CZ43" s="246">
        <v>22</v>
      </c>
      <c r="DA43" s="251" t="e">
        <f t="shared" si="36"/>
        <v>#VALUE!</v>
      </c>
      <c r="DB43" s="246"/>
      <c r="DC43" s="246"/>
      <c r="DE43" s="176">
        <v>39</v>
      </c>
      <c r="DF43" s="246" t="s">
        <v>1444</v>
      </c>
      <c r="DG43" s="246" t="b">
        <v>1</v>
      </c>
      <c r="DH43" s="246" t="s">
        <v>170</v>
      </c>
      <c r="DI43" s="246"/>
      <c r="DJ43" s="246">
        <v>65</v>
      </c>
      <c r="DK43" s="246">
        <v>1</v>
      </c>
      <c r="DL43" s="170">
        <f t="shared" si="37"/>
        <v>86</v>
      </c>
      <c r="DM43" s="246">
        <v>1.25</v>
      </c>
      <c r="DN43" s="246">
        <v>6</v>
      </c>
      <c r="DO43" s="251" t="e">
        <f t="shared" si="38"/>
        <v>#VALUE!</v>
      </c>
      <c r="DP43" s="246">
        <v>22</v>
      </c>
      <c r="DQ43" s="251" t="e">
        <f t="shared" si="39"/>
        <v>#VALUE!</v>
      </c>
      <c r="DR43" s="246"/>
      <c r="DS43" s="246"/>
      <c r="DU43" s="176">
        <v>39</v>
      </c>
      <c r="DV43" s="170" t="str">
        <f t="shared" si="40"/>
        <v>1.2D + 1.0W + L + 0.5(Lr or S or R) (120 deg</v>
      </c>
      <c r="DW43" s="170">
        <v>1</v>
      </c>
      <c r="DX43" s="170" t="s">
        <v>170</v>
      </c>
      <c r="DY43" s="170"/>
      <c r="DZ43" s="170">
        <v>65</v>
      </c>
      <c r="EA43" s="170">
        <v>1.2</v>
      </c>
      <c r="EB43" s="170">
        <v>86</v>
      </c>
      <c r="EC43" s="170">
        <v>1.5</v>
      </c>
      <c r="ED43" s="170">
        <v>6</v>
      </c>
      <c r="EE43" s="180" t="e">
        <f>qmz/qz/Kes.w</f>
        <v>#VALUE!</v>
      </c>
      <c r="EF43" s="170"/>
      <c r="EG43" s="170"/>
      <c r="EH43" s="170"/>
      <c r="EI43" s="170"/>
      <c r="EK43" s="2" t="s">
        <v>448</v>
      </c>
      <c r="EL43" s="2">
        <v>120</v>
      </c>
      <c r="EN43" s="176">
        <v>39</v>
      </c>
      <c r="GJ43" s="2" t="s">
        <v>450</v>
      </c>
      <c r="GK43" s="2" t="str">
        <f t="shared" si="43"/>
        <v>D + Ws + G (90 deg)</v>
      </c>
      <c r="GL43" s="184" t="s">
        <v>459</v>
      </c>
    </row>
    <row r="44" spans="1:194" ht="18" customHeight="1" x14ac:dyDescent="0.2">
      <c r="A44" s="165">
        <v>40</v>
      </c>
      <c r="B44" s="174" t="s">
        <v>460</v>
      </c>
      <c r="C44" s="174" t="s">
        <v>446</v>
      </c>
      <c r="D44" s="174"/>
      <c r="E44" s="174"/>
      <c r="F44" s="174"/>
      <c r="G44" s="174"/>
      <c r="H44" s="186">
        <f>COUNTA('Point Load Tables'!$DL$4:$DL$1048576)</f>
        <v>0</v>
      </c>
      <c r="I44" s="186"/>
      <c r="J44" s="186"/>
      <c r="K44" s="174"/>
      <c r="M44" s="176">
        <f t="shared" si="15"/>
        <v>40</v>
      </c>
      <c r="N44" s="174" t="str">
        <f t="shared" si="18"/>
        <v>1.2D + 1.5Lm_1 + 1.0Wm  | 135 deg</v>
      </c>
      <c r="O44" s="174" t="b">
        <v>1</v>
      </c>
      <c r="P44" s="174" t="str">
        <f t="shared" si="19"/>
        <v>Y</v>
      </c>
      <c r="Q44" s="174" t="str">
        <f t="shared" si="20"/>
        <v/>
      </c>
      <c r="R44" s="174">
        <f t="shared" si="21"/>
        <v>65</v>
      </c>
      <c r="S44" s="174">
        <f t="shared" si="22"/>
        <v>1.2</v>
      </c>
      <c r="T44" s="174">
        <f t="shared" si="23"/>
        <v>86</v>
      </c>
      <c r="U44" s="174">
        <f t="shared" si="24"/>
        <v>1.5</v>
      </c>
      <c r="V44" s="174">
        <f t="shared" si="25"/>
        <v>7</v>
      </c>
      <c r="W44" s="174" t="e">
        <f t="shared" si="26"/>
        <v>#VALUE!</v>
      </c>
      <c r="X44" s="174">
        <f t="shared" si="27"/>
        <v>23</v>
      </c>
      <c r="Y44" s="174" t="e">
        <f t="shared" si="28"/>
        <v>#VALUE!</v>
      </c>
      <c r="Z44" s="174" t="str">
        <f t="shared" si="29"/>
        <v/>
      </c>
      <c r="AA44" s="174" t="str">
        <f t="shared" si="30"/>
        <v/>
      </c>
      <c r="AC44" s="176">
        <v>40</v>
      </c>
      <c r="AD44" s="174" t="s">
        <v>1445</v>
      </c>
      <c r="AE44" s="174" t="b">
        <v>1</v>
      </c>
      <c r="AF44" s="174" t="s">
        <v>170</v>
      </c>
      <c r="AG44" s="174"/>
      <c r="AH44" s="174">
        <v>65</v>
      </c>
      <c r="AI44" s="174">
        <v>1.2</v>
      </c>
      <c r="AJ44" s="174">
        <f t="shared" si="41"/>
        <v>86</v>
      </c>
      <c r="AK44" s="175">
        <v>1.5</v>
      </c>
      <c r="AL44" s="174">
        <v>7</v>
      </c>
      <c r="AM44" s="181" t="e">
        <f>qmz/qz/Kes.w</f>
        <v>#VALUE!</v>
      </c>
      <c r="AN44" s="174">
        <v>23</v>
      </c>
      <c r="AO44" s="181" t="e">
        <f>qmz/qz/Kes.w</f>
        <v>#VALUE!</v>
      </c>
      <c r="AP44" s="174"/>
      <c r="AQ44" s="174"/>
      <c r="AS44" s="176">
        <v>40</v>
      </c>
      <c r="AT44" s="174" t="s">
        <v>1446</v>
      </c>
      <c r="AU44" s="174"/>
      <c r="AV44" s="174" t="s">
        <v>170</v>
      </c>
      <c r="AW44" s="174"/>
      <c r="AX44" s="174">
        <v>65</v>
      </c>
      <c r="AY44" s="174">
        <v>1.2</v>
      </c>
      <c r="AZ44" s="174">
        <v>39</v>
      </c>
      <c r="BA44" s="174">
        <v>1</v>
      </c>
      <c r="BB44" s="174">
        <v>55</v>
      </c>
      <c r="BC44" s="174">
        <v>1</v>
      </c>
      <c r="BD44" s="174">
        <v>66</v>
      </c>
      <c r="BE44" s="174">
        <v>1</v>
      </c>
      <c r="BF44" s="174"/>
      <c r="BG44" s="174"/>
      <c r="BI44" s="176">
        <v>40</v>
      </c>
      <c r="BJ44" s="174" t="s">
        <v>1445</v>
      </c>
      <c r="BK44" s="174" t="b">
        <v>1</v>
      </c>
      <c r="BL44" s="174" t="s">
        <v>170</v>
      </c>
      <c r="BM44" s="174"/>
      <c r="BN44" s="174">
        <v>65</v>
      </c>
      <c r="BO44" s="174">
        <v>1.2</v>
      </c>
      <c r="BP44" s="174">
        <f t="shared" si="42"/>
        <v>86</v>
      </c>
      <c r="BQ44" s="175">
        <v>1.5</v>
      </c>
      <c r="BR44" s="174">
        <v>7</v>
      </c>
      <c r="BS44" s="181" t="e">
        <f>qmz/qz/Kes.w</f>
        <v>#VALUE!</v>
      </c>
      <c r="BT44" s="174">
        <v>23</v>
      </c>
      <c r="BU44" s="181" t="e">
        <f>qmz/qz/Kes.w</f>
        <v>#VALUE!</v>
      </c>
      <c r="BV44" s="174"/>
      <c r="BW44" s="174"/>
      <c r="BY44" s="176">
        <v>40</v>
      </c>
      <c r="BZ44" s="249" t="s">
        <v>1447</v>
      </c>
      <c r="CA44" s="249" t="b">
        <v>1</v>
      </c>
      <c r="CB44" s="249" t="s">
        <v>170</v>
      </c>
      <c r="CC44" s="249"/>
      <c r="CD44" s="249">
        <v>65</v>
      </c>
      <c r="CE44" s="249">
        <v>1</v>
      </c>
      <c r="CF44" s="174">
        <f t="shared" si="31"/>
        <v>86</v>
      </c>
      <c r="CG44" s="248">
        <v>1.25</v>
      </c>
      <c r="CH44" s="249">
        <v>7</v>
      </c>
      <c r="CI44" s="252" t="e">
        <f t="shared" si="32"/>
        <v>#VALUE!</v>
      </c>
      <c r="CJ44" s="249">
        <v>23</v>
      </c>
      <c r="CK44" s="252" t="e">
        <f t="shared" si="33"/>
        <v>#VALUE!</v>
      </c>
      <c r="CL44" s="249"/>
      <c r="CM44" s="249"/>
      <c r="CO44" s="176">
        <v>40</v>
      </c>
      <c r="CP44" s="249" t="s">
        <v>1447</v>
      </c>
      <c r="CQ44" s="249" t="b">
        <v>1</v>
      </c>
      <c r="CR44" s="249" t="s">
        <v>170</v>
      </c>
      <c r="CS44" s="249"/>
      <c r="CT44" s="249">
        <v>65</v>
      </c>
      <c r="CU44" s="249">
        <v>1</v>
      </c>
      <c r="CV44" s="174">
        <f t="shared" si="34"/>
        <v>86</v>
      </c>
      <c r="CW44" s="248">
        <v>1.25</v>
      </c>
      <c r="CX44" s="249">
        <v>7</v>
      </c>
      <c r="CY44" s="252" t="e">
        <f t="shared" si="35"/>
        <v>#VALUE!</v>
      </c>
      <c r="CZ44" s="249">
        <v>23</v>
      </c>
      <c r="DA44" s="252" t="e">
        <f t="shared" si="36"/>
        <v>#VALUE!</v>
      </c>
      <c r="DB44" s="249"/>
      <c r="DC44" s="249"/>
      <c r="DE44" s="176">
        <v>40</v>
      </c>
      <c r="DF44" s="249" t="s">
        <v>1447</v>
      </c>
      <c r="DG44" s="249" t="b">
        <v>1</v>
      </c>
      <c r="DH44" s="249" t="s">
        <v>170</v>
      </c>
      <c r="DI44" s="249"/>
      <c r="DJ44" s="249">
        <v>65</v>
      </c>
      <c r="DK44" s="249">
        <v>1</v>
      </c>
      <c r="DL44" s="174">
        <f t="shared" si="37"/>
        <v>86</v>
      </c>
      <c r="DM44" s="248">
        <v>1.25</v>
      </c>
      <c r="DN44" s="249">
        <v>7</v>
      </c>
      <c r="DO44" s="252" t="e">
        <f t="shared" si="38"/>
        <v>#VALUE!</v>
      </c>
      <c r="DP44" s="249">
        <v>23</v>
      </c>
      <c r="DQ44" s="252" t="e">
        <f t="shared" si="39"/>
        <v>#VALUE!</v>
      </c>
      <c r="DR44" s="249"/>
      <c r="DS44" s="249"/>
      <c r="DU44" s="176">
        <v>40</v>
      </c>
      <c r="DV44" s="174" t="str">
        <f t="shared" si="40"/>
        <v>1.2D + 1.0W + L + 0.5(Lr or S or R) (135 deg</v>
      </c>
      <c r="DW44" s="174">
        <v>1</v>
      </c>
      <c r="DX44" s="174" t="s">
        <v>170</v>
      </c>
      <c r="DY44" s="174"/>
      <c r="DZ44" s="174">
        <v>65</v>
      </c>
      <c r="EA44" s="174">
        <v>1.2</v>
      </c>
      <c r="EB44" s="174">
        <v>86</v>
      </c>
      <c r="EC44" s="175">
        <v>1.5</v>
      </c>
      <c r="ED44" s="174">
        <v>7</v>
      </c>
      <c r="EE44" s="181" t="e">
        <f>qmz/qz/Kes.w</f>
        <v>#VALUE!</v>
      </c>
      <c r="EF44" s="174"/>
      <c r="EG44" s="174"/>
      <c r="EH44" s="174"/>
      <c r="EI44" s="174"/>
      <c r="EK44" s="2" t="s">
        <v>448</v>
      </c>
      <c r="EL44" s="2">
        <v>135</v>
      </c>
      <c r="EN44" s="176">
        <v>40</v>
      </c>
      <c r="GJ44" s="2" t="s">
        <v>450</v>
      </c>
      <c r="GK44" s="2" t="str">
        <f t="shared" si="43"/>
        <v>D + Ws + G (120 deg)</v>
      </c>
      <c r="GL44" s="184" t="s">
        <v>461</v>
      </c>
    </row>
    <row r="45" spans="1:194" ht="18" customHeight="1" x14ac:dyDescent="0.2">
      <c r="A45" s="165">
        <v>41</v>
      </c>
      <c r="B45" s="170" t="s">
        <v>462</v>
      </c>
      <c r="C45" s="171" t="s">
        <v>446</v>
      </c>
      <c r="D45" s="171"/>
      <c r="E45" s="171"/>
      <c r="F45" s="171"/>
      <c r="G45" s="171"/>
      <c r="H45" s="185">
        <f>COUNTA('Point Load Tables'!$DQ$4:$DQ$1048576)</f>
        <v>0</v>
      </c>
      <c r="I45" s="185"/>
      <c r="J45" s="185"/>
      <c r="K45" s="171"/>
      <c r="M45" s="176">
        <f t="shared" si="15"/>
        <v>41</v>
      </c>
      <c r="N45" s="170" t="str">
        <f t="shared" si="18"/>
        <v>1.2D + 1.5Lm_1 + 1.0Wm  | 150 deg</v>
      </c>
      <c r="O45" s="170" t="b">
        <v>1</v>
      </c>
      <c r="P45" s="170" t="str">
        <f t="shared" si="19"/>
        <v>Y</v>
      </c>
      <c r="Q45" s="170" t="str">
        <f t="shared" si="20"/>
        <v/>
      </c>
      <c r="R45" s="170">
        <f t="shared" si="21"/>
        <v>65</v>
      </c>
      <c r="S45" s="170">
        <f t="shared" si="22"/>
        <v>1.2</v>
      </c>
      <c r="T45" s="170">
        <f t="shared" si="23"/>
        <v>86</v>
      </c>
      <c r="U45" s="170">
        <f t="shared" si="24"/>
        <v>1.5</v>
      </c>
      <c r="V45" s="170">
        <f t="shared" si="25"/>
        <v>8</v>
      </c>
      <c r="W45" s="170" t="e">
        <f t="shared" si="26"/>
        <v>#VALUE!</v>
      </c>
      <c r="X45" s="170">
        <f t="shared" si="27"/>
        <v>24</v>
      </c>
      <c r="Y45" s="170" t="e">
        <f t="shared" si="28"/>
        <v>#VALUE!</v>
      </c>
      <c r="Z45" s="170" t="str">
        <f t="shared" si="29"/>
        <v/>
      </c>
      <c r="AA45" s="170" t="str">
        <f t="shared" si="30"/>
        <v/>
      </c>
      <c r="AC45" s="176">
        <v>41</v>
      </c>
      <c r="AD45" s="170" t="s">
        <v>1448</v>
      </c>
      <c r="AE45" s="170" t="b">
        <v>1</v>
      </c>
      <c r="AF45" s="170" t="s">
        <v>170</v>
      </c>
      <c r="AG45" s="170"/>
      <c r="AH45" s="170">
        <v>65</v>
      </c>
      <c r="AI45" s="170">
        <v>1.2</v>
      </c>
      <c r="AJ45" s="170">
        <f t="shared" si="41"/>
        <v>86</v>
      </c>
      <c r="AK45" s="170">
        <v>1.5</v>
      </c>
      <c r="AL45" s="170">
        <v>8</v>
      </c>
      <c r="AM45" s="180" t="e">
        <f>qmz/qz/Kes.w</f>
        <v>#VALUE!</v>
      </c>
      <c r="AN45" s="170">
        <v>24</v>
      </c>
      <c r="AO45" s="180" t="e">
        <f>qmz/qz/Kes.w</f>
        <v>#VALUE!</v>
      </c>
      <c r="AP45" s="170"/>
      <c r="AQ45" s="170"/>
      <c r="AS45" s="176">
        <v>41</v>
      </c>
      <c r="AT45" s="170" t="s">
        <v>1449</v>
      </c>
      <c r="AU45" s="170" t="b">
        <v>1</v>
      </c>
      <c r="AV45" s="170" t="s">
        <v>170</v>
      </c>
      <c r="AW45" s="170"/>
      <c r="AX45" s="170">
        <v>65</v>
      </c>
      <c r="AY45" s="170">
        <v>1.2</v>
      </c>
      <c r="AZ45" s="170">
        <v>40</v>
      </c>
      <c r="BA45" s="170">
        <v>1</v>
      </c>
      <c r="BB45" s="170">
        <v>56</v>
      </c>
      <c r="BC45" s="170">
        <v>1</v>
      </c>
      <c r="BD45" s="170">
        <v>66</v>
      </c>
      <c r="BE45" s="170">
        <v>1</v>
      </c>
      <c r="BF45" s="170"/>
      <c r="BG45" s="170"/>
      <c r="BI45" s="176">
        <v>41</v>
      </c>
      <c r="BJ45" s="170" t="s">
        <v>1448</v>
      </c>
      <c r="BK45" s="170" t="b">
        <v>1</v>
      </c>
      <c r="BL45" s="170" t="s">
        <v>170</v>
      </c>
      <c r="BM45" s="170"/>
      <c r="BN45" s="170">
        <v>65</v>
      </c>
      <c r="BO45" s="170">
        <v>1.2</v>
      </c>
      <c r="BP45" s="170">
        <f t="shared" si="42"/>
        <v>86</v>
      </c>
      <c r="BQ45" s="170">
        <v>1.5</v>
      </c>
      <c r="BR45" s="170">
        <v>8</v>
      </c>
      <c r="BS45" s="180" t="e">
        <f>qmz/qz/Kes.w</f>
        <v>#VALUE!</v>
      </c>
      <c r="BT45" s="170">
        <v>24</v>
      </c>
      <c r="BU45" s="180" t="e">
        <f>qmz/qz/Kes.w</f>
        <v>#VALUE!</v>
      </c>
      <c r="BV45" s="170"/>
      <c r="BW45" s="170"/>
      <c r="BY45" s="176">
        <v>41</v>
      </c>
      <c r="BZ45" s="246" t="s">
        <v>1450</v>
      </c>
      <c r="CA45" s="246" t="b">
        <v>1</v>
      </c>
      <c r="CB45" s="246" t="s">
        <v>170</v>
      </c>
      <c r="CC45" s="246"/>
      <c r="CD45" s="246">
        <v>65</v>
      </c>
      <c r="CE45" s="246">
        <v>1</v>
      </c>
      <c r="CF45" s="170">
        <f t="shared" si="31"/>
        <v>86</v>
      </c>
      <c r="CG45" s="246">
        <v>1.25</v>
      </c>
      <c r="CH45" s="246">
        <v>8</v>
      </c>
      <c r="CI45" s="251" t="e">
        <f t="shared" si="32"/>
        <v>#VALUE!</v>
      </c>
      <c r="CJ45" s="246">
        <v>24</v>
      </c>
      <c r="CK45" s="251" t="e">
        <f t="shared" si="33"/>
        <v>#VALUE!</v>
      </c>
      <c r="CL45" s="246"/>
      <c r="CM45" s="246"/>
      <c r="CO45" s="176">
        <v>41</v>
      </c>
      <c r="CP45" s="246" t="s">
        <v>1450</v>
      </c>
      <c r="CQ45" s="246" t="b">
        <v>1</v>
      </c>
      <c r="CR45" s="246" t="s">
        <v>170</v>
      </c>
      <c r="CS45" s="246"/>
      <c r="CT45" s="246">
        <v>65</v>
      </c>
      <c r="CU45" s="246">
        <v>1</v>
      </c>
      <c r="CV45" s="170">
        <f t="shared" si="34"/>
        <v>86</v>
      </c>
      <c r="CW45" s="246">
        <v>1.25</v>
      </c>
      <c r="CX45" s="246">
        <v>8</v>
      </c>
      <c r="CY45" s="251" t="e">
        <f t="shared" si="35"/>
        <v>#VALUE!</v>
      </c>
      <c r="CZ45" s="246">
        <v>24</v>
      </c>
      <c r="DA45" s="251" t="e">
        <f t="shared" si="36"/>
        <v>#VALUE!</v>
      </c>
      <c r="DB45" s="246"/>
      <c r="DC45" s="246"/>
      <c r="DE45" s="176">
        <v>41</v>
      </c>
      <c r="DF45" s="246" t="s">
        <v>1450</v>
      </c>
      <c r="DG45" s="246" t="b">
        <v>1</v>
      </c>
      <c r="DH45" s="246" t="s">
        <v>170</v>
      </c>
      <c r="DI45" s="246"/>
      <c r="DJ45" s="246">
        <v>65</v>
      </c>
      <c r="DK45" s="246">
        <v>1</v>
      </c>
      <c r="DL45" s="170">
        <f t="shared" si="37"/>
        <v>86</v>
      </c>
      <c r="DM45" s="246">
        <v>1.25</v>
      </c>
      <c r="DN45" s="246">
        <v>8</v>
      </c>
      <c r="DO45" s="251" t="e">
        <f t="shared" si="38"/>
        <v>#VALUE!</v>
      </c>
      <c r="DP45" s="246">
        <v>24</v>
      </c>
      <c r="DQ45" s="251" t="e">
        <f t="shared" si="39"/>
        <v>#VALUE!</v>
      </c>
      <c r="DR45" s="246"/>
      <c r="DS45" s="246"/>
      <c r="DU45" s="176">
        <v>41</v>
      </c>
      <c r="DV45" s="170" t="str">
        <f t="shared" si="40"/>
        <v>1.2D + 1.0W + L + 0.5(Lr or S or R) (150 deg</v>
      </c>
      <c r="DW45" s="170">
        <v>1</v>
      </c>
      <c r="DX45" s="170" t="s">
        <v>170</v>
      </c>
      <c r="DY45" s="170"/>
      <c r="DZ45" s="170">
        <v>65</v>
      </c>
      <c r="EA45" s="170">
        <v>1.2</v>
      </c>
      <c r="EB45" s="170">
        <v>86</v>
      </c>
      <c r="EC45" s="170">
        <v>1.5</v>
      </c>
      <c r="ED45" s="170">
        <v>8</v>
      </c>
      <c r="EE45" s="180" t="e">
        <f>qmz/qz/Kes.w</f>
        <v>#VALUE!</v>
      </c>
      <c r="EF45" s="170"/>
      <c r="EG45" s="170"/>
      <c r="EH45" s="170"/>
      <c r="EI45" s="170"/>
      <c r="EK45" s="2" t="s">
        <v>448</v>
      </c>
      <c r="EL45" s="2">
        <v>150</v>
      </c>
      <c r="EN45" s="176">
        <v>41</v>
      </c>
      <c r="GJ45" s="2" t="s">
        <v>450</v>
      </c>
      <c r="GK45" s="2" t="str">
        <f t="shared" si="43"/>
        <v>D + Ws + G (135 deg)</v>
      </c>
      <c r="GL45" s="184" t="s">
        <v>463</v>
      </c>
    </row>
    <row r="46" spans="1:194" ht="18" customHeight="1" x14ac:dyDescent="0.2">
      <c r="A46" s="165">
        <v>42</v>
      </c>
      <c r="B46" s="174" t="s">
        <v>464</v>
      </c>
      <c r="C46" s="174" t="s">
        <v>446</v>
      </c>
      <c r="D46" s="174"/>
      <c r="E46" s="174"/>
      <c r="F46" s="174"/>
      <c r="G46" s="174"/>
      <c r="H46" s="186">
        <f>COUNTA('Point Load Tables'!$DV$4:$DV$1048576)</f>
        <v>0</v>
      </c>
      <c r="I46" s="186"/>
      <c r="J46" s="186"/>
      <c r="K46" s="174"/>
      <c r="M46" s="176">
        <f t="shared" si="15"/>
        <v>42</v>
      </c>
      <c r="N46" s="174" t="str">
        <f t="shared" si="18"/>
        <v>1.2D + 1.5Lm_1 + 1.0Wm  | 180 deg</v>
      </c>
      <c r="O46" s="174" t="b">
        <v>1</v>
      </c>
      <c r="P46" s="174" t="str">
        <f t="shared" si="19"/>
        <v>Y</v>
      </c>
      <c r="Q46" s="174" t="str">
        <f t="shared" si="20"/>
        <v/>
      </c>
      <c r="R46" s="174">
        <f t="shared" si="21"/>
        <v>65</v>
      </c>
      <c r="S46" s="174">
        <f t="shared" si="22"/>
        <v>1.2</v>
      </c>
      <c r="T46" s="174">
        <f t="shared" si="23"/>
        <v>86</v>
      </c>
      <c r="U46" s="174">
        <f t="shared" si="24"/>
        <v>1.5</v>
      </c>
      <c r="V46" s="174">
        <f t="shared" si="25"/>
        <v>9</v>
      </c>
      <c r="W46" s="174" t="e">
        <f t="shared" si="26"/>
        <v>#VALUE!</v>
      </c>
      <c r="X46" s="174">
        <f t="shared" si="27"/>
        <v>25</v>
      </c>
      <c r="Y46" s="174" t="e">
        <f t="shared" si="28"/>
        <v>#VALUE!</v>
      </c>
      <c r="Z46" s="174" t="str">
        <f t="shared" si="29"/>
        <v/>
      </c>
      <c r="AA46" s="174" t="str">
        <f t="shared" si="30"/>
        <v/>
      </c>
      <c r="AC46" s="176">
        <v>42</v>
      </c>
      <c r="AD46" s="174" t="s">
        <v>1451</v>
      </c>
      <c r="AE46" s="174" t="b">
        <v>1</v>
      </c>
      <c r="AF46" s="174" t="s">
        <v>170</v>
      </c>
      <c r="AG46" s="174"/>
      <c r="AH46" s="174">
        <v>65</v>
      </c>
      <c r="AI46" s="174">
        <v>1.2</v>
      </c>
      <c r="AJ46" s="174">
        <f t="shared" si="41"/>
        <v>86</v>
      </c>
      <c r="AK46" s="175">
        <v>1.5</v>
      </c>
      <c r="AL46" s="174">
        <v>9</v>
      </c>
      <c r="AM46" s="181" t="e">
        <f>qmz/qz/Kes.w</f>
        <v>#VALUE!</v>
      </c>
      <c r="AN46" s="174">
        <v>25</v>
      </c>
      <c r="AO46" s="181" t="e">
        <f>qmz/qz/Kes.w</f>
        <v>#VALUE!</v>
      </c>
      <c r="AP46" s="174"/>
      <c r="AQ46" s="174"/>
      <c r="AS46" s="176">
        <v>42</v>
      </c>
      <c r="AT46" s="174" t="s">
        <v>1452</v>
      </c>
      <c r="AU46" s="174" t="b">
        <v>1</v>
      </c>
      <c r="AV46" s="174" t="s">
        <v>170</v>
      </c>
      <c r="AW46" s="174"/>
      <c r="AX46" s="174">
        <v>65</v>
      </c>
      <c r="AY46" s="174">
        <v>1.2</v>
      </c>
      <c r="AZ46" s="174">
        <v>41</v>
      </c>
      <c r="BA46" s="174">
        <v>1</v>
      </c>
      <c r="BB46" s="174">
        <v>57</v>
      </c>
      <c r="BC46" s="174">
        <v>1</v>
      </c>
      <c r="BD46" s="174">
        <v>66</v>
      </c>
      <c r="BE46" s="174">
        <v>1</v>
      </c>
      <c r="BF46" s="174"/>
      <c r="BG46" s="174"/>
      <c r="BI46" s="176">
        <v>42</v>
      </c>
      <c r="BJ46" s="174" t="s">
        <v>1451</v>
      </c>
      <c r="BK46" s="174" t="b">
        <v>1</v>
      </c>
      <c r="BL46" s="174" t="s">
        <v>170</v>
      </c>
      <c r="BM46" s="174"/>
      <c r="BN46" s="174">
        <v>65</v>
      </c>
      <c r="BO46" s="174">
        <v>1.2</v>
      </c>
      <c r="BP46" s="174">
        <f t="shared" si="42"/>
        <v>86</v>
      </c>
      <c r="BQ46" s="175">
        <v>1.5</v>
      </c>
      <c r="BR46" s="174">
        <v>9</v>
      </c>
      <c r="BS46" s="181" t="e">
        <f>qmz/qz/Kes.w</f>
        <v>#VALUE!</v>
      </c>
      <c r="BT46" s="174">
        <v>25</v>
      </c>
      <c r="BU46" s="181" t="e">
        <f>qmz/qz/Kes.w</f>
        <v>#VALUE!</v>
      </c>
      <c r="BV46" s="174"/>
      <c r="BW46" s="174"/>
      <c r="BY46" s="176">
        <v>42</v>
      </c>
      <c r="BZ46" s="249" t="s">
        <v>1453</v>
      </c>
      <c r="CA46" s="249" t="b">
        <v>1</v>
      </c>
      <c r="CB46" s="249" t="s">
        <v>170</v>
      </c>
      <c r="CC46" s="249"/>
      <c r="CD46" s="249">
        <v>65</v>
      </c>
      <c r="CE46" s="249">
        <v>1</v>
      </c>
      <c r="CF46" s="174">
        <f t="shared" si="31"/>
        <v>86</v>
      </c>
      <c r="CG46" s="248">
        <v>1.25</v>
      </c>
      <c r="CH46" s="249">
        <v>9</v>
      </c>
      <c r="CI46" s="252" t="e">
        <f t="shared" si="32"/>
        <v>#VALUE!</v>
      </c>
      <c r="CJ46" s="249">
        <v>25</v>
      </c>
      <c r="CK46" s="252" t="e">
        <f t="shared" si="33"/>
        <v>#VALUE!</v>
      </c>
      <c r="CL46" s="249"/>
      <c r="CM46" s="249"/>
      <c r="CO46" s="176">
        <v>42</v>
      </c>
      <c r="CP46" s="249" t="s">
        <v>1453</v>
      </c>
      <c r="CQ46" s="249" t="b">
        <v>1</v>
      </c>
      <c r="CR46" s="249" t="s">
        <v>170</v>
      </c>
      <c r="CS46" s="249"/>
      <c r="CT46" s="249">
        <v>65</v>
      </c>
      <c r="CU46" s="249">
        <v>1</v>
      </c>
      <c r="CV46" s="174">
        <f t="shared" si="34"/>
        <v>86</v>
      </c>
      <c r="CW46" s="248">
        <v>1.25</v>
      </c>
      <c r="CX46" s="249">
        <v>9</v>
      </c>
      <c r="CY46" s="252" t="e">
        <f t="shared" si="35"/>
        <v>#VALUE!</v>
      </c>
      <c r="CZ46" s="249">
        <v>25</v>
      </c>
      <c r="DA46" s="252" t="e">
        <f t="shared" si="36"/>
        <v>#VALUE!</v>
      </c>
      <c r="DB46" s="249"/>
      <c r="DC46" s="249"/>
      <c r="DE46" s="176">
        <v>42</v>
      </c>
      <c r="DF46" s="249" t="s">
        <v>1453</v>
      </c>
      <c r="DG46" s="249" t="b">
        <v>1</v>
      </c>
      <c r="DH46" s="249" t="s">
        <v>170</v>
      </c>
      <c r="DI46" s="249"/>
      <c r="DJ46" s="249">
        <v>65</v>
      </c>
      <c r="DK46" s="249">
        <v>1</v>
      </c>
      <c r="DL46" s="174">
        <f t="shared" si="37"/>
        <v>86</v>
      </c>
      <c r="DM46" s="248">
        <v>1.25</v>
      </c>
      <c r="DN46" s="249">
        <v>9</v>
      </c>
      <c r="DO46" s="252" t="e">
        <f t="shared" si="38"/>
        <v>#VALUE!</v>
      </c>
      <c r="DP46" s="249">
        <v>25</v>
      </c>
      <c r="DQ46" s="252" t="e">
        <f t="shared" si="39"/>
        <v>#VALUE!</v>
      </c>
      <c r="DR46" s="249"/>
      <c r="DS46" s="249"/>
      <c r="DU46" s="176">
        <v>42</v>
      </c>
      <c r="DV46" s="174" t="str">
        <f t="shared" si="40"/>
        <v>1.2D + 1.0W + L + 0.5(Lr or S or R) (180 deg</v>
      </c>
      <c r="DW46" s="174">
        <v>1</v>
      </c>
      <c r="DX46" s="174" t="s">
        <v>170</v>
      </c>
      <c r="DY46" s="174"/>
      <c r="DZ46" s="174">
        <v>65</v>
      </c>
      <c r="EA46" s="174">
        <v>1.2</v>
      </c>
      <c r="EB46" s="174">
        <v>86</v>
      </c>
      <c r="EC46" s="175">
        <v>1.5</v>
      </c>
      <c r="ED46" s="174">
        <v>9</v>
      </c>
      <c r="EE46" s="181" t="e">
        <f>qmz/qz/Kes.w</f>
        <v>#VALUE!</v>
      </c>
      <c r="EF46" s="174"/>
      <c r="EG46" s="174"/>
      <c r="EH46" s="174"/>
      <c r="EI46" s="174"/>
      <c r="EK46" s="2" t="s">
        <v>448</v>
      </c>
      <c r="EL46" s="2">
        <v>180</v>
      </c>
      <c r="EN46" s="176">
        <v>42</v>
      </c>
      <c r="GJ46" s="2" t="s">
        <v>450</v>
      </c>
      <c r="GK46" s="2" t="str">
        <f t="shared" si="43"/>
        <v>D + Ws + G (150 deg)</v>
      </c>
      <c r="GL46" s="184" t="s">
        <v>465</v>
      </c>
    </row>
    <row r="47" spans="1:194" ht="18" customHeight="1" x14ac:dyDescent="0.2">
      <c r="A47" s="165">
        <v>43</v>
      </c>
      <c r="B47" s="170" t="s">
        <v>466</v>
      </c>
      <c r="C47" s="171" t="s">
        <v>446</v>
      </c>
      <c r="D47" s="171"/>
      <c r="E47" s="171"/>
      <c r="F47" s="171"/>
      <c r="G47" s="171"/>
      <c r="H47" s="185">
        <f>COUNTA('Point Load Tables'!$EA$4:$EA$1048576)</f>
        <v>0</v>
      </c>
      <c r="I47" s="185"/>
      <c r="J47" s="185"/>
      <c r="K47" s="171"/>
      <c r="M47" s="176">
        <f t="shared" si="15"/>
        <v>43</v>
      </c>
      <c r="N47" s="170" t="str">
        <f t="shared" si="18"/>
        <v>1.2D + 1.5Lm_1 + 1.0Wm  | 210 deg</v>
      </c>
      <c r="O47" s="170" t="b">
        <v>1</v>
      </c>
      <c r="P47" s="170" t="str">
        <f t="shared" si="19"/>
        <v>Y</v>
      </c>
      <c r="Q47" s="170" t="str">
        <f t="shared" si="20"/>
        <v/>
      </c>
      <c r="R47" s="170">
        <f t="shared" si="21"/>
        <v>65</v>
      </c>
      <c r="S47" s="170">
        <f t="shared" si="22"/>
        <v>1.2</v>
      </c>
      <c r="T47" s="170">
        <f t="shared" si="23"/>
        <v>86</v>
      </c>
      <c r="U47" s="170">
        <f t="shared" si="24"/>
        <v>1.5</v>
      </c>
      <c r="V47" s="170">
        <f t="shared" si="25"/>
        <v>10</v>
      </c>
      <c r="W47" s="170" t="e">
        <f t="shared" si="26"/>
        <v>#VALUE!</v>
      </c>
      <c r="X47" s="170">
        <f t="shared" si="27"/>
        <v>26</v>
      </c>
      <c r="Y47" s="170" t="e">
        <f t="shared" si="28"/>
        <v>#VALUE!</v>
      </c>
      <c r="Z47" s="170" t="str">
        <f t="shared" si="29"/>
        <v/>
      </c>
      <c r="AA47" s="170" t="str">
        <f t="shared" si="30"/>
        <v/>
      </c>
      <c r="AC47" s="176">
        <v>43</v>
      </c>
      <c r="AD47" s="170" t="s">
        <v>1538</v>
      </c>
      <c r="AE47" s="170" t="b">
        <v>1</v>
      </c>
      <c r="AF47" s="170" t="s">
        <v>170</v>
      </c>
      <c r="AG47" s="170"/>
      <c r="AH47" s="170">
        <v>65</v>
      </c>
      <c r="AI47" s="170">
        <v>1.2</v>
      </c>
      <c r="AJ47" s="170">
        <f t="shared" si="41"/>
        <v>86</v>
      </c>
      <c r="AK47" s="170">
        <v>1.5</v>
      </c>
      <c r="AL47" s="170">
        <v>10</v>
      </c>
      <c r="AM47" s="180" t="e">
        <f>qmz/qz/Kes.w</f>
        <v>#VALUE!</v>
      </c>
      <c r="AN47" s="170">
        <v>26</v>
      </c>
      <c r="AO47" s="180" t="e">
        <f>qmz/qz/Kes.w</f>
        <v>#VALUE!</v>
      </c>
      <c r="AP47" s="170"/>
      <c r="AQ47" s="170"/>
      <c r="AS47" s="176">
        <v>43</v>
      </c>
      <c r="AT47" s="170" t="s">
        <v>1539</v>
      </c>
      <c r="AU47" s="170" t="b">
        <v>1</v>
      </c>
      <c r="AV47" s="170" t="s">
        <v>170</v>
      </c>
      <c r="AW47" s="170"/>
      <c r="AX47" s="170">
        <v>65</v>
      </c>
      <c r="AY47" s="170">
        <v>1.2</v>
      </c>
      <c r="AZ47" s="170">
        <v>42</v>
      </c>
      <c r="BA47" s="170">
        <v>1</v>
      </c>
      <c r="BB47" s="170">
        <v>58</v>
      </c>
      <c r="BC47" s="170">
        <v>1</v>
      </c>
      <c r="BD47" s="170">
        <v>66</v>
      </c>
      <c r="BE47" s="170">
        <v>1</v>
      </c>
      <c r="BF47" s="170"/>
      <c r="BG47" s="170"/>
      <c r="BI47" s="176">
        <v>43</v>
      </c>
      <c r="BJ47" s="170" t="s">
        <v>1538</v>
      </c>
      <c r="BK47" s="170" t="b">
        <v>1</v>
      </c>
      <c r="BL47" s="170" t="s">
        <v>170</v>
      </c>
      <c r="BM47" s="170"/>
      <c r="BN47" s="170">
        <v>65</v>
      </c>
      <c r="BO47" s="170">
        <v>1.2</v>
      </c>
      <c r="BP47" s="170">
        <f t="shared" si="42"/>
        <v>86</v>
      </c>
      <c r="BQ47" s="170">
        <v>1.5</v>
      </c>
      <c r="BR47" s="170">
        <v>10</v>
      </c>
      <c r="BS47" s="180" t="e">
        <f>qmz/qz/Kes.w</f>
        <v>#VALUE!</v>
      </c>
      <c r="BT47" s="170">
        <v>26</v>
      </c>
      <c r="BU47" s="180" t="e">
        <f>qmz/qz/Kes.w</f>
        <v>#VALUE!</v>
      </c>
      <c r="BV47" s="170"/>
      <c r="BW47" s="170"/>
      <c r="BY47" s="176">
        <v>43</v>
      </c>
      <c r="BZ47" s="246" t="s">
        <v>1540</v>
      </c>
      <c r="CA47" s="246" t="b">
        <v>1</v>
      </c>
      <c r="CB47" s="246" t="s">
        <v>170</v>
      </c>
      <c r="CC47" s="246"/>
      <c r="CD47" s="246">
        <v>65</v>
      </c>
      <c r="CE47" s="246">
        <v>1</v>
      </c>
      <c r="CF47" s="170">
        <f t="shared" si="31"/>
        <v>86</v>
      </c>
      <c r="CG47" s="246">
        <v>1.25</v>
      </c>
      <c r="CH47" s="246">
        <v>10</v>
      </c>
      <c r="CI47" s="251" t="e">
        <f t="shared" si="32"/>
        <v>#VALUE!</v>
      </c>
      <c r="CJ47" s="246">
        <v>26</v>
      </c>
      <c r="CK47" s="251" t="e">
        <f t="shared" si="33"/>
        <v>#VALUE!</v>
      </c>
      <c r="CL47" s="246"/>
      <c r="CM47" s="246"/>
      <c r="CO47" s="176">
        <v>43</v>
      </c>
      <c r="CP47" s="246" t="s">
        <v>1540</v>
      </c>
      <c r="CQ47" s="246" t="b">
        <v>1</v>
      </c>
      <c r="CR47" s="246" t="s">
        <v>170</v>
      </c>
      <c r="CS47" s="246"/>
      <c r="CT47" s="246">
        <v>65</v>
      </c>
      <c r="CU47" s="246">
        <v>1</v>
      </c>
      <c r="CV47" s="170">
        <f t="shared" si="34"/>
        <v>86</v>
      </c>
      <c r="CW47" s="246">
        <v>1.25</v>
      </c>
      <c r="CX47" s="246">
        <v>10</v>
      </c>
      <c r="CY47" s="251" t="e">
        <f t="shared" si="35"/>
        <v>#VALUE!</v>
      </c>
      <c r="CZ47" s="246">
        <v>26</v>
      </c>
      <c r="DA47" s="251" t="e">
        <f t="shared" si="36"/>
        <v>#VALUE!</v>
      </c>
      <c r="DB47" s="246"/>
      <c r="DC47" s="246"/>
      <c r="DE47" s="176">
        <v>43</v>
      </c>
      <c r="DF47" s="246" t="s">
        <v>1540</v>
      </c>
      <c r="DG47" s="246" t="b">
        <v>1</v>
      </c>
      <c r="DH47" s="246" t="s">
        <v>170</v>
      </c>
      <c r="DI47" s="246"/>
      <c r="DJ47" s="246">
        <v>65</v>
      </c>
      <c r="DK47" s="246">
        <v>1</v>
      </c>
      <c r="DL47" s="170">
        <f t="shared" si="37"/>
        <v>86</v>
      </c>
      <c r="DM47" s="246">
        <v>1.25</v>
      </c>
      <c r="DN47" s="246">
        <v>10</v>
      </c>
      <c r="DO47" s="251" t="e">
        <f t="shared" si="38"/>
        <v>#VALUE!</v>
      </c>
      <c r="DP47" s="246">
        <v>26</v>
      </c>
      <c r="DQ47" s="251" t="e">
        <f t="shared" si="39"/>
        <v>#VALUE!</v>
      </c>
      <c r="DR47" s="246"/>
      <c r="DS47" s="246"/>
      <c r="DU47" s="176">
        <v>43</v>
      </c>
      <c r="DV47" s="170" t="str">
        <f t="shared" si="40"/>
        <v>1.2D + 1.0W + L + 0.5(Lr or S or R) (210 deg</v>
      </c>
      <c r="DW47" s="170">
        <v>1</v>
      </c>
      <c r="DX47" s="170" t="s">
        <v>170</v>
      </c>
      <c r="DY47" s="170"/>
      <c r="DZ47" s="170">
        <v>65</v>
      </c>
      <c r="EA47" s="170">
        <v>1.2</v>
      </c>
      <c r="EB47" s="170">
        <v>86</v>
      </c>
      <c r="EC47" s="170">
        <v>1.5</v>
      </c>
      <c r="ED47" s="170">
        <v>10</v>
      </c>
      <c r="EE47" s="180" t="e">
        <f>qmz/qz/Kes.w</f>
        <v>#VALUE!</v>
      </c>
      <c r="EF47" s="170"/>
      <c r="EG47" s="170"/>
      <c r="EH47" s="170"/>
      <c r="EI47" s="170"/>
      <c r="EK47" s="2" t="s">
        <v>448</v>
      </c>
      <c r="EL47" s="2">
        <v>210</v>
      </c>
      <c r="EN47" s="176">
        <v>43</v>
      </c>
      <c r="GJ47" s="2" t="s">
        <v>450</v>
      </c>
      <c r="GK47" s="2" t="str">
        <f t="shared" si="43"/>
        <v>D + Ws + G (180 deg)</v>
      </c>
      <c r="GL47" s="184" t="s">
        <v>467</v>
      </c>
    </row>
    <row r="48" spans="1:194" ht="18" customHeight="1" x14ac:dyDescent="0.2">
      <c r="A48" s="165">
        <v>44</v>
      </c>
      <c r="B48" s="174" t="s">
        <v>468</v>
      </c>
      <c r="C48" s="174" t="s">
        <v>446</v>
      </c>
      <c r="D48" s="174"/>
      <c r="E48" s="174"/>
      <c r="F48" s="174"/>
      <c r="G48" s="174"/>
      <c r="H48" s="186">
        <f>COUNTA('Point Load Tables'!$EF$4:$EF$1048576)</f>
        <v>0</v>
      </c>
      <c r="I48" s="186"/>
      <c r="J48" s="186"/>
      <c r="K48" s="174"/>
      <c r="M48" s="176">
        <f t="shared" si="15"/>
        <v>44</v>
      </c>
      <c r="N48" s="174" t="str">
        <f t="shared" si="18"/>
        <v>1.2D + 1.5Lm_1 + 1.0Wm  | 225 deg</v>
      </c>
      <c r="O48" s="174" t="b">
        <v>1</v>
      </c>
      <c r="P48" s="174" t="str">
        <f t="shared" si="19"/>
        <v>Y</v>
      </c>
      <c r="Q48" s="174" t="str">
        <f t="shared" si="20"/>
        <v/>
      </c>
      <c r="R48" s="174">
        <f t="shared" si="21"/>
        <v>65</v>
      </c>
      <c r="S48" s="174">
        <f t="shared" si="22"/>
        <v>1.2</v>
      </c>
      <c r="T48" s="174">
        <f t="shared" si="23"/>
        <v>86</v>
      </c>
      <c r="U48" s="174">
        <f t="shared" si="24"/>
        <v>1.5</v>
      </c>
      <c r="V48" s="174">
        <f t="shared" si="25"/>
        <v>11</v>
      </c>
      <c r="W48" s="174" t="e">
        <f t="shared" si="26"/>
        <v>#VALUE!</v>
      </c>
      <c r="X48" s="174">
        <f t="shared" si="27"/>
        <v>27</v>
      </c>
      <c r="Y48" s="174" t="e">
        <f t="shared" si="28"/>
        <v>#VALUE!</v>
      </c>
      <c r="Z48" s="174" t="str">
        <f t="shared" si="29"/>
        <v/>
      </c>
      <c r="AA48" s="174" t="str">
        <f t="shared" si="30"/>
        <v/>
      </c>
      <c r="AC48" s="176">
        <v>44</v>
      </c>
      <c r="AD48" s="174" t="s">
        <v>1541</v>
      </c>
      <c r="AE48" s="174" t="b">
        <v>1</v>
      </c>
      <c r="AF48" s="174" t="s">
        <v>170</v>
      </c>
      <c r="AG48" s="174"/>
      <c r="AH48" s="174">
        <v>65</v>
      </c>
      <c r="AI48" s="174">
        <v>1.2</v>
      </c>
      <c r="AJ48" s="174">
        <f t="shared" si="41"/>
        <v>86</v>
      </c>
      <c r="AK48" s="175">
        <v>1.5</v>
      </c>
      <c r="AL48" s="174">
        <v>11</v>
      </c>
      <c r="AM48" s="181" t="e">
        <f>qmz/qz/Kes.w</f>
        <v>#VALUE!</v>
      </c>
      <c r="AN48" s="174">
        <v>27</v>
      </c>
      <c r="AO48" s="181" t="e">
        <f>qmz/qz/Kes.w</f>
        <v>#VALUE!</v>
      </c>
      <c r="AP48" s="174"/>
      <c r="AQ48" s="174"/>
      <c r="AS48" s="176">
        <v>44</v>
      </c>
      <c r="AT48" s="174" t="s">
        <v>1542</v>
      </c>
      <c r="AU48" s="174"/>
      <c r="AV48" s="174" t="s">
        <v>170</v>
      </c>
      <c r="AW48" s="174"/>
      <c r="AX48" s="174">
        <v>65</v>
      </c>
      <c r="AY48" s="174">
        <v>1.2</v>
      </c>
      <c r="AZ48" s="174">
        <v>43</v>
      </c>
      <c r="BA48" s="174">
        <v>1</v>
      </c>
      <c r="BB48" s="174">
        <v>59</v>
      </c>
      <c r="BC48" s="174">
        <v>1</v>
      </c>
      <c r="BD48" s="174">
        <v>66</v>
      </c>
      <c r="BE48" s="174">
        <v>1</v>
      </c>
      <c r="BF48" s="174"/>
      <c r="BG48" s="174"/>
      <c r="BI48" s="176">
        <v>44</v>
      </c>
      <c r="BJ48" s="174" t="s">
        <v>1541</v>
      </c>
      <c r="BK48" s="174" t="b">
        <v>1</v>
      </c>
      <c r="BL48" s="174" t="s">
        <v>170</v>
      </c>
      <c r="BM48" s="174"/>
      <c r="BN48" s="174">
        <v>65</v>
      </c>
      <c r="BO48" s="174">
        <v>1.2</v>
      </c>
      <c r="BP48" s="174">
        <f t="shared" si="42"/>
        <v>86</v>
      </c>
      <c r="BQ48" s="175">
        <v>1.5</v>
      </c>
      <c r="BR48" s="174">
        <v>11</v>
      </c>
      <c r="BS48" s="181" t="e">
        <f>qmz/qz/Kes.w</f>
        <v>#VALUE!</v>
      </c>
      <c r="BT48" s="174">
        <v>27</v>
      </c>
      <c r="BU48" s="181" t="e">
        <f>qmz/qz/Kes.w</f>
        <v>#VALUE!</v>
      </c>
      <c r="BV48" s="174"/>
      <c r="BW48" s="174"/>
      <c r="BY48" s="176">
        <v>44</v>
      </c>
      <c r="BZ48" s="249" t="s">
        <v>1543</v>
      </c>
      <c r="CA48" s="249" t="b">
        <v>1</v>
      </c>
      <c r="CB48" s="249" t="s">
        <v>170</v>
      </c>
      <c r="CC48" s="249"/>
      <c r="CD48" s="249">
        <v>65</v>
      </c>
      <c r="CE48" s="249">
        <v>1</v>
      </c>
      <c r="CF48" s="174">
        <f t="shared" si="31"/>
        <v>86</v>
      </c>
      <c r="CG48" s="248">
        <v>1.25</v>
      </c>
      <c r="CH48" s="249">
        <v>11</v>
      </c>
      <c r="CI48" s="252" t="e">
        <f t="shared" si="32"/>
        <v>#VALUE!</v>
      </c>
      <c r="CJ48" s="249">
        <v>27</v>
      </c>
      <c r="CK48" s="252" t="e">
        <f t="shared" si="33"/>
        <v>#VALUE!</v>
      </c>
      <c r="CL48" s="249"/>
      <c r="CM48" s="249"/>
      <c r="CO48" s="176">
        <v>44</v>
      </c>
      <c r="CP48" s="249" t="s">
        <v>1543</v>
      </c>
      <c r="CQ48" s="249" t="b">
        <v>1</v>
      </c>
      <c r="CR48" s="249" t="s">
        <v>170</v>
      </c>
      <c r="CS48" s="249"/>
      <c r="CT48" s="249">
        <v>65</v>
      </c>
      <c r="CU48" s="249">
        <v>1</v>
      </c>
      <c r="CV48" s="174">
        <f t="shared" si="34"/>
        <v>86</v>
      </c>
      <c r="CW48" s="248">
        <v>1.25</v>
      </c>
      <c r="CX48" s="249">
        <v>11</v>
      </c>
      <c r="CY48" s="252" t="e">
        <f t="shared" si="35"/>
        <v>#VALUE!</v>
      </c>
      <c r="CZ48" s="249">
        <v>27</v>
      </c>
      <c r="DA48" s="252" t="e">
        <f t="shared" si="36"/>
        <v>#VALUE!</v>
      </c>
      <c r="DB48" s="249"/>
      <c r="DC48" s="249"/>
      <c r="DE48" s="176">
        <v>44</v>
      </c>
      <c r="DF48" s="249" t="s">
        <v>1543</v>
      </c>
      <c r="DG48" s="249" t="b">
        <v>1</v>
      </c>
      <c r="DH48" s="249" t="s">
        <v>170</v>
      </c>
      <c r="DI48" s="249"/>
      <c r="DJ48" s="249">
        <v>65</v>
      </c>
      <c r="DK48" s="249">
        <v>1</v>
      </c>
      <c r="DL48" s="174">
        <f t="shared" si="37"/>
        <v>86</v>
      </c>
      <c r="DM48" s="248">
        <v>1.25</v>
      </c>
      <c r="DN48" s="249">
        <v>11</v>
      </c>
      <c r="DO48" s="252" t="e">
        <f t="shared" si="38"/>
        <v>#VALUE!</v>
      </c>
      <c r="DP48" s="249">
        <v>27</v>
      </c>
      <c r="DQ48" s="252" t="e">
        <f t="shared" si="39"/>
        <v>#VALUE!</v>
      </c>
      <c r="DR48" s="249"/>
      <c r="DS48" s="249"/>
      <c r="DU48" s="176">
        <v>44</v>
      </c>
      <c r="DV48" s="174" t="str">
        <f t="shared" si="40"/>
        <v>1.2D + 1.0W + L + 0.5(Lr or S or R) (225 deg</v>
      </c>
      <c r="DW48" s="174">
        <v>1</v>
      </c>
      <c r="DX48" s="174" t="s">
        <v>170</v>
      </c>
      <c r="DY48" s="174"/>
      <c r="DZ48" s="174">
        <v>65</v>
      </c>
      <c r="EA48" s="174">
        <v>1.2</v>
      </c>
      <c r="EB48" s="174">
        <v>86</v>
      </c>
      <c r="EC48" s="175">
        <v>1.5</v>
      </c>
      <c r="ED48" s="174">
        <v>11</v>
      </c>
      <c r="EE48" s="181" t="e">
        <f>qmz/qz/Kes.w</f>
        <v>#VALUE!</v>
      </c>
      <c r="EF48" s="174"/>
      <c r="EG48" s="174"/>
      <c r="EH48" s="174"/>
      <c r="EI48" s="174"/>
      <c r="EK48" s="2" t="s">
        <v>448</v>
      </c>
      <c r="EL48" s="2">
        <v>225</v>
      </c>
      <c r="EN48" s="176">
        <v>44</v>
      </c>
      <c r="GJ48" s="2" t="s">
        <v>450</v>
      </c>
      <c r="GK48" s="2" t="str">
        <f t="shared" si="43"/>
        <v>D + Ws + G (210 deg)</v>
      </c>
      <c r="GL48" s="184" t="s">
        <v>469</v>
      </c>
    </row>
    <row r="49" spans="1:194" ht="18" customHeight="1" x14ac:dyDescent="0.2">
      <c r="A49" s="165">
        <v>45</v>
      </c>
      <c r="B49" s="170" t="s">
        <v>470</v>
      </c>
      <c r="C49" s="171" t="s">
        <v>446</v>
      </c>
      <c r="D49" s="171"/>
      <c r="E49" s="171"/>
      <c r="F49" s="171"/>
      <c r="G49" s="171"/>
      <c r="H49" s="185">
        <f>COUNTA('Point Load Tables'!$EK$4:$EK$1048576)</f>
        <v>0</v>
      </c>
      <c r="I49" s="185"/>
      <c r="J49" s="185"/>
      <c r="K49" s="171"/>
      <c r="M49" s="176">
        <f t="shared" si="15"/>
        <v>45</v>
      </c>
      <c r="N49" s="170" t="str">
        <f t="shared" si="18"/>
        <v>1.2D + 1.5Lm_1 + 1.0Wm  | 240 deg</v>
      </c>
      <c r="O49" s="170" t="b">
        <v>1</v>
      </c>
      <c r="P49" s="170" t="str">
        <f t="shared" si="19"/>
        <v>Y</v>
      </c>
      <c r="Q49" s="170" t="str">
        <f t="shared" si="20"/>
        <v/>
      </c>
      <c r="R49" s="170">
        <f t="shared" si="21"/>
        <v>65</v>
      </c>
      <c r="S49" s="170">
        <f t="shared" si="22"/>
        <v>1.2</v>
      </c>
      <c r="T49" s="170">
        <f t="shared" si="23"/>
        <v>86</v>
      </c>
      <c r="U49" s="170">
        <f t="shared" si="24"/>
        <v>1.5</v>
      </c>
      <c r="V49" s="170">
        <f t="shared" si="25"/>
        <v>12</v>
      </c>
      <c r="W49" s="170" t="e">
        <f t="shared" si="26"/>
        <v>#VALUE!</v>
      </c>
      <c r="X49" s="170">
        <f t="shared" si="27"/>
        <v>28</v>
      </c>
      <c r="Y49" s="170" t="e">
        <f t="shared" si="28"/>
        <v>#VALUE!</v>
      </c>
      <c r="Z49" s="170" t="str">
        <f t="shared" si="29"/>
        <v/>
      </c>
      <c r="AA49" s="170" t="str">
        <f t="shared" si="30"/>
        <v/>
      </c>
      <c r="AC49" s="176">
        <v>45</v>
      </c>
      <c r="AD49" s="170" t="s">
        <v>1544</v>
      </c>
      <c r="AE49" s="170" t="b">
        <v>1</v>
      </c>
      <c r="AF49" s="170" t="s">
        <v>170</v>
      </c>
      <c r="AG49" s="170"/>
      <c r="AH49" s="170">
        <v>65</v>
      </c>
      <c r="AI49" s="170">
        <v>1.2</v>
      </c>
      <c r="AJ49" s="170">
        <f t="shared" si="41"/>
        <v>86</v>
      </c>
      <c r="AK49" s="170">
        <v>1.5</v>
      </c>
      <c r="AL49" s="170">
        <v>12</v>
      </c>
      <c r="AM49" s="180" t="e">
        <f>qmz/qz/Kes.w</f>
        <v>#VALUE!</v>
      </c>
      <c r="AN49" s="170">
        <v>28</v>
      </c>
      <c r="AO49" s="180" t="e">
        <f>qmz/qz/Kes.w</f>
        <v>#VALUE!</v>
      </c>
      <c r="AP49" s="170"/>
      <c r="AQ49" s="170"/>
      <c r="AS49" s="176">
        <v>45</v>
      </c>
      <c r="AT49" s="170" t="s">
        <v>1545</v>
      </c>
      <c r="AU49" s="170" t="b">
        <v>1</v>
      </c>
      <c r="AV49" s="170" t="s">
        <v>170</v>
      </c>
      <c r="AW49" s="170"/>
      <c r="AX49" s="170">
        <v>65</v>
      </c>
      <c r="AY49" s="170">
        <v>1.2</v>
      </c>
      <c r="AZ49" s="170">
        <v>44</v>
      </c>
      <c r="BA49" s="170">
        <v>1</v>
      </c>
      <c r="BB49" s="170">
        <v>60</v>
      </c>
      <c r="BC49" s="170">
        <v>1</v>
      </c>
      <c r="BD49" s="170">
        <v>66</v>
      </c>
      <c r="BE49" s="170">
        <v>1</v>
      </c>
      <c r="BF49" s="170"/>
      <c r="BG49" s="170"/>
      <c r="BI49" s="176">
        <v>45</v>
      </c>
      <c r="BJ49" s="170" t="s">
        <v>1544</v>
      </c>
      <c r="BK49" s="170" t="b">
        <v>1</v>
      </c>
      <c r="BL49" s="170" t="s">
        <v>170</v>
      </c>
      <c r="BM49" s="170"/>
      <c r="BN49" s="170">
        <v>65</v>
      </c>
      <c r="BO49" s="170">
        <v>1.2</v>
      </c>
      <c r="BP49" s="170">
        <f t="shared" si="42"/>
        <v>86</v>
      </c>
      <c r="BQ49" s="170">
        <v>1.5</v>
      </c>
      <c r="BR49" s="170">
        <v>12</v>
      </c>
      <c r="BS49" s="180" t="e">
        <f>qmz/qz/Kes.w</f>
        <v>#VALUE!</v>
      </c>
      <c r="BT49" s="170">
        <v>28</v>
      </c>
      <c r="BU49" s="180" t="e">
        <f>qmz/qz/Kes.w</f>
        <v>#VALUE!</v>
      </c>
      <c r="BV49" s="170"/>
      <c r="BW49" s="170"/>
      <c r="BY49" s="176">
        <v>45</v>
      </c>
      <c r="BZ49" s="246" t="s">
        <v>1546</v>
      </c>
      <c r="CA49" s="246" t="b">
        <v>1</v>
      </c>
      <c r="CB49" s="246" t="s">
        <v>170</v>
      </c>
      <c r="CC49" s="246"/>
      <c r="CD49" s="246">
        <v>65</v>
      </c>
      <c r="CE49" s="246">
        <v>1</v>
      </c>
      <c r="CF49" s="170">
        <f t="shared" si="31"/>
        <v>86</v>
      </c>
      <c r="CG49" s="246">
        <v>1.25</v>
      </c>
      <c r="CH49" s="246">
        <v>12</v>
      </c>
      <c r="CI49" s="251" t="e">
        <f t="shared" si="32"/>
        <v>#VALUE!</v>
      </c>
      <c r="CJ49" s="246">
        <v>28</v>
      </c>
      <c r="CK49" s="251" t="e">
        <f t="shared" si="33"/>
        <v>#VALUE!</v>
      </c>
      <c r="CL49" s="246"/>
      <c r="CM49" s="246"/>
      <c r="CO49" s="176">
        <v>45</v>
      </c>
      <c r="CP49" s="246" t="s">
        <v>1546</v>
      </c>
      <c r="CQ49" s="246" t="b">
        <v>1</v>
      </c>
      <c r="CR49" s="246" t="s">
        <v>170</v>
      </c>
      <c r="CS49" s="246"/>
      <c r="CT49" s="246">
        <v>65</v>
      </c>
      <c r="CU49" s="246">
        <v>1</v>
      </c>
      <c r="CV49" s="170">
        <f t="shared" si="34"/>
        <v>86</v>
      </c>
      <c r="CW49" s="246">
        <v>1.25</v>
      </c>
      <c r="CX49" s="246">
        <v>12</v>
      </c>
      <c r="CY49" s="251" t="e">
        <f t="shared" si="35"/>
        <v>#VALUE!</v>
      </c>
      <c r="CZ49" s="246">
        <v>28</v>
      </c>
      <c r="DA49" s="251" t="e">
        <f t="shared" si="36"/>
        <v>#VALUE!</v>
      </c>
      <c r="DB49" s="246"/>
      <c r="DC49" s="246"/>
      <c r="DE49" s="176">
        <v>45</v>
      </c>
      <c r="DF49" s="246" t="s">
        <v>1546</v>
      </c>
      <c r="DG49" s="246" t="b">
        <v>1</v>
      </c>
      <c r="DH49" s="246" t="s">
        <v>170</v>
      </c>
      <c r="DI49" s="246"/>
      <c r="DJ49" s="246">
        <v>65</v>
      </c>
      <c r="DK49" s="246">
        <v>1</v>
      </c>
      <c r="DL49" s="170">
        <f t="shared" si="37"/>
        <v>86</v>
      </c>
      <c r="DM49" s="246">
        <v>1.25</v>
      </c>
      <c r="DN49" s="246">
        <v>12</v>
      </c>
      <c r="DO49" s="251" t="e">
        <f t="shared" si="38"/>
        <v>#VALUE!</v>
      </c>
      <c r="DP49" s="246">
        <v>28</v>
      </c>
      <c r="DQ49" s="251" t="e">
        <f t="shared" si="39"/>
        <v>#VALUE!</v>
      </c>
      <c r="DR49" s="246"/>
      <c r="DS49" s="246"/>
      <c r="DU49" s="176">
        <v>45</v>
      </c>
      <c r="DV49" s="170" t="str">
        <f t="shared" si="40"/>
        <v>1.2D + 1.0W + L + 0.5(Lr or S or R) (240 deg</v>
      </c>
      <c r="DW49" s="170">
        <v>1</v>
      </c>
      <c r="DX49" s="170" t="s">
        <v>170</v>
      </c>
      <c r="DY49" s="170"/>
      <c r="DZ49" s="170">
        <v>65</v>
      </c>
      <c r="EA49" s="170">
        <v>1.2</v>
      </c>
      <c r="EB49" s="170">
        <v>86</v>
      </c>
      <c r="EC49" s="170">
        <v>1.5</v>
      </c>
      <c r="ED49" s="170">
        <v>12</v>
      </c>
      <c r="EE49" s="180" t="e">
        <f>qmz/qz/Kes.w</f>
        <v>#VALUE!</v>
      </c>
      <c r="EF49" s="170"/>
      <c r="EG49" s="170"/>
      <c r="EH49" s="170"/>
      <c r="EI49" s="170"/>
      <c r="EK49" s="2" t="s">
        <v>448</v>
      </c>
      <c r="EL49" s="2">
        <v>240</v>
      </c>
      <c r="EN49" s="176">
        <v>45</v>
      </c>
      <c r="GJ49" s="2" t="s">
        <v>450</v>
      </c>
      <c r="GK49" s="2" t="str">
        <f t="shared" si="43"/>
        <v>D + Ws + G (225 deg)</v>
      </c>
      <c r="GL49" s="184" t="s">
        <v>471</v>
      </c>
    </row>
    <row r="50" spans="1:194" ht="18" customHeight="1" x14ac:dyDescent="0.2">
      <c r="A50" s="165">
        <v>46</v>
      </c>
      <c r="B50" s="174" t="s">
        <v>472</v>
      </c>
      <c r="C50" s="174" t="s">
        <v>446</v>
      </c>
      <c r="D50" s="174"/>
      <c r="E50" s="174"/>
      <c r="F50" s="174"/>
      <c r="G50" s="174"/>
      <c r="H50" s="186">
        <f>COUNTA('Point Load Tables'!$EP$4:$EP$1048576)</f>
        <v>0</v>
      </c>
      <c r="I50" s="186"/>
      <c r="J50" s="186"/>
      <c r="K50" s="174"/>
      <c r="M50" s="176">
        <f t="shared" si="15"/>
        <v>46</v>
      </c>
      <c r="N50" s="174" t="str">
        <f t="shared" si="18"/>
        <v>1.2D + 1.5Lm_1 + 1.0Wm  | 270 deg</v>
      </c>
      <c r="O50" s="174" t="b">
        <v>1</v>
      </c>
      <c r="P50" s="174" t="str">
        <f t="shared" si="19"/>
        <v>Y</v>
      </c>
      <c r="Q50" s="174" t="str">
        <f t="shared" si="20"/>
        <v/>
      </c>
      <c r="R50" s="174">
        <f t="shared" si="21"/>
        <v>65</v>
      </c>
      <c r="S50" s="174">
        <f t="shared" si="22"/>
        <v>1.2</v>
      </c>
      <c r="T50" s="174">
        <f t="shared" si="23"/>
        <v>86</v>
      </c>
      <c r="U50" s="174">
        <f t="shared" si="24"/>
        <v>1.5</v>
      </c>
      <c r="V50" s="174">
        <f t="shared" si="25"/>
        <v>13</v>
      </c>
      <c r="W50" s="174" t="e">
        <f t="shared" si="26"/>
        <v>#VALUE!</v>
      </c>
      <c r="X50" s="174">
        <f t="shared" si="27"/>
        <v>29</v>
      </c>
      <c r="Y50" s="174" t="e">
        <f t="shared" si="28"/>
        <v>#VALUE!</v>
      </c>
      <c r="Z50" s="174" t="str">
        <f t="shared" si="29"/>
        <v/>
      </c>
      <c r="AA50" s="174" t="str">
        <f t="shared" si="30"/>
        <v/>
      </c>
      <c r="AC50" s="176">
        <v>46</v>
      </c>
      <c r="AD50" s="174" t="s">
        <v>1547</v>
      </c>
      <c r="AE50" s="174" t="b">
        <v>1</v>
      </c>
      <c r="AF50" s="174" t="s">
        <v>170</v>
      </c>
      <c r="AG50" s="174"/>
      <c r="AH50" s="174">
        <v>65</v>
      </c>
      <c r="AI50" s="174">
        <v>1.2</v>
      </c>
      <c r="AJ50" s="174">
        <f t="shared" si="41"/>
        <v>86</v>
      </c>
      <c r="AK50" s="175">
        <v>1.5</v>
      </c>
      <c r="AL50" s="174">
        <v>13</v>
      </c>
      <c r="AM50" s="181" t="e">
        <f>qmz/qz/Kes.w</f>
        <v>#VALUE!</v>
      </c>
      <c r="AN50" s="174">
        <v>29</v>
      </c>
      <c r="AO50" s="181" t="e">
        <f>qmz/qz/Kes.w</f>
        <v>#VALUE!</v>
      </c>
      <c r="AP50" s="174"/>
      <c r="AQ50" s="174"/>
      <c r="AS50" s="176">
        <v>46</v>
      </c>
      <c r="AT50" s="174" t="s">
        <v>1548</v>
      </c>
      <c r="AU50" s="174" t="b">
        <v>1</v>
      </c>
      <c r="AV50" s="174" t="s">
        <v>170</v>
      </c>
      <c r="AW50" s="174"/>
      <c r="AX50" s="174">
        <v>65</v>
      </c>
      <c r="AY50" s="174">
        <v>1.2</v>
      </c>
      <c r="AZ50" s="174">
        <v>45</v>
      </c>
      <c r="BA50" s="174">
        <v>1</v>
      </c>
      <c r="BB50" s="174">
        <v>61</v>
      </c>
      <c r="BC50" s="174">
        <v>1</v>
      </c>
      <c r="BD50" s="174">
        <v>66</v>
      </c>
      <c r="BE50" s="174">
        <v>1</v>
      </c>
      <c r="BF50" s="174"/>
      <c r="BG50" s="174"/>
      <c r="BI50" s="176">
        <v>46</v>
      </c>
      <c r="BJ50" s="174" t="s">
        <v>1547</v>
      </c>
      <c r="BK50" s="174" t="b">
        <v>1</v>
      </c>
      <c r="BL50" s="174" t="s">
        <v>170</v>
      </c>
      <c r="BM50" s="174"/>
      <c r="BN50" s="174">
        <v>65</v>
      </c>
      <c r="BO50" s="174">
        <v>1.2</v>
      </c>
      <c r="BP50" s="174">
        <f t="shared" si="42"/>
        <v>86</v>
      </c>
      <c r="BQ50" s="175">
        <v>1.5</v>
      </c>
      <c r="BR50" s="174">
        <v>13</v>
      </c>
      <c r="BS50" s="181" t="e">
        <f>qmz/qz/Kes.w</f>
        <v>#VALUE!</v>
      </c>
      <c r="BT50" s="174">
        <v>29</v>
      </c>
      <c r="BU50" s="181" t="e">
        <f>qmz/qz/Kes.w</f>
        <v>#VALUE!</v>
      </c>
      <c r="BV50" s="174"/>
      <c r="BW50" s="174"/>
      <c r="BY50" s="176">
        <v>46</v>
      </c>
      <c r="BZ50" s="249" t="s">
        <v>1549</v>
      </c>
      <c r="CA50" s="249" t="b">
        <v>1</v>
      </c>
      <c r="CB50" s="249" t="s">
        <v>170</v>
      </c>
      <c r="CC50" s="249"/>
      <c r="CD50" s="249">
        <v>65</v>
      </c>
      <c r="CE50" s="249">
        <v>1</v>
      </c>
      <c r="CF50" s="174">
        <f t="shared" si="31"/>
        <v>86</v>
      </c>
      <c r="CG50" s="248">
        <v>1.25</v>
      </c>
      <c r="CH50" s="249">
        <v>13</v>
      </c>
      <c r="CI50" s="252" t="e">
        <f t="shared" si="32"/>
        <v>#VALUE!</v>
      </c>
      <c r="CJ50" s="249">
        <v>29</v>
      </c>
      <c r="CK50" s="252" t="e">
        <f t="shared" si="33"/>
        <v>#VALUE!</v>
      </c>
      <c r="CL50" s="249"/>
      <c r="CM50" s="249"/>
      <c r="CO50" s="176">
        <v>46</v>
      </c>
      <c r="CP50" s="249" t="s">
        <v>1549</v>
      </c>
      <c r="CQ50" s="249" t="b">
        <v>1</v>
      </c>
      <c r="CR50" s="249" t="s">
        <v>170</v>
      </c>
      <c r="CS50" s="249"/>
      <c r="CT50" s="249">
        <v>65</v>
      </c>
      <c r="CU50" s="249">
        <v>1</v>
      </c>
      <c r="CV50" s="174">
        <f t="shared" si="34"/>
        <v>86</v>
      </c>
      <c r="CW50" s="248">
        <v>1.25</v>
      </c>
      <c r="CX50" s="249">
        <v>13</v>
      </c>
      <c r="CY50" s="252" t="e">
        <f t="shared" si="35"/>
        <v>#VALUE!</v>
      </c>
      <c r="CZ50" s="249">
        <v>29</v>
      </c>
      <c r="DA50" s="252" t="e">
        <f t="shared" si="36"/>
        <v>#VALUE!</v>
      </c>
      <c r="DB50" s="249"/>
      <c r="DC50" s="249"/>
      <c r="DE50" s="176">
        <v>46</v>
      </c>
      <c r="DF50" s="249" t="s">
        <v>1549</v>
      </c>
      <c r="DG50" s="249" t="b">
        <v>1</v>
      </c>
      <c r="DH50" s="249" t="s">
        <v>170</v>
      </c>
      <c r="DI50" s="249"/>
      <c r="DJ50" s="249">
        <v>65</v>
      </c>
      <c r="DK50" s="249">
        <v>1</v>
      </c>
      <c r="DL50" s="174">
        <f t="shared" si="37"/>
        <v>86</v>
      </c>
      <c r="DM50" s="248">
        <v>1.25</v>
      </c>
      <c r="DN50" s="249">
        <v>13</v>
      </c>
      <c r="DO50" s="252" t="e">
        <f t="shared" si="38"/>
        <v>#VALUE!</v>
      </c>
      <c r="DP50" s="249">
        <v>29</v>
      </c>
      <c r="DQ50" s="252" t="e">
        <f t="shared" si="39"/>
        <v>#VALUE!</v>
      </c>
      <c r="DR50" s="249"/>
      <c r="DS50" s="249"/>
      <c r="DU50" s="176">
        <v>46</v>
      </c>
      <c r="DV50" s="174" t="str">
        <f t="shared" si="40"/>
        <v>1.2D + 1.0W + L + 0.5(Lr or S or R) (270 deg</v>
      </c>
      <c r="DW50" s="174">
        <v>1</v>
      </c>
      <c r="DX50" s="174" t="s">
        <v>170</v>
      </c>
      <c r="DY50" s="174"/>
      <c r="DZ50" s="174">
        <v>65</v>
      </c>
      <c r="EA50" s="174">
        <v>1.2</v>
      </c>
      <c r="EB50" s="174">
        <v>86</v>
      </c>
      <c r="EC50" s="175">
        <v>1.5</v>
      </c>
      <c r="ED50" s="174">
        <v>13</v>
      </c>
      <c r="EE50" s="181" t="e">
        <f>qmz/qz/Kes.w</f>
        <v>#VALUE!</v>
      </c>
      <c r="EF50" s="174"/>
      <c r="EG50" s="174"/>
      <c r="EH50" s="174"/>
      <c r="EI50" s="174"/>
      <c r="EK50" s="2" t="s">
        <v>448</v>
      </c>
      <c r="EL50" s="2">
        <v>270</v>
      </c>
      <c r="EN50" s="176">
        <v>46</v>
      </c>
      <c r="GJ50" s="2" t="s">
        <v>450</v>
      </c>
      <c r="GK50" s="2" t="str">
        <f t="shared" si="43"/>
        <v>D + Ws + G (240 deg)</v>
      </c>
      <c r="GL50" s="184" t="s">
        <v>473</v>
      </c>
    </row>
    <row r="51" spans="1:194" ht="18" customHeight="1" x14ac:dyDescent="0.2">
      <c r="A51" s="165">
        <v>47</v>
      </c>
      <c r="B51" s="170" t="s">
        <v>474</v>
      </c>
      <c r="C51" s="171" t="s">
        <v>446</v>
      </c>
      <c r="D51" s="171"/>
      <c r="E51" s="171"/>
      <c r="F51" s="171"/>
      <c r="G51" s="171"/>
      <c r="H51" s="185">
        <f>COUNTA('Point Load Tables'!$EU$4:$EU$1048576)</f>
        <v>0</v>
      </c>
      <c r="I51" s="185"/>
      <c r="J51" s="185"/>
      <c r="K51" s="171"/>
      <c r="M51" s="176">
        <f t="shared" si="15"/>
        <v>47</v>
      </c>
      <c r="N51" s="170" t="str">
        <f t="shared" si="18"/>
        <v>1.2D + 1.5Lm_1 + 1.0Wm  | 300 deg</v>
      </c>
      <c r="O51" s="170" t="b">
        <v>1</v>
      </c>
      <c r="P51" s="170" t="str">
        <f t="shared" si="19"/>
        <v>Y</v>
      </c>
      <c r="Q51" s="170" t="str">
        <f t="shared" si="20"/>
        <v/>
      </c>
      <c r="R51" s="170">
        <f t="shared" si="21"/>
        <v>65</v>
      </c>
      <c r="S51" s="170">
        <f t="shared" si="22"/>
        <v>1.2</v>
      </c>
      <c r="T51" s="170">
        <f t="shared" si="23"/>
        <v>86</v>
      </c>
      <c r="U51" s="170">
        <f t="shared" si="24"/>
        <v>1.5</v>
      </c>
      <c r="V51" s="170">
        <f t="shared" si="25"/>
        <v>14</v>
      </c>
      <c r="W51" s="170" t="e">
        <f t="shared" si="26"/>
        <v>#VALUE!</v>
      </c>
      <c r="X51" s="170">
        <f t="shared" si="27"/>
        <v>30</v>
      </c>
      <c r="Y51" s="170" t="e">
        <f t="shared" si="28"/>
        <v>#VALUE!</v>
      </c>
      <c r="Z51" s="170" t="str">
        <f t="shared" si="29"/>
        <v/>
      </c>
      <c r="AA51" s="170" t="str">
        <f t="shared" si="30"/>
        <v/>
      </c>
      <c r="AC51" s="176">
        <v>47</v>
      </c>
      <c r="AD51" s="170" t="s">
        <v>1637</v>
      </c>
      <c r="AE51" s="170" t="b">
        <v>1</v>
      </c>
      <c r="AF51" s="170" t="s">
        <v>170</v>
      </c>
      <c r="AG51" s="170"/>
      <c r="AH51" s="170">
        <v>65</v>
      </c>
      <c r="AI51" s="170">
        <v>1.2</v>
      </c>
      <c r="AJ51" s="170">
        <f t="shared" si="41"/>
        <v>86</v>
      </c>
      <c r="AK51" s="170">
        <v>1.5</v>
      </c>
      <c r="AL51" s="170">
        <v>14</v>
      </c>
      <c r="AM51" s="180" t="e">
        <f>qmz/qz/Kes.w</f>
        <v>#VALUE!</v>
      </c>
      <c r="AN51" s="170">
        <v>30</v>
      </c>
      <c r="AO51" s="180" t="e">
        <f>qmz/qz/Kes.w</f>
        <v>#VALUE!</v>
      </c>
      <c r="AP51" s="170"/>
      <c r="AQ51" s="170"/>
      <c r="AS51" s="176">
        <v>47</v>
      </c>
      <c r="AT51" s="170" t="s">
        <v>1638</v>
      </c>
      <c r="AU51" s="170" t="b">
        <v>1</v>
      </c>
      <c r="AV51" s="170" t="s">
        <v>170</v>
      </c>
      <c r="AW51" s="170"/>
      <c r="AX51" s="170">
        <v>65</v>
      </c>
      <c r="AY51" s="170">
        <v>1.2</v>
      </c>
      <c r="AZ51" s="170">
        <v>46</v>
      </c>
      <c r="BA51" s="170">
        <v>1</v>
      </c>
      <c r="BB51" s="170">
        <v>62</v>
      </c>
      <c r="BC51" s="170">
        <v>1</v>
      </c>
      <c r="BD51" s="170">
        <v>66</v>
      </c>
      <c r="BE51" s="170">
        <v>1</v>
      </c>
      <c r="BF51" s="170"/>
      <c r="BG51" s="170"/>
      <c r="BI51" s="176">
        <v>47</v>
      </c>
      <c r="BJ51" s="170" t="s">
        <v>1637</v>
      </c>
      <c r="BK51" s="170" t="b">
        <v>1</v>
      </c>
      <c r="BL51" s="170" t="s">
        <v>170</v>
      </c>
      <c r="BM51" s="170"/>
      <c r="BN51" s="170">
        <v>65</v>
      </c>
      <c r="BO51" s="170">
        <v>1.2</v>
      </c>
      <c r="BP51" s="170">
        <f t="shared" si="42"/>
        <v>86</v>
      </c>
      <c r="BQ51" s="170">
        <v>1.5</v>
      </c>
      <c r="BR51" s="170">
        <v>14</v>
      </c>
      <c r="BS51" s="180" t="e">
        <f>qmz/qz/Kes.w</f>
        <v>#VALUE!</v>
      </c>
      <c r="BT51" s="170">
        <v>30</v>
      </c>
      <c r="BU51" s="180" t="e">
        <f>qmz/qz/Kes.w</f>
        <v>#VALUE!</v>
      </c>
      <c r="BV51" s="170"/>
      <c r="BW51" s="170"/>
      <c r="BY51" s="176">
        <v>47</v>
      </c>
      <c r="BZ51" s="246" t="s">
        <v>1639</v>
      </c>
      <c r="CA51" s="246" t="b">
        <v>1</v>
      </c>
      <c r="CB51" s="246" t="s">
        <v>170</v>
      </c>
      <c r="CC51" s="246"/>
      <c r="CD51" s="246">
        <v>65</v>
      </c>
      <c r="CE51" s="246">
        <v>1</v>
      </c>
      <c r="CF51" s="170">
        <f t="shared" si="31"/>
        <v>86</v>
      </c>
      <c r="CG51" s="246">
        <v>1.25</v>
      </c>
      <c r="CH51" s="246">
        <v>14</v>
      </c>
      <c r="CI51" s="251" t="e">
        <f t="shared" si="32"/>
        <v>#VALUE!</v>
      </c>
      <c r="CJ51" s="246">
        <v>30</v>
      </c>
      <c r="CK51" s="251" t="e">
        <f t="shared" si="33"/>
        <v>#VALUE!</v>
      </c>
      <c r="CL51" s="246"/>
      <c r="CM51" s="246"/>
      <c r="CO51" s="176">
        <v>47</v>
      </c>
      <c r="CP51" s="246" t="s">
        <v>1639</v>
      </c>
      <c r="CQ51" s="246" t="b">
        <v>1</v>
      </c>
      <c r="CR51" s="246" t="s">
        <v>170</v>
      </c>
      <c r="CS51" s="246"/>
      <c r="CT51" s="246">
        <v>65</v>
      </c>
      <c r="CU51" s="246">
        <v>1</v>
      </c>
      <c r="CV51" s="170">
        <f t="shared" si="34"/>
        <v>86</v>
      </c>
      <c r="CW51" s="246">
        <v>1.25</v>
      </c>
      <c r="CX51" s="246">
        <v>14</v>
      </c>
      <c r="CY51" s="251" t="e">
        <f t="shared" si="35"/>
        <v>#VALUE!</v>
      </c>
      <c r="CZ51" s="246">
        <v>30</v>
      </c>
      <c r="DA51" s="251" t="e">
        <f t="shared" si="36"/>
        <v>#VALUE!</v>
      </c>
      <c r="DB51" s="246"/>
      <c r="DC51" s="246"/>
      <c r="DE51" s="176">
        <v>47</v>
      </c>
      <c r="DF51" s="246" t="s">
        <v>1639</v>
      </c>
      <c r="DG51" s="246" t="b">
        <v>1</v>
      </c>
      <c r="DH51" s="246" t="s">
        <v>170</v>
      </c>
      <c r="DI51" s="246"/>
      <c r="DJ51" s="246">
        <v>65</v>
      </c>
      <c r="DK51" s="246">
        <v>1</v>
      </c>
      <c r="DL51" s="170">
        <f t="shared" si="37"/>
        <v>86</v>
      </c>
      <c r="DM51" s="246">
        <v>1.25</v>
      </c>
      <c r="DN51" s="246">
        <v>14</v>
      </c>
      <c r="DO51" s="251" t="e">
        <f t="shared" si="38"/>
        <v>#VALUE!</v>
      </c>
      <c r="DP51" s="246">
        <v>30</v>
      </c>
      <c r="DQ51" s="251" t="e">
        <f t="shared" si="39"/>
        <v>#VALUE!</v>
      </c>
      <c r="DR51" s="246"/>
      <c r="DS51" s="246"/>
      <c r="DU51" s="176">
        <v>47</v>
      </c>
      <c r="DV51" s="170" t="str">
        <f t="shared" si="40"/>
        <v>1.2D + 1.0W + L + 0.5(Lr or S or R) (300 deg</v>
      </c>
      <c r="DW51" s="170">
        <v>1</v>
      </c>
      <c r="DX51" s="170" t="s">
        <v>170</v>
      </c>
      <c r="DY51" s="170"/>
      <c r="DZ51" s="170">
        <v>65</v>
      </c>
      <c r="EA51" s="170">
        <v>1.2</v>
      </c>
      <c r="EB51" s="170">
        <v>86</v>
      </c>
      <c r="EC51" s="170">
        <v>1.5</v>
      </c>
      <c r="ED51" s="170">
        <v>14</v>
      </c>
      <c r="EE51" s="180" t="e">
        <f>qmz/qz/Kes.w</f>
        <v>#VALUE!</v>
      </c>
      <c r="EF51" s="170"/>
      <c r="EG51" s="170"/>
      <c r="EH51" s="170"/>
      <c r="EI51" s="170"/>
      <c r="EK51" s="2" t="s">
        <v>448</v>
      </c>
      <c r="EL51" s="2">
        <v>300</v>
      </c>
      <c r="EN51" s="176">
        <v>47</v>
      </c>
      <c r="GJ51" s="2" t="s">
        <v>450</v>
      </c>
      <c r="GK51" s="2" t="str">
        <f>_xlfn.CONCAT(GJ51," (",EL34," deg)")</f>
        <v>D + Ws + G (270 deg)</v>
      </c>
    </row>
    <row r="52" spans="1:194" ht="18" customHeight="1" x14ac:dyDescent="0.2">
      <c r="A52" s="165">
        <v>48</v>
      </c>
      <c r="B52" s="174" t="s">
        <v>475</v>
      </c>
      <c r="C52" s="174" t="s">
        <v>446</v>
      </c>
      <c r="D52" s="174"/>
      <c r="E52" s="174"/>
      <c r="F52" s="174"/>
      <c r="G52" s="174"/>
      <c r="H52" s="186">
        <f>COUNTA('Point Load Tables'!$EZ$4:$EZ$1048576)</f>
        <v>0</v>
      </c>
      <c r="I52" s="186"/>
      <c r="J52" s="186"/>
      <c r="K52" s="174"/>
      <c r="M52" s="176">
        <f t="shared" si="15"/>
        <v>48</v>
      </c>
      <c r="N52" s="174" t="str">
        <f t="shared" si="18"/>
        <v>1.2D + 1.5Lm_1 + 1.0Wm  | 315 deg</v>
      </c>
      <c r="O52" s="174" t="b">
        <v>1</v>
      </c>
      <c r="P52" s="174" t="str">
        <f t="shared" si="19"/>
        <v>Y</v>
      </c>
      <c r="Q52" s="174" t="str">
        <f t="shared" si="20"/>
        <v/>
      </c>
      <c r="R52" s="174">
        <f t="shared" si="21"/>
        <v>65</v>
      </c>
      <c r="S52" s="174">
        <f t="shared" si="22"/>
        <v>1.2</v>
      </c>
      <c r="T52" s="174">
        <f t="shared" si="23"/>
        <v>86</v>
      </c>
      <c r="U52" s="174">
        <f t="shared" si="24"/>
        <v>1.5</v>
      </c>
      <c r="V52" s="174">
        <f t="shared" si="25"/>
        <v>15</v>
      </c>
      <c r="W52" s="174" t="e">
        <f t="shared" si="26"/>
        <v>#VALUE!</v>
      </c>
      <c r="X52" s="174">
        <f t="shared" si="27"/>
        <v>31</v>
      </c>
      <c r="Y52" s="174" t="e">
        <f t="shared" si="28"/>
        <v>#VALUE!</v>
      </c>
      <c r="Z52" s="174" t="str">
        <f t="shared" si="29"/>
        <v/>
      </c>
      <c r="AA52" s="174" t="str">
        <f t="shared" si="30"/>
        <v/>
      </c>
      <c r="AC52" s="176">
        <v>48</v>
      </c>
      <c r="AD52" s="174" t="s">
        <v>1640</v>
      </c>
      <c r="AE52" s="174" t="b">
        <v>1</v>
      </c>
      <c r="AF52" s="174" t="s">
        <v>170</v>
      </c>
      <c r="AG52" s="174"/>
      <c r="AH52" s="174">
        <v>65</v>
      </c>
      <c r="AI52" s="174">
        <v>1.2</v>
      </c>
      <c r="AJ52" s="174">
        <f t="shared" si="41"/>
        <v>86</v>
      </c>
      <c r="AK52" s="175">
        <v>1.5</v>
      </c>
      <c r="AL52" s="174">
        <v>15</v>
      </c>
      <c r="AM52" s="181" t="e">
        <f>qmz/qz/Kes.w</f>
        <v>#VALUE!</v>
      </c>
      <c r="AN52" s="174">
        <v>31</v>
      </c>
      <c r="AO52" s="181" t="e">
        <f>qmz/qz/Kes.w</f>
        <v>#VALUE!</v>
      </c>
      <c r="AP52" s="174"/>
      <c r="AQ52" s="174"/>
      <c r="AS52" s="176">
        <v>48</v>
      </c>
      <c r="AT52" s="174" t="s">
        <v>1641</v>
      </c>
      <c r="AU52" s="174"/>
      <c r="AV52" s="174" t="s">
        <v>170</v>
      </c>
      <c r="AW52" s="174"/>
      <c r="AX52" s="174">
        <v>65</v>
      </c>
      <c r="AY52" s="174">
        <v>1.2</v>
      </c>
      <c r="AZ52" s="174">
        <v>47</v>
      </c>
      <c r="BA52" s="174">
        <v>1</v>
      </c>
      <c r="BB52" s="174">
        <v>63</v>
      </c>
      <c r="BC52" s="174">
        <v>1</v>
      </c>
      <c r="BD52" s="174">
        <v>66</v>
      </c>
      <c r="BE52" s="174">
        <v>1</v>
      </c>
      <c r="BF52" s="174"/>
      <c r="BG52" s="174"/>
      <c r="BI52" s="176">
        <v>48</v>
      </c>
      <c r="BJ52" s="174" t="s">
        <v>1640</v>
      </c>
      <c r="BK52" s="174" t="b">
        <v>1</v>
      </c>
      <c r="BL52" s="174" t="s">
        <v>170</v>
      </c>
      <c r="BM52" s="174"/>
      <c r="BN52" s="174">
        <v>65</v>
      </c>
      <c r="BO52" s="174">
        <v>1.2</v>
      </c>
      <c r="BP52" s="174">
        <f t="shared" si="42"/>
        <v>86</v>
      </c>
      <c r="BQ52" s="175">
        <v>1.5</v>
      </c>
      <c r="BR52" s="174">
        <v>15</v>
      </c>
      <c r="BS52" s="181" t="e">
        <f>qmz/qz/Kes.w</f>
        <v>#VALUE!</v>
      </c>
      <c r="BT52" s="174">
        <v>31</v>
      </c>
      <c r="BU52" s="181" t="e">
        <f>qmz/qz/Kes.w</f>
        <v>#VALUE!</v>
      </c>
      <c r="BV52" s="174"/>
      <c r="BW52" s="174"/>
      <c r="BY52" s="176">
        <v>48</v>
      </c>
      <c r="BZ52" s="249" t="s">
        <v>1642</v>
      </c>
      <c r="CA52" s="249" t="b">
        <v>1</v>
      </c>
      <c r="CB52" s="249" t="s">
        <v>170</v>
      </c>
      <c r="CC52" s="249"/>
      <c r="CD52" s="249">
        <v>65</v>
      </c>
      <c r="CE52" s="249">
        <v>1</v>
      </c>
      <c r="CF52" s="174">
        <f t="shared" si="31"/>
        <v>86</v>
      </c>
      <c r="CG52" s="248">
        <v>1.25</v>
      </c>
      <c r="CH52" s="249">
        <v>15</v>
      </c>
      <c r="CI52" s="252" t="e">
        <f t="shared" si="32"/>
        <v>#VALUE!</v>
      </c>
      <c r="CJ52" s="249">
        <v>31</v>
      </c>
      <c r="CK52" s="252" t="e">
        <f t="shared" si="33"/>
        <v>#VALUE!</v>
      </c>
      <c r="CL52" s="249"/>
      <c r="CM52" s="249"/>
      <c r="CO52" s="176">
        <v>48</v>
      </c>
      <c r="CP52" s="249" t="s">
        <v>1642</v>
      </c>
      <c r="CQ52" s="249" t="b">
        <v>1</v>
      </c>
      <c r="CR52" s="249" t="s">
        <v>170</v>
      </c>
      <c r="CS52" s="249"/>
      <c r="CT52" s="249">
        <v>65</v>
      </c>
      <c r="CU52" s="249">
        <v>1</v>
      </c>
      <c r="CV52" s="174">
        <f t="shared" si="34"/>
        <v>86</v>
      </c>
      <c r="CW52" s="248">
        <v>1.25</v>
      </c>
      <c r="CX52" s="249">
        <v>15</v>
      </c>
      <c r="CY52" s="252" t="e">
        <f t="shared" si="35"/>
        <v>#VALUE!</v>
      </c>
      <c r="CZ52" s="249">
        <v>31</v>
      </c>
      <c r="DA52" s="252" t="e">
        <f t="shared" si="36"/>
        <v>#VALUE!</v>
      </c>
      <c r="DB52" s="249"/>
      <c r="DC52" s="249"/>
      <c r="DE52" s="176">
        <v>48</v>
      </c>
      <c r="DF52" s="249" t="s">
        <v>1642</v>
      </c>
      <c r="DG52" s="249" t="b">
        <v>1</v>
      </c>
      <c r="DH52" s="249" t="s">
        <v>170</v>
      </c>
      <c r="DI52" s="249"/>
      <c r="DJ52" s="249">
        <v>65</v>
      </c>
      <c r="DK52" s="249">
        <v>1</v>
      </c>
      <c r="DL52" s="174">
        <f t="shared" si="37"/>
        <v>86</v>
      </c>
      <c r="DM52" s="248">
        <v>1.25</v>
      </c>
      <c r="DN52" s="249">
        <v>15</v>
      </c>
      <c r="DO52" s="252" t="e">
        <f t="shared" si="38"/>
        <v>#VALUE!</v>
      </c>
      <c r="DP52" s="249">
        <v>31</v>
      </c>
      <c r="DQ52" s="252" t="e">
        <f t="shared" si="39"/>
        <v>#VALUE!</v>
      </c>
      <c r="DR52" s="249"/>
      <c r="DS52" s="249"/>
      <c r="DU52" s="176">
        <v>48</v>
      </c>
      <c r="DV52" s="174" t="str">
        <f t="shared" si="40"/>
        <v>1.2D + 1.0W + L + 0.5(Lr or S or R) (315 deg</v>
      </c>
      <c r="DW52" s="174">
        <v>1</v>
      </c>
      <c r="DX52" s="174" t="s">
        <v>170</v>
      </c>
      <c r="DY52" s="174"/>
      <c r="DZ52" s="174">
        <v>65</v>
      </c>
      <c r="EA52" s="174">
        <v>1.2</v>
      </c>
      <c r="EB52" s="174">
        <v>86</v>
      </c>
      <c r="EC52" s="175">
        <v>1.5</v>
      </c>
      <c r="ED52" s="174">
        <v>15</v>
      </c>
      <c r="EE52" s="181" t="e">
        <f>qmz/qz/Kes.w</f>
        <v>#VALUE!</v>
      </c>
      <c r="EF52" s="174"/>
      <c r="EG52" s="174"/>
      <c r="EH52" s="174"/>
      <c r="EI52" s="174"/>
      <c r="EK52" s="2" t="s">
        <v>448</v>
      </c>
      <c r="EL52" s="2">
        <v>315</v>
      </c>
      <c r="EN52" s="176">
        <v>48</v>
      </c>
      <c r="GJ52" s="2" t="s">
        <v>450</v>
      </c>
      <c r="GK52" s="2" t="str">
        <f t="shared" si="43"/>
        <v>D + Ws + G (300 deg)</v>
      </c>
    </row>
    <row r="53" spans="1:194" ht="18" customHeight="1" thickBot="1" x14ac:dyDescent="0.25">
      <c r="A53" s="165">
        <v>49</v>
      </c>
      <c r="B53" s="170" t="s">
        <v>476</v>
      </c>
      <c r="C53" s="171" t="s">
        <v>446</v>
      </c>
      <c r="D53" s="171"/>
      <c r="E53" s="171"/>
      <c r="F53" s="171"/>
      <c r="G53" s="171"/>
      <c r="H53" s="185"/>
      <c r="I53" s="185">
        <f>COUNTA('Distributed Load Tables'!$DI$4:$DI$1048576)</f>
        <v>0</v>
      </c>
      <c r="J53" s="185"/>
      <c r="K53" s="171"/>
      <c r="M53" s="176">
        <f t="shared" si="15"/>
        <v>49</v>
      </c>
      <c r="N53" s="170" t="str">
        <f t="shared" si="18"/>
        <v>1.2D + 1.5Lm_1 + 1.0Wm  | 330 deg</v>
      </c>
      <c r="O53" s="170" t="b">
        <v>1</v>
      </c>
      <c r="P53" s="170" t="str">
        <f t="shared" si="19"/>
        <v>Y</v>
      </c>
      <c r="Q53" s="170" t="str">
        <f t="shared" si="20"/>
        <v/>
      </c>
      <c r="R53" s="170">
        <f t="shared" si="21"/>
        <v>65</v>
      </c>
      <c r="S53" s="170">
        <f t="shared" si="22"/>
        <v>1.2</v>
      </c>
      <c r="T53" s="170">
        <f t="shared" si="23"/>
        <v>86</v>
      </c>
      <c r="U53" s="170">
        <f t="shared" si="24"/>
        <v>1.5</v>
      </c>
      <c r="V53" s="170">
        <f t="shared" si="25"/>
        <v>16</v>
      </c>
      <c r="W53" s="170" t="e">
        <f t="shared" si="26"/>
        <v>#VALUE!</v>
      </c>
      <c r="X53" s="170">
        <f t="shared" si="27"/>
        <v>32</v>
      </c>
      <c r="Y53" s="170" t="e">
        <f t="shared" si="28"/>
        <v>#VALUE!</v>
      </c>
      <c r="Z53" s="170" t="str">
        <f t="shared" si="29"/>
        <v/>
      </c>
      <c r="AA53" s="170" t="str">
        <f t="shared" si="30"/>
        <v/>
      </c>
      <c r="AC53" s="177">
        <v>49</v>
      </c>
      <c r="AD53" s="173" t="s">
        <v>1643</v>
      </c>
      <c r="AE53" s="173" t="b">
        <v>1</v>
      </c>
      <c r="AF53" s="173" t="s">
        <v>170</v>
      </c>
      <c r="AG53" s="173"/>
      <c r="AH53" s="173">
        <v>65</v>
      </c>
      <c r="AI53" s="173">
        <v>1.2</v>
      </c>
      <c r="AJ53" s="173">
        <f t="shared" si="41"/>
        <v>86</v>
      </c>
      <c r="AK53" s="173">
        <v>1.5</v>
      </c>
      <c r="AL53" s="173">
        <v>16</v>
      </c>
      <c r="AM53" s="182" t="e">
        <f>qmz/qz/Kes.w</f>
        <v>#VALUE!</v>
      </c>
      <c r="AN53" s="173">
        <v>32</v>
      </c>
      <c r="AO53" s="182" t="e">
        <f>qmz/qz/Kes.w</f>
        <v>#VALUE!</v>
      </c>
      <c r="AP53" s="173"/>
      <c r="AQ53" s="173"/>
      <c r="AS53" s="177">
        <v>49</v>
      </c>
      <c r="AT53" s="173" t="s">
        <v>1644</v>
      </c>
      <c r="AU53" s="173" t="b">
        <v>1</v>
      </c>
      <c r="AV53" s="173" t="s">
        <v>170</v>
      </c>
      <c r="AW53" s="173"/>
      <c r="AX53" s="173">
        <v>65</v>
      </c>
      <c r="AY53" s="173">
        <v>1.2</v>
      </c>
      <c r="AZ53" s="173">
        <v>48</v>
      </c>
      <c r="BA53" s="173">
        <v>1</v>
      </c>
      <c r="BB53" s="173">
        <v>64</v>
      </c>
      <c r="BC53" s="173">
        <v>1</v>
      </c>
      <c r="BD53" s="173">
        <v>66</v>
      </c>
      <c r="BE53" s="173">
        <v>1</v>
      </c>
      <c r="BF53" s="173"/>
      <c r="BG53" s="173"/>
      <c r="BI53" s="177">
        <v>49</v>
      </c>
      <c r="BJ53" s="173" t="s">
        <v>1643</v>
      </c>
      <c r="BK53" s="173" t="b">
        <v>1</v>
      </c>
      <c r="BL53" s="173" t="s">
        <v>170</v>
      </c>
      <c r="BM53" s="173"/>
      <c r="BN53" s="173">
        <v>65</v>
      </c>
      <c r="BO53" s="173">
        <v>1.2</v>
      </c>
      <c r="BP53" s="173">
        <f t="shared" si="42"/>
        <v>86</v>
      </c>
      <c r="BQ53" s="173">
        <v>1.5</v>
      </c>
      <c r="BR53" s="173">
        <v>16</v>
      </c>
      <c r="BS53" s="182" t="e">
        <f>qmz/qz/Kes.w</f>
        <v>#VALUE!</v>
      </c>
      <c r="BT53" s="173">
        <v>32</v>
      </c>
      <c r="BU53" s="182" t="e">
        <f>qmz/qz/Kes.w</f>
        <v>#VALUE!</v>
      </c>
      <c r="BV53" s="173"/>
      <c r="BW53" s="173"/>
      <c r="BY53" s="177">
        <v>49</v>
      </c>
      <c r="BZ53" s="247" t="s">
        <v>1645</v>
      </c>
      <c r="CA53" s="247" t="b">
        <v>1</v>
      </c>
      <c r="CB53" s="247" t="s">
        <v>170</v>
      </c>
      <c r="CC53" s="247"/>
      <c r="CD53" s="247">
        <v>65</v>
      </c>
      <c r="CE53" s="247">
        <v>1</v>
      </c>
      <c r="CF53" s="173">
        <f t="shared" si="31"/>
        <v>86</v>
      </c>
      <c r="CG53" s="247">
        <v>1.25</v>
      </c>
      <c r="CH53" s="247">
        <v>16</v>
      </c>
      <c r="CI53" s="253" t="e">
        <f t="shared" si="32"/>
        <v>#VALUE!</v>
      </c>
      <c r="CJ53" s="247">
        <v>32</v>
      </c>
      <c r="CK53" s="253" t="e">
        <f t="shared" si="33"/>
        <v>#VALUE!</v>
      </c>
      <c r="CL53" s="247"/>
      <c r="CM53" s="247"/>
      <c r="CO53" s="177">
        <v>49</v>
      </c>
      <c r="CP53" s="247" t="s">
        <v>1645</v>
      </c>
      <c r="CQ53" s="247" t="b">
        <v>1</v>
      </c>
      <c r="CR53" s="247" t="s">
        <v>170</v>
      </c>
      <c r="CS53" s="247"/>
      <c r="CT53" s="247">
        <v>65</v>
      </c>
      <c r="CU53" s="247">
        <v>1</v>
      </c>
      <c r="CV53" s="173">
        <f t="shared" si="34"/>
        <v>86</v>
      </c>
      <c r="CW53" s="247">
        <v>1.25</v>
      </c>
      <c r="CX53" s="247">
        <v>16</v>
      </c>
      <c r="CY53" s="253" t="e">
        <f t="shared" si="35"/>
        <v>#VALUE!</v>
      </c>
      <c r="CZ53" s="247">
        <v>32</v>
      </c>
      <c r="DA53" s="253" t="e">
        <f t="shared" si="36"/>
        <v>#VALUE!</v>
      </c>
      <c r="DB53" s="247"/>
      <c r="DC53" s="247"/>
      <c r="DE53" s="177">
        <v>49</v>
      </c>
      <c r="DF53" s="247" t="s">
        <v>1645</v>
      </c>
      <c r="DG53" s="247" t="b">
        <v>1</v>
      </c>
      <c r="DH53" s="247" t="s">
        <v>170</v>
      </c>
      <c r="DI53" s="247"/>
      <c r="DJ53" s="247">
        <v>65</v>
      </c>
      <c r="DK53" s="247">
        <v>1</v>
      </c>
      <c r="DL53" s="173">
        <f t="shared" si="37"/>
        <v>86</v>
      </c>
      <c r="DM53" s="247">
        <v>1.25</v>
      </c>
      <c r="DN53" s="247">
        <v>16</v>
      </c>
      <c r="DO53" s="253" t="e">
        <f t="shared" si="38"/>
        <v>#VALUE!</v>
      </c>
      <c r="DP53" s="247">
        <v>32</v>
      </c>
      <c r="DQ53" s="253" t="e">
        <f t="shared" si="39"/>
        <v>#VALUE!</v>
      </c>
      <c r="DR53" s="247"/>
      <c r="DS53" s="247"/>
      <c r="DU53" s="177">
        <v>49</v>
      </c>
      <c r="DV53" s="173" t="str">
        <f t="shared" si="40"/>
        <v>1.2D + 1.0W + L + 0.5(Lr or S or R) (330 deg</v>
      </c>
      <c r="DW53" s="173">
        <v>1</v>
      </c>
      <c r="DX53" s="173" t="s">
        <v>170</v>
      </c>
      <c r="DY53" s="173"/>
      <c r="DZ53" s="173">
        <v>65</v>
      </c>
      <c r="EA53" s="173">
        <v>1.2</v>
      </c>
      <c r="EB53" s="173">
        <v>86</v>
      </c>
      <c r="EC53" s="173">
        <v>1.5</v>
      </c>
      <c r="ED53" s="173">
        <v>16</v>
      </c>
      <c r="EE53" s="182" t="e">
        <f>qmz/qz/Kes.w</f>
        <v>#VALUE!</v>
      </c>
      <c r="EF53" s="173"/>
      <c r="EG53" s="173"/>
      <c r="EH53" s="173"/>
      <c r="EI53" s="173"/>
      <c r="EK53" s="2" t="s">
        <v>448</v>
      </c>
      <c r="EL53" s="2">
        <v>330</v>
      </c>
      <c r="EN53" s="177">
        <v>49</v>
      </c>
      <c r="GJ53" s="2" t="s">
        <v>450</v>
      </c>
      <c r="GK53" s="2" t="str">
        <f t="shared" si="43"/>
        <v>D + Ws + G (315 deg)</v>
      </c>
    </row>
    <row r="54" spans="1:194" ht="18" customHeight="1" thickTop="1" x14ac:dyDescent="0.2">
      <c r="A54" s="165">
        <v>50</v>
      </c>
      <c r="B54" s="174" t="s">
        <v>477</v>
      </c>
      <c r="C54" s="174" t="s">
        <v>446</v>
      </c>
      <c r="D54" s="174"/>
      <c r="E54" s="174"/>
      <c r="F54" s="174"/>
      <c r="G54" s="174"/>
      <c r="H54" s="186"/>
      <c r="I54" s="186">
        <f>COUNTA('Distributed Load Tables'!$DP$4:$DP$1048576)</f>
        <v>0</v>
      </c>
      <c r="J54" s="186"/>
      <c r="K54" s="174"/>
      <c r="M54" s="176">
        <f t="shared" si="15"/>
        <v>50</v>
      </c>
      <c r="N54" s="174" t="str">
        <f t="shared" ref="N54:S54" si="44">IF(IF($M$3=$AC$3,AD54,
 IF($M$3=$AS$3,AT54,
 IF($M$3=$BI$3,BJ54,
 IF($M$3=$BY$3,BZ54,
 IF($M$3=$CO$3,CP54,
 IF($M$3=$DE$3,DF54))))))="","",
IF($M$3=$AC$3,AD54,
 IF($M$3=$AS$3,AT54,
 IF($M$3=$BI$3,BJ54,
 IF($M$3=$BY$3,BZ54,
 IF($M$3=$CO$3,CP54,
 IF($M$3=$DE$3,DF54)))))))</f>
        <v>1.2D + 1.5Lm_2 + 1.0Wm  | 0 deg</v>
      </c>
      <c r="O54" s="174" t="b">
        <v>1</v>
      </c>
      <c r="P54" s="174" t="str">
        <f t="shared" si="44"/>
        <v>Y</v>
      </c>
      <c r="Q54" s="174" t="str">
        <f t="shared" si="44"/>
        <v/>
      </c>
      <c r="R54" s="174">
        <f t="shared" si="44"/>
        <v>65</v>
      </c>
      <c r="S54" s="174">
        <f t="shared" si="44"/>
        <v>1.2</v>
      </c>
      <c r="T54" s="174">
        <f t="shared" ref="T54:Y54" si="45">IF(IF($M$3=$AC$3,AJ54,
 IF($M$3=$AS$3,AZ54,
 IF($M$3=$BI$3,BP54,
 IF($M$3=$BY$3,CF54,
 IF($M$3=$CO$3,CV54,
 IF($M$3=$DE$3,DL54))))))="","",
IF($M$3=$AC$3,AJ54,
 IF($M$3=$AS$3,AZ54,
 IF($M$3=$BI$3,BP54,
 IF($M$3=$BY$3,CF54,
 IF($M$3=$CO$3,CV54,
 IF($M$3=$DE$3,DL54)))))))</f>
        <v>87</v>
      </c>
      <c r="U54" s="174">
        <f t="shared" si="45"/>
        <v>1.5</v>
      </c>
      <c r="V54" s="174">
        <f t="shared" si="45"/>
        <v>1</v>
      </c>
      <c r="W54" s="174" t="e">
        <f t="shared" si="45"/>
        <v>#VALUE!</v>
      </c>
      <c r="X54" s="174">
        <f t="shared" si="45"/>
        <v>17</v>
      </c>
      <c r="Y54" s="174" t="e">
        <f t="shared" si="45"/>
        <v>#VALUE!</v>
      </c>
      <c r="Z54" s="174" t="str">
        <f t="shared" ref="Z54:Z85" si="46">IF(IF($M$3=$AC$3,AP54,
 IF($M$3=$AS$3,BF54,
 IF($M$3=$BI$3,BV54,
 IF($M$3=$BY$3,CL54,
 IF($M$3=$CO$3,DB54,
 IF($M$3=$DE$3,DR54))))))="","",
IF($M$3=$AC$3,AP54,
 IF($M$3=$AS$3,BF54,
 IF($M$3=$BI$3,BV54,
 IF($M$3=$BY$3,CL54,
 IF($M$3=$CO$3,DB54,
 IF($M$3=$DE$3,DR54)))))))</f>
        <v/>
      </c>
      <c r="AA54" s="174" t="str">
        <f t="shared" ref="AA54:AA85" si="47">IF(IF($M$3=$AC$3,AQ54,
 IF($M$3=$AS$3,BG54,
 IF($M$3=$BI$3,BW54,
 IF($M$3=$BY$3,CM54,
 IF($M$3=$CO$3,DC54,
 IF($M$3=$DE$3,DS54))))))="","",
IF($M$3=$AC$3,AQ54,
 IF($M$3=$AS$3,BG54,
 IF($M$3=$BI$3,BW54,
 IF($M$3=$BY$3,CM54,
 IF($M$3=$CO$3,DC54,
 IF($M$3=$DE$3,DS54)))))))</f>
        <v/>
      </c>
      <c r="AC54" s="178">
        <v>50</v>
      </c>
      <c r="AD54" s="175" t="s">
        <v>1406</v>
      </c>
      <c r="AE54" s="175" t="b">
        <v>1</v>
      </c>
      <c r="AF54" s="175" t="s">
        <v>170</v>
      </c>
      <c r="AG54" s="175"/>
      <c r="AH54" s="175">
        <v>65</v>
      </c>
      <c r="AI54" s="175">
        <v>1.2</v>
      </c>
      <c r="AJ54" s="183">
        <f>IFERROR(INDEX($A:$A, MATCH("*Lm_2", $B:$B, 0)),86)</f>
        <v>87</v>
      </c>
      <c r="AK54" s="183">
        <v>1.5</v>
      </c>
      <c r="AL54" s="175">
        <v>1</v>
      </c>
      <c r="AM54" s="179" t="e">
        <f>qmz/qz/Kes.w</f>
        <v>#VALUE!</v>
      </c>
      <c r="AN54" s="175">
        <v>17</v>
      </c>
      <c r="AO54" s="179" t="e">
        <f>qmz/qz/Kes.w</f>
        <v>#VALUE!</v>
      </c>
      <c r="AP54" s="175"/>
      <c r="AQ54" s="175"/>
      <c r="AS54" s="178">
        <v>50</v>
      </c>
      <c r="AT54" s="175" t="s">
        <v>1407</v>
      </c>
      <c r="AU54" s="175" t="b">
        <v>1</v>
      </c>
      <c r="AV54" s="175" t="s">
        <v>170</v>
      </c>
      <c r="AW54" s="175"/>
      <c r="AX54" s="175">
        <v>65</v>
      </c>
      <c r="AY54" s="175">
        <v>1.2</v>
      </c>
      <c r="AZ54" s="175">
        <v>1</v>
      </c>
      <c r="BA54" s="179" t="e">
        <f>qmz/qz/Kes.w</f>
        <v>#VALUE!</v>
      </c>
      <c r="BB54" s="175">
        <v>17</v>
      </c>
      <c r="BC54" s="179" t="e">
        <f>qmz/qz/Kes.w</f>
        <v>#VALUE!</v>
      </c>
      <c r="BD54" s="175"/>
      <c r="BE54" s="175"/>
      <c r="BF54" s="175"/>
      <c r="BG54" s="175"/>
      <c r="BI54" s="178">
        <v>50</v>
      </c>
      <c r="BJ54" s="175" t="s">
        <v>1406</v>
      </c>
      <c r="BK54" s="175" t="b">
        <v>1</v>
      </c>
      <c r="BL54" s="175" t="s">
        <v>170</v>
      </c>
      <c r="BM54" s="175"/>
      <c r="BN54" s="175">
        <v>65</v>
      </c>
      <c r="BO54" s="175">
        <v>1.2</v>
      </c>
      <c r="BP54" s="183">
        <f>IFERROR(INDEX($A:$A, MATCH("*Lm_2", $B:$B, 0)),86)</f>
        <v>87</v>
      </c>
      <c r="BQ54" s="183">
        <v>1.5</v>
      </c>
      <c r="BR54" s="175">
        <v>1</v>
      </c>
      <c r="BS54" s="179" t="e">
        <f>qmz/qz/Kes.w</f>
        <v>#VALUE!</v>
      </c>
      <c r="BT54" s="175">
        <v>17</v>
      </c>
      <c r="BU54" s="179" t="e">
        <f>qmz/qz/Kes.w</f>
        <v>#VALUE!</v>
      </c>
      <c r="BV54" s="175"/>
      <c r="BW54" s="175"/>
      <c r="BY54" s="178">
        <v>50</v>
      </c>
      <c r="BZ54" s="248" t="s">
        <v>1408</v>
      </c>
      <c r="CA54" s="248" t="b">
        <v>1</v>
      </c>
      <c r="CB54" s="248" t="s">
        <v>170</v>
      </c>
      <c r="CC54" s="248"/>
      <c r="CD54" s="248">
        <v>65</v>
      </c>
      <c r="CE54" s="248">
        <v>1</v>
      </c>
      <c r="CF54" s="183">
        <f t="shared" ref="CF54:CF69" si="48">IFERROR(INDEX($A:$A, MATCH("*Lm_2", $B:$B, 0)),0)</f>
        <v>87</v>
      </c>
      <c r="CG54" s="254">
        <v>1.25</v>
      </c>
      <c r="CH54" s="248">
        <v>1</v>
      </c>
      <c r="CI54" s="250" t="e">
        <f t="shared" si="32"/>
        <v>#VALUE!</v>
      </c>
      <c r="CJ54" s="248">
        <v>17</v>
      </c>
      <c r="CK54" s="250" t="e">
        <f t="shared" si="33"/>
        <v>#VALUE!</v>
      </c>
      <c r="CL54" s="248"/>
      <c r="CM54" s="248"/>
      <c r="CO54" s="178">
        <v>50</v>
      </c>
      <c r="CP54" s="248" t="s">
        <v>1408</v>
      </c>
      <c r="CQ54" s="248" t="b">
        <v>1</v>
      </c>
      <c r="CR54" s="248" t="s">
        <v>170</v>
      </c>
      <c r="CS54" s="248"/>
      <c r="CT54" s="248">
        <v>65</v>
      </c>
      <c r="CU54" s="248">
        <v>1</v>
      </c>
      <c r="CV54" s="183">
        <f t="shared" ref="CV54:CV69" si="49">IFERROR(INDEX($A:$A, MATCH("*Lm_2", $B:$B, 0)),0)</f>
        <v>87</v>
      </c>
      <c r="CW54" s="254">
        <v>1.25</v>
      </c>
      <c r="CX54" s="248">
        <v>1</v>
      </c>
      <c r="CY54" s="250" t="e">
        <f t="shared" si="35"/>
        <v>#VALUE!</v>
      </c>
      <c r="CZ54" s="248">
        <v>17</v>
      </c>
      <c r="DA54" s="250" t="e">
        <f t="shared" si="36"/>
        <v>#VALUE!</v>
      </c>
      <c r="DB54" s="248"/>
      <c r="DC54" s="248"/>
      <c r="DE54" s="178">
        <v>50</v>
      </c>
      <c r="DF54" s="248" t="s">
        <v>1408</v>
      </c>
      <c r="DG54" s="248" t="b">
        <v>1</v>
      </c>
      <c r="DH54" s="248" t="s">
        <v>170</v>
      </c>
      <c r="DI54" s="248"/>
      <c r="DJ54" s="248">
        <v>65</v>
      </c>
      <c r="DK54" s="248">
        <v>1</v>
      </c>
      <c r="DL54" s="183">
        <f t="shared" ref="DL54:DL69" si="50">IFERROR(INDEX($A:$A, MATCH("*Lm_2", $B:$B, 0)),0)</f>
        <v>87</v>
      </c>
      <c r="DM54" s="254">
        <v>1.25</v>
      </c>
      <c r="DN54" s="248">
        <v>1</v>
      </c>
      <c r="DO54" s="250" t="e">
        <f t="shared" si="38"/>
        <v>#VALUE!</v>
      </c>
      <c r="DP54" s="248">
        <v>17</v>
      </c>
      <c r="DQ54" s="250" t="e">
        <f t="shared" si="39"/>
        <v>#VALUE!</v>
      </c>
      <c r="DR54" s="248"/>
      <c r="DS54" s="248"/>
      <c r="DU54" s="178">
        <v>50</v>
      </c>
      <c r="DV54" s="175" t="str">
        <f t="shared" si="40"/>
        <v>0.9D + 1.0W (0 deg</v>
      </c>
      <c r="DW54" s="175">
        <v>1</v>
      </c>
      <c r="DX54" s="175" t="s">
        <v>170</v>
      </c>
      <c r="DY54" s="175"/>
      <c r="DZ54" s="175">
        <v>65</v>
      </c>
      <c r="EA54" s="175">
        <v>1.2</v>
      </c>
      <c r="EB54" s="183">
        <v>87</v>
      </c>
      <c r="EC54" s="183">
        <v>1.5</v>
      </c>
      <c r="ED54" s="175">
        <v>1</v>
      </c>
      <c r="EE54" s="179" t="e">
        <f>qmz/qz/Kes.w</f>
        <v>#VALUE!</v>
      </c>
      <c r="EF54" s="175"/>
      <c r="EG54" s="175"/>
      <c r="EH54" s="175"/>
      <c r="EI54" s="175"/>
      <c r="EK54" s="2" t="s">
        <v>478</v>
      </c>
      <c r="EL54" s="2">
        <v>0</v>
      </c>
      <c r="EN54" s="178">
        <v>50</v>
      </c>
      <c r="GJ54" s="2" t="s">
        <v>450</v>
      </c>
      <c r="GK54" s="2" t="str">
        <f t="shared" si="43"/>
        <v>D + Ws + G (330 deg)</v>
      </c>
    </row>
    <row r="55" spans="1:194" ht="18" customHeight="1" x14ac:dyDescent="0.2">
      <c r="A55" s="165">
        <v>51</v>
      </c>
      <c r="B55" s="170" t="s">
        <v>479</v>
      </c>
      <c r="C55" s="171" t="s">
        <v>446</v>
      </c>
      <c r="D55" s="171"/>
      <c r="E55" s="171"/>
      <c r="F55" s="171"/>
      <c r="G55" s="171"/>
      <c r="H55" s="185"/>
      <c r="I55" s="185">
        <f>COUNTA('Distributed Load Tables'!$ED$4:$ED$1048576)</f>
        <v>0</v>
      </c>
      <c r="J55" s="185"/>
      <c r="K55" s="171"/>
      <c r="M55" s="176">
        <f t="shared" si="15"/>
        <v>51</v>
      </c>
      <c r="N55" s="170" t="str">
        <f t="shared" ref="N55:N86" si="51">IF(IF($M$3=$AC$3,AD55,
 IF($M$3=$AS$3,AT55,
 IF($M$3=$BI$3,BJ55,
 IF($M$3=$BY$3,BZ55,
 IF($M$3=$CO$3,CP55,
 IF($M$3=$DE$3,DF55))))))="","",
IF($M$3=$AC$3,AD55,
 IF($M$3=$AS$3,AT55,
 IF($M$3=$BI$3,BJ55,
 IF($M$3=$BY$3,BZ55,
 IF($M$3=$CO$3,CP55,
 IF($M$3=$DE$3,DF55)))))))</f>
        <v>1.2D + 1.5Lm_2 + 1.0Wm  | 30 deg</v>
      </c>
      <c r="O55" s="170" t="b">
        <v>1</v>
      </c>
      <c r="P55" s="170" t="str">
        <f t="shared" ref="P55:P86" si="52">IF(IF($M$3=$AC$3,AF55,
 IF($M$3=$AS$3,AV55,
 IF($M$3=$BI$3,BL55,
 IF($M$3=$BY$3,CB55,
 IF($M$3=$CO$3,CR55,
 IF($M$3=$DE$3,DH55))))))="","",
IF($M$3=$AC$3,AF55,
 IF($M$3=$AS$3,AV55,
 IF($M$3=$BI$3,BL55,
 IF($M$3=$BY$3,CB55,
 IF($M$3=$CO$3,CR55,
 IF($M$3=$DE$3,DH55)))))))</f>
        <v>Y</v>
      </c>
      <c r="Q55" s="170" t="str">
        <f t="shared" ref="Q55:Q86" si="53">IF(IF($M$3=$AC$3,AG55,
 IF($M$3=$AS$3,AW55,
 IF($M$3=$BI$3,BM55,
 IF($M$3=$BY$3,CC55,
 IF($M$3=$CO$3,CS55,
 IF($M$3=$DE$3,DI55))))))="","",
IF($M$3=$AC$3,AG55,
 IF($M$3=$AS$3,AW55,
 IF($M$3=$BI$3,BM55,
 IF($M$3=$BY$3,CC55,
 IF($M$3=$CO$3,CS55,
 IF($M$3=$DE$3,DI55)))))))</f>
        <v/>
      </c>
      <c r="R55" s="170">
        <f t="shared" ref="R55:R69" si="54">IF(IF($M$3=$AC$3,AH55,
 IF($M$3=$AS$3,AX55,
 IF($M$3=$BI$3,BN55,
 IF($M$3=$BY$3,CD55,
 IF($M$3=$CO$3,CT55,
 IF($M$3=$DE$3,DJ55))))))="","",
IF($M$3=$AC$3,AH55,
 IF($M$3=$AS$3,AX55,
 IF($M$3=$BI$3,BN55,
 IF($M$3=$BY$3,CD55,
 IF($M$3=$CO$3,CT55,
 IF($M$3=$DE$3,DJ55)))))))</f>
        <v>65</v>
      </c>
      <c r="S55" s="170">
        <f t="shared" ref="S55:S69" si="55">IF(IF($M$3=$AC$3,AI55,
 IF($M$3=$AS$3,AY55,
 IF($M$3=$BI$3,BO55,
 IF($M$3=$BY$3,CE55,
 IF($M$3=$CO$3,CU55,
 IF($M$3=$DE$3,DK55))))))="","",
IF($M$3=$AC$3,AI55,
 IF($M$3=$AS$3,AY55,
 IF($M$3=$BI$3,BO55,
 IF($M$3=$BY$3,CE55,
 IF($M$3=$CO$3,CU55,
 IF($M$3=$DE$3,DK55)))))))</f>
        <v>1.2</v>
      </c>
      <c r="T55" s="170">
        <f t="shared" ref="T55:T69" si="56">IF(IF($M$3=$AC$3,AJ55,
 IF($M$3=$AS$3,AZ55,
 IF($M$3=$BI$3,BP55,
 IF($M$3=$BY$3,CF55,
 IF($M$3=$CO$3,CV55,
 IF($M$3=$DE$3,DL55))))))="","",
IF($M$3=$AC$3,AJ55,
 IF($M$3=$AS$3,AZ55,
 IF($M$3=$BI$3,BP55,
 IF($M$3=$BY$3,CF55,
 IF($M$3=$CO$3,CV55,
 IF($M$3=$DE$3,DL55)))))))</f>
        <v>87</v>
      </c>
      <c r="U55" s="170">
        <f t="shared" ref="U55:U69" si="57">IF(IF($M$3=$AC$3,AK55,
 IF($M$3=$AS$3,BA55,
 IF($M$3=$BI$3,BQ55,
 IF($M$3=$BY$3,CG55,
 IF($M$3=$CO$3,CW55,
 IF($M$3=$DE$3,DM55))))))="","",
IF($M$3=$AC$3,AK55,
 IF($M$3=$AS$3,BA55,
 IF($M$3=$BI$3,BQ55,
 IF($M$3=$BY$3,CG55,
 IF($M$3=$CO$3,CW55,
 IF($M$3=$DE$3,DM55)))))))</f>
        <v>1.5</v>
      </c>
      <c r="V55" s="170">
        <f t="shared" ref="V55:V69" si="58">IF(IF($M$3=$AC$3,AL55,
 IF($M$3=$AS$3,BB55,
 IF($M$3=$BI$3,BR55,
 IF($M$3=$BY$3,CH55,
 IF($M$3=$CO$3,CX55,
 IF($M$3=$DE$3,DN55))))))="","",
IF($M$3=$AC$3,AL55,
 IF($M$3=$AS$3,BB55,
 IF($M$3=$BI$3,BR55,
 IF($M$3=$BY$3,CH55,
 IF($M$3=$CO$3,CX55,
 IF($M$3=$DE$3,DN55)))))))</f>
        <v>2</v>
      </c>
      <c r="W55" s="170" t="e">
        <f t="shared" ref="W55:W69" si="59">IF(IF($M$3=$AC$3,AM55,
 IF($M$3=$AS$3,BC55,
 IF($M$3=$BI$3,BS55,
 IF($M$3=$BY$3,CI55,
 IF($M$3=$CO$3,CY55,
 IF($M$3=$DE$3,DO55))))))="","",
IF($M$3=$AC$3,AM55,
 IF($M$3=$AS$3,BC55,
 IF($M$3=$BI$3,BS55,
 IF($M$3=$BY$3,CI55,
 IF($M$3=$CO$3,CY55,
 IF($M$3=$DE$3,DO55)))))))</f>
        <v>#VALUE!</v>
      </c>
      <c r="X55" s="170">
        <f t="shared" ref="X55:X69" si="60">IF(IF($M$3=$AC$3,AN55,
 IF($M$3=$AS$3,BD55,
 IF($M$3=$BI$3,BT55,
 IF($M$3=$BY$3,CJ55,
 IF($M$3=$CO$3,CZ55,
 IF($M$3=$DE$3,DP55))))))="","",
IF($M$3=$AC$3,AN55,
 IF($M$3=$AS$3,BD55,
 IF($M$3=$BI$3,BT55,
 IF($M$3=$BY$3,CJ55,
 IF($M$3=$CO$3,CZ55,
 IF($M$3=$DE$3,DP55)))))))</f>
        <v>18</v>
      </c>
      <c r="Y55" s="170" t="e">
        <f t="shared" ref="Y55:Y69" si="61">IF(IF($M$3=$AC$3,AO55,
 IF($M$3=$AS$3,BE55,
 IF($M$3=$BI$3,BU55,
 IF($M$3=$BY$3,CK55,
 IF($M$3=$CO$3,DA55,
 IF($M$3=$DE$3,DQ55))))))="","",
IF($M$3=$AC$3,AO55,
 IF($M$3=$AS$3,BE55,
 IF($M$3=$BI$3,BU55,
 IF($M$3=$BY$3,CK55,
 IF($M$3=$CO$3,DA55,
 IF($M$3=$DE$3,DQ55)))))))</f>
        <v>#VALUE!</v>
      </c>
      <c r="Z55" s="170" t="str">
        <f t="shared" si="46"/>
        <v/>
      </c>
      <c r="AA55" s="170" t="str">
        <f t="shared" si="47"/>
        <v/>
      </c>
      <c r="AC55" s="176">
        <v>51</v>
      </c>
      <c r="AD55" s="170" t="s">
        <v>1646</v>
      </c>
      <c r="AE55" s="170" t="b">
        <v>1</v>
      </c>
      <c r="AF55" s="170" t="s">
        <v>170</v>
      </c>
      <c r="AG55" s="170"/>
      <c r="AH55" s="170">
        <v>65</v>
      </c>
      <c r="AI55" s="170">
        <v>1.2</v>
      </c>
      <c r="AJ55" s="170">
        <f t="shared" ref="AJ55:AJ69" si="62">IFERROR(INDEX($A:$A, MATCH("*Lm_2", $B:$B, 0)),86)</f>
        <v>87</v>
      </c>
      <c r="AK55" s="170">
        <v>1.5</v>
      </c>
      <c r="AL55" s="170">
        <v>2</v>
      </c>
      <c r="AM55" s="180" t="e">
        <f>qmz/qz/Kes.w</f>
        <v>#VALUE!</v>
      </c>
      <c r="AN55" s="170">
        <v>18</v>
      </c>
      <c r="AO55" s="180" t="e">
        <f>qmz/qz/Kes.w</f>
        <v>#VALUE!</v>
      </c>
      <c r="AP55" s="170"/>
      <c r="AQ55" s="170"/>
      <c r="AS55" s="176">
        <v>51</v>
      </c>
      <c r="AT55" s="170" t="s">
        <v>1647</v>
      </c>
      <c r="AU55" s="170" t="b">
        <v>1</v>
      </c>
      <c r="AV55" s="170" t="s">
        <v>170</v>
      </c>
      <c r="AW55" s="170"/>
      <c r="AX55" s="170">
        <v>65</v>
      </c>
      <c r="AY55" s="170">
        <v>1.2</v>
      </c>
      <c r="AZ55" s="170">
        <v>2</v>
      </c>
      <c r="BA55" s="180" t="e">
        <f>qmz/qz/Kes.w</f>
        <v>#VALUE!</v>
      </c>
      <c r="BB55" s="170">
        <v>18</v>
      </c>
      <c r="BC55" s="180" t="e">
        <f>qmz/qz/Kes.w</f>
        <v>#VALUE!</v>
      </c>
      <c r="BD55" s="170"/>
      <c r="BE55" s="170"/>
      <c r="BF55" s="170"/>
      <c r="BG55" s="170"/>
      <c r="BI55" s="176">
        <v>51</v>
      </c>
      <c r="BJ55" s="170" t="s">
        <v>1646</v>
      </c>
      <c r="BK55" s="170" t="b">
        <v>1</v>
      </c>
      <c r="BL55" s="170" t="s">
        <v>170</v>
      </c>
      <c r="BM55" s="170"/>
      <c r="BN55" s="170">
        <v>65</v>
      </c>
      <c r="BO55" s="170">
        <v>1.2</v>
      </c>
      <c r="BP55" s="170">
        <f t="shared" ref="BP55:BP69" si="63">IFERROR(INDEX($A:$A, MATCH("*Lm_2", $B:$B, 0)),86)</f>
        <v>87</v>
      </c>
      <c r="BQ55" s="170">
        <v>1.5</v>
      </c>
      <c r="BR55" s="170">
        <v>2</v>
      </c>
      <c r="BS55" s="180" t="e">
        <f>qmz/qz/Kes.w</f>
        <v>#VALUE!</v>
      </c>
      <c r="BT55" s="170">
        <v>18</v>
      </c>
      <c r="BU55" s="180" t="e">
        <f>qmz/qz/Kes.w</f>
        <v>#VALUE!</v>
      </c>
      <c r="BV55" s="170"/>
      <c r="BW55" s="170"/>
      <c r="BY55" s="176">
        <v>51</v>
      </c>
      <c r="BZ55" s="246" t="s">
        <v>1648</v>
      </c>
      <c r="CA55" s="246" t="b">
        <v>1</v>
      </c>
      <c r="CB55" s="246" t="s">
        <v>170</v>
      </c>
      <c r="CC55" s="246"/>
      <c r="CD55" s="246">
        <v>65</v>
      </c>
      <c r="CE55" s="246">
        <v>1</v>
      </c>
      <c r="CF55" s="170">
        <f t="shared" si="48"/>
        <v>87</v>
      </c>
      <c r="CG55" s="246">
        <v>1.25</v>
      </c>
      <c r="CH55" s="246">
        <v>2</v>
      </c>
      <c r="CI55" s="251" t="e">
        <f t="shared" si="32"/>
        <v>#VALUE!</v>
      </c>
      <c r="CJ55" s="246">
        <v>18</v>
      </c>
      <c r="CK55" s="251" t="e">
        <f t="shared" si="33"/>
        <v>#VALUE!</v>
      </c>
      <c r="CL55" s="246"/>
      <c r="CM55" s="246"/>
      <c r="CO55" s="176">
        <v>51</v>
      </c>
      <c r="CP55" s="246" t="s">
        <v>1648</v>
      </c>
      <c r="CQ55" s="246" t="b">
        <v>1</v>
      </c>
      <c r="CR55" s="246" t="s">
        <v>170</v>
      </c>
      <c r="CS55" s="246"/>
      <c r="CT55" s="246">
        <v>65</v>
      </c>
      <c r="CU55" s="246">
        <v>1</v>
      </c>
      <c r="CV55" s="170">
        <f t="shared" si="49"/>
        <v>87</v>
      </c>
      <c r="CW55" s="246">
        <v>1.25</v>
      </c>
      <c r="CX55" s="246">
        <v>2</v>
      </c>
      <c r="CY55" s="251" t="e">
        <f t="shared" si="35"/>
        <v>#VALUE!</v>
      </c>
      <c r="CZ55" s="246">
        <v>18</v>
      </c>
      <c r="DA55" s="251" t="e">
        <f t="shared" si="36"/>
        <v>#VALUE!</v>
      </c>
      <c r="DB55" s="246"/>
      <c r="DC55" s="246"/>
      <c r="DE55" s="176">
        <v>51</v>
      </c>
      <c r="DF55" s="246" t="s">
        <v>1648</v>
      </c>
      <c r="DG55" s="246" t="b">
        <v>1</v>
      </c>
      <c r="DH55" s="246" t="s">
        <v>170</v>
      </c>
      <c r="DI55" s="246"/>
      <c r="DJ55" s="246">
        <v>65</v>
      </c>
      <c r="DK55" s="246">
        <v>1</v>
      </c>
      <c r="DL55" s="170">
        <f t="shared" si="50"/>
        <v>87</v>
      </c>
      <c r="DM55" s="246">
        <v>1.25</v>
      </c>
      <c r="DN55" s="246">
        <v>2</v>
      </c>
      <c r="DO55" s="251" t="e">
        <f t="shared" si="38"/>
        <v>#VALUE!</v>
      </c>
      <c r="DP55" s="246">
        <v>18</v>
      </c>
      <c r="DQ55" s="251" t="e">
        <f t="shared" si="39"/>
        <v>#VALUE!</v>
      </c>
      <c r="DR55" s="246"/>
      <c r="DS55" s="246"/>
      <c r="DU55" s="176">
        <v>51</v>
      </c>
      <c r="DV55" s="170" t="str">
        <f t="shared" si="40"/>
        <v>0.9D + 1.0W (30 deg</v>
      </c>
      <c r="DW55" s="170">
        <v>1</v>
      </c>
      <c r="DX55" s="170" t="s">
        <v>170</v>
      </c>
      <c r="DY55" s="170"/>
      <c r="DZ55" s="170">
        <v>65</v>
      </c>
      <c r="EA55" s="170">
        <v>1.2</v>
      </c>
      <c r="EB55" s="170">
        <v>87</v>
      </c>
      <c r="EC55" s="170">
        <v>1.5</v>
      </c>
      <c r="ED55" s="170">
        <v>2</v>
      </c>
      <c r="EE55" s="180" t="e">
        <f>qmz/qz/Kes.w</f>
        <v>#VALUE!</v>
      </c>
      <c r="EF55" s="170"/>
      <c r="EG55" s="170"/>
      <c r="EH55" s="170"/>
      <c r="EI55" s="170"/>
      <c r="EK55" s="2" t="s">
        <v>478</v>
      </c>
      <c r="EL55" s="2">
        <v>30</v>
      </c>
      <c r="EN55" s="176">
        <v>51</v>
      </c>
    </row>
    <row r="56" spans="1:194" ht="18" customHeight="1" x14ac:dyDescent="0.2">
      <c r="A56" s="165">
        <v>52</v>
      </c>
      <c r="B56" s="174" t="s">
        <v>480</v>
      </c>
      <c r="C56" s="174" t="s">
        <v>446</v>
      </c>
      <c r="D56" s="174"/>
      <c r="E56" s="174"/>
      <c r="F56" s="174"/>
      <c r="G56" s="174"/>
      <c r="H56" s="186"/>
      <c r="I56" s="186">
        <f>COUNTA('Distributed Load Tables'!$ED$4:$ED$1048576)</f>
        <v>0</v>
      </c>
      <c r="J56" s="186"/>
      <c r="K56" s="174"/>
      <c r="M56" s="176">
        <f t="shared" si="15"/>
        <v>52</v>
      </c>
      <c r="N56" s="174" t="str">
        <f t="shared" si="51"/>
        <v>1.2D + 1.5Lm_2 + 1.0Wm  | 45 deg</v>
      </c>
      <c r="O56" s="174" t="b">
        <v>1</v>
      </c>
      <c r="P56" s="174" t="str">
        <f t="shared" si="52"/>
        <v>Y</v>
      </c>
      <c r="Q56" s="174" t="str">
        <f t="shared" si="53"/>
        <v/>
      </c>
      <c r="R56" s="174">
        <f t="shared" si="54"/>
        <v>65</v>
      </c>
      <c r="S56" s="174">
        <f t="shared" si="55"/>
        <v>1.2</v>
      </c>
      <c r="T56" s="174">
        <f t="shared" si="56"/>
        <v>87</v>
      </c>
      <c r="U56" s="174">
        <f t="shared" si="57"/>
        <v>1.5</v>
      </c>
      <c r="V56" s="174">
        <f t="shared" si="58"/>
        <v>3</v>
      </c>
      <c r="W56" s="174" t="e">
        <f t="shared" si="59"/>
        <v>#VALUE!</v>
      </c>
      <c r="X56" s="174">
        <f t="shared" si="60"/>
        <v>19</v>
      </c>
      <c r="Y56" s="174" t="e">
        <f t="shared" si="61"/>
        <v>#VALUE!</v>
      </c>
      <c r="Z56" s="174" t="str">
        <f t="shared" si="46"/>
        <v/>
      </c>
      <c r="AA56" s="174" t="str">
        <f t="shared" si="47"/>
        <v/>
      </c>
      <c r="AC56" s="176">
        <v>52</v>
      </c>
      <c r="AD56" s="174" t="s">
        <v>1718</v>
      </c>
      <c r="AE56" s="174" t="b">
        <v>1</v>
      </c>
      <c r="AF56" s="174" t="s">
        <v>170</v>
      </c>
      <c r="AG56" s="174"/>
      <c r="AH56" s="174">
        <v>65</v>
      </c>
      <c r="AI56" s="174">
        <v>1.2</v>
      </c>
      <c r="AJ56" s="175">
        <f t="shared" si="62"/>
        <v>87</v>
      </c>
      <c r="AK56" s="175">
        <v>1.5</v>
      </c>
      <c r="AL56" s="174">
        <v>3</v>
      </c>
      <c r="AM56" s="181" t="e">
        <f>qmz/qz/Kes.w</f>
        <v>#VALUE!</v>
      </c>
      <c r="AN56" s="174">
        <v>19</v>
      </c>
      <c r="AO56" s="181" t="e">
        <f>qmz/qz/Kes.w</f>
        <v>#VALUE!</v>
      </c>
      <c r="AP56" s="174"/>
      <c r="AQ56" s="174"/>
      <c r="AS56" s="176">
        <v>52</v>
      </c>
      <c r="AT56" s="174" t="s">
        <v>1719</v>
      </c>
      <c r="AU56" s="174"/>
      <c r="AV56" s="174" t="s">
        <v>170</v>
      </c>
      <c r="AW56" s="174"/>
      <c r="AX56" s="174">
        <v>65</v>
      </c>
      <c r="AY56" s="174">
        <v>1.2</v>
      </c>
      <c r="AZ56" s="174">
        <v>3</v>
      </c>
      <c r="BA56" s="181" t="e">
        <f>qmz/qz/Kes.w</f>
        <v>#VALUE!</v>
      </c>
      <c r="BB56" s="174">
        <v>19</v>
      </c>
      <c r="BC56" s="181" t="e">
        <f>qmz/qz/Kes.w</f>
        <v>#VALUE!</v>
      </c>
      <c r="BD56" s="174"/>
      <c r="BE56" s="174"/>
      <c r="BF56" s="174"/>
      <c r="BG56" s="174"/>
      <c r="BI56" s="176">
        <v>52</v>
      </c>
      <c r="BJ56" s="174" t="s">
        <v>1718</v>
      </c>
      <c r="BK56" s="174" t="b">
        <v>1</v>
      </c>
      <c r="BL56" s="174" t="s">
        <v>170</v>
      </c>
      <c r="BM56" s="174"/>
      <c r="BN56" s="174">
        <v>65</v>
      </c>
      <c r="BO56" s="174">
        <v>1.2</v>
      </c>
      <c r="BP56" s="175">
        <f t="shared" si="63"/>
        <v>87</v>
      </c>
      <c r="BQ56" s="175">
        <v>1.5</v>
      </c>
      <c r="BR56" s="174">
        <v>3</v>
      </c>
      <c r="BS56" s="181" t="e">
        <f>qmz/qz/Kes.w</f>
        <v>#VALUE!</v>
      </c>
      <c r="BT56" s="174">
        <v>19</v>
      </c>
      <c r="BU56" s="181" t="e">
        <f>qmz/qz/Kes.w</f>
        <v>#VALUE!</v>
      </c>
      <c r="BV56" s="174"/>
      <c r="BW56" s="174"/>
      <c r="BY56" s="176">
        <v>52</v>
      </c>
      <c r="BZ56" s="249" t="s">
        <v>1720</v>
      </c>
      <c r="CA56" s="249" t="b">
        <v>1</v>
      </c>
      <c r="CB56" s="249" t="s">
        <v>170</v>
      </c>
      <c r="CC56" s="249"/>
      <c r="CD56" s="249">
        <v>65</v>
      </c>
      <c r="CE56" s="249">
        <v>1</v>
      </c>
      <c r="CF56" s="175">
        <f t="shared" si="48"/>
        <v>87</v>
      </c>
      <c r="CG56" s="248">
        <v>1.25</v>
      </c>
      <c r="CH56" s="249">
        <v>3</v>
      </c>
      <c r="CI56" s="252" t="e">
        <f t="shared" si="32"/>
        <v>#VALUE!</v>
      </c>
      <c r="CJ56" s="249">
        <v>19</v>
      </c>
      <c r="CK56" s="252" t="e">
        <f t="shared" si="33"/>
        <v>#VALUE!</v>
      </c>
      <c r="CL56" s="249"/>
      <c r="CM56" s="249"/>
      <c r="CO56" s="176">
        <v>52</v>
      </c>
      <c r="CP56" s="249" t="s">
        <v>1720</v>
      </c>
      <c r="CQ56" s="249" t="b">
        <v>1</v>
      </c>
      <c r="CR56" s="249" t="s">
        <v>170</v>
      </c>
      <c r="CS56" s="249"/>
      <c r="CT56" s="249">
        <v>65</v>
      </c>
      <c r="CU56" s="249">
        <v>1</v>
      </c>
      <c r="CV56" s="175">
        <f t="shared" si="49"/>
        <v>87</v>
      </c>
      <c r="CW56" s="248">
        <v>1.25</v>
      </c>
      <c r="CX56" s="249">
        <v>3</v>
      </c>
      <c r="CY56" s="252" t="e">
        <f t="shared" si="35"/>
        <v>#VALUE!</v>
      </c>
      <c r="CZ56" s="249">
        <v>19</v>
      </c>
      <c r="DA56" s="252" t="e">
        <f t="shared" si="36"/>
        <v>#VALUE!</v>
      </c>
      <c r="DB56" s="249"/>
      <c r="DC56" s="249"/>
      <c r="DE56" s="176">
        <v>52</v>
      </c>
      <c r="DF56" s="249" t="s">
        <v>1720</v>
      </c>
      <c r="DG56" s="249" t="b">
        <v>1</v>
      </c>
      <c r="DH56" s="249" t="s">
        <v>170</v>
      </c>
      <c r="DI56" s="249"/>
      <c r="DJ56" s="249">
        <v>65</v>
      </c>
      <c r="DK56" s="249">
        <v>1</v>
      </c>
      <c r="DL56" s="175">
        <f t="shared" si="50"/>
        <v>87</v>
      </c>
      <c r="DM56" s="248">
        <v>1.25</v>
      </c>
      <c r="DN56" s="249">
        <v>3</v>
      </c>
      <c r="DO56" s="252" t="e">
        <f t="shared" si="38"/>
        <v>#VALUE!</v>
      </c>
      <c r="DP56" s="249">
        <v>19</v>
      </c>
      <c r="DQ56" s="252" t="e">
        <f t="shared" si="39"/>
        <v>#VALUE!</v>
      </c>
      <c r="DR56" s="249"/>
      <c r="DS56" s="249"/>
      <c r="DU56" s="176">
        <v>52</v>
      </c>
      <c r="DV56" s="174" t="str">
        <f t="shared" si="40"/>
        <v>0.9D + 1.0W (45 deg</v>
      </c>
      <c r="DW56" s="174">
        <v>1</v>
      </c>
      <c r="DX56" s="174" t="s">
        <v>170</v>
      </c>
      <c r="DY56" s="174"/>
      <c r="DZ56" s="174">
        <v>65</v>
      </c>
      <c r="EA56" s="174">
        <v>1.2</v>
      </c>
      <c r="EB56" s="175">
        <v>87</v>
      </c>
      <c r="EC56" s="175">
        <v>1.5</v>
      </c>
      <c r="ED56" s="174">
        <v>3</v>
      </c>
      <c r="EE56" s="181" t="e">
        <f>qmz/qz/Kes.w</f>
        <v>#VALUE!</v>
      </c>
      <c r="EF56" s="174"/>
      <c r="EG56" s="174"/>
      <c r="EH56" s="174"/>
      <c r="EI56" s="174"/>
      <c r="EK56" s="2" t="s">
        <v>478</v>
      </c>
      <c r="EL56" s="2">
        <v>45</v>
      </c>
      <c r="EN56" s="176">
        <v>52</v>
      </c>
    </row>
    <row r="57" spans="1:194" ht="18" customHeight="1" x14ac:dyDescent="0.2">
      <c r="A57" s="165">
        <v>53</v>
      </c>
      <c r="B57" s="170" t="s">
        <v>481</v>
      </c>
      <c r="C57" s="171" t="s">
        <v>446</v>
      </c>
      <c r="D57" s="171"/>
      <c r="E57" s="171"/>
      <c r="F57" s="171"/>
      <c r="G57" s="171"/>
      <c r="H57" s="185"/>
      <c r="I57" s="185">
        <f>COUNTA('Distributed Load Tables'!$EK$4:$EK$1048576)</f>
        <v>0</v>
      </c>
      <c r="J57" s="185"/>
      <c r="K57" s="171"/>
      <c r="M57" s="176">
        <f t="shared" si="15"/>
        <v>53</v>
      </c>
      <c r="N57" s="170" t="str">
        <f t="shared" si="51"/>
        <v>1.2D + 1.5Lm_2 + 1.0Wm  | 60 deg</v>
      </c>
      <c r="O57" s="170" t="b">
        <v>1</v>
      </c>
      <c r="P57" s="170" t="str">
        <f t="shared" si="52"/>
        <v>Y</v>
      </c>
      <c r="Q57" s="170" t="str">
        <f t="shared" si="53"/>
        <v/>
      </c>
      <c r="R57" s="170">
        <f t="shared" si="54"/>
        <v>65</v>
      </c>
      <c r="S57" s="170">
        <f t="shared" si="55"/>
        <v>1.2</v>
      </c>
      <c r="T57" s="170">
        <f t="shared" si="56"/>
        <v>87</v>
      </c>
      <c r="U57" s="170">
        <f t="shared" si="57"/>
        <v>1.5</v>
      </c>
      <c r="V57" s="170">
        <f t="shared" si="58"/>
        <v>4</v>
      </c>
      <c r="W57" s="170" t="e">
        <f t="shared" si="59"/>
        <v>#VALUE!</v>
      </c>
      <c r="X57" s="170">
        <f t="shared" si="60"/>
        <v>20</v>
      </c>
      <c r="Y57" s="170" t="e">
        <f t="shared" si="61"/>
        <v>#VALUE!</v>
      </c>
      <c r="Z57" s="170" t="str">
        <f t="shared" si="46"/>
        <v/>
      </c>
      <c r="AA57" s="170" t="str">
        <f t="shared" si="47"/>
        <v/>
      </c>
      <c r="AC57" s="176">
        <v>53</v>
      </c>
      <c r="AD57" s="170" t="s">
        <v>1742</v>
      </c>
      <c r="AE57" s="170" t="b">
        <v>1</v>
      </c>
      <c r="AF57" s="170" t="s">
        <v>170</v>
      </c>
      <c r="AG57" s="170"/>
      <c r="AH57" s="170">
        <v>65</v>
      </c>
      <c r="AI57" s="170">
        <v>1.2</v>
      </c>
      <c r="AJ57" s="170">
        <f t="shared" si="62"/>
        <v>87</v>
      </c>
      <c r="AK57" s="170">
        <v>1.5</v>
      </c>
      <c r="AL57" s="170">
        <v>4</v>
      </c>
      <c r="AM57" s="180" t="e">
        <f>qmz/qz/Kes.w</f>
        <v>#VALUE!</v>
      </c>
      <c r="AN57" s="170">
        <v>20</v>
      </c>
      <c r="AO57" s="180" t="e">
        <f>qmz/qz/Kes.w</f>
        <v>#VALUE!</v>
      </c>
      <c r="AP57" s="170"/>
      <c r="AQ57" s="170"/>
      <c r="AS57" s="176">
        <v>53</v>
      </c>
      <c r="AT57" s="170" t="s">
        <v>1743</v>
      </c>
      <c r="AU57" s="170" t="b">
        <v>1</v>
      </c>
      <c r="AV57" s="170" t="s">
        <v>170</v>
      </c>
      <c r="AW57" s="170"/>
      <c r="AX57" s="170">
        <v>65</v>
      </c>
      <c r="AY57" s="170">
        <v>1.2</v>
      </c>
      <c r="AZ57" s="170">
        <v>4</v>
      </c>
      <c r="BA57" s="180" t="e">
        <f>qmz/qz/Kes.w</f>
        <v>#VALUE!</v>
      </c>
      <c r="BB57" s="170">
        <v>20</v>
      </c>
      <c r="BC57" s="180" t="e">
        <f>qmz/qz/Kes.w</f>
        <v>#VALUE!</v>
      </c>
      <c r="BD57" s="170"/>
      <c r="BE57" s="170"/>
      <c r="BF57" s="170"/>
      <c r="BG57" s="170"/>
      <c r="BI57" s="176">
        <v>53</v>
      </c>
      <c r="BJ57" s="170" t="s">
        <v>1742</v>
      </c>
      <c r="BK57" s="170" t="b">
        <v>1</v>
      </c>
      <c r="BL57" s="170" t="s">
        <v>170</v>
      </c>
      <c r="BM57" s="170"/>
      <c r="BN57" s="170">
        <v>65</v>
      </c>
      <c r="BO57" s="170">
        <v>1.2</v>
      </c>
      <c r="BP57" s="170">
        <f t="shared" si="63"/>
        <v>87</v>
      </c>
      <c r="BQ57" s="170">
        <v>1.5</v>
      </c>
      <c r="BR57" s="170">
        <v>4</v>
      </c>
      <c r="BS57" s="180" t="e">
        <f>qmz/qz/Kes.w</f>
        <v>#VALUE!</v>
      </c>
      <c r="BT57" s="170">
        <v>20</v>
      </c>
      <c r="BU57" s="180" t="e">
        <f>qmz/qz/Kes.w</f>
        <v>#VALUE!</v>
      </c>
      <c r="BV57" s="170"/>
      <c r="BW57" s="170"/>
      <c r="BY57" s="176">
        <v>53</v>
      </c>
      <c r="BZ57" s="246" t="s">
        <v>1744</v>
      </c>
      <c r="CA57" s="246" t="b">
        <v>1</v>
      </c>
      <c r="CB57" s="246" t="s">
        <v>170</v>
      </c>
      <c r="CC57" s="246"/>
      <c r="CD57" s="246">
        <v>65</v>
      </c>
      <c r="CE57" s="246">
        <v>1</v>
      </c>
      <c r="CF57" s="170">
        <f t="shared" si="48"/>
        <v>87</v>
      </c>
      <c r="CG57" s="246">
        <v>1.25</v>
      </c>
      <c r="CH57" s="246">
        <v>4</v>
      </c>
      <c r="CI57" s="251" t="e">
        <f t="shared" si="32"/>
        <v>#VALUE!</v>
      </c>
      <c r="CJ57" s="246">
        <v>20</v>
      </c>
      <c r="CK57" s="251" t="e">
        <f t="shared" si="33"/>
        <v>#VALUE!</v>
      </c>
      <c r="CL57" s="246"/>
      <c r="CM57" s="246"/>
      <c r="CO57" s="176">
        <v>53</v>
      </c>
      <c r="CP57" s="246" t="s">
        <v>1744</v>
      </c>
      <c r="CQ57" s="246" t="b">
        <v>1</v>
      </c>
      <c r="CR57" s="246" t="s">
        <v>170</v>
      </c>
      <c r="CS57" s="246"/>
      <c r="CT57" s="246">
        <v>65</v>
      </c>
      <c r="CU57" s="246">
        <v>1</v>
      </c>
      <c r="CV57" s="170">
        <f t="shared" si="49"/>
        <v>87</v>
      </c>
      <c r="CW57" s="246">
        <v>1.25</v>
      </c>
      <c r="CX57" s="246">
        <v>4</v>
      </c>
      <c r="CY57" s="251" t="e">
        <f t="shared" si="35"/>
        <v>#VALUE!</v>
      </c>
      <c r="CZ57" s="246">
        <v>20</v>
      </c>
      <c r="DA57" s="251" t="e">
        <f t="shared" si="36"/>
        <v>#VALUE!</v>
      </c>
      <c r="DB57" s="246"/>
      <c r="DC57" s="246"/>
      <c r="DE57" s="176">
        <v>53</v>
      </c>
      <c r="DF57" s="246" t="s">
        <v>1744</v>
      </c>
      <c r="DG57" s="246" t="b">
        <v>1</v>
      </c>
      <c r="DH57" s="246" t="s">
        <v>170</v>
      </c>
      <c r="DI57" s="246"/>
      <c r="DJ57" s="246">
        <v>65</v>
      </c>
      <c r="DK57" s="246">
        <v>1</v>
      </c>
      <c r="DL57" s="170">
        <f t="shared" si="50"/>
        <v>87</v>
      </c>
      <c r="DM57" s="246">
        <v>1.25</v>
      </c>
      <c r="DN57" s="246">
        <v>4</v>
      </c>
      <c r="DO57" s="251" t="e">
        <f t="shared" si="38"/>
        <v>#VALUE!</v>
      </c>
      <c r="DP57" s="246">
        <v>20</v>
      </c>
      <c r="DQ57" s="251" t="e">
        <f t="shared" si="39"/>
        <v>#VALUE!</v>
      </c>
      <c r="DR57" s="246"/>
      <c r="DS57" s="246"/>
      <c r="DU57" s="176">
        <v>53</v>
      </c>
      <c r="DV57" s="170" t="str">
        <f t="shared" si="40"/>
        <v>0.9D + 1.0W (60 deg</v>
      </c>
      <c r="DW57" s="170">
        <v>1</v>
      </c>
      <c r="DX57" s="170" t="s">
        <v>170</v>
      </c>
      <c r="DY57" s="170"/>
      <c r="DZ57" s="170">
        <v>65</v>
      </c>
      <c r="EA57" s="170">
        <v>1.2</v>
      </c>
      <c r="EB57" s="170">
        <v>87</v>
      </c>
      <c r="EC57" s="170">
        <v>1.5</v>
      </c>
      <c r="ED57" s="170">
        <v>4</v>
      </c>
      <c r="EE57" s="180" t="e">
        <f>qmz/qz/Kes.w</f>
        <v>#VALUE!</v>
      </c>
      <c r="EF57" s="170"/>
      <c r="EG57" s="170"/>
      <c r="EH57" s="170"/>
      <c r="EI57" s="170"/>
      <c r="EK57" s="2" t="s">
        <v>478</v>
      </c>
      <c r="EL57" s="2">
        <v>60</v>
      </c>
      <c r="EN57" s="176">
        <v>53</v>
      </c>
    </row>
    <row r="58" spans="1:194" ht="18" customHeight="1" x14ac:dyDescent="0.2">
      <c r="A58" s="165">
        <v>54</v>
      </c>
      <c r="B58" s="174" t="s">
        <v>482</v>
      </c>
      <c r="C58" s="174" t="s">
        <v>446</v>
      </c>
      <c r="D58" s="174"/>
      <c r="E58" s="174"/>
      <c r="F58" s="174"/>
      <c r="G58" s="174"/>
      <c r="H58" s="186"/>
      <c r="I58" s="186">
        <f>COUNTA('Distributed Load Tables'!$ER$4:$ER$1048576)</f>
        <v>0</v>
      </c>
      <c r="J58" s="186"/>
      <c r="K58" s="174"/>
      <c r="M58" s="176">
        <f t="shared" si="15"/>
        <v>54</v>
      </c>
      <c r="N58" s="174" t="str">
        <f t="shared" si="51"/>
        <v>1.2D + 1.5Lm_2 + 1.0Wm  | 90 deg</v>
      </c>
      <c r="O58" s="174" t="b">
        <v>1</v>
      </c>
      <c r="P58" s="174" t="str">
        <f t="shared" si="52"/>
        <v>Y</v>
      </c>
      <c r="Q58" s="174" t="str">
        <f t="shared" si="53"/>
        <v/>
      </c>
      <c r="R58" s="174">
        <f t="shared" si="54"/>
        <v>65</v>
      </c>
      <c r="S58" s="174">
        <f t="shared" si="55"/>
        <v>1.2</v>
      </c>
      <c r="T58" s="174">
        <f t="shared" si="56"/>
        <v>87</v>
      </c>
      <c r="U58" s="174">
        <f t="shared" si="57"/>
        <v>1.5</v>
      </c>
      <c r="V58" s="174">
        <f t="shared" si="58"/>
        <v>5</v>
      </c>
      <c r="W58" s="174" t="e">
        <f t="shared" si="59"/>
        <v>#VALUE!</v>
      </c>
      <c r="X58" s="174">
        <f t="shared" si="60"/>
        <v>21</v>
      </c>
      <c r="Y58" s="174" t="e">
        <f t="shared" si="61"/>
        <v>#VALUE!</v>
      </c>
      <c r="Z58" s="174" t="str">
        <f t="shared" si="46"/>
        <v/>
      </c>
      <c r="AA58" s="174" t="str">
        <f t="shared" si="47"/>
        <v/>
      </c>
      <c r="AC58" s="176">
        <v>54</v>
      </c>
      <c r="AD58" s="174" t="s">
        <v>1766</v>
      </c>
      <c r="AE58" s="174" t="b">
        <v>1</v>
      </c>
      <c r="AF58" s="174" t="s">
        <v>170</v>
      </c>
      <c r="AG58" s="174"/>
      <c r="AH58" s="174">
        <v>65</v>
      </c>
      <c r="AI58" s="174">
        <v>1.2</v>
      </c>
      <c r="AJ58" s="175">
        <f t="shared" si="62"/>
        <v>87</v>
      </c>
      <c r="AK58" s="175">
        <v>1.5</v>
      </c>
      <c r="AL58" s="174">
        <v>5</v>
      </c>
      <c r="AM58" s="181" t="e">
        <f>qmz/qz/Kes.w</f>
        <v>#VALUE!</v>
      </c>
      <c r="AN58" s="174">
        <v>21</v>
      </c>
      <c r="AO58" s="181" t="e">
        <f>qmz/qz/Kes.w</f>
        <v>#VALUE!</v>
      </c>
      <c r="AP58" s="174"/>
      <c r="AQ58" s="174"/>
      <c r="AS58" s="176">
        <v>54</v>
      </c>
      <c r="AT58" s="174" t="s">
        <v>1767</v>
      </c>
      <c r="AU58" s="174" t="b">
        <v>1</v>
      </c>
      <c r="AV58" s="174" t="s">
        <v>170</v>
      </c>
      <c r="AW58" s="174"/>
      <c r="AX58" s="174">
        <v>65</v>
      </c>
      <c r="AY58" s="174">
        <v>1.2</v>
      </c>
      <c r="AZ58" s="174">
        <v>5</v>
      </c>
      <c r="BA58" s="181" t="e">
        <f>qmz/qz/Kes.w</f>
        <v>#VALUE!</v>
      </c>
      <c r="BB58" s="174">
        <v>21</v>
      </c>
      <c r="BC58" s="181" t="e">
        <f>qmz/qz/Kes.w</f>
        <v>#VALUE!</v>
      </c>
      <c r="BD58" s="174"/>
      <c r="BE58" s="174"/>
      <c r="BF58" s="174"/>
      <c r="BG58" s="174"/>
      <c r="BI58" s="176">
        <v>54</v>
      </c>
      <c r="BJ58" s="174" t="s">
        <v>1766</v>
      </c>
      <c r="BK58" s="174" t="b">
        <v>1</v>
      </c>
      <c r="BL58" s="174" t="s">
        <v>170</v>
      </c>
      <c r="BM58" s="174"/>
      <c r="BN58" s="174">
        <v>65</v>
      </c>
      <c r="BO58" s="174">
        <v>1.2</v>
      </c>
      <c r="BP58" s="175">
        <f t="shared" si="63"/>
        <v>87</v>
      </c>
      <c r="BQ58" s="175">
        <v>1.5</v>
      </c>
      <c r="BR58" s="174">
        <v>5</v>
      </c>
      <c r="BS58" s="181" t="e">
        <f>qmz/qz/Kes.w</f>
        <v>#VALUE!</v>
      </c>
      <c r="BT58" s="174">
        <v>21</v>
      </c>
      <c r="BU58" s="181" t="e">
        <f>qmz/qz/Kes.w</f>
        <v>#VALUE!</v>
      </c>
      <c r="BV58" s="174"/>
      <c r="BW58" s="174"/>
      <c r="BY58" s="176">
        <v>54</v>
      </c>
      <c r="BZ58" s="249" t="s">
        <v>1768</v>
      </c>
      <c r="CA58" s="249" t="b">
        <v>1</v>
      </c>
      <c r="CB58" s="249" t="s">
        <v>170</v>
      </c>
      <c r="CC58" s="249"/>
      <c r="CD58" s="249">
        <v>65</v>
      </c>
      <c r="CE58" s="249">
        <v>1</v>
      </c>
      <c r="CF58" s="175">
        <f t="shared" si="48"/>
        <v>87</v>
      </c>
      <c r="CG58" s="248">
        <v>1.25</v>
      </c>
      <c r="CH58" s="249">
        <v>5</v>
      </c>
      <c r="CI58" s="252" t="e">
        <f t="shared" si="32"/>
        <v>#VALUE!</v>
      </c>
      <c r="CJ58" s="249">
        <v>21</v>
      </c>
      <c r="CK58" s="252" t="e">
        <f t="shared" si="33"/>
        <v>#VALUE!</v>
      </c>
      <c r="CL58" s="249"/>
      <c r="CM58" s="249"/>
      <c r="CO58" s="176">
        <v>54</v>
      </c>
      <c r="CP58" s="249" t="s">
        <v>1768</v>
      </c>
      <c r="CQ58" s="249" t="b">
        <v>1</v>
      </c>
      <c r="CR58" s="249" t="s">
        <v>170</v>
      </c>
      <c r="CS58" s="249"/>
      <c r="CT58" s="249">
        <v>65</v>
      </c>
      <c r="CU58" s="249">
        <v>1</v>
      </c>
      <c r="CV58" s="175">
        <f t="shared" si="49"/>
        <v>87</v>
      </c>
      <c r="CW58" s="248">
        <v>1.25</v>
      </c>
      <c r="CX58" s="249">
        <v>5</v>
      </c>
      <c r="CY58" s="252" t="e">
        <f t="shared" si="35"/>
        <v>#VALUE!</v>
      </c>
      <c r="CZ58" s="249">
        <v>21</v>
      </c>
      <c r="DA58" s="252" t="e">
        <f t="shared" si="36"/>
        <v>#VALUE!</v>
      </c>
      <c r="DB58" s="249"/>
      <c r="DC58" s="249"/>
      <c r="DE58" s="176">
        <v>54</v>
      </c>
      <c r="DF58" s="249" t="s">
        <v>1768</v>
      </c>
      <c r="DG58" s="249" t="b">
        <v>1</v>
      </c>
      <c r="DH58" s="249" t="s">
        <v>170</v>
      </c>
      <c r="DI58" s="249"/>
      <c r="DJ58" s="249">
        <v>65</v>
      </c>
      <c r="DK58" s="249">
        <v>1</v>
      </c>
      <c r="DL58" s="175">
        <f t="shared" si="50"/>
        <v>87</v>
      </c>
      <c r="DM58" s="248">
        <v>1.25</v>
      </c>
      <c r="DN58" s="249">
        <v>5</v>
      </c>
      <c r="DO58" s="252" t="e">
        <f t="shared" si="38"/>
        <v>#VALUE!</v>
      </c>
      <c r="DP58" s="249">
        <v>21</v>
      </c>
      <c r="DQ58" s="252" t="e">
        <f t="shared" si="39"/>
        <v>#VALUE!</v>
      </c>
      <c r="DR58" s="249"/>
      <c r="DS58" s="249"/>
      <c r="DU58" s="176">
        <v>54</v>
      </c>
      <c r="DV58" s="174" t="str">
        <f t="shared" si="40"/>
        <v>0.9D + 1.0W (90 deg</v>
      </c>
      <c r="DW58" s="174">
        <v>1</v>
      </c>
      <c r="DX58" s="174" t="s">
        <v>170</v>
      </c>
      <c r="DY58" s="174"/>
      <c r="DZ58" s="174">
        <v>65</v>
      </c>
      <c r="EA58" s="174">
        <v>1.2</v>
      </c>
      <c r="EB58" s="175">
        <v>87</v>
      </c>
      <c r="EC58" s="175">
        <v>1.5</v>
      </c>
      <c r="ED58" s="174">
        <v>5</v>
      </c>
      <c r="EE58" s="181" t="e">
        <f>qmz/qz/Kes.w</f>
        <v>#VALUE!</v>
      </c>
      <c r="EF58" s="174"/>
      <c r="EG58" s="174"/>
      <c r="EH58" s="174"/>
      <c r="EI58" s="174"/>
      <c r="EK58" s="2" t="s">
        <v>478</v>
      </c>
      <c r="EL58" s="2">
        <v>90</v>
      </c>
      <c r="EN58" s="176">
        <v>54</v>
      </c>
    </row>
    <row r="59" spans="1:194" ht="18" customHeight="1" x14ac:dyDescent="0.2">
      <c r="A59" s="165">
        <v>55</v>
      </c>
      <c r="B59" s="170" t="s">
        <v>483</v>
      </c>
      <c r="C59" s="171" t="s">
        <v>446</v>
      </c>
      <c r="D59" s="171"/>
      <c r="E59" s="171"/>
      <c r="F59" s="171"/>
      <c r="G59" s="171"/>
      <c r="H59" s="185"/>
      <c r="I59" s="185">
        <f>COUNTA('Distributed Load Tables'!$EY$4:$EY$1048576)</f>
        <v>0</v>
      </c>
      <c r="J59" s="185"/>
      <c r="K59" s="171"/>
      <c r="M59" s="176">
        <f t="shared" si="15"/>
        <v>55</v>
      </c>
      <c r="N59" s="170" t="str">
        <f t="shared" si="51"/>
        <v>1.2D + 1.5Lm_2 + 1.0Wm  | 120 deg</v>
      </c>
      <c r="O59" s="170" t="b">
        <v>1</v>
      </c>
      <c r="P59" s="170" t="str">
        <f t="shared" si="52"/>
        <v>Y</v>
      </c>
      <c r="Q59" s="170" t="str">
        <f t="shared" si="53"/>
        <v/>
      </c>
      <c r="R59" s="170">
        <f t="shared" si="54"/>
        <v>65</v>
      </c>
      <c r="S59" s="170">
        <f t="shared" si="55"/>
        <v>1.2</v>
      </c>
      <c r="T59" s="170">
        <f t="shared" si="56"/>
        <v>87</v>
      </c>
      <c r="U59" s="170">
        <f t="shared" si="57"/>
        <v>1.5</v>
      </c>
      <c r="V59" s="170">
        <f t="shared" si="58"/>
        <v>6</v>
      </c>
      <c r="W59" s="170" t="e">
        <f t="shared" si="59"/>
        <v>#VALUE!</v>
      </c>
      <c r="X59" s="170">
        <f t="shared" si="60"/>
        <v>22</v>
      </c>
      <c r="Y59" s="170" t="e">
        <f t="shared" si="61"/>
        <v>#VALUE!</v>
      </c>
      <c r="Z59" s="170" t="str">
        <f t="shared" si="46"/>
        <v/>
      </c>
      <c r="AA59" s="170" t="str">
        <f t="shared" si="47"/>
        <v/>
      </c>
      <c r="AC59" s="176">
        <v>55</v>
      </c>
      <c r="AD59" s="170" t="s">
        <v>1454</v>
      </c>
      <c r="AE59" s="170" t="b">
        <v>1</v>
      </c>
      <c r="AF59" s="170" t="s">
        <v>170</v>
      </c>
      <c r="AG59" s="170"/>
      <c r="AH59" s="170">
        <v>65</v>
      </c>
      <c r="AI59" s="170">
        <v>1.2</v>
      </c>
      <c r="AJ59" s="170">
        <f t="shared" si="62"/>
        <v>87</v>
      </c>
      <c r="AK59" s="170">
        <v>1.5</v>
      </c>
      <c r="AL59" s="170">
        <v>6</v>
      </c>
      <c r="AM59" s="180" t="e">
        <f>qmz/qz/Kes.w</f>
        <v>#VALUE!</v>
      </c>
      <c r="AN59" s="170">
        <v>22</v>
      </c>
      <c r="AO59" s="180" t="e">
        <f>qmz/qz/Kes.w</f>
        <v>#VALUE!</v>
      </c>
      <c r="AP59" s="170"/>
      <c r="AQ59" s="170"/>
      <c r="AS59" s="176">
        <v>55</v>
      </c>
      <c r="AT59" s="170" t="s">
        <v>1455</v>
      </c>
      <c r="AU59" s="170" t="b">
        <v>1</v>
      </c>
      <c r="AV59" s="170" t="s">
        <v>170</v>
      </c>
      <c r="AW59" s="170"/>
      <c r="AX59" s="170">
        <v>65</v>
      </c>
      <c r="AY59" s="170">
        <v>1.2</v>
      </c>
      <c r="AZ59" s="170">
        <v>6</v>
      </c>
      <c r="BA59" s="180" t="e">
        <f>qmz/qz/Kes.w</f>
        <v>#VALUE!</v>
      </c>
      <c r="BB59" s="170">
        <v>22</v>
      </c>
      <c r="BC59" s="180" t="e">
        <f>qmz/qz/Kes.w</f>
        <v>#VALUE!</v>
      </c>
      <c r="BD59" s="170"/>
      <c r="BE59" s="170"/>
      <c r="BF59" s="170"/>
      <c r="BG59" s="170"/>
      <c r="BI59" s="176">
        <v>55</v>
      </c>
      <c r="BJ59" s="170" t="s">
        <v>1454</v>
      </c>
      <c r="BK59" s="170" t="b">
        <v>1</v>
      </c>
      <c r="BL59" s="170" t="s">
        <v>170</v>
      </c>
      <c r="BM59" s="170"/>
      <c r="BN59" s="170">
        <v>65</v>
      </c>
      <c r="BO59" s="170">
        <v>1.2</v>
      </c>
      <c r="BP59" s="170">
        <f t="shared" si="63"/>
        <v>87</v>
      </c>
      <c r="BQ59" s="170">
        <v>1.5</v>
      </c>
      <c r="BR59" s="170">
        <v>6</v>
      </c>
      <c r="BS59" s="180" t="e">
        <f>qmz/qz/Kes.w</f>
        <v>#VALUE!</v>
      </c>
      <c r="BT59" s="170">
        <v>22</v>
      </c>
      <c r="BU59" s="180" t="e">
        <f>qmz/qz/Kes.w</f>
        <v>#VALUE!</v>
      </c>
      <c r="BV59" s="170"/>
      <c r="BW59" s="170"/>
      <c r="BY59" s="176">
        <v>55</v>
      </c>
      <c r="BZ59" s="246" t="s">
        <v>1456</v>
      </c>
      <c r="CA59" s="246" t="b">
        <v>1</v>
      </c>
      <c r="CB59" s="246" t="s">
        <v>170</v>
      </c>
      <c r="CC59" s="246"/>
      <c r="CD59" s="246">
        <v>65</v>
      </c>
      <c r="CE59" s="246">
        <v>1</v>
      </c>
      <c r="CF59" s="170">
        <f t="shared" si="48"/>
        <v>87</v>
      </c>
      <c r="CG59" s="246">
        <v>1.25</v>
      </c>
      <c r="CH59" s="246">
        <v>6</v>
      </c>
      <c r="CI59" s="251" t="e">
        <f t="shared" si="32"/>
        <v>#VALUE!</v>
      </c>
      <c r="CJ59" s="246">
        <v>22</v>
      </c>
      <c r="CK59" s="251" t="e">
        <f t="shared" si="33"/>
        <v>#VALUE!</v>
      </c>
      <c r="CL59" s="246"/>
      <c r="CM59" s="246"/>
      <c r="CO59" s="176">
        <v>55</v>
      </c>
      <c r="CP59" s="246" t="s">
        <v>1456</v>
      </c>
      <c r="CQ59" s="246" t="b">
        <v>1</v>
      </c>
      <c r="CR59" s="246" t="s">
        <v>170</v>
      </c>
      <c r="CS59" s="246"/>
      <c r="CT59" s="246">
        <v>65</v>
      </c>
      <c r="CU59" s="246">
        <v>1</v>
      </c>
      <c r="CV59" s="170">
        <f t="shared" si="49"/>
        <v>87</v>
      </c>
      <c r="CW59" s="246">
        <v>1.25</v>
      </c>
      <c r="CX59" s="246">
        <v>6</v>
      </c>
      <c r="CY59" s="251" t="e">
        <f t="shared" si="35"/>
        <v>#VALUE!</v>
      </c>
      <c r="CZ59" s="246">
        <v>22</v>
      </c>
      <c r="DA59" s="251" t="e">
        <f t="shared" si="36"/>
        <v>#VALUE!</v>
      </c>
      <c r="DB59" s="246"/>
      <c r="DC59" s="246"/>
      <c r="DE59" s="176">
        <v>55</v>
      </c>
      <c r="DF59" s="246" t="s">
        <v>1456</v>
      </c>
      <c r="DG59" s="246" t="b">
        <v>1</v>
      </c>
      <c r="DH59" s="246" t="s">
        <v>170</v>
      </c>
      <c r="DI59" s="246"/>
      <c r="DJ59" s="246">
        <v>65</v>
      </c>
      <c r="DK59" s="246">
        <v>1</v>
      </c>
      <c r="DL59" s="170">
        <f t="shared" si="50"/>
        <v>87</v>
      </c>
      <c r="DM59" s="246">
        <v>1.25</v>
      </c>
      <c r="DN59" s="246">
        <v>6</v>
      </c>
      <c r="DO59" s="251" t="e">
        <f t="shared" si="38"/>
        <v>#VALUE!</v>
      </c>
      <c r="DP59" s="246">
        <v>22</v>
      </c>
      <c r="DQ59" s="251" t="e">
        <f t="shared" si="39"/>
        <v>#VALUE!</v>
      </c>
      <c r="DR59" s="246"/>
      <c r="DS59" s="246"/>
      <c r="DU59" s="176">
        <v>55</v>
      </c>
      <c r="DV59" s="170" t="str">
        <f t="shared" si="40"/>
        <v>0.9D + 1.0W (120 deg</v>
      </c>
      <c r="DW59" s="170">
        <v>1</v>
      </c>
      <c r="DX59" s="170" t="s">
        <v>170</v>
      </c>
      <c r="DY59" s="170"/>
      <c r="DZ59" s="170">
        <v>65</v>
      </c>
      <c r="EA59" s="170">
        <v>1.2</v>
      </c>
      <c r="EB59" s="170">
        <v>87</v>
      </c>
      <c r="EC59" s="170">
        <v>1.5</v>
      </c>
      <c r="ED59" s="170">
        <v>6</v>
      </c>
      <c r="EE59" s="180" t="e">
        <f>qmz/qz/Kes.w</f>
        <v>#VALUE!</v>
      </c>
      <c r="EF59" s="170"/>
      <c r="EG59" s="170"/>
      <c r="EH59" s="170"/>
      <c r="EI59" s="170"/>
      <c r="EK59" s="2" t="s">
        <v>478</v>
      </c>
      <c r="EL59" s="2">
        <v>120</v>
      </c>
      <c r="EN59" s="176">
        <v>55</v>
      </c>
    </row>
    <row r="60" spans="1:194" ht="18" customHeight="1" x14ac:dyDescent="0.2">
      <c r="A60" s="165">
        <v>56</v>
      </c>
      <c r="B60" s="174" t="s">
        <v>484</v>
      </c>
      <c r="C60" s="174" t="s">
        <v>446</v>
      </c>
      <c r="D60" s="174"/>
      <c r="E60" s="174"/>
      <c r="F60" s="174"/>
      <c r="G60" s="174"/>
      <c r="H60" s="186"/>
      <c r="I60" s="186">
        <f>COUNTA('Distributed Load Tables'!$FF$4:$FF$1048576)</f>
        <v>0</v>
      </c>
      <c r="J60" s="186"/>
      <c r="K60" s="174"/>
      <c r="M60" s="176">
        <f t="shared" si="15"/>
        <v>56</v>
      </c>
      <c r="N60" s="174" t="str">
        <f t="shared" si="51"/>
        <v>1.2D + 1.5Lm_2 + 1.0Wm  | 135 deg</v>
      </c>
      <c r="O60" s="174" t="b">
        <v>1</v>
      </c>
      <c r="P60" s="174" t="str">
        <f t="shared" si="52"/>
        <v>Y</v>
      </c>
      <c r="Q60" s="174" t="str">
        <f t="shared" si="53"/>
        <v/>
      </c>
      <c r="R60" s="174">
        <f t="shared" si="54"/>
        <v>65</v>
      </c>
      <c r="S60" s="174">
        <f t="shared" si="55"/>
        <v>1.2</v>
      </c>
      <c r="T60" s="174">
        <f t="shared" si="56"/>
        <v>87</v>
      </c>
      <c r="U60" s="174">
        <f t="shared" si="57"/>
        <v>1.5</v>
      </c>
      <c r="V60" s="174">
        <f t="shared" si="58"/>
        <v>7</v>
      </c>
      <c r="W60" s="174" t="e">
        <f t="shared" si="59"/>
        <v>#VALUE!</v>
      </c>
      <c r="X60" s="174">
        <f t="shared" si="60"/>
        <v>23</v>
      </c>
      <c r="Y60" s="174" t="e">
        <f t="shared" si="61"/>
        <v>#VALUE!</v>
      </c>
      <c r="Z60" s="174" t="str">
        <f t="shared" si="46"/>
        <v/>
      </c>
      <c r="AA60" s="174" t="str">
        <f t="shared" si="47"/>
        <v/>
      </c>
      <c r="AC60" s="176">
        <v>56</v>
      </c>
      <c r="AD60" s="174" t="s">
        <v>1457</v>
      </c>
      <c r="AE60" s="174" t="b">
        <v>1</v>
      </c>
      <c r="AF60" s="174" t="s">
        <v>170</v>
      </c>
      <c r="AG60" s="174"/>
      <c r="AH60" s="174">
        <v>65</v>
      </c>
      <c r="AI60" s="174">
        <v>1.2</v>
      </c>
      <c r="AJ60" s="175">
        <f t="shared" si="62"/>
        <v>87</v>
      </c>
      <c r="AK60" s="175">
        <v>1.5</v>
      </c>
      <c r="AL60" s="174">
        <v>7</v>
      </c>
      <c r="AM60" s="181" t="e">
        <f>qmz/qz/Kes.w</f>
        <v>#VALUE!</v>
      </c>
      <c r="AN60" s="174">
        <v>23</v>
      </c>
      <c r="AO60" s="181" t="e">
        <f>qmz/qz/Kes.w</f>
        <v>#VALUE!</v>
      </c>
      <c r="AP60" s="174"/>
      <c r="AQ60" s="174"/>
      <c r="AS60" s="176">
        <v>56</v>
      </c>
      <c r="AT60" s="174" t="s">
        <v>1458</v>
      </c>
      <c r="AU60" s="174"/>
      <c r="AV60" s="174" t="s">
        <v>170</v>
      </c>
      <c r="AW60" s="174"/>
      <c r="AX60" s="174">
        <v>65</v>
      </c>
      <c r="AY60" s="174">
        <v>1.2</v>
      </c>
      <c r="AZ60" s="174">
        <v>7</v>
      </c>
      <c r="BA60" s="181" t="e">
        <f>qmz/qz/Kes.w</f>
        <v>#VALUE!</v>
      </c>
      <c r="BB60" s="174">
        <v>23</v>
      </c>
      <c r="BC60" s="181" t="e">
        <f>qmz/qz/Kes.w</f>
        <v>#VALUE!</v>
      </c>
      <c r="BD60" s="174"/>
      <c r="BE60" s="174"/>
      <c r="BF60" s="174"/>
      <c r="BG60" s="174"/>
      <c r="BI60" s="176">
        <v>56</v>
      </c>
      <c r="BJ60" s="174" t="s">
        <v>1457</v>
      </c>
      <c r="BK60" s="174" t="b">
        <v>1</v>
      </c>
      <c r="BL60" s="174" t="s">
        <v>170</v>
      </c>
      <c r="BM60" s="174"/>
      <c r="BN60" s="174">
        <v>65</v>
      </c>
      <c r="BO60" s="174">
        <v>1.2</v>
      </c>
      <c r="BP60" s="175">
        <f t="shared" si="63"/>
        <v>87</v>
      </c>
      <c r="BQ60" s="175">
        <v>1.5</v>
      </c>
      <c r="BR60" s="174">
        <v>7</v>
      </c>
      <c r="BS60" s="181" t="e">
        <f>qmz/qz/Kes.w</f>
        <v>#VALUE!</v>
      </c>
      <c r="BT60" s="174">
        <v>23</v>
      </c>
      <c r="BU60" s="181" t="e">
        <f>qmz/qz/Kes.w</f>
        <v>#VALUE!</v>
      </c>
      <c r="BV60" s="174"/>
      <c r="BW60" s="174"/>
      <c r="BY60" s="176">
        <v>56</v>
      </c>
      <c r="BZ60" s="249" t="s">
        <v>1459</v>
      </c>
      <c r="CA60" s="249" t="b">
        <v>1</v>
      </c>
      <c r="CB60" s="249" t="s">
        <v>170</v>
      </c>
      <c r="CC60" s="249"/>
      <c r="CD60" s="249">
        <v>65</v>
      </c>
      <c r="CE60" s="249">
        <v>1</v>
      </c>
      <c r="CF60" s="175">
        <f t="shared" si="48"/>
        <v>87</v>
      </c>
      <c r="CG60" s="248">
        <v>1.25</v>
      </c>
      <c r="CH60" s="249">
        <v>7</v>
      </c>
      <c r="CI60" s="252" t="e">
        <f t="shared" si="32"/>
        <v>#VALUE!</v>
      </c>
      <c r="CJ60" s="249">
        <v>23</v>
      </c>
      <c r="CK60" s="252" t="e">
        <f t="shared" si="33"/>
        <v>#VALUE!</v>
      </c>
      <c r="CL60" s="249"/>
      <c r="CM60" s="249"/>
      <c r="CO60" s="176">
        <v>56</v>
      </c>
      <c r="CP60" s="249" t="s">
        <v>1459</v>
      </c>
      <c r="CQ60" s="249" t="b">
        <v>1</v>
      </c>
      <c r="CR60" s="249" t="s">
        <v>170</v>
      </c>
      <c r="CS60" s="249"/>
      <c r="CT60" s="249">
        <v>65</v>
      </c>
      <c r="CU60" s="249">
        <v>1</v>
      </c>
      <c r="CV60" s="175">
        <f t="shared" si="49"/>
        <v>87</v>
      </c>
      <c r="CW60" s="248">
        <v>1.25</v>
      </c>
      <c r="CX60" s="249">
        <v>7</v>
      </c>
      <c r="CY60" s="252" t="e">
        <f t="shared" si="35"/>
        <v>#VALUE!</v>
      </c>
      <c r="CZ60" s="249">
        <v>23</v>
      </c>
      <c r="DA60" s="252" t="e">
        <f t="shared" si="36"/>
        <v>#VALUE!</v>
      </c>
      <c r="DB60" s="249"/>
      <c r="DC60" s="249"/>
      <c r="DE60" s="176">
        <v>56</v>
      </c>
      <c r="DF60" s="249" t="s">
        <v>1459</v>
      </c>
      <c r="DG60" s="249" t="b">
        <v>1</v>
      </c>
      <c r="DH60" s="249" t="s">
        <v>170</v>
      </c>
      <c r="DI60" s="249"/>
      <c r="DJ60" s="249">
        <v>65</v>
      </c>
      <c r="DK60" s="249">
        <v>1</v>
      </c>
      <c r="DL60" s="175">
        <f t="shared" si="50"/>
        <v>87</v>
      </c>
      <c r="DM60" s="248">
        <v>1.25</v>
      </c>
      <c r="DN60" s="249">
        <v>7</v>
      </c>
      <c r="DO60" s="252" t="e">
        <f t="shared" si="38"/>
        <v>#VALUE!</v>
      </c>
      <c r="DP60" s="249">
        <v>23</v>
      </c>
      <c r="DQ60" s="252" t="e">
        <f t="shared" si="39"/>
        <v>#VALUE!</v>
      </c>
      <c r="DR60" s="249"/>
      <c r="DS60" s="249"/>
      <c r="DU60" s="176">
        <v>56</v>
      </c>
      <c r="DV60" s="174" t="str">
        <f t="shared" si="40"/>
        <v>0.9D + 1.0W (135 deg</v>
      </c>
      <c r="DW60" s="174">
        <v>1</v>
      </c>
      <c r="DX60" s="174" t="s">
        <v>170</v>
      </c>
      <c r="DY60" s="174"/>
      <c r="DZ60" s="174">
        <v>65</v>
      </c>
      <c r="EA60" s="174">
        <v>1.2</v>
      </c>
      <c r="EB60" s="175">
        <v>87</v>
      </c>
      <c r="EC60" s="175">
        <v>1.5</v>
      </c>
      <c r="ED60" s="174">
        <v>7</v>
      </c>
      <c r="EE60" s="181" t="e">
        <f>qmz/qz/Kes.w</f>
        <v>#VALUE!</v>
      </c>
      <c r="EF60" s="174"/>
      <c r="EG60" s="174"/>
      <c r="EH60" s="174"/>
      <c r="EI60" s="174"/>
      <c r="EK60" s="2" t="s">
        <v>478</v>
      </c>
      <c r="EL60" s="2">
        <v>135</v>
      </c>
      <c r="EN60" s="176">
        <v>56</v>
      </c>
    </row>
    <row r="61" spans="1:194" ht="18" customHeight="1" x14ac:dyDescent="0.2">
      <c r="A61" s="165">
        <v>57</v>
      </c>
      <c r="B61" s="170" t="s">
        <v>485</v>
      </c>
      <c r="C61" s="171" t="s">
        <v>446</v>
      </c>
      <c r="D61" s="171"/>
      <c r="E61" s="171"/>
      <c r="F61" s="171"/>
      <c r="G61" s="171"/>
      <c r="H61" s="185"/>
      <c r="I61" s="185">
        <f>COUNTA('Distributed Load Tables'!$FM$4:$FM$1048576)</f>
        <v>0</v>
      </c>
      <c r="J61" s="185"/>
      <c r="K61" s="171"/>
      <c r="M61" s="176">
        <f t="shared" si="15"/>
        <v>57</v>
      </c>
      <c r="N61" s="170" t="str">
        <f t="shared" si="51"/>
        <v>1.2D + 1.5Lm_2 + 1.0Wm  | 150 deg</v>
      </c>
      <c r="O61" s="170" t="b">
        <v>1</v>
      </c>
      <c r="P61" s="170" t="str">
        <f t="shared" si="52"/>
        <v>Y</v>
      </c>
      <c r="Q61" s="170" t="str">
        <f t="shared" si="53"/>
        <v/>
      </c>
      <c r="R61" s="170">
        <f t="shared" si="54"/>
        <v>65</v>
      </c>
      <c r="S61" s="170">
        <f t="shared" si="55"/>
        <v>1.2</v>
      </c>
      <c r="T61" s="170">
        <f t="shared" si="56"/>
        <v>87</v>
      </c>
      <c r="U61" s="170">
        <f t="shared" si="57"/>
        <v>1.5</v>
      </c>
      <c r="V61" s="170">
        <f t="shared" si="58"/>
        <v>8</v>
      </c>
      <c r="W61" s="170" t="e">
        <f t="shared" si="59"/>
        <v>#VALUE!</v>
      </c>
      <c r="X61" s="170">
        <f t="shared" si="60"/>
        <v>24</v>
      </c>
      <c r="Y61" s="170" t="e">
        <f t="shared" si="61"/>
        <v>#VALUE!</v>
      </c>
      <c r="Z61" s="170" t="str">
        <f t="shared" si="46"/>
        <v/>
      </c>
      <c r="AA61" s="170" t="str">
        <f t="shared" si="47"/>
        <v/>
      </c>
      <c r="AC61" s="176">
        <v>57</v>
      </c>
      <c r="AD61" s="170" t="s">
        <v>1460</v>
      </c>
      <c r="AE61" s="170" t="b">
        <v>1</v>
      </c>
      <c r="AF61" s="170" t="s">
        <v>170</v>
      </c>
      <c r="AG61" s="170"/>
      <c r="AH61" s="170">
        <v>65</v>
      </c>
      <c r="AI61" s="170">
        <v>1.2</v>
      </c>
      <c r="AJ61" s="170">
        <f t="shared" si="62"/>
        <v>87</v>
      </c>
      <c r="AK61" s="170">
        <v>1.5</v>
      </c>
      <c r="AL61" s="170">
        <v>8</v>
      </c>
      <c r="AM61" s="180" t="e">
        <f>qmz/qz/Kes.w</f>
        <v>#VALUE!</v>
      </c>
      <c r="AN61" s="170">
        <v>24</v>
      </c>
      <c r="AO61" s="180" t="e">
        <f>qmz/qz/Kes.w</f>
        <v>#VALUE!</v>
      </c>
      <c r="AP61" s="170"/>
      <c r="AQ61" s="170"/>
      <c r="AS61" s="176">
        <v>57</v>
      </c>
      <c r="AT61" s="170" t="s">
        <v>1461</v>
      </c>
      <c r="AU61" s="170" t="b">
        <v>1</v>
      </c>
      <c r="AV61" s="170" t="s">
        <v>170</v>
      </c>
      <c r="AW61" s="170"/>
      <c r="AX61" s="170">
        <v>65</v>
      </c>
      <c r="AY61" s="170">
        <v>1.2</v>
      </c>
      <c r="AZ61" s="170">
        <v>8</v>
      </c>
      <c r="BA61" s="180" t="e">
        <f>qmz/qz/Kes.w</f>
        <v>#VALUE!</v>
      </c>
      <c r="BB61" s="170">
        <v>24</v>
      </c>
      <c r="BC61" s="180" t="e">
        <f>qmz/qz/Kes.w</f>
        <v>#VALUE!</v>
      </c>
      <c r="BD61" s="170"/>
      <c r="BE61" s="170"/>
      <c r="BF61" s="170"/>
      <c r="BG61" s="170"/>
      <c r="BI61" s="176">
        <v>57</v>
      </c>
      <c r="BJ61" s="170" t="s">
        <v>1460</v>
      </c>
      <c r="BK61" s="170" t="b">
        <v>1</v>
      </c>
      <c r="BL61" s="170" t="s">
        <v>170</v>
      </c>
      <c r="BM61" s="170"/>
      <c r="BN61" s="170">
        <v>65</v>
      </c>
      <c r="BO61" s="170">
        <v>1.2</v>
      </c>
      <c r="BP61" s="170">
        <f t="shared" si="63"/>
        <v>87</v>
      </c>
      <c r="BQ61" s="170">
        <v>1.5</v>
      </c>
      <c r="BR61" s="170">
        <v>8</v>
      </c>
      <c r="BS61" s="180" t="e">
        <f>qmz/qz/Kes.w</f>
        <v>#VALUE!</v>
      </c>
      <c r="BT61" s="170">
        <v>24</v>
      </c>
      <c r="BU61" s="180" t="e">
        <f>qmz/qz/Kes.w</f>
        <v>#VALUE!</v>
      </c>
      <c r="BV61" s="170"/>
      <c r="BW61" s="170"/>
      <c r="BY61" s="176">
        <v>57</v>
      </c>
      <c r="BZ61" s="246" t="s">
        <v>1462</v>
      </c>
      <c r="CA61" s="246" t="b">
        <v>1</v>
      </c>
      <c r="CB61" s="246" t="s">
        <v>170</v>
      </c>
      <c r="CC61" s="246"/>
      <c r="CD61" s="246">
        <v>65</v>
      </c>
      <c r="CE61" s="246">
        <v>1</v>
      </c>
      <c r="CF61" s="170">
        <f t="shared" si="48"/>
        <v>87</v>
      </c>
      <c r="CG61" s="246">
        <v>1.25</v>
      </c>
      <c r="CH61" s="246">
        <v>8</v>
      </c>
      <c r="CI61" s="251" t="e">
        <f t="shared" si="32"/>
        <v>#VALUE!</v>
      </c>
      <c r="CJ61" s="246">
        <v>24</v>
      </c>
      <c r="CK61" s="251" t="e">
        <f t="shared" si="33"/>
        <v>#VALUE!</v>
      </c>
      <c r="CL61" s="246"/>
      <c r="CM61" s="246"/>
      <c r="CO61" s="176">
        <v>57</v>
      </c>
      <c r="CP61" s="246" t="s">
        <v>1462</v>
      </c>
      <c r="CQ61" s="246" t="b">
        <v>1</v>
      </c>
      <c r="CR61" s="246" t="s">
        <v>170</v>
      </c>
      <c r="CS61" s="246"/>
      <c r="CT61" s="246">
        <v>65</v>
      </c>
      <c r="CU61" s="246">
        <v>1</v>
      </c>
      <c r="CV61" s="170">
        <f t="shared" si="49"/>
        <v>87</v>
      </c>
      <c r="CW61" s="246">
        <v>1.25</v>
      </c>
      <c r="CX61" s="246">
        <v>8</v>
      </c>
      <c r="CY61" s="251" t="e">
        <f t="shared" si="35"/>
        <v>#VALUE!</v>
      </c>
      <c r="CZ61" s="246">
        <v>24</v>
      </c>
      <c r="DA61" s="251" t="e">
        <f t="shared" si="36"/>
        <v>#VALUE!</v>
      </c>
      <c r="DB61" s="246"/>
      <c r="DC61" s="246"/>
      <c r="DE61" s="176">
        <v>57</v>
      </c>
      <c r="DF61" s="246" t="s">
        <v>1462</v>
      </c>
      <c r="DG61" s="246" t="b">
        <v>1</v>
      </c>
      <c r="DH61" s="246" t="s">
        <v>170</v>
      </c>
      <c r="DI61" s="246"/>
      <c r="DJ61" s="246">
        <v>65</v>
      </c>
      <c r="DK61" s="246">
        <v>1</v>
      </c>
      <c r="DL61" s="170">
        <f t="shared" si="50"/>
        <v>87</v>
      </c>
      <c r="DM61" s="246">
        <v>1.25</v>
      </c>
      <c r="DN61" s="246">
        <v>8</v>
      </c>
      <c r="DO61" s="251" t="e">
        <f t="shared" si="38"/>
        <v>#VALUE!</v>
      </c>
      <c r="DP61" s="246">
        <v>24</v>
      </c>
      <c r="DQ61" s="251" t="e">
        <f t="shared" si="39"/>
        <v>#VALUE!</v>
      </c>
      <c r="DR61" s="246"/>
      <c r="DS61" s="246"/>
      <c r="DU61" s="176">
        <v>57</v>
      </c>
      <c r="DV61" s="170" t="str">
        <f t="shared" si="40"/>
        <v>0.9D + 1.0W (150 deg</v>
      </c>
      <c r="DW61" s="170">
        <v>1</v>
      </c>
      <c r="DX61" s="170" t="s">
        <v>170</v>
      </c>
      <c r="DY61" s="170"/>
      <c r="DZ61" s="170">
        <v>65</v>
      </c>
      <c r="EA61" s="170">
        <v>1.2</v>
      </c>
      <c r="EB61" s="170">
        <v>87</v>
      </c>
      <c r="EC61" s="170">
        <v>1.5</v>
      </c>
      <c r="ED61" s="170">
        <v>8</v>
      </c>
      <c r="EE61" s="180" t="e">
        <f>qmz/qz/Kes.w</f>
        <v>#VALUE!</v>
      </c>
      <c r="EF61" s="170"/>
      <c r="EG61" s="170"/>
      <c r="EH61" s="170"/>
      <c r="EI61" s="170"/>
      <c r="EK61" s="2" t="s">
        <v>478</v>
      </c>
      <c r="EL61" s="2">
        <v>150</v>
      </c>
      <c r="EN61" s="176">
        <v>57</v>
      </c>
    </row>
    <row r="62" spans="1:194" ht="18" customHeight="1" x14ac:dyDescent="0.2">
      <c r="A62" s="165">
        <v>58</v>
      </c>
      <c r="B62" s="174" t="s">
        <v>486</v>
      </c>
      <c r="C62" s="174" t="s">
        <v>446</v>
      </c>
      <c r="D62" s="174"/>
      <c r="E62" s="174"/>
      <c r="F62" s="174"/>
      <c r="G62" s="174"/>
      <c r="H62" s="186"/>
      <c r="I62" s="186">
        <f>COUNTA('Distributed Load Tables'!$FT$4:$FT$1048576)</f>
        <v>0</v>
      </c>
      <c r="J62" s="186"/>
      <c r="K62" s="174"/>
      <c r="M62" s="176">
        <f t="shared" si="15"/>
        <v>58</v>
      </c>
      <c r="N62" s="174" t="str">
        <f t="shared" si="51"/>
        <v>1.2D + 1.5Lm_2 + 1.0Wm  | 180 deg</v>
      </c>
      <c r="O62" s="174" t="b">
        <v>1</v>
      </c>
      <c r="P62" s="174" t="str">
        <f t="shared" si="52"/>
        <v>Y</v>
      </c>
      <c r="Q62" s="174" t="str">
        <f t="shared" si="53"/>
        <v/>
      </c>
      <c r="R62" s="174">
        <f t="shared" si="54"/>
        <v>65</v>
      </c>
      <c r="S62" s="174">
        <f t="shared" si="55"/>
        <v>1.2</v>
      </c>
      <c r="T62" s="174">
        <f t="shared" si="56"/>
        <v>87</v>
      </c>
      <c r="U62" s="174">
        <f t="shared" si="57"/>
        <v>1.5</v>
      </c>
      <c r="V62" s="174">
        <f t="shared" si="58"/>
        <v>9</v>
      </c>
      <c r="W62" s="174" t="e">
        <f t="shared" si="59"/>
        <v>#VALUE!</v>
      </c>
      <c r="X62" s="174">
        <f t="shared" si="60"/>
        <v>25</v>
      </c>
      <c r="Y62" s="174" t="e">
        <f t="shared" si="61"/>
        <v>#VALUE!</v>
      </c>
      <c r="Z62" s="174" t="str">
        <f t="shared" si="46"/>
        <v/>
      </c>
      <c r="AA62" s="174" t="str">
        <f t="shared" si="47"/>
        <v/>
      </c>
      <c r="AC62" s="176">
        <v>58</v>
      </c>
      <c r="AD62" s="174" t="s">
        <v>1463</v>
      </c>
      <c r="AE62" s="174" t="b">
        <v>1</v>
      </c>
      <c r="AF62" s="174" t="s">
        <v>170</v>
      </c>
      <c r="AG62" s="174"/>
      <c r="AH62" s="174">
        <v>65</v>
      </c>
      <c r="AI62" s="174">
        <v>1.2</v>
      </c>
      <c r="AJ62" s="175">
        <f t="shared" si="62"/>
        <v>87</v>
      </c>
      <c r="AK62" s="175">
        <v>1.5</v>
      </c>
      <c r="AL62" s="174">
        <v>9</v>
      </c>
      <c r="AM62" s="181" t="e">
        <f>qmz/qz/Kes.w</f>
        <v>#VALUE!</v>
      </c>
      <c r="AN62" s="174">
        <v>25</v>
      </c>
      <c r="AO62" s="181" t="e">
        <f>qmz/qz/Kes.w</f>
        <v>#VALUE!</v>
      </c>
      <c r="AP62" s="174"/>
      <c r="AQ62" s="174"/>
      <c r="AS62" s="176">
        <v>58</v>
      </c>
      <c r="AT62" s="174" t="s">
        <v>1464</v>
      </c>
      <c r="AU62" s="174" t="b">
        <v>1</v>
      </c>
      <c r="AV62" s="174" t="s">
        <v>170</v>
      </c>
      <c r="AW62" s="174"/>
      <c r="AX62" s="174">
        <v>65</v>
      </c>
      <c r="AY62" s="174">
        <v>1.2</v>
      </c>
      <c r="AZ62" s="174">
        <v>9</v>
      </c>
      <c r="BA62" s="181" t="e">
        <f>qmz/qz/Kes.w</f>
        <v>#VALUE!</v>
      </c>
      <c r="BB62" s="174">
        <v>25</v>
      </c>
      <c r="BC62" s="181" t="e">
        <f>qmz/qz/Kes.w</f>
        <v>#VALUE!</v>
      </c>
      <c r="BD62" s="174"/>
      <c r="BE62" s="174"/>
      <c r="BF62" s="174"/>
      <c r="BG62" s="174"/>
      <c r="BI62" s="176">
        <v>58</v>
      </c>
      <c r="BJ62" s="174" t="s">
        <v>1463</v>
      </c>
      <c r="BK62" s="174" t="b">
        <v>1</v>
      </c>
      <c r="BL62" s="174" t="s">
        <v>170</v>
      </c>
      <c r="BM62" s="174"/>
      <c r="BN62" s="174">
        <v>65</v>
      </c>
      <c r="BO62" s="174">
        <v>1.2</v>
      </c>
      <c r="BP62" s="175">
        <f t="shared" si="63"/>
        <v>87</v>
      </c>
      <c r="BQ62" s="175">
        <v>1.5</v>
      </c>
      <c r="BR62" s="174">
        <v>9</v>
      </c>
      <c r="BS62" s="181" t="e">
        <f>qmz/qz/Kes.w</f>
        <v>#VALUE!</v>
      </c>
      <c r="BT62" s="174">
        <v>25</v>
      </c>
      <c r="BU62" s="181" t="e">
        <f>qmz/qz/Kes.w</f>
        <v>#VALUE!</v>
      </c>
      <c r="BV62" s="174"/>
      <c r="BW62" s="174"/>
      <c r="BY62" s="176">
        <v>58</v>
      </c>
      <c r="BZ62" s="249" t="s">
        <v>1465</v>
      </c>
      <c r="CA62" s="249" t="b">
        <v>1</v>
      </c>
      <c r="CB62" s="249" t="s">
        <v>170</v>
      </c>
      <c r="CC62" s="249"/>
      <c r="CD62" s="249">
        <v>65</v>
      </c>
      <c r="CE62" s="249">
        <v>1</v>
      </c>
      <c r="CF62" s="175">
        <f t="shared" si="48"/>
        <v>87</v>
      </c>
      <c r="CG62" s="248">
        <v>1.25</v>
      </c>
      <c r="CH62" s="249">
        <v>9</v>
      </c>
      <c r="CI62" s="252" t="e">
        <f t="shared" si="32"/>
        <v>#VALUE!</v>
      </c>
      <c r="CJ62" s="249">
        <v>25</v>
      </c>
      <c r="CK62" s="252" t="e">
        <f t="shared" si="33"/>
        <v>#VALUE!</v>
      </c>
      <c r="CL62" s="249"/>
      <c r="CM62" s="249"/>
      <c r="CO62" s="176">
        <v>58</v>
      </c>
      <c r="CP62" s="249" t="s">
        <v>1465</v>
      </c>
      <c r="CQ62" s="249" t="b">
        <v>1</v>
      </c>
      <c r="CR62" s="249" t="s">
        <v>170</v>
      </c>
      <c r="CS62" s="249"/>
      <c r="CT62" s="249">
        <v>65</v>
      </c>
      <c r="CU62" s="249">
        <v>1</v>
      </c>
      <c r="CV62" s="175">
        <f t="shared" si="49"/>
        <v>87</v>
      </c>
      <c r="CW62" s="248">
        <v>1.25</v>
      </c>
      <c r="CX62" s="249">
        <v>9</v>
      </c>
      <c r="CY62" s="252" t="e">
        <f t="shared" si="35"/>
        <v>#VALUE!</v>
      </c>
      <c r="CZ62" s="249">
        <v>25</v>
      </c>
      <c r="DA62" s="252" t="e">
        <f t="shared" si="36"/>
        <v>#VALUE!</v>
      </c>
      <c r="DB62" s="249"/>
      <c r="DC62" s="249"/>
      <c r="DE62" s="176">
        <v>58</v>
      </c>
      <c r="DF62" s="249" t="s">
        <v>1465</v>
      </c>
      <c r="DG62" s="249" t="b">
        <v>1</v>
      </c>
      <c r="DH62" s="249" t="s">
        <v>170</v>
      </c>
      <c r="DI62" s="249"/>
      <c r="DJ62" s="249">
        <v>65</v>
      </c>
      <c r="DK62" s="249">
        <v>1</v>
      </c>
      <c r="DL62" s="175">
        <f t="shared" si="50"/>
        <v>87</v>
      </c>
      <c r="DM62" s="248">
        <v>1.25</v>
      </c>
      <c r="DN62" s="249">
        <v>9</v>
      </c>
      <c r="DO62" s="252" t="e">
        <f t="shared" si="38"/>
        <v>#VALUE!</v>
      </c>
      <c r="DP62" s="249">
        <v>25</v>
      </c>
      <c r="DQ62" s="252" t="e">
        <f t="shared" si="39"/>
        <v>#VALUE!</v>
      </c>
      <c r="DR62" s="249"/>
      <c r="DS62" s="249"/>
      <c r="DU62" s="176">
        <v>58</v>
      </c>
      <c r="DV62" s="174" t="str">
        <f t="shared" si="40"/>
        <v>0.9D + 1.0W (180 deg</v>
      </c>
      <c r="DW62" s="174">
        <v>1</v>
      </c>
      <c r="DX62" s="174" t="s">
        <v>170</v>
      </c>
      <c r="DY62" s="174"/>
      <c r="DZ62" s="174">
        <v>65</v>
      </c>
      <c r="EA62" s="174">
        <v>1.2</v>
      </c>
      <c r="EB62" s="175">
        <v>87</v>
      </c>
      <c r="EC62" s="175">
        <v>1.5</v>
      </c>
      <c r="ED62" s="174">
        <v>9</v>
      </c>
      <c r="EE62" s="181" t="e">
        <f>qmz/qz/Kes.w</f>
        <v>#VALUE!</v>
      </c>
      <c r="EF62" s="174"/>
      <c r="EG62" s="174"/>
      <c r="EH62" s="174"/>
      <c r="EI62" s="174"/>
      <c r="EK62" s="2" t="s">
        <v>478</v>
      </c>
      <c r="EL62" s="2">
        <v>180</v>
      </c>
      <c r="EN62" s="176">
        <v>58</v>
      </c>
    </row>
    <row r="63" spans="1:194" ht="18" customHeight="1" x14ac:dyDescent="0.2">
      <c r="A63" s="165">
        <v>59</v>
      </c>
      <c r="B63" s="170" t="s">
        <v>487</v>
      </c>
      <c r="C63" s="171" t="s">
        <v>446</v>
      </c>
      <c r="D63" s="171"/>
      <c r="E63" s="171"/>
      <c r="F63" s="171"/>
      <c r="G63" s="171"/>
      <c r="H63" s="185"/>
      <c r="I63" s="185">
        <f>COUNTA('Distributed Load Tables'!$GA$4:$GA$1048576)</f>
        <v>0</v>
      </c>
      <c r="J63" s="185"/>
      <c r="K63" s="171"/>
      <c r="M63" s="176">
        <f t="shared" si="15"/>
        <v>59</v>
      </c>
      <c r="N63" s="170" t="str">
        <f t="shared" si="51"/>
        <v>1.2D + 1.5Lm_2 + 1.0Wm  | 210 deg</v>
      </c>
      <c r="O63" s="170" t="b">
        <v>1</v>
      </c>
      <c r="P63" s="170" t="str">
        <f t="shared" si="52"/>
        <v>Y</v>
      </c>
      <c r="Q63" s="170" t="str">
        <f t="shared" si="53"/>
        <v/>
      </c>
      <c r="R63" s="170">
        <f t="shared" si="54"/>
        <v>65</v>
      </c>
      <c r="S63" s="170">
        <f t="shared" si="55"/>
        <v>1.2</v>
      </c>
      <c r="T63" s="170">
        <f t="shared" si="56"/>
        <v>87</v>
      </c>
      <c r="U63" s="170">
        <f t="shared" si="57"/>
        <v>1.5</v>
      </c>
      <c r="V63" s="170">
        <f t="shared" si="58"/>
        <v>10</v>
      </c>
      <c r="W63" s="170" t="e">
        <f t="shared" si="59"/>
        <v>#VALUE!</v>
      </c>
      <c r="X63" s="170">
        <f t="shared" si="60"/>
        <v>26</v>
      </c>
      <c r="Y63" s="170" t="e">
        <f t="shared" si="61"/>
        <v>#VALUE!</v>
      </c>
      <c r="Z63" s="170" t="str">
        <f t="shared" si="46"/>
        <v/>
      </c>
      <c r="AA63" s="170" t="str">
        <f t="shared" si="47"/>
        <v/>
      </c>
      <c r="AC63" s="176">
        <v>59</v>
      </c>
      <c r="AD63" s="170" t="s">
        <v>1550</v>
      </c>
      <c r="AE63" s="170" t="b">
        <v>1</v>
      </c>
      <c r="AF63" s="170" t="s">
        <v>170</v>
      </c>
      <c r="AG63" s="170"/>
      <c r="AH63" s="170">
        <v>65</v>
      </c>
      <c r="AI63" s="170">
        <v>1.2</v>
      </c>
      <c r="AJ63" s="170">
        <f t="shared" si="62"/>
        <v>87</v>
      </c>
      <c r="AK63" s="170">
        <v>1.5</v>
      </c>
      <c r="AL63" s="170">
        <v>10</v>
      </c>
      <c r="AM63" s="180" t="e">
        <f>qmz/qz/Kes.w</f>
        <v>#VALUE!</v>
      </c>
      <c r="AN63" s="170">
        <v>26</v>
      </c>
      <c r="AO63" s="180" t="e">
        <f>qmz/qz/Kes.w</f>
        <v>#VALUE!</v>
      </c>
      <c r="AP63" s="170"/>
      <c r="AQ63" s="170"/>
      <c r="AS63" s="176">
        <v>59</v>
      </c>
      <c r="AT63" s="170" t="s">
        <v>1551</v>
      </c>
      <c r="AU63" s="170" t="b">
        <v>1</v>
      </c>
      <c r="AV63" s="170" t="s">
        <v>170</v>
      </c>
      <c r="AW63" s="170"/>
      <c r="AX63" s="170">
        <v>65</v>
      </c>
      <c r="AY63" s="170">
        <v>1.2</v>
      </c>
      <c r="AZ63" s="170">
        <v>10</v>
      </c>
      <c r="BA63" s="180" t="e">
        <f>qmz/qz/Kes.w</f>
        <v>#VALUE!</v>
      </c>
      <c r="BB63" s="170">
        <v>26</v>
      </c>
      <c r="BC63" s="180" t="e">
        <f>qmz/qz/Kes.w</f>
        <v>#VALUE!</v>
      </c>
      <c r="BD63" s="170"/>
      <c r="BE63" s="170"/>
      <c r="BF63" s="170"/>
      <c r="BG63" s="170"/>
      <c r="BI63" s="176">
        <v>59</v>
      </c>
      <c r="BJ63" s="170" t="s">
        <v>1550</v>
      </c>
      <c r="BK63" s="170" t="b">
        <v>1</v>
      </c>
      <c r="BL63" s="170" t="s">
        <v>170</v>
      </c>
      <c r="BM63" s="170"/>
      <c r="BN63" s="170">
        <v>65</v>
      </c>
      <c r="BO63" s="170">
        <v>1.2</v>
      </c>
      <c r="BP63" s="170">
        <f t="shared" si="63"/>
        <v>87</v>
      </c>
      <c r="BQ63" s="170">
        <v>1.5</v>
      </c>
      <c r="BR63" s="170">
        <v>10</v>
      </c>
      <c r="BS63" s="180" t="e">
        <f>qmz/qz/Kes.w</f>
        <v>#VALUE!</v>
      </c>
      <c r="BT63" s="170">
        <v>26</v>
      </c>
      <c r="BU63" s="180" t="e">
        <f>qmz/qz/Kes.w</f>
        <v>#VALUE!</v>
      </c>
      <c r="BV63" s="170"/>
      <c r="BW63" s="170"/>
      <c r="BY63" s="176">
        <v>59</v>
      </c>
      <c r="BZ63" s="246" t="s">
        <v>1552</v>
      </c>
      <c r="CA63" s="246" t="b">
        <v>1</v>
      </c>
      <c r="CB63" s="246" t="s">
        <v>170</v>
      </c>
      <c r="CC63" s="246"/>
      <c r="CD63" s="246">
        <v>65</v>
      </c>
      <c r="CE63" s="246">
        <v>1</v>
      </c>
      <c r="CF63" s="170">
        <f t="shared" si="48"/>
        <v>87</v>
      </c>
      <c r="CG63" s="246">
        <v>1.25</v>
      </c>
      <c r="CH63" s="246">
        <v>10</v>
      </c>
      <c r="CI63" s="251" t="e">
        <f t="shared" si="32"/>
        <v>#VALUE!</v>
      </c>
      <c r="CJ63" s="246">
        <v>26</v>
      </c>
      <c r="CK63" s="251" t="e">
        <f t="shared" si="33"/>
        <v>#VALUE!</v>
      </c>
      <c r="CL63" s="246"/>
      <c r="CM63" s="246"/>
      <c r="CO63" s="176">
        <v>59</v>
      </c>
      <c r="CP63" s="246" t="s">
        <v>1552</v>
      </c>
      <c r="CQ63" s="246" t="b">
        <v>1</v>
      </c>
      <c r="CR63" s="246" t="s">
        <v>170</v>
      </c>
      <c r="CS63" s="246"/>
      <c r="CT63" s="246">
        <v>65</v>
      </c>
      <c r="CU63" s="246">
        <v>1</v>
      </c>
      <c r="CV63" s="170">
        <f t="shared" si="49"/>
        <v>87</v>
      </c>
      <c r="CW63" s="246">
        <v>1.25</v>
      </c>
      <c r="CX63" s="246">
        <v>10</v>
      </c>
      <c r="CY63" s="251" t="e">
        <f t="shared" si="35"/>
        <v>#VALUE!</v>
      </c>
      <c r="CZ63" s="246">
        <v>26</v>
      </c>
      <c r="DA63" s="251" t="e">
        <f t="shared" si="36"/>
        <v>#VALUE!</v>
      </c>
      <c r="DB63" s="246"/>
      <c r="DC63" s="246"/>
      <c r="DE63" s="176">
        <v>59</v>
      </c>
      <c r="DF63" s="246" t="s">
        <v>1552</v>
      </c>
      <c r="DG63" s="246" t="b">
        <v>1</v>
      </c>
      <c r="DH63" s="246" t="s">
        <v>170</v>
      </c>
      <c r="DI63" s="246"/>
      <c r="DJ63" s="246">
        <v>65</v>
      </c>
      <c r="DK63" s="246">
        <v>1</v>
      </c>
      <c r="DL63" s="170">
        <f t="shared" si="50"/>
        <v>87</v>
      </c>
      <c r="DM63" s="246">
        <v>1.25</v>
      </c>
      <c r="DN63" s="246">
        <v>10</v>
      </c>
      <c r="DO63" s="251" t="e">
        <f t="shared" si="38"/>
        <v>#VALUE!</v>
      </c>
      <c r="DP63" s="246">
        <v>26</v>
      </c>
      <c r="DQ63" s="251" t="e">
        <f t="shared" si="39"/>
        <v>#VALUE!</v>
      </c>
      <c r="DR63" s="246"/>
      <c r="DS63" s="246"/>
      <c r="DU63" s="176">
        <v>59</v>
      </c>
      <c r="DV63" s="170" t="str">
        <f t="shared" si="40"/>
        <v>0.9D + 1.0W (210 deg</v>
      </c>
      <c r="DW63" s="170">
        <v>1</v>
      </c>
      <c r="DX63" s="170" t="s">
        <v>170</v>
      </c>
      <c r="DY63" s="170"/>
      <c r="DZ63" s="170">
        <v>65</v>
      </c>
      <c r="EA63" s="170">
        <v>1.2</v>
      </c>
      <c r="EB63" s="170">
        <v>87</v>
      </c>
      <c r="EC63" s="170">
        <v>1.5</v>
      </c>
      <c r="ED63" s="170">
        <v>10</v>
      </c>
      <c r="EE63" s="180" t="e">
        <f>qmz/qz/Kes.w</f>
        <v>#VALUE!</v>
      </c>
      <c r="EF63" s="170"/>
      <c r="EG63" s="170"/>
      <c r="EH63" s="170"/>
      <c r="EI63" s="170"/>
      <c r="EK63" s="2" t="s">
        <v>478</v>
      </c>
      <c r="EL63" s="2">
        <v>210</v>
      </c>
      <c r="EN63" s="176">
        <v>59</v>
      </c>
    </row>
    <row r="64" spans="1:194" ht="18" customHeight="1" x14ac:dyDescent="0.2">
      <c r="A64" s="165">
        <v>60</v>
      </c>
      <c r="B64" s="174" t="s">
        <v>488</v>
      </c>
      <c r="C64" s="174" t="s">
        <v>446</v>
      </c>
      <c r="D64" s="174"/>
      <c r="E64" s="174"/>
      <c r="F64" s="174"/>
      <c r="G64" s="174"/>
      <c r="H64" s="186"/>
      <c r="I64" s="186">
        <f>COUNTA('Distributed Load Tables'!$GH$4:$GH$1048576)</f>
        <v>0</v>
      </c>
      <c r="J64" s="186"/>
      <c r="K64" s="174"/>
      <c r="M64" s="176">
        <f t="shared" si="15"/>
        <v>60</v>
      </c>
      <c r="N64" s="174" t="str">
        <f t="shared" si="51"/>
        <v>1.2D + 1.5Lm_2 + 1.0Wm  | 225 deg</v>
      </c>
      <c r="O64" s="174" t="b">
        <v>1</v>
      </c>
      <c r="P64" s="174" t="str">
        <f t="shared" si="52"/>
        <v>Y</v>
      </c>
      <c r="Q64" s="174" t="str">
        <f t="shared" si="53"/>
        <v/>
      </c>
      <c r="R64" s="174">
        <f t="shared" si="54"/>
        <v>65</v>
      </c>
      <c r="S64" s="174">
        <f t="shared" si="55"/>
        <v>1.2</v>
      </c>
      <c r="T64" s="174">
        <f t="shared" si="56"/>
        <v>87</v>
      </c>
      <c r="U64" s="174">
        <f t="shared" si="57"/>
        <v>1.5</v>
      </c>
      <c r="V64" s="174">
        <f t="shared" si="58"/>
        <v>11</v>
      </c>
      <c r="W64" s="174" t="e">
        <f t="shared" si="59"/>
        <v>#VALUE!</v>
      </c>
      <c r="X64" s="174">
        <f t="shared" si="60"/>
        <v>27</v>
      </c>
      <c r="Y64" s="174" t="e">
        <f t="shared" si="61"/>
        <v>#VALUE!</v>
      </c>
      <c r="Z64" s="174" t="str">
        <f t="shared" si="46"/>
        <v/>
      </c>
      <c r="AA64" s="174" t="str">
        <f t="shared" si="47"/>
        <v/>
      </c>
      <c r="AC64" s="176">
        <v>60</v>
      </c>
      <c r="AD64" s="174" t="s">
        <v>1553</v>
      </c>
      <c r="AE64" s="174" t="b">
        <v>1</v>
      </c>
      <c r="AF64" s="174" t="s">
        <v>170</v>
      </c>
      <c r="AG64" s="174"/>
      <c r="AH64" s="174">
        <v>65</v>
      </c>
      <c r="AI64" s="174">
        <v>1.2</v>
      </c>
      <c r="AJ64" s="175">
        <f t="shared" si="62"/>
        <v>87</v>
      </c>
      <c r="AK64" s="175">
        <v>1.5</v>
      </c>
      <c r="AL64" s="174">
        <v>11</v>
      </c>
      <c r="AM64" s="181" t="e">
        <f>qmz/qz/Kes.w</f>
        <v>#VALUE!</v>
      </c>
      <c r="AN64" s="174">
        <v>27</v>
      </c>
      <c r="AO64" s="181" t="e">
        <f>qmz/qz/Kes.w</f>
        <v>#VALUE!</v>
      </c>
      <c r="AP64" s="174"/>
      <c r="AQ64" s="174"/>
      <c r="AS64" s="176">
        <v>60</v>
      </c>
      <c r="AT64" s="174" t="s">
        <v>1554</v>
      </c>
      <c r="AU64" s="174"/>
      <c r="AV64" s="174" t="s">
        <v>170</v>
      </c>
      <c r="AW64" s="174"/>
      <c r="AX64" s="174">
        <v>65</v>
      </c>
      <c r="AY64" s="174">
        <v>1.2</v>
      </c>
      <c r="AZ64" s="174">
        <v>11</v>
      </c>
      <c r="BA64" s="181" t="e">
        <f>qmz/qz/Kes.w</f>
        <v>#VALUE!</v>
      </c>
      <c r="BB64" s="174">
        <v>27</v>
      </c>
      <c r="BC64" s="181" t="e">
        <f>qmz/qz/Kes.w</f>
        <v>#VALUE!</v>
      </c>
      <c r="BD64" s="174"/>
      <c r="BE64" s="174"/>
      <c r="BF64" s="174"/>
      <c r="BG64" s="174"/>
      <c r="BI64" s="176">
        <v>60</v>
      </c>
      <c r="BJ64" s="174" t="s">
        <v>1553</v>
      </c>
      <c r="BK64" s="174" t="b">
        <v>1</v>
      </c>
      <c r="BL64" s="174" t="s">
        <v>170</v>
      </c>
      <c r="BM64" s="174"/>
      <c r="BN64" s="174">
        <v>65</v>
      </c>
      <c r="BO64" s="174">
        <v>1.2</v>
      </c>
      <c r="BP64" s="175">
        <f t="shared" si="63"/>
        <v>87</v>
      </c>
      <c r="BQ64" s="175">
        <v>1.5</v>
      </c>
      <c r="BR64" s="174">
        <v>11</v>
      </c>
      <c r="BS64" s="181" t="e">
        <f>qmz/qz/Kes.w</f>
        <v>#VALUE!</v>
      </c>
      <c r="BT64" s="174">
        <v>27</v>
      </c>
      <c r="BU64" s="181" t="e">
        <f>qmz/qz/Kes.w</f>
        <v>#VALUE!</v>
      </c>
      <c r="BV64" s="174"/>
      <c r="BW64" s="174"/>
      <c r="BY64" s="176">
        <v>60</v>
      </c>
      <c r="BZ64" s="249" t="s">
        <v>1555</v>
      </c>
      <c r="CA64" s="249" t="b">
        <v>1</v>
      </c>
      <c r="CB64" s="249" t="s">
        <v>170</v>
      </c>
      <c r="CC64" s="249"/>
      <c r="CD64" s="249">
        <v>65</v>
      </c>
      <c r="CE64" s="249">
        <v>1</v>
      </c>
      <c r="CF64" s="175">
        <f t="shared" si="48"/>
        <v>87</v>
      </c>
      <c r="CG64" s="248">
        <v>1.25</v>
      </c>
      <c r="CH64" s="249">
        <v>11</v>
      </c>
      <c r="CI64" s="252" t="e">
        <f t="shared" si="32"/>
        <v>#VALUE!</v>
      </c>
      <c r="CJ64" s="249">
        <v>27</v>
      </c>
      <c r="CK64" s="252" t="e">
        <f t="shared" si="33"/>
        <v>#VALUE!</v>
      </c>
      <c r="CL64" s="249"/>
      <c r="CM64" s="249"/>
      <c r="CO64" s="176">
        <v>60</v>
      </c>
      <c r="CP64" s="249" t="s">
        <v>1555</v>
      </c>
      <c r="CQ64" s="249" t="b">
        <v>1</v>
      </c>
      <c r="CR64" s="249" t="s">
        <v>170</v>
      </c>
      <c r="CS64" s="249"/>
      <c r="CT64" s="249">
        <v>65</v>
      </c>
      <c r="CU64" s="249">
        <v>1</v>
      </c>
      <c r="CV64" s="175">
        <f t="shared" si="49"/>
        <v>87</v>
      </c>
      <c r="CW64" s="248">
        <v>1.25</v>
      </c>
      <c r="CX64" s="249">
        <v>11</v>
      </c>
      <c r="CY64" s="252" t="e">
        <f t="shared" si="35"/>
        <v>#VALUE!</v>
      </c>
      <c r="CZ64" s="249">
        <v>27</v>
      </c>
      <c r="DA64" s="252" t="e">
        <f t="shared" si="36"/>
        <v>#VALUE!</v>
      </c>
      <c r="DB64" s="249"/>
      <c r="DC64" s="249"/>
      <c r="DE64" s="176">
        <v>60</v>
      </c>
      <c r="DF64" s="249" t="s">
        <v>1555</v>
      </c>
      <c r="DG64" s="249" t="b">
        <v>1</v>
      </c>
      <c r="DH64" s="249" t="s">
        <v>170</v>
      </c>
      <c r="DI64" s="249"/>
      <c r="DJ64" s="249">
        <v>65</v>
      </c>
      <c r="DK64" s="249">
        <v>1</v>
      </c>
      <c r="DL64" s="175">
        <f t="shared" si="50"/>
        <v>87</v>
      </c>
      <c r="DM64" s="248">
        <v>1.25</v>
      </c>
      <c r="DN64" s="249">
        <v>11</v>
      </c>
      <c r="DO64" s="252" t="e">
        <f t="shared" si="38"/>
        <v>#VALUE!</v>
      </c>
      <c r="DP64" s="249">
        <v>27</v>
      </c>
      <c r="DQ64" s="252" t="e">
        <f t="shared" si="39"/>
        <v>#VALUE!</v>
      </c>
      <c r="DR64" s="249"/>
      <c r="DS64" s="249"/>
      <c r="DU64" s="176">
        <v>60</v>
      </c>
      <c r="DV64" s="174" t="str">
        <f t="shared" si="40"/>
        <v>0.9D + 1.0W (225 deg</v>
      </c>
      <c r="DW64" s="174">
        <v>1</v>
      </c>
      <c r="DX64" s="174" t="s">
        <v>170</v>
      </c>
      <c r="DY64" s="174"/>
      <c r="DZ64" s="174">
        <v>65</v>
      </c>
      <c r="EA64" s="174">
        <v>1.2</v>
      </c>
      <c r="EB64" s="175">
        <v>87</v>
      </c>
      <c r="EC64" s="175">
        <v>1.5</v>
      </c>
      <c r="ED64" s="174">
        <v>11</v>
      </c>
      <c r="EE64" s="181" t="e">
        <f>qmz/qz/Kes.w</f>
        <v>#VALUE!</v>
      </c>
      <c r="EF64" s="174"/>
      <c r="EG64" s="174"/>
      <c r="EH64" s="174"/>
      <c r="EI64" s="174"/>
      <c r="EK64" s="2" t="s">
        <v>478</v>
      </c>
      <c r="EL64" s="2">
        <v>225</v>
      </c>
      <c r="EN64" s="176">
        <v>60</v>
      </c>
    </row>
    <row r="65" spans="1:144" ht="18" customHeight="1" x14ac:dyDescent="0.2">
      <c r="A65" s="165">
        <v>61</v>
      </c>
      <c r="B65" s="170" t="s">
        <v>489</v>
      </c>
      <c r="C65" s="171" t="s">
        <v>446</v>
      </c>
      <c r="D65" s="171"/>
      <c r="E65" s="171"/>
      <c r="F65" s="171"/>
      <c r="G65" s="171"/>
      <c r="H65" s="185"/>
      <c r="I65" s="185">
        <f>COUNTA('Distributed Load Tables'!$GO$4:$GO$1048576)</f>
        <v>0</v>
      </c>
      <c r="J65" s="185"/>
      <c r="K65" s="171"/>
      <c r="M65" s="176">
        <f t="shared" si="15"/>
        <v>61</v>
      </c>
      <c r="N65" s="170" t="str">
        <f t="shared" si="51"/>
        <v>1.2D + 1.5Lm_2 + 1.0Wm  | 240 deg</v>
      </c>
      <c r="O65" s="170" t="b">
        <v>1</v>
      </c>
      <c r="P65" s="170" t="str">
        <f t="shared" si="52"/>
        <v>Y</v>
      </c>
      <c r="Q65" s="170" t="str">
        <f t="shared" si="53"/>
        <v/>
      </c>
      <c r="R65" s="170">
        <f t="shared" si="54"/>
        <v>65</v>
      </c>
      <c r="S65" s="170">
        <f t="shared" si="55"/>
        <v>1.2</v>
      </c>
      <c r="T65" s="170">
        <f t="shared" si="56"/>
        <v>87</v>
      </c>
      <c r="U65" s="170">
        <f t="shared" si="57"/>
        <v>1.5</v>
      </c>
      <c r="V65" s="170">
        <f t="shared" si="58"/>
        <v>12</v>
      </c>
      <c r="W65" s="170" t="e">
        <f t="shared" si="59"/>
        <v>#VALUE!</v>
      </c>
      <c r="X65" s="170">
        <f t="shared" si="60"/>
        <v>28</v>
      </c>
      <c r="Y65" s="170" t="e">
        <f t="shared" si="61"/>
        <v>#VALUE!</v>
      </c>
      <c r="Z65" s="170" t="str">
        <f t="shared" si="46"/>
        <v/>
      </c>
      <c r="AA65" s="170" t="str">
        <f t="shared" si="47"/>
        <v/>
      </c>
      <c r="AC65" s="176">
        <v>61</v>
      </c>
      <c r="AD65" s="170" t="s">
        <v>1556</v>
      </c>
      <c r="AE65" s="170" t="b">
        <v>1</v>
      </c>
      <c r="AF65" s="170" t="s">
        <v>170</v>
      </c>
      <c r="AG65" s="170"/>
      <c r="AH65" s="170">
        <v>65</v>
      </c>
      <c r="AI65" s="170">
        <v>1.2</v>
      </c>
      <c r="AJ65" s="170">
        <f t="shared" si="62"/>
        <v>87</v>
      </c>
      <c r="AK65" s="170">
        <v>1.5</v>
      </c>
      <c r="AL65" s="170">
        <v>12</v>
      </c>
      <c r="AM65" s="180" t="e">
        <f>qmz/qz/Kes.w</f>
        <v>#VALUE!</v>
      </c>
      <c r="AN65" s="170">
        <v>28</v>
      </c>
      <c r="AO65" s="180" t="e">
        <f>qmz/qz/Kes.w</f>
        <v>#VALUE!</v>
      </c>
      <c r="AP65" s="170"/>
      <c r="AQ65" s="170"/>
      <c r="AS65" s="176">
        <v>61</v>
      </c>
      <c r="AT65" s="170" t="s">
        <v>1557</v>
      </c>
      <c r="AU65" s="170" t="b">
        <v>1</v>
      </c>
      <c r="AV65" s="170" t="s">
        <v>170</v>
      </c>
      <c r="AW65" s="170"/>
      <c r="AX65" s="170">
        <v>65</v>
      </c>
      <c r="AY65" s="170">
        <v>1.2</v>
      </c>
      <c r="AZ65" s="170">
        <v>12</v>
      </c>
      <c r="BA65" s="180" t="e">
        <f>qmz/qz/Kes.w</f>
        <v>#VALUE!</v>
      </c>
      <c r="BB65" s="170">
        <v>28</v>
      </c>
      <c r="BC65" s="180" t="e">
        <f>qmz/qz/Kes.w</f>
        <v>#VALUE!</v>
      </c>
      <c r="BD65" s="170"/>
      <c r="BE65" s="170"/>
      <c r="BF65" s="170"/>
      <c r="BG65" s="170"/>
      <c r="BI65" s="176">
        <v>61</v>
      </c>
      <c r="BJ65" s="170" t="s">
        <v>1556</v>
      </c>
      <c r="BK65" s="170" t="b">
        <v>1</v>
      </c>
      <c r="BL65" s="170" t="s">
        <v>170</v>
      </c>
      <c r="BM65" s="170"/>
      <c r="BN65" s="170">
        <v>65</v>
      </c>
      <c r="BO65" s="170">
        <v>1.2</v>
      </c>
      <c r="BP65" s="170">
        <f t="shared" si="63"/>
        <v>87</v>
      </c>
      <c r="BQ65" s="170">
        <v>1.5</v>
      </c>
      <c r="BR65" s="170">
        <v>12</v>
      </c>
      <c r="BS65" s="180" t="e">
        <f>qmz/qz/Kes.w</f>
        <v>#VALUE!</v>
      </c>
      <c r="BT65" s="170">
        <v>28</v>
      </c>
      <c r="BU65" s="180" t="e">
        <f>qmz/qz/Kes.w</f>
        <v>#VALUE!</v>
      </c>
      <c r="BV65" s="170"/>
      <c r="BW65" s="170"/>
      <c r="BY65" s="176">
        <v>61</v>
      </c>
      <c r="BZ65" s="246" t="s">
        <v>1558</v>
      </c>
      <c r="CA65" s="246" t="b">
        <v>1</v>
      </c>
      <c r="CB65" s="246" t="s">
        <v>170</v>
      </c>
      <c r="CC65" s="246"/>
      <c r="CD65" s="246">
        <v>65</v>
      </c>
      <c r="CE65" s="246">
        <v>1</v>
      </c>
      <c r="CF65" s="170">
        <f t="shared" si="48"/>
        <v>87</v>
      </c>
      <c r="CG65" s="246">
        <v>1.25</v>
      </c>
      <c r="CH65" s="246">
        <v>12</v>
      </c>
      <c r="CI65" s="251" t="e">
        <f t="shared" si="32"/>
        <v>#VALUE!</v>
      </c>
      <c r="CJ65" s="246">
        <v>28</v>
      </c>
      <c r="CK65" s="251" t="e">
        <f t="shared" si="33"/>
        <v>#VALUE!</v>
      </c>
      <c r="CL65" s="246"/>
      <c r="CM65" s="246"/>
      <c r="CO65" s="176">
        <v>61</v>
      </c>
      <c r="CP65" s="246" t="s">
        <v>1558</v>
      </c>
      <c r="CQ65" s="246" t="b">
        <v>1</v>
      </c>
      <c r="CR65" s="246" t="s">
        <v>170</v>
      </c>
      <c r="CS65" s="246"/>
      <c r="CT65" s="246">
        <v>65</v>
      </c>
      <c r="CU65" s="246">
        <v>1</v>
      </c>
      <c r="CV65" s="170">
        <f t="shared" si="49"/>
        <v>87</v>
      </c>
      <c r="CW65" s="246">
        <v>1.25</v>
      </c>
      <c r="CX65" s="246">
        <v>12</v>
      </c>
      <c r="CY65" s="251" t="e">
        <f t="shared" si="35"/>
        <v>#VALUE!</v>
      </c>
      <c r="CZ65" s="246">
        <v>28</v>
      </c>
      <c r="DA65" s="251" t="e">
        <f t="shared" si="36"/>
        <v>#VALUE!</v>
      </c>
      <c r="DB65" s="246"/>
      <c r="DC65" s="246"/>
      <c r="DE65" s="176">
        <v>61</v>
      </c>
      <c r="DF65" s="246" t="s">
        <v>1558</v>
      </c>
      <c r="DG65" s="246" t="b">
        <v>1</v>
      </c>
      <c r="DH65" s="246" t="s">
        <v>170</v>
      </c>
      <c r="DI65" s="246"/>
      <c r="DJ65" s="246">
        <v>65</v>
      </c>
      <c r="DK65" s="246">
        <v>1</v>
      </c>
      <c r="DL65" s="170">
        <f t="shared" si="50"/>
        <v>87</v>
      </c>
      <c r="DM65" s="246">
        <v>1.25</v>
      </c>
      <c r="DN65" s="246">
        <v>12</v>
      </c>
      <c r="DO65" s="251" t="e">
        <f t="shared" si="38"/>
        <v>#VALUE!</v>
      </c>
      <c r="DP65" s="246">
        <v>28</v>
      </c>
      <c r="DQ65" s="251" t="e">
        <f t="shared" si="39"/>
        <v>#VALUE!</v>
      </c>
      <c r="DR65" s="246"/>
      <c r="DS65" s="246"/>
      <c r="DU65" s="176">
        <v>61</v>
      </c>
      <c r="DV65" s="170" t="str">
        <f t="shared" si="40"/>
        <v>0.9D + 1.0W (240 deg</v>
      </c>
      <c r="DW65" s="170">
        <v>1</v>
      </c>
      <c r="DX65" s="170" t="s">
        <v>170</v>
      </c>
      <c r="DY65" s="170"/>
      <c r="DZ65" s="170">
        <v>65</v>
      </c>
      <c r="EA65" s="170">
        <v>1.2</v>
      </c>
      <c r="EB65" s="170">
        <v>87</v>
      </c>
      <c r="EC65" s="170">
        <v>1.5</v>
      </c>
      <c r="ED65" s="170">
        <v>12</v>
      </c>
      <c r="EE65" s="180" t="e">
        <f>qmz/qz/Kes.w</f>
        <v>#VALUE!</v>
      </c>
      <c r="EF65" s="170"/>
      <c r="EG65" s="170"/>
      <c r="EH65" s="170"/>
      <c r="EI65" s="170"/>
      <c r="EK65" s="2" t="s">
        <v>478</v>
      </c>
      <c r="EL65" s="2">
        <v>240</v>
      </c>
      <c r="EN65" s="176">
        <v>61</v>
      </c>
    </row>
    <row r="66" spans="1:144" ht="18" customHeight="1" x14ac:dyDescent="0.2">
      <c r="A66" s="165">
        <v>62</v>
      </c>
      <c r="B66" s="174" t="s">
        <v>490</v>
      </c>
      <c r="C66" s="174" t="s">
        <v>446</v>
      </c>
      <c r="D66" s="174"/>
      <c r="E66" s="174"/>
      <c r="F66" s="174"/>
      <c r="G66" s="174"/>
      <c r="H66" s="186"/>
      <c r="I66" s="186">
        <f>COUNTA('Distributed Load Tables'!$GV$4:$GV$1048576)</f>
        <v>0</v>
      </c>
      <c r="J66" s="186"/>
      <c r="K66" s="174"/>
      <c r="M66" s="176">
        <f t="shared" si="15"/>
        <v>62</v>
      </c>
      <c r="N66" s="174" t="str">
        <f t="shared" si="51"/>
        <v>1.2D + 1.5Lm_2 + 1.0Wm  | 270 deg</v>
      </c>
      <c r="O66" s="174" t="b">
        <v>1</v>
      </c>
      <c r="P66" s="174" t="str">
        <f t="shared" si="52"/>
        <v>Y</v>
      </c>
      <c r="Q66" s="174" t="str">
        <f t="shared" si="53"/>
        <v/>
      </c>
      <c r="R66" s="174">
        <f t="shared" si="54"/>
        <v>65</v>
      </c>
      <c r="S66" s="174">
        <f t="shared" si="55"/>
        <v>1.2</v>
      </c>
      <c r="T66" s="174">
        <f t="shared" si="56"/>
        <v>87</v>
      </c>
      <c r="U66" s="174">
        <f t="shared" si="57"/>
        <v>1.5</v>
      </c>
      <c r="V66" s="174">
        <f t="shared" si="58"/>
        <v>13</v>
      </c>
      <c r="W66" s="174" t="e">
        <f t="shared" si="59"/>
        <v>#VALUE!</v>
      </c>
      <c r="X66" s="174">
        <f t="shared" si="60"/>
        <v>29</v>
      </c>
      <c r="Y66" s="174" t="e">
        <f t="shared" si="61"/>
        <v>#VALUE!</v>
      </c>
      <c r="Z66" s="174" t="str">
        <f t="shared" si="46"/>
        <v/>
      </c>
      <c r="AA66" s="174" t="str">
        <f t="shared" si="47"/>
        <v/>
      </c>
      <c r="AC66" s="176">
        <v>62</v>
      </c>
      <c r="AD66" s="174" t="s">
        <v>1559</v>
      </c>
      <c r="AE66" s="174" t="b">
        <v>1</v>
      </c>
      <c r="AF66" s="174" t="s">
        <v>170</v>
      </c>
      <c r="AG66" s="174"/>
      <c r="AH66" s="174">
        <v>65</v>
      </c>
      <c r="AI66" s="174">
        <v>1.2</v>
      </c>
      <c r="AJ66" s="175">
        <f t="shared" si="62"/>
        <v>87</v>
      </c>
      <c r="AK66" s="175">
        <v>1.5</v>
      </c>
      <c r="AL66" s="174">
        <v>13</v>
      </c>
      <c r="AM66" s="181" t="e">
        <f>qmz/qz/Kes.w</f>
        <v>#VALUE!</v>
      </c>
      <c r="AN66" s="174">
        <v>29</v>
      </c>
      <c r="AO66" s="181" t="e">
        <f>qmz/qz/Kes.w</f>
        <v>#VALUE!</v>
      </c>
      <c r="AP66" s="174"/>
      <c r="AQ66" s="174"/>
      <c r="AS66" s="176">
        <v>62</v>
      </c>
      <c r="AT66" s="174" t="s">
        <v>1560</v>
      </c>
      <c r="AU66" s="174" t="b">
        <v>1</v>
      </c>
      <c r="AV66" s="174" t="s">
        <v>170</v>
      </c>
      <c r="AW66" s="174"/>
      <c r="AX66" s="174">
        <v>65</v>
      </c>
      <c r="AY66" s="174">
        <v>1.2</v>
      </c>
      <c r="AZ66" s="174">
        <v>13</v>
      </c>
      <c r="BA66" s="181" t="e">
        <f>qmz/qz/Kes.w</f>
        <v>#VALUE!</v>
      </c>
      <c r="BB66" s="174">
        <v>29</v>
      </c>
      <c r="BC66" s="181" t="e">
        <f>qmz/qz/Kes.w</f>
        <v>#VALUE!</v>
      </c>
      <c r="BD66" s="174"/>
      <c r="BE66" s="174"/>
      <c r="BF66" s="174"/>
      <c r="BG66" s="174"/>
      <c r="BI66" s="176">
        <v>62</v>
      </c>
      <c r="BJ66" s="174" t="s">
        <v>1559</v>
      </c>
      <c r="BK66" s="174" t="b">
        <v>1</v>
      </c>
      <c r="BL66" s="174" t="s">
        <v>170</v>
      </c>
      <c r="BM66" s="174"/>
      <c r="BN66" s="174">
        <v>65</v>
      </c>
      <c r="BO66" s="174">
        <v>1.2</v>
      </c>
      <c r="BP66" s="175">
        <f t="shared" si="63"/>
        <v>87</v>
      </c>
      <c r="BQ66" s="175">
        <v>1.5</v>
      </c>
      <c r="BR66" s="174">
        <v>13</v>
      </c>
      <c r="BS66" s="181" t="e">
        <f>qmz/qz/Kes.w</f>
        <v>#VALUE!</v>
      </c>
      <c r="BT66" s="174">
        <v>29</v>
      </c>
      <c r="BU66" s="181" t="e">
        <f>qmz/qz/Kes.w</f>
        <v>#VALUE!</v>
      </c>
      <c r="BV66" s="174"/>
      <c r="BW66" s="174"/>
      <c r="BY66" s="176">
        <v>62</v>
      </c>
      <c r="BZ66" s="249" t="s">
        <v>1561</v>
      </c>
      <c r="CA66" s="249" t="b">
        <v>1</v>
      </c>
      <c r="CB66" s="249" t="s">
        <v>170</v>
      </c>
      <c r="CC66" s="249"/>
      <c r="CD66" s="249">
        <v>65</v>
      </c>
      <c r="CE66" s="249">
        <v>1</v>
      </c>
      <c r="CF66" s="175">
        <f t="shared" si="48"/>
        <v>87</v>
      </c>
      <c r="CG66" s="248">
        <v>1.25</v>
      </c>
      <c r="CH66" s="249">
        <v>13</v>
      </c>
      <c r="CI66" s="252" t="e">
        <f t="shared" si="32"/>
        <v>#VALUE!</v>
      </c>
      <c r="CJ66" s="249">
        <v>29</v>
      </c>
      <c r="CK66" s="252" t="e">
        <f t="shared" si="33"/>
        <v>#VALUE!</v>
      </c>
      <c r="CL66" s="249"/>
      <c r="CM66" s="249"/>
      <c r="CO66" s="176">
        <v>62</v>
      </c>
      <c r="CP66" s="249" t="s">
        <v>1561</v>
      </c>
      <c r="CQ66" s="249" t="b">
        <v>1</v>
      </c>
      <c r="CR66" s="249" t="s">
        <v>170</v>
      </c>
      <c r="CS66" s="249"/>
      <c r="CT66" s="249">
        <v>65</v>
      </c>
      <c r="CU66" s="249">
        <v>1</v>
      </c>
      <c r="CV66" s="175">
        <f t="shared" si="49"/>
        <v>87</v>
      </c>
      <c r="CW66" s="248">
        <v>1.25</v>
      </c>
      <c r="CX66" s="249">
        <v>13</v>
      </c>
      <c r="CY66" s="252" t="e">
        <f t="shared" si="35"/>
        <v>#VALUE!</v>
      </c>
      <c r="CZ66" s="249">
        <v>29</v>
      </c>
      <c r="DA66" s="252" t="e">
        <f t="shared" si="36"/>
        <v>#VALUE!</v>
      </c>
      <c r="DB66" s="249"/>
      <c r="DC66" s="249"/>
      <c r="DE66" s="176">
        <v>62</v>
      </c>
      <c r="DF66" s="249" t="s">
        <v>1561</v>
      </c>
      <c r="DG66" s="249" t="b">
        <v>1</v>
      </c>
      <c r="DH66" s="249" t="s">
        <v>170</v>
      </c>
      <c r="DI66" s="249"/>
      <c r="DJ66" s="249">
        <v>65</v>
      </c>
      <c r="DK66" s="249">
        <v>1</v>
      </c>
      <c r="DL66" s="175">
        <f t="shared" si="50"/>
        <v>87</v>
      </c>
      <c r="DM66" s="248">
        <v>1.25</v>
      </c>
      <c r="DN66" s="249">
        <v>13</v>
      </c>
      <c r="DO66" s="252" t="e">
        <f t="shared" si="38"/>
        <v>#VALUE!</v>
      </c>
      <c r="DP66" s="249">
        <v>29</v>
      </c>
      <c r="DQ66" s="252" t="e">
        <f t="shared" si="39"/>
        <v>#VALUE!</v>
      </c>
      <c r="DR66" s="249"/>
      <c r="DS66" s="249"/>
      <c r="DU66" s="176">
        <v>62</v>
      </c>
      <c r="DV66" s="174" t="str">
        <f t="shared" si="40"/>
        <v>0.9D + 1.0W (270 deg</v>
      </c>
      <c r="DW66" s="174">
        <v>1</v>
      </c>
      <c r="DX66" s="174" t="s">
        <v>170</v>
      </c>
      <c r="DY66" s="174"/>
      <c r="DZ66" s="174">
        <v>65</v>
      </c>
      <c r="EA66" s="174">
        <v>1.2</v>
      </c>
      <c r="EB66" s="175">
        <v>87</v>
      </c>
      <c r="EC66" s="175">
        <v>1.5</v>
      </c>
      <c r="ED66" s="174">
        <v>13</v>
      </c>
      <c r="EE66" s="181" t="e">
        <f>qmz/qz/Kes.w</f>
        <v>#VALUE!</v>
      </c>
      <c r="EF66" s="174"/>
      <c r="EG66" s="174"/>
      <c r="EH66" s="174"/>
      <c r="EI66" s="174"/>
      <c r="EK66" s="2" t="s">
        <v>478</v>
      </c>
      <c r="EL66" s="2">
        <v>270</v>
      </c>
      <c r="EN66" s="176">
        <v>62</v>
      </c>
    </row>
    <row r="67" spans="1:144" ht="18" customHeight="1" x14ac:dyDescent="0.2">
      <c r="A67" s="165">
        <v>63</v>
      </c>
      <c r="B67" s="170" t="s">
        <v>491</v>
      </c>
      <c r="C67" s="171" t="s">
        <v>446</v>
      </c>
      <c r="D67" s="171"/>
      <c r="E67" s="171"/>
      <c r="F67" s="171"/>
      <c r="G67" s="171"/>
      <c r="H67" s="185"/>
      <c r="I67" s="185">
        <f>COUNTA('Distributed Load Tables'!$HC$4:$HC$1048576)</f>
        <v>0</v>
      </c>
      <c r="J67" s="185"/>
      <c r="K67" s="171"/>
      <c r="M67" s="176">
        <f t="shared" si="15"/>
        <v>63</v>
      </c>
      <c r="N67" s="170" t="str">
        <f t="shared" si="51"/>
        <v>1.2D + 1.5Lm_2 + 1.0Wm  | 300 deg</v>
      </c>
      <c r="O67" s="170" t="b">
        <v>1</v>
      </c>
      <c r="P67" s="170" t="str">
        <f t="shared" si="52"/>
        <v>Y</v>
      </c>
      <c r="Q67" s="170" t="str">
        <f t="shared" si="53"/>
        <v/>
      </c>
      <c r="R67" s="170">
        <f t="shared" si="54"/>
        <v>65</v>
      </c>
      <c r="S67" s="170">
        <f t="shared" si="55"/>
        <v>1.2</v>
      </c>
      <c r="T67" s="170">
        <f t="shared" si="56"/>
        <v>87</v>
      </c>
      <c r="U67" s="170">
        <f t="shared" si="57"/>
        <v>1.5</v>
      </c>
      <c r="V67" s="170">
        <f t="shared" si="58"/>
        <v>14</v>
      </c>
      <c r="W67" s="170" t="e">
        <f t="shared" si="59"/>
        <v>#VALUE!</v>
      </c>
      <c r="X67" s="170">
        <f t="shared" si="60"/>
        <v>30</v>
      </c>
      <c r="Y67" s="170" t="e">
        <f t="shared" si="61"/>
        <v>#VALUE!</v>
      </c>
      <c r="Z67" s="170" t="str">
        <f t="shared" si="46"/>
        <v/>
      </c>
      <c r="AA67" s="170" t="str">
        <f t="shared" si="47"/>
        <v/>
      </c>
      <c r="AC67" s="176">
        <v>63</v>
      </c>
      <c r="AD67" s="170" t="s">
        <v>1649</v>
      </c>
      <c r="AE67" s="170" t="b">
        <v>1</v>
      </c>
      <c r="AF67" s="170" t="s">
        <v>170</v>
      </c>
      <c r="AG67" s="170"/>
      <c r="AH67" s="170">
        <v>65</v>
      </c>
      <c r="AI67" s="170">
        <v>1.2</v>
      </c>
      <c r="AJ67" s="170">
        <f t="shared" si="62"/>
        <v>87</v>
      </c>
      <c r="AK67" s="170">
        <v>1.5</v>
      </c>
      <c r="AL67" s="170">
        <v>14</v>
      </c>
      <c r="AM67" s="180" t="e">
        <f>qmz/qz/Kes.w</f>
        <v>#VALUE!</v>
      </c>
      <c r="AN67" s="170">
        <v>30</v>
      </c>
      <c r="AO67" s="180" t="e">
        <f>qmz/qz/Kes.w</f>
        <v>#VALUE!</v>
      </c>
      <c r="AP67" s="170"/>
      <c r="AQ67" s="170"/>
      <c r="AS67" s="176">
        <v>63</v>
      </c>
      <c r="AT67" s="170" t="s">
        <v>1650</v>
      </c>
      <c r="AU67" s="170" t="b">
        <v>1</v>
      </c>
      <c r="AV67" s="170" t="s">
        <v>170</v>
      </c>
      <c r="AW67" s="170"/>
      <c r="AX67" s="170">
        <v>65</v>
      </c>
      <c r="AY67" s="170">
        <v>1.2</v>
      </c>
      <c r="AZ67" s="170">
        <v>14</v>
      </c>
      <c r="BA67" s="180" t="e">
        <f>qmz/qz/Kes.w</f>
        <v>#VALUE!</v>
      </c>
      <c r="BB67" s="170">
        <v>30</v>
      </c>
      <c r="BC67" s="180" t="e">
        <f>qmz/qz/Kes.w</f>
        <v>#VALUE!</v>
      </c>
      <c r="BD67" s="170"/>
      <c r="BE67" s="170"/>
      <c r="BF67" s="170"/>
      <c r="BG67" s="170"/>
      <c r="BI67" s="176">
        <v>63</v>
      </c>
      <c r="BJ67" s="170" t="s">
        <v>1649</v>
      </c>
      <c r="BK67" s="170" t="b">
        <v>1</v>
      </c>
      <c r="BL67" s="170" t="s">
        <v>170</v>
      </c>
      <c r="BM67" s="170"/>
      <c r="BN67" s="170">
        <v>65</v>
      </c>
      <c r="BO67" s="170">
        <v>1.2</v>
      </c>
      <c r="BP67" s="170">
        <f t="shared" si="63"/>
        <v>87</v>
      </c>
      <c r="BQ67" s="170">
        <v>1.5</v>
      </c>
      <c r="BR67" s="170">
        <v>14</v>
      </c>
      <c r="BS67" s="180" t="e">
        <f>qmz/qz/Kes.w</f>
        <v>#VALUE!</v>
      </c>
      <c r="BT67" s="170">
        <v>30</v>
      </c>
      <c r="BU67" s="180" t="e">
        <f>qmz/qz/Kes.w</f>
        <v>#VALUE!</v>
      </c>
      <c r="BV67" s="170"/>
      <c r="BW67" s="170"/>
      <c r="BY67" s="176">
        <v>63</v>
      </c>
      <c r="BZ67" s="246" t="s">
        <v>1651</v>
      </c>
      <c r="CA67" s="246" t="b">
        <v>1</v>
      </c>
      <c r="CB67" s="246" t="s">
        <v>170</v>
      </c>
      <c r="CC67" s="246"/>
      <c r="CD67" s="246">
        <v>65</v>
      </c>
      <c r="CE67" s="246">
        <v>1</v>
      </c>
      <c r="CF67" s="170">
        <f t="shared" si="48"/>
        <v>87</v>
      </c>
      <c r="CG67" s="246">
        <v>1.25</v>
      </c>
      <c r="CH67" s="246">
        <v>14</v>
      </c>
      <c r="CI67" s="251" t="e">
        <f t="shared" si="32"/>
        <v>#VALUE!</v>
      </c>
      <c r="CJ67" s="246">
        <v>30</v>
      </c>
      <c r="CK67" s="251" t="e">
        <f t="shared" si="33"/>
        <v>#VALUE!</v>
      </c>
      <c r="CL67" s="246"/>
      <c r="CM67" s="246"/>
      <c r="CO67" s="176">
        <v>63</v>
      </c>
      <c r="CP67" s="246" t="s">
        <v>1651</v>
      </c>
      <c r="CQ67" s="246" t="b">
        <v>1</v>
      </c>
      <c r="CR67" s="246" t="s">
        <v>170</v>
      </c>
      <c r="CS67" s="246"/>
      <c r="CT67" s="246">
        <v>65</v>
      </c>
      <c r="CU67" s="246">
        <v>1</v>
      </c>
      <c r="CV67" s="170">
        <f t="shared" si="49"/>
        <v>87</v>
      </c>
      <c r="CW67" s="246">
        <v>1.25</v>
      </c>
      <c r="CX67" s="246">
        <v>14</v>
      </c>
      <c r="CY67" s="251" t="e">
        <f t="shared" si="35"/>
        <v>#VALUE!</v>
      </c>
      <c r="CZ67" s="246">
        <v>30</v>
      </c>
      <c r="DA67" s="251" t="e">
        <f t="shared" si="36"/>
        <v>#VALUE!</v>
      </c>
      <c r="DB67" s="246"/>
      <c r="DC67" s="246"/>
      <c r="DE67" s="176">
        <v>63</v>
      </c>
      <c r="DF67" s="246" t="s">
        <v>1651</v>
      </c>
      <c r="DG67" s="246" t="b">
        <v>1</v>
      </c>
      <c r="DH67" s="246" t="s">
        <v>170</v>
      </c>
      <c r="DI67" s="246"/>
      <c r="DJ67" s="246">
        <v>65</v>
      </c>
      <c r="DK67" s="246">
        <v>1</v>
      </c>
      <c r="DL67" s="170">
        <f t="shared" si="50"/>
        <v>87</v>
      </c>
      <c r="DM67" s="246">
        <v>1.25</v>
      </c>
      <c r="DN67" s="246">
        <v>14</v>
      </c>
      <c r="DO67" s="251" t="e">
        <f t="shared" si="38"/>
        <v>#VALUE!</v>
      </c>
      <c r="DP67" s="246">
        <v>30</v>
      </c>
      <c r="DQ67" s="251" t="e">
        <f t="shared" si="39"/>
        <v>#VALUE!</v>
      </c>
      <c r="DR67" s="246"/>
      <c r="DS67" s="246"/>
      <c r="DU67" s="176">
        <v>63</v>
      </c>
      <c r="DV67" s="170" t="str">
        <f t="shared" si="40"/>
        <v>0.9D + 1.0W (300 deg</v>
      </c>
      <c r="DW67" s="170">
        <v>1</v>
      </c>
      <c r="DX67" s="170" t="s">
        <v>170</v>
      </c>
      <c r="DY67" s="170"/>
      <c r="DZ67" s="170">
        <v>65</v>
      </c>
      <c r="EA67" s="170">
        <v>1.2</v>
      </c>
      <c r="EB67" s="170">
        <v>87</v>
      </c>
      <c r="EC67" s="170">
        <v>1.5</v>
      </c>
      <c r="ED67" s="170">
        <v>14</v>
      </c>
      <c r="EE67" s="180" t="e">
        <f>qmz/qz/Kes.w</f>
        <v>#VALUE!</v>
      </c>
      <c r="EF67" s="170"/>
      <c r="EG67" s="170"/>
      <c r="EH67" s="170"/>
      <c r="EI67" s="170"/>
      <c r="EK67" s="2" t="s">
        <v>478</v>
      </c>
      <c r="EL67" s="2">
        <v>300</v>
      </c>
      <c r="EN67" s="176">
        <v>63</v>
      </c>
    </row>
    <row r="68" spans="1:144" ht="18" customHeight="1" x14ac:dyDescent="0.2">
      <c r="A68" s="165">
        <v>64</v>
      </c>
      <c r="B68" s="174" t="s">
        <v>492</v>
      </c>
      <c r="C68" s="174" t="s">
        <v>446</v>
      </c>
      <c r="D68" s="174"/>
      <c r="E68" s="174"/>
      <c r="F68" s="174"/>
      <c r="G68" s="174"/>
      <c r="H68" s="186"/>
      <c r="I68" s="186">
        <f>COUNTA('Distributed Load Tables'!$HJ$4:$HJ$1048576)</f>
        <v>0</v>
      </c>
      <c r="J68" s="186"/>
      <c r="K68" s="174"/>
      <c r="M68" s="176">
        <f t="shared" si="15"/>
        <v>64</v>
      </c>
      <c r="N68" s="174" t="str">
        <f t="shared" si="51"/>
        <v>1.2D + 1.5Lm_2 + 1.0Wm  | 315 deg</v>
      </c>
      <c r="O68" s="174" t="b">
        <v>1</v>
      </c>
      <c r="P68" s="174" t="str">
        <f t="shared" si="52"/>
        <v>Y</v>
      </c>
      <c r="Q68" s="174" t="str">
        <f t="shared" si="53"/>
        <v/>
      </c>
      <c r="R68" s="174">
        <f t="shared" si="54"/>
        <v>65</v>
      </c>
      <c r="S68" s="174">
        <f t="shared" si="55"/>
        <v>1.2</v>
      </c>
      <c r="T68" s="174">
        <f t="shared" si="56"/>
        <v>87</v>
      </c>
      <c r="U68" s="174">
        <f t="shared" si="57"/>
        <v>1.5</v>
      </c>
      <c r="V68" s="174">
        <f t="shared" si="58"/>
        <v>15</v>
      </c>
      <c r="W68" s="174" t="e">
        <f t="shared" si="59"/>
        <v>#VALUE!</v>
      </c>
      <c r="X68" s="174">
        <f t="shared" si="60"/>
        <v>31</v>
      </c>
      <c r="Y68" s="174" t="e">
        <f t="shared" si="61"/>
        <v>#VALUE!</v>
      </c>
      <c r="Z68" s="174" t="str">
        <f t="shared" si="46"/>
        <v/>
      </c>
      <c r="AA68" s="174" t="str">
        <f t="shared" si="47"/>
        <v/>
      </c>
      <c r="AC68" s="176">
        <v>64</v>
      </c>
      <c r="AD68" s="174" t="s">
        <v>1652</v>
      </c>
      <c r="AE68" s="174" t="b">
        <v>1</v>
      </c>
      <c r="AF68" s="174" t="s">
        <v>170</v>
      </c>
      <c r="AG68" s="174"/>
      <c r="AH68" s="174">
        <v>65</v>
      </c>
      <c r="AI68" s="174">
        <v>1.2</v>
      </c>
      <c r="AJ68" s="175">
        <f t="shared" si="62"/>
        <v>87</v>
      </c>
      <c r="AK68" s="175">
        <v>1.5</v>
      </c>
      <c r="AL68" s="174">
        <v>15</v>
      </c>
      <c r="AM68" s="181" t="e">
        <f>qmz/qz/Kes.w</f>
        <v>#VALUE!</v>
      </c>
      <c r="AN68" s="174">
        <v>31</v>
      </c>
      <c r="AO68" s="181" t="e">
        <f>qmz/qz/Kes.w</f>
        <v>#VALUE!</v>
      </c>
      <c r="AP68" s="174"/>
      <c r="AQ68" s="174"/>
      <c r="AS68" s="176">
        <v>64</v>
      </c>
      <c r="AT68" s="174" t="s">
        <v>1653</v>
      </c>
      <c r="AU68" s="174"/>
      <c r="AV68" s="174" t="s">
        <v>170</v>
      </c>
      <c r="AW68" s="174"/>
      <c r="AX68" s="174">
        <v>65</v>
      </c>
      <c r="AY68" s="174">
        <v>1.2</v>
      </c>
      <c r="AZ68" s="174">
        <v>15</v>
      </c>
      <c r="BA68" s="181" t="e">
        <f>qmz/qz/Kes.w</f>
        <v>#VALUE!</v>
      </c>
      <c r="BB68" s="174">
        <v>31</v>
      </c>
      <c r="BC68" s="181" t="e">
        <f>qmz/qz/Kes.w</f>
        <v>#VALUE!</v>
      </c>
      <c r="BD68" s="174"/>
      <c r="BE68" s="174"/>
      <c r="BF68" s="174"/>
      <c r="BG68" s="174"/>
      <c r="BI68" s="176">
        <v>64</v>
      </c>
      <c r="BJ68" s="174" t="s">
        <v>1652</v>
      </c>
      <c r="BK68" s="174" t="b">
        <v>1</v>
      </c>
      <c r="BL68" s="174" t="s">
        <v>170</v>
      </c>
      <c r="BM68" s="174"/>
      <c r="BN68" s="174">
        <v>65</v>
      </c>
      <c r="BO68" s="174">
        <v>1.2</v>
      </c>
      <c r="BP68" s="175">
        <f t="shared" si="63"/>
        <v>87</v>
      </c>
      <c r="BQ68" s="175">
        <v>1.5</v>
      </c>
      <c r="BR68" s="174">
        <v>15</v>
      </c>
      <c r="BS68" s="181" t="e">
        <f>qmz/qz/Kes.w</f>
        <v>#VALUE!</v>
      </c>
      <c r="BT68" s="174">
        <v>31</v>
      </c>
      <c r="BU68" s="181" t="e">
        <f>qmz/qz/Kes.w</f>
        <v>#VALUE!</v>
      </c>
      <c r="BV68" s="174"/>
      <c r="BW68" s="174"/>
      <c r="BY68" s="176">
        <v>64</v>
      </c>
      <c r="BZ68" s="249" t="s">
        <v>1654</v>
      </c>
      <c r="CA68" s="249" t="b">
        <v>1</v>
      </c>
      <c r="CB68" s="249" t="s">
        <v>170</v>
      </c>
      <c r="CC68" s="249"/>
      <c r="CD68" s="249">
        <v>65</v>
      </c>
      <c r="CE68" s="249">
        <v>1</v>
      </c>
      <c r="CF68" s="175">
        <f t="shared" si="48"/>
        <v>87</v>
      </c>
      <c r="CG68" s="248">
        <v>1.25</v>
      </c>
      <c r="CH68" s="249">
        <v>15</v>
      </c>
      <c r="CI68" s="252" t="e">
        <f t="shared" si="32"/>
        <v>#VALUE!</v>
      </c>
      <c r="CJ68" s="249">
        <v>31</v>
      </c>
      <c r="CK68" s="252" t="e">
        <f t="shared" si="33"/>
        <v>#VALUE!</v>
      </c>
      <c r="CL68" s="249"/>
      <c r="CM68" s="249"/>
      <c r="CO68" s="176">
        <v>64</v>
      </c>
      <c r="CP68" s="249" t="s">
        <v>1654</v>
      </c>
      <c r="CQ68" s="249" t="b">
        <v>1</v>
      </c>
      <c r="CR68" s="249" t="s">
        <v>170</v>
      </c>
      <c r="CS68" s="249"/>
      <c r="CT68" s="249">
        <v>65</v>
      </c>
      <c r="CU68" s="249">
        <v>1</v>
      </c>
      <c r="CV68" s="175">
        <f t="shared" si="49"/>
        <v>87</v>
      </c>
      <c r="CW68" s="248">
        <v>1.25</v>
      </c>
      <c r="CX68" s="249">
        <v>15</v>
      </c>
      <c r="CY68" s="252" t="e">
        <f t="shared" si="35"/>
        <v>#VALUE!</v>
      </c>
      <c r="CZ68" s="249">
        <v>31</v>
      </c>
      <c r="DA68" s="252" t="e">
        <f t="shared" si="36"/>
        <v>#VALUE!</v>
      </c>
      <c r="DB68" s="249"/>
      <c r="DC68" s="249"/>
      <c r="DE68" s="176">
        <v>64</v>
      </c>
      <c r="DF68" s="249" t="s">
        <v>1654</v>
      </c>
      <c r="DG68" s="249" t="b">
        <v>1</v>
      </c>
      <c r="DH68" s="249" t="s">
        <v>170</v>
      </c>
      <c r="DI68" s="249"/>
      <c r="DJ68" s="249">
        <v>65</v>
      </c>
      <c r="DK68" s="249">
        <v>1</v>
      </c>
      <c r="DL68" s="175">
        <f t="shared" si="50"/>
        <v>87</v>
      </c>
      <c r="DM68" s="248">
        <v>1.25</v>
      </c>
      <c r="DN68" s="249">
        <v>15</v>
      </c>
      <c r="DO68" s="252" t="e">
        <f t="shared" si="38"/>
        <v>#VALUE!</v>
      </c>
      <c r="DP68" s="249">
        <v>31</v>
      </c>
      <c r="DQ68" s="252" t="e">
        <f t="shared" si="39"/>
        <v>#VALUE!</v>
      </c>
      <c r="DR68" s="249"/>
      <c r="DS68" s="249"/>
      <c r="DU68" s="176">
        <v>64</v>
      </c>
      <c r="DV68" s="174" t="str">
        <f t="shared" si="40"/>
        <v>0.9D + 1.0W (315 deg</v>
      </c>
      <c r="DW68" s="174">
        <v>1</v>
      </c>
      <c r="DX68" s="174" t="s">
        <v>170</v>
      </c>
      <c r="DY68" s="174"/>
      <c r="DZ68" s="174">
        <v>65</v>
      </c>
      <c r="EA68" s="174">
        <v>1.2</v>
      </c>
      <c r="EB68" s="175">
        <v>87</v>
      </c>
      <c r="EC68" s="175">
        <v>1.5</v>
      </c>
      <c r="ED68" s="174">
        <v>15</v>
      </c>
      <c r="EE68" s="181" t="e">
        <f>qmz/qz/Kes.w</f>
        <v>#VALUE!</v>
      </c>
      <c r="EF68" s="174"/>
      <c r="EG68" s="174"/>
      <c r="EH68" s="174"/>
      <c r="EI68" s="174"/>
      <c r="EK68" s="2" t="s">
        <v>478</v>
      </c>
      <c r="EL68" s="2">
        <v>315</v>
      </c>
      <c r="EN68" s="176">
        <v>64</v>
      </c>
    </row>
    <row r="69" spans="1:144" ht="18" customHeight="1" thickBot="1" x14ac:dyDescent="0.25">
      <c r="A69" s="165">
        <v>65</v>
      </c>
      <c r="B69" s="170" t="s">
        <v>339</v>
      </c>
      <c r="C69" s="171" t="s">
        <v>493</v>
      </c>
      <c r="D69" s="171"/>
      <c r="E69" s="171">
        <v>-1</v>
      </c>
      <c r="F69" s="171"/>
      <c r="G69" s="171"/>
      <c r="H69" s="185">
        <f>COUNTA('Point Load Tables'!$FE$4:$FE$1048576)</f>
        <v>0</v>
      </c>
      <c r="I69" s="185"/>
      <c r="J69" s="185">
        <f>COUNTA('Area Load Tables'!$A$4:$A$1048576)</f>
        <v>0</v>
      </c>
      <c r="K69" s="171"/>
      <c r="M69" s="176">
        <f t="shared" si="15"/>
        <v>65</v>
      </c>
      <c r="N69" s="170" t="str">
        <f t="shared" si="51"/>
        <v>1.2D + 1.5Lm_2 + 1.0Wm  | 330 deg</v>
      </c>
      <c r="O69" s="170" t="b">
        <v>1</v>
      </c>
      <c r="P69" s="170" t="str">
        <f t="shared" si="52"/>
        <v>Y</v>
      </c>
      <c r="Q69" s="170" t="str">
        <f t="shared" si="53"/>
        <v/>
      </c>
      <c r="R69" s="170">
        <f t="shared" si="54"/>
        <v>65</v>
      </c>
      <c r="S69" s="170">
        <f t="shared" si="55"/>
        <v>1.2</v>
      </c>
      <c r="T69" s="170">
        <f t="shared" si="56"/>
        <v>87</v>
      </c>
      <c r="U69" s="170">
        <f t="shared" si="57"/>
        <v>1.5</v>
      </c>
      <c r="V69" s="170">
        <f t="shared" si="58"/>
        <v>16</v>
      </c>
      <c r="W69" s="170" t="e">
        <f t="shared" si="59"/>
        <v>#VALUE!</v>
      </c>
      <c r="X69" s="170">
        <f t="shared" si="60"/>
        <v>32</v>
      </c>
      <c r="Y69" s="170" t="e">
        <f t="shared" si="61"/>
        <v>#VALUE!</v>
      </c>
      <c r="Z69" s="170" t="str">
        <f t="shared" si="46"/>
        <v/>
      </c>
      <c r="AA69" s="170" t="str">
        <f t="shared" si="47"/>
        <v/>
      </c>
      <c r="AC69" s="177">
        <v>65</v>
      </c>
      <c r="AD69" s="173" t="s">
        <v>1655</v>
      </c>
      <c r="AE69" s="173" t="b">
        <v>1</v>
      </c>
      <c r="AF69" s="173" t="s">
        <v>170</v>
      </c>
      <c r="AG69" s="173"/>
      <c r="AH69" s="173">
        <v>65</v>
      </c>
      <c r="AI69" s="173">
        <v>1.2</v>
      </c>
      <c r="AJ69" s="173">
        <f t="shared" si="62"/>
        <v>87</v>
      </c>
      <c r="AK69" s="173">
        <v>1.5</v>
      </c>
      <c r="AL69" s="173">
        <v>16</v>
      </c>
      <c r="AM69" s="182" t="e">
        <f>qmz/qz/Kes.w</f>
        <v>#VALUE!</v>
      </c>
      <c r="AN69" s="173">
        <v>32</v>
      </c>
      <c r="AO69" s="182" t="e">
        <f>qmz/qz/Kes.w</f>
        <v>#VALUE!</v>
      </c>
      <c r="AP69" s="173"/>
      <c r="AQ69" s="173"/>
      <c r="AS69" s="177">
        <v>65</v>
      </c>
      <c r="AT69" s="173" t="s">
        <v>1656</v>
      </c>
      <c r="AU69" s="173" t="b">
        <v>1</v>
      </c>
      <c r="AV69" s="173" t="s">
        <v>170</v>
      </c>
      <c r="AW69" s="173"/>
      <c r="AX69" s="173">
        <v>65</v>
      </c>
      <c r="AY69" s="173">
        <v>1.2</v>
      </c>
      <c r="AZ69" s="173">
        <v>16</v>
      </c>
      <c r="BA69" s="182" t="e">
        <f>qmz/qz/Kes.w</f>
        <v>#VALUE!</v>
      </c>
      <c r="BB69" s="173">
        <v>32</v>
      </c>
      <c r="BC69" s="182" t="e">
        <f>qmz/qz/Kes.w</f>
        <v>#VALUE!</v>
      </c>
      <c r="BD69" s="173"/>
      <c r="BE69" s="173"/>
      <c r="BF69" s="173"/>
      <c r="BG69" s="173"/>
      <c r="BI69" s="177">
        <v>65</v>
      </c>
      <c r="BJ69" s="173" t="s">
        <v>1655</v>
      </c>
      <c r="BK69" s="173" t="b">
        <v>1</v>
      </c>
      <c r="BL69" s="173" t="s">
        <v>170</v>
      </c>
      <c r="BM69" s="173"/>
      <c r="BN69" s="173">
        <v>65</v>
      </c>
      <c r="BO69" s="173">
        <v>1.2</v>
      </c>
      <c r="BP69" s="173">
        <f t="shared" si="63"/>
        <v>87</v>
      </c>
      <c r="BQ69" s="173">
        <v>1.5</v>
      </c>
      <c r="BR69" s="173">
        <v>16</v>
      </c>
      <c r="BS69" s="182" t="e">
        <f>qmz/qz/Kes.w</f>
        <v>#VALUE!</v>
      </c>
      <c r="BT69" s="173">
        <v>32</v>
      </c>
      <c r="BU69" s="182" t="e">
        <f>qmz/qz/Kes.w</f>
        <v>#VALUE!</v>
      </c>
      <c r="BV69" s="173"/>
      <c r="BW69" s="173"/>
      <c r="BY69" s="177">
        <v>65</v>
      </c>
      <c r="BZ69" s="247" t="s">
        <v>1657</v>
      </c>
      <c r="CA69" s="247" t="b">
        <v>1</v>
      </c>
      <c r="CB69" s="247" t="s">
        <v>170</v>
      </c>
      <c r="CC69" s="247"/>
      <c r="CD69" s="247">
        <v>65</v>
      </c>
      <c r="CE69" s="247">
        <v>1</v>
      </c>
      <c r="CF69" s="173">
        <f t="shared" si="48"/>
        <v>87</v>
      </c>
      <c r="CG69" s="247">
        <v>1.25</v>
      </c>
      <c r="CH69" s="247">
        <v>16</v>
      </c>
      <c r="CI69" s="253" t="e">
        <f t="shared" si="32"/>
        <v>#VALUE!</v>
      </c>
      <c r="CJ69" s="247">
        <v>32</v>
      </c>
      <c r="CK69" s="253" t="e">
        <f t="shared" si="33"/>
        <v>#VALUE!</v>
      </c>
      <c r="CL69" s="247"/>
      <c r="CM69" s="247"/>
      <c r="CO69" s="177">
        <v>65</v>
      </c>
      <c r="CP69" s="247" t="s">
        <v>1657</v>
      </c>
      <c r="CQ69" s="247" t="b">
        <v>1</v>
      </c>
      <c r="CR69" s="247" t="s">
        <v>170</v>
      </c>
      <c r="CS69" s="247"/>
      <c r="CT69" s="247">
        <v>65</v>
      </c>
      <c r="CU69" s="247">
        <v>1</v>
      </c>
      <c r="CV69" s="173">
        <f t="shared" si="49"/>
        <v>87</v>
      </c>
      <c r="CW69" s="247">
        <v>1.25</v>
      </c>
      <c r="CX69" s="247">
        <v>16</v>
      </c>
      <c r="CY69" s="253" t="e">
        <f t="shared" si="35"/>
        <v>#VALUE!</v>
      </c>
      <c r="CZ69" s="247">
        <v>32</v>
      </c>
      <c r="DA69" s="253" t="e">
        <f t="shared" si="36"/>
        <v>#VALUE!</v>
      </c>
      <c r="DB69" s="247"/>
      <c r="DC69" s="247"/>
      <c r="DE69" s="177">
        <v>65</v>
      </c>
      <c r="DF69" s="247" t="s">
        <v>1657</v>
      </c>
      <c r="DG69" s="247" t="b">
        <v>1</v>
      </c>
      <c r="DH69" s="247" t="s">
        <v>170</v>
      </c>
      <c r="DI69" s="247"/>
      <c r="DJ69" s="247">
        <v>65</v>
      </c>
      <c r="DK69" s="247">
        <v>1</v>
      </c>
      <c r="DL69" s="173">
        <f t="shared" si="50"/>
        <v>87</v>
      </c>
      <c r="DM69" s="247">
        <v>1.25</v>
      </c>
      <c r="DN69" s="247">
        <v>16</v>
      </c>
      <c r="DO69" s="253" t="e">
        <f t="shared" si="38"/>
        <v>#VALUE!</v>
      </c>
      <c r="DP69" s="247">
        <v>32</v>
      </c>
      <c r="DQ69" s="253" t="e">
        <f t="shared" si="39"/>
        <v>#VALUE!</v>
      </c>
      <c r="DR69" s="247"/>
      <c r="DS69" s="247"/>
      <c r="DU69" s="177">
        <v>65</v>
      </c>
      <c r="DV69" s="173" t="str">
        <f t="shared" si="40"/>
        <v>0.9D + 1.0W (330 deg</v>
      </c>
      <c r="DW69" s="173">
        <v>1</v>
      </c>
      <c r="DX69" s="173" t="s">
        <v>170</v>
      </c>
      <c r="DY69" s="173"/>
      <c r="DZ69" s="173">
        <v>65</v>
      </c>
      <c r="EA69" s="173">
        <v>1.2</v>
      </c>
      <c r="EB69" s="173">
        <v>87</v>
      </c>
      <c r="EC69" s="173">
        <v>1.5</v>
      </c>
      <c r="ED69" s="173">
        <v>16</v>
      </c>
      <c r="EE69" s="182" t="e">
        <f>qmz/qz/Kes.w</f>
        <v>#VALUE!</v>
      </c>
      <c r="EF69" s="173"/>
      <c r="EG69" s="173"/>
      <c r="EH69" s="173"/>
      <c r="EI69" s="173"/>
      <c r="EK69" s="2" t="s">
        <v>478</v>
      </c>
      <c r="EL69" s="2">
        <v>330</v>
      </c>
      <c r="EN69" s="177">
        <v>65</v>
      </c>
    </row>
    <row r="70" spans="1:144" ht="18" customHeight="1" thickTop="1" x14ac:dyDescent="0.2">
      <c r="A70" s="165">
        <v>66</v>
      </c>
      <c r="B70" s="174" t="s">
        <v>340</v>
      </c>
      <c r="C70" s="174" t="s">
        <v>446</v>
      </c>
      <c r="D70" s="174"/>
      <c r="E70" s="174"/>
      <c r="F70" s="174"/>
      <c r="G70" s="174"/>
      <c r="H70" s="186">
        <f>COUNTA('Point Load Tables'!$FJ$4:$FJ$1048576)</f>
        <v>0</v>
      </c>
      <c r="I70" s="186">
        <f>COUNTA('Distributed Load Tables'!$HQ$4:$HQ$1048576)</f>
        <v>0</v>
      </c>
      <c r="J70" s="186">
        <f>COUNTA('Area Load Tables'!$I$4:$I$1048576)</f>
        <v>0</v>
      </c>
      <c r="K70" s="174"/>
      <c r="M70" s="176">
        <f t="shared" si="15"/>
        <v>66</v>
      </c>
      <c r="N70" s="174" t="str">
        <f t="shared" si="51"/>
        <v>1.2D + 1.5Lm_3 + 1.0Wm  | 0 deg</v>
      </c>
      <c r="O70" s="174" t="b">
        <v>1</v>
      </c>
      <c r="P70" s="174" t="str">
        <f t="shared" si="52"/>
        <v>Y</v>
      </c>
      <c r="Q70" s="174" t="str">
        <f t="shared" si="53"/>
        <v/>
      </c>
      <c r="R70" s="174">
        <f t="shared" ref="R70:R101" si="64">IF(IF($M$3=$AC$3,AH70,
 IF($M$3=$AS$3,AX70,
 IF($M$3=$BI$3,BN70,
 IF($M$3=$BY$3,CD70,
 IF($M$3=$CO$3,CT70,
 IF($M$3=$DE$3,DJ70))))))="","",
IF($M$3=$AC$3,AH70,
 IF($M$3=$AS$3,AX70,
 IF($M$3=$BI$3,BN70,
 IF($M$3=$BY$3,CD70,
 IF($M$3=$CO$3,CT70,
 IF($M$3=$DE$3,DJ70)))))))</f>
        <v>65</v>
      </c>
      <c r="S70" s="174">
        <f t="shared" ref="S70:S101" si="65">IF(IF($M$3=$AC$3,AI70,
 IF($M$3=$AS$3,AY70,
 IF($M$3=$BI$3,BO70,
 IF($M$3=$BY$3,CE70,
 IF($M$3=$CO$3,CU70,
 IF($M$3=$DE$3,DK70))))))="","",
IF($M$3=$AC$3,AI70,
 IF($M$3=$AS$3,AY70,
 IF($M$3=$BI$3,BO70,
 IF($M$3=$BY$3,CE70,
 IF($M$3=$CO$3,CU70,
 IF($M$3=$DE$3,DK70)))))))</f>
        <v>1.2</v>
      </c>
      <c r="T70" s="174">
        <f t="shared" ref="T70:T101" si="66">IF(IF($M$3=$AC$3,AJ70,
 IF($M$3=$AS$3,AZ70,
 IF($M$3=$BI$3,BP70,
 IF($M$3=$BY$3,CF70,
 IF($M$3=$CO$3,CV70,
 IF($M$3=$DE$3,DL70))))))="","",
IF($M$3=$AC$3,AJ70,
 IF($M$3=$AS$3,AZ70,
 IF($M$3=$BI$3,BP70,
 IF($M$3=$BY$3,CF70,
 IF($M$3=$CO$3,CV70,
 IF($M$3=$DE$3,DL70)))))))</f>
        <v>88</v>
      </c>
      <c r="U70" s="174">
        <f t="shared" ref="U70:U101" si="67">IF(IF($M$3=$AC$3,AK70,
 IF($M$3=$AS$3,BA70,
 IF($M$3=$BI$3,BQ70,
 IF($M$3=$BY$3,CG70,
 IF($M$3=$CO$3,CW70,
 IF($M$3=$DE$3,DM70))))))="","",
IF($M$3=$AC$3,AK70,
 IF($M$3=$AS$3,BA70,
 IF($M$3=$BI$3,BQ70,
 IF($M$3=$BY$3,CG70,
 IF($M$3=$CO$3,CW70,
 IF($M$3=$DE$3,DM70)))))))</f>
        <v>1.5</v>
      </c>
      <c r="V70" s="174">
        <f t="shared" ref="V70:V101" si="68">IF(IF($M$3=$AC$3,AL70,
 IF($M$3=$AS$3,BB70,
 IF($M$3=$BI$3,BR70,
 IF($M$3=$BY$3,CH70,
 IF($M$3=$CO$3,CX70,
 IF($M$3=$DE$3,DN70))))))="","",
IF($M$3=$AC$3,AL70,
 IF($M$3=$AS$3,BB70,
 IF($M$3=$BI$3,BR70,
 IF($M$3=$BY$3,CH70,
 IF($M$3=$CO$3,CX70,
 IF($M$3=$DE$3,DN70)))))))</f>
        <v>1</v>
      </c>
      <c r="W70" s="174" t="e">
        <f t="shared" ref="W70:W101" si="69">IF(IF($M$3=$AC$3,AM70,
 IF($M$3=$AS$3,BC70,
 IF($M$3=$BI$3,BS70,
 IF($M$3=$BY$3,CI70,
 IF($M$3=$CO$3,CY70,
 IF($M$3=$DE$3,DO70))))))="","",
IF($M$3=$AC$3,AM70,
 IF($M$3=$AS$3,BC70,
 IF($M$3=$BI$3,BS70,
 IF($M$3=$BY$3,CI70,
 IF($M$3=$CO$3,CY70,
 IF($M$3=$DE$3,DO70)))))))</f>
        <v>#VALUE!</v>
      </c>
      <c r="X70" s="174">
        <f t="shared" ref="X70:X101" si="70">IF(IF($M$3=$AC$3,AN70,
 IF($M$3=$AS$3,BD70,
 IF($M$3=$BI$3,BT70,
 IF($M$3=$BY$3,CJ70,
 IF($M$3=$CO$3,CZ70,
 IF($M$3=$DE$3,DP70))))))="","",
IF($M$3=$AC$3,AN70,
 IF($M$3=$AS$3,BD70,
 IF($M$3=$BI$3,BT70,
 IF($M$3=$BY$3,CJ70,
 IF($M$3=$CO$3,CZ70,
 IF($M$3=$DE$3,DP70)))))))</f>
        <v>17</v>
      </c>
      <c r="Y70" s="174" t="e">
        <f t="shared" ref="Y70:Y101" si="71">IF(IF($M$3=$AC$3,AO70,
 IF($M$3=$AS$3,BE70,
 IF($M$3=$BI$3,BU70,
 IF($M$3=$BY$3,CK70,
 IF($M$3=$CO$3,DA70,
 IF($M$3=$DE$3,DQ70))))))="","",
IF($M$3=$AC$3,AO70,
 IF($M$3=$AS$3,BE70,
 IF($M$3=$BI$3,BU70,
 IF($M$3=$BY$3,CK70,
 IF($M$3=$CO$3,DA70,
 IF($M$3=$DE$3,DQ70)))))))</f>
        <v>#VALUE!</v>
      </c>
      <c r="Z70" s="174" t="str">
        <f t="shared" si="46"/>
        <v/>
      </c>
      <c r="AA70" s="174" t="str">
        <f t="shared" si="47"/>
        <v/>
      </c>
      <c r="AC70" s="178">
        <v>66</v>
      </c>
      <c r="AD70" s="175" t="s">
        <v>1409</v>
      </c>
      <c r="AE70" s="175" t="b">
        <v>1</v>
      </c>
      <c r="AF70" s="175" t="s">
        <v>170</v>
      </c>
      <c r="AG70" s="175"/>
      <c r="AH70" s="175">
        <v>65</v>
      </c>
      <c r="AI70" s="175">
        <v>1.2</v>
      </c>
      <c r="AJ70" s="175">
        <f>IFERROR(INDEX($A:$A, MATCH("*Lm_3", $B:$B, 0)),86)</f>
        <v>88</v>
      </c>
      <c r="AK70" s="183">
        <v>1.5</v>
      </c>
      <c r="AL70" s="175">
        <v>1</v>
      </c>
      <c r="AM70" s="179" t="e">
        <f>qmz/qz/Kes.w</f>
        <v>#VALUE!</v>
      </c>
      <c r="AN70" s="175">
        <v>17</v>
      </c>
      <c r="AO70" s="179" t="e">
        <f>qmz/qz/Kes.w</f>
        <v>#VALUE!</v>
      </c>
      <c r="AP70" s="175"/>
      <c r="AQ70" s="175"/>
      <c r="AS70" s="178">
        <v>66</v>
      </c>
      <c r="AT70" s="175" t="s">
        <v>1410</v>
      </c>
      <c r="AU70" s="175" t="b">
        <v>1</v>
      </c>
      <c r="AV70" s="175" t="s">
        <v>170</v>
      </c>
      <c r="AW70" s="175"/>
      <c r="AX70" s="175">
        <v>65</v>
      </c>
      <c r="AY70" s="175">
        <v>1.2</v>
      </c>
      <c r="AZ70" s="175">
        <v>67</v>
      </c>
      <c r="BA70" s="175">
        <v>1</v>
      </c>
      <c r="BB70" s="175">
        <v>70</v>
      </c>
      <c r="BC70" s="175">
        <v>1</v>
      </c>
      <c r="BD70" s="175">
        <v>68</v>
      </c>
      <c r="BE70" s="179">
        <v>1</v>
      </c>
      <c r="BF70" s="175">
        <v>69</v>
      </c>
      <c r="BG70" s="179">
        <v>0</v>
      </c>
      <c r="BI70" s="178">
        <v>66</v>
      </c>
      <c r="BJ70" s="175" t="s">
        <v>1409</v>
      </c>
      <c r="BK70" s="175" t="b">
        <v>1</v>
      </c>
      <c r="BL70" s="175" t="s">
        <v>170</v>
      </c>
      <c r="BM70" s="175"/>
      <c r="BN70" s="175">
        <v>65</v>
      </c>
      <c r="BO70" s="175">
        <v>1.2</v>
      </c>
      <c r="BP70" s="175">
        <f t="shared" ref="BP70:BP85" si="72">IFERROR(INDEX($A:$A, MATCH("*Lm_3", $B:$B, 0)),0)</f>
        <v>88</v>
      </c>
      <c r="BQ70" s="183">
        <v>1.5</v>
      </c>
      <c r="BR70" s="175">
        <v>1</v>
      </c>
      <c r="BS70" s="179" t="e">
        <f>qmz/qz/Kes.w</f>
        <v>#VALUE!</v>
      </c>
      <c r="BT70" s="175">
        <v>17</v>
      </c>
      <c r="BU70" s="179" t="e">
        <f>qmz/qz/Kes.w</f>
        <v>#VALUE!</v>
      </c>
      <c r="BV70" s="175"/>
      <c r="BW70" s="175"/>
      <c r="BY70" s="178">
        <v>66</v>
      </c>
      <c r="BZ70" s="248" t="s">
        <v>1411</v>
      </c>
      <c r="CA70" s="248" t="b">
        <v>1</v>
      </c>
      <c r="CB70" s="248" t="s">
        <v>170</v>
      </c>
      <c r="CC70" s="248"/>
      <c r="CD70" s="248">
        <v>65</v>
      </c>
      <c r="CE70" s="248">
        <v>1</v>
      </c>
      <c r="CF70" s="175">
        <f t="shared" ref="CF70:CF85" si="73">IFERROR(INDEX($A:$A, MATCH("*Lm_3", $B:$B, 0)),0)</f>
        <v>88</v>
      </c>
      <c r="CG70" s="254">
        <v>1.25</v>
      </c>
      <c r="CH70" s="248">
        <v>1</v>
      </c>
      <c r="CI70" s="250" t="e">
        <f t="shared" ref="CI70:CI101" si="74">0.6*qmz/qz</f>
        <v>#VALUE!</v>
      </c>
      <c r="CJ70" s="248">
        <v>17</v>
      </c>
      <c r="CK70" s="250" t="e">
        <f t="shared" ref="CK70:CK101" si="75">0.6*qmz/qz</f>
        <v>#VALUE!</v>
      </c>
      <c r="CL70" s="248"/>
      <c r="CM70" s="248"/>
      <c r="CO70" s="178">
        <v>66</v>
      </c>
      <c r="CP70" s="248" t="s">
        <v>1411</v>
      </c>
      <c r="CQ70" s="248" t="b">
        <v>1</v>
      </c>
      <c r="CR70" s="248" t="s">
        <v>170</v>
      </c>
      <c r="CS70" s="248"/>
      <c r="CT70" s="248">
        <v>65</v>
      </c>
      <c r="CU70" s="248">
        <v>1</v>
      </c>
      <c r="CV70" s="175">
        <f t="shared" ref="CV70:CV85" si="76">IFERROR(INDEX($A:$A, MATCH("*Lm_3", $B:$B, 0)),0)</f>
        <v>88</v>
      </c>
      <c r="CW70" s="254">
        <v>1.25</v>
      </c>
      <c r="CX70" s="248">
        <v>1</v>
      </c>
      <c r="CY70" s="250" t="e">
        <f t="shared" ref="CY70:CY101" si="77">0.6*qmz/qz</f>
        <v>#VALUE!</v>
      </c>
      <c r="CZ70" s="248">
        <v>17</v>
      </c>
      <c r="DA70" s="250" t="e">
        <f t="shared" ref="DA70:DA101" si="78">0.6*qmz/qz</f>
        <v>#VALUE!</v>
      </c>
      <c r="DB70" s="248"/>
      <c r="DC70" s="248"/>
      <c r="DE70" s="178">
        <v>66</v>
      </c>
      <c r="DF70" s="248" t="s">
        <v>1411</v>
      </c>
      <c r="DG70" s="248" t="b">
        <v>1</v>
      </c>
      <c r="DH70" s="248" t="s">
        <v>170</v>
      </c>
      <c r="DI70" s="248"/>
      <c r="DJ70" s="248">
        <v>65</v>
      </c>
      <c r="DK70" s="248">
        <v>1</v>
      </c>
      <c r="DL70" s="175">
        <f t="shared" ref="DL70:DL85" si="79">IFERROR(INDEX($A:$A, MATCH("*Lm_3", $B:$B, 0)),0)</f>
        <v>88</v>
      </c>
      <c r="DM70" s="254">
        <v>1.25</v>
      </c>
      <c r="DN70" s="248">
        <v>1</v>
      </c>
      <c r="DO70" s="250" t="e">
        <f t="shared" ref="DO70:DO101" si="80">0.6*qmz/qz</f>
        <v>#VALUE!</v>
      </c>
      <c r="DP70" s="248">
        <v>17</v>
      </c>
      <c r="DQ70" s="250" t="e">
        <f t="shared" ref="DQ70:DQ101" si="81">0.6*qmz/qz</f>
        <v>#VALUE!</v>
      </c>
      <c r="DR70" s="248"/>
      <c r="DS70" s="248"/>
      <c r="DU70" s="178">
        <v>66</v>
      </c>
      <c r="DV70" s="175" t="str">
        <f t="shared" ref="DV70:DV101" si="82">CONCATENATE(EK70," (",EL70," deg")</f>
        <v>1.2D + 1.6L + 0.2Di + 0.5S (0 deg</v>
      </c>
      <c r="DW70" s="175">
        <v>1</v>
      </c>
      <c r="DX70" s="175" t="s">
        <v>170</v>
      </c>
      <c r="DY70" s="175"/>
      <c r="DZ70" s="175">
        <v>65</v>
      </c>
      <c r="EA70" s="175">
        <v>1.2</v>
      </c>
      <c r="EB70" s="175">
        <v>88</v>
      </c>
      <c r="EC70" s="183">
        <v>1.5</v>
      </c>
      <c r="ED70" s="175">
        <v>1</v>
      </c>
      <c r="EE70" s="179" t="e">
        <f>qmz/qz/Kes.w</f>
        <v>#VALUE!</v>
      </c>
      <c r="EF70" s="175"/>
      <c r="EG70" s="175"/>
      <c r="EH70" s="175"/>
      <c r="EI70" s="175"/>
      <c r="EK70" s="2" t="s">
        <v>494</v>
      </c>
      <c r="EL70" s="2">
        <v>0</v>
      </c>
      <c r="EN70" s="178">
        <v>66</v>
      </c>
    </row>
    <row r="71" spans="1:144" ht="18" customHeight="1" x14ac:dyDescent="0.2">
      <c r="A71" s="165">
        <v>67</v>
      </c>
      <c r="B71" s="170" t="s">
        <v>495</v>
      </c>
      <c r="C71" s="171" t="s">
        <v>496</v>
      </c>
      <c r="D71" s="171"/>
      <c r="E71" s="171"/>
      <c r="F71" s="171"/>
      <c r="G71" s="171"/>
      <c r="H71" s="185">
        <f>COUNTA('Point Load Tables'!$FO$4:$FO$1048576)</f>
        <v>0</v>
      </c>
      <c r="I71" s="185"/>
      <c r="J71" s="185"/>
      <c r="K71" s="171"/>
      <c r="M71" s="176">
        <f t="shared" ref="M71:M134" si="83">IF(N71="","",M70+1)</f>
        <v>67</v>
      </c>
      <c r="N71" s="170" t="str">
        <f t="shared" si="51"/>
        <v>1.2D + 1.5Lm_3 + 1.0Wm  | 30 deg</v>
      </c>
      <c r="O71" s="170" t="b">
        <v>1</v>
      </c>
      <c r="P71" s="170" t="str">
        <f t="shared" si="52"/>
        <v>Y</v>
      </c>
      <c r="Q71" s="170" t="str">
        <f t="shared" si="53"/>
        <v/>
      </c>
      <c r="R71" s="170">
        <f t="shared" si="64"/>
        <v>65</v>
      </c>
      <c r="S71" s="170">
        <f t="shared" si="65"/>
        <v>1.2</v>
      </c>
      <c r="T71" s="170">
        <f t="shared" si="66"/>
        <v>88</v>
      </c>
      <c r="U71" s="170">
        <f t="shared" si="67"/>
        <v>1.5</v>
      </c>
      <c r="V71" s="170">
        <f t="shared" si="68"/>
        <v>2</v>
      </c>
      <c r="W71" s="170" t="e">
        <f t="shared" si="69"/>
        <v>#VALUE!</v>
      </c>
      <c r="X71" s="170">
        <f t="shared" si="70"/>
        <v>18</v>
      </c>
      <c r="Y71" s="170" t="e">
        <f t="shared" si="71"/>
        <v>#VALUE!</v>
      </c>
      <c r="Z71" s="170" t="str">
        <f t="shared" si="46"/>
        <v/>
      </c>
      <c r="AA71" s="170" t="str">
        <f t="shared" si="47"/>
        <v/>
      </c>
      <c r="AC71" s="176">
        <v>67</v>
      </c>
      <c r="AD71" s="170" t="s">
        <v>1658</v>
      </c>
      <c r="AE71" s="170" t="b">
        <v>1</v>
      </c>
      <c r="AF71" s="170" t="s">
        <v>170</v>
      </c>
      <c r="AG71" s="170"/>
      <c r="AH71" s="170">
        <v>65</v>
      </c>
      <c r="AI71" s="170">
        <v>1.2</v>
      </c>
      <c r="AJ71" s="170">
        <f t="shared" ref="AJ71:AJ85" si="84">IFERROR(INDEX($A:$A, MATCH("*Lm_3", $B:$B, 0)),86)</f>
        <v>88</v>
      </c>
      <c r="AK71" s="170">
        <v>1.5</v>
      </c>
      <c r="AL71" s="170">
        <v>2</v>
      </c>
      <c r="AM71" s="180" t="e">
        <f>qmz/qz/Kes.w</f>
        <v>#VALUE!</v>
      </c>
      <c r="AN71" s="170">
        <v>18</v>
      </c>
      <c r="AO71" s="180" t="e">
        <f>qmz/qz/Kes.w</f>
        <v>#VALUE!</v>
      </c>
      <c r="AP71" s="170"/>
      <c r="AQ71" s="170"/>
      <c r="AS71" s="176">
        <v>67</v>
      </c>
      <c r="AT71" s="170" t="s">
        <v>1659</v>
      </c>
      <c r="AU71" s="170" t="b">
        <v>1</v>
      </c>
      <c r="AV71" s="170" t="s">
        <v>170</v>
      </c>
      <c r="AW71" s="170"/>
      <c r="AX71" s="170">
        <v>65</v>
      </c>
      <c r="AY71" s="170">
        <v>1.2</v>
      </c>
      <c r="AZ71" s="170">
        <v>67</v>
      </c>
      <c r="BA71" s="170">
        <v>1</v>
      </c>
      <c r="BB71" s="170">
        <v>71</v>
      </c>
      <c r="BC71" s="170">
        <v>1</v>
      </c>
      <c r="BD71" s="170">
        <v>68</v>
      </c>
      <c r="BE71" s="180">
        <v>0.86602540378443871</v>
      </c>
      <c r="BF71" s="170">
        <v>69</v>
      </c>
      <c r="BG71" s="180">
        <v>0.49999999999999994</v>
      </c>
      <c r="BI71" s="176">
        <v>67</v>
      </c>
      <c r="BJ71" s="170" t="s">
        <v>1658</v>
      </c>
      <c r="BK71" s="170" t="b">
        <v>1</v>
      </c>
      <c r="BL71" s="170" t="s">
        <v>170</v>
      </c>
      <c r="BM71" s="170"/>
      <c r="BN71" s="170">
        <v>65</v>
      </c>
      <c r="BO71" s="170">
        <v>1.2</v>
      </c>
      <c r="BP71" s="170">
        <f t="shared" si="72"/>
        <v>88</v>
      </c>
      <c r="BQ71" s="170">
        <v>1.5</v>
      </c>
      <c r="BR71" s="170">
        <v>2</v>
      </c>
      <c r="BS71" s="180" t="e">
        <f>qmz/qz/Kes.w</f>
        <v>#VALUE!</v>
      </c>
      <c r="BT71" s="170">
        <v>18</v>
      </c>
      <c r="BU71" s="180" t="e">
        <f>qmz/qz/Kes.w</f>
        <v>#VALUE!</v>
      </c>
      <c r="BV71" s="170"/>
      <c r="BW71" s="170"/>
      <c r="BY71" s="176">
        <v>67</v>
      </c>
      <c r="BZ71" s="246" t="s">
        <v>1660</v>
      </c>
      <c r="CA71" s="246" t="b">
        <v>1</v>
      </c>
      <c r="CB71" s="246" t="s">
        <v>170</v>
      </c>
      <c r="CC71" s="246"/>
      <c r="CD71" s="246">
        <v>65</v>
      </c>
      <c r="CE71" s="246">
        <v>1</v>
      </c>
      <c r="CF71" s="170">
        <f t="shared" si="73"/>
        <v>88</v>
      </c>
      <c r="CG71" s="246">
        <v>1.25</v>
      </c>
      <c r="CH71" s="246">
        <v>2</v>
      </c>
      <c r="CI71" s="251" t="e">
        <f t="shared" si="74"/>
        <v>#VALUE!</v>
      </c>
      <c r="CJ71" s="246">
        <v>18</v>
      </c>
      <c r="CK71" s="251" t="e">
        <f t="shared" si="75"/>
        <v>#VALUE!</v>
      </c>
      <c r="CL71" s="246"/>
      <c r="CM71" s="246"/>
      <c r="CO71" s="176">
        <v>67</v>
      </c>
      <c r="CP71" s="246" t="s">
        <v>1660</v>
      </c>
      <c r="CQ71" s="246" t="b">
        <v>1</v>
      </c>
      <c r="CR71" s="246" t="s">
        <v>170</v>
      </c>
      <c r="CS71" s="246"/>
      <c r="CT71" s="246">
        <v>65</v>
      </c>
      <c r="CU71" s="246">
        <v>1</v>
      </c>
      <c r="CV71" s="170">
        <f t="shared" si="76"/>
        <v>88</v>
      </c>
      <c r="CW71" s="246">
        <v>1.25</v>
      </c>
      <c r="CX71" s="246">
        <v>2</v>
      </c>
      <c r="CY71" s="251" t="e">
        <f t="shared" si="77"/>
        <v>#VALUE!</v>
      </c>
      <c r="CZ71" s="246">
        <v>18</v>
      </c>
      <c r="DA71" s="251" t="e">
        <f t="shared" si="78"/>
        <v>#VALUE!</v>
      </c>
      <c r="DB71" s="246"/>
      <c r="DC71" s="246"/>
      <c r="DE71" s="176">
        <v>67</v>
      </c>
      <c r="DF71" s="246" t="s">
        <v>1660</v>
      </c>
      <c r="DG71" s="246" t="b">
        <v>1</v>
      </c>
      <c r="DH71" s="246" t="s">
        <v>170</v>
      </c>
      <c r="DI71" s="246"/>
      <c r="DJ71" s="246">
        <v>65</v>
      </c>
      <c r="DK71" s="246">
        <v>1</v>
      </c>
      <c r="DL71" s="170">
        <f t="shared" si="79"/>
        <v>88</v>
      </c>
      <c r="DM71" s="246">
        <v>1.25</v>
      </c>
      <c r="DN71" s="246">
        <v>2</v>
      </c>
      <c r="DO71" s="251" t="e">
        <f t="shared" si="80"/>
        <v>#VALUE!</v>
      </c>
      <c r="DP71" s="246">
        <v>18</v>
      </c>
      <c r="DQ71" s="251" t="e">
        <f t="shared" si="81"/>
        <v>#VALUE!</v>
      </c>
      <c r="DR71" s="246"/>
      <c r="DS71" s="246"/>
      <c r="DU71" s="176">
        <v>67</v>
      </c>
      <c r="DV71" s="170" t="str">
        <f t="shared" si="82"/>
        <v>1.2D + 1.6L + 0.2Di + 0.5S (30 deg</v>
      </c>
      <c r="DW71" s="170">
        <v>1</v>
      </c>
      <c r="DX71" s="170" t="s">
        <v>170</v>
      </c>
      <c r="DY71" s="170"/>
      <c r="DZ71" s="170">
        <v>65</v>
      </c>
      <c r="EA71" s="170">
        <v>1.2</v>
      </c>
      <c r="EB71" s="170">
        <v>88</v>
      </c>
      <c r="EC71" s="170">
        <v>1.5</v>
      </c>
      <c r="ED71" s="170">
        <v>2</v>
      </c>
      <c r="EE71" s="180" t="e">
        <f>qmz/qz/Kes.w</f>
        <v>#VALUE!</v>
      </c>
      <c r="EF71" s="170"/>
      <c r="EG71" s="170"/>
      <c r="EH71" s="170"/>
      <c r="EI71" s="170"/>
      <c r="EK71" s="2" t="s">
        <v>494</v>
      </c>
      <c r="EL71" s="2">
        <v>30</v>
      </c>
      <c r="EN71" s="176">
        <v>67</v>
      </c>
    </row>
    <row r="72" spans="1:144" ht="18" customHeight="1" x14ac:dyDescent="0.2">
      <c r="A72" s="165">
        <v>68</v>
      </c>
      <c r="B72" s="174" t="s">
        <v>497</v>
      </c>
      <c r="C72" s="174" t="s">
        <v>496</v>
      </c>
      <c r="D72" s="174"/>
      <c r="E72" s="174"/>
      <c r="F72" s="174"/>
      <c r="G72" s="174"/>
      <c r="H72" s="186">
        <f>COUNTA('Point Load Tables'!$FT$4:$FT$1048576)</f>
        <v>0</v>
      </c>
      <c r="I72" s="186"/>
      <c r="J72" s="186"/>
      <c r="K72" s="174"/>
      <c r="M72" s="176">
        <f t="shared" si="83"/>
        <v>68</v>
      </c>
      <c r="N72" s="174" t="str">
        <f t="shared" si="51"/>
        <v>1.2D + 1.5Lm_3 + 1.0Wm  | 45 deg</v>
      </c>
      <c r="O72" s="174" t="b">
        <v>1</v>
      </c>
      <c r="P72" s="174" t="str">
        <f t="shared" si="52"/>
        <v>Y</v>
      </c>
      <c r="Q72" s="174" t="str">
        <f t="shared" si="53"/>
        <v/>
      </c>
      <c r="R72" s="174">
        <f t="shared" si="64"/>
        <v>65</v>
      </c>
      <c r="S72" s="174">
        <f t="shared" si="65"/>
        <v>1.2</v>
      </c>
      <c r="T72" s="174">
        <f t="shared" si="66"/>
        <v>88</v>
      </c>
      <c r="U72" s="174">
        <f t="shared" si="67"/>
        <v>1.5</v>
      </c>
      <c r="V72" s="174">
        <f t="shared" si="68"/>
        <v>3</v>
      </c>
      <c r="W72" s="174" t="e">
        <f t="shared" si="69"/>
        <v>#VALUE!</v>
      </c>
      <c r="X72" s="174">
        <f t="shared" si="70"/>
        <v>19</v>
      </c>
      <c r="Y72" s="174" t="e">
        <f t="shared" si="71"/>
        <v>#VALUE!</v>
      </c>
      <c r="Z72" s="174" t="str">
        <f t="shared" si="46"/>
        <v/>
      </c>
      <c r="AA72" s="174" t="str">
        <f t="shared" si="47"/>
        <v/>
      </c>
      <c r="AC72" s="176">
        <v>68</v>
      </c>
      <c r="AD72" s="174" t="s">
        <v>1721</v>
      </c>
      <c r="AE72" s="174" t="b">
        <v>1</v>
      </c>
      <c r="AF72" s="174" t="s">
        <v>170</v>
      </c>
      <c r="AG72" s="174"/>
      <c r="AH72" s="174">
        <v>65</v>
      </c>
      <c r="AI72" s="174">
        <v>1.2</v>
      </c>
      <c r="AJ72" s="174">
        <f t="shared" si="84"/>
        <v>88</v>
      </c>
      <c r="AK72" s="175">
        <v>1.5</v>
      </c>
      <c r="AL72" s="174">
        <v>3</v>
      </c>
      <c r="AM72" s="181" t="e">
        <f>qmz/qz/Kes.w</f>
        <v>#VALUE!</v>
      </c>
      <c r="AN72" s="174">
        <v>19</v>
      </c>
      <c r="AO72" s="181" t="e">
        <f>qmz/qz/Kes.w</f>
        <v>#VALUE!</v>
      </c>
      <c r="AP72" s="174"/>
      <c r="AQ72" s="174"/>
      <c r="AS72" s="176">
        <v>68</v>
      </c>
      <c r="AT72" s="174" t="s">
        <v>1722</v>
      </c>
      <c r="AU72" s="174"/>
      <c r="AV72" s="174" t="s">
        <v>170</v>
      </c>
      <c r="AW72" s="174"/>
      <c r="AX72" s="174">
        <v>65</v>
      </c>
      <c r="AY72" s="174">
        <v>1.2</v>
      </c>
      <c r="AZ72" s="174">
        <v>67</v>
      </c>
      <c r="BA72" s="174">
        <v>1</v>
      </c>
      <c r="BB72" s="174">
        <v>72</v>
      </c>
      <c r="BC72" s="174">
        <v>1</v>
      </c>
      <c r="BD72" s="174">
        <v>68</v>
      </c>
      <c r="BE72" s="181">
        <v>0.70710678118654757</v>
      </c>
      <c r="BF72" s="174">
        <v>69</v>
      </c>
      <c r="BG72" s="181">
        <v>0.70710678118654746</v>
      </c>
      <c r="BI72" s="176">
        <v>68</v>
      </c>
      <c r="BJ72" s="174" t="s">
        <v>1721</v>
      </c>
      <c r="BK72" s="174" t="b">
        <v>1</v>
      </c>
      <c r="BL72" s="174" t="s">
        <v>170</v>
      </c>
      <c r="BM72" s="174"/>
      <c r="BN72" s="174">
        <v>65</v>
      </c>
      <c r="BO72" s="174">
        <v>1.2</v>
      </c>
      <c r="BP72" s="174">
        <f t="shared" si="72"/>
        <v>88</v>
      </c>
      <c r="BQ72" s="175">
        <v>1.5</v>
      </c>
      <c r="BR72" s="174">
        <v>3</v>
      </c>
      <c r="BS72" s="181" t="e">
        <f>qmz/qz/Kes.w</f>
        <v>#VALUE!</v>
      </c>
      <c r="BT72" s="174">
        <v>19</v>
      </c>
      <c r="BU72" s="181" t="e">
        <f>qmz/qz/Kes.w</f>
        <v>#VALUE!</v>
      </c>
      <c r="BV72" s="174"/>
      <c r="BW72" s="174"/>
      <c r="BY72" s="176">
        <v>68</v>
      </c>
      <c r="BZ72" s="249" t="s">
        <v>1723</v>
      </c>
      <c r="CA72" s="249" t="b">
        <v>1</v>
      </c>
      <c r="CB72" s="249" t="s">
        <v>170</v>
      </c>
      <c r="CC72" s="249"/>
      <c r="CD72" s="249">
        <v>65</v>
      </c>
      <c r="CE72" s="249">
        <v>1</v>
      </c>
      <c r="CF72" s="174">
        <f t="shared" si="73"/>
        <v>88</v>
      </c>
      <c r="CG72" s="248">
        <v>1.25</v>
      </c>
      <c r="CH72" s="249">
        <v>3</v>
      </c>
      <c r="CI72" s="252" t="e">
        <f t="shared" si="74"/>
        <v>#VALUE!</v>
      </c>
      <c r="CJ72" s="249">
        <v>19</v>
      </c>
      <c r="CK72" s="252" t="e">
        <f t="shared" si="75"/>
        <v>#VALUE!</v>
      </c>
      <c r="CL72" s="249"/>
      <c r="CM72" s="249"/>
      <c r="CO72" s="176">
        <v>68</v>
      </c>
      <c r="CP72" s="249" t="s">
        <v>1723</v>
      </c>
      <c r="CQ72" s="249" t="b">
        <v>1</v>
      </c>
      <c r="CR72" s="249" t="s">
        <v>170</v>
      </c>
      <c r="CS72" s="249"/>
      <c r="CT72" s="249">
        <v>65</v>
      </c>
      <c r="CU72" s="249">
        <v>1</v>
      </c>
      <c r="CV72" s="174">
        <f t="shared" si="76"/>
        <v>88</v>
      </c>
      <c r="CW72" s="248">
        <v>1.25</v>
      </c>
      <c r="CX72" s="249">
        <v>3</v>
      </c>
      <c r="CY72" s="252" t="e">
        <f t="shared" si="77"/>
        <v>#VALUE!</v>
      </c>
      <c r="CZ72" s="249">
        <v>19</v>
      </c>
      <c r="DA72" s="252" t="e">
        <f t="shared" si="78"/>
        <v>#VALUE!</v>
      </c>
      <c r="DB72" s="249"/>
      <c r="DC72" s="249"/>
      <c r="DE72" s="176">
        <v>68</v>
      </c>
      <c r="DF72" s="249" t="s">
        <v>1723</v>
      </c>
      <c r="DG72" s="249" t="b">
        <v>1</v>
      </c>
      <c r="DH72" s="249" t="s">
        <v>170</v>
      </c>
      <c r="DI72" s="249"/>
      <c r="DJ72" s="249">
        <v>65</v>
      </c>
      <c r="DK72" s="249">
        <v>1</v>
      </c>
      <c r="DL72" s="174">
        <f t="shared" si="79"/>
        <v>88</v>
      </c>
      <c r="DM72" s="248">
        <v>1.25</v>
      </c>
      <c r="DN72" s="249">
        <v>3</v>
      </c>
      <c r="DO72" s="252" t="e">
        <f t="shared" si="80"/>
        <v>#VALUE!</v>
      </c>
      <c r="DP72" s="249">
        <v>19</v>
      </c>
      <c r="DQ72" s="252" t="e">
        <f t="shared" si="81"/>
        <v>#VALUE!</v>
      </c>
      <c r="DR72" s="249"/>
      <c r="DS72" s="249"/>
      <c r="DU72" s="176">
        <v>68</v>
      </c>
      <c r="DV72" s="174" t="str">
        <f t="shared" si="82"/>
        <v>1.2D + 1.6L + 0.2Di + 0.5S (45 deg</v>
      </c>
      <c r="DW72" s="174">
        <v>1</v>
      </c>
      <c r="DX72" s="174" t="s">
        <v>170</v>
      </c>
      <c r="DY72" s="174"/>
      <c r="DZ72" s="174">
        <v>65</v>
      </c>
      <c r="EA72" s="174">
        <v>1.2</v>
      </c>
      <c r="EB72" s="174">
        <v>88</v>
      </c>
      <c r="EC72" s="175">
        <v>1.5</v>
      </c>
      <c r="ED72" s="174">
        <v>3</v>
      </c>
      <c r="EE72" s="181" t="e">
        <f>qmz/qz/Kes.w</f>
        <v>#VALUE!</v>
      </c>
      <c r="EF72" s="174"/>
      <c r="EG72" s="174"/>
      <c r="EH72" s="174"/>
      <c r="EI72" s="174"/>
      <c r="EK72" s="2" t="s">
        <v>494</v>
      </c>
      <c r="EL72" s="2">
        <v>45</v>
      </c>
      <c r="EN72" s="176">
        <v>68</v>
      </c>
    </row>
    <row r="73" spans="1:144" ht="18" customHeight="1" x14ac:dyDescent="0.2">
      <c r="A73" s="165">
        <v>69</v>
      </c>
      <c r="B73" s="170" t="s">
        <v>498</v>
      </c>
      <c r="C73" s="171" t="s">
        <v>496</v>
      </c>
      <c r="D73" s="171"/>
      <c r="E73" s="171"/>
      <c r="F73" s="171"/>
      <c r="G73" s="171"/>
      <c r="H73" s="185">
        <f>COUNTA('Point Load Tables'!$FY$4:$FY$1048576)</f>
        <v>0</v>
      </c>
      <c r="I73" s="185"/>
      <c r="J73" s="185"/>
      <c r="K73" s="171"/>
      <c r="M73" s="176">
        <f t="shared" si="83"/>
        <v>69</v>
      </c>
      <c r="N73" s="170" t="str">
        <f t="shared" si="51"/>
        <v>1.2D + 1.5Lm_3 + 1.0Wm  | 60 deg</v>
      </c>
      <c r="O73" s="170" t="b">
        <v>1</v>
      </c>
      <c r="P73" s="170" t="str">
        <f t="shared" si="52"/>
        <v>Y</v>
      </c>
      <c r="Q73" s="170" t="str">
        <f t="shared" si="53"/>
        <v/>
      </c>
      <c r="R73" s="170">
        <f t="shared" si="64"/>
        <v>65</v>
      </c>
      <c r="S73" s="170">
        <f t="shared" si="65"/>
        <v>1.2</v>
      </c>
      <c r="T73" s="170">
        <f t="shared" si="66"/>
        <v>88</v>
      </c>
      <c r="U73" s="170">
        <f t="shared" si="67"/>
        <v>1.5</v>
      </c>
      <c r="V73" s="170">
        <f t="shared" si="68"/>
        <v>4</v>
      </c>
      <c r="W73" s="170" t="e">
        <f t="shared" si="69"/>
        <v>#VALUE!</v>
      </c>
      <c r="X73" s="170">
        <f t="shared" si="70"/>
        <v>20</v>
      </c>
      <c r="Y73" s="170" t="e">
        <f t="shared" si="71"/>
        <v>#VALUE!</v>
      </c>
      <c r="Z73" s="170" t="str">
        <f t="shared" si="46"/>
        <v/>
      </c>
      <c r="AA73" s="170" t="str">
        <f t="shared" si="47"/>
        <v/>
      </c>
      <c r="AC73" s="176">
        <v>69</v>
      </c>
      <c r="AD73" s="170" t="s">
        <v>1745</v>
      </c>
      <c r="AE73" s="170" t="b">
        <v>1</v>
      </c>
      <c r="AF73" s="170" t="s">
        <v>170</v>
      </c>
      <c r="AG73" s="170"/>
      <c r="AH73" s="170">
        <v>65</v>
      </c>
      <c r="AI73" s="170">
        <v>1.2</v>
      </c>
      <c r="AJ73" s="170">
        <f t="shared" si="84"/>
        <v>88</v>
      </c>
      <c r="AK73" s="170">
        <v>1.5</v>
      </c>
      <c r="AL73" s="170">
        <v>4</v>
      </c>
      <c r="AM73" s="180" t="e">
        <f>qmz/qz/Kes.w</f>
        <v>#VALUE!</v>
      </c>
      <c r="AN73" s="170">
        <v>20</v>
      </c>
      <c r="AO73" s="180" t="e">
        <f>qmz/qz/Kes.w</f>
        <v>#VALUE!</v>
      </c>
      <c r="AP73" s="170"/>
      <c r="AQ73" s="170"/>
      <c r="AS73" s="176">
        <v>69</v>
      </c>
      <c r="AT73" s="170" t="s">
        <v>1746</v>
      </c>
      <c r="AU73" s="170" t="b">
        <v>1</v>
      </c>
      <c r="AV73" s="170" t="s">
        <v>170</v>
      </c>
      <c r="AW73" s="170"/>
      <c r="AX73" s="170">
        <v>65</v>
      </c>
      <c r="AY73" s="170">
        <v>1.2</v>
      </c>
      <c r="AZ73" s="170">
        <v>67</v>
      </c>
      <c r="BA73" s="170">
        <v>1</v>
      </c>
      <c r="BB73" s="170">
        <v>73</v>
      </c>
      <c r="BC73" s="170">
        <v>1</v>
      </c>
      <c r="BD73" s="170">
        <v>68</v>
      </c>
      <c r="BE73" s="180">
        <v>0.50000000000000011</v>
      </c>
      <c r="BF73" s="170">
        <v>69</v>
      </c>
      <c r="BG73" s="180">
        <v>0.8660254037844386</v>
      </c>
      <c r="BI73" s="176">
        <v>69</v>
      </c>
      <c r="BJ73" s="170" t="s">
        <v>1745</v>
      </c>
      <c r="BK73" s="170" t="b">
        <v>1</v>
      </c>
      <c r="BL73" s="170" t="s">
        <v>170</v>
      </c>
      <c r="BM73" s="170"/>
      <c r="BN73" s="170">
        <v>65</v>
      </c>
      <c r="BO73" s="170">
        <v>1.2</v>
      </c>
      <c r="BP73" s="170">
        <f t="shared" si="72"/>
        <v>88</v>
      </c>
      <c r="BQ73" s="170">
        <v>1.5</v>
      </c>
      <c r="BR73" s="170">
        <v>4</v>
      </c>
      <c r="BS73" s="180" t="e">
        <f>qmz/qz/Kes.w</f>
        <v>#VALUE!</v>
      </c>
      <c r="BT73" s="170">
        <v>20</v>
      </c>
      <c r="BU73" s="180" t="e">
        <f>qmz/qz/Kes.w</f>
        <v>#VALUE!</v>
      </c>
      <c r="BV73" s="170"/>
      <c r="BW73" s="170"/>
      <c r="BY73" s="176">
        <v>69</v>
      </c>
      <c r="BZ73" s="246" t="s">
        <v>1747</v>
      </c>
      <c r="CA73" s="246" t="b">
        <v>1</v>
      </c>
      <c r="CB73" s="246" t="s">
        <v>170</v>
      </c>
      <c r="CC73" s="246"/>
      <c r="CD73" s="246">
        <v>65</v>
      </c>
      <c r="CE73" s="246">
        <v>1</v>
      </c>
      <c r="CF73" s="170">
        <f t="shared" si="73"/>
        <v>88</v>
      </c>
      <c r="CG73" s="246">
        <v>1.25</v>
      </c>
      <c r="CH73" s="246">
        <v>4</v>
      </c>
      <c r="CI73" s="251" t="e">
        <f t="shared" si="74"/>
        <v>#VALUE!</v>
      </c>
      <c r="CJ73" s="246">
        <v>20</v>
      </c>
      <c r="CK73" s="251" t="e">
        <f t="shared" si="75"/>
        <v>#VALUE!</v>
      </c>
      <c r="CL73" s="246"/>
      <c r="CM73" s="246"/>
      <c r="CO73" s="176">
        <v>69</v>
      </c>
      <c r="CP73" s="246" t="s">
        <v>1747</v>
      </c>
      <c r="CQ73" s="246" t="b">
        <v>1</v>
      </c>
      <c r="CR73" s="246" t="s">
        <v>170</v>
      </c>
      <c r="CS73" s="246"/>
      <c r="CT73" s="246">
        <v>65</v>
      </c>
      <c r="CU73" s="246">
        <v>1</v>
      </c>
      <c r="CV73" s="170">
        <f t="shared" si="76"/>
        <v>88</v>
      </c>
      <c r="CW73" s="246">
        <v>1.25</v>
      </c>
      <c r="CX73" s="246">
        <v>4</v>
      </c>
      <c r="CY73" s="251" t="e">
        <f t="shared" si="77"/>
        <v>#VALUE!</v>
      </c>
      <c r="CZ73" s="246">
        <v>20</v>
      </c>
      <c r="DA73" s="251" t="e">
        <f t="shared" si="78"/>
        <v>#VALUE!</v>
      </c>
      <c r="DB73" s="246"/>
      <c r="DC73" s="246"/>
      <c r="DE73" s="176">
        <v>69</v>
      </c>
      <c r="DF73" s="246" t="s">
        <v>1747</v>
      </c>
      <c r="DG73" s="246" t="b">
        <v>1</v>
      </c>
      <c r="DH73" s="246" t="s">
        <v>170</v>
      </c>
      <c r="DI73" s="246"/>
      <c r="DJ73" s="246">
        <v>65</v>
      </c>
      <c r="DK73" s="246">
        <v>1</v>
      </c>
      <c r="DL73" s="170">
        <f t="shared" si="79"/>
        <v>88</v>
      </c>
      <c r="DM73" s="246">
        <v>1.25</v>
      </c>
      <c r="DN73" s="246">
        <v>4</v>
      </c>
      <c r="DO73" s="251" t="e">
        <f t="shared" si="80"/>
        <v>#VALUE!</v>
      </c>
      <c r="DP73" s="246">
        <v>20</v>
      </c>
      <c r="DQ73" s="251" t="e">
        <f t="shared" si="81"/>
        <v>#VALUE!</v>
      </c>
      <c r="DR73" s="246"/>
      <c r="DS73" s="246"/>
      <c r="DU73" s="176">
        <v>69</v>
      </c>
      <c r="DV73" s="170" t="str">
        <f t="shared" si="82"/>
        <v>1.2D + 1.6L + 0.2Di + 0.5S (60 deg</v>
      </c>
      <c r="DW73" s="170">
        <v>1</v>
      </c>
      <c r="DX73" s="170" t="s">
        <v>170</v>
      </c>
      <c r="DY73" s="170"/>
      <c r="DZ73" s="170">
        <v>65</v>
      </c>
      <c r="EA73" s="170">
        <v>1.2</v>
      </c>
      <c r="EB73" s="170">
        <v>88</v>
      </c>
      <c r="EC73" s="170">
        <v>1.5</v>
      </c>
      <c r="ED73" s="170">
        <v>4</v>
      </c>
      <c r="EE73" s="180" t="e">
        <f>qmz/qz/Kes.w</f>
        <v>#VALUE!</v>
      </c>
      <c r="EF73" s="170"/>
      <c r="EG73" s="170"/>
      <c r="EH73" s="170"/>
      <c r="EI73" s="170"/>
      <c r="EK73" s="2" t="s">
        <v>494</v>
      </c>
      <c r="EL73" s="2">
        <v>60</v>
      </c>
      <c r="EN73" s="176">
        <v>69</v>
      </c>
    </row>
    <row r="74" spans="1:144" ht="18" customHeight="1" x14ac:dyDescent="0.2">
      <c r="A74" s="165">
        <v>70</v>
      </c>
      <c r="B74" s="174" t="s">
        <v>499</v>
      </c>
      <c r="C74" s="174" t="s">
        <v>496</v>
      </c>
      <c r="D74" s="174" t="str">
        <f ca="1">IFERROR(1*Eh*SIN(RADIANS(0)),"")</f>
        <v/>
      </c>
      <c r="E74" s="174" t="str">
        <f t="shared" ref="E74:E89" ca="1" si="85">IFERROR(-Ev,"")</f>
        <v/>
      </c>
      <c r="F74" s="174" t="str">
        <f ca="1">IFERROR(-1*Eh*COS(RADIANS(0)),"")</f>
        <v/>
      </c>
      <c r="G74" s="174"/>
      <c r="H74" s="186"/>
      <c r="I74" s="186"/>
      <c r="J74" s="186"/>
      <c r="K74" s="174"/>
      <c r="M74" s="176">
        <f t="shared" si="83"/>
        <v>70</v>
      </c>
      <c r="N74" s="174" t="str">
        <f t="shared" si="51"/>
        <v>1.2D + 1.5Lm_3 + 1.0Wm  | 90 deg</v>
      </c>
      <c r="O74" s="174" t="b">
        <v>1</v>
      </c>
      <c r="P74" s="174" t="str">
        <f t="shared" si="52"/>
        <v>Y</v>
      </c>
      <c r="Q74" s="174" t="str">
        <f t="shared" si="53"/>
        <v/>
      </c>
      <c r="R74" s="174">
        <f t="shared" si="64"/>
        <v>65</v>
      </c>
      <c r="S74" s="174">
        <f t="shared" si="65"/>
        <v>1.2</v>
      </c>
      <c r="T74" s="174">
        <f t="shared" si="66"/>
        <v>88</v>
      </c>
      <c r="U74" s="174">
        <f t="shared" si="67"/>
        <v>1.5</v>
      </c>
      <c r="V74" s="174">
        <f t="shared" si="68"/>
        <v>5</v>
      </c>
      <c r="W74" s="174" t="e">
        <f t="shared" si="69"/>
        <v>#VALUE!</v>
      </c>
      <c r="X74" s="174">
        <f t="shared" si="70"/>
        <v>21</v>
      </c>
      <c r="Y74" s="174" t="e">
        <f t="shared" si="71"/>
        <v>#VALUE!</v>
      </c>
      <c r="Z74" s="174" t="str">
        <f t="shared" si="46"/>
        <v/>
      </c>
      <c r="AA74" s="174" t="str">
        <f t="shared" si="47"/>
        <v/>
      </c>
      <c r="AC74" s="176">
        <v>70</v>
      </c>
      <c r="AD74" s="174" t="s">
        <v>1769</v>
      </c>
      <c r="AE74" s="174" t="b">
        <v>1</v>
      </c>
      <c r="AF74" s="174" t="s">
        <v>170</v>
      </c>
      <c r="AG74" s="174"/>
      <c r="AH74" s="174">
        <v>65</v>
      </c>
      <c r="AI74" s="174">
        <v>1.2</v>
      </c>
      <c r="AJ74" s="174">
        <f t="shared" si="84"/>
        <v>88</v>
      </c>
      <c r="AK74" s="175">
        <v>1.5</v>
      </c>
      <c r="AL74" s="174">
        <v>5</v>
      </c>
      <c r="AM74" s="181" t="e">
        <f>qmz/qz/Kes.w</f>
        <v>#VALUE!</v>
      </c>
      <c r="AN74" s="174">
        <v>21</v>
      </c>
      <c r="AO74" s="181" t="e">
        <f>qmz/qz/Kes.w</f>
        <v>#VALUE!</v>
      </c>
      <c r="AP74" s="174"/>
      <c r="AQ74" s="174"/>
      <c r="AS74" s="176">
        <v>70</v>
      </c>
      <c r="AT74" s="174" t="s">
        <v>1770</v>
      </c>
      <c r="AU74" s="174" t="b">
        <v>1</v>
      </c>
      <c r="AV74" s="174" t="s">
        <v>170</v>
      </c>
      <c r="AW74" s="174"/>
      <c r="AX74" s="174">
        <v>65</v>
      </c>
      <c r="AY74" s="174">
        <v>1.2</v>
      </c>
      <c r="AZ74" s="174">
        <v>67</v>
      </c>
      <c r="BA74" s="174">
        <v>1</v>
      </c>
      <c r="BB74" s="174">
        <v>74</v>
      </c>
      <c r="BC74" s="174">
        <v>1</v>
      </c>
      <c r="BD74" s="174">
        <v>68</v>
      </c>
      <c r="BE74" s="181">
        <v>6.1257422745431001E-17</v>
      </c>
      <c r="BF74" s="174">
        <v>69</v>
      </c>
      <c r="BG74" s="181">
        <v>1</v>
      </c>
      <c r="BI74" s="176">
        <v>70</v>
      </c>
      <c r="BJ74" s="174" t="s">
        <v>1769</v>
      </c>
      <c r="BK74" s="174" t="b">
        <v>1</v>
      </c>
      <c r="BL74" s="174" t="s">
        <v>170</v>
      </c>
      <c r="BM74" s="174"/>
      <c r="BN74" s="174">
        <v>65</v>
      </c>
      <c r="BO74" s="174">
        <v>1.2</v>
      </c>
      <c r="BP74" s="174">
        <f t="shared" si="72"/>
        <v>88</v>
      </c>
      <c r="BQ74" s="175">
        <v>1.5</v>
      </c>
      <c r="BR74" s="174">
        <v>5</v>
      </c>
      <c r="BS74" s="181" t="e">
        <f>qmz/qz/Kes.w</f>
        <v>#VALUE!</v>
      </c>
      <c r="BT74" s="174">
        <v>21</v>
      </c>
      <c r="BU74" s="181" t="e">
        <f>qmz/qz/Kes.w</f>
        <v>#VALUE!</v>
      </c>
      <c r="BV74" s="174"/>
      <c r="BW74" s="174"/>
      <c r="BY74" s="176">
        <v>70</v>
      </c>
      <c r="BZ74" s="249" t="s">
        <v>1771</v>
      </c>
      <c r="CA74" s="249" t="b">
        <v>1</v>
      </c>
      <c r="CB74" s="249" t="s">
        <v>170</v>
      </c>
      <c r="CC74" s="249"/>
      <c r="CD74" s="249">
        <v>65</v>
      </c>
      <c r="CE74" s="249">
        <v>1</v>
      </c>
      <c r="CF74" s="174">
        <f t="shared" si="73"/>
        <v>88</v>
      </c>
      <c r="CG74" s="248">
        <v>1.25</v>
      </c>
      <c r="CH74" s="249">
        <v>5</v>
      </c>
      <c r="CI74" s="252" t="e">
        <f t="shared" si="74"/>
        <v>#VALUE!</v>
      </c>
      <c r="CJ74" s="249">
        <v>21</v>
      </c>
      <c r="CK74" s="252" t="e">
        <f t="shared" si="75"/>
        <v>#VALUE!</v>
      </c>
      <c r="CL74" s="249"/>
      <c r="CM74" s="249"/>
      <c r="CO74" s="176">
        <v>70</v>
      </c>
      <c r="CP74" s="249" t="s">
        <v>1771</v>
      </c>
      <c r="CQ74" s="249" t="b">
        <v>1</v>
      </c>
      <c r="CR74" s="249" t="s">
        <v>170</v>
      </c>
      <c r="CS74" s="249"/>
      <c r="CT74" s="249">
        <v>65</v>
      </c>
      <c r="CU74" s="249">
        <v>1</v>
      </c>
      <c r="CV74" s="174">
        <f t="shared" si="76"/>
        <v>88</v>
      </c>
      <c r="CW74" s="248">
        <v>1.25</v>
      </c>
      <c r="CX74" s="249">
        <v>5</v>
      </c>
      <c r="CY74" s="252" t="e">
        <f t="shared" si="77"/>
        <v>#VALUE!</v>
      </c>
      <c r="CZ74" s="249">
        <v>21</v>
      </c>
      <c r="DA74" s="252" t="e">
        <f t="shared" si="78"/>
        <v>#VALUE!</v>
      </c>
      <c r="DB74" s="249"/>
      <c r="DC74" s="249"/>
      <c r="DE74" s="176">
        <v>70</v>
      </c>
      <c r="DF74" s="249" t="s">
        <v>1771</v>
      </c>
      <c r="DG74" s="249" t="b">
        <v>1</v>
      </c>
      <c r="DH74" s="249" t="s">
        <v>170</v>
      </c>
      <c r="DI74" s="249"/>
      <c r="DJ74" s="249">
        <v>65</v>
      </c>
      <c r="DK74" s="249">
        <v>1</v>
      </c>
      <c r="DL74" s="174">
        <f t="shared" si="79"/>
        <v>88</v>
      </c>
      <c r="DM74" s="248">
        <v>1.25</v>
      </c>
      <c r="DN74" s="249">
        <v>5</v>
      </c>
      <c r="DO74" s="252" t="e">
        <f t="shared" si="80"/>
        <v>#VALUE!</v>
      </c>
      <c r="DP74" s="249">
        <v>21</v>
      </c>
      <c r="DQ74" s="252" t="e">
        <f t="shared" si="81"/>
        <v>#VALUE!</v>
      </c>
      <c r="DR74" s="249"/>
      <c r="DS74" s="249"/>
      <c r="DU74" s="176">
        <v>70</v>
      </c>
      <c r="DV74" s="174" t="str">
        <f t="shared" si="82"/>
        <v>1.2D + 1.6L + 0.2Di + 0.5S (90 deg</v>
      </c>
      <c r="DW74" s="174">
        <v>1</v>
      </c>
      <c r="DX74" s="174" t="s">
        <v>170</v>
      </c>
      <c r="DY74" s="174"/>
      <c r="DZ74" s="174">
        <v>65</v>
      </c>
      <c r="EA74" s="174">
        <v>1.2</v>
      </c>
      <c r="EB74" s="174">
        <v>88</v>
      </c>
      <c r="EC74" s="175">
        <v>1.5</v>
      </c>
      <c r="ED74" s="174">
        <v>5</v>
      </c>
      <c r="EE74" s="181" t="e">
        <f>qmz/qz/Kes.w</f>
        <v>#VALUE!</v>
      </c>
      <c r="EF74" s="174"/>
      <c r="EG74" s="174"/>
      <c r="EH74" s="174"/>
      <c r="EI74" s="174"/>
      <c r="EK74" s="2" t="s">
        <v>494</v>
      </c>
      <c r="EL74" s="2">
        <v>90</v>
      </c>
      <c r="EN74" s="176">
        <v>70</v>
      </c>
    </row>
    <row r="75" spans="1:144" ht="18" customHeight="1" x14ac:dyDescent="0.2">
      <c r="A75" s="165">
        <v>71</v>
      </c>
      <c r="B75" s="170" t="s">
        <v>500</v>
      </c>
      <c r="C75" s="171" t="s">
        <v>496</v>
      </c>
      <c r="D75" s="171" t="str">
        <f ca="1">IFERROR(1*Eh*SIN(RADIANS(30)),"")</f>
        <v/>
      </c>
      <c r="E75" s="171" t="str">
        <f t="shared" ca="1" si="85"/>
        <v/>
      </c>
      <c r="F75" s="171" t="str">
        <f ca="1">IFERROR(-1*Eh*COS(RADIANS(30)),"")</f>
        <v/>
      </c>
      <c r="G75" s="171"/>
      <c r="H75" s="185"/>
      <c r="I75" s="185"/>
      <c r="J75" s="185"/>
      <c r="K75" s="171"/>
      <c r="M75" s="176">
        <f t="shared" si="83"/>
        <v>71</v>
      </c>
      <c r="N75" s="170" t="str">
        <f t="shared" si="51"/>
        <v>1.2D + 1.5Lm_3 + 1.0Wm  | 120 deg</v>
      </c>
      <c r="O75" s="170" t="b">
        <v>1</v>
      </c>
      <c r="P75" s="170" t="str">
        <f t="shared" si="52"/>
        <v>Y</v>
      </c>
      <c r="Q75" s="170" t="str">
        <f t="shared" si="53"/>
        <v/>
      </c>
      <c r="R75" s="170">
        <f t="shared" si="64"/>
        <v>65</v>
      </c>
      <c r="S75" s="170">
        <f t="shared" si="65"/>
        <v>1.2</v>
      </c>
      <c r="T75" s="170">
        <f t="shared" si="66"/>
        <v>88</v>
      </c>
      <c r="U75" s="170">
        <f t="shared" si="67"/>
        <v>1.5</v>
      </c>
      <c r="V75" s="170">
        <f t="shared" si="68"/>
        <v>6</v>
      </c>
      <c r="W75" s="170" t="e">
        <f t="shared" si="69"/>
        <v>#VALUE!</v>
      </c>
      <c r="X75" s="170">
        <f t="shared" si="70"/>
        <v>22</v>
      </c>
      <c r="Y75" s="170" t="e">
        <f t="shared" si="71"/>
        <v>#VALUE!</v>
      </c>
      <c r="Z75" s="170" t="str">
        <f t="shared" si="46"/>
        <v/>
      </c>
      <c r="AA75" s="170" t="str">
        <f t="shared" si="47"/>
        <v/>
      </c>
      <c r="AC75" s="176">
        <v>71</v>
      </c>
      <c r="AD75" s="170" t="s">
        <v>1466</v>
      </c>
      <c r="AE75" s="170" t="b">
        <v>1</v>
      </c>
      <c r="AF75" s="170" t="s">
        <v>170</v>
      </c>
      <c r="AG75" s="170"/>
      <c r="AH75" s="170">
        <v>65</v>
      </c>
      <c r="AI75" s="170">
        <v>1.2</v>
      </c>
      <c r="AJ75" s="170">
        <f t="shared" si="84"/>
        <v>88</v>
      </c>
      <c r="AK75" s="170">
        <v>1.5</v>
      </c>
      <c r="AL75" s="170">
        <v>6</v>
      </c>
      <c r="AM75" s="180" t="e">
        <f>qmz/qz/Kes.w</f>
        <v>#VALUE!</v>
      </c>
      <c r="AN75" s="170">
        <v>22</v>
      </c>
      <c r="AO75" s="180" t="e">
        <f>qmz/qz/Kes.w</f>
        <v>#VALUE!</v>
      </c>
      <c r="AP75" s="170"/>
      <c r="AQ75" s="170"/>
      <c r="AS75" s="176">
        <v>71</v>
      </c>
      <c r="AT75" s="170" t="s">
        <v>1467</v>
      </c>
      <c r="AU75" s="170" t="b">
        <v>1</v>
      </c>
      <c r="AV75" s="170" t="s">
        <v>170</v>
      </c>
      <c r="AW75" s="170"/>
      <c r="AX75" s="170">
        <v>65</v>
      </c>
      <c r="AY75" s="170">
        <v>1.2</v>
      </c>
      <c r="AZ75" s="170">
        <v>67</v>
      </c>
      <c r="BA75" s="170">
        <v>1</v>
      </c>
      <c r="BB75" s="170">
        <v>75</v>
      </c>
      <c r="BC75" s="170">
        <v>1</v>
      </c>
      <c r="BD75" s="170">
        <v>68</v>
      </c>
      <c r="BE75" s="180">
        <v>-0.49999999999999978</v>
      </c>
      <c r="BF75" s="170">
        <v>69</v>
      </c>
      <c r="BG75" s="180">
        <v>0.86602540378443871</v>
      </c>
      <c r="BI75" s="176">
        <v>71</v>
      </c>
      <c r="BJ75" s="170" t="s">
        <v>1466</v>
      </c>
      <c r="BK75" s="170" t="b">
        <v>1</v>
      </c>
      <c r="BL75" s="170" t="s">
        <v>170</v>
      </c>
      <c r="BM75" s="170"/>
      <c r="BN75" s="170">
        <v>65</v>
      </c>
      <c r="BO75" s="170">
        <v>1.2</v>
      </c>
      <c r="BP75" s="170">
        <f t="shared" si="72"/>
        <v>88</v>
      </c>
      <c r="BQ75" s="170">
        <v>1.5</v>
      </c>
      <c r="BR75" s="170">
        <v>6</v>
      </c>
      <c r="BS75" s="180" t="e">
        <f>qmz/qz/Kes.w</f>
        <v>#VALUE!</v>
      </c>
      <c r="BT75" s="170">
        <v>22</v>
      </c>
      <c r="BU75" s="180" t="e">
        <f>qmz/qz/Kes.w</f>
        <v>#VALUE!</v>
      </c>
      <c r="BV75" s="170"/>
      <c r="BW75" s="170"/>
      <c r="BY75" s="176">
        <v>71</v>
      </c>
      <c r="BZ75" s="246" t="s">
        <v>1468</v>
      </c>
      <c r="CA75" s="246" t="b">
        <v>1</v>
      </c>
      <c r="CB75" s="246" t="s">
        <v>170</v>
      </c>
      <c r="CC75" s="246"/>
      <c r="CD75" s="246">
        <v>65</v>
      </c>
      <c r="CE75" s="246">
        <v>1</v>
      </c>
      <c r="CF75" s="170">
        <f t="shared" si="73"/>
        <v>88</v>
      </c>
      <c r="CG75" s="246">
        <v>1.25</v>
      </c>
      <c r="CH75" s="246">
        <v>6</v>
      </c>
      <c r="CI75" s="251" t="e">
        <f t="shared" si="74"/>
        <v>#VALUE!</v>
      </c>
      <c r="CJ75" s="246">
        <v>22</v>
      </c>
      <c r="CK75" s="251" t="e">
        <f t="shared" si="75"/>
        <v>#VALUE!</v>
      </c>
      <c r="CL75" s="246"/>
      <c r="CM75" s="246"/>
      <c r="CO75" s="176">
        <v>71</v>
      </c>
      <c r="CP75" s="246" t="s">
        <v>1468</v>
      </c>
      <c r="CQ75" s="246" t="b">
        <v>1</v>
      </c>
      <c r="CR75" s="246" t="s">
        <v>170</v>
      </c>
      <c r="CS75" s="246"/>
      <c r="CT75" s="246">
        <v>65</v>
      </c>
      <c r="CU75" s="246">
        <v>1</v>
      </c>
      <c r="CV75" s="170">
        <f t="shared" si="76"/>
        <v>88</v>
      </c>
      <c r="CW75" s="246">
        <v>1.25</v>
      </c>
      <c r="CX75" s="246">
        <v>6</v>
      </c>
      <c r="CY75" s="251" t="e">
        <f t="shared" si="77"/>
        <v>#VALUE!</v>
      </c>
      <c r="CZ75" s="246">
        <v>22</v>
      </c>
      <c r="DA75" s="251" t="e">
        <f t="shared" si="78"/>
        <v>#VALUE!</v>
      </c>
      <c r="DB75" s="246"/>
      <c r="DC75" s="246"/>
      <c r="DE75" s="176">
        <v>71</v>
      </c>
      <c r="DF75" s="246" t="s">
        <v>1468</v>
      </c>
      <c r="DG75" s="246" t="b">
        <v>1</v>
      </c>
      <c r="DH75" s="246" t="s">
        <v>170</v>
      </c>
      <c r="DI75" s="246"/>
      <c r="DJ75" s="246">
        <v>65</v>
      </c>
      <c r="DK75" s="246">
        <v>1</v>
      </c>
      <c r="DL75" s="170">
        <f t="shared" si="79"/>
        <v>88</v>
      </c>
      <c r="DM75" s="246">
        <v>1.25</v>
      </c>
      <c r="DN75" s="246">
        <v>6</v>
      </c>
      <c r="DO75" s="251" t="e">
        <f t="shared" si="80"/>
        <v>#VALUE!</v>
      </c>
      <c r="DP75" s="246">
        <v>22</v>
      </c>
      <c r="DQ75" s="251" t="e">
        <f t="shared" si="81"/>
        <v>#VALUE!</v>
      </c>
      <c r="DR75" s="246"/>
      <c r="DS75" s="246"/>
      <c r="DU75" s="176">
        <v>71</v>
      </c>
      <c r="DV75" s="170" t="str">
        <f t="shared" si="82"/>
        <v>1.2D + 1.6L + 0.2Di + 0.5S (120 deg</v>
      </c>
      <c r="DW75" s="170">
        <v>1</v>
      </c>
      <c r="DX75" s="170" t="s">
        <v>170</v>
      </c>
      <c r="DY75" s="170"/>
      <c r="DZ75" s="170">
        <v>65</v>
      </c>
      <c r="EA75" s="170">
        <v>1.2</v>
      </c>
      <c r="EB75" s="170">
        <v>88</v>
      </c>
      <c r="EC75" s="170">
        <v>1.5</v>
      </c>
      <c r="ED75" s="170">
        <v>6</v>
      </c>
      <c r="EE75" s="180" t="e">
        <f>qmz/qz/Kes.w</f>
        <v>#VALUE!</v>
      </c>
      <c r="EF75" s="170"/>
      <c r="EG75" s="170"/>
      <c r="EH75" s="170"/>
      <c r="EI75" s="170"/>
      <c r="EK75" s="2" t="s">
        <v>494</v>
      </c>
      <c r="EL75" s="2">
        <v>120</v>
      </c>
      <c r="EN75" s="176">
        <v>71</v>
      </c>
    </row>
    <row r="76" spans="1:144" ht="18" customHeight="1" x14ac:dyDescent="0.2">
      <c r="A76" s="165">
        <v>72</v>
      </c>
      <c r="B76" s="174" t="s">
        <v>501</v>
      </c>
      <c r="C76" s="174" t="s">
        <v>496</v>
      </c>
      <c r="D76" s="174" t="str">
        <f ca="1">IFERROR(1*Eh*SIN(RADIANS(45)),"")</f>
        <v/>
      </c>
      <c r="E76" s="174" t="str">
        <f t="shared" ca="1" si="85"/>
        <v/>
      </c>
      <c r="F76" s="174" t="str">
        <f ca="1">IFERROR(-1*Eh*COS(RADIANS(45)),"")</f>
        <v/>
      </c>
      <c r="G76" s="174"/>
      <c r="H76" s="186"/>
      <c r="I76" s="186"/>
      <c r="J76" s="186"/>
      <c r="K76" s="174"/>
      <c r="M76" s="176">
        <f t="shared" si="83"/>
        <v>72</v>
      </c>
      <c r="N76" s="174" t="str">
        <f t="shared" si="51"/>
        <v>1.2D + 1.5Lm_3 + 1.0Wm  | 135 deg</v>
      </c>
      <c r="O76" s="174" t="b">
        <v>1</v>
      </c>
      <c r="P76" s="174" t="str">
        <f t="shared" si="52"/>
        <v>Y</v>
      </c>
      <c r="Q76" s="174" t="str">
        <f t="shared" si="53"/>
        <v/>
      </c>
      <c r="R76" s="174">
        <f t="shared" si="64"/>
        <v>65</v>
      </c>
      <c r="S76" s="174">
        <f t="shared" si="65"/>
        <v>1.2</v>
      </c>
      <c r="T76" s="174">
        <f t="shared" si="66"/>
        <v>88</v>
      </c>
      <c r="U76" s="174">
        <f t="shared" si="67"/>
        <v>1.5</v>
      </c>
      <c r="V76" s="174">
        <f t="shared" si="68"/>
        <v>7</v>
      </c>
      <c r="W76" s="174" t="e">
        <f t="shared" si="69"/>
        <v>#VALUE!</v>
      </c>
      <c r="X76" s="174">
        <f t="shared" si="70"/>
        <v>23</v>
      </c>
      <c r="Y76" s="174" t="e">
        <f t="shared" si="71"/>
        <v>#VALUE!</v>
      </c>
      <c r="Z76" s="174" t="str">
        <f t="shared" si="46"/>
        <v/>
      </c>
      <c r="AA76" s="174" t="str">
        <f t="shared" si="47"/>
        <v/>
      </c>
      <c r="AC76" s="176">
        <v>72</v>
      </c>
      <c r="AD76" s="174" t="s">
        <v>1469</v>
      </c>
      <c r="AE76" s="174" t="b">
        <v>1</v>
      </c>
      <c r="AF76" s="174" t="s">
        <v>170</v>
      </c>
      <c r="AG76" s="174"/>
      <c r="AH76" s="174">
        <v>65</v>
      </c>
      <c r="AI76" s="174">
        <v>1.2</v>
      </c>
      <c r="AJ76" s="174">
        <f t="shared" si="84"/>
        <v>88</v>
      </c>
      <c r="AK76" s="175">
        <v>1.5</v>
      </c>
      <c r="AL76" s="174">
        <v>7</v>
      </c>
      <c r="AM76" s="181" t="e">
        <f>qmz/qz/Kes.w</f>
        <v>#VALUE!</v>
      </c>
      <c r="AN76" s="174">
        <v>23</v>
      </c>
      <c r="AO76" s="181" t="e">
        <f>qmz/qz/Kes.w</f>
        <v>#VALUE!</v>
      </c>
      <c r="AP76" s="174"/>
      <c r="AQ76" s="174"/>
      <c r="AS76" s="176">
        <v>72</v>
      </c>
      <c r="AT76" s="174" t="s">
        <v>1470</v>
      </c>
      <c r="AU76" s="174"/>
      <c r="AV76" s="174" t="s">
        <v>170</v>
      </c>
      <c r="AW76" s="174"/>
      <c r="AX76" s="174">
        <v>65</v>
      </c>
      <c r="AY76" s="174">
        <v>1.2</v>
      </c>
      <c r="AZ76" s="174">
        <v>67</v>
      </c>
      <c r="BA76" s="174">
        <v>1</v>
      </c>
      <c r="BB76" s="174">
        <v>76</v>
      </c>
      <c r="BC76" s="174">
        <v>1</v>
      </c>
      <c r="BD76" s="174">
        <v>68</v>
      </c>
      <c r="BE76" s="181">
        <v>-0.70710678118654746</v>
      </c>
      <c r="BF76" s="174">
        <v>69</v>
      </c>
      <c r="BG76" s="181">
        <v>0.70710678118654757</v>
      </c>
      <c r="BI76" s="176">
        <v>72</v>
      </c>
      <c r="BJ76" s="174" t="s">
        <v>1469</v>
      </c>
      <c r="BK76" s="174" t="b">
        <v>1</v>
      </c>
      <c r="BL76" s="174" t="s">
        <v>170</v>
      </c>
      <c r="BM76" s="174"/>
      <c r="BN76" s="174">
        <v>65</v>
      </c>
      <c r="BO76" s="174">
        <v>1.2</v>
      </c>
      <c r="BP76" s="174">
        <f t="shared" si="72"/>
        <v>88</v>
      </c>
      <c r="BQ76" s="175">
        <v>1.5</v>
      </c>
      <c r="BR76" s="174">
        <v>7</v>
      </c>
      <c r="BS76" s="181" t="e">
        <f>qmz/qz/Kes.w</f>
        <v>#VALUE!</v>
      </c>
      <c r="BT76" s="174">
        <v>23</v>
      </c>
      <c r="BU76" s="181" t="e">
        <f>qmz/qz/Kes.w</f>
        <v>#VALUE!</v>
      </c>
      <c r="BV76" s="174"/>
      <c r="BW76" s="174"/>
      <c r="BY76" s="176">
        <v>72</v>
      </c>
      <c r="BZ76" s="249" t="s">
        <v>1471</v>
      </c>
      <c r="CA76" s="249" t="b">
        <v>1</v>
      </c>
      <c r="CB76" s="249" t="s">
        <v>170</v>
      </c>
      <c r="CC76" s="249"/>
      <c r="CD76" s="249">
        <v>65</v>
      </c>
      <c r="CE76" s="249">
        <v>1</v>
      </c>
      <c r="CF76" s="174">
        <f t="shared" si="73"/>
        <v>88</v>
      </c>
      <c r="CG76" s="248">
        <v>1.25</v>
      </c>
      <c r="CH76" s="249">
        <v>7</v>
      </c>
      <c r="CI76" s="252" t="e">
        <f t="shared" si="74"/>
        <v>#VALUE!</v>
      </c>
      <c r="CJ76" s="249">
        <v>23</v>
      </c>
      <c r="CK76" s="252" t="e">
        <f t="shared" si="75"/>
        <v>#VALUE!</v>
      </c>
      <c r="CL76" s="249"/>
      <c r="CM76" s="249"/>
      <c r="CO76" s="176">
        <v>72</v>
      </c>
      <c r="CP76" s="249" t="s">
        <v>1471</v>
      </c>
      <c r="CQ76" s="249" t="b">
        <v>1</v>
      </c>
      <c r="CR76" s="249" t="s">
        <v>170</v>
      </c>
      <c r="CS76" s="249"/>
      <c r="CT76" s="249">
        <v>65</v>
      </c>
      <c r="CU76" s="249">
        <v>1</v>
      </c>
      <c r="CV76" s="174">
        <f t="shared" si="76"/>
        <v>88</v>
      </c>
      <c r="CW76" s="248">
        <v>1.25</v>
      </c>
      <c r="CX76" s="249">
        <v>7</v>
      </c>
      <c r="CY76" s="252" t="e">
        <f t="shared" si="77"/>
        <v>#VALUE!</v>
      </c>
      <c r="CZ76" s="249">
        <v>23</v>
      </c>
      <c r="DA76" s="252" t="e">
        <f t="shared" si="78"/>
        <v>#VALUE!</v>
      </c>
      <c r="DB76" s="249"/>
      <c r="DC76" s="249"/>
      <c r="DE76" s="176">
        <v>72</v>
      </c>
      <c r="DF76" s="249" t="s">
        <v>1471</v>
      </c>
      <c r="DG76" s="249" t="b">
        <v>1</v>
      </c>
      <c r="DH76" s="249" t="s">
        <v>170</v>
      </c>
      <c r="DI76" s="249"/>
      <c r="DJ76" s="249">
        <v>65</v>
      </c>
      <c r="DK76" s="249">
        <v>1</v>
      </c>
      <c r="DL76" s="174">
        <f t="shared" si="79"/>
        <v>88</v>
      </c>
      <c r="DM76" s="248">
        <v>1.25</v>
      </c>
      <c r="DN76" s="249">
        <v>7</v>
      </c>
      <c r="DO76" s="252" t="e">
        <f t="shared" si="80"/>
        <v>#VALUE!</v>
      </c>
      <c r="DP76" s="249">
        <v>23</v>
      </c>
      <c r="DQ76" s="252" t="e">
        <f t="shared" si="81"/>
        <v>#VALUE!</v>
      </c>
      <c r="DR76" s="249"/>
      <c r="DS76" s="249"/>
      <c r="DU76" s="176">
        <v>72</v>
      </c>
      <c r="DV76" s="174" t="str">
        <f t="shared" si="82"/>
        <v>1.2D + 1.6L + 0.2Di + 0.5S (135 deg</v>
      </c>
      <c r="DW76" s="174">
        <v>1</v>
      </c>
      <c r="DX76" s="174" t="s">
        <v>170</v>
      </c>
      <c r="DY76" s="174"/>
      <c r="DZ76" s="174">
        <v>65</v>
      </c>
      <c r="EA76" s="174">
        <v>1.2</v>
      </c>
      <c r="EB76" s="174">
        <v>88</v>
      </c>
      <c r="EC76" s="175">
        <v>1.5</v>
      </c>
      <c r="ED76" s="174">
        <v>7</v>
      </c>
      <c r="EE76" s="181" t="e">
        <f>qmz/qz/Kes.w</f>
        <v>#VALUE!</v>
      </c>
      <c r="EF76" s="174"/>
      <c r="EG76" s="174"/>
      <c r="EH76" s="174"/>
      <c r="EI76" s="174"/>
      <c r="EK76" s="2" t="s">
        <v>494</v>
      </c>
      <c r="EL76" s="2">
        <v>135</v>
      </c>
      <c r="EN76" s="176">
        <v>72</v>
      </c>
    </row>
    <row r="77" spans="1:144" ht="18" customHeight="1" x14ac:dyDescent="0.2">
      <c r="A77" s="165">
        <v>73</v>
      </c>
      <c r="B77" s="170" t="s">
        <v>502</v>
      </c>
      <c r="C77" s="171" t="s">
        <v>496</v>
      </c>
      <c r="D77" s="171" t="str">
        <f ca="1">IFERROR(1*Eh*SIN(RADIANS(60)),"")</f>
        <v/>
      </c>
      <c r="E77" s="171" t="str">
        <f t="shared" ca="1" si="85"/>
        <v/>
      </c>
      <c r="F77" s="171" t="str">
        <f ca="1">IFERROR(-1*Eh*COS(RADIANS(60)),"")</f>
        <v/>
      </c>
      <c r="G77" s="171"/>
      <c r="H77" s="185"/>
      <c r="I77" s="185"/>
      <c r="J77" s="185"/>
      <c r="K77" s="171"/>
      <c r="M77" s="176">
        <f t="shared" si="83"/>
        <v>73</v>
      </c>
      <c r="N77" s="170" t="str">
        <f t="shared" si="51"/>
        <v>1.2D + 1.5Lm_3 + 1.0Wm  | 150 deg</v>
      </c>
      <c r="O77" s="170" t="b">
        <v>1</v>
      </c>
      <c r="P77" s="170" t="str">
        <f t="shared" si="52"/>
        <v>Y</v>
      </c>
      <c r="Q77" s="170" t="str">
        <f t="shared" si="53"/>
        <v/>
      </c>
      <c r="R77" s="170">
        <f t="shared" si="64"/>
        <v>65</v>
      </c>
      <c r="S77" s="170">
        <f t="shared" si="65"/>
        <v>1.2</v>
      </c>
      <c r="T77" s="170">
        <f t="shared" si="66"/>
        <v>88</v>
      </c>
      <c r="U77" s="170">
        <f t="shared" si="67"/>
        <v>1.5</v>
      </c>
      <c r="V77" s="170">
        <f t="shared" si="68"/>
        <v>8</v>
      </c>
      <c r="W77" s="170" t="e">
        <f t="shared" si="69"/>
        <v>#VALUE!</v>
      </c>
      <c r="X77" s="170">
        <f t="shared" si="70"/>
        <v>24</v>
      </c>
      <c r="Y77" s="170" t="e">
        <f t="shared" si="71"/>
        <v>#VALUE!</v>
      </c>
      <c r="Z77" s="170" t="str">
        <f t="shared" si="46"/>
        <v/>
      </c>
      <c r="AA77" s="170" t="str">
        <f t="shared" si="47"/>
        <v/>
      </c>
      <c r="AC77" s="176">
        <v>73</v>
      </c>
      <c r="AD77" s="170" t="s">
        <v>1472</v>
      </c>
      <c r="AE77" s="170" t="b">
        <v>1</v>
      </c>
      <c r="AF77" s="170" t="s">
        <v>170</v>
      </c>
      <c r="AG77" s="170"/>
      <c r="AH77" s="170">
        <v>65</v>
      </c>
      <c r="AI77" s="170">
        <v>1.2</v>
      </c>
      <c r="AJ77" s="170">
        <f t="shared" si="84"/>
        <v>88</v>
      </c>
      <c r="AK77" s="170">
        <v>1.5</v>
      </c>
      <c r="AL77" s="170">
        <v>8</v>
      </c>
      <c r="AM77" s="180" t="e">
        <f>qmz/qz/Kes.w</f>
        <v>#VALUE!</v>
      </c>
      <c r="AN77" s="170">
        <v>24</v>
      </c>
      <c r="AO77" s="180" t="e">
        <f>qmz/qz/Kes.w</f>
        <v>#VALUE!</v>
      </c>
      <c r="AP77" s="170"/>
      <c r="AQ77" s="170"/>
      <c r="AS77" s="176">
        <v>73</v>
      </c>
      <c r="AT77" s="170" t="s">
        <v>1473</v>
      </c>
      <c r="AU77" s="170" t="b">
        <v>1</v>
      </c>
      <c r="AV77" s="170" t="s">
        <v>170</v>
      </c>
      <c r="AW77" s="170"/>
      <c r="AX77" s="170">
        <v>65</v>
      </c>
      <c r="AY77" s="170">
        <v>1.2</v>
      </c>
      <c r="AZ77" s="170">
        <v>67</v>
      </c>
      <c r="BA77" s="170">
        <v>1</v>
      </c>
      <c r="BB77" s="170">
        <v>77</v>
      </c>
      <c r="BC77" s="170">
        <v>1</v>
      </c>
      <c r="BD77" s="170">
        <v>68</v>
      </c>
      <c r="BE77" s="180">
        <v>-0.86602540378443871</v>
      </c>
      <c r="BF77" s="170">
        <v>69</v>
      </c>
      <c r="BG77" s="180">
        <v>0.49999999999999994</v>
      </c>
      <c r="BI77" s="176">
        <v>73</v>
      </c>
      <c r="BJ77" s="170" t="s">
        <v>1472</v>
      </c>
      <c r="BK77" s="170" t="b">
        <v>1</v>
      </c>
      <c r="BL77" s="170" t="s">
        <v>170</v>
      </c>
      <c r="BM77" s="170"/>
      <c r="BN77" s="170">
        <v>65</v>
      </c>
      <c r="BO77" s="170">
        <v>1.2</v>
      </c>
      <c r="BP77" s="170">
        <f t="shared" si="72"/>
        <v>88</v>
      </c>
      <c r="BQ77" s="170">
        <v>1.5</v>
      </c>
      <c r="BR77" s="170">
        <v>8</v>
      </c>
      <c r="BS77" s="180" t="e">
        <f>qmz/qz/Kes.w</f>
        <v>#VALUE!</v>
      </c>
      <c r="BT77" s="170">
        <v>24</v>
      </c>
      <c r="BU77" s="180" t="e">
        <f>qmz/qz/Kes.w</f>
        <v>#VALUE!</v>
      </c>
      <c r="BV77" s="170"/>
      <c r="BW77" s="170"/>
      <c r="BY77" s="176">
        <v>73</v>
      </c>
      <c r="BZ77" s="246" t="s">
        <v>1474</v>
      </c>
      <c r="CA77" s="246" t="b">
        <v>1</v>
      </c>
      <c r="CB77" s="246" t="s">
        <v>170</v>
      </c>
      <c r="CC77" s="246"/>
      <c r="CD77" s="246">
        <v>65</v>
      </c>
      <c r="CE77" s="246">
        <v>1</v>
      </c>
      <c r="CF77" s="170">
        <f t="shared" si="73"/>
        <v>88</v>
      </c>
      <c r="CG77" s="246">
        <v>1.25</v>
      </c>
      <c r="CH77" s="246">
        <v>8</v>
      </c>
      <c r="CI77" s="251" t="e">
        <f t="shared" si="74"/>
        <v>#VALUE!</v>
      </c>
      <c r="CJ77" s="246">
        <v>24</v>
      </c>
      <c r="CK77" s="251" t="e">
        <f t="shared" si="75"/>
        <v>#VALUE!</v>
      </c>
      <c r="CL77" s="246"/>
      <c r="CM77" s="246"/>
      <c r="CO77" s="176">
        <v>73</v>
      </c>
      <c r="CP77" s="246" t="s">
        <v>1474</v>
      </c>
      <c r="CQ77" s="246" t="b">
        <v>1</v>
      </c>
      <c r="CR77" s="246" t="s">
        <v>170</v>
      </c>
      <c r="CS77" s="246"/>
      <c r="CT77" s="246">
        <v>65</v>
      </c>
      <c r="CU77" s="246">
        <v>1</v>
      </c>
      <c r="CV77" s="170">
        <f t="shared" si="76"/>
        <v>88</v>
      </c>
      <c r="CW77" s="246">
        <v>1.25</v>
      </c>
      <c r="CX77" s="246">
        <v>8</v>
      </c>
      <c r="CY77" s="251" t="e">
        <f t="shared" si="77"/>
        <v>#VALUE!</v>
      </c>
      <c r="CZ77" s="246">
        <v>24</v>
      </c>
      <c r="DA77" s="251" t="e">
        <f t="shared" si="78"/>
        <v>#VALUE!</v>
      </c>
      <c r="DB77" s="246"/>
      <c r="DC77" s="246"/>
      <c r="DE77" s="176">
        <v>73</v>
      </c>
      <c r="DF77" s="246" t="s">
        <v>1474</v>
      </c>
      <c r="DG77" s="246" t="b">
        <v>1</v>
      </c>
      <c r="DH77" s="246" t="s">
        <v>170</v>
      </c>
      <c r="DI77" s="246"/>
      <c r="DJ77" s="246">
        <v>65</v>
      </c>
      <c r="DK77" s="246">
        <v>1</v>
      </c>
      <c r="DL77" s="170">
        <f t="shared" si="79"/>
        <v>88</v>
      </c>
      <c r="DM77" s="246">
        <v>1.25</v>
      </c>
      <c r="DN77" s="246">
        <v>8</v>
      </c>
      <c r="DO77" s="251" t="e">
        <f t="shared" si="80"/>
        <v>#VALUE!</v>
      </c>
      <c r="DP77" s="246">
        <v>24</v>
      </c>
      <c r="DQ77" s="251" t="e">
        <f t="shared" si="81"/>
        <v>#VALUE!</v>
      </c>
      <c r="DR77" s="246"/>
      <c r="DS77" s="246"/>
      <c r="DU77" s="176">
        <v>73</v>
      </c>
      <c r="DV77" s="170" t="str">
        <f t="shared" si="82"/>
        <v>1.2D + 1.6L + 0.2Di + 0.5S (150 deg</v>
      </c>
      <c r="DW77" s="170">
        <v>1</v>
      </c>
      <c r="DX77" s="170" t="s">
        <v>170</v>
      </c>
      <c r="DY77" s="170"/>
      <c r="DZ77" s="170">
        <v>65</v>
      </c>
      <c r="EA77" s="170">
        <v>1.2</v>
      </c>
      <c r="EB77" s="170">
        <v>88</v>
      </c>
      <c r="EC77" s="170">
        <v>1.5</v>
      </c>
      <c r="ED77" s="170">
        <v>8</v>
      </c>
      <c r="EE77" s="180" t="e">
        <f>qmz/qz/Kes.w</f>
        <v>#VALUE!</v>
      </c>
      <c r="EF77" s="170"/>
      <c r="EG77" s="170"/>
      <c r="EH77" s="170"/>
      <c r="EI77" s="170"/>
      <c r="EK77" s="2" t="s">
        <v>494</v>
      </c>
      <c r="EL77" s="2">
        <v>150</v>
      </c>
      <c r="EN77" s="176">
        <v>73</v>
      </c>
    </row>
    <row r="78" spans="1:144" ht="18" customHeight="1" x14ac:dyDescent="0.2">
      <c r="A78" s="165">
        <v>74</v>
      </c>
      <c r="B78" s="174" t="s">
        <v>503</v>
      </c>
      <c r="C78" s="174" t="s">
        <v>496</v>
      </c>
      <c r="D78" s="174" t="str">
        <f ca="1">IFERROR(1*Eh*SIN(RADIANS(90)),"")</f>
        <v/>
      </c>
      <c r="E78" s="174" t="str">
        <f t="shared" ca="1" si="85"/>
        <v/>
      </c>
      <c r="F78" s="174" t="str">
        <f ca="1">IFERROR(-1*Eh*COS(RADIANS(90)),"")</f>
        <v/>
      </c>
      <c r="G78" s="174"/>
      <c r="H78" s="186"/>
      <c r="I78" s="186"/>
      <c r="J78" s="186"/>
      <c r="K78" s="174"/>
      <c r="M78" s="176">
        <f t="shared" si="83"/>
        <v>74</v>
      </c>
      <c r="N78" s="174" t="str">
        <f t="shared" si="51"/>
        <v>1.2D + 1.5Lm_3 + 1.0Wm  | 180 deg</v>
      </c>
      <c r="O78" s="174" t="b">
        <v>1</v>
      </c>
      <c r="P78" s="174" t="str">
        <f t="shared" si="52"/>
        <v>Y</v>
      </c>
      <c r="Q78" s="174" t="str">
        <f t="shared" si="53"/>
        <v/>
      </c>
      <c r="R78" s="174">
        <f t="shared" si="64"/>
        <v>65</v>
      </c>
      <c r="S78" s="174">
        <f t="shared" si="65"/>
        <v>1.2</v>
      </c>
      <c r="T78" s="174">
        <f t="shared" si="66"/>
        <v>88</v>
      </c>
      <c r="U78" s="174">
        <f t="shared" si="67"/>
        <v>1.5</v>
      </c>
      <c r="V78" s="174">
        <f t="shared" si="68"/>
        <v>9</v>
      </c>
      <c r="W78" s="174" t="e">
        <f t="shared" si="69"/>
        <v>#VALUE!</v>
      </c>
      <c r="X78" s="174">
        <f t="shared" si="70"/>
        <v>25</v>
      </c>
      <c r="Y78" s="174" t="e">
        <f t="shared" si="71"/>
        <v>#VALUE!</v>
      </c>
      <c r="Z78" s="174" t="str">
        <f t="shared" si="46"/>
        <v/>
      </c>
      <c r="AA78" s="174" t="str">
        <f t="shared" si="47"/>
        <v/>
      </c>
      <c r="AC78" s="176">
        <v>74</v>
      </c>
      <c r="AD78" s="174" t="s">
        <v>1475</v>
      </c>
      <c r="AE78" s="174" t="b">
        <v>1</v>
      </c>
      <c r="AF78" s="174" t="s">
        <v>170</v>
      </c>
      <c r="AG78" s="174"/>
      <c r="AH78" s="174">
        <v>65</v>
      </c>
      <c r="AI78" s="174">
        <v>1.2</v>
      </c>
      <c r="AJ78" s="174">
        <f t="shared" si="84"/>
        <v>88</v>
      </c>
      <c r="AK78" s="175">
        <v>1.5</v>
      </c>
      <c r="AL78" s="174">
        <v>9</v>
      </c>
      <c r="AM78" s="181" t="e">
        <f>qmz/qz/Kes.w</f>
        <v>#VALUE!</v>
      </c>
      <c r="AN78" s="174">
        <v>25</v>
      </c>
      <c r="AO78" s="181" t="e">
        <f>qmz/qz/Kes.w</f>
        <v>#VALUE!</v>
      </c>
      <c r="AP78" s="174"/>
      <c r="AQ78" s="174"/>
      <c r="AS78" s="176">
        <v>74</v>
      </c>
      <c r="AT78" s="174" t="s">
        <v>1476</v>
      </c>
      <c r="AU78" s="174" t="b">
        <v>1</v>
      </c>
      <c r="AV78" s="174" t="s">
        <v>170</v>
      </c>
      <c r="AW78" s="174"/>
      <c r="AX78" s="174">
        <v>65</v>
      </c>
      <c r="AY78" s="174">
        <v>1.2</v>
      </c>
      <c r="AZ78" s="174">
        <v>67</v>
      </c>
      <c r="BA78" s="174">
        <v>1</v>
      </c>
      <c r="BB78" s="174">
        <v>78</v>
      </c>
      <c r="BC78" s="174">
        <v>1</v>
      </c>
      <c r="BD78" s="174">
        <v>68</v>
      </c>
      <c r="BE78" s="181">
        <v>-1</v>
      </c>
      <c r="BF78" s="174">
        <v>69</v>
      </c>
      <c r="BG78" s="181">
        <v>1.22514845490862E-16</v>
      </c>
      <c r="BI78" s="176">
        <v>74</v>
      </c>
      <c r="BJ78" s="174" t="s">
        <v>1475</v>
      </c>
      <c r="BK78" s="174" t="b">
        <v>1</v>
      </c>
      <c r="BL78" s="174" t="s">
        <v>170</v>
      </c>
      <c r="BM78" s="174"/>
      <c r="BN78" s="174">
        <v>65</v>
      </c>
      <c r="BO78" s="174">
        <v>1.2</v>
      </c>
      <c r="BP78" s="174">
        <f t="shared" si="72"/>
        <v>88</v>
      </c>
      <c r="BQ78" s="175">
        <v>1.5</v>
      </c>
      <c r="BR78" s="174">
        <v>9</v>
      </c>
      <c r="BS78" s="181" t="e">
        <f>qmz/qz/Kes.w</f>
        <v>#VALUE!</v>
      </c>
      <c r="BT78" s="174">
        <v>25</v>
      </c>
      <c r="BU78" s="181" t="e">
        <f>qmz/qz/Kes.w</f>
        <v>#VALUE!</v>
      </c>
      <c r="BV78" s="174"/>
      <c r="BW78" s="174"/>
      <c r="BY78" s="176">
        <v>74</v>
      </c>
      <c r="BZ78" s="249" t="s">
        <v>1477</v>
      </c>
      <c r="CA78" s="249" t="b">
        <v>1</v>
      </c>
      <c r="CB78" s="249" t="s">
        <v>170</v>
      </c>
      <c r="CC78" s="249"/>
      <c r="CD78" s="249">
        <v>65</v>
      </c>
      <c r="CE78" s="249">
        <v>1</v>
      </c>
      <c r="CF78" s="174">
        <f t="shared" si="73"/>
        <v>88</v>
      </c>
      <c r="CG78" s="248">
        <v>1.25</v>
      </c>
      <c r="CH78" s="249">
        <v>9</v>
      </c>
      <c r="CI78" s="252" t="e">
        <f t="shared" si="74"/>
        <v>#VALUE!</v>
      </c>
      <c r="CJ78" s="249">
        <v>25</v>
      </c>
      <c r="CK78" s="252" t="e">
        <f t="shared" si="75"/>
        <v>#VALUE!</v>
      </c>
      <c r="CL78" s="249"/>
      <c r="CM78" s="249"/>
      <c r="CO78" s="176">
        <v>74</v>
      </c>
      <c r="CP78" s="249" t="s">
        <v>1477</v>
      </c>
      <c r="CQ78" s="249" t="b">
        <v>1</v>
      </c>
      <c r="CR78" s="249" t="s">
        <v>170</v>
      </c>
      <c r="CS78" s="249"/>
      <c r="CT78" s="249">
        <v>65</v>
      </c>
      <c r="CU78" s="249">
        <v>1</v>
      </c>
      <c r="CV78" s="174">
        <f t="shared" si="76"/>
        <v>88</v>
      </c>
      <c r="CW78" s="248">
        <v>1.25</v>
      </c>
      <c r="CX78" s="249">
        <v>9</v>
      </c>
      <c r="CY78" s="252" t="e">
        <f t="shared" si="77"/>
        <v>#VALUE!</v>
      </c>
      <c r="CZ78" s="249">
        <v>25</v>
      </c>
      <c r="DA78" s="252" t="e">
        <f t="shared" si="78"/>
        <v>#VALUE!</v>
      </c>
      <c r="DB78" s="249"/>
      <c r="DC78" s="249"/>
      <c r="DE78" s="176">
        <v>74</v>
      </c>
      <c r="DF78" s="249" t="s">
        <v>1477</v>
      </c>
      <c r="DG78" s="249" t="b">
        <v>1</v>
      </c>
      <c r="DH78" s="249" t="s">
        <v>170</v>
      </c>
      <c r="DI78" s="249"/>
      <c r="DJ78" s="249">
        <v>65</v>
      </c>
      <c r="DK78" s="249">
        <v>1</v>
      </c>
      <c r="DL78" s="174">
        <f t="shared" si="79"/>
        <v>88</v>
      </c>
      <c r="DM78" s="248">
        <v>1.25</v>
      </c>
      <c r="DN78" s="249">
        <v>9</v>
      </c>
      <c r="DO78" s="252" t="e">
        <f t="shared" si="80"/>
        <v>#VALUE!</v>
      </c>
      <c r="DP78" s="249">
        <v>25</v>
      </c>
      <c r="DQ78" s="252" t="e">
        <f t="shared" si="81"/>
        <v>#VALUE!</v>
      </c>
      <c r="DR78" s="249"/>
      <c r="DS78" s="249"/>
      <c r="DU78" s="176">
        <v>74</v>
      </c>
      <c r="DV78" s="174" t="str">
        <f t="shared" si="82"/>
        <v>1.2D + 1.6L + 0.2Di + 0.5S (180 deg</v>
      </c>
      <c r="DW78" s="174">
        <v>1</v>
      </c>
      <c r="DX78" s="174" t="s">
        <v>170</v>
      </c>
      <c r="DY78" s="174"/>
      <c r="DZ78" s="174">
        <v>65</v>
      </c>
      <c r="EA78" s="174">
        <v>1.2</v>
      </c>
      <c r="EB78" s="174">
        <v>88</v>
      </c>
      <c r="EC78" s="175">
        <v>1.5</v>
      </c>
      <c r="ED78" s="174">
        <v>9</v>
      </c>
      <c r="EE78" s="181" t="e">
        <f>qmz/qz/Kes.w</f>
        <v>#VALUE!</v>
      </c>
      <c r="EF78" s="174"/>
      <c r="EG78" s="174"/>
      <c r="EH78" s="174"/>
      <c r="EI78" s="174"/>
      <c r="EK78" s="2" t="s">
        <v>494</v>
      </c>
      <c r="EL78" s="2">
        <v>180</v>
      </c>
      <c r="EN78" s="176">
        <v>74</v>
      </c>
    </row>
    <row r="79" spans="1:144" ht="18" customHeight="1" x14ac:dyDescent="0.2">
      <c r="A79" s="165">
        <v>75</v>
      </c>
      <c r="B79" s="170" t="s">
        <v>504</v>
      </c>
      <c r="C79" s="171" t="s">
        <v>496</v>
      </c>
      <c r="D79" s="171" t="str">
        <f ca="1">IFERROR(1*Eh*SIN(RADIANS(120)),"")</f>
        <v/>
      </c>
      <c r="E79" s="171" t="str">
        <f t="shared" ca="1" si="85"/>
        <v/>
      </c>
      <c r="F79" s="171" t="str">
        <f ca="1">IFERROR(-1*Eh*COS(RADIANS(120)),"")</f>
        <v/>
      </c>
      <c r="G79" s="171"/>
      <c r="H79" s="185"/>
      <c r="I79" s="185"/>
      <c r="J79" s="185"/>
      <c r="K79" s="171"/>
      <c r="M79" s="176">
        <f t="shared" si="83"/>
        <v>75</v>
      </c>
      <c r="N79" s="170" t="str">
        <f t="shared" si="51"/>
        <v>1.2D + 1.5Lm_3 + 1.0Wm  | 210 deg</v>
      </c>
      <c r="O79" s="170" t="b">
        <v>1</v>
      </c>
      <c r="P79" s="170" t="str">
        <f t="shared" si="52"/>
        <v>Y</v>
      </c>
      <c r="Q79" s="170" t="str">
        <f t="shared" si="53"/>
        <v/>
      </c>
      <c r="R79" s="170">
        <f t="shared" si="64"/>
        <v>65</v>
      </c>
      <c r="S79" s="170">
        <f t="shared" si="65"/>
        <v>1.2</v>
      </c>
      <c r="T79" s="170">
        <f t="shared" si="66"/>
        <v>88</v>
      </c>
      <c r="U79" s="170">
        <f t="shared" si="67"/>
        <v>1.5</v>
      </c>
      <c r="V79" s="170">
        <f t="shared" si="68"/>
        <v>10</v>
      </c>
      <c r="W79" s="170" t="e">
        <f t="shared" si="69"/>
        <v>#VALUE!</v>
      </c>
      <c r="X79" s="170">
        <f t="shared" si="70"/>
        <v>26</v>
      </c>
      <c r="Y79" s="170" t="e">
        <f t="shared" si="71"/>
        <v>#VALUE!</v>
      </c>
      <c r="Z79" s="170" t="str">
        <f t="shared" si="46"/>
        <v/>
      </c>
      <c r="AA79" s="170" t="str">
        <f t="shared" si="47"/>
        <v/>
      </c>
      <c r="AC79" s="176">
        <v>75</v>
      </c>
      <c r="AD79" s="170" t="s">
        <v>1562</v>
      </c>
      <c r="AE79" s="170" t="b">
        <v>1</v>
      </c>
      <c r="AF79" s="170" t="s">
        <v>170</v>
      </c>
      <c r="AG79" s="170"/>
      <c r="AH79" s="170">
        <v>65</v>
      </c>
      <c r="AI79" s="170">
        <v>1.2</v>
      </c>
      <c r="AJ79" s="170">
        <f t="shared" si="84"/>
        <v>88</v>
      </c>
      <c r="AK79" s="170">
        <v>1.5</v>
      </c>
      <c r="AL79" s="170">
        <v>10</v>
      </c>
      <c r="AM79" s="180" t="e">
        <f>qmz/qz/Kes.w</f>
        <v>#VALUE!</v>
      </c>
      <c r="AN79" s="170">
        <v>26</v>
      </c>
      <c r="AO79" s="180" t="e">
        <f>qmz/qz/Kes.w</f>
        <v>#VALUE!</v>
      </c>
      <c r="AP79" s="170"/>
      <c r="AQ79" s="170"/>
      <c r="AS79" s="176">
        <v>75</v>
      </c>
      <c r="AT79" s="170" t="s">
        <v>1563</v>
      </c>
      <c r="AU79" s="170" t="b">
        <v>1</v>
      </c>
      <c r="AV79" s="170" t="s">
        <v>170</v>
      </c>
      <c r="AW79" s="170"/>
      <c r="AX79" s="170">
        <v>65</v>
      </c>
      <c r="AY79" s="170">
        <v>1.2</v>
      </c>
      <c r="AZ79" s="170">
        <v>67</v>
      </c>
      <c r="BA79" s="170">
        <v>1</v>
      </c>
      <c r="BB79" s="170">
        <v>79</v>
      </c>
      <c r="BC79" s="170">
        <v>1</v>
      </c>
      <c r="BD79" s="170">
        <v>68</v>
      </c>
      <c r="BE79" s="180">
        <v>-0.8660254037844386</v>
      </c>
      <c r="BF79" s="170">
        <v>69</v>
      </c>
      <c r="BG79" s="180">
        <v>-0.50000000000000011</v>
      </c>
      <c r="BI79" s="176">
        <v>75</v>
      </c>
      <c r="BJ79" s="170" t="s">
        <v>1562</v>
      </c>
      <c r="BK79" s="170" t="b">
        <v>1</v>
      </c>
      <c r="BL79" s="170" t="s">
        <v>170</v>
      </c>
      <c r="BM79" s="170"/>
      <c r="BN79" s="170">
        <v>65</v>
      </c>
      <c r="BO79" s="170">
        <v>1.2</v>
      </c>
      <c r="BP79" s="170">
        <f t="shared" si="72"/>
        <v>88</v>
      </c>
      <c r="BQ79" s="170">
        <v>1.5</v>
      </c>
      <c r="BR79" s="170">
        <v>10</v>
      </c>
      <c r="BS79" s="180" t="e">
        <f>qmz/qz/Kes.w</f>
        <v>#VALUE!</v>
      </c>
      <c r="BT79" s="170">
        <v>26</v>
      </c>
      <c r="BU79" s="180" t="e">
        <f>qmz/qz/Kes.w</f>
        <v>#VALUE!</v>
      </c>
      <c r="BV79" s="170"/>
      <c r="BW79" s="170"/>
      <c r="BY79" s="176">
        <v>75</v>
      </c>
      <c r="BZ79" s="246" t="s">
        <v>1564</v>
      </c>
      <c r="CA79" s="246" t="b">
        <v>1</v>
      </c>
      <c r="CB79" s="246" t="s">
        <v>170</v>
      </c>
      <c r="CC79" s="246"/>
      <c r="CD79" s="246">
        <v>65</v>
      </c>
      <c r="CE79" s="246">
        <v>1</v>
      </c>
      <c r="CF79" s="170">
        <f t="shared" si="73"/>
        <v>88</v>
      </c>
      <c r="CG79" s="246">
        <v>1.25</v>
      </c>
      <c r="CH79" s="246">
        <v>10</v>
      </c>
      <c r="CI79" s="251" t="e">
        <f t="shared" si="74"/>
        <v>#VALUE!</v>
      </c>
      <c r="CJ79" s="246">
        <v>26</v>
      </c>
      <c r="CK79" s="251" t="e">
        <f t="shared" si="75"/>
        <v>#VALUE!</v>
      </c>
      <c r="CL79" s="246"/>
      <c r="CM79" s="246"/>
      <c r="CO79" s="176">
        <v>75</v>
      </c>
      <c r="CP79" s="246" t="s">
        <v>1564</v>
      </c>
      <c r="CQ79" s="246" t="b">
        <v>1</v>
      </c>
      <c r="CR79" s="246" t="s">
        <v>170</v>
      </c>
      <c r="CS79" s="246"/>
      <c r="CT79" s="246">
        <v>65</v>
      </c>
      <c r="CU79" s="246">
        <v>1</v>
      </c>
      <c r="CV79" s="170">
        <f t="shared" si="76"/>
        <v>88</v>
      </c>
      <c r="CW79" s="246">
        <v>1.25</v>
      </c>
      <c r="CX79" s="246">
        <v>10</v>
      </c>
      <c r="CY79" s="251" t="e">
        <f t="shared" si="77"/>
        <v>#VALUE!</v>
      </c>
      <c r="CZ79" s="246">
        <v>26</v>
      </c>
      <c r="DA79" s="251" t="e">
        <f t="shared" si="78"/>
        <v>#VALUE!</v>
      </c>
      <c r="DB79" s="246"/>
      <c r="DC79" s="246"/>
      <c r="DE79" s="176">
        <v>75</v>
      </c>
      <c r="DF79" s="246" t="s">
        <v>1564</v>
      </c>
      <c r="DG79" s="246" t="b">
        <v>1</v>
      </c>
      <c r="DH79" s="246" t="s">
        <v>170</v>
      </c>
      <c r="DI79" s="246"/>
      <c r="DJ79" s="246">
        <v>65</v>
      </c>
      <c r="DK79" s="246">
        <v>1</v>
      </c>
      <c r="DL79" s="170">
        <f t="shared" si="79"/>
        <v>88</v>
      </c>
      <c r="DM79" s="246">
        <v>1.25</v>
      </c>
      <c r="DN79" s="246">
        <v>10</v>
      </c>
      <c r="DO79" s="251" t="e">
        <f t="shared" si="80"/>
        <v>#VALUE!</v>
      </c>
      <c r="DP79" s="246">
        <v>26</v>
      </c>
      <c r="DQ79" s="251" t="e">
        <f t="shared" si="81"/>
        <v>#VALUE!</v>
      </c>
      <c r="DR79" s="246"/>
      <c r="DS79" s="246"/>
      <c r="DU79" s="176">
        <v>75</v>
      </c>
      <c r="DV79" s="170" t="str">
        <f t="shared" si="82"/>
        <v>1.2D + 1.6L + 0.2Di + 0.5S (210 deg</v>
      </c>
      <c r="DW79" s="170">
        <v>1</v>
      </c>
      <c r="DX79" s="170" t="s">
        <v>170</v>
      </c>
      <c r="DY79" s="170"/>
      <c r="DZ79" s="170">
        <v>65</v>
      </c>
      <c r="EA79" s="170">
        <v>1.2</v>
      </c>
      <c r="EB79" s="170">
        <v>88</v>
      </c>
      <c r="EC79" s="170">
        <v>1.5</v>
      </c>
      <c r="ED79" s="170">
        <v>10</v>
      </c>
      <c r="EE79" s="180" t="e">
        <f>qmz/qz/Kes.w</f>
        <v>#VALUE!</v>
      </c>
      <c r="EF79" s="170"/>
      <c r="EG79" s="170"/>
      <c r="EH79" s="170"/>
      <c r="EI79" s="170"/>
      <c r="EK79" s="2" t="s">
        <v>494</v>
      </c>
      <c r="EL79" s="2">
        <v>210</v>
      </c>
      <c r="EN79" s="176">
        <v>75</v>
      </c>
    </row>
    <row r="80" spans="1:144" ht="18" customHeight="1" x14ac:dyDescent="0.2">
      <c r="A80" s="165">
        <v>76</v>
      </c>
      <c r="B80" s="174" t="s">
        <v>505</v>
      </c>
      <c r="C80" s="174" t="s">
        <v>496</v>
      </c>
      <c r="D80" s="174" t="str">
        <f ca="1">IFERROR(1*Eh*SIN(RADIANS(135)),"")</f>
        <v/>
      </c>
      <c r="E80" s="174" t="str">
        <f t="shared" ca="1" si="85"/>
        <v/>
      </c>
      <c r="F80" s="174" t="str">
        <f ca="1">IFERROR(-1*Eh*COS(RADIANS(135)),"")</f>
        <v/>
      </c>
      <c r="G80" s="174"/>
      <c r="H80" s="186"/>
      <c r="I80" s="186"/>
      <c r="J80" s="186"/>
      <c r="K80" s="174"/>
      <c r="M80" s="176">
        <f t="shared" si="83"/>
        <v>76</v>
      </c>
      <c r="N80" s="174" t="str">
        <f t="shared" si="51"/>
        <v>1.2D + 1.5Lm_3 + 1.0Wm  | 225 deg</v>
      </c>
      <c r="O80" s="174" t="b">
        <v>1</v>
      </c>
      <c r="P80" s="174" t="str">
        <f t="shared" si="52"/>
        <v>Y</v>
      </c>
      <c r="Q80" s="174" t="str">
        <f t="shared" si="53"/>
        <v/>
      </c>
      <c r="R80" s="174">
        <f t="shared" si="64"/>
        <v>65</v>
      </c>
      <c r="S80" s="174">
        <f t="shared" si="65"/>
        <v>1.2</v>
      </c>
      <c r="T80" s="174">
        <f t="shared" si="66"/>
        <v>88</v>
      </c>
      <c r="U80" s="174">
        <f t="shared" si="67"/>
        <v>1.5</v>
      </c>
      <c r="V80" s="174">
        <f t="shared" si="68"/>
        <v>11</v>
      </c>
      <c r="W80" s="174" t="e">
        <f t="shared" si="69"/>
        <v>#VALUE!</v>
      </c>
      <c r="X80" s="174">
        <f t="shared" si="70"/>
        <v>27</v>
      </c>
      <c r="Y80" s="174" t="e">
        <f t="shared" si="71"/>
        <v>#VALUE!</v>
      </c>
      <c r="Z80" s="174" t="str">
        <f t="shared" si="46"/>
        <v/>
      </c>
      <c r="AA80" s="174" t="str">
        <f t="shared" si="47"/>
        <v/>
      </c>
      <c r="AC80" s="176">
        <v>76</v>
      </c>
      <c r="AD80" s="174" t="s">
        <v>1565</v>
      </c>
      <c r="AE80" s="174" t="b">
        <v>1</v>
      </c>
      <c r="AF80" s="174" t="s">
        <v>170</v>
      </c>
      <c r="AG80" s="174"/>
      <c r="AH80" s="174">
        <v>65</v>
      </c>
      <c r="AI80" s="174">
        <v>1.2</v>
      </c>
      <c r="AJ80" s="174">
        <f t="shared" si="84"/>
        <v>88</v>
      </c>
      <c r="AK80" s="175">
        <v>1.5</v>
      </c>
      <c r="AL80" s="174">
        <v>11</v>
      </c>
      <c r="AM80" s="181" t="e">
        <f>qmz/qz/Kes.w</f>
        <v>#VALUE!</v>
      </c>
      <c r="AN80" s="174">
        <v>27</v>
      </c>
      <c r="AO80" s="181" t="e">
        <f>qmz/qz/Kes.w</f>
        <v>#VALUE!</v>
      </c>
      <c r="AP80" s="174"/>
      <c r="AQ80" s="174"/>
      <c r="AS80" s="176">
        <v>76</v>
      </c>
      <c r="AT80" s="174" t="s">
        <v>1566</v>
      </c>
      <c r="AU80" s="174"/>
      <c r="AV80" s="174" t="s">
        <v>170</v>
      </c>
      <c r="AW80" s="174"/>
      <c r="AX80" s="174">
        <v>65</v>
      </c>
      <c r="AY80" s="174">
        <v>1.2</v>
      </c>
      <c r="AZ80" s="174">
        <v>67</v>
      </c>
      <c r="BA80" s="174">
        <v>1</v>
      </c>
      <c r="BB80" s="174">
        <v>80</v>
      </c>
      <c r="BC80" s="174">
        <v>1</v>
      </c>
      <c r="BD80" s="174">
        <v>68</v>
      </c>
      <c r="BE80" s="181">
        <v>-0.70710678118654768</v>
      </c>
      <c r="BF80" s="174">
        <v>69</v>
      </c>
      <c r="BG80" s="181">
        <v>-0.70710678118654746</v>
      </c>
      <c r="BI80" s="176">
        <v>76</v>
      </c>
      <c r="BJ80" s="174" t="s">
        <v>1565</v>
      </c>
      <c r="BK80" s="174" t="b">
        <v>1</v>
      </c>
      <c r="BL80" s="174" t="s">
        <v>170</v>
      </c>
      <c r="BM80" s="174"/>
      <c r="BN80" s="174">
        <v>65</v>
      </c>
      <c r="BO80" s="174">
        <v>1.2</v>
      </c>
      <c r="BP80" s="174">
        <f t="shared" si="72"/>
        <v>88</v>
      </c>
      <c r="BQ80" s="175">
        <v>1.5</v>
      </c>
      <c r="BR80" s="174">
        <v>11</v>
      </c>
      <c r="BS80" s="181" t="e">
        <f>qmz/qz/Kes.w</f>
        <v>#VALUE!</v>
      </c>
      <c r="BT80" s="174">
        <v>27</v>
      </c>
      <c r="BU80" s="181" t="e">
        <f>qmz/qz/Kes.w</f>
        <v>#VALUE!</v>
      </c>
      <c r="BV80" s="174"/>
      <c r="BW80" s="174"/>
      <c r="BY80" s="176">
        <v>76</v>
      </c>
      <c r="BZ80" s="249" t="s">
        <v>1567</v>
      </c>
      <c r="CA80" s="249" t="b">
        <v>1</v>
      </c>
      <c r="CB80" s="249" t="s">
        <v>170</v>
      </c>
      <c r="CC80" s="249"/>
      <c r="CD80" s="249">
        <v>65</v>
      </c>
      <c r="CE80" s="249">
        <v>1</v>
      </c>
      <c r="CF80" s="174">
        <f t="shared" si="73"/>
        <v>88</v>
      </c>
      <c r="CG80" s="248">
        <v>1.25</v>
      </c>
      <c r="CH80" s="249">
        <v>11</v>
      </c>
      <c r="CI80" s="252" t="e">
        <f t="shared" si="74"/>
        <v>#VALUE!</v>
      </c>
      <c r="CJ80" s="249">
        <v>27</v>
      </c>
      <c r="CK80" s="252" t="e">
        <f t="shared" si="75"/>
        <v>#VALUE!</v>
      </c>
      <c r="CL80" s="249"/>
      <c r="CM80" s="249"/>
      <c r="CO80" s="176">
        <v>76</v>
      </c>
      <c r="CP80" s="249" t="s">
        <v>1567</v>
      </c>
      <c r="CQ80" s="249" t="b">
        <v>1</v>
      </c>
      <c r="CR80" s="249" t="s">
        <v>170</v>
      </c>
      <c r="CS80" s="249"/>
      <c r="CT80" s="249">
        <v>65</v>
      </c>
      <c r="CU80" s="249">
        <v>1</v>
      </c>
      <c r="CV80" s="174">
        <f t="shared" si="76"/>
        <v>88</v>
      </c>
      <c r="CW80" s="248">
        <v>1.25</v>
      </c>
      <c r="CX80" s="249">
        <v>11</v>
      </c>
      <c r="CY80" s="252" t="e">
        <f t="shared" si="77"/>
        <v>#VALUE!</v>
      </c>
      <c r="CZ80" s="249">
        <v>27</v>
      </c>
      <c r="DA80" s="252" t="e">
        <f t="shared" si="78"/>
        <v>#VALUE!</v>
      </c>
      <c r="DB80" s="249"/>
      <c r="DC80" s="249"/>
      <c r="DE80" s="176">
        <v>76</v>
      </c>
      <c r="DF80" s="249" t="s">
        <v>1567</v>
      </c>
      <c r="DG80" s="249" t="b">
        <v>1</v>
      </c>
      <c r="DH80" s="249" t="s">
        <v>170</v>
      </c>
      <c r="DI80" s="249"/>
      <c r="DJ80" s="249">
        <v>65</v>
      </c>
      <c r="DK80" s="249">
        <v>1</v>
      </c>
      <c r="DL80" s="174">
        <f t="shared" si="79"/>
        <v>88</v>
      </c>
      <c r="DM80" s="248">
        <v>1.25</v>
      </c>
      <c r="DN80" s="249">
        <v>11</v>
      </c>
      <c r="DO80" s="252" t="e">
        <f t="shared" si="80"/>
        <v>#VALUE!</v>
      </c>
      <c r="DP80" s="249">
        <v>27</v>
      </c>
      <c r="DQ80" s="252" t="e">
        <f t="shared" si="81"/>
        <v>#VALUE!</v>
      </c>
      <c r="DR80" s="249"/>
      <c r="DS80" s="249"/>
      <c r="DU80" s="176">
        <v>76</v>
      </c>
      <c r="DV80" s="174" t="str">
        <f t="shared" si="82"/>
        <v>1.2D + 1.6L + 0.2Di + 0.5S (225 deg</v>
      </c>
      <c r="DW80" s="174">
        <v>1</v>
      </c>
      <c r="DX80" s="174" t="s">
        <v>170</v>
      </c>
      <c r="DY80" s="174"/>
      <c r="DZ80" s="174">
        <v>65</v>
      </c>
      <c r="EA80" s="174">
        <v>1.2</v>
      </c>
      <c r="EB80" s="174">
        <v>88</v>
      </c>
      <c r="EC80" s="175">
        <v>1.5</v>
      </c>
      <c r="ED80" s="174">
        <v>11</v>
      </c>
      <c r="EE80" s="181" t="e">
        <f>qmz/qz/Kes.w</f>
        <v>#VALUE!</v>
      </c>
      <c r="EF80" s="174"/>
      <c r="EG80" s="174"/>
      <c r="EH80" s="174"/>
      <c r="EI80" s="174"/>
      <c r="EK80" s="2" t="s">
        <v>494</v>
      </c>
      <c r="EL80" s="2">
        <v>225</v>
      </c>
      <c r="EN80" s="176">
        <v>76</v>
      </c>
    </row>
    <row r="81" spans="1:144" ht="18" customHeight="1" x14ac:dyDescent="0.2">
      <c r="A81" s="165">
        <v>77</v>
      </c>
      <c r="B81" s="170" t="s">
        <v>506</v>
      </c>
      <c r="C81" s="171" t="s">
        <v>496</v>
      </c>
      <c r="D81" s="171" t="str">
        <f ca="1">IFERROR(1*Eh*SIN(RADIANS(150)),"")</f>
        <v/>
      </c>
      <c r="E81" s="171" t="str">
        <f t="shared" ca="1" si="85"/>
        <v/>
      </c>
      <c r="F81" s="171" t="str">
        <f ca="1">IFERROR(-1*Eh*COS(RADIANS(150)),"")</f>
        <v/>
      </c>
      <c r="G81" s="171"/>
      <c r="H81" s="185"/>
      <c r="I81" s="185"/>
      <c r="J81" s="185"/>
      <c r="K81" s="171"/>
      <c r="M81" s="176">
        <f t="shared" si="83"/>
        <v>77</v>
      </c>
      <c r="N81" s="170" t="str">
        <f t="shared" si="51"/>
        <v>1.2D + 1.5Lm_3 + 1.0Wm  | 240 deg</v>
      </c>
      <c r="O81" s="170" t="b">
        <v>1</v>
      </c>
      <c r="P81" s="170" t="str">
        <f t="shared" si="52"/>
        <v>Y</v>
      </c>
      <c r="Q81" s="170" t="str">
        <f t="shared" si="53"/>
        <v/>
      </c>
      <c r="R81" s="170">
        <f t="shared" si="64"/>
        <v>65</v>
      </c>
      <c r="S81" s="170">
        <f t="shared" si="65"/>
        <v>1.2</v>
      </c>
      <c r="T81" s="170">
        <f t="shared" si="66"/>
        <v>88</v>
      </c>
      <c r="U81" s="170">
        <f t="shared" si="67"/>
        <v>1.5</v>
      </c>
      <c r="V81" s="170">
        <f t="shared" si="68"/>
        <v>12</v>
      </c>
      <c r="W81" s="170" t="e">
        <f t="shared" si="69"/>
        <v>#VALUE!</v>
      </c>
      <c r="X81" s="170">
        <f t="shared" si="70"/>
        <v>28</v>
      </c>
      <c r="Y81" s="170" t="e">
        <f t="shared" si="71"/>
        <v>#VALUE!</v>
      </c>
      <c r="Z81" s="170" t="str">
        <f t="shared" si="46"/>
        <v/>
      </c>
      <c r="AA81" s="170" t="str">
        <f t="shared" si="47"/>
        <v/>
      </c>
      <c r="AC81" s="176">
        <v>77</v>
      </c>
      <c r="AD81" s="170" t="s">
        <v>1568</v>
      </c>
      <c r="AE81" s="170" t="b">
        <v>1</v>
      </c>
      <c r="AF81" s="170" t="s">
        <v>170</v>
      </c>
      <c r="AG81" s="170"/>
      <c r="AH81" s="170">
        <v>65</v>
      </c>
      <c r="AI81" s="170">
        <v>1.2</v>
      </c>
      <c r="AJ81" s="170">
        <f t="shared" si="84"/>
        <v>88</v>
      </c>
      <c r="AK81" s="170">
        <v>1.5</v>
      </c>
      <c r="AL81" s="170">
        <v>12</v>
      </c>
      <c r="AM81" s="180" t="e">
        <f>qmz/qz/Kes.w</f>
        <v>#VALUE!</v>
      </c>
      <c r="AN81" s="170">
        <v>28</v>
      </c>
      <c r="AO81" s="180" t="e">
        <f>qmz/qz/Kes.w</f>
        <v>#VALUE!</v>
      </c>
      <c r="AP81" s="170"/>
      <c r="AQ81" s="170"/>
      <c r="AS81" s="176">
        <v>77</v>
      </c>
      <c r="AT81" s="170" t="s">
        <v>1569</v>
      </c>
      <c r="AU81" s="170" t="b">
        <v>1</v>
      </c>
      <c r="AV81" s="170" t="s">
        <v>170</v>
      </c>
      <c r="AW81" s="170"/>
      <c r="AX81" s="170">
        <v>65</v>
      </c>
      <c r="AY81" s="170">
        <v>1.2</v>
      </c>
      <c r="AZ81" s="170">
        <v>67</v>
      </c>
      <c r="BA81" s="170">
        <v>1</v>
      </c>
      <c r="BB81" s="170">
        <v>81</v>
      </c>
      <c r="BC81" s="170">
        <v>1</v>
      </c>
      <c r="BD81" s="170">
        <v>68</v>
      </c>
      <c r="BE81" s="180">
        <v>-0.50000000000000044</v>
      </c>
      <c r="BF81" s="170">
        <v>69</v>
      </c>
      <c r="BG81" s="180">
        <v>-0.86602540378443837</v>
      </c>
      <c r="BI81" s="176">
        <v>77</v>
      </c>
      <c r="BJ81" s="170" t="s">
        <v>1568</v>
      </c>
      <c r="BK81" s="170" t="b">
        <v>1</v>
      </c>
      <c r="BL81" s="170" t="s">
        <v>170</v>
      </c>
      <c r="BM81" s="170"/>
      <c r="BN81" s="170">
        <v>65</v>
      </c>
      <c r="BO81" s="170">
        <v>1.2</v>
      </c>
      <c r="BP81" s="170">
        <f t="shared" si="72"/>
        <v>88</v>
      </c>
      <c r="BQ81" s="170">
        <v>1.5</v>
      </c>
      <c r="BR81" s="170">
        <v>12</v>
      </c>
      <c r="BS81" s="180" t="e">
        <f>qmz/qz/Kes.w</f>
        <v>#VALUE!</v>
      </c>
      <c r="BT81" s="170">
        <v>28</v>
      </c>
      <c r="BU81" s="180" t="e">
        <f>qmz/qz/Kes.w</f>
        <v>#VALUE!</v>
      </c>
      <c r="BV81" s="170"/>
      <c r="BW81" s="170"/>
      <c r="BY81" s="176">
        <v>77</v>
      </c>
      <c r="BZ81" s="246" t="s">
        <v>1570</v>
      </c>
      <c r="CA81" s="246" t="b">
        <v>1</v>
      </c>
      <c r="CB81" s="246" t="s">
        <v>170</v>
      </c>
      <c r="CC81" s="246"/>
      <c r="CD81" s="246">
        <v>65</v>
      </c>
      <c r="CE81" s="246">
        <v>1</v>
      </c>
      <c r="CF81" s="170">
        <f t="shared" si="73"/>
        <v>88</v>
      </c>
      <c r="CG81" s="246">
        <v>1.25</v>
      </c>
      <c r="CH81" s="246">
        <v>12</v>
      </c>
      <c r="CI81" s="251" t="e">
        <f t="shared" si="74"/>
        <v>#VALUE!</v>
      </c>
      <c r="CJ81" s="246">
        <v>28</v>
      </c>
      <c r="CK81" s="251" t="e">
        <f t="shared" si="75"/>
        <v>#VALUE!</v>
      </c>
      <c r="CL81" s="246"/>
      <c r="CM81" s="246"/>
      <c r="CO81" s="176">
        <v>77</v>
      </c>
      <c r="CP81" s="246" t="s">
        <v>1570</v>
      </c>
      <c r="CQ81" s="246" t="b">
        <v>1</v>
      </c>
      <c r="CR81" s="246" t="s">
        <v>170</v>
      </c>
      <c r="CS81" s="246"/>
      <c r="CT81" s="246">
        <v>65</v>
      </c>
      <c r="CU81" s="246">
        <v>1</v>
      </c>
      <c r="CV81" s="170">
        <f t="shared" si="76"/>
        <v>88</v>
      </c>
      <c r="CW81" s="246">
        <v>1.25</v>
      </c>
      <c r="CX81" s="246">
        <v>12</v>
      </c>
      <c r="CY81" s="251" t="e">
        <f t="shared" si="77"/>
        <v>#VALUE!</v>
      </c>
      <c r="CZ81" s="246">
        <v>28</v>
      </c>
      <c r="DA81" s="251" t="e">
        <f t="shared" si="78"/>
        <v>#VALUE!</v>
      </c>
      <c r="DB81" s="246"/>
      <c r="DC81" s="246"/>
      <c r="DE81" s="176">
        <v>77</v>
      </c>
      <c r="DF81" s="246" t="s">
        <v>1570</v>
      </c>
      <c r="DG81" s="246" t="b">
        <v>1</v>
      </c>
      <c r="DH81" s="246" t="s">
        <v>170</v>
      </c>
      <c r="DI81" s="246"/>
      <c r="DJ81" s="246">
        <v>65</v>
      </c>
      <c r="DK81" s="246">
        <v>1</v>
      </c>
      <c r="DL81" s="170">
        <f t="shared" si="79"/>
        <v>88</v>
      </c>
      <c r="DM81" s="246">
        <v>1.25</v>
      </c>
      <c r="DN81" s="246">
        <v>12</v>
      </c>
      <c r="DO81" s="251" t="e">
        <f t="shared" si="80"/>
        <v>#VALUE!</v>
      </c>
      <c r="DP81" s="246">
        <v>28</v>
      </c>
      <c r="DQ81" s="251" t="e">
        <f t="shared" si="81"/>
        <v>#VALUE!</v>
      </c>
      <c r="DR81" s="246"/>
      <c r="DS81" s="246"/>
      <c r="DU81" s="176">
        <v>77</v>
      </c>
      <c r="DV81" s="170" t="str">
        <f t="shared" si="82"/>
        <v>1.2D + 1.6L + 0.2Di + 0.5S (240 deg</v>
      </c>
      <c r="DW81" s="170">
        <v>1</v>
      </c>
      <c r="DX81" s="170" t="s">
        <v>170</v>
      </c>
      <c r="DY81" s="170"/>
      <c r="DZ81" s="170">
        <v>65</v>
      </c>
      <c r="EA81" s="170">
        <v>1.2</v>
      </c>
      <c r="EB81" s="170">
        <v>88</v>
      </c>
      <c r="EC81" s="170">
        <v>1.5</v>
      </c>
      <c r="ED81" s="170">
        <v>12</v>
      </c>
      <c r="EE81" s="180" t="e">
        <f>qmz/qz/Kes.w</f>
        <v>#VALUE!</v>
      </c>
      <c r="EF81" s="170"/>
      <c r="EG81" s="170"/>
      <c r="EH81" s="170"/>
      <c r="EI81" s="170"/>
      <c r="EK81" s="2" t="s">
        <v>494</v>
      </c>
      <c r="EL81" s="2">
        <v>240</v>
      </c>
      <c r="EN81" s="176">
        <v>77</v>
      </c>
    </row>
    <row r="82" spans="1:144" ht="18" customHeight="1" x14ac:dyDescent="0.2">
      <c r="A82" s="165">
        <v>78</v>
      </c>
      <c r="B82" s="174" t="s">
        <v>507</v>
      </c>
      <c r="C82" s="174" t="s">
        <v>496</v>
      </c>
      <c r="D82" s="174" t="str">
        <f ca="1">IFERROR(1*Eh*SIN(RADIANS(180)),"")</f>
        <v/>
      </c>
      <c r="E82" s="174" t="str">
        <f t="shared" ca="1" si="85"/>
        <v/>
      </c>
      <c r="F82" s="174" t="str">
        <f ca="1">IFERROR(-1*Eh*COS(RADIANS(180)),"")</f>
        <v/>
      </c>
      <c r="G82" s="174"/>
      <c r="H82" s="186"/>
      <c r="I82" s="186"/>
      <c r="J82" s="186"/>
      <c r="K82" s="174"/>
      <c r="M82" s="176">
        <f t="shared" si="83"/>
        <v>78</v>
      </c>
      <c r="N82" s="174" t="str">
        <f t="shared" si="51"/>
        <v>1.2D + 1.5Lm_3 + 1.0Wm  | 270 deg</v>
      </c>
      <c r="O82" s="174" t="b">
        <v>1</v>
      </c>
      <c r="P82" s="174" t="str">
        <f t="shared" si="52"/>
        <v>Y</v>
      </c>
      <c r="Q82" s="174" t="str">
        <f t="shared" si="53"/>
        <v/>
      </c>
      <c r="R82" s="174">
        <f t="shared" si="64"/>
        <v>65</v>
      </c>
      <c r="S82" s="174">
        <f t="shared" si="65"/>
        <v>1.2</v>
      </c>
      <c r="T82" s="174">
        <f t="shared" si="66"/>
        <v>88</v>
      </c>
      <c r="U82" s="174">
        <f t="shared" si="67"/>
        <v>1.5</v>
      </c>
      <c r="V82" s="174">
        <f t="shared" si="68"/>
        <v>13</v>
      </c>
      <c r="W82" s="174" t="e">
        <f t="shared" si="69"/>
        <v>#VALUE!</v>
      </c>
      <c r="X82" s="174">
        <f t="shared" si="70"/>
        <v>29</v>
      </c>
      <c r="Y82" s="174" t="e">
        <f t="shared" si="71"/>
        <v>#VALUE!</v>
      </c>
      <c r="Z82" s="174" t="str">
        <f t="shared" si="46"/>
        <v/>
      </c>
      <c r="AA82" s="174" t="str">
        <f t="shared" si="47"/>
        <v/>
      </c>
      <c r="AC82" s="176">
        <v>78</v>
      </c>
      <c r="AD82" s="174" t="s">
        <v>1571</v>
      </c>
      <c r="AE82" s="174" t="b">
        <v>1</v>
      </c>
      <c r="AF82" s="174" t="s">
        <v>170</v>
      </c>
      <c r="AG82" s="174"/>
      <c r="AH82" s="174">
        <v>65</v>
      </c>
      <c r="AI82" s="174">
        <v>1.2</v>
      </c>
      <c r="AJ82" s="174">
        <f t="shared" si="84"/>
        <v>88</v>
      </c>
      <c r="AK82" s="175">
        <v>1.5</v>
      </c>
      <c r="AL82" s="174">
        <v>13</v>
      </c>
      <c r="AM82" s="181" t="e">
        <f>qmz/qz/Kes.w</f>
        <v>#VALUE!</v>
      </c>
      <c r="AN82" s="174">
        <v>29</v>
      </c>
      <c r="AO82" s="181" t="e">
        <f>qmz/qz/Kes.w</f>
        <v>#VALUE!</v>
      </c>
      <c r="AP82" s="174"/>
      <c r="AQ82" s="174"/>
      <c r="AS82" s="176">
        <v>78</v>
      </c>
      <c r="AT82" s="174" t="s">
        <v>1572</v>
      </c>
      <c r="AU82" s="174" t="b">
        <v>1</v>
      </c>
      <c r="AV82" s="174" t="s">
        <v>170</v>
      </c>
      <c r="AW82" s="174"/>
      <c r="AX82" s="174">
        <v>65</v>
      </c>
      <c r="AY82" s="174">
        <v>1.2</v>
      </c>
      <c r="AZ82" s="174">
        <v>67</v>
      </c>
      <c r="BA82" s="174">
        <v>1</v>
      </c>
      <c r="BB82" s="174">
        <v>82</v>
      </c>
      <c r="BC82" s="174">
        <v>1</v>
      </c>
      <c r="BD82" s="174">
        <v>68</v>
      </c>
      <c r="BE82" s="181">
        <v>-1.83772268236293E-16</v>
      </c>
      <c r="BF82" s="174">
        <v>69</v>
      </c>
      <c r="BG82" s="181">
        <v>-1</v>
      </c>
      <c r="BI82" s="176">
        <v>78</v>
      </c>
      <c r="BJ82" s="174" t="s">
        <v>1571</v>
      </c>
      <c r="BK82" s="174" t="b">
        <v>1</v>
      </c>
      <c r="BL82" s="174" t="s">
        <v>170</v>
      </c>
      <c r="BM82" s="174"/>
      <c r="BN82" s="174">
        <v>65</v>
      </c>
      <c r="BO82" s="174">
        <v>1.2</v>
      </c>
      <c r="BP82" s="174">
        <f t="shared" si="72"/>
        <v>88</v>
      </c>
      <c r="BQ82" s="175">
        <v>1.5</v>
      </c>
      <c r="BR82" s="174">
        <v>13</v>
      </c>
      <c r="BS82" s="181" t="e">
        <f>qmz/qz/Kes.w</f>
        <v>#VALUE!</v>
      </c>
      <c r="BT82" s="174">
        <v>29</v>
      </c>
      <c r="BU82" s="181" t="e">
        <f>qmz/qz/Kes.w</f>
        <v>#VALUE!</v>
      </c>
      <c r="BV82" s="174"/>
      <c r="BW82" s="174"/>
      <c r="BY82" s="176">
        <v>78</v>
      </c>
      <c r="BZ82" s="249" t="s">
        <v>1573</v>
      </c>
      <c r="CA82" s="249" t="b">
        <v>1</v>
      </c>
      <c r="CB82" s="249" t="s">
        <v>170</v>
      </c>
      <c r="CC82" s="249"/>
      <c r="CD82" s="249">
        <v>65</v>
      </c>
      <c r="CE82" s="249">
        <v>1</v>
      </c>
      <c r="CF82" s="174">
        <f t="shared" si="73"/>
        <v>88</v>
      </c>
      <c r="CG82" s="248">
        <v>1.25</v>
      </c>
      <c r="CH82" s="249">
        <v>13</v>
      </c>
      <c r="CI82" s="252" t="e">
        <f t="shared" si="74"/>
        <v>#VALUE!</v>
      </c>
      <c r="CJ82" s="249">
        <v>29</v>
      </c>
      <c r="CK82" s="252" t="e">
        <f t="shared" si="75"/>
        <v>#VALUE!</v>
      </c>
      <c r="CL82" s="249"/>
      <c r="CM82" s="249"/>
      <c r="CO82" s="176">
        <v>78</v>
      </c>
      <c r="CP82" s="249" t="s">
        <v>1573</v>
      </c>
      <c r="CQ82" s="249" t="b">
        <v>1</v>
      </c>
      <c r="CR82" s="249" t="s">
        <v>170</v>
      </c>
      <c r="CS82" s="249"/>
      <c r="CT82" s="249">
        <v>65</v>
      </c>
      <c r="CU82" s="249">
        <v>1</v>
      </c>
      <c r="CV82" s="174">
        <f t="shared" si="76"/>
        <v>88</v>
      </c>
      <c r="CW82" s="248">
        <v>1.25</v>
      </c>
      <c r="CX82" s="249">
        <v>13</v>
      </c>
      <c r="CY82" s="252" t="e">
        <f t="shared" si="77"/>
        <v>#VALUE!</v>
      </c>
      <c r="CZ82" s="249">
        <v>29</v>
      </c>
      <c r="DA82" s="252" t="e">
        <f t="shared" si="78"/>
        <v>#VALUE!</v>
      </c>
      <c r="DB82" s="249"/>
      <c r="DC82" s="249"/>
      <c r="DE82" s="176">
        <v>78</v>
      </c>
      <c r="DF82" s="249" t="s">
        <v>1573</v>
      </c>
      <c r="DG82" s="249" t="b">
        <v>1</v>
      </c>
      <c r="DH82" s="249" t="s">
        <v>170</v>
      </c>
      <c r="DI82" s="249"/>
      <c r="DJ82" s="249">
        <v>65</v>
      </c>
      <c r="DK82" s="249">
        <v>1</v>
      </c>
      <c r="DL82" s="174">
        <f t="shared" si="79"/>
        <v>88</v>
      </c>
      <c r="DM82" s="248">
        <v>1.25</v>
      </c>
      <c r="DN82" s="249">
        <v>13</v>
      </c>
      <c r="DO82" s="252" t="e">
        <f t="shared" si="80"/>
        <v>#VALUE!</v>
      </c>
      <c r="DP82" s="249">
        <v>29</v>
      </c>
      <c r="DQ82" s="252" t="e">
        <f t="shared" si="81"/>
        <v>#VALUE!</v>
      </c>
      <c r="DR82" s="249"/>
      <c r="DS82" s="249"/>
      <c r="DU82" s="176">
        <v>78</v>
      </c>
      <c r="DV82" s="174" t="str">
        <f t="shared" si="82"/>
        <v>1.2D + 1.6L + 0.2Di + 0.5S (270 deg</v>
      </c>
      <c r="DW82" s="174">
        <v>1</v>
      </c>
      <c r="DX82" s="174" t="s">
        <v>170</v>
      </c>
      <c r="DY82" s="174"/>
      <c r="DZ82" s="174">
        <v>65</v>
      </c>
      <c r="EA82" s="174">
        <v>1.2</v>
      </c>
      <c r="EB82" s="174">
        <v>88</v>
      </c>
      <c r="EC82" s="175">
        <v>1.5</v>
      </c>
      <c r="ED82" s="174">
        <v>13</v>
      </c>
      <c r="EE82" s="181" t="e">
        <f>qmz/qz/Kes.w</f>
        <v>#VALUE!</v>
      </c>
      <c r="EF82" s="174"/>
      <c r="EG82" s="174"/>
      <c r="EH82" s="174"/>
      <c r="EI82" s="174"/>
      <c r="EK82" s="2" t="s">
        <v>494</v>
      </c>
      <c r="EL82" s="2">
        <v>270</v>
      </c>
      <c r="EN82" s="176">
        <v>78</v>
      </c>
    </row>
    <row r="83" spans="1:144" ht="18" customHeight="1" x14ac:dyDescent="0.2">
      <c r="A83" s="165">
        <v>79</v>
      </c>
      <c r="B83" s="170" t="s">
        <v>508</v>
      </c>
      <c r="C83" s="171" t="s">
        <v>496</v>
      </c>
      <c r="D83" s="171" t="str">
        <f ca="1">IFERROR(1*Eh*SIN(RADIANS(210)),"")</f>
        <v/>
      </c>
      <c r="E83" s="171" t="str">
        <f t="shared" ca="1" si="85"/>
        <v/>
      </c>
      <c r="F83" s="171" t="str">
        <f ca="1">IFERROR(-1*Eh*COS(RADIANS(210)),"")</f>
        <v/>
      </c>
      <c r="G83" s="171"/>
      <c r="H83" s="185"/>
      <c r="I83" s="185"/>
      <c r="J83" s="185"/>
      <c r="K83" s="171"/>
      <c r="M83" s="176">
        <f t="shared" si="83"/>
        <v>79</v>
      </c>
      <c r="N83" s="170" t="str">
        <f t="shared" si="51"/>
        <v>1.2D + 1.5Lm_3 + 1.0Wm  | 300 deg</v>
      </c>
      <c r="O83" s="170" t="b">
        <v>1</v>
      </c>
      <c r="P83" s="170" t="str">
        <f t="shared" si="52"/>
        <v>Y</v>
      </c>
      <c r="Q83" s="170" t="str">
        <f t="shared" si="53"/>
        <v/>
      </c>
      <c r="R83" s="170">
        <f t="shared" si="64"/>
        <v>65</v>
      </c>
      <c r="S83" s="170">
        <f t="shared" si="65"/>
        <v>1.2</v>
      </c>
      <c r="T83" s="170">
        <f t="shared" si="66"/>
        <v>88</v>
      </c>
      <c r="U83" s="170">
        <f t="shared" si="67"/>
        <v>1.5</v>
      </c>
      <c r="V83" s="170">
        <f t="shared" si="68"/>
        <v>14</v>
      </c>
      <c r="W83" s="170" t="e">
        <f t="shared" si="69"/>
        <v>#VALUE!</v>
      </c>
      <c r="X83" s="170">
        <f t="shared" si="70"/>
        <v>30</v>
      </c>
      <c r="Y83" s="170" t="e">
        <f t="shared" si="71"/>
        <v>#VALUE!</v>
      </c>
      <c r="Z83" s="170" t="str">
        <f t="shared" si="46"/>
        <v/>
      </c>
      <c r="AA83" s="170" t="str">
        <f t="shared" si="47"/>
        <v/>
      </c>
      <c r="AC83" s="176">
        <v>79</v>
      </c>
      <c r="AD83" s="170" t="s">
        <v>1661</v>
      </c>
      <c r="AE83" s="170" t="b">
        <v>1</v>
      </c>
      <c r="AF83" s="170" t="s">
        <v>170</v>
      </c>
      <c r="AG83" s="170"/>
      <c r="AH83" s="170">
        <v>65</v>
      </c>
      <c r="AI83" s="170">
        <v>1.2</v>
      </c>
      <c r="AJ83" s="170">
        <f t="shared" si="84"/>
        <v>88</v>
      </c>
      <c r="AK83" s="170">
        <v>1.5</v>
      </c>
      <c r="AL83" s="170">
        <v>14</v>
      </c>
      <c r="AM83" s="180" t="e">
        <f>qmz/qz/Kes.w</f>
        <v>#VALUE!</v>
      </c>
      <c r="AN83" s="170">
        <v>30</v>
      </c>
      <c r="AO83" s="180" t="e">
        <f>qmz/qz/Kes.w</f>
        <v>#VALUE!</v>
      </c>
      <c r="AP83" s="170"/>
      <c r="AQ83" s="170"/>
      <c r="AS83" s="176">
        <v>79</v>
      </c>
      <c r="AT83" s="170" t="s">
        <v>1662</v>
      </c>
      <c r="AU83" s="170" t="b">
        <v>1</v>
      </c>
      <c r="AV83" s="170" t="s">
        <v>170</v>
      </c>
      <c r="AW83" s="170"/>
      <c r="AX83" s="170">
        <v>65</v>
      </c>
      <c r="AY83" s="170">
        <v>1.2</v>
      </c>
      <c r="AZ83" s="170">
        <v>67</v>
      </c>
      <c r="BA83" s="170">
        <v>1</v>
      </c>
      <c r="BB83" s="170">
        <v>83</v>
      </c>
      <c r="BC83" s="170">
        <v>1</v>
      </c>
      <c r="BD83" s="170">
        <v>68</v>
      </c>
      <c r="BE83" s="180">
        <v>0.50000000000000011</v>
      </c>
      <c r="BF83" s="170">
        <v>69</v>
      </c>
      <c r="BG83" s="180">
        <v>-0.8660254037844386</v>
      </c>
      <c r="BI83" s="176">
        <v>79</v>
      </c>
      <c r="BJ83" s="170" t="s">
        <v>1661</v>
      </c>
      <c r="BK83" s="170" t="b">
        <v>1</v>
      </c>
      <c r="BL83" s="170" t="s">
        <v>170</v>
      </c>
      <c r="BM83" s="170"/>
      <c r="BN83" s="170">
        <v>65</v>
      </c>
      <c r="BO83" s="170">
        <v>1.2</v>
      </c>
      <c r="BP83" s="170">
        <f t="shared" si="72"/>
        <v>88</v>
      </c>
      <c r="BQ83" s="170">
        <v>1.5</v>
      </c>
      <c r="BR83" s="170">
        <v>14</v>
      </c>
      <c r="BS83" s="180" t="e">
        <f>qmz/qz/Kes.w</f>
        <v>#VALUE!</v>
      </c>
      <c r="BT83" s="170">
        <v>30</v>
      </c>
      <c r="BU83" s="180" t="e">
        <f>qmz/qz/Kes.w</f>
        <v>#VALUE!</v>
      </c>
      <c r="BV83" s="170"/>
      <c r="BW83" s="170"/>
      <c r="BY83" s="176">
        <v>79</v>
      </c>
      <c r="BZ83" s="246" t="s">
        <v>1663</v>
      </c>
      <c r="CA83" s="246" t="b">
        <v>1</v>
      </c>
      <c r="CB83" s="246" t="s">
        <v>170</v>
      </c>
      <c r="CC83" s="246"/>
      <c r="CD83" s="246">
        <v>65</v>
      </c>
      <c r="CE83" s="246">
        <v>1</v>
      </c>
      <c r="CF83" s="170">
        <f t="shared" si="73"/>
        <v>88</v>
      </c>
      <c r="CG83" s="246">
        <v>1.25</v>
      </c>
      <c r="CH83" s="246">
        <v>14</v>
      </c>
      <c r="CI83" s="251" t="e">
        <f t="shared" si="74"/>
        <v>#VALUE!</v>
      </c>
      <c r="CJ83" s="246">
        <v>30</v>
      </c>
      <c r="CK83" s="251" t="e">
        <f t="shared" si="75"/>
        <v>#VALUE!</v>
      </c>
      <c r="CL83" s="246"/>
      <c r="CM83" s="246"/>
      <c r="CO83" s="176">
        <v>79</v>
      </c>
      <c r="CP83" s="246" t="s">
        <v>1663</v>
      </c>
      <c r="CQ83" s="246" t="b">
        <v>1</v>
      </c>
      <c r="CR83" s="246" t="s">
        <v>170</v>
      </c>
      <c r="CS83" s="246"/>
      <c r="CT83" s="246">
        <v>65</v>
      </c>
      <c r="CU83" s="246">
        <v>1</v>
      </c>
      <c r="CV83" s="170">
        <f t="shared" si="76"/>
        <v>88</v>
      </c>
      <c r="CW83" s="246">
        <v>1.25</v>
      </c>
      <c r="CX83" s="246">
        <v>14</v>
      </c>
      <c r="CY83" s="251" t="e">
        <f t="shared" si="77"/>
        <v>#VALUE!</v>
      </c>
      <c r="CZ83" s="246">
        <v>30</v>
      </c>
      <c r="DA83" s="251" t="e">
        <f t="shared" si="78"/>
        <v>#VALUE!</v>
      </c>
      <c r="DB83" s="246"/>
      <c r="DC83" s="246"/>
      <c r="DE83" s="176">
        <v>79</v>
      </c>
      <c r="DF83" s="246" t="s">
        <v>1663</v>
      </c>
      <c r="DG83" s="246" t="b">
        <v>1</v>
      </c>
      <c r="DH83" s="246" t="s">
        <v>170</v>
      </c>
      <c r="DI83" s="246"/>
      <c r="DJ83" s="246">
        <v>65</v>
      </c>
      <c r="DK83" s="246">
        <v>1</v>
      </c>
      <c r="DL83" s="170">
        <f t="shared" si="79"/>
        <v>88</v>
      </c>
      <c r="DM83" s="246">
        <v>1.25</v>
      </c>
      <c r="DN83" s="246">
        <v>14</v>
      </c>
      <c r="DO83" s="251" t="e">
        <f t="shared" si="80"/>
        <v>#VALUE!</v>
      </c>
      <c r="DP83" s="246">
        <v>30</v>
      </c>
      <c r="DQ83" s="251" t="e">
        <f t="shared" si="81"/>
        <v>#VALUE!</v>
      </c>
      <c r="DR83" s="246"/>
      <c r="DS83" s="246"/>
      <c r="DU83" s="176">
        <v>79</v>
      </c>
      <c r="DV83" s="170" t="str">
        <f t="shared" si="82"/>
        <v>1.2D + 1.6L + 0.2Di + 0.5S (300 deg</v>
      </c>
      <c r="DW83" s="170">
        <v>1</v>
      </c>
      <c r="DX83" s="170" t="s">
        <v>170</v>
      </c>
      <c r="DY83" s="170"/>
      <c r="DZ83" s="170">
        <v>65</v>
      </c>
      <c r="EA83" s="170">
        <v>1.2</v>
      </c>
      <c r="EB83" s="170">
        <v>88</v>
      </c>
      <c r="EC83" s="170">
        <v>1.5</v>
      </c>
      <c r="ED83" s="170">
        <v>14</v>
      </c>
      <c r="EE83" s="180" t="e">
        <f>qmz/qz/Kes.w</f>
        <v>#VALUE!</v>
      </c>
      <c r="EF83" s="170"/>
      <c r="EG83" s="170"/>
      <c r="EH83" s="170"/>
      <c r="EI83" s="170"/>
      <c r="EK83" s="2" t="s">
        <v>494</v>
      </c>
      <c r="EL83" s="2">
        <v>300</v>
      </c>
      <c r="EN83" s="176">
        <v>79</v>
      </c>
    </row>
    <row r="84" spans="1:144" ht="18" customHeight="1" x14ac:dyDescent="0.2">
      <c r="A84" s="165">
        <v>80</v>
      </c>
      <c r="B84" s="174" t="s">
        <v>509</v>
      </c>
      <c r="C84" s="174" t="s">
        <v>496</v>
      </c>
      <c r="D84" s="174" t="str">
        <f ca="1">IFERROR(1*Eh*SIN(RADIANS(225)),"")</f>
        <v/>
      </c>
      <c r="E84" s="174" t="str">
        <f t="shared" ca="1" si="85"/>
        <v/>
      </c>
      <c r="F84" s="174" t="str">
        <f ca="1">IFERROR(-1*Eh*COS(RADIANS(225)),"")</f>
        <v/>
      </c>
      <c r="G84" s="174"/>
      <c r="H84" s="186"/>
      <c r="I84" s="186"/>
      <c r="J84" s="186"/>
      <c r="K84" s="174"/>
      <c r="M84" s="176">
        <f t="shared" si="83"/>
        <v>80</v>
      </c>
      <c r="N84" s="174" t="str">
        <f t="shared" si="51"/>
        <v>1.2D + 1.5Lm_3 + 1.0Wm  | 315 deg</v>
      </c>
      <c r="O84" s="174" t="b">
        <v>1</v>
      </c>
      <c r="P84" s="174" t="str">
        <f t="shared" si="52"/>
        <v>Y</v>
      </c>
      <c r="Q84" s="174" t="str">
        <f t="shared" si="53"/>
        <v/>
      </c>
      <c r="R84" s="174">
        <f t="shared" si="64"/>
        <v>65</v>
      </c>
      <c r="S84" s="174">
        <f t="shared" si="65"/>
        <v>1.2</v>
      </c>
      <c r="T84" s="174">
        <f t="shared" si="66"/>
        <v>88</v>
      </c>
      <c r="U84" s="174">
        <f t="shared" si="67"/>
        <v>1.5</v>
      </c>
      <c r="V84" s="174">
        <f t="shared" si="68"/>
        <v>15</v>
      </c>
      <c r="W84" s="174" t="e">
        <f t="shared" si="69"/>
        <v>#VALUE!</v>
      </c>
      <c r="X84" s="174">
        <f t="shared" si="70"/>
        <v>31</v>
      </c>
      <c r="Y84" s="174" t="e">
        <f t="shared" si="71"/>
        <v>#VALUE!</v>
      </c>
      <c r="Z84" s="174" t="str">
        <f t="shared" si="46"/>
        <v/>
      </c>
      <c r="AA84" s="174" t="str">
        <f t="shared" si="47"/>
        <v/>
      </c>
      <c r="AC84" s="176">
        <v>80</v>
      </c>
      <c r="AD84" s="174" t="s">
        <v>1664</v>
      </c>
      <c r="AE84" s="174" t="b">
        <v>1</v>
      </c>
      <c r="AF84" s="174" t="s">
        <v>170</v>
      </c>
      <c r="AG84" s="174"/>
      <c r="AH84" s="174">
        <v>65</v>
      </c>
      <c r="AI84" s="174">
        <v>1.2</v>
      </c>
      <c r="AJ84" s="174">
        <f t="shared" si="84"/>
        <v>88</v>
      </c>
      <c r="AK84" s="175">
        <v>1.5</v>
      </c>
      <c r="AL84" s="174">
        <v>15</v>
      </c>
      <c r="AM84" s="181" t="e">
        <f>qmz/qz/Kes.w</f>
        <v>#VALUE!</v>
      </c>
      <c r="AN84" s="174">
        <v>31</v>
      </c>
      <c r="AO84" s="181" t="e">
        <f>qmz/qz/Kes.w</f>
        <v>#VALUE!</v>
      </c>
      <c r="AP84" s="174"/>
      <c r="AQ84" s="174"/>
      <c r="AS84" s="176">
        <v>80</v>
      </c>
      <c r="AT84" s="174" t="s">
        <v>1665</v>
      </c>
      <c r="AU84" s="174"/>
      <c r="AV84" s="174" t="s">
        <v>170</v>
      </c>
      <c r="AW84" s="174"/>
      <c r="AX84" s="174">
        <v>65</v>
      </c>
      <c r="AY84" s="174">
        <v>1.2</v>
      </c>
      <c r="AZ84" s="174">
        <v>67</v>
      </c>
      <c r="BA84" s="174">
        <v>1</v>
      </c>
      <c r="BB84" s="174">
        <v>84</v>
      </c>
      <c r="BC84" s="174">
        <v>1</v>
      </c>
      <c r="BD84" s="174">
        <v>68</v>
      </c>
      <c r="BE84" s="181">
        <v>0.70710678118654735</v>
      </c>
      <c r="BF84" s="174">
        <v>69</v>
      </c>
      <c r="BG84" s="181">
        <v>-0.70710678118654768</v>
      </c>
      <c r="BI84" s="176">
        <v>80</v>
      </c>
      <c r="BJ84" s="174" t="s">
        <v>1664</v>
      </c>
      <c r="BK84" s="174" t="b">
        <v>1</v>
      </c>
      <c r="BL84" s="174" t="s">
        <v>170</v>
      </c>
      <c r="BM84" s="174"/>
      <c r="BN84" s="174">
        <v>65</v>
      </c>
      <c r="BO84" s="174">
        <v>1.2</v>
      </c>
      <c r="BP84" s="174">
        <f t="shared" si="72"/>
        <v>88</v>
      </c>
      <c r="BQ84" s="175">
        <v>1.5</v>
      </c>
      <c r="BR84" s="174">
        <v>15</v>
      </c>
      <c r="BS84" s="181" t="e">
        <f>qmz/qz/Kes.w</f>
        <v>#VALUE!</v>
      </c>
      <c r="BT84" s="174">
        <v>31</v>
      </c>
      <c r="BU84" s="181" t="e">
        <f>qmz/qz/Kes.w</f>
        <v>#VALUE!</v>
      </c>
      <c r="BV84" s="174"/>
      <c r="BW84" s="174"/>
      <c r="BY84" s="176">
        <v>80</v>
      </c>
      <c r="BZ84" s="249" t="s">
        <v>1666</v>
      </c>
      <c r="CA84" s="249" t="b">
        <v>1</v>
      </c>
      <c r="CB84" s="249" t="s">
        <v>170</v>
      </c>
      <c r="CC84" s="249"/>
      <c r="CD84" s="249">
        <v>65</v>
      </c>
      <c r="CE84" s="249">
        <v>1</v>
      </c>
      <c r="CF84" s="174">
        <f t="shared" si="73"/>
        <v>88</v>
      </c>
      <c r="CG84" s="248">
        <v>1.25</v>
      </c>
      <c r="CH84" s="249">
        <v>15</v>
      </c>
      <c r="CI84" s="252" t="e">
        <f t="shared" si="74"/>
        <v>#VALUE!</v>
      </c>
      <c r="CJ84" s="249">
        <v>31</v>
      </c>
      <c r="CK84" s="252" t="e">
        <f t="shared" si="75"/>
        <v>#VALUE!</v>
      </c>
      <c r="CL84" s="249"/>
      <c r="CM84" s="249"/>
      <c r="CO84" s="176">
        <v>80</v>
      </c>
      <c r="CP84" s="249" t="s">
        <v>1666</v>
      </c>
      <c r="CQ84" s="249" t="b">
        <v>1</v>
      </c>
      <c r="CR84" s="249" t="s">
        <v>170</v>
      </c>
      <c r="CS84" s="249"/>
      <c r="CT84" s="249">
        <v>65</v>
      </c>
      <c r="CU84" s="249">
        <v>1</v>
      </c>
      <c r="CV84" s="174">
        <f t="shared" si="76"/>
        <v>88</v>
      </c>
      <c r="CW84" s="248">
        <v>1.25</v>
      </c>
      <c r="CX84" s="249">
        <v>15</v>
      </c>
      <c r="CY84" s="252" t="e">
        <f t="shared" si="77"/>
        <v>#VALUE!</v>
      </c>
      <c r="CZ84" s="249">
        <v>31</v>
      </c>
      <c r="DA84" s="252" t="e">
        <f t="shared" si="78"/>
        <v>#VALUE!</v>
      </c>
      <c r="DB84" s="249"/>
      <c r="DC84" s="249"/>
      <c r="DE84" s="176">
        <v>80</v>
      </c>
      <c r="DF84" s="249" t="s">
        <v>1666</v>
      </c>
      <c r="DG84" s="249" t="b">
        <v>1</v>
      </c>
      <c r="DH84" s="249" t="s">
        <v>170</v>
      </c>
      <c r="DI84" s="249"/>
      <c r="DJ84" s="249">
        <v>65</v>
      </c>
      <c r="DK84" s="249">
        <v>1</v>
      </c>
      <c r="DL84" s="174">
        <f t="shared" si="79"/>
        <v>88</v>
      </c>
      <c r="DM84" s="248">
        <v>1.25</v>
      </c>
      <c r="DN84" s="249">
        <v>15</v>
      </c>
      <c r="DO84" s="252" t="e">
        <f t="shared" si="80"/>
        <v>#VALUE!</v>
      </c>
      <c r="DP84" s="249">
        <v>31</v>
      </c>
      <c r="DQ84" s="252" t="e">
        <f t="shared" si="81"/>
        <v>#VALUE!</v>
      </c>
      <c r="DR84" s="249"/>
      <c r="DS84" s="249"/>
      <c r="DU84" s="176">
        <v>80</v>
      </c>
      <c r="DV84" s="174" t="str">
        <f t="shared" si="82"/>
        <v>1.2D + 1.6L + 0.2Di + 0.5S (315 deg</v>
      </c>
      <c r="DW84" s="174">
        <v>1</v>
      </c>
      <c r="DX84" s="174" t="s">
        <v>170</v>
      </c>
      <c r="DY84" s="174"/>
      <c r="DZ84" s="174">
        <v>65</v>
      </c>
      <c r="EA84" s="174">
        <v>1.2</v>
      </c>
      <c r="EB84" s="174">
        <v>88</v>
      </c>
      <c r="EC84" s="175">
        <v>1.5</v>
      </c>
      <c r="ED84" s="174">
        <v>15</v>
      </c>
      <c r="EE84" s="181" t="e">
        <f>qmz/qz/Kes.w</f>
        <v>#VALUE!</v>
      </c>
      <c r="EF84" s="174"/>
      <c r="EG84" s="174"/>
      <c r="EH84" s="174"/>
      <c r="EI84" s="174"/>
      <c r="EK84" s="2" t="s">
        <v>494</v>
      </c>
      <c r="EL84" s="2">
        <v>315</v>
      </c>
      <c r="EN84" s="176">
        <v>80</v>
      </c>
    </row>
    <row r="85" spans="1:144" ht="18" customHeight="1" thickBot="1" x14ac:dyDescent="0.25">
      <c r="A85" s="165">
        <v>81</v>
      </c>
      <c r="B85" s="170" t="s">
        <v>510</v>
      </c>
      <c r="C85" s="171" t="s">
        <v>496</v>
      </c>
      <c r="D85" s="171" t="str">
        <f ca="1">IFERROR(1*Eh*SIN(RADIANS(240)),"")</f>
        <v/>
      </c>
      <c r="E85" s="171" t="str">
        <f t="shared" ca="1" si="85"/>
        <v/>
      </c>
      <c r="F85" s="171" t="str">
        <f ca="1">IFERROR(-1*Eh*COS(RADIANS(240)),"")</f>
        <v/>
      </c>
      <c r="G85" s="171"/>
      <c r="H85" s="185"/>
      <c r="I85" s="185"/>
      <c r="J85" s="185"/>
      <c r="K85" s="171"/>
      <c r="M85" s="176">
        <f t="shared" si="83"/>
        <v>81</v>
      </c>
      <c r="N85" s="170" t="str">
        <f t="shared" si="51"/>
        <v>1.2D + 1.5Lm_3 + 1.0Wm  | 330 deg</v>
      </c>
      <c r="O85" s="170" t="b">
        <v>1</v>
      </c>
      <c r="P85" s="170" t="str">
        <f t="shared" si="52"/>
        <v>Y</v>
      </c>
      <c r="Q85" s="170" t="str">
        <f t="shared" si="53"/>
        <v/>
      </c>
      <c r="R85" s="170">
        <f t="shared" si="64"/>
        <v>65</v>
      </c>
      <c r="S85" s="170">
        <f t="shared" si="65"/>
        <v>1.2</v>
      </c>
      <c r="T85" s="170">
        <f t="shared" si="66"/>
        <v>88</v>
      </c>
      <c r="U85" s="170">
        <f t="shared" si="67"/>
        <v>1.5</v>
      </c>
      <c r="V85" s="170">
        <f t="shared" si="68"/>
        <v>16</v>
      </c>
      <c r="W85" s="170" t="e">
        <f t="shared" si="69"/>
        <v>#VALUE!</v>
      </c>
      <c r="X85" s="170">
        <f t="shared" si="70"/>
        <v>32</v>
      </c>
      <c r="Y85" s="170" t="e">
        <f t="shared" si="71"/>
        <v>#VALUE!</v>
      </c>
      <c r="Z85" s="170" t="str">
        <f t="shared" si="46"/>
        <v/>
      </c>
      <c r="AA85" s="170" t="str">
        <f t="shared" si="47"/>
        <v/>
      </c>
      <c r="AC85" s="177">
        <v>81</v>
      </c>
      <c r="AD85" s="173" t="s">
        <v>1667</v>
      </c>
      <c r="AE85" s="173" t="b">
        <v>1</v>
      </c>
      <c r="AF85" s="173" t="s">
        <v>170</v>
      </c>
      <c r="AG85" s="173"/>
      <c r="AH85" s="173">
        <v>65</v>
      </c>
      <c r="AI85" s="173">
        <v>1.2</v>
      </c>
      <c r="AJ85" s="173">
        <f t="shared" si="84"/>
        <v>88</v>
      </c>
      <c r="AK85" s="173">
        <v>1.5</v>
      </c>
      <c r="AL85" s="173">
        <v>16</v>
      </c>
      <c r="AM85" s="182" t="e">
        <f>qmz/qz/Kes.w</f>
        <v>#VALUE!</v>
      </c>
      <c r="AN85" s="173">
        <v>32</v>
      </c>
      <c r="AO85" s="182" t="e">
        <f>qmz/qz/Kes.w</f>
        <v>#VALUE!</v>
      </c>
      <c r="AP85" s="173"/>
      <c r="AQ85" s="173"/>
      <c r="AS85" s="177">
        <v>81</v>
      </c>
      <c r="AT85" s="173" t="s">
        <v>1668</v>
      </c>
      <c r="AU85" s="173" t="b">
        <v>1</v>
      </c>
      <c r="AV85" s="173" t="s">
        <v>170</v>
      </c>
      <c r="AW85" s="173"/>
      <c r="AX85" s="173">
        <v>65</v>
      </c>
      <c r="AY85" s="173">
        <v>1.2</v>
      </c>
      <c r="AZ85" s="173">
        <v>67</v>
      </c>
      <c r="BA85" s="173">
        <v>1</v>
      </c>
      <c r="BB85" s="173">
        <v>85</v>
      </c>
      <c r="BC85" s="173">
        <v>1</v>
      </c>
      <c r="BD85" s="173">
        <v>68</v>
      </c>
      <c r="BE85" s="253">
        <v>0.86602540378443837</v>
      </c>
      <c r="BF85" s="173">
        <v>69</v>
      </c>
      <c r="BG85" s="253">
        <v>-0.50000000000000044</v>
      </c>
      <c r="BI85" s="177">
        <v>81</v>
      </c>
      <c r="BJ85" s="173" t="s">
        <v>1667</v>
      </c>
      <c r="BK85" s="173" t="b">
        <v>1</v>
      </c>
      <c r="BL85" s="173" t="s">
        <v>170</v>
      </c>
      <c r="BM85" s="173"/>
      <c r="BN85" s="173">
        <v>65</v>
      </c>
      <c r="BO85" s="173">
        <v>1.2</v>
      </c>
      <c r="BP85" s="173">
        <f t="shared" si="72"/>
        <v>88</v>
      </c>
      <c r="BQ85" s="173">
        <v>1.5</v>
      </c>
      <c r="BR85" s="173">
        <v>16</v>
      </c>
      <c r="BS85" s="182" t="e">
        <f>qmz/qz/Kes.w</f>
        <v>#VALUE!</v>
      </c>
      <c r="BT85" s="173">
        <v>32</v>
      </c>
      <c r="BU85" s="182" t="e">
        <f>qmz/qz/Kes.w</f>
        <v>#VALUE!</v>
      </c>
      <c r="BV85" s="173"/>
      <c r="BW85" s="173"/>
      <c r="BY85" s="177">
        <v>81</v>
      </c>
      <c r="BZ85" s="247" t="s">
        <v>1669</v>
      </c>
      <c r="CA85" s="247" t="b">
        <v>1</v>
      </c>
      <c r="CB85" s="247" t="s">
        <v>170</v>
      </c>
      <c r="CC85" s="247"/>
      <c r="CD85" s="247">
        <v>65</v>
      </c>
      <c r="CE85" s="247">
        <v>1</v>
      </c>
      <c r="CF85" s="173">
        <f t="shared" si="73"/>
        <v>88</v>
      </c>
      <c r="CG85" s="247">
        <v>1.25</v>
      </c>
      <c r="CH85" s="247">
        <v>16</v>
      </c>
      <c r="CI85" s="253" t="e">
        <f t="shared" si="74"/>
        <v>#VALUE!</v>
      </c>
      <c r="CJ85" s="247">
        <v>32</v>
      </c>
      <c r="CK85" s="253" t="e">
        <f t="shared" si="75"/>
        <v>#VALUE!</v>
      </c>
      <c r="CL85" s="247"/>
      <c r="CM85" s="247"/>
      <c r="CO85" s="177">
        <v>81</v>
      </c>
      <c r="CP85" s="247" t="s">
        <v>1669</v>
      </c>
      <c r="CQ85" s="247" t="b">
        <v>1</v>
      </c>
      <c r="CR85" s="247" t="s">
        <v>170</v>
      </c>
      <c r="CS85" s="247"/>
      <c r="CT85" s="247">
        <v>65</v>
      </c>
      <c r="CU85" s="247">
        <v>1</v>
      </c>
      <c r="CV85" s="173">
        <f t="shared" si="76"/>
        <v>88</v>
      </c>
      <c r="CW85" s="247">
        <v>1.25</v>
      </c>
      <c r="CX85" s="247">
        <v>16</v>
      </c>
      <c r="CY85" s="253" t="e">
        <f t="shared" si="77"/>
        <v>#VALUE!</v>
      </c>
      <c r="CZ85" s="247">
        <v>32</v>
      </c>
      <c r="DA85" s="253" t="e">
        <f t="shared" si="78"/>
        <v>#VALUE!</v>
      </c>
      <c r="DB85" s="247"/>
      <c r="DC85" s="247"/>
      <c r="DE85" s="177">
        <v>81</v>
      </c>
      <c r="DF85" s="247" t="s">
        <v>1669</v>
      </c>
      <c r="DG85" s="247" t="b">
        <v>1</v>
      </c>
      <c r="DH85" s="247" t="s">
        <v>170</v>
      </c>
      <c r="DI85" s="247"/>
      <c r="DJ85" s="247">
        <v>65</v>
      </c>
      <c r="DK85" s="247">
        <v>1</v>
      </c>
      <c r="DL85" s="173">
        <f t="shared" si="79"/>
        <v>88</v>
      </c>
      <c r="DM85" s="247">
        <v>1.25</v>
      </c>
      <c r="DN85" s="247">
        <v>16</v>
      </c>
      <c r="DO85" s="253" t="e">
        <f t="shared" si="80"/>
        <v>#VALUE!</v>
      </c>
      <c r="DP85" s="247">
        <v>32</v>
      </c>
      <c r="DQ85" s="253" t="e">
        <f t="shared" si="81"/>
        <v>#VALUE!</v>
      </c>
      <c r="DR85" s="247"/>
      <c r="DS85" s="247"/>
      <c r="DU85" s="177">
        <v>81</v>
      </c>
      <c r="DV85" s="173" t="str">
        <f t="shared" si="82"/>
        <v>1.2D + 1.6L + 0.2Di + 0.5S (330 deg</v>
      </c>
      <c r="DW85" s="173">
        <v>1</v>
      </c>
      <c r="DX85" s="173" t="s">
        <v>170</v>
      </c>
      <c r="DY85" s="173"/>
      <c r="DZ85" s="173">
        <v>65</v>
      </c>
      <c r="EA85" s="173">
        <v>1.2</v>
      </c>
      <c r="EB85" s="173">
        <v>88</v>
      </c>
      <c r="EC85" s="173">
        <v>1.5</v>
      </c>
      <c r="ED85" s="173">
        <v>16</v>
      </c>
      <c r="EE85" s="182" t="e">
        <f>qmz/qz/Kes.w</f>
        <v>#VALUE!</v>
      </c>
      <c r="EF85" s="173"/>
      <c r="EG85" s="173"/>
      <c r="EH85" s="173"/>
      <c r="EI85" s="173"/>
      <c r="EK85" s="2" t="s">
        <v>494</v>
      </c>
      <c r="EL85" s="2">
        <v>330</v>
      </c>
      <c r="EN85" s="177">
        <v>81</v>
      </c>
    </row>
    <row r="86" spans="1:144" ht="18" customHeight="1" thickTop="1" x14ac:dyDescent="0.2">
      <c r="A86" s="165">
        <v>82</v>
      </c>
      <c r="B86" s="174" t="s">
        <v>511</v>
      </c>
      <c r="C86" s="174" t="s">
        <v>496</v>
      </c>
      <c r="D86" s="174" t="str">
        <f ca="1">IFERROR(1*Eh*SIN(RADIANS(270)),"")</f>
        <v/>
      </c>
      <c r="E86" s="174" t="str">
        <f t="shared" ca="1" si="85"/>
        <v/>
      </c>
      <c r="F86" s="174" t="str">
        <f ca="1">IFERROR(-1*Eh*COS(RADIANS(270)),"")</f>
        <v/>
      </c>
      <c r="G86" s="174"/>
      <c r="H86" s="186"/>
      <c r="I86" s="186"/>
      <c r="J86" s="186"/>
      <c r="K86" s="174"/>
      <c r="M86" s="176">
        <f t="shared" si="83"/>
        <v>82</v>
      </c>
      <c r="N86" s="174" t="str">
        <f t="shared" si="51"/>
        <v>1.2D + 1.5Lm_4 + 1.0Wm  | 0 deg</v>
      </c>
      <c r="O86" s="174" t="b">
        <v>1</v>
      </c>
      <c r="P86" s="174" t="str">
        <f t="shared" si="52"/>
        <v>Y</v>
      </c>
      <c r="Q86" s="174" t="str">
        <f t="shared" si="53"/>
        <v/>
      </c>
      <c r="R86" s="174">
        <f t="shared" si="64"/>
        <v>65</v>
      </c>
      <c r="S86" s="174">
        <f t="shared" si="65"/>
        <v>1.2</v>
      </c>
      <c r="T86" s="174">
        <f t="shared" si="66"/>
        <v>89</v>
      </c>
      <c r="U86" s="174">
        <f t="shared" si="67"/>
        <v>1.5</v>
      </c>
      <c r="V86" s="174">
        <f t="shared" si="68"/>
        <v>1</v>
      </c>
      <c r="W86" s="174" t="e">
        <f t="shared" si="69"/>
        <v>#VALUE!</v>
      </c>
      <c r="X86" s="174">
        <f t="shared" si="70"/>
        <v>17</v>
      </c>
      <c r="Y86" s="174" t="e">
        <f t="shared" si="71"/>
        <v>#VALUE!</v>
      </c>
      <c r="Z86" s="174" t="str">
        <f t="shared" ref="Z86:Z117" si="86">IF(IF($M$3=$AC$3,AP86,
 IF($M$3=$AS$3,BF86,
 IF($M$3=$BI$3,BV86,
 IF($M$3=$BY$3,CL86,
 IF($M$3=$CO$3,DB86,
 IF($M$3=$DE$3,DR86))))))="","",
IF($M$3=$AC$3,AP86,
 IF($M$3=$AS$3,BF86,
 IF($M$3=$BI$3,BV86,
 IF($M$3=$BY$3,CL86,
 IF($M$3=$CO$3,DB86,
 IF($M$3=$DE$3,DR86)))))))</f>
        <v/>
      </c>
      <c r="AA86" s="174" t="str">
        <f t="shared" ref="AA86:AA117" si="87">IF(IF($M$3=$AC$3,AQ86,
 IF($M$3=$AS$3,BG86,
 IF($M$3=$BI$3,BW86,
 IF($M$3=$BY$3,CM86,
 IF($M$3=$CO$3,DC86,
 IF($M$3=$DE$3,DS86))))))="","",
IF($M$3=$AC$3,AQ86,
 IF($M$3=$AS$3,BG86,
 IF($M$3=$BI$3,BW86,
 IF($M$3=$BY$3,CM86,
 IF($M$3=$CO$3,DC86,
 IF($M$3=$DE$3,DS86)))))))</f>
        <v/>
      </c>
      <c r="AC86" s="178">
        <v>82</v>
      </c>
      <c r="AD86" s="175" t="s">
        <v>1412</v>
      </c>
      <c r="AE86" s="175" t="b">
        <v>1</v>
      </c>
      <c r="AF86" s="175" t="s">
        <v>170</v>
      </c>
      <c r="AG86" s="175"/>
      <c r="AH86" s="175">
        <v>65</v>
      </c>
      <c r="AI86" s="175">
        <v>1.2</v>
      </c>
      <c r="AJ86" s="175">
        <f>IFERROR(INDEX($A:$A, MATCH("*Lm_4", $B:$B, 0)),86)</f>
        <v>89</v>
      </c>
      <c r="AK86" s="183">
        <v>1.5</v>
      </c>
      <c r="AL86" s="175">
        <v>1</v>
      </c>
      <c r="AM86" s="179" t="e">
        <f>qmz/qz/Kes.w</f>
        <v>#VALUE!</v>
      </c>
      <c r="AN86" s="175">
        <v>17</v>
      </c>
      <c r="AO86" s="179" t="e">
        <f>qmz/qz/Kes.w</f>
        <v>#VALUE!</v>
      </c>
      <c r="AP86" s="175"/>
      <c r="AQ86" s="175"/>
      <c r="AS86" s="178">
        <v>82</v>
      </c>
      <c r="AT86" s="174" t="s">
        <v>1413</v>
      </c>
      <c r="AU86" s="175" t="b">
        <v>1</v>
      </c>
      <c r="AV86" s="174" t="s">
        <v>170</v>
      </c>
      <c r="AW86" s="174"/>
      <c r="AX86" s="174">
        <v>65</v>
      </c>
      <c r="AY86" s="174">
        <v>0.9</v>
      </c>
      <c r="AZ86" s="174">
        <v>67</v>
      </c>
      <c r="BA86" s="174">
        <v>-1</v>
      </c>
      <c r="BB86" s="174">
        <v>70</v>
      </c>
      <c r="BC86" s="174">
        <v>-1</v>
      </c>
      <c r="BD86" s="174">
        <v>68</v>
      </c>
      <c r="BE86" s="181">
        <v>1</v>
      </c>
      <c r="BF86" s="174">
        <v>69</v>
      </c>
      <c r="BG86" s="181">
        <v>0</v>
      </c>
      <c r="BI86" s="178">
        <v>82</v>
      </c>
      <c r="BJ86" s="175" t="s">
        <v>1412</v>
      </c>
      <c r="BK86" s="175" t="b">
        <v>1</v>
      </c>
      <c r="BL86" s="175" t="s">
        <v>170</v>
      </c>
      <c r="BM86" s="175"/>
      <c r="BN86" s="175">
        <v>65</v>
      </c>
      <c r="BO86" s="175">
        <v>1.2</v>
      </c>
      <c r="BP86" s="175">
        <f t="shared" ref="BP86:BP101" si="88">IFERROR(INDEX($A:$A, MATCH("*Lm_4", $B:$B, 0)),0)</f>
        <v>89</v>
      </c>
      <c r="BQ86" s="183">
        <v>1.5</v>
      </c>
      <c r="BR86" s="175">
        <v>1</v>
      </c>
      <c r="BS86" s="179" t="e">
        <f>qmz/qz/Kes.w</f>
        <v>#VALUE!</v>
      </c>
      <c r="BT86" s="175">
        <v>17</v>
      </c>
      <c r="BU86" s="179" t="e">
        <f>qmz/qz/Kes.w</f>
        <v>#VALUE!</v>
      </c>
      <c r="BV86" s="175"/>
      <c r="BW86" s="175"/>
      <c r="BY86" s="178">
        <v>82</v>
      </c>
      <c r="BZ86" s="248" t="s">
        <v>1414</v>
      </c>
      <c r="CA86" s="248" t="b">
        <v>1</v>
      </c>
      <c r="CB86" s="248" t="s">
        <v>170</v>
      </c>
      <c r="CC86" s="248"/>
      <c r="CD86" s="248">
        <v>65</v>
      </c>
      <c r="CE86" s="248">
        <v>1</v>
      </c>
      <c r="CF86" s="175">
        <f t="shared" ref="CF86:CF101" si="89">IFERROR(INDEX($A:$A, MATCH("*Lm_4", $B:$B, 0)),0)</f>
        <v>89</v>
      </c>
      <c r="CG86" s="254">
        <v>1.25</v>
      </c>
      <c r="CH86" s="248">
        <v>1</v>
      </c>
      <c r="CI86" s="250" t="e">
        <f t="shared" si="74"/>
        <v>#VALUE!</v>
      </c>
      <c r="CJ86" s="248">
        <v>17</v>
      </c>
      <c r="CK86" s="250" t="e">
        <f t="shared" si="75"/>
        <v>#VALUE!</v>
      </c>
      <c r="CL86" s="248"/>
      <c r="CM86" s="248"/>
      <c r="CO86" s="178">
        <v>82</v>
      </c>
      <c r="CP86" s="248" t="s">
        <v>1414</v>
      </c>
      <c r="CQ86" s="248" t="b">
        <v>1</v>
      </c>
      <c r="CR86" s="248" t="s">
        <v>170</v>
      </c>
      <c r="CS86" s="248"/>
      <c r="CT86" s="248">
        <v>65</v>
      </c>
      <c r="CU86" s="248">
        <v>1</v>
      </c>
      <c r="CV86" s="175">
        <f t="shared" ref="CV86:CV101" si="90">IFERROR(INDEX($A:$A, MATCH("*Lm_4", $B:$B, 0)),0)</f>
        <v>89</v>
      </c>
      <c r="CW86" s="254">
        <v>1.25</v>
      </c>
      <c r="CX86" s="248">
        <v>1</v>
      </c>
      <c r="CY86" s="250" t="e">
        <f t="shared" si="77"/>
        <v>#VALUE!</v>
      </c>
      <c r="CZ86" s="248">
        <v>17</v>
      </c>
      <c r="DA86" s="250" t="e">
        <f t="shared" si="78"/>
        <v>#VALUE!</v>
      </c>
      <c r="DB86" s="248"/>
      <c r="DC86" s="248"/>
      <c r="DE86" s="178">
        <v>82</v>
      </c>
      <c r="DF86" s="248" t="s">
        <v>1414</v>
      </c>
      <c r="DG86" s="248" t="b">
        <v>1</v>
      </c>
      <c r="DH86" s="248" t="s">
        <v>170</v>
      </c>
      <c r="DI86" s="248"/>
      <c r="DJ86" s="248">
        <v>65</v>
      </c>
      <c r="DK86" s="248">
        <v>1</v>
      </c>
      <c r="DL86" s="175">
        <f t="shared" ref="DL86:DL101" si="91">IFERROR(INDEX($A:$A, MATCH("*Lm_4", $B:$B, 0)),0)</f>
        <v>89</v>
      </c>
      <c r="DM86" s="254">
        <v>1.25</v>
      </c>
      <c r="DN86" s="248">
        <v>1</v>
      </c>
      <c r="DO86" s="250" t="e">
        <f t="shared" si="80"/>
        <v>#VALUE!</v>
      </c>
      <c r="DP86" s="248">
        <v>17</v>
      </c>
      <c r="DQ86" s="250" t="e">
        <f t="shared" si="81"/>
        <v>#VALUE!</v>
      </c>
      <c r="DR86" s="248"/>
      <c r="DS86" s="248"/>
      <c r="DU86" s="178">
        <v>82</v>
      </c>
      <c r="DV86" s="175" t="str">
        <f t="shared" si="82"/>
        <v>1.2D + L + Di + Wi + 0.5S (0 deg</v>
      </c>
      <c r="DW86" s="175">
        <v>1</v>
      </c>
      <c r="DX86" s="175" t="s">
        <v>170</v>
      </c>
      <c r="DY86" s="175"/>
      <c r="DZ86" s="175">
        <v>65</v>
      </c>
      <c r="EA86" s="175">
        <v>1.2</v>
      </c>
      <c r="EB86" s="175">
        <v>89</v>
      </c>
      <c r="EC86" s="183">
        <v>1.5</v>
      </c>
      <c r="ED86" s="175">
        <v>1</v>
      </c>
      <c r="EE86" s="179" t="e">
        <f>qmz/qz/Kes.w</f>
        <v>#VALUE!</v>
      </c>
      <c r="EF86" s="175"/>
      <c r="EG86" s="175"/>
      <c r="EH86" s="175"/>
      <c r="EI86" s="175"/>
      <c r="EK86" s="2" t="s">
        <v>512</v>
      </c>
      <c r="EL86" s="2">
        <v>0</v>
      </c>
      <c r="EN86" s="178">
        <v>82</v>
      </c>
    </row>
    <row r="87" spans="1:144" ht="18" customHeight="1" x14ac:dyDescent="0.2">
      <c r="A87" s="165">
        <v>83</v>
      </c>
      <c r="B87" s="170" t="s">
        <v>513</v>
      </c>
      <c r="C87" s="171" t="s">
        <v>496</v>
      </c>
      <c r="D87" s="171" t="str">
        <f ca="1">IFERROR(1*Eh*SIN(RADIANS(300)),"")</f>
        <v/>
      </c>
      <c r="E87" s="171" t="str">
        <f t="shared" ca="1" si="85"/>
        <v/>
      </c>
      <c r="F87" s="171" t="str">
        <f ca="1">IFERROR(-1*Eh*COS(RADIANS(300)),"")</f>
        <v/>
      </c>
      <c r="G87" s="171"/>
      <c r="H87" s="185"/>
      <c r="I87" s="185"/>
      <c r="J87" s="185"/>
      <c r="K87" s="171"/>
      <c r="M87" s="176">
        <f t="shared" si="83"/>
        <v>83</v>
      </c>
      <c r="N87" s="170" t="str">
        <f t="shared" ref="N87:N118" si="92">IF(IF($M$3=$AC$3,AD87,
 IF($M$3=$AS$3,AT87,
 IF($M$3=$BI$3,BJ87,
 IF($M$3=$BY$3,BZ87,
 IF($M$3=$CO$3,CP87,
 IF($M$3=$DE$3,DF87))))))="","",
IF($M$3=$AC$3,AD87,
 IF($M$3=$AS$3,AT87,
 IF($M$3=$BI$3,BJ87,
 IF($M$3=$BY$3,BZ87,
 IF($M$3=$CO$3,CP87,
 IF($M$3=$DE$3,DF87)))))))</f>
        <v>1.2D + 1.5Lm_4 + 1.0Wm  | 30 deg</v>
      </c>
      <c r="O87" s="170" t="b">
        <v>1</v>
      </c>
      <c r="P87" s="170" t="str">
        <f t="shared" ref="P87:P118" si="93">IF(IF($M$3=$AC$3,AF87,
 IF($M$3=$AS$3,AV87,
 IF($M$3=$BI$3,BL87,
 IF($M$3=$BY$3,CB87,
 IF($M$3=$CO$3,CR87,
 IF($M$3=$DE$3,DH87))))))="","",
IF($M$3=$AC$3,AF87,
 IF($M$3=$AS$3,AV87,
 IF($M$3=$BI$3,BL87,
 IF($M$3=$BY$3,CB87,
 IF($M$3=$CO$3,CR87,
 IF($M$3=$DE$3,DH87)))))))</f>
        <v>Y</v>
      </c>
      <c r="Q87" s="170" t="str">
        <f t="shared" ref="Q87:Q118" si="94">IF(IF($M$3=$AC$3,AG87,
 IF($M$3=$AS$3,AW87,
 IF($M$3=$BI$3,BM87,
 IF($M$3=$BY$3,CC87,
 IF($M$3=$CO$3,CS87,
 IF($M$3=$DE$3,DI87))))))="","",
IF($M$3=$AC$3,AG87,
 IF($M$3=$AS$3,AW87,
 IF($M$3=$BI$3,BM87,
 IF($M$3=$BY$3,CC87,
 IF($M$3=$CO$3,CS87,
 IF($M$3=$DE$3,DI87)))))))</f>
        <v/>
      </c>
      <c r="R87" s="170">
        <f t="shared" si="64"/>
        <v>65</v>
      </c>
      <c r="S87" s="170">
        <f t="shared" si="65"/>
        <v>1.2</v>
      </c>
      <c r="T87" s="170">
        <f t="shared" si="66"/>
        <v>89</v>
      </c>
      <c r="U87" s="170">
        <f t="shared" si="67"/>
        <v>1.5</v>
      </c>
      <c r="V87" s="170">
        <f t="shared" si="68"/>
        <v>2</v>
      </c>
      <c r="W87" s="170" t="e">
        <f t="shared" si="69"/>
        <v>#VALUE!</v>
      </c>
      <c r="X87" s="170">
        <f t="shared" si="70"/>
        <v>18</v>
      </c>
      <c r="Y87" s="170" t="e">
        <f t="shared" si="71"/>
        <v>#VALUE!</v>
      </c>
      <c r="Z87" s="170" t="str">
        <f t="shared" si="86"/>
        <v/>
      </c>
      <c r="AA87" s="170" t="str">
        <f t="shared" si="87"/>
        <v/>
      </c>
      <c r="AC87" s="176">
        <v>83</v>
      </c>
      <c r="AD87" s="170" t="s">
        <v>1670</v>
      </c>
      <c r="AE87" s="170" t="b">
        <v>1</v>
      </c>
      <c r="AF87" s="170" t="s">
        <v>170</v>
      </c>
      <c r="AG87" s="170"/>
      <c r="AH87" s="170">
        <v>65</v>
      </c>
      <c r="AI87" s="170">
        <v>1.2</v>
      </c>
      <c r="AJ87" s="170">
        <f t="shared" ref="AJ87:AJ101" si="95">IFERROR(INDEX($A:$A, MATCH("*Lm_4", $B:$B, 0)),86)</f>
        <v>89</v>
      </c>
      <c r="AK87" s="170">
        <v>1.5</v>
      </c>
      <c r="AL87" s="170">
        <v>2</v>
      </c>
      <c r="AM87" s="180" t="e">
        <f>qmz/qz/Kes.w</f>
        <v>#VALUE!</v>
      </c>
      <c r="AN87" s="170">
        <v>18</v>
      </c>
      <c r="AO87" s="180" t="e">
        <f>qmz/qz/Kes.w</f>
        <v>#VALUE!</v>
      </c>
      <c r="AP87" s="170"/>
      <c r="AQ87" s="170"/>
      <c r="AS87" s="176">
        <v>83</v>
      </c>
      <c r="AT87" s="170" t="s">
        <v>1671</v>
      </c>
      <c r="AU87" s="170" t="b">
        <v>1</v>
      </c>
      <c r="AV87" s="170" t="s">
        <v>170</v>
      </c>
      <c r="AW87" s="170"/>
      <c r="AX87" s="170">
        <v>65</v>
      </c>
      <c r="AY87" s="170">
        <v>0.9</v>
      </c>
      <c r="AZ87" s="170">
        <v>67</v>
      </c>
      <c r="BA87" s="170">
        <v>-1</v>
      </c>
      <c r="BB87" s="170">
        <v>71</v>
      </c>
      <c r="BC87" s="170">
        <v>-1</v>
      </c>
      <c r="BD87" s="170">
        <v>68</v>
      </c>
      <c r="BE87" s="180">
        <v>0.86602540378443871</v>
      </c>
      <c r="BF87" s="170">
        <v>69</v>
      </c>
      <c r="BG87" s="180">
        <v>0.49999999999999994</v>
      </c>
      <c r="BI87" s="176">
        <v>83</v>
      </c>
      <c r="BJ87" s="170" t="s">
        <v>1670</v>
      </c>
      <c r="BK87" s="170" t="b">
        <v>1</v>
      </c>
      <c r="BL87" s="170" t="s">
        <v>170</v>
      </c>
      <c r="BM87" s="170"/>
      <c r="BN87" s="170">
        <v>65</v>
      </c>
      <c r="BO87" s="170">
        <v>1.2</v>
      </c>
      <c r="BP87" s="170">
        <f t="shared" si="88"/>
        <v>89</v>
      </c>
      <c r="BQ87" s="170">
        <v>1.5</v>
      </c>
      <c r="BR87" s="170">
        <v>2</v>
      </c>
      <c r="BS87" s="180" t="e">
        <f>qmz/qz/Kes.w</f>
        <v>#VALUE!</v>
      </c>
      <c r="BT87" s="170">
        <v>18</v>
      </c>
      <c r="BU87" s="180" t="e">
        <f>qmz/qz/Kes.w</f>
        <v>#VALUE!</v>
      </c>
      <c r="BV87" s="170"/>
      <c r="BW87" s="170"/>
      <c r="BY87" s="176">
        <v>83</v>
      </c>
      <c r="BZ87" s="246" t="s">
        <v>1672</v>
      </c>
      <c r="CA87" s="246" t="b">
        <v>1</v>
      </c>
      <c r="CB87" s="246" t="s">
        <v>170</v>
      </c>
      <c r="CC87" s="246"/>
      <c r="CD87" s="246">
        <v>65</v>
      </c>
      <c r="CE87" s="246">
        <v>1</v>
      </c>
      <c r="CF87" s="170">
        <f t="shared" si="89"/>
        <v>89</v>
      </c>
      <c r="CG87" s="246">
        <v>1.25</v>
      </c>
      <c r="CH87" s="246">
        <v>2</v>
      </c>
      <c r="CI87" s="251" t="e">
        <f t="shared" si="74"/>
        <v>#VALUE!</v>
      </c>
      <c r="CJ87" s="246">
        <v>18</v>
      </c>
      <c r="CK87" s="251" t="e">
        <f t="shared" si="75"/>
        <v>#VALUE!</v>
      </c>
      <c r="CL87" s="246"/>
      <c r="CM87" s="246"/>
      <c r="CO87" s="176">
        <v>83</v>
      </c>
      <c r="CP87" s="246" t="s">
        <v>1672</v>
      </c>
      <c r="CQ87" s="246" t="b">
        <v>1</v>
      </c>
      <c r="CR87" s="246" t="s">
        <v>170</v>
      </c>
      <c r="CS87" s="246"/>
      <c r="CT87" s="246">
        <v>65</v>
      </c>
      <c r="CU87" s="246">
        <v>1</v>
      </c>
      <c r="CV87" s="170">
        <f t="shared" si="90"/>
        <v>89</v>
      </c>
      <c r="CW87" s="246">
        <v>1.25</v>
      </c>
      <c r="CX87" s="246">
        <v>2</v>
      </c>
      <c r="CY87" s="251" t="e">
        <f t="shared" si="77"/>
        <v>#VALUE!</v>
      </c>
      <c r="CZ87" s="246">
        <v>18</v>
      </c>
      <c r="DA87" s="251" t="e">
        <f t="shared" si="78"/>
        <v>#VALUE!</v>
      </c>
      <c r="DB87" s="246"/>
      <c r="DC87" s="246"/>
      <c r="DE87" s="176">
        <v>83</v>
      </c>
      <c r="DF87" s="246" t="s">
        <v>1672</v>
      </c>
      <c r="DG87" s="246" t="b">
        <v>1</v>
      </c>
      <c r="DH87" s="246" t="s">
        <v>170</v>
      </c>
      <c r="DI87" s="246"/>
      <c r="DJ87" s="246">
        <v>65</v>
      </c>
      <c r="DK87" s="246">
        <v>1</v>
      </c>
      <c r="DL87" s="170">
        <f t="shared" si="91"/>
        <v>89</v>
      </c>
      <c r="DM87" s="246">
        <v>1.25</v>
      </c>
      <c r="DN87" s="246">
        <v>2</v>
      </c>
      <c r="DO87" s="251" t="e">
        <f t="shared" si="80"/>
        <v>#VALUE!</v>
      </c>
      <c r="DP87" s="246">
        <v>18</v>
      </c>
      <c r="DQ87" s="251" t="e">
        <f t="shared" si="81"/>
        <v>#VALUE!</v>
      </c>
      <c r="DR87" s="246"/>
      <c r="DS87" s="246"/>
      <c r="DU87" s="176">
        <v>83</v>
      </c>
      <c r="DV87" s="170" t="str">
        <f t="shared" si="82"/>
        <v>1.2D + L + Di + Wi + 0.5S (30 deg</v>
      </c>
      <c r="DW87" s="170">
        <v>1</v>
      </c>
      <c r="DX87" s="170" t="s">
        <v>170</v>
      </c>
      <c r="DY87" s="170"/>
      <c r="DZ87" s="170">
        <v>65</v>
      </c>
      <c r="EA87" s="170">
        <v>1.2</v>
      </c>
      <c r="EB87" s="170">
        <v>89</v>
      </c>
      <c r="EC87" s="170">
        <v>1.5</v>
      </c>
      <c r="ED87" s="170">
        <v>2</v>
      </c>
      <c r="EE87" s="180" t="e">
        <f>qmz/qz/Kes.w</f>
        <v>#VALUE!</v>
      </c>
      <c r="EF87" s="170"/>
      <c r="EG87" s="170"/>
      <c r="EH87" s="170"/>
      <c r="EI87" s="170"/>
      <c r="EK87" s="2" t="s">
        <v>512</v>
      </c>
      <c r="EL87" s="2">
        <v>30</v>
      </c>
      <c r="EN87" s="176">
        <v>83</v>
      </c>
    </row>
    <row r="88" spans="1:144" ht="18" customHeight="1" x14ac:dyDescent="0.2">
      <c r="A88" s="165">
        <v>84</v>
      </c>
      <c r="B88" s="174" t="s">
        <v>514</v>
      </c>
      <c r="C88" s="174" t="s">
        <v>496</v>
      </c>
      <c r="D88" s="174" t="str">
        <f ca="1">IFERROR(1*Eh*SIN(RADIANS(315)),"")</f>
        <v/>
      </c>
      <c r="E88" s="174" t="str">
        <f t="shared" ca="1" si="85"/>
        <v/>
      </c>
      <c r="F88" s="174" t="str">
        <f ca="1">IFERROR(-1*Eh*COS(RADIANS(315)),"")</f>
        <v/>
      </c>
      <c r="G88" s="174"/>
      <c r="H88" s="186"/>
      <c r="I88" s="186"/>
      <c r="J88" s="186"/>
      <c r="K88" s="174"/>
      <c r="M88" s="176">
        <f t="shared" si="83"/>
        <v>84</v>
      </c>
      <c r="N88" s="174" t="str">
        <f t="shared" si="92"/>
        <v>1.2D + 1.5Lm_4 + 1.0Wm  | 45 deg</v>
      </c>
      <c r="O88" s="174" t="b">
        <v>1</v>
      </c>
      <c r="P88" s="174" t="str">
        <f t="shared" si="93"/>
        <v>Y</v>
      </c>
      <c r="Q88" s="174" t="str">
        <f t="shared" si="94"/>
        <v/>
      </c>
      <c r="R88" s="174">
        <f t="shared" si="64"/>
        <v>65</v>
      </c>
      <c r="S88" s="174">
        <f t="shared" si="65"/>
        <v>1.2</v>
      </c>
      <c r="T88" s="174">
        <f t="shared" si="66"/>
        <v>89</v>
      </c>
      <c r="U88" s="174">
        <f t="shared" si="67"/>
        <v>1.5</v>
      </c>
      <c r="V88" s="174">
        <f t="shared" si="68"/>
        <v>3</v>
      </c>
      <c r="W88" s="174" t="e">
        <f t="shared" si="69"/>
        <v>#VALUE!</v>
      </c>
      <c r="X88" s="174">
        <f t="shared" si="70"/>
        <v>19</v>
      </c>
      <c r="Y88" s="174" t="e">
        <f t="shared" si="71"/>
        <v>#VALUE!</v>
      </c>
      <c r="Z88" s="174" t="str">
        <f t="shared" si="86"/>
        <v/>
      </c>
      <c r="AA88" s="174" t="str">
        <f t="shared" si="87"/>
        <v/>
      </c>
      <c r="AC88" s="176">
        <v>84</v>
      </c>
      <c r="AD88" s="174" t="s">
        <v>1724</v>
      </c>
      <c r="AE88" s="174" t="b">
        <v>1</v>
      </c>
      <c r="AF88" s="174" t="s">
        <v>170</v>
      </c>
      <c r="AG88" s="174"/>
      <c r="AH88" s="174">
        <v>65</v>
      </c>
      <c r="AI88" s="174">
        <v>1.2</v>
      </c>
      <c r="AJ88" s="174">
        <f t="shared" si="95"/>
        <v>89</v>
      </c>
      <c r="AK88" s="175">
        <v>1.5</v>
      </c>
      <c r="AL88" s="174">
        <v>3</v>
      </c>
      <c r="AM88" s="181" t="e">
        <f>qmz/qz/Kes.w</f>
        <v>#VALUE!</v>
      </c>
      <c r="AN88" s="174">
        <v>19</v>
      </c>
      <c r="AO88" s="181" t="e">
        <f>qmz/qz/Kes.w</f>
        <v>#VALUE!</v>
      </c>
      <c r="AP88" s="174"/>
      <c r="AQ88" s="174"/>
      <c r="AS88" s="176">
        <v>84</v>
      </c>
      <c r="AT88" s="174" t="s">
        <v>1725</v>
      </c>
      <c r="AU88" s="174"/>
      <c r="AV88" s="174" t="s">
        <v>170</v>
      </c>
      <c r="AW88" s="174"/>
      <c r="AX88" s="174">
        <v>65</v>
      </c>
      <c r="AY88" s="174">
        <v>0.9</v>
      </c>
      <c r="AZ88" s="174">
        <v>67</v>
      </c>
      <c r="BA88" s="174">
        <v>-1</v>
      </c>
      <c r="BB88" s="174">
        <v>72</v>
      </c>
      <c r="BC88" s="174">
        <v>-1</v>
      </c>
      <c r="BD88" s="174">
        <v>68</v>
      </c>
      <c r="BE88" s="181">
        <v>0.70710678118654757</v>
      </c>
      <c r="BF88" s="174">
        <v>69</v>
      </c>
      <c r="BG88" s="181">
        <v>0.70710678118654746</v>
      </c>
      <c r="BI88" s="176">
        <v>84</v>
      </c>
      <c r="BJ88" s="174" t="s">
        <v>1724</v>
      </c>
      <c r="BK88" s="174" t="b">
        <v>1</v>
      </c>
      <c r="BL88" s="174" t="s">
        <v>170</v>
      </c>
      <c r="BM88" s="174"/>
      <c r="BN88" s="174">
        <v>65</v>
      </c>
      <c r="BO88" s="174">
        <v>1.2</v>
      </c>
      <c r="BP88" s="174">
        <f t="shared" si="88"/>
        <v>89</v>
      </c>
      <c r="BQ88" s="175">
        <v>1.5</v>
      </c>
      <c r="BR88" s="174">
        <v>3</v>
      </c>
      <c r="BS88" s="181" t="e">
        <f>qmz/qz/Kes.w</f>
        <v>#VALUE!</v>
      </c>
      <c r="BT88" s="174">
        <v>19</v>
      </c>
      <c r="BU88" s="181" t="e">
        <f>qmz/qz/Kes.w</f>
        <v>#VALUE!</v>
      </c>
      <c r="BV88" s="174"/>
      <c r="BW88" s="174"/>
      <c r="BY88" s="176">
        <v>84</v>
      </c>
      <c r="BZ88" s="249" t="s">
        <v>1726</v>
      </c>
      <c r="CA88" s="249" t="b">
        <v>1</v>
      </c>
      <c r="CB88" s="249" t="s">
        <v>170</v>
      </c>
      <c r="CC88" s="249"/>
      <c r="CD88" s="249">
        <v>65</v>
      </c>
      <c r="CE88" s="249">
        <v>1</v>
      </c>
      <c r="CF88" s="174">
        <f t="shared" si="89"/>
        <v>89</v>
      </c>
      <c r="CG88" s="248">
        <v>1.25</v>
      </c>
      <c r="CH88" s="249">
        <v>3</v>
      </c>
      <c r="CI88" s="252" t="e">
        <f t="shared" si="74"/>
        <v>#VALUE!</v>
      </c>
      <c r="CJ88" s="249">
        <v>19</v>
      </c>
      <c r="CK88" s="252" t="e">
        <f t="shared" si="75"/>
        <v>#VALUE!</v>
      </c>
      <c r="CL88" s="249"/>
      <c r="CM88" s="249"/>
      <c r="CO88" s="176">
        <v>84</v>
      </c>
      <c r="CP88" s="249" t="s">
        <v>1726</v>
      </c>
      <c r="CQ88" s="249" t="b">
        <v>1</v>
      </c>
      <c r="CR88" s="249" t="s">
        <v>170</v>
      </c>
      <c r="CS88" s="249"/>
      <c r="CT88" s="249">
        <v>65</v>
      </c>
      <c r="CU88" s="249">
        <v>1</v>
      </c>
      <c r="CV88" s="174">
        <f t="shared" si="90"/>
        <v>89</v>
      </c>
      <c r="CW88" s="248">
        <v>1.25</v>
      </c>
      <c r="CX88" s="249">
        <v>3</v>
      </c>
      <c r="CY88" s="252" t="e">
        <f t="shared" si="77"/>
        <v>#VALUE!</v>
      </c>
      <c r="CZ88" s="249">
        <v>19</v>
      </c>
      <c r="DA88" s="252" t="e">
        <f t="shared" si="78"/>
        <v>#VALUE!</v>
      </c>
      <c r="DB88" s="249"/>
      <c r="DC88" s="249"/>
      <c r="DE88" s="176">
        <v>84</v>
      </c>
      <c r="DF88" s="249" t="s">
        <v>1726</v>
      </c>
      <c r="DG88" s="249" t="b">
        <v>1</v>
      </c>
      <c r="DH88" s="249" t="s">
        <v>170</v>
      </c>
      <c r="DI88" s="249"/>
      <c r="DJ88" s="249">
        <v>65</v>
      </c>
      <c r="DK88" s="249">
        <v>1</v>
      </c>
      <c r="DL88" s="174">
        <f t="shared" si="91"/>
        <v>89</v>
      </c>
      <c r="DM88" s="248">
        <v>1.25</v>
      </c>
      <c r="DN88" s="249">
        <v>3</v>
      </c>
      <c r="DO88" s="252" t="e">
        <f t="shared" si="80"/>
        <v>#VALUE!</v>
      </c>
      <c r="DP88" s="249">
        <v>19</v>
      </c>
      <c r="DQ88" s="252" t="e">
        <f t="shared" si="81"/>
        <v>#VALUE!</v>
      </c>
      <c r="DR88" s="249"/>
      <c r="DS88" s="249"/>
      <c r="DU88" s="176">
        <v>84</v>
      </c>
      <c r="DV88" s="174" t="str">
        <f t="shared" si="82"/>
        <v>1.2D + L + Di + Wi + 0.5S (45 deg</v>
      </c>
      <c r="DW88" s="174">
        <v>1</v>
      </c>
      <c r="DX88" s="174" t="s">
        <v>170</v>
      </c>
      <c r="DY88" s="174"/>
      <c r="DZ88" s="174">
        <v>65</v>
      </c>
      <c r="EA88" s="174">
        <v>1.2</v>
      </c>
      <c r="EB88" s="174">
        <v>89</v>
      </c>
      <c r="EC88" s="175">
        <v>1.5</v>
      </c>
      <c r="ED88" s="174">
        <v>3</v>
      </c>
      <c r="EE88" s="181" t="e">
        <f>qmz/qz/Kes.w</f>
        <v>#VALUE!</v>
      </c>
      <c r="EF88" s="174"/>
      <c r="EG88" s="174"/>
      <c r="EH88" s="174"/>
      <c r="EI88" s="174"/>
      <c r="EK88" s="2" t="s">
        <v>512</v>
      </c>
      <c r="EL88" s="2">
        <v>45</v>
      </c>
      <c r="EN88" s="176">
        <v>84</v>
      </c>
    </row>
    <row r="89" spans="1:144" ht="18" customHeight="1" x14ac:dyDescent="0.2">
      <c r="A89" s="165">
        <v>85</v>
      </c>
      <c r="B89" s="170" t="s">
        <v>515</v>
      </c>
      <c r="C89" s="171" t="s">
        <v>496</v>
      </c>
      <c r="D89" s="171" t="str">
        <f ca="1">IFERROR(1*Eh*SIN(RADIANS(330)),"")</f>
        <v/>
      </c>
      <c r="E89" s="171" t="str">
        <f t="shared" ca="1" si="85"/>
        <v/>
      </c>
      <c r="F89" s="171" t="str">
        <f ca="1">IFERROR(-1*Eh*COS(RADIANS(330)),"")</f>
        <v/>
      </c>
      <c r="G89" s="171"/>
      <c r="H89" s="185"/>
      <c r="I89" s="185"/>
      <c r="J89" s="185"/>
      <c r="K89" s="171"/>
      <c r="M89" s="176">
        <f t="shared" si="83"/>
        <v>85</v>
      </c>
      <c r="N89" s="170" t="str">
        <f t="shared" si="92"/>
        <v>1.2D + 1.5Lm_4 + 1.0Wm  | 60 deg</v>
      </c>
      <c r="O89" s="170" t="b">
        <v>1</v>
      </c>
      <c r="P89" s="170" t="str">
        <f t="shared" si="93"/>
        <v>Y</v>
      </c>
      <c r="Q89" s="170" t="str">
        <f t="shared" si="94"/>
        <v/>
      </c>
      <c r="R89" s="170">
        <f t="shared" si="64"/>
        <v>65</v>
      </c>
      <c r="S89" s="170">
        <f t="shared" si="65"/>
        <v>1.2</v>
      </c>
      <c r="T89" s="170">
        <f t="shared" si="66"/>
        <v>89</v>
      </c>
      <c r="U89" s="170">
        <f t="shared" si="67"/>
        <v>1.5</v>
      </c>
      <c r="V89" s="170">
        <f t="shared" si="68"/>
        <v>4</v>
      </c>
      <c r="W89" s="170" t="e">
        <f t="shared" si="69"/>
        <v>#VALUE!</v>
      </c>
      <c r="X89" s="170">
        <f t="shared" si="70"/>
        <v>20</v>
      </c>
      <c r="Y89" s="170" t="e">
        <f t="shared" si="71"/>
        <v>#VALUE!</v>
      </c>
      <c r="Z89" s="170" t="str">
        <f t="shared" si="86"/>
        <v/>
      </c>
      <c r="AA89" s="170" t="str">
        <f t="shared" si="87"/>
        <v/>
      </c>
      <c r="AC89" s="176">
        <v>85</v>
      </c>
      <c r="AD89" s="170" t="s">
        <v>1748</v>
      </c>
      <c r="AE89" s="170" t="b">
        <v>1</v>
      </c>
      <c r="AF89" s="170" t="s">
        <v>170</v>
      </c>
      <c r="AG89" s="170"/>
      <c r="AH89" s="170">
        <v>65</v>
      </c>
      <c r="AI89" s="170">
        <v>1.2</v>
      </c>
      <c r="AJ89" s="170">
        <f t="shared" si="95"/>
        <v>89</v>
      </c>
      <c r="AK89" s="170">
        <v>1.5</v>
      </c>
      <c r="AL89" s="170">
        <v>4</v>
      </c>
      <c r="AM89" s="180" t="e">
        <f>qmz/qz/Kes.w</f>
        <v>#VALUE!</v>
      </c>
      <c r="AN89" s="170">
        <v>20</v>
      </c>
      <c r="AO89" s="180" t="e">
        <f>qmz/qz/Kes.w</f>
        <v>#VALUE!</v>
      </c>
      <c r="AP89" s="170"/>
      <c r="AQ89" s="170"/>
      <c r="AS89" s="176">
        <v>85</v>
      </c>
      <c r="AT89" s="170" t="s">
        <v>1749</v>
      </c>
      <c r="AU89" s="170" t="b">
        <v>1</v>
      </c>
      <c r="AV89" s="170" t="s">
        <v>170</v>
      </c>
      <c r="AW89" s="170"/>
      <c r="AX89" s="170">
        <v>65</v>
      </c>
      <c r="AY89" s="170">
        <v>0.9</v>
      </c>
      <c r="AZ89" s="170">
        <v>67</v>
      </c>
      <c r="BA89" s="170">
        <v>-1</v>
      </c>
      <c r="BB89" s="170">
        <v>73</v>
      </c>
      <c r="BC89" s="170">
        <v>-1</v>
      </c>
      <c r="BD89" s="170">
        <v>68</v>
      </c>
      <c r="BE89" s="180">
        <v>0.50000000000000011</v>
      </c>
      <c r="BF89" s="170">
        <v>69</v>
      </c>
      <c r="BG89" s="180">
        <v>0.8660254037844386</v>
      </c>
      <c r="BI89" s="176">
        <v>85</v>
      </c>
      <c r="BJ89" s="170" t="s">
        <v>1748</v>
      </c>
      <c r="BK89" s="170" t="b">
        <v>1</v>
      </c>
      <c r="BL89" s="170" t="s">
        <v>170</v>
      </c>
      <c r="BM89" s="170"/>
      <c r="BN89" s="170">
        <v>65</v>
      </c>
      <c r="BO89" s="170">
        <v>1.2</v>
      </c>
      <c r="BP89" s="170">
        <f t="shared" si="88"/>
        <v>89</v>
      </c>
      <c r="BQ89" s="170">
        <v>1.5</v>
      </c>
      <c r="BR89" s="170">
        <v>4</v>
      </c>
      <c r="BS89" s="180" t="e">
        <f>qmz/qz/Kes.w</f>
        <v>#VALUE!</v>
      </c>
      <c r="BT89" s="170">
        <v>20</v>
      </c>
      <c r="BU89" s="180" t="e">
        <f>qmz/qz/Kes.w</f>
        <v>#VALUE!</v>
      </c>
      <c r="BV89" s="170"/>
      <c r="BW89" s="170"/>
      <c r="BY89" s="176">
        <v>85</v>
      </c>
      <c r="BZ89" s="246" t="s">
        <v>1750</v>
      </c>
      <c r="CA89" s="246" t="b">
        <v>1</v>
      </c>
      <c r="CB89" s="246" t="s">
        <v>170</v>
      </c>
      <c r="CC89" s="246"/>
      <c r="CD89" s="246">
        <v>65</v>
      </c>
      <c r="CE89" s="246">
        <v>1</v>
      </c>
      <c r="CF89" s="170">
        <f t="shared" si="89"/>
        <v>89</v>
      </c>
      <c r="CG89" s="246">
        <v>1.25</v>
      </c>
      <c r="CH89" s="246">
        <v>4</v>
      </c>
      <c r="CI89" s="251" t="e">
        <f t="shared" si="74"/>
        <v>#VALUE!</v>
      </c>
      <c r="CJ89" s="246">
        <v>20</v>
      </c>
      <c r="CK89" s="251" t="e">
        <f t="shared" si="75"/>
        <v>#VALUE!</v>
      </c>
      <c r="CL89" s="246"/>
      <c r="CM89" s="246"/>
      <c r="CO89" s="176">
        <v>85</v>
      </c>
      <c r="CP89" s="246" t="s">
        <v>1750</v>
      </c>
      <c r="CQ89" s="246" t="b">
        <v>1</v>
      </c>
      <c r="CR89" s="246" t="s">
        <v>170</v>
      </c>
      <c r="CS89" s="246"/>
      <c r="CT89" s="246">
        <v>65</v>
      </c>
      <c r="CU89" s="246">
        <v>1</v>
      </c>
      <c r="CV89" s="170">
        <f t="shared" si="90"/>
        <v>89</v>
      </c>
      <c r="CW89" s="246">
        <v>1.25</v>
      </c>
      <c r="CX89" s="246">
        <v>4</v>
      </c>
      <c r="CY89" s="251" t="e">
        <f t="shared" si="77"/>
        <v>#VALUE!</v>
      </c>
      <c r="CZ89" s="246">
        <v>20</v>
      </c>
      <c r="DA89" s="251" t="e">
        <f t="shared" si="78"/>
        <v>#VALUE!</v>
      </c>
      <c r="DB89" s="246"/>
      <c r="DC89" s="246"/>
      <c r="DE89" s="176">
        <v>85</v>
      </c>
      <c r="DF89" s="246" t="s">
        <v>1750</v>
      </c>
      <c r="DG89" s="246" t="b">
        <v>1</v>
      </c>
      <c r="DH89" s="246" t="s">
        <v>170</v>
      </c>
      <c r="DI89" s="246"/>
      <c r="DJ89" s="246">
        <v>65</v>
      </c>
      <c r="DK89" s="246">
        <v>1</v>
      </c>
      <c r="DL89" s="170">
        <f t="shared" si="91"/>
        <v>89</v>
      </c>
      <c r="DM89" s="246">
        <v>1.25</v>
      </c>
      <c r="DN89" s="246">
        <v>4</v>
      </c>
      <c r="DO89" s="251" t="e">
        <f t="shared" si="80"/>
        <v>#VALUE!</v>
      </c>
      <c r="DP89" s="246">
        <v>20</v>
      </c>
      <c r="DQ89" s="251" t="e">
        <f t="shared" si="81"/>
        <v>#VALUE!</v>
      </c>
      <c r="DR89" s="246"/>
      <c r="DS89" s="246"/>
      <c r="DU89" s="176">
        <v>85</v>
      </c>
      <c r="DV89" s="170" t="str">
        <f t="shared" si="82"/>
        <v>1.2D + L + Di + Wi + 0.5S (60 deg</v>
      </c>
      <c r="DW89" s="170">
        <v>1</v>
      </c>
      <c r="DX89" s="170" t="s">
        <v>170</v>
      </c>
      <c r="DY89" s="170"/>
      <c r="DZ89" s="170">
        <v>65</v>
      </c>
      <c r="EA89" s="170">
        <v>1.2</v>
      </c>
      <c r="EB89" s="170">
        <v>89</v>
      </c>
      <c r="EC89" s="170">
        <v>1.5</v>
      </c>
      <c r="ED89" s="170">
        <v>4</v>
      </c>
      <c r="EE89" s="180" t="e">
        <f>qmz/qz/Kes.w</f>
        <v>#VALUE!</v>
      </c>
      <c r="EF89" s="170"/>
      <c r="EG89" s="170"/>
      <c r="EH89" s="170"/>
      <c r="EI89" s="170"/>
      <c r="EK89" s="2" t="s">
        <v>512</v>
      </c>
      <c r="EL89" s="2">
        <v>60</v>
      </c>
      <c r="EN89" s="176">
        <v>85</v>
      </c>
    </row>
    <row r="90" spans="1:144" ht="18" customHeight="1" x14ac:dyDescent="0.2">
      <c r="A90" s="165">
        <v>86</v>
      </c>
      <c r="B90" s="174" t="str">
        <f>'Point Load Tables'!GD2</f>
        <v>Maintenance  Lm_1</v>
      </c>
      <c r="C90" s="174" t="s">
        <v>516</v>
      </c>
      <c r="D90" s="174"/>
      <c r="E90" s="174"/>
      <c r="F90" s="174"/>
      <c r="G90" s="174"/>
      <c r="H90" s="186">
        <f>COUNTA('Point Load Tables'!$GD$4:$GD$1048576)</f>
        <v>0</v>
      </c>
      <c r="I90" s="186"/>
      <c r="J90" s="186"/>
      <c r="K90" s="174"/>
      <c r="M90" s="176">
        <f t="shared" si="83"/>
        <v>86</v>
      </c>
      <c r="N90" s="174" t="str">
        <f t="shared" si="92"/>
        <v>1.2D + 1.5Lm_4 + 1.0Wm  | 90 deg</v>
      </c>
      <c r="O90" s="174" t="b">
        <v>1</v>
      </c>
      <c r="P90" s="174" t="str">
        <f t="shared" si="93"/>
        <v>Y</v>
      </c>
      <c r="Q90" s="174" t="str">
        <f t="shared" si="94"/>
        <v/>
      </c>
      <c r="R90" s="174">
        <f t="shared" si="64"/>
        <v>65</v>
      </c>
      <c r="S90" s="174">
        <f t="shared" si="65"/>
        <v>1.2</v>
      </c>
      <c r="T90" s="174">
        <f t="shared" si="66"/>
        <v>89</v>
      </c>
      <c r="U90" s="174">
        <f t="shared" si="67"/>
        <v>1.5</v>
      </c>
      <c r="V90" s="174">
        <f t="shared" si="68"/>
        <v>5</v>
      </c>
      <c r="W90" s="174" t="e">
        <f t="shared" si="69"/>
        <v>#VALUE!</v>
      </c>
      <c r="X90" s="174">
        <f t="shared" si="70"/>
        <v>21</v>
      </c>
      <c r="Y90" s="174" t="e">
        <f t="shared" si="71"/>
        <v>#VALUE!</v>
      </c>
      <c r="Z90" s="174" t="str">
        <f t="shared" si="86"/>
        <v/>
      </c>
      <c r="AA90" s="174" t="str">
        <f t="shared" si="87"/>
        <v/>
      </c>
      <c r="AC90" s="176">
        <v>86</v>
      </c>
      <c r="AD90" s="174" t="s">
        <v>1772</v>
      </c>
      <c r="AE90" s="174" t="b">
        <v>1</v>
      </c>
      <c r="AF90" s="174" t="s">
        <v>170</v>
      </c>
      <c r="AG90" s="174"/>
      <c r="AH90" s="174">
        <v>65</v>
      </c>
      <c r="AI90" s="174">
        <v>1.2</v>
      </c>
      <c r="AJ90" s="174">
        <f t="shared" si="95"/>
        <v>89</v>
      </c>
      <c r="AK90" s="175">
        <v>1.5</v>
      </c>
      <c r="AL90" s="174">
        <v>5</v>
      </c>
      <c r="AM90" s="181" t="e">
        <f>qmz/qz/Kes.w</f>
        <v>#VALUE!</v>
      </c>
      <c r="AN90" s="174">
        <v>21</v>
      </c>
      <c r="AO90" s="181" t="e">
        <f>qmz/qz/Kes.w</f>
        <v>#VALUE!</v>
      </c>
      <c r="AP90" s="174"/>
      <c r="AQ90" s="174"/>
      <c r="AS90" s="176">
        <v>86</v>
      </c>
      <c r="AT90" s="174" t="s">
        <v>1773</v>
      </c>
      <c r="AU90" s="174" t="b">
        <v>1</v>
      </c>
      <c r="AV90" s="174" t="s">
        <v>170</v>
      </c>
      <c r="AW90" s="174"/>
      <c r="AX90" s="174">
        <v>65</v>
      </c>
      <c r="AY90" s="174">
        <v>0.9</v>
      </c>
      <c r="AZ90" s="174">
        <v>67</v>
      </c>
      <c r="BA90" s="174">
        <v>-1</v>
      </c>
      <c r="BB90" s="174">
        <v>74</v>
      </c>
      <c r="BC90" s="174">
        <v>-1</v>
      </c>
      <c r="BD90" s="174">
        <v>68</v>
      </c>
      <c r="BE90" s="181">
        <v>6.1257422745431001E-17</v>
      </c>
      <c r="BF90" s="174">
        <v>69</v>
      </c>
      <c r="BG90" s="181">
        <v>1</v>
      </c>
      <c r="BI90" s="176">
        <v>86</v>
      </c>
      <c r="BJ90" s="174" t="s">
        <v>1772</v>
      </c>
      <c r="BK90" s="174" t="b">
        <v>1</v>
      </c>
      <c r="BL90" s="174" t="s">
        <v>170</v>
      </c>
      <c r="BM90" s="174"/>
      <c r="BN90" s="174">
        <v>65</v>
      </c>
      <c r="BO90" s="174">
        <v>1.2</v>
      </c>
      <c r="BP90" s="174">
        <f t="shared" si="88"/>
        <v>89</v>
      </c>
      <c r="BQ90" s="175">
        <v>1.5</v>
      </c>
      <c r="BR90" s="174">
        <v>5</v>
      </c>
      <c r="BS90" s="181" t="e">
        <f>qmz/qz/Kes.w</f>
        <v>#VALUE!</v>
      </c>
      <c r="BT90" s="174">
        <v>21</v>
      </c>
      <c r="BU90" s="181" t="e">
        <f>qmz/qz/Kes.w</f>
        <v>#VALUE!</v>
      </c>
      <c r="BV90" s="174"/>
      <c r="BW90" s="174"/>
      <c r="BY90" s="176">
        <v>86</v>
      </c>
      <c r="BZ90" s="249" t="s">
        <v>1774</v>
      </c>
      <c r="CA90" s="249" t="b">
        <v>1</v>
      </c>
      <c r="CB90" s="249" t="s">
        <v>170</v>
      </c>
      <c r="CC90" s="249"/>
      <c r="CD90" s="249">
        <v>65</v>
      </c>
      <c r="CE90" s="249">
        <v>1</v>
      </c>
      <c r="CF90" s="174">
        <f t="shared" si="89"/>
        <v>89</v>
      </c>
      <c r="CG90" s="248">
        <v>1.25</v>
      </c>
      <c r="CH90" s="249">
        <v>5</v>
      </c>
      <c r="CI90" s="252" t="e">
        <f t="shared" si="74"/>
        <v>#VALUE!</v>
      </c>
      <c r="CJ90" s="249">
        <v>21</v>
      </c>
      <c r="CK90" s="252" t="e">
        <f t="shared" si="75"/>
        <v>#VALUE!</v>
      </c>
      <c r="CL90" s="249"/>
      <c r="CM90" s="249"/>
      <c r="CO90" s="176">
        <v>86</v>
      </c>
      <c r="CP90" s="249" t="s">
        <v>1774</v>
      </c>
      <c r="CQ90" s="249" t="b">
        <v>1</v>
      </c>
      <c r="CR90" s="249" t="s">
        <v>170</v>
      </c>
      <c r="CS90" s="249"/>
      <c r="CT90" s="249">
        <v>65</v>
      </c>
      <c r="CU90" s="249">
        <v>1</v>
      </c>
      <c r="CV90" s="174">
        <f t="shared" si="90"/>
        <v>89</v>
      </c>
      <c r="CW90" s="248">
        <v>1.25</v>
      </c>
      <c r="CX90" s="249">
        <v>5</v>
      </c>
      <c r="CY90" s="252" t="e">
        <f t="shared" si="77"/>
        <v>#VALUE!</v>
      </c>
      <c r="CZ90" s="249">
        <v>21</v>
      </c>
      <c r="DA90" s="252" t="e">
        <f t="shared" si="78"/>
        <v>#VALUE!</v>
      </c>
      <c r="DB90" s="249"/>
      <c r="DC90" s="249"/>
      <c r="DE90" s="176">
        <v>86</v>
      </c>
      <c r="DF90" s="249" t="s">
        <v>1774</v>
      </c>
      <c r="DG90" s="249" t="b">
        <v>1</v>
      </c>
      <c r="DH90" s="249" t="s">
        <v>170</v>
      </c>
      <c r="DI90" s="249"/>
      <c r="DJ90" s="249">
        <v>65</v>
      </c>
      <c r="DK90" s="249">
        <v>1</v>
      </c>
      <c r="DL90" s="174">
        <f t="shared" si="91"/>
        <v>89</v>
      </c>
      <c r="DM90" s="248">
        <v>1.25</v>
      </c>
      <c r="DN90" s="249">
        <v>5</v>
      </c>
      <c r="DO90" s="252" t="e">
        <f t="shared" si="80"/>
        <v>#VALUE!</v>
      </c>
      <c r="DP90" s="249">
        <v>21</v>
      </c>
      <c r="DQ90" s="252" t="e">
        <f t="shared" si="81"/>
        <v>#VALUE!</v>
      </c>
      <c r="DR90" s="249"/>
      <c r="DS90" s="249"/>
      <c r="DU90" s="176">
        <v>86</v>
      </c>
      <c r="DV90" s="174" t="str">
        <f t="shared" si="82"/>
        <v>1.2D + L + Di + Wi + 0.5S (90 deg</v>
      </c>
      <c r="DW90" s="174">
        <v>1</v>
      </c>
      <c r="DX90" s="174" t="s">
        <v>170</v>
      </c>
      <c r="DY90" s="174"/>
      <c r="DZ90" s="174">
        <v>65</v>
      </c>
      <c r="EA90" s="174">
        <v>1.2</v>
      </c>
      <c r="EB90" s="174">
        <v>89</v>
      </c>
      <c r="EC90" s="175">
        <v>1.5</v>
      </c>
      <c r="ED90" s="174">
        <v>5</v>
      </c>
      <c r="EE90" s="181" t="e">
        <f>qmz/qz/Kes.w</f>
        <v>#VALUE!</v>
      </c>
      <c r="EF90" s="174"/>
      <c r="EG90" s="174"/>
      <c r="EH90" s="174"/>
      <c r="EI90" s="174"/>
      <c r="EK90" s="2" t="s">
        <v>512</v>
      </c>
      <c r="EL90" s="2">
        <v>90</v>
      </c>
      <c r="EN90" s="176">
        <v>86</v>
      </c>
    </row>
    <row r="91" spans="1:144" ht="18" customHeight="1" x14ac:dyDescent="0.2">
      <c r="A91" s="165">
        <v>87</v>
      </c>
      <c r="B91" s="170" t="str">
        <f>'Point Load Tables'!GI2</f>
        <v>Maintenance  Lm_2</v>
      </c>
      <c r="C91" s="171" t="s">
        <v>517</v>
      </c>
      <c r="D91" s="171"/>
      <c r="E91" s="171"/>
      <c r="F91" s="171"/>
      <c r="G91" s="171"/>
      <c r="H91" s="185">
        <f>COUNTA('Point Load Tables'!$GI$4:$GI$1048576)</f>
        <v>0</v>
      </c>
      <c r="I91" s="185"/>
      <c r="J91" s="185"/>
      <c r="K91" s="171"/>
      <c r="M91" s="176">
        <f t="shared" si="83"/>
        <v>87</v>
      </c>
      <c r="N91" s="170" t="str">
        <f t="shared" si="92"/>
        <v>1.2D + 1.5Lm_4 + 1.0Wm  | 120 deg</v>
      </c>
      <c r="O91" s="170" t="b">
        <v>1</v>
      </c>
      <c r="P91" s="170" t="str">
        <f t="shared" si="93"/>
        <v>Y</v>
      </c>
      <c r="Q91" s="170" t="str">
        <f t="shared" si="94"/>
        <v/>
      </c>
      <c r="R91" s="170">
        <f t="shared" si="64"/>
        <v>65</v>
      </c>
      <c r="S91" s="170">
        <f t="shared" si="65"/>
        <v>1.2</v>
      </c>
      <c r="T91" s="170">
        <f t="shared" si="66"/>
        <v>89</v>
      </c>
      <c r="U91" s="170">
        <f t="shared" si="67"/>
        <v>1.5</v>
      </c>
      <c r="V91" s="170">
        <f t="shared" si="68"/>
        <v>6</v>
      </c>
      <c r="W91" s="170" t="e">
        <f t="shared" si="69"/>
        <v>#VALUE!</v>
      </c>
      <c r="X91" s="170">
        <f t="shared" si="70"/>
        <v>22</v>
      </c>
      <c r="Y91" s="170" t="e">
        <f t="shared" si="71"/>
        <v>#VALUE!</v>
      </c>
      <c r="Z91" s="170" t="str">
        <f t="shared" si="86"/>
        <v/>
      </c>
      <c r="AA91" s="170" t="str">
        <f t="shared" si="87"/>
        <v/>
      </c>
      <c r="AC91" s="176">
        <v>87</v>
      </c>
      <c r="AD91" s="170" t="s">
        <v>1478</v>
      </c>
      <c r="AE91" s="170" t="b">
        <v>1</v>
      </c>
      <c r="AF91" s="170" t="s">
        <v>170</v>
      </c>
      <c r="AG91" s="170"/>
      <c r="AH91" s="170">
        <v>65</v>
      </c>
      <c r="AI91" s="170">
        <v>1.2</v>
      </c>
      <c r="AJ91" s="170">
        <f t="shared" si="95"/>
        <v>89</v>
      </c>
      <c r="AK91" s="170">
        <v>1.5</v>
      </c>
      <c r="AL91" s="170">
        <v>6</v>
      </c>
      <c r="AM91" s="180" t="e">
        <f>qmz/qz/Kes.w</f>
        <v>#VALUE!</v>
      </c>
      <c r="AN91" s="170">
        <v>22</v>
      </c>
      <c r="AO91" s="180" t="e">
        <f>qmz/qz/Kes.w</f>
        <v>#VALUE!</v>
      </c>
      <c r="AP91" s="170"/>
      <c r="AQ91" s="170"/>
      <c r="AS91" s="176">
        <v>87</v>
      </c>
      <c r="AT91" s="170" t="s">
        <v>1479</v>
      </c>
      <c r="AU91" s="170" t="b">
        <v>1</v>
      </c>
      <c r="AV91" s="170" t="s">
        <v>170</v>
      </c>
      <c r="AW91" s="170"/>
      <c r="AX91" s="170">
        <v>65</v>
      </c>
      <c r="AY91" s="170">
        <v>0.9</v>
      </c>
      <c r="AZ91" s="170">
        <v>67</v>
      </c>
      <c r="BA91" s="170">
        <v>-1</v>
      </c>
      <c r="BB91" s="170">
        <v>75</v>
      </c>
      <c r="BC91" s="170">
        <v>-1</v>
      </c>
      <c r="BD91" s="170">
        <v>68</v>
      </c>
      <c r="BE91" s="180">
        <v>-0.49999999999999978</v>
      </c>
      <c r="BF91" s="170">
        <v>69</v>
      </c>
      <c r="BG91" s="180">
        <v>0.86602540378443871</v>
      </c>
      <c r="BI91" s="176">
        <v>87</v>
      </c>
      <c r="BJ91" s="170" t="s">
        <v>1478</v>
      </c>
      <c r="BK91" s="170" t="b">
        <v>1</v>
      </c>
      <c r="BL91" s="170" t="s">
        <v>170</v>
      </c>
      <c r="BM91" s="170"/>
      <c r="BN91" s="170">
        <v>65</v>
      </c>
      <c r="BO91" s="170">
        <v>1.2</v>
      </c>
      <c r="BP91" s="170">
        <f t="shared" si="88"/>
        <v>89</v>
      </c>
      <c r="BQ91" s="170">
        <v>1.5</v>
      </c>
      <c r="BR91" s="170">
        <v>6</v>
      </c>
      <c r="BS91" s="180" t="e">
        <f>qmz/qz/Kes.w</f>
        <v>#VALUE!</v>
      </c>
      <c r="BT91" s="170">
        <v>22</v>
      </c>
      <c r="BU91" s="180" t="e">
        <f>qmz/qz/Kes.w</f>
        <v>#VALUE!</v>
      </c>
      <c r="BV91" s="170"/>
      <c r="BW91" s="170"/>
      <c r="BY91" s="176">
        <v>87</v>
      </c>
      <c r="BZ91" s="246" t="s">
        <v>1480</v>
      </c>
      <c r="CA91" s="246" t="b">
        <v>1</v>
      </c>
      <c r="CB91" s="246" t="s">
        <v>170</v>
      </c>
      <c r="CC91" s="246"/>
      <c r="CD91" s="246">
        <v>65</v>
      </c>
      <c r="CE91" s="246">
        <v>1</v>
      </c>
      <c r="CF91" s="170">
        <f t="shared" si="89"/>
        <v>89</v>
      </c>
      <c r="CG91" s="246">
        <v>1.25</v>
      </c>
      <c r="CH91" s="246">
        <v>6</v>
      </c>
      <c r="CI91" s="251" t="e">
        <f t="shared" si="74"/>
        <v>#VALUE!</v>
      </c>
      <c r="CJ91" s="246">
        <v>22</v>
      </c>
      <c r="CK91" s="251" t="e">
        <f t="shared" si="75"/>
        <v>#VALUE!</v>
      </c>
      <c r="CL91" s="246"/>
      <c r="CM91" s="246"/>
      <c r="CO91" s="176">
        <v>87</v>
      </c>
      <c r="CP91" s="246" t="s">
        <v>1480</v>
      </c>
      <c r="CQ91" s="246" t="b">
        <v>1</v>
      </c>
      <c r="CR91" s="246" t="s">
        <v>170</v>
      </c>
      <c r="CS91" s="246"/>
      <c r="CT91" s="246">
        <v>65</v>
      </c>
      <c r="CU91" s="246">
        <v>1</v>
      </c>
      <c r="CV91" s="170">
        <f t="shared" si="90"/>
        <v>89</v>
      </c>
      <c r="CW91" s="246">
        <v>1.25</v>
      </c>
      <c r="CX91" s="246">
        <v>6</v>
      </c>
      <c r="CY91" s="251" t="e">
        <f t="shared" si="77"/>
        <v>#VALUE!</v>
      </c>
      <c r="CZ91" s="246">
        <v>22</v>
      </c>
      <c r="DA91" s="251" t="e">
        <f t="shared" si="78"/>
        <v>#VALUE!</v>
      </c>
      <c r="DB91" s="246"/>
      <c r="DC91" s="246"/>
      <c r="DE91" s="176">
        <v>87</v>
      </c>
      <c r="DF91" s="246" t="s">
        <v>1480</v>
      </c>
      <c r="DG91" s="246" t="b">
        <v>1</v>
      </c>
      <c r="DH91" s="246" t="s">
        <v>170</v>
      </c>
      <c r="DI91" s="246"/>
      <c r="DJ91" s="246">
        <v>65</v>
      </c>
      <c r="DK91" s="246">
        <v>1</v>
      </c>
      <c r="DL91" s="170">
        <f t="shared" si="91"/>
        <v>89</v>
      </c>
      <c r="DM91" s="246">
        <v>1.25</v>
      </c>
      <c r="DN91" s="246">
        <v>6</v>
      </c>
      <c r="DO91" s="251" t="e">
        <f t="shared" si="80"/>
        <v>#VALUE!</v>
      </c>
      <c r="DP91" s="246">
        <v>22</v>
      </c>
      <c r="DQ91" s="251" t="e">
        <f t="shared" si="81"/>
        <v>#VALUE!</v>
      </c>
      <c r="DR91" s="246"/>
      <c r="DS91" s="246"/>
      <c r="DU91" s="176">
        <v>87</v>
      </c>
      <c r="DV91" s="170" t="str">
        <f t="shared" si="82"/>
        <v>1.2D + L + Di + Wi + 0.5S (120 deg</v>
      </c>
      <c r="DW91" s="170">
        <v>1</v>
      </c>
      <c r="DX91" s="170" t="s">
        <v>170</v>
      </c>
      <c r="DY91" s="170"/>
      <c r="DZ91" s="170">
        <v>65</v>
      </c>
      <c r="EA91" s="170">
        <v>1.2</v>
      </c>
      <c r="EB91" s="170">
        <v>89</v>
      </c>
      <c r="EC91" s="170">
        <v>1.5</v>
      </c>
      <c r="ED91" s="170">
        <v>6</v>
      </c>
      <c r="EE91" s="180" t="e">
        <f>qmz/qz/Kes.w</f>
        <v>#VALUE!</v>
      </c>
      <c r="EF91" s="170"/>
      <c r="EG91" s="170"/>
      <c r="EH91" s="170"/>
      <c r="EI91" s="170"/>
      <c r="EK91" s="2" t="s">
        <v>512</v>
      </c>
      <c r="EL91" s="2">
        <v>120</v>
      </c>
      <c r="EN91" s="176">
        <v>87</v>
      </c>
    </row>
    <row r="92" spans="1:144" ht="18" customHeight="1" x14ac:dyDescent="0.2">
      <c r="A92" s="165">
        <v>88</v>
      </c>
      <c r="B92" s="174" t="str">
        <f>'Point Load Tables'!GN2</f>
        <v>Maintenance  Lm_3</v>
      </c>
      <c r="C92" s="174" t="s">
        <v>518</v>
      </c>
      <c r="D92" s="174"/>
      <c r="E92" s="174"/>
      <c r="F92" s="174"/>
      <c r="G92" s="174"/>
      <c r="H92" s="186">
        <f>COUNTA('Point Load Tables'!$GN$4:$GN$1048576)</f>
        <v>0</v>
      </c>
      <c r="I92" s="186"/>
      <c r="J92" s="186"/>
      <c r="K92" s="174"/>
      <c r="M92" s="176">
        <f t="shared" si="83"/>
        <v>88</v>
      </c>
      <c r="N92" s="174" t="str">
        <f t="shared" si="92"/>
        <v>1.2D + 1.5Lm_4 + 1.0Wm  | 135 deg</v>
      </c>
      <c r="O92" s="174" t="b">
        <v>1</v>
      </c>
      <c r="P92" s="174" t="str">
        <f t="shared" si="93"/>
        <v>Y</v>
      </c>
      <c r="Q92" s="174" t="str">
        <f t="shared" si="94"/>
        <v/>
      </c>
      <c r="R92" s="174">
        <f t="shared" si="64"/>
        <v>65</v>
      </c>
      <c r="S92" s="174">
        <f t="shared" si="65"/>
        <v>1.2</v>
      </c>
      <c r="T92" s="174">
        <f t="shared" si="66"/>
        <v>89</v>
      </c>
      <c r="U92" s="174">
        <f t="shared" si="67"/>
        <v>1.5</v>
      </c>
      <c r="V92" s="174">
        <f t="shared" si="68"/>
        <v>7</v>
      </c>
      <c r="W92" s="174" t="e">
        <f t="shared" si="69"/>
        <v>#VALUE!</v>
      </c>
      <c r="X92" s="174">
        <f t="shared" si="70"/>
        <v>23</v>
      </c>
      <c r="Y92" s="174" t="e">
        <f t="shared" si="71"/>
        <v>#VALUE!</v>
      </c>
      <c r="Z92" s="174" t="str">
        <f t="shared" si="86"/>
        <v/>
      </c>
      <c r="AA92" s="174" t="str">
        <f t="shared" si="87"/>
        <v/>
      </c>
      <c r="AC92" s="176">
        <v>88</v>
      </c>
      <c r="AD92" s="174" t="s">
        <v>1481</v>
      </c>
      <c r="AE92" s="174" t="b">
        <v>1</v>
      </c>
      <c r="AF92" s="174" t="s">
        <v>170</v>
      </c>
      <c r="AG92" s="174"/>
      <c r="AH92" s="174">
        <v>65</v>
      </c>
      <c r="AI92" s="174">
        <v>1.2</v>
      </c>
      <c r="AJ92" s="174">
        <f t="shared" si="95"/>
        <v>89</v>
      </c>
      <c r="AK92" s="175">
        <v>1.5</v>
      </c>
      <c r="AL92" s="174">
        <v>7</v>
      </c>
      <c r="AM92" s="181" t="e">
        <f>qmz/qz/Kes.w</f>
        <v>#VALUE!</v>
      </c>
      <c r="AN92" s="174">
        <v>23</v>
      </c>
      <c r="AO92" s="181" t="e">
        <f>qmz/qz/Kes.w</f>
        <v>#VALUE!</v>
      </c>
      <c r="AP92" s="174"/>
      <c r="AQ92" s="174"/>
      <c r="AS92" s="176">
        <v>88</v>
      </c>
      <c r="AT92" s="174" t="s">
        <v>1482</v>
      </c>
      <c r="AU92" s="174"/>
      <c r="AV92" s="174" t="s">
        <v>170</v>
      </c>
      <c r="AW92" s="174"/>
      <c r="AX92" s="174">
        <v>65</v>
      </c>
      <c r="AY92" s="174">
        <v>0.9</v>
      </c>
      <c r="AZ92" s="174">
        <v>67</v>
      </c>
      <c r="BA92" s="174">
        <v>-1</v>
      </c>
      <c r="BB92" s="174">
        <v>76</v>
      </c>
      <c r="BC92" s="174">
        <v>-1</v>
      </c>
      <c r="BD92" s="174">
        <v>68</v>
      </c>
      <c r="BE92" s="181">
        <v>-0.70710678118654746</v>
      </c>
      <c r="BF92" s="174">
        <v>69</v>
      </c>
      <c r="BG92" s="181">
        <v>0.70710678118654757</v>
      </c>
      <c r="BI92" s="176">
        <v>88</v>
      </c>
      <c r="BJ92" s="174" t="s">
        <v>1481</v>
      </c>
      <c r="BK92" s="174" t="b">
        <v>1</v>
      </c>
      <c r="BL92" s="174" t="s">
        <v>170</v>
      </c>
      <c r="BM92" s="174"/>
      <c r="BN92" s="174">
        <v>65</v>
      </c>
      <c r="BO92" s="174">
        <v>1.2</v>
      </c>
      <c r="BP92" s="174">
        <f t="shared" si="88"/>
        <v>89</v>
      </c>
      <c r="BQ92" s="175">
        <v>1.5</v>
      </c>
      <c r="BR92" s="174">
        <v>7</v>
      </c>
      <c r="BS92" s="181" t="e">
        <f>qmz/qz/Kes.w</f>
        <v>#VALUE!</v>
      </c>
      <c r="BT92" s="174">
        <v>23</v>
      </c>
      <c r="BU92" s="181" t="e">
        <f>qmz/qz/Kes.w</f>
        <v>#VALUE!</v>
      </c>
      <c r="BV92" s="174"/>
      <c r="BW92" s="174"/>
      <c r="BY92" s="176">
        <v>88</v>
      </c>
      <c r="BZ92" s="249" t="s">
        <v>1483</v>
      </c>
      <c r="CA92" s="249" t="b">
        <v>1</v>
      </c>
      <c r="CB92" s="249" t="s">
        <v>170</v>
      </c>
      <c r="CC92" s="249"/>
      <c r="CD92" s="249">
        <v>65</v>
      </c>
      <c r="CE92" s="249">
        <v>1</v>
      </c>
      <c r="CF92" s="174">
        <f t="shared" si="89"/>
        <v>89</v>
      </c>
      <c r="CG92" s="248">
        <v>1.25</v>
      </c>
      <c r="CH92" s="249">
        <v>7</v>
      </c>
      <c r="CI92" s="252" t="e">
        <f t="shared" si="74"/>
        <v>#VALUE!</v>
      </c>
      <c r="CJ92" s="249">
        <v>23</v>
      </c>
      <c r="CK92" s="252" t="e">
        <f t="shared" si="75"/>
        <v>#VALUE!</v>
      </c>
      <c r="CL92" s="249"/>
      <c r="CM92" s="249"/>
      <c r="CO92" s="176">
        <v>88</v>
      </c>
      <c r="CP92" s="249" t="s">
        <v>1483</v>
      </c>
      <c r="CQ92" s="249" t="b">
        <v>1</v>
      </c>
      <c r="CR92" s="249" t="s">
        <v>170</v>
      </c>
      <c r="CS92" s="249"/>
      <c r="CT92" s="249">
        <v>65</v>
      </c>
      <c r="CU92" s="249">
        <v>1</v>
      </c>
      <c r="CV92" s="174">
        <f t="shared" si="90"/>
        <v>89</v>
      </c>
      <c r="CW92" s="248">
        <v>1.25</v>
      </c>
      <c r="CX92" s="249">
        <v>7</v>
      </c>
      <c r="CY92" s="252" t="e">
        <f t="shared" si="77"/>
        <v>#VALUE!</v>
      </c>
      <c r="CZ92" s="249">
        <v>23</v>
      </c>
      <c r="DA92" s="252" t="e">
        <f t="shared" si="78"/>
        <v>#VALUE!</v>
      </c>
      <c r="DB92" s="249"/>
      <c r="DC92" s="249"/>
      <c r="DE92" s="176">
        <v>88</v>
      </c>
      <c r="DF92" s="249" t="s">
        <v>1483</v>
      </c>
      <c r="DG92" s="249" t="b">
        <v>1</v>
      </c>
      <c r="DH92" s="249" t="s">
        <v>170</v>
      </c>
      <c r="DI92" s="249"/>
      <c r="DJ92" s="249">
        <v>65</v>
      </c>
      <c r="DK92" s="249">
        <v>1</v>
      </c>
      <c r="DL92" s="174">
        <f t="shared" si="91"/>
        <v>89</v>
      </c>
      <c r="DM92" s="248">
        <v>1.25</v>
      </c>
      <c r="DN92" s="249">
        <v>7</v>
      </c>
      <c r="DO92" s="252" t="e">
        <f t="shared" si="80"/>
        <v>#VALUE!</v>
      </c>
      <c r="DP92" s="249">
        <v>23</v>
      </c>
      <c r="DQ92" s="252" t="e">
        <f t="shared" si="81"/>
        <v>#VALUE!</v>
      </c>
      <c r="DR92" s="249"/>
      <c r="DS92" s="249"/>
      <c r="DU92" s="176">
        <v>88</v>
      </c>
      <c r="DV92" s="174" t="str">
        <f t="shared" si="82"/>
        <v>1.2D + L + Di + Wi + 0.5S (135 deg</v>
      </c>
      <c r="DW92" s="174">
        <v>1</v>
      </c>
      <c r="DX92" s="174" t="s">
        <v>170</v>
      </c>
      <c r="DY92" s="174"/>
      <c r="DZ92" s="174">
        <v>65</v>
      </c>
      <c r="EA92" s="174">
        <v>1.2</v>
      </c>
      <c r="EB92" s="174">
        <v>89</v>
      </c>
      <c r="EC92" s="175">
        <v>1.5</v>
      </c>
      <c r="ED92" s="174">
        <v>7</v>
      </c>
      <c r="EE92" s="181" t="e">
        <f>qmz/qz/Kes.w</f>
        <v>#VALUE!</v>
      </c>
      <c r="EF92" s="174"/>
      <c r="EG92" s="174"/>
      <c r="EH92" s="174"/>
      <c r="EI92" s="174"/>
      <c r="EK92" s="2" t="s">
        <v>512</v>
      </c>
      <c r="EL92" s="2">
        <v>135</v>
      </c>
      <c r="EN92" s="176">
        <v>88</v>
      </c>
    </row>
    <row r="93" spans="1:144" ht="18" customHeight="1" x14ac:dyDescent="0.2">
      <c r="A93" s="165">
        <v>89</v>
      </c>
      <c r="B93" s="170" t="str">
        <f>'Point Load Tables'!GS2</f>
        <v>Maintenance  Lm_4</v>
      </c>
      <c r="C93" s="171" t="s">
        <v>519</v>
      </c>
      <c r="D93" s="171"/>
      <c r="E93" s="171"/>
      <c r="F93" s="171"/>
      <c r="G93" s="171"/>
      <c r="H93" s="185">
        <f>COUNTA('Point Load Tables'!$GS$4:$GS$1048576)</f>
        <v>0</v>
      </c>
      <c r="I93" s="185"/>
      <c r="J93" s="185"/>
      <c r="K93" s="171"/>
      <c r="M93" s="176">
        <f t="shared" si="83"/>
        <v>89</v>
      </c>
      <c r="N93" s="170" t="str">
        <f t="shared" si="92"/>
        <v>1.2D + 1.5Lm_4 + 1.0Wm  | 150 deg</v>
      </c>
      <c r="O93" s="170" t="b">
        <v>1</v>
      </c>
      <c r="P93" s="170" t="str">
        <f t="shared" si="93"/>
        <v>Y</v>
      </c>
      <c r="Q93" s="170" t="str">
        <f t="shared" si="94"/>
        <v/>
      </c>
      <c r="R93" s="170">
        <f t="shared" si="64"/>
        <v>65</v>
      </c>
      <c r="S93" s="170">
        <f t="shared" si="65"/>
        <v>1.2</v>
      </c>
      <c r="T93" s="170">
        <f t="shared" si="66"/>
        <v>89</v>
      </c>
      <c r="U93" s="170">
        <f t="shared" si="67"/>
        <v>1.5</v>
      </c>
      <c r="V93" s="170">
        <f t="shared" si="68"/>
        <v>8</v>
      </c>
      <c r="W93" s="170" t="e">
        <f t="shared" si="69"/>
        <v>#VALUE!</v>
      </c>
      <c r="X93" s="170">
        <f t="shared" si="70"/>
        <v>24</v>
      </c>
      <c r="Y93" s="170" t="e">
        <f t="shared" si="71"/>
        <v>#VALUE!</v>
      </c>
      <c r="Z93" s="170" t="str">
        <f t="shared" si="86"/>
        <v/>
      </c>
      <c r="AA93" s="170" t="str">
        <f t="shared" si="87"/>
        <v/>
      </c>
      <c r="AC93" s="176">
        <v>89</v>
      </c>
      <c r="AD93" s="170" t="s">
        <v>1484</v>
      </c>
      <c r="AE93" s="170" t="b">
        <v>1</v>
      </c>
      <c r="AF93" s="170" t="s">
        <v>170</v>
      </c>
      <c r="AG93" s="170"/>
      <c r="AH93" s="170">
        <v>65</v>
      </c>
      <c r="AI93" s="170">
        <v>1.2</v>
      </c>
      <c r="AJ93" s="170">
        <f t="shared" si="95"/>
        <v>89</v>
      </c>
      <c r="AK93" s="170">
        <v>1.5</v>
      </c>
      <c r="AL93" s="170">
        <v>8</v>
      </c>
      <c r="AM93" s="180" t="e">
        <f>qmz/qz/Kes.w</f>
        <v>#VALUE!</v>
      </c>
      <c r="AN93" s="170">
        <v>24</v>
      </c>
      <c r="AO93" s="180" t="e">
        <f>qmz/qz/Kes.w</f>
        <v>#VALUE!</v>
      </c>
      <c r="AP93" s="170"/>
      <c r="AQ93" s="170"/>
      <c r="AS93" s="176">
        <v>89</v>
      </c>
      <c r="AT93" s="170" t="s">
        <v>1485</v>
      </c>
      <c r="AU93" s="170" t="b">
        <v>1</v>
      </c>
      <c r="AV93" s="170" t="s">
        <v>170</v>
      </c>
      <c r="AW93" s="170"/>
      <c r="AX93" s="170">
        <v>65</v>
      </c>
      <c r="AY93" s="170">
        <v>0.9</v>
      </c>
      <c r="AZ93" s="170">
        <v>67</v>
      </c>
      <c r="BA93" s="170">
        <v>-1</v>
      </c>
      <c r="BB93" s="170">
        <v>77</v>
      </c>
      <c r="BC93" s="170">
        <v>-1</v>
      </c>
      <c r="BD93" s="170">
        <v>68</v>
      </c>
      <c r="BE93" s="180">
        <v>-0.86602540378443871</v>
      </c>
      <c r="BF93" s="170">
        <v>69</v>
      </c>
      <c r="BG93" s="180">
        <v>0.49999999999999994</v>
      </c>
      <c r="BI93" s="176">
        <v>89</v>
      </c>
      <c r="BJ93" s="170" t="s">
        <v>1484</v>
      </c>
      <c r="BK93" s="170" t="b">
        <v>1</v>
      </c>
      <c r="BL93" s="170" t="s">
        <v>170</v>
      </c>
      <c r="BM93" s="170"/>
      <c r="BN93" s="170">
        <v>65</v>
      </c>
      <c r="BO93" s="170">
        <v>1.2</v>
      </c>
      <c r="BP93" s="170">
        <f t="shared" si="88"/>
        <v>89</v>
      </c>
      <c r="BQ93" s="170">
        <v>1.5</v>
      </c>
      <c r="BR93" s="170">
        <v>8</v>
      </c>
      <c r="BS93" s="180" t="e">
        <f>qmz/qz/Kes.w</f>
        <v>#VALUE!</v>
      </c>
      <c r="BT93" s="170">
        <v>24</v>
      </c>
      <c r="BU93" s="180" t="e">
        <f>qmz/qz/Kes.w</f>
        <v>#VALUE!</v>
      </c>
      <c r="BV93" s="170"/>
      <c r="BW93" s="170"/>
      <c r="BY93" s="176">
        <v>89</v>
      </c>
      <c r="BZ93" s="246" t="s">
        <v>1486</v>
      </c>
      <c r="CA93" s="246" t="b">
        <v>1</v>
      </c>
      <c r="CB93" s="246" t="s">
        <v>170</v>
      </c>
      <c r="CC93" s="246"/>
      <c r="CD93" s="246">
        <v>65</v>
      </c>
      <c r="CE93" s="246">
        <v>1</v>
      </c>
      <c r="CF93" s="170">
        <f t="shared" si="89"/>
        <v>89</v>
      </c>
      <c r="CG93" s="246">
        <v>1.25</v>
      </c>
      <c r="CH93" s="246">
        <v>8</v>
      </c>
      <c r="CI93" s="251" t="e">
        <f t="shared" si="74"/>
        <v>#VALUE!</v>
      </c>
      <c r="CJ93" s="246">
        <v>24</v>
      </c>
      <c r="CK93" s="251" t="e">
        <f t="shared" si="75"/>
        <v>#VALUE!</v>
      </c>
      <c r="CL93" s="246"/>
      <c r="CM93" s="246"/>
      <c r="CO93" s="176">
        <v>89</v>
      </c>
      <c r="CP93" s="246" t="s">
        <v>1486</v>
      </c>
      <c r="CQ93" s="246" t="b">
        <v>1</v>
      </c>
      <c r="CR93" s="246" t="s">
        <v>170</v>
      </c>
      <c r="CS93" s="246"/>
      <c r="CT93" s="246">
        <v>65</v>
      </c>
      <c r="CU93" s="246">
        <v>1</v>
      </c>
      <c r="CV93" s="170">
        <f t="shared" si="90"/>
        <v>89</v>
      </c>
      <c r="CW93" s="246">
        <v>1.25</v>
      </c>
      <c r="CX93" s="246">
        <v>8</v>
      </c>
      <c r="CY93" s="251" t="e">
        <f t="shared" si="77"/>
        <v>#VALUE!</v>
      </c>
      <c r="CZ93" s="246">
        <v>24</v>
      </c>
      <c r="DA93" s="251" t="e">
        <f t="shared" si="78"/>
        <v>#VALUE!</v>
      </c>
      <c r="DB93" s="246"/>
      <c r="DC93" s="246"/>
      <c r="DE93" s="176">
        <v>89</v>
      </c>
      <c r="DF93" s="246" t="s">
        <v>1486</v>
      </c>
      <c r="DG93" s="246" t="b">
        <v>1</v>
      </c>
      <c r="DH93" s="246" t="s">
        <v>170</v>
      </c>
      <c r="DI93" s="246"/>
      <c r="DJ93" s="246">
        <v>65</v>
      </c>
      <c r="DK93" s="246">
        <v>1</v>
      </c>
      <c r="DL93" s="170">
        <f t="shared" si="91"/>
        <v>89</v>
      </c>
      <c r="DM93" s="246">
        <v>1.25</v>
      </c>
      <c r="DN93" s="246">
        <v>8</v>
      </c>
      <c r="DO93" s="251" t="e">
        <f t="shared" si="80"/>
        <v>#VALUE!</v>
      </c>
      <c r="DP93" s="246">
        <v>24</v>
      </c>
      <c r="DQ93" s="251" t="e">
        <f t="shared" si="81"/>
        <v>#VALUE!</v>
      </c>
      <c r="DR93" s="246"/>
      <c r="DS93" s="246"/>
      <c r="DU93" s="176">
        <v>89</v>
      </c>
      <c r="DV93" s="170" t="str">
        <f t="shared" si="82"/>
        <v>1.2D + L + Di + Wi + 0.5S (150 deg</v>
      </c>
      <c r="DW93" s="170">
        <v>1</v>
      </c>
      <c r="DX93" s="170" t="s">
        <v>170</v>
      </c>
      <c r="DY93" s="170"/>
      <c r="DZ93" s="170">
        <v>65</v>
      </c>
      <c r="EA93" s="170">
        <v>1.2</v>
      </c>
      <c r="EB93" s="170">
        <v>89</v>
      </c>
      <c r="EC93" s="170">
        <v>1.5</v>
      </c>
      <c r="ED93" s="170">
        <v>8</v>
      </c>
      <c r="EE93" s="180" t="e">
        <f>qmz/qz/Kes.w</f>
        <v>#VALUE!</v>
      </c>
      <c r="EF93" s="170"/>
      <c r="EG93" s="170"/>
      <c r="EH93" s="170"/>
      <c r="EI93" s="170"/>
      <c r="EK93" s="2" t="s">
        <v>512</v>
      </c>
      <c r="EL93" s="2">
        <v>150</v>
      </c>
      <c r="EN93" s="176">
        <v>89</v>
      </c>
    </row>
    <row r="94" spans="1:144" ht="18" customHeight="1" x14ac:dyDescent="0.2">
      <c r="A94" s="165">
        <v>90</v>
      </c>
      <c r="B94" s="174" t="str">
        <f>'Point Load Tables'!GX2</f>
        <v>Maintenance  Lv_1</v>
      </c>
      <c r="C94" s="174" t="s">
        <v>520</v>
      </c>
      <c r="D94" s="174"/>
      <c r="E94" s="174"/>
      <c r="F94" s="174"/>
      <c r="G94" s="174"/>
      <c r="H94" s="186">
        <f>COUNTA('Point Load Tables'!$GX$4:$GX$1048576)</f>
        <v>0</v>
      </c>
      <c r="I94" s="186"/>
      <c r="J94" s="186"/>
      <c r="K94" s="174"/>
      <c r="M94" s="176">
        <f t="shared" si="83"/>
        <v>90</v>
      </c>
      <c r="N94" s="174" t="str">
        <f t="shared" si="92"/>
        <v>1.2D + 1.5Lm_4 + 1.0Wm  | 180 deg</v>
      </c>
      <c r="O94" s="174" t="b">
        <v>1</v>
      </c>
      <c r="P94" s="174" t="str">
        <f t="shared" si="93"/>
        <v>Y</v>
      </c>
      <c r="Q94" s="174" t="str">
        <f t="shared" si="94"/>
        <v/>
      </c>
      <c r="R94" s="174">
        <f t="shared" si="64"/>
        <v>65</v>
      </c>
      <c r="S94" s="174">
        <f t="shared" si="65"/>
        <v>1.2</v>
      </c>
      <c r="T94" s="174">
        <f t="shared" si="66"/>
        <v>89</v>
      </c>
      <c r="U94" s="174">
        <f t="shared" si="67"/>
        <v>1.5</v>
      </c>
      <c r="V94" s="174">
        <f t="shared" si="68"/>
        <v>9</v>
      </c>
      <c r="W94" s="174" t="e">
        <f t="shared" si="69"/>
        <v>#VALUE!</v>
      </c>
      <c r="X94" s="174">
        <f t="shared" si="70"/>
        <v>25</v>
      </c>
      <c r="Y94" s="174" t="e">
        <f t="shared" si="71"/>
        <v>#VALUE!</v>
      </c>
      <c r="Z94" s="174" t="str">
        <f t="shared" si="86"/>
        <v/>
      </c>
      <c r="AA94" s="174" t="str">
        <f t="shared" si="87"/>
        <v/>
      </c>
      <c r="AC94" s="176">
        <v>90</v>
      </c>
      <c r="AD94" s="174" t="s">
        <v>1487</v>
      </c>
      <c r="AE94" s="174" t="b">
        <v>1</v>
      </c>
      <c r="AF94" s="174" t="s">
        <v>170</v>
      </c>
      <c r="AG94" s="174"/>
      <c r="AH94" s="174">
        <v>65</v>
      </c>
      <c r="AI94" s="174">
        <v>1.2</v>
      </c>
      <c r="AJ94" s="174">
        <f t="shared" si="95"/>
        <v>89</v>
      </c>
      <c r="AK94" s="175">
        <v>1.5</v>
      </c>
      <c r="AL94" s="174">
        <v>9</v>
      </c>
      <c r="AM94" s="181" t="e">
        <f>qmz/qz/Kes.w</f>
        <v>#VALUE!</v>
      </c>
      <c r="AN94" s="174">
        <v>25</v>
      </c>
      <c r="AO94" s="181" t="e">
        <f>qmz/qz/Kes.w</f>
        <v>#VALUE!</v>
      </c>
      <c r="AP94" s="174"/>
      <c r="AQ94" s="174"/>
      <c r="AS94" s="176">
        <v>90</v>
      </c>
      <c r="AT94" s="174" t="s">
        <v>1488</v>
      </c>
      <c r="AU94" s="174" t="b">
        <v>1</v>
      </c>
      <c r="AV94" s="174" t="s">
        <v>170</v>
      </c>
      <c r="AW94" s="174"/>
      <c r="AX94" s="174">
        <v>65</v>
      </c>
      <c r="AY94" s="174">
        <v>0.9</v>
      </c>
      <c r="AZ94" s="174">
        <v>67</v>
      </c>
      <c r="BA94" s="174">
        <v>-1</v>
      </c>
      <c r="BB94" s="174">
        <v>78</v>
      </c>
      <c r="BC94" s="174">
        <v>-1</v>
      </c>
      <c r="BD94" s="174">
        <v>68</v>
      </c>
      <c r="BE94" s="181">
        <v>-1</v>
      </c>
      <c r="BF94" s="174">
        <v>69</v>
      </c>
      <c r="BG94" s="181">
        <v>1.22514845490862E-16</v>
      </c>
      <c r="BI94" s="176">
        <v>90</v>
      </c>
      <c r="BJ94" s="174" t="s">
        <v>1487</v>
      </c>
      <c r="BK94" s="174" t="b">
        <v>1</v>
      </c>
      <c r="BL94" s="174" t="s">
        <v>170</v>
      </c>
      <c r="BM94" s="174"/>
      <c r="BN94" s="174">
        <v>65</v>
      </c>
      <c r="BO94" s="174">
        <v>1.2</v>
      </c>
      <c r="BP94" s="174">
        <f t="shared" si="88"/>
        <v>89</v>
      </c>
      <c r="BQ94" s="175">
        <v>1.5</v>
      </c>
      <c r="BR94" s="174">
        <v>9</v>
      </c>
      <c r="BS94" s="181" t="e">
        <f>qmz/qz/Kes.w</f>
        <v>#VALUE!</v>
      </c>
      <c r="BT94" s="174">
        <v>25</v>
      </c>
      <c r="BU94" s="181" t="e">
        <f>qmz/qz/Kes.w</f>
        <v>#VALUE!</v>
      </c>
      <c r="BV94" s="174"/>
      <c r="BW94" s="174"/>
      <c r="BY94" s="176">
        <v>90</v>
      </c>
      <c r="BZ94" s="249" t="s">
        <v>1489</v>
      </c>
      <c r="CA94" s="249" t="b">
        <v>1</v>
      </c>
      <c r="CB94" s="249" t="s">
        <v>170</v>
      </c>
      <c r="CC94" s="249"/>
      <c r="CD94" s="249">
        <v>65</v>
      </c>
      <c r="CE94" s="249">
        <v>1</v>
      </c>
      <c r="CF94" s="174">
        <f t="shared" si="89"/>
        <v>89</v>
      </c>
      <c r="CG94" s="248">
        <v>1.25</v>
      </c>
      <c r="CH94" s="249">
        <v>9</v>
      </c>
      <c r="CI94" s="252" t="e">
        <f t="shared" si="74"/>
        <v>#VALUE!</v>
      </c>
      <c r="CJ94" s="249">
        <v>25</v>
      </c>
      <c r="CK94" s="252" t="e">
        <f t="shared" si="75"/>
        <v>#VALUE!</v>
      </c>
      <c r="CL94" s="249"/>
      <c r="CM94" s="249"/>
      <c r="CO94" s="176">
        <v>90</v>
      </c>
      <c r="CP94" s="249" t="s">
        <v>1489</v>
      </c>
      <c r="CQ94" s="249" t="b">
        <v>1</v>
      </c>
      <c r="CR94" s="249" t="s">
        <v>170</v>
      </c>
      <c r="CS94" s="249"/>
      <c r="CT94" s="249">
        <v>65</v>
      </c>
      <c r="CU94" s="249">
        <v>1</v>
      </c>
      <c r="CV94" s="174">
        <f t="shared" si="90"/>
        <v>89</v>
      </c>
      <c r="CW94" s="248">
        <v>1.25</v>
      </c>
      <c r="CX94" s="249">
        <v>9</v>
      </c>
      <c r="CY94" s="252" t="e">
        <f t="shared" si="77"/>
        <v>#VALUE!</v>
      </c>
      <c r="CZ94" s="249">
        <v>25</v>
      </c>
      <c r="DA94" s="252" t="e">
        <f t="shared" si="78"/>
        <v>#VALUE!</v>
      </c>
      <c r="DB94" s="249"/>
      <c r="DC94" s="249"/>
      <c r="DE94" s="176">
        <v>90</v>
      </c>
      <c r="DF94" s="249" t="s">
        <v>1489</v>
      </c>
      <c r="DG94" s="249" t="b">
        <v>1</v>
      </c>
      <c r="DH94" s="249" t="s">
        <v>170</v>
      </c>
      <c r="DI94" s="249"/>
      <c r="DJ94" s="249">
        <v>65</v>
      </c>
      <c r="DK94" s="249">
        <v>1</v>
      </c>
      <c r="DL94" s="174">
        <f t="shared" si="91"/>
        <v>89</v>
      </c>
      <c r="DM94" s="248">
        <v>1.25</v>
      </c>
      <c r="DN94" s="249">
        <v>9</v>
      </c>
      <c r="DO94" s="252" t="e">
        <f t="shared" si="80"/>
        <v>#VALUE!</v>
      </c>
      <c r="DP94" s="249">
        <v>25</v>
      </c>
      <c r="DQ94" s="252" t="e">
        <f t="shared" si="81"/>
        <v>#VALUE!</v>
      </c>
      <c r="DR94" s="249"/>
      <c r="DS94" s="249"/>
      <c r="DU94" s="176">
        <v>90</v>
      </c>
      <c r="DV94" s="174" t="str">
        <f t="shared" si="82"/>
        <v>1.2D + L + Di + Wi + 0.5S (180 deg</v>
      </c>
      <c r="DW94" s="174">
        <v>1</v>
      </c>
      <c r="DX94" s="174" t="s">
        <v>170</v>
      </c>
      <c r="DY94" s="174"/>
      <c r="DZ94" s="174">
        <v>65</v>
      </c>
      <c r="EA94" s="174">
        <v>1.2</v>
      </c>
      <c r="EB94" s="174">
        <v>89</v>
      </c>
      <c r="EC94" s="175">
        <v>1.5</v>
      </c>
      <c r="ED94" s="174">
        <v>9</v>
      </c>
      <c r="EE94" s="181" t="e">
        <f>qmz/qz/Kes.w</f>
        <v>#VALUE!</v>
      </c>
      <c r="EF94" s="174"/>
      <c r="EG94" s="174"/>
      <c r="EH94" s="174"/>
      <c r="EI94" s="174"/>
      <c r="EK94" s="2" t="s">
        <v>512</v>
      </c>
      <c r="EL94" s="2">
        <v>180</v>
      </c>
      <c r="EN94" s="176">
        <v>90</v>
      </c>
    </row>
    <row r="95" spans="1:144" ht="18" customHeight="1" x14ac:dyDescent="0.2">
      <c r="A95" s="165">
        <v>91</v>
      </c>
      <c r="B95" s="170" t="str">
        <f>'Point Load Tables'!HC2</f>
        <v>Maintenance  Lv_2</v>
      </c>
      <c r="C95" s="171" t="s">
        <v>521</v>
      </c>
      <c r="D95" s="171"/>
      <c r="E95" s="171"/>
      <c r="F95" s="171"/>
      <c r="G95" s="171"/>
      <c r="H95" s="185">
        <f>COUNTA('Point Load Tables'!$HC$4:$HC$1048576)</f>
        <v>0</v>
      </c>
      <c r="I95" s="185"/>
      <c r="J95" s="185"/>
      <c r="K95" s="171"/>
      <c r="M95" s="176">
        <f t="shared" si="83"/>
        <v>91</v>
      </c>
      <c r="N95" s="170" t="str">
        <f t="shared" si="92"/>
        <v>1.2D + 1.5Lm_4 + 1.0Wm  | 210 deg</v>
      </c>
      <c r="O95" s="170" t="b">
        <v>1</v>
      </c>
      <c r="P95" s="170" t="str">
        <f t="shared" si="93"/>
        <v>Y</v>
      </c>
      <c r="Q95" s="170" t="str">
        <f t="shared" si="94"/>
        <v/>
      </c>
      <c r="R95" s="170">
        <f t="shared" si="64"/>
        <v>65</v>
      </c>
      <c r="S95" s="170">
        <f t="shared" si="65"/>
        <v>1.2</v>
      </c>
      <c r="T95" s="170">
        <f t="shared" si="66"/>
        <v>89</v>
      </c>
      <c r="U95" s="170">
        <f t="shared" si="67"/>
        <v>1.5</v>
      </c>
      <c r="V95" s="170">
        <f t="shared" si="68"/>
        <v>10</v>
      </c>
      <c r="W95" s="170" t="e">
        <f t="shared" si="69"/>
        <v>#VALUE!</v>
      </c>
      <c r="X95" s="170">
        <f t="shared" si="70"/>
        <v>26</v>
      </c>
      <c r="Y95" s="170" t="e">
        <f t="shared" si="71"/>
        <v>#VALUE!</v>
      </c>
      <c r="Z95" s="170" t="str">
        <f t="shared" si="86"/>
        <v/>
      </c>
      <c r="AA95" s="170" t="str">
        <f t="shared" si="87"/>
        <v/>
      </c>
      <c r="AC95" s="176">
        <v>91</v>
      </c>
      <c r="AD95" s="170" t="s">
        <v>1574</v>
      </c>
      <c r="AE95" s="170" t="b">
        <v>1</v>
      </c>
      <c r="AF95" s="170" t="s">
        <v>170</v>
      </c>
      <c r="AG95" s="170"/>
      <c r="AH95" s="170">
        <v>65</v>
      </c>
      <c r="AI95" s="170">
        <v>1.2</v>
      </c>
      <c r="AJ95" s="170">
        <f t="shared" si="95"/>
        <v>89</v>
      </c>
      <c r="AK95" s="170">
        <v>1.5</v>
      </c>
      <c r="AL95" s="170">
        <v>10</v>
      </c>
      <c r="AM95" s="180" t="e">
        <f>qmz/qz/Kes.w</f>
        <v>#VALUE!</v>
      </c>
      <c r="AN95" s="170">
        <v>26</v>
      </c>
      <c r="AO95" s="180" t="e">
        <f>qmz/qz/Kes.w</f>
        <v>#VALUE!</v>
      </c>
      <c r="AP95" s="170"/>
      <c r="AQ95" s="170"/>
      <c r="AS95" s="176">
        <v>91</v>
      </c>
      <c r="AT95" s="170" t="s">
        <v>1575</v>
      </c>
      <c r="AU95" s="170" t="b">
        <v>1</v>
      </c>
      <c r="AV95" s="170" t="s">
        <v>170</v>
      </c>
      <c r="AW95" s="170"/>
      <c r="AX95" s="170">
        <v>65</v>
      </c>
      <c r="AY95" s="170">
        <v>0.9</v>
      </c>
      <c r="AZ95" s="170">
        <v>67</v>
      </c>
      <c r="BA95" s="170">
        <v>-1</v>
      </c>
      <c r="BB95" s="170">
        <v>79</v>
      </c>
      <c r="BC95" s="170">
        <v>-1</v>
      </c>
      <c r="BD95" s="170">
        <v>68</v>
      </c>
      <c r="BE95" s="180">
        <v>-0.8660254037844386</v>
      </c>
      <c r="BF95" s="170">
        <v>69</v>
      </c>
      <c r="BG95" s="180">
        <v>-0.50000000000000011</v>
      </c>
      <c r="BI95" s="176">
        <v>91</v>
      </c>
      <c r="BJ95" s="170" t="s">
        <v>1574</v>
      </c>
      <c r="BK95" s="170" t="b">
        <v>1</v>
      </c>
      <c r="BL95" s="170" t="s">
        <v>170</v>
      </c>
      <c r="BM95" s="170"/>
      <c r="BN95" s="170">
        <v>65</v>
      </c>
      <c r="BO95" s="170">
        <v>1.2</v>
      </c>
      <c r="BP95" s="170">
        <f t="shared" si="88"/>
        <v>89</v>
      </c>
      <c r="BQ95" s="170">
        <v>1.5</v>
      </c>
      <c r="BR95" s="170">
        <v>10</v>
      </c>
      <c r="BS95" s="180" t="e">
        <f>qmz/qz/Kes.w</f>
        <v>#VALUE!</v>
      </c>
      <c r="BT95" s="170">
        <v>26</v>
      </c>
      <c r="BU95" s="180" t="e">
        <f>qmz/qz/Kes.w</f>
        <v>#VALUE!</v>
      </c>
      <c r="BV95" s="170"/>
      <c r="BW95" s="170"/>
      <c r="BY95" s="176">
        <v>91</v>
      </c>
      <c r="BZ95" s="246" t="s">
        <v>1576</v>
      </c>
      <c r="CA95" s="246" t="b">
        <v>1</v>
      </c>
      <c r="CB95" s="246" t="s">
        <v>170</v>
      </c>
      <c r="CC95" s="246"/>
      <c r="CD95" s="246">
        <v>65</v>
      </c>
      <c r="CE95" s="246">
        <v>1</v>
      </c>
      <c r="CF95" s="170">
        <f t="shared" si="89"/>
        <v>89</v>
      </c>
      <c r="CG95" s="246">
        <v>1.25</v>
      </c>
      <c r="CH95" s="246">
        <v>10</v>
      </c>
      <c r="CI95" s="251" t="e">
        <f t="shared" si="74"/>
        <v>#VALUE!</v>
      </c>
      <c r="CJ95" s="246">
        <v>26</v>
      </c>
      <c r="CK95" s="251" t="e">
        <f t="shared" si="75"/>
        <v>#VALUE!</v>
      </c>
      <c r="CL95" s="246"/>
      <c r="CM95" s="246"/>
      <c r="CO95" s="176">
        <v>91</v>
      </c>
      <c r="CP95" s="246" t="s">
        <v>1576</v>
      </c>
      <c r="CQ95" s="246" t="b">
        <v>1</v>
      </c>
      <c r="CR95" s="246" t="s">
        <v>170</v>
      </c>
      <c r="CS95" s="246"/>
      <c r="CT95" s="246">
        <v>65</v>
      </c>
      <c r="CU95" s="246">
        <v>1</v>
      </c>
      <c r="CV95" s="170">
        <f t="shared" si="90"/>
        <v>89</v>
      </c>
      <c r="CW95" s="246">
        <v>1.25</v>
      </c>
      <c r="CX95" s="246">
        <v>10</v>
      </c>
      <c r="CY95" s="251" t="e">
        <f t="shared" si="77"/>
        <v>#VALUE!</v>
      </c>
      <c r="CZ95" s="246">
        <v>26</v>
      </c>
      <c r="DA95" s="251" t="e">
        <f t="shared" si="78"/>
        <v>#VALUE!</v>
      </c>
      <c r="DB95" s="246"/>
      <c r="DC95" s="246"/>
      <c r="DE95" s="176">
        <v>91</v>
      </c>
      <c r="DF95" s="246" t="s">
        <v>1576</v>
      </c>
      <c r="DG95" s="246" t="b">
        <v>1</v>
      </c>
      <c r="DH95" s="246" t="s">
        <v>170</v>
      </c>
      <c r="DI95" s="246"/>
      <c r="DJ95" s="246">
        <v>65</v>
      </c>
      <c r="DK95" s="246">
        <v>1</v>
      </c>
      <c r="DL95" s="170">
        <f t="shared" si="91"/>
        <v>89</v>
      </c>
      <c r="DM95" s="246">
        <v>1.25</v>
      </c>
      <c r="DN95" s="246">
        <v>10</v>
      </c>
      <c r="DO95" s="251" t="e">
        <f t="shared" si="80"/>
        <v>#VALUE!</v>
      </c>
      <c r="DP95" s="246">
        <v>26</v>
      </c>
      <c r="DQ95" s="251" t="e">
        <f t="shared" si="81"/>
        <v>#VALUE!</v>
      </c>
      <c r="DR95" s="246"/>
      <c r="DS95" s="246"/>
      <c r="DU95" s="176">
        <v>91</v>
      </c>
      <c r="DV95" s="170" t="str">
        <f t="shared" si="82"/>
        <v>1.2D + L + Di + Wi + 0.5S (210 deg</v>
      </c>
      <c r="DW95" s="170">
        <v>1</v>
      </c>
      <c r="DX95" s="170" t="s">
        <v>170</v>
      </c>
      <c r="DY95" s="170"/>
      <c r="DZ95" s="170">
        <v>65</v>
      </c>
      <c r="EA95" s="170">
        <v>1.2</v>
      </c>
      <c r="EB95" s="170">
        <v>89</v>
      </c>
      <c r="EC95" s="170">
        <v>1.5</v>
      </c>
      <c r="ED95" s="170">
        <v>10</v>
      </c>
      <c r="EE95" s="180" t="e">
        <f>qmz/qz/Kes.w</f>
        <v>#VALUE!</v>
      </c>
      <c r="EF95" s="170"/>
      <c r="EG95" s="170"/>
      <c r="EH95" s="170"/>
      <c r="EI95" s="170"/>
      <c r="EK95" s="2" t="s">
        <v>512</v>
      </c>
      <c r="EL95" s="2">
        <v>210</v>
      </c>
      <c r="EN95" s="176">
        <v>91</v>
      </c>
    </row>
    <row r="96" spans="1:144" ht="18" customHeight="1" x14ac:dyDescent="0.2">
      <c r="A96" s="165">
        <v>92</v>
      </c>
      <c r="B96" s="174" t="str">
        <f>'Point Load Tables'!HH2</f>
        <v>Maintenance  Lv_3</v>
      </c>
      <c r="C96" s="174" t="s">
        <v>522</v>
      </c>
      <c r="D96" s="174"/>
      <c r="E96" s="174"/>
      <c r="F96" s="174"/>
      <c r="G96" s="174"/>
      <c r="H96" s="186">
        <f>COUNTA('Point Load Tables'!$HH$4:$HH$1048576)</f>
        <v>0</v>
      </c>
      <c r="I96" s="186"/>
      <c r="J96" s="186"/>
      <c r="K96" s="174"/>
      <c r="M96" s="176">
        <f t="shared" si="83"/>
        <v>92</v>
      </c>
      <c r="N96" s="174" t="str">
        <f t="shared" si="92"/>
        <v>1.2D + 1.5Lm_4 + 1.0Wm  | 225 deg</v>
      </c>
      <c r="O96" s="174" t="b">
        <v>1</v>
      </c>
      <c r="P96" s="174" t="str">
        <f t="shared" si="93"/>
        <v>Y</v>
      </c>
      <c r="Q96" s="174" t="str">
        <f t="shared" si="94"/>
        <v/>
      </c>
      <c r="R96" s="174">
        <f t="shared" si="64"/>
        <v>65</v>
      </c>
      <c r="S96" s="174">
        <f t="shared" si="65"/>
        <v>1.2</v>
      </c>
      <c r="T96" s="174">
        <f t="shared" si="66"/>
        <v>89</v>
      </c>
      <c r="U96" s="174">
        <f t="shared" si="67"/>
        <v>1.5</v>
      </c>
      <c r="V96" s="174">
        <f t="shared" si="68"/>
        <v>11</v>
      </c>
      <c r="W96" s="174" t="e">
        <f t="shared" si="69"/>
        <v>#VALUE!</v>
      </c>
      <c r="X96" s="174">
        <f t="shared" si="70"/>
        <v>27</v>
      </c>
      <c r="Y96" s="174" t="e">
        <f t="shared" si="71"/>
        <v>#VALUE!</v>
      </c>
      <c r="Z96" s="174" t="str">
        <f t="shared" si="86"/>
        <v/>
      </c>
      <c r="AA96" s="174" t="str">
        <f t="shared" si="87"/>
        <v/>
      </c>
      <c r="AC96" s="176">
        <v>92</v>
      </c>
      <c r="AD96" s="174" t="s">
        <v>1577</v>
      </c>
      <c r="AE96" s="174" t="b">
        <v>1</v>
      </c>
      <c r="AF96" s="174" t="s">
        <v>170</v>
      </c>
      <c r="AG96" s="174"/>
      <c r="AH96" s="174">
        <v>65</v>
      </c>
      <c r="AI96" s="174">
        <v>1.2</v>
      </c>
      <c r="AJ96" s="174">
        <f t="shared" si="95"/>
        <v>89</v>
      </c>
      <c r="AK96" s="175">
        <v>1.5</v>
      </c>
      <c r="AL96" s="174">
        <v>11</v>
      </c>
      <c r="AM96" s="181" t="e">
        <f>qmz/qz/Kes.w</f>
        <v>#VALUE!</v>
      </c>
      <c r="AN96" s="174">
        <v>27</v>
      </c>
      <c r="AO96" s="181" t="e">
        <f>qmz/qz/Kes.w</f>
        <v>#VALUE!</v>
      </c>
      <c r="AP96" s="174"/>
      <c r="AQ96" s="174"/>
      <c r="AS96" s="176">
        <v>92</v>
      </c>
      <c r="AT96" s="174" t="s">
        <v>1578</v>
      </c>
      <c r="AU96" s="174"/>
      <c r="AV96" s="174" t="s">
        <v>170</v>
      </c>
      <c r="AW96" s="174"/>
      <c r="AX96" s="174">
        <v>65</v>
      </c>
      <c r="AY96" s="174">
        <v>0.9</v>
      </c>
      <c r="AZ96" s="174">
        <v>67</v>
      </c>
      <c r="BA96" s="174">
        <v>-1</v>
      </c>
      <c r="BB96" s="174">
        <v>80</v>
      </c>
      <c r="BC96" s="174">
        <v>-1</v>
      </c>
      <c r="BD96" s="174">
        <v>68</v>
      </c>
      <c r="BE96" s="181">
        <v>-0.70710678118654768</v>
      </c>
      <c r="BF96" s="174">
        <v>69</v>
      </c>
      <c r="BG96" s="181">
        <v>-0.70710678118654746</v>
      </c>
      <c r="BI96" s="176">
        <v>92</v>
      </c>
      <c r="BJ96" s="174" t="s">
        <v>1577</v>
      </c>
      <c r="BK96" s="174" t="b">
        <v>1</v>
      </c>
      <c r="BL96" s="174" t="s">
        <v>170</v>
      </c>
      <c r="BM96" s="174"/>
      <c r="BN96" s="174">
        <v>65</v>
      </c>
      <c r="BO96" s="174">
        <v>1.2</v>
      </c>
      <c r="BP96" s="174">
        <f t="shared" si="88"/>
        <v>89</v>
      </c>
      <c r="BQ96" s="175">
        <v>1.5</v>
      </c>
      <c r="BR96" s="174">
        <v>11</v>
      </c>
      <c r="BS96" s="181" t="e">
        <f>qmz/qz/Kes.w</f>
        <v>#VALUE!</v>
      </c>
      <c r="BT96" s="174">
        <v>27</v>
      </c>
      <c r="BU96" s="181" t="e">
        <f>qmz/qz/Kes.w</f>
        <v>#VALUE!</v>
      </c>
      <c r="BV96" s="174"/>
      <c r="BW96" s="174"/>
      <c r="BY96" s="176">
        <v>92</v>
      </c>
      <c r="BZ96" s="249" t="s">
        <v>1579</v>
      </c>
      <c r="CA96" s="249" t="b">
        <v>1</v>
      </c>
      <c r="CB96" s="249" t="s">
        <v>170</v>
      </c>
      <c r="CC96" s="249"/>
      <c r="CD96" s="249">
        <v>65</v>
      </c>
      <c r="CE96" s="249">
        <v>1</v>
      </c>
      <c r="CF96" s="174">
        <f t="shared" si="89"/>
        <v>89</v>
      </c>
      <c r="CG96" s="248">
        <v>1.25</v>
      </c>
      <c r="CH96" s="249">
        <v>11</v>
      </c>
      <c r="CI96" s="252" t="e">
        <f t="shared" si="74"/>
        <v>#VALUE!</v>
      </c>
      <c r="CJ96" s="249">
        <v>27</v>
      </c>
      <c r="CK96" s="252" t="e">
        <f t="shared" si="75"/>
        <v>#VALUE!</v>
      </c>
      <c r="CL96" s="249"/>
      <c r="CM96" s="249"/>
      <c r="CO96" s="176">
        <v>92</v>
      </c>
      <c r="CP96" s="249" t="s">
        <v>1579</v>
      </c>
      <c r="CQ96" s="249" t="b">
        <v>1</v>
      </c>
      <c r="CR96" s="249" t="s">
        <v>170</v>
      </c>
      <c r="CS96" s="249"/>
      <c r="CT96" s="249">
        <v>65</v>
      </c>
      <c r="CU96" s="249">
        <v>1</v>
      </c>
      <c r="CV96" s="174">
        <f t="shared" si="90"/>
        <v>89</v>
      </c>
      <c r="CW96" s="248">
        <v>1.25</v>
      </c>
      <c r="CX96" s="249">
        <v>11</v>
      </c>
      <c r="CY96" s="252" t="e">
        <f t="shared" si="77"/>
        <v>#VALUE!</v>
      </c>
      <c r="CZ96" s="249">
        <v>27</v>
      </c>
      <c r="DA96" s="252" t="e">
        <f t="shared" si="78"/>
        <v>#VALUE!</v>
      </c>
      <c r="DB96" s="249"/>
      <c r="DC96" s="249"/>
      <c r="DE96" s="176">
        <v>92</v>
      </c>
      <c r="DF96" s="249" t="s">
        <v>1579</v>
      </c>
      <c r="DG96" s="249" t="b">
        <v>1</v>
      </c>
      <c r="DH96" s="249" t="s">
        <v>170</v>
      </c>
      <c r="DI96" s="249"/>
      <c r="DJ96" s="249">
        <v>65</v>
      </c>
      <c r="DK96" s="249">
        <v>1</v>
      </c>
      <c r="DL96" s="174">
        <f t="shared" si="91"/>
        <v>89</v>
      </c>
      <c r="DM96" s="248">
        <v>1.25</v>
      </c>
      <c r="DN96" s="249">
        <v>11</v>
      </c>
      <c r="DO96" s="252" t="e">
        <f t="shared" si="80"/>
        <v>#VALUE!</v>
      </c>
      <c r="DP96" s="249">
        <v>27</v>
      </c>
      <c r="DQ96" s="252" t="e">
        <f t="shared" si="81"/>
        <v>#VALUE!</v>
      </c>
      <c r="DR96" s="249"/>
      <c r="DS96" s="249"/>
      <c r="DU96" s="176">
        <v>92</v>
      </c>
      <c r="DV96" s="174" t="str">
        <f t="shared" si="82"/>
        <v>1.2D + L + Di + Wi + 0.5S (225 deg</v>
      </c>
      <c r="DW96" s="174">
        <v>1</v>
      </c>
      <c r="DX96" s="174" t="s">
        <v>170</v>
      </c>
      <c r="DY96" s="174"/>
      <c r="DZ96" s="174">
        <v>65</v>
      </c>
      <c r="EA96" s="174">
        <v>1.2</v>
      </c>
      <c r="EB96" s="174">
        <v>89</v>
      </c>
      <c r="EC96" s="175">
        <v>1.5</v>
      </c>
      <c r="ED96" s="174">
        <v>11</v>
      </c>
      <c r="EE96" s="181" t="e">
        <f>qmz/qz/Kes.w</f>
        <v>#VALUE!</v>
      </c>
      <c r="EF96" s="174"/>
      <c r="EG96" s="174"/>
      <c r="EH96" s="174"/>
      <c r="EI96" s="174"/>
      <c r="EK96" s="2" t="s">
        <v>512</v>
      </c>
      <c r="EL96" s="2">
        <v>225</v>
      </c>
      <c r="EN96" s="176">
        <v>92</v>
      </c>
    </row>
    <row r="97" spans="1:144" ht="18" customHeight="1" x14ac:dyDescent="0.2">
      <c r="A97" s="165">
        <v>93</v>
      </c>
      <c r="B97" s="170" t="str">
        <f>'Point Load Tables'!HM2</f>
        <v>Maintenance  Lv_4</v>
      </c>
      <c r="C97" s="171" t="s">
        <v>523</v>
      </c>
      <c r="D97" s="171"/>
      <c r="E97" s="171"/>
      <c r="F97" s="171"/>
      <c r="G97" s="171"/>
      <c r="H97" s="185">
        <f>COUNTA('Point Load Tables'!$HM$4:$HM$1048576)</f>
        <v>0</v>
      </c>
      <c r="I97" s="185"/>
      <c r="J97" s="185"/>
      <c r="K97" s="171"/>
      <c r="M97" s="176">
        <f t="shared" si="83"/>
        <v>93</v>
      </c>
      <c r="N97" s="170" t="str">
        <f t="shared" si="92"/>
        <v>1.2D + 1.5Lm_4 + 1.0Wm  | 240 deg</v>
      </c>
      <c r="O97" s="170" t="b">
        <v>1</v>
      </c>
      <c r="P97" s="170" t="str">
        <f t="shared" si="93"/>
        <v>Y</v>
      </c>
      <c r="Q97" s="170" t="str">
        <f t="shared" si="94"/>
        <v/>
      </c>
      <c r="R97" s="170">
        <f t="shared" si="64"/>
        <v>65</v>
      </c>
      <c r="S97" s="170">
        <f t="shared" si="65"/>
        <v>1.2</v>
      </c>
      <c r="T97" s="170">
        <f t="shared" si="66"/>
        <v>89</v>
      </c>
      <c r="U97" s="170">
        <f t="shared" si="67"/>
        <v>1.5</v>
      </c>
      <c r="V97" s="170">
        <f t="shared" si="68"/>
        <v>12</v>
      </c>
      <c r="W97" s="170" t="e">
        <f t="shared" si="69"/>
        <v>#VALUE!</v>
      </c>
      <c r="X97" s="170">
        <f t="shared" si="70"/>
        <v>28</v>
      </c>
      <c r="Y97" s="170" t="e">
        <f t="shared" si="71"/>
        <v>#VALUE!</v>
      </c>
      <c r="Z97" s="170" t="str">
        <f t="shared" si="86"/>
        <v/>
      </c>
      <c r="AA97" s="170" t="str">
        <f t="shared" si="87"/>
        <v/>
      </c>
      <c r="AC97" s="176">
        <v>93</v>
      </c>
      <c r="AD97" s="170" t="s">
        <v>1580</v>
      </c>
      <c r="AE97" s="170" t="b">
        <v>1</v>
      </c>
      <c r="AF97" s="170" t="s">
        <v>170</v>
      </c>
      <c r="AG97" s="170"/>
      <c r="AH97" s="170">
        <v>65</v>
      </c>
      <c r="AI97" s="170">
        <v>1.2</v>
      </c>
      <c r="AJ97" s="170">
        <f t="shared" si="95"/>
        <v>89</v>
      </c>
      <c r="AK97" s="170">
        <v>1.5</v>
      </c>
      <c r="AL97" s="170">
        <v>12</v>
      </c>
      <c r="AM97" s="180" t="e">
        <f>qmz/qz/Kes.w</f>
        <v>#VALUE!</v>
      </c>
      <c r="AN97" s="170">
        <v>28</v>
      </c>
      <c r="AO97" s="180" t="e">
        <f>qmz/qz/Kes.w</f>
        <v>#VALUE!</v>
      </c>
      <c r="AP97" s="170"/>
      <c r="AQ97" s="170"/>
      <c r="AS97" s="176">
        <v>93</v>
      </c>
      <c r="AT97" s="170" t="s">
        <v>1581</v>
      </c>
      <c r="AU97" s="170" t="b">
        <v>1</v>
      </c>
      <c r="AV97" s="170" t="s">
        <v>170</v>
      </c>
      <c r="AW97" s="170"/>
      <c r="AX97" s="170">
        <v>65</v>
      </c>
      <c r="AY97" s="170">
        <v>0.9</v>
      </c>
      <c r="AZ97" s="170">
        <v>67</v>
      </c>
      <c r="BA97" s="170">
        <v>-1</v>
      </c>
      <c r="BB97" s="170">
        <v>81</v>
      </c>
      <c r="BC97" s="170">
        <v>-1</v>
      </c>
      <c r="BD97" s="170">
        <v>68</v>
      </c>
      <c r="BE97" s="180">
        <v>-0.50000000000000044</v>
      </c>
      <c r="BF97" s="170">
        <v>69</v>
      </c>
      <c r="BG97" s="180">
        <v>-0.86602540378443837</v>
      </c>
      <c r="BI97" s="176">
        <v>93</v>
      </c>
      <c r="BJ97" s="170" t="s">
        <v>1580</v>
      </c>
      <c r="BK97" s="170" t="b">
        <v>1</v>
      </c>
      <c r="BL97" s="170" t="s">
        <v>170</v>
      </c>
      <c r="BM97" s="170"/>
      <c r="BN97" s="170">
        <v>65</v>
      </c>
      <c r="BO97" s="170">
        <v>1.2</v>
      </c>
      <c r="BP97" s="170">
        <f t="shared" si="88"/>
        <v>89</v>
      </c>
      <c r="BQ97" s="170">
        <v>1.5</v>
      </c>
      <c r="BR97" s="170">
        <v>12</v>
      </c>
      <c r="BS97" s="180" t="e">
        <f>qmz/qz/Kes.w</f>
        <v>#VALUE!</v>
      </c>
      <c r="BT97" s="170">
        <v>28</v>
      </c>
      <c r="BU97" s="180" t="e">
        <f>qmz/qz/Kes.w</f>
        <v>#VALUE!</v>
      </c>
      <c r="BV97" s="170"/>
      <c r="BW97" s="170"/>
      <c r="BY97" s="176">
        <v>93</v>
      </c>
      <c r="BZ97" s="246" t="s">
        <v>1582</v>
      </c>
      <c r="CA97" s="246" t="b">
        <v>1</v>
      </c>
      <c r="CB97" s="246" t="s">
        <v>170</v>
      </c>
      <c r="CC97" s="246"/>
      <c r="CD97" s="246">
        <v>65</v>
      </c>
      <c r="CE97" s="246">
        <v>1</v>
      </c>
      <c r="CF97" s="170">
        <f t="shared" si="89"/>
        <v>89</v>
      </c>
      <c r="CG97" s="246">
        <v>1.25</v>
      </c>
      <c r="CH97" s="246">
        <v>12</v>
      </c>
      <c r="CI97" s="251" t="e">
        <f t="shared" si="74"/>
        <v>#VALUE!</v>
      </c>
      <c r="CJ97" s="246">
        <v>28</v>
      </c>
      <c r="CK97" s="251" t="e">
        <f t="shared" si="75"/>
        <v>#VALUE!</v>
      </c>
      <c r="CL97" s="246"/>
      <c r="CM97" s="246"/>
      <c r="CO97" s="176">
        <v>93</v>
      </c>
      <c r="CP97" s="246" t="s">
        <v>1582</v>
      </c>
      <c r="CQ97" s="246" t="b">
        <v>1</v>
      </c>
      <c r="CR97" s="246" t="s">
        <v>170</v>
      </c>
      <c r="CS97" s="246"/>
      <c r="CT97" s="246">
        <v>65</v>
      </c>
      <c r="CU97" s="246">
        <v>1</v>
      </c>
      <c r="CV97" s="170">
        <f t="shared" si="90"/>
        <v>89</v>
      </c>
      <c r="CW97" s="246">
        <v>1.25</v>
      </c>
      <c r="CX97" s="246">
        <v>12</v>
      </c>
      <c r="CY97" s="251" t="e">
        <f t="shared" si="77"/>
        <v>#VALUE!</v>
      </c>
      <c r="CZ97" s="246">
        <v>28</v>
      </c>
      <c r="DA97" s="251" t="e">
        <f t="shared" si="78"/>
        <v>#VALUE!</v>
      </c>
      <c r="DB97" s="246"/>
      <c r="DC97" s="246"/>
      <c r="DE97" s="176">
        <v>93</v>
      </c>
      <c r="DF97" s="246" t="s">
        <v>1582</v>
      </c>
      <c r="DG97" s="246" t="b">
        <v>1</v>
      </c>
      <c r="DH97" s="246" t="s">
        <v>170</v>
      </c>
      <c r="DI97" s="246"/>
      <c r="DJ97" s="246">
        <v>65</v>
      </c>
      <c r="DK97" s="246">
        <v>1</v>
      </c>
      <c r="DL97" s="170">
        <f t="shared" si="91"/>
        <v>89</v>
      </c>
      <c r="DM97" s="246">
        <v>1.25</v>
      </c>
      <c r="DN97" s="246">
        <v>12</v>
      </c>
      <c r="DO97" s="251" t="e">
        <f t="shared" si="80"/>
        <v>#VALUE!</v>
      </c>
      <c r="DP97" s="246">
        <v>28</v>
      </c>
      <c r="DQ97" s="251" t="e">
        <f t="shared" si="81"/>
        <v>#VALUE!</v>
      </c>
      <c r="DR97" s="246"/>
      <c r="DS97" s="246"/>
      <c r="DU97" s="176">
        <v>93</v>
      </c>
      <c r="DV97" s="170" t="str">
        <f t="shared" si="82"/>
        <v>1.2D + L + Di + Wi + 0.5S (240 deg</v>
      </c>
      <c r="DW97" s="170">
        <v>1</v>
      </c>
      <c r="DX97" s="170" t="s">
        <v>170</v>
      </c>
      <c r="DY97" s="170"/>
      <c r="DZ97" s="170">
        <v>65</v>
      </c>
      <c r="EA97" s="170">
        <v>1.2</v>
      </c>
      <c r="EB97" s="170">
        <v>89</v>
      </c>
      <c r="EC97" s="170">
        <v>1.5</v>
      </c>
      <c r="ED97" s="170">
        <v>12</v>
      </c>
      <c r="EE97" s="180" t="e">
        <f>qmz/qz/Kes.w</f>
        <v>#VALUE!</v>
      </c>
      <c r="EF97" s="170"/>
      <c r="EG97" s="170"/>
      <c r="EH97" s="170"/>
      <c r="EI97" s="170"/>
      <c r="EK97" s="2" t="s">
        <v>512</v>
      </c>
      <c r="EL97" s="2">
        <v>240</v>
      </c>
      <c r="EN97" s="176">
        <v>93</v>
      </c>
    </row>
    <row r="98" spans="1:144" ht="18" customHeight="1" x14ac:dyDescent="0.2">
      <c r="M98" s="176">
        <f t="shared" si="83"/>
        <v>94</v>
      </c>
      <c r="N98" s="174" t="str">
        <f t="shared" si="92"/>
        <v>1.2D + 1.5Lm_4 + 1.0Wm  | 270 deg</v>
      </c>
      <c r="O98" s="174" t="b">
        <v>1</v>
      </c>
      <c r="P98" s="174" t="str">
        <f t="shared" si="93"/>
        <v>Y</v>
      </c>
      <c r="Q98" s="174" t="str">
        <f t="shared" si="94"/>
        <v/>
      </c>
      <c r="R98" s="174">
        <f t="shared" si="64"/>
        <v>65</v>
      </c>
      <c r="S98" s="174">
        <f t="shared" si="65"/>
        <v>1.2</v>
      </c>
      <c r="T98" s="174">
        <f t="shared" si="66"/>
        <v>89</v>
      </c>
      <c r="U98" s="174">
        <f t="shared" si="67"/>
        <v>1.5</v>
      </c>
      <c r="V98" s="174">
        <f t="shared" si="68"/>
        <v>13</v>
      </c>
      <c r="W98" s="174" t="e">
        <f t="shared" si="69"/>
        <v>#VALUE!</v>
      </c>
      <c r="X98" s="174">
        <f t="shared" si="70"/>
        <v>29</v>
      </c>
      <c r="Y98" s="174" t="e">
        <f t="shared" si="71"/>
        <v>#VALUE!</v>
      </c>
      <c r="Z98" s="174" t="str">
        <f t="shared" si="86"/>
        <v/>
      </c>
      <c r="AA98" s="174" t="str">
        <f t="shared" si="87"/>
        <v/>
      </c>
      <c r="AC98" s="176">
        <v>94</v>
      </c>
      <c r="AD98" s="174" t="s">
        <v>1583</v>
      </c>
      <c r="AE98" s="174" t="b">
        <v>1</v>
      </c>
      <c r="AF98" s="174" t="s">
        <v>170</v>
      </c>
      <c r="AG98" s="174"/>
      <c r="AH98" s="174">
        <v>65</v>
      </c>
      <c r="AI98" s="174">
        <v>1.2</v>
      </c>
      <c r="AJ98" s="174">
        <f t="shared" si="95"/>
        <v>89</v>
      </c>
      <c r="AK98" s="175">
        <v>1.5</v>
      </c>
      <c r="AL98" s="174">
        <v>13</v>
      </c>
      <c r="AM98" s="181" t="e">
        <f>qmz/qz/Kes.w</f>
        <v>#VALUE!</v>
      </c>
      <c r="AN98" s="174">
        <v>29</v>
      </c>
      <c r="AO98" s="181" t="e">
        <f>qmz/qz/Kes.w</f>
        <v>#VALUE!</v>
      </c>
      <c r="AP98" s="174"/>
      <c r="AQ98" s="174"/>
      <c r="AS98" s="176">
        <v>94</v>
      </c>
      <c r="AT98" s="174" t="s">
        <v>1584</v>
      </c>
      <c r="AU98" s="174" t="b">
        <v>1</v>
      </c>
      <c r="AV98" s="174" t="s">
        <v>170</v>
      </c>
      <c r="AW98" s="174"/>
      <c r="AX98" s="174">
        <v>65</v>
      </c>
      <c r="AY98" s="174">
        <v>0.9</v>
      </c>
      <c r="AZ98" s="174">
        <v>67</v>
      </c>
      <c r="BA98" s="174">
        <v>-1</v>
      </c>
      <c r="BB98" s="174">
        <v>82</v>
      </c>
      <c r="BC98" s="174">
        <v>-1</v>
      </c>
      <c r="BD98" s="174">
        <v>68</v>
      </c>
      <c r="BE98" s="181">
        <v>-1.83772268236293E-16</v>
      </c>
      <c r="BF98" s="174">
        <v>69</v>
      </c>
      <c r="BG98" s="181">
        <v>-1</v>
      </c>
      <c r="BI98" s="176">
        <v>94</v>
      </c>
      <c r="BJ98" s="174" t="s">
        <v>1583</v>
      </c>
      <c r="BK98" s="174" t="b">
        <v>1</v>
      </c>
      <c r="BL98" s="174" t="s">
        <v>170</v>
      </c>
      <c r="BM98" s="174"/>
      <c r="BN98" s="174">
        <v>65</v>
      </c>
      <c r="BO98" s="174">
        <v>1.2</v>
      </c>
      <c r="BP98" s="174">
        <f t="shared" si="88"/>
        <v>89</v>
      </c>
      <c r="BQ98" s="175">
        <v>1.5</v>
      </c>
      <c r="BR98" s="174">
        <v>13</v>
      </c>
      <c r="BS98" s="181" t="e">
        <f>qmz/qz/Kes.w</f>
        <v>#VALUE!</v>
      </c>
      <c r="BT98" s="174">
        <v>29</v>
      </c>
      <c r="BU98" s="181" t="e">
        <f>qmz/qz/Kes.w</f>
        <v>#VALUE!</v>
      </c>
      <c r="BV98" s="174"/>
      <c r="BW98" s="174"/>
      <c r="BY98" s="176">
        <v>94</v>
      </c>
      <c r="BZ98" s="249" t="s">
        <v>1585</v>
      </c>
      <c r="CA98" s="249" t="b">
        <v>1</v>
      </c>
      <c r="CB98" s="249" t="s">
        <v>170</v>
      </c>
      <c r="CC98" s="249"/>
      <c r="CD98" s="249">
        <v>65</v>
      </c>
      <c r="CE98" s="249">
        <v>1</v>
      </c>
      <c r="CF98" s="174">
        <f t="shared" si="89"/>
        <v>89</v>
      </c>
      <c r="CG98" s="248">
        <v>1.25</v>
      </c>
      <c r="CH98" s="249">
        <v>13</v>
      </c>
      <c r="CI98" s="252" t="e">
        <f t="shared" si="74"/>
        <v>#VALUE!</v>
      </c>
      <c r="CJ98" s="249">
        <v>29</v>
      </c>
      <c r="CK98" s="252" t="e">
        <f t="shared" si="75"/>
        <v>#VALUE!</v>
      </c>
      <c r="CL98" s="249"/>
      <c r="CM98" s="249"/>
      <c r="CO98" s="176">
        <v>94</v>
      </c>
      <c r="CP98" s="249" t="s">
        <v>1585</v>
      </c>
      <c r="CQ98" s="249" t="b">
        <v>1</v>
      </c>
      <c r="CR98" s="249" t="s">
        <v>170</v>
      </c>
      <c r="CS98" s="249"/>
      <c r="CT98" s="249">
        <v>65</v>
      </c>
      <c r="CU98" s="249">
        <v>1</v>
      </c>
      <c r="CV98" s="174">
        <f t="shared" si="90"/>
        <v>89</v>
      </c>
      <c r="CW98" s="248">
        <v>1.25</v>
      </c>
      <c r="CX98" s="249">
        <v>13</v>
      </c>
      <c r="CY98" s="252" t="e">
        <f t="shared" si="77"/>
        <v>#VALUE!</v>
      </c>
      <c r="CZ98" s="249">
        <v>29</v>
      </c>
      <c r="DA98" s="252" t="e">
        <f t="shared" si="78"/>
        <v>#VALUE!</v>
      </c>
      <c r="DB98" s="249"/>
      <c r="DC98" s="249"/>
      <c r="DE98" s="176">
        <v>94</v>
      </c>
      <c r="DF98" s="249" t="s">
        <v>1585</v>
      </c>
      <c r="DG98" s="249" t="b">
        <v>1</v>
      </c>
      <c r="DH98" s="249" t="s">
        <v>170</v>
      </c>
      <c r="DI98" s="249"/>
      <c r="DJ98" s="249">
        <v>65</v>
      </c>
      <c r="DK98" s="249">
        <v>1</v>
      </c>
      <c r="DL98" s="174">
        <f t="shared" si="91"/>
        <v>89</v>
      </c>
      <c r="DM98" s="248">
        <v>1.25</v>
      </c>
      <c r="DN98" s="249">
        <v>13</v>
      </c>
      <c r="DO98" s="252" t="e">
        <f t="shared" si="80"/>
        <v>#VALUE!</v>
      </c>
      <c r="DP98" s="249">
        <v>29</v>
      </c>
      <c r="DQ98" s="252" t="e">
        <f t="shared" si="81"/>
        <v>#VALUE!</v>
      </c>
      <c r="DR98" s="249"/>
      <c r="DS98" s="249"/>
      <c r="DU98" s="176">
        <v>94</v>
      </c>
      <c r="DV98" s="174" t="str">
        <f t="shared" si="82"/>
        <v>1.2D + L + Di + Wi + 0.5S (270 deg</v>
      </c>
      <c r="DW98" s="174">
        <v>1</v>
      </c>
      <c r="DX98" s="174" t="s">
        <v>170</v>
      </c>
      <c r="DY98" s="174"/>
      <c r="DZ98" s="174">
        <v>65</v>
      </c>
      <c r="EA98" s="174">
        <v>1.2</v>
      </c>
      <c r="EB98" s="174">
        <v>89</v>
      </c>
      <c r="EC98" s="175">
        <v>1.5</v>
      </c>
      <c r="ED98" s="174">
        <v>13</v>
      </c>
      <c r="EE98" s="181" t="e">
        <f>qmz/qz/Kes.w</f>
        <v>#VALUE!</v>
      </c>
      <c r="EF98" s="174"/>
      <c r="EG98" s="174"/>
      <c r="EH98" s="174"/>
      <c r="EI98" s="174"/>
      <c r="EK98" s="2" t="s">
        <v>512</v>
      </c>
      <c r="EL98" s="2">
        <v>270</v>
      </c>
      <c r="EN98" s="176">
        <v>94</v>
      </c>
    </row>
    <row r="99" spans="1:144" ht="18" customHeight="1" x14ac:dyDescent="0.2">
      <c r="M99" s="176">
        <f t="shared" si="83"/>
        <v>95</v>
      </c>
      <c r="N99" s="170" t="str">
        <f t="shared" si="92"/>
        <v>1.2D + 1.5Lm_4 + 1.0Wm  | 300 deg</v>
      </c>
      <c r="O99" s="170" t="b">
        <v>1</v>
      </c>
      <c r="P99" s="170" t="str">
        <f t="shared" si="93"/>
        <v>Y</v>
      </c>
      <c r="Q99" s="170" t="str">
        <f t="shared" si="94"/>
        <v/>
      </c>
      <c r="R99" s="170">
        <f t="shared" si="64"/>
        <v>65</v>
      </c>
      <c r="S99" s="170">
        <f t="shared" si="65"/>
        <v>1.2</v>
      </c>
      <c r="T99" s="170">
        <f t="shared" si="66"/>
        <v>89</v>
      </c>
      <c r="U99" s="170">
        <f t="shared" si="67"/>
        <v>1.5</v>
      </c>
      <c r="V99" s="170">
        <f t="shared" si="68"/>
        <v>14</v>
      </c>
      <c r="W99" s="170" t="e">
        <f t="shared" si="69"/>
        <v>#VALUE!</v>
      </c>
      <c r="X99" s="170">
        <f t="shared" si="70"/>
        <v>30</v>
      </c>
      <c r="Y99" s="170" t="e">
        <f t="shared" si="71"/>
        <v>#VALUE!</v>
      </c>
      <c r="Z99" s="170" t="str">
        <f t="shared" si="86"/>
        <v/>
      </c>
      <c r="AA99" s="170" t="str">
        <f t="shared" si="87"/>
        <v/>
      </c>
      <c r="AC99" s="176">
        <v>95</v>
      </c>
      <c r="AD99" s="170" t="s">
        <v>1673</v>
      </c>
      <c r="AE99" s="170" t="b">
        <v>1</v>
      </c>
      <c r="AF99" s="170" t="s">
        <v>170</v>
      </c>
      <c r="AG99" s="170"/>
      <c r="AH99" s="170">
        <v>65</v>
      </c>
      <c r="AI99" s="170">
        <v>1.2</v>
      </c>
      <c r="AJ99" s="170">
        <f t="shared" si="95"/>
        <v>89</v>
      </c>
      <c r="AK99" s="170">
        <v>1.5</v>
      </c>
      <c r="AL99" s="170">
        <v>14</v>
      </c>
      <c r="AM99" s="180" t="e">
        <f>qmz/qz/Kes.w</f>
        <v>#VALUE!</v>
      </c>
      <c r="AN99" s="170">
        <v>30</v>
      </c>
      <c r="AO99" s="180" t="e">
        <f>qmz/qz/Kes.w</f>
        <v>#VALUE!</v>
      </c>
      <c r="AP99" s="170"/>
      <c r="AQ99" s="170"/>
      <c r="AS99" s="176">
        <v>95</v>
      </c>
      <c r="AT99" s="170" t="s">
        <v>1674</v>
      </c>
      <c r="AU99" s="170" t="b">
        <v>1</v>
      </c>
      <c r="AV99" s="170" t="s">
        <v>170</v>
      </c>
      <c r="AW99" s="170"/>
      <c r="AX99" s="170">
        <v>65</v>
      </c>
      <c r="AY99" s="170">
        <v>0.9</v>
      </c>
      <c r="AZ99" s="170">
        <v>67</v>
      </c>
      <c r="BA99" s="170">
        <v>-1</v>
      </c>
      <c r="BB99" s="170">
        <v>83</v>
      </c>
      <c r="BC99" s="170">
        <v>-1</v>
      </c>
      <c r="BD99" s="170">
        <v>68</v>
      </c>
      <c r="BE99" s="180">
        <v>0.50000000000000011</v>
      </c>
      <c r="BF99" s="170">
        <v>69</v>
      </c>
      <c r="BG99" s="180">
        <v>-0.8660254037844386</v>
      </c>
      <c r="BI99" s="176">
        <v>95</v>
      </c>
      <c r="BJ99" s="170" t="s">
        <v>1673</v>
      </c>
      <c r="BK99" s="170" t="b">
        <v>1</v>
      </c>
      <c r="BL99" s="170" t="s">
        <v>170</v>
      </c>
      <c r="BM99" s="170"/>
      <c r="BN99" s="170">
        <v>65</v>
      </c>
      <c r="BO99" s="170">
        <v>1.2</v>
      </c>
      <c r="BP99" s="170">
        <f t="shared" si="88"/>
        <v>89</v>
      </c>
      <c r="BQ99" s="170">
        <v>1.5</v>
      </c>
      <c r="BR99" s="170">
        <v>14</v>
      </c>
      <c r="BS99" s="180" t="e">
        <f>qmz/qz/Kes.w</f>
        <v>#VALUE!</v>
      </c>
      <c r="BT99" s="170">
        <v>30</v>
      </c>
      <c r="BU99" s="180" t="e">
        <f>qmz/qz/Kes.w</f>
        <v>#VALUE!</v>
      </c>
      <c r="BV99" s="170"/>
      <c r="BW99" s="170"/>
      <c r="BY99" s="176">
        <v>95</v>
      </c>
      <c r="BZ99" s="246" t="s">
        <v>1675</v>
      </c>
      <c r="CA99" s="246" t="b">
        <v>1</v>
      </c>
      <c r="CB99" s="246" t="s">
        <v>170</v>
      </c>
      <c r="CC99" s="246"/>
      <c r="CD99" s="246">
        <v>65</v>
      </c>
      <c r="CE99" s="246">
        <v>1</v>
      </c>
      <c r="CF99" s="170">
        <f t="shared" si="89"/>
        <v>89</v>
      </c>
      <c r="CG99" s="246">
        <v>1.25</v>
      </c>
      <c r="CH99" s="246">
        <v>14</v>
      </c>
      <c r="CI99" s="251" t="e">
        <f t="shared" si="74"/>
        <v>#VALUE!</v>
      </c>
      <c r="CJ99" s="246">
        <v>30</v>
      </c>
      <c r="CK99" s="251" t="e">
        <f t="shared" si="75"/>
        <v>#VALUE!</v>
      </c>
      <c r="CL99" s="246"/>
      <c r="CM99" s="246"/>
      <c r="CO99" s="176">
        <v>95</v>
      </c>
      <c r="CP99" s="246" t="s">
        <v>1675</v>
      </c>
      <c r="CQ99" s="246" t="b">
        <v>1</v>
      </c>
      <c r="CR99" s="246" t="s">
        <v>170</v>
      </c>
      <c r="CS99" s="246"/>
      <c r="CT99" s="246">
        <v>65</v>
      </c>
      <c r="CU99" s="246">
        <v>1</v>
      </c>
      <c r="CV99" s="170">
        <f t="shared" si="90"/>
        <v>89</v>
      </c>
      <c r="CW99" s="246">
        <v>1.25</v>
      </c>
      <c r="CX99" s="246">
        <v>14</v>
      </c>
      <c r="CY99" s="251" t="e">
        <f t="shared" si="77"/>
        <v>#VALUE!</v>
      </c>
      <c r="CZ99" s="246">
        <v>30</v>
      </c>
      <c r="DA99" s="251" t="e">
        <f t="shared" si="78"/>
        <v>#VALUE!</v>
      </c>
      <c r="DB99" s="246"/>
      <c r="DC99" s="246"/>
      <c r="DE99" s="176">
        <v>95</v>
      </c>
      <c r="DF99" s="246" t="s">
        <v>1675</v>
      </c>
      <c r="DG99" s="246" t="b">
        <v>1</v>
      </c>
      <c r="DH99" s="246" t="s">
        <v>170</v>
      </c>
      <c r="DI99" s="246"/>
      <c r="DJ99" s="246">
        <v>65</v>
      </c>
      <c r="DK99" s="246">
        <v>1</v>
      </c>
      <c r="DL99" s="170">
        <f t="shared" si="91"/>
        <v>89</v>
      </c>
      <c r="DM99" s="246">
        <v>1.25</v>
      </c>
      <c r="DN99" s="246">
        <v>14</v>
      </c>
      <c r="DO99" s="251" t="e">
        <f t="shared" si="80"/>
        <v>#VALUE!</v>
      </c>
      <c r="DP99" s="246">
        <v>30</v>
      </c>
      <c r="DQ99" s="251" t="e">
        <f t="shared" si="81"/>
        <v>#VALUE!</v>
      </c>
      <c r="DR99" s="246"/>
      <c r="DS99" s="246"/>
      <c r="DU99" s="176">
        <v>95</v>
      </c>
      <c r="DV99" s="170" t="str">
        <f t="shared" si="82"/>
        <v>1.2D + L + Di + Wi + 0.5S (300 deg</v>
      </c>
      <c r="DW99" s="170">
        <v>1</v>
      </c>
      <c r="DX99" s="170" t="s">
        <v>170</v>
      </c>
      <c r="DY99" s="170"/>
      <c r="DZ99" s="170">
        <v>65</v>
      </c>
      <c r="EA99" s="170">
        <v>1.2</v>
      </c>
      <c r="EB99" s="170">
        <v>89</v>
      </c>
      <c r="EC99" s="170">
        <v>1.5</v>
      </c>
      <c r="ED99" s="170">
        <v>14</v>
      </c>
      <c r="EE99" s="180" t="e">
        <f>qmz/qz/Kes.w</f>
        <v>#VALUE!</v>
      </c>
      <c r="EF99" s="170"/>
      <c r="EG99" s="170"/>
      <c r="EH99" s="170"/>
      <c r="EI99" s="170"/>
      <c r="EK99" s="2" t="s">
        <v>512</v>
      </c>
      <c r="EL99" s="2">
        <v>300</v>
      </c>
      <c r="EN99" s="176">
        <v>95</v>
      </c>
    </row>
    <row r="100" spans="1:144" ht="18" customHeight="1" x14ac:dyDescent="0.2">
      <c r="M100" s="176">
        <f t="shared" si="83"/>
        <v>96</v>
      </c>
      <c r="N100" s="174" t="str">
        <f t="shared" si="92"/>
        <v>1.2D + 1.5Lm_4 + 1.0Wm  | 315 deg</v>
      </c>
      <c r="O100" s="174" t="b">
        <v>1</v>
      </c>
      <c r="P100" s="174" t="str">
        <f t="shared" si="93"/>
        <v>Y</v>
      </c>
      <c r="Q100" s="174" t="str">
        <f t="shared" si="94"/>
        <v/>
      </c>
      <c r="R100" s="174">
        <f t="shared" si="64"/>
        <v>65</v>
      </c>
      <c r="S100" s="174">
        <f t="shared" si="65"/>
        <v>1.2</v>
      </c>
      <c r="T100" s="174">
        <f t="shared" si="66"/>
        <v>89</v>
      </c>
      <c r="U100" s="174">
        <f t="shared" si="67"/>
        <v>1.5</v>
      </c>
      <c r="V100" s="174">
        <f t="shared" si="68"/>
        <v>15</v>
      </c>
      <c r="W100" s="174" t="e">
        <f t="shared" si="69"/>
        <v>#VALUE!</v>
      </c>
      <c r="X100" s="174">
        <f t="shared" si="70"/>
        <v>31</v>
      </c>
      <c r="Y100" s="174" t="e">
        <f t="shared" si="71"/>
        <v>#VALUE!</v>
      </c>
      <c r="Z100" s="174" t="str">
        <f t="shared" si="86"/>
        <v/>
      </c>
      <c r="AA100" s="174" t="str">
        <f t="shared" si="87"/>
        <v/>
      </c>
      <c r="AC100" s="176">
        <v>96</v>
      </c>
      <c r="AD100" s="174" t="s">
        <v>1676</v>
      </c>
      <c r="AE100" s="174" t="b">
        <v>1</v>
      </c>
      <c r="AF100" s="174" t="s">
        <v>170</v>
      </c>
      <c r="AG100" s="174"/>
      <c r="AH100" s="174">
        <v>65</v>
      </c>
      <c r="AI100" s="174">
        <v>1.2</v>
      </c>
      <c r="AJ100" s="174">
        <f t="shared" si="95"/>
        <v>89</v>
      </c>
      <c r="AK100" s="175">
        <v>1.5</v>
      </c>
      <c r="AL100" s="174">
        <v>15</v>
      </c>
      <c r="AM100" s="181" t="e">
        <f>qmz/qz/Kes.w</f>
        <v>#VALUE!</v>
      </c>
      <c r="AN100" s="174">
        <v>31</v>
      </c>
      <c r="AO100" s="181" t="e">
        <f>qmz/qz/Kes.w</f>
        <v>#VALUE!</v>
      </c>
      <c r="AP100" s="174"/>
      <c r="AQ100" s="174"/>
      <c r="AS100" s="176">
        <v>96</v>
      </c>
      <c r="AT100" s="174" t="s">
        <v>1677</v>
      </c>
      <c r="AU100" s="174"/>
      <c r="AV100" s="174" t="s">
        <v>170</v>
      </c>
      <c r="AW100" s="174"/>
      <c r="AX100" s="174">
        <v>65</v>
      </c>
      <c r="AY100" s="174">
        <v>0.9</v>
      </c>
      <c r="AZ100" s="174">
        <v>67</v>
      </c>
      <c r="BA100" s="174">
        <v>-1</v>
      </c>
      <c r="BB100" s="174">
        <v>84</v>
      </c>
      <c r="BC100" s="174">
        <v>-1</v>
      </c>
      <c r="BD100" s="174">
        <v>68</v>
      </c>
      <c r="BE100" s="181">
        <v>0.70710678118654735</v>
      </c>
      <c r="BF100" s="174">
        <v>69</v>
      </c>
      <c r="BG100" s="181">
        <v>-0.70710678118654768</v>
      </c>
      <c r="BI100" s="176">
        <v>96</v>
      </c>
      <c r="BJ100" s="174" t="s">
        <v>1676</v>
      </c>
      <c r="BK100" s="174" t="b">
        <v>1</v>
      </c>
      <c r="BL100" s="174" t="s">
        <v>170</v>
      </c>
      <c r="BM100" s="174"/>
      <c r="BN100" s="174">
        <v>65</v>
      </c>
      <c r="BO100" s="174">
        <v>1.2</v>
      </c>
      <c r="BP100" s="174">
        <f t="shared" si="88"/>
        <v>89</v>
      </c>
      <c r="BQ100" s="175">
        <v>1.5</v>
      </c>
      <c r="BR100" s="174">
        <v>15</v>
      </c>
      <c r="BS100" s="181" t="e">
        <f>qmz/qz/Kes.w</f>
        <v>#VALUE!</v>
      </c>
      <c r="BT100" s="174">
        <v>31</v>
      </c>
      <c r="BU100" s="181" t="e">
        <f>qmz/qz/Kes.w</f>
        <v>#VALUE!</v>
      </c>
      <c r="BV100" s="174"/>
      <c r="BW100" s="174"/>
      <c r="BY100" s="176">
        <v>96</v>
      </c>
      <c r="BZ100" s="249" t="s">
        <v>1678</v>
      </c>
      <c r="CA100" s="249" t="b">
        <v>1</v>
      </c>
      <c r="CB100" s="249" t="s">
        <v>170</v>
      </c>
      <c r="CC100" s="249"/>
      <c r="CD100" s="249">
        <v>65</v>
      </c>
      <c r="CE100" s="249">
        <v>1</v>
      </c>
      <c r="CF100" s="174">
        <f t="shared" si="89"/>
        <v>89</v>
      </c>
      <c r="CG100" s="248">
        <v>1.25</v>
      </c>
      <c r="CH100" s="249">
        <v>15</v>
      </c>
      <c r="CI100" s="252" t="e">
        <f t="shared" si="74"/>
        <v>#VALUE!</v>
      </c>
      <c r="CJ100" s="249">
        <v>31</v>
      </c>
      <c r="CK100" s="252" t="e">
        <f t="shared" si="75"/>
        <v>#VALUE!</v>
      </c>
      <c r="CL100" s="249"/>
      <c r="CM100" s="249"/>
      <c r="CO100" s="176">
        <v>96</v>
      </c>
      <c r="CP100" s="249" t="s">
        <v>1678</v>
      </c>
      <c r="CQ100" s="249" t="b">
        <v>1</v>
      </c>
      <c r="CR100" s="249" t="s">
        <v>170</v>
      </c>
      <c r="CS100" s="249"/>
      <c r="CT100" s="249">
        <v>65</v>
      </c>
      <c r="CU100" s="249">
        <v>1</v>
      </c>
      <c r="CV100" s="174">
        <f t="shared" si="90"/>
        <v>89</v>
      </c>
      <c r="CW100" s="248">
        <v>1.25</v>
      </c>
      <c r="CX100" s="249">
        <v>15</v>
      </c>
      <c r="CY100" s="252" t="e">
        <f t="shared" si="77"/>
        <v>#VALUE!</v>
      </c>
      <c r="CZ100" s="249">
        <v>31</v>
      </c>
      <c r="DA100" s="252" t="e">
        <f t="shared" si="78"/>
        <v>#VALUE!</v>
      </c>
      <c r="DB100" s="249"/>
      <c r="DC100" s="249"/>
      <c r="DE100" s="176">
        <v>96</v>
      </c>
      <c r="DF100" s="249" t="s">
        <v>1678</v>
      </c>
      <c r="DG100" s="249" t="b">
        <v>1</v>
      </c>
      <c r="DH100" s="249" t="s">
        <v>170</v>
      </c>
      <c r="DI100" s="249"/>
      <c r="DJ100" s="249">
        <v>65</v>
      </c>
      <c r="DK100" s="249">
        <v>1</v>
      </c>
      <c r="DL100" s="174">
        <f t="shared" si="91"/>
        <v>89</v>
      </c>
      <c r="DM100" s="248">
        <v>1.25</v>
      </c>
      <c r="DN100" s="249">
        <v>15</v>
      </c>
      <c r="DO100" s="252" t="e">
        <f t="shared" si="80"/>
        <v>#VALUE!</v>
      </c>
      <c r="DP100" s="249">
        <v>31</v>
      </c>
      <c r="DQ100" s="252" t="e">
        <f t="shared" si="81"/>
        <v>#VALUE!</v>
      </c>
      <c r="DR100" s="249"/>
      <c r="DS100" s="249"/>
      <c r="DU100" s="176">
        <v>96</v>
      </c>
      <c r="DV100" s="174" t="str">
        <f t="shared" si="82"/>
        <v>1.2D + L + Di + Wi + 0.5S (315 deg</v>
      </c>
      <c r="DW100" s="174">
        <v>1</v>
      </c>
      <c r="DX100" s="174" t="s">
        <v>170</v>
      </c>
      <c r="DY100" s="174"/>
      <c r="DZ100" s="174">
        <v>65</v>
      </c>
      <c r="EA100" s="174">
        <v>1.2</v>
      </c>
      <c r="EB100" s="174">
        <v>89</v>
      </c>
      <c r="EC100" s="175">
        <v>1.5</v>
      </c>
      <c r="ED100" s="174">
        <v>15</v>
      </c>
      <c r="EE100" s="181" t="e">
        <f>qmz/qz/Kes.w</f>
        <v>#VALUE!</v>
      </c>
      <c r="EF100" s="174"/>
      <c r="EG100" s="174"/>
      <c r="EH100" s="174"/>
      <c r="EI100" s="174"/>
      <c r="EK100" s="2" t="s">
        <v>512</v>
      </c>
      <c r="EL100" s="2">
        <v>315</v>
      </c>
      <c r="EN100" s="176">
        <v>96</v>
      </c>
    </row>
    <row r="101" spans="1:144" ht="18" customHeight="1" thickBot="1" x14ac:dyDescent="0.25">
      <c r="M101" s="176">
        <f t="shared" si="83"/>
        <v>97</v>
      </c>
      <c r="N101" s="170" t="str">
        <f t="shared" si="92"/>
        <v>1.2D + 1.5Lm_4 + 1.0Wm  | 330 deg</v>
      </c>
      <c r="O101" s="170" t="b">
        <v>1</v>
      </c>
      <c r="P101" s="170" t="str">
        <f t="shared" si="93"/>
        <v>Y</v>
      </c>
      <c r="Q101" s="170" t="str">
        <f t="shared" si="94"/>
        <v/>
      </c>
      <c r="R101" s="170">
        <f t="shared" si="64"/>
        <v>65</v>
      </c>
      <c r="S101" s="170">
        <f t="shared" si="65"/>
        <v>1.2</v>
      </c>
      <c r="T101" s="170">
        <f t="shared" si="66"/>
        <v>89</v>
      </c>
      <c r="U101" s="170">
        <f t="shared" si="67"/>
        <v>1.5</v>
      </c>
      <c r="V101" s="170">
        <f t="shared" si="68"/>
        <v>16</v>
      </c>
      <c r="W101" s="170" t="e">
        <f t="shared" si="69"/>
        <v>#VALUE!</v>
      </c>
      <c r="X101" s="170">
        <f t="shared" si="70"/>
        <v>32</v>
      </c>
      <c r="Y101" s="170" t="e">
        <f t="shared" si="71"/>
        <v>#VALUE!</v>
      </c>
      <c r="Z101" s="170" t="str">
        <f t="shared" si="86"/>
        <v/>
      </c>
      <c r="AA101" s="170" t="str">
        <f t="shared" si="87"/>
        <v/>
      </c>
      <c r="AC101" s="177">
        <v>97</v>
      </c>
      <c r="AD101" s="173" t="s">
        <v>1679</v>
      </c>
      <c r="AE101" s="173" t="b">
        <v>1</v>
      </c>
      <c r="AF101" s="173" t="s">
        <v>170</v>
      </c>
      <c r="AG101" s="173"/>
      <c r="AH101" s="173">
        <v>65</v>
      </c>
      <c r="AI101" s="173">
        <v>1.2</v>
      </c>
      <c r="AJ101" s="173">
        <f t="shared" si="95"/>
        <v>89</v>
      </c>
      <c r="AK101" s="173">
        <v>1.5</v>
      </c>
      <c r="AL101" s="173">
        <v>16</v>
      </c>
      <c r="AM101" s="182" t="e">
        <f>qmz/qz/Kes.w</f>
        <v>#VALUE!</v>
      </c>
      <c r="AN101" s="173">
        <v>32</v>
      </c>
      <c r="AO101" s="182" t="e">
        <f>qmz/qz/Kes.w</f>
        <v>#VALUE!</v>
      </c>
      <c r="AP101" s="173"/>
      <c r="AQ101" s="173"/>
      <c r="AS101" s="176">
        <v>97</v>
      </c>
      <c r="AT101" s="170" t="s">
        <v>1680</v>
      </c>
      <c r="AU101" s="170" t="b">
        <v>1</v>
      </c>
      <c r="AV101" s="170" t="s">
        <v>170</v>
      </c>
      <c r="AW101" s="170"/>
      <c r="AX101" s="170">
        <v>65</v>
      </c>
      <c r="AY101" s="170">
        <v>0.9</v>
      </c>
      <c r="AZ101" s="170">
        <v>67</v>
      </c>
      <c r="BA101" s="170">
        <v>-1</v>
      </c>
      <c r="BB101" s="170">
        <v>85</v>
      </c>
      <c r="BC101" s="170">
        <v>-1</v>
      </c>
      <c r="BD101" s="170">
        <v>68</v>
      </c>
      <c r="BE101" s="180">
        <v>0.86602540378443837</v>
      </c>
      <c r="BF101" s="170">
        <v>69</v>
      </c>
      <c r="BG101" s="180">
        <v>-0.50000000000000044</v>
      </c>
      <c r="BI101" s="177">
        <v>97</v>
      </c>
      <c r="BJ101" s="173" t="s">
        <v>1679</v>
      </c>
      <c r="BK101" s="173" t="b">
        <v>1</v>
      </c>
      <c r="BL101" s="173" t="s">
        <v>170</v>
      </c>
      <c r="BM101" s="173"/>
      <c r="BN101" s="173">
        <v>65</v>
      </c>
      <c r="BO101" s="173">
        <v>1.2</v>
      </c>
      <c r="BP101" s="173">
        <f t="shared" si="88"/>
        <v>89</v>
      </c>
      <c r="BQ101" s="173">
        <v>1.5</v>
      </c>
      <c r="BR101" s="173">
        <v>16</v>
      </c>
      <c r="BS101" s="182" t="e">
        <f>qmz/qz/Kes.w</f>
        <v>#VALUE!</v>
      </c>
      <c r="BT101" s="173">
        <v>32</v>
      </c>
      <c r="BU101" s="182" t="e">
        <f>qmz/qz/Kes.w</f>
        <v>#VALUE!</v>
      </c>
      <c r="BV101" s="173"/>
      <c r="BW101" s="173"/>
      <c r="BY101" s="177">
        <v>97</v>
      </c>
      <c r="BZ101" s="247" t="s">
        <v>1681</v>
      </c>
      <c r="CA101" s="247" t="b">
        <v>1</v>
      </c>
      <c r="CB101" s="247" t="s">
        <v>170</v>
      </c>
      <c r="CC101" s="247"/>
      <c r="CD101" s="247">
        <v>65</v>
      </c>
      <c r="CE101" s="247">
        <v>1</v>
      </c>
      <c r="CF101" s="173">
        <f t="shared" si="89"/>
        <v>89</v>
      </c>
      <c r="CG101" s="247">
        <v>1.25</v>
      </c>
      <c r="CH101" s="247">
        <v>16</v>
      </c>
      <c r="CI101" s="253" t="e">
        <f t="shared" si="74"/>
        <v>#VALUE!</v>
      </c>
      <c r="CJ101" s="247">
        <v>32</v>
      </c>
      <c r="CK101" s="253" t="e">
        <f t="shared" si="75"/>
        <v>#VALUE!</v>
      </c>
      <c r="CL101" s="247"/>
      <c r="CM101" s="247"/>
      <c r="CO101" s="177">
        <v>97</v>
      </c>
      <c r="CP101" s="247" t="s">
        <v>1681</v>
      </c>
      <c r="CQ101" s="247" t="b">
        <v>1</v>
      </c>
      <c r="CR101" s="247" t="s">
        <v>170</v>
      </c>
      <c r="CS101" s="247"/>
      <c r="CT101" s="247">
        <v>65</v>
      </c>
      <c r="CU101" s="247">
        <v>1</v>
      </c>
      <c r="CV101" s="173">
        <f t="shared" si="90"/>
        <v>89</v>
      </c>
      <c r="CW101" s="247">
        <v>1.25</v>
      </c>
      <c r="CX101" s="247">
        <v>16</v>
      </c>
      <c r="CY101" s="253" t="e">
        <f t="shared" si="77"/>
        <v>#VALUE!</v>
      </c>
      <c r="CZ101" s="247">
        <v>32</v>
      </c>
      <c r="DA101" s="253" t="e">
        <f t="shared" si="78"/>
        <v>#VALUE!</v>
      </c>
      <c r="DB101" s="247"/>
      <c r="DC101" s="247"/>
      <c r="DE101" s="177">
        <v>97</v>
      </c>
      <c r="DF101" s="247" t="s">
        <v>1681</v>
      </c>
      <c r="DG101" s="247" t="b">
        <v>1</v>
      </c>
      <c r="DH101" s="247" t="s">
        <v>170</v>
      </c>
      <c r="DI101" s="247"/>
      <c r="DJ101" s="247">
        <v>65</v>
      </c>
      <c r="DK101" s="247">
        <v>1</v>
      </c>
      <c r="DL101" s="173">
        <f t="shared" si="91"/>
        <v>89</v>
      </c>
      <c r="DM101" s="247">
        <v>1.25</v>
      </c>
      <c r="DN101" s="247">
        <v>16</v>
      </c>
      <c r="DO101" s="253" t="e">
        <f t="shared" si="80"/>
        <v>#VALUE!</v>
      </c>
      <c r="DP101" s="247">
        <v>32</v>
      </c>
      <c r="DQ101" s="253" t="e">
        <f t="shared" si="81"/>
        <v>#VALUE!</v>
      </c>
      <c r="DR101" s="247"/>
      <c r="DS101" s="247"/>
      <c r="DU101" s="177">
        <v>97</v>
      </c>
      <c r="DV101" s="173" t="str">
        <f t="shared" si="82"/>
        <v>1.2D + L + Di + Wi + 0.5S (330 deg</v>
      </c>
      <c r="DW101" s="173">
        <v>1</v>
      </c>
      <c r="DX101" s="173" t="s">
        <v>170</v>
      </c>
      <c r="DY101" s="173"/>
      <c r="DZ101" s="173">
        <v>65</v>
      </c>
      <c r="EA101" s="173">
        <v>1.2</v>
      </c>
      <c r="EB101" s="173">
        <v>89</v>
      </c>
      <c r="EC101" s="173">
        <v>1.5</v>
      </c>
      <c r="ED101" s="173">
        <v>16</v>
      </c>
      <c r="EE101" s="182" t="e">
        <f>qmz/qz/Kes.w</f>
        <v>#VALUE!</v>
      </c>
      <c r="EF101" s="173"/>
      <c r="EG101" s="173"/>
      <c r="EH101" s="173"/>
      <c r="EI101" s="173"/>
      <c r="EK101" s="2" t="s">
        <v>512</v>
      </c>
      <c r="EL101" s="2">
        <v>330</v>
      </c>
      <c r="EN101" s="177">
        <v>97</v>
      </c>
    </row>
    <row r="102" spans="1:144" ht="18" customHeight="1" thickTop="1" x14ac:dyDescent="0.2">
      <c r="M102" s="176">
        <f t="shared" si="83"/>
        <v>98</v>
      </c>
      <c r="N102" s="174" t="str">
        <f t="shared" si="92"/>
        <v>1.2D + 1.5Lv_1</v>
      </c>
      <c r="O102" s="174" t="b">
        <v>1</v>
      </c>
      <c r="P102" s="174" t="str">
        <f t="shared" si="93"/>
        <v>Y</v>
      </c>
      <c r="Q102" s="174" t="str">
        <f t="shared" si="94"/>
        <v/>
      </c>
      <c r="R102" s="174">
        <f t="shared" ref="R102:R137" si="96">IF(IF($M$3=$AC$3,AH102,
 IF($M$3=$AS$3,AX102,
 IF($M$3=$BI$3,BN102,
 IF($M$3=$BY$3,CD102,
 IF($M$3=$CO$3,CT102,
 IF($M$3=$DE$3,DJ102))))))="","",
IF($M$3=$AC$3,AH102,
 IF($M$3=$AS$3,AX102,
 IF($M$3=$BI$3,BN102,
 IF($M$3=$BY$3,CD102,
 IF($M$3=$CO$3,CT102,
 IF($M$3=$DE$3,DJ102)))))))</f>
        <v>65</v>
      </c>
      <c r="S102" s="174">
        <f t="shared" ref="S102:S137" si="97">IF(IF($M$3=$AC$3,AI102,
 IF($M$3=$AS$3,AY102,
 IF($M$3=$BI$3,BO102,
 IF($M$3=$BY$3,CE102,
 IF($M$3=$CO$3,CU102,
 IF($M$3=$DE$3,DK102))))))="","",
IF($M$3=$AC$3,AI102,
 IF($M$3=$AS$3,AY102,
 IF($M$3=$BI$3,BO102,
 IF($M$3=$BY$3,CE102,
 IF($M$3=$CO$3,CU102,
 IF($M$3=$DE$3,DK102)))))))</f>
        <v>1.2</v>
      </c>
      <c r="T102" s="174">
        <f t="shared" ref="T102:T137" si="98">IF(IF($M$3=$AC$3,AJ102,
 IF($M$3=$AS$3,AZ102,
 IF($M$3=$BI$3,BP102,
 IF($M$3=$BY$3,CF102,
 IF($M$3=$CO$3,CV102,
 IF($M$3=$DE$3,DL102))))))="","",
IF($M$3=$AC$3,AJ102,
 IF($M$3=$AS$3,AZ102,
 IF($M$3=$BI$3,BP102,
 IF($M$3=$BY$3,CF102,
 IF($M$3=$CO$3,CV102,
 IF($M$3=$DE$3,DL102)))))))</f>
        <v>90</v>
      </c>
      <c r="U102" s="174">
        <f t="shared" ref="U102:U137" si="99">IF(IF($M$3=$AC$3,AK102,
 IF($M$3=$AS$3,BA102,
 IF($M$3=$BI$3,BQ102,
 IF($M$3=$BY$3,CG102,
 IF($M$3=$CO$3,CW102,
 IF($M$3=$DE$3,DM102))))))="","",
IF($M$3=$AC$3,AK102,
 IF($M$3=$AS$3,BA102,
 IF($M$3=$BI$3,BQ102,
 IF($M$3=$BY$3,CG102,
 IF($M$3=$CO$3,CW102,
 IF($M$3=$DE$3,DM102)))))))</f>
        <v>1.5</v>
      </c>
      <c r="V102" s="174" t="str">
        <f t="shared" ref="V102:V137" si="100">IF(IF($M$3=$AC$3,AL102,
 IF($M$3=$AS$3,BB102,
 IF($M$3=$BI$3,BR102,
 IF($M$3=$BY$3,CH102,
 IF($M$3=$CO$3,CX102,
 IF($M$3=$DE$3,DN102))))))="","",
IF($M$3=$AC$3,AL102,
 IF($M$3=$AS$3,BB102,
 IF($M$3=$BI$3,BR102,
 IF($M$3=$BY$3,CH102,
 IF($M$3=$CO$3,CX102,
 IF($M$3=$DE$3,DN102)))))))</f>
        <v/>
      </c>
      <c r="W102" s="174" t="str">
        <f t="shared" ref="W102:W137" si="101">IF(IF($M$3=$AC$3,AM102,
 IF($M$3=$AS$3,BC102,
 IF($M$3=$BI$3,BS102,
 IF($M$3=$BY$3,CI102,
 IF($M$3=$CO$3,CY102,
 IF($M$3=$DE$3,DO102))))))="","",
IF($M$3=$AC$3,AM102,
 IF($M$3=$AS$3,BC102,
 IF($M$3=$BI$3,BS102,
 IF($M$3=$BY$3,CI102,
 IF($M$3=$CO$3,CY102,
 IF($M$3=$DE$3,DO102)))))))</f>
        <v/>
      </c>
      <c r="X102" s="174" t="str">
        <f t="shared" ref="X102:X137" si="102">IF(IF($M$3=$AC$3,AN102,
 IF($M$3=$AS$3,BD102,
 IF($M$3=$BI$3,BT102,
 IF($M$3=$BY$3,CJ102,
 IF($M$3=$CO$3,CZ102,
 IF($M$3=$DE$3,DP102))))))="","",
IF($M$3=$AC$3,AN102,
 IF($M$3=$AS$3,BD102,
 IF($M$3=$BI$3,BT102,
 IF($M$3=$BY$3,CJ102,
 IF($M$3=$CO$3,CZ102,
 IF($M$3=$DE$3,DP102)))))))</f>
        <v/>
      </c>
      <c r="Y102" s="174" t="str">
        <f t="shared" ref="Y102:Y137" si="103">IF(IF($M$3=$AC$3,AO102,
 IF($M$3=$AS$3,BE102,
 IF($M$3=$BI$3,BU102,
 IF($M$3=$BY$3,CK102,
 IF($M$3=$CO$3,DA102,
 IF($M$3=$DE$3,DQ102))))))="","",
IF($M$3=$AC$3,AO102,
 IF($M$3=$AS$3,BE102,
 IF($M$3=$BI$3,BU102,
 IF($M$3=$BY$3,CK102,
 IF($M$3=$CO$3,DA102,
 IF($M$3=$DE$3,DQ102)))))))</f>
        <v/>
      </c>
      <c r="Z102" s="174" t="str">
        <f t="shared" si="86"/>
        <v/>
      </c>
      <c r="AA102" s="174" t="str">
        <f t="shared" si="87"/>
        <v/>
      </c>
      <c r="AC102" s="178">
        <v>98</v>
      </c>
      <c r="AD102" s="175" t="s">
        <v>524</v>
      </c>
      <c r="AE102" s="175" t="b">
        <v>1</v>
      </c>
      <c r="AF102" s="175" t="s">
        <v>170</v>
      </c>
      <c r="AG102" s="175"/>
      <c r="AH102" s="175">
        <v>65</v>
      </c>
      <c r="AI102" s="175">
        <v>1.2</v>
      </c>
      <c r="AJ102" s="183">
        <f>IFERROR(INDEX($A:$A, MATCH("*Lv_1", $B:$B, 0)),86)</f>
        <v>90</v>
      </c>
      <c r="AK102" s="175">
        <v>1.5</v>
      </c>
      <c r="AL102" s="175"/>
      <c r="AM102" s="175"/>
      <c r="AN102" s="175"/>
      <c r="AO102" s="175"/>
      <c r="AP102" s="175"/>
      <c r="AQ102" s="175"/>
      <c r="BI102" s="178">
        <v>98</v>
      </c>
      <c r="BJ102" s="175" t="s">
        <v>524</v>
      </c>
      <c r="BK102" s="175" t="b">
        <v>1</v>
      </c>
      <c r="BL102" s="175" t="s">
        <v>170</v>
      </c>
      <c r="BM102" s="175"/>
      <c r="BN102" s="175">
        <v>65</v>
      </c>
      <c r="BO102" s="175">
        <v>1.2</v>
      </c>
      <c r="BP102" s="183">
        <f>IFERROR(INDEX($A:$A, MATCH("*Lv_1", $B:$B, 0)),0)</f>
        <v>90</v>
      </c>
      <c r="BQ102" s="175">
        <v>1.5</v>
      </c>
      <c r="BR102" s="175"/>
      <c r="BS102" s="175"/>
      <c r="BT102" s="175"/>
      <c r="BU102" s="175"/>
      <c r="BV102" s="175"/>
      <c r="BW102" s="175"/>
      <c r="BY102" s="178">
        <v>98</v>
      </c>
      <c r="BZ102" s="248" t="s">
        <v>525</v>
      </c>
      <c r="CA102" s="248" t="b">
        <v>1</v>
      </c>
      <c r="CB102" s="248" t="s">
        <v>170</v>
      </c>
      <c r="CC102" s="248"/>
      <c r="CD102" s="248">
        <v>65</v>
      </c>
      <c r="CE102" s="248">
        <v>1</v>
      </c>
      <c r="CF102" s="183">
        <f>IFERROR(INDEX($A:$A, MATCH("*Lv_1", $B:$B, 0)),0)</f>
        <v>90</v>
      </c>
      <c r="CG102" s="248">
        <v>1.25</v>
      </c>
      <c r="CH102" s="248"/>
      <c r="CI102" s="248"/>
      <c r="CJ102" s="248"/>
      <c r="CK102" s="248"/>
      <c r="CL102" s="248"/>
      <c r="CM102" s="248"/>
      <c r="CO102" s="178">
        <v>98</v>
      </c>
      <c r="CP102" s="248" t="s">
        <v>525</v>
      </c>
      <c r="CQ102" s="248" t="b">
        <v>1</v>
      </c>
      <c r="CR102" s="248" t="s">
        <v>170</v>
      </c>
      <c r="CS102" s="248"/>
      <c r="CT102" s="248">
        <v>65</v>
      </c>
      <c r="CU102" s="248">
        <v>1</v>
      </c>
      <c r="CV102" s="183">
        <f>IFERROR(INDEX($A:$A, MATCH("*Lv_1", $B:$B, 0)),0)</f>
        <v>90</v>
      </c>
      <c r="CW102" s="248">
        <v>1.25</v>
      </c>
      <c r="CX102" s="248"/>
      <c r="CY102" s="248"/>
      <c r="CZ102" s="248"/>
      <c r="DA102" s="248"/>
      <c r="DB102" s="248"/>
      <c r="DC102" s="248"/>
      <c r="DE102" s="178">
        <v>98</v>
      </c>
      <c r="DF102" s="248" t="s">
        <v>525</v>
      </c>
      <c r="DG102" s="248" t="b">
        <v>1</v>
      </c>
      <c r="DH102" s="248" t="s">
        <v>170</v>
      </c>
      <c r="DI102" s="248"/>
      <c r="DJ102" s="248">
        <v>65</v>
      </c>
      <c r="DK102" s="248">
        <v>1</v>
      </c>
      <c r="DL102" s="183">
        <f>IFERROR(INDEX($A:$A, MATCH("*Lv_1", $B:$B, 0)),0)</f>
        <v>90</v>
      </c>
      <c r="DM102" s="248">
        <v>1.25</v>
      </c>
      <c r="DN102" s="248"/>
      <c r="DO102" s="248"/>
      <c r="DP102" s="248"/>
      <c r="DQ102" s="248"/>
      <c r="DR102" s="248"/>
      <c r="DS102" s="248"/>
      <c r="DU102" s="178">
        <v>98</v>
      </c>
      <c r="DV102" s="175" t="str">
        <f t="shared" ref="DV102:DV137" si="104">CONCATENATE(EK102," (",EL102," deg")</f>
        <v>0.9D + Di + Wi (0 deg</v>
      </c>
      <c r="DW102" s="175">
        <v>1</v>
      </c>
      <c r="DX102" s="175" t="s">
        <v>170</v>
      </c>
      <c r="DY102" s="175"/>
      <c r="DZ102" s="175">
        <v>65</v>
      </c>
      <c r="EA102" s="175">
        <v>1.2</v>
      </c>
      <c r="EB102" s="175">
        <v>90</v>
      </c>
      <c r="EC102" s="175">
        <v>1.5</v>
      </c>
      <c r="ED102" s="175"/>
      <c r="EE102" s="175"/>
      <c r="EF102" s="175"/>
      <c r="EG102" s="175"/>
      <c r="EH102" s="175"/>
      <c r="EI102" s="175"/>
      <c r="EK102" s="2" t="s">
        <v>526</v>
      </c>
      <c r="EL102" s="2">
        <v>0</v>
      </c>
      <c r="EN102" s="178">
        <v>98</v>
      </c>
    </row>
    <row r="103" spans="1:144" ht="18" customHeight="1" x14ac:dyDescent="0.2">
      <c r="M103" s="176">
        <f t="shared" si="83"/>
        <v>99</v>
      </c>
      <c r="N103" s="170" t="str">
        <f t="shared" si="92"/>
        <v>1.2D + 1.5Lv_2</v>
      </c>
      <c r="O103" s="170" t="b">
        <v>1</v>
      </c>
      <c r="P103" s="170" t="str">
        <f t="shared" si="93"/>
        <v>Y</v>
      </c>
      <c r="Q103" s="170" t="str">
        <f t="shared" si="94"/>
        <v/>
      </c>
      <c r="R103" s="170">
        <f t="shared" si="96"/>
        <v>65</v>
      </c>
      <c r="S103" s="170">
        <f t="shared" si="97"/>
        <v>1.2</v>
      </c>
      <c r="T103" s="170">
        <f t="shared" si="98"/>
        <v>91</v>
      </c>
      <c r="U103" s="170">
        <f t="shared" si="99"/>
        <v>1.5</v>
      </c>
      <c r="V103" s="170" t="str">
        <f t="shared" si="100"/>
        <v/>
      </c>
      <c r="W103" s="170" t="str">
        <f t="shared" si="101"/>
        <v/>
      </c>
      <c r="X103" s="170" t="str">
        <f t="shared" si="102"/>
        <v/>
      </c>
      <c r="Y103" s="170" t="str">
        <f t="shared" si="103"/>
        <v/>
      </c>
      <c r="Z103" s="170" t="str">
        <f t="shared" si="86"/>
        <v/>
      </c>
      <c r="AA103" s="170" t="str">
        <f t="shared" si="87"/>
        <v/>
      </c>
      <c r="AC103" s="176">
        <v>99</v>
      </c>
      <c r="AD103" s="170" t="s">
        <v>527</v>
      </c>
      <c r="AE103" s="170" t="b">
        <v>1</v>
      </c>
      <c r="AF103" s="170" t="s">
        <v>170</v>
      </c>
      <c r="AG103" s="170"/>
      <c r="AH103" s="170">
        <v>65</v>
      </c>
      <c r="AI103" s="170">
        <v>1.2</v>
      </c>
      <c r="AJ103" s="170">
        <f>IFERROR(INDEX($A:$A, MATCH("*Lv_2", $B:$B, 0)),86)</f>
        <v>91</v>
      </c>
      <c r="AK103" s="170">
        <v>1.5</v>
      </c>
      <c r="AL103" s="170"/>
      <c r="AM103" s="170"/>
      <c r="AN103" s="170"/>
      <c r="AO103" s="170"/>
      <c r="AP103" s="170"/>
      <c r="AQ103" s="170"/>
      <c r="BI103" s="176">
        <v>99</v>
      </c>
      <c r="BJ103" s="170" t="s">
        <v>527</v>
      </c>
      <c r="BK103" s="170" t="b">
        <v>1</v>
      </c>
      <c r="BL103" s="170" t="s">
        <v>170</v>
      </c>
      <c r="BM103" s="170"/>
      <c r="BN103" s="170">
        <v>65</v>
      </c>
      <c r="BO103" s="170">
        <v>1.2</v>
      </c>
      <c r="BP103" s="170">
        <f>IFERROR(INDEX($A:$A, MATCH("*Lv_2", $B:$B, 0)),0)</f>
        <v>91</v>
      </c>
      <c r="BQ103" s="170">
        <v>1.5</v>
      </c>
      <c r="BR103" s="170"/>
      <c r="BS103" s="170"/>
      <c r="BT103" s="170"/>
      <c r="BU103" s="170"/>
      <c r="BV103" s="170"/>
      <c r="BW103" s="170"/>
      <c r="BY103" s="176">
        <v>99</v>
      </c>
      <c r="BZ103" s="246" t="s">
        <v>528</v>
      </c>
      <c r="CA103" s="246" t="b">
        <v>1</v>
      </c>
      <c r="CB103" s="246" t="s">
        <v>170</v>
      </c>
      <c r="CC103" s="246"/>
      <c r="CD103" s="246">
        <v>65</v>
      </c>
      <c r="CE103" s="246">
        <v>1</v>
      </c>
      <c r="CF103" s="170">
        <f>IFERROR(INDEX($A:$A, MATCH("*Lv_2", $B:$B, 0)),0)</f>
        <v>91</v>
      </c>
      <c r="CG103" s="246">
        <v>1.25</v>
      </c>
      <c r="CH103" s="246"/>
      <c r="CI103" s="246"/>
      <c r="CJ103" s="246"/>
      <c r="CK103" s="246"/>
      <c r="CL103" s="246"/>
      <c r="CM103" s="246"/>
      <c r="CO103" s="176">
        <v>99</v>
      </c>
      <c r="CP103" s="246" t="s">
        <v>528</v>
      </c>
      <c r="CQ103" s="246" t="b">
        <v>1</v>
      </c>
      <c r="CR103" s="246" t="s">
        <v>170</v>
      </c>
      <c r="CS103" s="246"/>
      <c r="CT103" s="246">
        <v>65</v>
      </c>
      <c r="CU103" s="246">
        <v>1</v>
      </c>
      <c r="CV103" s="170">
        <f>IFERROR(INDEX($A:$A, MATCH("*Lv_2", $B:$B, 0)),0)</f>
        <v>91</v>
      </c>
      <c r="CW103" s="246">
        <v>1.25</v>
      </c>
      <c r="CX103" s="246"/>
      <c r="CY103" s="246"/>
      <c r="CZ103" s="246"/>
      <c r="DA103" s="246"/>
      <c r="DB103" s="246"/>
      <c r="DC103" s="246"/>
      <c r="DE103" s="176">
        <v>99</v>
      </c>
      <c r="DF103" s="246" t="s">
        <v>528</v>
      </c>
      <c r="DG103" s="246" t="b">
        <v>1</v>
      </c>
      <c r="DH103" s="246" t="s">
        <v>170</v>
      </c>
      <c r="DI103" s="246"/>
      <c r="DJ103" s="246">
        <v>65</v>
      </c>
      <c r="DK103" s="246">
        <v>1</v>
      </c>
      <c r="DL103" s="170">
        <f>IFERROR(INDEX($A:$A, MATCH("*Lv_2", $B:$B, 0)),0)</f>
        <v>91</v>
      </c>
      <c r="DM103" s="246">
        <v>1.25</v>
      </c>
      <c r="DN103" s="246"/>
      <c r="DO103" s="246"/>
      <c r="DP103" s="246"/>
      <c r="DQ103" s="246"/>
      <c r="DR103" s="246"/>
      <c r="DS103" s="246"/>
      <c r="DU103" s="176">
        <v>99</v>
      </c>
      <c r="DV103" s="170" t="str">
        <f t="shared" si="104"/>
        <v>0.9D + Di + Wi (30 deg</v>
      </c>
      <c r="DW103" s="170">
        <v>1</v>
      </c>
      <c r="DX103" s="170" t="s">
        <v>170</v>
      </c>
      <c r="DY103" s="170"/>
      <c r="DZ103" s="170">
        <v>65</v>
      </c>
      <c r="EA103" s="170">
        <v>1.2</v>
      </c>
      <c r="EB103" s="170">
        <v>90</v>
      </c>
      <c r="EC103" s="170">
        <v>1.5</v>
      </c>
      <c r="ED103" s="170"/>
      <c r="EE103" s="170"/>
      <c r="EF103" s="170"/>
      <c r="EG103" s="170"/>
      <c r="EH103" s="170"/>
      <c r="EI103" s="170"/>
      <c r="EK103" s="2" t="s">
        <v>526</v>
      </c>
      <c r="EL103" s="2">
        <v>30</v>
      </c>
      <c r="EN103" s="176">
        <v>99</v>
      </c>
    </row>
    <row r="104" spans="1:144" ht="18" customHeight="1" x14ac:dyDescent="0.2">
      <c r="M104" s="176">
        <f t="shared" si="83"/>
        <v>100</v>
      </c>
      <c r="N104" s="174" t="str">
        <f t="shared" si="92"/>
        <v>1.2D + 1.5Lv_3</v>
      </c>
      <c r="O104" s="174" t="b">
        <v>1</v>
      </c>
      <c r="P104" s="174" t="str">
        <f t="shared" si="93"/>
        <v>Y</v>
      </c>
      <c r="Q104" s="174" t="str">
        <f t="shared" si="94"/>
        <v/>
      </c>
      <c r="R104" s="174">
        <f t="shared" si="96"/>
        <v>65</v>
      </c>
      <c r="S104" s="174">
        <f t="shared" si="97"/>
        <v>1.2</v>
      </c>
      <c r="T104" s="174">
        <f t="shared" si="98"/>
        <v>92</v>
      </c>
      <c r="U104" s="174">
        <f t="shared" si="99"/>
        <v>1.5</v>
      </c>
      <c r="V104" s="174" t="str">
        <f t="shared" si="100"/>
        <v/>
      </c>
      <c r="W104" s="174" t="str">
        <f t="shared" si="101"/>
        <v/>
      </c>
      <c r="X104" s="174" t="str">
        <f t="shared" si="102"/>
        <v/>
      </c>
      <c r="Y104" s="174" t="str">
        <f t="shared" si="103"/>
        <v/>
      </c>
      <c r="Z104" s="174" t="str">
        <f t="shared" si="86"/>
        <v/>
      </c>
      <c r="AA104" s="174" t="str">
        <f t="shared" si="87"/>
        <v/>
      </c>
      <c r="AC104" s="176">
        <v>100</v>
      </c>
      <c r="AD104" s="174" t="s">
        <v>529</v>
      </c>
      <c r="AE104" s="174" t="b">
        <v>1</v>
      </c>
      <c r="AF104" s="174" t="s">
        <v>170</v>
      </c>
      <c r="AG104" s="174"/>
      <c r="AH104" s="174">
        <v>65</v>
      </c>
      <c r="AI104" s="174">
        <v>1.2</v>
      </c>
      <c r="AJ104" s="175">
        <f>IFERROR(INDEX($A:$A, MATCH("*Lv_3", $B:$B, 0)),86)</f>
        <v>92</v>
      </c>
      <c r="AK104" s="174">
        <v>1.5</v>
      </c>
      <c r="AL104" s="174"/>
      <c r="AM104" s="174"/>
      <c r="AN104" s="174"/>
      <c r="AO104" s="174"/>
      <c r="AP104" s="174"/>
      <c r="AQ104" s="174"/>
      <c r="BI104" s="176">
        <v>100</v>
      </c>
      <c r="BJ104" s="174" t="s">
        <v>529</v>
      </c>
      <c r="BK104" s="174" t="b">
        <v>1</v>
      </c>
      <c r="BL104" s="174" t="s">
        <v>170</v>
      </c>
      <c r="BM104" s="174"/>
      <c r="BN104" s="174">
        <v>65</v>
      </c>
      <c r="BO104" s="174">
        <v>1.2</v>
      </c>
      <c r="BP104" s="175">
        <f>IFERROR(INDEX($A:$A, MATCH("*Lv_3", $B:$B, 0)),0)</f>
        <v>92</v>
      </c>
      <c r="BQ104" s="174">
        <v>1.5</v>
      </c>
      <c r="BR104" s="174"/>
      <c r="BS104" s="174"/>
      <c r="BT104" s="174"/>
      <c r="BU104" s="174"/>
      <c r="BV104" s="174"/>
      <c r="BW104" s="174"/>
      <c r="BY104" s="176">
        <v>100</v>
      </c>
      <c r="BZ104" s="249" t="s">
        <v>530</v>
      </c>
      <c r="CA104" s="249" t="b">
        <v>1</v>
      </c>
      <c r="CB104" s="249" t="s">
        <v>170</v>
      </c>
      <c r="CC104" s="249"/>
      <c r="CD104" s="249">
        <v>65</v>
      </c>
      <c r="CE104" s="249">
        <v>1</v>
      </c>
      <c r="CF104" s="175">
        <f>IFERROR(INDEX($A:$A, MATCH("*Lv_3", $B:$B, 0)),0)</f>
        <v>92</v>
      </c>
      <c r="CG104" s="249">
        <v>1.25</v>
      </c>
      <c r="CH104" s="249"/>
      <c r="CI104" s="249"/>
      <c r="CJ104" s="249"/>
      <c r="CK104" s="249"/>
      <c r="CL104" s="249"/>
      <c r="CM104" s="249"/>
      <c r="CO104" s="176">
        <v>100</v>
      </c>
      <c r="CP104" s="249" t="s">
        <v>530</v>
      </c>
      <c r="CQ104" s="249" t="b">
        <v>1</v>
      </c>
      <c r="CR104" s="249" t="s">
        <v>170</v>
      </c>
      <c r="CS104" s="249"/>
      <c r="CT104" s="249">
        <v>65</v>
      </c>
      <c r="CU104" s="249">
        <v>1</v>
      </c>
      <c r="CV104" s="175">
        <f>IFERROR(INDEX($A:$A, MATCH("*Lv_3", $B:$B, 0)),0)</f>
        <v>92</v>
      </c>
      <c r="CW104" s="249">
        <v>1.25</v>
      </c>
      <c r="CX104" s="249"/>
      <c r="CY104" s="249"/>
      <c r="CZ104" s="249"/>
      <c r="DA104" s="249"/>
      <c r="DB104" s="249"/>
      <c r="DC104" s="249"/>
      <c r="DE104" s="176">
        <v>100</v>
      </c>
      <c r="DF104" s="249" t="s">
        <v>530</v>
      </c>
      <c r="DG104" s="249" t="b">
        <v>1</v>
      </c>
      <c r="DH104" s="249" t="s">
        <v>170</v>
      </c>
      <c r="DI104" s="249"/>
      <c r="DJ104" s="249">
        <v>65</v>
      </c>
      <c r="DK104" s="249">
        <v>1</v>
      </c>
      <c r="DL104" s="175">
        <f>IFERROR(INDEX($A:$A, MATCH("*Lv_3", $B:$B, 0)),0)</f>
        <v>92</v>
      </c>
      <c r="DM104" s="249">
        <v>1.25</v>
      </c>
      <c r="DN104" s="249"/>
      <c r="DO104" s="249"/>
      <c r="DP104" s="249"/>
      <c r="DQ104" s="249"/>
      <c r="DR104" s="249"/>
      <c r="DS104" s="249"/>
      <c r="DU104" s="176">
        <v>100</v>
      </c>
      <c r="DV104" s="174" t="str">
        <f t="shared" si="104"/>
        <v>0.9D + Di + Wi (45 deg</v>
      </c>
      <c r="DW104" s="174">
        <v>1</v>
      </c>
      <c r="DX104" s="174" t="s">
        <v>170</v>
      </c>
      <c r="DY104" s="174"/>
      <c r="DZ104" s="174">
        <v>65</v>
      </c>
      <c r="EA104" s="174">
        <v>1.2</v>
      </c>
      <c r="EB104" s="174">
        <v>90</v>
      </c>
      <c r="EC104" s="174">
        <v>1.5</v>
      </c>
      <c r="ED104" s="174"/>
      <c r="EE104" s="174"/>
      <c r="EF104" s="174"/>
      <c r="EG104" s="174"/>
      <c r="EH104" s="174"/>
      <c r="EI104" s="174"/>
      <c r="EK104" s="2" t="s">
        <v>526</v>
      </c>
      <c r="EL104" s="2">
        <v>45</v>
      </c>
      <c r="EN104" s="176">
        <v>100</v>
      </c>
    </row>
    <row r="105" spans="1:144" ht="18" customHeight="1" thickBot="1" x14ac:dyDescent="0.25">
      <c r="M105" s="176">
        <f t="shared" si="83"/>
        <v>101</v>
      </c>
      <c r="N105" s="170" t="str">
        <f t="shared" si="92"/>
        <v>1.2D + 1.5Lv_4</v>
      </c>
      <c r="O105" s="170" t="b">
        <v>1</v>
      </c>
      <c r="P105" s="170" t="str">
        <f t="shared" si="93"/>
        <v>Y</v>
      </c>
      <c r="Q105" s="170" t="str">
        <f t="shared" si="94"/>
        <v/>
      </c>
      <c r="R105" s="170">
        <f t="shared" si="96"/>
        <v>65</v>
      </c>
      <c r="S105" s="170">
        <f t="shared" si="97"/>
        <v>1.2</v>
      </c>
      <c r="T105" s="170">
        <f t="shared" si="98"/>
        <v>93</v>
      </c>
      <c r="U105" s="170">
        <f t="shared" si="99"/>
        <v>1.5</v>
      </c>
      <c r="V105" s="170" t="str">
        <f t="shared" si="100"/>
        <v/>
      </c>
      <c r="W105" s="170" t="str">
        <f t="shared" si="101"/>
        <v/>
      </c>
      <c r="X105" s="170" t="str">
        <f t="shared" si="102"/>
        <v/>
      </c>
      <c r="Y105" s="170" t="str">
        <f t="shared" si="103"/>
        <v/>
      </c>
      <c r="Z105" s="170" t="str">
        <f t="shared" si="86"/>
        <v/>
      </c>
      <c r="AA105" s="170" t="str">
        <f t="shared" si="87"/>
        <v/>
      </c>
      <c r="AC105" s="177">
        <v>101</v>
      </c>
      <c r="AD105" s="173" t="s">
        <v>531</v>
      </c>
      <c r="AE105" s="173" t="b">
        <v>1</v>
      </c>
      <c r="AF105" s="173" t="s">
        <v>170</v>
      </c>
      <c r="AG105" s="173"/>
      <c r="AH105" s="173">
        <v>65</v>
      </c>
      <c r="AI105" s="173">
        <v>1.2</v>
      </c>
      <c r="AJ105" s="173">
        <f>IFERROR(INDEX($A:$A, MATCH("*Lv_4", $B:$B, 0)),86)</f>
        <v>93</v>
      </c>
      <c r="AK105" s="173">
        <v>1.5</v>
      </c>
      <c r="AL105" s="173"/>
      <c r="AM105" s="173"/>
      <c r="AN105" s="173"/>
      <c r="AO105" s="173"/>
      <c r="AP105" s="173"/>
      <c r="AQ105" s="173"/>
      <c r="BI105" s="177">
        <v>101</v>
      </c>
      <c r="BJ105" s="173" t="s">
        <v>531</v>
      </c>
      <c r="BK105" s="173" t="b">
        <v>1</v>
      </c>
      <c r="BL105" s="173" t="s">
        <v>170</v>
      </c>
      <c r="BM105" s="173"/>
      <c r="BN105" s="173">
        <v>65</v>
      </c>
      <c r="BO105" s="173">
        <v>1.2</v>
      </c>
      <c r="BP105" s="173">
        <f>IFERROR(INDEX($A:$A, MATCH("*Lv_4", $B:$B, 0)),0)</f>
        <v>93</v>
      </c>
      <c r="BQ105" s="173">
        <v>1.5</v>
      </c>
      <c r="BR105" s="173"/>
      <c r="BS105" s="173"/>
      <c r="BT105" s="173"/>
      <c r="BU105" s="173"/>
      <c r="BV105" s="173"/>
      <c r="BW105" s="173"/>
      <c r="BY105" s="177">
        <v>101</v>
      </c>
      <c r="BZ105" s="247" t="s">
        <v>532</v>
      </c>
      <c r="CA105" s="247" t="b">
        <v>1</v>
      </c>
      <c r="CB105" s="247" t="s">
        <v>170</v>
      </c>
      <c r="CC105" s="247"/>
      <c r="CD105" s="247">
        <v>65</v>
      </c>
      <c r="CE105" s="247">
        <v>1</v>
      </c>
      <c r="CF105" s="173">
        <f>IFERROR(INDEX($A:$A, MATCH("*Lv_4", $B:$B, 0)),0)</f>
        <v>93</v>
      </c>
      <c r="CG105" s="247">
        <v>1.25</v>
      </c>
      <c r="CH105" s="247"/>
      <c r="CI105" s="247"/>
      <c r="CJ105" s="247"/>
      <c r="CK105" s="247"/>
      <c r="CL105" s="247"/>
      <c r="CM105" s="247"/>
      <c r="CO105" s="177">
        <v>101</v>
      </c>
      <c r="CP105" s="247" t="s">
        <v>532</v>
      </c>
      <c r="CQ105" s="247" t="b">
        <v>1</v>
      </c>
      <c r="CR105" s="247" t="s">
        <v>170</v>
      </c>
      <c r="CS105" s="247"/>
      <c r="CT105" s="247">
        <v>65</v>
      </c>
      <c r="CU105" s="247">
        <v>1</v>
      </c>
      <c r="CV105" s="173">
        <f>IFERROR(INDEX($A:$A, MATCH("*Lv_4", $B:$B, 0)),0)</f>
        <v>93</v>
      </c>
      <c r="CW105" s="247">
        <v>1.25</v>
      </c>
      <c r="CX105" s="247"/>
      <c r="CY105" s="247"/>
      <c r="CZ105" s="247"/>
      <c r="DA105" s="247"/>
      <c r="DB105" s="247"/>
      <c r="DC105" s="247"/>
      <c r="DE105" s="177">
        <v>101</v>
      </c>
      <c r="DF105" s="247" t="s">
        <v>532</v>
      </c>
      <c r="DG105" s="247" t="b">
        <v>1</v>
      </c>
      <c r="DH105" s="247" t="s">
        <v>170</v>
      </c>
      <c r="DI105" s="247"/>
      <c r="DJ105" s="247">
        <v>65</v>
      </c>
      <c r="DK105" s="247">
        <v>1</v>
      </c>
      <c r="DL105" s="173">
        <f>IFERROR(INDEX($A:$A, MATCH("*Lv_4", $B:$B, 0)),0)</f>
        <v>93</v>
      </c>
      <c r="DM105" s="247">
        <v>1.25</v>
      </c>
      <c r="DN105" s="247"/>
      <c r="DO105" s="247"/>
      <c r="DP105" s="247"/>
      <c r="DQ105" s="247"/>
      <c r="DR105" s="247"/>
      <c r="DS105" s="247"/>
      <c r="DU105" s="176">
        <v>101</v>
      </c>
      <c r="DV105" s="170" t="str">
        <f t="shared" si="104"/>
        <v>0.9D + Di + Wi (60 deg</v>
      </c>
      <c r="DW105" s="170">
        <v>1</v>
      </c>
      <c r="DX105" s="170" t="s">
        <v>170</v>
      </c>
      <c r="DY105" s="170"/>
      <c r="DZ105" s="170">
        <v>65</v>
      </c>
      <c r="EA105" s="170">
        <v>1.2</v>
      </c>
      <c r="EB105" s="170">
        <v>90</v>
      </c>
      <c r="EC105" s="170">
        <v>1.5</v>
      </c>
      <c r="ED105" s="170"/>
      <c r="EE105" s="170"/>
      <c r="EF105" s="170"/>
      <c r="EG105" s="170"/>
      <c r="EH105" s="170"/>
      <c r="EI105" s="170"/>
      <c r="EK105" s="2" t="s">
        <v>526</v>
      </c>
      <c r="EL105" s="2">
        <v>60</v>
      </c>
      <c r="EN105" s="176">
        <v>101</v>
      </c>
    </row>
    <row r="106" spans="1:144" ht="18" customHeight="1" thickTop="1" x14ac:dyDescent="0.2">
      <c r="M106" s="176">
        <f t="shared" si="83"/>
        <v>102</v>
      </c>
      <c r="N106" s="174" t="str">
        <f t="shared" si="92"/>
        <v>1.2D + 1.0Ev +1.0Eh  | 0 deg</v>
      </c>
      <c r="O106" s="174" t="b">
        <v>1</v>
      </c>
      <c r="P106" s="174" t="str">
        <f t="shared" si="93"/>
        <v>Y</v>
      </c>
      <c r="Q106" s="174" t="str">
        <f t="shared" si="94"/>
        <v/>
      </c>
      <c r="R106" s="174">
        <f t="shared" si="96"/>
        <v>65</v>
      </c>
      <c r="S106" s="174">
        <f t="shared" si="97"/>
        <v>1.2</v>
      </c>
      <c r="T106" s="174">
        <f t="shared" si="98"/>
        <v>67</v>
      </c>
      <c r="U106" s="174">
        <f t="shared" si="99"/>
        <v>1</v>
      </c>
      <c r="V106" s="174">
        <f t="shared" si="100"/>
        <v>70</v>
      </c>
      <c r="W106" s="174">
        <f t="shared" si="101"/>
        <v>1</v>
      </c>
      <c r="X106" s="174">
        <f t="shared" si="102"/>
        <v>68</v>
      </c>
      <c r="Y106" s="174">
        <f t="shared" si="103"/>
        <v>1</v>
      </c>
      <c r="Z106" s="174">
        <f t="shared" si="86"/>
        <v>69</v>
      </c>
      <c r="AA106" s="174">
        <f t="shared" si="87"/>
        <v>0</v>
      </c>
      <c r="AC106" s="178">
        <v>102</v>
      </c>
      <c r="AD106" s="175" t="s">
        <v>1415</v>
      </c>
      <c r="AE106" s="175" t="b">
        <v>1</v>
      </c>
      <c r="AF106" s="175" t="s">
        <v>170</v>
      </c>
      <c r="AG106" s="175"/>
      <c r="AH106" s="175">
        <v>65</v>
      </c>
      <c r="AI106" s="175">
        <v>1.2</v>
      </c>
      <c r="AJ106" s="175">
        <v>67</v>
      </c>
      <c r="AK106" s="175">
        <v>1</v>
      </c>
      <c r="AL106" s="175">
        <v>70</v>
      </c>
      <c r="AM106" s="175">
        <v>1</v>
      </c>
      <c r="AN106" s="175">
        <v>68</v>
      </c>
      <c r="AO106" s="179">
        <v>1</v>
      </c>
      <c r="AP106" s="175">
        <v>69</v>
      </c>
      <c r="AQ106" s="179">
        <v>0</v>
      </c>
      <c r="BI106" s="178">
        <v>102</v>
      </c>
      <c r="BJ106" s="175" t="s">
        <v>1415</v>
      </c>
      <c r="BK106" s="175" t="b">
        <v>1</v>
      </c>
      <c r="BL106" s="175" t="s">
        <v>170</v>
      </c>
      <c r="BM106" s="175"/>
      <c r="BN106" s="175">
        <v>65</v>
      </c>
      <c r="BO106" s="175">
        <v>1.2</v>
      </c>
      <c r="BP106" s="175">
        <v>67</v>
      </c>
      <c r="BQ106" s="175">
        <v>1</v>
      </c>
      <c r="BR106" s="175">
        <v>70</v>
      </c>
      <c r="BS106" s="175">
        <v>1</v>
      </c>
      <c r="BT106" s="175">
        <v>68</v>
      </c>
      <c r="BU106" s="179">
        <v>1</v>
      </c>
      <c r="BV106" s="175">
        <v>69</v>
      </c>
      <c r="BW106" s="179">
        <v>0</v>
      </c>
      <c r="BY106" s="178">
        <v>102</v>
      </c>
      <c r="BZ106" s="248" t="s">
        <v>1416</v>
      </c>
      <c r="CA106" s="248" t="b">
        <v>1</v>
      </c>
      <c r="CB106" s="248" t="s">
        <v>170</v>
      </c>
      <c r="CC106" s="248"/>
      <c r="CD106" s="248">
        <v>65</v>
      </c>
      <c r="CE106" s="248">
        <v>1</v>
      </c>
      <c r="CF106" s="248">
        <v>67</v>
      </c>
      <c r="CG106" s="248">
        <v>0.7</v>
      </c>
      <c r="CH106" s="248">
        <v>70</v>
      </c>
      <c r="CI106" s="248">
        <v>0.7</v>
      </c>
      <c r="CJ106" s="248">
        <v>68</v>
      </c>
      <c r="CK106" s="250">
        <v>1</v>
      </c>
      <c r="CL106" s="248">
        <v>69</v>
      </c>
      <c r="CM106" s="250">
        <v>0</v>
      </c>
      <c r="CO106" s="178">
        <v>102</v>
      </c>
      <c r="CP106" s="248" t="s">
        <v>1417</v>
      </c>
      <c r="CQ106" s="248" t="b">
        <v>1</v>
      </c>
      <c r="CR106" s="248" t="s">
        <v>170</v>
      </c>
      <c r="CS106" s="248"/>
      <c r="CT106" s="248">
        <v>65</v>
      </c>
      <c r="CU106" s="248">
        <v>1</v>
      </c>
      <c r="CV106" s="248">
        <v>67</v>
      </c>
      <c r="CW106" s="248">
        <v>0.7</v>
      </c>
      <c r="CX106" s="248">
        <v>70</v>
      </c>
      <c r="CY106" s="248">
        <v>0.7</v>
      </c>
      <c r="CZ106" s="248">
        <v>68</v>
      </c>
      <c r="DA106" s="250">
        <v>1</v>
      </c>
      <c r="DB106" s="248">
        <v>69</v>
      </c>
      <c r="DC106" s="250">
        <v>0</v>
      </c>
      <c r="DE106" s="178">
        <v>102</v>
      </c>
      <c r="DF106" s="248" t="s">
        <v>1418</v>
      </c>
      <c r="DG106" s="248" t="b">
        <v>1</v>
      </c>
      <c r="DH106" s="248" t="s">
        <v>170</v>
      </c>
      <c r="DI106" s="248"/>
      <c r="DJ106" s="248">
        <v>65</v>
      </c>
      <c r="DK106" s="248">
        <v>1</v>
      </c>
      <c r="DL106" s="248">
        <v>67</v>
      </c>
      <c r="DM106" s="255">
        <f t="shared" ref="DM106:DM121" si="105">1/1.4</f>
        <v>0.7142857142857143</v>
      </c>
      <c r="DN106" s="248">
        <v>70</v>
      </c>
      <c r="DO106" s="255">
        <f t="shared" ref="DO106:DO137" si="106">1/1.4</f>
        <v>0.7142857142857143</v>
      </c>
      <c r="DP106" s="248">
        <v>68</v>
      </c>
      <c r="DQ106" s="250">
        <v>1</v>
      </c>
      <c r="DR106" s="248">
        <v>69</v>
      </c>
      <c r="DS106" s="250">
        <v>0</v>
      </c>
      <c r="DU106" s="176">
        <v>102</v>
      </c>
      <c r="DV106" s="174" t="str">
        <f t="shared" si="104"/>
        <v>0.9D + Di + Wi (90 deg</v>
      </c>
      <c r="DW106" s="174">
        <v>1</v>
      </c>
      <c r="DX106" s="174" t="s">
        <v>170</v>
      </c>
      <c r="DY106" s="174"/>
      <c r="DZ106" s="174">
        <v>65</v>
      </c>
      <c r="EA106" s="174">
        <v>1.2</v>
      </c>
      <c r="EB106" s="174">
        <v>90</v>
      </c>
      <c r="EC106" s="174">
        <v>1.5</v>
      </c>
      <c r="ED106" s="174"/>
      <c r="EE106" s="174"/>
      <c r="EF106" s="174"/>
      <c r="EG106" s="174"/>
      <c r="EH106" s="174"/>
      <c r="EI106" s="174"/>
      <c r="EK106" s="2" t="s">
        <v>526</v>
      </c>
      <c r="EL106" s="2">
        <v>90</v>
      </c>
      <c r="EN106" s="176">
        <v>102</v>
      </c>
    </row>
    <row r="107" spans="1:144" ht="18" customHeight="1" x14ac:dyDescent="0.2">
      <c r="M107" s="176">
        <f t="shared" si="83"/>
        <v>103</v>
      </c>
      <c r="N107" s="170" t="str">
        <f t="shared" si="92"/>
        <v>1.2D + 1.0Ev +1.0Eh  | 30 deg</v>
      </c>
      <c r="O107" s="170" t="b">
        <v>1</v>
      </c>
      <c r="P107" s="170" t="str">
        <f t="shared" si="93"/>
        <v>Y</v>
      </c>
      <c r="Q107" s="170" t="str">
        <f t="shared" si="94"/>
        <v/>
      </c>
      <c r="R107" s="170">
        <f t="shared" si="96"/>
        <v>65</v>
      </c>
      <c r="S107" s="170">
        <f t="shared" si="97"/>
        <v>1.2</v>
      </c>
      <c r="T107" s="170">
        <f t="shared" si="98"/>
        <v>67</v>
      </c>
      <c r="U107" s="170">
        <f t="shared" si="99"/>
        <v>1</v>
      </c>
      <c r="V107" s="170">
        <f t="shared" si="100"/>
        <v>71</v>
      </c>
      <c r="W107" s="170">
        <f t="shared" si="101"/>
        <v>1</v>
      </c>
      <c r="X107" s="170">
        <f t="shared" si="102"/>
        <v>68</v>
      </c>
      <c r="Y107" s="170">
        <f t="shared" si="103"/>
        <v>0.86602540378443871</v>
      </c>
      <c r="Z107" s="170">
        <f t="shared" si="86"/>
        <v>69</v>
      </c>
      <c r="AA107" s="170">
        <f t="shared" si="87"/>
        <v>0.49999999999999994</v>
      </c>
      <c r="AC107" s="176">
        <v>103</v>
      </c>
      <c r="AD107" s="170" t="s">
        <v>1682</v>
      </c>
      <c r="AE107" s="170" t="b">
        <v>1</v>
      </c>
      <c r="AF107" s="170" t="s">
        <v>170</v>
      </c>
      <c r="AG107" s="170"/>
      <c r="AH107" s="170">
        <v>65</v>
      </c>
      <c r="AI107" s="170">
        <v>1.2</v>
      </c>
      <c r="AJ107" s="170">
        <v>67</v>
      </c>
      <c r="AK107" s="170">
        <v>1</v>
      </c>
      <c r="AL107" s="170">
        <v>71</v>
      </c>
      <c r="AM107" s="170">
        <v>1</v>
      </c>
      <c r="AN107" s="170">
        <v>68</v>
      </c>
      <c r="AO107" s="180">
        <v>0.86602540378443871</v>
      </c>
      <c r="AP107" s="170">
        <v>69</v>
      </c>
      <c r="AQ107" s="180">
        <v>0.49999999999999994</v>
      </c>
      <c r="BI107" s="176">
        <v>103</v>
      </c>
      <c r="BJ107" s="170" t="s">
        <v>1682</v>
      </c>
      <c r="BK107" s="170" t="b">
        <v>1</v>
      </c>
      <c r="BL107" s="170" t="s">
        <v>170</v>
      </c>
      <c r="BM107" s="170"/>
      <c r="BN107" s="170">
        <v>65</v>
      </c>
      <c r="BO107" s="170">
        <v>1.2</v>
      </c>
      <c r="BP107" s="170">
        <v>67</v>
      </c>
      <c r="BQ107" s="170">
        <v>1</v>
      </c>
      <c r="BR107" s="170">
        <v>71</v>
      </c>
      <c r="BS107" s="170">
        <v>1</v>
      </c>
      <c r="BT107" s="170">
        <v>68</v>
      </c>
      <c r="BU107" s="180">
        <v>0.86602540378443871</v>
      </c>
      <c r="BV107" s="170">
        <v>69</v>
      </c>
      <c r="BW107" s="180">
        <v>0.49999999999999994</v>
      </c>
      <c r="BY107" s="176">
        <v>103</v>
      </c>
      <c r="BZ107" s="246" t="s">
        <v>1683</v>
      </c>
      <c r="CA107" s="246" t="b">
        <v>1</v>
      </c>
      <c r="CB107" s="246" t="s">
        <v>170</v>
      </c>
      <c r="CC107" s="246"/>
      <c r="CD107" s="246">
        <v>65</v>
      </c>
      <c r="CE107" s="246">
        <v>1</v>
      </c>
      <c r="CF107" s="246">
        <v>67</v>
      </c>
      <c r="CG107" s="246">
        <v>0.7</v>
      </c>
      <c r="CH107" s="246">
        <v>71</v>
      </c>
      <c r="CI107" s="246">
        <v>0.7</v>
      </c>
      <c r="CJ107" s="246">
        <v>68</v>
      </c>
      <c r="CK107" s="251">
        <v>0.86602540378443871</v>
      </c>
      <c r="CL107" s="246">
        <v>69</v>
      </c>
      <c r="CM107" s="251">
        <v>0.49999999999999994</v>
      </c>
      <c r="CO107" s="176">
        <v>103</v>
      </c>
      <c r="CP107" s="246" t="s">
        <v>1684</v>
      </c>
      <c r="CQ107" s="246" t="b">
        <v>1</v>
      </c>
      <c r="CR107" s="246" t="s">
        <v>170</v>
      </c>
      <c r="CS107" s="246"/>
      <c r="CT107" s="246">
        <v>65</v>
      </c>
      <c r="CU107" s="246">
        <v>1</v>
      </c>
      <c r="CV107" s="246">
        <v>67</v>
      </c>
      <c r="CW107" s="246">
        <v>0.7</v>
      </c>
      <c r="CX107" s="246">
        <v>71</v>
      </c>
      <c r="CY107" s="246">
        <v>0.7</v>
      </c>
      <c r="CZ107" s="246">
        <v>68</v>
      </c>
      <c r="DA107" s="251">
        <v>0.86602540378443871</v>
      </c>
      <c r="DB107" s="246">
        <v>69</v>
      </c>
      <c r="DC107" s="251">
        <v>0.49999999999999994</v>
      </c>
      <c r="DE107" s="176">
        <v>103</v>
      </c>
      <c r="DF107" s="246" t="s">
        <v>1685</v>
      </c>
      <c r="DG107" s="246" t="b">
        <v>1</v>
      </c>
      <c r="DH107" s="246" t="s">
        <v>170</v>
      </c>
      <c r="DI107" s="246"/>
      <c r="DJ107" s="246">
        <v>65</v>
      </c>
      <c r="DK107" s="246">
        <v>1</v>
      </c>
      <c r="DL107" s="246">
        <v>67</v>
      </c>
      <c r="DM107" s="256">
        <f t="shared" si="105"/>
        <v>0.7142857142857143</v>
      </c>
      <c r="DN107" s="246">
        <v>71</v>
      </c>
      <c r="DO107" s="256">
        <f t="shared" si="106"/>
        <v>0.7142857142857143</v>
      </c>
      <c r="DP107" s="246">
        <v>68</v>
      </c>
      <c r="DQ107" s="251">
        <v>0.86602540378443871</v>
      </c>
      <c r="DR107" s="246">
        <v>69</v>
      </c>
      <c r="DS107" s="251">
        <v>0.49999999999999994</v>
      </c>
      <c r="DU107" s="176">
        <v>103</v>
      </c>
      <c r="DV107" s="170" t="str">
        <f t="shared" si="104"/>
        <v>0.9D + Di + Wi (120 deg</v>
      </c>
      <c r="DW107" s="170">
        <v>1</v>
      </c>
      <c r="DX107" s="170" t="s">
        <v>170</v>
      </c>
      <c r="DY107" s="170"/>
      <c r="DZ107" s="170">
        <v>65</v>
      </c>
      <c r="EA107" s="170">
        <v>1.2</v>
      </c>
      <c r="EB107" s="170">
        <v>90</v>
      </c>
      <c r="EC107" s="170">
        <v>1.5</v>
      </c>
      <c r="ED107" s="170"/>
      <c r="EE107" s="170"/>
      <c r="EF107" s="170"/>
      <c r="EG107" s="170"/>
      <c r="EH107" s="170"/>
      <c r="EI107" s="170"/>
      <c r="EK107" s="2" t="s">
        <v>526</v>
      </c>
      <c r="EL107" s="2">
        <v>120</v>
      </c>
      <c r="EN107" s="176">
        <v>103</v>
      </c>
    </row>
    <row r="108" spans="1:144" ht="18" customHeight="1" x14ac:dyDescent="0.2">
      <c r="M108" s="176">
        <f t="shared" si="83"/>
        <v>104</v>
      </c>
      <c r="N108" s="174" t="str">
        <f t="shared" si="92"/>
        <v>1.2D + 1.0Ev +1.0Eh  | 45 deg</v>
      </c>
      <c r="O108" s="174" t="b">
        <v>1</v>
      </c>
      <c r="P108" s="174" t="str">
        <f t="shared" si="93"/>
        <v>Y</v>
      </c>
      <c r="Q108" s="174" t="str">
        <f t="shared" si="94"/>
        <v/>
      </c>
      <c r="R108" s="174">
        <f t="shared" si="96"/>
        <v>65</v>
      </c>
      <c r="S108" s="174">
        <f t="shared" si="97"/>
        <v>1.2</v>
      </c>
      <c r="T108" s="174">
        <f t="shared" si="98"/>
        <v>67</v>
      </c>
      <c r="U108" s="174">
        <f t="shared" si="99"/>
        <v>1</v>
      </c>
      <c r="V108" s="174">
        <f t="shared" si="100"/>
        <v>72</v>
      </c>
      <c r="W108" s="174">
        <f t="shared" si="101"/>
        <v>1</v>
      </c>
      <c r="X108" s="174">
        <f t="shared" si="102"/>
        <v>68</v>
      </c>
      <c r="Y108" s="174">
        <f t="shared" si="103"/>
        <v>0.70710678118654757</v>
      </c>
      <c r="Z108" s="174">
        <f t="shared" si="86"/>
        <v>69</v>
      </c>
      <c r="AA108" s="174">
        <f t="shared" si="87"/>
        <v>0.70710678118654746</v>
      </c>
      <c r="AC108" s="176">
        <v>104</v>
      </c>
      <c r="AD108" s="174" t="s">
        <v>1727</v>
      </c>
      <c r="AE108" s="174" t="b">
        <v>1</v>
      </c>
      <c r="AF108" s="174" t="s">
        <v>170</v>
      </c>
      <c r="AG108" s="174"/>
      <c r="AH108" s="174">
        <v>65</v>
      </c>
      <c r="AI108" s="174">
        <v>1.2</v>
      </c>
      <c r="AJ108" s="174">
        <v>67</v>
      </c>
      <c r="AK108" s="174">
        <v>1</v>
      </c>
      <c r="AL108" s="174">
        <v>72</v>
      </c>
      <c r="AM108" s="174">
        <v>1</v>
      </c>
      <c r="AN108" s="174">
        <v>68</v>
      </c>
      <c r="AO108" s="181">
        <v>0.70710678118654757</v>
      </c>
      <c r="AP108" s="174">
        <v>69</v>
      </c>
      <c r="AQ108" s="181">
        <v>0.70710678118654746</v>
      </c>
      <c r="BI108" s="176">
        <v>104</v>
      </c>
      <c r="BJ108" s="174" t="s">
        <v>1727</v>
      </c>
      <c r="BK108" s="174" t="b">
        <v>1</v>
      </c>
      <c r="BL108" s="174" t="s">
        <v>170</v>
      </c>
      <c r="BM108" s="174"/>
      <c r="BN108" s="174">
        <v>65</v>
      </c>
      <c r="BO108" s="174">
        <v>1.2</v>
      </c>
      <c r="BP108" s="174">
        <v>67</v>
      </c>
      <c r="BQ108" s="174">
        <v>1</v>
      </c>
      <c r="BR108" s="174">
        <v>72</v>
      </c>
      <c r="BS108" s="174">
        <v>1</v>
      </c>
      <c r="BT108" s="174">
        <v>68</v>
      </c>
      <c r="BU108" s="181">
        <v>0.70710678118654757</v>
      </c>
      <c r="BV108" s="174">
        <v>69</v>
      </c>
      <c r="BW108" s="181">
        <v>0.70710678118654746</v>
      </c>
      <c r="BY108" s="176">
        <v>104</v>
      </c>
      <c r="BZ108" s="249" t="s">
        <v>1728</v>
      </c>
      <c r="CA108" s="249" t="b">
        <v>1</v>
      </c>
      <c r="CB108" s="249" t="s">
        <v>170</v>
      </c>
      <c r="CC108" s="249"/>
      <c r="CD108" s="249">
        <v>65</v>
      </c>
      <c r="CE108" s="249">
        <v>1</v>
      </c>
      <c r="CF108" s="249">
        <v>67</v>
      </c>
      <c r="CG108" s="249">
        <v>0.7</v>
      </c>
      <c r="CH108" s="249">
        <v>72</v>
      </c>
      <c r="CI108" s="249">
        <v>0.7</v>
      </c>
      <c r="CJ108" s="249">
        <v>68</v>
      </c>
      <c r="CK108" s="252">
        <v>0.70710678118654757</v>
      </c>
      <c r="CL108" s="249">
        <v>69</v>
      </c>
      <c r="CM108" s="252">
        <v>0.70710678118654746</v>
      </c>
      <c r="CO108" s="176">
        <v>104</v>
      </c>
      <c r="CP108" s="249" t="s">
        <v>1729</v>
      </c>
      <c r="CQ108" s="249" t="b">
        <v>1</v>
      </c>
      <c r="CR108" s="249" t="s">
        <v>170</v>
      </c>
      <c r="CS108" s="249"/>
      <c r="CT108" s="249">
        <v>65</v>
      </c>
      <c r="CU108" s="249">
        <v>1</v>
      </c>
      <c r="CV108" s="249">
        <v>67</v>
      </c>
      <c r="CW108" s="249">
        <v>0.7</v>
      </c>
      <c r="CX108" s="249">
        <v>72</v>
      </c>
      <c r="CY108" s="249">
        <v>0.7</v>
      </c>
      <c r="CZ108" s="249">
        <v>68</v>
      </c>
      <c r="DA108" s="252">
        <v>0.70710678118654757</v>
      </c>
      <c r="DB108" s="249">
        <v>69</v>
      </c>
      <c r="DC108" s="252">
        <v>0.70710678118654746</v>
      </c>
      <c r="DE108" s="176">
        <v>104</v>
      </c>
      <c r="DF108" s="249" t="s">
        <v>1730</v>
      </c>
      <c r="DG108" s="249" t="b">
        <v>1</v>
      </c>
      <c r="DH108" s="249" t="s">
        <v>170</v>
      </c>
      <c r="DI108" s="249"/>
      <c r="DJ108" s="249">
        <v>65</v>
      </c>
      <c r="DK108" s="249">
        <v>1</v>
      </c>
      <c r="DL108" s="249">
        <v>67</v>
      </c>
      <c r="DM108" s="257">
        <f t="shared" si="105"/>
        <v>0.7142857142857143</v>
      </c>
      <c r="DN108" s="249">
        <v>72</v>
      </c>
      <c r="DO108" s="257">
        <f t="shared" si="106"/>
        <v>0.7142857142857143</v>
      </c>
      <c r="DP108" s="249">
        <v>68</v>
      </c>
      <c r="DQ108" s="252">
        <v>0.70710678118654757</v>
      </c>
      <c r="DR108" s="249">
        <v>69</v>
      </c>
      <c r="DS108" s="252">
        <v>0.70710678118654746</v>
      </c>
      <c r="DU108" s="176">
        <v>104</v>
      </c>
      <c r="DV108" s="174" t="str">
        <f t="shared" si="104"/>
        <v>0.9D + Di + Wi (135 deg</v>
      </c>
      <c r="DW108" s="174">
        <v>1</v>
      </c>
      <c r="DX108" s="174" t="s">
        <v>170</v>
      </c>
      <c r="DY108" s="174"/>
      <c r="DZ108" s="174">
        <v>65</v>
      </c>
      <c r="EA108" s="174">
        <v>1.2</v>
      </c>
      <c r="EB108" s="174">
        <v>90</v>
      </c>
      <c r="EC108" s="174">
        <v>1.5</v>
      </c>
      <c r="ED108" s="174"/>
      <c r="EE108" s="174"/>
      <c r="EF108" s="174"/>
      <c r="EG108" s="174"/>
      <c r="EH108" s="174"/>
      <c r="EI108" s="174"/>
      <c r="EK108" s="2" t="s">
        <v>526</v>
      </c>
      <c r="EL108" s="2">
        <v>135</v>
      </c>
      <c r="EN108" s="176">
        <v>104</v>
      </c>
    </row>
    <row r="109" spans="1:144" ht="18" customHeight="1" x14ac:dyDescent="0.2">
      <c r="M109" s="176">
        <f t="shared" si="83"/>
        <v>105</v>
      </c>
      <c r="N109" s="170" t="str">
        <f t="shared" si="92"/>
        <v>1.2D + 1.0Ev +1.0Eh  | 60 deg</v>
      </c>
      <c r="O109" s="170" t="b">
        <v>1</v>
      </c>
      <c r="P109" s="170" t="str">
        <f t="shared" si="93"/>
        <v>Y</v>
      </c>
      <c r="Q109" s="170" t="str">
        <f t="shared" si="94"/>
        <v/>
      </c>
      <c r="R109" s="170">
        <f t="shared" si="96"/>
        <v>65</v>
      </c>
      <c r="S109" s="170">
        <f t="shared" si="97"/>
        <v>1.2</v>
      </c>
      <c r="T109" s="170">
        <f t="shared" si="98"/>
        <v>67</v>
      </c>
      <c r="U109" s="170">
        <f t="shared" si="99"/>
        <v>1</v>
      </c>
      <c r="V109" s="170">
        <f t="shared" si="100"/>
        <v>73</v>
      </c>
      <c r="W109" s="170">
        <f t="shared" si="101"/>
        <v>1</v>
      </c>
      <c r="X109" s="170">
        <f t="shared" si="102"/>
        <v>68</v>
      </c>
      <c r="Y109" s="170">
        <f t="shared" si="103"/>
        <v>0.50000000000000011</v>
      </c>
      <c r="Z109" s="170">
        <f t="shared" si="86"/>
        <v>69</v>
      </c>
      <c r="AA109" s="170">
        <f t="shared" si="87"/>
        <v>0.8660254037844386</v>
      </c>
      <c r="AC109" s="176">
        <v>105</v>
      </c>
      <c r="AD109" s="170" t="s">
        <v>1751</v>
      </c>
      <c r="AE109" s="170" t="b">
        <v>1</v>
      </c>
      <c r="AF109" s="170" t="s">
        <v>170</v>
      </c>
      <c r="AG109" s="170"/>
      <c r="AH109" s="170">
        <v>65</v>
      </c>
      <c r="AI109" s="170">
        <v>1.2</v>
      </c>
      <c r="AJ109" s="170">
        <v>67</v>
      </c>
      <c r="AK109" s="170">
        <v>1</v>
      </c>
      <c r="AL109" s="170">
        <v>73</v>
      </c>
      <c r="AM109" s="170">
        <v>1</v>
      </c>
      <c r="AN109" s="170">
        <v>68</v>
      </c>
      <c r="AO109" s="180">
        <v>0.50000000000000011</v>
      </c>
      <c r="AP109" s="170">
        <v>69</v>
      </c>
      <c r="AQ109" s="180">
        <v>0.8660254037844386</v>
      </c>
      <c r="BI109" s="176">
        <v>105</v>
      </c>
      <c r="BJ109" s="170" t="s">
        <v>1751</v>
      </c>
      <c r="BK109" s="170" t="b">
        <v>1</v>
      </c>
      <c r="BL109" s="170" t="s">
        <v>170</v>
      </c>
      <c r="BM109" s="170"/>
      <c r="BN109" s="170">
        <v>65</v>
      </c>
      <c r="BO109" s="170">
        <v>1.2</v>
      </c>
      <c r="BP109" s="170">
        <v>67</v>
      </c>
      <c r="BQ109" s="170">
        <v>1</v>
      </c>
      <c r="BR109" s="170">
        <v>73</v>
      </c>
      <c r="BS109" s="170">
        <v>1</v>
      </c>
      <c r="BT109" s="170">
        <v>68</v>
      </c>
      <c r="BU109" s="180">
        <v>0.50000000000000011</v>
      </c>
      <c r="BV109" s="170">
        <v>69</v>
      </c>
      <c r="BW109" s="180">
        <v>0.8660254037844386</v>
      </c>
      <c r="BY109" s="176">
        <v>105</v>
      </c>
      <c r="BZ109" s="246" t="s">
        <v>1752</v>
      </c>
      <c r="CA109" s="246" t="b">
        <v>1</v>
      </c>
      <c r="CB109" s="246" t="s">
        <v>170</v>
      </c>
      <c r="CC109" s="246"/>
      <c r="CD109" s="246">
        <v>65</v>
      </c>
      <c r="CE109" s="246">
        <v>1</v>
      </c>
      <c r="CF109" s="246">
        <v>67</v>
      </c>
      <c r="CG109" s="246">
        <v>0.7</v>
      </c>
      <c r="CH109" s="246">
        <v>73</v>
      </c>
      <c r="CI109" s="246">
        <v>0.7</v>
      </c>
      <c r="CJ109" s="246">
        <v>68</v>
      </c>
      <c r="CK109" s="251">
        <v>0.50000000000000011</v>
      </c>
      <c r="CL109" s="246">
        <v>69</v>
      </c>
      <c r="CM109" s="251">
        <v>0.8660254037844386</v>
      </c>
      <c r="CO109" s="176">
        <v>105</v>
      </c>
      <c r="CP109" s="246" t="s">
        <v>1753</v>
      </c>
      <c r="CQ109" s="246" t="b">
        <v>1</v>
      </c>
      <c r="CR109" s="246" t="s">
        <v>170</v>
      </c>
      <c r="CS109" s="246"/>
      <c r="CT109" s="246">
        <v>65</v>
      </c>
      <c r="CU109" s="246">
        <v>1</v>
      </c>
      <c r="CV109" s="246">
        <v>67</v>
      </c>
      <c r="CW109" s="246">
        <v>0.7</v>
      </c>
      <c r="CX109" s="246">
        <v>73</v>
      </c>
      <c r="CY109" s="246">
        <v>0.7</v>
      </c>
      <c r="CZ109" s="246">
        <v>68</v>
      </c>
      <c r="DA109" s="251">
        <v>0.50000000000000011</v>
      </c>
      <c r="DB109" s="246">
        <v>69</v>
      </c>
      <c r="DC109" s="251">
        <v>0.8660254037844386</v>
      </c>
      <c r="DE109" s="176">
        <v>105</v>
      </c>
      <c r="DF109" s="246" t="s">
        <v>1754</v>
      </c>
      <c r="DG109" s="246" t="b">
        <v>1</v>
      </c>
      <c r="DH109" s="246" t="s">
        <v>170</v>
      </c>
      <c r="DI109" s="246"/>
      <c r="DJ109" s="246">
        <v>65</v>
      </c>
      <c r="DK109" s="246">
        <v>1</v>
      </c>
      <c r="DL109" s="246">
        <v>67</v>
      </c>
      <c r="DM109" s="256">
        <f t="shared" si="105"/>
        <v>0.7142857142857143</v>
      </c>
      <c r="DN109" s="246">
        <v>73</v>
      </c>
      <c r="DO109" s="256">
        <f t="shared" si="106"/>
        <v>0.7142857142857143</v>
      </c>
      <c r="DP109" s="246">
        <v>68</v>
      </c>
      <c r="DQ109" s="251">
        <v>0.50000000000000011</v>
      </c>
      <c r="DR109" s="246">
        <v>69</v>
      </c>
      <c r="DS109" s="251">
        <v>0.8660254037844386</v>
      </c>
      <c r="DU109" s="176">
        <v>105</v>
      </c>
      <c r="DV109" s="170" t="str">
        <f t="shared" si="104"/>
        <v>0.9D + Di + Wi (150 deg</v>
      </c>
      <c r="DW109" s="170">
        <v>1</v>
      </c>
      <c r="DX109" s="170" t="s">
        <v>170</v>
      </c>
      <c r="DY109" s="170"/>
      <c r="DZ109" s="170">
        <v>65</v>
      </c>
      <c r="EA109" s="170">
        <v>1.2</v>
      </c>
      <c r="EB109" s="170">
        <v>90</v>
      </c>
      <c r="EC109" s="170">
        <v>1.5</v>
      </c>
      <c r="ED109" s="170"/>
      <c r="EE109" s="170"/>
      <c r="EF109" s="170"/>
      <c r="EG109" s="170"/>
      <c r="EH109" s="170"/>
      <c r="EI109" s="170"/>
      <c r="EK109" s="2" t="s">
        <v>526</v>
      </c>
      <c r="EL109" s="2">
        <v>150</v>
      </c>
      <c r="EN109" s="176">
        <v>105</v>
      </c>
    </row>
    <row r="110" spans="1:144" ht="18" customHeight="1" x14ac:dyDescent="0.2">
      <c r="M110" s="176">
        <f t="shared" si="83"/>
        <v>106</v>
      </c>
      <c r="N110" s="174" t="str">
        <f t="shared" si="92"/>
        <v>1.2D + 1.0Ev +1.0Eh  | 90 deg</v>
      </c>
      <c r="O110" s="174" t="b">
        <v>1</v>
      </c>
      <c r="P110" s="174" t="str">
        <f t="shared" si="93"/>
        <v>Y</v>
      </c>
      <c r="Q110" s="174" t="str">
        <f t="shared" si="94"/>
        <v/>
      </c>
      <c r="R110" s="174">
        <f t="shared" si="96"/>
        <v>65</v>
      </c>
      <c r="S110" s="174">
        <f t="shared" si="97"/>
        <v>1.2</v>
      </c>
      <c r="T110" s="174">
        <f t="shared" si="98"/>
        <v>67</v>
      </c>
      <c r="U110" s="174">
        <f t="shared" si="99"/>
        <v>1</v>
      </c>
      <c r="V110" s="174">
        <f t="shared" si="100"/>
        <v>74</v>
      </c>
      <c r="W110" s="174">
        <f t="shared" si="101"/>
        <v>1</v>
      </c>
      <c r="X110" s="174">
        <f t="shared" si="102"/>
        <v>68</v>
      </c>
      <c r="Y110" s="174">
        <f t="shared" si="103"/>
        <v>6.1257422745431001E-17</v>
      </c>
      <c r="Z110" s="174">
        <f t="shared" si="86"/>
        <v>69</v>
      </c>
      <c r="AA110" s="174">
        <f t="shared" si="87"/>
        <v>1</v>
      </c>
      <c r="AC110" s="176">
        <v>106</v>
      </c>
      <c r="AD110" s="174" t="s">
        <v>1775</v>
      </c>
      <c r="AE110" s="174" t="b">
        <v>1</v>
      </c>
      <c r="AF110" s="174" t="s">
        <v>170</v>
      </c>
      <c r="AG110" s="174"/>
      <c r="AH110" s="174">
        <v>65</v>
      </c>
      <c r="AI110" s="174">
        <v>1.2</v>
      </c>
      <c r="AJ110" s="174">
        <v>67</v>
      </c>
      <c r="AK110" s="174">
        <v>1</v>
      </c>
      <c r="AL110" s="174">
        <v>74</v>
      </c>
      <c r="AM110" s="174">
        <v>1</v>
      </c>
      <c r="AN110" s="174">
        <v>68</v>
      </c>
      <c r="AO110" s="181">
        <v>6.1257422745431001E-17</v>
      </c>
      <c r="AP110" s="174">
        <v>69</v>
      </c>
      <c r="AQ110" s="181">
        <v>1</v>
      </c>
      <c r="BI110" s="176">
        <v>106</v>
      </c>
      <c r="BJ110" s="174" t="s">
        <v>1775</v>
      </c>
      <c r="BK110" s="174" t="b">
        <v>1</v>
      </c>
      <c r="BL110" s="174" t="s">
        <v>170</v>
      </c>
      <c r="BM110" s="174"/>
      <c r="BN110" s="174">
        <v>65</v>
      </c>
      <c r="BO110" s="174">
        <v>1.2</v>
      </c>
      <c r="BP110" s="174">
        <v>67</v>
      </c>
      <c r="BQ110" s="174">
        <v>1</v>
      </c>
      <c r="BR110" s="174">
        <v>74</v>
      </c>
      <c r="BS110" s="174">
        <v>1</v>
      </c>
      <c r="BT110" s="174">
        <v>68</v>
      </c>
      <c r="BU110" s="181">
        <v>6.1257422745431001E-17</v>
      </c>
      <c r="BV110" s="174">
        <v>69</v>
      </c>
      <c r="BW110" s="181">
        <v>1</v>
      </c>
      <c r="BY110" s="176">
        <v>106</v>
      </c>
      <c r="BZ110" s="249" t="s">
        <v>1776</v>
      </c>
      <c r="CA110" s="249" t="b">
        <v>1</v>
      </c>
      <c r="CB110" s="249" t="s">
        <v>170</v>
      </c>
      <c r="CC110" s="249"/>
      <c r="CD110" s="249">
        <v>65</v>
      </c>
      <c r="CE110" s="249">
        <v>1</v>
      </c>
      <c r="CF110" s="249">
        <v>67</v>
      </c>
      <c r="CG110" s="249">
        <v>0.7</v>
      </c>
      <c r="CH110" s="249">
        <v>74</v>
      </c>
      <c r="CI110" s="249">
        <v>0.7</v>
      </c>
      <c r="CJ110" s="249">
        <v>68</v>
      </c>
      <c r="CK110" s="252">
        <v>6.1257422745431001E-17</v>
      </c>
      <c r="CL110" s="249">
        <v>69</v>
      </c>
      <c r="CM110" s="252">
        <v>1</v>
      </c>
      <c r="CO110" s="176">
        <v>106</v>
      </c>
      <c r="CP110" s="249" t="s">
        <v>1777</v>
      </c>
      <c r="CQ110" s="249" t="b">
        <v>1</v>
      </c>
      <c r="CR110" s="249" t="s">
        <v>170</v>
      </c>
      <c r="CS110" s="249"/>
      <c r="CT110" s="249">
        <v>65</v>
      </c>
      <c r="CU110" s="249">
        <v>1</v>
      </c>
      <c r="CV110" s="249">
        <v>67</v>
      </c>
      <c r="CW110" s="249">
        <v>0.7</v>
      </c>
      <c r="CX110" s="249">
        <v>74</v>
      </c>
      <c r="CY110" s="249">
        <v>0.7</v>
      </c>
      <c r="CZ110" s="249">
        <v>68</v>
      </c>
      <c r="DA110" s="252">
        <v>6.1257422745431001E-17</v>
      </c>
      <c r="DB110" s="249">
        <v>69</v>
      </c>
      <c r="DC110" s="252">
        <v>1</v>
      </c>
      <c r="DE110" s="176">
        <v>106</v>
      </c>
      <c r="DF110" s="249" t="s">
        <v>1778</v>
      </c>
      <c r="DG110" s="249" t="b">
        <v>1</v>
      </c>
      <c r="DH110" s="249" t="s">
        <v>170</v>
      </c>
      <c r="DI110" s="249"/>
      <c r="DJ110" s="249">
        <v>65</v>
      </c>
      <c r="DK110" s="249">
        <v>1</v>
      </c>
      <c r="DL110" s="249">
        <v>67</v>
      </c>
      <c r="DM110" s="257">
        <f t="shared" si="105"/>
        <v>0.7142857142857143</v>
      </c>
      <c r="DN110" s="249">
        <v>74</v>
      </c>
      <c r="DO110" s="257">
        <f t="shared" si="106"/>
        <v>0.7142857142857143</v>
      </c>
      <c r="DP110" s="249">
        <v>68</v>
      </c>
      <c r="DQ110" s="252">
        <v>6.1257422745431001E-17</v>
      </c>
      <c r="DR110" s="249">
        <v>69</v>
      </c>
      <c r="DS110" s="252">
        <v>1</v>
      </c>
      <c r="DU110" s="176">
        <v>106</v>
      </c>
      <c r="DV110" s="174" t="str">
        <f t="shared" si="104"/>
        <v>0.9D + Di + Wi (180 deg</v>
      </c>
      <c r="DW110" s="174">
        <v>1</v>
      </c>
      <c r="DX110" s="174" t="s">
        <v>170</v>
      </c>
      <c r="DY110" s="174"/>
      <c r="DZ110" s="174">
        <v>65</v>
      </c>
      <c r="EA110" s="174">
        <v>1.2</v>
      </c>
      <c r="EB110" s="174">
        <v>90</v>
      </c>
      <c r="EC110" s="174">
        <v>1.5</v>
      </c>
      <c r="ED110" s="174"/>
      <c r="EE110" s="174"/>
      <c r="EF110" s="174"/>
      <c r="EG110" s="174"/>
      <c r="EH110" s="174"/>
      <c r="EI110" s="174"/>
      <c r="EK110" s="2" t="s">
        <v>526</v>
      </c>
      <c r="EL110" s="2">
        <v>180</v>
      </c>
      <c r="EN110" s="176">
        <v>106</v>
      </c>
    </row>
    <row r="111" spans="1:144" ht="18" customHeight="1" x14ac:dyDescent="0.2">
      <c r="M111" s="176">
        <f t="shared" si="83"/>
        <v>107</v>
      </c>
      <c r="N111" s="170" t="str">
        <f t="shared" si="92"/>
        <v>1.2D + 1.0Ev +1.0Eh  | 120 deg</v>
      </c>
      <c r="O111" s="170" t="b">
        <v>1</v>
      </c>
      <c r="P111" s="170" t="str">
        <f t="shared" si="93"/>
        <v>Y</v>
      </c>
      <c r="Q111" s="170" t="str">
        <f t="shared" si="94"/>
        <v/>
      </c>
      <c r="R111" s="170">
        <f t="shared" si="96"/>
        <v>65</v>
      </c>
      <c r="S111" s="170">
        <f t="shared" si="97"/>
        <v>1.2</v>
      </c>
      <c r="T111" s="170">
        <f t="shared" si="98"/>
        <v>67</v>
      </c>
      <c r="U111" s="170">
        <f t="shared" si="99"/>
        <v>1</v>
      </c>
      <c r="V111" s="170">
        <f t="shared" si="100"/>
        <v>75</v>
      </c>
      <c r="W111" s="170">
        <f t="shared" si="101"/>
        <v>1</v>
      </c>
      <c r="X111" s="170">
        <f t="shared" si="102"/>
        <v>68</v>
      </c>
      <c r="Y111" s="170">
        <f t="shared" si="103"/>
        <v>-0.49999999999999978</v>
      </c>
      <c r="Z111" s="170">
        <f t="shared" si="86"/>
        <v>69</v>
      </c>
      <c r="AA111" s="170">
        <f t="shared" si="87"/>
        <v>0.86602540378443871</v>
      </c>
      <c r="AC111" s="176">
        <v>107</v>
      </c>
      <c r="AD111" s="170" t="s">
        <v>1490</v>
      </c>
      <c r="AE111" s="170" t="b">
        <v>1</v>
      </c>
      <c r="AF111" s="170" t="s">
        <v>170</v>
      </c>
      <c r="AG111" s="170"/>
      <c r="AH111" s="170">
        <v>65</v>
      </c>
      <c r="AI111" s="170">
        <v>1.2</v>
      </c>
      <c r="AJ111" s="170">
        <v>67</v>
      </c>
      <c r="AK111" s="170">
        <v>1</v>
      </c>
      <c r="AL111" s="170">
        <v>75</v>
      </c>
      <c r="AM111" s="170">
        <v>1</v>
      </c>
      <c r="AN111" s="170">
        <v>68</v>
      </c>
      <c r="AO111" s="180">
        <v>-0.49999999999999978</v>
      </c>
      <c r="AP111" s="170">
        <v>69</v>
      </c>
      <c r="AQ111" s="180">
        <v>0.86602540378443871</v>
      </c>
      <c r="BI111" s="176">
        <v>107</v>
      </c>
      <c r="BJ111" s="170" t="s">
        <v>1490</v>
      </c>
      <c r="BK111" s="170" t="b">
        <v>1</v>
      </c>
      <c r="BL111" s="170" t="s">
        <v>170</v>
      </c>
      <c r="BM111" s="170"/>
      <c r="BN111" s="170">
        <v>65</v>
      </c>
      <c r="BO111" s="170">
        <v>1.2</v>
      </c>
      <c r="BP111" s="170">
        <v>67</v>
      </c>
      <c r="BQ111" s="170">
        <v>1</v>
      </c>
      <c r="BR111" s="170">
        <v>75</v>
      </c>
      <c r="BS111" s="170">
        <v>1</v>
      </c>
      <c r="BT111" s="170">
        <v>68</v>
      </c>
      <c r="BU111" s="180">
        <v>-0.49999999999999978</v>
      </c>
      <c r="BV111" s="170">
        <v>69</v>
      </c>
      <c r="BW111" s="180">
        <v>0.86602540378443871</v>
      </c>
      <c r="BY111" s="176">
        <v>107</v>
      </c>
      <c r="BZ111" s="246" t="s">
        <v>1491</v>
      </c>
      <c r="CA111" s="246" t="b">
        <v>1</v>
      </c>
      <c r="CB111" s="246" t="s">
        <v>170</v>
      </c>
      <c r="CC111" s="246"/>
      <c r="CD111" s="246">
        <v>65</v>
      </c>
      <c r="CE111" s="246">
        <v>1</v>
      </c>
      <c r="CF111" s="246">
        <v>67</v>
      </c>
      <c r="CG111" s="246">
        <v>0.7</v>
      </c>
      <c r="CH111" s="246">
        <v>75</v>
      </c>
      <c r="CI111" s="246">
        <v>0.7</v>
      </c>
      <c r="CJ111" s="246">
        <v>68</v>
      </c>
      <c r="CK111" s="251">
        <v>-0.49999999999999978</v>
      </c>
      <c r="CL111" s="246">
        <v>69</v>
      </c>
      <c r="CM111" s="251">
        <v>0.86602540378443871</v>
      </c>
      <c r="CO111" s="176">
        <v>107</v>
      </c>
      <c r="CP111" s="246" t="s">
        <v>1492</v>
      </c>
      <c r="CQ111" s="246" t="b">
        <v>1</v>
      </c>
      <c r="CR111" s="246" t="s">
        <v>170</v>
      </c>
      <c r="CS111" s="246"/>
      <c r="CT111" s="246">
        <v>65</v>
      </c>
      <c r="CU111" s="246">
        <v>1</v>
      </c>
      <c r="CV111" s="246">
        <v>67</v>
      </c>
      <c r="CW111" s="246">
        <v>0.7</v>
      </c>
      <c r="CX111" s="246">
        <v>75</v>
      </c>
      <c r="CY111" s="246">
        <v>0.7</v>
      </c>
      <c r="CZ111" s="246">
        <v>68</v>
      </c>
      <c r="DA111" s="251">
        <v>-0.49999999999999978</v>
      </c>
      <c r="DB111" s="246">
        <v>69</v>
      </c>
      <c r="DC111" s="251">
        <v>0.86602540378443871</v>
      </c>
      <c r="DE111" s="176">
        <v>107</v>
      </c>
      <c r="DF111" s="246" t="s">
        <v>1493</v>
      </c>
      <c r="DG111" s="246" t="b">
        <v>1</v>
      </c>
      <c r="DH111" s="246" t="s">
        <v>170</v>
      </c>
      <c r="DI111" s="246"/>
      <c r="DJ111" s="246">
        <v>65</v>
      </c>
      <c r="DK111" s="246">
        <v>1</v>
      </c>
      <c r="DL111" s="246">
        <v>67</v>
      </c>
      <c r="DM111" s="256">
        <f t="shared" si="105"/>
        <v>0.7142857142857143</v>
      </c>
      <c r="DN111" s="246">
        <v>75</v>
      </c>
      <c r="DO111" s="256">
        <f t="shared" si="106"/>
        <v>0.7142857142857143</v>
      </c>
      <c r="DP111" s="246">
        <v>68</v>
      </c>
      <c r="DQ111" s="251">
        <v>-0.49999999999999978</v>
      </c>
      <c r="DR111" s="246">
        <v>69</v>
      </c>
      <c r="DS111" s="251">
        <v>0.86602540378443871</v>
      </c>
      <c r="DU111" s="176">
        <v>107</v>
      </c>
      <c r="DV111" s="170" t="str">
        <f t="shared" si="104"/>
        <v>0.9D + Di + Wi (210 deg</v>
      </c>
      <c r="DW111" s="170">
        <v>1</v>
      </c>
      <c r="DX111" s="170" t="s">
        <v>170</v>
      </c>
      <c r="DY111" s="170"/>
      <c r="DZ111" s="170">
        <v>65</v>
      </c>
      <c r="EA111" s="170">
        <v>1.2</v>
      </c>
      <c r="EB111" s="170">
        <v>90</v>
      </c>
      <c r="EC111" s="170">
        <v>1.5</v>
      </c>
      <c r="ED111" s="170"/>
      <c r="EE111" s="170"/>
      <c r="EF111" s="170"/>
      <c r="EG111" s="170"/>
      <c r="EH111" s="170"/>
      <c r="EI111" s="170"/>
      <c r="EK111" s="2" t="s">
        <v>526</v>
      </c>
      <c r="EL111" s="2">
        <v>210</v>
      </c>
      <c r="EN111" s="176">
        <v>107</v>
      </c>
    </row>
    <row r="112" spans="1:144" ht="18" customHeight="1" x14ac:dyDescent="0.2">
      <c r="M112" s="176">
        <f t="shared" si="83"/>
        <v>108</v>
      </c>
      <c r="N112" s="174" t="str">
        <f t="shared" si="92"/>
        <v>1.2D + 1.0Ev +1.0Eh  | 135 deg</v>
      </c>
      <c r="O112" s="174" t="b">
        <v>1</v>
      </c>
      <c r="P112" s="174" t="str">
        <f t="shared" si="93"/>
        <v>Y</v>
      </c>
      <c r="Q112" s="174" t="str">
        <f t="shared" si="94"/>
        <v/>
      </c>
      <c r="R112" s="174">
        <f t="shared" si="96"/>
        <v>65</v>
      </c>
      <c r="S112" s="174">
        <f t="shared" si="97"/>
        <v>1.2</v>
      </c>
      <c r="T112" s="174">
        <f t="shared" si="98"/>
        <v>67</v>
      </c>
      <c r="U112" s="174">
        <f t="shared" si="99"/>
        <v>1</v>
      </c>
      <c r="V112" s="174">
        <f t="shared" si="100"/>
        <v>76</v>
      </c>
      <c r="W112" s="174">
        <f t="shared" si="101"/>
        <v>1</v>
      </c>
      <c r="X112" s="174">
        <f t="shared" si="102"/>
        <v>68</v>
      </c>
      <c r="Y112" s="174">
        <f t="shared" si="103"/>
        <v>-0.70710678118654746</v>
      </c>
      <c r="Z112" s="174">
        <f t="shared" si="86"/>
        <v>69</v>
      </c>
      <c r="AA112" s="174">
        <f t="shared" si="87"/>
        <v>0.70710678118654757</v>
      </c>
      <c r="AC112" s="176">
        <v>108</v>
      </c>
      <c r="AD112" s="174" t="s">
        <v>1494</v>
      </c>
      <c r="AE112" s="174" t="b">
        <v>1</v>
      </c>
      <c r="AF112" s="174" t="s">
        <v>170</v>
      </c>
      <c r="AG112" s="174"/>
      <c r="AH112" s="174">
        <v>65</v>
      </c>
      <c r="AI112" s="174">
        <v>1.2</v>
      </c>
      <c r="AJ112" s="174">
        <v>67</v>
      </c>
      <c r="AK112" s="174">
        <v>1</v>
      </c>
      <c r="AL112" s="174">
        <v>76</v>
      </c>
      <c r="AM112" s="174">
        <v>1</v>
      </c>
      <c r="AN112" s="174">
        <v>68</v>
      </c>
      <c r="AO112" s="181">
        <v>-0.70710678118654746</v>
      </c>
      <c r="AP112" s="174">
        <v>69</v>
      </c>
      <c r="AQ112" s="181">
        <v>0.70710678118654757</v>
      </c>
      <c r="BI112" s="176">
        <v>108</v>
      </c>
      <c r="BJ112" s="174" t="s">
        <v>1494</v>
      </c>
      <c r="BK112" s="174" t="b">
        <v>1</v>
      </c>
      <c r="BL112" s="174" t="s">
        <v>170</v>
      </c>
      <c r="BM112" s="174"/>
      <c r="BN112" s="174">
        <v>65</v>
      </c>
      <c r="BO112" s="174">
        <v>1.2</v>
      </c>
      <c r="BP112" s="174">
        <v>67</v>
      </c>
      <c r="BQ112" s="174">
        <v>1</v>
      </c>
      <c r="BR112" s="174">
        <v>76</v>
      </c>
      <c r="BS112" s="174">
        <v>1</v>
      </c>
      <c r="BT112" s="174">
        <v>68</v>
      </c>
      <c r="BU112" s="181">
        <v>-0.70710678118654746</v>
      </c>
      <c r="BV112" s="174">
        <v>69</v>
      </c>
      <c r="BW112" s="181">
        <v>0.70710678118654757</v>
      </c>
      <c r="BY112" s="176">
        <v>108</v>
      </c>
      <c r="BZ112" s="249" t="s">
        <v>1495</v>
      </c>
      <c r="CA112" s="249" t="b">
        <v>1</v>
      </c>
      <c r="CB112" s="249" t="s">
        <v>170</v>
      </c>
      <c r="CC112" s="249"/>
      <c r="CD112" s="249">
        <v>65</v>
      </c>
      <c r="CE112" s="249">
        <v>1</v>
      </c>
      <c r="CF112" s="249">
        <v>67</v>
      </c>
      <c r="CG112" s="249">
        <v>0.7</v>
      </c>
      <c r="CH112" s="249">
        <v>76</v>
      </c>
      <c r="CI112" s="249">
        <v>0.7</v>
      </c>
      <c r="CJ112" s="249">
        <v>68</v>
      </c>
      <c r="CK112" s="252">
        <v>-0.70710678118654746</v>
      </c>
      <c r="CL112" s="249">
        <v>69</v>
      </c>
      <c r="CM112" s="252">
        <v>0.70710678118654757</v>
      </c>
      <c r="CO112" s="176">
        <v>108</v>
      </c>
      <c r="CP112" s="249" t="s">
        <v>1496</v>
      </c>
      <c r="CQ112" s="249" t="b">
        <v>1</v>
      </c>
      <c r="CR112" s="249" t="s">
        <v>170</v>
      </c>
      <c r="CS112" s="249"/>
      <c r="CT112" s="249">
        <v>65</v>
      </c>
      <c r="CU112" s="249">
        <v>1</v>
      </c>
      <c r="CV112" s="249">
        <v>67</v>
      </c>
      <c r="CW112" s="249">
        <v>0.7</v>
      </c>
      <c r="CX112" s="249">
        <v>76</v>
      </c>
      <c r="CY112" s="249">
        <v>0.7</v>
      </c>
      <c r="CZ112" s="249">
        <v>68</v>
      </c>
      <c r="DA112" s="252">
        <v>-0.70710678118654746</v>
      </c>
      <c r="DB112" s="249">
        <v>69</v>
      </c>
      <c r="DC112" s="252">
        <v>0.70710678118654757</v>
      </c>
      <c r="DE112" s="176">
        <v>108</v>
      </c>
      <c r="DF112" s="249" t="s">
        <v>1497</v>
      </c>
      <c r="DG112" s="249" t="b">
        <v>1</v>
      </c>
      <c r="DH112" s="249" t="s">
        <v>170</v>
      </c>
      <c r="DI112" s="249"/>
      <c r="DJ112" s="249">
        <v>65</v>
      </c>
      <c r="DK112" s="249">
        <v>1</v>
      </c>
      <c r="DL112" s="249">
        <v>67</v>
      </c>
      <c r="DM112" s="257">
        <f t="shared" si="105"/>
        <v>0.7142857142857143</v>
      </c>
      <c r="DN112" s="249">
        <v>76</v>
      </c>
      <c r="DO112" s="257">
        <f t="shared" si="106"/>
        <v>0.7142857142857143</v>
      </c>
      <c r="DP112" s="249">
        <v>68</v>
      </c>
      <c r="DQ112" s="252">
        <v>-0.70710678118654746</v>
      </c>
      <c r="DR112" s="249">
        <v>69</v>
      </c>
      <c r="DS112" s="252">
        <v>0.70710678118654757</v>
      </c>
      <c r="DU112" s="176">
        <v>108</v>
      </c>
      <c r="DV112" s="174" t="str">
        <f t="shared" si="104"/>
        <v>0.9D + Di + Wi (225 deg</v>
      </c>
      <c r="DW112" s="174">
        <v>1</v>
      </c>
      <c r="DX112" s="174" t="s">
        <v>170</v>
      </c>
      <c r="DY112" s="174"/>
      <c r="DZ112" s="174">
        <v>65</v>
      </c>
      <c r="EA112" s="174">
        <v>1.2</v>
      </c>
      <c r="EB112" s="174">
        <v>90</v>
      </c>
      <c r="EC112" s="174">
        <v>1.5</v>
      </c>
      <c r="ED112" s="174"/>
      <c r="EE112" s="174"/>
      <c r="EF112" s="174"/>
      <c r="EG112" s="174"/>
      <c r="EH112" s="174"/>
      <c r="EI112" s="174"/>
      <c r="EK112" s="2" t="s">
        <v>526</v>
      </c>
      <c r="EL112" s="2">
        <v>225</v>
      </c>
      <c r="EN112" s="176">
        <v>108</v>
      </c>
    </row>
    <row r="113" spans="6:144" ht="18" customHeight="1" x14ac:dyDescent="0.2">
      <c r="M113" s="176">
        <f t="shared" si="83"/>
        <v>109</v>
      </c>
      <c r="N113" s="170" t="str">
        <f t="shared" si="92"/>
        <v>1.2D + 1.0Ev +1.0Eh  | 150 deg</v>
      </c>
      <c r="O113" s="170" t="b">
        <v>1</v>
      </c>
      <c r="P113" s="170" t="str">
        <f t="shared" si="93"/>
        <v>Y</v>
      </c>
      <c r="Q113" s="170" t="str">
        <f t="shared" si="94"/>
        <v/>
      </c>
      <c r="R113" s="170">
        <f t="shared" si="96"/>
        <v>65</v>
      </c>
      <c r="S113" s="170">
        <f t="shared" si="97"/>
        <v>1.2</v>
      </c>
      <c r="T113" s="170">
        <f t="shared" si="98"/>
        <v>67</v>
      </c>
      <c r="U113" s="170">
        <f t="shared" si="99"/>
        <v>1</v>
      </c>
      <c r="V113" s="170">
        <f t="shared" si="100"/>
        <v>77</v>
      </c>
      <c r="W113" s="170">
        <f t="shared" si="101"/>
        <v>1</v>
      </c>
      <c r="X113" s="170">
        <f t="shared" si="102"/>
        <v>68</v>
      </c>
      <c r="Y113" s="170">
        <f t="shared" si="103"/>
        <v>-0.86602540378443871</v>
      </c>
      <c r="Z113" s="170">
        <f t="shared" si="86"/>
        <v>69</v>
      </c>
      <c r="AA113" s="170">
        <f t="shared" si="87"/>
        <v>0.49999999999999994</v>
      </c>
      <c r="AC113" s="176">
        <v>109</v>
      </c>
      <c r="AD113" s="170" t="s">
        <v>1498</v>
      </c>
      <c r="AE113" s="170" t="b">
        <v>1</v>
      </c>
      <c r="AF113" s="170" t="s">
        <v>170</v>
      </c>
      <c r="AG113" s="170"/>
      <c r="AH113" s="170">
        <v>65</v>
      </c>
      <c r="AI113" s="170">
        <v>1.2</v>
      </c>
      <c r="AJ113" s="170">
        <v>67</v>
      </c>
      <c r="AK113" s="170">
        <v>1</v>
      </c>
      <c r="AL113" s="170">
        <v>77</v>
      </c>
      <c r="AM113" s="170">
        <v>1</v>
      </c>
      <c r="AN113" s="170">
        <v>68</v>
      </c>
      <c r="AO113" s="180">
        <v>-0.86602540378443871</v>
      </c>
      <c r="AP113" s="170">
        <v>69</v>
      </c>
      <c r="AQ113" s="180">
        <v>0.49999999999999994</v>
      </c>
      <c r="BI113" s="176">
        <v>109</v>
      </c>
      <c r="BJ113" s="170" t="s">
        <v>1498</v>
      </c>
      <c r="BK113" s="170" t="b">
        <v>1</v>
      </c>
      <c r="BL113" s="170" t="s">
        <v>170</v>
      </c>
      <c r="BM113" s="170"/>
      <c r="BN113" s="170">
        <v>65</v>
      </c>
      <c r="BO113" s="170">
        <v>1.2</v>
      </c>
      <c r="BP113" s="170">
        <v>67</v>
      </c>
      <c r="BQ113" s="170">
        <v>1</v>
      </c>
      <c r="BR113" s="170">
        <v>77</v>
      </c>
      <c r="BS113" s="170">
        <v>1</v>
      </c>
      <c r="BT113" s="170">
        <v>68</v>
      </c>
      <c r="BU113" s="180">
        <v>-0.86602540378443871</v>
      </c>
      <c r="BV113" s="170">
        <v>69</v>
      </c>
      <c r="BW113" s="180">
        <v>0.49999999999999994</v>
      </c>
      <c r="BY113" s="176">
        <v>109</v>
      </c>
      <c r="BZ113" s="246" t="s">
        <v>1499</v>
      </c>
      <c r="CA113" s="246" t="b">
        <v>1</v>
      </c>
      <c r="CB113" s="246" t="s">
        <v>170</v>
      </c>
      <c r="CC113" s="246"/>
      <c r="CD113" s="246">
        <v>65</v>
      </c>
      <c r="CE113" s="246">
        <v>1</v>
      </c>
      <c r="CF113" s="246">
        <v>67</v>
      </c>
      <c r="CG113" s="246">
        <v>0.7</v>
      </c>
      <c r="CH113" s="246">
        <v>77</v>
      </c>
      <c r="CI113" s="246">
        <v>0.7</v>
      </c>
      <c r="CJ113" s="246">
        <v>68</v>
      </c>
      <c r="CK113" s="251">
        <v>-0.86602540378443871</v>
      </c>
      <c r="CL113" s="246">
        <v>69</v>
      </c>
      <c r="CM113" s="251">
        <v>0.49999999999999994</v>
      </c>
      <c r="CO113" s="176">
        <v>109</v>
      </c>
      <c r="CP113" s="246" t="s">
        <v>1500</v>
      </c>
      <c r="CQ113" s="246" t="b">
        <v>1</v>
      </c>
      <c r="CR113" s="246" t="s">
        <v>170</v>
      </c>
      <c r="CS113" s="246"/>
      <c r="CT113" s="246">
        <v>65</v>
      </c>
      <c r="CU113" s="246">
        <v>1</v>
      </c>
      <c r="CV113" s="246">
        <v>67</v>
      </c>
      <c r="CW113" s="246">
        <v>0.7</v>
      </c>
      <c r="CX113" s="246">
        <v>77</v>
      </c>
      <c r="CY113" s="246">
        <v>0.7</v>
      </c>
      <c r="CZ113" s="246">
        <v>68</v>
      </c>
      <c r="DA113" s="251">
        <v>-0.86602540378443871</v>
      </c>
      <c r="DB113" s="246">
        <v>69</v>
      </c>
      <c r="DC113" s="251">
        <v>0.49999999999999994</v>
      </c>
      <c r="DE113" s="176">
        <v>109</v>
      </c>
      <c r="DF113" s="246" t="s">
        <v>1501</v>
      </c>
      <c r="DG113" s="246" t="b">
        <v>1</v>
      </c>
      <c r="DH113" s="246" t="s">
        <v>170</v>
      </c>
      <c r="DI113" s="246"/>
      <c r="DJ113" s="246">
        <v>65</v>
      </c>
      <c r="DK113" s="246">
        <v>1</v>
      </c>
      <c r="DL113" s="246">
        <v>67</v>
      </c>
      <c r="DM113" s="256">
        <f t="shared" si="105"/>
        <v>0.7142857142857143</v>
      </c>
      <c r="DN113" s="246">
        <v>77</v>
      </c>
      <c r="DO113" s="256">
        <f t="shared" si="106"/>
        <v>0.7142857142857143</v>
      </c>
      <c r="DP113" s="246">
        <v>68</v>
      </c>
      <c r="DQ113" s="251">
        <v>-0.86602540378443871</v>
      </c>
      <c r="DR113" s="246">
        <v>69</v>
      </c>
      <c r="DS113" s="251">
        <v>0.49999999999999994</v>
      </c>
      <c r="DU113" s="176">
        <v>109</v>
      </c>
      <c r="DV113" s="170" t="str">
        <f t="shared" si="104"/>
        <v>0.9D + Di + Wi (240 deg</v>
      </c>
      <c r="DW113" s="170">
        <v>1</v>
      </c>
      <c r="DX113" s="170" t="s">
        <v>170</v>
      </c>
      <c r="DY113" s="170"/>
      <c r="DZ113" s="170">
        <v>65</v>
      </c>
      <c r="EA113" s="170">
        <v>1.2</v>
      </c>
      <c r="EB113" s="170">
        <v>90</v>
      </c>
      <c r="EC113" s="170">
        <v>1.5</v>
      </c>
      <c r="ED113" s="170"/>
      <c r="EE113" s="170"/>
      <c r="EF113" s="170"/>
      <c r="EG113" s="170"/>
      <c r="EH113" s="170"/>
      <c r="EI113" s="170"/>
      <c r="EK113" s="2" t="s">
        <v>526</v>
      </c>
      <c r="EL113" s="2">
        <v>240</v>
      </c>
      <c r="EN113" s="176">
        <v>109</v>
      </c>
    </row>
    <row r="114" spans="6:144" ht="18" customHeight="1" x14ac:dyDescent="0.2">
      <c r="M114" s="176">
        <f t="shared" si="83"/>
        <v>110</v>
      </c>
      <c r="N114" s="174" t="str">
        <f t="shared" si="92"/>
        <v>1.2D + 1.0Ev +1.0Eh  | 180 deg</v>
      </c>
      <c r="O114" s="174" t="b">
        <v>1</v>
      </c>
      <c r="P114" s="174" t="str">
        <f t="shared" si="93"/>
        <v>Y</v>
      </c>
      <c r="Q114" s="174" t="str">
        <f t="shared" si="94"/>
        <v/>
      </c>
      <c r="R114" s="174">
        <f t="shared" si="96"/>
        <v>65</v>
      </c>
      <c r="S114" s="174">
        <f t="shared" si="97"/>
        <v>1.2</v>
      </c>
      <c r="T114" s="174">
        <f t="shared" si="98"/>
        <v>67</v>
      </c>
      <c r="U114" s="174">
        <f t="shared" si="99"/>
        <v>1</v>
      </c>
      <c r="V114" s="174">
        <f t="shared" si="100"/>
        <v>78</v>
      </c>
      <c r="W114" s="174">
        <f t="shared" si="101"/>
        <v>1</v>
      </c>
      <c r="X114" s="174">
        <f t="shared" si="102"/>
        <v>68</v>
      </c>
      <c r="Y114" s="174">
        <f t="shared" si="103"/>
        <v>-1</v>
      </c>
      <c r="Z114" s="174">
        <f t="shared" si="86"/>
        <v>69</v>
      </c>
      <c r="AA114" s="174">
        <f t="shared" si="87"/>
        <v>1.22514845490862E-16</v>
      </c>
      <c r="AC114" s="176">
        <v>110</v>
      </c>
      <c r="AD114" s="174" t="s">
        <v>1502</v>
      </c>
      <c r="AE114" s="174" t="b">
        <v>1</v>
      </c>
      <c r="AF114" s="174" t="s">
        <v>170</v>
      </c>
      <c r="AG114" s="174"/>
      <c r="AH114" s="174">
        <v>65</v>
      </c>
      <c r="AI114" s="174">
        <v>1.2</v>
      </c>
      <c r="AJ114" s="174">
        <v>67</v>
      </c>
      <c r="AK114" s="174">
        <v>1</v>
      </c>
      <c r="AL114" s="174">
        <v>78</v>
      </c>
      <c r="AM114" s="174">
        <v>1</v>
      </c>
      <c r="AN114" s="174">
        <v>68</v>
      </c>
      <c r="AO114" s="181">
        <v>-1</v>
      </c>
      <c r="AP114" s="174">
        <v>69</v>
      </c>
      <c r="AQ114" s="181">
        <v>1.22514845490862E-16</v>
      </c>
      <c r="BI114" s="176">
        <v>110</v>
      </c>
      <c r="BJ114" s="174" t="s">
        <v>1502</v>
      </c>
      <c r="BK114" s="174" t="b">
        <v>1</v>
      </c>
      <c r="BL114" s="174" t="s">
        <v>170</v>
      </c>
      <c r="BM114" s="174"/>
      <c r="BN114" s="174">
        <v>65</v>
      </c>
      <c r="BO114" s="174">
        <v>1.2</v>
      </c>
      <c r="BP114" s="174">
        <v>67</v>
      </c>
      <c r="BQ114" s="174">
        <v>1</v>
      </c>
      <c r="BR114" s="174">
        <v>78</v>
      </c>
      <c r="BS114" s="174">
        <v>1</v>
      </c>
      <c r="BT114" s="174">
        <v>68</v>
      </c>
      <c r="BU114" s="181">
        <v>-1</v>
      </c>
      <c r="BV114" s="174">
        <v>69</v>
      </c>
      <c r="BW114" s="181">
        <v>1.22514845490862E-16</v>
      </c>
      <c r="BY114" s="176">
        <v>110</v>
      </c>
      <c r="BZ114" s="249" t="s">
        <v>1503</v>
      </c>
      <c r="CA114" s="249" t="b">
        <v>1</v>
      </c>
      <c r="CB114" s="249" t="s">
        <v>170</v>
      </c>
      <c r="CC114" s="249"/>
      <c r="CD114" s="249">
        <v>65</v>
      </c>
      <c r="CE114" s="249">
        <v>1</v>
      </c>
      <c r="CF114" s="249">
        <v>67</v>
      </c>
      <c r="CG114" s="249">
        <v>0.7</v>
      </c>
      <c r="CH114" s="249">
        <v>78</v>
      </c>
      <c r="CI114" s="249">
        <v>0.7</v>
      </c>
      <c r="CJ114" s="249">
        <v>68</v>
      </c>
      <c r="CK114" s="252">
        <v>-1</v>
      </c>
      <c r="CL114" s="249">
        <v>69</v>
      </c>
      <c r="CM114" s="252">
        <v>1.22514845490862E-16</v>
      </c>
      <c r="CO114" s="176">
        <v>110</v>
      </c>
      <c r="CP114" s="249" t="s">
        <v>1504</v>
      </c>
      <c r="CQ114" s="249" t="b">
        <v>1</v>
      </c>
      <c r="CR114" s="249" t="s">
        <v>170</v>
      </c>
      <c r="CS114" s="249"/>
      <c r="CT114" s="249">
        <v>65</v>
      </c>
      <c r="CU114" s="249">
        <v>1</v>
      </c>
      <c r="CV114" s="249">
        <v>67</v>
      </c>
      <c r="CW114" s="249">
        <v>0.7</v>
      </c>
      <c r="CX114" s="249">
        <v>78</v>
      </c>
      <c r="CY114" s="249">
        <v>0.7</v>
      </c>
      <c r="CZ114" s="249">
        <v>68</v>
      </c>
      <c r="DA114" s="252">
        <v>-1</v>
      </c>
      <c r="DB114" s="249">
        <v>69</v>
      </c>
      <c r="DC114" s="252">
        <v>1.22514845490862E-16</v>
      </c>
      <c r="DE114" s="176">
        <v>110</v>
      </c>
      <c r="DF114" s="249" t="s">
        <v>1505</v>
      </c>
      <c r="DG114" s="249" t="b">
        <v>1</v>
      </c>
      <c r="DH114" s="249" t="s">
        <v>170</v>
      </c>
      <c r="DI114" s="249"/>
      <c r="DJ114" s="249">
        <v>65</v>
      </c>
      <c r="DK114" s="249">
        <v>1</v>
      </c>
      <c r="DL114" s="249">
        <v>67</v>
      </c>
      <c r="DM114" s="257">
        <f t="shared" si="105"/>
        <v>0.7142857142857143</v>
      </c>
      <c r="DN114" s="249">
        <v>78</v>
      </c>
      <c r="DO114" s="257">
        <f t="shared" si="106"/>
        <v>0.7142857142857143</v>
      </c>
      <c r="DP114" s="249">
        <v>68</v>
      </c>
      <c r="DQ114" s="252">
        <v>-1</v>
      </c>
      <c r="DR114" s="249">
        <v>69</v>
      </c>
      <c r="DS114" s="252">
        <v>1.22514845490862E-16</v>
      </c>
      <c r="DU114" s="176">
        <v>110</v>
      </c>
      <c r="DV114" s="174" t="str">
        <f t="shared" si="104"/>
        <v>0.9D + Di + Wi (270 deg</v>
      </c>
      <c r="DW114" s="174">
        <v>1</v>
      </c>
      <c r="DX114" s="174" t="s">
        <v>170</v>
      </c>
      <c r="DY114" s="174"/>
      <c r="DZ114" s="174">
        <v>65</v>
      </c>
      <c r="EA114" s="174">
        <v>1.2</v>
      </c>
      <c r="EB114" s="174">
        <v>90</v>
      </c>
      <c r="EC114" s="174">
        <v>1.5</v>
      </c>
      <c r="ED114" s="174"/>
      <c r="EE114" s="174"/>
      <c r="EF114" s="174"/>
      <c r="EG114" s="174"/>
      <c r="EH114" s="174"/>
      <c r="EI114" s="174"/>
      <c r="EK114" s="2" t="s">
        <v>526</v>
      </c>
      <c r="EL114" s="2">
        <v>270</v>
      </c>
      <c r="EN114" s="176">
        <v>110</v>
      </c>
    </row>
    <row r="115" spans="6:144" ht="18" customHeight="1" x14ac:dyDescent="0.2">
      <c r="M115" s="176">
        <f t="shared" si="83"/>
        <v>111</v>
      </c>
      <c r="N115" s="170" t="str">
        <f t="shared" si="92"/>
        <v>1.2D + 1.0Ev +1.0Eh  | 210 deg</v>
      </c>
      <c r="O115" s="170" t="b">
        <v>1</v>
      </c>
      <c r="P115" s="170" t="str">
        <f t="shared" si="93"/>
        <v>Y</v>
      </c>
      <c r="Q115" s="170" t="str">
        <f t="shared" si="94"/>
        <v/>
      </c>
      <c r="R115" s="170">
        <f t="shared" si="96"/>
        <v>65</v>
      </c>
      <c r="S115" s="170">
        <f t="shared" si="97"/>
        <v>1.2</v>
      </c>
      <c r="T115" s="170">
        <f t="shared" si="98"/>
        <v>67</v>
      </c>
      <c r="U115" s="170">
        <f t="shared" si="99"/>
        <v>1</v>
      </c>
      <c r="V115" s="170">
        <f t="shared" si="100"/>
        <v>79</v>
      </c>
      <c r="W115" s="170">
        <f t="shared" si="101"/>
        <v>1</v>
      </c>
      <c r="X115" s="170">
        <f t="shared" si="102"/>
        <v>68</v>
      </c>
      <c r="Y115" s="170">
        <f t="shared" si="103"/>
        <v>-0.8660254037844386</v>
      </c>
      <c r="Z115" s="170">
        <f t="shared" si="86"/>
        <v>69</v>
      </c>
      <c r="AA115" s="170">
        <f t="shared" si="87"/>
        <v>-0.50000000000000011</v>
      </c>
      <c r="AC115" s="176">
        <v>111</v>
      </c>
      <c r="AD115" s="170" t="s">
        <v>1586</v>
      </c>
      <c r="AE115" s="170" t="b">
        <v>1</v>
      </c>
      <c r="AF115" s="170" t="s">
        <v>170</v>
      </c>
      <c r="AG115" s="170"/>
      <c r="AH115" s="170">
        <v>65</v>
      </c>
      <c r="AI115" s="170">
        <v>1.2</v>
      </c>
      <c r="AJ115" s="170">
        <v>67</v>
      </c>
      <c r="AK115" s="170">
        <v>1</v>
      </c>
      <c r="AL115" s="170">
        <v>79</v>
      </c>
      <c r="AM115" s="170">
        <v>1</v>
      </c>
      <c r="AN115" s="170">
        <v>68</v>
      </c>
      <c r="AO115" s="180">
        <v>-0.8660254037844386</v>
      </c>
      <c r="AP115" s="170">
        <v>69</v>
      </c>
      <c r="AQ115" s="180">
        <v>-0.50000000000000011</v>
      </c>
      <c r="BI115" s="176">
        <v>111</v>
      </c>
      <c r="BJ115" s="170" t="s">
        <v>1586</v>
      </c>
      <c r="BK115" s="170" t="b">
        <v>1</v>
      </c>
      <c r="BL115" s="170" t="s">
        <v>170</v>
      </c>
      <c r="BM115" s="170"/>
      <c r="BN115" s="170">
        <v>65</v>
      </c>
      <c r="BO115" s="170">
        <v>1.2</v>
      </c>
      <c r="BP115" s="170">
        <v>67</v>
      </c>
      <c r="BQ115" s="170">
        <v>1</v>
      </c>
      <c r="BR115" s="170">
        <v>79</v>
      </c>
      <c r="BS115" s="170">
        <v>1</v>
      </c>
      <c r="BT115" s="170">
        <v>68</v>
      </c>
      <c r="BU115" s="180">
        <v>-0.8660254037844386</v>
      </c>
      <c r="BV115" s="170">
        <v>69</v>
      </c>
      <c r="BW115" s="180">
        <v>-0.50000000000000011</v>
      </c>
      <c r="BY115" s="176">
        <v>111</v>
      </c>
      <c r="BZ115" s="246" t="s">
        <v>1587</v>
      </c>
      <c r="CA115" s="246" t="b">
        <v>1</v>
      </c>
      <c r="CB115" s="246" t="s">
        <v>170</v>
      </c>
      <c r="CC115" s="246"/>
      <c r="CD115" s="246">
        <v>65</v>
      </c>
      <c r="CE115" s="246">
        <v>1</v>
      </c>
      <c r="CF115" s="246">
        <v>67</v>
      </c>
      <c r="CG115" s="246">
        <v>0.7</v>
      </c>
      <c r="CH115" s="246">
        <v>79</v>
      </c>
      <c r="CI115" s="246">
        <v>0.7</v>
      </c>
      <c r="CJ115" s="246">
        <v>68</v>
      </c>
      <c r="CK115" s="251">
        <v>-0.8660254037844386</v>
      </c>
      <c r="CL115" s="246">
        <v>69</v>
      </c>
      <c r="CM115" s="251">
        <v>-0.50000000000000011</v>
      </c>
      <c r="CO115" s="176">
        <v>111</v>
      </c>
      <c r="CP115" s="246" t="s">
        <v>1588</v>
      </c>
      <c r="CQ115" s="246" t="b">
        <v>1</v>
      </c>
      <c r="CR115" s="246" t="s">
        <v>170</v>
      </c>
      <c r="CS115" s="246"/>
      <c r="CT115" s="246">
        <v>65</v>
      </c>
      <c r="CU115" s="246">
        <v>1</v>
      </c>
      <c r="CV115" s="246">
        <v>67</v>
      </c>
      <c r="CW115" s="246">
        <v>0.7</v>
      </c>
      <c r="CX115" s="246">
        <v>79</v>
      </c>
      <c r="CY115" s="246">
        <v>0.7</v>
      </c>
      <c r="CZ115" s="246">
        <v>68</v>
      </c>
      <c r="DA115" s="251">
        <v>-0.8660254037844386</v>
      </c>
      <c r="DB115" s="246">
        <v>69</v>
      </c>
      <c r="DC115" s="251">
        <v>-0.50000000000000011</v>
      </c>
      <c r="DE115" s="176">
        <v>111</v>
      </c>
      <c r="DF115" s="246" t="s">
        <v>1589</v>
      </c>
      <c r="DG115" s="246" t="b">
        <v>1</v>
      </c>
      <c r="DH115" s="246" t="s">
        <v>170</v>
      </c>
      <c r="DI115" s="246"/>
      <c r="DJ115" s="246">
        <v>65</v>
      </c>
      <c r="DK115" s="246">
        <v>1</v>
      </c>
      <c r="DL115" s="246">
        <v>67</v>
      </c>
      <c r="DM115" s="256">
        <f t="shared" si="105"/>
        <v>0.7142857142857143</v>
      </c>
      <c r="DN115" s="246">
        <v>79</v>
      </c>
      <c r="DO115" s="256">
        <f t="shared" si="106"/>
        <v>0.7142857142857143</v>
      </c>
      <c r="DP115" s="246">
        <v>68</v>
      </c>
      <c r="DQ115" s="251">
        <v>-0.8660254037844386</v>
      </c>
      <c r="DR115" s="246">
        <v>69</v>
      </c>
      <c r="DS115" s="251">
        <v>-0.50000000000000011</v>
      </c>
      <c r="DU115" s="176">
        <v>111</v>
      </c>
      <c r="DV115" s="170" t="str">
        <f t="shared" si="104"/>
        <v>0.9D + Di + Wi (300 deg</v>
      </c>
      <c r="DW115" s="170">
        <v>1</v>
      </c>
      <c r="DX115" s="170" t="s">
        <v>170</v>
      </c>
      <c r="DY115" s="170"/>
      <c r="DZ115" s="170">
        <v>65</v>
      </c>
      <c r="EA115" s="170">
        <v>1.2</v>
      </c>
      <c r="EB115" s="170">
        <v>90</v>
      </c>
      <c r="EC115" s="170">
        <v>1.5</v>
      </c>
      <c r="ED115" s="170"/>
      <c r="EE115" s="170"/>
      <c r="EF115" s="170"/>
      <c r="EG115" s="170"/>
      <c r="EH115" s="170"/>
      <c r="EI115" s="170"/>
      <c r="EK115" s="2" t="s">
        <v>526</v>
      </c>
      <c r="EL115" s="2">
        <v>300</v>
      </c>
      <c r="EN115" s="176">
        <v>111</v>
      </c>
    </row>
    <row r="116" spans="6:144" ht="18" customHeight="1" x14ac:dyDescent="0.2">
      <c r="M116" s="176">
        <f t="shared" si="83"/>
        <v>112</v>
      </c>
      <c r="N116" s="174" t="str">
        <f t="shared" si="92"/>
        <v>1.2D + 1.0Ev +1.0Eh  | 225 deg</v>
      </c>
      <c r="O116" s="174" t="b">
        <v>1</v>
      </c>
      <c r="P116" s="174" t="str">
        <f t="shared" si="93"/>
        <v>Y</v>
      </c>
      <c r="Q116" s="174" t="str">
        <f t="shared" si="94"/>
        <v/>
      </c>
      <c r="R116" s="174">
        <f t="shared" si="96"/>
        <v>65</v>
      </c>
      <c r="S116" s="174">
        <f t="shared" si="97"/>
        <v>1.2</v>
      </c>
      <c r="T116" s="174">
        <f t="shared" si="98"/>
        <v>67</v>
      </c>
      <c r="U116" s="174">
        <f t="shared" si="99"/>
        <v>1</v>
      </c>
      <c r="V116" s="174">
        <f t="shared" si="100"/>
        <v>80</v>
      </c>
      <c r="W116" s="174">
        <f t="shared" si="101"/>
        <v>1</v>
      </c>
      <c r="X116" s="174">
        <f t="shared" si="102"/>
        <v>68</v>
      </c>
      <c r="Y116" s="174">
        <f t="shared" si="103"/>
        <v>-0.70710678118654768</v>
      </c>
      <c r="Z116" s="174">
        <f t="shared" si="86"/>
        <v>69</v>
      </c>
      <c r="AA116" s="174">
        <f t="shared" si="87"/>
        <v>-0.70710678118654746</v>
      </c>
      <c r="AC116" s="176">
        <v>112</v>
      </c>
      <c r="AD116" s="174" t="s">
        <v>1590</v>
      </c>
      <c r="AE116" s="174" t="b">
        <v>1</v>
      </c>
      <c r="AF116" s="174" t="s">
        <v>170</v>
      </c>
      <c r="AG116" s="174"/>
      <c r="AH116" s="174">
        <v>65</v>
      </c>
      <c r="AI116" s="174">
        <v>1.2</v>
      </c>
      <c r="AJ116" s="174">
        <v>67</v>
      </c>
      <c r="AK116" s="174">
        <v>1</v>
      </c>
      <c r="AL116" s="174">
        <v>80</v>
      </c>
      <c r="AM116" s="174">
        <v>1</v>
      </c>
      <c r="AN116" s="174">
        <v>68</v>
      </c>
      <c r="AO116" s="181">
        <v>-0.70710678118654768</v>
      </c>
      <c r="AP116" s="174">
        <v>69</v>
      </c>
      <c r="AQ116" s="181">
        <v>-0.70710678118654746</v>
      </c>
      <c r="BI116" s="176">
        <v>112</v>
      </c>
      <c r="BJ116" s="174" t="s">
        <v>1590</v>
      </c>
      <c r="BK116" s="174" t="b">
        <v>1</v>
      </c>
      <c r="BL116" s="174" t="s">
        <v>170</v>
      </c>
      <c r="BM116" s="174"/>
      <c r="BN116" s="174">
        <v>65</v>
      </c>
      <c r="BO116" s="174">
        <v>1.2</v>
      </c>
      <c r="BP116" s="174">
        <v>67</v>
      </c>
      <c r="BQ116" s="174">
        <v>1</v>
      </c>
      <c r="BR116" s="174">
        <v>80</v>
      </c>
      <c r="BS116" s="174">
        <v>1</v>
      </c>
      <c r="BT116" s="174">
        <v>68</v>
      </c>
      <c r="BU116" s="181">
        <v>-0.70710678118654768</v>
      </c>
      <c r="BV116" s="174">
        <v>69</v>
      </c>
      <c r="BW116" s="181">
        <v>-0.70710678118654746</v>
      </c>
      <c r="BY116" s="176">
        <v>112</v>
      </c>
      <c r="BZ116" s="249" t="s">
        <v>1591</v>
      </c>
      <c r="CA116" s="249" t="b">
        <v>1</v>
      </c>
      <c r="CB116" s="249" t="s">
        <v>170</v>
      </c>
      <c r="CC116" s="249"/>
      <c r="CD116" s="249">
        <v>65</v>
      </c>
      <c r="CE116" s="249">
        <v>1</v>
      </c>
      <c r="CF116" s="249">
        <v>67</v>
      </c>
      <c r="CG116" s="249">
        <v>0.7</v>
      </c>
      <c r="CH116" s="249">
        <v>80</v>
      </c>
      <c r="CI116" s="249">
        <v>0.7</v>
      </c>
      <c r="CJ116" s="249">
        <v>68</v>
      </c>
      <c r="CK116" s="252">
        <v>-0.70710678118654768</v>
      </c>
      <c r="CL116" s="249">
        <v>69</v>
      </c>
      <c r="CM116" s="252">
        <v>-0.70710678118654746</v>
      </c>
      <c r="CO116" s="176">
        <v>112</v>
      </c>
      <c r="CP116" s="249" t="s">
        <v>1592</v>
      </c>
      <c r="CQ116" s="249" t="b">
        <v>1</v>
      </c>
      <c r="CR116" s="249" t="s">
        <v>170</v>
      </c>
      <c r="CS116" s="249"/>
      <c r="CT116" s="249">
        <v>65</v>
      </c>
      <c r="CU116" s="249">
        <v>1</v>
      </c>
      <c r="CV116" s="249">
        <v>67</v>
      </c>
      <c r="CW116" s="249">
        <v>0.7</v>
      </c>
      <c r="CX116" s="249">
        <v>80</v>
      </c>
      <c r="CY116" s="249">
        <v>0.7</v>
      </c>
      <c r="CZ116" s="249">
        <v>68</v>
      </c>
      <c r="DA116" s="252">
        <v>-0.70710678118654768</v>
      </c>
      <c r="DB116" s="249">
        <v>69</v>
      </c>
      <c r="DC116" s="252">
        <v>-0.70710678118654746</v>
      </c>
      <c r="DE116" s="176">
        <v>112</v>
      </c>
      <c r="DF116" s="249" t="s">
        <v>1593</v>
      </c>
      <c r="DG116" s="249" t="b">
        <v>1</v>
      </c>
      <c r="DH116" s="249" t="s">
        <v>170</v>
      </c>
      <c r="DI116" s="249"/>
      <c r="DJ116" s="249">
        <v>65</v>
      </c>
      <c r="DK116" s="249">
        <v>1</v>
      </c>
      <c r="DL116" s="249">
        <v>67</v>
      </c>
      <c r="DM116" s="257">
        <f t="shared" si="105"/>
        <v>0.7142857142857143</v>
      </c>
      <c r="DN116" s="249">
        <v>80</v>
      </c>
      <c r="DO116" s="257">
        <f t="shared" si="106"/>
        <v>0.7142857142857143</v>
      </c>
      <c r="DP116" s="249">
        <v>68</v>
      </c>
      <c r="DQ116" s="252">
        <v>-0.70710678118654768</v>
      </c>
      <c r="DR116" s="249">
        <v>69</v>
      </c>
      <c r="DS116" s="252">
        <v>-0.70710678118654746</v>
      </c>
      <c r="DU116" s="176">
        <v>112</v>
      </c>
      <c r="DV116" s="174" t="str">
        <f t="shared" si="104"/>
        <v>0.9D + Di + Wi (315 deg</v>
      </c>
      <c r="DW116" s="174">
        <v>1</v>
      </c>
      <c r="DX116" s="174" t="s">
        <v>170</v>
      </c>
      <c r="DY116" s="174"/>
      <c r="DZ116" s="174">
        <v>65</v>
      </c>
      <c r="EA116" s="174">
        <v>1.2</v>
      </c>
      <c r="EB116" s="174">
        <v>90</v>
      </c>
      <c r="EC116" s="174">
        <v>1.5</v>
      </c>
      <c r="ED116" s="174"/>
      <c r="EE116" s="174"/>
      <c r="EF116" s="174"/>
      <c r="EG116" s="174"/>
      <c r="EH116" s="174"/>
      <c r="EI116" s="174"/>
      <c r="EK116" s="2" t="s">
        <v>526</v>
      </c>
      <c r="EL116" s="2">
        <v>315</v>
      </c>
      <c r="EN116" s="176">
        <v>112</v>
      </c>
    </row>
    <row r="117" spans="6:144" ht="18" customHeight="1" thickBot="1" x14ac:dyDescent="0.25">
      <c r="F117" s="184"/>
      <c r="M117" s="176">
        <f t="shared" si="83"/>
        <v>113</v>
      </c>
      <c r="N117" s="170" t="str">
        <f t="shared" si="92"/>
        <v>1.2D + 1.0Ev +1.0Eh  | 240 deg</v>
      </c>
      <c r="O117" s="170" t="b">
        <v>1</v>
      </c>
      <c r="P117" s="170" t="str">
        <f t="shared" si="93"/>
        <v>Y</v>
      </c>
      <c r="Q117" s="170" t="str">
        <f t="shared" si="94"/>
        <v/>
      </c>
      <c r="R117" s="170">
        <f t="shared" si="96"/>
        <v>65</v>
      </c>
      <c r="S117" s="170">
        <f t="shared" si="97"/>
        <v>1.2</v>
      </c>
      <c r="T117" s="170">
        <f t="shared" si="98"/>
        <v>67</v>
      </c>
      <c r="U117" s="170">
        <f t="shared" si="99"/>
        <v>1</v>
      </c>
      <c r="V117" s="170">
        <f t="shared" si="100"/>
        <v>81</v>
      </c>
      <c r="W117" s="170">
        <f t="shared" si="101"/>
        <v>1</v>
      </c>
      <c r="X117" s="170">
        <f t="shared" si="102"/>
        <v>68</v>
      </c>
      <c r="Y117" s="170">
        <f t="shared" si="103"/>
        <v>-0.50000000000000044</v>
      </c>
      <c r="Z117" s="170">
        <f t="shared" si="86"/>
        <v>69</v>
      </c>
      <c r="AA117" s="170">
        <f t="shared" si="87"/>
        <v>-0.86602540378443837</v>
      </c>
      <c r="AC117" s="177">
        <v>113</v>
      </c>
      <c r="AD117" s="170" t="s">
        <v>1594</v>
      </c>
      <c r="AE117" s="170" t="b">
        <v>1</v>
      </c>
      <c r="AF117" s="170" t="s">
        <v>170</v>
      </c>
      <c r="AG117" s="170"/>
      <c r="AH117" s="170">
        <v>65</v>
      </c>
      <c r="AI117" s="170">
        <v>1.2</v>
      </c>
      <c r="AJ117" s="170">
        <v>67</v>
      </c>
      <c r="AK117" s="170">
        <v>1</v>
      </c>
      <c r="AL117" s="170">
        <v>81</v>
      </c>
      <c r="AM117" s="170">
        <v>1</v>
      </c>
      <c r="AN117" s="170">
        <v>68</v>
      </c>
      <c r="AO117" s="180">
        <v>-0.50000000000000044</v>
      </c>
      <c r="AP117" s="170">
        <v>69</v>
      </c>
      <c r="AQ117" s="180">
        <v>-0.86602540378443837</v>
      </c>
      <c r="BI117" s="177">
        <v>113</v>
      </c>
      <c r="BJ117" s="170" t="s">
        <v>1594</v>
      </c>
      <c r="BK117" s="170" t="b">
        <v>1</v>
      </c>
      <c r="BL117" s="170" t="s">
        <v>170</v>
      </c>
      <c r="BM117" s="170"/>
      <c r="BN117" s="170">
        <v>65</v>
      </c>
      <c r="BO117" s="170">
        <v>1.2</v>
      </c>
      <c r="BP117" s="170">
        <v>67</v>
      </c>
      <c r="BQ117" s="170">
        <v>1</v>
      </c>
      <c r="BR117" s="170">
        <v>81</v>
      </c>
      <c r="BS117" s="170">
        <v>1</v>
      </c>
      <c r="BT117" s="170">
        <v>68</v>
      </c>
      <c r="BU117" s="180">
        <v>-0.50000000000000044</v>
      </c>
      <c r="BV117" s="170">
        <v>69</v>
      </c>
      <c r="BW117" s="180">
        <v>-0.86602540378443837</v>
      </c>
      <c r="BY117" s="177">
        <v>113</v>
      </c>
      <c r="BZ117" s="246" t="s">
        <v>1595</v>
      </c>
      <c r="CA117" s="246" t="b">
        <v>1</v>
      </c>
      <c r="CB117" s="246" t="s">
        <v>170</v>
      </c>
      <c r="CC117" s="246"/>
      <c r="CD117" s="246">
        <v>65</v>
      </c>
      <c r="CE117" s="246">
        <v>1</v>
      </c>
      <c r="CF117" s="246">
        <v>67</v>
      </c>
      <c r="CG117" s="246">
        <v>0.7</v>
      </c>
      <c r="CH117" s="246">
        <v>81</v>
      </c>
      <c r="CI117" s="246">
        <v>0.7</v>
      </c>
      <c r="CJ117" s="246">
        <v>68</v>
      </c>
      <c r="CK117" s="251">
        <v>-0.50000000000000044</v>
      </c>
      <c r="CL117" s="246">
        <v>69</v>
      </c>
      <c r="CM117" s="251">
        <v>-0.86602540378443837</v>
      </c>
      <c r="CO117" s="177">
        <v>113</v>
      </c>
      <c r="CP117" s="246" t="s">
        <v>1596</v>
      </c>
      <c r="CQ117" s="246" t="b">
        <v>1</v>
      </c>
      <c r="CR117" s="246" t="s">
        <v>170</v>
      </c>
      <c r="CS117" s="246"/>
      <c r="CT117" s="246">
        <v>65</v>
      </c>
      <c r="CU117" s="246">
        <v>1</v>
      </c>
      <c r="CV117" s="246">
        <v>67</v>
      </c>
      <c r="CW117" s="246">
        <v>0.7</v>
      </c>
      <c r="CX117" s="246">
        <v>81</v>
      </c>
      <c r="CY117" s="246">
        <v>0.7</v>
      </c>
      <c r="CZ117" s="246">
        <v>68</v>
      </c>
      <c r="DA117" s="251">
        <v>-0.50000000000000044</v>
      </c>
      <c r="DB117" s="246">
        <v>69</v>
      </c>
      <c r="DC117" s="251">
        <v>-0.86602540378443837</v>
      </c>
      <c r="DE117" s="177">
        <v>113</v>
      </c>
      <c r="DF117" s="246" t="s">
        <v>1597</v>
      </c>
      <c r="DG117" s="246" t="b">
        <v>1</v>
      </c>
      <c r="DH117" s="246" t="s">
        <v>170</v>
      </c>
      <c r="DI117" s="246"/>
      <c r="DJ117" s="246">
        <v>65</v>
      </c>
      <c r="DK117" s="246">
        <v>1</v>
      </c>
      <c r="DL117" s="246">
        <v>67</v>
      </c>
      <c r="DM117" s="256">
        <f t="shared" si="105"/>
        <v>0.7142857142857143</v>
      </c>
      <c r="DN117" s="246">
        <v>81</v>
      </c>
      <c r="DO117" s="256">
        <f t="shared" si="106"/>
        <v>0.7142857142857143</v>
      </c>
      <c r="DP117" s="246">
        <v>68</v>
      </c>
      <c r="DQ117" s="251">
        <v>-0.50000000000000044</v>
      </c>
      <c r="DR117" s="246">
        <v>69</v>
      </c>
      <c r="DS117" s="251">
        <v>-0.86602540378443837</v>
      </c>
      <c r="DU117" s="177">
        <v>113</v>
      </c>
      <c r="DV117" s="173" t="str">
        <f t="shared" si="104"/>
        <v>0.9D + Di + Wi (330 deg</v>
      </c>
      <c r="DW117" s="173">
        <v>1</v>
      </c>
      <c r="DX117" s="173" t="s">
        <v>170</v>
      </c>
      <c r="DY117" s="173"/>
      <c r="DZ117" s="173">
        <v>65</v>
      </c>
      <c r="EA117" s="173">
        <v>1.2</v>
      </c>
      <c r="EB117" s="173">
        <v>90</v>
      </c>
      <c r="EC117" s="173">
        <v>1.5</v>
      </c>
      <c r="ED117" s="173"/>
      <c r="EE117" s="173"/>
      <c r="EF117" s="173"/>
      <c r="EG117" s="173"/>
      <c r="EH117" s="173"/>
      <c r="EI117" s="173"/>
      <c r="EK117" s="2" t="s">
        <v>526</v>
      </c>
      <c r="EL117" s="2">
        <v>330</v>
      </c>
      <c r="EN117" s="177">
        <v>113</v>
      </c>
    </row>
    <row r="118" spans="6:144" ht="18" customHeight="1" thickTop="1" x14ac:dyDescent="0.2">
      <c r="M118" s="176">
        <f t="shared" si="83"/>
        <v>114</v>
      </c>
      <c r="N118" s="174" t="str">
        <f t="shared" si="92"/>
        <v>1.2D + 1.0Ev +1.0Eh  | 270 deg</v>
      </c>
      <c r="O118" s="174" t="b">
        <v>1</v>
      </c>
      <c r="P118" s="174" t="str">
        <f t="shared" si="93"/>
        <v>Y</v>
      </c>
      <c r="Q118" s="174" t="str">
        <f t="shared" si="94"/>
        <v/>
      </c>
      <c r="R118" s="174">
        <f t="shared" si="96"/>
        <v>65</v>
      </c>
      <c r="S118" s="174">
        <f t="shared" si="97"/>
        <v>1.2</v>
      </c>
      <c r="T118" s="174">
        <f t="shared" si="98"/>
        <v>67</v>
      </c>
      <c r="U118" s="174">
        <f t="shared" si="99"/>
        <v>1</v>
      </c>
      <c r="V118" s="174">
        <f t="shared" si="100"/>
        <v>82</v>
      </c>
      <c r="W118" s="174">
        <f t="shared" si="101"/>
        <v>1</v>
      </c>
      <c r="X118" s="174">
        <f t="shared" si="102"/>
        <v>68</v>
      </c>
      <c r="Y118" s="174">
        <f t="shared" si="103"/>
        <v>-1.83772268236293E-16</v>
      </c>
      <c r="Z118" s="174">
        <f t="shared" ref="Z118:Z137" si="107">IF(IF($M$3=$AC$3,AP118,
 IF($M$3=$AS$3,BF118,
 IF($M$3=$BI$3,BV118,
 IF($M$3=$BY$3,CL118,
 IF($M$3=$CO$3,DB118,
 IF($M$3=$DE$3,DR118))))))="","",
IF($M$3=$AC$3,AP118,
 IF($M$3=$AS$3,BF118,
 IF($M$3=$BI$3,BV118,
 IF($M$3=$BY$3,CL118,
 IF($M$3=$CO$3,DB118,
 IF($M$3=$DE$3,DR118)))))))</f>
        <v>69</v>
      </c>
      <c r="AA118" s="174">
        <f t="shared" ref="AA118:AA137" si="108">IF(IF($M$3=$AC$3,AQ118,
 IF($M$3=$AS$3,BG118,
 IF($M$3=$BI$3,BW118,
 IF($M$3=$BY$3,CM118,
 IF($M$3=$CO$3,DC118,
 IF($M$3=$DE$3,DS118))))))="","",
IF($M$3=$AC$3,AQ118,
 IF($M$3=$AS$3,BG118,
 IF($M$3=$BI$3,BW118,
 IF($M$3=$BY$3,CM118,
 IF($M$3=$CO$3,DC118,
 IF($M$3=$DE$3,DS118)))))))</f>
        <v>-1</v>
      </c>
      <c r="AC118" s="178">
        <v>114</v>
      </c>
      <c r="AD118" s="174" t="s">
        <v>1598</v>
      </c>
      <c r="AE118" s="174" t="b">
        <v>1</v>
      </c>
      <c r="AF118" s="174" t="s">
        <v>170</v>
      </c>
      <c r="AG118" s="174"/>
      <c r="AH118" s="174">
        <v>65</v>
      </c>
      <c r="AI118" s="174">
        <v>1.2</v>
      </c>
      <c r="AJ118" s="174">
        <v>67</v>
      </c>
      <c r="AK118" s="174">
        <v>1</v>
      </c>
      <c r="AL118" s="174">
        <v>82</v>
      </c>
      <c r="AM118" s="174">
        <v>1</v>
      </c>
      <c r="AN118" s="174">
        <v>68</v>
      </c>
      <c r="AO118" s="181">
        <v>-1.83772268236293E-16</v>
      </c>
      <c r="AP118" s="174">
        <v>69</v>
      </c>
      <c r="AQ118" s="181">
        <v>-1</v>
      </c>
      <c r="BI118" s="178">
        <v>114</v>
      </c>
      <c r="BJ118" s="174" t="s">
        <v>1598</v>
      </c>
      <c r="BK118" s="174" t="b">
        <v>1</v>
      </c>
      <c r="BL118" s="174" t="s">
        <v>170</v>
      </c>
      <c r="BM118" s="174"/>
      <c r="BN118" s="174">
        <v>65</v>
      </c>
      <c r="BO118" s="174">
        <v>1.2</v>
      </c>
      <c r="BP118" s="174">
        <v>67</v>
      </c>
      <c r="BQ118" s="174">
        <v>1</v>
      </c>
      <c r="BR118" s="174">
        <v>82</v>
      </c>
      <c r="BS118" s="174">
        <v>1</v>
      </c>
      <c r="BT118" s="174">
        <v>68</v>
      </c>
      <c r="BU118" s="181">
        <v>-1.83772268236293E-16</v>
      </c>
      <c r="BV118" s="174">
        <v>69</v>
      </c>
      <c r="BW118" s="181">
        <v>-1</v>
      </c>
      <c r="BY118" s="178">
        <v>114</v>
      </c>
      <c r="BZ118" s="249" t="s">
        <v>1599</v>
      </c>
      <c r="CA118" s="249" t="b">
        <v>1</v>
      </c>
      <c r="CB118" s="249" t="s">
        <v>170</v>
      </c>
      <c r="CC118" s="249"/>
      <c r="CD118" s="249">
        <v>65</v>
      </c>
      <c r="CE118" s="249">
        <v>1</v>
      </c>
      <c r="CF118" s="249">
        <v>67</v>
      </c>
      <c r="CG118" s="249">
        <v>0.7</v>
      </c>
      <c r="CH118" s="249">
        <v>82</v>
      </c>
      <c r="CI118" s="249">
        <v>0.7</v>
      </c>
      <c r="CJ118" s="249">
        <v>68</v>
      </c>
      <c r="CK118" s="252">
        <v>-1.83772268236293E-16</v>
      </c>
      <c r="CL118" s="249">
        <v>69</v>
      </c>
      <c r="CM118" s="252">
        <v>-1</v>
      </c>
      <c r="CO118" s="178">
        <v>114</v>
      </c>
      <c r="CP118" s="249" t="s">
        <v>1600</v>
      </c>
      <c r="CQ118" s="249" t="b">
        <v>1</v>
      </c>
      <c r="CR118" s="249" t="s">
        <v>170</v>
      </c>
      <c r="CS118" s="249"/>
      <c r="CT118" s="249">
        <v>65</v>
      </c>
      <c r="CU118" s="249">
        <v>1</v>
      </c>
      <c r="CV118" s="249">
        <v>67</v>
      </c>
      <c r="CW118" s="249">
        <v>0.7</v>
      </c>
      <c r="CX118" s="249">
        <v>82</v>
      </c>
      <c r="CY118" s="249">
        <v>0.7</v>
      </c>
      <c r="CZ118" s="249">
        <v>68</v>
      </c>
      <c r="DA118" s="252">
        <v>-1.83772268236293E-16</v>
      </c>
      <c r="DB118" s="249">
        <v>69</v>
      </c>
      <c r="DC118" s="252">
        <v>-1</v>
      </c>
      <c r="DE118" s="178">
        <v>114</v>
      </c>
      <c r="DF118" s="249" t="s">
        <v>1601</v>
      </c>
      <c r="DG118" s="249" t="b">
        <v>1</v>
      </c>
      <c r="DH118" s="249" t="s">
        <v>170</v>
      </c>
      <c r="DI118" s="249"/>
      <c r="DJ118" s="249">
        <v>65</v>
      </c>
      <c r="DK118" s="249">
        <v>1</v>
      </c>
      <c r="DL118" s="249">
        <v>67</v>
      </c>
      <c r="DM118" s="257">
        <f t="shared" si="105"/>
        <v>0.7142857142857143</v>
      </c>
      <c r="DN118" s="249">
        <v>82</v>
      </c>
      <c r="DO118" s="257">
        <f t="shared" si="106"/>
        <v>0.7142857142857143</v>
      </c>
      <c r="DP118" s="249">
        <v>68</v>
      </c>
      <c r="DQ118" s="252">
        <v>-1.83772268236293E-16</v>
      </c>
      <c r="DR118" s="249">
        <v>69</v>
      </c>
      <c r="DS118" s="252">
        <v>-1</v>
      </c>
      <c r="DU118" s="178">
        <v>114</v>
      </c>
      <c r="DV118" s="175" t="str">
        <f t="shared" si="104"/>
        <v>1.2D + Di (0 deg</v>
      </c>
      <c r="DW118" s="175">
        <v>1</v>
      </c>
      <c r="DX118" s="175" t="s">
        <v>170</v>
      </c>
      <c r="DY118" s="175"/>
      <c r="DZ118" s="175">
        <v>65</v>
      </c>
      <c r="EA118" s="175">
        <v>1.2</v>
      </c>
      <c r="EB118" s="175">
        <v>91</v>
      </c>
      <c r="EC118" s="175">
        <v>1.5</v>
      </c>
      <c r="ED118" s="175"/>
      <c r="EE118" s="175"/>
      <c r="EF118" s="175"/>
      <c r="EG118" s="175"/>
      <c r="EH118" s="175"/>
      <c r="EI118" s="175"/>
      <c r="EK118" s="2" t="s">
        <v>533</v>
      </c>
      <c r="EL118" s="2">
        <v>0</v>
      </c>
      <c r="EN118" s="178">
        <v>114</v>
      </c>
    </row>
    <row r="119" spans="6:144" ht="18" customHeight="1" x14ac:dyDescent="0.2">
      <c r="M119" s="176">
        <f t="shared" si="83"/>
        <v>115</v>
      </c>
      <c r="N119" s="170" t="str">
        <f t="shared" ref="N119:N137" si="109">IF(IF($M$3=$AC$3,AD119,
 IF($M$3=$AS$3,AT119,
 IF($M$3=$BI$3,BJ119,
 IF($M$3=$BY$3,BZ119,
 IF($M$3=$CO$3,CP119,
 IF($M$3=$DE$3,DF119))))))="","",
IF($M$3=$AC$3,AD119,
 IF($M$3=$AS$3,AT119,
 IF($M$3=$BI$3,BJ119,
 IF($M$3=$BY$3,BZ119,
 IF($M$3=$CO$3,CP119,
 IF($M$3=$DE$3,DF119)))))))</f>
        <v>1.2D + 1.0Ev +1.0Eh  | 300 deg</v>
      </c>
      <c r="O119" s="170" t="b">
        <v>1</v>
      </c>
      <c r="P119" s="170" t="str">
        <f t="shared" ref="P119:P137" si="110">IF(IF($M$3=$AC$3,AF119,
 IF($M$3=$AS$3,AV119,
 IF($M$3=$BI$3,BL119,
 IF($M$3=$BY$3,CB119,
 IF($M$3=$CO$3,CR119,
 IF($M$3=$DE$3,DH119))))))="","",
IF($M$3=$AC$3,AF119,
 IF($M$3=$AS$3,AV119,
 IF($M$3=$BI$3,BL119,
 IF($M$3=$BY$3,CB119,
 IF($M$3=$CO$3,CR119,
 IF($M$3=$DE$3,DH119)))))))</f>
        <v>Y</v>
      </c>
      <c r="Q119" s="170" t="str">
        <f t="shared" ref="Q119:Q137" si="111">IF(IF($M$3=$AC$3,AG119,
 IF($M$3=$AS$3,AW119,
 IF($M$3=$BI$3,BM119,
 IF($M$3=$BY$3,CC119,
 IF($M$3=$CO$3,CS119,
 IF($M$3=$DE$3,DI119))))))="","",
IF($M$3=$AC$3,AG119,
 IF($M$3=$AS$3,AW119,
 IF($M$3=$BI$3,BM119,
 IF($M$3=$BY$3,CC119,
 IF($M$3=$CO$3,CS119,
 IF($M$3=$DE$3,DI119)))))))</f>
        <v/>
      </c>
      <c r="R119" s="170">
        <f t="shared" si="96"/>
        <v>65</v>
      </c>
      <c r="S119" s="170">
        <f t="shared" si="97"/>
        <v>1.2</v>
      </c>
      <c r="T119" s="170">
        <f t="shared" si="98"/>
        <v>67</v>
      </c>
      <c r="U119" s="170">
        <f t="shared" si="99"/>
        <v>1</v>
      </c>
      <c r="V119" s="170">
        <f t="shared" si="100"/>
        <v>83</v>
      </c>
      <c r="W119" s="170">
        <f t="shared" si="101"/>
        <v>1</v>
      </c>
      <c r="X119" s="170">
        <f t="shared" si="102"/>
        <v>68</v>
      </c>
      <c r="Y119" s="170">
        <f t="shared" si="103"/>
        <v>0.50000000000000011</v>
      </c>
      <c r="Z119" s="170">
        <f t="shared" si="107"/>
        <v>69</v>
      </c>
      <c r="AA119" s="170">
        <f t="shared" si="108"/>
        <v>-0.8660254037844386</v>
      </c>
      <c r="AC119" s="176">
        <v>115</v>
      </c>
      <c r="AD119" s="170" t="s">
        <v>1686</v>
      </c>
      <c r="AE119" s="170" t="b">
        <v>1</v>
      </c>
      <c r="AF119" s="170" t="s">
        <v>170</v>
      </c>
      <c r="AG119" s="170"/>
      <c r="AH119" s="170">
        <v>65</v>
      </c>
      <c r="AI119" s="170">
        <v>1.2</v>
      </c>
      <c r="AJ119" s="170">
        <v>67</v>
      </c>
      <c r="AK119" s="170">
        <v>1</v>
      </c>
      <c r="AL119" s="170">
        <v>83</v>
      </c>
      <c r="AM119" s="170">
        <v>1</v>
      </c>
      <c r="AN119" s="170">
        <v>68</v>
      </c>
      <c r="AO119" s="180">
        <v>0.50000000000000011</v>
      </c>
      <c r="AP119" s="170">
        <v>69</v>
      </c>
      <c r="AQ119" s="180">
        <v>-0.8660254037844386</v>
      </c>
      <c r="BI119" s="176">
        <v>115</v>
      </c>
      <c r="BJ119" s="170" t="s">
        <v>1686</v>
      </c>
      <c r="BK119" s="170" t="b">
        <v>1</v>
      </c>
      <c r="BL119" s="170" t="s">
        <v>170</v>
      </c>
      <c r="BM119" s="170"/>
      <c r="BN119" s="170">
        <v>65</v>
      </c>
      <c r="BO119" s="170">
        <v>1.2</v>
      </c>
      <c r="BP119" s="170">
        <v>67</v>
      </c>
      <c r="BQ119" s="170">
        <v>1</v>
      </c>
      <c r="BR119" s="170">
        <v>83</v>
      </c>
      <c r="BS119" s="170">
        <v>1</v>
      </c>
      <c r="BT119" s="170">
        <v>68</v>
      </c>
      <c r="BU119" s="180">
        <v>0.50000000000000011</v>
      </c>
      <c r="BV119" s="170">
        <v>69</v>
      </c>
      <c r="BW119" s="180">
        <v>-0.8660254037844386</v>
      </c>
      <c r="BY119" s="176">
        <v>115</v>
      </c>
      <c r="BZ119" s="246" t="s">
        <v>1687</v>
      </c>
      <c r="CA119" s="246" t="b">
        <v>1</v>
      </c>
      <c r="CB119" s="246" t="s">
        <v>170</v>
      </c>
      <c r="CC119" s="246"/>
      <c r="CD119" s="246">
        <v>65</v>
      </c>
      <c r="CE119" s="246">
        <v>1</v>
      </c>
      <c r="CF119" s="246">
        <v>67</v>
      </c>
      <c r="CG119" s="246">
        <v>0.7</v>
      </c>
      <c r="CH119" s="246">
        <v>83</v>
      </c>
      <c r="CI119" s="246">
        <v>0.7</v>
      </c>
      <c r="CJ119" s="246">
        <v>68</v>
      </c>
      <c r="CK119" s="251">
        <v>0.50000000000000011</v>
      </c>
      <c r="CL119" s="246">
        <v>69</v>
      </c>
      <c r="CM119" s="251">
        <v>-0.8660254037844386</v>
      </c>
      <c r="CO119" s="176">
        <v>115</v>
      </c>
      <c r="CP119" s="246" t="s">
        <v>1688</v>
      </c>
      <c r="CQ119" s="246" t="b">
        <v>1</v>
      </c>
      <c r="CR119" s="246" t="s">
        <v>170</v>
      </c>
      <c r="CS119" s="246"/>
      <c r="CT119" s="246">
        <v>65</v>
      </c>
      <c r="CU119" s="246">
        <v>1</v>
      </c>
      <c r="CV119" s="246">
        <v>67</v>
      </c>
      <c r="CW119" s="246">
        <v>0.7</v>
      </c>
      <c r="CX119" s="246">
        <v>83</v>
      </c>
      <c r="CY119" s="246">
        <v>0.7</v>
      </c>
      <c r="CZ119" s="246">
        <v>68</v>
      </c>
      <c r="DA119" s="251">
        <v>0.50000000000000011</v>
      </c>
      <c r="DB119" s="246">
        <v>69</v>
      </c>
      <c r="DC119" s="251">
        <v>-0.8660254037844386</v>
      </c>
      <c r="DE119" s="176">
        <v>115</v>
      </c>
      <c r="DF119" s="246" t="s">
        <v>1689</v>
      </c>
      <c r="DG119" s="246" t="b">
        <v>1</v>
      </c>
      <c r="DH119" s="246" t="s">
        <v>170</v>
      </c>
      <c r="DI119" s="246"/>
      <c r="DJ119" s="246">
        <v>65</v>
      </c>
      <c r="DK119" s="246">
        <v>1</v>
      </c>
      <c r="DL119" s="246">
        <v>67</v>
      </c>
      <c r="DM119" s="256">
        <f t="shared" si="105"/>
        <v>0.7142857142857143</v>
      </c>
      <c r="DN119" s="246">
        <v>83</v>
      </c>
      <c r="DO119" s="256">
        <f t="shared" si="106"/>
        <v>0.7142857142857143</v>
      </c>
      <c r="DP119" s="246">
        <v>68</v>
      </c>
      <c r="DQ119" s="251">
        <v>0.50000000000000011</v>
      </c>
      <c r="DR119" s="246">
        <v>69</v>
      </c>
      <c r="DS119" s="251">
        <v>-0.8660254037844386</v>
      </c>
      <c r="DU119" s="176">
        <v>115</v>
      </c>
      <c r="DV119" s="170" t="str">
        <f t="shared" si="104"/>
        <v>1.2D + Di (30 deg</v>
      </c>
      <c r="DW119" s="170">
        <v>1</v>
      </c>
      <c r="DX119" s="170" t="s">
        <v>170</v>
      </c>
      <c r="DY119" s="170"/>
      <c r="DZ119" s="170">
        <v>65</v>
      </c>
      <c r="EA119" s="170">
        <v>1.2</v>
      </c>
      <c r="EB119" s="170">
        <v>91</v>
      </c>
      <c r="EC119" s="170">
        <v>1.5</v>
      </c>
      <c r="ED119" s="170"/>
      <c r="EE119" s="170"/>
      <c r="EF119" s="170"/>
      <c r="EG119" s="170"/>
      <c r="EH119" s="170"/>
      <c r="EI119" s="170"/>
      <c r="EK119" s="2" t="s">
        <v>533</v>
      </c>
      <c r="EL119" s="2">
        <v>30</v>
      </c>
      <c r="EN119" s="176">
        <v>115</v>
      </c>
    </row>
    <row r="120" spans="6:144" ht="18" customHeight="1" x14ac:dyDescent="0.2">
      <c r="M120" s="176">
        <f t="shared" si="83"/>
        <v>116</v>
      </c>
      <c r="N120" s="174" t="str">
        <f t="shared" si="109"/>
        <v>1.2D + 1.0Ev +1.0Eh  | 315 deg</v>
      </c>
      <c r="O120" s="174" t="b">
        <v>1</v>
      </c>
      <c r="P120" s="174" t="str">
        <f t="shared" si="110"/>
        <v>Y</v>
      </c>
      <c r="Q120" s="174" t="str">
        <f t="shared" si="111"/>
        <v/>
      </c>
      <c r="R120" s="174">
        <f t="shared" si="96"/>
        <v>65</v>
      </c>
      <c r="S120" s="174">
        <f t="shared" si="97"/>
        <v>1.2</v>
      </c>
      <c r="T120" s="174">
        <f t="shared" si="98"/>
        <v>67</v>
      </c>
      <c r="U120" s="174">
        <f t="shared" si="99"/>
        <v>1</v>
      </c>
      <c r="V120" s="174">
        <f t="shared" si="100"/>
        <v>84</v>
      </c>
      <c r="W120" s="174">
        <f t="shared" si="101"/>
        <v>1</v>
      </c>
      <c r="X120" s="174">
        <f t="shared" si="102"/>
        <v>68</v>
      </c>
      <c r="Y120" s="174">
        <f t="shared" si="103"/>
        <v>0.70710678118654735</v>
      </c>
      <c r="Z120" s="174">
        <f t="shared" si="107"/>
        <v>69</v>
      </c>
      <c r="AA120" s="174">
        <f t="shared" si="108"/>
        <v>-0.70710678118654768</v>
      </c>
      <c r="AC120" s="176">
        <v>116</v>
      </c>
      <c r="AD120" s="174" t="s">
        <v>1690</v>
      </c>
      <c r="AE120" s="174" t="b">
        <v>1</v>
      </c>
      <c r="AF120" s="174" t="s">
        <v>170</v>
      </c>
      <c r="AG120" s="174"/>
      <c r="AH120" s="174">
        <v>65</v>
      </c>
      <c r="AI120" s="174">
        <v>1.2</v>
      </c>
      <c r="AJ120" s="174">
        <v>67</v>
      </c>
      <c r="AK120" s="174">
        <v>1</v>
      </c>
      <c r="AL120" s="174">
        <v>84</v>
      </c>
      <c r="AM120" s="174">
        <v>1</v>
      </c>
      <c r="AN120" s="174">
        <v>68</v>
      </c>
      <c r="AO120" s="181">
        <v>0.70710678118654735</v>
      </c>
      <c r="AP120" s="174">
        <v>69</v>
      </c>
      <c r="AQ120" s="181">
        <v>-0.70710678118654768</v>
      </c>
      <c r="BI120" s="176">
        <v>116</v>
      </c>
      <c r="BJ120" s="174" t="s">
        <v>1690</v>
      </c>
      <c r="BK120" s="174" t="b">
        <v>1</v>
      </c>
      <c r="BL120" s="174" t="s">
        <v>170</v>
      </c>
      <c r="BM120" s="174"/>
      <c r="BN120" s="174">
        <v>65</v>
      </c>
      <c r="BO120" s="174">
        <v>1.2</v>
      </c>
      <c r="BP120" s="174">
        <v>67</v>
      </c>
      <c r="BQ120" s="174">
        <v>1</v>
      </c>
      <c r="BR120" s="174">
        <v>84</v>
      </c>
      <c r="BS120" s="174">
        <v>1</v>
      </c>
      <c r="BT120" s="174">
        <v>68</v>
      </c>
      <c r="BU120" s="181">
        <v>0.70710678118654735</v>
      </c>
      <c r="BV120" s="174">
        <v>69</v>
      </c>
      <c r="BW120" s="181">
        <v>-0.70710678118654768</v>
      </c>
      <c r="BY120" s="176">
        <v>116</v>
      </c>
      <c r="BZ120" s="249" t="s">
        <v>1691</v>
      </c>
      <c r="CA120" s="249" t="b">
        <v>1</v>
      </c>
      <c r="CB120" s="249" t="s">
        <v>170</v>
      </c>
      <c r="CC120" s="249"/>
      <c r="CD120" s="249">
        <v>65</v>
      </c>
      <c r="CE120" s="249">
        <v>1</v>
      </c>
      <c r="CF120" s="249">
        <v>67</v>
      </c>
      <c r="CG120" s="249">
        <v>0.7</v>
      </c>
      <c r="CH120" s="249">
        <v>84</v>
      </c>
      <c r="CI120" s="249">
        <v>0.7</v>
      </c>
      <c r="CJ120" s="249">
        <v>68</v>
      </c>
      <c r="CK120" s="252">
        <v>0.70710678118654735</v>
      </c>
      <c r="CL120" s="249">
        <v>69</v>
      </c>
      <c r="CM120" s="252">
        <v>-0.70710678118654768</v>
      </c>
      <c r="CO120" s="176">
        <v>116</v>
      </c>
      <c r="CP120" s="249" t="s">
        <v>1692</v>
      </c>
      <c r="CQ120" s="249" t="b">
        <v>1</v>
      </c>
      <c r="CR120" s="249" t="s">
        <v>170</v>
      </c>
      <c r="CS120" s="249"/>
      <c r="CT120" s="249">
        <v>65</v>
      </c>
      <c r="CU120" s="249">
        <v>1</v>
      </c>
      <c r="CV120" s="249">
        <v>67</v>
      </c>
      <c r="CW120" s="249">
        <v>0.7</v>
      </c>
      <c r="CX120" s="249">
        <v>84</v>
      </c>
      <c r="CY120" s="249">
        <v>0.7</v>
      </c>
      <c r="CZ120" s="249">
        <v>68</v>
      </c>
      <c r="DA120" s="252">
        <v>0.70710678118654735</v>
      </c>
      <c r="DB120" s="249">
        <v>69</v>
      </c>
      <c r="DC120" s="252">
        <v>-0.70710678118654768</v>
      </c>
      <c r="DE120" s="176">
        <v>116</v>
      </c>
      <c r="DF120" s="249" t="s">
        <v>1693</v>
      </c>
      <c r="DG120" s="249" t="b">
        <v>1</v>
      </c>
      <c r="DH120" s="249" t="s">
        <v>170</v>
      </c>
      <c r="DI120" s="249"/>
      <c r="DJ120" s="249">
        <v>65</v>
      </c>
      <c r="DK120" s="249">
        <v>1</v>
      </c>
      <c r="DL120" s="249">
        <v>67</v>
      </c>
      <c r="DM120" s="257">
        <f t="shared" si="105"/>
        <v>0.7142857142857143</v>
      </c>
      <c r="DN120" s="249">
        <v>84</v>
      </c>
      <c r="DO120" s="257">
        <f t="shared" si="106"/>
        <v>0.7142857142857143</v>
      </c>
      <c r="DP120" s="249">
        <v>68</v>
      </c>
      <c r="DQ120" s="252">
        <v>0.70710678118654735</v>
      </c>
      <c r="DR120" s="249">
        <v>69</v>
      </c>
      <c r="DS120" s="252">
        <v>-0.70710678118654768</v>
      </c>
      <c r="DU120" s="176">
        <v>116</v>
      </c>
      <c r="DV120" s="174" t="str">
        <f t="shared" si="104"/>
        <v>1.2D + Di (45 deg</v>
      </c>
      <c r="DW120" s="174">
        <v>1</v>
      </c>
      <c r="DX120" s="174" t="s">
        <v>170</v>
      </c>
      <c r="DY120" s="174"/>
      <c r="DZ120" s="174">
        <v>65</v>
      </c>
      <c r="EA120" s="174">
        <v>1.2</v>
      </c>
      <c r="EB120" s="174">
        <v>91</v>
      </c>
      <c r="EC120" s="174">
        <v>1.5</v>
      </c>
      <c r="ED120" s="174"/>
      <c r="EE120" s="174"/>
      <c r="EF120" s="174"/>
      <c r="EG120" s="174"/>
      <c r="EH120" s="174"/>
      <c r="EI120" s="174"/>
      <c r="EK120" s="2" t="s">
        <v>533</v>
      </c>
      <c r="EL120" s="2">
        <v>45</v>
      </c>
      <c r="EN120" s="176">
        <v>116</v>
      </c>
    </row>
    <row r="121" spans="6:144" ht="18" customHeight="1" thickBot="1" x14ac:dyDescent="0.25">
      <c r="M121" s="176">
        <f t="shared" si="83"/>
        <v>117</v>
      </c>
      <c r="N121" s="170" t="str">
        <f t="shared" si="109"/>
        <v>1.2D + 1.0Ev +1.0Eh  | 330 deg</v>
      </c>
      <c r="O121" s="170" t="b">
        <v>1</v>
      </c>
      <c r="P121" s="170" t="str">
        <f t="shared" si="110"/>
        <v>Y</v>
      </c>
      <c r="Q121" s="170" t="str">
        <f t="shared" si="111"/>
        <v/>
      </c>
      <c r="R121" s="170">
        <f t="shared" si="96"/>
        <v>65</v>
      </c>
      <c r="S121" s="170">
        <f t="shared" si="97"/>
        <v>1.2</v>
      </c>
      <c r="T121" s="170">
        <f t="shared" si="98"/>
        <v>67</v>
      </c>
      <c r="U121" s="170">
        <f t="shared" si="99"/>
        <v>1</v>
      </c>
      <c r="V121" s="170">
        <f t="shared" si="100"/>
        <v>85</v>
      </c>
      <c r="W121" s="170">
        <f t="shared" si="101"/>
        <v>1</v>
      </c>
      <c r="X121" s="170">
        <f t="shared" si="102"/>
        <v>68</v>
      </c>
      <c r="Y121" s="170">
        <f t="shared" si="103"/>
        <v>0.86602540378443837</v>
      </c>
      <c r="Z121" s="170">
        <f t="shared" si="107"/>
        <v>69</v>
      </c>
      <c r="AA121" s="170">
        <f t="shared" si="108"/>
        <v>-0.50000000000000044</v>
      </c>
      <c r="AC121" s="176">
        <v>117</v>
      </c>
      <c r="AD121" s="173" t="s">
        <v>1694</v>
      </c>
      <c r="AE121" s="173" t="b">
        <v>1</v>
      </c>
      <c r="AF121" s="173" t="s">
        <v>170</v>
      </c>
      <c r="AG121" s="173"/>
      <c r="AH121" s="173">
        <v>65</v>
      </c>
      <c r="AI121" s="173">
        <v>1.2</v>
      </c>
      <c r="AJ121" s="173">
        <v>67</v>
      </c>
      <c r="AK121" s="173">
        <v>1</v>
      </c>
      <c r="AL121" s="173">
        <v>85</v>
      </c>
      <c r="AM121" s="173">
        <v>1</v>
      </c>
      <c r="AN121" s="173">
        <v>68</v>
      </c>
      <c r="AO121" s="253">
        <v>0.86602540378443837</v>
      </c>
      <c r="AP121" s="173">
        <v>69</v>
      </c>
      <c r="AQ121" s="253">
        <v>-0.50000000000000044</v>
      </c>
      <c r="BI121" s="176">
        <v>117</v>
      </c>
      <c r="BJ121" s="173" t="s">
        <v>1694</v>
      </c>
      <c r="BK121" s="173" t="b">
        <v>1</v>
      </c>
      <c r="BL121" s="173" t="s">
        <v>170</v>
      </c>
      <c r="BM121" s="173"/>
      <c r="BN121" s="173">
        <v>65</v>
      </c>
      <c r="BO121" s="173">
        <v>1.2</v>
      </c>
      <c r="BP121" s="173">
        <v>67</v>
      </c>
      <c r="BQ121" s="173">
        <v>1</v>
      </c>
      <c r="BR121" s="173">
        <v>85</v>
      </c>
      <c r="BS121" s="173">
        <v>1</v>
      </c>
      <c r="BT121" s="173">
        <v>68</v>
      </c>
      <c r="BU121" s="253">
        <v>0.86602540378443837</v>
      </c>
      <c r="BV121" s="173">
        <v>69</v>
      </c>
      <c r="BW121" s="253">
        <v>-0.50000000000000044</v>
      </c>
      <c r="BY121" s="176">
        <v>117</v>
      </c>
      <c r="BZ121" s="247" t="s">
        <v>1695</v>
      </c>
      <c r="CA121" s="247" t="b">
        <v>1</v>
      </c>
      <c r="CB121" s="247" t="s">
        <v>170</v>
      </c>
      <c r="CC121" s="247"/>
      <c r="CD121" s="247">
        <v>65</v>
      </c>
      <c r="CE121" s="247">
        <v>1</v>
      </c>
      <c r="CF121" s="247">
        <v>67</v>
      </c>
      <c r="CG121" s="247">
        <v>0.7</v>
      </c>
      <c r="CH121" s="247">
        <v>85</v>
      </c>
      <c r="CI121" s="247">
        <v>0.7</v>
      </c>
      <c r="CJ121" s="247">
        <v>68</v>
      </c>
      <c r="CK121" s="253">
        <v>0.86602540378443837</v>
      </c>
      <c r="CL121" s="247">
        <v>69</v>
      </c>
      <c r="CM121" s="253">
        <v>-0.50000000000000044</v>
      </c>
      <c r="CO121" s="176">
        <v>117</v>
      </c>
      <c r="CP121" s="247" t="s">
        <v>1696</v>
      </c>
      <c r="CQ121" s="247" t="b">
        <v>1</v>
      </c>
      <c r="CR121" s="247" t="s">
        <v>170</v>
      </c>
      <c r="CS121" s="247"/>
      <c r="CT121" s="247">
        <v>65</v>
      </c>
      <c r="CU121" s="247">
        <v>1</v>
      </c>
      <c r="CV121" s="247">
        <v>67</v>
      </c>
      <c r="CW121" s="247">
        <v>0.7</v>
      </c>
      <c r="CX121" s="247">
        <v>85</v>
      </c>
      <c r="CY121" s="247">
        <v>0.7</v>
      </c>
      <c r="CZ121" s="247">
        <v>68</v>
      </c>
      <c r="DA121" s="253">
        <v>0.86602540378443837</v>
      </c>
      <c r="DB121" s="247">
        <v>69</v>
      </c>
      <c r="DC121" s="253">
        <v>-0.50000000000000044</v>
      </c>
      <c r="DE121" s="176">
        <v>117</v>
      </c>
      <c r="DF121" s="247" t="s">
        <v>1697</v>
      </c>
      <c r="DG121" s="247" t="b">
        <v>1</v>
      </c>
      <c r="DH121" s="247" t="s">
        <v>170</v>
      </c>
      <c r="DI121" s="247"/>
      <c r="DJ121" s="247">
        <v>65</v>
      </c>
      <c r="DK121" s="247">
        <v>1</v>
      </c>
      <c r="DL121" s="247">
        <v>67</v>
      </c>
      <c r="DM121" s="258">
        <f t="shared" si="105"/>
        <v>0.7142857142857143</v>
      </c>
      <c r="DN121" s="247">
        <v>85</v>
      </c>
      <c r="DO121" s="258">
        <f t="shared" si="106"/>
        <v>0.7142857142857143</v>
      </c>
      <c r="DP121" s="247">
        <v>68</v>
      </c>
      <c r="DQ121" s="253">
        <v>0.86602540378443837</v>
      </c>
      <c r="DR121" s="247">
        <v>69</v>
      </c>
      <c r="DS121" s="253">
        <v>-0.50000000000000044</v>
      </c>
      <c r="DU121" s="176">
        <v>117</v>
      </c>
      <c r="DV121" s="170" t="str">
        <f t="shared" si="104"/>
        <v>1.2D + Di (60 deg</v>
      </c>
      <c r="DW121" s="170">
        <v>1</v>
      </c>
      <c r="DX121" s="170" t="s">
        <v>170</v>
      </c>
      <c r="DY121" s="170"/>
      <c r="DZ121" s="170">
        <v>65</v>
      </c>
      <c r="EA121" s="170">
        <v>1.2</v>
      </c>
      <c r="EB121" s="170">
        <v>91</v>
      </c>
      <c r="EC121" s="170">
        <v>1.5</v>
      </c>
      <c r="ED121" s="170"/>
      <c r="EE121" s="170"/>
      <c r="EF121" s="170"/>
      <c r="EG121" s="170"/>
      <c r="EH121" s="170"/>
      <c r="EI121" s="170"/>
      <c r="EK121" s="2" t="s">
        <v>533</v>
      </c>
      <c r="EL121" s="2">
        <v>60</v>
      </c>
      <c r="EN121" s="176">
        <v>117</v>
      </c>
    </row>
    <row r="122" spans="6:144" ht="18" customHeight="1" thickTop="1" x14ac:dyDescent="0.2">
      <c r="M122" s="176">
        <f t="shared" si="83"/>
        <v>118</v>
      </c>
      <c r="N122" s="174" t="str">
        <f t="shared" si="109"/>
        <v>0.9D - 1.0Ev + 1.0Eh  | 0 deg</v>
      </c>
      <c r="O122" s="174" t="b">
        <v>1</v>
      </c>
      <c r="P122" s="174" t="str">
        <f t="shared" si="110"/>
        <v>Y</v>
      </c>
      <c r="Q122" s="174" t="str">
        <f t="shared" si="111"/>
        <v/>
      </c>
      <c r="R122" s="174">
        <f t="shared" si="96"/>
        <v>65</v>
      </c>
      <c r="S122" s="174">
        <f t="shared" si="97"/>
        <v>0.9</v>
      </c>
      <c r="T122" s="174">
        <f t="shared" si="98"/>
        <v>67</v>
      </c>
      <c r="U122" s="174">
        <f t="shared" si="99"/>
        <v>-1</v>
      </c>
      <c r="V122" s="174">
        <f t="shared" si="100"/>
        <v>70</v>
      </c>
      <c r="W122" s="174">
        <f t="shared" si="101"/>
        <v>-1</v>
      </c>
      <c r="X122" s="174">
        <f t="shared" si="102"/>
        <v>68</v>
      </c>
      <c r="Y122" s="174">
        <f t="shared" si="103"/>
        <v>1</v>
      </c>
      <c r="Z122" s="174">
        <f t="shared" si="107"/>
        <v>69</v>
      </c>
      <c r="AA122" s="174">
        <f t="shared" si="108"/>
        <v>0</v>
      </c>
      <c r="AC122" s="176">
        <v>118</v>
      </c>
      <c r="AD122" s="174" t="s">
        <v>1419</v>
      </c>
      <c r="AE122" s="174" t="b">
        <v>1</v>
      </c>
      <c r="AF122" s="174" t="s">
        <v>170</v>
      </c>
      <c r="AG122" s="174"/>
      <c r="AH122" s="174">
        <v>65</v>
      </c>
      <c r="AI122" s="174">
        <v>0.9</v>
      </c>
      <c r="AJ122" s="174">
        <v>67</v>
      </c>
      <c r="AK122" s="174">
        <v>-1</v>
      </c>
      <c r="AL122" s="174">
        <v>70</v>
      </c>
      <c r="AM122" s="174">
        <v>-1</v>
      </c>
      <c r="AN122" s="174">
        <v>68</v>
      </c>
      <c r="AO122" s="181">
        <v>1</v>
      </c>
      <c r="AP122" s="174">
        <v>69</v>
      </c>
      <c r="AQ122" s="181">
        <v>0</v>
      </c>
      <c r="BI122" s="176">
        <v>118</v>
      </c>
      <c r="BJ122" s="174" t="s">
        <v>1419</v>
      </c>
      <c r="BK122" s="174" t="b">
        <v>1</v>
      </c>
      <c r="BL122" s="174" t="s">
        <v>170</v>
      </c>
      <c r="BM122" s="174"/>
      <c r="BN122" s="174">
        <v>65</v>
      </c>
      <c r="BO122" s="174">
        <v>0.9</v>
      </c>
      <c r="BP122" s="174">
        <v>67</v>
      </c>
      <c r="BQ122" s="174">
        <v>-1</v>
      </c>
      <c r="BR122" s="174">
        <v>70</v>
      </c>
      <c r="BS122" s="174">
        <v>-1</v>
      </c>
      <c r="BT122" s="174">
        <v>68</v>
      </c>
      <c r="BU122" s="181">
        <v>1</v>
      </c>
      <c r="BV122" s="174">
        <v>69</v>
      </c>
      <c r="BW122" s="181">
        <v>0</v>
      </c>
      <c r="BY122" s="176">
        <v>118</v>
      </c>
      <c r="BZ122" s="249" t="s">
        <v>1420</v>
      </c>
      <c r="CA122" s="249" t="b">
        <v>1</v>
      </c>
      <c r="CB122" s="249" t="s">
        <v>170</v>
      </c>
      <c r="CC122" s="249"/>
      <c r="CD122" s="249">
        <v>65</v>
      </c>
      <c r="CE122" s="249">
        <v>0.6</v>
      </c>
      <c r="CF122" s="249">
        <v>67</v>
      </c>
      <c r="CG122" s="249">
        <v>-0.7</v>
      </c>
      <c r="CH122" s="249">
        <v>70</v>
      </c>
      <c r="CI122" s="249">
        <v>0.7</v>
      </c>
      <c r="CJ122" s="249">
        <v>68</v>
      </c>
      <c r="CK122" s="252">
        <v>1</v>
      </c>
      <c r="CL122" s="249">
        <v>69</v>
      </c>
      <c r="CM122" s="252">
        <v>0</v>
      </c>
      <c r="CO122" s="176">
        <v>118</v>
      </c>
      <c r="CP122" s="249" t="s">
        <v>1420</v>
      </c>
      <c r="CQ122" s="249" t="b">
        <v>1</v>
      </c>
      <c r="CR122" s="249" t="s">
        <v>170</v>
      </c>
      <c r="CS122" s="249"/>
      <c r="CT122" s="249">
        <v>65</v>
      </c>
      <c r="CU122" s="249">
        <v>0.6</v>
      </c>
      <c r="CV122" s="249">
        <v>67</v>
      </c>
      <c r="CW122" s="249">
        <v>-0.7</v>
      </c>
      <c r="CX122" s="249">
        <v>70</v>
      </c>
      <c r="CY122" s="249">
        <v>0.7</v>
      </c>
      <c r="CZ122" s="249">
        <v>68</v>
      </c>
      <c r="DA122" s="252">
        <v>1</v>
      </c>
      <c r="DB122" s="249">
        <v>69</v>
      </c>
      <c r="DC122" s="252">
        <v>0</v>
      </c>
      <c r="DE122" s="176">
        <v>118</v>
      </c>
      <c r="DF122" s="249" t="s">
        <v>1421</v>
      </c>
      <c r="DG122" s="249" t="b">
        <v>1</v>
      </c>
      <c r="DH122" s="249" t="s">
        <v>170</v>
      </c>
      <c r="DI122" s="249"/>
      <c r="DJ122" s="249">
        <v>65</v>
      </c>
      <c r="DK122" s="249">
        <v>0.6</v>
      </c>
      <c r="DL122" s="249">
        <v>67</v>
      </c>
      <c r="DM122" s="257">
        <f t="shared" ref="DM122:DM137" si="112">-1/1.4</f>
        <v>-0.7142857142857143</v>
      </c>
      <c r="DN122" s="249">
        <v>70</v>
      </c>
      <c r="DO122" s="257">
        <f t="shared" si="106"/>
        <v>0.7142857142857143</v>
      </c>
      <c r="DP122" s="249">
        <v>68</v>
      </c>
      <c r="DQ122" s="252">
        <v>1</v>
      </c>
      <c r="DR122" s="249">
        <v>69</v>
      </c>
      <c r="DS122" s="252">
        <v>0</v>
      </c>
      <c r="DU122" s="176">
        <v>118</v>
      </c>
      <c r="DV122" s="174" t="str">
        <f t="shared" si="104"/>
        <v>1.2D + Di (90 deg</v>
      </c>
      <c r="DW122" s="174">
        <v>1</v>
      </c>
      <c r="DX122" s="174" t="s">
        <v>170</v>
      </c>
      <c r="DY122" s="174"/>
      <c r="DZ122" s="174">
        <v>65</v>
      </c>
      <c r="EA122" s="174">
        <v>1.2</v>
      </c>
      <c r="EB122" s="174">
        <v>91</v>
      </c>
      <c r="EC122" s="174">
        <v>1.5</v>
      </c>
      <c r="ED122" s="174"/>
      <c r="EE122" s="174"/>
      <c r="EF122" s="174"/>
      <c r="EG122" s="174"/>
      <c r="EH122" s="174"/>
      <c r="EI122" s="174"/>
      <c r="EK122" s="2" t="s">
        <v>533</v>
      </c>
      <c r="EL122" s="2">
        <v>90</v>
      </c>
      <c r="EN122" s="176">
        <v>118</v>
      </c>
    </row>
    <row r="123" spans="6:144" ht="18" customHeight="1" x14ac:dyDescent="0.2">
      <c r="M123" s="176">
        <f t="shared" si="83"/>
        <v>119</v>
      </c>
      <c r="N123" s="170" t="str">
        <f t="shared" si="109"/>
        <v>0.9D - 1.0Ev + 1.0Eh  | 30 deg</v>
      </c>
      <c r="O123" s="170" t="b">
        <v>1</v>
      </c>
      <c r="P123" s="170" t="str">
        <f t="shared" si="110"/>
        <v>Y</v>
      </c>
      <c r="Q123" s="170" t="str">
        <f t="shared" si="111"/>
        <v/>
      </c>
      <c r="R123" s="170">
        <f t="shared" si="96"/>
        <v>65</v>
      </c>
      <c r="S123" s="170">
        <f t="shared" si="97"/>
        <v>0.9</v>
      </c>
      <c r="T123" s="170">
        <f t="shared" si="98"/>
        <v>67</v>
      </c>
      <c r="U123" s="170">
        <f t="shared" si="99"/>
        <v>-1</v>
      </c>
      <c r="V123" s="170">
        <f t="shared" si="100"/>
        <v>71</v>
      </c>
      <c r="W123" s="170">
        <f t="shared" si="101"/>
        <v>-1</v>
      </c>
      <c r="X123" s="170">
        <f t="shared" si="102"/>
        <v>68</v>
      </c>
      <c r="Y123" s="170">
        <f t="shared" si="103"/>
        <v>0.86602540378443871</v>
      </c>
      <c r="Z123" s="170">
        <f t="shared" si="107"/>
        <v>69</v>
      </c>
      <c r="AA123" s="170">
        <f t="shared" si="108"/>
        <v>0.49999999999999994</v>
      </c>
      <c r="AC123" s="176">
        <v>119</v>
      </c>
      <c r="AD123" s="170" t="s">
        <v>1698</v>
      </c>
      <c r="AE123" s="170" t="b">
        <v>1</v>
      </c>
      <c r="AF123" s="170" t="s">
        <v>170</v>
      </c>
      <c r="AG123" s="170"/>
      <c r="AH123" s="170">
        <v>65</v>
      </c>
      <c r="AI123" s="170">
        <v>0.9</v>
      </c>
      <c r="AJ123" s="170">
        <v>67</v>
      </c>
      <c r="AK123" s="170">
        <v>-1</v>
      </c>
      <c r="AL123" s="170">
        <v>71</v>
      </c>
      <c r="AM123" s="170">
        <v>-1</v>
      </c>
      <c r="AN123" s="170">
        <v>68</v>
      </c>
      <c r="AO123" s="180">
        <v>0.86602540378443871</v>
      </c>
      <c r="AP123" s="170">
        <v>69</v>
      </c>
      <c r="AQ123" s="180">
        <v>0.49999999999999994</v>
      </c>
      <c r="BI123" s="176">
        <v>119</v>
      </c>
      <c r="BJ123" s="170" t="s">
        <v>1698</v>
      </c>
      <c r="BK123" s="170" t="b">
        <v>1</v>
      </c>
      <c r="BL123" s="170" t="s">
        <v>170</v>
      </c>
      <c r="BM123" s="170"/>
      <c r="BN123" s="170">
        <v>65</v>
      </c>
      <c r="BO123" s="170">
        <v>0.9</v>
      </c>
      <c r="BP123" s="170">
        <v>67</v>
      </c>
      <c r="BQ123" s="170">
        <v>-1</v>
      </c>
      <c r="BR123" s="170">
        <v>71</v>
      </c>
      <c r="BS123" s="170">
        <v>-1</v>
      </c>
      <c r="BT123" s="170">
        <v>68</v>
      </c>
      <c r="BU123" s="180">
        <v>0.86602540378443871</v>
      </c>
      <c r="BV123" s="170">
        <v>69</v>
      </c>
      <c r="BW123" s="180">
        <v>0.49999999999999994</v>
      </c>
      <c r="BY123" s="176">
        <v>119</v>
      </c>
      <c r="BZ123" s="246" t="s">
        <v>1699</v>
      </c>
      <c r="CA123" s="246" t="b">
        <v>1</v>
      </c>
      <c r="CB123" s="246" t="s">
        <v>170</v>
      </c>
      <c r="CC123" s="246"/>
      <c r="CD123" s="246">
        <v>65</v>
      </c>
      <c r="CE123" s="246">
        <v>0.6</v>
      </c>
      <c r="CF123" s="246">
        <v>67</v>
      </c>
      <c r="CG123" s="246">
        <v>-0.7</v>
      </c>
      <c r="CH123" s="246">
        <v>71</v>
      </c>
      <c r="CI123" s="246">
        <v>0.7</v>
      </c>
      <c r="CJ123" s="246">
        <v>68</v>
      </c>
      <c r="CK123" s="251">
        <v>0.86602540378443871</v>
      </c>
      <c r="CL123" s="246">
        <v>69</v>
      </c>
      <c r="CM123" s="251">
        <v>0.49999999999999994</v>
      </c>
      <c r="CO123" s="176">
        <v>119</v>
      </c>
      <c r="CP123" s="246" t="s">
        <v>1699</v>
      </c>
      <c r="CQ123" s="246" t="b">
        <v>1</v>
      </c>
      <c r="CR123" s="246" t="s">
        <v>170</v>
      </c>
      <c r="CS123" s="246"/>
      <c r="CT123" s="246">
        <v>65</v>
      </c>
      <c r="CU123" s="246">
        <v>0.6</v>
      </c>
      <c r="CV123" s="246">
        <v>67</v>
      </c>
      <c r="CW123" s="246">
        <v>-0.7</v>
      </c>
      <c r="CX123" s="246">
        <v>71</v>
      </c>
      <c r="CY123" s="246">
        <v>0.7</v>
      </c>
      <c r="CZ123" s="246">
        <v>68</v>
      </c>
      <c r="DA123" s="251">
        <v>0.86602540378443871</v>
      </c>
      <c r="DB123" s="246">
        <v>69</v>
      </c>
      <c r="DC123" s="251">
        <v>0.49999999999999994</v>
      </c>
      <c r="DE123" s="176">
        <v>119</v>
      </c>
      <c r="DF123" s="246" t="s">
        <v>1700</v>
      </c>
      <c r="DG123" s="246" t="b">
        <v>1</v>
      </c>
      <c r="DH123" s="246" t="s">
        <v>170</v>
      </c>
      <c r="DI123" s="246"/>
      <c r="DJ123" s="246">
        <v>65</v>
      </c>
      <c r="DK123" s="246">
        <v>0.6</v>
      </c>
      <c r="DL123" s="246">
        <v>67</v>
      </c>
      <c r="DM123" s="256">
        <f t="shared" si="112"/>
        <v>-0.7142857142857143</v>
      </c>
      <c r="DN123" s="246">
        <v>71</v>
      </c>
      <c r="DO123" s="256">
        <f t="shared" si="106"/>
        <v>0.7142857142857143</v>
      </c>
      <c r="DP123" s="246">
        <v>68</v>
      </c>
      <c r="DQ123" s="251">
        <v>0.86602540378443871</v>
      </c>
      <c r="DR123" s="246">
        <v>69</v>
      </c>
      <c r="DS123" s="251">
        <v>0.49999999999999994</v>
      </c>
      <c r="DU123" s="176">
        <v>119</v>
      </c>
      <c r="DV123" s="170" t="str">
        <f t="shared" si="104"/>
        <v>1.2D + Di (120 deg</v>
      </c>
      <c r="DW123" s="170">
        <v>1</v>
      </c>
      <c r="DX123" s="170" t="s">
        <v>170</v>
      </c>
      <c r="DY123" s="170"/>
      <c r="DZ123" s="170">
        <v>65</v>
      </c>
      <c r="EA123" s="170">
        <v>1.2</v>
      </c>
      <c r="EB123" s="170">
        <v>91</v>
      </c>
      <c r="EC123" s="170">
        <v>1.5</v>
      </c>
      <c r="ED123" s="170"/>
      <c r="EE123" s="170"/>
      <c r="EF123" s="170"/>
      <c r="EG123" s="170"/>
      <c r="EH123" s="170"/>
      <c r="EI123" s="170"/>
      <c r="EK123" s="2" t="s">
        <v>533</v>
      </c>
      <c r="EL123" s="2">
        <v>120</v>
      </c>
      <c r="EN123" s="176">
        <v>119</v>
      </c>
    </row>
    <row r="124" spans="6:144" ht="18" customHeight="1" x14ac:dyDescent="0.2">
      <c r="M124" s="176">
        <f t="shared" si="83"/>
        <v>120</v>
      </c>
      <c r="N124" s="174" t="str">
        <f t="shared" si="109"/>
        <v>0.9D - 1.0Ev + 1.0Eh  | 45 deg</v>
      </c>
      <c r="O124" s="174" t="b">
        <v>1</v>
      </c>
      <c r="P124" s="174" t="str">
        <f t="shared" si="110"/>
        <v>Y</v>
      </c>
      <c r="Q124" s="174" t="str">
        <f t="shared" si="111"/>
        <v/>
      </c>
      <c r="R124" s="174">
        <f t="shared" si="96"/>
        <v>65</v>
      </c>
      <c r="S124" s="174">
        <f t="shared" si="97"/>
        <v>0.9</v>
      </c>
      <c r="T124" s="174">
        <f t="shared" si="98"/>
        <v>67</v>
      </c>
      <c r="U124" s="174">
        <f t="shared" si="99"/>
        <v>-1</v>
      </c>
      <c r="V124" s="174">
        <f t="shared" si="100"/>
        <v>72</v>
      </c>
      <c r="W124" s="174">
        <f t="shared" si="101"/>
        <v>-1</v>
      </c>
      <c r="X124" s="174">
        <f t="shared" si="102"/>
        <v>68</v>
      </c>
      <c r="Y124" s="174">
        <f t="shared" si="103"/>
        <v>0.70710678118654757</v>
      </c>
      <c r="Z124" s="174">
        <f t="shared" si="107"/>
        <v>69</v>
      </c>
      <c r="AA124" s="174">
        <f t="shared" si="108"/>
        <v>0.70710678118654746</v>
      </c>
      <c r="AC124" s="176">
        <v>120</v>
      </c>
      <c r="AD124" s="174" t="s">
        <v>1731</v>
      </c>
      <c r="AE124" s="174" t="b">
        <v>1</v>
      </c>
      <c r="AF124" s="174" t="s">
        <v>170</v>
      </c>
      <c r="AG124" s="174"/>
      <c r="AH124" s="174">
        <v>65</v>
      </c>
      <c r="AI124" s="174">
        <v>0.9</v>
      </c>
      <c r="AJ124" s="174">
        <v>67</v>
      </c>
      <c r="AK124" s="174">
        <v>-1</v>
      </c>
      <c r="AL124" s="174">
        <v>72</v>
      </c>
      <c r="AM124" s="174">
        <v>-1</v>
      </c>
      <c r="AN124" s="174">
        <v>68</v>
      </c>
      <c r="AO124" s="181">
        <v>0.70710678118654757</v>
      </c>
      <c r="AP124" s="174">
        <v>69</v>
      </c>
      <c r="AQ124" s="181">
        <v>0.70710678118654746</v>
      </c>
      <c r="BI124" s="176">
        <v>120</v>
      </c>
      <c r="BJ124" s="174" t="s">
        <v>1731</v>
      </c>
      <c r="BK124" s="174" t="b">
        <v>1</v>
      </c>
      <c r="BL124" s="174" t="s">
        <v>170</v>
      </c>
      <c r="BM124" s="174"/>
      <c r="BN124" s="174">
        <v>65</v>
      </c>
      <c r="BO124" s="174">
        <v>0.9</v>
      </c>
      <c r="BP124" s="174">
        <v>67</v>
      </c>
      <c r="BQ124" s="174">
        <v>-1</v>
      </c>
      <c r="BR124" s="174">
        <v>72</v>
      </c>
      <c r="BS124" s="174">
        <v>-1</v>
      </c>
      <c r="BT124" s="174">
        <v>68</v>
      </c>
      <c r="BU124" s="181">
        <v>0.70710678118654757</v>
      </c>
      <c r="BV124" s="174">
        <v>69</v>
      </c>
      <c r="BW124" s="181">
        <v>0.70710678118654746</v>
      </c>
      <c r="BY124" s="176">
        <v>120</v>
      </c>
      <c r="BZ124" s="249" t="s">
        <v>1732</v>
      </c>
      <c r="CA124" s="249" t="b">
        <v>1</v>
      </c>
      <c r="CB124" s="249" t="s">
        <v>170</v>
      </c>
      <c r="CC124" s="249"/>
      <c r="CD124" s="249">
        <v>65</v>
      </c>
      <c r="CE124" s="249">
        <v>0.6</v>
      </c>
      <c r="CF124" s="249">
        <v>67</v>
      </c>
      <c r="CG124" s="249">
        <v>-0.7</v>
      </c>
      <c r="CH124" s="249">
        <v>72</v>
      </c>
      <c r="CI124" s="249">
        <v>0.7</v>
      </c>
      <c r="CJ124" s="249">
        <v>68</v>
      </c>
      <c r="CK124" s="252">
        <v>0.70710678118654757</v>
      </c>
      <c r="CL124" s="249">
        <v>69</v>
      </c>
      <c r="CM124" s="252">
        <v>0.70710678118654746</v>
      </c>
      <c r="CO124" s="176">
        <v>120</v>
      </c>
      <c r="CP124" s="249" t="s">
        <v>1732</v>
      </c>
      <c r="CQ124" s="249" t="b">
        <v>1</v>
      </c>
      <c r="CR124" s="249" t="s">
        <v>170</v>
      </c>
      <c r="CS124" s="249"/>
      <c r="CT124" s="249">
        <v>65</v>
      </c>
      <c r="CU124" s="249">
        <v>0.6</v>
      </c>
      <c r="CV124" s="249">
        <v>67</v>
      </c>
      <c r="CW124" s="249">
        <v>-0.7</v>
      </c>
      <c r="CX124" s="249">
        <v>72</v>
      </c>
      <c r="CY124" s="249">
        <v>0.7</v>
      </c>
      <c r="CZ124" s="249">
        <v>68</v>
      </c>
      <c r="DA124" s="252">
        <v>0.70710678118654757</v>
      </c>
      <c r="DB124" s="249">
        <v>69</v>
      </c>
      <c r="DC124" s="252">
        <v>0.70710678118654746</v>
      </c>
      <c r="DE124" s="176">
        <v>120</v>
      </c>
      <c r="DF124" s="249" t="s">
        <v>1733</v>
      </c>
      <c r="DG124" s="249" t="b">
        <v>1</v>
      </c>
      <c r="DH124" s="249" t="s">
        <v>170</v>
      </c>
      <c r="DI124" s="249"/>
      <c r="DJ124" s="249">
        <v>65</v>
      </c>
      <c r="DK124" s="249">
        <v>0.6</v>
      </c>
      <c r="DL124" s="249">
        <v>67</v>
      </c>
      <c r="DM124" s="257">
        <f t="shared" si="112"/>
        <v>-0.7142857142857143</v>
      </c>
      <c r="DN124" s="249">
        <v>72</v>
      </c>
      <c r="DO124" s="257">
        <f t="shared" si="106"/>
        <v>0.7142857142857143</v>
      </c>
      <c r="DP124" s="249">
        <v>68</v>
      </c>
      <c r="DQ124" s="252">
        <v>0.70710678118654757</v>
      </c>
      <c r="DR124" s="249">
        <v>69</v>
      </c>
      <c r="DS124" s="252">
        <v>0.70710678118654746</v>
      </c>
      <c r="DU124" s="176">
        <v>120</v>
      </c>
      <c r="DV124" s="174" t="str">
        <f t="shared" si="104"/>
        <v>1.2D + Di (135 deg</v>
      </c>
      <c r="DW124" s="174">
        <v>1</v>
      </c>
      <c r="DX124" s="174" t="s">
        <v>170</v>
      </c>
      <c r="DY124" s="174"/>
      <c r="DZ124" s="174">
        <v>65</v>
      </c>
      <c r="EA124" s="174">
        <v>1.2</v>
      </c>
      <c r="EB124" s="174">
        <v>91</v>
      </c>
      <c r="EC124" s="174">
        <v>1.5</v>
      </c>
      <c r="ED124" s="174"/>
      <c r="EE124" s="174"/>
      <c r="EF124" s="174"/>
      <c r="EG124" s="174"/>
      <c r="EH124" s="174"/>
      <c r="EI124" s="174"/>
      <c r="EK124" s="2" t="s">
        <v>533</v>
      </c>
      <c r="EL124" s="2">
        <v>135</v>
      </c>
      <c r="EN124" s="176">
        <v>120</v>
      </c>
    </row>
    <row r="125" spans="6:144" ht="18" customHeight="1" x14ac:dyDescent="0.2">
      <c r="M125" s="176">
        <f t="shared" si="83"/>
        <v>121</v>
      </c>
      <c r="N125" s="170" t="str">
        <f t="shared" si="109"/>
        <v>0.9D - 1.0Ev + 1.0Eh  | 60 deg</v>
      </c>
      <c r="O125" s="170" t="b">
        <v>1</v>
      </c>
      <c r="P125" s="170" t="str">
        <f t="shared" si="110"/>
        <v>Y</v>
      </c>
      <c r="Q125" s="170" t="str">
        <f t="shared" si="111"/>
        <v/>
      </c>
      <c r="R125" s="170">
        <f t="shared" si="96"/>
        <v>65</v>
      </c>
      <c r="S125" s="170">
        <f t="shared" si="97"/>
        <v>0.9</v>
      </c>
      <c r="T125" s="170">
        <f t="shared" si="98"/>
        <v>67</v>
      </c>
      <c r="U125" s="170">
        <f t="shared" si="99"/>
        <v>-1</v>
      </c>
      <c r="V125" s="170">
        <f t="shared" si="100"/>
        <v>73</v>
      </c>
      <c r="W125" s="170">
        <f t="shared" si="101"/>
        <v>-1</v>
      </c>
      <c r="X125" s="170">
        <f t="shared" si="102"/>
        <v>68</v>
      </c>
      <c r="Y125" s="170">
        <f t="shared" si="103"/>
        <v>0.50000000000000011</v>
      </c>
      <c r="Z125" s="170">
        <f t="shared" si="107"/>
        <v>69</v>
      </c>
      <c r="AA125" s="170">
        <f t="shared" si="108"/>
        <v>0.8660254037844386</v>
      </c>
      <c r="AC125" s="176">
        <v>121</v>
      </c>
      <c r="AD125" s="170" t="s">
        <v>1755</v>
      </c>
      <c r="AE125" s="170" t="b">
        <v>1</v>
      </c>
      <c r="AF125" s="170" t="s">
        <v>170</v>
      </c>
      <c r="AG125" s="170"/>
      <c r="AH125" s="170">
        <v>65</v>
      </c>
      <c r="AI125" s="170">
        <v>0.9</v>
      </c>
      <c r="AJ125" s="170">
        <v>67</v>
      </c>
      <c r="AK125" s="170">
        <v>-1</v>
      </c>
      <c r="AL125" s="170">
        <v>73</v>
      </c>
      <c r="AM125" s="170">
        <v>-1</v>
      </c>
      <c r="AN125" s="170">
        <v>68</v>
      </c>
      <c r="AO125" s="180">
        <v>0.50000000000000011</v>
      </c>
      <c r="AP125" s="170">
        <v>69</v>
      </c>
      <c r="AQ125" s="180">
        <v>0.8660254037844386</v>
      </c>
      <c r="BI125" s="176">
        <v>121</v>
      </c>
      <c r="BJ125" s="170" t="s">
        <v>1755</v>
      </c>
      <c r="BK125" s="170" t="b">
        <v>1</v>
      </c>
      <c r="BL125" s="170" t="s">
        <v>170</v>
      </c>
      <c r="BM125" s="170"/>
      <c r="BN125" s="170">
        <v>65</v>
      </c>
      <c r="BO125" s="170">
        <v>0.9</v>
      </c>
      <c r="BP125" s="170">
        <v>67</v>
      </c>
      <c r="BQ125" s="170">
        <v>-1</v>
      </c>
      <c r="BR125" s="170">
        <v>73</v>
      </c>
      <c r="BS125" s="170">
        <v>-1</v>
      </c>
      <c r="BT125" s="170">
        <v>68</v>
      </c>
      <c r="BU125" s="180">
        <v>0.50000000000000011</v>
      </c>
      <c r="BV125" s="170">
        <v>69</v>
      </c>
      <c r="BW125" s="180">
        <v>0.8660254037844386</v>
      </c>
      <c r="BY125" s="176">
        <v>121</v>
      </c>
      <c r="BZ125" s="246" t="s">
        <v>1756</v>
      </c>
      <c r="CA125" s="246" t="b">
        <v>1</v>
      </c>
      <c r="CB125" s="246" t="s">
        <v>170</v>
      </c>
      <c r="CC125" s="246"/>
      <c r="CD125" s="246">
        <v>65</v>
      </c>
      <c r="CE125" s="246">
        <v>0.6</v>
      </c>
      <c r="CF125" s="246">
        <v>67</v>
      </c>
      <c r="CG125" s="246">
        <v>-0.7</v>
      </c>
      <c r="CH125" s="246">
        <v>73</v>
      </c>
      <c r="CI125" s="246">
        <v>0.7</v>
      </c>
      <c r="CJ125" s="246">
        <v>68</v>
      </c>
      <c r="CK125" s="251">
        <v>0.50000000000000011</v>
      </c>
      <c r="CL125" s="246">
        <v>69</v>
      </c>
      <c r="CM125" s="251">
        <v>0.8660254037844386</v>
      </c>
      <c r="CO125" s="176">
        <v>121</v>
      </c>
      <c r="CP125" s="246" t="s">
        <v>1756</v>
      </c>
      <c r="CQ125" s="246" t="b">
        <v>1</v>
      </c>
      <c r="CR125" s="246" t="s">
        <v>170</v>
      </c>
      <c r="CS125" s="246"/>
      <c r="CT125" s="246">
        <v>65</v>
      </c>
      <c r="CU125" s="246">
        <v>0.6</v>
      </c>
      <c r="CV125" s="246">
        <v>67</v>
      </c>
      <c r="CW125" s="246">
        <v>-0.7</v>
      </c>
      <c r="CX125" s="246">
        <v>73</v>
      </c>
      <c r="CY125" s="246">
        <v>0.7</v>
      </c>
      <c r="CZ125" s="246">
        <v>68</v>
      </c>
      <c r="DA125" s="251">
        <v>0.50000000000000011</v>
      </c>
      <c r="DB125" s="246">
        <v>69</v>
      </c>
      <c r="DC125" s="251">
        <v>0.8660254037844386</v>
      </c>
      <c r="DE125" s="176">
        <v>121</v>
      </c>
      <c r="DF125" s="246" t="s">
        <v>1757</v>
      </c>
      <c r="DG125" s="246" t="b">
        <v>1</v>
      </c>
      <c r="DH125" s="246" t="s">
        <v>170</v>
      </c>
      <c r="DI125" s="246"/>
      <c r="DJ125" s="246">
        <v>65</v>
      </c>
      <c r="DK125" s="246">
        <v>0.6</v>
      </c>
      <c r="DL125" s="246">
        <v>67</v>
      </c>
      <c r="DM125" s="256">
        <f t="shared" si="112"/>
        <v>-0.7142857142857143</v>
      </c>
      <c r="DN125" s="246">
        <v>73</v>
      </c>
      <c r="DO125" s="256">
        <f t="shared" si="106"/>
        <v>0.7142857142857143</v>
      </c>
      <c r="DP125" s="246">
        <v>68</v>
      </c>
      <c r="DQ125" s="251">
        <v>0.50000000000000011</v>
      </c>
      <c r="DR125" s="246">
        <v>69</v>
      </c>
      <c r="DS125" s="251">
        <v>0.8660254037844386</v>
      </c>
      <c r="DU125" s="176">
        <v>121</v>
      </c>
      <c r="DV125" s="170" t="str">
        <f t="shared" si="104"/>
        <v>1.2D + Di (150 deg</v>
      </c>
      <c r="DW125" s="170">
        <v>1</v>
      </c>
      <c r="DX125" s="170" t="s">
        <v>170</v>
      </c>
      <c r="DY125" s="170"/>
      <c r="DZ125" s="170">
        <v>65</v>
      </c>
      <c r="EA125" s="170">
        <v>1.2</v>
      </c>
      <c r="EB125" s="170">
        <v>91</v>
      </c>
      <c r="EC125" s="170">
        <v>1.5</v>
      </c>
      <c r="ED125" s="170"/>
      <c r="EE125" s="170"/>
      <c r="EF125" s="170"/>
      <c r="EG125" s="170"/>
      <c r="EH125" s="170"/>
      <c r="EI125" s="170"/>
      <c r="EK125" s="2" t="s">
        <v>533</v>
      </c>
      <c r="EL125" s="2">
        <v>150</v>
      </c>
      <c r="EN125" s="176">
        <v>121</v>
      </c>
    </row>
    <row r="126" spans="6:144" ht="18" customHeight="1" x14ac:dyDescent="0.2">
      <c r="M126" s="176">
        <f t="shared" si="83"/>
        <v>122</v>
      </c>
      <c r="N126" s="174" t="str">
        <f t="shared" si="109"/>
        <v>0.9D - 1.0Ev + 1.0Eh  | 90 deg</v>
      </c>
      <c r="O126" s="174" t="b">
        <v>1</v>
      </c>
      <c r="P126" s="174" t="str">
        <f t="shared" si="110"/>
        <v>Y</v>
      </c>
      <c r="Q126" s="174" t="str">
        <f t="shared" si="111"/>
        <v/>
      </c>
      <c r="R126" s="174">
        <f t="shared" si="96"/>
        <v>65</v>
      </c>
      <c r="S126" s="174">
        <f t="shared" si="97"/>
        <v>0.9</v>
      </c>
      <c r="T126" s="174">
        <f t="shared" si="98"/>
        <v>67</v>
      </c>
      <c r="U126" s="174">
        <f t="shared" si="99"/>
        <v>-1</v>
      </c>
      <c r="V126" s="174">
        <f t="shared" si="100"/>
        <v>74</v>
      </c>
      <c r="W126" s="174">
        <f t="shared" si="101"/>
        <v>-1</v>
      </c>
      <c r="X126" s="174">
        <f t="shared" si="102"/>
        <v>68</v>
      </c>
      <c r="Y126" s="174">
        <f t="shared" si="103"/>
        <v>6.1257422745431001E-17</v>
      </c>
      <c r="Z126" s="174">
        <f t="shared" si="107"/>
        <v>69</v>
      </c>
      <c r="AA126" s="174">
        <f t="shared" si="108"/>
        <v>1</v>
      </c>
      <c r="AC126" s="176">
        <v>122</v>
      </c>
      <c r="AD126" s="174" t="s">
        <v>1779</v>
      </c>
      <c r="AE126" s="174" t="b">
        <v>1</v>
      </c>
      <c r="AF126" s="174" t="s">
        <v>170</v>
      </c>
      <c r="AG126" s="174"/>
      <c r="AH126" s="174">
        <v>65</v>
      </c>
      <c r="AI126" s="174">
        <v>0.9</v>
      </c>
      <c r="AJ126" s="174">
        <v>67</v>
      </c>
      <c r="AK126" s="174">
        <v>-1</v>
      </c>
      <c r="AL126" s="174">
        <v>74</v>
      </c>
      <c r="AM126" s="174">
        <v>-1</v>
      </c>
      <c r="AN126" s="174">
        <v>68</v>
      </c>
      <c r="AO126" s="181">
        <v>6.1257422745431001E-17</v>
      </c>
      <c r="AP126" s="174">
        <v>69</v>
      </c>
      <c r="AQ126" s="181">
        <v>1</v>
      </c>
      <c r="BI126" s="176">
        <v>122</v>
      </c>
      <c r="BJ126" s="174" t="s">
        <v>1779</v>
      </c>
      <c r="BK126" s="174" t="b">
        <v>1</v>
      </c>
      <c r="BL126" s="174" t="s">
        <v>170</v>
      </c>
      <c r="BM126" s="174"/>
      <c r="BN126" s="174">
        <v>65</v>
      </c>
      <c r="BO126" s="174">
        <v>0.9</v>
      </c>
      <c r="BP126" s="174">
        <v>67</v>
      </c>
      <c r="BQ126" s="174">
        <v>-1</v>
      </c>
      <c r="BR126" s="174">
        <v>74</v>
      </c>
      <c r="BS126" s="174">
        <v>-1</v>
      </c>
      <c r="BT126" s="174">
        <v>68</v>
      </c>
      <c r="BU126" s="181">
        <v>6.1257422745431001E-17</v>
      </c>
      <c r="BV126" s="174">
        <v>69</v>
      </c>
      <c r="BW126" s="181">
        <v>1</v>
      </c>
      <c r="BY126" s="176">
        <v>122</v>
      </c>
      <c r="BZ126" s="249" t="s">
        <v>1780</v>
      </c>
      <c r="CA126" s="249" t="b">
        <v>1</v>
      </c>
      <c r="CB126" s="249" t="s">
        <v>170</v>
      </c>
      <c r="CC126" s="249"/>
      <c r="CD126" s="249">
        <v>65</v>
      </c>
      <c r="CE126" s="249">
        <v>0.6</v>
      </c>
      <c r="CF126" s="249">
        <v>67</v>
      </c>
      <c r="CG126" s="249">
        <v>-0.7</v>
      </c>
      <c r="CH126" s="249">
        <v>74</v>
      </c>
      <c r="CI126" s="249">
        <v>0.7</v>
      </c>
      <c r="CJ126" s="249">
        <v>68</v>
      </c>
      <c r="CK126" s="252">
        <v>6.1257422745431001E-17</v>
      </c>
      <c r="CL126" s="249">
        <v>69</v>
      </c>
      <c r="CM126" s="252">
        <v>1</v>
      </c>
      <c r="CO126" s="176">
        <v>122</v>
      </c>
      <c r="CP126" s="249" t="s">
        <v>1780</v>
      </c>
      <c r="CQ126" s="249" t="b">
        <v>1</v>
      </c>
      <c r="CR126" s="249" t="s">
        <v>170</v>
      </c>
      <c r="CS126" s="249"/>
      <c r="CT126" s="249">
        <v>65</v>
      </c>
      <c r="CU126" s="249">
        <v>0.6</v>
      </c>
      <c r="CV126" s="249">
        <v>67</v>
      </c>
      <c r="CW126" s="249">
        <v>-0.7</v>
      </c>
      <c r="CX126" s="249">
        <v>74</v>
      </c>
      <c r="CY126" s="249">
        <v>0.7</v>
      </c>
      <c r="CZ126" s="249">
        <v>68</v>
      </c>
      <c r="DA126" s="252">
        <v>6.1257422745431001E-17</v>
      </c>
      <c r="DB126" s="249">
        <v>69</v>
      </c>
      <c r="DC126" s="252">
        <v>1</v>
      </c>
      <c r="DE126" s="176">
        <v>122</v>
      </c>
      <c r="DF126" s="249" t="s">
        <v>1781</v>
      </c>
      <c r="DG126" s="249" t="b">
        <v>1</v>
      </c>
      <c r="DH126" s="249" t="s">
        <v>170</v>
      </c>
      <c r="DI126" s="249"/>
      <c r="DJ126" s="249">
        <v>65</v>
      </c>
      <c r="DK126" s="249">
        <v>0.6</v>
      </c>
      <c r="DL126" s="249">
        <v>67</v>
      </c>
      <c r="DM126" s="257">
        <f t="shared" si="112"/>
        <v>-0.7142857142857143</v>
      </c>
      <c r="DN126" s="249">
        <v>74</v>
      </c>
      <c r="DO126" s="257">
        <f t="shared" si="106"/>
        <v>0.7142857142857143</v>
      </c>
      <c r="DP126" s="249">
        <v>68</v>
      </c>
      <c r="DQ126" s="252">
        <v>6.1257422745431001E-17</v>
      </c>
      <c r="DR126" s="249">
        <v>69</v>
      </c>
      <c r="DS126" s="252">
        <v>1</v>
      </c>
      <c r="DU126" s="176">
        <v>122</v>
      </c>
      <c r="DV126" s="174" t="str">
        <f t="shared" si="104"/>
        <v>1.2D + Di (180 deg</v>
      </c>
      <c r="DW126" s="174">
        <v>1</v>
      </c>
      <c r="DX126" s="174" t="s">
        <v>170</v>
      </c>
      <c r="DY126" s="174"/>
      <c r="DZ126" s="174">
        <v>65</v>
      </c>
      <c r="EA126" s="174">
        <v>1.2</v>
      </c>
      <c r="EB126" s="174">
        <v>91</v>
      </c>
      <c r="EC126" s="174">
        <v>1.5</v>
      </c>
      <c r="ED126" s="174"/>
      <c r="EE126" s="174"/>
      <c r="EF126" s="174"/>
      <c r="EG126" s="174"/>
      <c r="EH126" s="174"/>
      <c r="EI126" s="174"/>
      <c r="EK126" s="2" t="s">
        <v>533</v>
      </c>
      <c r="EL126" s="2">
        <v>180</v>
      </c>
      <c r="EN126" s="176">
        <v>122</v>
      </c>
    </row>
    <row r="127" spans="6:144" ht="18" customHeight="1" x14ac:dyDescent="0.2">
      <c r="M127" s="176">
        <f t="shared" si="83"/>
        <v>123</v>
      </c>
      <c r="N127" s="170" t="str">
        <f t="shared" si="109"/>
        <v>0.9D - 1.0Ev + 1.0Eh  | 120 deg</v>
      </c>
      <c r="O127" s="170" t="b">
        <v>1</v>
      </c>
      <c r="P127" s="170" t="str">
        <f t="shared" si="110"/>
        <v>Y</v>
      </c>
      <c r="Q127" s="170" t="str">
        <f t="shared" si="111"/>
        <v/>
      </c>
      <c r="R127" s="170">
        <f t="shared" si="96"/>
        <v>65</v>
      </c>
      <c r="S127" s="170">
        <f t="shared" si="97"/>
        <v>0.9</v>
      </c>
      <c r="T127" s="170">
        <f t="shared" si="98"/>
        <v>67</v>
      </c>
      <c r="U127" s="170">
        <f t="shared" si="99"/>
        <v>-1</v>
      </c>
      <c r="V127" s="170">
        <f t="shared" si="100"/>
        <v>75</v>
      </c>
      <c r="W127" s="170">
        <f t="shared" si="101"/>
        <v>-1</v>
      </c>
      <c r="X127" s="170">
        <f t="shared" si="102"/>
        <v>68</v>
      </c>
      <c r="Y127" s="170">
        <f t="shared" si="103"/>
        <v>-0.49999999999999978</v>
      </c>
      <c r="Z127" s="170">
        <f t="shared" si="107"/>
        <v>69</v>
      </c>
      <c r="AA127" s="170">
        <f t="shared" si="108"/>
        <v>0.86602540378443871</v>
      </c>
      <c r="AC127" s="176">
        <v>123</v>
      </c>
      <c r="AD127" s="170" t="s">
        <v>1506</v>
      </c>
      <c r="AE127" s="170" t="b">
        <v>1</v>
      </c>
      <c r="AF127" s="170" t="s">
        <v>170</v>
      </c>
      <c r="AG127" s="170"/>
      <c r="AH127" s="170">
        <v>65</v>
      </c>
      <c r="AI127" s="170">
        <v>0.9</v>
      </c>
      <c r="AJ127" s="170">
        <v>67</v>
      </c>
      <c r="AK127" s="170">
        <v>-1</v>
      </c>
      <c r="AL127" s="170">
        <v>75</v>
      </c>
      <c r="AM127" s="170">
        <v>-1</v>
      </c>
      <c r="AN127" s="170">
        <v>68</v>
      </c>
      <c r="AO127" s="180">
        <v>-0.49999999999999978</v>
      </c>
      <c r="AP127" s="170">
        <v>69</v>
      </c>
      <c r="AQ127" s="180">
        <v>0.86602540378443871</v>
      </c>
      <c r="BI127" s="176">
        <v>123</v>
      </c>
      <c r="BJ127" s="170" t="s">
        <v>1506</v>
      </c>
      <c r="BK127" s="170" t="b">
        <v>1</v>
      </c>
      <c r="BL127" s="170" t="s">
        <v>170</v>
      </c>
      <c r="BM127" s="170"/>
      <c r="BN127" s="170">
        <v>65</v>
      </c>
      <c r="BO127" s="170">
        <v>0.9</v>
      </c>
      <c r="BP127" s="170">
        <v>67</v>
      </c>
      <c r="BQ127" s="170">
        <v>-1</v>
      </c>
      <c r="BR127" s="170">
        <v>75</v>
      </c>
      <c r="BS127" s="170">
        <v>-1</v>
      </c>
      <c r="BT127" s="170">
        <v>68</v>
      </c>
      <c r="BU127" s="180">
        <v>-0.49999999999999978</v>
      </c>
      <c r="BV127" s="170">
        <v>69</v>
      </c>
      <c r="BW127" s="180">
        <v>0.86602540378443871</v>
      </c>
      <c r="BY127" s="176">
        <v>123</v>
      </c>
      <c r="BZ127" s="246" t="s">
        <v>1507</v>
      </c>
      <c r="CA127" s="246" t="b">
        <v>1</v>
      </c>
      <c r="CB127" s="246" t="s">
        <v>170</v>
      </c>
      <c r="CC127" s="246"/>
      <c r="CD127" s="246">
        <v>65</v>
      </c>
      <c r="CE127" s="246">
        <v>0.6</v>
      </c>
      <c r="CF127" s="246">
        <v>67</v>
      </c>
      <c r="CG127" s="246">
        <v>-0.7</v>
      </c>
      <c r="CH127" s="246">
        <v>75</v>
      </c>
      <c r="CI127" s="246">
        <v>0.7</v>
      </c>
      <c r="CJ127" s="246">
        <v>68</v>
      </c>
      <c r="CK127" s="251">
        <v>-0.49999999999999978</v>
      </c>
      <c r="CL127" s="246">
        <v>69</v>
      </c>
      <c r="CM127" s="251">
        <v>0.86602540378443871</v>
      </c>
      <c r="CO127" s="176">
        <v>123</v>
      </c>
      <c r="CP127" s="246" t="s">
        <v>1507</v>
      </c>
      <c r="CQ127" s="246" t="b">
        <v>1</v>
      </c>
      <c r="CR127" s="246" t="s">
        <v>170</v>
      </c>
      <c r="CS127" s="246"/>
      <c r="CT127" s="246">
        <v>65</v>
      </c>
      <c r="CU127" s="246">
        <v>0.6</v>
      </c>
      <c r="CV127" s="246">
        <v>67</v>
      </c>
      <c r="CW127" s="246">
        <v>-0.7</v>
      </c>
      <c r="CX127" s="246">
        <v>75</v>
      </c>
      <c r="CY127" s="246">
        <v>0.7</v>
      </c>
      <c r="CZ127" s="246">
        <v>68</v>
      </c>
      <c r="DA127" s="251">
        <v>-0.49999999999999978</v>
      </c>
      <c r="DB127" s="246">
        <v>69</v>
      </c>
      <c r="DC127" s="251">
        <v>0.86602540378443871</v>
      </c>
      <c r="DE127" s="176">
        <v>123</v>
      </c>
      <c r="DF127" s="246" t="s">
        <v>1508</v>
      </c>
      <c r="DG127" s="246" t="b">
        <v>1</v>
      </c>
      <c r="DH127" s="246" t="s">
        <v>170</v>
      </c>
      <c r="DI127" s="246"/>
      <c r="DJ127" s="246">
        <v>65</v>
      </c>
      <c r="DK127" s="246">
        <v>0.6</v>
      </c>
      <c r="DL127" s="246">
        <v>67</v>
      </c>
      <c r="DM127" s="256">
        <f t="shared" si="112"/>
        <v>-0.7142857142857143</v>
      </c>
      <c r="DN127" s="246">
        <v>75</v>
      </c>
      <c r="DO127" s="256">
        <f t="shared" si="106"/>
        <v>0.7142857142857143</v>
      </c>
      <c r="DP127" s="246">
        <v>68</v>
      </c>
      <c r="DQ127" s="251">
        <v>-0.49999999999999978</v>
      </c>
      <c r="DR127" s="246">
        <v>69</v>
      </c>
      <c r="DS127" s="251">
        <v>0.86602540378443871</v>
      </c>
      <c r="DU127" s="176">
        <v>123</v>
      </c>
      <c r="DV127" s="170" t="str">
        <f t="shared" si="104"/>
        <v>1.2D + Di (210 deg</v>
      </c>
      <c r="DW127" s="170">
        <v>1</v>
      </c>
      <c r="DX127" s="170" t="s">
        <v>170</v>
      </c>
      <c r="DY127" s="170"/>
      <c r="DZ127" s="170">
        <v>65</v>
      </c>
      <c r="EA127" s="170">
        <v>1.2</v>
      </c>
      <c r="EB127" s="170">
        <v>91</v>
      </c>
      <c r="EC127" s="170">
        <v>1.5</v>
      </c>
      <c r="ED127" s="170"/>
      <c r="EE127" s="170"/>
      <c r="EF127" s="170"/>
      <c r="EG127" s="170"/>
      <c r="EH127" s="170"/>
      <c r="EI127" s="170"/>
      <c r="EK127" s="2" t="s">
        <v>533</v>
      </c>
      <c r="EL127" s="2">
        <v>210</v>
      </c>
      <c r="EN127" s="176">
        <v>123</v>
      </c>
    </row>
    <row r="128" spans="6:144" ht="18" customHeight="1" x14ac:dyDescent="0.2">
      <c r="M128" s="176">
        <f t="shared" si="83"/>
        <v>124</v>
      </c>
      <c r="N128" s="174" t="str">
        <f t="shared" si="109"/>
        <v>0.9D - 1.0Ev + 1.0Eh  | 135 deg</v>
      </c>
      <c r="O128" s="174" t="b">
        <v>1</v>
      </c>
      <c r="P128" s="174" t="str">
        <f t="shared" si="110"/>
        <v>Y</v>
      </c>
      <c r="Q128" s="174" t="str">
        <f t="shared" si="111"/>
        <v/>
      </c>
      <c r="R128" s="174">
        <f t="shared" si="96"/>
        <v>65</v>
      </c>
      <c r="S128" s="174">
        <f t="shared" si="97"/>
        <v>0.9</v>
      </c>
      <c r="T128" s="174">
        <f t="shared" si="98"/>
        <v>67</v>
      </c>
      <c r="U128" s="174">
        <f t="shared" si="99"/>
        <v>-1</v>
      </c>
      <c r="V128" s="174">
        <f t="shared" si="100"/>
        <v>76</v>
      </c>
      <c r="W128" s="174">
        <f t="shared" si="101"/>
        <v>-1</v>
      </c>
      <c r="X128" s="174">
        <f t="shared" si="102"/>
        <v>68</v>
      </c>
      <c r="Y128" s="174">
        <f t="shared" si="103"/>
        <v>-0.70710678118654746</v>
      </c>
      <c r="Z128" s="174">
        <f t="shared" si="107"/>
        <v>69</v>
      </c>
      <c r="AA128" s="174">
        <f t="shared" si="108"/>
        <v>0.70710678118654757</v>
      </c>
      <c r="AC128" s="176">
        <v>124</v>
      </c>
      <c r="AD128" s="174" t="s">
        <v>1509</v>
      </c>
      <c r="AE128" s="174" t="b">
        <v>1</v>
      </c>
      <c r="AF128" s="174" t="s">
        <v>170</v>
      </c>
      <c r="AG128" s="174"/>
      <c r="AH128" s="174">
        <v>65</v>
      </c>
      <c r="AI128" s="174">
        <v>0.9</v>
      </c>
      <c r="AJ128" s="174">
        <v>67</v>
      </c>
      <c r="AK128" s="174">
        <v>-1</v>
      </c>
      <c r="AL128" s="174">
        <v>76</v>
      </c>
      <c r="AM128" s="174">
        <v>-1</v>
      </c>
      <c r="AN128" s="174">
        <v>68</v>
      </c>
      <c r="AO128" s="181">
        <v>-0.70710678118654746</v>
      </c>
      <c r="AP128" s="174">
        <v>69</v>
      </c>
      <c r="AQ128" s="181">
        <v>0.70710678118654757</v>
      </c>
      <c r="BI128" s="176">
        <v>124</v>
      </c>
      <c r="BJ128" s="174" t="s">
        <v>1509</v>
      </c>
      <c r="BK128" s="174" t="b">
        <v>1</v>
      </c>
      <c r="BL128" s="174" t="s">
        <v>170</v>
      </c>
      <c r="BM128" s="174"/>
      <c r="BN128" s="174">
        <v>65</v>
      </c>
      <c r="BO128" s="174">
        <v>0.9</v>
      </c>
      <c r="BP128" s="174">
        <v>67</v>
      </c>
      <c r="BQ128" s="174">
        <v>-1</v>
      </c>
      <c r="BR128" s="174">
        <v>76</v>
      </c>
      <c r="BS128" s="174">
        <v>-1</v>
      </c>
      <c r="BT128" s="174">
        <v>68</v>
      </c>
      <c r="BU128" s="181">
        <v>-0.70710678118654746</v>
      </c>
      <c r="BV128" s="174">
        <v>69</v>
      </c>
      <c r="BW128" s="181">
        <v>0.70710678118654757</v>
      </c>
      <c r="BY128" s="176">
        <v>124</v>
      </c>
      <c r="BZ128" s="249" t="s">
        <v>1510</v>
      </c>
      <c r="CA128" s="249" t="b">
        <v>1</v>
      </c>
      <c r="CB128" s="249" t="s">
        <v>170</v>
      </c>
      <c r="CC128" s="249"/>
      <c r="CD128" s="249">
        <v>65</v>
      </c>
      <c r="CE128" s="249">
        <v>0.6</v>
      </c>
      <c r="CF128" s="249">
        <v>67</v>
      </c>
      <c r="CG128" s="249">
        <v>-0.7</v>
      </c>
      <c r="CH128" s="249">
        <v>76</v>
      </c>
      <c r="CI128" s="249">
        <v>0.7</v>
      </c>
      <c r="CJ128" s="249">
        <v>68</v>
      </c>
      <c r="CK128" s="252">
        <v>-0.70710678118654746</v>
      </c>
      <c r="CL128" s="249">
        <v>69</v>
      </c>
      <c r="CM128" s="252">
        <v>0.70710678118654757</v>
      </c>
      <c r="CO128" s="176">
        <v>124</v>
      </c>
      <c r="CP128" s="249" t="s">
        <v>1510</v>
      </c>
      <c r="CQ128" s="249" t="b">
        <v>1</v>
      </c>
      <c r="CR128" s="249" t="s">
        <v>170</v>
      </c>
      <c r="CS128" s="249"/>
      <c r="CT128" s="249">
        <v>65</v>
      </c>
      <c r="CU128" s="249">
        <v>0.6</v>
      </c>
      <c r="CV128" s="249">
        <v>67</v>
      </c>
      <c r="CW128" s="249">
        <v>-0.7</v>
      </c>
      <c r="CX128" s="249">
        <v>76</v>
      </c>
      <c r="CY128" s="249">
        <v>0.7</v>
      </c>
      <c r="CZ128" s="249">
        <v>68</v>
      </c>
      <c r="DA128" s="252">
        <v>-0.70710678118654746</v>
      </c>
      <c r="DB128" s="249">
        <v>69</v>
      </c>
      <c r="DC128" s="252">
        <v>0.70710678118654757</v>
      </c>
      <c r="DE128" s="176">
        <v>124</v>
      </c>
      <c r="DF128" s="249" t="s">
        <v>1511</v>
      </c>
      <c r="DG128" s="249" t="b">
        <v>1</v>
      </c>
      <c r="DH128" s="249" t="s">
        <v>170</v>
      </c>
      <c r="DI128" s="249"/>
      <c r="DJ128" s="249">
        <v>65</v>
      </c>
      <c r="DK128" s="249">
        <v>0.6</v>
      </c>
      <c r="DL128" s="249">
        <v>67</v>
      </c>
      <c r="DM128" s="257">
        <f t="shared" si="112"/>
        <v>-0.7142857142857143</v>
      </c>
      <c r="DN128" s="249">
        <v>76</v>
      </c>
      <c r="DO128" s="257">
        <f t="shared" si="106"/>
        <v>0.7142857142857143</v>
      </c>
      <c r="DP128" s="249">
        <v>68</v>
      </c>
      <c r="DQ128" s="252">
        <v>-0.70710678118654746</v>
      </c>
      <c r="DR128" s="249">
        <v>69</v>
      </c>
      <c r="DS128" s="252">
        <v>0.70710678118654757</v>
      </c>
      <c r="DU128" s="176">
        <v>124</v>
      </c>
      <c r="DV128" s="174" t="str">
        <f t="shared" si="104"/>
        <v>1.2D + Di (225 deg</v>
      </c>
      <c r="DW128" s="174">
        <v>1</v>
      </c>
      <c r="DX128" s="174" t="s">
        <v>170</v>
      </c>
      <c r="DY128" s="174"/>
      <c r="DZ128" s="174">
        <v>65</v>
      </c>
      <c r="EA128" s="174">
        <v>1.2</v>
      </c>
      <c r="EB128" s="174">
        <v>91</v>
      </c>
      <c r="EC128" s="174">
        <v>1.5</v>
      </c>
      <c r="ED128" s="174"/>
      <c r="EE128" s="174"/>
      <c r="EF128" s="174"/>
      <c r="EG128" s="174"/>
      <c r="EH128" s="174"/>
      <c r="EI128" s="174"/>
      <c r="EK128" s="2" t="s">
        <v>533</v>
      </c>
      <c r="EL128" s="2">
        <v>225</v>
      </c>
      <c r="EN128" s="176">
        <v>124</v>
      </c>
    </row>
    <row r="129" spans="13:144" ht="18" customHeight="1" x14ac:dyDescent="0.2">
      <c r="M129" s="176">
        <f t="shared" si="83"/>
        <v>125</v>
      </c>
      <c r="N129" s="170" t="str">
        <f t="shared" si="109"/>
        <v>0.9D - 1.0Ev + 1.0Eh  | 150 deg</v>
      </c>
      <c r="O129" s="170" t="b">
        <v>1</v>
      </c>
      <c r="P129" s="170" t="str">
        <f t="shared" si="110"/>
        <v>Y</v>
      </c>
      <c r="Q129" s="170" t="str">
        <f t="shared" si="111"/>
        <v/>
      </c>
      <c r="R129" s="170">
        <f t="shared" si="96"/>
        <v>65</v>
      </c>
      <c r="S129" s="170">
        <f t="shared" si="97"/>
        <v>0.9</v>
      </c>
      <c r="T129" s="170">
        <f t="shared" si="98"/>
        <v>67</v>
      </c>
      <c r="U129" s="170">
        <f t="shared" si="99"/>
        <v>-1</v>
      </c>
      <c r="V129" s="170">
        <f t="shared" si="100"/>
        <v>77</v>
      </c>
      <c r="W129" s="170">
        <f t="shared" si="101"/>
        <v>-1</v>
      </c>
      <c r="X129" s="170">
        <f t="shared" si="102"/>
        <v>68</v>
      </c>
      <c r="Y129" s="170">
        <f t="shared" si="103"/>
        <v>-0.86602540378443871</v>
      </c>
      <c r="Z129" s="170">
        <f t="shared" si="107"/>
        <v>69</v>
      </c>
      <c r="AA129" s="170">
        <f t="shared" si="108"/>
        <v>0.49999999999999994</v>
      </c>
      <c r="AC129" s="176">
        <v>125</v>
      </c>
      <c r="AD129" s="170" t="s">
        <v>1512</v>
      </c>
      <c r="AE129" s="170" t="b">
        <v>1</v>
      </c>
      <c r="AF129" s="170" t="s">
        <v>170</v>
      </c>
      <c r="AG129" s="170"/>
      <c r="AH129" s="170">
        <v>65</v>
      </c>
      <c r="AI129" s="170">
        <v>0.9</v>
      </c>
      <c r="AJ129" s="170">
        <v>67</v>
      </c>
      <c r="AK129" s="170">
        <v>-1</v>
      </c>
      <c r="AL129" s="170">
        <v>77</v>
      </c>
      <c r="AM129" s="170">
        <v>-1</v>
      </c>
      <c r="AN129" s="170">
        <v>68</v>
      </c>
      <c r="AO129" s="180">
        <v>-0.86602540378443871</v>
      </c>
      <c r="AP129" s="170">
        <v>69</v>
      </c>
      <c r="AQ129" s="180">
        <v>0.49999999999999994</v>
      </c>
      <c r="BI129" s="176">
        <v>125</v>
      </c>
      <c r="BJ129" s="170" t="s">
        <v>1512</v>
      </c>
      <c r="BK129" s="170" t="b">
        <v>1</v>
      </c>
      <c r="BL129" s="170" t="s">
        <v>170</v>
      </c>
      <c r="BM129" s="170"/>
      <c r="BN129" s="170">
        <v>65</v>
      </c>
      <c r="BO129" s="170">
        <v>0.9</v>
      </c>
      <c r="BP129" s="170">
        <v>67</v>
      </c>
      <c r="BQ129" s="170">
        <v>-1</v>
      </c>
      <c r="BR129" s="170">
        <v>77</v>
      </c>
      <c r="BS129" s="170">
        <v>-1</v>
      </c>
      <c r="BT129" s="170">
        <v>68</v>
      </c>
      <c r="BU129" s="180">
        <v>-0.86602540378443871</v>
      </c>
      <c r="BV129" s="170">
        <v>69</v>
      </c>
      <c r="BW129" s="180">
        <v>0.49999999999999994</v>
      </c>
      <c r="BY129" s="176">
        <v>125</v>
      </c>
      <c r="BZ129" s="246" t="s">
        <v>1513</v>
      </c>
      <c r="CA129" s="246" t="b">
        <v>1</v>
      </c>
      <c r="CB129" s="246" t="s">
        <v>170</v>
      </c>
      <c r="CC129" s="246"/>
      <c r="CD129" s="246">
        <v>65</v>
      </c>
      <c r="CE129" s="246">
        <v>0.6</v>
      </c>
      <c r="CF129" s="246">
        <v>67</v>
      </c>
      <c r="CG129" s="246">
        <v>-0.7</v>
      </c>
      <c r="CH129" s="246">
        <v>77</v>
      </c>
      <c r="CI129" s="246">
        <v>0.7</v>
      </c>
      <c r="CJ129" s="246">
        <v>68</v>
      </c>
      <c r="CK129" s="251">
        <v>-0.86602540378443871</v>
      </c>
      <c r="CL129" s="246">
        <v>69</v>
      </c>
      <c r="CM129" s="251">
        <v>0.49999999999999994</v>
      </c>
      <c r="CO129" s="176">
        <v>125</v>
      </c>
      <c r="CP129" s="246" t="s">
        <v>1513</v>
      </c>
      <c r="CQ129" s="246" t="b">
        <v>1</v>
      </c>
      <c r="CR129" s="246" t="s">
        <v>170</v>
      </c>
      <c r="CS129" s="246"/>
      <c r="CT129" s="246">
        <v>65</v>
      </c>
      <c r="CU129" s="246">
        <v>0.6</v>
      </c>
      <c r="CV129" s="246">
        <v>67</v>
      </c>
      <c r="CW129" s="246">
        <v>-0.7</v>
      </c>
      <c r="CX129" s="246">
        <v>77</v>
      </c>
      <c r="CY129" s="246">
        <v>0.7</v>
      </c>
      <c r="CZ129" s="246">
        <v>68</v>
      </c>
      <c r="DA129" s="251">
        <v>-0.86602540378443871</v>
      </c>
      <c r="DB129" s="246">
        <v>69</v>
      </c>
      <c r="DC129" s="251">
        <v>0.49999999999999994</v>
      </c>
      <c r="DE129" s="176">
        <v>125</v>
      </c>
      <c r="DF129" s="246" t="s">
        <v>1514</v>
      </c>
      <c r="DG129" s="246" t="b">
        <v>1</v>
      </c>
      <c r="DH129" s="246" t="s">
        <v>170</v>
      </c>
      <c r="DI129" s="246"/>
      <c r="DJ129" s="246">
        <v>65</v>
      </c>
      <c r="DK129" s="246">
        <v>0.6</v>
      </c>
      <c r="DL129" s="246">
        <v>67</v>
      </c>
      <c r="DM129" s="256">
        <f t="shared" si="112"/>
        <v>-0.7142857142857143</v>
      </c>
      <c r="DN129" s="246">
        <v>77</v>
      </c>
      <c r="DO129" s="256">
        <f t="shared" si="106"/>
        <v>0.7142857142857143</v>
      </c>
      <c r="DP129" s="246">
        <v>68</v>
      </c>
      <c r="DQ129" s="251">
        <v>-0.86602540378443871</v>
      </c>
      <c r="DR129" s="246">
        <v>69</v>
      </c>
      <c r="DS129" s="251">
        <v>0.49999999999999994</v>
      </c>
      <c r="DU129" s="176">
        <v>125</v>
      </c>
      <c r="DV129" s="170" t="str">
        <f t="shared" si="104"/>
        <v>1.2D + Di (240 deg</v>
      </c>
      <c r="DW129" s="170">
        <v>1</v>
      </c>
      <c r="DX129" s="170" t="s">
        <v>170</v>
      </c>
      <c r="DY129" s="170"/>
      <c r="DZ129" s="170">
        <v>65</v>
      </c>
      <c r="EA129" s="170">
        <v>1.2</v>
      </c>
      <c r="EB129" s="170">
        <v>91</v>
      </c>
      <c r="EC129" s="170">
        <v>1.5</v>
      </c>
      <c r="ED129" s="170"/>
      <c r="EE129" s="170"/>
      <c r="EF129" s="170"/>
      <c r="EG129" s="170"/>
      <c r="EH129" s="170"/>
      <c r="EI129" s="170"/>
      <c r="EK129" s="2" t="s">
        <v>533</v>
      </c>
      <c r="EL129" s="2">
        <v>240</v>
      </c>
      <c r="EN129" s="176">
        <v>125</v>
      </c>
    </row>
    <row r="130" spans="13:144" ht="18" customHeight="1" x14ac:dyDescent="0.2">
      <c r="M130" s="176">
        <f t="shared" si="83"/>
        <v>126</v>
      </c>
      <c r="N130" s="174" t="str">
        <f t="shared" si="109"/>
        <v>0.9D - 1.0Ev + 1.0Eh  | 180 deg</v>
      </c>
      <c r="O130" s="174" t="b">
        <v>1</v>
      </c>
      <c r="P130" s="174" t="str">
        <f t="shared" si="110"/>
        <v>Y</v>
      </c>
      <c r="Q130" s="174" t="str">
        <f t="shared" si="111"/>
        <v/>
      </c>
      <c r="R130" s="174">
        <f t="shared" si="96"/>
        <v>65</v>
      </c>
      <c r="S130" s="174">
        <f t="shared" si="97"/>
        <v>0.9</v>
      </c>
      <c r="T130" s="174">
        <f t="shared" si="98"/>
        <v>67</v>
      </c>
      <c r="U130" s="174">
        <f t="shared" si="99"/>
        <v>-1</v>
      </c>
      <c r="V130" s="174">
        <f t="shared" si="100"/>
        <v>78</v>
      </c>
      <c r="W130" s="174">
        <f t="shared" si="101"/>
        <v>-1</v>
      </c>
      <c r="X130" s="174">
        <f t="shared" si="102"/>
        <v>68</v>
      </c>
      <c r="Y130" s="174">
        <f t="shared" si="103"/>
        <v>-1</v>
      </c>
      <c r="Z130" s="174">
        <f t="shared" si="107"/>
        <v>69</v>
      </c>
      <c r="AA130" s="174">
        <f t="shared" si="108"/>
        <v>1.22514845490862E-16</v>
      </c>
      <c r="AC130" s="176">
        <v>126</v>
      </c>
      <c r="AD130" s="174" t="s">
        <v>1515</v>
      </c>
      <c r="AE130" s="174" t="b">
        <v>1</v>
      </c>
      <c r="AF130" s="174" t="s">
        <v>170</v>
      </c>
      <c r="AG130" s="174"/>
      <c r="AH130" s="174">
        <v>65</v>
      </c>
      <c r="AI130" s="174">
        <v>0.9</v>
      </c>
      <c r="AJ130" s="174">
        <v>67</v>
      </c>
      <c r="AK130" s="174">
        <v>-1</v>
      </c>
      <c r="AL130" s="174">
        <v>78</v>
      </c>
      <c r="AM130" s="174">
        <v>-1</v>
      </c>
      <c r="AN130" s="174">
        <v>68</v>
      </c>
      <c r="AO130" s="181">
        <v>-1</v>
      </c>
      <c r="AP130" s="174">
        <v>69</v>
      </c>
      <c r="AQ130" s="181">
        <v>1.22514845490862E-16</v>
      </c>
      <c r="BI130" s="176">
        <v>126</v>
      </c>
      <c r="BJ130" s="174" t="s">
        <v>1515</v>
      </c>
      <c r="BK130" s="174" t="b">
        <v>1</v>
      </c>
      <c r="BL130" s="174" t="s">
        <v>170</v>
      </c>
      <c r="BM130" s="174"/>
      <c r="BN130" s="174">
        <v>65</v>
      </c>
      <c r="BO130" s="174">
        <v>0.9</v>
      </c>
      <c r="BP130" s="174">
        <v>67</v>
      </c>
      <c r="BQ130" s="174">
        <v>-1</v>
      </c>
      <c r="BR130" s="174">
        <v>78</v>
      </c>
      <c r="BS130" s="174">
        <v>-1</v>
      </c>
      <c r="BT130" s="174">
        <v>68</v>
      </c>
      <c r="BU130" s="181">
        <v>-1</v>
      </c>
      <c r="BV130" s="174">
        <v>69</v>
      </c>
      <c r="BW130" s="181">
        <v>1.22514845490862E-16</v>
      </c>
      <c r="BY130" s="176">
        <v>126</v>
      </c>
      <c r="BZ130" s="249" t="s">
        <v>1516</v>
      </c>
      <c r="CA130" s="249" t="b">
        <v>1</v>
      </c>
      <c r="CB130" s="249" t="s">
        <v>170</v>
      </c>
      <c r="CC130" s="249"/>
      <c r="CD130" s="249">
        <v>65</v>
      </c>
      <c r="CE130" s="249">
        <v>0.6</v>
      </c>
      <c r="CF130" s="249">
        <v>67</v>
      </c>
      <c r="CG130" s="249">
        <v>-0.7</v>
      </c>
      <c r="CH130" s="249">
        <v>78</v>
      </c>
      <c r="CI130" s="249">
        <v>0.7</v>
      </c>
      <c r="CJ130" s="249">
        <v>68</v>
      </c>
      <c r="CK130" s="252">
        <v>-1</v>
      </c>
      <c r="CL130" s="249">
        <v>69</v>
      </c>
      <c r="CM130" s="252">
        <v>1.22514845490862E-16</v>
      </c>
      <c r="CO130" s="176">
        <v>126</v>
      </c>
      <c r="CP130" s="249" t="s">
        <v>1516</v>
      </c>
      <c r="CQ130" s="249" t="b">
        <v>1</v>
      </c>
      <c r="CR130" s="249" t="s">
        <v>170</v>
      </c>
      <c r="CS130" s="249"/>
      <c r="CT130" s="249">
        <v>65</v>
      </c>
      <c r="CU130" s="249">
        <v>0.6</v>
      </c>
      <c r="CV130" s="249">
        <v>67</v>
      </c>
      <c r="CW130" s="249">
        <v>-0.7</v>
      </c>
      <c r="CX130" s="249">
        <v>78</v>
      </c>
      <c r="CY130" s="249">
        <v>0.7</v>
      </c>
      <c r="CZ130" s="249">
        <v>68</v>
      </c>
      <c r="DA130" s="252">
        <v>-1</v>
      </c>
      <c r="DB130" s="249">
        <v>69</v>
      </c>
      <c r="DC130" s="252">
        <v>1.22514845490862E-16</v>
      </c>
      <c r="DE130" s="176">
        <v>126</v>
      </c>
      <c r="DF130" s="249" t="s">
        <v>1517</v>
      </c>
      <c r="DG130" s="249" t="b">
        <v>1</v>
      </c>
      <c r="DH130" s="249" t="s">
        <v>170</v>
      </c>
      <c r="DI130" s="249"/>
      <c r="DJ130" s="249">
        <v>65</v>
      </c>
      <c r="DK130" s="249">
        <v>0.6</v>
      </c>
      <c r="DL130" s="249">
        <v>67</v>
      </c>
      <c r="DM130" s="257">
        <f t="shared" si="112"/>
        <v>-0.7142857142857143</v>
      </c>
      <c r="DN130" s="249">
        <v>78</v>
      </c>
      <c r="DO130" s="257">
        <f t="shared" si="106"/>
        <v>0.7142857142857143</v>
      </c>
      <c r="DP130" s="249">
        <v>68</v>
      </c>
      <c r="DQ130" s="252">
        <v>-1</v>
      </c>
      <c r="DR130" s="249">
        <v>69</v>
      </c>
      <c r="DS130" s="252">
        <v>1.22514845490862E-16</v>
      </c>
      <c r="DU130" s="176">
        <v>126</v>
      </c>
      <c r="DV130" s="174" t="str">
        <f t="shared" si="104"/>
        <v>1.2D + Di (270 deg</v>
      </c>
      <c r="DW130" s="174">
        <v>1</v>
      </c>
      <c r="DX130" s="174" t="s">
        <v>170</v>
      </c>
      <c r="DY130" s="174"/>
      <c r="DZ130" s="174">
        <v>65</v>
      </c>
      <c r="EA130" s="174">
        <v>1.2</v>
      </c>
      <c r="EB130" s="174">
        <v>91</v>
      </c>
      <c r="EC130" s="174">
        <v>1.5</v>
      </c>
      <c r="ED130" s="174"/>
      <c r="EE130" s="174"/>
      <c r="EF130" s="174"/>
      <c r="EG130" s="174"/>
      <c r="EH130" s="174"/>
      <c r="EI130" s="174"/>
      <c r="EK130" s="2" t="s">
        <v>533</v>
      </c>
      <c r="EL130" s="2">
        <v>270</v>
      </c>
      <c r="EN130" s="176">
        <v>126</v>
      </c>
    </row>
    <row r="131" spans="13:144" ht="18" customHeight="1" x14ac:dyDescent="0.2">
      <c r="M131" s="176">
        <f t="shared" si="83"/>
        <v>127</v>
      </c>
      <c r="N131" s="170" t="str">
        <f t="shared" si="109"/>
        <v>0.9D - 1.0Ev + 1.0Eh  | 210 deg</v>
      </c>
      <c r="O131" s="170" t="b">
        <v>1</v>
      </c>
      <c r="P131" s="170" t="str">
        <f t="shared" si="110"/>
        <v>Y</v>
      </c>
      <c r="Q131" s="170" t="str">
        <f t="shared" si="111"/>
        <v/>
      </c>
      <c r="R131" s="170">
        <f t="shared" si="96"/>
        <v>65</v>
      </c>
      <c r="S131" s="170">
        <f t="shared" si="97"/>
        <v>0.9</v>
      </c>
      <c r="T131" s="170">
        <f t="shared" si="98"/>
        <v>67</v>
      </c>
      <c r="U131" s="170">
        <f t="shared" si="99"/>
        <v>-1</v>
      </c>
      <c r="V131" s="170">
        <f t="shared" si="100"/>
        <v>79</v>
      </c>
      <c r="W131" s="170">
        <f t="shared" si="101"/>
        <v>-1</v>
      </c>
      <c r="X131" s="170">
        <f t="shared" si="102"/>
        <v>68</v>
      </c>
      <c r="Y131" s="170">
        <f t="shared" si="103"/>
        <v>-0.8660254037844386</v>
      </c>
      <c r="Z131" s="170">
        <f t="shared" si="107"/>
        <v>69</v>
      </c>
      <c r="AA131" s="170">
        <f t="shared" si="108"/>
        <v>-0.50000000000000011</v>
      </c>
      <c r="AC131" s="176">
        <v>127</v>
      </c>
      <c r="AD131" s="170" t="s">
        <v>1602</v>
      </c>
      <c r="AE131" s="170" t="b">
        <v>1</v>
      </c>
      <c r="AF131" s="170" t="s">
        <v>170</v>
      </c>
      <c r="AG131" s="170"/>
      <c r="AH131" s="170">
        <v>65</v>
      </c>
      <c r="AI131" s="170">
        <v>0.9</v>
      </c>
      <c r="AJ131" s="170">
        <v>67</v>
      </c>
      <c r="AK131" s="170">
        <v>-1</v>
      </c>
      <c r="AL131" s="170">
        <v>79</v>
      </c>
      <c r="AM131" s="170">
        <v>-1</v>
      </c>
      <c r="AN131" s="170">
        <v>68</v>
      </c>
      <c r="AO131" s="180">
        <v>-0.8660254037844386</v>
      </c>
      <c r="AP131" s="170">
        <v>69</v>
      </c>
      <c r="AQ131" s="180">
        <v>-0.50000000000000011</v>
      </c>
      <c r="BI131" s="176">
        <v>127</v>
      </c>
      <c r="BJ131" s="170" t="s">
        <v>1602</v>
      </c>
      <c r="BK131" s="170" t="b">
        <v>1</v>
      </c>
      <c r="BL131" s="170" t="s">
        <v>170</v>
      </c>
      <c r="BM131" s="170"/>
      <c r="BN131" s="170">
        <v>65</v>
      </c>
      <c r="BO131" s="170">
        <v>0.9</v>
      </c>
      <c r="BP131" s="170">
        <v>67</v>
      </c>
      <c r="BQ131" s="170">
        <v>-1</v>
      </c>
      <c r="BR131" s="170">
        <v>79</v>
      </c>
      <c r="BS131" s="170">
        <v>-1</v>
      </c>
      <c r="BT131" s="170">
        <v>68</v>
      </c>
      <c r="BU131" s="180">
        <v>-0.8660254037844386</v>
      </c>
      <c r="BV131" s="170">
        <v>69</v>
      </c>
      <c r="BW131" s="180">
        <v>-0.50000000000000011</v>
      </c>
      <c r="BY131" s="176">
        <v>127</v>
      </c>
      <c r="BZ131" s="246" t="s">
        <v>1603</v>
      </c>
      <c r="CA131" s="246" t="b">
        <v>1</v>
      </c>
      <c r="CB131" s="246" t="s">
        <v>170</v>
      </c>
      <c r="CC131" s="246"/>
      <c r="CD131" s="246">
        <v>65</v>
      </c>
      <c r="CE131" s="246">
        <v>0.6</v>
      </c>
      <c r="CF131" s="246">
        <v>67</v>
      </c>
      <c r="CG131" s="246">
        <v>-0.7</v>
      </c>
      <c r="CH131" s="246">
        <v>79</v>
      </c>
      <c r="CI131" s="246">
        <v>0.7</v>
      </c>
      <c r="CJ131" s="246">
        <v>68</v>
      </c>
      <c r="CK131" s="251">
        <v>-0.8660254037844386</v>
      </c>
      <c r="CL131" s="246">
        <v>69</v>
      </c>
      <c r="CM131" s="251">
        <v>-0.50000000000000011</v>
      </c>
      <c r="CO131" s="176">
        <v>127</v>
      </c>
      <c r="CP131" s="246" t="s">
        <v>1603</v>
      </c>
      <c r="CQ131" s="246" t="b">
        <v>1</v>
      </c>
      <c r="CR131" s="246" t="s">
        <v>170</v>
      </c>
      <c r="CS131" s="246"/>
      <c r="CT131" s="246">
        <v>65</v>
      </c>
      <c r="CU131" s="246">
        <v>0.6</v>
      </c>
      <c r="CV131" s="246">
        <v>67</v>
      </c>
      <c r="CW131" s="246">
        <v>-0.7</v>
      </c>
      <c r="CX131" s="246">
        <v>79</v>
      </c>
      <c r="CY131" s="246">
        <v>0.7</v>
      </c>
      <c r="CZ131" s="246">
        <v>68</v>
      </c>
      <c r="DA131" s="251">
        <v>-0.8660254037844386</v>
      </c>
      <c r="DB131" s="246">
        <v>69</v>
      </c>
      <c r="DC131" s="251">
        <v>-0.50000000000000011</v>
      </c>
      <c r="DE131" s="176">
        <v>127</v>
      </c>
      <c r="DF131" s="246" t="s">
        <v>1604</v>
      </c>
      <c r="DG131" s="246" t="b">
        <v>1</v>
      </c>
      <c r="DH131" s="246" t="s">
        <v>170</v>
      </c>
      <c r="DI131" s="246"/>
      <c r="DJ131" s="246">
        <v>65</v>
      </c>
      <c r="DK131" s="246">
        <v>0.6</v>
      </c>
      <c r="DL131" s="246">
        <v>67</v>
      </c>
      <c r="DM131" s="256">
        <f t="shared" si="112"/>
        <v>-0.7142857142857143</v>
      </c>
      <c r="DN131" s="246">
        <v>79</v>
      </c>
      <c r="DO131" s="256">
        <f t="shared" si="106"/>
        <v>0.7142857142857143</v>
      </c>
      <c r="DP131" s="246">
        <v>68</v>
      </c>
      <c r="DQ131" s="251">
        <v>-0.8660254037844386</v>
      </c>
      <c r="DR131" s="246">
        <v>69</v>
      </c>
      <c r="DS131" s="251">
        <v>-0.50000000000000011</v>
      </c>
      <c r="DU131" s="176">
        <v>127</v>
      </c>
      <c r="DV131" s="170" t="str">
        <f t="shared" si="104"/>
        <v>1.2D + Di (300 deg</v>
      </c>
      <c r="DW131" s="170">
        <v>1</v>
      </c>
      <c r="DX131" s="170" t="s">
        <v>170</v>
      </c>
      <c r="DY131" s="170"/>
      <c r="DZ131" s="170">
        <v>65</v>
      </c>
      <c r="EA131" s="170">
        <v>1.2</v>
      </c>
      <c r="EB131" s="170">
        <v>91</v>
      </c>
      <c r="EC131" s="170">
        <v>1.5</v>
      </c>
      <c r="ED131" s="170"/>
      <c r="EE131" s="170"/>
      <c r="EF131" s="170"/>
      <c r="EG131" s="170"/>
      <c r="EH131" s="170"/>
      <c r="EI131" s="170"/>
      <c r="EK131" s="2" t="s">
        <v>533</v>
      </c>
      <c r="EL131" s="2">
        <v>300</v>
      </c>
      <c r="EN131" s="176">
        <v>127</v>
      </c>
    </row>
    <row r="132" spans="13:144" ht="18" customHeight="1" x14ac:dyDescent="0.2">
      <c r="M132" s="176">
        <f t="shared" si="83"/>
        <v>128</v>
      </c>
      <c r="N132" s="174" t="str">
        <f t="shared" si="109"/>
        <v>0.9D - 1.0Ev + 1.0Eh  | 225 deg</v>
      </c>
      <c r="O132" s="174" t="b">
        <v>1</v>
      </c>
      <c r="P132" s="174" t="str">
        <f t="shared" si="110"/>
        <v>Y</v>
      </c>
      <c r="Q132" s="174" t="str">
        <f t="shared" si="111"/>
        <v/>
      </c>
      <c r="R132" s="174">
        <f t="shared" si="96"/>
        <v>65</v>
      </c>
      <c r="S132" s="174">
        <f t="shared" si="97"/>
        <v>0.9</v>
      </c>
      <c r="T132" s="174">
        <f t="shared" si="98"/>
        <v>67</v>
      </c>
      <c r="U132" s="174">
        <f t="shared" si="99"/>
        <v>-1</v>
      </c>
      <c r="V132" s="174">
        <f t="shared" si="100"/>
        <v>80</v>
      </c>
      <c r="W132" s="174">
        <f t="shared" si="101"/>
        <v>-1</v>
      </c>
      <c r="X132" s="174">
        <f t="shared" si="102"/>
        <v>68</v>
      </c>
      <c r="Y132" s="174">
        <f t="shared" si="103"/>
        <v>-0.70710678118654768</v>
      </c>
      <c r="Z132" s="174">
        <f t="shared" si="107"/>
        <v>69</v>
      </c>
      <c r="AA132" s="174">
        <f t="shared" si="108"/>
        <v>-0.70710678118654746</v>
      </c>
      <c r="AC132" s="176">
        <v>128</v>
      </c>
      <c r="AD132" s="174" t="s">
        <v>1605</v>
      </c>
      <c r="AE132" s="174" t="b">
        <v>1</v>
      </c>
      <c r="AF132" s="174" t="s">
        <v>170</v>
      </c>
      <c r="AG132" s="174"/>
      <c r="AH132" s="174">
        <v>65</v>
      </c>
      <c r="AI132" s="174">
        <v>0.9</v>
      </c>
      <c r="AJ132" s="174">
        <v>67</v>
      </c>
      <c r="AK132" s="174">
        <v>-1</v>
      </c>
      <c r="AL132" s="174">
        <v>80</v>
      </c>
      <c r="AM132" s="174">
        <v>-1</v>
      </c>
      <c r="AN132" s="174">
        <v>68</v>
      </c>
      <c r="AO132" s="181">
        <v>-0.70710678118654768</v>
      </c>
      <c r="AP132" s="174">
        <v>69</v>
      </c>
      <c r="AQ132" s="181">
        <v>-0.70710678118654746</v>
      </c>
      <c r="BI132" s="176">
        <v>128</v>
      </c>
      <c r="BJ132" s="174" t="s">
        <v>1605</v>
      </c>
      <c r="BK132" s="174" t="b">
        <v>1</v>
      </c>
      <c r="BL132" s="174" t="s">
        <v>170</v>
      </c>
      <c r="BM132" s="174"/>
      <c r="BN132" s="174">
        <v>65</v>
      </c>
      <c r="BO132" s="174">
        <v>0.9</v>
      </c>
      <c r="BP132" s="174">
        <v>67</v>
      </c>
      <c r="BQ132" s="174">
        <v>-1</v>
      </c>
      <c r="BR132" s="174">
        <v>80</v>
      </c>
      <c r="BS132" s="174">
        <v>-1</v>
      </c>
      <c r="BT132" s="174">
        <v>68</v>
      </c>
      <c r="BU132" s="181">
        <v>-0.70710678118654768</v>
      </c>
      <c r="BV132" s="174">
        <v>69</v>
      </c>
      <c r="BW132" s="181">
        <v>-0.70710678118654746</v>
      </c>
      <c r="BY132" s="176">
        <v>128</v>
      </c>
      <c r="BZ132" s="249" t="s">
        <v>1606</v>
      </c>
      <c r="CA132" s="249" t="b">
        <v>1</v>
      </c>
      <c r="CB132" s="249" t="s">
        <v>170</v>
      </c>
      <c r="CC132" s="249"/>
      <c r="CD132" s="249">
        <v>65</v>
      </c>
      <c r="CE132" s="249">
        <v>0.6</v>
      </c>
      <c r="CF132" s="249">
        <v>67</v>
      </c>
      <c r="CG132" s="249">
        <v>-0.7</v>
      </c>
      <c r="CH132" s="249">
        <v>80</v>
      </c>
      <c r="CI132" s="249">
        <v>0.7</v>
      </c>
      <c r="CJ132" s="249">
        <v>68</v>
      </c>
      <c r="CK132" s="252">
        <v>-0.70710678118654768</v>
      </c>
      <c r="CL132" s="249">
        <v>69</v>
      </c>
      <c r="CM132" s="252">
        <v>-0.70710678118654746</v>
      </c>
      <c r="CO132" s="176">
        <v>128</v>
      </c>
      <c r="CP132" s="249" t="s">
        <v>1606</v>
      </c>
      <c r="CQ132" s="249" t="b">
        <v>1</v>
      </c>
      <c r="CR132" s="249" t="s">
        <v>170</v>
      </c>
      <c r="CS132" s="249"/>
      <c r="CT132" s="249">
        <v>65</v>
      </c>
      <c r="CU132" s="249">
        <v>0.6</v>
      </c>
      <c r="CV132" s="249">
        <v>67</v>
      </c>
      <c r="CW132" s="249">
        <v>-0.7</v>
      </c>
      <c r="CX132" s="249">
        <v>80</v>
      </c>
      <c r="CY132" s="249">
        <v>0.7</v>
      </c>
      <c r="CZ132" s="249">
        <v>68</v>
      </c>
      <c r="DA132" s="252">
        <v>-0.70710678118654768</v>
      </c>
      <c r="DB132" s="249">
        <v>69</v>
      </c>
      <c r="DC132" s="252">
        <v>-0.70710678118654746</v>
      </c>
      <c r="DE132" s="176">
        <v>128</v>
      </c>
      <c r="DF132" s="249" t="s">
        <v>1607</v>
      </c>
      <c r="DG132" s="249" t="b">
        <v>1</v>
      </c>
      <c r="DH132" s="249" t="s">
        <v>170</v>
      </c>
      <c r="DI132" s="249"/>
      <c r="DJ132" s="249">
        <v>65</v>
      </c>
      <c r="DK132" s="249">
        <v>0.6</v>
      </c>
      <c r="DL132" s="249">
        <v>67</v>
      </c>
      <c r="DM132" s="257">
        <f t="shared" si="112"/>
        <v>-0.7142857142857143</v>
      </c>
      <c r="DN132" s="249">
        <v>80</v>
      </c>
      <c r="DO132" s="257">
        <f t="shared" si="106"/>
        <v>0.7142857142857143</v>
      </c>
      <c r="DP132" s="249">
        <v>68</v>
      </c>
      <c r="DQ132" s="252">
        <v>-0.70710678118654768</v>
      </c>
      <c r="DR132" s="249">
        <v>69</v>
      </c>
      <c r="DS132" s="252">
        <v>-0.70710678118654746</v>
      </c>
      <c r="DU132" s="176">
        <v>128</v>
      </c>
      <c r="DV132" s="174" t="str">
        <f t="shared" si="104"/>
        <v>1.2D + Di (315 deg</v>
      </c>
      <c r="DW132" s="174">
        <v>1</v>
      </c>
      <c r="DX132" s="174" t="s">
        <v>170</v>
      </c>
      <c r="DY132" s="174"/>
      <c r="DZ132" s="174">
        <v>65</v>
      </c>
      <c r="EA132" s="174">
        <v>1.2</v>
      </c>
      <c r="EB132" s="174">
        <v>91</v>
      </c>
      <c r="EC132" s="174">
        <v>1.5</v>
      </c>
      <c r="ED132" s="174"/>
      <c r="EE132" s="174"/>
      <c r="EF132" s="174"/>
      <c r="EG132" s="174"/>
      <c r="EH132" s="174"/>
      <c r="EI132" s="174"/>
      <c r="EK132" s="2" t="s">
        <v>533</v>
      </c>
      <c r="EL132" s="2">
        <v>315</v>
      </c>
      <c r="EN132" s="176">
        <v>128</v>
      </c>
    </row>
    <row r="133" spans="13:144" ht="18" customHeight="1" thickBot="1" x14ac:dyDescent="0.25">
      <c r="M133" s="176">
        <f t="shared" si="83"/>
        <v>129</v>
      </c>
      <c r="N133" s="170" t="str">
        <f t="shared" si="109"/>
        <v>0.9D - 1.0Ev + 1.0Eh  | 240 deg</v>
      </c>
      <c r="O133" s="170" t="b">
        <v>1</v>
      </c>
      <c r="P133" s="170" t="str">
        <f t="shared" si="110"/>
        <v>Y</v>
      </c>
      <c r="Q133" s="170" t="str">
        <f t="shared" si="111"/>
        <v/>
      </c>
      <c r="R133" s="170">
        <f t="shared" si="96"/>
        <v>65</v>
      </c>
      <c r="S133" s="170">
        <f t="shared" si="97"/>
        <v>0.9</v>
      </c>
      <c r="T133" s="170">
        <f t="shared" si="98"/>
        <v>67</v>
      </c>
      <c r="U133" s="170">
        <f t="shared" si="99"/>
        <v>-1</v>
      </c>
      <c r="V133" s="170">
        <f t="shared" si="100"/>
        <v>81</v>
      </c>
      <c r="W133" s="170">
        <f t="shared" si="101"/>
        <v>-1</v>
      </c>
      <c r="X133" s="170">
        <f t="shared" si="102"/>
        <v>68</v>
      </c>
      <c r="Y133" s="170">
        <f t="shared" si="103"/>
        <v>-0.50000000000000044</v>
      </c>
      <c r="Z133" s="170">
        <f t="shared" si="107"/>
        <v>69</v>
      </c>
      <c r="AA133" s="170">
        <f t="shared" si="108"/>
        <v>-0.86602540378443837</v>
      </c>
      <c r="AC133" s="176">
        <v>129</v>
      </c>
      <c r="AD133" s="170" t="s">
        <v>1608</v>
      </c>
      <c r="AE133" s="170" t="b">
        <v>1</v>
      </c>
      <c r="AF133" s="170" t="s">
        <v>170</v>
      </c>
      <c r="AG133" s="170"/>
      <c r="AH133" s="170">
        <v>65</v>
      </c>
      <c r="AI133" s="170">
        <v>0.9</v>
      </c>
      <c r="AJ133" s="170">
        <v>67</v>
      </c>
      <c r="AK133" s="170">
        <v>-1</v>
      </c>
      <c r="AL133" s="170">
        <v>81</v>
      </c>
      <c r="AM133" s="170">
        <v>-1</v>
      </c>
      <c r="AN133" s="170">
        <v>68</v>
      </c>
      <c r="AO133" s="180">
        <v>-0.50000000000000044</v>
      </c>
      <c r="AP133" s="170">
        <v>69</v>
      </c>
      <c r="AQ133" s="180">
        <v>-0.86602540378443837</v>
      </c>
      <c r="BI133" s="176">
        <v>129</v>
      </c>
      <c r="BJ133" s="170" t="s">
        <v>1608</v>
      </c>
      <c r="BK133" s="170" t="b">
        <v>1</v>
      </c>
      <c r="BL133" s="170" t="s">
        <v>170</v>
      </c>
      <c r="BM133" s="170"/>
      <c r="BN133" s="170">
        <v>65</v>
      </c>
      <c r="BO133" s="170">
        <v>0.9</v>
      </c>
      <c r="BP133" s="170">
        <v>67</v>
      </c>
      <c r="BQ133" s="170">
        <v>-1</v>
      </c>
      <c r="BR133" s="170">
        <v>81</v>
      </c>
      <c r="BS133" s="170">
        <v>-1</v>
      </c>
      <c r="BT133" s="170">
        <v>68</v>
      </c>
      <c r="BU133" s="180">
        <v>-0.50000000000000044</v>
      </c>
      <c r="BV133" s="170">
        <v>69</v>
      </c>
      <c r="BW133" s="180">
        <v>-0.86602540378443837</v>
      </c>
      <c r="BY133" s="176">
        <v>129</v>
      </c>
      <c r="BZ133" s="246" t="s">
        <v>1609</v>
      </c>
      <c r="CA133" s="246" t="b">
        <v>1</v>
      </c>
      <c r="CB133" s="246" t="s">
        <v>170</v>
      </c>
      <c r="CC133" s="246"/>
      <c r="CD133" s="246">
        <v>65</v>
      </c>
      <c r="CE133" s="246">
        <v>0.6</v>
      </c>
      <c r="CF133" s="246">
        <v>67</v>
      </c>
      <c r="CG133" s="246">
        <v>-0.7</v>
      </c>
      <c r="CH133" s="246">
        <v>81</v>
      </c>
      <c r="CI133" s="246">
        <v>0.7</v>
      </c>
      <c r="CJ133" s="246">
        <v>68</v>
      </c>
      <c r="CK133" s="251">
        <v>-0.50000000000000044</v>
      </c>
      <c r="CL133" s="246">
        <v>69</v>
      </c>
      <c r="CM133" s="251">
        <v>-0.86602540378443837</v>
      </c>
      <c r="CO133" s="176">
        <v>129</v>
      </c>
      <c r="CP133" s="246" t="s">
        <v>1609</v>
      </c>
      <c r="CQ133" s="246" t="b">
        <v>1</v>
      </c>
      <c r="CR133" s="246" t="s">
        <v>170</v>
      </c>
      <c r="CS133" s="246"/>
      <c r="CT133" s="246">
        <v>65</v>
      </c>
      <c r="CU133" s="246">
        <v>0.6</v>
      </c>
      <c r="CV133" s="246">
        <v>67</v>
      </c>
      <c r="CW133" s="246">
        <v>-0.7</v>
      </c>
      <c r="CX133" s="246">
        <v>81</v>
      </c>
      <c r="CY133" s="246">
        <v>0.7</v>
      </c>
      <c r="CZ133" s="246">
        <v>68</v>
      </c>
      <c r="DA133" s="251">
        <v>-0.50000000000000044</v>
      </c>
      <c r="DB133" s="246">
        <v>69</v>
      </c>
      <c r="DC133" s="251">
        <v>-0.86602540378443837</v>
      </c>
      <c r="DE133" s="176">
        <v>129</v>
      </c>
      <c r="DF133" s="246" t="s">
        <v>1610</v>
      </c>
      <c r="DG133" s="246" t="b">
        <v>1</v>
      </c>
      <c r="DH133" s="246" t="s">
        <v>170</v>
      </c>
      <c r="DI133" s="246"/>
      <c r="DJ133" s="246">
        <v>65</v>
      </c>
      <c r="DK133" s="246">
        <v>0.6</v>
      </c>
      <c r="DL133" s="246">
        <v>67</v>
      </c>
      <c r="DM133" s="256">
        <f t="shared" si="112"/>
        <v>-0.7142857142857143</v>
      </c>
      <c r="DN133" s="246">
        <v>81</v>
      </c>
      <c r="DO133" s="256">
        <f t="shared" si="106"/>
        <v>0.7142857142857143</v>
      </c>
      <c r="DP133" s="246">
        <v>68</v>
      </c>
      <c r="DQ133" s="251">
        <v>-0.50000000000000044</v>
      </c>
      <c r="DR133" s="246">
        <v>69</v>
      </c>
      <c r="DS133" s="251">
        <v>-0.86602540378443837</v>
      </c>
      <c r="DU133" s="177">
        <v>129</v>
      </c>
      <c r="DV133" s="173" t="str">
        <f t="shared" si="104"/>
        <v>1.2D + Di (330 deg</v>
      </c>
      <c r="DW133" s="173">
        <v>1</v>
      </c>
      <c r="DX133" s="173" t="s">
        <v>170</v>
      </c>
      <c r="DY133" s="173"/>
      <c r="DZ133" s="173">
        <v>65</v>
      </c>
      <c r="EA133" s="173">
        <v>1.2</v>
      </c>
      <c r="EB133" s="173">
        <v>91</v>
      </c>
      <c r="EC133" s="173">
        <v>1.5</v>
      </c>
      <c r="ED133" s="173"/>
      <c r="EE133" s="173"/>
      <c r="EF133" s="173"/>
      <c r="EG133" s="173"/>
      <c r="EH133" s="173"/>
      <c r="EI133" s="173"/>
      <c r="EK133" s="2" t="s">
        <v>533</v>
      </c>
      <c r="EL133" s="2">
        <v>330</v>
      </c>
      <c r="EN133" s="177">
        <v>129</v>
      </c>
    </row>
    <row r="134" spans="13:144" ht="18" customHeight="1" thickTop="1" x14ac:dyDescent="0.2">
      <c r="M134" s="176">
        <f t="shared" si="83"/>
        <v>130</v>
      </c>
      <c r="N134" s="174" t="str">
        <f t="shared" si="109"/>
        <v>0.9D - 1.0Ev + 1.0Eh  | 270 deg</v>
      </c>
      <c r="O134" s="174" t="b">
        <v>1</v>
      </c>
      <c r="P134" s="174" t="str">
        <f t="shared" si="110"/>
        <v>Y</v>
      </c>
      <c r="Q134" s="174" t="str">
        <f t="shared" si="111"/>
        <v/>
      </c>
      <c r="R134" s="174">
        <f t="shared" si="96"/>
        <v>65</v>
      </c>
      <c r="S134" s="174">
        <f t="shared" si="97"/>
        <v>0.9</v>
      </c>
      <c r="T134" s="174">
        <f t="shared" si="98"/>
        <v>67</v>
      </c>
      <c r="U134" s="174">
        <f t="shared" si="99"/>
        <v>-1</v>
      </c>
      <c r="V134" s="174">
        <f t="shared" si="100"/>
        <v>82</v>
      </c>
      <c r="W134" s="174">
        <f t="shared" si="101"/>
        <v>-1</v>
      </c>
      <c r="X134" s="174">
        <f t="shared" si="102"/>
        <v>68</v>
      </c>
      <c r="Y134" s="174">
        <f t="shared" si="103"/>
        <v>-1.83772268236293E-16</v>
      </c>
      <c r="Z134" s="174">
        <f t="shared" si="107"/>
        <v>69</v>
      </c>
      <c r="AA134" s="174">
        <f t="shared" si="108"/>
        <v>-1</v>
      </c>
      <c r="AC134" s="176">
        <v>130</v>
      </c>
      <c r="AD134" s="174" t="s">
        <v>1611</v>
      </c>
      <c r="AE134" s="174" t="b">
        <v>1</v>
      </c>
      <c r="AF134" s="174" t="s">
        <v>170</v>
      </c>
      <c r="AG134" s="174"/>
      <c r="AH134" s="174">
        <v>65</v>
      </c>
      <c r="AI134" s="174">
        <v>0.9</v>
      </c>
      <c r="AJ134" s="174">
        <v>67</v>
      </c>
      <c r="AK134" s="174">
        <v>-1</v>
      </c>
      <c r="AL134" s="174">
        <v>82</v>
      </c>
      <c r="AM134" s="174">
        <v>-1</v>
      </c>
      <c r="AN134" s="174">
        <v>68</v>
      </c>
      <c r="AO134" s="181">
        <v>-1.83772268236293E-16</v>
      </c>
      <c r="AP134" s="174">
        <v>69</v>
      </c>
      <c r="AQ134" s="181">
        <v>-1</v>
      </c>
      <c r="BI134" s="176">
        <v>130</v>
      </c>
      <c r="BJ134" s="174" t="s">
        <v>1611</v>
      </c>
      <c r="BK134" s="174" t="b">
        <v>1</v>
      </c>
      <c r="BL134" s="174" t="s">
        <v>170</v>
      </c>
      <c r="BM134" s="174"/>
      <c r="BN134" s="174">
        <v>65</v>
      </c>
      <c r="BO134" s="174">
        <v>0.9</v>
      </c>
      <c r="BP134" s="174">
        <v>67</v>
      </c>
      <c r="BQ134" s="174">
        <v>-1</v>
      </c>
      <c r="BR134" s="174">
        <v>82</v>
      </c>
      <c r="BS134" s="174">
        <v>-1</v>
      </c>
      <c r="BT134" s="174">
        <v>68</v>
      </c>
      <c r="BU134" s="181">
        <v>-1.83772268236293E-16</v>
      </c>
      <c r="BV134" s="174">
        <v>69</v>
      </c>
      <c r="BW134" s="181">
        <v>-1</v>
      </c>
      <c r="BY134" s="176">
        <v>130</v>
      </c>
      <c r="BZ134" s="249" t="s">
        <v>1612</v>
      </c>
      <c r="CA134" s="249" t="b">
        <v>1</v>
      </c>
      <c r="CB134" s="249" t="s">
        <v>170</v>
      </c>
      <c r="CC134" s="249"/>
      <c r="CD134" s="249">
        <v>65</v>
      </c>
      <c r="CE134" s="249">
        <v>0.6</v>
      </c>
      <c r="CF134" s="249">
        <v>67</v>
      </c>
      <c r="CG134" s="249">
        <v>-0.7</v>
      </c>
      <c r="CH134" s="249">
        <v>82</v>
      </c>
      <c r="CI134" s="249">
        <v>0.7</v>
      </c>
      <c r="CJ134" s="249">
        <v>68</v>
      </c>
      <c r="CK134" s="252">
        <v>-1.83772268236293E-16</v>
      </c>
      <c r="CL134" s="249">
        <v>69</v>
      </c>
      <c r="CM134" s="252">
        <v>-1</v>
      </c>
      <c r="CO134" s="176">
        <v>130</v>
      </c>
      <c r="CP134" s="249" t="s">
        <v>1612</v>
      </c>
      <c r="CQ134" s="249" t="b">
        <v>1</v>
      </c>
      <c r="CR134" s="249" t="s">
        <v>170</v>
      </c>
      <c r="CS134" s="249"/>
      <c r="CT134" s="249">
        <v>65</v>
      </c>
      <c r="CU134" s="249">
        <v>0.6</v>
      </c>
      <c r="CV134" s="249">
        <v>67</v>
      </c>
      <c r="CW134" s="249">
        <v>-0.7</v>
      </c>
      <c r="CX134" s="249">
        <v>82</v>
      </c>
      <c r="CY134" s="249">
        <v>0.7</v>
      </c>
      <c r="CZ134" s="249">
        <v>68</v>
      </c>
      <c r="DA134" s="252">
        <v>-1.83772268236293E-16</v>
      </c>
      <c r="DB134" s="249">
        <v>69</v>
      </c>
      <c r="DC134" s="252">
        <v>-1</v>
      </c>
      <c r="DE134" s="176">
        <v>130</v>
      </c>
      <c r="DF134" s="249" t="s">
        <v>1613</v>
      </c>
      <c r="DG134" s="249" t="b">
        <v>1</v>
      </c>
      <c r="DH134" s="249" t="s">
        <v>170</v>
      </c>
      <c r="DI134" s="249"/>
      <c r="DJ134" s="249">
        <v>65</v>
      </c>
      <c r="DK134" s="249">
        <v>0.6</v>
      </c>
      <c r="DL134" s="249">
        <v>67</v>
      </c>
      <c r="DM134" s="257">
        <f t="shared" si="112"/>
        <v>-0.7142857142857143</v>
      </c>
      <c r="DN134" s="249">
        <v>82</v>
      </c>
      <c r="DO134" s="257">
        <f t="shared" si="106"/>
        <v>0.7142857142857143</v>
      </c>
      <c r="DP134" s="249">
        <v>68</v>
      </c>
      <c r="DQ134" s="252">
        <v>-1.83772268236293E-16</v>
      </c>
      <c r="DR134" s="249">
        <v>69</v>
      </c>
      <c r="DS134" s="252">
        <v>-1</v>
      </c>
      <c r="DU134" s="178">
        <v>130</v>
      </c>
      <c r="DV134" s="175" t="str">
        <f t="shared" si="104"/>
        <v>1.2D + Ev + Eh + L + 0.2S (0 deg</v>
      </c>
      <c r="DW134" s="175">
        <v>1</v>
      </c>
      <c r="DX134" s="175" t="s">
        <v>170</v>
      </c>
      <c r="DY134" s="175"/>
      <c r="DZ134" s="175">
        <v>65</v>
      </c>
      <c r="EA134" s="175">
        <v>1.2</v>
      </c>
      <c r="EB134" s="175">
        <v>92</v>
      </c>
      <c r="EC134" s="175">
        <v>1.5</v>
      </c>
      <c r="ED134" s="175"/>
      <c r="EE134" s="175"/>
      <c r="EF134" s="175"/>
      <c r="EG134" s="175"/>
      <c r="EH134" s="175"/>
      <c r="EI134" s="175"/>
      <c r="EK134" s="2" t="s">
        <v>534</v>
      </c>
      <c r="EL134" s="2">
        <v>0</v>
      </c>
      <c r="EN134" s="178">
        <v>130</v>
      </c>
    </row>
    <row r="135" spans="13:144" ht="18" customHeight="1" x14ac:dyDescent="0.2">
      <c r="M135" s="176">
        <f>IF(N135="","",M134+1)</f>
        <v>131</v>
      </c>
      <c r="N135" s="170" t="str">
        <f t="shared" si="109"/>
        <v>0.9D - 1.0Ev + 1.0Eh  | 300 deg</v>
      </c>
      <c r="O135" s="170" t="b">
        <v>1</v>
      </c>
      <c r="P135" s="170" t="str">
        <f t="shared" si="110"/>
        <v>Y</v>
      </c>
      <c r="Q135" s="170" t="str">
        <f t="shared" si="111"/>
        <v/>
      </c>
      <c r="R135" s="170">
        <f t="shared" si="96"/>
        <v>65</v>
      </c>
      <c r="S135" s="170">
        <f t="shared" si="97"/>
        <v>0.9</v>
      </c>
      <c r="T135" s="170">
        <f t="shared" si="98"/>
        <v>67</v>
      </c>
      <c r="U135" s="170">
        <f t="shared" si="99"/>
        <v>-1</v>
      </c>
      <c r="V135" s="170">
        <f t="shared" si="100"/>
        <v>83</v>
      </c>
      <c r="W135" s="170">
        <f t="shared" si="101"/>
        <v>-1</v>
      </c>
      <c r="X135" s="170">
        <f t="shared" si="102"/>
        <v>68</v>
      </c>
      <c r="Y135" s="170">
        <f t="shared" si="103"/>
        <v>0.50000000000000011</v>
      </c>
      <c r="Z135" s="170">
        <f t="shared" si="107"/>
        <v>69</v>
      </c>
      <c r="AA135" s="170">
        <f t="shared" si="108"/>
        <v>-0.8660254037844386</v>
      </c>
      <c r="AC135" s="176">
        <v>131</v>
      </c>
      <c r="AD135" s="170" t="s">
        <v>1701</v>
      </c>
      <c r="AE135" s="170" t="b">
        <v>1</v>
      </c>
      <c r="AF135" s="170" t="s">
        <v>170</v>
      </c>
      <c r="AG135" s="170"/>
      <c r="AH135" s="170">
        <v>65</v>
      </c>
      <c r="AI135" s="170">
        <v>0.9</v>
      </c>
      <c r="AJ135" s="170">
        <v>67</v>
      </c>
      <c r="AK135" s="170">
        <v>-1</v>
      </c>
      <c r="AL135" s="170">
        <v>83</v>
      </c>
      <c r="AM135" s="170">
        <v>-1</v>
      </c>
      <c r="AN135" s="170">
        <v>68</v>
      </c>
      <c r="AO135" s="180">
        <v>0.50000000000000011</v>
      </c>
      <c r="AP135" s="170">
        <v>69</v>
      </c>
      <c r="AQ135" s="180">
        <v>-0.8660254037844386</v>
      </c>
      <c r="BI135" s="176">
        <v>131</v>
      </c>
      <c r="BJ135" s="170" t="s">
        <v>1701</v>
      </c>
      <c r="BK135" s="170" t="b">
        <v>1</v>
      </c>
      <c r="BL135" s="170" t="s">
        <v>170</v>
      </c>
      <c r="BM135" s="170"/>
      <c r="BN135" s="170">
        <v>65</v>
      </c>
      <c r="BO135" s="170">
        <v>0.9</v>
      </c>
      <c r="BP135" s="170">
        <v>67</v>
      </c>
      <c r="BQ135" s="170">
        <v>-1</v>
      </c>
      <c r="BR135" s="170">
        <v>83</v>
      </c>
      <c r="BS135" s="170">
        <v>-1</v>
      </c>
      <c r="BT135" s="170">
        <v>68</v>
      </c>
      <c r="BU135" s="180">
        <v>0.50000000000000011</v>
      </c>
      <c r="BV135" s="170">
        <v>69</v>
      </c>
      <c r="BW135" s="180">
        <v>-0.8660254037844386</v>
      </c>
      <c r="BY135" s="176">
        <v>131</v>
      </c>
      <c r="BZ135" s="246" t="s">
        <v>1702</v>
      </c>
      <c r="CA135" s="246" t="b">
        <v>1</v>
      </c>
      <c r="CB135" s="246" t="s">
        <v>170</v>
      </c>
      <c r="CC135" s="246"/>
      <c r="CD135" s="246">
        <v>65</v>
      </c>
      <c r="CE135" s="246">
        <v>0.6</v>
      </c>
      <c r="CF135" s="246">
        <v>67</v>
      </c>
      <c r="CG135" s="246">
        <v>-0.7</v>
      </c>
      <c r="CH135" s="246">
        <v>83</v>
      </c>
      <c r="CI135" s="246">
        <v>0.7</v>
      </c>
      <c r="CJ135" s="246">
        <v>68</v>
      </c>
      <c r="CK135" s="251">
        <v>0.50000000000000011</v>
      </c>
      <c r="CL135" s="246">
        <v>69</v>
      </c>
      <c r="CM135" s="251">
        <v>-0.8660254037844386</v>
      </c>
      <c r="CO135" s="176">
        <v>131</v>
      </c>
      <c r="CP135" s="246" t="s">
        <v>1702</v>
      </c>
      <c r="CQ135" s="246" t="b">
        <v>1</v>
      </c>
      <c r="CR135" s="246" t="s">
        <v>170</v>
      </c>
      <c r="CS135" s="246"/>
      <c r="CT135" s="246">
        <v>65</v>
      </c>
      <c r="CU135" s="246">
        <v>0.6</v>
      </c>
      <c r="CV135" s="246">
        <v>67</v>
      </c>
      <c r="CW135" s="246">
        <v>-0.7</v>
      </c>
      <c r="CX135" s="246">
        <v>83</v>
      </c>
      <c r="CY135" s="246">
        <v>0.7</v>
      </c>
      <c r="CZ135" s="246">
        <v>68</v>
      </c>
      <c r="DA135" s="251">
        <v>0.50000000000000011</v>
      </c>
      <c r="DB135" s="246">
        <v>69</v>
      </c>
      <c r="DC135" s="251">
        <v>-0.8660254037844386</v>
      </c>
      <c r="DE135" s="176">
        <v>131</v>
      </c>
      <c r="DF135" s="246" t="s">
        <v>1703</v>
      </c>
      <c r="DG135" s="246" t="b">
        <v>1</v>
      </c>
      <c r="DH135" s="246" t="s">
        <v>170</v>
      </c>
      <c r="DI135" s="246"/>
      <c r="DJ135" s="246">
        <v>65</v>
      </c>
      <c r="DK135" s="246">
        <v>0.6</v>
      </c>
      <c r="DL135" s="246">
        <v>67</v>
      </c>
      <c r="DM135" s="256">
        <f t="shared" si="112"/>
        <v>-0.7142857142857143</v>
      </c>
      <c r="DN135" s="246">
        <v>83</v>
      </c>
      <c r="DO135" s="256">
        <f t="shared" si="106"/>
        <v>0.7142857142857143</v>
      </c>
      <c r="DP135" s="246">
        <v>68</v>
      </c>
      <c r="DQ135" s="251">
        <v>0.50000000000000011</v>
      </c>
      <c r="DR135" s="246">
        <v>69</v>
      </c>
      <c r="DS135" s="251">
        <v>-0.8660254037844386</v>
      </c>
      <c r="DU135" s="176">
        <v>131</v>
      </c>
      <c r="DV135" s="170" t="str">
        <f t="shared" si="104"/>
        <v>1.2D + Ev + Eh + L + 0.2S (30 deg</v>
      </c>
      <c r="DW135" s="170">
        <v>1</v>
      </c>
      <c r="DX135" s="170" t="s">
        <v>170</v>
      </c>
      <c r="DY135" s="170"/>
      <c r="DZ135" s="170">
        <v>65</v>
      </c>
      <c r="EA135" s="170">
        <v>1.2</v>
      </c>
      <c r="EB135" s="170">
        <v>92</v>
      </c>
      <c r="EC135" s="170">
        <v>1.5</v>
      </c>
      <c r="ED135" s="170"/>
      <c r="EE135" s="170"/>
      <c r="EF135" s="170"/>
      <c r="EG135" s="170"/>
      <c r="EH135" s="170"/>
      <c r="EI135" s="170"/>
      <c r="EK135" s="2" t="s">
        <v>534</v>
      </c>
      <c r="EL135" s="2">
        <v>30</v>
      </c>
      <c r="EN135" s="176">
        <v>131</v>
      </c>
    </row>
    <row r="136" spans="13:144" ht="18" customHeight="1" x14ac:dyDescent="0.2">
      <c r="M136" s="176">
        <f>IF(N136="","",M135+1)</f>
        <v>132</v>
      </c>
      <c r="N136" s="174" t="str">
        <f t="shared" si="109"/>
        <v>0.9D - 1.0Ev + 1.0Eh  | 315 deg</v>
      </c>
      <c r="O136" s="174" t="b">
        <v>1</v>
      </c>
      <c r="P136" s="174" t="str">
        <f t="shared" si="110"/>
        <v>Y</v>
      </c>
      <c r="Q136" s="174" t="str">
        <f t="shared" si="111"/>
        <v/>
      </c>
      <c r="R136" s="174">
        <f t="shared" si="96"/>
        <v>65</v>
      </c>
      <c r="S136" s="174">
        <f t="shared" si="97"/>
        <v>0.9</v>
      </c>
      <c r="T136" s="174">
        <f t="shared" si="98"/>
        <v>67</v>
      </c>
      <c r="U136" s="174">
        <f t="shared" si="99"/>
        <v>-1</v>
      </c>
      <c r="V136" s="174">
        <f t="shared" si="100"/>
        <v>84</v>
      </c>
      <c r="W136" s="174">
        <f t="shared" si="101"/>
        <v>-1</v>
      </c>
      <c r="X136" s="174">
        <f t="shared" si="102"/>
        <v>68</v>
      </c>
      <c r="Y136" s="174">
        <f t="shared" si="103"/>
        <v>0.70710678118654735</v>
      </c>
      <c r="Z136" s="174">
        <f t="shared" si="107"/>
        <v>69</v>
      </c>
      <c r="AA136" s="174">
        <f t="shared" si="108"/>
        <v>-0.70710678118654768</v>
      </c>
      <c r="AC136" s="176">
        <v>132</v>
      </c>
      <c r="AD136" s="174" t="s">
        <v>1704</v>
      </c>
      <c r="AE136" s="174" t="b">
        <v>1</v>
      </c>
      <c r="AF136" s="174" t="s">
        <v>170</v>
      </c>
      <c r="AG136" s="174"/>
      <c r="AH136" s="174">
        <v>65</v>
      </c>
      <c r="AI136" s="174">
        <v>0.9</v>
      </c>
      <c r="AJ136" s="174">
        <v>67</v>
      </c>
      <c r="AK136" s="174">
        <v>-1</v>
      </c>
      <c r="AL136" s="174">
        <v>84</v>
      </c>
      <c r="AM136" s="174">
        <v>-1</v>
      </c>
      <c r="AN136" s="174">
        <v>68</v>
      </c>
      <c r="AO136" s="181">
        <v>0.70710678118654735</v>
      </c>
      <c r="AP136" s="174">
        <v>69</v>
      </c>
      <c r="AQ136" s="181">
        <v>-0.70710678118654768</v>
      </c>
      <c r="BI136" s="176">
        <v>132</v>
      </c>
      <c r="BJ136" s="174" t="s">
        <v>1704</v>
      </c>
      <c r="BK136" s="174" t="b">
        <v>1</v>
      </c>
      <c r="BL136" s="174" t="s">
        <v>170</v>
      </c>
      <c r="BM136" s="174"/>
      <c r="BN136" s="174">
        <v>65</v>
      </c>
      <c r="BO136" s="174">
        <v>0.9</v>
      </c>
      <c r="BP136" s="174">
        <v>67</v>
      </c>
      <c r="BQ136" s="174">
        <v>-1</v>
      </c>
      <c r="BR136" s="174">
        <v>84</v>
      </c>
      <c r="BS136" s="174">
        <v>-1</v>
      </c>
      <c r="BT136" s="174">
        <v>68</v>
      </c>
      <c r="BU136" s="181">
        <v>0.70710678118654735</v>
      </c>
      <c r="BV136" s="174">
        <v>69</v>
      </c>
      <c r="BW136" s="181">
        <v>-0.70710678118654768</v>
      </c>
      <c r="BY136" s="176">
        <v>132</v>
      </c>
      <c r="BZ136" s="249" t="s">
        <v>1705</v>
      </c>
      <c r="CA136" s="249" t="b">
        <v>1</v>
      </c>
      <c r="CB136" s="249" t="s">
        <v>170</v>
      </c>
      <c r="CC136" s="249"/>
      <c r="CD136" s="249">
        <v>65</v>
      </c>
      <c r="CE136" s="249">
        <v>0.6</v>
      </c>
      <c r="CF136" s="249">
        <v>67</v>
      </c>
      <c r="CG136" s="249">
        <v>-0.7</v>
      </c>
      <c r="CH136" s="249">
        <v>84</v>
      </c>
      <c r="CI136" s="249">
        <v>0.7</v>
      </c>
      <c r="CJ136" s="249">
        <v>68</v>
      </c>
      <c r="CK136" s="252">
        <v>0.70710678118654735</v>
      </c>
      <c r="CL136" s="249">
        <v>69</v>
      </c>
      <c r="CM136" s="252">
        <v>-0.70710678118654768</v>
      </c>
      <c r="CO136" s="176">
        <v>132</v>
      </c>
      <c r="CP136" s="249" t="s">
        <v>1705</v>
      </c>
      <c r="CQ136" s="249" t="b">
        <v>1</v>
      </c>
      <c r="CR136" s="249" t="s">
        <v>170</v>
      </c>
      <c r="CS136" s="249"/>
      <c r="CT136" s="249">
        <v>65</v>
      </c>
      <c r="CU136" s="249">
        <v>0.6</v>
      </c>
      <c r="CV136" s="249">
        <v>67</v>
      </c>
      <c r="CW136" s="249">
        <v>-0.7</v>
      </c>
      <c r="CX136" s="249">
        <v>84</v>
      </c>
      <c r="CY136" s="249">
        <v>0.7</v>
      </c>
      <c r="CZ136" s="249">
        <v>68</v>
      </c>
      <c r="DA136" s="252">
        <v>0.70710678118654735</v>
      </c>
      <c r="DB136" s="249">
        <v>69</v>
      </c>
      <c r="DC136" s="252">
        <v>-0.70710678118654768</v>
      </c>
      <c r="DE136" s="176">
        <v>132</v>
      </c>
      <c r="DF136" s="249" t="s">
        <v>1706</v>
      </c>
      <c r="DG136" s="249" t="b">
        <v>1</v>
      </c>
      <c r="DH136" s="249" t="s">
        <v>170</v>
      </c>
      <c r="DI136" s="249"/>
      <c r="DJ136" s="249">
        <v>65</v>
      </c>
      <c r="DK136" s="249">
        <v>0.6</v>
      </c>
      <c r="DL136" s="249">
        <v>67</v>
      </c>
      <c r="DM136" s="257">
        <f t="shared" si="112"/>
        <v>-0.7142857142857143</v>
      </c>
      <c r="DN136" s="249">
        <v>84</v>
      </c>
      <c r="DO136" s="257">
        <f t="shared" si="106"/>
        <v>0.7142857142857143</v>
      </c>
      <c r="DP136" s="249">
        <v>68</v>
      </c>
      <c r="DQ136" s="252">
        <v>0.70710678118654735</v>
      </c>
      <c r="DR136" s="249">
        <v>69</v>
      </c>
      <c r="DS136" s="252">
        <v>-0.70710678118654768</v>
      </c>
      <c r="DU136" s="176">
        <v>132</v>
      </c>
      <c r="DV136" s="174" t="str">
        <f t="shared" si="104"/>
        <v>1.2D + Ev + Eh + L + 0.2S (45 deg</v>
      </c>
      <c r="DW136" s="174">
        <v>1</v>
      </c>
      <c r="DX136" s="174" t="s">
        <v>170</v>
      </c>
      <c r="DY136" s="174"/>
      <c r="DZ136" s="174">
        <v>65</v>
      </c>
      <c r="EA136" s="174">
        <v>1.2</v>
      </c>
      <c r="EB136" s="174">
        <v>92</v>
      </c>
      <c r="EC136" s="174">
        <v>1.5</v>
      </c>
      <c r="ED136" s="174"/>
      <c r="EE136" s="174"/>
      <c r="EF136" s="174"/>
      <c r="EG136" s="174"/>
      <c r="EH136" s="174"/>
      <c r="EI136" s="174"/>
      <c r="EK136" s="2" t="s">
        <v>534</v>
      </c>
      <c r="EL136" s="2">
        <v>45</v>
      </c>
      <c r="EN136" s="176">
        <v>132</v>
      </c>
    </row>
    <row r="137" spans="13:144" ht="18" customHeight="1" x14ac:dyDescent="0.2">
      <c r="M137" s="176">
        <f>IF(N137="","",M136+1)</f>
        <v>133</v>
      </c>
      <c r="N137" s="170" t="str">
        <f t="shared" si="109"/>
        <v>0.9D - 1.0Ev + 1.0Eh  | 330 deg</v>
      </c>
      <c r="O137" s="170" t="b">
        <v>1</v>
      </c>
      <c r="P137" s="170" t="str">
        <f t="shared" si="110"/>
        <v>Y</v>
      </c>
      <c r="Q137" s="170" t="str">
        <f t="shared" si="111"/>
        <v/>
      </c>
      <c r="R137" s="170">
        <f t="shared" si="96"/>
        <v>65</v>
      </c>
      <c r="S137" s="170">
        <f t="shared" si="97"/>
        <v>0.9</v>
      </c>
      <c r="T137" s="170">
        <f t="shared" si="98"/>
        <v>67</v>
      </c>
      <c r="U137" s="170">
        <f t="shared" si="99"/>
        <v>-1</v>
      </c>
      <c r="V137" s="170">
        <f t="shared" si="100"/>
        <v>85</v>
      </c>
      <c r="W137" s="170">
        <f t="shared" si="101"/>
        <v>-1</v>
      </c>
      <c r="X137" s="170">
        <f t="shared" si="102"/>
        <v>68</v>
      </c>
      <c r="Y137" s="170">
        <f t="shared" si="103"/>
        <v>0.86602540378443837</v>
      </c>
      <c r="Z137" s="170">
        <f t="shared" si="107"/>
        <v>69</v>
      </c>
      <c r="AA137" s="170">
        <f t="shared" si="108"/>
        <v>-0.50000000000000044</v>
      </c>
      <c r="AC137" s="176">
        <v>133</v>
      </c>
      <c r="AD137" s="170" t="s">
        <v>1707</v>
      </c>
      <c r="AE137" s="170" t="b">
        <v>1</v>
      </c>
      <c r="AF137" s="170" t="s">
        <v>170</v>
      </c>
      <c r="AG137" s="170"/>
      <c r="AH137" s="170">
        <v>65</v>
      </c>
      <c r="AI137" s="170">
        <v>0.9</v>
      </c>
      <c r="AJ137" s="170">
        <v>67</v>
      </c>
      <c r="AK137" s="170">
        <v>-1</v>
      </c>
      <c r="AL137" s="170">
        <v>85</v>
      </c>
      <c r="AM137" s="170">
        <v>-1</v>
      </c>
      <c r="AN137" s="170">
        <v>68</v>
      </c>
      <c r="AO137" s="180">
        <v>0.86602540378443837</v>
      </c>
      <c r="AP137" s="170">
        <v>69</v>
      </c>
      <c r="AQ137" s="180">
        <v>-0.50000000000000044</v>
      </c>
      <c r="BI137" s="176">
        <v>133</v>
      </c>
      <c r="BJ137" s="170" t="s">
        <v>1707</v>
      </c>
      <c r="BK137" s="170" t="b">
        <v>1</v>
      </c>
      <c r="BL137" s="170" t="s">
        <v>170</v>
      </c>
      <c r="BM137" s="170"/>
      <c r="BN137" s="170">
        <v>65</v>
      </c>
      <c r="BO137" s="170">
        <v>0.9</v>
      </c>
      <c r="BP137" s="170">
        <v>67</v>
      </c>
      <c r="BQ137" s="170">
        <v>-1</v>
      </c>
      <c r="BR137" s="170">
        <v>85</v>
      </c>
      <c r="BS137" s="170">
        <v>-1</v>
      </c>
      <c r="BT137" s="170">
        <v>68</v>
      </c>
      <c r="BU137" s="180">
        <v>0.86602540378443837</v>
      </c>
      <c r="BV137" s="170">
        <v>69</v>
      </c>
      <c r="BW137" s="180">
        <v>-0.50000000000000044</v>
      </c>
      <c r="BY137" s="176">
        <v>133</v>
      </c>
      <c r="BZ137" s="246" t="s">
        <v>1708</v>
      </c>
      <c r="CA137" s="246" t="b">
        <v>1</v>
      </c>
      <c r="CB137" s="246" t="s">
        <v>170</v>
      </c>
      <c r="CC137" s="246"/>
      <c r="CD137" s="246">
        <v>65</v>
      </c>
      <c r="CE137" s="246">
        <v>0.6</v>
      </c>
      <c r="CF137" s="246">
        <v>67</v>
      </c>
      <c r="CG137" s="246">
        <v>-0.7</v>
      </c>
      <c r="CH137" s="246">
        <v>85</v>
      </c>
      <c r="CI137" s="246">
        <v>0.7</v>
      </c>
      <c r="CJ137" s="246">
        <v>68</v>
      </c>
      <c r="CK137" s="251">
        <v>0.86602540378443837</v>
      </c>
      <c r="CL137" s="246">
        <v>69</v>
      </c>
      <c r="CM137" s="251">
        <v>-0.50000000000000044</v>
      </c>
      <c r="CO137" s="176">
        <v>133</v>
      </c>
      <c r="CP137" s="246" t="s">
        <v>1708</v>
      </c>
      <c r="CQ137" s="246" t="b">
        <v>1</v>
      </c>
      <c r="CR137" s="246" t="s">
        <v>170</v>
      </c>
      <c r="CS137" s="246"/>
      <c r="CT137" s="246">
        <v>65</v>
      </c>
      <c r="CU137" s="246">
        <v>0.6</v>
      </c>
      <c r="CV137" s="246">
        <v>67</v>
      </c>
      <c r="CW137" s="246">
        <v>-0.7</v>
      </c>
      <c r="CX137" s="246">
        <v>85</v>
      </c>
      <c r="CY137" s="246">
        <v>0.7</v>
      </c>
      <c r="CZ137" s="246">
        <v>68</v>
      </c>
      <c r="DA137" s="251">
        <v>0.86602540378443837</v>
      </c>
      <c r="DB137" s="246">
        <v>69</v>
      </c>
      <c r="DC137" s="251">
        <v>-0.50000000000000044</v>
      </c>
      <c r="DE137" s="176">
        <v>133</v>
      </c>
      <c r="DF137" s="246" t="s">
        <v>1709</v>
      </c>
      <c r="DG137" s="246" t="b">
        <v>1</v>
      </c>
      <c r="DH137" s="246" t="s">
        <v>170</v>
      </c>
      <c r="DI137" s="246"/>
      <c r="DJ137" s="246">
        <v>65</v>
      </c>
      <c r="DK137" s="246">
        <v>0.6</v>
      </c>
      <c r="DL137" s="246">
        <v>67</v>
      </c>
      <c r="DM137" s="256">
        <f t="shared" si="112"/>
        <v>-0.7142857142857143</v>
      </c>
      <c r="DN137" s="246">
        <v>85</v>
      </c>
      <c r="DO137" s="256">
        <f t="shared" si="106"/>
        <v>0.7142857142857143</v>
      </c>
      <c r="DP137" s="246">
        <v>68</v>
      </c>
      <c r="DQ137" s="251">
        <v>0.86602540378443837</v>
      </c>
      <c r="DR137" s="246">
        <v>69</v>
      </c>
      <c r="DS137" s="251">
        <v>-0.50000000000000044</v>
      </c>
      <c r="DU137" s="176">
        <v>133</v>
      </c>
      <c r="DV137" s="170" t="str">
        <f t="shared" si="104"/>
        <v>1.2D + Ev + Eh + L + 0.2S (60 deg</v>
      </c>
      <c r="DW137" s="170">
        <v>1</v>
      </c>
      <c r="DX137" s="170" t="s">
        <v>170</v>
      </c>
      <c r="DY137" s="170"/>
      <c r="DZ137" s="170">
        <v>65</v>
      </c>
      <c r="EA137" s="170">
        <v>1.2</v>
      </c>
      <c r="EB137" s="170">
        <v>92</v>
      </c>
      <c r="EC137" s="170">
        <v>1.5</v>
      </c>
      <c r="ED137" s="170"/>
      <c r="EE137" s="170"/>
      <c r="EF137" s="170"/>
      <c r="EG137" s="170"/>
      <c r="EH137" s="170"/>
      <c r="EI137" s="170"/>
      <c r="EK137" s="2" t="s">
        <v>534</v>
      </c>
      <c r="EL137" s="2">
        <v>60</v>
      </c>
      <c r="EN137" s="176">
        <v>133</v>
      </c>
    </row>
    <row r="138" spans="13:144" ht="18" customHeight="1" x14ac:dyDescent="0.2">
      <c r="BK138" s="2" t="b">
        <v>0</v>
      </c>
      <c r="CA138" s="2" t="b">
        <v>0</v>
      </c>
      <c r="CQ138" s="2" t="b">
        <v>0</v>
      </c>
      <c r="DG138" s="2" t="b">
        <v>0</v>
      </c>
    </row>
  </sheetData>
  <sheetProtection selectLockedCells="1"/>
  <mergeCells count="24">
    <mergeCell ref="FT2:GH2"/>
    <mergeCell ref="FD3:FR3"/>
    <mergeCell ref="FT3:GH3"/>
    <mergeCell ref="FD2:FR2"/>
    <mergeCell ref="AS2:BG2"/>
    <mergeCell ref="AS3:BG3"/>
    <mergeCell ref="BI2:BW2"/>
    <mergeCell ref="BI3:BW3"/>
    <mergeCell ref="CO2:DC2"/>
    <mergeCell ref="EN2:FB2"/>
    <mergeCell ref="EN3:FB3"/>
    <mergeCell ref="M3:AA3"/>
    <mergeCell ref="M2:AA2"/>
    <mergeCell ref="A2:K2"/>
    <mergeCell ref="A3:K3"/>
    <mergeCell ref="DU2:EL2"/>
    <mergeCell ref="DU3:EL3"/>
    <mergeCell ref="AC2:AQ2"/>
    <mergeCell ref="AC3:AQ3"/>
    <mergeCell ref="BY2:CM2"/>
    <mergeCell ref="BY3:CM3"/>
    <mergeCell ref="DE2:DS2"/>
    <mergeCell ref="CO3:DC3"/>
    <mergeCell ref="DE3:DS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enerate">
                <anchor moveWithCells="1" sizeWithCells="1">
                  <from>
                    <xdr:col>9</xdr:col>
                    <xdr:colOff>304800</xdr:colOff>
                    <xdr:row>1</xdr:row>
                    <xdr:rowOff>9525</xdr:rowOff>
                  </from>
                  <to>
                    <xdr:col>10</xdr:col>
                    <xdr:colOff>571500</xdr:colOff>
                    <xdr:row>2</xdr:row>
                    <xdr:rowOff>0</xdr:rowOff>
                  </to>
                </anchor>
              </controlPr>
            </control>
          </mc:Choice>
        </mc:AlternateContent>
        <mc:AlternateContent xmlns:mc="http://schemas.openxmlformats.org/markup-compatibility/2006">
          <mc:Choice Requires="x14">
            <control shapeId="18434" r:id="rId5" name="Copy_BLC1_Point">
              <controlPr defaultSize="0" print="0" autoFill="0" autoPict="0" macro="[0]!Copy_BLC1_Point">
                <anchor moveWithCells="1" sizeWithCells="1">
                  <from>
                    <xdr:col>7</xdr:col>
                    <xdr:colOff>428625</xdr:colOff>
                    <xdr:row>4</xdr:row>
                    <xdr:rowOff>9525</xdr:rowOff>
                  </from>
                  <to>
                    <xdr:col>8</xdr:col>
                    <xdr:colOff>0</xdr:colOff>
                    <xdr:row>5</xdr:row>
                    <xdr:rowOff>0</xdr:rowOff>
                  </to>
                </anchor>
              </controlPr>
            </control>
          </mc:Choice>
        </mc:AlternateContent>
        <mc:AlternateContent xmlns:mc="http://schemas.openxmlformats.org/markup-compatibility/2006">
          <mc:Choice Requires="x14">
            <control shapeId="18435" r:id="rId6" name="Copy_BLC2_Point">
              <controlPr defaultSize="0" print="0" autoFill="0" autoPict="0" macro="[0]!Copy_BLC2_Point">
                <anchor moveWithCells="1" sizeWithCells="1">
                  <from>
                    <xdr:col>7</xdr:col>
                    <xdr:colOff>428625</xdr:colOff>
                    <xdr:row>5</xdr:row>
                    <xdr:rowOff>9525</xdr:rowOff>
                  </from>
                  <to>
                    <xdr:col>8</xdr:col>
                    <xdr:colOff>0</xdr:colOff>
                    <xdr:row>6</xdr:row>
                    <xdr:rowOff>0</xdr:rowOff>
                  </to>
                </anchor>
              </controlPr>
            </control>
          </mc:Choice>
        </mc:AlternateContent>
        <mc:AlternateContent xmlns:mc="http://schemas.openxmlformats.org/markup-compatibility/2006">
          <mc:Choice Requires="x14">
            <control shapeId="18436" r:id="rId7" name="Copy_BLC3_Point">
              <controlPr defaultSize="0" print="0" autoFill="0" autoPict="0" macro="[0]!Copy_BLC3_Point">
                <anchor moveWithCells="1" sizeWithCells="1">
                  <from>
                    <xdr:col>7</xdr:col>
                    <xdr:colOff>428625</xdr:colOff>
                    <xdr:row>6</xdr:row>
                    <xdr:rowOff>9525</xdr:rowOff>
                  </from>
                  <to>
                    <xdr:col>8</xdr:col>
                    <xdr:colOff>0</xdr:colOff>
                    <xdr:row>7</xdr:row>
                    <xdr:rowOff>0</xdr:rowOff>
                  </to>
                </anchor>
              </controlPr>
            </control>
          </mc:Choice>
        </mc:AlternateContent>
        <mc:AlternateContent xmlns:mc="http://schemas.openxmlformats.org/markup-compatibility/2006">
          <mc:Choice Requires="x14">
            <control shapeId="18437" r:id="rId8" name="Copy_BLC4_Point">
              <controlPr defaultSize="0" print="0" autoFill="0" autoPict="0" macro="[0]!Copy_BLC4_Point">
                <anchor moveWithCells="1" sizeWithCells="1">
                  <from>
                    <xdr:col>7</xdr:col>
                    <xdr:colOff>428625</xdr:colOff>
                    <xdr:row>7</xdr:row>
                    <xdr:rowOff>9525</xdr:rowOff>
                  </from>
                  <to>
                    <xdr:col>8</xdr:col>
                    <xdr:colOff>0</xdr:colOff>
                    <xdr:row>8</xdr:row>
                    <xdr:rowOff>0</xdr:rowOff>
                  </to>
                </anchor>
              </controlPr>
            </control>
          </mc:Choice>
        </mc:AlternateContent>
        <mc:AlternateContent xmlns:mc="http://schemas.openxmlformats.org/markup-compatibility/2006">
          <mc:Choice Requires="x14">
            <control shapeId="18438" r:id="rId9" name="Copy_BLC5_Point">
              <controlPr defaultSize="0" print="0" autoFill="0" autoPict="0" macro="[0]!Copy_BLC5_Point">
                <anchor moveWithCells="1" sizeWithCells="1">
                  <from>
                    <xdr:col>7</xdr:col>
                    <xdr:colOff>428625</xdr:colOff>
                    <xdr:row>8</xdr:row>
                    <xdr:rowOff>9525</xdr:rowOff>
                  </from>
                  <to>
                    <xdr:col>8</xdr:col>
                    <xdr:colOff>0</xdr:colOff>
                    <xdr:row>9</xdr:row>
                    <xdr:rowOff>0</xdr:rowOff>
                  </to>
                </anchor>
              </controlPr>
            </control>
          </mc:Choice>
        </mc:AlternateContent>
        <mc:AlternateContent xmlns:mc="http://schemas.openxmlformats.org/markup-compatibility/2006">
          <mc:Choice Requires="x14">
            <control shapeId="18439" r:id="rId10" name="Copy_BLC6_Point">
              <controlPr defaultSize="0" print="0" autoFill="0" autoPict="0" macro="[0]!Copy_BLC6_Point">
                <anchor moveWithCells="1" sizeWithCells="1">
                  <from>
                    <xdr:col>7</xdr:col>
                    <xdr:colOff>428625</xdr:colOff>
                    <xdr:row>9</xdr:row>
                    <xdr:rowOff>9525</xdr:rowOff>
                  </from>
                  <to>
                    <xdr:col>8</xdr:col>
                    <xdr:colOff>0</xdr:colOff>
                    <xdr:row>10</xdr:row>
                    <xdr:rowOff>0</xdr:rowOff>
                  </to>
                </anchor>
              </controlPr>
            </control>
          </mc:Choice>
        </mc:AlternateContent>
        <mc:AlternateContent xmlns:mc="http://schemas.openxmlformats.org/markup-compatibility/2006">
          <mc:Choice Requires="x14">
            <control shapeId="18440" r:id="rId11" name="Copy_BLC7_Point">
              <controlPr defaultSize="0" print="0" autoFill="0" autoPict="0" macro="[0]!Copy_BLC7_Point">
                <anchor moveWithCells="1" sizeWithCells="1">
                  <from>
                    <xdr:col>7</xdr:col>
                    <xdr:colOff>428625</xdr:colOff>
                    <xdr:row>10</xdr:row>
                    <xdr:rowOff>9525</xdr:rowOff>
                  </from>
                  <to>
                    <xdr:col>8</xdr:col>
                    <xdr:colOff>0</xdr:colOff>
                    <xdr:row>11</xdr:row>
                    <xdr:rowOff>0</xdr:rowOff>
                  </to>
                </anchor>
              </controlPr>
            </control>
          </mc:Choice>
        </mc:AlternateContent>
        <mc:AlternateContent xmlns:mc="http://schemas.openxmlformats.org/markup-compatibility/2006">
          <mc:Choice Requires="x14">
            <control shapeId="18441" r:id="rId12" name="Copy_BLC8_Point">
              <controlPr defaultSize="0" print="0" autoFill="0" autoPict="0" macro="[0]!Copy_BLC8_Point">
                <anchor moveWithCells="1" sizeWithCells="1">
                  <from>
                    <xdr:col>7</xdr:col>
                    <xdr:colOff>428625</xdr:colOff>
                    <xdr:row>11</xdr:row>
                    <xdr:rowOff>9525</xdr:rowOff>
                  </from>
                  <to>
                    <xdr:col>8</xdr:col>
                    <xdr:colOff>0</xdr:colOff>
                    <xdr:row>12</xdr:row>
                    <xdr:rowOff>0</xdr:rowOff>
                  </to>
                </anchor>
              </controlPr>
            </control>
          </mc:Choice>
        </mc:AlternateContent>
        <mc:AlternateContent xmlns:mc="http://schemas.openxmlformats.org/markup-compatibility/2006">
          <mc:Choice Requires="x14">
            <control shapeId="18442" r:id="rId13" name="Copy_BLC9_Point">
              <controlPr defaultSize="0" print="0" autoFill="0" autoPict="0" macro="[0]!Copy_BLC9_Point">
                <anchor moveWithCells="1" sizeWithCells="1">
                  <from>
                    <xdr:col>7</xdr:col>
                    <xdr:colOff>428625</xdr:colOff>
                    <xdr:row>12</xdr:row>
                    <xdr:rowOff>9525</xdr:rowOff>
                  </from>
                  <to>
                    <xdr:col>8</xdr:col>
                    <xdr:colOff>0</xdr:colOff>
                    <xdr:row>13</xdr:row>
                    <xdr:rowOff>0</xdr:rowOff>
                  </to>
                </anchor>
              </controlPr>
            </control>
          </mc:Choice>
        </mc:AlternateContent>
        <mc:AlternateContent xmlns:mc="http://schemas.openxmlformats.org/markup-compatibility/2006">
          <mc:Choice Requires="x14">
            <control shapeId="18443" r:id="rId14" name="Copy_BLC10_Point">
              <controlPr defaultSize="0" print="0" autoFill="0" autoPict="0" macro="[0]!Copy_BLC10_Point">
                <anchor moveWithCells="1" sizeWithCells="1">
                  <from>
                    <xdr:col>7</xdr:col>
                    <xdr:colOff>428625</xdr:colOff>
                    <xdr:row>13</xdr:row>
                    <xdr:rowOff>9525</xdr:rowOff>
                  </from>
                  <to>
                    <xdr:col>8</xdr:col>
                    <xdr:colOff>0</xdr:colOff>
                    <xdr:row>14</xdr:row>
                    <xdr:rowOff>0</xdr:rowOff>
                  </to>
                </anchor>
              </controlPr>
            </control>
          </mc:Choice>
        </mc:AlternateContent>
        <mc:AlternateContent xmlns:mc="http://schemas.openxmlformats.org/markup-compatibility/2006">
          <mc:Choice Requires="x14">
            <control shapeId="18444" r:id="rId15" name="Copy_BLC11_Point">
              <controlPr defaultSize="0" print="0" autoFill="0" autoPict="0" macro="[0]!Copy_BLC11_Point">
                <anchor moveWithCells="1" sizeWithCells="1">
                  <from>
                    <xdr:col>7</xdr:col>
                    <xdr:colOff>428625</xdr:colOff>
                    <xdr:row>14</xdr:row>
                    <xdr:rowOff>9525</xdr:rowOff>
                  </from>
                  <to>
                    <xdr:col>8</xdr:col>
                    <xdr:colOff>0</xdr:colOff>
                    <xdr:row>15</xdr:row>
                    <xdr:rowOff>0</xdr:rowOff>
                  </to>
                </anchor>
              </controlPr>
            </control>
          </mc:Choice>
        </mc:AlternateContent>
        <mc:AlternateContent xmlns:mc="http://schemas.openxmlformats.org/markup-compatibility/2006">
          <mc:Choice Requires="x14">
            <control shapeId="18445" r:id="rId16" name="Copy_BLC12_Point">
              <controlPr defaultSize="0" print="0" autoFill="0" autoPict="0" macro="[0]!Copy_BLC12_Point">
                <anchor moveWithCells="1" sizeWithCells="1">
                  <from>
                    <xdr:col>7</xdr:col>
                    <xdr:colOff>428625</xdr:colOff>
                    <xdr:row>15</xdr:row>
                    <xdr:rowOff>9525</xdr:rowOff>
                  </from>
                  <to>
                    <xdr:col>8</xdr:col>
                    <xdr:colOff>0</xdr:colOff>
                    <xdr:row>16</xdr:row>
                    <xdr:rowOff>0</xdr:rowOff>
                  </to>
                </anchor>
              </controlPr>
            </control>
          </mc:Choice>
        </mc:AlternateContent>
        <mc:AlternateContent xmlns:mc="http://schemas.openxmlformats.org/markup-compatibility/2006">
          <mc:Choice Requires="x14">
            <control shapeId="18446" r:id="rId17" name="Copy_BLC13_Point">
              <controlPr defaultSize="0" print="0" autoFill="0" autoPict="0" macro="[0]!Copy_BLC13_Point">
                <anchor moveWithCells="1" sizeWithCells="1">
                  <from>
                    <xdr:col>7</xdr:col>
                    <xdr:colOff>428625</xdr:colOff>
                    <xdr:row>16</xdr:row>
                    <xdr:rowOff>9525</xdr:rowOff>
                  </from>
                  <to>
                    <xdr:col>8</xdr:col>
                    <xdr:colOff>0</xdr:colOff>
                    <xdr:row>17</xdr:row>
                    <xdr:rowOff>0</xdr:rowOff>
                  </to>
                </anchor>
              </controlPr>
            </control>
          </mc:Choice>
        </mc:AlternateContent>
        <mc:AlternateContent xmlns:mc="http://schemas.openxmlformats.org/markup-compatibility/2006">
          <mc:Choice Requires="x14">
            <control shapeId="18447" r:id="rId18" name="Copy_BLC14_Point">
              <controlPr defaultSize="0" print="0" autoFill="0" autoPict="0" macro="[0]!Copy_BLC14_Point">
                <anchor moveWithCells="1" sizeWithCells="1">
                  <from>
                    <xdr:col>7</xdr:col>
                    <xdr:colOff>428625</xdr:colOff>
                    <xdr:row>17</xdr:row>
                    <xdr:rowOff>9525</xdr:rowOff>
                  </from>
                  <to>
                    <xdr:col>8</xdr:col>
                    <xdr:colOff>0</xdr:colOff>
                    <xdr:row>18</xdr:row>
                    <xdr:rowOff>0</xdr:rowOff>
                  </to>
                </anchor>
              </controlPr>
            </control>
          </mc:Choice>
        </mc:AlternateContent>
        <mc:AlternateContent xmlns:mc="http://schemas.openxmlformats.org/markup-compatibility/2006">
          <mc:Choice Requires="x14">
            <control shapeId="18448" r:id="rId19" name="Copy_BLC15_Point">
              <controlPr defaultSize="0" print="0" autoFill="0" autoPict="0" macro="[0]!Copy_BLC15_Point">
                <anchor moveWithCells="1" sizeWithCells="1">
                  <from>
                    <xdr:col>7</xdr:col>
                    <xdr:colOff>428625</xdr:colOff>
                    <xdr:row>18</xdr:row>
                    <xdr:rowOff>9525</xdr:rowOff>
                  </from>
                  <to>
                    <xdr:col>8</xdr:col>
                    <xdr:colOff>0</xdr:colOff>
                    <xdr:row>19</xdr:row>
                    <xdr:rowOff>0</xdr:rowOff>
                  </to>
                </anchor>
              </controlPr>
            </control>
          </mc:Choice>
        </mc:AlternateContent>
        <mc:AlternateContent xmlns:mc="http://schemas.openxmlformats.org/markup-compatibility/2006">
          <mc:Choice Requires="x14">
            <control shapeId="18449" r:id="rId20" name="Copy_BLC16_Point">
              <controlPr defaultSize="0" print="0" autoFill="0" autoPict="0" macro="[0]!Copy_BLC16_Point">
                <anchor moveWithCells="1" sizeWithCells="1">
                  <from>
                    <xdr:col>7</xdr:col>
                    <xdr:colOff>428625</xdr:colOff>
                    <xdr:row>19</xdr:row>
                    <xdr:rowOff>9525</xdr:rowOff>
                  </from>
                  <to>
                    <xdr:col>8</xdr:col>
                    <xdr:colOff>0</xdr:colOff>
                    <xdr:row>20</xdr:row>
                    <xdr:rowOff>0</xdr:rowOff>
                  </to>
                </anchor>
              </controlPr>
            </control>
          </mc:Choice>
        </mc:AlternateContent>
        <mc:AlternateContent xmlns:mc="http://schemas.openxmlformats.org/markup-compatibility/2006">
          <mc:Choice Requires="x14">
            <control shapeId="18450" r:id="rId21" name="Copy_BLC17_Distributed">
              <controlPr defaultSize="0" print="0" autoFill="0" autoPict="0" macro="[0]!Copy_BLC17_Distributed">
                <anchor moveWithCells="1" sizeWithCells="1">
                  <from>
                    <xdr:col>8</xdr:col>
                    <xdr:colOff>428625</xdr:colOff>
                    <xdr:row>20</xdr:row>
                    <xdr:rowOff>9525</xdr:rowOff>
                  </from>
                  <to>
                    <xdr:col>9</xdr:col>
                    <xdr:colOff>0</xdr:colOff>
                    <xdr:row>21</xdr:row>
                    <xdr:rowOff>0</xdr:rowOff>
                  </to>
                </anchor>
              </controlPr>
            </control>
          </mc:Choice>
        </mc:AlternateContent>
        <mc:AlternateContent xmlns:mc="http://schemas.openxmlformats.org/markup-compatibility/2006">
          <mc:Choice Requires="x14">
            <control shapeId="18451" r:id="rId22" name="Copy_BLC18_Distributed">
              <controlPr defaultSize="0" print="0" autoFill="0" autoPict="0" macro="[0]!Copy_BLC18_Distributed">
                <anchor moveWithCells="1" sizeWithCells="1">
                  <from>
                    <xdr:col>8</xdr:col>
                    <xdr:colOff>428625</xdr:colOff>
                    <xdr:row>21</xdr:row>
                    <xdr:rowOff>9525</xdr:rowOff>
                  </from>
                  <to>
                    <xdr:col>9</xdr:col>
                    <xdr:colOff>0</xdr:colOff>
                    <xdr:row>22</xdr:row>
                    <xdr:rowOff>0</xdr:rowOff>
                  </to>
                </anchor>
              </controlPr>
            </control>
          </mc:Choice>
        </mc:AlternateContent>
        <mc:AlternateContent xmlns:mc="http://schemas.openxmlformats.org/markup-compatibility/2006">
          <mc:Choice Requires="x14">
            <control shapeId="18452" r:id="rId23" name="Copy_BLC19_Distributed">
              <controlPr defaultSize="0" print="0" autoFill="0" autoPict="0" macro="[0]!Copy_BLC19_Distributed">
                <anchor moveWithCells="1" sizeWithCells="1">
                  <from>
                    <xdr:col>8</xdr:col>
                    <xdr:colOff>428625</xdr:colOff>
                    <xdr:row>22</xdr:row>
                    <xdr:rowOff>9525</xdr:rowOff>
                  </from>
                  <to>
                    <xdr:col>9</xdr:col>
                    <xdr:colOff>0</xdr:colOff>
                    <xdr:row>23</xdr:row>
                    <xdr:rowOff>0</xdr:rowOff>
                  </to>
                </anchor>
              </controlPr>
            </control>
          </mc:Choice>
        </mc:AlternateContent>
        <mc:AlternateContent xmlns:mc="http://schemas.openxmlformats.org/markup-compatibility/2006">
          <mc:Choice Requires="x14">
            <control shapeId="18453" r:id="rId24" name="Copy_BLC20_Distributed">
              <controlPr defaultSize="0" print="0" autoFill="0" autoPict="0" macro="[0]!Copy_BLC20_Distributed">
                <anchor moveWithCells="1" sizeWithCells="1">
                  <from>
                    <xdr:col>8</xdr:col>
                    <xdr:colOff>428625</xdr:colOff>
                    <xdr:row>23</xdr:row>
                    <xdr:rowOff>9525</xdr:rowOff>
                  </from>
                  <to>
                    <xdr:col>9</xdr:col>
                    <xdr:colOff>0</xdr:colOff>
                    <xdr:row>24</xdr:row>
                    <xdr:rowOff>0</xdr:rowOff>
                  </to>
                </anchor>
              </controlPr>
            </control>
          </mc:Choice>
        </mc:AlternateContent>
        <mc:AlternateContent xmlns:mc="http://schemas.openxmlformats.org/markup-compatibility/2006">
          <mc:Choice Requires="x14">
            <control shapeId="18454" r:id="rId25" name="Copy_BLC21_Distributed">
              <controlPr defaultSize="0" print="0" autoFill="0" autoPict="0" macro="[0]!Copy_BLC21_Distributed">
                <anchor moveWithCells="1" sizeWithCells="1">
                  <from>
                    <xdr:col>8</xdr:col>
                    <xdr:colOff>428625</xdr:colOff>
                    <xdr:row>24</xdr:row>
                    <xdr:rowOff>9525</xdr:rowOff>
                  </from>
                  <to>
                    <xdr:col>9</xdr:col>
                    <xdr:colOff>0</xdr:colOff>
                    <xdr:row>25</xdr:row>
                    <xdr:rowOff>0</xdr:rowOff>
                  </to>
                </anchor>
              </controlPr>
            </control>
          </mc:Choice>
        </mc:AlternateContent>
        <mc:AlternateContent xmlns:mc="http://schemas.openxmlformats.org/markup-compatibility/2006">
          <mc:Choice Requires="x14">
            <control shapeId="18455" r:id="rId26" name="Copy_BLC22_Distributed">
              <controlPr defaultSize="0" print="0" autoFill="0" autoPict="0" macro="[0]!Copy_BLC22_Distributed">
                <anchor moveWithCells="1" sizeWithCells="1">
                  <from>
                    <xdr:col>8</xdr:col>
                    <xdr:colOff>428625</xdr:colOff>
                    <xdr:row>25</xdr:row>
                    <xdr:rowOff>9525</xdr:rowOff>
                  </from>
                  <to>
                    <xdr:col>9</xdr:col>
                    <xdr:colOff>0</xdr:colOff>
                    <xdr:row>26</xdr:row>
                    <xdr:rowOff>0</xdr:rowOff>
                  </to>
                </anchor>
              </controlPr>
            </control>
          </mc:Choice>
        </mc:AlternateContent>
        <mc:AlternateContent xmlns:mc="http://schemas.openxmlformats.org/markup-compatibility/2006">
          <mc:Choice Requires="x14">
            <control shapeId="18456" r:id="rId27" name="Copy_BLC23_Distributed">
              <controlPr defaultSize="0" print="0" autoFill="0" autoPict="0" macro="[0]!Copy_BLC23_Distributed">
                <anchor moveWithCells="1" sizeWithCells="1">
                  <from>
                    <xdr:col>8</xdr:col>
                    <xdr:colOff>428625</xdr:colOff>
                    <xdr:row>26</xdr:row>
                    <xdr:rowOff>9525</xdr:rowOff>
                  </from>
                  <to>
                    <xdr:col>9</xdr:col>
                    <xdr:colOff>0</xdr:colOff>
                    <xdr:row>27</xdr:row>
                    <xdr:rowOff>0</xdr:rowOff>
                  </to>
                </anchor>
              </controlPr>
            </control>
          </mc:Choice>
        </mc:AlternateContent>
        <mc:AlternateContent xmlns:mc="http://schemas.openxmlformats.org/markup-compatibility/2006">
          <mc:Choice Requires="x14">
            <control shapeId="18457" r:id="rId28" name="Copy_BLC24_Distributed">
              <controlPr defaultSize="0" print="0" autoFill="0" autoPict="0" macro="[0]!Copy_BLC24_Distributed">
                <anchor moveWithCells="1" sizeWithCells="1">
                  <from>
                    <xdr:col>8</xdr:col>
                    <xdr:colOff>428625</xdr:colOff>
                    <xdr:row>27</xdr:row>
                    <xdr:rowOff>9525</xdr:rowOff>
                  </from>
                  <to>
                    <xdr:col>9</xdr:col>
                    <xdr:colOff>0</xdr:colOff>
                    <xdr:row>28</xdr:row>
                    <xdr:rowOff>0</xdr:rowOff>
                  </to>
                </anchor>
              </controlPr>
            </control>
          </mc:Choice>
        </mc:AlternateContent>
        <mc:AlternateContent xmlns:mc="http://schemas.openxmlformats.org/markup-compatibility/2006">
          <mc:Choice Requires="x14">
            <control shapeId="18458" r:id="rId29" name="Copy_BLC25_Distributed">
              <controlPr defaultSize="0" print="0" autoFill="0" autoPict="0" macro="[0]!Copy_BLC25_Distributed">
                <anchor moveWithCells="1" sizeWithCells="1">
                  <from>
                    <xdr:col>8</xdr:col>
                    <xdr:colOff>428625</xdr:colOff>
                    <xdr:row>28</xdr:row>
                    <xdr:rowOff>9525</xdr:rowOff>
                  </from>
                  <to>
                    <xdr:col>9</xdr:col>
                    <xdr:colOff>0</xdr:colOff>
                    <xdr:row>29</xdr:row>
                    <xdr:rowOff>0</xdr:rowOff>
                  </to>
                </anchor>
              </controlPr>
            </control>
          </mc:Choice>
        </mc:AlternateContent>
        <mc:AlternateContent xmlns:mc="http://schemas.openxmlformats.org/markup-compatibility/2006">
          <mc:Choice Requires="x14">
            <control shapeId="18459" r:id="rId30" name="Copy_BLC26_Distributed">
              <controlPr defaultSize="0" print="0" autoFill="0" autoPict="0" macro="[0]!Copy_BLC26_Distributed">
                <anchor moveWithCells="1" sizeWithCells="1">
                  <from>
                    <xdr:col>8</xdr:col>
                    <xdr:colOff>428625</xdr:colOff>
                    <xdr:row>29</xdr:row>
                    <xdr:rowOff>9525</xdr:rowOff>
                  </from>
                  <to>
                    <xdr:col>9</xdr:col>
                    <xdr:colOff>0</xdr:colOff>
                    <xdr:row>30</xdr:row>
                    <xdr:rowOff>0</xdr:rowOff>
                  </to>
                </anchor>
              </controlPr>
            </control>
          </mc:Choice>
        </mc:AlternateContent>
        <mc:AlternateContent xmlns:mc="http://schemas.openxmlformats.org/markup-compatibility/2006">
          <mc:Choice Requires="x14">
            <control shapeId="18460" r:id="rId31" name="Copy_BLC27_Distributed">
              <controlPr defaultSize="0" print="0" autoFill="0" autoPict="0" macro="[0]!Copy_BLC27_Distributed">
                <anchor moveWithCells="1" sizeWithCells="1">
                  <from>
                    <xdr:col>8</xdr:col>
                    <xdr:colOff>428625</xdr:colOff>
                    <xdr:row>30</xdr:row>
                    <xdr:rowOff>9525</xdr:rowOff>
                  </from>
                  <to>
                    <xdr:col>9</xdr:col>
                    <xdr:colOff>0</xdr:colOff>
                    <xdr:row>31</xdr:row>
                    <xdr:rowOff>0</xdr:rowOff>
                  </to>
                </anchor>
              </controlPr>
            </control>
          </mc:Choice>
        </mc:AlternateContent>
        <mc:AlternateContent xmlns:mc="http://schemas.openxmlformats.org/markup-compatibility/2006">
          <mc:Choice Requires="x14">
            <control shapeId="18461" r:id="rId32" name="Copy_BLC28_Distributed">
              <controlPr defaultSize="0" print="0" autoFill="0" autoPict="0" macro="[0]!Copy_BLC28_Distributed">
                <anchor moveWithCells="1" sizeWithCells="1">
                  <from>
                    <xdr:col>8</xdr:col>
                    <xdr:colOff>428625</xdr:colOff>
                    <xdr:row>31</xdr:row>
                    <xdr:rowOff>9525</xdr:rowOff>
                  </from>
                  <to>
                    <xdr:col>9</xdr:col>
                    <xdr:colOff>0</xdr:colOff>
                    <xdr:row>32</xdr:row>
                    <xdr:rowOff>0</xdr:rowOff>
                  </to>
                </anchor>
              </controlPr>
            </control>
          </mc:Choice>
        </mc:AlternateContent>
        <mc:AlternateContent xmlns:mc="http://schemas.openxmlformats.org/markup-compatibility/2006">
          <mc:Choice Requires="x14">
            <control shapeId="18462" r:id="rId33" name="Copy_BLC29_Distributed">
              <controlPr defaultSize="0" print="0" autoFill="0" autoPict="0" macro="[0]!Copy_BLC29_Distributed">
                <anchor moveWithCells="1" sizeWithCells="1">
                  <from>
                    <xdr:col>8</xdr:col>
                    <xdr:colOff>428625</xdr:colOff>
                    <xdr:row>32</xdr:row>
                    <xdr:rowOff>9525</xdr:rowOff>
                  </from>
                  <to>
                    <xdr:col>9</xdr:col>
                    <xdr:colOff>0</xdr:colOff>
                    <xdr:row>33</xdr:row>
                    <xdr:rowOff>0</xdr:rowOff>
                  </to>
                </anchor>
              </controlPr>
            </control>
          </mc:Choice>
        </mc:AlternateContent>
        <mc:AlternateContent xmlns:mc="http://schemas.openxmlformats.org/markup-compatibility/2006">
          <mc:Choice Requires="x14">
            <control shapeId="18463" r:id="rId34" name="Copy_BLC30_Distributed">
              <controlPr defaultSize="0" print="0" autoFill="0" autoPict="0" macro="[0]!Copy_BLC30_Distributed">
                <anchor moveWithCells="1" sizeWithCells="1">
                  <from>
                    <xdr:col>8</xdr:col>
                    <xdr:colOff>428625</xdr:colOff>
                    <xdr:row>33</xdr:row>
                    <xdr:rowOff>9525</xdr:rowOff>
                  </from>
                  <to>
                    <xdr:col>9</xdr:col>
                    <xdr:colOff>0</xdr:colOff>
                    <xdr:row>34</xdr:row>
                    <xdr:rowOff>0</xdr:rowOff>
                  </to>
                </anchor>
              </controlPr>
            </control>
          </mc:Choice>
        </mc:AlternateContent>
        <mc:AlternateContent xmlns:mc="http://schemas.openxmlformats.org/markup-compatibility/2006">
          <mc:Choice Requires="x14">
            <control shapeId="18464" r:id="rId35" name="Copy_BLC31_Distributed">
              <controlPr defaultSize="0" print="0" autoFill="0" autoPict="0" macro="[0]!Copy_BLC31_Distributed">
                <anchor moveWithCells="1" sizeWithCells="1">
                  <from>
                    <xdr:col>8</xdr:col>
                    <xdr:colOff>428625</xdr:colOff>
                    <xdr:row>34</xdr:row>
                    <xdr:rowOff>9525</xdr:rowOff>
                  </from>
                  <to>
                    <xdr:col>9</xdr:col>
                    <xdr:colOff>0</xdr:colOff>
                    <xdr:row>35</xdr:row>
                    <xdr:rowOff>0</xdr:rowOff>
                  </to>
                </anchor>
              </controlPr>
            </control>
          </mc:Choice>
        </mc:AlternateContent>
        <mc:AlternateContent xmlns:mc="http://schemas.openxmlformats.org/markup-compatibility/2006">
          <mc:Choice Requires="x14">
            <control shapeId="18465" r:id="rId36" name="Copy_BLC32_Distributed">
              <controlPr defaultSize="0" print="0" autoFill="0" autoPict="0" macro="[0]!Copy_BLC32_Distributed">
                <anchor moveWithCells="1" sizeWithCells="1">
                  <from>
                    <xdr:col>8</xdr:col>
                    <xdr:colOff>428625</xdr:colOff>
                    <xdr:row>35</xdr:row>
                    <xdr:rowOff>9525</xdr:rowOff>
                  </from>
                  <to>
                    <xdr:col>9</xdr:col>
                    <xdr:colOff>0</xdr:colOff>
                    <xdr:row>36</xdr:row>
                    <xdr:rowOff>0</xdr:rowOff>
                  </to>
                </anchor>
              </controlPr>
            </control>
          </mc:Choice>
        </mc:AlternateContent>
        <mc:AlternateContent xmlns:mc="http://schemas.openxmlformats.org/markup-compatibility/2006">
          <mc:Choice Requires="x14">
            <control shapeId="18472" r:id="rId37" name="Copy_BLC33_Point">
              <controlPr defaultSize="0" print="0" autoFill="0" autoPict="0" macro="[0]!Copy_BLC33_Point">
                <anchor moveWithCells="1" sizeWithCells="1">
                  <from>
                    <xdr:col>7</xdr:col>
                    <xdr:colOff>428625</xdr:colOff>
                    <xdr:row>36</xdr:row>
                    <xdr:rowOff>9525</xdr:rowOff>
                  </from>
                  <to>
                    <xdr:col>8</xdr:col>
                    <xdr:colOff>0</xdr:colOff>
                    <xdr:row>37</xdr:row>
                    <xdr:rowOff>0</xdr:rowOff>
                  </to>
                </anchor>
              </controlPr>
            </control>
          </mc:Choice>
        </mc:AlternateContent>
        <mc:AlternateContent xmlns:mc="http://schemas.openxmlformats.org/markup-compatibility/2006">
          <mc:Choice Requires="x14">
            <control shapeId="18473" r:id="rId38" name="Copy_BLC34_Point">
              <controlPr defaultSize="0" print="0" autoFill="0" autoPict="0" macro="[0]!Copy_BLC34_Point">
                <anchor moveWithCells="1" sizeWithCells="1">
                  <from>
                    <xdr:col>7</xdr:col>
                    <xdr:colOff>428625</xdr:colOff>
                    <xdr:row>37</xdr:row>
                    <xdr:rowOff>9525</xdr:rowOff>
                  </from>
                  <to>
                    <xdr:col>8</xdr:col>
                    <xdr:colOff>0</xdr:colOff>
                    <xdr:row>38</xdr:row>
                    <xdr:rowOff>0</xdr:rowOff>
                  </to>
                </anchor>
              </controlPr>
            </control>
          </mc:Choice>
        </mc:AlternateContent>
        <mc:AlternateContent xmlns:mc="http://schemas.openxmlformats.org/markup-compatibility/2006">
          <mc:Choice Requires="x14">
            <control shapeId="18474" r:id="rId39" name="Copy_BLC35_Point">
              <controlPr defaultSize="0" print="0" autoFill="0" autoPict="0" macro="[0]!Copy_BLC35_Point">
                <anchor moveWithCells="1" sizeWithCells="1">
                  <from>
                    <xdr:col>7</xdr:col>
                    <xdr:colOff>428625</xdr:colOff>
                    <xdr:row>38</xdr:row>
                    <xdr:rowOff>9525</xdr:rowOff>
                  </from>
                  <to>
                    <xdr:col>8</xdr:col>
                    <xdr:colOff>0</xdr:colOff>
                    <xdr:row>39</xdr:row>
                    <xdr:rowOff>0</xdr:rowOff>
                  </to>
                </anchor>
              </controlPr>
            </control>
          </mc:Choice>
        </mc:AlternateContent>
        <mc:AlternateContent xmlns:mc="http://schemas.openxmlformats.org/markup-compatibility/2006">
          <mc:Choice Requires="x14">
            <control shapeId="18475" r:id="rId40" name="Copy_BLC36_Point">
              <controlPr defaultSize="0" print="0" autoFill="0" autoPict="0" macro="[0]!Copy_BLC36_Point">
                <anchor moveWithCells="1" sizeWithCells="1">
                  <from>
                    <xdr:col>7</xdr:col>
                    <xdr:colOff>428625</xdr:colOff>
                    <xdr:row>39</xdr:row>
                    <xdr:rowOff>9525</xdr:rowOff>
                  </from>
                  <to>
                    <xdr:col>8</xdr:col>
                    <xdr:colOff>0</xdr:colOff>
                    <xdr:row>40</xdr:row>
                    <xdr:rowOff>0</xdr:rowOff>
                  </to>
                </anchor>
              </controlPr>
            </control>
          </mc:Choice>
        </mc:AlternateContent>
        <mc:AlternateContent xmlns:mc="http://schemas.openxmlformats.org/markup-compatibility/2006">
          <mc:Choice Requires="x14">
            <control shapeId="18476" r:id="rId41" name="Copy_BLC37_Point">
              <controlPr defaultSize="0" print="0" autoFill="0" autoPict="0" macro="[0]!Copy_BLC37_Point">
                <anchor moveWithCells="1" sizeWithCells="1">
                  <from>
                    <xdr:col>7</xdr:col>
                    <xdr:colOff>428625</xdr:colOff>
                    <xdr:row>40</xdr:row>
                    <xdr:rowOff>9525</xdr:rowOff>
                  </from>
                  <to>
                    <xdr:col>8</xdr:col>
                    <xdr:colOff>0</xdr:colOff>
                    <xdr:row>41</xdr:row>
                    <xdr:rowOff>0</xdr:rowOff>
                  </to>
                </anchor>
              </controlPr>
            </control>
          </mc:Choice>
        </mc:AlternateContent>
        <mc:AlternateContent xmlns:mc="http://schemas.openxmlformats.org/markup-compatibility/2006">
          <mc:Choice Requires="x14">
            <control shapeId="18477" r:id="rId42" name="Copy_BLC38_Point">
              <controlPr defaultSize="0" print="0" autoFill="0" autoPict="0" macro="[0]!Copy_BLC38_Point">
                <anchor moveWithCells="1" sizeWithCells="1">
                  <from>
                    <xdr:col>7</xdr:col>
                    <xdr:colOff>428625</xdr:colOff>
                    <xdr:row>41</xdr:row>
                    <xdr:rowOff>9525</xdr:rowOff>
                  </from>
                  <to>
                    <xdr:col>8</xdr:col>
                    <xdr:colOff>0</xdr:colOff>
                    <xdr:row>42</xdr:row>
                    <xdr:rowOff>0</xdr:rowOff>
                  </to>
                </anchor>
              </controlPr>
            </control>
          </mc:Choice>
        </mc:AlternateContent>
        <mc:AlternateContent xmlns:mc="http://schemas.openxmlformats.org/markup-compatibility/2006">
          <mc:Choice Requires="x14">
            <control shapeId="18478" r:id="rId43" name="Copy_BLC39_Point">
              <controlPr defaultSize="0" print="0" autoFill="0" autoPict="0" macro="[0]!Copy_BLC39_Point">
                <anchor moveWithCells="1" sizeWithCells="1">
                  <from>
                    <xdr:col>7</xdr:col>
                    <xdr:colOff>428625</xdr:colOff>
                    <xdr:row>42</xdr:row>
                    <xdr:rowOff>9525</xdr:rowOff>
                  </from>
                  <to>
                    <xdr:col>8</xdr:col>
                    <xdr:colOff>0</xdr:colOff>
                    <xdr:row>43</xdr:row>
                    <xdr:rowOff>0</xdr:rowOff>
                  </to>
                </anchor>
              </controlPr>
            </control>
          </mc:Choice>
        </mc:AlternateContent>
        <mc:AlternateContent xmlns:mc="http://schemas.openxmlformats.org/markup-compatibility/2006">
          <mc:Choice Requires="x14">
            <control shapeId="18479" r:id="rId44" name="Copy_BLC40_Point">
              <controlPr defaultSize="0" print="0" autoFill="0" autoPict="0" macro="[0]!Copy_BLC40_Point">
                <anchor moveWithCells="1" sizeWithCells="1">
                  <from>
                    <xdr:col>7</xdr:col>
                    <xdr:colOff>428625</xdr:colOff>
                    <xdr:row>43</xdr:row>
                    <xdr:rowOff>9525</xdr:rowOff>
                  </from>
                  <to>
                    <xdr:col>8</xdr:col>
                    <xdr:colOff>0</xdr:colOff>
                    <xdr:row>44</xdr:row>
                    <xdr:rowOff>0</xdr:rowOff>
                  </to>
                </anchor>
              </controlPr>
            </control>
          </mc:Choice>
        </mc:AlternateContent>
        <mc:AlternateContent xmlns:mc="http://schemas.openxmlformats.org/markup-compatibility/2006">
          <mc:Choice Requires="x14">
            <control shapeId="18480" r:id="rId45" name="Copy_BLC41_Point">
              <controlPr defaultSize="0" print="0" autoFill="0" autoPict="0" macro="[0]!Copy_BLC41_Point">
                <anchor moveWithCells="1" sizeWithCells="1">
                  <from>
                    <xdr:col>7</xdr:col>
                    <xdr:colOff>428625</xdr:colOff>
                    <xdr:row>44</xdr:row>
                    <xdr:rowOff>9525</xdr:rowOff>
                  </from>
                  <to>
                    <xdr:col>8</xdr:col>
                    <xdr:colOff>0</xdr:colOff>
                    <xdr:row>45</xdr:row>
                    <xdr:rowOff>0</xdr:rowOff>
                  </to>
                </anchor>
              </controlPr>
            </control>
          </mc:Choice>
        </mc:AlternateContent>
        <mc:AlternateContent xmlns:mc="http://schemas.openxmlformats.org/markup-compatibility/2006">
          <mc:Choice Requires="x14">
            <control shapeId="18481" r:id="rId46" name="Copy_BLC42_Point">
              <controlPr defaultSize="0" print="0" autoFill="0" autoPict="0" macro="[0]!Copy_BLC42_Point">
                <anchor moveWithCells="1" sizeWithCells="1">
                  <from>
                    <xdr:col>7</xdr:col>
                    <xdr:colOff>428625</xdr:colOff>
                    <xdr:row>45</xdr:row>
                    <xdr:rowOff>9525</xdr:rowOff>
                  </from>
                  <to>
                    <xdr:col>8</xdr:col>
                    <xdr:colOff>0</xdr:colOff>
                    <xdr:row>46</xdr:row>
                    <xdr:rowOff>0</xdr:rowOff>
                  </to>
                </anchor>
              </controlPr>
            </control>
          </mc:Choice>
        </mc:AlternateContent>
        <mc:AlternateContent xmlns:mc="http://schemas.openxmlformats.org/markup-compatibility/2006">
          <mc:Choice Requires="x14">
            <control shapeId="18482" r:id="rId47" name="Copy_BLC43_Point">
              <controlPr defaultSize="0" print="0" autoFill="0" autoPict="0" macro="[0]!Copy_BLC43_Point">
                <anchor moveWithCells="1" sizeWithCells="1">
                  <from>
                    <xdr:col>7</xdr:col>
                    <xdr:colOff>428625</xdr:colOff>
                    <xdr:row>46</xdr:row>
                    <xdr:rowOff>9525</xdr:rowOff>
                  </from>
                  <to>
                    <xdr:col>8</xdr:col>
                    <xdr:colOff>0</xdr:colOff>
                    <xdr:row>47</xdr:row>
                    <xdr:rowOff>0</xdr:rowOff>
                  </to>
                </anchor>
              </controlPr>
            </control>
          </mc:Choice>
        </mc:AlternateContent>
        <mc:AlternateContent xmlns:mc="http://schemas.openxmlformats.org/markup-compatibility/2006">
          <mc:Choice Requires="x14">
            <control shapeId="18483" r:id="rId48" name="Copy_BLC44_Point">
              <controlPr defaultSize="0" print="0" autoFill="0" autoPict="0" macro="[0]!Copy_BLC44_Point">
                <anchor moveWithCells="1" sizeWithCells="1">
                  <from>
                    <xdr:col>7</xdr:col>
                    <xdr:colOff>428625</xdr:colOff>
                    <xdr:row>47</xdr:row>
                    <xdr:rowOff>9525</xdr:rowOff>
                  </from>
                  <to>
                    <xdr:col>8</xdr:col>
                    <xdr:colOff>0</xdr:colOff>
                    <xdr:row>48</xdr:row>
                    <xdr:rowOff>0</xdr:rowOff>
                  </to>
                </anchor>
              </controlPr>
            </control>
          </mc:Choice>
        </mc:AlternateContent>
        <mc:AlternateContent xmlns:mc="http://schemas.openxmlformats.org/markup-compatibility/2006">
          <mc:Choice Requires="x14">
            <control shapeId="18484" r:id="rId49" name="Copy_BLC45_Point">
              <controlPr defaultSize="0" print="0" autoFill="0" autoPict="0" macro="[0]!Copy_BLC45_Point">
                <anchor moveWithCells="1" sizeWithCells="1">
                  <from>
                    <xdr:col>7</xdr:col>
                    <xdr:colOff>428625</xdr:colOff>
                    <xdr:row>48</xdr:row>
                    <xdr:rowOff>9525</xdr:rowOff>
                  </from>
                  <to>
                    <xdr:col>8</xdr:col>
                    <xdr:colOff>0</xdr:colOff>
                    <xdr:row>49</xdr:row>
                    <xdr:rowOff>0</xdr:rowOff>
                  </to>
                </anchor>
              </controlPr>
            </control>
          </mc:Choice>
        </mc:AlternateContent>
        <mc:AlternateContent xmlns:mc="http://schemas.openxmlformats.org/markup-compatibility/2006">
          <mc:Choice Requires="x14">
            <control shapeId="18485" r:id="rId50" name="Copy_BLC46_Point">
              <controlPr defaultSize="0" print="0" autoFill="0" autoPict="0" macro="[0]!Copy_BLC46_Point">
                <anchor moveWithCells="1" sizeWithCells="1">
                  <from>
                    <xdr:col>7</xdr:col>
                    <xdr:colOff>428625</xdr:colOff>
                    <xdr:row>49</xdr:row>
                    <xdr:rowOff>9525</xdr:rowOff>
                  </from>
                  <to>
                    <xdr:col>8</xdr:col>
                    <xdr:colOff>0</xdr:colOff>
                    <xdr:row>50</xdr:row>
                    <xdr:rowOff>0</xdr:rowOff>
                  </to>
                </anchor>
              </controlPr>
            </control>
          </mc:Choice>
        </mc:AlternateContent>
        <mc:AlternateContent xmlns:mc="http://schemas.openxmlformats.org/markup-compatibility/2006">
          <mc:Choice Requires="x14">
            <control shapeId="18486" r:id="rId51" name="Copy_BLC47_Point">
              <controlPr defaultSize="0" print="0" autoFill="0" autoPict="0" macro="[0]!Copy_BLC47_Point">
                <anchor moveWithCells="1" sizeWithCells="1">
                  <from>
                    <xdr:col>7</xdr:col>
                    <xdr:colOff>428625</xdr:colOff>
                    <xdr:row>50</xdr:row>
                    <xdr:rowOff>9525</xdr:rowOff>
                  </from>
                  <to>
                    <xdr:col>8</xdr:col>
                    <xdr:colOff>0</xdr:colOff>
                    <xdr:row>51</xdr:row>
                    <xdr:rowOff>0</xdr:rowOff>
                  </to>
                </anchor>
              </controlPr>
            </control>
          </mc:Choice>
        </mc:AlternateContent>
        <mc:AlternateContent xmlns:mc="http://schemas.openxmlformats.org/markup-compatibility/2006">
          <mc:Choice Requires="x14">
            <control shapeId="18487" r:id="rId52" name="Copy_BLC48_Point">
              <controlPr defaultSize="0" print="0" autoFill="0" autoPict="0" macro="[0]!Copy_BLC48_Point">
                <anchor moveWithCells="1" sizeWithCells="1">
                  <from>
                    <xdr:col>7</xdr:col>
                    <xdr:colOff>428625</xdr:colOff>
                    <xdr:row>51</xdr:row>
                    <xdr:rowOff>9525</xdr:rowOff>
                  </from>
                  <to>
                    <xdr:col>8</xdr:col>
                    <xdr:colOff>0</xdr:colOff>
                    <xdr:row>52</xdr:row>
                    <xdr:rowOff>0</xdr:rowOff>
                  </to>
                </anchor>
              </controlPr>
            </control>
          </mc:Choice>
        </mc:AlternateContent>
        <mc:AlternateContent xmlns:mc="http://schemas.openxmlformats.org/markup-compatibility/2006">
          <mc:Choice Requires="x14">
            <control shapeId="18488" r:id="rId53" name="Copy_BLC49_Distributed">
              <controlPr defaultSize="0" print="0" autoFill="0" autoPict="0" macro="[0]!Copy_BLC49_Distributed">
                <anchor moveWithCells="1" sizeWithCells="1">
                  <from>
                    <xdr:col>8</xdr:col>
                    <xdr:colOff>428625</xdr:colOff>
                    <xdr:row>52</xdr:row>
                    <xdr:rowOff>9525</xdr:rowOff>
                  </from>
                  <to>
                    <xdr:col>9</xdr:col>
                    <xdr:colOff>0</xdr:colOff>
                    <xdr:row>53</xdr:row>
                    <xdr:rowOff>0</xdr:rowOff>
                  </to>
                </anchor>
              </controlPr>
            </control>
          </mc:Choice>
        </mc:AlternateContent>
        <mc:AlternateContent xmlns:mc="http://schemas.openxmlformats.org/markup-compatibility/2006">
          <mc:Choice Requires="x14">
            <control shapeId="18489" r:id="rId54" name="Copy_BLC50_Distributed">
              <controlPr defaultSize="0" print="0" autoFill="0" autoPict="0" macro="[0]!Copy_BLC50_Distributed">
                <anchor moveWithCells="1" sizeWithCells="1">
                  <from>
                    <xdr:col>8</xdr:col>
                    <xdr:colOff>428625</xdr:colOff>
                    <xdr:row>53</xdr:row>
                    <xdr:rowOff>9525</xdr:rowOff>
                  </from>
                  <to>
                    <xdr:col>9</xdr:col>
                    <xdr:colOff>0</xdr:colOff>
                    <xdr:row>54</xdr:row>
                    <xdr:rowOff>0</xdr:rowOff>
                  </to>
                </anchor>
              </controlPr>
            </control>
          </mc:Choice>
        </mc:AlternateContent>
        <mc:AlternateContent xmlns:mc="http://schemas.openxmlformats.org/markup-compatibility/2006">
          <mc:Choice Requires="x14">
            <control shapeId="18490" r:id="rId55" name="Copy_BLC51_Distributed">
              <controlPr defaultSize="0" print="0" autoFill="0" autoPict="0" macro="[0]!Copy_BLC51_Distributed">
                <anchor moveWithCells="1" sizeWithCells="1">
                  <from>
                    <xdr:col>8</xdr:col>
                    <xdr:colOff>428625</xdr:colOff>
                    <xdr:row>54</xdr:row>
                    <xdr:rowOff>9525</xdr:rowOff>
                  </from>
                  <to>
                    <xdr:col>9</xdr:col>
                    <xdr:colOff>0</xdr:colOff>
                    <xdr:row>55</xdr:row>
                    <xdr:rowOff>0</xdr:rowOff>
                  </to>
                </anchor>
              </controlPr>
            </control>
          </mc:Choice>
        </mc:AlternateContent>
        <mc:AlternateContent xmlns:mc="http://schemas.openxmlformats.org/markup-compatibility/2006">
          <mc:Choice Requires="x14">
            <control shapeId="18491" r:id="rId56" name="Copy_BLC52_Distributed">
              <controlPr defaultSize="0" print="0" autoFill="0" autoPict="0" macro="[0]!Copy_BLC52_Distributed">
                <anchor moveWithCells="1" sizeWithCells="1">
                  <from>
                    <xdr:col>8</xdr:col>
                    <xdr:colOff>428625</xdr:colOff>
                    <xdr:row>55</xdr:row>
                    <xdr:rowOff>9525</xdr:rowOff>
                  </from>
                  <to>
                    <xdr:col>9</xdr:col>
                    <xdr:colOff>0</xdr:colOff>
                    <xdr:row>56</xdr:row>
                    <xdr:rowOff>0</xdr:rowOff>
                  </to>
                </anchor>
              </controlPr>
            </control>
          </mc:Choice>
        </mc:AlternateContent>
        <mc:AlternateContent xmlns:mc="http://schemas.openxmlformats.org/markup-compatibility/2006">
          <mc:Choice Requires="x14">
            <control shapeId="18492" r:id="rId57" name="Copy_BLC53_Distributed">
              <controlPr defaultSize="0" print="0" autoFill="0" autoPict="0" macro="[0]!Copy_BLC53_Distributed">
                <anchor moveWithCells="1" sizeWithCells="1">
                  <from>
                    <xdr:col>8</xdr:col>
                    <xdr:colOff>428625</xdr:colOff>
                    <xdr:row>56</xdr:row>
                    <xdr:rowOff>9525</xdr:rowOff>
                  </from>
                  <to>
                    <xdr:col>9</xdr:col>
                    <xdr:colOff>0</xdr:colOff>
                    <xdr:row>57</xdr:row>
                    <xdr:rowOff>0</xdr:rowOff>
                  </to>
                </anchor>
              </controlPr>
            </control>
          </mc:Choice>
        </mc:AlternateContent>
        <mc:AlternateContent xmlns:mc="http://schemas.openxmlformats.org/markup-compatibility/2006">
          <mc:Choice Requires="x14">
            <control shapeId="18493" r:id="rId58" name="Copy_BLC54_Distributed">
              <controlPr defaultSize="0" print="0" autoFill="0" autoPict="0" macro="[0]!Copy_BLC54_Distributed">
                <anchor moveWithCells="1" sizeWithCells="1">
                  <from>
                    <xdr:col>8</xdr:col>
                    <xdr:colOff>428625</xdr:colOff>
                    <xdr:row>57</xdr:row>
                    <xdr:rowOff>9525</xdr:rowOff>
                  </from>
                  <to>
                    <xdr:col>9</xdr:col>
                    <xdr:colOff>0</xdr:colOff>
                    <xdr:row>58</xdr:row>
                    <xdr:rowOff>0</xdr:rowOff>
                  </to>
                </anchor>
              </controlPr>
            </control>
          </mc:Choice>
        </mc:AlternateContent>
        <mc:AlternateContent xmlns:mc="http://schemas.openxmlformats.org/markup-compatibility/2006">
          <mc:Choice Requires="x14">
            <control shapeId="18494" r:id="rId59" name="Copy_BLC55_Distributed">
              <controlPr defaultSize="0" print="0" autoFill="0" autoPict="0" macro="[0]!Copy_BLC55_Distributed">
                <anchor moveWithCells="1" sizeWithCells="1">
                  <from>
                    <xdr:col>8</xdr:col>
                    <xdr:colOff>428625</xdr:colOff>
                    <xdr:row>58</xdr:row>
                    <xdr:rowOff>9525</xdr:rowOff>
                  </from>
                  <to>
                    <xdr:col>9</xdr:col>
                    <xdr:colOff>0</xdr:colOff>
                    <xdr:row>59</xdr:row>
                    <xdr:rowOff>0</xdr:rowOff>
                  </to>
                </anchor>
              </controlPr>
            </control>
          </mc:Choice>
        </mc:AlternateContent>
        <mc:AlternateContent xmlns:mc="http://schemas.openxmlformats.org/markup-compatibility/2006">
          <mc:Choice Requires="x14">
            <control shapeId="18495" r:id="rId60" name="Copy_BLC56_Distributed">
              <controlPr defaultSize="0" print="0" autoFill="0" autoPict="0" macro="[0]!Copy_BLC56_Distributed">
                <anchor moveWithCells="1" sizeWithCells="1">
                  <from>
                    <xdr:col>8</xdr:col>
                    <xdr:colOff>428625</xdr:colOff>
                    <xdr:row>59</xdr:row>
                    <xdr:rowOff>9525</xdr:rowOff>
                  </from>
                  <to>
                    <xdr:col>9</xdr:col>
                    <xdr:colOff>0</xdr:colOff>
                    <xdr:row>60</xdr:row>
                    <xdr:rowOff>0</xdr:rowOff>
                  </to>
                </anchor>
              </controlPr>
            </control>
          </mc:Choice>
        </mc:AlternateContent>
        <mc:AlternateContent xmlns:mc="http://schemas.openxmlformats.org/markup-compatibility/2006">
          <mc:Choice Requires="x14">
            <control shapeId="18496" r:id="rId61" name="Copy_BLC57_Distributed">
              <controlPr defaultSize="0" print="0" autoFill="0" autoPict="0" macro="[0]!Copy_BLC57_Distributed">
                <anchor moveWithCells="1" sizeWithCells="1">
                  <from>
                    <xdr:col>8</xdr:col>
                    <xdr:colOff>428625</xdr:colOff>
                    <xdr:row>60</xdr:row>
                    <xdr:rowOff>9525</xdr:rowOff>
                  </from>
                  <to>
                    <xdr:col>9</xdr:col>
                    <xdr:colOff>0</xdr:colOff>
                    <xdr:row>61</xdr:row>
                    <xdr:rowOff>0</xdr:rowOff>
                  </to>
                </anchor>
              </controlPr>
            </control>
          </mc:Choice>
        </mc:AlternateContent>
        <mc:AlternateContent xmlns:mc="http://schemas.openxmlformats.org/markup-compatibility/2006">
          <mc:Choice Requires="x14">
            <control shapeId="18497" r:id="rId62" name="Copy_BLC58_Distributed">
              <controlPr defaultSize="0" print="0" autoFill="0" autoPict="0" macro="[0]!Copy_BLC58_Distributed">
                <anchor moveWithCells="1" sizeWithCells="1">
                  <from>
                    <xdr:col>8</xdr:col>
                    <xdr:colOff>428625</xdr:colOff>
                    <xdr:row>61</xdr:row>
                    <xdr:rowOff>9525</xdr:rowOff>
                  </from>
                  <to>
                    <xdr:col>9</xdr:col>
                    <xdr:colOff>0</xdr:colOff>
                    <xdr:row>62</xdr:row>
                    <xdr:rowOff>0</xdr:rowOff>
                  </to>
                </anchor>
              </controlPr>
            </control>
          </mc:Choice>
        </mc:AlternateContent>
        <mc:AlternateContent xmlns:mc="http://schemas.openxmlformats.org/markup-compatibility/2006">
          <mc:Choice Requires="x14">
            <control shapeId="18498" r:id="rId63" name="Copy_BLC59_Distributed">
              <controlPr defaultSize="0" print="0" autoFill="0" autoPict="0" macro="[0]!Copy_BLC59_Distributed">
                <anchor moveWithCells="1" sizeWithCells="1">
                  <from>
                    <xdr:col>8</xdr:col>
                    <xdr:colOff>428625</xdr:colOff>
                    <xdr:row>62</xdr:row>
                    <xdr:rowOff>9525</xdr:rowOff>
                  </from>
                  <to>
                    <xdr:col>9</xdr:col>
                    <xdr:colOff>0</xdr:colOff>
                    <xdr:row>63</xdr:row>
                    <xdr:rowOff>0</xdr:rowOff>
                  </to>
                </anchor>
              </controlPr>
            </control>
          </mc:Choice>
        </mc:AlternateContent>
        <mc:AlternateContent xmlns:mc="http://schemas.openxmlformats.org/markup-compatibility/2006">
          <mc:Choice Requires="x14">
            <control shapeId="18499" r:id="rId64" name="Copy_BLC60_Distributed">
              <controlPr defaultSize="0" print="0" autoFill="0" autoPict="0" macro="[0]!Copy_BLC60_Distributed">
                <anchor moveWithCells="1" sizeWithCells="1">
                  <from>
                    <xdr:col>8</xdr:col>
                    <xdr:colOff>428625</xdr:colOff>
                    <xdr:row>63</xdr:row>
                    <xdr:rowOff>9525</xdr:rowOff>
                  </from>
                  <to>
                    <xdr:col>9</xdr:col>
                    <xdr:colOff>0</xdr:colOff>
                    <xdr:row>64</xdr:row>
                    <xdr:rowOff>0</xdr:rowOff>
                  </to>
                </anchor>
              </controlPr>
            </control>
          </mc:Choice>
        </mc:AlternateContent>
        <mc:AlternateContent xmlns:mc="http://schemas.openxmlformats.org/markup-compatibility/2006">
          <mc:Choice Requires="x14">
            <control shapeId="18500" r:id="rId65" name="Copy_BLC61_Distributed">
              <controlPr defaultSize="0" print="0" autoFill="0" autoPict="0" macro="[0]!Copy_BLC61_Distributed">
                <anchor moveWithCells="1" sizeWithCells="1">
                  <from>
                    <xdr:col>8</xdr:col>
                    <xdr:colOff>428625</xdr:colOff>
                    <xdr:row>64</xdr:row>
                    <xdr:rowOff>9525</xdr:rowOff>
                  </from>
                  <to>
                    <xdr:col>9</xdr:col>
                    <xdr:colOff>0</xdr:colOff>
                    <xdr:row>65</xdr:row>
                    <xdr:rowOff>0</xdr:rowOff>
                  </to>
                </anchor>
              </controlPr>
            </control>
          </mc:Choice>
        </mc:AlternateContent>
        <mc:AlternateContent xmlns:mc="http://schemas.openxmlformats.org/markup-compatibility/2006">
          <mc:Choice Requires="x14">
            <control shapeId="18501" r:id="rId66" name="Copy_BLC62_Distributed">
              <controlPr defaultSize="0" print="0" autoFill="0" autoPict="0" macro="[0]!Copy_BLC62_Distributed">
                <anchor moveWithCells="1" sizeWithCells="1">
                  <from>
                    <xdr:col>8</xdr:col>
                    <xdr:colOff>428625</xdr:colOff>
                    <xdr:row>65</xdr:row>
                    <xdr:rowOff>9525</xdr:rowOff>
                  </from>
                  <to>
                    <xdr:col>9</xdr:col>
                    <xdr:colOff>0</xdr:colOff>
                    <xdr:row>66</xdr:row>
                    <xdr:rowOff>0</xdr:rowOff>
                  </to>
                </anchor>
              </controlPr>
            </control>
          </mc:Choice>
        </mc:AlternateContent>
        <mc:AlternateContent xmlns:mc="http://schemas.openxmlformats.org/markup-compatibility/2006">
          <mc:Choice Requires="x14">
            <control shapeId="18502" r:id="rId67" name="Copy_BLC63_Distributed">
              <controlPr defaultSize="0" print="0" autoFill="0" autoPict="0" macro="[0]!Copy_BLC63_Distributed">
                <anchor moveWithCells="1" sizeWithCells="1">
                  <from>
                    <xdr:col>8</xdr:col>
                    <xdr:colOff>428625</xdr:colOff>
                    <xdr:row>66</xdr:row>
                    <xdr:rowOff>9525</xdr:rowOff>
                  </from>
                  <to>
                    <xdr:col>9</xdr:col>
                    <xdr:colOff>0</xdr:colOff>
                    <xdr:row>67</xdr:row>
                    <xdr:rowOff>0</xdr:rowOff>
                  </to>
                </anchor>
              </controlPr>
            </control>
          </mc:Choice>
        </mc:AlternateContent>
        <mc:AlternateContent xmlns:mc="http://schemas.openxmlformats.org/markup-compatibility/2006">
          <mc:Choice Requires="x14">
            <control shapeId="18503" r:id="rId68" name="Copy_BLC64_Distributed">
              <controlPr defaultSize="0" print="0" autoFill="0" autoPict="0" macro="[0]!Copy_BLC64_Distributed">
                <anchor moveWithCells="1" sizeWithCells="1">
                  <from>
                    <xdr:col>8</xdr:col>
                    <xdr:colOff>428625</xdr:colOff>
                    <xdr:row>67</xdr:row>
                    <xdr:rowOff>9525</xdr:rowOff>
                  </from>
                  <to>
                    <xdr:col>9</xdr:col>
                    <xdr:colOff>0</xdr:colOff>
                    <xdr:row>68</xdr:row>
                    <xdr:rowOff>0</xdr:rowOff>
                  </to>
                </anchor>
              </controlPr>
            </control>
          </mc:Choice>
        </mc:AlternateContent>
        <mc:AlternateContent xmlns:mc="http://schemas.openxmlformats.org/markup-compatibility/2006">
          <mc:Choice Requires="x14">
            <control shapeId="18504" r:id="rId69" name="Copy_BLC65_Point">
              <controlPr defaultSize="0" print="0" autoFill="0" autoPict="0" macro="[0]!Copy_BLC65_Point">
                <anchor moveWithCells="1" sizeWithCells="1">
                  <from>
                    <xdr:col>7</xdr:col>
                    <xdr:colOff>428625</xdr:colOff>
                    <xdr:row>68</xdr:row>
                    <xdr:rowOff>9525</xdr:rowOff>
                  </from>
                  <to>
                    <xdr:col>8</xdr:col>
                    <xdr:colOff>0</xdr:colOff>
                    <xdr:row>69</xdr:row>
                    <xdr:rowOff>0</xdr:rowOff>
                  </to>
                </anchor>
              </controlPr>
            </control>
          </mc:Choice>
        </mc:AlternateContent>
        <mc:AlternateContent xmlns:mc="http://schemas.openxmlformats.org/markup-compatibility/2006">
          <mc:Choice Requires="x14">
            <control shapeId="18505" r:id="rId70" name="Copy_BLC66_Point">
              <controlPr defaultSize="0" print="0" autoFill="0" autoPict="0" macro="[0]!Copy_BLC66_Point">
                <anchor moveWithCells="1" sizeWithCells="1">
                  <from>
                    <xdr:col>7</xdr:col>
                    <xdr:colOff>428625</xdr:colOff>
                    <xdr:row>69</xdr:row>
                    <xdr:rowOff>9525</xdr:rowOff>
                  </from>
                  <to>
                    <xdr:col>8</xdr:col>
                    <xdr:colOff>0</xdr:colOff>
                    <xdr:row>70</xdr:row>
                    <xdr:rowOff>0</xdr:rowOff>
                  </to>
                </anchor>
              </controlPr>
            </control>
          </mc:Choice>
        </mc:AlternateContent>
        <mc:AlternateContent xmlns:mc="http://schemas.openxmlformats.org/markup-compatibility/2006">
          <mc:Choice Requires="x14">
            <control shapeId="18506" r:id="rId71" name="Copy_BLC67_Point">
              <controlPr defaultSize="0" print="0" autoFill="0" autoPict="0" macro="[0]!Copy_BLC67_Point">
                <anchor moveWithCells="1" sizeWithCells="1">
                  <from>
                    <xdr:col>7</xdr:col>
                    <xdr:colOff>428625</xdr:colOff>
                    <xdr:row>70</xdr:row>
                    <xdr:rowOff>9525</xdr:rowOff>
                  </from>
                  <to>
                    <xdr:col>8</xdr:col>
                    <xdr:colOff>0</xdr:colOff>
                    <xdr:row>71</xdr:row>
                    <xdr:rowOff>0</xdr:rowOff>
                  </to>
                </anchor>
              </controlPr>
            </control>
          </mc:Choice>
        </mc:AlternateContent>
        <mc:AlternateContent xmlns:mc="http://schemas.openxmlformats.org/markup-compatibility/2006">
          <mc:Choice Requires="x14">
            <control shapeId="18507" r:id="rId72" name="Copy_BLC68_Point">
              <controlPr defaultSize="0" print="0" autoFill="0" autoPict="0" macro="[0]!Copy_BLC68_Point">
                <anchor moveWithCells="1" sizeWithCells="1">
                  <from>
                    <xdr:col>7</xdr:col>
                    <xdr:colOff>428625</xdr:colOff>
                    <xdr:row>71</xdr:row>
                    <xdr:rowOff>9525</xdr:rowOff>
                  </from>
                  <to>
                    <xdr:col>8</xdr:col>
                    <xdr:colOff>0</xdr:colOff>
                    <xdr:row>72</xdr:row>
                    <xdr:rowOff>0</xdr:rowOff>
                  </to>
                </anchor>
              </controlPr>
            </control>
          </mc:Choice>
        </mc:AlternateContent>
        <mc:AlternateContent xmlns:mc="http://schemas.openxmlformats.org/markup-compatibility/2006">
          <mc:Choice Requires="x14">
            <control shapeId="18508" r:id="rId73" name="Copy_BLC66_Distributed">
              <controlPr defaultSize="0" print="0" autoFill="0" autoPict="0" macro="[0]!Copy_BLC66_Distributed">
                <anchor moveWithCells="1" sizeWithCells="1">
                  <from>
                    <xdr:col>8</xdr:col>
                    <xdr:colOff>428625</xdr:colOff>
                    <xdr:row>69</xdr:row>
                    <xdr:rowOff>9525</xdr:rowOff>
                  </from>
                  <to>
                    <xdr:col>9</xdr:col>
                    <xdr:colOff>0</xdr:colOff>
                    <xdr:row>70</xdr:row>
                    <xdr:rowOff>0</xdr:rowOff>
                  </to>
                </anchor>
              </controlPr>
            </control>
          </mc:Choice>
        </mc:AlternateContent>
        <mc:AlternateContent xmlns:mc="http://schemas.openxmlformats.org/markup-compatibility/2006">
          <mc:Choice Requires="x14">
            <control shapeId="18509" r:id="rId74" name="Copy_BLC69_Point">
              <controlPr defaultSize="0" print="0" autoFill="0" autoPict="0" macro="[0]!Copy_BLC69_Point">
                <anchor moveWithCells="1" sizeWithCells="1">
                  <from>
                    <xdr:col>7</xdr:col>
                    <xdr:colOff>428625</xdr:colOff>
                    <xdr:row>72</xdr:row>
                    <xdr:rowOff>9525</xdr:rowOff>
                  </from>
                  <to>
                    <xdr:col>8</xdr:col>
                    <xdr:colOff>0</xdr:colOff>
                    <xdr:row>73</xdr:row>
                    <xdr:rowOff>0</xdr:rowOff>
                  </to>
                </anchor>
              </controlPr>
            </control>
          </mc:Choice>
        </mc:AlternateContent>
        <mc:AlternateContent xmlns:mc="http://schemas.openxmlformats.org/markup-compatibility/2006">
          <mc:Choice Requires="x14">
            <control shapeId="18510" r:id="rId75" name="Copy_BLC65_Area">
              <controlPr defaultSize="0" print="0" autoFill="0" autoPict="0" macro="[0]!Copy_BLC65_Area">
                <anchor moveWithCells="1" sizeWithCells="1">
                  <from>
                    <xdr:col>9</xdr:col>
                    <xdr:colOff>428625</xdr:colOff>
                    <xdr:row>68</xdr:row>
                    <xdr:rowOff>9525</xdr:rowOff>
                  </from>
                  <to>
                    <xdr:col>10</xdr:col>
                    <xdr:colOff>0</xdr:colOff>
                    <xdr:row>69</xdr:row>
                    <xdr:rowOff>0</xdr:rowOff>
                  </to>
                </anchor>
              </controlPr>
            </control>
          </mc:Choice>
        </mc:AlternateContent>
        <mc:AlternateContent xmlns:mc="http://schemas.openxmlformats.org/markup-compatibility/2006">
          <mc:Choice Requires="x14">
            <control shapeId="18511" r:id="rId76" name="Copy_BLC66_Area">
              <controlPr defaultSize="0" print="0" autoFill="0" autoPict="0" macro="[0]!Copy_BLC66_Area">
                <anchor moveWithCells="1" sizeWithCells="1">
                  <from>
                    <xdr:col>9</xdr:col>
                    <xdr:colOff>428625</xdr:colOff>
                    <xdr:row>69</xdr:row>
                    <xdr:rowOff>9525</xdr:rowOff>
                  </from>
                  <to>
                    <xdr:col>10</xdr:col>
                    <xdr:colOff>0</xdr:colOff>
                    <xdr:row>70</xdr:row>
                    <xdr:rowOff>0</xdr:rowOff>
                  </to>
                </anchor>
              </controlPr>
            </control>
          </mc:Choice>
        </mc:AlternateContent>
        <mc:AlternateContent xmlns:mc="http://schemas.openxmlformats.org/markup-compatibility/2006">
          <mc:Choice Requires="x14">
            <control shapeId="18514" r:id="rId77" name="Copy_BLC">
              <controlPr defaultSize="0" print="0" autoFill="0" autoPict="0" macro="[0]!Copy_BLC">
                <anchor moveWithCells="1" sizeWithCells="1">
                  <from>
                    <xdr:col>11</xdr:col>
                    <xdr:colOff>133350</xdr:colOff>
                    <xdr:row>1</xdr:row>
                    <xdr:rowOff>0</xdr:rowOff>
                  </from>
                  <to>
                    <xdr:col>11</xdr:col>
                    <xdr:colOff>1562100</xdr:colOff>
                    <xdr:row>2</xdr:row>
                    <xdr:rowOff>76200</xdr:rowOff>
                  </to>
                </anchor>
              </controlPr>
            </control>
          </mc:Choice>
        </mc:AlternateContent>
        <mc:AlternateContent xmlns:mc="http://schemas.openxmlformats.org/markup-compatibility/2006">
          <mc:Choice Requires="x14">
            <control shapeId="18515" r:id="rId78" name="Copy_LC">
              <controlPr defaultSize="0" print="0" autoFill="0" autoPict="0" macro="[0]!Copy_LC">
                <anchor moveWithCells="1" sizeWithCells="1">
                  <from>
                    <xdr:col>11</xdr:col>
                    <xdr:colOff>133350</xdr:colOff>
                    <xdr:row>2</xdr:row>
                    <xdr:rowOff>142875</xdr:rowOff>
                  </from>
                  <to>
                    <xdr:col>11</xdr:col>
                    <xdr:colOff>1562100</xdr:colOff>
                    <xdr:row>3</xdr:row>
                    <xdr:rowOff>219075</xdr:rowOff>
                  </to>
                </anchor>
              </controlPr>
            </control>
          </mc:Choice>
        </mc:AlternateContent>
        <mc:AlternateContent xmlns:mc="http://schemas.openxmlformats.org/markup-compatibility/2006">
          <mc:Choice Requires="x14">
            <control shapeId="18516" r:id="rId79" name="Button 84">
              <controlPr defaultSize="0" print="0" autoFill="0" autoPict="0" macro="[0]!loadspoint">
                <anchor moveWithCells="1" sizeWithCells="1">
                  <from>
                    <xdr:col>11</xdr:col>
                    <xdr:colOff>133350</xdr:colOff>
                    <xdr:row>4</xdr:row>
                    <xdr:rowOff>209550</xdr:rowOff>
                  </from>
                  <to>
                    <xdr:col>11</xdr:col>
                    <xdr:colOff>1562100</xdr:colOff>
                    <xdr:row>6</xdr:row>
                    <xdr:rowOff>209550</xdr:rowOff>
                  </to>
                </anchor>
              </controlPr>
            </control>
          </mc:Choice>
        </mc:AlternateContent>
        <mc:AlternateContent xmlns:mc="http://schemas.openxmlformats.org/markup-compatibility/2006">
          <mc:Choice Requires="x14">
            <control shapeId="18517" r:id="rId80" name="Button 85">
              <controlPr defaultSize="0" print="0" autoFill="0" autoPict="0" macro="[0]!Distributed_Loads">
                <anchor moveWithCells="1" sizeWithCells="1">
                  <from>
                    <xdr:col>11</xdr:col>
                    <xdr:colOff>133350</xdr:colOff>
                    <xdr:row>7</xdr:row>
                    <xdr:rowOff>47625</xdr:rowOff>
                  </from>
                  <to>
                    <xdr:col>11</xdr:col>
                    <xdr:colOff>1562100</xdr:colOff>
                    <xdr:row>9</xdr:row>
                    <xdr:rowOff>47625</xdr:rowOff>
                  </to>
                </anchor>
              </controlPr>
            </control>
          </mc:Choice>
        </mc:AlternateContent>
        <mc:AlternateContent xmlns:mc="http://schemas.openxmlformats.org/markup-compatibility/2006">
          <mc:Choice Requires="x14">
            <control shapeId="18518" r:id="rId81" name="Copy_BLC86_Point">
              <controlPr defaultSize="0" print="0" autoFill="0" autoPict="0" macro="[0]!Copy_BLC86_Point">
                <anchor moveWithCells="1" sizeWithCells="1">
                  <from>
                    <xdr:col>7</xdr:col>
                    <xdr:colOff>428625</xdr:colOff>
                    <xdr:row>89</xdr:row>
                    <xdr:rowOff>9525</xdr:rowOff>
                  </from>
                  <to>
                    <xdr:col>8</xdr:col>
                    <xdr:colOff>0</xdr:colOff>
                    <xdr:row>90</xdr:row>
                    <xdr:rowOff>0</xdr:rowOff>
                  </to>
                </anchor>
              </controlPr>
            </control>
          </mc:Choice>
        </mc:AlternateContent>
        <mc:AlternateContent xmlns:mc="http://schemas.openxmlformats.org/markup-compatibility/2006">
          <mc:Choice Requires="x14">
            <control shapeId="18519" r:id="rId82" name="Copy_BLC87_Point">
              <controlPr defaultSize="0" print="0" autoFill="0" autoPict="0" macro="[0]!Copy_BLC87_Point">
                <anchor moveWithCells="1" sizeWithCells="1">
                  <from>
                    <xdr:col>7</xdr:col>
                    <xdr:colOff>428625</xdr:colOff>
                    <xdr:row>90</xdr:row>
                    <xdr:rowOff>9525</xdr:rowOff>
                  </from>
                  <to>
                    <xdr:col>8</xdr:col>
                    <xdr:colOff>0</xdr:colOff>
                    <xdr:row>91</xdr:row>
                    <xdr:rowOff>0</xdr:rowOff>
                  </to>
                </anchor>
              </controlPr>
            </control>
          </mc:Choice>
        </mc:AlternateContent>
        <mc:AlternateContent xmlns:mc="http://schemas.openxmlformats.org/markup-compatibility/2006">
          <mc:Choice Requires="x14">
            <control shapeId="18520" r:id="rId83" name="Copy_BLC88_Point">
              <controlPr defaultSize="0" print="0" autoFill="0" autoPict="0" macro="[0]!Copy_BLC88_Point">
                <anchor moveWithCells="1" sizeWithCells="1">
                  <from>
                    <xdr:col>7</xdr:col>
                    <xdr:colOff>428625</xdr:colOff>
                    <xdr:row>91</xdr:row>
                    <xdr:rowOff>9525</xdr:rowOff>
                  </from>
                  <to>
                    <xdr:col>8</xdr:col>
                    <xdr:colOff>0</xdr:colOff>
                    <xdr:row>92</xdr:row>
                    <xdr:rowOff>0</xdr:rowOff>
                  </to>
                </anchor>
              </controlPr>
            </control>
          </mc:Choice>
        </mc:AlternateContent>
        <mc:AlternateContent xmlns:mc="http://schemas.openxmlformats.org/markup-compatibility/2006">
          <mc:Choice Requires="x14">
            <control shapeId="18521" r:id="rId84" name="Copy_BLC89_Point">
              <controlPr defaultSize="0" print="0" autoFill="0" autoPict="0" macro="[0]!Copy_BLC89_Point">
                <anchor moveWithCells="1" sizeWithCells="1">
                  <from>
                    <xdr:col>7</xdr:col>
                    <xdr:colOff>428625</xdr:colOff>
                    <xdr:row>92</xdr:row>
                    <xdr:rowOff>9525</xdr:rowOff>
                  </from>
                  <to>
                    <xdr:col>8</xdr:col>
                    <xdr:colOff>0</xdr:colOff>
                    <xdr:row>93</xdr:row>
                    <xdr:rowOff>0</xdr:rowOff>
                  </to>
                </anchor>
              </controlPr>
            </control>
          </mc:Choice>
        </mc:AlternateContent>
        <mc:AlternateContent xmlns:mc="http://schemas.openxmlformats.org/markup-compatibility/2006">
          <mc:Choice Requires="x14">
            <control shapeId="18522" r:id="rId85" name="Copy_BLC90_Point">
              <controlPr defaultSize="0" print="0" autoFill="0" autoPict="0" macro="[0]!Copy_BLC90_Point">
                <anchor moveWithCells="1" sizeWithCells="1">
                  <from>
                    <xdr:col>7</xdr:col>
                    <xdr:colOff>428625</xdr:colOff>
                    <xdr:row>93</xdr:row>
                    <xdr:rowOff>9525</xdr:rowOff>
                  </from>
                  <to>
                    <xdr:col>8</xdr:col>
                    <xdr:colOff>0</xdr:colOff>
                    <xdr:row>94</xdr:row>
                    <xdr:rowOff>0</xdr:rowOff>
                  </to>
                </anchor>
              </controlPr>
            </control>
          </mc:Choice>
        </mc:AlternateContent>
        <mc:AlternateContent xmlns:mc="http://schemas.openxmlformats.org/markup-compatibility/2006">
          <mc:Choice Requires="x14">
            <control shapeId="18523" r:id="rId86" name="Copy_BLC91_Point">
              <controlPr defaultSize="0" print="0" autoFill="0" autoPict="0" macro="[0]!Copy_BLC91_Point">
                <anchor moveWithCells="1" sizeWithCells="1">
                  <from>
                    <xdr:col>7</xdr:col>
                    <xdr:colOff>428625</xdr:colOff>
                    <xdr:row>94</xdr:row>
                    <xdr:rowOff>9525</xdr:rowOff>
                  </from>
                  <to>
                    <xdr:col>8</xdr:col>
                    <xdr:colOff>0</xdr:colOff>
                    <xdr:row>95</xdr:row>
                    <xdr:rowOff>0</xdr:rowOff>
                  </to>
                </anchor>
              </controlPr>
            </control>
          </mc:Choice>
        </mc:AlternateContent>
        <mc:AlternateContent xmlns:mc="http://schemas.openxmlformats.org/markup-compatibility/2006">
          <mc:Choice Requires="x14">
            <control shapeId="18524" r:id="rId87" name="Copy_BLC92_Point">
              <controlPr defaultSize="0" print="0" autoFill="0" autoPict="0" macro="[0]!Copy_BLC92_Point">
                <anchor moveWithCells="1" sizeWithCells="1">
                  <from>
                    <xdr:col>7</xdr:col>
                    <xdr:colOff>428625</xdr:colOff>
                    <xdr:row>95</xdr:row>
                    <xdr:rowOff>9525</xdr:rowOff>
                  </from>
                  <to>
                    <xdr:col>8</xdr:col>
                    <xdr:colOff>0</xdr:colOff>
                    <xdr:row>96</xdr:row>
                    <xdr:rowOff>0</xdr:rowOff>
                  </to>
                </anchor>
              </controlPr>
            </control>
          </mc:Choice>
        </mc:AlternateContent>
        <mc:AlternateContent xmlns:mc="http://schemas.openxmlformats.org/markup-compatibility/2006">
          <mc:Choice Requires="x14">
            <control shapeId="18525" r:id="rId88" name="Copy_BLC93_Point">
              <controlPr defaultSize="0" print="0" autoFill="0" autoPict="0" macro="[0]!Copy_BLC93_Point">
                <anchor moveWithCells="1" sizeWithCells="1">
                  <from>
                    <xdr:col>7</xdr:col>
                    <xdr:colOff>428625</xdr:colOff>
                    <xdr:row>96</xdr:row>
                    <xdr:rowOff>9525</xdr:rowOff>
                  </from>
                  <to>
                    <xdr:col>8</xdr:col>
                    <xdr:colOff>0</xdr:colOff>
                    <xdr:row>97</xdr:row>
                    <xdr:rowOff>0</xdr:rowOff>
                  </to>
                </anchor>
              </controlPr>
            </control>
          </mc:Choice>
        </mc:AlternateContent>
        <mc:AlternateContent xmlns:mc="http://schemas.openxmlformats.org/markup-compatibility/2006">
          <mc:Choice Requires="x14">
            <control shapeId="18526" r:id="rId89" name="Button 94">
              <controlPr defaultSize="0" print="0" autoFill="0" autoPict="0" macro="[0]!Area_Loads">
                <anchor moveWithCells="1" sizeWithCells="1">
                  <from>
                    <xdr:col>11</xdr:col>
                    <xdr:colOff>133350</xdr:colOff>
                    <xdr:row>9</xdr:row>
                    <xdr:rowOff>114300</xdr:rowOff>
                  </from>
                  <to>
                    <xdr:col>11</xdr:col>
                    <xdr:colOff>1562100</xdr:colOff>
                    <xdr:row>11</xdr:row>
                    <xdr:rowOff>114300</xdr:rowOff>
                  </to>
                </anchor>
              </controlPr>
            </control>
          </mc:Choice>
        </mc:AlternateContent>
        <mc:AlternateContent xmlns:mc="http://schemas.openxmlformats.org/markup-compatibility/2006">
          <mc:Choice Requires="x14">
            <control shapeId="18527" r:id="rId90" name="Button 95">
              <controlPr defaultSize="0" print="0" autoFill="0" autoPict="0" macro="[0]!windDirections_Click">
                <anchor moveWithCells="1" sizeWithCells="1">
                  <from>
                    <xdr:col>12</xdr:col>
                    <xdr:colOff>9525</xdr:colOff>
                    <xdr:row>1</xdr:row>
                    <xdr:rowOff>9525</xdr:rowOff>
                  </from>
                  <to>
                    <xdr:col>13</xdr:col>
                    <xdr:colOff>1057275</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25A7B-1986-4B49-9AEF-3609A581460D}">
  <sheetPr codeName="shResults">
    <tabColor theme="8"/>
  </sheetPr>
  <dimension ref="A1:AD10001"/>
  <sheetViews>
    <sheetView showGridLines="0" workbookViewId="0">
      <selection activeCell="A4" sqref="A4"/>
    </sheetView>
  </sheetViews>
  <sheetFormatPr defaultColWidth="9.140625" defaultRowHeight="15" customHeight="1" x14ac:dyDescent="0.2"/>
  <cols>
    <col min="1" max="2" width="9.140625" style="69"/>
    <col min="3" max="3" width="9.7109375" style="69" bestFit="1" customWidth="1"/>
    <col min="4" max="5" width="9.140625" style="69"/>
    <col min="6" max="6" width="10.28515625" style="69" bestFit="1" customWidth="1"/>
    <col min="7" max="9" width="9.140625" style="69"/>
    <col min="10" max="10" width="9.42578125" style="69" bestFit="1" customWidth="1"/>
    <col min="11" max="11" width="9.28515625" style="69" bestFit="1" customWidth="1"/>
    <col min="12" max="13" width="13.5703125" style="69" bestFit="1" customWidth="1"/>
    <col min="14" max="18" width="9.140625" style="69"/>
    <col min="19" max="19" width="19.140625" style="69" bestFit="1" customWidth="1"/>
    <col min="20" max="20" width="14.7109375" style="57" bestFit="1" customWidth="1"/>
    <col min="21" max="21" width="14.7109375" style="57" customWidth="1"/>
    <col min="22" max="25" width="9.140625" style="57"/>
    <col min="26" max="26" width="30.7109375" style="57" customWidth="1"/>
    <col min="27" max="27" width="15.7109375" style="57" customWidth="1"/>
    <col min="28" max="30" width="12.7109375" style="57" customWidth="1"/>
    <col min="31" max="16384" width="9.140625" style="57"/>
  </cols>
  <sheetData>
    <row r="1" spans="1:30" ht="18" customHeight="1" x14ac:dyDescent="0.2">
      <c r="A1" s="522" t="s">
        <v>535</v>
      </c>
      <c r="B1" s="522"/>
      <c r="C1" s="522"/>
      <c r="D1" s="522"/>
      <c r="E1" s="522"/>
      <c r="F1" s="522"/>
      <c r="G1" s="522"/>
      <c r="H1" s="522"/>
      <c r="I1" s="522"/>
      <c r="J1" s="522"/>
      <c r="K1" s="522"/>
      <c r="L1" s="522"/>
      <c r="M1" s="522"/>
      <c r="N1" s="522"/>
      <c r="O1" s="522"/>
      <c r="P1" s="522"/>
      <c r="Q1" s="522"/>
      <c r="R1" s="522"/>
      <c r="S1" s="522"/>
      <c r="T1" s="522"/>
      <c r="U1" s="522"/>
      <c r="Z1" s="523" t="s">
        <v>536</v>
      </c>
      <c r="AA1" s="524"/>
      <c r="AB1" s="524"/>
      <c r="AC1" s="524"/>
      <c r="AD1" s="525"/>
    </row>
    <row r="2" spans="1:30" s="69" customFormat="1" ht="18" customHeight="1" x14ac:dyDescent="0.2">
      <c r="A2" s="77" t="s">
        <v>537</v>
      </c>
      <c r="B2" s="77" t="s">
        <v>215</v>
      </c>
      <c r="C2" s="77" t="s">
        <v>538</v>
      </c>
      <c r="D2" s="77" t="s">
        <v>539</v>
      </c>
      <c r="E2" s="77" t="s">
        <v>540</v>
      </c>
      <c r="F2" s="77" t="s">
        <v>541</v>
      </c>
      <c r="G2" s="77" t="s">
        <v>539</v>
      </c>
      <c r="H2" s="77" t="s">
        <v>542</v>
      </c>
      <c r="I2" s="77" t="s">
        <v>540</v>
      </c>
      <c r="J2" s="77" t="s">
        <v>543</v>
      </c>
      <c r="K2" s="77" t="s">
        <v>544</v>
      </c>
      <c r="L2" s="77" t="s">
        <v>545</v>
      </c>
      <c r="M2" s="77" t="s">
        <v>546</v>
      </c>
      <c r="N2" s="77" t="s">
        <v>547</v>
      </c>
      <c r="O2" s="77" t="s">
        <v>548</v>
      </c>
      <c r="P2" s="77" t="s">
        <v>548</v>
      </c>
      <c r="Q2" s="77" t="s">
        <v>548</v>
      </c>
      <c r="R2" s="77" t="s">
        <v>548</v>
      </c>
      <c r="S2" s="77" t="s">
        <v>214</v>
      </c>
      <c r="T2" s="77" t="s">
        <v>549</v>
      </c>
      <c r="U2" s="77" t="s">
        <v>550</v>
      </c>
      <c r="Z2" s="526" t="s">
        <v>550</v>
      </c>
      <c r="AA2" s="526" t="s">
        <v>551</v>
      </c>
      <c r="AB2" s="526" t="s">
        <v>552</v>
      </c>
      <c r="AC2" s="526" t="s">
        <v>553</v>
      </c>
      <c r="AD2" s="526" t="s">
        <v>220</v>
      </c>
    </row>
    <row r="3" spans="1:30" s="69" customFormat="1" ht="15" customHeight="1" x14ac:dyDescent="0.2">
      <c r="A3" s="210" t="s">
        <v>554</v>
      </c>
      <c r="B3" s="210"/>
      <c r="C3" s="211">
        <f>MAX(T3:T5)</f>
        <v>0</v>
      </c>
      <c r="D3" s="210"/>
      <c r="E3" s="210"/>
      <c r="F3" s="210"/>
      <c r="G3" s="210"/>
      <c r="H3" s="210"/>
      <c r="I3" s="210"/>
      <c r="J3" s="210"/>
      <c r="K3" s="210"/>
      <c r="L3" s="210"/>
      <c r="M3" s="210"/>
      <c r="N3" s="210"/>
      <c r="O3" s="210"/>
      <c r="P3" s="210"/>
      <c r="Q3" s="210"/>
      <c r="R3" s="210"/>
      <c r="S3" s="210" t="e">
        <f>VLOOKUP(MAX(T3:T5),T3:U5,2,FALSE)</f>
        <v>#N/A</v>
      </c>
      <c r="T3" s="141"/>
      <c r="U3" s="76" t="s">
        <v>555</v>
      </c>
      <c r="Z3" s="527"/>
      <c r="AA3" s="527"/>
      <c r="AB3" s="527"/>
      <c r="AC3" s="527"/>
      <c r="AD3" s="527"/>
    </row>
    <row r="4" spans="1:30" ht="15" customHeight="1" x14ac:dyDescent="0.2">
      <c r="S4" s="69">
        <f>_xlfn.XLOOKUP(Results!A4,Geometry!$B$6:$B$10000,Geometry!$C$6:$C$10000)</f>
        <v>0</v>
      </c>
      <c r="T4" s="141"/>
      <c r="U4" s="76" t="s">
        <v>556</v>
      </c>
      <c r="Z4" s="220" t="e" vm="5">
        <f>IF(Results!U10="","",Results!U10)</f>
        <v>#VALUE!</v>
      </c>
      <c r="AA4" s="221" t="e" vm="5">
        <f>IF(Z4="","",IF(AC4=Code!P43,Code!O43,Code!Q43))</f>
        <v>#VALUE!</v>
      </c>
      <c r="AB4" s="222">
        <f>z</f>
        <v>0</v>
      </c>
      <c r="AC4" s="221" t="e" vm="5">
        <f>IF(Z4="","",MAX(Code!P43,Code!R43))</f>
        <v>#VALUE!</v>
      </c>
      <c r="AD4" s="220" t="e" vm="5">
        <f>IF(Z4="","",Code!S43)</f>
        <v>#VALUE!</v>
      </c>
    </row>
    <row r="5" spans="1:30" ht="15" customHeight="1" x14ac:dyDescent="0.2">
      <c r="S5" s="69">
        <f>_xlfn.XLOOKUP(Results!A5,Geometry!$B$6:$B$10000,Geometry!$C$6:$C$10000)</f>
        <v>0</v>
      </c>
      <c r="T5" s="141"/>
      <c r="U5" s="76" t="s">
        <v>557</v>
      </c>
      <c r="Z5" s="220" t="str">
        <f>IF(Results!U11="","",Results!U11)</f>
        <v/>
      </c>
      <c r="AA5" s="221" t="str">
        <f>IF(Z5="","",IF(AC5=Code!P44,Code!O44,Code!Q44))</f>
        <v/>
      </c>
      <c r="AB5" s="222"/>
      <c r="AC5" s="221" t="str">
        <f>IF(Z5="","",MAX(Code!P44,Code!R44))</f>
        <v/>
      </c>
      <c r="AD5" s="220" t="str">
        <f>IF(Z5="","",Code!S44)</f>
        <v/>
      </c>
    </row>
    <row r="6" spans="1:30" ht="15" customHeight="1" x14ac:dyDescent="0.2">
      <c r="S6" s="69">
        <f>_xlfn.XLOOKUP(Results!A6,Geometry!$B$6:$B$10000,Geometry!$C$6:$C$10000)</f>
        <v>0</v>
      </c>
      <c r="T6" s="69"/>
      <c r="U6" s="69"/>
      <c r="Z6" s="220" t="str">
        <f>IF(Results!U12="","",Results!U12)</f>
        <v/>
      </c>
      <c r="AA6" s="221" t="str">
        <f>IF(Z6="","",IF(AC6=Code!P45,Code!O45,Code!Q45))</f>
        <v/>
      </c>
      <c r="AB6" s="222"/>
      <c r="AC6" s="221" t="str">
        <f>IF(Z6="","",MAX(Code!P45,Code!R45))</f>
        <v/>
      </c>
      <c r="AD6" s="220" t="str">
        <f>IF(Z6="","",Code!S45)</f>
        <v/>
      </c>
    </row>
    <row r="7" spans="1:30" ht="15" customHeight="1" x14ac:dyDescent="0.2">
      <c r="S7" s="69">
        <f>_xlfn.XLOOKUP(Results!A7,Geometry!$B$6:$B$10000,Geometry!$C$6:$C$10000)</f>
        <v>0</v>
      </c>
      <c r="T7" s="139">
        <f>MAX($C$4:$C$1048576)</f>
        <v>0</v>
      </c>
      <c r="U7" s="140" t="s">
        <v>558</v>
      </c>
      <c r="Z7" s="220" t="str">
        <f>IF(Results!U13="","",Results!U13)</f>
        <v/>
      </c>
      <c r="AA7" s="221" t="str">
        <f>IF(Z7="","",IF(AC7=Code!P46,Code!O46,Code!Q46))</f>
        <v/>
      </c>
      <c r="AB7" s="222"/>
      <c r="AC7" s="221" t="str">
        <f>IF(Z7="","",MAX(Code!P46,Code!R46))</f>
        <v/>
      </c>
      <c r="AD7" s="220" t="str">
        <f>IF(Z7="","",Code!S46)</f>
        <v/>
      </c>
    </row>
    <row r="8" spans="1:30" ht="15" customHeight="1" x14ac:dyDescent="0.2">
      <c r="S8" s="69">
        <f>_xlfn.XLOOKUP(Results!A8,Geometry!$B$6:$B$10000,Geometry!$C$6:$C$10000)</f>
        <v>0</v>
      </c>
      <c r="T8" s="139">
        <f>MAX($F$4:$F$1048576)</f>
        <v>0</v>
      </c>
      <c r="U8" s="140" t="s">
        <v>559</v>
      </c>
      <c r="Z8" s="220" t="str">
        <f>IF(Results!U14="","",Results!U14)</f>
        <v/>
      </c>
      <c r="AA8" s="221" t="str">
        <f>IF(Z8="","",IF(AC8=Code!P47,Code!O47,Code!Q47))</f>
        <v/>
      </c>
      <c r="AB8" s="222"/>
      <c r="AC8" s="221" t="str">
        <f>IF(Z8="","",MAX(Code!P47,Code!R47))</f>
        <v/>
      </c>
      <c r="AD8" s="220" t="str">
        <f>IF(Z8="","",Code!S47)</f>
        <v/>
      </c>
    </row>
    <row r="9" spans="1:30" ht="15" customHeight="1" x14ac:dyDescent="0.2">
      <c r="S9" s="69">
        <f>_xlfn.XLOOKUP(Results!A9,Geometry!$B$6:$B$10000,Geometry!$C$6:$C$10000)</f>
        <v>0</v>
      </c>
      <c r="T9" s="69"/>
      <c r="U9" s="69"/>
      <c r="Z9" s="220" t="str">
        <f>IF(Results!U15="","",Results!U15)</f>
        <v/>
      </c>
      <c r="AA9" s="221" t="str">
        <f>IF(Z9="","",IF(AC9=Code!P48,Code!O48,Code!Q48))</f>
        <v/>
      </c>
      <c r="AB9" s="222"/>
      <c r="AC9" s="221" t="str">
        <f>IF(Z9="","",MAX(Code!P48,Code!R48))</f>
        <v/>
      </c>
      <c r="AD9" s="220" t="str">
        <f>IF(Z9="","",Code!S48)</f>
        <v/>
      </c>
    </row>
    <row r="10" spans="1:30" ht="15" customHeight="1" x14ac:dyDescent="0.2">
      <c r="S10" s="69">
        <f>_xlfn.XLOOKUP(Results!A10,Geometry!$B$6:$B$10000,Geometry!$C$6:$C$10000)</f>
        <v>0</v>
      </c>
      <c r="T10" s="69"/>
      <c r="U10" s="57" t="e" cm="1" vm="6">
        <f t="array" ref="U10">_xlfn._xlws.FILTER(_xlfn.UNIQUE(Geometry!X6:X32),_xlfn.UNIQUE(Geometry!X6:X32)&lt;&gt;"")</f>
        <v>#VALUE!</v>
      </c>
      <c r="Z10" s="220" t="str">
        <f>IF(Results!U16="","",Results!U16)</f>
        <v/>
      </c>
      <c r="AA10" s="221" t="str">
        <f>IF(Z10="","",IF(AC10=Code!P49,Code!O49,Code!Q49))</f>
        <v/>
      </c>
      <c r="AB10" s="222"/>
      <c r="AC10" s="221" t="str">
        <f>IF(Z10="","",MAX(Code!P49,Code!R49))</f>
        <v/>
      </c>
      <c r="AD10" s="220" t="str">
        <f>IF(Z10="","",Code!S49)</f>
        <v/>
      </c>
    </row>
    <row r="11" spans="1:30" ht="15" customHeight="1" x14ac:dyDescent="0.2">
      <c r="S11" s="69">
        <f>_xlfn.XLOOKUP(Results!A11,Geometry!$B$6:$B$10000,Geometry!$C$6:$C$10000)</f>
        <v>0</v>
      </c>
      <c r="T11" s="69"/>
      <c r="U11" s="69"/>
      <c r="Z11" s="220" t="str">
        <f>IF(Results!U17="","",Results!U17)</f>
        <v/>
      </c>
      <c r="AA11" s="221" t="str">
        <f>IF(Z11="","",IF(AC11=Code!P50,Code!O50,Code!Q50))</f>
        <v/>
      </c>
      <c r="AB11" s="222"/>
      <c r="AC11" s="221" t="str">
        <f>IF(Z11="","",MAX(Code!P50,Code!R50))</f>
        <v/>
      </c>
      <c r="AD11" s="220" t="str">
        <f>IF(Z11="","",Code!S50)</f>
        <v/>
      </c>
    </row>
    <row r="12" spans="1:30" ht="15" customHeight="1" x14ac:dyDescent="0.2">
      <c r="S12" s="69">
        <f>_xlfn.XLOOKUP(Results!A12,Geometry!$B$6:$B$10000,Geometry!$C$6:$C$10000)</f>
        <v>0</v>
      </c>
      <c r="T12" s="69"/>
      <c r="U12" s="69"/>
      <c r="Z12" s="220" t="str">
        <f>IF(Results!U18="","",Results!U18)</f>
        <v/>
      </c>
      <c r="AA12" s="221" t="str">
        <f>IF(Z12="","",IF(AC12=Code!P51,Code!O51,Code!Q51))</f>
        <v/>
      </c>
      <c r="AB12" s="222"/>
      <c r="AC12" s="221" t="str">
        <f>IF(Z12="","",MAX(Code!P51,Code!R51))</f>
        <v/>
      </c>
      <c r="AD12" s="220" t="str">
        <f>IF(Z12="","",Code!S51)</f>
        <v/>
      </c>
    </row>
    <row r="13" spans="1:30" ht="15" customHeight="1" x14ac:dyDescent="0.2">
      <c r="S13" s="69">
        <f>_xlfn.XLOOKUP(Results!A13,Geometry!$B$6:$B$10000,Geometry!$C$6:$C$10000)</f>
        <v>0</v>
      </c>
      <c r="T13" s="69"/>
      <c r="U13" s="69"/>
      <c r="Z13" s="220" t="str">
        <f>IF(Results!U19="","",Results!U19)</f>
        <v/>
      </c>
      <c r="AA13" s="221" t="str">
        <f>IF(Z13="","",IF(AC13=Code!P52,Code!O52,Code!Q52))</f>
        <v/>
      </c>
      <c r="AB13" s="222"/>
      <c r="AC13" s="221" t="str">
        <f>IF(Z13="","",MAX(Code!P52,Code!R52))</f>
        <v/>
      </c>
      <c r="AD13" s="220" t="str">
        <f>IF(Z13="","",Code!S52)</f>
        <v/>
      </c>
    </row>
    <row r="14" spans="1:30" ht="15" customHeight="1" x14ac:dyDescent="0.2">
      <c r="S14" s="69">
        <f>_xlfn.XLOOKUP(Results!A14,Geometry!$B$6:$B$10000,Geometry!$C$6:$C$10000)</f>
        <v>0</v>
      </c>
      <c r="T14" s="69"/>
      <c r="U14" s="69"/>
      <c r="Z14" s="220" t="str">
        <f>IF(Results!U20="","",Results!U20)</f>
        <v/>
      </c>
      <c r="AA14" s="221" t="str">
        <f>IF(Z14="","",IF(AC14=Code!P53,Code!O53,Code!Q53))</f>
        <v/>
      </c>
      <c r="AB14" s="222"/>
      <c r="AC14" s="221" t="str">
        <f>IF(Z14="","",MAX(Code!P53,Code!R53))</f>
        <v/>
      </c>
      <c r="AD14" s="220" t="str">
        <f>IF(Z14="","",Code!S53)</f>
        <v/>
      </c>
    </row>
    <row r="15" spans="1:30" ht="15" customHeight="1" x14ac:dyDescent="0.2">
      <c r="S15" s="69">
        <f>_xlfn.XLOOKUP(Results!A15,Geometry!$B$6:$B$10000,Geometry!$C$6:$C$10000)</f>
        <v>0</v>
      </c>
      <c r="T15" s="69"/>
      <c r="U15" s="69"/>
      <c r="Z15" s="220" t="str">
        <f>IF(Results!U21="","",Results!U21)</f>
        <v/>
      </c>
      <c r="AA15" s="221" t="str">
        <f>IF(Z15="","",IF(AC15=Code!P54,Code!O54,Code!Q54))</f>
        <v/>
      </c>
      <c r="AB15" s="222"/>
      <c r="AC15" s="221" t="str">
        <f>IF(Z15="","",MAX(Code!P54,Code!R54))</f>
        <v/>
      </c>
      <c r="AD15" s="220" t="str">
        <f>IF(Z15="","",Code!S54)</f>
        <v/>
      </c>
    </row>
    <row r="16" spans="1:30" ht="15" customHeight="1" x14ac:dyDescent="0.2">
      <c r="S16" s="69">
        <f>_xlfn.XLOOKUP(Results!A16,Geometry!$B$6:$B$10000,Geometry!$C$6:$C$10000)</f>
        <v>0</v>
      </c>
      <c r="T16" s="69"/>
      <c r="U16" s="69"/>
      <c r="Z16" s="220" t="str">
        <f>IF(Results!U22="","",Results!U22)</f>
        <v/>
      </c>
      <c r="AA16" s="221" t="str">
        <f>IF(Z16="","",IF(AC16=Code!P55,Code!O55,Code!Q55))</f>
        <v/>
      </c>
      <c r="AB16" s="222"/>
      <c r="AC16" s="221" t="str">
        <f>IF(Z16="","",MAX(Code!P55,Code!R55))</f>
        <v/>
      </c>
      <c r="AD16" s="220" t="str">
        <f>IF(Z16="","",Code!S55)</f>
        <v/>
      </c>
    </row>
    <row r="17" spans="19:30" ht="15" customHeight="1" x14ac:dyDescent="0.2">
      <c r="S17" s="69">
        <f>_xlfn.XLOOKUP(Results!A17,Geometry!$B$6:$B$10000,Geometry!$C$6:$C$10000)</f>
        <v>0</v>
      </c>
      <c r="T17" s="69"/>
      <c r="U17" s="69"/>
      <c r="Z17" s="220" t="str">
        <f>IF(Results!U23="","",Results!U23)</f>
        <v/>
      </c>
      <c r="AA17" s="221" t="str">
        <f>IF(Z17="","",IF(AC17=Code!P56,Code!O56,Code!Q56))</f>
        <v/>
      </c>
      <c r="AB17" s="222"/>
      <c r="AC17" s="221" t="str">
        <f>IF(Z17="","",MAX(Code!P56,Code!R56))</f>
        <v/>
      </c>
      <c r="AD17" s="220" t="str">
        <f>IF(Z17="","",Code!S56)</f>
        <v/>
      </c>
    </row>
    <row r="18" spans="19:30" ht="15" customHeight="1" x14ac:dyDescent="0.2">
      <c r="S18" s="69">
        <f>_xlfn.XLOOKUP(Results!A18,Geometry!$B$6:$B$10000,Geometry!$C$6:$C$10000)</f>
        <v>0</v>
      </c>
      <c r="T18" s="69"/>
      <c r="U18" s="69"/>
      <c r="Z18" s="220" t="str">
        <f>IF(Results!U24="","",Results!U24)</f>
        <v/>
      </c>
      <c r="AA18" s="221" t="str">
        <f>IF(Z18="","",IF(AC18=Code!P57,Code!O57,Code!Q57))</f>
        <v/>
      </c>
      <c r="AB18" s="222"/>
      <c r="AC18" s="221" t="str">
        <f>IF(Z18="","",MAX(Code!P57,Code!R57))</f>
        <v/>
      </c>
      <c r="AD18" s="220" t="str">
        <f>IF(Z18="","",Code!S57)</f>
        <v/>
      </c>
    </row>
    <row r="19" spans="19:30" ht="15" customHeight="1" x14ac:dyDescent="0.2">
      <c r="S19" s="69">
        <f>_xlfn.XLOOKUP(Results!A19,Geometry!$B$6:$B$10000,Geometry!$C$6:$C$10000)</f>
        <v>0</v>
      </c>
      <c r="T19" s="69"/>
      <c r="U19" s="69"/>
      <c r="Z19" s="220" t="str">
        <f>IF(Results!U25="","",Results!U25)</f>
        <v/>
      </c>
      <c r="AA19" s="221" t="str">
        <f>IF(Z19="","",IF(AC19=Code!P58,Code!O58,Code!Q58))</f>
        <v/>
      </c>
      <c r="AB19" s="222"/>
      <c r="AC19" s="221" t="str">
        <f>IF(Z19="","",MAX(Code!P58,Code!R58))</f>
        <v/>
      </c>
      <c r="AD19" s="220" t="str">
        <f>IF(Z19="","",Code!S58)</f>
        <v/>
      </c>
    </row>
    <row r="20" spans="19:30" ht="15" customHeight="1" x14ac:dyDescent="0.2">
      <c r="S20" s="69">
        <f>_xlfn.XLOOKUP(Results!A20,Geometry!$B$6:$B$10000,Geometry!$C$6:$C$10000)</f>
        <v>0</v>
      </c>
      <c r="T20" s="69"/>
      <c r="U20" s="69"/>
      <c r="Z20" s="220" t="str">
        <f>IF(Results!U26="","",Results!U26)</f>
        <v/>
      </c>
      <c r="AA20" s="221" t="str">
        <f>IF(Z20="","",IF(AC20=Code!P59,Code!O59,Code!Q59))</f>
        <v/>
      </c>
      <c r="AB20" s="222"/>
      <c r="AC20" s="221" t="str">
        <f>IF(Z20="","",MAX(Code!P59,Code!R59))</f>
        <v/>
      </c>
      <c r="AD20" s="220" t="str">
        <f>IF(Z20="","",Code!S59)</f>
        <v/>
      </c>
    </row>
    <row r="21" spans="19:30" ht="15" customHeight="1" x14ac:dyDescent="0.2">
      <c r="S21" s="69">
        <f>_xlfn.XLOOKUP(Results!A21,Geometry!$B$6:$B$10000,Geometry!$C$6:$C$10000)</f>
        <v>0</v>
      </c>
      <c r="T21" s="69"/>
      <c r="U21" s="69"/>
      <c r="Z21" s="220" t="str">
        <f>IF(Results!U27="","",Results!U27)</f>
        <v/>
      </c>
      <c r="AA21" s="221" t="str">
        <f>IF(Z21="","",IF(AC21=Code!P60,Code!O60,Code!Q60))</f>
        <v/>
      </c>
      <c r="AB21" s="222"/>
      <c r="AC21" s="221" t="str">
        <f>IF(Z21="","",MAX(Code!P60,Code!R60))</f>
        <v/>
      </c>
      <c r="AD21" s="220" t="str">
        <f>IF(Z21="","",Code!S60)</f>
        <v/>
      </c>
    </row>
    <row r="22" spans="19:30" ht="15" customHeight="1" x14ac:dyDescent="0.2">
      <c r="S22" s="69">
        <f>_xlfn.XLOOKUP(Results!A22,Geometry!$B$6:$B$10000,Geometry!$C$6:$C$10000)</f>
        <v>0</v>
      </c>
      <c r="T22" s="69"/>
      <c r="U22" s="69"/>
      <c r="Z22" s="220" t="str">
        <f>IF(Results!U28="","",Results!U28)</f>
        <v/>
      </c>
      <c r="AA22" s="221" t="str">
        <f>IF(Z22="","",IF(AC22=Code!P61,Code!O61,Code!Q61))</f>
        <v/>
      </c>
      <c r="AB22" s="222"/>
      <c r="AC22" s="221" t="str">
        <f>IF(Z22="","",MAX(Code!P61,Code!R61))</f>
        <v/>
      </c>
      <c r="AD22" s="220" t="str">
        <f>IF(Z22="","",Code!S61)</f>
        <v/>
      </c>
    </row>
    <row r="23" spans="19:30" ht="15" customHeight="1" x14ac:dyDescent="0.2">
      <c r="S23" s="69">
        <f>_xlfn.XLOOKUP(Results!A23,Geometry!$B$6:$B$10000,Geometry!$C$6:$C$10000)</f>
        <v>0</v>
      </c>
      <c r="T23" s="69"/>
      <c r="U23" s="69"/>
      <c r="Z23" s="220" t="str">
        <f>IF(Results!U29="","",Results!U29)</f>
        <v/>
      </c>
      <c r="AA23" s="221" t="str">
        <f>IF(Z23="","",IF(AC23=Code!P62,Code!O62,Code!Q62))</f>
        <v/>
      </c>
      <c r="AB23" s="222"/>
      <c r="AC23" s="221" t="str">
        <f>IF(Z23="","",MAX(Code!P62,Code!R62))</f>
        <v/>
      </c>
      <c r="AD23" s="220" t="str">
        <f>IF(Z23="","",Code!S62)</f>
        <v/>
      </c>
    </row>
    <row r="24" spans="19:30" ht="15" customHeight="1" x14ac:dyDescent="0.2">
      <c r="S24" s="69">
        <f>_xlfn.XLOOKUP(Results!A24,Geometry!$B$6:$B$10000,Geometry!$C$6:$C$10000)</f>
        <v>0</v>
      </c>
      <c r="T24" s="69"/>
      <c r="U24" s="69"/>
      <c r="Z24" s="220" t="str">
        <f>IF(Results!U30="","",Results!U30)</f>
        <v/>
      </c>
      <c r="AA24" s="221" t="str">
        <f>IF(Z24="","",IF(AC24=Code!P63,Code!O63,Code!Q63))</f>
        <v/>
      </c>
      <c r="AB24" s="222"/>
      <c r="AC24" s="221" t="str">
        <f>IF(Z24="","",MAX(Code!P63,Code!R63))</f>
        <v/>
      </c>
      <c r="AD24" s="220" t="str">
        <f>IF(Z24="","",Code!S63)</f>
        <v/>
      </c>
    </row>
    <row r="25" spans="19:30" ht="15" customHeight="1" x14ac:dyDescent="0.2">
      <c r="S25" s="69">
        <f>_xlfn.XLOOKUP(Results!A25,Geometry!$B$6:$B$10000,Geometry!$C$6:$C$10000)</f>
        <v>0</v>
      </c>
      <c r="T25" s="69"/>
      <c r="U25" s="69"/>
      <c r="Z25" s="220" t="str">
        <f>IF(Results!U31="","",Results!U31)</f>
        <v/>
      </c>
      <c r="AA25" s="221" t="str">
        <f>IF(Z25="","",IF(AC25=Code!P64,Code!O64,Code!Q64))</f>
        <v/>
      </c>
      <c r="AB25" s="222"/>
      <c r="AC25" s="221" t="str">
        <f>IF(Z25="","",MAX(Code!P64,Code!R64))</f>
        <v/>
      </c>
      <c r="AD25" s="220" t="str">
        <f>IF(Z25="","",Code!S64)</f>
        <v/>
      </c>
    </row>
    <row r="26" spans="19:30" ht="15" customHeight="1" x14ac:dyDescent="0.2">
      <c r="S26" s="69">
        <f>_xlfn.XLOOKUP(Results!A26,Geometry!$B$6:$B$10000,Geometry!$C$6:$C$10000)</f>
        <v>0</v>
      </c>
      <c r="T26" s="69"/>
      <c r="U26" s="69"/>
      <c r="Z26" s="220" t="str">
        <f>IF(Results!U32="","",Results!U32)</f>
        <v/>
      </c>
      <c r="AA26" s="221" t="str">
        <f>IF(Z26="","",IF(AC26=Code!P65,Code!O65,Code!Q65))</f>
        <v/>
      </c>
      <c r="AB26" s="222"/>
      <c r="AC26" s="221" t="str">
        <f>IF(Z26="","",MAX(Code!P65,Code!R65))</f>
        <v/>
      </c>
      <c r="AD26" s="220" t="str">
        <f>IF(Z26="","",Code!S65)</f>
        <v/>
      </c>
    </row>
    <row r="27" spans="19:30" ht="15" customHeight="1" x14ac:dyDescent="0.2">
      <c r="S27" s="69">
        <f>_xlfn.XLOOKUP(Results!A27,Geometry!$B$6:$B$10000,Geometry!$C$6:$C$10000)</f>
        <v>0</v>
      </c>
      <c r="T27" s="69"/>
      <c r="U27" s="69"/>
      <c r="Z27" s="220" t="str">
        <f>IF(Results!U33="","",Results!U33)</f>
        <v/>
      </c>
      <c r="AA27" s="221" t="str">
        <f>IF(Z27="","",IF(AC27=Code!P66,Code!O66,Code!Q66))</f>
        <v/>
      </c>
      <c r="AB27" s="222"/>
      <c r="AC27" s="221" t="str">
        <f>IF(Z27="","",MAX(Code!P66,Code!R66))</f>
        <v/>
      </c>
      <c r="AD27" s="220" t="str">
        <f>IF(Z27="","",Code!S66)</f>
        <v/>
      </c>
    </row>
    <row r="28" spans="19:30" ht="15" customHeight="1" x14ac:dyDescent="0.2">
      <c r="S28" s="69">
        <f>_xlfn.XLOOKUP(Results!A28,Geometry!$B$6:$B$10000,Geometry!$C$6:$C$10000)</f>
        <v>0</v>
      </c>
      <c r="T28" s="69"/>
      <c r="U28" s="69"/>
      <c r="Z28" s="220" t="str">
        <f>IF(Results!U34="","",Results!U34)</f>
        <v/>
      </c>
      <c r="AA28" s="221" t="str">
        <f>IF(Z28="","",IF(AC28=Code!P67,Code!O67,Code!Q67))</f>
        <v/>
      </c>
      <c r="AB28" s="222"/>
      <c r="AC28" s="221" t="str">
        <f>IF(Z28="","",MAX(Code!P67,Code!R67))</f>
        <v/>
      </c>
      <c r="AD28" s="220" t="str">
        <f>IF(Z28="","",Code!S67)</f>
        <v/>
      </c>
    </row>
    <row r="29" spans="19:30" ht="15" customHeight="1" x14ac:dyDescent="0.2">
      <c r="S29" s="69">
        <f>_xlfn.XLOOKUP(Results!A29,Geometry!$B$6:$B$10000,Geometry!$C$6:$C$10000)</f>
        <v>0</v>
      </c>
      <c r="T29" s="69"/>
      <c r="U29" s="69"/>
      <c r="Z29" s="220" t="str">
        <f>IF(Results!U35="","",Results!U35)</f>
        <v/>
      </c>
      <c r="AA29" s="221" t="str">
        <f>IF(Z29="","",IF(AC29=Code!P68,Code!O68,Code!Q68))</f>
        <v/>
      </c>
      <c r="AB29" s="222"/>
      <c r="AC29" s="221" t="str">
        <f>IF(Z29="","",MAX(Code!P68,Code!R68))</f>
        <v/>
      </c>
      <c r="AD29" s="220" t="str">
        <f>IF(Z29="","",Code!S68)</f>
        <v/>
      </c>
    </row>
    <row r="30" spans="19:30" ht="15" customHeight="1" x14ac:dyDescent="0.2">
      <c r="S30" s="69">
        <f>_xlfn.XLOOKUP(Results!A30,Geometry!$B$6:$B$10000,Geometry!$C$6:$C$10000)</f>
        <v>0</v>
      </c>
      <c r="T30" s="69"/>
      <c r="U30" s="69"/>
      <c r="Z30" s="220" t="str">
        <f>IF(Results!U36="","",Results!U36)</f>
        <v/>
      </c>
      <c r="AA30" s="221" t="str">
        <f>IF(Z30="","",IF(AC30=Code!P69,Code!O69,Code!Q69))</f>
        <v/>
      </c>
      <c r="AB30" s="222"/>
      <c r="AC30" s="221" t="str">
        <f>IF(Z30="","",MAX(Code!P69,Code!R69))</f>
        <v/>
      </c>
      <c r="AD30" s="220" t="str">
        <f>IF(Z30="","",Code!S69)</f>
        <v/>
      </c>
    </row>
    <row r="31" spans="19:30" ht="15" customHeight="1" x14ac:dyDescent="0.2">
      <c r="S31" s="69">
        <f>_xlfn.XLOOKUP(Results!A31,Geometry!$B$6:$B$10000,Geometry!$C$6:$C$10000)</f>
        <v>0</v>
      </c>
      <c r="T31" s="69"/>
      <c r="U31" s="69"/>
      <c r="Z31" s="220" t="str">
        <f>IF(Results!U37="","",Results!U37)</f>
        <v/>
      </c>
      <c r="AA31" s="221" t="str">
        <f>IF(Z31="","",IF(AC31=Code!P70,Code!O70,Code!Q70))</f>
        <v/>
      </c>
      <c r="AB31" s="222"/>
      <c r="AC31" s="221" t="str">
        <f>IF(Z31="","",MAX(Code!P70,Code!R70))</f>
        <v/>
      </c>
      <c r="AD31" s="220" t="str">
        <f>IF(Z31="","",Code!S70)</f>
        <v/>
      </c>
    </row>
    <row r="32" spans="19:30" ht="15" customHeight="1" x14ac:dyDescent="0.2">
      <c r="S32" s="69">
        <f>_xlfn.XLOOKUP(Results!A32,Geometry!$B$6:$B$10000,Geometry!$C$6:$C$10000)</f>
        <v>0</v>
      </c>
      <c r="T32" s="69"/>
      <c r="U32" s="69"/>
      <c r="Z32" s="220" t="str">
        <f>IF(Results!U38="","",Results!U38)</f>
        <v/>
      </c>
      <c r="AA32" s="221" t="str">
        <f>IF(Z32="","",IF(AC32=Code!P71,Code!O71,Code!Q71))</f>
        <v/>
      </c>
      <c r="AB32" s="222"/>
      <c r="AC32" s="221" t="str">
        <f>IF(Z32="","",MAX(Code!P71,Code!R71))</f>
        <v/>
      </c>
      <c r="AD32" s="220" t="str">
        <f>IF(Z32="","",Code!S71)</f>
        <v/>
      </c>
    </row>
    <row r="33" spans="19:21" ht="15" customHeight="1" x14ac:dyDescent="0.2">
      <c r="S33" s="69">
        <f>_xlfn.XLOOKUP(Results!A33,Geometry!$B$6:$B$10000,Geometry!$C$6:$C$10000)</f>
        <v>0</v>
      </c>
      <c r="T33" s="69"/>
      <c r="U33" s="69"/>
    </row>
    <row r="34" spans="19:21" ht="15" customHeight="1" x14ac:dyDescent="0.2">
      <c r="S34" s="69">
        <f>_xlfn.XLOOKUP(Results!A34,Geometry!$B$6:$B$10000,Geometry!$C$6:$C$10000)</f>
        <v>0</v>
      </c>
      <c r="T34" s="69"/>
      <c r="U34" s="69"/>
    </row>
    <row r="35" spans="19:21" ht="15" customHeight="1" x14ac:dyDescent="0.2">
      <c r="S35" s="69">
        <f>_xlfn.XLOOKUP(Results!A35,Geometry!$B$6:$B$10000,Geometry!$C$6:$C$10000)</f>
        <v>0</v>
      </c>
      <c r="T35" s="69"/>
      <c r="U35" s="69"/>
    </row>
    <row r="36" spans="19:21" ht="15" customHeight="1" x14ac:dyDescent="0.2">
      <c r="S36" s="69">
        <f>_xlfn.XLOOKUP(Results!A36,Geometry!$B$6:$B$10000,Geometry!$C$6:$C$10000)</f>
        <v>0</v>
      </c>
      <c r="T36" s="69"/>
      <c r="U36" s="69"/>
    </row>
    <row r="37" spans="19:21" ht="15" customHeight="1" x14ac:dyDescent="0.2">
      <c r="S37" s="69">
        <f>_xlfn.XLOOKUP(Results!A37,Geometry!$B$6:$B$10000,Geometry!$C$6:$C$10000)</f>
        <v>0</v>
      </c>
      <c r="T37" s="69"/>
      <c r="U37" s="69"/>
    </row>
    <row r="38" spans="19:21" ht="15" customHeight="1" x14ac:dyDescent="0.2">
      <c r="S38" s="69">
        <f>_xlfn.XLOOKUP(Results!A38,Geometry!$B$6:$B$10000,Geometry!$C$6:$C$10000)</f>
        <v>0</v>
      </c>
      <c r="T38" s="69"/>
      <c r="U38" s="69"/>
    </row>
    <row r="39" spans="19:21" ht="15" customHeight="1" x14ac:dyDescent="0.2">
      <c r="S39" s="69">
        <f>_xlfn.XLOOKUP(Results!A39,Geometry!$B$6:$B$10000,Geometry!$C$6:$C$10000)</f>
        <v>0</v>
      </c>
      <c r="T39" s="69"/>
      <c r="U39" s="69"/>
    </row>
    <row r="40" spans="19:21" ht="15" customHeight="1" x14ac:dyDescent="0.2">
      <c r="S40" s="69">
        <f>_xlfn.XLOOKUP(Results!A40,Geometry!$B$6:$B$10000,Geometry!$C$6:$C$10000)</f>
        <v>0</v>
      </c>
      <c r="T40" s="69"/>
      <c r="U40" s="69"/>
    </row>
    <row r="41" spans="19:21" ht="15" customHeight="1" x14ac:dyDescent="0.2">
      <c r="S41" s="69">
        <f>_xlfn.XLOOKUP(Results!A41,Geometry!$B$6:$B$10000,Geometry!$C$6:$C$10000)</f>
        <v>0</v>
      </c>
      <c r="T41" s="69"/>
      <c r="U41" s="69"/>
    </row>
    <row r="42" spans="19:21" ht="15" customHeight="1" x14ac:dyDescent="0.2">
      <c r="S42" s="69">
        <f>_xlfn.XLOOKUP(Results!A42,Geometry!$B$6:$B$10000,Geometry!$C$6:$C$10000)</f>
        <v>0</v>
      </c>
      <c r="T42" s="69"/>
      <c r="U42" s="69"/>
    </row>
    <row r="43" spans="19:21" ht="15" customHeight="1" x14ac:dyDescent="0.2">
      <c r="S43" s="69">
        <f>_xlfn.XLOOKUP(Results!A43,Geometry!$B$6:$B$10000,Geometry!$C$6:$C$10000)</f>
        <v>0</v>
      </c>
      <c r="T43" s="69"/>
      <c r="U43" s="69"/>
    </row>
    <row r="44" spans="19:21" ht="15" customHeight="1" x14ac:dyDescent="0.2">
      <c r="S44" s="69">
        <f>_xlfn.XLOOKUP(Results!A44,Geometry!$B$6:$B$10000,Geometry!$C$6:$C$10000)</f>
        <v>0</v>
      </c>
      <c r="T44" s="69"/>
      <c r="U44" s="69"/>
    </row>
    <row r="45" spans="19:21" ht="15" customHeight="1" x14ac:dyDescent="0.2">
      <c r="S45" s="69">
        <f>_xlfn.XLOOKUP(Results!A45,Geometry!$B$6:$B$10000,Geometry!$C$6:$C$10000)</f>
        <v>0</v>
      </c>
      <c r="T45" s="69"/>
      <c r="U45" s="69"/>
    </row>
    <row r="46" spans="19:21" ht="15" customHeight="1" x14ac:dyDescent="0.2">
      <c r="S46" s="69">
        <f>_xlfn.XLOOKUP(Results!A46,Geometry!$B$6:$B$10000,Geometry!$C$6:$C$10000)</f>
        <v>0</v>
      </c>
      <c r="T46" s="69"/>
      <c r="U46" s="69"/>
    </row>
    <row r="47" spans="19:21" ht="15" customHeight="1" x14ac:dyDescent="0.2">
      <c r="S47" s="69">
        <f>_xlfn.XLOOKUP(Results!A47,Geometry!$B$6:$B$10000,Geometry!$C$6:$C$10000)</f>
        <v>0</v>
      </c>
      <c r="T47" s="69"/>
      <c r="U47" s="69"/>
    </row>
    <row r="48" spans="19:21" ht="15" customHeight="1" x14ac:dyDescent="0.2">
      <c r="S48" s="69">
        <f>_xlfn.XLOOKUP(Results!A48,Geometry!$B$6:$B$10000,Geometry!$C$6:$C$10000)</f>
        <v>0</v>
      </c>
      <c r="T48" s="69"/>
      <c r="U48" s="69"/>
    </row>
    <row r="49" spans="19:21" ht="15" customHeight="1" x14ac:dyDescent="0.2">
      <c r="S49" s="69">
        <f>_xlfn.XLOOKUP(Results!A49,Geometry!$B$6:$B$10000,Geometry!$C$6:$C$10000)</f>
        <v>0</v>
      </c>
      <c r="T49" s="69"/>
      <c r="U49" s="69"/>
    </row>
    <row r="50" spans="19:21" ht="15" customHeight="1" x14ac:dyDescent="0.2">
      <c r="S50" s="69">
        <f>_xlfn.XLOOKUP(Results!A50,Geometry!$B$6:$B$10000,Geometry!$C$6:$C$10000)</f>
        <v>0</v>
      </c>
      <c r="T50" s="69"/>
      <c r="U50" s="69"/>
    </row>
    <row r="51" spans="19:21" ht="15" customHeight="1" x14ac:dyDescent="0.2">
      <c r="S51" s="69">
        <f>_xlfn.XLOOKUP(Results!A51,Geometry!$B$6:$B$10000,Geometry!$C$6:$C$10000)</f>
        <v>0</v>
      </c>
      <c r="T51" s="69"/>
      <c r="U51" s="69"/>
    </row>
    <row r="52" spans="19:21" ht="15" customHeight="1" x14ac:dyDescent="0.2">
      <c r="S52" s="69">
        <f>_xlfn.XLOOKUP(Results!A52,Geometry!$B$6:$B$10000,Geometry!$C$6:$C$10000)</f>
        <v>0</v>
      </c>
      <c r="T52" s="69"/>
      <c r="U52" s="69"/>
    </row>
    <row r="53" spans="19:21" ht="15" customHeight="1" x14ac:dyDescent="0.2">
      <c r="S53" s="69">
        <f>_xlfn.XLOOKUP(Results!A53,Geometry!$B$6:$B$10000,Geometry!$C$6:$C$10000)</f>
        <v>0</v>
      </c>
      <c r="T53" s="69"/>
      <c r="U53" s="69"/>
    </row>
    <row r="54" spans="19:21" ht="15" customHeight="1" x14ac:dyDescent="0.2">
      <c r="S54" s="69">
        <f>_xlfn.XLOOKUP(Results!A54,Geometry!$B$6:$B$10000,Geometry!$C$6:$C$10000)</f>
        <v>0</v>
      </c>
      <c r="T54" s="69"/>
      <c r="U54" s="69"/>
    </row>
    <row r="55" spans="19:21" ht="15" customHeight="1" x14ac:dyDescent="0.2">
      <c r="S55" s="69">
        <f>_xlfn.XLOOKUP(Results!A55,Geometry!$B$6:$B$10000,Geometry!$C$6:$C$10000)</f>
        <v>0</v>
      </c>
      <c r="T55" s="69"/>
      <c r="U55" s="69"/>
    </row>
    <row r="56" spans="19:21" ht="15" customHeight="1" x14ac:dyDescent="0.2">
      <c r="S56" s="69">
        <f>_xlfn.XLOOKUP(Results!A56,Geometry!$B$6:$B$10000,Geometry!$C$6:$C$10000)</f>
        <v>0</v>
      </c>
      <c r="T56" s="69"/>
      <c r="U56" s="69"/>
    </row>
    <row r="57" spans="19:21" ht="15" customHeight="1" x14ac:dyDescent="0.2">
      <c r="S57" s="69">
        <f>_xlfn.XLOOKUP(Results!A57,Geometry!$B$6:$B$10000,Geometry!$C$6:$C$10000)</f>
        <v>0</v>
      </c>
      <c r="T57" s="69"/>
      <c r="U57" s="69"/>
    </row>
    <row r="58" spans="19:21" ht="15" customHeight="1" x14ac:dyDescent="0.2">
      <c r="S58" s="69">
        <f>_xlfn.XLOOKUP(Results!A58,Geometry!$B$6:$B$10000,Geometry!$C$6:$C$10000)</f>
        <v>0</v>
      </c>
      <c r="T58" s="69"/>
      <c r="U58" s="69"/>
    </row>
    <row r="59" spans="19:21" ht="15" customHeight="1" x14ac:dyDescent="0.2">
      <c r="S59" s="69">
        <f>_xlfn.XLOOKUP(Results!A59,Geometry!$B$6:$B$10000,Geometry!$C$6:$C$10000)</f>
        <v>0</v>
      </c>
      <c r="T59" s="69"/>
      <c r="U59" s="69"/>
    </row>
    <row r="60" spans="19:21" ht="15" customHeight="1" x14ac:dyDescent="0.2">
      <c r="S60" s="69">
        <f>_xlfn.XLOOKUP(Results!A60,Geometry!$B$6:$B$10000,Geometry!$C$6:$C$10000)</f>
        <v>0</v>
      </c>
      <c r="T60" s="69"/>
      <c r="U60" s="69"/>
    </row>
    <row r="61" spans="19:21" ht="15" customHeight="1" x14ac:dyDescent="0.2">
      <c r="S61" s="69">
        <f>_xlfn.XLOOKUP(Results!A61,Geometry!$B$6:$B$10000,Geometry!$C$6:$C$10000)</f>
        <v>0</v>
      </c>
      <c r="T61" s="69"/>
      <c r="U61" s="69"/>
    </row>
    <row r="62" spans="19:21" ht="15" customHeight="1" x14ac:dyDescent="0.2">
      <c r="S62" s="69">
        <f>_xlfn.XLOOKUP(Results!A62,Geometry!$B$6:$B$10000,Geometry!$C$6:$C$10000)</f>
        <v>0</v>
      </c>
      <c r="T62" s="69"/>
      <c r="U62" s="69"/>
    </row>
    <row r="63" spans="19:21" ht="15" customHeight="1" x14ac:dyDescent="0.2">
      <c r="S63" s="69">
        <f>_xlfn.XLOOKUP(Results!A63,Geometry!$B$6:$B$10000,Geometry!$C$6:$C$10000)</f>
        <v>0</v>
      </c>
      <c r="T63" s="69"/>
      <c r="U63" s="69"/>
    </row>
    <row r="64" spans="19:21" ht="15" customHeight="1" x14ac:dyDescent="0.2">
      <c r="S64" s="69">
        <f>_xlfn.XLOOKUP(Results!A64,Geometry!$B$6:$B$10000,Geometry!$C$6:$C$10000)</f>
        <v>0</v>
      </c>
      <c r="T64" s="69"/>
      <c r="U64" s="69"/>
    </row>
    <row r="65" spans="19:21" ht="15" customHeight="1" x14ac:dyDescent="0.2">
      <c r="S65" s="69">
        <f>_xlfn.XLOOKUP(Results!A65,Geometry!$B$6:$B$10000,Geometry!$C$6:$C$10000)</f>
        <v>0</v>
      </c>
      <c r="T65" s="69"/>
      <c r="U65" s="69"/>
    </row>
    <row r="66" spans="19:21" ht="15" customHeight="1" x14ac:dyDescent="0.2">
      <c r="S66" s="69">
        <f>_xlfn.XLOOKUP(Results!A66,Geometry!$B$6:$B$10000,Geometry!$C$6:$C$10000)</f>
        <v>0</v>
      </c>
      <c r="T66" s="69"/>
      <c r="U66" s="69"/>
    </row>
    <row r="67" spans="19:21" ht="15" customHeight="1" x14ac:dyDescent="0.2">
      <c r="S67" s="69">
        <f>_xlfn.XLOOKUP(Results!A67,Geometry!$B$6:$B$10000,Geometry!$C$6:$C$10000)</f>
        <v>0</v>
      </c>
      <c r="T67" s="69"/>
      <c r="U67" s="69"/>
    </row>
    <row r="68" spans="19:21" ht="15" customHeight="1" x14ac:dyDescent="0.2">
      <c r="S68" s="69">
        <f>_xlfn.XLOOKUP(Results!A68,Geometry!$B$6:$B$10000,Geometry!$C$6:$C$10000)</f>
        <v>0</v>
      </c>
      <c r="T68" s="69"/>
      <c r="U68" s="69"/>
    </row>
    <row r="69" spans="19:21" ht="15" customHeight="1" x14ac:dyDescent="0.2">
      <c r="S69" s="69">
        <f>_xlfn.XLOOKUP(Results!A69,Geometry!$B$6:$B$10000,Geometry!$C$6:$C$10000)</f>
        <v>0</v>
      </c>
      <c r="T69" s="69"/>
      <c r="U69" s="69"/>
    </row>
    <row r="70" spans="19:21" ht="15" customHeight="1" x14ac:dyDescent="0.2">
      <c r="S70" s="69">
        <f>_xlfn.XLOOKUP(Results!A70,Geometry!$B$6:$B$10000,Geometry!$C$6:$C$10000)</f>
        <v>0</v>
      </c>
      <c r="T70" s="69"/>
      <c r="U70" s="69"/>
    </row>
    <row r="71" spans="19:21" ht="15" customHeight="1" x14ac:dyDescent="0.2">
      <c r="S71" s="69">
        <f>_xlfn.XLOOKUP(Results!A71,Geometry!$B$6:$B$10000,Geometry!$C$6:$C$10000)</f>
        <v>0</v>
      </c>
      <c r="T71" s="69"/>
      <c r="U71" s="69"/>
    </row>
    <row r="72" spans="19:21" ht="15" customHeight="1" x14ac:dyDescent="0.2">
      <c r="S72" s="69">
        <f>_xlfn.XLOOKUP(Results!A72,Geometry!$B$6:$B$10000,Geometry!$C$6:$C$10000)</f>
        <v>0</v>
      </c>
      <c r="T72" s="69"/>
      <c r="U72" s="69"/>
    </row>
    <row r="73" spans="19:21" ht="15" customHeight="1" x14ac:dyDescent="0.2">
      <c r="S73" s="69">
        <f>_xlfn.XLOOKUP(Results!A73,Geometry!$B$6:$B$10000,Geometry!$C$6:$C$10000)</f>
        <v>0</v>
      </c>
      <c r="T73" s="69"/>
      <c r="U73" s="69"/>
    </row>
    <row r="74" spans="19:21" ht="15" customHeight="1" x14ac:dyDescent="0.2">
      <c r="S74" s="69">
        <f>_xlfn.XLOOKUP(Results!A74,Geometry!$B$6:$B$10000,Geometry!$C$6:$C$10000)</f>
        <v>0</v>
      </c>
      <c r="T74" s="69"/>
      <c r="U74" s="69"/>
    </row>
    <row r="75" spans="19:21" ht="15" customHeight="1" x14ac:dyDescent="0.2">
      <c r="S75" s="69">
        <f>_xlfn.XLOOKUP(Results!A75,Geometry!$B$6:$B$10000,Geometry!$C$6:$C$10000)</f>
        <v>0</v>
      </c>
      <c r="T75" s="69"/>
      <c r="U75" s="69"/>
    </row>
    <row r="76" spans="19:21" ht="15" customHeight="1" x14ac:dyDescent="0.2">
      <c r="S76" s="69">
        <f>_xlfn.XLOOKUP(Results!A76,Geometry!$B$6:$B$10000,Geometry!$C$6:$C$10000)</f>
        <v>0</v>
      </c>
      <c r="T76" s="69"/>
      <c r="U76" s="69"/>
    </row>
    <row r="77" spans="19:21" ht="15" customHeight="1" x14ac:dyDescent="0.2">
      <c r="S77" s="69">
        <f>_xlfn.XLOOKUP(Results!A77,Geometry!$B$6:$B$10000,Geometry!$C$6:$C$10000)</f>
        <v>0</v>
      </c>
      <c r="T77" s="69"/>
      <c r="U77" s="69"/>
    </row>
    <row r="78" spans="19:21" ht="15" customHeight="1" x14ac:dyDescent="0.2">
      <c r="S78" s="69">
        <f>_xlfn.XLOOKUP(Results!A78,Geometry!$B$6:$B$10000,Geometry!$C$6:$C$10000)</f>
        <v>0</v>
      </c>
      <c r="T78" s="69"/>
      <c r="U78" s="69"/>
    </row>
    <row r="79" spans="19:21" ht="15" customHeight="1" x14ac:dyDescent="0.2">
      <c r="S79" s="69">
        <f>_xlfn.XLOOKUP(Results!A79,Geometry!$B$6:$B$10000,Geometry!$C$6:$C$10000)</f>
        <v>0</v>
      </c>
      <c r="T79" s="69"/>
      <c r="U79" s="69"/>
    </row>
    <row r="80" spans="19:21" ht="15" customHeight="1" x14ac:dyDescent="0.2">
      <c r="S80" s="69">
        <f>_xlfn.XLOOKUP(Results!A80,Geometry!$B$6:$B$10000,Geometry!$C$6:$C$10000)</f>
        <v>0</v>
      </c>
      <c r="T80" s="69"/>
      <c r="U80" s="69"/>
    </row>
    <row r="81" spans="19:21" ht="15" customHeight="1" x14ac:dyDescent="0.2">
      <c r="S81" s="69">
        <f>_xlfn.XLOOKUP(Results!A81,Geometry!$B$6:$B$10000,Geometry!$C$6:$C$10000)</f>
        <v>0</v>
      </c>
      <c r="T81" s="69"/>
      <c r="U81" s="69"/>
    </row>
    <row r="82" spans="19:21" ht="15" customHeight="1" x14ac:dyDescent="0.2">
      <c r="S82" s="69">
        <f>_xlfn.XLOOKUP(Results!A82,Geometry!$B$6:$B$10000,Geometry!$C$6:$C$10000)</f>
        <v>0</v>
      </c>
      <c r="T82" s="69"/>
      <c r="U82" s="69"/>
    </row>
    <row r="83" spans="19:21" ht="15" customHeight="1" x14ac:dyDescent="0.2">
      <c r="S83" s="69">
        <f>_xlfn.XLOOKUP(Results!A83,Geometry!$B$6:$B$10000,Geometry!$C$6:$C$10000)</f>
        <v>0</v>
      </c>
      <c r="T83" s="69"/>
      <c r="U83" s="69"/>
    </row>
    <row r="84" spans="19:21" ht="15" customHeight="1" x14ac:dyDescent="0.2">
      <c r="S84" s="69">
        <f>_xlfn.XLOOKUP(Results!A84,Geometry!$B$6:$B$10000,Geometry!$C$6:$C$10000)</f>
        <v>0</v>
      </c>
      <c r="T84" s="69"/>
      <c r="U84" s="69"/>
    </row>
    <row r="85" spans="19:21" ht="15" customHeight="1" x14ac:dyDescent="0.2">
      <c r="S85" s="69">
        <f>_xlfn.XLOOKUP(Results!A85,Geometry!$B$6:$B$10000,Geometry!$C$6:$C$10000)</f>
        <v>0</v>
      </c>
      <c r="T85" s="69"/>
      <c r="U85" s="69"/>
    </row>
    <row r="86" spans="19:21" ht="15" customHeight="1" x14ac:dyDescent="0.2">
      <c r="S86" s="69">
        <f>_xlfn.XLOOKUP(Results!A86,Geometry!$B$6:$B$10000,Geometry!$C$6:$C$10000)</f>
        <v>0</v>
      </c>
      <c r="T86" s="69"/>
      <c r="U86" s="69"/>
    </row>
    <row r="87" spans="19:21" ht="15" customHeight="1" x14ac:dyDescent="0.2">
      <c r="S87" s="69">
        <f>_xlfn.XLOOKUP(Results!A87,Geometry!$B$6:$B$10000,Geometry!$C$6:$C$10000)</f>
        <v>0</v>
      </c>
      <c r="T87" s="69"/>
      <c r="U87" s="69"/>
    </row>
    <row r="88" spans="19:21" ht="15" customHeight="1" x14ac:dyDescent="0.2">
      <c r="S88" s="69">
        <f>_xlfn.XLOOKUP(Results!A88,Geometry!$B$6:$B$10000,Geometry!$C$6:$C$10000)</f>
        <v>0</v>
      </c>
      <c r="T88" s="69"/>
      <c r="U88" s="69"/>
    </row>
    <row r="89" spans="19:21" ht="15" customHeight="1" x14ac:dyDescent="0.2">
      <c r="S89" s="69">
        <f>_xlfn.XLOOKUP(Results!A89,Geometry!$B$6:$B$10000,Geometry!$C$6:$C$10000)</f>
        <v>0</v>
      </c>
      <c r="T89" s="69"/>
      <c r="U89" s="69"/>
    </row>
    <row r="90" spans="19:21" ht="15" customHeight="1" x14ac:dyDescent="0.2">
      <c r="S90" s="69">
        <f>_xlfn.XLOOKUP(Results!A90,Geometry!$B$6:$B$10000,Geometry!$C$6:$C$10000)</f>
        <v>0</v>
      </c>
      <c r="T90" s="69"/>
      <c r="U90" s="69"/>
    </row>
    <row r="91" spans="19:21" ht="15" customHeight="1" x14ac:dyDescent="0.2">
      <c r="S91" s="69">
        <f>_xlfn.XLOOKUP(Results!A91,Geometry!$B$6:$B$10000,Geometry!$C$6:$C$10000)</f>
        <v>0</v>
      </c>
      <c r="T91" s="69"/>
      <c r="U91" s="69"/>
    </row>
    <row r="92" spans="19:21" ht="15" customHeight="1" x14ac:dyDescent="0.2">
      <c r="S92" s="69">
        <f>_xlfn.XLOOKUP(Results!A92,Geometry!$B$6:$B$10000,Geometry!$C$6:$C$10000)</f>
        <v>0</v>
      </c>
      <c r="T92" s="69"/>
      <c r="U92" s="69"/>
    </row>
    <row r="93" spans="19:21" ht="15" customHeight="1" x14ac:dyDescent="0.2">
      <c r="S93" s="69">
        <f>_xlfn.XLOOKUP(Results!A93,Geometry!$B$6:$B$10000,Geometry!$C$6:$C$10000)</f>
        <v>0</v>
      </c>
      <c r="T93" s="69"/>
      <c r="U93" s="69"/>
    </row>
    <row r="94" spans="19:21" ht="15" customHeight="1" x14ac:dyDescent="0.2">
      <c r="S94" s="69">
        <f>_xlfn.XLOOKUP(Results!A94,Geometry!$B$6:$B$10000,Geometry!$C$6:$C$10000)</f>
        <v>0</v>
      </c>
      <c r="T94" s="69"/>
      <c r="U94" s="69"/>
    </row>
    <row r="95" spans="19:21" ht="15" customHeight="1" x14ac:dyDescent="0.2">
      <c r="S95" s="69">
        <f>_xlfn.XLOOKUP(Results!A95,Geometry!$B$6:$B$10000,Geometry!$C$6:$C$10000)</f>
        <v>0</v>
      </c>
      <c r="T95" s="69"/>
      <c r="U95" s="69"/>
    </row>
    <row r="96" spans="19:21" ht="15" customHeight="1" x14ac:dyDescent="0.2">
      <c r="S96" s="69">
        <f>_xlfn.XLOOKUP(Results!A96,Geometry!$B$6:$B$10000,Geometry!$C$6:$C$10000)</f>
        <v>0</v>
      </c>
      <c r="T96" s="69"/>
      <c r="U96" s="69"/>
    </row>
    <row r="97" spans="19:21" ht="15" customHeight="1" x14ac:dyDescent="0.2">
      <c r="S97" s="69">
        <f>_xlfn.XLOOKUP(Results!A97,Geometry!$B$6:$B$10000,Geometry!$C$6:$C$10000)</f>
        <v>0</v>
      </c>
      <c r="T97" s="69"/>
      <c r="U97" s="69"/>
    </row>
    <row r="98" spans="19:21" ht="15" customHeight="1" x14ac:dyDescent="0.2">
      <c r="S98" s="69">
        <f>_xlfn.XLOOKUP(Results!A98,Geometry!$B$6:$B$10000,Geometry!$C$6:$C$10000)</f>
        <v>0</v>
      </c>
      <c r="T98" s="69"/>
      <c r="U98" s="69"/>
    </row>
    <row r="99" spans="19:21" ht="15" customHeight="1" x14ac:dyDescent="0.2">
      <c r="S99" s="69">
        <f>_xlfn.XLOOKUP(Results!A99,Geometry!$B$6:$B$10000,Geometry!$C$6:$C$10000)</f>
        <v>0</v>
      </c>
      <c r="T99" s="69"/>
      <c r="U99" s="69"/>
    </row>
    <row r="100" spans="19:21" ht="15" customHeight="1" x14ac:dyDescent="0.2">
      <c r="S100" s="69">
        <f>_xlfn.XLOOKUP(Results!A100,Geometry!$B$6:$B$10000,Geometry!$C$6:$C$10000)</f>
        <v>0</v>
      </c>
      <c r="T100" s="69"/>
      <c r="U100" s="69"/>
    </row>
    <row r="101" spans="19:21" ht="15" customHeight="1" x14ac:dyDescent="0.2">
      <c r="S101" s="69">
        <f>_xlfn.XLOOKUP(Results!A101,Geometry!$B$6:$B$10000,Geometry!$C$6:$C$10000)</f>
        <v>0</v>
      </c>
      <c r="T101" s="69"/>
      <c r="U101" s="69"/>
    </row>
    <row r="102" spans="19:21" ht="15" customHeight="1" x14ac:dyDescent="0.2">
      <c r="S102" s="69">
        <f>_xlfn.XLOOKUP(Results!A102,Geometry!$B$6:$B$10000,Geometry!$C$6:$C$10000)</f>
        <v>0</v>
      </c>
      <c r="T102" s="69"/>
      <c r="U102" s="69"/>
    </row>
    <row r="103" spans="19:21" ht="15" customHeight="1" x14ac:dyDescent="0.2">
      <c r="S103" s="69">
        <f>_xlfn.XLOOKUP(Results!A103,Geometry!$B$6:$B$10000,Geometry!$C$6:$C$10000)</f>
        <v>0</v>
      </c>
      <c r="T103" s="69"/>
      <c r="U103" s="69"/>
    </row>
    <row r="104" spans="19:21" ht="15" customHeight="1" x14ac:dyDescent="0.2">
      <c r="S104" s="69">
        <f>_xlfn.XLOOKUP(Results!A104,Geometry!$B$6:$B$10000,Geometry!$C$6:$C$10000)</f>
        <v>0</v>
      </c>
      <c r="T104" s="69"/>
      <c r="U104" s="69"/>
    </row>
    <row r="105" spans="19:21" ht="15" customHeight="1" x14ac:dyDescent="0.2">
      <c r="S105" s="69">
        <f>_xlfn.XLOOKUP(Results!A105,Geometry!$B$6:$B$10000,Geometry!$C$6:$C$10000)</f>
        <v>0</v>
      </c>
      <c r="T105" s="69"/>
      <c r="U105" s="69"/>
    </row>
    <row r="106" spans="19:21" ht="15" customHeight="1" x14ac:dyDescent="0.2">
      <c r="S106" s="69">
        <f>_xlfn.XLOOKUP(Results!A106,Geometry!$B$6:$B$10000,Geometry!$C$6:$C$10000)</f>
        <v>0</v>
      </c>
      <c r="T106" s="69"/>
      <c r="U106" s="69"/>
    </row>
    <row r="107" spans="19:21" ht="15" customHeight="1" x14ac:dyDescent="0.2">
      <c r="S107" s="69">
        <f>_xlfn.XLOOKUP(Results!A107,Geometry!$B$6:$B$10000,Geometry!$C$6:$C$10000)</f>
        <v>0</v>
      </c>
      <c r="T107" s="69"/>
      <c r="U107" s="69"/>
    </row>
    <row r="108" spans="19:21" ht="15" customHeight="1" x14ac:dyDescent="0.2">
      <c r="S108" s="69">
        <f>_xlfn.XLOOKUP(Results!A108,Geometry!$B$6:$B$10000,Geometry!$C$6:$C$10000)</f>
        <v>0</v>
      </c>
      <c r="T108" s="69"/>
      <c r="U108" s="69"/>
    </row>
    <row r="109" spans="19:21" ht="15" customHeight="1" x14ac:dyDescent="0.2">
      <c r="S109" s="69">
        <f>_xlfn.XLOOKUP(Results!A109,Geometry!$B$6:$B$10000,Geometry!$C$6:$C$10000)</f>
        <v>0</v>
      </c>
      <c r="T109" s="69"/>
      <c r="U109" s="69"/>
    </row>
    <row r="110" spans="19:21" ht="15" customHeight="1" x14ac:dyDescent="0.2">
      <c r="S110" s="69">
        <f>_xlfn.XLOOKUP(Results!A110,Geometry!$B$6:$B$10000,Geometry!$C$6:$C$10000)</f>
        <v>0</v>
      </c>
      <c r="T110" s="69"/>
      <c r="U110" s="69"/>
    </row>
    <row r="111" spans="19:21" ht="15" customHeight="1" x14ac:dyDescent="0.2">
      <c r="S111" s="69">
        <f>_xlfn.XLOOKUP(Results!A111,Geometry!$B$6:$B$10000,Geometry!$C$6:$C$10000)</f>
        <v>0</v>
      </c>
      <c r="T111" s="69"/>
      <c r="U111" s="69"/>
    </row>
    <row r="112" spans="19:21" ht="15" customHeight="1" x14ac:dyDescent="0.2">
      <c r="S112" s="69">
        <f>_xlfn.XLOOKUP(Results!A112,Geometry!$B$6:$B$10000,Geometry!$C$6:$C$10000)</f>
        <v>0</v>
      </c>
      <c r="T112" s="69"/>
      <c r="U112" s="69"/>
    </row>
    <row r="113" spans="19:21" ht="15" customHeight="1" x14ac:dyDescent="0.2">
      <c r="S113" s="69">
        <f>_xlfn.XLOOKUP(Results!A113,Geometry!$B$6:$B$10000,Geometry!$C$6:$C$10000)</f>
        <v>0</v>
      </c>
      <c r="T113" s="69"/>
      <c r="U113" s="69"/>
    </row>
    <row r="114" spans="19:21" ht="15" customHeight="1" x14ac:dyDescent="0.2">
      <c r="S114" s="69">
        <f>_xlfn.XLOOKUP(Results!A114,Geometry!$B$6:$B$10000,Geometry!$C$6:$C$10000)</f>
        <v>0</v>
      </c>
      <c r="T114" s="69"/>
      <c r="U114" s="69"/>
    </row>
    <row r="115" spans="19:21" ht="15" customHeight="1" x14ac:dyDescent="0.2">
      <c r="S115" s="69">
        <f>_xlfn.XLOOKUP(Results!A115,Geometry!$B$6:$B$10000,Geometry!$C$6:$C$10000)</f>
        <v>0</v>
      </c>
      <c r="T115" s="69"/>
      <c r="U115" s="69"/>
    </row>
    <row r="116" spans="19:21" ht="15" customHeight="1" x14ac:dyDescent="0.2">
      <c r="S116" s="69">
        <f>_xlfn.XLOOKUP(Results!A116,Geometry!$B$6:$B$10000,Geometry!$C$6:$C$10000)</f>
        <v>0</v>
      </c>
      <c r="T116" s="69"/>
      <c r="U116" s="69"/>
    </row>
    <row r="117" spans="19:21" ht="15" customHeight="1" x14ac:dyDescent="0.2">
      <c r="S117" s="69">
        <f>_xlfn.XLOOKUP(Results!A117,Geometry!$B$6:$B$10000,Geometry!$C$6:$C$10000)</f>
        <v>0</v>
      </c>
      <c r="T117" s="69"/>
      <c r="U117" s="69"/>
    </row>
    <row r="118" spans="19:21" ht="15" customHeight="1" x14ac:dyDescent="0.2">
      <c r="S118" s="69">
        <f>_xlfn.XLOOKUP(Results!A118,Geometry!$B$6:$B$10000,Geometry!$C$6:$C$10000)</f>
        <v>0</v>
      </c>
      <c r="T118" s="69"/>
      <c r="U118" s="69"/>
    </row>
    <row r="119" spans="19:21" ht="15" customHeight="1" x14ac:dyDescent="0.2">
      <c r="S119" s="69">
        <f>_xlfn.XLOOKUP(Results!A119,Geometry!$B$6:$B$10000,Geometry!$C$6:$C$10000)</f>
        <v>0</v>
      </c>
      <c r="T119" s="69"/>
      <c r="U119" s="69"/>
    </row>
    <row r="120" spans="19:21" ht="15" customHeight="1" x14ac:dyDescent="0.2">
      <c r="S120" s="69">
        <f>_xlfn.XLOOKUP(Results!A120,Geometry!$B$6:$B$10000,Geometry!$C$6:$C$10000)</f>
        <v>0</v>
      </c>
      <c r="T120" s="69"/>
      <c r="U120" s="69"/>
    </row>
    <row r="121" spans="19:21" ht="15" customHeight="1" x14ac:dyDescent="0.2">
      <c r="S121" s="69">
        <f>_xlfn.XLOOKUP(Results!A121,Geometry!$B$6:$B$10000,Geometry!$C$6:$C$10000)</f>
        <v>0</v>
      </c>
      <c r="T121" s="69"/>
      <c r="U121" s="69"/>
    </row>
    <row r="122" spans="19:21" ht="15" customHeight="1" x14ac:dyDescent="0.2">
      <c r="S122" s="69">
        <f>_xlfn.XLOOKUP(Results!A122,Geometry!$B$6:$B$10000,Geometry!$C$6:$C$10000)</f>
        <v>0</v>
      </c>
      <c r="T122" s="69"/>
      <c r="U122" s="69"/>
    </row>
    <row r="123" spans="19:21" ht="15" customHeight="1" x14ac:dyDescent="0.2">
      <c r="S123" s="69">
        <f>_xlfn.XLOOKUP(Results!A123,Geometry!$B$6:$B$10000,Geometry!$C$6:$C$10000)</f>
        <v>0</v>
      </c>
      <c r="T123" s="69"/>
      <c r="U123" s="69"/>
    </row>
    <row r="124" spans="19:21" ht="15" customHeight="1" x14ac:dyDescent="0.2">
      <c r="S124" s="69">
        <f>_xlfn.XLOOKUP(Results!A124,Geometry!$B$6:$B$10000,Geometry!$C$6:$C$10000)</f>
        <v>0</v>
      </c>
      <c r="T124" s="69"/>
      <c r="U124" s="69"/>
    </row>
    <row r="125" spans="19:21" ht="15" customHeight="1" x14ac:dyDescent="0.2">
      <c r="S125" s="69">
        <f>_xlfn.XLOOKUP(Results!A125,Geometry!$B$6:$B$10000,Geometry!$C$6:$C$10000)</f>
        <v>0</v>
      </c>
      <c r="T125" s="69"/>
      <c r="U125" s="69"/>
    </row>
    <row r="126" spans="19:21" ht="15" customHeight="1" x14ac:dyDescent="0.2">
      <c r="S126" s="69">
        <f>_xlfn.XLOOKUP(Results!A126,Geometry!$B$6:$B$10000,Geometry!$C$6:$C$10000)</f>
        <v>0</v>
      </c>
      <c r="T126" s="69"/>
      <c r="U126" s="69"/>
    </row>
    <row r="127" spans="19:21" ht="15" customHeight="1" x14ac:dyDescent="0.2">
      <c r="S127" s="69">
        <f>_xlfn.XLOOKUP(Results!A127,Geometry!$B$6:$B$10000,Geometry!$C$6:$C$10000)</f>
        <v>0</v>
      </c>
      <c r="T127" s="69"/>
      <c r="U127" s="69"/>
    </row>
    <row r="128" spans="19:21" ht="15" customHeight="1" x14ac:dyDescent="0.2">
      <c r="S128" s="69">
        <f>_xlfn.XLOOKUP(Results!A128,Geometry!$B$6:$B$10000,Geometry!$C$6:$C$10000)</f>
        <v>0</v>
      </c>
      <c r="T128" s="69"/>
      <c r="U128" s="69"/>
    </row>
    <row r="129" spans="19:21" ht="15" customHeight="1" x14ac:dyDescent="0.2">
      <c r="S129" s="69">
        <f>_xlfn.XLOOKUP(Results!A129,Geometry!$B$6:$B$10000,Geometry!$C$6:$C$10000)</f>
        <v>0</v>
      </c>
      <c r="T129" s="69"/>
      <c r="U129" s="69"/>
    </row>
    <row r="130" spans="19:21" ht="15" customHeight="1" x14ac:dyDescent="0.2">
      <c r="S130" s="69">
        <f>_xlfn.XLOOKUP(Results!A130,Geometry!$B$6:$B$10000,Geometry!$C$6:$C$10000)</f>
        <v>0</v>
      </c>
      <c r="T130" s="69"/>
      <c r="U130" s="69"/>
    </row>
    <row r="131" spans="19:21" ht="15" customHeight="1" x14ac:dyDescent="0.2">
      <c r="S131" s="69">
        <f>_xlfn.XLOOKUP(Results!A131,Geometry!$B$6:$B$10000,Geometry!$C$6:$C$10000)</f>
        <v>0</v>
      </c>
      <c r="T131" s="69"/>
      <c r="U131" s="69"/>
    </row>
    <row r="132" spans="19:21" ht="15" customHeight="1" x14ac:dyDescent="0.2">
      <c r="S132" s="69">
        <f>_xlfn.XLOOKUP(Results!A132,Geometry!$B$6:$B$10000,Geometry!$C$6:$C$10000)</f>
        <v>0</v>
      </c>
      <c r="T132" s="69"/>
      <c r="U132" s="69"/>
    </row>
    <row r="133" spans="19:21" ht="15" customHeight="1" x14ac:dyDescent="0.2">
      <c r="S133" s="69">
        <f>_xlfn.XLOOKUP(Results!A133,Geometry!$B$6:$B$10000,Geometry!$C$6:$C$10000)</f>
        <v>0</v>
      </c>
      <c r="T133" s="69"/>
      <c r="U133" s="69"/>
    </row>
    <row r="134" spans="19:21" ht="15" customHeight="1" x14ac:dyDescent="0.2">
      <c r="S134" s="69">
        <f>_xlfn.XLOOKUP(Results!A134,Geometry!$B$6:$B$10000,Geometry!$C$6:$C$10000)</f>
        <v>0</v>
      </c>
      <c r="T134" s="69"/>
      <c r="U134" s="69"/>
    </row>
    <row r="135" spans="19:21" ht="15" customHeight="1" x14ac:dyDescent="0.2">
      <c r="S135" s="69">
        <f>_xlfn.XLOOKUP(Results!A135,Geometry!$B$6:$B$10000,Geometry!$C$6:$C$10000)</f>
        <v>0</v>
      </c>
      <c r="T135" s="69"/>
      <c r="U135" s="69"/>
    </row>
    <row r="136" spans="19:21" ht="15" customHeight="1" x14ac:dyDescent="0.2">
      <c r="S136" s="69">
        <f>_xlfn.XLOOKUP(Results!A136,Geometry!$B$6:$B$10000,Geometry!$C$6:$C$10000)</f>
        <v>0</v>
      </c>
      <c r="T136" s="69"/>
      <c r="U136" s="69"/>
    </row>
    <row r="137" spans="19:21" ht="15" customHeight="1" x14ac:dyDescent="0.2">
      <c r="S137" s="69">
        <f>_xlfn.XLOOKUP(Results!A137,Geometry!$B$6:$B$10000,Geometry!$C$6:$C$10000)</f>
        <v>0</v>
      </c>
      <c r="T137" s="69"/>
      <c r="U137" s="69"/>
    </row>
    <row r="138" spans="19:21" ht="15" customHeight="1" x14ac:dyDescent="0.2">
      <c r="S138" s="69">
        <f>_xlfn.XLOOKUP(Results!A138,Geometry!$B$6:$B$10000,Geometry!$C$6:$C$10000)</f>
        <v>0</v>
      </c>
      <c r="T138" s="69"/>
      <c r="U138" s="69"/>
    </row>
    <row r="139" spans="19:21" ht="15" customHeight="1" x14ac:dyDescent="0.2">
      <c r="S139" s="69">
        <f>_xlfn.XLOOKUP(Results!A139,Geometry!$B$6:$B$10000,Geometry!$C$6:$C$10000)</f>
        <v>0</v>
      </c>
      <c r="T139" s="69"/>
      <c r="U139" s="69"/>
    </row>
    <row r="140" spans="19:21" ht="15" customHeight="1" x14ac:dyDescent="0.2">
      <c r="S140" s="69">
        <f>_xlfn.XLOOKUP(Results!A140,Geometry!$B$6:$B$10000,Geometry!$C$6:$C$10000)</f>
        <v>0</v>
      </c>
      <c r="T140" s="69"/>
      <c r="U140" s="69"/>
    </row>
    <row r="141" spans="19:21" ht="15" customHeight="1" x14ac:dyDescent="0.2">
      <c r="S141" s="69">
        <f>_xlfn.XLOOKUP(Results!A141,Geometry!$B$6:$B$10000,Geometry!$C$6:$C$10000)</f>
        <v>0</v>
      </c>
      <c r="T141" s="69"/>
      <c r="U141" s="69"/>
    </row>
    <row r="142" spans="19:21" ht="15" customHeight="1" x14ac:dyDescent="0.2">
      <c r="S142" s="69">
        <f>_xlfn.XLOOKUP(Results!A142,Geometry!$B$6:$B$10000,Geometry!$C$6:$C$10000)</f>
        <v>0</v>
      </c>
      <c r="T142" s="69"/>
      <c r="U142" s="69"/>
    </row>
    <row r="143" spans="19:21" ht="15" customHeight="1" x14ac:dyDescent="0.2">
      <c r="S143" s="69">
        <f>_xlfn.XLOOKUP(Results!A143,Geometry!$B$6:$B$10000,Geometry!$C$6:$C$10000)</f>
        <v>0</v>
      </c>
      <c r="T143" s="69"/>
      <c r="U143" s="69"/>
    </row>
    <row r="144" spans="19:21" ht="15" customHeight="1" x14ac:dyDescent="0.2">
      <c r="S144" s="69">
        <f>_xlfn.XLOOKUP(Results!A144,Geometry!$B$6:$B$10000,Geometry!$C$6:$C$10000)</f>
        <v>0</v>
      </c>
      <c r="T144" s="69"/>
      <c r="U144" s="69"/>
    </row>
    <row r="145" spans="19:21" ht="15" customHeight="1" x14ac:dyDescent="0.2">
      <c r="S145" s="69">
        <f>_xlfn.XLOOKUP(Results!A145,Geometry!$B$6:$B$10000,Geometry!$C$6:$C$10000)</f>
        <v>0</v>
      </c>
      <c r="T145" s="69"/>
      <c r="U145" s="69"/>
    </row>
    <row r="146" spans="19:21" ht="15" customHeight="1" x14ac:dyDescent="0.2">
      <c r="S146" s="69">
        <f>_xlfn.XLOOKUP(Results!A146,Geometry!$B$6:$B$10000,Geometry!$C$6:$C$10000)</f>
        <v>0</v>
      </c>
      <c r="T146" s="69"/>
      <c r="U146" s="69"/>
    </row>
    <row r="147" spans="19:21" ht="15" customHeight="1" x14ac:dyDescent="0.2">
      <c r="S147" s="69">
        <f>_xlfn.XLOOKUP(Results!A147,Geometry!$B$6:$B$10000,Geometry!$C$6:$C$10000)</f>
        <v>0</v>
      </c>
      <c r="T147" s="69"/>
      <c r="U147" s="69"/>
    </row>
    <row r="148" spans="19:21" ht="15" customHeight="1" x14ac:dyDescent="0.2">
      <c r="S148" s="69">
        <f>_xlfn.XLOOKUP(Results!A148,Geometry!$B$6:$B$10000,Geometry!$C$6:$C$10000)</f>
        <v>0</v>
      </c>
      <c r="T148" s="69"/>
      <c r="U148" s="69"/>
    </row>
    <row r="149" spans="19:21" ht="15" customHeight="1" x14ac:dyDescent="0.2">
      <c r="S149" s="69">
        <f>_xlfn.XLOOKUP(Results!A149,Geometry!$B$6:$B$10000,Geometry!$C$6:$C$10000)</f>
        <v>0</v>
      </c>
      <c r="T149" s="69"/>
      <c r="U149" s="69"/>
    </row>
    <row r="150" spans="19:21" ht="15" customHeight="1" x14ac:dyDescent="0.2">
      <c r="S150" s="69">
        <f>_xlfn.XLOOKUP(Results!A150,Geometry!$B$6:$B$10000,Geometry!$C$6:$C$10000)</f>
        <v>0</v>
      </c>
      <c r="T150" s="69"/>
      <c r="U150" s="69"/>
    </row>
    <row r="151" spans="19:21" ht="15" customHeight="1" x14ac:dyDescent="0.2">
      <c r="S151" s="69">
        <f>_xlfn.XLOOKUP(Results!A151,Geometry!$B$6:$B$10000,Geometry!$C$6:$C$10000)</f>
        <v>0</v>
      </c>
      <c r="T151" s="69"/>
      <c r="U151" s="69"/>
    </row>
    <row r="152" spans="19:21" ht="15" customHeight="1" x14ac:dyDescent="0.2">
      <c r="S152" s="69">
        <f>_xlfn.XLOOKUP(Results!A152,Geometry!$B$6:$B$10000,Geometry!$C$6:$C$10000)</f>
        <v>0</v>
      </c>
      <c r="T152" s="69"/>
      <c r="U152" s="69"/>
    </row>
    <row r="153" spans="19:21" ht="15" customHeight="1" x14ac:dyDescent="0.2">
      <c r="S153" s="69">
        <f>_xlfn.XLOOKUP(Results!A153,Geometry!$B$6:$B$10000,Geometry!$C$6:$C$10000)</f>
        <v>0</v>
      </c>
      <c r="T153" s="69"/>
      <c r="U153" s="69"/>
    </row>
    <row r="154" spans="19:21" ht="15" customHeight="1" x14ac:dyDescent="0.2">
      <c r="S154" s="69">
        <f>_xlfn.XLOOKUP(Results!A154,Geometry!$B$6:$B$10000,Geometry!$C$6:$C$10000)</f>
        <v>0</v>
      </c>
      <c r="T154" s="69"/>
      <c r="U154" s="69"/>
    </row>
    <row r="155" spans="19:21" ht="15" customHeight="1" x14ac:dyDescent="0.2">
      <c r="S155" s="69">
        <f>_xlfn.XLOOKUP(Results!A155,Geometry!$B$6:$B$10000,Geometry!$C$6:$C$10000)</f>
        <v>0</v>
      </c>
      <c r="T155" s="69"/>
      <c r="U155" s="69"/>
    </row>
    <row r="156" spans="19:21" ht="15" customHeight="1" x14ac:dyDescent="0.2">
      <c r="S156" s="69">
        <f>_xlfn.XLOOKUP(Results!A156,Geometry!$B$6:$B$10000,Geometry!$C$6:$C$10000)</f>
        <v>0</v>
      </c>
      <c r="T156" s="69"/>
      <c r="U156" s="69"/>
    </row>
    <row r="157" spans="19:21" ht="15" customHeight="1" x14ac:dyDescent="0.2">
      <c r="S157" s="69">
        <f>_xlfn.XLOOKUP(Results!A157,Geometry!$B$6:$B$10000,Geometry!$C$6:$C$10000)</f>
        <v>0</v>
      </c>
      <c r="T157" s="69"/>
      <c r="U157" s="69"/>
    </row>
    <row r="158" spans="19:21" ht="15" customHeight="1" x14ac:dyDescent="0.2">
      <c r="S158" s="69">
        <f>_xlfn.XLOOKUP(Results!A158,Geometry!$B$6:$B$10000,Geometry!$C$6:$C$10000)</f>
        <v>0</v>
      </c>
      <c r="T158" s="69"/>
      <c r="U158" s="69"/>
    </row>
    <row r="159" spans="19:21" ht="15" customHeight="1" x14ac:dyDescent="0.2">
      <c r="S159" s="69">
        <f>_xlfn.XLOOKUP(Results!A159,Geometry!$B$6:$B$10000,Geometry!$C$6:$C$10000)</f>
        <v>0</v>
      </c>
      <c r="T159" s="69"/>
      <c r="U159" s="69"/>
    </row>
    <row r="160" spans="19:21" ht="15" customHeight="1" x14ac:dyDescent="0.2">
      <c r="S160" s="69">
        <f>_xlfn.XLOOKUP(Results!A160,Geometry!$B$6:$B$10000,Geometry!$C$6:$C$10000)</f>
        <v>0</v>
      </c>
      <c r="T160" s="69"/>
      <c r="U160" s="69"/>
    </row>
    <row r="161" spans="19:21" ht="15" customHeight="1" x14ac:dyDescent="0.2">
      <c r="S161" s="69">
        <f>_xlfn.XLOOKUP(Results!A161,Geometry!$B$6:$B$10000,Geometry!$C$6:$C$10000)</f>
        <v>0</v>
      </c>
      <c r="T161" s="69"/>
      <c r="U161" s="69"/>
    </row>
    <row r="162" spans="19:21" ht="15" customHeight="1" x14ac:dyDescent="0.2">
      <c r="S162" s="69">
        <f>_xlfn.XLOOKUP(Results!A162,Geometry!$B$6:$B$10000,Geometry!$C$6:$C$10000)</f>
        <v>0</v>
      </c>
      <c r="T162" s="69"/>
      <c r="U162" s="69"/>
    </row>
    <row r="163" spans="19:21" ht="15" customHeight="1" x14ac:dyDescent="0.2">
      <c r="S163" s="69">
        <f>_xlfn.XLOOKUP(Results!A163,Geometry!$B$6:$B$10000,Geometry!$C$6:$C$10000)</f>
        <v>0</v>
      </c>
      <c r="T163" s="69"/>
      <c r="U163" s="69"/>
    </row>
    <row r="164" spans="19:21" ht="15" customHeight="1" x14ac:dyDescent="0.2">
      <c r="S164" s="69">
        <f>_xlfn.XLOOKUP(Results!A164,Geometry!$B$6:$B$10000,Geometry!$C$6:$C$10000)</f>
        <v>0</v>
      </c>
      <c r="T164" s="69"/>
      <c r="U164" s="69"/>
    </row>
    <row r="165" spans="19:21" ht="15" customHeight="1" x14ac:dyDescent="0.2">
      <c r="S165" s="69">
        <f>_xlfn.XLOOKUP(Results!A165,Geometry!$B$6:$B$10000,Geometry!$C$6:$C$10000)</f>
        <v>0</v>
      </c>
      <c r="T165" s="69"/>
      <c r="U165" s="69"/>
    </row>
    <row r="166" spans="19:21" ht="15" customHeight="1" x14ac:dyDescent="0.2">
      <c r="S166" s="69">
        <f>_xlfn.XLOOKUP(Results!A166,Geometry!$B$6:$B$10000,Geometry!$C$6:$C$10000)</f>
        <v>0</v>
      </c>
      <c r="T166" s="69"/>
      <c r="U166" s="69"/>
    </row>
    <row r="167" spans="19:21" ht="15" customHeight="1" x14ac:dyDescent="0.2">
      <c r="S167" s="69">
        <f>_xlfn.XLOOKUP(Results!A167,Geometry!$B$6:$B$10000,Geometry!$C$6:$C$10000)</f>
        <v>0</v>
      </c>
      <c r="T167" s="69"/>
      <c r="U167" s="69"/>
    </row>
    <row r="168" spans="19:21" ht="15" customHeight="1" x14ac:dyDescent="0.2">
      <c r="S168" s="69">
        <f>_xlfn.XLOOKUP(Results!A168,Geometry!$B$6:$B$10000,Geometry!$C$6:$C$10000)</f>
        <v>0</v>
      </c>
      <c r="T168" s="69"/>
      <c r="U168" s="69"/>
    </row>
    <row r="169" spans="19:21" ht="15" customHeight="1" x14ac:dyDescent="0.2">
      <c r="S169" s="69">
        <f>_xlfn.XLOOKUP(Results!A169,Geometry!$B$6:$B$10000,Geometry!$C$6:$C$10000)</f>
        <v>0</v>
      </c>
      <c r="T169" s="69"/>
      <c r="U169" s="69"/>
    </row>
    <row r="170" spans="19:21" ht="15" customHeight="1" x14ac:dyDescent="0.2">
      <c r="S170" s="69">
        <f>_xlfn.XLOOKUP(Results!A170,Geometry!$B$6:$B$10000,Geometry!$C$6:$C$10000)</f>
        <v>0</v>
      </c>
      <c r="T170" s="69"/>
      <c r="U170" s="69"/>
    </row>
    <row r="171" spans="19:21" ht="15" customHeight="1" x14ac:dyDescent="0.2">
      <c r="S171" s="69">
        <f>_xlfn.XLOOKUP(Results!A171,Geometry!$B$6:$B$10000,Geometry!$C$6:$C$10000)</f>
        <v>0</v>
      </c>
      <c r="T171" s="69"/>
      <c r="U171" s="69"/>
    </row>
    <row r="172" spans="19:21" ht="15" customHeight="1" x14ac:dyDescent="0.2">
      <c r="S172" s="69">
        <f>_xlfn.XLOOKUP(Results!A172,Geometry!$B$6:$B$10000,Geometry!$C$6:$C$10000)</f>
        <v>0</v>
      </c>
      <c r="T172" s="69"/>
      <c r="U172" s="69"/>
    </row>
    <row r="173" spans="19:21" ht="15" customHeight="1" x14ac:dyDescent="0.2">
      <c r="S173" s="69">
        <f>_xlfn.XLOOKUP(Results!A173,Geometry!$B$6:$B$10000,Geometry!$C$6:$C$10000)</f>
        <v>0</v>
      </c>
      <c r="T173" s="69"/>
      <c r="U173" s="69"/>
    </row>
    <row r="174" spans="19:21" ht="15" customHeight="1" x14ac:dyDescent="0.2">
      <c r="S174" s="69">
        <f>_xlfn.XLOOKUP(Results!A174,Geometry!$B$6:$B$10000,Geometry!$C$6:$C$10000)</f>
        <v>0</v>
      </c>
      <c r="T174" s="69"/>
      <c r="U174" s="69"/>
    </row>
    <row r="175" spans="19:21" ht="15" customHeight="1" x14ac:dyDescent="0.2">
      <c r="S175" s="69">
        <f>_xlfn.XLOOKUP(Results!A175,Geometry!$B$6:$B$10000,Geometry!$C$6:$C$10000)</f>
        <v>0</v>
      </c>
      <c r="T175" s="69"/>
      <c r="U175" s="69"/>
    </row>
    <row r="176" spans="19:21" ht="15" customHeight="1" x14ac:dyDescent="0.2">
      <c r="S176" s="69">
        <f>_xlfn.XLOOKUP(Results!A176,Geometry!$B$6:$B$10000,Geometry!$C$6:$C$10000)</f>
        <v>0</v>
      </c>
      <c r="T176" s="69"/>
      <c r="U176" s="69"/>
    </row>
    <row r="177" spans="19:21" ht="15" customHeight="1" x14ac:dyDescent="0.2">
      <c r="S177" s="69">
        <f>_xlfn.XLOOKUP(Results!A177,Geometry!$B$6:$B$10000,Geometry!$C$6:$C$10000)</f>
        <v>0</v>
      </c>
      <c r="T177" s="69"/>
      <c r="U177" s="69"/>
    </row>
    <row r="178" spans="19:21" ht="15" customHeight="1" x14ac:dyDescent="0.2">
      <c r="S178" s="69">
        <f>_xlfn.XLOOKUP(Results!A178,Geometry!$B$6:$B$10000,Geometry!$C$6:$C$10000)</f>
        <v>0</v>
      </c>
      <c r="T178" s="69"/>
      <c r="U178" s="69"/>
    </row>
    <row r="179" spans="19:21" ht="15" customHeight="1" x14ac:dyDescent="0.2">
      <c r="S179" s="69">
        <f>_xlfn.XLOOKUP(Results!A179,Geometry!$B$6:$B$10000,Geometry!$C$6:$C$10000)</f>
        <v>0</v>
      </c>
      <c r="T179" s="69"/>
      <c r="U179" s="69"/>
    </row>
    <row r="180" spans="19:21" ht="15" customHeight="1" x14ac:dyDescent="0.2">
      <c r="S180" s="69">
        <f>_xlfn.XLOOKUP(Results!A180,Geometry!$B$6:$B$10000,Geometry!$C$6:$C$10000)</f>
        <v>0</v>
      </c>
      <c r="T180" s="69"/>
      <c r="U180" s="69"/>
    </row>
    <row r="181" spans="19:21" ht="15" customHeight="1" x14ac:dyDescent="0.2">
      <c r="S181" s="69">
        <f>_xlfn.XLOOKUP(Results!A181,Geometry!$B$6:$B$10000,Geometry!$C$6:$C$10000)</f>
        <v>0</v>
      </c>
      <c r="T181" s="69"/>
      <c r="U181" s="69"/>
    </row>
    <row r="182" spans="19:21" ht="15" customHeight="1" x14ac:dyDescent="0.2">
      <c r="S182" s="69">
        <f>_xlfn.XLOOKUP(Results!A182,Geometry!$B$6:$B$10000,Geometry!$C$6:$C$10000)</f>
        <v>0</v>
      </c>
      <c r="T182" s="69"/>
      <c r="U182" s="69"/>
    </row>
    <row r="183" spans="19:21" ht="15" customHeight="1" x14ac:dyDescent="0.2">
      <c r="S183" s="69">
        <f>_xlfn.XLOOKUP(Results!A183,Geometry!$B$6:$B$10000,Geometry!$C$6:$C$10000)</f>
        <v>0</v>
      </c>
      <c r="T183" s="69"/>
      <c r="U183" s="69"/>
    </row>
    <row r="184" spans="19:21" ht="15" customHeight="1" x14ac:dyDescent="0.2">
      <c r="S184" s="69">
        <f>_xlfn.XLOOKUP(Results!A184,Geometry!$B$6:$B$10000,Geometry!$C$6:$C$10000)</f>
        <v>0</v>
      </c>
      <c r="T184" s="69"/>
      <c r="U184" s="69"/>
    </row>
    <row r="185" spans="19:21" ht="15" customHeight="1" x14ac:dyDescent="0.2">
      <c r="S185" s="69">
        <f>_xlfn.XLOOKUP(Results!A185,Geometry!$B$6:$B$10000,Geometry!$C$6:$C$10000)</f>
        <v>0</v>
      </c>
      <c r="T185" s="69"/>
      <c r="U185" s="69"/>
    </row>
    <row r="186" spans="19:21" ht="15" customHeight="1" x14ac:dyDescent="0.2">
      <c r="S186" s="69">
        <f>_xlfn.XLOOKUP(Results!A186,Geometry!$B$6:$B$10000,Geometry!$C$6:$C$10000)</f>
        <v>0</v>
      </c>
      <c r="T186" s="69"/>
      <c r="U186" s="69"/>
    </row>
    <row r="187" spans="19:21" ht="15" customHeight="1" x14ac:dyDescent="0.2">
      <c r="S187" s="69">
        <f>_xlfn.XLOOKUP(Results!A187,Geometry!$B$6:$B$10000,Geometry!$C$6:$C$10000)</f>
        <v>0</v>
      </c>
      <c r="T187" s="69"/>
      <c r="U187" s="69"/>
    </row>
    <row r="188" spans="19:21" ht="15" customHeight="1" x14ac:dyDescent="0.2">
      <c r="S188" s="69">
        <f>_xlfn.XLOOKUP(Results!A188,Geometry!$B$6:$B$10000,Geometry!$C$6:$C$10000)</f>
        <v>0</v>
      </c>
      <c r="T188" s="69"/>
      <c r="U188" s="69"/>
    </row>
    <row r="189" spans="19:21" ht="15" customHeight="1" x14ac:dyDescent="0.2">
      <c r="S189" s="69">
        <f>_xlfn.XLOOKUP(Results!A189,Geometry!$B$6:$B$10000,Geometry!$C$6:$C$10000)</f>
        <v>0</v>
      </c>
      <c r="T189" s="69"/>
      <c r="U189" s="69"/>
    </row>
    <row r="190" spans="19:21" ht="15" customHeight="1" x14ac:dyDescent="0.2">
      <c r="S190" s="69">
        <f>_xlfn.XLOOKUP(Results!A190,Geometry!$B$6:$B$10000,Geometry!$C$6:$C$10000)</f>
        <v>0</v>
      </c>
      <c r="T190" s="69"/>
      <c r="U190" s="69"/>
    </row>
    <row r="191" spans="19:21" ht="15" customHeight="1" x14ac:dyDescent="0.2">
      <c r="S191" s="69">
        <f>_xlfn.XLOOKUP(Results!A191,Geometry!$B$6:$B$10000,Geometry!$C$6:$C$10000)</f>
        <v>0</v>
      </c>
      <c r="T191" s="69"/>
      <c r="U191" s="69"/>
    </row>
    <row r="192" spans="19:21" ht="15" customHeight="1" x14ac:dyDescent="0.2">
      <c r="S192" s="69">
        <f>_xlfn.XLOOKUP(Results!A192,Geometry!$B$6:$B$10000,Geometry!$C$6:$C$10000)</f>
        <v>0</v>
      </c>
      <c r="T192" s="69"/>
      <c r="U192" s="69"/>
    </row>
    <row r="193" spans="19:21" ht="15" customHeight="1" x14ac:dyDescent="0.2">
      <c r="S193" s="69">
        <f>_xlfn.XLOOKUP(Results!A193,Geometry!$B$6:$B$10000,Geometry!$C$6:$C$10000)</f>
        <v>0</v>
      </c>
      <c r="T193" s="69"/>
      <c r="U193" s="69"/>
    </row>
    <row r="194" spans="19:21" ht="15" customHeight="1" x14ac:dyDescent="0.2">
      <c r="S194" s="69">
        <f>_xlfn.XLOOKUP(Results!A194,Geometry!$B$6:$B$10000,Geometry!$C$6:$C$10000)</f>
        <v>0</v>
      </c>
      <c r="T194" s="69"/>
      <c r="U194" s="69"/>
    </row>
    <row r="195" spans="19:21" ht="15" customHeight="1" x14ac:dyDescent="0.2">
      <c r="S195" s="69">
        <f>_xlfn.XLOOKUP(Results!A195,Geometry!$B$6:$B$10000,Geometry!$C$6:$C$10000)</f>
        <v>0</v>
      </c>
      <c r="T195" s="69"/>
      <c r="U195" s="69"/>
    </row>
    <row r="196" spans="19:21" ht="15" customHeight="1" x14ac:dyDescent="0.2">
      <c r="S196" s="69">
        <f>_xlfn.XLOOKUP(Results!A196,Geometry!$B$6:$B$10000,Geometry!$C$6:$C$10000)</f>
        <v>0</v>
      </c>
      <c r="T196" s="69"/>
      <c r="U196" s="69"/>
    </row>
    <row r="197" spans="19:21" ht="15" customHeight="1" x14ac:dyDescent="0.2">
      <c r="S197" s="69">
        <f>_xlfn.XLOOKUP(Results!A197,Geometry!$B$6:$B$10000,Geometry!$C$6:$C$10000)</f>
        <v>0</v>
      </c>
      <c r="T197" s="69"/>
      <c r="U197" s="69"/>
    </row>
    <row r="198" spans="19:21" ht="15" customHeight="1" x14ac:dyDescent="0.2">
      <c r="S198" s="69">
        <f>_xlfn.XLOOKUP(Results!A198,Geometry!$B$6:$B$10000,Geometry!$C$6:$C$10000)</f>
        <v>0</v>
      </c>
      <c r="T198" s="69"/>
      <c r="U198" s="69"/>
    </row>
    <row r="199" spans="19:21" ht="15" customHeight="1" x14ac:dyDescent="0.2">
      <c r="S199" s="69">
        <f>_xlfn.XLOOKUP(Results!A199,Geometry!$B$6:$B$10000,Geometry!$C$6:$C$10000)</f>
        <v>0</v>
      </c>
      <c r="T199" s="69"/>
      <c r="U199" s="69"/>
    </row>
    <row r="200" spans="19:21" ht="15" customHeight="1" x14ac:dyDescent="0.2">
      <c r="S200" s="69">
        <f>_xlfn.XLOOKUP(Results!A200,Geometry!$B$6:$B$10000,Geometry!$C$6:$C$10000)</f>
        <v>0</v>
      </c>
      <c r="T200" s="69"/>
      <c r="U200" s="69"/>
    </row>
    <row r="201" spans="19:21" ht="15" customHeight="1" x14ac:dyDescent="0.2">
      <c r="S201" s="69">
        <f>_xlfn.XLOOKUP(Results!A201,Geometry!$B$6:$B$10000,Geometry!$C$6:$C$10000)</f>
        <v>0</v>
      </c>
      <c r="T201" s="69"/>
      <c r="U201" s="69"/>
    </row>
    <row r="202" spans="19:21" ht="15" customHeight="1" x14ac:dyDescent="0.2">
      <c r="S202" s="69">
        <f>_xlfn.XLOOKUP(Results!A202,Geometry!$B$6:$B$10000,Geometry!$C$6:$C$10000)</f>
        <v>0</v>
      </c>
      <c r="T202" s="69"/>
      <c r="U202" s="69"/>
    </row>
    <row r="203" spans="19:21" ht="15" customHeight="1" x14ac:dyDescent="0.2">
      <c r="S203" s="69">
        <f>_xlfn.XLOOKUP(Results!A203,Geometry!$B$6:$B$10000,Geometry!$C$6:$C$10000)</f>
        <v>0</v>
      </c>
      <c r="T203" s="69"/>
      <c r="U203" s="69"/>
    </row>
    <row r="204" spans="19:21" ht="15" customHeight="1" x14ac:dyDescent="0.2">
      <c r="S204" s="69">
        <f>_xlfn.XLOOKUP(Results!A204,Geometry!$B$6:$B$10000,Geometry!$C$6:$C$10000)</f>
        <v>0</v>
      </c>
      <c r="T204" s="69"/>
      <c r="U204" s="69"/>
    </row>
    <row r="205" spans="19:21" ht="15" customHeight="1" x14ac:dyDescent="0.2">
      <c r="S205" s="69">
        <f>_xlfn.XLOOKUP(Results!A205,Geometry!$B$6:$B$10000,Geometry!$C$6:$C$10000)</f>
        <v>0</v>
      </c>
      <c r="T205" s="69"/>
      <c r="U205" s="69"/>
    </row>
    <row r="206" spans="19:21" ht="15" customHeight="1" x14ac:dyDescent="0.2">
      <c r="S206" s="69">
        <f>_xlfn.XLOOKUP(Results!A206,Geometry!$B$6:$B$10000,Geometry!$C$6:$C$10000)</f>
        <v>0</v>
      </c>
      <c r="T206" s="69"/>
      <c r="U206" s="69"/>
    </row>
    <row r="207" spans="19:21" ht="15" customHeight="1" x14ac:dyDescent="0.2">
      <c r="S207" s="69">
        <f>_xlfn.XLOOKUP(Results!A207,Geometry!$B$6:$B$10000,Geometry!$C$6:$C$10000)</f>
        <v>0</v>
      </c>
      <c r="T207" s="69"/>
      <c r="U207" s="69"/>
    </row>
    <row r="208" spans="19:21" ht="15" customHeight="1" x14ac:dyDescent="0.2">
      <c r="S208" s="69">
        <f>_xlfn.XLOOKUP(Results!A208,Geometry!$B$6:$B$10000,Geometry!$C$6:$C$10000)</f>
        <v>0</v>
      </c>
      <c r="T208" s="69"/>
      <c r="U208" s="69"/>
    </row>
    <row r="209" spans="19:21" ht="15" customHeight="1" x14ac:dyDescent="0.2">
      <c r="S209" s="69">
        <f>_xlfn.XLOOKUP(Results!A209,Geometry!$B$6:$B$10000,Geometry!$C$6:$C$10000)</f>
        <v>0</v>
      </c>
      <c r="T209" s="69"/>
      <c r="U209" s="69"/>
    </row>
    <row r="210" spans="19:21" ht="15" customHeight="1" x14ac:dyDescent="0.2">
      <c r="S210" s="69">
        <f>_xlfn.XLOOKUP(Results!A210,Geometry!$B$6:$B$10000,Geometry!$C$6:$C$10000)</f>
        <v>0</v>
      </c>
      <c r="T210" s="69"/>
      <c r="U210" s="69"/>
    </row>
    <row r="211" spans="19:21" ht="15" customHeight="1" x14ac:dyDescent="0.2">
      <c r="S211" s="69">
        <f>_xlfn.XLOOKUP(Results!A211,Geometry!$B$6:$B$10000,Geometry!$C$6:$C$10000)</f>
        <v>0</v>
      </c>
      <c r="T211" s="69"/>
      <c r="U211" s="69"/>
    </row>
    <row r="212" spans="19:21" ht="15" customHeight="1" x14ac:dyDescent="0.2">
      <c r="S212" s="69">
        <f>_xlfn.XLOOKUP(Results!A212,Geometry!$B$6:$B$10000,Geometry!$C$6:$C$10000)</f>
        <v>0</v>
      </c>
      <c r="T212" s="69"/>
      <c r="U212" s="69"/>
    </row>
    <row r="213" spans="19:21" ht="15" customHeight="1" x14ac:dyDescent="0.2">
      <c r="S213" s="69">
        <f>_xlfn.XLOOKUP(Results!A213,Geometry!$B$6:$B$10000,Geometry!$C$6:$C$10000)</f>
        <v>0</v>
      </c>
      <c r="T213" s="69"/>
      <c r="U213" s="69"/>
    </row>
    <row r="214" spans="19:21" ht="15" customHeight="1" x14ac:dyDescent="0.2">
      <c r="S214" s="69">
        <f>_xlfn.XLOOKUP(Results!A214,Geometry!$B$6:$B$10000,Geometry!$C$6:$C$10000)</f>
        <v>0</v>
      </c>
      <c r="T214" s="69"/>
      <c r="U214" s="69"/>
    </row>
    <row r="215" spans="19:21" ht="15" customHeight="1" x14ac:dyDescent="0.2">
      <c r="S215" s="69">
        <f>_xlfn.XLOOKUP(Results!A215,Geometry!$B$6:$B$10000,Geometry!$C$6:$C$10000)</f>
        <v>0</v>
      </c>
      <c r="T215" s="69"/>
      <c r="U215" s="69"/>
    </row>
    <row r="216" spans="19:21" ht="15" customHeight="1" x14ac:dyDescent="0.2">
      <c r="S216" s="69">
        <f>_xlfn.XLOOKUP(Results!A216,Geometry!$B$6:$B$10000,Geometry!$C$6:$C$10000)</f>
        <v>0</v>
      </c>
      <c r="T216" s="69"/>
      <c r="U216" s="69"/>
    </row>
    <row r="217" spans="19:21" ht="15" customHeight="1" x14ac:dyDescent="0.2">
      <c r="S217" s="69">
        <f>_xlfn.XLOOKUP(Results!A217,Geometry!$B$6:$B$10000,Geometry!$C$6:$C$10000)</f>
        <v>0</v>
      </c>
      <c r="T217" s="69"/>
      <c r="U217" s="69"/>
    </row>
    <row r="218" spans="19:21" ht="15" customHeight="1" x14ac:dyDescent="0.2">
      <c r="S218" s="69">
        <f>_xlfn.XLOOKUP(Results!A218,Geometry!$B$6:$B$10000,Geometry!$C$6:$C$10000)</f>
        <v>0</v>
      </c>
      <c r="T218" s="69"/>
      <c r="U218" s="69"/>
    </row>
    <row r="219" spans="19:21" ht="15" customHeight="1" x14ac:dyDescent="0.2">
      <c r="S219" s="69">
        <f>_xlfn.XLOOKUP(Results!A219,Geometry!$B$6:$B$10000,Geometry!$C$6:$C$10000)</f>
        <v>0</v>
      </c>
      <c r="T219" s="69"/>
      <c r="U219" s="69"/>
    </row>
    <row r="220" spans="19:21" ht="15" customHeight="1" x14ac:dyDescent="0.2">
      <c r="S220" s="69">
        <f>_xlfn.XLOOKUP(Results!A220,Geometry!$B$6:$B$10000,Geometry!$C$6:$C$10000)</f>
        <v>0</v>
      </c>
      <c r="T220" s="69"/>
      <c r="U220" s="69"/>
    </row>
    <row r="221" spans="19:21" ht="15" customHeight="1" x14ac:dyDescent="0.2">
      <c r="S221" s="69">
        <f>_xlfn.XLOOKUP(Results!A221,Geometry!$B$6:$B$10000,Geometry!$C$6:$C$10000)</f>
        <v>0</v>
      </c>
      <c r="T221" s="69"/>
      <c r="U221" s="69"/>
    </row>
    <row r="222" spans="19:21" ht="15" customHeight="1" x14ac:dyDescent="0.2">
      <c r="S222" s="69">
        <f>_xlfn.XLOOKUP(Results!A222,Geometry!$B$6:$B$10000,Geometry!$C$6:$C$10000)</f>
        <v>0</v>
      </c>
      <c r="T222" s="69"/>
      <c r="U222" s="69"/>
    </row>
    <row r="223" spans="19:21" ht="15" customHeight="1" x14ac:dyDescent="0.2">
      <c r="S223" s="69">
        <f>_xlfn.XLOOKUP(Results!A223,Geometry!$B$6:$B$10000,Geometry!$C$6:$C$10000)</f>
        <v>0</v>
      </c>
      <c r="T223" s="69"/>
      <c r="U223" s="69"/>
    </row>
    <row r="224" spans="19:21" ht="15" customHeight="1" x14ac:dyDescent="0.2">
      <c r="S224" s="69">
        <f>_xlfn.XLOOKUP(Results!A224,Geometry!$B$6:$B$10000,Geometry!$C$6:$C$10000)</f>
        <v>0</v>
      </c>
      <c r="T224" s="69"/>
      <c r="U224" s="69"/>
    </row>
    <row r="225" spans="19:21" ht="15" customHeight="1" x14ac:dyDescent="0.2">
      <c r="S225" s="69">
        <f>_xlfn.XLOOKUP(Results!A225,Geometry!$B$6:$B$10000,Geometry!$C$6:$C$10000)</f>
        <v>0</v>
      </c>
      <c r="T225" s="69"/>
      <c r="U225" s="69"/>
    </row>
    <row r="226" spans="19:21" ht="15" customHeight="1" x14ac:dyDescent="0.2">
      <c r="S226" s="69">
        <f>_xlfn.XLOOKUP(Results!A226,Geometry!$B$6:$B$10000,Geometry!$C$6:$C$10000)</f>
        <v>0</v>
      </c>
      <c r="T226" s="69"/>
      <c r="U226" s="69"/>
    </row>
    <row r="227" spans="19:21" ht="15" customHeight="1" x14ac:dyDescent="0.2">
      <c r="S227" s="69">
        <f>_xlfn.XLOOKUP(Results!A227,Geometry!$B$6:$B$10000,Geometry!$C$6:$C$10000)</f>
        <v>0</v>
      </c>
      <c r="T227" s="69"/>
      <c r="U227" s="69"/>
    </row>
    <row r="228" spans="19:21" ht="15" customHeight="1" x14ac:dyDescent="0.2">
      <c r="S228" s="69">
        <f>_xlfn.XLOOKUP(Results!A228,Geometry!$B$6:$B$10000,Geometry!$C$6:$C$10000)</f>
        <v>0</v>
      </c>
      <c r="T228" s="69"/>
      <c r="U228" s="69"/>
    </row>
    <row r="229" spans="19:21" ht="15" customHeight="1" x14ac:dyDescent="0.2">
      <c r="S229" s="69">
        <f>_xlfn.XLOOKUP(Results!A229,Geometry!$B$6:$B$10000,Geometry!$C$6:$C$10000)</f>
        <v>0</v>
      </c>
      <c r="T229" s="69"/>
      <c r="U229" s="69"/>
    </row>
    <row r="230" spans="19:21" ht="15" customHeight="1" x14ac:dyDescent="0.2">
      <c r="S230" s="69">
        <f>_xlfn.XLOOKUP(Results!A230,Geometry!$B$6:$B$10000,Geometry!$C$6:$C$10000)</f>
        <v>0</v>
      </c>
      <c r="T230" s="69"/>
      <c r="U230" s="69"/>
    </row>
    <row r="231" spans="19:21" ht="15" customHeight="1" x14ac:dyDescent="0.2">
      <c r="S231" s="69">
        <f>_xlfn.XLOOKUP(Results!A231,Geometry!$B$6:$B$10000,Geometry!$C$6:$C$10000)</f>
        <v>0</v>
      </c>
      <c r="T231" s="69"/>
      <c r="U231" s="69"/>
    </row>
    <row r="232" spans="19:21" ht="15" customHeight="1" x14ac:dyDescent="0.2">
      <c r="S232" s="69">
        <f>_xlfn.XLOOKUP(Results!A232,Geometry!$B$6:$B$10000,Geometry!$C$6:$C$10000)</f>
        <v>0</v>
      </c>
      <c r="T232" s="69"/>
      <c r="U232" s="69"/>
    </row>
    <row r="233" spans="19:21" ht="15" customHeight="1" x14ac:dyDescent="0.2">
      <c r="S233" s="69">
        <f>_xlfn.XLOOKUP(Results!A233,Geometry!$B$6:$B$10000,Geometry!$C$6:$C$10000)</f>
        <v>0</v>
      </c>
      <c r="T233" s="69"/>
      <c r="U233" s="69"/>
    </row>
    <row r="234" spans="19:21" ht="15" customHeight="1" x14ac:dyDescent="0.2">
      <c r="S234" s="69">
        <f>_xlfn.XLOOKUP(Results!A234,Geometry!$B$6:$B$10000,Geometry!$C$6:$C$10000)</f>
        <v>0</v>
      </c>
      <c r="T234" s="69"/>
      <c r="U234" s="69"/>
    </row>
    <row r="235" spans="19:21" ht="15" customHeight="1" x14ac:dyDescent="0.2">
      <c r="S235" s="69">
        <f>_xlfn.XLOOKUP(Results!A235,Geometry!$B$6:$B$10000,Geometry!$C$6:$C$10000)</f>
        <v>0</v>
      </c>
      <c r="T235" s="69"/>
      <c r="U235" s="69"/>
    </row>
    <row r="236" spans="19:21" ht="15" customHeight="1" x14ac:dyDescent="0.2">
      <c r="S236" s="69">
        <f>_xlfn.XLOOKUP(Results!A236,Geometry!$B$6:$B$10000,Geometry!$C$6:$C$10000)</f>
        <v>0</v>
      </c>
      <c r="T236" s="69"/>
      <c r="U236" s="69"/>
    </row>
    <row r="237" spans="19:21" ht="15" customHeight="1" x14ac:dyDescent="0.2">
      <c r="S237" s="69">
        <f>_xlfn.XLOOKUP(Results!A237,Geometry!$B$6:$B$10000,Geometry!$C$6:$C$10000)</f>
        <v>0</v>
      </c>
      <c r="T237" s="69"/>
      <c r="U237" s="69"/>
    </row>
    <row r="238" spans="19:21" ht="15" customHeight="1" x14ac:dyDescent="0.2">
      <c r="S238" s="69">
        <f>_xlfn.XLOOKUP(Results!A238,Geometry!$B$6:$B$10000,Geometry!$C$6:$C$10000)</f>
        <v>0</v>
      </c>
      <c r="T238" s="69"/>
      <c r="U238" s="69"/>
    </row>
    <row r="239" spans="19:21" ht="15" customHeight="1" x14ac:dyDescent="0.2">
      <c r="S239" s="69">
        <f>_xlfn.XLOOKUP(Results!A239,Geometry!$B$6:$B$10000,Geometry!$C$6:$C$10000)</f>
        <v>0</v>
      </c>
      <c r="T239" s="69"/>
      <c r="U239" s="69"/>
    </row>
    <row r="240" spans="19:21" ht="15" customHeight="1" x14ac:dyDescent="0.2">
      <c r="S240" s="69">
        <f>_xlfn.XLOOKUP(Results!A240,Geometry!$B$6:$B$10000,Geometry!$C$6:$C$10000)</f>
        <v>0</v>
      </c>
      <c r="T240" s="69"/>
      <c r="U240" s="69"/>
    </row>
    <row r="241" spans="19:21" ht="15" customHeight="1" x14ac:dyDescent="0.2">
      <c r="S241" s="69">
        <f>_xlfn.XLOOKUP(Results!A241,Geometry!$B$6:$B$10000,Geometry!$C$6:$C$10000)</f>
        <v>0</v>
      </c>
      <c r="T241" s="69"/>
      <c r="U241" s="69"/>
    </row>
    <row r="242" spans="19:21" ht="15" customHeight="1" x14ac:dyDescent="0.2">
      <c r="S242" s="69">
        <f>_xlfn.XLOOKUP(Results!A242,Geometry!$B$6:$B$10000,Geometry!$C$6:$C$10000)</f>
        <v>0</v>
      </c>
      <c r="T242" s="69"/>
      <c r="U242" s="69"/>
    </row>
    <row r="243" spans="19:21" ht="15" customHeight="1" x14ac:dyDescent="0.2">
      <c r="S243" s="69">
        <f>_xlfn.XLOOKUP(Results!A243,Geometry!$B$6:$B$10000,Geometry!$C$6:$C$10000)</f>
        <v>0</v>
      </c>
      <c r="T243" s="69"/>
      <c r="U243" s="69"/>
    </row>
    <row r="244" spans="19:21" ht="15" customHeight="1" x14ac:dyDescent="0.2">
      <c r="S244" s="69">
        <f>_xlfn.XLOOKUP(Results!A244,Geometry!$B$6:$B$10000,Geometry!$C$6:$C$10000)</f>
        <v>0</v>
      </c>
      <c r="T244" s="69"/>
      <c r="U244" s="69"/>
    </row>
    <row r="245" spans="19:21" ht="15" customHeight="1" x14ac:dyDescent="0.2">
      <c r="S245" s="69">
        <f>_xlfn.XLOOKUP(Results!A245,Geometry!$B$6:$B$10000,Geometry!$C$6:$C$10000)</f>
        <v>0</v>
      </c>
      <c r="T245" s="69"/>
      <c r="U245" s="69"/>
    </row>
    <row r="246" spans="19:21" ht="15" customHeight="1" x14ac:dyDescent="0.2">
      <c r="S246" s="69">
        <f>_xlfn.XLOOKUP(Results!A246,Geometry!$B$6:$B$10000,Geometry!$C$6:$C$10000)</f>
        <v>0</v>
      </c>
      <c r="T246" s="69"/>
      <c r="U246" s="69"/>
    </row>
    <row r="247" spans="19:21" ht="15" customHeight="1" x14ac:dyDescent="0.2">
      <c r="S247" s="69">
        <f>_xlfn.XLOOKUP(Results!A247,Geometry!$B$6:$B$10000,Geometry!$C$6:$C$10000)</f>
        <v>0</v>
      </c>
      <c r="T247" s="69"/>
      <c r="U247" s="69"/>
    </row>
    <row r="248" spans="19:21" ht="15" customHeight="1" x14ac:dyDescent="0.2">
      <c r="S248" s="69">
        <f>_xlfn.XLOOKUP(Results!A248,Geometry!$B$6:$B$10000,Geometry!$C$6:$C$10000)</f>
        <v>0</v>
      </c>
      <c r="T248" s="69"/>
      <c r="U248" s="69"/>
    </row>
    <row r="249" spans="19:21" ht="15" customHeight="1" x14ac:dyDescent="0.2">
      <c r="S249" s="69">
        <f>_xlfn.XLOOKUP(Results!A249,Geometry!$B$6:$B$10000,Geometry!$C$6:$C$10000)</f>
        <v>0</v>
      </c>
      <c r="T249" s="69"/>
      <c r="U249" s="69"/>
    </row>
    <row r="250" spans="19:21" ht="15" customHeight="1" x14ac:dyDescent="0.2">
      <c r="S250" s="69">
        <f>_xlfn.XLOOKUP(Results!A250,Geometry!$B$6:$B$10000,Geometry!$C$6:$C$10000)</f>
        <v>0</v>
      </c>
      <c r="T250" s="69"/>
      <c r="U250" s="69"/>
    </row>
    <row r="251" spans="19:21" ht="15" customHeight="1" x14ac:dyDescent="0.2">
      <c r="S251" s="69">
        <f>_xlfn.XLOOKUP(Results!A251,Geometry!$B$6:$B$10000,Geometry!$C$6:$C$10000)</f>
        <v>0</v>
      </c>
      <c r="T251" s="69"/>
      <c r="U251" s="69"/>
    </row>
    <row r="252" spans="19:21" ht="15" customHeight="1" x14ac:dyDescent="0.2">
      <c r="S252" s="69">
        <f>_xlfn.XLOOKUP(Results!A252,Geometry!$B$6:$B$10000,Geometry!$C$6:$C$10000)</f>
        <v>0</v>
      </c>
      <c r="T252" s="69"/>
      <c r="U252" s="69"/>
    </row>
    <row r="253" spans="19:21" ht="15" customHeight="1" x14ac:dyDescent="0.2">
      <c r="S253" s="69">
        <f>_xlfn.XLOOKUP(Results!A253,Geometry!$B$6:$B$10000,Geometry!$C$6:$C$10000)</f>
        <v>0</v>
      </c>
      <c r="T253" s="69"/>
      <c r="U253" s="69"/>
    </row>
    <row r="254" spans="19:21" ht="15" customHeight="1" x14ac:dyDescent="0.2">
      <c r="S254" s="69">
        <f>_xlfn.XLOOKUP(Results!A254,Geometry!$B$6:$B$10000,Geometry!$C$6:$C$10000)</f>
        <v>0</v>
      </c>
      <c r="T254" s="69"/>
      <c r="U254" s="69"/>
    </row>
    <row r="255" spans="19:21" ht="15" customHeight="1" x14ac:dyDescent="0.2">
      <c r="S255" s="69">
        <f>_xlfn.XLOOKUP(Results!A255,Geometry!$B$6:$B$10000,Geometry!$C$6:$C$10000)</f>
        <v>0</v>
      </c>
      <c r="T255" s="69"/>
      <c r="U255" s="69"/>
    </row>
    <row r="256" spans="19:21" ht="15" customHeight="1" x14ac:dyDescent="0.2">
      <c r="S256" s="69">
        <f>_xlfn.XLOOKUP(Results!A256,Geometry!$B$6:$B$10000,Geometry!$C$6:$C$10000)</f>
        <v>0</v>
      </c>
      <c r="T256" s="69"/>
      <c r="U256" s="69"/>
    </row>
    <row r="257" spans="19:21" ht="15" customHeight="1" x14ac:dyDescent="0.2">
      <c r="S257" s="69">
        <f>_xlfn.XLOOKUP(Results!A257,Geometry!$B$6:$B$10000,Geometry!$C$6:$C$10000)</f>
        <v>0</v>
      </c>
      <c r="T257" s="69"/>
      <c r="U257" s="69"/>
    </row>
    <row r="258" spans="19:21" ht="15" customHeight="1" x14ac:dyDescent="0.2">
      <c r="S258" s="69">
        <f>_xlfn.XLOOKUP(Results!A258,Geometry!$B$6:$B$10000,Geometry!$C$6:$C$10000)</f>
        <v>0</v>
      </c>
      <c r="T258" s="69"/>
      <c r="U258" s="69"/>
    </row>
    <row r="259" spans="19:21" ht="15" customHeight="1" x14ac:dyDescent="0.2">
      <c r="S259" s="69">
        <f>_xlfn.XLOOKUP(Results!A259,Geometry!$B$6:$B$10000,Geometry!$C$6:$C$10000)</f>
        <v>0</v>
      </c>
      <c r="T259" s="69"/>
      <c r="U259" s="69"/>
    </row>
    <row r="260" spans="19:21" ht="15" customHeight="1" x14ac:dyDescent="0.2">
      <c r="S260" s="69">
        <f>_xlfn.XLOOKUP(Results!A260,Geometry!$B$6:$B$10000,Geometry!$C$6:$C$10000)</f>
        <v>0</v>
      </c>
      <c r="T260" s="69"/>
      <c r="U260" s="69"/>
    </row>
    <row r="261" spans="19:21" ht="15" customHeight="1" x14ac:dyDescent="0.2">
      <c r="S261" s="69">
        <f>_xlfn.XLOOKUP(Results!A261,Geometry!$B$6:$B$10000,Geometry!$C$6:$C$10000)</f>
        <v>0</v>
      </c>
      <c r="T261" s="69"/>
      <c r="U261" s="69"/>
    </row>
    <row r="262" spans="19:21" ht="15" customHeight="1" x14ac:dyDescent="0.2">
      <c r="S262" s="69">
        <f>_xlfn.XLOOKUP(Results!A262,Geometry!$B$6:$B$10000,Geometry!$C$6:$C$10000)</f>
        <v>0</v>
      </c>
      <c r="T262" s="69"/>
      <c r="U262" s="69"/>
    </row>
    <row r="263" spans="19:21" ht="15" customHeight="1" x14ac:dyDescent="0.2">
      <c r="S263" s="69">
        <f>_xlfn.XLOOKUP(Results!A263,Geometry!$B$6:$B$10000,Geometry!$C$6:$C$10000)</f>
        <v>0</v>
      </c>
      <c r="T263" s="69"/>
      <c r="U263" s="69"/>
    </row>
    <row r="264" spans="19:21" ht="15" customHeight="1" x14ac:dyDescent="0.2">
      <c r="S264" s="69">
        <f>_xlfn.XLOOKUP(Results!A264,Geometry!$B$6:$B$10000,Geometry!$C$6:$C$10000)</f>
        <v>0</v>
      </c>
      <c r="T264" s="69"/>
      <c r="U264" s="69"/>
    </row>
    <row r="265" spans="19:21" ht="15" customHeight="1" x14ac:dyDescent="0.2">
      <c r="S265" s="69">
        <f>_xlfn.XLOOKUP(Results!A265,Geometry!$B$6:$B$10000,Geometry!$C$6:$C$10000)</f>
        <v>0</v>
      </c>
      <c r="T265" s="69"/>
      <c r="U265" s="69"/>
    </row>
    <row r="266" spans="19:21" ht="15" customHeight="1" x14ac:dyDescent="0.2">
      <c r="S266" s="69">
        <f>_xlfn.XLOOKUP(Results!A266,Geometry!$B$6:$B$10000,Geometry!$C$6:$C$10000)</f>
        <v>0</v>
      </c>
      <c r="T266" s="69"/>
      <c r="U266" s="69"/>
    </row>
    <row r="267" spans="19:21" ht="15" customHeight="1" x14ac:dyDescent="0.2">
      <c r="S267" s="69">
        <f>_xlfn.XLOOKUP(Results!A267,Geometry!$B$6:$B$10000,Geometry!$C$6:$C$10000)</f>
        <v>0</v>
      </c>
      <c r="T267" s="69"/>
      <c r="U267" s="69"/>
    </row>
    <row r="268" spans="19:21" ht="15" customHeight="1" x14ac:dyDescent="0.2">
      <c r="S268" s="69">
        <f>_xlfn.XLOOKUP(Results!A268,Geometry!$B$6:$B$10000,Geometry!$C$6:$C$10000)</f>
        <v>0</v>
      </c>
      <c r="T268" s="69"/>
      <c r="U268" s="69"/>
    </row>
    <row r="269" spans="19:21" ht="15" customHeight="1" x14ac:dyDescent="0.2">
      <c r="S269" s="69">
        <f>_xlfn.XLOOKUP(Results!A269,Geometry!$B$6:$B$10000,Geometry!$C$6:$C$10000)</f>
        <v>0</v>
      </c>
      <c r="T269" s="69"/>
      <c r="U269" s="69"/>
    </row>
    <row r="270" spans="19:21" ht="15" customHeight="1" x14ac:dyDescent="0.2">
      <c r="S270" s="69">
        <f>_xlfn.XLOOKUP(Results!A270,Geometry!$B$6:$B$10000,Geometry!$C$6:$C$10000)</f>
        <v>0</v>
      </c>
      <c r="T270" s="69"/>
      <c r="U270" s="69"/>
    </row>
    <row r="271" spans="19:21" ht="15" customHeight="1" x14ac:dyDescent="0.2">
      <c r="S271" s="69">
        <f>_xlfn.XLOOKUP(Results!A271,Geometry!$B$6:$B$10000,Geometry!$C$6:$C$10000)</f>
        <v>0</v>
      </c>
      <c r="T271" s="69"/>
      <c r="U271" s="69"/>
    </row>
    <row r="272" spans="19:21" ht="15" customHeight="1" x14ac:dyDescent="0.2">
      <c r="S272" s="69">
        <f>_xlfn.XLOOKUP(Results!A272,Geometry!$B$6:$B$10000,Geometry!$C$6:$C$10000)</f>
        <v>0</v>
      </c>
      <c r="T272" s="69"/>
      <c r="U272" s="69"/>
    </row>
    <row r="273" spans="19:21" ht="15" customHeight="1" x14ac:dyDescent="0.2">
      <c r="S273" s="69">
        <f>_xlfn.XLOOKUP(Results!A273,Geometry!$B$6:$B$10000,Geometry!$C$6:$C$10000)</f>
        <v>0</v>
      </c>
      <c r="T273" s="69"/>
      <c r="U273" s="69"/>
    </row>
    <row r="274" spans="19:21" ht="15" customHeight="1" x14ac:dyDescent="0.2">
      <c r="S274" s="69">
        <f>_xlfn.XLOOKUP(Results!A274,Geometry!$B$6:$B$10000,Geometry!$C$6:$C$10000)</f>
        <v>0</v>
      </c>
      <c r="T274" s="69"/>
      <c r="U274" s="69"/>
    </row>
    <row r="275" spans="19:21" ht="15" customHeight="1" x14ac:dyDescent="0.2">
      <c r="S275" s="69">
        <f>_xlfn.XLOOKUP(Results!A275,Geometry!$B$6:$B$10000,Geometry!$C$6:$C$10000)</f>
        <v>0</v>
      </c>
      <c r="T275" s="69"/>
      <c r="U275" s="69"/>
    </row>
    <row r="276" spans="19:21" ht="15" customHeight="1" x14ac:dyDescent="0.2">
      <c r="S276" s="69">
        <f>_xlfn.XLOOKUP(Results!A276,Geometry!$B$6:$B$10000,Geometry!$C$6:$C$10000)</f>
        <v>0</v>
      </c>
      <c r="T276" s="69"/>
      <c r="U276" s="69"/>
    </row>
    <row r="277" spans="19:21" ht="15" customHeight="1" x14ac:dyDescent="0.2">
      <c r="S277" s="69">
        <f>_xlfn.XLOOKUP(Results!A277,Geometry!$B$6:$B$10000,Geometry!$C$6:$C$10000)</f>
        <v>0</v>
      </c>
      <c r="T277" s="69"/>
      <c r="U277" s="69"/>
    </row>
    <row r="278" spans="19:21" ht="15" customHeight="1" x14ac:dyDescent="0.2">
      <c r="S278" s="69">
        <f>_xlfn.XLOOKUP(Results!A278,Geometry!$B$6:$B$10000,Geometry!$C$6:$C$10000)</f>
        <v>0</v>
      </c>
      <c r="T278" s="69"/>
      <c r="U278" s="69"/>
    </row>
    <row r="279" spans="19:21" ht="15" customHeight="1" x14ac:dyDescent="0.2">
      <c r="S279" s="69">
        <f>_xlfn.XLOOKUP(Results!A279,Geometry!$B$6:$B$10000,Geometry!$C$6:$C$10000)</f>
        <v>0</v>
      </c>
      <c r="T279" s="69"/>
      <c r="U279" s="69"/>
    </row>
    <row r="280" spans="19:21" ht="15" customHeight="1" x14ac:dyDescent="0.2">
      <c r="S280" s="69">
        <f>_xlfn.XLOOKUP(Results!A280,Geometry!$B$6:$B$10000,Geometry!$C$6:$C$10000)</f>
        <v>0</v>
      </c>
      <c r="T280" s="69"/>
      <c r="U280" s="69"/>
    </row>
    <row r="281" spans="19:21" ht="15" customHeight="1" x14ac:dyDescent="0.2">
      <c r="S281" s="69">
        <f>_xlfn.XLOOKUP(Results!A281,Geometry!$B$6:$B$10000,Geometry!$C$6:$C$10000)</f>
        <v>0</v>
      </c>
      <c r="T281" s="69"/>
      <c r="U281" s="69"/>
    </row>
    <row r="282" spans="19:21" ht="15" customHeight="1" x14ac:dyDescent="0.2">
      <c r="S282" s="69">
        <f>_xlfn.XLOOKUP(Results!A282,Geometry!$B$6:$B$10000,Geometry!$C$6:$C$10000)</f>
        <v>0</v>
      </c>
      <c r="T282" s="69"/>
      <c r="U282" s="69"/>
    </row>
    <row r="283" spans="19:21" ht="15" customHeight="1" x14ac:dyDescent="0.2">
      <c r="S283" s="69">
        <f>_xlfn.XLOOKUP(Results!A283,Geometry!$B$6:$B$10000,Geometry!$C$6:$C$10000)</f>
        <v>0</v>
      </c>
      <c r="T283" s="69"/>
      <c r="U283" s="69"/>
    </row>
    <row r="284" spans="19:21" ht="15" customHeight="1" x14ac:dyDescent="0.2">
      <c r="S284" s="69">
        <f>_xlfn.XLOOKUP(Results!A284,Geometry!$B$6:$B$10000,Geometry!$C$6:$C$10000)</f>
        <v>0</v>
      </c>
      <c r="T284" s="69"/>
      <c r="U284" s="69"/>
    </row>
    <row r="285" spans="19:21" ht="15" customHeight="1" x14ac:dyDescent="0.2">
      <c r="S285" s="69">
        <f>_xlfn.XLOOKUP(Results!A285,Geometry!$B$6:$B$10000,Geometry!$C$6:$C$10000)</f>
        <v>0</v>
      </c>
      <c r="T285" s="69"/>
      <c r="U285" s="69"/>
    </row>
    <row r="286" spans="19:21" ht="15" customHeight="1" x14ac:dyDescent="0.2">
      <c r="S286" s="69">
        <f>_xlfn.XLOOKUP(Results!A286,Geometry!$B$6:$B$10000,Geometry!$C$6:$C$10000)</f>
        <v>0</v>
      </c>
      <c r="T286" s="69"/>
      <c r="U286" s="69"/>
    </row>
    <row r="287" spans="19:21" ht="15" customHeight="1" x14ac:dyDescent="0.2">
      <c r="S287" s="69">
        <f>_xlfn.XLOOKUP(Results!A287,Geometry!$B$6:$B$10000,Geometry!$C$6:$C$10000)</f>
        <v>0</v>
      </c>
      <c r="T287" s="69"/>
      <c r="U287" s="69"/>
    </row>
    <row r="288" spans="19:21" ht="15" customHeight="1" x14ac:dyDescent="0.2">
      <c r="S288" s="69">
        <f>_xlfn.XLOOKUP(Results!A288,Geometry!$B$6:$B$10000,Geometry!$C$6:$C$10000)</f>
        <v>0</v>
      </c>
      <c r="T288" s="69"/>
      <c r="U288" s="69"/>
    </row>
    <row r="289" spans="19:21" ht="15" customHeight="1" x14ac:dyDescent="0.2">
      <c r="S289" s="69">
        <f>_xlfn.XLOOKUP(Results!A289,Geometry!$B$6:$B$10000,Geometry!$C$6:$C$10000)</f>
        <v>0</v>
      </c>
      <c r="T289" s="69"/>
      <c r="U289" s="69"/>
    </row>
    <row r="290" spans="19:21" ht="15" customHeight="1" x14ac:dyDescent="0.2">
      <c r="S290" s="69">
        <f>_xlfn.XLOOKUP(Results!A290,Geometry!$B$6:$B$10000,Geometry!$C$6:$C$10000)</f>
        <v>0</v>
      </c>
      <c r="T290" s="69"/>
      <c r="U290" s="69"/>
    </row>
    <row r="291" spans="19:21" ht="15" customHeight="1" x14ac:dyDescent="0.2">
      <c r="S291" s="69">
        <f>_xlfn.XLOOKUP(Results!A291,Geometry!$B$6:$B$10000,Geometry!$C$6:$C$10000)</f>
        <v>0</v>
      </c>
      <c r="T291" s="69"/>
      <c r="U291" s="69"/>
    </row>
    <row r="292" spans="19:21" ht="15" customHeight="1" x14ac:dyDescent="0.2">
      <c r="S292" s="69">
        <f>_xlfn.XLOOKUP(Results!A292,Geometry!$B$6:$B$10000,Geometry!$C$6:$C$10000)</f>
        <v>0</v>
      </c>
      <c r="T292" s="69"/>
      <c r="U292" s="69"/>
    </row>
    <row r="293" spans="19:21" ht="15" customHeight="1" x14ac:dyDescent="0.2">
      <c r="S293" s="69">
        <f>_xlfn.XLOOKUP(Results!A293,Geometry!$B$6:$B$10000,Geometry!$C$6:$C$10000)</f>
        <v>0</v>
      </c>
      <c r="T293" s="69"/>
      <c r="U293" s="69"/>
    </row>
    <row r="294" spans="19:21" ht="15" customHeight="1" x14ac:dyDescent="0.2">
      <c r="S294" s="69">
        <f>_xlfn.XLOOKUP(Results!A294,Geometry!$B$6:$B$10000,Geometry!$C$6:$C$10000)</f>
        <v>0</v>
      </c>
      <c r="T294" s="69"/>
      <c r="U294" s="69"/>
    </row>
    <row r="295" spans="19:21" ht="15" customHeight="1" x14ac:dyDescent="0.2">
      <c r="S295" s="69">
        <f>_xlfn.XLOOKUP(Results!A295,Geometry!$B$6:$B$10000,Geometry!$C$6:$C$10000)</f>
        <v>0</v>
      </c>
      <c r="T295" s="69"/>
      <c r="U295" s="69"/>
    </row>
    <row r="296" spans="19:21" ht="15" customHeight="1" x14ac:dyDescent="0.2">
      <c r="S296" s="69">
        <f>_xlfn.XLOOKUP(Results!A296,Geometry!$B$6:$B$10000,Geometry!$C$6:$C$10000)</f>
        <v>0</v>
      </c>
      <c r="T296" s="69"/>
      <c r="U296" s="69"/>
    </row>
    <row r="297" spans="19:21" ht="15" customHeight="1" x14ac:dyDescent="0.2">
      <c r="S297" s="69">
        <f>_xlfn.XLOOKUP(Results!A297,Geometry!$B$6:$B$10000,Geometry!$C$6:$C$10000)</f>
        <v>0</v>
      </c>
      <c r="T297" s="69"/>
      <c r="U297" s="69"/>
    </row>
    <row r="298" spans="19:21" ht="15" customHeight="1" x14ac:dyDescent="0.2">
      <c r="S298" s="69">
        <f>_xlfn.XLOOKUP(Results!A298,Geometry!$B$6:$B$10000,Geometry!$C$6:$C$10000)</f>
        <v>0</v>
      </c>
      <c r="T298" s="69"/>
      <c r="U298" s="69"/>
    </row>
    <row r="299" spans="19:21" ht="15" customHeight="1" x14ac:dyDescent="0.2">
      <c r="S299" s="69">
        <f>_xlfn.XLOOKUP(Results!A299,Geometry!$B$6:$B$10000,Geometry!$C$6:$C$10000)</f>
        <v>0</v>
      </c>
      <c r="T299" s="69"/>
      <c r="U299" s="69"/>
    </row>
    <row r="300" spans="19:21" ht="15" customHeight="1" x14ac:dyDescent="0.2">
      <c r="S300" s="69">
        <f>_xlfn.XLOOKUP(Results!A300,Geometry!$B$6:$B$10000,Geometry!$C$6:$C$10000)</f>
        <v>0</v>
      </c>
      <c r="T300" s="69"/>
      <c r="U300" s="69"/>
    </row>
    <row r="301" spans="19:21" ht="15" customHeight="1" x14ac:dyDescent="0.2">
      <c r="S301" s="69">
        <f>_xlfn.XLOOKUP(Results!A301,Geometry!$B$6:$B$10000,Geometry!$C$6:$C$10000)</f>
        <v>0</v>
      </c>
      <c r="T301" s="69"/>
      <c r="U301" s="69"/>
    </row>
    <row r="302" spans="19:21" ht="15" customHeight="1" x14ac:dyDescent="0.2">
      <c r="S302" s="69">
        <f>_xlfn.XLOOKUP(Results!A302,Geometry!$B$6:$B$10000,Geometry!$C$6:$C$10000)</f>
        <v>0</v>
      </c>
      <c r="T302" s="69"/>
      <c r="U302" s="69"/>
    </row>
    <row r="303" spans="19:21" ht="15" customHeight="1" x14ac:dyDescent="0.2">
      <c r="S303" s="69">
        <f>_xlfn.XLOOKUP(Results!A303,Geometry!$B$6:$B$10000,Geometry!$C$6:$C$10000)</f>
        <v>0</v>
      </c>
      <c r="T303" s="69"/>
      <c r="U303" s="69"/>
    </row>
    <row r="304" spans="19:21" ht="15" customHeight="1" x14ac:dyDescent="0.2">
      <c r="S304" s="69">
        <f>_xlfn.XLOOKUP(Results!A304,Geometry!$B$6:$B$10000,Geometry!$C$6:$C$10000)</f>
        <v>0</v>
      </c>
      <c r="T304" s="69"/>
      <c r="U304" s="69"/>
    </row>
    <row r="305" spans="19:21" ht="15" customHeight="1" x14ac:dyDescent="0.2">
      <c r="S305" s="69">
        <f>_xlfn.XLOOKUP(Results!A305,Geometry!$B$6:$B$10000,Geometry!$C$6:$C$10000)</f>
        <v>0</v>
      </c>
      <c r="T305" s="69"/>
      <c r="U305" s="69"/>
    </row>
    <row r="306" spans="19:21" ht="15" customHeight="1" x14ac:dyDescent="0.2">
      <c r="S306" s="69">
        <f>_xlfn.XLOOKUP(Results!A306,Geometry!$B$6:$B$10000,Geometry!$C$6:$C$10000)</f>
        <v>0</v>
      </c>
      <c r="T306" s="69"/>
      <c r="U306" s="69"/>
    </row>
    <row r="307" spans="19:21" ht="15" customHeight="1" x14ac:dyDescent="0.2">
      <c r="S307" s="69">
        <f>_xlfn.XLOOKUP(Results!A307,Geometry!$B$6:$B$10000,Geometry!$C$6:$C$10000)</f>
        <v>0</v>
      </c>
      <c r="T307" s="69"/>
      <c r="U307" s="69"/>
    </row>
    <row r="308" spans="19:21" ht="15" customHeight="1" x14ac:dyDescent="0.2">
      <c r="S308" s="69">
        <f>_xlfn.XLOOKUP(Results!A308,Geometry!$B$6:$B$10000,Geometry!$C$6:$C$10000)</f>
        <v>0</v>
      </c>
      <c r="T308" s="69"/>
      <c r="U308" s="69"/>
    </row>
    <row r="309" spans="19:21" ht="15" customHeight="1" x14ac:dyDescent="0.2">
      <c r="S309" s="69">
        <f>_xlfn.XLOOKUP(Results!A309,Geometry!$B$6:$B$10000,Geometry!$C$6:$C$10000)</f>
        <v>0</v>
      </c>
      <c r="T309" s="69"/>
      <c r="U309" s="69"/>
    </row>
    <row r="310" spans="19:21" ht="15" customHeight="1" x14ac:dyDescent="0.2">
      <c r="S310" s="69">
        <f>_xlfn.XLOOKUP(Results!A310,Geometry!$B$6:$B$10000,Geometry!$C$6:$C$10000)</f>
        <v>0</v>
      </c>
      <c r="T310" s="69"/>
      <c r="U310" s="69"/>
    </row>
    <row r="311" spans="19:21" ht="15" customHeight="1" x14ac:dyDescent="0.2">
      <c r="S311" s="69">
        <f>_xlfn.XLOOKUP(Results!A311,Geometry!$B$6:$B$10000,Geometry!$C$6:$C$10000)</f>
        <v>0</v>
      </c>
      <c r="T311" s="69"/>
      <c r="U311" s="69"/>
    </row>
    <row r="312" spans="19:21" ht="15" customHeight="1" x14ac:dyDescent="0.2">
      <c r="S312" s="69">
        <f>_xlfn.XLOOKUP(Results!A312,Geometry!$B$6:$B$10000,Geometry!$C$6:$C$10000)</f>
        <v>0</v>
      </c>
      <c r="T312" s="69"/>
      <c r="U312" s="69"/>
    </row>
    <row r="313" spans="19:21" ht="15" customHeight="1" x14ac:dyDescent="0.2">
      <c r="S313" s="69">
        <f>_xlfn.XLOOKUP(Results!A313,Geometry!$B$6:$B$10000,Geometry!$C$6:$C$10000)</f>
        <v>0</v>
      </c>
      <c r="T313" s="69"/>
      <c r="U313" s="69"/>
    </row>
    <row r="314" spans="19:21" ht="15" customHeight="1" x14ac:dyDescent="0.2">
      <c r="S314" s="69">
        <f>_xlfn.XLOOKUP(Results!A314,Geometry!$B$6:$B$10000,Geometry!$C$6:$C$10000)</f>
        <v>0</v>
      </c>
      <c r="T314" s="69"/>
      <c r="U314" s="69"/>
    </row>
    <row r="315" spans="19:21" ht="15" customHeight="1" x14ac:dyDescent="0.2">
      <c r="S315" s="69">
        <f>_xlfn.XLOOKUP(Results!A315,Geometry!$B$6:$B$10000,Geometry!$C$6:$C$10000)</f>
        <v>0</v>
      </c>
      <c r="T315" s="69"/>
      <c r="U315" s="69"/>
    </row>
    <row r="316" spans="19:21" ht="15" customHeight="1" x14ac:dyDescent="0.2">
      <c r="S316" s="69">
        <f>_xlfn.XLOOKUP(Results!A316,Geometry!$B$6:$B$10000,Geometry!$C$6:$C$10000)</f>
        <v>0</v>
      </c>
      <c r="T316" s="69"/>
      <c r="U316" s="69"/>
    </row>
    <row r="317" spans="19:21" ht="15" customHeight="1" x14ac:dyDescent="0.2">
      <c r="S317" s="69">
        <f>_xlfn.XLOOKUP(Results!A317,Geometry!$B$6:$B$10000,Geometry!$C$6:$C$10000)</f>
        <v>0</v>
      </c>
      <c r="T317" s="69"/>
      <c r="U317" s="69"/>
    </row>
    <row r="318" spans="19:21" ht="15" customHeight="1" x14ac:dyDescent="0.2">
      <c r="S318" s="69">
        <f>_xlfn.XLOOKUP(Results!A318,Geometry!$B$6:$B$10000,Geometry!$C$6:$C$10000)</f>
        <v>0</v>
      </c>
      <c r="T318" s="69"/>
      <c r="U318" s="69"/>
    </row>
    <row r="319" spans="19:21" ht="15" customHeight="1" x14ac:dyDescent="0.2">
      <c r="S319" s="69">
        <f>_xlfn.XLOOKUP(Results!A319,Geometry!$B$6:$B$10000,Geometry!$C$6:$C$10000)</f>
        <v>0</v>
      </c>
      <c r="T319" s="69"/>
      <c r="U319" s="69"/>
    </row>
    <row r="320" spans="19:21" ht="15" customHeight="1" x14ac:dyDescent="0.2">
      <c r="S320" s="69">
        <f>_xlfn.XLOOKUP(Results!A320,Geometry!$B$6:$B$10000,Geometry!$C$6:$C$10000)</f>
        <v>0</v>
      </c>
      <c r="T320" s="69"/>
      <c r="U320" s="69"/>
    </row>
    <row r="321" spans="19:21" ht="15" customHeight="1" x14ac:dyDescent="0.2">
      <c r="S321" s="69">
        <f>_xlfn.XLOOKUP(Results!A321,Geometry!$B$6:$B$10000,Geometry!$C$6:$C$10000)</f>
        <v>0</v>
      </c>
      <c r="T321" s="69"/>
      <c r="U321" s="69"/>
    </row>
    <row r="322" spans="19:21" ht="15" customHeight="1" x14ac:dyDescent="0.2">
      <c r="S322" s="69">
        <f>_xlfn.XLOOKUP(Results!A322,Geometry!$B$6:$B$10000,Geometry!$C$6:$C$10000)</f>
        <v>0</v>
      </c>
      <c r="T322" s="69"/>
      <c r="U322" s="69"/>
    </row>
    <row r="323" spans="19:21" ht="15" customHeight="1" x14ac:dyDescent="0.2">
      <c r="S323" s="69">
        <f>_xlfn.XLOOKUP(Results!A323,Geometry!$B$6:$B$10000,Geometry!$C$6:$C$10000)</f>
        <v>0</v>
      </c>
      <c r="T323" s="69"/>
      <c r="U323" s="69"/>
    </row>
    <row r="324" spans="19:21" ht="15" customHeight="1" x14ac:dyDescent="0.2">
      <c r="S324" s="69">
        <f>_xlfn.XLOOKUP(Results!A324,Geometry!$B$6:$B$10000,Geometry!$C$6:$C$10000)</f>
        <v>0</v>
      </c>
      <c r="T324" s="69"/>
      <c r="U324" s="69"/>
    </row>
    <row r="325" spans="19:21" ht="15" customHeight="1" x14ac:dyDescent="0.2">
      <c r="S325" s="69">
        <f>_xlfn.XLOOKUP(Results!A325,Geometry!$B$6:$B$10000,Geometry!$C$6:$C$10000)</f>
        <v>0</v>
      </c>
      <c r="T325" s="69"/>
      <c r="U325" s="69"/>
    </row>
    <row r="326" spans="19:21" ht="15" customHeight="1" x14ac:dyDescent="0.2">
      <c r="S326" s="69">
        <f>_xlfn.XLOOKUP(Results!A326,Geometry!$B$6:$B$10000,Geometry!$C$6:$C$10000)</f>
        <v>0</v>
      </c>
      <c r="T326" s="69"/>
      <c r="U326" s="69"/>
    </row>
    <row r="327" spans="19:21" ht="15" customHeight="1" x14ac:dyDescent="0.2">
      <c r="S327" s="69">
        <f>_xlfn.XLOOKUP(Results!A327,Geometry!$B$6:$B$10000,Geometry!$C$6:$C$10000)</f>
        <v>0</v>
      </c>
      <c r="T327" s="69"/>
      <c r="U327" s="69"/>
    </row>
    <row r="328" spans="19:21" ht="15" customHeight="1" x14ac:dyDescent="0.2">
      <c r="S328" s="69">
        <f>_xlfn.XLOOKUP(Results!A328,Geometry!$B$6:$B$10000,Geometry!$C$6:$C$10000)</f>
        <v>0</v>
      </c>
      <c r="T328" s="69"/>
      <c r="U328" s="69"/>
    </row>
    <row r="329" spans="19:21" ht="15" customHeight="1" x14ac:dyDescent="0.2">
      <c r="S329" s="69">
        <f>_xlfn.XLOOKUP(Results!A329,Geometry!$B$6:$B$10000,Geometry!$C$6:$C$10000)</f>
        <v>0</v>
      </c>
      <c r="T329" s="69"/>
      <c r="U329" s="69"/>
    </row>
    <row r="330" spans="19:21" ht="15" customHeight="1" x14ac:dyDescent="0.2">
      <c r="S330" s="69">
        <f>_xlfn.XLOOKUP(Results!A330,Geometry!$B$6:$B$10000,Geometry!$C$6:$C$10000)</f>
        <v>0</v>
      </c>
      <c r="T330" s="69"/>
      <c r="U330" s="69"/>
    </row>
    <row r="331" spans="19:21" ht="15" customHeight="1" x14ac:dyDescent="0.2">
      <c r="S331" s="69">
        <f>_xlfn.XLOOKUP(Results!A331,Geometry!$B$6:$B$10000,Geometry!$C$6:$C$10000)</f>
        <v>0</v>
      </c>
      <c r="T331" s="69"/>
      <c r="U331" s="69"/>
    </row>
    <row r="332" spans="19:21" ht="15" customHeight="1" x14ac:dyDescent="0.2">
      <c r="S332" s="69">
        <f>_xlfn.XLOOKUP(Results!A332,Geometry!$B$6:$B$10000,Geometry!$C$6:$C$10000)</f>
        <v>0</v>
      </c>
      <c r="T332" s="69"/>
      <c r="U332" s="69"/>
    </row>
    <row r="333" spans="19:21" ht="15" customHeight="1" x14ac:dyDescent="0.2">
      <c r="S333" s="69">
        <f>_xlfn.XLOOKUP(Results!A333,Geometry!$B$6:$B$10000,Geometry!$C$6:$C$10000)</f>
        <v>0</v>
      </c>
      <c r="T333" s="69"/>
      <c r="U333" s="69"/>
    </row>
    <row r="334" spans="19:21" ht="15" customHeight="1" x14ac:dyDescent="0.2">
      <c r="S334" s="69">
        <f>_xlfn.XLOOKUP(Results!A334,Geometry!$B$6:$B$10000,Geometry!$C$6:$C$10000)</f>
        <v>0</v>
      </c>
      <c r="T334" s="69"/>
      <c r="U334" s="69"/>
    </row>
    <row r="335" spans="19:21" ht="15" customHeight="1" x14ac:dyDescent="0.2">
      <c r="S335" s="69">
        <f>_xlfn.XLOOKUP(Results!A335,Geometry!$B$6:$B$10000,Geometry!$C$6:$C$10000)</f>
        <v>0</v>
      </c>
      <c r="T335" s="69"/>
      <c r="U335" s="69"/>
    </row>
    <row r="336" spans="19:21" ht="15" customHeight="1" x14ac:dyDescent="0.2">
      <c r="S336" s="69">
        <f>_xlfn.XLOOKUP(Results!A336,Geometry!$B$6:$B$10000,Geometry!$C$6:$C$10000)</f>
        <v>0</v>
      </c>
      <c r="T336" s="69"/>
      <c r="U336" s="69"/>
    </row>
    <row r="337" spans="19:21" ht="15" customHeight="1" x14ac:dyDescent="0.2">
      <c r="S337" s="69">
        <f>_xlfn.XLOOKUP(Results!A337,Geometry!$B$6:$B$10000,Geometry!$C$6:$C$10000)</f>
        <v>0</v>
      </c>
      <c r="T337" s="69"/>
      <c r="U337" s="69"/>
    </row>
    <row r="338" spans="19:21" ht="15" customHeight="1" x14ac:dyDescent="0.2">
      <c r="S338" s="69">
        <f>_xlfn.XLOOKUP(Results!A338,Geometry!$B$6:$B$10000,Geometry!$C$6:$C$10000)</f>
        <v>0</v>
      </c>
      <c r="T338" s="69"/>
      <c r="U338" s="69"/>
    </row>
    <row r="339" spans="19:21" ht="15" customHeight="1" x14ac:dyDescent="0.2">
      <c r="S339" s="69">
        <f>_xlfn.XLOOKUP(Results!A339,Geometry!$B$6:$B$10000,Geometry!$C$6:$C$10000)</f>
        <v>0</v>
      </c>
      <c r="T339" s="69"/>
      <c r="U339" s="69"/>
    </row>
    <row r="340" spans="19:21" ht="15" customHeight="1" x14ac:dyDescent="0.2">
      <c r="S340" s="69">
        <f>_xlfn.XLOOKUP(Results!A340,Geometry!$B$6:$B$10000,Geometry!$C$6:$C$10000)</f>
        <v>0</v>
      </c>
      <c r="T340" s="69"/>
      <c r="U340" s="69"/>
    </row>
    <row r="341" spans="19:21" ht="15" customHeight="1" x14ac:dyDescent="0.2">
      <c r="S341" s="69">
        <f>_xlfn.XLOOKUP(Results!A341,Geometry!$B$6:$B$10000,Geometry!$C$6:$C$10000)</f>
        <v>0</v>
      </c>
      <c r="T341" s="69"/>
      <c r="U341" s="69"/>
    </row>
    <row r="342" spans="19:21" ht="15" customHeight="1" x14ac:dyDescent="0.2">
      <c r="S342" s="69">
        <f>_xlfn.XLOOKUP(Results!A342,Geometry!$B$6:$B$10000,Geometry!$C$6:$C$10000)</f>
        <v>0</v>
      </c>
      <c r="T342" s="69"/>
      <c r="U342" s="69"/>
    </row>
    <row r="343" spans="19:21" ht="15" customHeight="1" x14ac:dyDescent="0.2">
      <c r="S343" s="69">
        <f>_xlfn.XLOOKUP(Results!A343,Geometry!$B$6:$B$10000,Geometry!$C$6:$C$10000)</f>
        <v>0</v>
      </c>
      <c r="T343" s="69"/>
      <c r="U343" s="69"/>
    </row>
    <row r="344" spans="19:21" ht="15" customHeight="1" x14ac:dyDescent="0.2">
      <c r="S344" s="69">
        <f>_xlfn.XLOOKUP(Results!A344,Geometry!$B$6:$B$10000,Geometry!$C$6:$C$10000)</f>
        <v>0</v>
      </c>
      <c r="T344" s="69"/>
      <c r="U344" s="69"/>
    </row>
    <row r="345" spans="19:21" ht="15" customHeight="1" x14ac:dyDescent="0.2">
      <c r="S345" s="69">
        <f>_xlfn.XLOOKUP(Results!A345,Geometry!$B$6:$B$10000,Geometry!$C$6:$C$10000)</f>
        <v>0</v>
      </c>
      <c r="T345" s="69"/>
      <c r="U345" s="69"/>
    </row>
    <row r="346" spans="19:21" ht="15" customHeight="1" x14ac:dyDescent="0.2">
      <c r="S346" s="69">
        <f>_xlfn.XLOOKUP(Results!A346,Geometry!$B$6:$B$10000,Geometry!$C$6:$C$10000)</f>
        <v>0</v>
      </c>
      <c r="T346" s="69"/>
      <c r="U346" s="69"/>
    </row>
    <row r="347" spans="19:21" ht="15" customHeight="1" x14ac:dyDescent="0.2">
      <c r="S347" s="69">
        <f>_xlfn.XLOOKUP(Results!A347,Geometry!$B$6:$B$10000,Geometry!$C$6:$C$10000)</f>
        <v>0</v>
      </c>
      <c r="T347" s="69"/>
      <c r="U347" s="69"/>
    </row>
    <row r="348" spans="19:21" ht="15" customHeight="1" x14ac:dyDescent="0.2">
      <c r="S348" s="69">
        <f>_xlfn.XLOOKUP(Results!A348,Geometry!$B$6:$B$10000,Geometry!$C$6:$C$10000)</f>
        <v>0</v>
      </c>
      <c r="T348" s="69"/>
      <c r="U348" s="69"/>
    </row>
    <row r="349" spans="19:21" ht="15" customHeight="1" x14ac:dyDescent="0.2">
      <c r="S349" s="69">
        <f>_xlfn.XLOOKUP(Results!A349,Geometry!$B$6:$B$10000,Geometry!$C$6:$C$10000)</f>
        <v>0</v>
      </c>
      <c r="T349" s="69"/>
      <c r="U349" s="69"/>
    </row>
    <row r="350" spans="19:21" ht="15" customHeight="1" x14ac:dyDescent="0.2">
      <c r="S350" s="69">
        <f>_xlfn.XLOOKUP(Results!A350,Geometry!$B$6:$B$10000,Geometry!$C$6:$C$10000)</f>
        <v>0</v>
      </c>
      <c r="T350" s="69"/>
      <c r="U350" s="69"/>
    </row>
    <row r="351" spans="19:21" ht="15" customHeight="1" x14ac:dyDescent="0.2">
      <c r="S351" s="69">
        <f>_xlfn.XLOOKUP(Results!A351,Geometry!$B$6:$B$10000,Geometry!$C$6:$C$10000)</f>
        <v>0</v>
      </c>
      <c r="T351" s="69"/>
      <c r="U351" s="69"/>
    </row>
    <row r="352" spans="19:21" ht="15" customHeight="1" x14ac:dyDescent="0.2">
      <c r="S352" s="69">
        <f>_xlfn.XLOOKUP(Results!A352,Geometry!$B$6:$B$10000,Geometry!$C$6:$C$10000)</f>
        <v>0</v>
      </c>
      <c r="T352" s="69"/>
      <c r="U352" s="69"/>
    </row>
    <row r="353" spans="19:21" ht="15" customHeight="1" x14ac:dyDescent="0.2">
      <c r="S353" s="69">
        <f>_xlfn.XLOOKUP(Results!A353,Geometry!$B$6:$B$10000,Geometry!$C$6:$C$10000)</f>
        <v>0</v>
      </c>
      <c r="T353" s="69"/>
      <c r="U353" s="69"/>
    </row>
    <row r="354" spans="19:21" ht="15" customHeight="1" x14ac:dyDescent="0.2">
      <c r="S354" s="69">
        <f>_xlfn.XLOOKUP(Results!A354,Geometry!$B$6:$B$10000,Geometry!$C$6:$C$10000)</f>
        <v>0</v>
      </c>
      <c r="T354" s="69"/>
      <c r="U354" s="69"/>
    </row>
    <row r="355" spans="19:21" ht="15" customHeight="1" x14ac:dyDescent="0.2">
      <c r="S355" s="69">
        <f>_xlfn.XLOOKUP(Results!A355,Geometry!$B$6:$B$10000,Geometry!$C$6:$C$10000)</f>
        <v>0</v>
      </c>
      <c r="T355" s="69"/>
      <c r="U355" s="69"/>
    </row>
    <row r="356" spans="19:21" ht="15" customHeight="1" x14ac:dyDescent="0.2">
      <c r="S356" s="69">
        <f>_xlfn.XLOOKUP(Results!A356,Geometry!$B$6:$B$10000,Geometry!$C$6:$C$10000)</f>
        <v>0</v>
      </c>
      <c r="T356" s="69"/>
      <c r="U356" s="69"/>
    </row>
    <row r="357" spans="19:21" ht="15" customHeight="1" x14ac:dyDescent="0.2">
      <c r="S357" s="69">
        <f>_xlfn.XLOOKUP(Results!A357,Geometry!$B$6:$B$10000,Geometry!$C$6:$C$10000)</f>
        <v>0</v>
      </c>
      <c r="T357" s="69"/>
      <c r="U357" s="69"/>
    </row>
    <row r="358" spans="19:21" ht="15" customHeight="1" x14ac:dyDescent="0.2">
      <c r="S358" s="69">
        <f>_xlfn.XLOOKUP(Results!A358,Geometry!$B$6:$B$10000,Geometry!$C$6:$C$10000)</f>
        <v>0</v>
      </c>
      <c r="T358" s="69"/>
      <c r="U358" s="69"/>
    </row>
    <row r="359" spans="19:21" ht="15" customHeight="1" x14ac:dyDescent="0.2">
      <c r="S359" s="69">
        <f>_xlfn.XLOOKUP(Results!A359,Geometry!$B$6:$B$10000,Geometry!$C$6:$C$10000)</f>
        <v>0</v>
      </c>
      <c r="T359" s="69"/>
      <c r="U359" s="69"/>
    </row>
    <row r="360" spans="19:21" ht="15" customHeight="1" x14ac:dyDescent="0.2">
      <c r="S360" s="69">
        <f>_xlfn.XLOOKUP(Results!A360,Geometry!$B$6:$B$10000,Geometry!$C$6:$C$10000)</f>
        <v>0</v>
      </c>
      <c r="T360" s="69"/>
      <c r="U360" s="69"/>
    </row>
    <row r="361" spans="19:21" ht="15" customHeight="1" x14ac:dyDescent="0.2">
      <c r="S361" s="69">
        <f>_xlfn.XLOOKUP(Results!A361,Geometry!$B$6:$B$10000,Geometry!$C$6:$C$10000)</f>
        <v>0</v>
      </c>
      <c r="T361" s="69"/>
      <c r="U361" s="69"/>
    </row>
    <row r="362" spans="19:21" ht="15" customHeight="1" x14ac:dyDescent="0.2">
      <c r="S362" s="69">
        <f>_xlfn.XLOOKUP(Results!A362,Geometry!$B$6:$B$10000,Geometry!$C$6:$C$10000)</f>
        <v>0</v>
      </c>
      <c r="T362" s="69"/>
      <c r="U362" s="69"/>
    </row>
    <row r="363" spans="19:21" ht="15" customHeight="1" x14ac:dyDescent="0.2">
      <c r="S363" s="69">
        <f>_xlfn.XLOOKUP(Results!A363,Geometry!$B$6:$B$10000,Geometry!$C$6:$C$10000)</f>
        <v>0</v>
      </c>
      <c r="T363" s="69"/>
      <c r="U363" s="69"/>
    </row>
    <row r="364" spans="19:21" ht="15" customHeight="1" x14ac:dyDescent="0.2">
      <c r="S364" s="69">
        <f>_xlfn.XLOOKUP(Results!A364,Geometry!$B$6:$B$10000,Geometry!$C$6:$C$10000)</f>
        <v>0</v>
      </c>
      <c r="T364" s="69"/>
      <c r="U364" s="69"/>
    </row>
    <row r="365" spans="19:21" ht="15" customHeight="1" x14ac:dyDescent="0.2">
      <c r="S365" s="69">
        <f>_xlfn.XLOOKUP(Results!A365,Geometry!$B$6:$B$10000,Geometry!$C$6:$C$10000)</f>
        <v>0</v>
      </c>
      <c r="T365" s="69"/>
      <c r="U365" s="69"/>
    </row>
    <row r="366" spans="19:21" ht="15" customHeight="1" x14ac:dyDescent="0.2">
      <c r="S366" s="69">
        <f>_xlfn.XLOOKUP(Results!A366,Geometry!$B$6:$B$10000,Geometry!$C$6:$C$10000)</f>
        <v>0</v>
      </c>
      <c r="T366" s="69"/>
      <c r="U366" s="69"/>
    </row>
    <row r="367" spans="19:21" ht="15" customHeight="1" x14ac:dyDescent="0.2">
      <c r="S367" s="69">
        <f>_xlfn.XLOOKUP(Results!A367,Geometry!$B$6:$B$10000,Geometry!$C$6:$C$10000)</f>
        <v>0</v>
      </c>
      <c r="T367" s="69"/>
      <c r="U367" s="69"/>
    </row>
    <row r="368" spans="19:21" ht="15" customHeight="1" x14ac:dyDescent="0.2">
      <c r="S368" s="69">
        <f>_xlfn.XLOOKUP(Results!A368,Geometry!$B$6:$B$10000,Geometry!$C$6:$C$10000)</f>
        <v>0</v>
      </c>
      <c r="T368" s="69"/>
      <c r="U368" s="69"/>
    </row>
    <row r="369" spans="19:21" ht="15" customHeight="1" x14ac:dyDescent="0.2">
      <c r="S369" s="69">
        <f>_xlfn.XLOOKUP(Results!A369,Geometry!$B$6:$B$10000,Geometry!$C$6:$C$10000)</f>
        <v>0</v>
      </c>
      <c r="T369" s="69"/>
      <c r="U369" s="69"/>
    </row>
    <row r="370" spans="19:21" ht="15" customHeight="1" x14ac:dyDescent="0.2">
      <c r="S370" s="69">
        <f>_xlfn.XLOOKUP(Results!A370,Geometry!$B$6:$B$10000,Geometry!$C$6:$C$10000)</f>
        <v>0</v>
      </c>
      <c r="T370" s="69"/>
      <c r="U370" s="69"/>
    </row>
    <row r="371" spans="19:21" ht="15" customHeight="1" x14ac:dyDescent="0.2">
      <c r="S371" s="69">
        <f>_xlfn.XLOOKUP(Results!A371,Geometry!$B$6:$B$10000,Geometry!$C$6:$C$10000)</f>
        <v>0</v>
      </c>
      <c r="T371" s="69"/>
      <c r="U371" s="69"/>
    </row>
    <row r="372" spans="19:21" ht="15" customHeight="1" x14ac:dyDescent="0.2">
      <c r="S372" s="69">
        <f>_xlfn.XLOOKUP(Results!A372,Geometry!$B$6:$B$10000,Geometry!$C$6:$C$10000)</f>
        <v>0</v>
      </c>
      <c r="T372" s="69"/>
      <c r="U372" s="69"/>
    </row>
    <row r="373" spans="19:21" ht="15" customHeight="1" x14ac:dyDescent="0.2">
      <c r="S373" s="69">
        <f>_xlfn.XLOOKUP(Results!A373,Geometry!$B$6:$B$10000,Geometry!$C$6:$C$10000)</f>
        <v>0</v>
      </c>
      <c r="T373" s="69"/>
      <c r="U373" s="69"/>
    </row>
    <row r="374" spans="19:21" ht="15" customHeight="1" x14ac:dyDescent="0.2">
      <c r="S374" s="69">
        <f>_xlfn.XLOOKUP(Results!A374,Geometry!$B$6:$B$10000,Geometry!$C$6:$C$10000)</f>
        <v>0</v>
      </c>
      <c r="T374" s="69"/>
      <c r="U374" s="69"/>
    </row>
    <row r="375" spans="19:21" ht="15" customHeight="1" x14ac:dyDescent="0.2">
      <c r="S375" s="69">
        <f>_xlfn.XLOOKUP(Results!A375,Geometry!$B$6:$B$10000,Geometry!$C$6:$C$10000)</f>
        <v>0</v>
      </c>
      <c r="T375" s="69"/>
      <c r="U375" s="69"/>
    </row>
    <row r="376" spans="19:21" ht="15" customHeight="1" x14ac:dyDescent="0.2">
      <c r="S376" s="69">
        <f>_xlfn.XLOOKUP(Results!A376,Geometry!$B$6:$B$10000,Geometry!$C$6:$C$10000)</f>
        <v>0</v>
      </c>
      <c r="T376" s="69"/>
      <c r="U376" s="69"/>
    </row>
    <row r="377" spans="19:21" ht="15" customHeight="1" x14ac:dyDescent="0.2">
      <c r="S377" s="69">
        <f>_xlfn.XLOOKUP(Results!A377,Geometry!$B$6:$B$10000,Geometry!$C$6:$C$10000)</f>
        <v>0</v>
      </c>
      <c r="T377" s="69"/>
      <c r="U377" s="69"/>
    </row>
    <row r="378" spans="19:21" ht="15" customHeight="1" x14ac:dyDescent="0.2">
      <c r="S378" s="69">
        <f>_xlfn.XLOOKUP(Results!A378,Geometry!$B$6:$B$10000,Geometry!$C$6:$C$10000)</f>
        <v>0</v>
      </c>
      <c r="T378" s="69"/>
      <c r="U378" s="69"/>
    </row>
    <row r="379" spans="19:21" ht="15" customHeight="1" x14ac:dyDescent="0.2">
      <c r="S379" s="69">
        <f>_xlfn.XLOOKUP(Results!A379,Geometry!$B$6:$B$10000,Geometry!$C$6:$C$10000)</f>
        <v>0</v>
      </c>
      <c r="T379" s="69"/>
      <c r="U379" s="69"/>
    </row>
    <row r="380" spans="19:21" ht="15" customHeight="1" x14ac:dyDescent="0.2">
      <c r="S380" s="69">
        <f>_xlfn.XLOOKUP(Results!A380,Geometry!$B$6:$B$10000,Geometry!$C$6:$C$10000)</f>
        <v>0</v>
      </c>
      <c r="T380" s="69"/>
      <c r="U380" s="69"/>
    </row>
    <row r="381" spans="19:21" ht="15" customHeight="1" x14ac:dyDescent="0.2">
      <c r="S381" s="69">
        <f>_xlfn.XLOOKUP(Results!A381,Geometry!$B$6:$B$10000,Geometry!$C$6:$C$10000)</f>
        <v>0</v>
      </c>
      <c r="T381" s="69"/>
      <c r="U381" s="69"/>
    </row>
    <row r="382" spans="19:21" ht="15" customHeight="1" x14ac:dyDescent="0.2">
      <c r="S382" s="69">
        <f>_xlfn.XLOOKUP(Results!A382,Geometry!$B$6:$B$10000,Geometry!$C$6:$C$10000)</f>
        <v>0</v>
      </c>
      <c r="T382" s="69"/>
      <c r="U382" s="69"/>
    </row>
    <row r="383" spans="19:21" ht="15" customHeight="1" x14ac:dyDescent="0.2">
      <c r="S383" s="69">
        <f>_xlfn.XLOOKUP(Results!A383,Geometry!$B$6:$B$10000,Geometry!$C$6:$C$10000)</f>
        <v>0</v>
      </c>
      <c r="T383" s="69"/>
      <c r="U383" s="69"/>
    </row>
    <row r="384" spans="19:21" ht="15" customHeight="1" x14ac:dyDescent="0.2">
      <c r="S384" s="69">
        <f>_xlfn.XLOOKUP(Results!A384,Geometry!$B$6:$B$10000,Geometry!$C$6:$C$10000)</f>
        <v>0</v>
      </c>
      <c r="T384" s="69"/>
      <c r="U384" s="69"/>
    </row>
    <row r="385" spans="19:21" ht="15" customHeight="1" x14ac:dyDescent="0.2">
      <c r="S385" s="69">
        <f>_xlfn.XLOOKUP(Results!A385,Geometry!$B$6:$B$10000,Geometry!$C$6:$C$10000)</f>
        <v>0</v>
      </c>
      <c r="T385" s="69"/>
      <c r="U385" s="69"/>
    </row>
    <row r="386" spans="19:21" ht="15" customHeight="1" x14ac:dyDescent="0.2">
      <c r="S386" s="69">
        <f>_xlfn.XLOOKUP(Results!A386,Geometry!$B$6:$B$10000,Geometry!$C$6:$C$10000)</f>
        <v>0</v>
      </c>
      <c r="T386" s="69"/>
      <c r="U386" s="69"/>
    </row>
    <row r="387" spans="19:21" ht="15" customHeight="1" x14ac:dyDescent="0.2">
      <c r="S387" s="69">
        <f>_xlfn.XLOOKUP(Results!A387,Geometry!$B$6:$B$10000,Geometry!$C$6:$C$10000)</f>
        <v>0</v>
      </c>
      <c r="T387" s="69"/>
      <c r="U387" s="69"/>
    </row>
    <row r="388" spans="19:21" ht="15" customHeight="1" x14ac:dyDescent="0.2">
      <c r="S388" s="69">
        <f>_xlfn.XLOOKUP(Results!A388,Geometry!$B$6:$B$10000,Geometry!$C$6:$C$10000)</f>
        <v>0</v>
      </c>
      <c r="T388" s="69"/>
      <c r="U388" s="69"/>
    </row>
    <row r="389" spans="19:21" ht="15" customHeight="1" x14ac:dyDescent="0.2">
      <c r="S389" s="69">
        <f>_xlfn.XLOOKUP(Results!A389,Geometry!$B$6:$B$10000,Geometry!$C$6:$C$10000)</f>
        <v>0</v>
      </c>
      <c r="T389" s="69"/>
      <c r="U389" s="69"/>
    </row>
    <row r="390" spans="19:21" ht="15" customHeight="1" x14ac:dyDescent="0.2">
      <c r="S390" s="69">
        <f>_xlfn.XLOOKUP(Results!A390,Geometry!$B$6:$B$10000,Geometry!$C$6:$C$10000)</f>
        <v>0</v>
      </c>
      <c r="T390" s="69"/>
      <c r="U390" s="69"/>
    </row>
    <row r="391" spans="19:21" ht="15" customHeight="1" x14ac:dyDescent="0.2">
      <c r="S391" s="69">
        <f>_xlfn.XLOOKUP(Results!A391,Geometry!$B$6:$B$10000,Geometry!$C$6:$C$10000)</f>
        <v>0</v>
      </c>
      <c r="T391" s="69"/>
      <c r="U391" s="69"/>
    </row>
    <row r="392" spans="19:21" ht="15" customHeight="1" x14ac:dyDescent="0.2">
      <c r="S392" s="69">
        <f>_xlfn.XLOOKUP(Results!A392,Geometry!$B$6:$B$10000,Geometry!$C$6:$C$10000)</f>
        <v>0</v>
      </c>
      <c r="T392" s="69"/>
      <c r="U392" s="69"/>
    </row>
    <row r="393" spans="19:21" ht="15" customHeight="1" x14ac:dyDescent="0.2">
      <c r="S393" s="69">
        <f>_xlfn.XLOOKUP(Results!A393,Geometry!$B$6:$B$10000,Geometry!$C$6:$C$10000)</f>
        <v>0</v>
      </c>
      <c r="T393" s="69"/>
      <c r="U393" s="69"/>
    </row>
    <row r="394" spans="19:21" ht="15" customHeight="1" x14ac:dyDescent="0.2">
      <c r="S394" s="69">
        <f>_xlfn.XLOOKUP(Results!A394,Geometry!$B$6:$B$10000,Geometry!$C$6:$C$10000)</f>
        <v>0</v>
      </c>
      <c r="T394" s="69"/>
      <c r="U394" s="69"/>
    </row>
    <row r="395" spans="19:21" ht="15" customHeight="1" x14ac:dyDescent="0.2">
      <c r="S395" s="69">
        <f>_xlfn.XLOOKUP(Results!A395,Geometry!$B$6:$B$10000,Geometry!$C$6:$C$10000)</f>
        <v>0</v>
      </c>
      <c r="T395" s="69"/>
      <c r="U395" s="69"/>
    </row>
    <row r="396" spans="19:21" ht="15" customHeight="1" x14ac:dyDescent="0.2">
      <c r="S396" s="69">
        <f>_xlfn.XLOOKUP(Results!A396,Geometry!$B$6:$B$10000,Geometry!$C$6:$C$10000)</f>
        <v>0</v>
      </c>
      <c r="T396" s="69"/>
      <c r="U396" s="69"/>
    </row>
    <row r="397" spans="19:21" ht="15" customHeight="1" x14ac:dyDescent="0.2">
      <c r="S397" s="69">
        <f>_xlfn.XLOOKUP(Results!A397,Geometry!$B$6:$B$10000,Geometry!$C$6:$C$10000)</f>
        <v>0</v>
      </c>
      <c r="T397" s="69"/>
      <c r="U397" s="69"/>
    </row>
    <row r="398" spans="19:21" ht="15" customHeight="1" x14ac:dyDescent="0.2">
      <c r="S398" s="69">
        <f>_xlfn.XLOOKUP(Results!A398,Geometry!$B$6:$B$10000,Geometry!$C$6:$C$10000)</f>
        <v>0</v>
      </c>
      <c r="T398" s="69"/>
      <c r="U398" s="69"/>
    </row>
    <row r="399" spans="19:21" ht="15" customHeight="1" x14ac:dyDescent="0.2">
      <c r="S399" s="69">
        <f>_xlfn.XLOOKUP(Results!A399,Geometry!$B$6:$B$10000,Geometry!$C$6:$C$10000)</f>
        <v>0</v>
      </c>
      <c r="T399" s="69"/>
      <c r="U399" s="69"/>
    </row>
    <row r="400" spans="19:21" ht="15" customHeight="1" x14ac:dyDescent="0.2">
      <c r="S400" s="69">
        <f>_xlfn.XLOOKUP(Results!A400,Geometry!$B$6:$B$10000,Geometry!$C$6:$C$10000)</f>
        <v>0</v>
      </c>
      <c r="T400" s="69"/>
      <c r="U400" s="69"/>
    </row>
    <row r="401" spans="19:21" ht="15" customHeight="1" x14ac:dyDescent="0.2">
      <c r="S401" s="69">
        <f>_xlfn.XLOOKUP(Results!A401,Geometry!$B$6:$B$10000,Geometry!$C$6:$C$10000)</f>
        <v>0</v>
      </c>
      <c r="T401" s="69"/>
      <c r="U401" s="69"/>
    </row>
    <row r="402" spans="19:21" ht="15" customHeight="1" x14ac:dyDescent="0.2">
      <c r="S402" s="69">
        <f>_xlfn.XLOOKUP(Results!A402,Geometry!$B$6:$B$10000,Geometry!$C$6:$C$10000)</f>
        <v>0</v>
      </c>
      <c r="T402" s="69"/>
      <c r="U402" s="69"/>
    </row>
    <row r="403" spans="19:21" ht="15" customHeight="1" x14ac:dyDescent="0.2">
      <c r="S403" s="69">
        <f>_xlfn.XLOOKUP(Results!A403,Geometry!$B$6:$B$10000,Geometry!$C$6:$C$10000)</f>
        <v>0</v>
      </c>
      <c r="T403" s="69"/>
      <c r="U403" s="69"/>
    </row>
    <row r="404" spans="19:21" ht="15" customHeight="1" x14ac:dyDescent="0.2">
      <c r="S404" s="69">
        <f>_xlfn.XLOOKUP(Results!A404,Geometry!$B$6:$B$10000,Geometry!$C$6:$C$10000)</f>
        <v>0</v>
      </c>
      <c r="T404" s="69"/>
      <c r="U404" s="69"/>
    </row>
    <row r="405" spans="19:21" ht="15" customHeight="1" x14ac:dyDescent="0.2">
      <c r="S405" s="69">
        <f>_xlfn.XLOOKUP(Results!A405,Geometry!$B$6:$B$10000,Geometry!$C$6:$C$10000)</f>
        <v>0</v>
      </c>
      <c r="T405" s="69"/>
      <c r="U405" s="69"/>
    </row>
    <row r="406" spans="19:21" ht="15" customHeight="1" x14ac:dyDescent="0.2">
      <c r="S406" s="69">
        <f>_xlfn.XLOOKUP(Results!A406,Geometry!$B$6:$B$10000,Geometry!$C$6:$C$10000)</f>
        <v>0</v>
      </c>
      <c r="T406" s="69"/>
      <c r="U406" s="69"/>
    </row>
    <row r="407" spans="19:21" ht="15" customHeight="1" x14ac:dyDescent="0.2">
      <c r="S407" s="69">
        <f>_xlfn.XLOOKUP(Results!A407,Geometry!$B$6:$B$10000,Geometry!$C$6:$C$10000)</f>
        <v>0</v>
      </c>
      <c r="T407" s="69"/>
      <c r="U407" s="69"/>
    </row>
    <row r="408" spans="19:21" ht="15" customHeight="1" x14ac:dyDescent="0.2">
      <c r="S408" s="69">
        <f>_xlfn.XLOOKUP(Results!A408,Geometry!$B$6:$B$10000,Geometry!$C$6:$C$10000)</f>
        <v>0</v>
      </c>
      <c r="T408" s="69"/>
      <c r="U408" s="69"/>
    </row>
    <row r="409" spans="19:21" ht="15" customHeight="1" x14ac:dyDescent="0.2">
      <c r="S409" s="69">
        <f>_xlfn.XLOOKUP(Results!A409,Geometry!$B$6:$B$10000,Geometry!$C$6:$C$10000)</f>
        <v>0</v>
      </c>
      <c r="T409" s="69"/>
      <c r="U409" s="69"/>
    </row>
    <row r="410" spans="19:21" ht="15" customHeight="1" x14ac:dyDescent="0.2">
      <c r="S410" s="69">
        <f>_xlfn.XLOOKUP(Results!A410,Geometry!$B$6:$B$10000,Geometry!$C$6:$C$10000)</f>
        <v>0</v>
      </c>
      <c r="T410" s="69"/>
      <c r="U410" s="69"/>
    </row>
    <row r="411" spans="19:21" ht="15" customHeight="1" x14ac:dyDescent="0.2">
      <c r="S411" s="69">
        <f>_xlfn.XLOOKUP(Results!A411,Geometry!$B$6:$B$10000,Geometry!$C$6:$C$10000)</f>
        <v>0</v>
      </c>
      <c r="T411" s="69"/>
      <c r="U411" s="69"/>
    </row>
    <row r="412" spans="19:21" ht="15" customHeight="1" x14ac:dyDescent="0.2">
      <c r="S412" s="69">
        <f>_xlfn.XLOOKUP(Results!A412,Geometry!$B$6:$B$10000,Geometry!$C$6:$C$10000)</f>
        <v>0</v>
      </c>
      <c r="T412" s="69"/>
      <c r="U412" s="69"/>
    </row>
    <row r="413" spans="19:21" ht="15" customHeight="1" x14ac:dyDescent="0.2">
      <c r="S413" s="69">
        <f>_xlfn.XLOOKUP(Results!A413,Geometry!$B$6:$B$10000,Geometry!$C$6:$C$10000)</f>
        <v>0</v>
      </c>
      <c r="T413" s="69"/>
      <c r="U413" s="69"/>
    </row>
    <row r="414" spans="19:21" ht="15" customHeight="1" x14ac:dyDescent="0.2">
      <c r="S414" s="69">
        <f>_xlfn.XLOOKUP(Results!A414,Geometry!$B$6:$B$10000,Geometry!$C$6:$C$10000)</f>
        <v>0</v>
      </c>
      <c r="T414" s="69"/>
      <c r="U414" s="69"/>
    </row>
    <row r="415" spans="19:21" ht="15" customHeight="1" x14ac:dyDescent="0.2">
      <c r="S415" s="69">
        <f>_xlfn.XLOOKUP(Results!A415,Geometry!$B$6:$B$10000,Geometry!$C$6:$C$10000)</f>
        <v>0</v>
      </c>
      <c r="T415" s="69"/>
      <c r="U415" s="69"/>
    </row>
    <row r="416" spans="19:21" ht="15" customHeight="1" x14ac:dyDescent="0.2">
      <c r="S416" s="69">
        <f>_xlfn.XLOOKUP(Results!A416,Geometry!$B$6:$B$10000,Geometry!$C$6:$C$10000)</f>
        <v>0</v>
      </c>
      <c r="T416" s="69"/>
      <c r="U416" s="69"/>
    </row>
    <row r="417" spans="19:21" ht="15" customHeight="1" x14ac:dyDescent="0.2">
      <c r="S417" s="69">
        <f>_xlfn.XLOOKUP(Results!A417,Geometry!$B$6:$B$10000,Geometry!$C$6:$C$10000)</f>
        <v>0</v>
      </c>
      <c r="T417" s="69"/>
      <c r="U417" s="69"/>
    </row>
    <row r="418" spans="19:21" ht="15" customHeight="1" x14ac:dyDescent="0.2">
      <c r="S418" s="69">
        <f>_xlfn.XLOOKUP(Results!A418,Geometry!$B$6:$B$10000,Geometry!$C$6:$C$10000)</f>
        <v>0</v>
      </c>
      <c r="T418" s="69"/>
      <c r="U418" s="69"/>
    </row>
    <row r="419" spans="19:21" ht="15" customHeight="1" x14ac:dyDescent="0.2">
      <c r="S419" s="69">
        <f>_xlfn.XLOOKUP(Results!A419,Geometry!$B$6:$B$10000,Geometry!$C$6:$C$10000)</f>
        <v>0</v>
      </c>
      <c r="T419" s="69"/>
      <c r="U419" s="69"/>
    </row>
    <row r="420" spans="19:21" ht="15" customHeight="1" x14ac:dyDescent="0.2">
      <c r="S420" s="69">
        <f>_xlfn.XLOOKUP(Results!A420,Geometry!$B$6:$B$10000,Geometry!$C$6:$C$10000)</f>
        <v>0</v>
      </c>
      <c r="T420" s="69"/>
      <c r="U420" s="69"/>
    </row>
    <row r="421" spans="19:21" ht="15" customHeight="1" x14ac:dyDescent="0.2">
      <c r="S421" s="69">
        <f>_xlfn.XLOOKUP(Results!A421,Geometry!$B$6:$B$10000,Geometry!$C$6:$C$10000)</f>
        <v>0</v>
      </c>
      <c r="T421" s="69"/>
      <c r="U421" s="69"/>
    </row>
    <row r="422" spans="19:21" ht="15" customHeight="1" x14ac:dyDescent="0.2">
      <c r="S422" s="69">
        <f>_xlfn.XLOOKUP(Results!A422,Geometry!$B$6:$B$10000,Geometry!$C$6:$C$10000)</f>
        <v>0</v>
      </c>
      <c r="T422" s="69"/>
      <c r="U422" s="69"/>
    </row>
    <row r="423" spans="19:21" ht="15" customHeight="1" x14ac:dyDescent="0.2">
      <c r="S423" s="69">
        <f>_xlfn.XLOOKUP(Results!A423,Geometry!$B$6:$B$10000,Geometry!$C$6:$C$10000)</f>
        <v>0</v>
      </c>
      <c r="T423" s="69"/>
      <c r="U423" s="69"/>
    </row>
    <row r="424" spans="19:21" ht="15" customHeight="1" x14ac:dyDescent="0.2">
      <c r="S424" s="69">
        <f>_xlfn.XLOOKUP(Results!A424,Geometry!$B$6:$B$10000,Geometry!$C$6:$C$10000)</f>
        <v>0</v>
      </c>
      <c r="T424" s="69"/>
      <c r="U424" s="69"/>
    </row>
    <row r="425" spans="19:21" ht="15" customHeight="1" x14ac:dyDescent="0.2">
      <c r="S425" s="69">
        <f>_xlfn.XLOOKUP(Results!A425,Geometry!$B$6:$B$10000,Geometry!$C$6:$C$10000)</f>
        <v>0</v>
      </c>
      <c r="T425" s="69"/>
      <c r="U425" s="69"/>
    </row>
    <row r="426" spans="19:21" ht="15" customHeight="1" x14ac:dyDescent="0.2">
      <c r="S426" s="69">
        <f>_xlfn.XLOOKUP(Results!A426,Geometry!$B$6:$B$10000,Geometry!$C$6:$C$10000)</f>
        <v>0</v>
      </c>
      <c r="T426" s="69"/>
      <c r="U426" s="69"/>
    </row>
    <row r="427" spans="19:21" ht="15" customHeight="1" x14ac:dyDescent="0.2">
      <c r="S427" s="69">
        <f>_xlfn.XLOOKUP(Results!A427,Geometry!$B$6:$B$10000,Geometry!$C$6:$C$10000)</f>
        <v>0</v>
      </c>
      <c r="T427" s="69"/>
      <c r="U427" s="69"/>
    </row>
    <row r="428" spans="19:21" ht="15" customHeight="1" x14ac:dyDescent="0.2">
      <c r="S428" s="69">
        <f>_xlfn.XLOOKUP(Results!A428,Geometry!$B$6:$B$10000,Geometry!$C$6:$C$10000)</f>
        <v>0</v>
      </c>
      <c r="T428" s="69"/>
      <c r="U428" s="69"/>
    </row>
    <row r="429" spans="19:21" ht="15" customHeight="1" x14ac:dyDescent="0.2">
      <c r="S429" s="69">
        <f>_xlfn.XLOOKUP(Results!A429,Geometry!$B$6:$B$10000,Geometry!$C$6:$C$10000)</f>
        <v>0</v>
      </c>
      <c r="T429" s="69"/>
      <c r="U429" s="69"/>
    </row>
    <row r="430" spans="19:21" ht="15" customHeight="1" x14ac:dyDescent="0.2">
      <c r="S430" s="69">
        <f>_xlfn.XLOOKUP(Results!A430,Geometry!$B$6:$B$10000,Geometry!$C$6:$C$10000)</f>
        <v>0</v>
      </c>
      <c r="T430" s="69"/>
      <c r="U430" s="69"/>
    </row>
    <row r="431" spans="19:21" ht="15" customHeight="1" x14ac:dyDescent="0.2">
      <c r="S431" s="69">
        <f>_xlfn.XLOOKUP(Results!A431,Geometry!$B$6:$B$10000,Geometry!$C$6:$C$10000)</f>
        <v>0</v>
      </c>
      <c r="T431" s="69"/>
      <c r="U431" s="69"/>
    </row>
    <row r="432" spans="19:21" ht="15" customHeight="1" x14ac:dyDescent="0.2">
      <c r="S432" s="69">
        <f>_xlfn.XLOOKUP(Results!A432,Geometry!$B$6:$B$10000,Geometry!$C$6:$C$10000)</f>
        <v>0</v>
      </c>
      <c r="T432" s="69"/>
      <c r="U432" s="69"/>
    </row>
    <row r="433" spans="19:21" ht="15" customHeight="1" x14ac:dyDescent="0.2">
      <c r="S433" s="69">
        <f>_xlfn.XLOOKUP(Results!A433,Geometry!$B$6:$B$10000,Geometry!$C$6:$C$10000)</f>
        <v>0</v>
      </c>
      <c r="T433" s="69"/>
      <c r="U433" s="69"/>
    </row>
    <row r="434" spans="19:21" ht="15" customHeight="1" x14ac:dyDescent="0.2">
      <c r="S434" s="69">
        <f>_xlfn.XLOOKUP(Results!A434,Geometry!$B$6:$B$10000,Geometry!$C$6:$C$10000)</f>
        <v>0</v>
      </c>
      <c r="T434" s="69"/>
      <c r="U434" s="69"/>
    </row>
    <row r="435" spans="19:21" ht="15" customHeight="1" x14ac:dyDescent="0.2">
      <c r="S435" s="69">
        <f>_xlfn.XLOOKUP(Results!A435,Geometry!$B$6:$B$10000,Geometry!$C$6:$C$10000)</f>
        <v>0</v>
      </c>
      <c r="T435" s="69"/>
      <c r="U435" s="69"/>
    </row>
    <row r="436" spans="19:21" ht="15" customHeight="1" x14ac:dyDescent="0.2">
      <c r="S436" s="69">
        <f>_xlfn.XLOOKUP(Results!A436,Geometry!$B$6:$B$10000,Geometry!$C$6:$C$10000)</f>
        <v>0</v>
      </c>
      <c r="T436" s="69"/>
      <c r="U436" s="69"/>
    </row>
    <row r="437" spans="19:21" ht="15" customHeight="1" x14ac:dyDescent="0.2">
      <c r="S437" s="69">
        <f>_xlfn.XLOOKUP(Results!A437,Geometry!$B$6:$B$10000,Geometry!$C$6:$C$10000)</f>
        <v>0</v>
      </c>
      <c r="T437" s="69"/>
      <c r="U437" s="69"/>
    </row>
    <row r="438" spans="19:21" ht="15" customHeight="1" x14ac:dyDescent="0.2">
      <c r="S438" s="69">
        <f>_xlfn.XLOOKUP(Results!A438,Geometry!$B$6:$B$10000,Geometry!$C$6:$C$10000)</f>
        <v>0</v>
      </c>
      <c r="T438" s="69"/>
      <c r="U438" s="69"/>
    </row>
    <row r="439" spans="19:21" ht="15" customHeight="1" x14ac:dyDescent="0.2">
      <c r="S439" s="69">
        <f>_xlfn.XLOOKUP(Results!A439,Geometry!$B$6:$B$10000,Geometry!$C$6:$C$10000)</f>
        <v>0</v>
      </c>
      <c r="T439" s="69"/>
      <c r="U439" s="69"/>
    </row>
    <row r="440" spans="19:21" ht="15" customHeight="1" x14ac:dyDescent="0.2">
      <c r="S440" s="69">
        <f>_xlfn.XLOOKUP(Results!A440,Geometry!$B$6:$B$10000,Geometry!$C$6:$C$10000)</f>
        <v>0</v>
      </c>
      <c r="T440" s="69"/>
      <c r="U440" s="69"/>
    </row>
    <row r="441" spans="19:21" ht="15" customHeight="1" x14ac:dyDescent="0.2">
      <c r="S441" s="69">
        <f>_xlfn.XLOOKUP(Results!A441,Geometry!$B$6:$B$10000,Geometry!$C$6:$C$10000)</f>
        <v>0</v>
      </c>
      <c r="T441" s="69"/>
      <c r="U441" s="69"/>
    </row>
    <row r="442" spans="19:21" ht="15" customHeight="1" x14ac:dyDescent="0.2">
      <c r="S442" s="69">
        <f>_xlfn.XLOOKUP(Results!A442,Geometry!$B$6:$B$10000,Geometry!$C$6:$C$10000)</f>
        <v>0</v>
      </c>
      <c r="T442" s="69"/>
      <c r="U442" s="69"/>
    </row>
    <row r="443" spans="19:21" ht="15" customHeight="1" x14ac:dyDescent="0.2">
      <c r="S443" s="69">
        <f>_xlfn.XLOOKUP(Results!A443,Geometry!$B$6:$B$10000,Geometry!$C$6:$C$10000)</f>
        <v>0</v>
      </c>
      <c r="T443" s="69"/>
      <c r="U443" s="69"/>
    </row>
    <row r="444" spans="19:21" ht="15" customHeight="1" x14ac:dyDescent="0.2">
      <c r="S444" s="69">
        <f>_xlfn.XLOOKUP(Results!A444,Geometry!$B$6:$B$10000,Geometry!$C$6:$C$10000)</f>
        <v>0</v>
      </c>
      <c r="T444" s="69"/>
      <c r="U444" s="69"/>
    </row>
    <row r="445" spans="19:21" ht="15" customHeight="1" x14ac:dyDescent="0.2">
      <c r="S445" s="69">
        <f>_xlfn.XLOOKUP(Results!A445,Geometry!$B$6:$B$10000,Geometry!$C$6:$C$10000)</f>
        <v>0</v>
      </c>
      <c r="T445" s="69"/>
      <c r="U445" s="69"/>
    </row>
    <row r="446" spans="19:21" ht="15" customHeight="1" x14ac:dyDescent="0.2">
      <c r="S446" s="69">
        <f>_xlfn.XLOOKUP(Results!A446,Geometry!$B$6:$B$10000,Geometry!$C$6:$C$10000)</f>
        <v>0</v>
      </c>
      <c r="T446" s="69"/>
      <c r="U446" s="69"/>
    </row>
    <row r="447" spans="19:21" ht="15" customHeight="1" x14ac:dyDescent="0.2">
      <c r="S447" s="69">
        <f>_xlfn.XLOOKUP(Results!A447,Geometry!$B$6:$B$10000,Geometry!$C$6:$C$10000)</f>
        <v>0</v>
      </c>
      <c r="T447" s="69"/>
      <c r="U447" s="69"/>
    </row>
    <row r="448" spans="19:21" ht="15" customHeight="1" x14ac:dyDescent="0.2">
      <c r="S448" s="69">
        <f>_xlfn.XLOOKUP(Results!A448,Geometry!$B$6:$B$10000,Geometry!$C$6:$C$10000)</f>
        <v>0</v>
      </c>
      <c r="T448" s="69"/>
      <c r="U448" s="69"/>
    </row>
    <row r="449" spans="19:21" ht="15" customHeight="1" x14ac:dyDescent="0.2">
      <c r="S449" s="69">
        <f>_xlfn.XLOOKUP(Results!A449,Geometry!$B$6:$B$10000,Geometry!$C$6:$C$10000)</f>
        <v>0</v>
      </c>
      <c r="T449" s="69"/>
      <c r="U449" s="69"/>
    </row>
    <row r="450" spans="19:21" ht="15" customHeight="1" x14ac:dyDescent="0.2">
      <c r="S450" s="69">
        <f>_xlfn.XLOOKUP(Results!A450,Geometry!$B$6:$B$10000,Geometry!$C$6:$C$10000)</f>
        <v>0</v>
      </c>
      <c r="T450" s="69"/>
      <c r="U450" s="69"/>
    </row>
    <row r="451" spans="19:21" ht="15" customHeight="1" x14ac:dyDescent="0.2">
      <c r="S451" s="69">
        <f>_xlfn.XLOOKUP(Results!A451,Geometry!$B$6:$B$10000,Geometry!$C$6:$C$10000)</f>
        <v>0</v>
      </c>
      <c r="T451" s="69"/>
      <c r="U451" s="69"/>
    </row>
    <row r="452" spans="19:21" ht="15" customHeight="1" x14ac:dyDescent="0.2">
      <c r="S452" s="69">
        <f>_xlfn.XLOOKUP(Results!A452,Geometry!$B$6:$B$10000,Geometry!$C$6:$C$10000)</f>
        <v>0</v>
      </c>
      <c r="T452" s="69"/>
      <c r="U452" s="69"/>
    </row>
    <row r="453" spans="19:21" ht="15" customHeight="1" x14ac:dyDescent="0.2">
      <c r="S453" s="69">
        <f>_xlfn.XLOOKUP(Results!A453,Geometry!$B$6:$B$10000,Geometry!$C$6:$C$10000)</f>
        <v>0</v>
      </c>
      <c r="T453" s="69"/>
      <c r="U453" s="69"/>
    </row>
    <row r="454" spans="19:21" ht="15" customHeight="1" x14ac:dyDescent="0.2">
      <c r="S454" s="69">
        <f>_xlfn.XLOOKUP(Results!A454,Geometry!$B$6:$B$10000,Geometry!$C$6:$C$10000)</f>
        <v>0</v>
      </c>
      <c r="T454" s="69"/>
      <c r="U454" s="69"/>
    </row>
    <row r="455" spans="19:21" ht="15" customHeight="1" x14ac:dyDescent="0.2">
      <c r="S455" s="69">
        <f>_xlfn.XLOOKUP(Results!A455,Geometry!$B$6:$B$10000,Geometry!$C$6:$C$10000)</f>
        <v>0</v>
      </c>
      <c r="T455" s="69"/>
      <c r="U455" s="69"/>
    </row>
    <row r="456" spans="19:21" ht="15" customHeight="1" x14ac:dyDescent="0.2">
      <c r="S456" s="69">
        <f>_xlfn.XLOOKUP(Results!A456,Geometry!$B$6:$B$10000,Geometry!$C$6:$C$10000)</f>
        <v>0</v>
      </c>
      <c r="T456" s="69"/>
      <c r="U456" s="69"/>
    </row>
    <row r="457" spans="19:21" ht="15" customHeight="1" x14ac:dyDescent="0.2">
      <c r="S457" s="69">
        <f>_xlfn.XLOOKUP(Results!A457,Geometry!$B$6:$B$10000,Geometry!$C$6:$C$10000)</f>
        <v>0</v>
      </c>
      <c r="T457" s="69"/>
      <c r="U457" s="69"/>
    </row>
    <row r="458" spans="19:21" ht="15" customHeight="1" x14ac:dyDescent="0.2">
      <c r="S458" s="69">
        <f>_xlfn.XLOOKUP(Results!A458,Geometry!$B$6:$B$10000,Geometry!$C$6:$C$10000)</f>
        <v>0</v>
      </c>
      <c r="T458" s="69"/>
      <c r="U458" s="69"/>
    </row>
    <row r="459" spans="19:21" ht="15" customHeight="1" x14ac:dyDescent="0.2">
      <c r="S459" s="69">
        <f>_xlfn.XLOOKUP(Results!A459,Geometry!$B$6:$B$10000,Geometry!$C$6:$C$10000)</f>
        <v>0</v>
      </c>
      <c r="T459" s="69"/>
      <c r="U459" s="69"/>
    </row>
    <row r="460" spans="19:21" ht="15" customHeight="1" x14ac:dyDescent="0.2">
      <c r="S460" s="69">
        <f>_xlfn.XLOOKUP(Results!A460,Geometry!$B$6:$B$10000,Geometry!$C$6:$C$10000)</f>
        <v>0</v>
      </c>
      <c r="T460" s="69"/>
      <c r="U460" s="69"/>
    </row>
    <row r="461" spans="19:21" ht="15" customHeight="1" x14ac:dyDescent="0.2">
      <c r="S461" s="69">
        <f>_xlfn.XLOOKUP(Results!A461,Geometry!$B$6:$B$10000,Geometry!$C$6:$C$10000)</f>
        <v>0</v>
      </c>
      <c r="T461" s="69"/>
      <c r="U461" s="69"/>
    </row>
    <row r="462" spans="19:21" ht="15" customHeight="1" x14ac:dyDescent="0.2">
      <c r="S462" s="69">
        <f>_xlfn.XLOOKUP(Results!A462,Geometry!$B$6:$B$10000,Geometry!$C$6:$C$10000)</f>
        <v>0</v>
      </c>
      <c r="T462" s="69"/>
      <c r="U462" s="69"/>
    </row>
    <row r="463" spans="19:21" ht="15" customHeight="1" x14ac:dyDescent="0.2">
      <c r="S463" s="69">
        <f>_xlfn.XLOOKUP(Results!A463,Geometry!$B$6:$B$10000,Geometry!$C$6:$C$10000)</f>
        <v>0</v>
      </c>
      <c r="T463" s="69"/>
      <c r="U463" s="69"/>
    </row>
    <row r="464" spans="19:21" ht="15" customHeight="1" x14ac:dyDescent="0.2">
      <c r="S464" s="69">
        <f>_xlfn.XLOOKUP(Results!A464,Geometry!$B$6:$B$10000,Geometry!$C$6:$C$10000)</f>
        <v>0</v>
      </c>
      <c r="T464" s="69"/>
      <c r="U464" s="69"/>
    </row>
    <row r="465" spans="19:21" ht="15" customHeight="1" x14ac:dyDescent="0.2">
      <c r="S465" s="69">
        <f>_xlfn.XLOOKUP(Results!A465,Geometry!$B$6:$B$10000,Geometry!$C$6:$C$10000)</f>
        <v>0</v>
      </c>
      <c r="T465" s="69"/>
      <c r="U465" s="69"/>
    </row>
    <row r="466" spans="19:21" ht="15" customHeight="1" x14ac:dyDescent="0.2">
      <c r="S466" s="69">
        <f>_xlfn.XLOOKUP(Results!A466,Geometry!$B$6:$B$10000,Geometry!$C$6:$C$10000)</f>
        <v>0</v>
      </c>
      <c r="T466" s="69"/>
      <c r="U466" s="69"/>
    </row>
    <row r="467" spans="19:21" ht="15" customHeight="1" x14ac:dyDescent="0.2">
      <c r="S467" s="69">
        <f>_xlfn.XLOOKUP(Results!A467,Geometry!$B$6:$B$10000,Geometry!$C$6:$C$10000)</f>
        <v>0</v>
      </c>
      <c r="T467" s="69"/>
      <c r="U467" s="69"/>
    </row>
    <row r="468" spans="19:21" ht="15" customHeight="1" x14ac:dyDescent="0.2">
      <c r="S468" s="69">
        <f>_xlfn.XLOOKUP(Results!A468,Geometry!$B$6:$B$10000,Geometry!$C$6:$C$10000)</f>
        <v>0</v>
      </c>
      <c r="T468" s="69"/>
      <c r="U468" s="69"/>
    </row>
    <row r="469" spans="19:21" ht="15" customHeight="1" x14ac:dyDescent="0.2">
      <c r="S469" s="69">
        <f>_xlfn.XLOOKUP(Results!A469,Geometry!$B$6:$B$10000,Geometry!$C$6:$C$10000)</f>
        <v>0</v>
      </c>
      <c r="T469" s="69"/>
      <c r="U469" s="69"/>
    </row>
    <row r="470" spans="19:21" ht="15" customHeight="1" x14ac:dyDescent="0.2">
      <c r="S470" s="69">
        <f>_xlfn.XLOOKUP(Results!A470,Geometry!$B$6:$B$10000,Geometry!$C$6:$C$10000)</f>
        <v>0</v>
      </c>
      <c r="T470" s="69"/>
      <c r="U470" s="69"/>
    </row>
    <row r="471" spans="19:21" ht="15" customHeight="1" x14ac:dyDescent="0.2">
      <c r="S471" s="69">
        <f>_xlfn.XLOOKUP(Results!A471,Geometry!$B$6:$B$10000,Geometry!$C$6:$C$10000)</f>
        <v>0</v>
      </c>
      <c r="T471" s="69"/>
      <c r="U471" s="69"/>
    </row>
    <row r="472" spans="19:21" ht="15" customHeight="1" x14ac:dyDescent="0.2">
      <c r="S472" s="69">
        <f>_xlfn.XLOOKUP(Results!A472,Geometry!$B$6:$B$10000,Geometry!$C$6:$C$10000)</f>
        <v>0</v>
      </c>
      <c r="T472" s="69"/>
      <c r="U472" s="69"/>
    </row>
    <row r="473" spans="19:21" ht="15" customHeight="1" x14ac:dyDescent="0.2">
      <c r="S473" s="69">
        <f>_xlfn.XLOOKUP(Results!A473,Geometry!$B$6:$B$10000,Geometry!$C$6:$C$10000)</f>
        <v>0</v>
      </c>
      <c r="T473" s="69"/>
      <c r="U473" s="69"/>
    </row>
    <row r="474" spans="19:21" ht="15" customHeight="1" x14ac:dyDescent="0.2">
      <c r="S474" s="69">
        <f>_xlfn.XLOOKUP(Results!A474,Geometry!$B$6:$B$10000,Geometry!$C$6:$C$10000)</f>
        <v>0</v>
      </c>
      <c r="T474" s="69"/>
      <c r="U474" s="69"/>
    </row>
    <row r="475" spans="19:21" ht="15" customHeight="1" x14ac:dyDescent="0.2">
      <c r="S475" s="69">
        <f>_xlfn.XLOOKUP(Results!A475,Geometry!$B$6:$B$10000,Geometry!$C$6:$C$10000)</f>
        <v>0</v>
      </c>
      <c r="T475" s="69"/>
      <c r="U475" s="69"/>
    </row>
    <row r="476" spans="19:21" ht="15" customHeight="1" x14ac:dyDescent="0.2">
      <c r="S476" s="69">
        <f>_xlfn.XLOOKUP(Results!A476,Geometry!$B$6:$B$10000,Geometry!$C$6:$C$10000)</f>
        <v>0</v>
      </c>
      <c r="T476" s="69"/>
      <c r="U476" s="69"/>
    </row>
    <row r="477" spans="19:21" ht="15" customHeight="1" x14ac:dyDescent="0.2">
      <c r="S477" s="69">
        <f>_xlfn.XLOOKUP(Results!A477,Geometry!$B$6:$B$10000,Geometry!$C$6:$C$10000)</f>
        <v>0</v>
      </c>
      <c r="T477" s="69"/>
      <c r="U477" s="69"/>
    </row>
    <row r="478" spans="19:21" ht="15" customHeight="1" x14ac:dyDescent="0.2">
      <c r="S478" s="69">
        <f>_xlfn.XLOOKUP(Results!A478,Geometry!$B$6:$B$10000,Geometry!$C$6:$C$10000)</f>
        <v>0</v>
      </c>
      <c r="T478" s="69"/>
      <c r="U478" s="69"/>
    </row>
    <row r="479" spans="19:21" ht="15" customHeight="1" x14ac:dyDescent="0.2">
      <c r="S479" s="69">
        <f>_xlfn.XLOOKUP(Results!A479,Geometry!$B$6:$B$10000,Geometry!$C$6:$C$10000)</f>
        <v>0</v>
      </c>
      <c r="T479" s="69"/>
      <c r="U479" s="69"/>
    </row>
    <row r="480" spans="19:21" ht="15" customHeight="1" x14ac:dyDescent="0.2">
      <c r="S480" s="69">
        <f>_xlfn.XLOOKUP(Results!A480,Geometry!$B$6:$B$10000,Geometry!$C$6:$C$10000)</f>
        <v>0</v>
      </c>
      <c r="T480" s="69"/>
      <c r="U480" s="69"/>
    </row>
    <row r="481" spans="19:21" ht="15" customHeight="1" x14ac:dyDescent="0.2">
      <c r="S481" s="69">
        <f>_xlfn.XLOOKUP(Results!A481,Geometry!$B$6:$B$10000,Geometry!$C$6:$C$10000)</f>
        <v>0</v>
      </c>
      <c r="T481" s="69"/>
      <c r="U481" s="69"/>
    </row>
    <row r="482" spans="19:21" ht="15" customHeight="1" x14ac:dyDescent="0.2">
      <c r="S482" s="69">
        <f>_xlfn.XLOOKUP(Results!A482,Geometry!$B$6:$B$10000,Geometry!$C$6:$C$10000)</f>
        <v>0</v>
      </c>
      <c r="T482" s="69"/>
      <c r="U482" s="69"/>
    </row>
    <row r="483" spans="19:21" ht="15" customHeight="1" x14ac:dyDescent="0.2">
      <c r="S483" s="69">
        <f>_xlfn.XLOOKUP(Results!A483,Geometry!$B$6:$B$10000,Geometry!$C$6:$C$10000)</f>
        <v>0</v>
      </c>
      <c r="T483" s="69"/>
      <c r="U483" s="69"/>
    </row>
    <row r="484" spans="19:21" ht="15" customHeight="1" x14ac:dyDescent="0.2">
      <c r="S484" s="69">
        <f>_xlfn.XLOOKUP(Results!A484,Geometry!$B$6:$B$10000,Geometry!$C$6:$C$10000)</f>
        <v>0</v>
      </c>
      <c r="T484" s="69"/>
      <c r="U484" s="69"/>
    </row>
    <row r="485" spans="19:21" ht="15" customHeight="1" x14ac:dyDescent="0.2">
      <c r="S485" s="69">
        <f>_xlfn.XLOOKUP(Results!A485,Geometry!$B$6:$B$10000,Geometry!$C$6:$C$10000)</f>
        <v>0</v>
      </c>
      <c r="T485" s="69"/>
      <c r="U485" s="69"/>
    </row>
    <row r="486" spans="19:21" ht="15" customHeight="1" x14ac:dyDescent="0.2">
      <c r="S486" s="69">
        <f>_xlfn.XLOOKUP(Results!A486,Geometry!$B$6:$B$10000,Geometry!$C$6:$C$10000)</f>
        <v>0</v>
      </c>
      <c r="T486" s="69"/>
      <c r="U486" s="69"/>
    </row>
    <row r="487" spans="19:21" ht="15" customHeight="1" x14ac:dyDescent="0.2">
      <c r="S487" s="69">
        <f>_xlfn.XLOOKUP(Results!A487,Geometry!$B$6:$B$10000,Geometry!$C$6:$C$10000)</f>
        <v>0</v>
      </c>
      <c r="T487" s="69"/>
      <c r="U487" s="69"/>
    </row>
    <row r="488" spans="19:21" ht="15" customHeight="1" x14ac:dyDescent="0.2">
      <c r="S488" s="69">
        <f>_xlfn.XLOOKUP(Results!A488,Geometry!$B$6:$B$10000,Geometry!$C$6:$C$10000)</f>
        <v>0</v>
      </c>
      <c r="T488" s="69"/>
      <c r="U488" s="69"/>
    </row>
    <row r="489" spans="19:21" ht="15" customHeight="1" x14ac:dyDescent="0.2">
      <c r="S489" s="69">
        <f>_xlfn.XLOOKUP(Results!A489,Geometry!$B$6:$B$10000,Geometry!$C$6:$C$10000)</f>
        <v>0</v>
      </c>
      <c r="T489" s="69"/>
      <c r="U489" s="69"/>
    </row>
    <row r="490" spans="19:21" ht="15" customHeight="1" x14ac:dyDescent="0.2">
      <c r="S490" s="69">
        <f>_xlfn.XLOOKUP(Results!A490,Geometry!$B$6:$B$10000,Geometry!$C$6:$C$10000)</f>
        <v>0</v>
      </c>
      <c r="T490" s="69"/>
      <c r="U490" s="69"/>
    </row>
    <row r="491" spans="19:21" ht="15" customHeight="1" x14ac:dyDescent="0.2">
      <c r="S491" s="69">
        <f>_xlfn.XLOOKUP(Results!A491,Geometry!$B$6:$B$10000,Geometry!$C$6:$C$10000)</f>
        <v>0</v>
      </c>
      <c r="T491" s="69"/>
      <c r="U491" s="69"/>
    </row>
    <row r="492" spans="19:21" ht="15" customHeight="1" x14ac:dyDescent="0.2">
      <c r="S492" s="69">
        <f>_xlfn.XLOOKUP(Results!A492,Geometry!$B$6:$B$10000,Geometry!$C$6:$C$10000)</f>
        <v>0</v>
      </c>
      <c r="T492" s="69"/>
      <c r="U492" s="69"/>
    </row>
    <row r="493" spans="19:21" ht="15" customHeight="1" x14ac:dyDescent="0.2">
      <c r="S493" s="69">
        <f>_xlfn.XLOOKUP(Results!A493,Geometry!$B$6:$B$10000,Geometry!$C$6:$C$10000)</f>
        <v>0</v>
      </c>
      <c r="T493" s="69"/>
      <c r="U493" s="69"/>
    </row>
    <row r="494" spans="19:21" ht="15" customHeight="1" x14ac:dyDescent="0.2">
      <c r="S494" s="69">
        <f>_xlfn.XLOOKUP(Results!A494,Geometry!$B$6:$B$10000,Geometry!$C$6:$C$10000)</f>
        <v>0</v>
      </c>
      <c r="T494" s="69"/>
      <c r="U494" s="69"/>
    </row>
    <row r="495" spans="19:21" ht="15" customHeight="1" x14ac:dyDescent="0.2">
      <c r="S495" s="69">
        <f>_xlfn.XLOOKUP(Results!A495,Geometry!$B$6:$B$10000,Geometry!$C$6:$C$10000)</f>
        <v>0</v>
      </c>
      <c r="T495" s="69"/>
      <c r="U495" s="69"/>
    </row>
    <row r="496" spans="19:21" ht="15" customHeight="1" x14ac:dyDescent="0.2">
      <c r="S496" s="69">
        <f>_xlfn.XLOOKUP(Results!A496,Geometry!$B$6:$B$10000,Geometry!$C$6:$C$10000)</f>
        <v>0</v>
      </c>
      <c r="T496" s="69"/>
      <c r="U496" s="69"/>
    </row>
    <row r="497" spans="19:21" ht="15" customHeight="1" x14ac:dyDescent="0.2">
      <c r="S497" s="69">
        <f>_xlfn.XLOOKUP(Results!A497,Geometry!$B$6:$B$10000,Geometry!$C$6:$C$10000)</f>
        <v>0</v>
      </c>
      <c r="T497" s="69"/>
      <c r="U497" s="69"/>
    </row>
    <row r="498" spans="19:21" ht="15" customHeight="1" x14ac:dyDescent="0.2">
      <c r="S498" s="69">
        <f>_xlfn.XLOOKUP(Results!A498,Geometry!$B$6:$B$10000,Geometry!$C$6:$C$10000)</f>
        <v>0</v>
      </c>
      <c r="T498" s="69"/>
      <c r="U498" s="69"/>
    </row>
    <row r="499" spans="19:21" ht="15" customHeight="1" x14ac:dyDescent="0.2">
      <c r="S499" s="69">
        <f>_xlfn.XLOOKUP(Results!A499,Geometry!$B$6:$B$10000,Geometry!$C$6:$C$10000)</f>
        <v>0</v>
      </c>
      <c r="T499" s="69"/>
      <c r="U499" s="69"/>
    </row>
    <row r="500" spans="19:21" ht="15" customHeight="1" x14ac:dyDescent="0.2">
      <c r="S500" s="69">
        <f>_xlfn.XLOOKUP(Results!A500,Geometry!$B$6:$B$10000,Geometry!$C$6:$C$10000)</f>
        <v>0</v>
      </c>
      <c r="T500" s="69"/>
      <c r="U500" s="69"/>
    </row>
    <row r="501" spans="19:21" ht="15" customHeight="1" x14ac:dyDescent="0.2">
      <c r="S501" s="69">
        <f>_xlfn.XLOOKUP(Results!A501,Geometry!$B$6:$B$10000,Geometry!$C$6:$C$10000)</f>
        <v>0</v>
      </c>
      <c r="T501" s="69"/>
      <c r="U501" s="69"/>
    </row>
    <row r="502" spans="19:21" ht="15" customHeight="1" x14ac:dyDescent="0.2">
      <c r="S502" s="69">
        <f>_xlfn.XLOOKUP(Results!A502,Geometry!$B$6:$B$10000,Geometry!$C$6:$C$10000)</f>
        <v>0</v>
      </c>
      <c r="T502" s="69"/>
      <c r="U502" s="69"/>
    </row>
    <row r="503" spans="19:21" ht="15" customHeight="1" x14ac:dyDescent="0.2">
      <c r="S503" s="69">
        <f>_xlfn.XLOOKUP(Results!A503,Geometry!$B$6:$B$10000,Geometry!$C$6:$C$10000)</f>
        <v>0</v>
      </c>
      <c r="T503" s="69"/>
      <c r="U503" s="69"/>
    </row>
    <row r="504" spans="19:21" ht="15" customHeight="1" x14ac:dyDescent="0.2">
      <c r="S504" s="69">
        <f>_xlfn.XLOOKUP(Results!A504,Geometry!$B$6:$B$10000,Geometry!$C$6:$C$10000)</f>
        <v>0</v>
      </c>
      <c r="T504" s="69"/>
      <c r="U504" s="69"/>
    </row>
    <row r="505" spans="19:21" ht="15" customHeight="1" x14ac:dyDescent="0.2">
      <c r="S505" s="69">
        <f>_xlfn.XLOOKUP(Results!A505,Geometry!$B$6:$B$10000,Geometry!$C$6:$C$10000)</f>
        <v>0</v>
      </c>
      <c r="T505" s="69"/>
      <c r="U505" s="69"/>
    </row>
    <row r="506" spans="19:21" ht="15" customHeight="1" x14ac:dyDescent="0.2">
      <c r="S506" s="69">
        <f>_xlfn.XLOOKUP(Results!A506,Geometry!$B$6:$B$10000,Geometry!$C$6:$C$10000)</f>
        <v>0</v>
      </c>
      <c r="T506" s="69"/>
      <c r="U506" s="69"/>
    </row>
    <row r="507" spans="19:21" ht="15" customHeight="1" x14ac:dyDescent="0.2">
      <c r="S507" s="69">
        <f>_xlfn.XLOOKUP(Results!A507,Geometry!$B$6:$B$10000,Geometry!$C$6:$C$10000)</f>
        <v>0</v>
      </c>
      <c r="T507" s="69"/>
      <c r="U507" s="69"/>
    </row>
    <row r="508" spans="19:21" ht="15" customHeight="1" x14ac:dyDescent="0.2">
      <c r="S508" s="69">
        <f>_xlfn.XLOOKUP(Results!A508,Geometry!$B$6:$B$10000,Geometry!$C$6:$C$10000)</f>
        <v>0</v>
      </c>
      <c r="T508" s="69"/>
      <c r="U508" s="69"/>
    </row>
    <row r="509" spans="19:21" ht="15" customHeight="1" x14ac:dyDescent="0.2">
      <c r="S509" s="69">
        <f>_xlfn.XLOOKUP(Results!A509,Geometry!$B$6:$B$10000,Geometry!$C$6:$C$10000)</f>
        <v>0</v>
      </c>
      <c r="T509" s="69"/>
      <c r="U509" s="69"/>
    </row>
    <row r="510" spans="19:21" ht="15" customHeight="1" x14ac:dyDescent="0.2">
      <c r="S510" s="69">
        <f>_xlfn.XLOOKUP(Results!A510,Geometry!$B$6:$B$10000,Geometry!$C$6:$C$10000)</f>
        <v>0</v>
      </c>
      <c r="T510" s="69"/>
      <c r="U510" s="69"/>
    </row>
    <row r="511" spans="19:21" ht="15" customHeight="1" x14ac:dyDescent="0.2">
      <c r="S511" s="69">
        <f>_xlfn.XLOOKUP(Results!A511,Geometry!$B$6:$B$10000,Geometry!$C$6:$C$10000)</f>
        <v>0</v>
      </c>
      <c r="T511" s="69"/>
      <c r="U511" s="69"/>
    </row>
    <row r="512" spans="19:21" ht="15" customHeight="1" x14ac:dyDescent="0.2">
      <c r="S512" s="69">
        <f>_xlfn.XLOOKUP(Results!A512,Geometry!$B$6:$B$10000,Geometry!$C$6:$C$10000)</f>
        <v>0</v>
      </c>
      <c r="T512" s="69"/>
      <c r="U512" s="69"/>
    </row>
    <row r="513" spans="19:21" ht="15" customHeight="1" x14ac:dyDescent="0.2">
      <c r="S513" s="69">
        <f>_xlfn.XLOOKUP(Results!A513,Geometry!$B$6:$B$10000,Geometry!$C$6:$C$10000)</f>
        <v>0</v>
      </c>
      <c r="T513" s="69"/>
      <c r="U513" s="69"/>
    </row>
    <row r="514" spans="19:21" ht="15" customHeight="1" x14ac:dyDescent="0.2">
      <c r="S514" s="69">
        <f>_xlfn.XLOOKUP(Results!A514,Geometry!$B$6:$B$10000,Geometry!$C$6:$C$10000)</f>
        <v>0</v>
      </c>
      <c r="T514" s="69"/>
      <c r="U514" s="69"/>
    </row>
    <row r="515" spans="19:21" ht="15" customHeight="1" x14ac:dyDescent="0.2">
      <c r="S515" s="69">
        <f>_xlfn.XLOOKUP(Results!A515,Geometry!$B$6:$B$10000,Geometry!$C$6:$C$10000)</f>
        <v>0</v>
      </c>
      <c r="T515" s="69"/>
      <c r="U515" s="69"/>
    </row>
    <row r="516" spans="19:21" ht="15" customHeight="1" x14ac:dyDescent="0.2">
      <c r="S516" s="69">
        <f>_xlfn.XLOOKUP(Results!A516,Geometry!$B$6:$B$10000,Geometry!$C$6:$C$10000)</f>
        <v>0</v>
      </c>
      <c r="T516" s="69"/>
      <c r="U516" s="69"/>
    </row>
    <row r="517" spans="19:21" ht="15" customHeight="1" x14ac:dyDescent="0.2">
      <c r="S517" s="69">
        <f>_xlfn.XLOOKUP(Results!A517,Geometry!$B$6:$B$10000,Geometry!$C$6:$C$10000)</f>
        <v>0</v>
      </c>
      <c r="T517" s="69"/>
      <c r="U517" s="69"/>
    </row>
    <row r="518" spans="19:21" ht="15" customHeight="1" x14ac:dyDescent="0.2">
      <c r="S518" s="69">
        <f>_xlfn.XLOOKUP(Results!A518,Geometry!$B$6:$B$10000,Geometry!$C$6:$C$10000)</f>
        <v>0</v>
      </c>
      <c r="T518" s="69"/>
      <c r="U518" s="69"/>
    </row>
    <row r="519" spans="19:21" ht="15" customHeight="1" x14ac:dyDescent="0.2">
      <c r="S519" s="69">
        <f>_xlfn.XLOOKUP(Results!A519,Geometry!$B$6:$B$10000,Geometry!$C$6:$C$10000)</f>
        <v>0</v>
      </c>
      <c r="T519" s="69"/>
      <c r="U519" s="69"/>
    </row>
    <row r="520" spans="19:21" ht="15" customHeight="1" x14ac:dyDescent="0.2">
      <c r="S520" s="69">
        <f>_xlfn.XLOOKUP(Results!A520,Geometry!$B$6:$B$10000,Geometry!$C$6:$C$10000)</f>
        <v>0</v>
      </c>
      <c r="T520" s="69"/>
      <c r="U520" s="69"/>
    </row>
    <row r="521" spans="19:21" ht="15" customHeight="1" x14ac:dyDescent="0.2">
      <c r="S521" s="69">
        <f>_xlfn.XLOOKUP(Results!A521,Geometry!$B$6:$B$10000,Geometry!$C$6:$C$10000)</f>
        <v>0</v>
      </c>
      <c r="T521" s="69"/>
      <c r="U521" s="69"/>
    </row>
    <row r="522" spans="19:21" ht="15" customHeight="1" x14ac:dyDescent="0.2">
      <c r="S522" s="69">
        <f>_xlfn.XLOOKUP(Results!A522,Geometry!$B$6:$B$10000,Geometry!$C$6:$C$10000)</f>
        <v>0</v>
      </c>
      <c r="T522" s="69"/>
      <c r="U522" s="69"/>
    </row>
    <row r="523" spans="19:21" ht="15" customHeight="1" x14ac:dyDescent="0.2">
      <c r="S523" s="69">
        <f>_xlfn.XLOOKUP(Results!A523,Geometry!$B$6:$B$10000,Geometry!$C$6:$C$10000)</f>
        <v>0</v>
      </c>
      <c r="T523" s="69"/>
      <c r="U523" s="69"/>
    </row>
    <row r="524" spans="19:21" ht="15" customHeight="1" x14ac:dyDescent="0.2">
      <c r="S524" s="69">
        <f>_xlfn.XLOOKUP(Results!A524,Geometry!$B$6:$B$10000,Geometry!$C$6:$C$10000)</f>
        <v>0</v>
      </c>
      <c r="T524" s="69"/>
      <c r="U524" s="69"/>
    </row>
    <row r="525" spans="19:21" ht="15" customHeight="1" x14ac:dyDescent="0.2">
      <c r="S525" s="69">
        <f>_xlfn.XLOOKUP(Results!A525,Geometry!$B$6:$B$10000,Geometry!$C$6:$C$10000)</f>
        <v>0</v>
      </c>
      <c r="T525" s="69"/>
      <c r="U525" s="69"/>
    </row>
    <row r="526" spans="19:21" ht="15" customHeight="1" x14ac:dyDescent="0.2">
      <c r="S526" s="69">
        <f>_xlfn.XLOOKUP(Results!A526,Geometry!$B$6:$B$10000,Geometry!$C$6:$C$10000)</f>
        <v>0</v>
      </c>
      <c r="T526" s="69"/>
      <c r="U526" s="69"/>
    </row>
    <row r="527" spans="19:21" ht="15" customHeight="1" x14ac:dyDescent="0.2">
      <c r="S527" s="69">
        <f>_xlfn.XLOOKUP(Results!A527,Geometry!$B$6:$B$10000,Geometry!$C$6:$C$10000)</f>
        <v>0</v>
      </c>
      <c r="T527" s="69"/>
      <c r="U527" s="69"/>
    </row>
    <row r="528" spans="19:21" ht="15" customHeight="1" x14ac:dyDescent="0.2">
      <c r="S528" s="69">
        <f>_xlfn.XLOOKUP(Results!A528,Geometry!$B$6:$B$10000,Geometry!$C$6:$C$10000)</f>
        <v>0</v>
      </c>
      <c r="T528" s="69"/>
      <c r="U528" s="69"/>
    </row>
    <row r="529" spans="19:21" ht="15" customHeight="1" x14ac:dyDescent="0.2">
      <c r="S529" s="69">
        <f>_xlfn.XLOOKUP(Results!A529,Geometry!$B$6:$B$10000,Geometry!$C$6:$C$10000)</f>
        <v>0</v>
      </c>
      <c r="T529" s="69"/>
      <c r="U529" s="69"/>
    </row>
    <row r="530" spans="19:21" ht="15" customHeight="1" x14ac:dyDescent="0.2">
      <c r="S530" s="69">
        <f>_xlfn.XLOOKUP(Results!A530,Geometry!$B$6:$B$10000,Geometry!$C$6:$C$10000)</f>
        <v>0</v>
      </c>
      <c r="T530" s="69"/>
      <c r="U530" s="69"/>
    </row>
    <row r="531" spans="19:21" ht="15" customHeight="1" x14ac:dyDescent="0.2">
      <c r="S531" s="69">
        <f>_xlfn.XLOOKUP(Results!A531,Geometry!$B$6:$B$10000,Geometry!$C$6:$C$10000)</f>
        <v>0</v>
      </c>
      <c r="T531" s="69"/>
      <c r="U531" s="69"/>
    </row>
    <row r="532" spans="19:21" ht="15" customHeight="1" x14ac:dyDescent="0.2">
      <c r="S532" s="69">
        <f>_xlfn.XLOOKUP(Results!A532,Geometry!$B$6:$B$10000,Geometry!$C$6:$C$10000)</f>
        <v>0</v>
      </c>
      <c r="T532" s="69"/>
      <c r="U532" s="69"/>
    </row>
    <row r="533" spans="19:21" ht="15" customHeight="1" x14ac:dyDescent="0.2">
      <c r="S533" s="69">
        <f>_xlfn.XLOOKUP(Results!A533,Geometry!$B$6:$B$10000,Geometry!$C$6:$C$10000)</f>
        <v>0</v>
      </c>
      <c r="T533" s="69"/>
      <c r="U533" s="69"/>
    </row>
    <row r="534" spans="19:21" ht="15" customHeight="1" x14ac:dyDescent="0.2">
      <c r="S534" s="69">
        <f>_xlfn.XLOOKUP(Results!A534,Geometry!$B$6:$B$10000,Geometry!$C$6:$C$10000)</f>
        <v>0</v>
      </c>
      <c r="T534" s="69"/>
      <c r="U534" s="69"/>
    </row>
    <row r="535" spans="19:21" ht="15" customHeight="1" x14ac:dyDescent="0.2">
      <c r="S535" s="69">
        <f>_xlfn.XLOOKUP(Results!A535,Geometry!$B$6:$B$10000,Geometry!$C$6:$C$10000)</f>
        <v>0</v>
      </c>
      <c r="T535" s="69"/>
      <c r="U535" s="69"/>
    </row>
    <row r="536" spans="19:21" ht="15" customHeight="1" x14ac:dyDescent="0.2">
      <c r="S536" s="69">
        <f>_xlfn.XLOOKUP(Results!A536,Geometry!$B$6:$B$10000,Geometry!$C$6:$C$10000)</f>
        <v>0</v>
      </c>
      <c r="T536" s="69"/>
      <c r="U536" s="69"/>
    </row>
    <row r="537" spans="19:21" ht="15" customHeight="1" x14ac:dyDescent="0.2">
      <c r="S537" s="69">
        <f>_xlfn.XLOOKUP(Results!A537,Geometry!$B$6:$B$10000,Geometry!$C$6:$C$10000)</f>
        <v>0</v>
      </c>
      <c r="T537" s="69"/>
      <c r="U537" s="69"/>
    </row>
    <row r="538" spans="19:21" ht="15" customHeight="1" x14ac:dyDescent="0.2">
      <c r="S538" s="69">
        <f>_xlfn.XLOOKUP(Results!A538,Geometry!$B$6:$B$10000,Geometry!$C$6:$C$10000)</f>
        <v>0</v>
      </c>
      <c r="T538" s="69"/>
      <c r="U538" s="69"/>
    </row>
    <row r="539" spans="19:21" ht="15" customHeight="1" x14ac:dyDescent="0.2">
      <c r="S539" s="69">
        <f>_xlfn.XLOOKUP(Results!A539,Geometry!$B$6:$B$10000,Geometry!$C$6:$C$10000)</f>
        <v>0</v>
      </c>
      <c r="T539" s="69"/>
      <c r="U539" s="69"/>
    </row>
    <row r="540" spans="19:21" ht="15" customHeight="1" x14ac:dyDescent="0.2">
      <c r="S540" s="69">
        <f>_xlfn.XLOOKUP(Results!A540,Geometry!$B$6:$B$10000,Geometry!$C$6:$C$10000)</f>
        <v>0</v>
      </c>
      <c r="T540" s="69"/>
      <c r="U540" s="69"/>
    </row>
    <row r="541" spans="19:21" ht="15" customHeight="1" x14ac:dyDescent="0.2">
      <c r="S541" s="69">
        <f>_xlfn.XLOOKUP(Results!A541,Geometry!$B$6:$B$10000,Geometry!$C$6:$C$10000)</f>
        <v>0</v>
      </c>
      <c r="T541" s="69"/>
      <c r="U541" s="69"/>
    </row>
    <row r="542" spans="19:21" ht="15" customHeight="1" x14ac:dyDescent="0.2">
      <c r="S542" s="69">
        <f>_xlfn.XLOOKUP(Results!A542,Geometry!$B$6:$B$10000,Geometry!$C$6:$C$10000)</f>
        <v>0</v>
      </c>
      <c r="T542" s="69"/>
      <c r="U542" s="69"/>
    </row>
    <row r="543" spans="19:21" ht="15" customHeight="1" x14ac:dyDescent="0.2">
      <c r="S543" s="69">
        <f>_xlfn.XLOOKUP(Results!A543,Geometry!$B$6:$B$10000,Geometry!$C$6:$C$10000)</f>
        <v>0</v>
      </c>
      <c r="T543" s="69"/>
      <c r="U543" s="69"/>
    </row>
    <row r="544" spans="19:21" ht="15" customHeight="1" x14ac:dyDescent="0.2">
      <c r="S544" s="69">
        <f>_xlfn.XLOOKUP(Results!A544,Geometry!$B$6:$B$10000,Geometry!$C$6:$C$10000)</f>
        <v>0</v>
      </c>
      <c r="T544" s="69"/>
      <c r="U544" s="69"/>
    </row>
    <row r="545" spans="19:21" ht="15" customHeight="1" x14ac:dyDescent="0.2">
      <c r="S545" s="69">
        <f>_xlfn.XLOOKUP(Results!A545,Geometry!$B$6:$B$10000,Geometry!$C$6:$C$10000)</f>
        <v>0</v>
      </c>
      <c r="T545" s="69"/>
      <c r="U545" s="69"/>
    </row>
    <row r="546" spans="19:21" ht="15" customHeight="1" x14ac:dyDescent="0.2">
      <c r="S546" s="69">
        <f>_xlfn.XLOOKUP(Results!A546,Geometry!$B$6:$B$10000,Geometry!$C$6:$C$10000)</f>
        <v>0</v>
      </c>
      <c r="T546" s="69"/>
      <c r="U546" s="69"/>
    </row>
    <row r="547" spans="19:21" ht="15" customHeight="1" x14ac:dyDescent="0.2">
      <c r="S547" s="69">
        <f>_xlfn.XLOOKUP(Results!A547,Geometry!$B$6:$B$10000,Geometry!$C$6:$C$10000)</f>
        <v>0</v>
      </c>
      <c r="T547" s="69"/>
      <c r="U547" s="69"/>
    </row>
    <row r="548" spans="19:21" ht="15" customHeight="1" x14ac:dyDescent="0.2">
      <c r="S548" s="69">
        <f>_xlfn.XLOOKUP(Results!A548,Geometry!$B$6:$B$10000,Geometry!$C$6:$C$10000)</f>
        <v>0</v>
      </c>
      <c r="T548" s="69"/>
      <c r="U548" s="69"/>
    </row>
    <row r="549" spans="19:21" ht="15" customHeight="1" x14ac:dyDescent="0.2">
      <c r="S549" s="69">
        <f>_xlfn.XLOOKUP(Results!A549,Geometry!$B$6:$B$10000,Geometry!$C$6:$C$10000)</f>
        <v>0</v>
      </c>
      <c r="T549" s="69"/>
      <c r="U549" s="69"/>
    </row>
    <row r="550" spans="19:21" ht="15" customHeight="1" x14ac:dyDescent="0.2">
      <c r="S550" s="69">
        <f>_xlfn.XLOOKUP(Results!A550,Geometry!$B$6:$B$10000,Geometry!$C$6:$C$10000)</f>
        <v>0</v>
      </c>
      <c r="T550" s="69"/>
      <c r="U550" s="69"/>
    </row>
    <row r="551" spans="19:21" ht="15" customHeight="1" x14ac:dyDescent="0.2">
      <c r="S551" s="69">
        <f>_xlfn.XLOOKUP(Results!A551,Geometry!$B$6:$B$10000,Geometry!$C$6:$C$10000)</f>
        <v>0</v>
      </c>
      <c r="T551" s="69"/>
      <c r="U551" s="69"/>
    </row>
    <row r="552" spans="19:21" ht="15" customHeight="1" x14ac:dyDescent="0.2">
      <c r="S552" s="69">
        <f>_xlfn.XLOOKUP(Results!A552,Geometry!$B$6:$B$10000,Geometry!$C$6:$C$10000)</f>
        <v>0</v>
      </c>
      <c r="T552" s="69"/>
      <c r="U552" s="69"/>
    </row>
    <row r="553" spans="19:21" ht="15" customHeight="1" x14ac:dyDescent="0.2">
      <c r="S553" s="69">
        <f>_xlfn.XLOOKUP(Results!A553,Geometry!$B$6:$B$10000,Geometry!$C$6:$C$10000)</f>
        <v>0</v>
      </c>
      <c r="T553" s="69"/>
      <c r="U553" s="69"/>
    </row>
    <row r="554" spans="19:21" ht="15" customHeight="1" x14ac:dyDescent="0.2">
      <c r="S554" s="69">
        <f>_xlfn.XLOOKUP(Results!A554,Geometry!$B$6:$B$10000,Geometry!$C$6:$C$10000)</f>
        <v>0</v>
      </c>
      <c r="T554" s="69"/>
      <c r="U554" s="69"/>
    </row>
    <row r="555" spans="19:21" ht="15" customHeight="1" x14ac:dyDescent="0.2">
      <c r="S555" s="69">
        <f>_xlfn.XLOOKUP(Results!A555,Geometry!$B$6:$B$10000,Geometry!$C$6:$C$10000)</f>
        <v>0</v>
      </c>
      <c r="T555" s="69"/>
      <c r="U555" s="69"/>
    </row>
    <row r="556" spans="19:21" ht="15" customHeight="1" x14ac:dyDescent="0.2">
      <c r="S556" s="69">
        <f>_xlfn.XLOOKUP(Results!A556,Geometry!$B$6:$B$10000,Geometry!$C$6:$C$10000)</f>
        <v>0</v>
      </c>
      <c r="T556" s="69"/>
      <c r="U556" s="69"/>
    </row>
    <row r="557" spans="19:21" ht="15" customHeight="1" x14ac:dyDescent="0.2">
      <c r="S557" s="69">
        <f>_xlfn.XLOOKUP(Results!A557,Geometry!$B$6:$B$10000,Geometry!$C$6:$C$10000)</f>
        <v>0</v>
      </c>
      <c r="T557" s="69"/>
      <c r="U557" s="69"/>
    </row>
    <row r="558" spans="19:21" ht="15" customHeight="1" x14ac:dyDescent="0.2">
      <c r="S558" s="69">
        <f>_xlfn.XLOOKUP(Results!A558,Geometry!$B$6:$B$10000,Geometry!$C$6:$C$10000)</f>
        <v>0</v>
      </c>
      <c r="T558" s="69"/>
      <c r="U558" s="69"/>
    </row>
    <row r="559" spans="19:21" ht="15" customHeight="1" x14ac:dyDescent="0.2">
      <c r="S559" s="69">
        <f>_xlfn.XLOOKUP(Results!A559,Geometry!$B$6:$B$10000,Geometry!$C$6:$C$10000)</f>
        <v>0</v>
      </c>
      <c r="T559" s="69"/>
      <c r="U559" s="69"/>
    </row>
    <row r="560" spans="19:21" ht="15" customHeight="1" x14ac:dyDescent="0.2">
      <c r="S560" s="69">
        <f>_xlfn.XLOOKUP(Results!A560,Geometry!$B$6:$B$10000,Geometry!$C$6:$C$10000)</f>
        <v>0</v>
      </c>
      <c r="T560" s="69"/>
      <c r="U560" s="69"/>
    </row>
    <row r="561" spans="19:21" ht="15" customHeight="1" x14ac:dyDescent="0.2">
      <c r="S561" s="69">
        <f>_xlfn.XLOOKUP(Results!A561,Geometry!$B$6:$B$10000,Geometry!$C$6:$C$10000)</f>
        <v>0</v>
      </c>
      <c r="T561" s="69"/>
      <c r="U561" s="69"/>
    </row>
    <row r="562" spans="19:21" ht="15" customHeight="1" x14ac:dyDescent="0.2">
      <c r="S562" s="69">
        <f>_xlfn.XLOOKUP(Results!A562,Geometry!$B$6:$B$10000,Geometry!$C$6:$C$10000)</f>
        <v>0</v>
      </c>
      <c r="T562" s="69"/>
      <c r="U562" s="69"/>
    </row>
    <row r="563" spans="19:21" ht="15" customHeight="1" x14ac:dyDescent="0.2">
      <c r="S563" s="69">
        <f>_xlfn.XLOOKUP(Results!A563,Geometry!$B$6:$B$10000,Geometry!$C$6:$C$10000)</f>
        <v>0</v>
      </c>
      <c r="T563" s="69"/>
      <c r="U563" s="69"/>
    </row>
    <row r="564" spans="19:21" ht="15" customHeight="1" x14ac:dyDescent="0.2">
      <c r="S564" s="69">
        <f>_xlfn.XLOOKUP(Results!A564,Geometry!$B$6:$B$10000,Geometry!$C$6:$C$10000)</f>
        <v>0</v>
      </c>
      <c r="T564" s="69"/>
      <c r="U564" s="69"/>
    </row>
    <row r="565" spans="19:21" ht="15" customHeight="1" x14ac:dyDescent="0.2">
      <c r="S565" s="69">
        <f>_xlfn.XLOOKUP(Results!A565,Geometry!$B$6:$B$10000,Geometry!$C$6:$C$10000)</f>
        <v>0</v>
      </c>
      <c r="T565" s="69"/>
      <c r="U565" s="69"/>
    </row>
    <row r="566" spans="19:21" ht="15" customHeight="1" x14ac:dyDescent="0.2">
      <c r="S566" s="69">
        <f>_xlfn.XLOOKUP(Results!A566,Geometry!$B$6:$B$10000,Geometry!$C$6:$C$10000)</f>
        <v>0</v>
      </c>
      <c r="T566" s="69"/>
      <c r="U566" s="69"/>
    </row>
    <row r="567" spans="19:21" ht="15" customHeight="1" x14ac:dyDescent="0.2">
      <c r="S567" s="69">
        <f>_xlfn.XLOOKUP(Results!A567,Geometry!$B$6:$B$10000,Geometry!$C$6:$C$10000)</f>
        <v>0</v>
      </c>
      <c r="T567" s="69"/>
      <c r="U567" s="69"/>
    </row>
    <row r="568" spans="19:21" ht="15" customHeight="1" x14ac:dyDescent="0.2">
      <c r="S568" s="69">
        <f>_xlfn.XLOOKUP(Results!A568,Geometry!$B$6:$B$10000,Geometry!$C$6:$C$10000)</f>
        <v>0</v>
      </c>
      <c r="T568" s="69"/>
      <c r="U568" s="69"/>
    </row>
    <row r="569" spans="19:21" ht="15" customHeight="1" x14ac:dyDescent="0.2">
      <c r="S569" s="69">
        <f>_xlfn.XLOOKUP(Results!A569,Geometry!$B$6:$B$10000,Geometry!$C$6:$C$10000)</f>
        <v>0</v>
      </c>
      <c r="T569" s="69"/>
      <c r="U569" s="69"/>
    </row>
    <row r="570" spans="19:21" ht="15" customHeight="1" x14ac:dyDescent="0.2">
      <c r="S570" s="69">
        <f>_xlfn.XLOOKUP(Results!A570,Geometry!$B$6:$B$10000,Geometry!$C$6:$C$10000)</f>
        <v>0</v>
      </c>
      <c r="T570" s="69"/>
      <c r="U570" s="69"/>
    </row>
    <row r="571" spans="19:21" ht="15" customHeight="1" x14ac:dyDescent="0.2">
      <c r="S571" s="69">
        <f>_xlfn.XLOOKUP(Results!A571,Geometry!$B$6:$B$10000,Geometry!$C$6:$C$10000)</f>
        <v>0</v>
      </c>
      <c r="T571" s="69"/>
      <c r="U571" s="69"/>
    </row>
    <row r="572" spans="19:21" ht="15" customHeight="1" x14ac:dyDescent="0.2">
      <c r="S572" s="69">
        <f>_xlfn.XLOOKUP(Results!A572,Geometry!$B$6:$B$10000,Geometry!$C$6:$C$10000)</f>
        <v>0</v>
      </c>
      <c r="T572" s="69"/>
      <c r="U572" s="69"/>
    </row>
    <row r="573" spans="19:21" ht="15" customHeight="1" x14ac:dyDescent="0.2">
      <c r="S573" s="69">
        <f>_xlfn.XLOOKUP(Results!A573,Geometry!$B$6:$B$10000,Geometry!$C$6:$C$10000)</f>
        <v>0</v>
      </c>
      <c r="T573" s="69"/>
      <c r="U573" s="69"/>
    </row>
    <row r="574" spans="19:21" ht="15" customHeight="1" x14ac:dyDescent="0.2">
      <c r="S574" s="69">
        <f>_xlfn.XLOOKUP(Results!A574,Geometry!$B$6:$B$10000,Geometry!$C$6:$C$10000)</f>
        <v>0</v>
      </c>
      <c r="T574" s="69"/>
      <c r="U574" s="69"/>
    </row>
    <row r="575" spans="19:21" ht="15" customHeight="1" x14ac:dyDescent="0.2">
      <c r="S575" s="69">
        <f>_xlfn.XLOOKUP(Results!A575,Geometry!$B$6:$B$10000,Geometry!$C$6:$C$10000)</f>
        <v>0</v>
      </c>
      <c r="T575" s="69"/>
      <c r="U575" s="69"/>
    </row>
    <row r="576" spans="19:21" ht="15" customHeight="1" x14ac:dyDescent="0.2">
      <c r="S576" s="69">
        <f>_xlfn.XLOOKUP(Results!A576,Geometry!$B$6:$B$10000,Geometry!$C$6:$C$10000)</f>
        <v>0</v>
      </c>
      <c r="T576" s="69"/>
      <c r="U576" s="69"/>
    </row>
    <row r="577" spans="19:21" ht="15" customHeight="1" x14ac:dyDescent="0.2">
      <c r="S577" s="69">
        <f>_xlfn.XLOOKUP(Results!A577,Geometry!$B$6:$B$10000,Geometry!$C$6:$C$10000)</f>
        <v>0</v>
      </c>
      <c r="T577" s="69"/>
      <c r="U577" s="69"/>
    </row>
    <row r="578" spans="19:21" ht="15" customHeight="1" x14ac:dyDescent="0.2">
      <c r="S578" s="69">
        <f>_xlfn.XLOOKUP(Results!A578,Geometry!$B$6:$B$10000,Geometry!$C$6:$C$10000)</f>
        <v>0</v>
      </c>
      <c r="T578" s="69"/>
      <c r="U578" s="69"/>
    </row>
    <row r="579" spans="19:21" ht="15" customHeight="1" x14ac:dyDescent="0.2">
      <c r="S579" s="69">
        <f>_xlfn.XLOOKUP(Results!A579,Geometry!$B$6:$B$10000,Geometry!$C$6:$C$10000)</f>
        <v>0</v>
      </c>
      <c r="T579" s="69"/>
      <c r="U579" s="69"/>
    </row>
    <row r="580" spans="19:21" ht="15" customHeight="1" x14ac:dyDescent="0.2">
      <c r="S580" s="69">
        <f>_xlfn.XLOOKUP(Results!A580,Geometry!$B$6:$B$10000,Geometry!$C$6:$C$10000)</f>
        <v>0</v>
      </c>
      <c r="T580" s="69"/>
      <c r="U580" s="69"/>
    </row>
    <row r="581" spans="19:21" ht="15" customHeight="1" x14ac:dyDescent="0.2">
      <c r="S581" s="69">
        <f>_xlfn.XLOOKUP(Results!A581,Geometry!$B$6:$B$10000,Geometry!$C$6:$C$10000)</f>
        <v>0</v>
      </c>
      <c r="T581" s="69"/>
      <c r="U581" s="69"/>
    </row>
    <row r="582" spans="19:21" ht="15" customHeight="1" x14ac:dyDescent="0.2">
      <c r="S582" s="69">
        <f>_xlfn.XLOOKUP(Results!A582,Geometry!$B$6:$B$10000,Geometry!$C$6:$C$10000)</f>
        <v>0</v>
      </c>
      <c r="T582" s="69"/>
      <c r="U582" s="69"/>
    </row>
    <row r="583" spans="19:21" ht="15" customHeight="1" x14ac:dyDescent="0.2">
      <c r="S583" s="69">
        <f>_xlfn.XLOOKUP(Results!A583,Geometry!$B$6:$B$10000,Geometry!$C$6:$C$10000)</f>
        <v>0</v>
      </c>
      <c r="T583" s="69"/>
      <c r="U583" s="69"/>
    </row>
    <row r="584" spans="19:21" ht="15" customHeight="1" x14ac:dyDescent="0.2">
      <c r="S584" s="69">
        <f>_xlfn.XLOOKUP(Results!A584,Geometry!$B$6:$B$10000,Geometry!$C$6:$C$10000)</f>
        <v>0</v>
      </c>
      <c r="T584" s="69"/>
      <c r="U584" s="69"/>
    </row>
    <row r="585" spans="19:21" ht="15" customHeight="1" x14ac:dyDescent="0.2">
      <c r="S585" s="69">
        <f>_xlfn.XLOOKUP(Results!A585,Geometry!$B$6:$B$10000,Geometry!$C$6:$C$10000)</f>
        <v>0</v>
      </c>
      <c r="T585" s="69"/>
      <c r="U585" s="69"/>
    </row>
    <row r="586" spans="19:21" ht="15" customHeight="1" x14ac:dyDescent="0.2">
      <c r="S586" s="69">
        <f>_xlfn.XLOOKUP(Results!A586,Geometry!$B$6:$B$10000,Geometry!$C$6:$C$10000)</f>
        <v>0</v>
      </c>
      <c r="T586" s="69"/>
      <c r="U586" s="69"/>
    </row>
    <row r="587" spans="19:21" ht="15" customHeight="1" x14ac:dyDescent="0.2">
      <c r="S587" s="69">
        <f>_xlfn.XLOOKUP(Results!A587,Geometry!$B$6:$B$10000,Geometry!$C$6:$C$10000)</f>
        <v>0</v>
      </c>
      <c r="T587" s="69"/>
      <c r="U587" s="69"/>
    </row>
    <row r="588" spans="19:21" ht="15" customHeight="1" x14ac:dyDescent="0.2">
      <c r="S588" s="69">
        <f>_xlfn.XLOOKUP(Results!A588,Geometry!$B$6:$B$10000,Geometry!$C$6:$C$10000)</f>
        <v>0</v>
      </c>
      <c r="T588" s="69"/>
      <c r="U588" s="69"/>
    </row>
    <row r="589" spans="19:21" ht="15" customHeight="1" x14ac:dyDescent="0.2">
      <c r="S589" s="69">
        <f>_xlfn.XLOOKUP(Results!A589,Geometry!$B$6:$B$10000,Geometry!$C$6:$C$10000)</f>
        <v>0</v>
      </c>
      <c r="T589" s="69"/>
      <c r="U589" s="69"/>
    </row>
    <row r="590" spans="19:21" ht="15" customHeight="1" x14ac:dyDescent="0.2">
      <c r="S590" s="69">
        <f>_xlfn.XLOOKUP(Results!A590,Geometry!$B$6:$B$10000,Geometry!$C$6:$C$10000)</f>
        <v>0</v>
      </c>
      <c r="T590" s="69"/>
      <c r="U590" s="69"/>
    </row>
    <row r="591" spans="19:21" ht="15" customHeight="1" x14ac:dyDescent="0.2">
      <c r="S591" s="69">
        <f>_xlfn.XLOOKUP(Results!A591,Geometry!$B$6:$B$10000,Geometry!$C$6:$C$10000)</f>
        <v>0</v>
      </c>
      <c r="T591" s="69"/>
      <c r="U591" s="69"/>
    </row>
    <row r="592" spans="19:21" ht="15" customHeight="1" x14ac:dyDescent="0.2">
      <c r="S592" s="69">
        <f>_xlfn.XLOOKUP(Results!A592,Geometry!$B$6:$B$10000,Geometry!$C$6:$C$10000)</f>
        <v>0</v>
      </c>
      <c r="T592" s="69"/>
      <c r="U592" s="69"/>
    </row>
    <row r="593" spans="19:21" ht="15" customHeight="1" x14ac:dyDescent="0.2">
      <c r="S593" s="69">
        <f>_xlfn.XLOOKUP(Results!A593,Geometry!$B$6:$B$10000,Geometry!$C$6:$C$10000)</f>
        <v>0</v>
      </c>
      <c r="T593" s="69"/>
      <c r="U593" s="69"/>
    </row>
    <row r="594" spans="19:21" ht="15" customHeight="1" x14ac:dyDescent="0.2">
      <c r="S594" s="69">
        <f>_xlfn.XLOOKUP(Results!A594,Geometry!$B$6:$B$10000,Geometry!$C$6:$C$10000)</f>
        <v>0</v>
      </c>
      <c r="T594" s="69"/>
      <c r="U594" s="69"/>
    </row>
    <row r="595" spans="19:21" ht="15" customHeight="1" x14ac:dyDescent="0.2">
      <c r="S595" s="69">
        <f>_xlfn.XLOOKUP(Results!A595,Geometry!$B$6:$B$10000,Geometry!$C$6:$C$10000)</f>
        <v>0</v>
      </c>
      <c r="T595" s="69"/>
      <c r="U595" s="69"/>
    </row>
    <row r="596" spans="19:21" ht="15" customHeight="1" x14ac:dyDescent="0.2">
      <c r="S596" s="69">
        <f>_xlfn.XLOOKUP(Results!A596,Geometry!$B$6:$B$10000,Geometry!$C$6:$C$10000)</f>
        <v>0</v>
      </c>
      <c r="T596" s="69"/>
      <c r="U596" s="69"/>
    </row>
    <row r="597" spans="19:21" ht="15" customHeight="1" x14ac:dyDescent="0.2">
      <c r="S597" s="69">
        <f>_xlfn.XLOOKUP(Results!A597,Geometry!$B$6:$B$10000,Geometry!$C$6:$C$10000)</f>
        <v>0</v>
      </c>
      <c r="T597" s="69"/>
      <c r="U597" s="69"/>
    </row>
    <row r="598" spans="19:21" ht="15" customHeight="1" x14ac:dyDescent="0.2">
      <c r="S598" s="69">
        <f>_xlfn.XLOOKUP(Results!A598,Geometry!$B$6:$B$10000,Geometry!$C$6:$C$10000)</f>
        <v>0</v>
      </c>
      <c r="T598" s="69"/>
      <c r="U598" s="69"/>
    </row>
    <row r="599" spans="19:21" ht="15" customHeight="1" x14ac:dyDescent="0.2">
      <c r="S599" s="69">
        <f>_xlfn.XLOOKUP(Results!A599,Geometry!$B$6:$B$10000,Geometry!$C$6:$C$10000)</f>
        <v>0</v>
      </c>
      <c r="T599" s="69"/>
      <c r="U599" s="69"/>
    </row>
    <row r="600" spans="19:21" ht="15" customHeight="1" x14ac:dyDescent="0.2">
      <c r="S600" s="69">
        <f>_xlfn.XLOOKUP(Results!A600,Geometry!$B$6:$B$10000,Geometry!$C$6:$C$10000)</f>
        <v>0</v>
      </c>
      <c r="T600" s="69"/>
      <c r="U600" s="69"/>
    </row>
    <row r="601" spans="19:21" ht="15" customHeight="1" x14ac:dyDescent="0.2">
      <c r="S601" s="69">
        <f>_xlfn.XLOOKUP(Results!A601,Geometry!$B$6:$B$10000,Geometry!$C$6:$C$10000)</f>
        <v>0</v>
      </c>
      <c r="T601" s="69"/>
      <c r="U601" s="69"/>
    </row>
    <row r="602" spans="19:21" ht="15" customHeight="1" x14ac:dyDescent="0.2">
      <c r="S602" s="69">
        <f>_xlfn.XLOOKUP(Results!A602,Geometry!$B$6:$B$10000,Geometry!$C$6:$C$10000)</f>
        <v>0</v>
      </c>
      <c r="T602" s="69"/>
      <c r="U602" s="69"/>
    </row>
    <row r="603" spans="19:21" ht="15" customHeight="1" x14ac:dyDescent="0.2">
      <c r="S603" s="69">
        <f>_xlfn.XLOOKUP(Results!A603,Geometry!$B$6:$B$10000,Geometry!$C$6:$C$10000)</f>
        <v>0</v>
      </c>
      <c r="T603" s="69"/>
      <c r="U603" s="69"/>
    </row>
    <row r="604" spans="19:21" ht="15" customHeight="1" x14ac:dyDescent="0.2">
      <c r="S604" s="69">
        <f>_xlfn.XLOOKUP(Results!A604,Geometry!$B$6:$B$10000,Geometry!$C$6:$C$10000)</f>
        <v>0</v>
      </c>
      <c r="T604" s="69"/>
      <c r="U604" s="69"/>
    </row>
    <row r="605" spans="19:21" ht="15" customHeight="1" x14ac:dyDescent="0.2">
      <c r="S605" s="69">
        <f>_xlfn.XLOOKUP(Results!A605,Geometry!$B$6:$B$10000,Geometry!$C$6:$C$10000)</f>
        <v>0</v>
      </c>
      <c r="T605" s="69"/>
      <c r="U605" s="69"/>
    </row>
    <row r="606" spans="19:21" ht="15" customHeight="1" x14ac:dyDescent="0.2">
      <c r="S606" s="69">
        <f>_xlfn.XLOOKUP(Results!A606,Geometry!$B$6:$B$10000,Geometry!$C$6:$C$10000)</f>
        <v>0</v>
      </c>
      <c r="T606" s="69"/>
      <c r="U606" s="69"/>
    </row>
    <row r="607" spans="19:21" ht="15" customHeight="1" x14ac:dyDescent="0.2">
      <c r="S607" s="69">
        <f>_xlfn.XLOOKUP(Results!A607,Geometry!$B$6:$B$10000,Geometry!$C$6:$C$10000)</f>
        <v>0</v>
      </c>
      <c r="T607" s="69"/>
      <c r="U607" s="69"/>
    </row>
    <row r="608" spans="19:21" ht="15" customHeight="1" x14ac:dyDescent="0.2">
      <c r="S608" s="69">
        <f>_xlfn.XLOOKUP(Results!A608,Geometry!$B$6:$B$10000,Geometry!$C$6:$C$10000)</f>
        <v>0</v>
      </c>
      <c r="T608" s="69"/>
      <c r="U608" s="69"/>
    </row>
    <row r="609" spans="19:21" ht="15" customHeight="1" x14ac:dyDescent="0.2">
      <c r="S609" s="69">
        <f>_xlfn.XLOOKUP(Results!A609,Geometry!$B$6:$B$10000,Geometry!$C$6:$C$10000)</f>
        <v>0</v>
      </c>
      <c r="T609" s="69"/>
      <c r="U609" s="69"/>
    </row>
    <row r="610" spans="19:21" ht="15" customHeight="1" x14ac:dyDescent="0.2">
      <c r="S610" s="69">
        <f>_xlfn.XLOOKUP(Results!A610,Geometry!$B$6:$B$10000,Geometry!$C$6:$C$10000)</f>
        <v>0</v>
      </c>
      <c r="T610" s="69"/>
      <c r="U610" s="69"/>
    </row>
    <row r="611" spans="19:21" ht="15" customHeight="1" x14ac:dyDescent="0.2">
      <c r="S611" s="69">
        <f>_xlfn.XLOOKUP(Results!A611,Geometry!$B$6:$B$10000,Geometry!$C$6:$C$10000)</f>
        <v>0</v>
      </c>
      <c r="T611" s="69"/>
      <c r="U611" s="69"/>
    </row>
    <row r="612" spans="19:21" ht="15" customHeight="1" x14ac:dyDescent="0.2">
      <c r="S612" s="69">
        <f>_xlfn.XLOOKUP(Results!A612,Geometry!$B$6:$B$10000,Geometry!$C$6:$C$10000)</f>
        <v>0</v>
      </c>
      <c r="T612" s="69"/>
      <c r="U612" s="69"/>
    </row>
    <row r="613" spans="19:21" ht="15" customHeight="1" x14ac:dyDescent="0.2">
      <c r="S613" s="69">
        <f>_xlfn.XLOOKUP(Results!A613,Geometry!$B$6:$B$10000,Geometry!$C$6:$C$10000)</f>
        <v>0</v>
      </c>
      <c r="T613" s="69"/>
      <c r="U613" s="69"/>
    </row>
    <row r="614" spans="19:21" ht="15" customHeight="1" x14ac:dyDescent="0.2">
      <c r="S614" s="69">
        <f>_xlfn.XLOOKUP(Results!A614,Geometry!$B$6:$B$10000,Geometry!$C$6:$C$10000)</f>
        <v>0</v>
      </c>
      <c r="T614" s="69"/>
      <c r="U614" s="69"/>
    </row>
    <row r="615" spans="19:21" ht="15" customHeight="1" x14ac:dyDescent="0.2">
      <c r="S615" s="69">
        <f>_xlfn.XLOOKUP(Results!A615,Geometry!$B$6:$B$10000,Geometry!$C$6:$C$10000)</f>
        <v>0</v>
      </c>
      <c r="T615" s="69"/>
      <c r="U615" s="69"/>
    </row>
    <row r="616" spans="19:21" ht="15" customHeight="1" x14ac:dyDescent="0.2">
      <c r="S616" s="69">
        <f>_xlfn.XLOOKUP(Results!A616,Geometry!$B$6:$B$10000,Geometry!$C$6:$C$10000)</f>
        <v>0</v>
      </c>
      <c r="T616" s="69"/>
      <c r="U616" s="69"/>
    </row>
    <row r="617" spans="19:21" ht="15" customHeight="1" x14ac:dyDescent="0.2">
      <c r="S617" s="69">
        <f>_xlfn.XLOOKUP(Results!A617,Geometry!$B$6:$B$10000,Geometry!$C$6:$C$10000)</f>
        <v>0</v>
      </c>
      <c r="T617" s="69"/>
      <c r="U617" s="69"/>
    </row>
    <row r="618" spans="19:21" ht="15" customHeight="1" x14ac:dyDescent="0.2">
      <c r="S618" s="69">
        <f>_xlfn.XLOOKUP(Results!A618,Geometry!$B$6:$B$10000,Geometry!$C$6:$C$10000)</f>
        <v>0</v>
      </c>
      <c r="T618" s="69"/>
      <c r="U618" s="69"/>
    </row>
    <row r="619" spans="19:21" ht="15" customHeight="1" x14ac:dyDescent="0.2">
      <c r="S619" s="69">
        <f>_xlfn.XLOOKUP(Results!A619,Geometry!$B$6:$B$10000,Geometry!$C$6:$C$10000)</f>
        <v>0</v>
      </c>
      <c r="T619" s="69"/>
      <c r="U619" s="69"/>
    </row>
    <row r="620" spans="19:21" ht="15" customHeight="1" x14ac:dyDescent="0.2">
      <c r="S620" s="69">
        <f>_xlfn.XLOOKUP(Results!A620,Geometry!$B$6:$B$10000,Geometry!$C$6:$C$10000)</f>
        <v>0</v>
      </c>
      <c r="T620" s="69"/>
      <c r="U620" s="69"/>
    </row>
    <row r="621" spans="19:21" ht="15" customHeight="1" x14ac:dyDescent="0.2">
      <c r="S621" s="69">
        <f>_xlfn.XLOOKUP(Results!A621,Geometry!$B$6:$B$10000,Geometry!$C$6:$C$10000)</f>
        <v>0</v>
      </c>
      <c r="T621" s="69"/>
      <c r="U621" s="69"/>
    </row>
    <row r="622" spans="19:21" ht="15" customHeight="1" x14ac:dyDescent="0.2">
      <c r="S622" s="69">
        <f>_xlfn.XLOOKUP(Results!A622,Geometry!$B$6:$B$10000,Geometry!$C$6:$C$10000)</f>
        <v>0</v>
      </c>
      <c r="T622" s="69"/>
      <c r="U622" s="69"/>
    </row>
    <row r="623" spans="19:21" ht="15" customHeight="1" x14ac:dyDescent="0.2">
      <c r="S623" s="69">
        <f>_xlfn.XLOOKUP(Results!A623,Geometry!$B$6:$B$10000,Geometry!$C$6:$C$10000)</f>
        <v>0</v>
      </c>
      <c r="T623" s="69"/>
      <c r="U623" s="69"/>
    </row>
    <row r="624" spans="19:21" ht="15" customHeight="1" x14ac:dyDescent="0.2">
      <c r="S624" s="69">
        <f>_xlfn.XLOOKUP(Results!A624,Geometry!$B$6:$B$10000,Geometry!$C$6:$C$10000)</f>
        <v>0</v>
      </c>
      <c r="T624" s="69"/>
      <c r="U624" s="69"/>
    </row>
    <row r="625" spans="19:21" ht="15" customHeight="1" x14ac:dyDescent="0.2">
      <c r="S625" s="69">
        <f>_xlfn.XLOOKUP(Results!A625,Geometry!$B$6:$B$10000,Geometry!$C$6:$C$10000)</f>
        <v>0</v>
      </c>
      <c r="T625" s="69"/>
      <c r="U625" s="69"/>
    </row>
    <row r="626" spans="19:21" ht="15" customHeight="1" x14ac:dyDescent="0.2">
      <c r="S626" s="69">
        <f>_xlfn.XLOOKUP(Results!A626,Geometry!$B$6:$B$10000,Geometry!$C$6:$C$10000)</f>
        <v>0</v>
      </c>
      <c r="T626" s="69"/>
      <c r="U626" s="69"/>
    </row>
    <row r="627" spans="19:21" ht="15" customHeight="1" x14ac:dyDescent="0.2">
      <c r="S627" s="69">
        <f>_xlfn.XLOOKUP(Results!A627,Geometry!$B$6:$B$10000,Geometry!$C$6:$C$10000)</f>
        <v>0</v>
      </c>
      <c r="T627" s="69"/>
      <c r="U627" s="69"/>
    </row>
    <row r="628" spans="19:21" ht="15" customHeight="1" x14ac:dyDescent="0.2">
      <c r="S628" s="69">
        <f>_xlfn.XLOOKUP(Results!A628,Geometry!$B$6:$B$10000,Geometry!$C$6:$C$10000)</f>
        <v>0</v>
      </c>
      <c r="T628" s="69"/>
      <c r="U628" s="69"/>
    </row>
    <row r="629" spans="19:21" ht="15" customHeight="1" x14ac:dyDescent="0.2">
      <c r="S629" s="69">
        <f>_xlfn.XLOOKUP(Results!A629,Geometry!$B$6:$B$10000,Geometry!$C$6:$C$10000)</f>
        <v>0</v>
      </c>
      <c r="T629" s="69"/>
      <c r="U629" s="69"/>
    </row>
    <row r="630" spans="19:21" ht="15" customHeight="1" x14ac:dyDescent="0.2">
      <c r="S630" s="69">
        <f>_xlfn.XLOOKUP(Results!A630,Geometry!$B$6:$B$10000,Geometry!$C$6:$C$10000)</f>
        <v>0</v>
      </c>
      <c r="T630" s="69"/>
      <c r="U630" s="69"/>
    </row>
    <row r="631" spans="19:21" ht="15" customHeight="1" x14ac:dyDescent="0.2">
      <c r="S631" s="69">
        <f>_xlfn.XLOOKUP(Results!A631,Geometry!$B$6:$B$10000,Geometry!$C$6:$C$10000)</f>
        <v>0</v>
      </c>
      <c r="T631" s="69"/>
      <c r="U631" s="69"/>
    </row>
    <row r="632" spans="19:21" ht="15" customHeight="1" x14ac:dyDescent="0.2">
      <c r="S632" s="69">
        <f>_xlfn.XLOOKUP(Results!A632,Geometry!$B$6:$B$10000,Geometry!$C$6:$C$10000)</f>
        <v>0</v>
      </c>
      <c r="T632" s="69"/>
      <c r="U632" s="69"/>
    </row>
    <row r="633" spans="19:21" ht="15" customHeight="1" x14ac:dyDescent="0.2">
      <c r="S633" s="69">
        <f>_xlfn.XLOOKUP(Results!A633,Geometry!$B$6:$B$10000,Geometry!$C$6:$C$10000)</f>
        <v>0</v>
      </c>
      <c r="T633" s="69"/>
      <c r="U633" s="69"/>
    </row>
    <row r="634" spans="19:21" ht="15" customHeight="1" x14ac:dyDescent="0.2">
      <c r="S634" s="69">
        <f>_xlfn.XLOOKUP(Results!A634,Geometry!$B$6:$B$10000,Geometry!$C$6:$C$10000)</f>
        <v>0</v>
      </c>
      <c r="T634" s="69"/>
      <c r="U634" s="69"/>
    </row>
    <row r="635" spans="19:21" ht="15" customHeight="1" x14ac:dyDescent="0.2">
      <c r="S635" s="69">
        <f>_xlfn.XLOOKUP(Results!A635,Geometry!$B$6:$B$10000,Geometry!$C$6:$C$10000)</f>
        <v>0</v>
      </c>
      <c r="T635" s="69"/>
      <c r="U635" s="69"/>
    </row>
    <row r="636" spans="19:21" ht="15" customHeight="1" x14ac:dyDescent="0.2">
      <c r="S636" s="69">
        <f>_xlfn.XLOOKUP(Results!A636,Geometry!$B$6:$B$10000,Geometry!$C$6:$C$10000)</f>
        <v>0</v>
      </c>
      <c r="T636" s="69"/>
      <c r="U636" s="69"/>
    </row>
    <row r="637" spans="19:21" ht="15" customHeight="1" x14ac:dyDescent="0.2">
      <c r="S637" s="69">
        <f>_xlfn.XLOOKUP(Results!A637,Geometry!$B$6:$B$10000,Geometry!$C$6:$C$10000)</f>
        <v>0</v>
      </c>
      <c r="T637" s="69"/>
      <c r="U637" s="69"/>
    </row>
    <row r="638" spans="19:21" ht="15" customHeight="1" x14ac:dyDescent="0.2">
      <c r="S638" s="69">
        <f>_xlfn.XLOOKUP(Results!A638,Geometry!$B$6:$B$10000,Geometry!$C$6:$C$10000)</f>
        <v>0</v>
      </c>
      <c r="T638" s="69"/>
      <c r="U638" s="69"/>
    </row>
    <row r="639" spans="19:21" ht="15" customHeight="1" x14ac:dyDescent="0.2">
      <c r="S639" s="69">
        <f>_xlfn.XLOOKUP(Results!A639,Geometry!$B$6:$B$10000,Geometry!$C$6:$C$10000)</f>
        <v>0</v>
      </c>
      <c r="T639" s="69"/>
      <c r="U639" s="69"/>
    </row>
    <row r="640" spans="19:21" ht="15" customHeight="1" x14ac:dyDescent="0.2">
      <c r="S640" s="69">
        <f>_xlfn.XLOOKUP(Results!A640,Geometry!$B$6:$B$10000,Geometry!$C$6:$C$10000)</f>
        <v>0</v>
      </c>
      <c r="T640" s="69"/>
      <c r="U640" s="69"/>
    </row>
    <row r="641" spans="19:21" ht="15" customHeight="1" x14ac:dyDescent="0.2">
      <c r="S641" s="69">
        <f>_xlfn.XLOOKUP(Results!A641,Geometry!$B$6:$B$10000,Geometry!$C$6:$C$10000)</f>
        <v>0</v>
      </c>
      <c r="T641" s="69"/>
      <c r="U641" s="69"/>
    </row>
    <row r="642" spans="19:21" ht="15" customHeight="1" x14ac:dyDescent="0.2">
      <c r="S642" s="69">
        <f>_xlfn.XLOOKUP(Results!A642,Geometry!$B$6:$B$10000,Geometry!$C$6:$C$10000)</f>
        <v>0</v>
      </c>
      <c r="T642" s="69"/>
      <c r="U642" s="69"/>
    </row>
    <row r="643" spans="19:21" ht="15" customHeight="1" x14ac:dyDescent="0.2">
      <c r="S643" s="69">
        <f>_xlfn.XLOOKUP(Results!A643,Geometry!$B$6:$B$10000,Geometry!$C$6:$C$10000)</f>
        <v>0</v>
      </c>
      <c r="T643" s="69"/>
      <c r="U643" s="69"/>
    </row>
    <row r="644" spans="19:21" ht="15" customHeight="1" x14ac:dyDescent="0.2">
      <c r="S644" s="69">
        <f>_xlfn.XLOOKUP(Results!A644,Geometry!$B$6:$B$10000,Geometry!$C$6:$C$10000)</f>
        <v>0</v>
      </c>
      <c r="T644" s="69"/>
      <c r="U644" s="69"/>
    </row>
    <row r="645" spans="19:21" ht="15" customHeight="1" x14ac:dyDescent="0.2">
      <c r="S645" s="69">
        <f>_xlfn.XLOOKUP(Results!A645,Geometry!$B$6:$B$10000,Geometry!$C$6:$C$10000)</f>
        <v>0</v>
      </c>
      <c r="T645" s="69"/>
      <c r="U645" s="69"/>
    </row>
    <row r="646" spans="19:21" ht="15" customHeight="1" x14ac:dyDescent="0.2">
      <c r="S646" s="69">
        <f>_xlfn.XLOOKUP(Results!A646,Geometry!$B$6:$B$10000,Geometry!$C$6:$C$10000)</f>
        <v>0</v>
      </c>
      <c r="T646" s="69"/>
      <c r="U646" s="69"/>
    </row>
    <row r="647" spans="19:21" ht="15" customHeight="1" x14ac:dyDescent="0.2">
      <c r="S647" s="69">
        <f>_xlfn.XLOOKUP(Results!A647,Geometry!$B$6:$B$10000,Geometry!$C$6:$C$10000)</f>
        <v>0</v>
      </c>
      <c r="T647" s="69"/>
      <c r="U647" s="69"/>
    </row>
    <row r="648" spans="19:21" ht="15" customHeight="1" x14ac:dyDescent="0.2">
      <c r="S648" s="69">
        <f>_xlfn.XLOOKUP(Results!A648,Geometry!$B$6:$B$10000,Geometry!$C$6:$C$10000)</f>
        <v>0</v>
      </c>
      <c r="T648" s="69"/>
      <c r="U648" s="69"/>
    </row>
    <row r="649" spans="19:21" ht="15" customHeight="1" x14ac:dyDescent="0.2">
      <c r="S649" s="69">
        <f>_xlfn.XLOOKUP(Results!A649,Geometry!$B$6:$B$10000,Geometry!$C$6:$C$10000)</f>
        <v>0</v>
      </c>
      <c r="T649" s="69"/>
      <c r="U649" s="69"/>
    </row>
    <row r="650" spans="19:21" ht="15" customHeight="1" x14ac:dyDescent="0.2">
      <c r="S650" s="69">
        <f>_xlfn.XLOOKUP(Results!A650,Geometry!$B$6:$B$10000,Geometry!$C$6:$C$10000)</f>
        <v>0</v>
      </c>
      <c r="T650" s="69"/>
      <c r="U650" s="69"/>
    </row>
    <row r="651" spans="19:21" ht="15" customHeight="1" x14ac:dyDescent="0.2">
      <c r="S651" s="69">
        <f>_xlfn.XLOOKUP(Results!A651,Geometry!$B$6:$B$10000,Geometry!$C$6:$C$10000)</f>
        <v>0</v>
      </c>
      <c r="T651" s="69"/>
      <c r="U651" s="69"/>
    </row>
    <row r="652" spans="19:21" ht="15" customHeight="1" x14ac:dyDescent="0.2">
      <c r="S652" s="69">
        <f>_xlfn.XLOOKUP(Results!A652,Geometry!$B$6:$B$10000,Geometry!$C$6:$C$10000)</f>
        <v>0</v>
      </c>
      <c r="T652" s="69"/>
      <c r="U652" s="69"/>
    </row>
    <row r="653" spans="19:21" ht="15" customHeight="1" x14ac:dyDescent="0.2">
      <c r="S653" s="69">
        <f>_xlfn.XLOOKUP(Results!A653,Geometry!$B$6:$B$10000,Geometry!$C$6:$C$10000)</f>
        <v>0</v>
      </c>
      <c r="T653" s="69"/>
      <c r="U653" s="69"/>
    </row>
    <row r="654" spans="19:21" ht="15" customHeight="1" x14ac:dyDescent="0.2">
      <c r="S654" s="69">
        <f>_xlfn.XLOOKUP(Results!A654,Geometry!$B$6:$B$10000,Geometry!$C$6:$C$10000)</f>
        <v>0</v>
      </c>
      <c r="T654" s="69"/>
      <c r="U654" s="69"/>
    </row>
    <row r="655" spans="19:21" ht="15" customHeight="1" x14ac:dyDescent="0.2">
      <c r="S655" s="69">
        <f>_xlfn.XLOOKUP(Results!A655,Geometry!$B$6:$B$10000,Geometry!$C$6:$C$10000)</f>
        <v>0</v>
      </c>
      <c r="T655" s="69"/>
      <c r="U655" s="69"/>
    </row>
    <row r="656" spans="19:21" ht="15" customHeight="1" x14ac:dyDescent="0.2">
      <c r="S656" s="69">
        <f>_xlfn.XLOOKUP(Results!A656,Geometry!$B$6:$B$10000,Geometry!$C$6:$C$10000)</f>
        <v>0</v>
      </c>
      <c r="T656" s="69"/>
      <c r="U656" s="69"/>
    </row>
    <row r="657" spans="19:21" ht="15" customHeight="1" x14ac:dyDescent="0.2">
      <c r="S657" s="69">
        <f>_xlfn.XLOOKUP(Results!A657,Geometry!$B$6:$B$10000,Geometry!$C$6:$C$10000)</f>
        <v>0</v>
      </c>
      <c r="T657" s="69"/>
      <c r="U657" s="69"/>
    </row>
    <row r="658" spans="19:21" ht="15" customHeight="1" x14ac:dyDescent="0.2">
      <c r="S658" s="69">
        <f>_xlfn.XLOOKUP(Results!A658,Geometry!$B$6:$B$10000,Geometry!$C$6:$C$10000)</f>
        <v>0</v>
      </c>
      <c r="T658" s="69"/>
      <c r="U658" s="69"/>
    </row>
    <row r="659" spans="19:21" ht="15" customHeight="1" x14ac:dyDescent="0.2">
      <c r="S659" s="69">
        <f>_xlfn.XLOOKUP(Results!A659,Geometry!$B$6:$B$10000,Geometry!$C$6:$C$10000)</f>
        <v>0</v>
      </c>
      <c r="T659" s="69"/>
      <c r="U659" s="69"/>
    </row>
    <row r="660" spans="19:21" ht="15" customHeight="1" x14ac:dyDescent="0.2">
      <c r="S660" s="69">
        <f>_xlfn.XLOOKUP(Results!A660,Geometry!$B$6:$B$10000,Geometry!$C$6:$C$10000)</f>
        <v>0</v>
      </c>
      <c r="T660" s="69"/>
      <c r="U660" s="69"/>
    </row>
    <row r="661" spans="19:21" ht="15" customHeight="1" x14ac:dyDescent="0.2">
      <c r="S661" s="69">
        <f>_xlfn.XLOOKUP(Results!A661,Geometry!$B$6:$B$10000,Geometry!$C$6:$C$10000)</f>
        <v>0</v>
      </c>
      <c r="T661" s="69"/>
      <c r="U661" s="69"/>
    </row>
    <row r="662" spans="19:21" ht="15" customHeight="1" x14ac:dyDescent="0.2">
      <c r="S662" s="69">
        <f>_xlfn.XLOOKUP(Results!A662,Geometry!$B$6:$B$10000,Geometry!$C$6:$C$10000)</f>
        <v>0</v>
      </c>
      <c r="T662" s="69"/>
      <c r="U662" s="69"/>
    </row>
    <row r="663" spans="19:21" ht="15" customHeight="1" x14ac:dyDescent="0.2">
      <c r="S663" s="69">
        <f>_xlfn.XLOOKUP(Results!A663,Geometry!$B$6:$B$10000,Geometry!$C$6:$C$10000)</f>
        <v>0</v>
      </c>
      <c r="T663" s="69"/>
      <c r="U663" s="69"/>
    </row>
    <row r="664" spans="19:21" ht="15" customHeight="1" x14ac:dyDescent="0.2">
      <c r="S664" s="69">
        <f>_xlfn.XLOOKUP(Results!A664,Geometry!$B$6:$B$10000,Geometry!$C$6:$C$10000)</f>
        <v>0</v>
      </c>
      <c r="T664" s="69"/>
      <c r="U664" s="69"/>
    </row>
    <row r="665" spans="19:21" ht="15" customHeight="1" x14ac:dyDescent="0.2">
      <c r="S665" s="69">
        <f>_xlfn.XLOOKUP(Results!A665,Geometry!$B$6:$B$10000,Geometry!$C$6:$C$10000)</f>
        <v>0</v>
      </c>
      <c r="T665" s="69"/>
      <c r="U665" s="69"/>
    </row>
    <row r="666" spans="19:21" ht="15" customHeight="1" x14ac:dyDescent="0.2">
      <c r="S666" s="69">
        <f>_xlfn.XLOOKUP(Results!A666,Geometry!$B$6:$B$10000,Geometry!$C$6:$C$10000)</f>
        <v>0</v>
      </c>
      <c r="T666" s="69"/>
      <c r="U666" s="69"/>
    </row>
    <row r="667" spans="19:21" ht="15" customHeight="1" x14ac:dyDescent="0.2">
      <c r="S667" s="69">
        <f>_xlfn.XLOOKUP(Results!A667,Geometry!$B$6:$B$10000,Geometry!$C$6:$C$10000)</f>
        <v>0</v>
      </c>
      <c r="T667" s="69"/>
      <c r="U667" s="69"/>
    </row>
    <row r="668" spans="19:21" ht="15" customHeight="1" x14ac:dyDescent="0.2">
      <c r="S668" s="69">
        <f>_xlfn.XLOOKUP(Results!A668,Geometry!$B$6:$B$10000,Geometry!$C$6:$C$10000)</f>
        <v>0</v>
      </c>
      <c r="T668" s="69"/>
      <c r="U668" s="69"/>
    </row>
    <row r="669" spans="19:21" ht="15" customHeight="1" x14ac:dyDescent="0.2">
      <c r="S669" s="69">
        <f>_xlfn.XLOOKUP(Results!A669,Geometry!$B$6:$B$10000,Geometry!$C$6:$C$10000)</f>
        <v>0</v>
      </c>
      <c r="T669" s="69"/>
      <c r="U669" s="69"/>
    </row>
    <row r="670" spans="19:21" ht="15" customHeight="1" x14ac:dyDescent="0.2">
      <c r="S670" s="69">
        <f>_xlfn.XLOOKUP(Results!A670,Geometry!$B$6:$B$10000,Geometry!$C$6:$C$10000)</f>
        <v>0</v>
      </c>
      <c r="T670" s="69"/>
      <c r="U670" s="69"/>
    </row>
    <row r="671" spans="19:21" ht="15" customHeight="1" x14ac:dyDescent="0.2">
      <c r="S671" s="69">
        <f>_xlfn.XLOOKUP(Results!A671,Geometry!$B$6:$B$10000,Geometry!$C$6:$C$10000)</f>
        <v>0</v>
      </c>
      <c r="T671" s="69"/>
      <c r="U671" s="69"/>
    </row>
    <row r="672" spans="19:21" ht="15" customHeight="1" x14ac:dyDescent="0.2">
      <c r="S672" s="69">
        <f>_xlfn.XLOOKUP(Results!A672,Geometry!$B$6:$B$10000,Geometry!$C$6:$C$10000)</f>
        <v>0</v>
      </c>
      <c r="T672" s="69"/>
      <c r="U672" s="69"/>
    </row>
    <row r="673" spans="19:21" ht="15" customHeight="1" x14ac:dyDescent="0.2">
      <c r="S673" s="69">
        <f>_xlfn.XLOOKUP(Results!A673,Geometry!$B$6:$B$10000,Geometry!$C$6:$C$10000)</f>
        <v>0</v>
      </c>
      <c r="T673" s="69"/>
      <c r="U673" s="69"/>
    </row>
    <row r="674" spans="19:21" ht="15" customHeight="1" x14ac:dyDescent="0.2">
      <c r="S674" s="69">
        <f>_xlfn.XLOOKUP(Results!A674,Geometry!$B$6:$B$10000,Geometry!$C$6:$C$10000)</f>
        <v>0</v>
      </c>
      <c r="T674" s="69"/>
      <c r="U674" s="69"/>
    </row>
    <row r="675" spans="19:21" ht="15" customHeight="1" x14ac:dyDescent="0.2">
      <c r="S675" s="69">
        <f>_xlfn.XLOOKUP(Results!A675,Geometry!$B$6:$B$10000,Geometry!$C$6:$C$10000)</f>
        <v>0</v>
      </c>
      <c r="T675" s="69"/>
      <c r="U675" s="69"/>
    </row>
    <row r="676" spans="19:21" ht="15" customHeight="1" x14ac:dyDescent="0.2">
      <c r="S676" s="69">
        <f>_xlfn.XLOOKUP(Results!A676,Geometry!$B$6:$B$10000,Geometry!$C$6:$C$10000)</f>
        <v>0</v>
      </c>
      <c r="T676" s="69"/>
      <c r="U676" s="69"/>
    </row>
    <row r="677" spans="19:21" ht="15" customHeight="1" x14ac:dyDescent="0.2">
      <c r="S677" s="69">
        <f>_xlfn.XLOOKUP(Results!A677,Geometry!$B$6:$B$10000,Geometry!$C$6:$C$10000)</f>
        <v>0</v>
      </c>
      <c r="T677" s="69"/>
      <c r="U677" s="69"/>
    </row>
    <row r="678" spans="19:21" ht="15" customHeight="1" x14ac:dyDescent="0.2">
      <c r="S678" s="69">
        <f>_xlfn.XLOOKUP(Results!A678,Geometry!$B$6:$B$10000,Geometry!$C$6:$C$10000)</f>
        <v>0</v>
      </c>
      <c r="T678" s="69"/>
      <c r="U678" s="69"/>
    </row>
    <row r="679" spans="19:21" ht="15" customHeight="1" x14ac:dyDescent="0.2">
      <c r="S679" s="69">
        <f>_xlfn.XLOOKUP(Results!A679,Geometry!$B$6:$B$10000,Geometry!$C$6:$C$10000)</f>
        <v>0</v>
      </c>
      <c r="T679" s="69"/>
      <c r="U679" s="69"/>
    </row>
    <row r="680" spans="19:21" ht="15" customHeight="1" x14ac:dyDescent="0.2">
      <c r="S680" s="69">
        <f>_xlfn.XLOOKUP(Results!A680,Geometry!$B$6:$B$10000,Geometry!$C$6:$C$10000)</f>
        <v>0</v>
      </c>
      <c r="T680" s="69"/>
      <c r="U680" s="69"/>
    </row>
    <row r="681" spans="19:21" ht="15" customHeight="1" x14ac:dyDescent="0.2">
      <c r="S681" s="69">
        <f>_xlfn.XLOOKUP(Results!A681,Geometry!$B$6:$B$10000,Geometry!$C$6:$C$10000)</f>
        <v>0</v>
      </c>
      <c r="T681" s="69"/>
      <c r="U681" s="69"/>
    </row>
    <row r="682" spans="19:21" ht="15" customHeight="1" x14ac:dyDescent="0.2">
      <c r="S682" s="69">
        <f>_xlfn.XLOOKUP(Results!A682,Geometry!$B$6:$B$10000,Geometry!$C$6:$C$10000)</f>
        <v>0</v>
      </c>
      <c r="T682" s="69"/>
      <c r="U682" s="69"/>
    </row>
    <row r="683" spans="19:21" ht="15" customHeight="1" x14ac:dyDescent="0.2">
      <c r="S683" s="69">
        <f>_xlfn.XLOOKUP(Results!A683,Geometry!$B$6:$B$10000,Geometry!$C$6:$C$10000)</f>
        <v>0</v>
      </c>
      <c r="T683" s="69"/>
      <c r="U683" s="69"/>
    </row>
    <row r="684" spans="19:21" ht="15" customHeight="1" x14ac:dyDescent="0.2">
      <c r="S684" s="69">
        <f>_xlfn.XLOOKUP(Results!A684,Geometry!$B$6:$B$10000,Geometry!$C$6:$C$10000)</f>
        <v>0</v>
      </c>
      <c r="T684" s="69"/>
      <c r="U684" s="69"/>
    </row>
    <row r="685" spans="19:21" ht="15" customHeight="1" x14ac:dyDescent="0.2">
      <c r="S685" s="69">
        <f>_xlfn.XLOOKUP(Results!A685,Geometry!$B$6:$B$10000,Geometry!$C$6:$C$10000)</f>
        <v>0</v>
      </c>
      <c r="T685" s="69"/>
      <c r="U685" s="69"/>
    </row>
    <row r="686" spans="19:21" ht="15" customHeight="1" x14ac:dyDescent="0.2">
      <c r="S686" s="69">
        <f>_xlfn.XLOOKUP(Results!A686,Geometry!$B$6:$B$10000,Geometry!$C$6:$C$10000)</f>
        <v>0</v>
      </c>
      <c r="T686" s="69"/>
      <c r="U686" s="69"/>
    </row>
    <row r="687" spans="19:21" ht="15" customHeight="1" x14ac:dyDescent="0.2">
      <c r="S687" s="69">
        <f>_xlfn.XLOOKUP(Results!A687,Geometry!$B$6:$B$10000,Geometry!$C$6:$C$10000)</f>
        <v>0</v>
      </c>
      <c r="T687" s="69"/>
      <c r="U687" s="69"/>
    </row>
    <row r="688" spans="19:21" ht="15" customHeight="1" x14ac:dyDescent="0.2">
      <c r="S688" s="69">
        <f>_xlfn.XLOOKUP(Results!A688,Geometry!$B$6:$B$10000,Geometry!$C$6:$C$10000)</f>
        <v>0</v>
      </c>
      <c r="T688" s="69"/>
      <c r="U688" s="69"/>
    </row>
    <row r="689" spans="19:21" ht="15" customHeight="1" x14ac:dyDescent="0.2">
      <c r="S689" s="69">
        <f>_xlfn.XLOOKUP(Results!A689,Geometry!$B$6:$B$10000,Geometry!$C$6:$C$10000)</f>
        <v>0</v>
      </c>
      <c r="T689" s="69"/>
      <c r="U689" s="69"/>
    </row>
    <row r="690" spans="19:21" ht="15" customHeight="1" x14ac:dyDescent="0.2">
      <c r="S690" s="69">
        <f>_xlfn.XLOOKUP(Results!A690,Geometry!$B$6:$B$10000,Geometry!$C$6:$C$10000)</f>
        <v>0</v>
      </c>
      <c r="T690" s="69"/>
      <c r="U690" s="69"/>
    </row>
    <row r="691" spans="19:21" ht="15" customHeight="1" x14ac:dyDescent="0.2">
      <c r="S691" s="69">
        <f>_xlfn.XLOOKUP(Results!A691,Geometry!$B$6:$B$10000,Geometry!$C$6:$C$10000)</f>
        <v>0</v>
      </c>
      <c r="T691" s="69"/>
      <c r="U691" s="69"/>
    </row>
    <row r="692" spans="19:21" ht="15" customHeight="1" x14ac:dyDescent="0.2">
      <c r="S692" s="69">
        <f>_xlfn.XLOOKUP(Results!A692,Geometry!$B$6:$B$10000,Geometry!$C$6:$C$10000)</f>
        <v>0</v>
      </c>
      <c r="T692" s="69"/>
      <c r="U692" s="69"/>
    </row>
    <row r="693" spans="19:21" ht="15" customHeight="1" x14ac:dyDescent="0.2">
      <c r="S693" s="69">
        <f>_xlfn.XLOOKUP(Results!A693,Geometry!$B$6:$B$10000,Geometry!$C$6:$C$10000)</f>
        <v>0</v>
      </c>
      <c r="T693" s="69"/>
      <c r="U693" s="69"/>
    </row>
    <row r="694" spans="19:21" ht="15" customHeight="1" x14ac:dyDescent="0.2">
      <c r="S694" s="69">
        <f>_xlfn.XLOOKUP(Results!A694,Geometry!$B$6:$B$10000,Geometry!$C$6:$C$10000)</f>
        <v>0</v>
      </c>
      <c r="T694" s="69"/>
      <c r="U694" s="69"/>
    </row>
    <row r="695" spans="19:21" ht="15" customHeight="1" x14ac:dyDescent="0.2">
      <c r="S695" s="69">
        <f>_xlfn.XLOOKUP(Results!A695,Geometry!$B$6:$B$10000,Geometry!$C$6:$C$10000)</f>
        <v>0</v>
      </c>
      <c r="T695" s="69"/>
      <c r="U695" s="69"/>
    </row>
    <row r="696" spans="19:21" ht="15" customHeight="1" x14ac:dyDescent="0.2">
      <c r="S696" s="69">
        <f>_xlfn.XLOOKUP(Results!A696,Geometry!$B$6:$B$10000,Geometry!$C$6:$C$10000)</f>
        <v>0</v>
      </c>
      <c r="T696" s="69"/>
      <c r="U696" s="69"/>
    </row>
    <row r="697" spans="19:21" ht="15" customHeight="1" x14ac:dyDescent="0.2">
      <c r="S697" s="69">
        <f>_xlfn.XLOOKUP(Results!A697,Geometry!$B$6:$B$10000,Geometry!$C$6:$C$10000)</f>
        <v>0</v>
      </c>
      <c r="T697" s="69"/>
      <c r="U697" s="69"/>
    </row>
    <row r="698" spans="19:21" ht="15" customHeight="1" x14ac:dyDescent="0.2">
      <c r="S698" s="69">
        <f>_xlfn.XLOOKUP(Results!A698,Geometry!$B$6:$B$10000,Geometry!$C$6:$C$10000)</f>
        <v>0</v>
      </c>
      <c r="T698" s="69"/>
      <c r="U698" s="69"/>
    </row>
    <row r="699" spans="19:21" ht="15" customHeight="1" x14ac:dyDescent="0.2">
      <c r="S699" s="69">
        <f>_xlfn.XLOOKUP(Results!A699,Geometry!$B$6:$B$10000,Geometry!$C$6:$C$10000)</f>
        <v>0</v>
      </c>
      <c r="T699" s="69"/>
      <c r="U699" s="69"/>
    </row>
    <row r="700" spans="19:21" ht="15" customHeight="1" x14ac:dyDescent="0.2">
      <c r="S700" s="69">
        <f>_xlfn.XLOOKUP(Results!A700,Geometry!$B$6:$B$10000,Geometry!$C$6:$C$10000)</f>
        <v>0</v>
      </c>
      <c r="T700" s="69"/>
      <c r="U700" s="69"/>
    </row>
    <row r="701" spans="19:21" ht="15" customHeight="1" x14ac:dyDescent="0.2">
      <c r="S701" s="69">
        <f>_xlfn.XLOOKUP(Results!A701,Geometry!$B$6:$B$10000,Geometry!$C$6:$C$10000)</f>
        <v>0</v>
      </c>
      <c r="T701" s="69"/>
      <c r="U701" s="69"/>
    </row>
    <row r="702" spans="19:21" ht="15" customHeight="1" x14ac:dyDescent="0.2">
      <c r="S702" s="69">
        <f>_xlfn.XLOOKUP(Results!A702,Geometry!$B$6:$B$10000,Geometry!$C$6:$C$10000)</f>
        <v>0</v>
      </c>
      <c r="T702" s="69"/>
      <c r="U702" s="69"/>
    </row>
    <row r="703" spans="19:21" ht="15" customHeight="1" x14ac:dyDescent="0.2">
      <c r="S703" s="69">
        <f>_xlfn.XLOOKUP(Results!A703,Geometry!$B$6:$B$10000,Geometry!$C$6:$C$10000)</f>
        <v>0</v>
      </c>
      <c r="T703" s="69"/>
      <c r="U703" s="69"/>
    </row>
    <row r="704" spans="19:21" ht="15" customHeight="1" x14ac:dyDescent="0.2">
      <c r="S704" s="69">
        <f>_xlfn.XLOOKUP(Results!A704,Geometry!$B$6:$B$10000,Geometry!$C$6:$C$10000)</f>
        <v>0</v>
      </c>
      <c r="T704" s="69"/>
      <c r="U704" s="69"/>
    </row>
    <row r="705" spans="19:21" ht="15" customHeight="1" x14ac:dyDescent="0.2">
      <c r="S705" s="69">
        <f>_xlfn.XLOOKUP(Results!A705,Geometry!$B$6:$B$10000,Geometry!$C$6:$C$10000)</f>
        <v>0</v>
      </c>
      <c r="T705" s="69"/>
      <c r="U705" s="69"/>
    </row>
    <row r="706" spans="19:21" ht="15" customHeight="1" x14ac:dyDescent="0.2">
      <c r="S706" s="69">
        <f>_xlfn.XLOOKUP(Results!A706,Geometry!$B$6:$B$10000,Geometry!$C$6:$C$10000)</f>
        <v>0</v>
      </c>
      <c r="T706" s="69"/>
      <c r="U706" s="69"/>
    </row>
    <row r="707" spans="19:21" ht="15" customHeight="1" x14ac:dyDescent="0.2">
      <c r="S707" s="69">
        <f>_xlfn.XLOOKUP(Results!A707,Geometry!$B$6:$B$10000,Geometry!$C$6:$C$10000)</f>
        <v>0</v>
      </c>
      <c r="T707" s="69"/>
      <c r="U707" s="69"/>
    </row>
    <row r="708" spans="19:21" ht="15" customHeight="1" x14ac:dyDescent="0.2">
      <c r="S708" s="69">
        <f>_xlfn.XLOOKUP(Results!A708,Geometry!$B$6:$B$10000,Geometry!$C$6:$C$10000)</f>
        <v>0</v>
      </c>
      <c r="T708" s="69"/>
      <c r="U708" s="69"/>
    </row>
    <row r="709" spans="19:21" ht="15" customHeight="1" x14ac:dyDescent="0.2">
      <c r="S709" s="69">
        <f>_xlfn.XLOOKUP(Results!A709,Geometry!$B$6:$B$10000,Geometry!$C$6:$C$10000)</f>
        <v>0</v>
      </c>
      <c r="T709" s="69"/>
      <c r="U709" s="69"/>
    </row>
    <row r="710" spans="19:21" ht="15" customHeight="1" x14ac:dyDescent="0.2">
      <c r="S710" s="69">
        <f>_xlfn.XLOOKUP(Results!A710,Geometry!$B$6:$B$10000,Geometry!$C$6:$C$10000)</f>
        <v>0</v>
      </c>
      <c r="T710" s="69"/>
      <c r="U710" s="69"/>
    </row>
    <row r="711" spans="19:21" ht="15" customHeight="1" x14ac:dyDescent="0.2">
      <c r="S711" s="69">
        <f>_xlfn.XLOOKUP(Results!A711,Geometry!$B$6:$B$10000,Geometry!$C$6:$C$10000)</f>
        <v>0</v>
      </c>
      <c r="T711" s="69"/>
      <c r="U711" s="69"/>
    </row>
    <row r="712" spans="19:21" ht="15" customHeight="1" x14ac:dyDescent="0.2">
      <c r="S712" s="69">
        <f>_xlfn.XLOOKUP(Results!A712,Geometry!$B$6:$B$10000,Geometry!$C$6:$C$10000)</f>
        <v>0</v>
      </c>
      <c r="T712" s="69"/>
      <c r="U712" s="69"/>
    </row>
    <row r="713" spans="19:21" ht="15" customHeight="1" x14ac:dyDescent="0.2">
      <c r="S713" s="69">
        <f>_xlfn.XLOOKUP(Results!A713,Geometry!$B$6:$B$10000,Geometry!$C$6:$C$10000)</f>
        <v>0</v>
      </c>
      <c r="T713" s="69"/>
      <c r="U713" s="69"/>
    </row>
    <row r="714" spans="19:21" ht="15" customHeight="1" x14ac:dyDescent="0.2">
      <c r="S714" s="69">
        <f>_xlfn.XLOOKUP(Results!A714,Geometry!$B$6:$B$10000,Geometry!$C$6:$C$10000)</f>
        <v>0</v>
      </c>
      <c r="T714" s="69"/>
      <c r="U714" s="69"/>
    </row>
    <row r="715" spans="19:21" ht="15" customHeight="1" x14ac:dyDescent="0.2">
      <c r="S715" s="69">
        <f>_xlfn.XLOOKUP(Results!A715,Geometry!$B$6:$B$10000,Geometry!$C$6:$C$10000)</f>
        <v>0</v>
      </c>
      <c r="T715" s="69"/>
      <c r="U715" s="69"/>
    </row>
    <row r="716" spans="19:21" ht="15" customHeight="1" x14ac:dyDescent="0.2">
      <c r="S716" s="69">
        <f>_xlfn.XLOOKUP(Results!A716,Geometry!$B$6:$B$10000,Geometry!$C$6:$C$10000)</f>
        <v>0</v>
      </c>
      <c r="T716" s="69"/>
      <c r="U716" s="69"/>
    </row>
    <row r="717" spans="19:21" ht="15" customHeight="1" x14ac:dyDescent="0.2">
      <c r="S717" s="69">
        <f>_xlfn.XLOOKUP(Results!A717,Geometry!$B$6:$B$10000,Geometry!$C$6:$C$10000)</f>
        <v>0</v>
      </c>
      <c r="T717" s="69"/>
      <c r="U717" s="69"/>
    </row>
    <row r="718" spans="19:21" ht="15" customHeight="1" x14ac:dyDescent="0.2">
      <c r="S718" s="69">
        <f>_xlfn.XLOOKUP(Results!A718,Geometry!$B$6:$B$10000,Geometry!$C$6:$C$10000)</f>
        <v>0</v>
      </c>
      <c r="T718" s="69"/>
      <c r="U718" s="69"/>
    </row>
    <row r="719" spans="19:21" ht="15" customHeight="1" x14ac:dyDescent="0.2">
      <c r="S719" s="69">
        <f>_xlfn.XLOOKUP(Results!A719,Geometry!$B$6:$B$10000,Geometry!$C$6:$C$10000)</f>
        <v>0</v>
      </c>
      <c r="T719" s="69"/>
      <c r="U719" s="69"/>
    </row>
    <row r="720" spans="19:21" ht="15" customHeight="1" x14ac:dyDescent="0.2">
      <c r="S720" s="69">
        <f>_xlfn.XLOOKUP(Results!A720,Geometry!$B$6:$B$10000,Geometry!$C$6:$C$10000)</f>
        <v>0</v>
      </c>
      <c r="T720" s="69"/>
      <c r="U720" s="69"/>
    </row>
    <row r="721" spans="19:21" ht="15" customHeight="1" x14ac:dyDescent="0.2">
      <c r="S721" s="69">
        <f>_xlfn.XLOOKUP(Results!A721,Geometry!$B$6:$B$10000,Geometry!$C$6:$C$10000)</f>
        <v>0</v>
      </c>
      <c r="T721" s="69"/>
      <c r="U721" s="69"/>
    </row>
    <row r="722" spans="19:21" ht="15" customHeight="1" x14ac:dyDescent="0.2">
      <c r="S722" s="69">
        <f>_xlfn.XLOOKUP(Results!A722,Geometry!$B$6:$B$10000,Geometry!$C$6:$C$10000)</f>
        <v>0</v>
      </c>
      <c r="T722" s="69"/>
      <c r="U722" s="69"/>
    </row>
    <row r="723" spans="19:21" ht="15" customHeight="1" x14ac:dyDescent="0.2">
      <c r="S723" s="69">
        <f>_xlfn.XLOOKUP(Results!A723,Geometry!$B$6:$B$10000,Geometry!$C$6:$C$10000)</f>
        <v>0</v>
      </c>
      <c r="T723" s="69"/>
      <c r="U723" s="69"/>
    </row>
    <row r="724" spans="19:21" ht="15" customHeight="1" x14ac:dyDescent="0.2">
      <c r="S724" s="69">
        <f>_xlfn.XLOOKUP(Results!A724,Geometry!$B$6:$B$10000,Geometry!$C$6:$C$10000)</f>
        <v>0</v>
      </c>
      <c r="T724" s="69"/>
      <c r="U724" s="69"/>
    </row>
    <row r="725" spans="19:21" ht="15" customHeight="1" x14ac:dyDescent="0.2">
      <c r="S725" s="69">
        <f>_xlfn.XLOOKUP(Results!A725,Geometry!$B$6:$B$10000,Geometry!$C$6:$C$10000)</f>
        <v>0</v>
      </c>
      <c r="T725" s="69"/>
      <c r="U725" s="69"/>
    </row>
    <row r="726" spans="19:21" ht="15" customHeight="1" x14ac:dyDescent="0.2">
      <c r="S726" s="69">
        <f>_xlfn.XLOOKUP(Results!A726,Geometry!$B$6:$B$10000,Geometry!$C$6:$C$10000)</f>
        <v>0</v>
      </c>
      <c r="T726" s="69"/>
      <c r="U726" s="69"/>
    </row>
    <row r="727" spans="19:21" ht="15" customHeight="1" x14ac:dyDescent="0.2">
      <c r="S727" s="69">
        <f>_xlfn.XLOOKUP(Results!A727,Geometry!$B$6:$B$10000,Geometry!$C$6:$C$10000)</f>
        <v>0</v>
      </c>
      <c r="T727" s="69"/>
      <c r="U727" s="69"/>
    </row>
    <row r="728" spans="19:21" ht="15" customHeight="1" x14ac:dyDescent="0.2">
      <c r="S728" s="69">
        <f>_xlfn.XLOOKUP(Results!A728,Geometry!$B$6:$B$10000,Geometry!$C$6:$C$10000)</f>
        <v>0</v>
      </c>
      <c r="T728" s="69"/>
      <c r="U728" s="69"/>
    </row>
    <row r="729" spans="19:21" ht="15" customHeight="1" x14ac:dyDescent="0.2">
      <c r="S729" s="69">
        <f>_xlfn.XLOOKUP(Results!A729,Geometry!$B$6:$B$10000,Geometry!$C$6:$C$10000)</f>
        <v>0</v>
      </c>
      <c r="T729" s="69"/>
      <c r="U729" s="69"/>
    </row>
    <row r="730" spans="19:21" ht="15" customHeight="1" x14ac:dyDescent="0.2">
      <c r="S730" s="69">
        <f>_xlfn.XLOOKUP(Results!A730,Geometry!$B$6:$B$10000,Geometry!$C$6:$C$10000)</f>
        <v>0</v>
      </c>
      <c r="T730" s="69"/>
      <c r="U730" s="69"/>
    </row>
    <row r="731" spans="19:21" ht="15" customHeight="1" x14ac:dyDescent="0.2">
      <c r="S731" s="69">
        <f>_xlfn.XLOOKUP(Results!A731,Geometry!$B$6:$B$10000,Geometry!$C$6:$C$10000)</f>
        <v>0</v>
      </c>
      <c r="T731" s="69"/>
      <c r="U731" s="69"/>
    </row>
    <row r="732" spans="19:21" ht="15" customHeight="1" x14ac:dyDescent="0.2">
      <c r="S732" s="69">
        <f>_xlfn.XLOOKUP(Results!A732,Geometry!$B$6:$B$10000,Geometry!$C$6:$C$10000)</f>
        <v>0</v>
      </c>
      <c r="T732" s="69"/>
      <c r="U732" s="69"/>
    </row>
    <row r="733" spans="19:21" ht="15" customHeight="1" x14ac:dyDescent="0.2">
      <c r="S733" s="69">
        <f>_xlfn.XLOOKUP(Results!A733,Geometry!$B$6:$B$10000,Geometry!$C$6:$C$10000)</f>
        <v>0</v>
      </c>
      <c r="T733" s="69"/>
      <c r="U733" s="69"/>
    </row>
    <row r="734" spans="19:21" ht="15" customHeight="1" x14ac:dyDescent="0.2">
      <c r="S734" s="69">
        <f>_xlfn.XLOOKUP(Results!A734,Geometry!$B$6:$B$10000,Geometry!$C$6:$C$10000)</f>
        <v>0</v>
      </c>
      <c r="T734" s="69"/>
      <c r="U734" s="69"/>
    </row>
    <row r="735" spans="19:21" ht="15" customHeight="1" x14ac:dyDescent="0.2">
      <c r="S735" s="69">
        <f>_xlfn.XLOOKUP(Results!A735,Geometry!$B$6:$B$10000,Geometry!$C$6:$C$10000)</f>
        <v>0</v>
      </c>
      <c r="T735" s="69"/>
      <c r="U735" s="69"/>
    </row>
    <row r="736" spans="19:21" ht="15" customHeight="1" x14ac:dyDescent="0.2">
      <c r="S736" s="69">
        <f>_xlfn.XLOOKUP(Results!A736,Geometry!$B$6:$B$10000,Geometry!$C$6:$C$10000)</f>
        <v>0</v>
      </c>
      <c r="T736" s="69"/>
      <c r="U736" s="69"/>
    </row>
    <row r="737" spans="19:21" ht="15" customHeight="1" x14ac:dyDescent="0.2">
      <c r="S737" s="69">
        <f>_xlfn.XLOOKUP(Results!A737,Geometry!$B$6:$B$10000,Geometry!$C$6:$C$10000)</f>
        <v>0</v>
      </c>
      <c r="T737" s="69"/>
      <c r="U737" s="69"/>
    </row>
    <row r="738" spans="19:21" ht="15" customHeight="1" x14ac:dyDescent="0.2">
      <c r="S738" s="69">
        <f>_xlfn.XLOOKUP(Results!A738,Geometry!$B$6:$B$10000,Geometry!$C$6:$C$10000)</f>
        <v>0</v>
      </c>
      <c r="T738" s="69"/>
      <c r="U738" s="69"/>
    </row>
    <row r="739" spans="19:21" ht="15" customHeight="1" x14ac:dyDescent="0.2">
      <c r="S739" s="69">
        <f>_xlfn.XLOOKUP(Results!A739,Geometry!$B$6:$B$10000,Geometry!$C$6:$C$10000)</f>
        <v>0</v>
      </c>
      <c r="T739" s="69"/>
      <c r="U739" s="69"/>
    </row>
    <row r="740" spans="19:21" ht="15" customHeight="1" x14ac:dyDescent="0.2">
      <c r="S740" s="69">
        <f>_xlfn.XLOOKUP(Results!A740,Geometry!$B$6:$B$10000,Geometry!$C$6:$C$10000)</f>
        <v>0</v>
      </c>
      <c r="T740" s="69"/>
      <c r="U740" s="69"/>
    </row>
    <row r="741" spans="19:21" ht="15" customHeight="1" x14ac:dyDescent="0.2">
      <c r="S741" s="69">
        <f>_xlfn.XLOOKUP(Results!A741,Geometry!$B$6:$B$10000,Geometry!$C$6:$C$10000)</f>
        <v>0</v>
      </c>
      <c r="T741" s="69"/>
      <c r="U741" s="69"/>
    </row>
    <row r="742" spans="19:21" ht="15" customHeight="1" x14ac:dyDescent="0.2">
      <c r="S742" s="69">
        <f>_xlfn.XLOOKUP(Results!A742,Geometry!$B$6:$B$10000,Geometry!$C$6:$C$10000)</f>
        <v>0</v>
      </c>
      <c r="T742" s="69"/>
      <c r="U742" s="69"/>
    </row>
    <row r="743" spans="19:21" ht="15" customHeight="1" x14ac:dyDescent="0.2">
      <c r="S743" s="69">
        <f>_xlfn.XLOOKUP(Results!A743,Geometry!$B$6:$B$10000,Geometry!$C$6:$C$10000)</f>
        <v>0</v>
      </c>
      <c r="T743" s="69"/>
      <c r="U743" s="69"/>
    </row>
    <row r="744" spans="19:21" ht="15" customHeight="1" x14ac:dyDescent="0.2">
      <c r="S744" s="69">
        <f>_xlfn.XLOOKUP(Results!A744,Geometry!$B$6:$B$10000,Geometry!$C$6:$C$10000)</f>
        <v>0</v>
      </c>
      <c r="T744" s="69"/>
      <c r="U744" s="69"/>
    </row>
    <row r="745" spans="19:21" ht="15" customHeight="1" x14ac:dyDescent="0.2">
      <c r="S745" s="69">
        <f>_xlfn.XLOOKUP(Results!A745,Geometry!$B$6:$B$10000,Geometry!$C$6:$C$10000)</f>
        <v>0</v>
      </c>
      <c r="T745" s="69"/>
      <c r="U745" s="69"/>
    </row>
    <row r="746" spans="19:21" ht="15" customHeight="1" x14ac:dyDescent="0.2">
      <c r="S746" s="69">
        <f>_xlfn.XLOOKUP(Results!A746,Geometry!$B$6:$B$10000,Geometry!$C$6:$C$10000)</f>
        <v>0</v>
      </c>
      <c r="T746" s="69"/>
      <c r="U746" s="69"/>
    </row>
    <row r="747" spans="19:21" ht="15" customHeight="1" x14ac:dyDescent="0.2">
      <c r="S747" s="69">
        <f>_xlfn.XLOOKUP(Results!A747,Geometry!$B$6:$B$10000,Geometry!$C$6:$C$10000)</f>
        <v>0</v>
      </c>
      <c r="T747" s="69"/>
      <c r="U747" s="69"/>
    </row>
    <row r="748" spans="19:21" ht="15" customHeight="1" x14ac:dyDescent="0.2">
      <c r="S748" s="69">
        <f>_xlfn.XLOOKUP(Results!A748,Geometry!$B$6:$B$10000,Geometry!$C$6:$C$10000)</f>
        <v>0</v>
      </c>
      <c r="T748" s="69"/>
      <c r="U748" s="69"/>
    </row>
    <row r="749" spans="19:21" ht="15" customHeight="1" x14ac:dyDescent="0.2">
      <c r="S749" s="69">
        <f>_xlfn.XLOOKUP(Results!A749,Geometry!$B$6:$B$10000,Geometry!$C$6:$C$10000)</f>
        <v>0</v>
      </c>
      <c r="T749" s="69"/>
      <c r="U749" s="69"/>
    </row>
    <row r="750" spans="19:21" ht="15" customHeight="1" x14ac:dyDescent="0.2">
      <c r="S750" s="69">
        <f>_xlfn.XLOOKUP(Results!A750,Geometry!$B$6:$B$10000,Geometry!$C$6:$C$10000)</f>
        <v>0</v>
      </c>
      <c r="T750" s="69"/>
      <c r="U750" s="69"/>
    </row>
    <row r="751" spans="19:21" ht="15" customHeight="1" x14ac:dyDescent="0.2">
      <c r="S751" s="69">
        <f>_xlfn.XLOOKUP(Results!A751,Geometry!$B$6:$B$10000,Geometry!$C$6:$C$10000)</f>
        <v>0</v>
      </c>
      <c r="T751" s="69"/>
      <c r="U751" s="69"/>
    </row>
    <row r="752" spans="19:21" ht="15" customHeight="1" x14ac:dyDescent="0.2">
      <c r="S752" s="69">
        <f>_xlfn.XLOOKUP(Results!A752,Geometry!$B$6:$B$10000,Geometry!$C$6:$C$10000)</f>
        <v>0</v>
      </c>
      <c r="T752" s="69"/>
      <c r="U752" s="69"/>
    </row>
    <row r="753" spans="19:21" ht="15" customHeight="1" x14ac:dyDescent="0.2">
      <c r="S753" s="69">
        <f>_xlfn.XLOOKUP(Results!A753,Geometry!$B$6:$B$10000,Geometry!$C$6:$C$10000)</f>
        <v>0</v>
      </c>
      <c r="T753" s="69"/>
      <c r="U753" s="69"/>
    </row>
    <row r="754" spans="19:21" ht="15" customHeight="1" x14ac:dyDescent="0.2">
      <c r="S754" s="69">
        <f>_xlfn.XLOOKUP(Results!A754,Geometry!$B$6:$B$10000,Geometry!$C$6:$C$10000)</f>
        <v>0</v>
      </c>
      <c r="T754" s="69"/>
      <c r="U754" s="69"/>
    </row>
    <row r="755" spans="19:21" ht="15" customHeight="1" x14ac:dyDescent="0.2">
      <c r="S755" s="69">
        <f>_xlfn.XLOOKUP(Results!A755,Geometry!$B$6:$B$10000,Geometry!$C$6:$C$10000)</f>
        <v>0</v>
      </c>
      <c r="T755" s="69"/>
      <c r="U755" s="69"/>
    </row>
    <row r="756" spans="19:21" ht="15" customHeight="1" x14ac:dyDescent="0.2">
      <c r="S756" s="69">
        <f>_xlfn.XLOOKUP(Results!A756,Geometry!$B$6:$B$10000,Geometry!$C$6:$C$10000)</f>
        <v>0</v>
      </c>
      <c r="T756" s="69"/>
      <c r="U756" s="69"/>
    </row>
    <row r="757" spans="19:21" ht="15" customHeight="1" x14ac:dyDescent="0.2">
      <c r="S757" s="69">
        <f>_xlfn.XLOOKUP(Results!A757,Geometry!$B$6:$B$10000,Geometry!$C$6:$C$10000)</f>
        <v>0</v>
      </c>
      <c r="T757" s="69"/>
      <c r="U757" s="69"/>
    </row>
    <row r="758" spans="19:21" ht="15" customHeight="1" x14ac:dyDescent="0.2">
      <c r="S758" s="69">
        <f>_xlfn.XLOOKUP(Results!A758,Geometry!$B$6:$B$10000,Geometry!$C$6:$C$10000)</f>
        <v>0</v>
      </c>
      <c r="T758" s="69"/>
      <c r="U758" s="69"/>
    </row>
    <row r="759" spans="19:21" ht="15" customHeight="1" x14ac:dyDescent="0.2">
      <c r="S759" s="69">
        <f>_xlfn.XLOOKUP(Results!A759,Geometry!$B$6:$B$10000,Geometry!$C$6:$C$10000)</f>
        <v>0</v>
      </c>
      <c r="T759" s="69"/>
      <c r="U759" s="69"/>
    </row>
    <row r="760" spans="19:21" ht="15" customHeight="1" x14ac:dyDescent="0.2">
      <c r="S760" s="69">
        <f>_xlfn.XLOOKUP(Results!A760,Geometry!$B$6:$B$10000,Geometry!$C$6:$C$10000)</f>
        <v>0</v>
      </c>
      <c r="T760" s="69"/>
      <c r="U760" s="69"/>
    </row>
    <row r="761" spans="19:21" ht="15" customHeight="1" x14ac:dyDescent="0.2">
      <c r="S761" s="69">
        <f>_xlfn.XLOOKUP(Results!A761,Geometry!$B$6:$B$10000,Geometry!$C$6:$C$10000)</f>
        <v>0</v>
      </c>
      <c r="T761" s="69"/>
      <c r="U761" s="69"/>
    </row>
    <row r="762" spans="19:21" ht="15" customHeight="1" x14ac:dyDescent="0.2">
      <c r="S762" s="69">
        <f>_xlfn.XLOOKUP(Results!A762,Geometry!$B$6:$B$10000,Geometry!$C$6:$C$10000)</f>
        <v>0</v>
      </c>
      <c r="T762" s="69"/>
      <c r="U762" s="69"/>
    </row>
    <row r="763" spans="19:21" ht="15" customHeight="1" x14ac:dyDescent="0.2">
      <c r="S763" s="69">
        <f>_xlfn.XLOOKUP(Results!A763,Geometry!$B$6:$B$10000,Geometry!$C$6:$C$10000)</f>
        <v>0</v>
      </c>
      <c r="T763" s="69"/>
      <c r="U763" s="69"/>
    </row>
    <row r="764" spans="19:21" ht="15" customHeight="1" x14ac:dyDescent="0.2">
      <c r="S764" s="69">
        <f>_xlfn.XLOOKUP(Results!A764,Geometry!$B$6:$B$10000,Geometry!$C$6:$C$10000)</f>
        <v>0</v>
      </c>
      <c r="T764" s="69"/>
      <c r="U764" s="69"/>
    </row>
    <row r="765" spans="19:21" ht="15" customHeight="1" x14ac:dyDescent="0.2">
      <c r="S765" s="69">
        <f>_xlfn.XLOOKUP(Results!A765,Geometry!$B$6:$B$10000,Geometry!$C$6:$C$10000)</f>
        <v>0</v>
      </c>
      <c r="T765" s="69"/>
      <c r="U765" s="69"/>
    </row>
    <row r="766" spans="19:21" ht="15" customHeight="1" x14ac:dyDescent="0.2">
      <c r="S766" s="69">
        <f>_xlfn.XLOOKUP(Results!A766,Geometry!$B$6:$B$10000,Geometry!$C$6:$C$10000)</f>
        <v>0</v>
      </c>
      <c r="T766" s="69"/>
      <c r="U766" s="69"/>
    </row>
    <row r="767" spans="19:21" ht="15" customHeight="1" x14ac:dyDescent="0.2">
      <c r="S767" s="69">
        <f>_xlfn.XLOOKUP(Results!A767,Geometry!$B$6:$B$10000,Geometry!$C$6:$C$10000)</f>
        <v>0</v>
      </c>
      <c r="T767" s="69"/>
      <c r="U767" s="69"/>
    </row>
    <row r="768" spans="19:21" ht="15" customHeight="1" x14ac:dyDescent="0.2">
      <c r="S768" s="69">
        <f>_xlfn.XLOOKUP(Results!A768,Geometry!$B$6:$B$10000,Geometry!$C$6:$C$10000)</f>
        <v>0</v>
      </c>
      <c r="T768" s="69"/>
      <c r="U768" s="69"/>
    </row>
    <row r="769" spans="19:21" ht="15" customHeight="1" x14ac:dyDescent="0.2">
      <c r="S769" s="69">
        <f>_xlfn.XLOOKUP(Results!A769,Geometry!$B$6:$B$10000,Geometry!$C$6:$C$10000)</f>
        <v>0</v>
      </c>
      <c r="T769" s="69"/>
      <c r="U769" s="69"/>
    </row>
    <row r="770" spans="19:21" ht="15" customHeight="1" x14ac:dyDescent="0.2">
      <c r="S770" s="69">
        <f>_xlfn.XLOOKUP(Results!A770,Geometry!$B$6:$B$10000,Geometry!$C$6:$C$10000)</f>
        <v>0</v>
      </c>
      <c r="T770" s="69"/>
      <c r="U770" s="69"/>
    </row>
    <row r="771" spans="19:21" ht="15" customHeight="1" x14ac:dyDescent="0.2">
      <c r="S771" s="69">
        <f>_xlfn.XLOOKUP(Results!A771,Geometry!$B$6:$B$10000,Geometry!$C$6:$C$10000)</f>
        <v>0</v>
      </c>
      <c r="T771" s="69"/>
      <c r="U771" s="69"/>
    </row>
    <row r="772" spans="19:21" ht="15" customHeight="1" x14ac:dyDescent="0.2">
      <c r="S772" s="69">
        <f>_xlfn.XLOOKUP(Results!A772,Geometry!$B$6:$B$10000,Geometry!$C$6:$C$10000)</f>
        <v>0</v>
      </c>
      <c r="T772" s="69"/>
      <c r="U772" s="69"/>
    </row>
    <row r="773" spans="19:21" ht="15" customHeight="1" x14ac:dyDescent="0.2">
      <c r="S773" s="69">
        <f>_xlfn.XLOOKUP(Results!A773,Geometry!$B$6:$B$10000,Geometry!$C$6:$C$10000)</f>
        <v>0</v>
      </c>
      <c r="T773" s="69"/>
      <c r="U773" s="69"/>
    </row>
    <row r="774" spans="19:21" ht="15" customHeight="1" x14ac:dyDescent="0.2">
      <c r="S774" s="69">
        <f>_xlfn.XLOOKUP(Results!A774,Geometry!$B$6:$B$10000,Geometry!$C$6:$C$10000)</f>
        <v>0</v>
      </c>
      <c r="T774" s="69"/>
      <c r="U774" s="69"/>
    </row>
    <row r="775" spans="19:21" ht="15" customHeight="1" x14ac:dyDescent="0.2">
      <c r="S775" s="69">
        <f>_xlfn.XLOOKUP(Results!A775,Geometry!$B$6:$B$10000,Geometry!$C$6:$C$10000)</f>
        <v>0</v>
      </c>
      <c r="T775" s="69"/>
      <c r="U775" s="69"/>
    </row>
    <row r="776" spans="19:21" ht="15" customHeight="1" x14ac:dyDescent="0.2">
      <c r="S776" s="69">
        <f>_xlfn.XLOOKUP(Results!A776,Geometry!$B$6:$B$10000,Geometry!$C$6:$C$10000)</f>
        <v>0</v>
      </c>
      <c r="T776" s="69"/>
      <c r="U776" s="69"/>
    </row>
    <row r="777" spans="19:21" ht="15" customHeight="1" x14ac:dyDescent="0.2">
      <c r="S777" s="69">
        <f>_xlfn.XLOOKUP(Results!A777,Geometry!$B$6:$B$10000,Geometry!$C$6:$C$10000)</f>
        <v>0</v>
      </c>
      <c r="T777" s="69"/>
      <c r="U777" s="69"/>
    </row>
    <row r="778" spans="19:21" ht="15" customHeight="1" x14ac:dyDescent="0.2">
      <c r="S778" s="69">
        <f>_xlfn.XLOOKUP(Results!A778,Geometry!$B$6:$B$10000,Geometry!$C$6:$C$10000)</f>
        <v>0</v>
      </c>
      <c r="T778" s="69"/>
      <c r="U778" s="69"/>
    </row>
    <row r="779" spans="19:21" ht="15" customHeight="1" x14ac:dyDescent="0.2">
      <c r="S779" s="69">
        <f>_xlfn.XLOOKUP(Results!A779,Geometry!$B$6:$B$10000,Geometry!$C$6:$C$10000)</f>
        <v>0</v>
      </c>
      <c r="T779" s="69"/>
      <c r="U779" s="69"/>
    </row>
    <row r="780" spans="19:21" ht="15" customHeight="1" x14ac:dyDescent="0.2">
      <c r="S780" s="69">
        <f>_xlfn.XLOOKUP(Results!A780,Geometry!$B$6:$B$10000,Geometry!$C$6:$C$10000)</f>
        <v>0</v>
      </c>
      <c r="T780" s="69"/>
      <c r="U780" s="69"/>
    </row>
    <row r="781" spans="19:21" ht="15" customHeight="1" x14ac:dyDescent="0.2">
      <c r="S781" s="69">
        <f>_xlfn.XLOOKUP(Results!A781,Geometry!$B$6:$B$10000,Geometry!$C$6:$C$10000)</f>
        <v>0</v>
      </c>
      <c r="T781" s="69"/>
      <c r="U781" s="69"/>
    </row>
    <row r="782" spans="19:21" ht="15" customHeight="1" x14ac:dyDescent="0.2">
      <c r="S782" s="69">
        <f>_xlfn.XLOOKUP(Results!A782,Geometry!$B$6:$B$10000,Geometry!$C$6:$C$10000)</f>
        <v>0</v>
      </c>
      <c r="T782" s="69"/>
      <c r="U782" s="69"/>
    </row>
    <row r="783" spans="19:21" ht="15" customHeight="1" x14ac:dyDescent="0.2">
      <c r="S783" s="69">
        <f>_xlfn.XLOOKUP(Results!A783,Geometry!$B$6:$B$10000,Geometry!$C$6:$C$10000)</f>
        <v>0</v>
      </c>
      <c r="T783" s="69"/>
      <c r="U783" s="69"/>
    </row>
    <row r="784" spans="19:21" ht="15" customHeight="1" x14ac:dyDescent="0.2">
      <c r="S784" s="69">
        <f>_xlfn.XLOOKUP(Results!A784,Geometry!$B$6:$B$10000,Geometry!$C$6:$C$10000)</f>
        <v>0</v>
      </c>
      <c r="T784" s="69"/>
      <c r="U784" s="69"/>
    </row>
    <row r="785" spans="19:21" ht="15" customHeight="1" x14ac:dyDescent="0.2">
      <c r="S785" s="69">
        <f>_xlfn.XLOOKUP(Results!A785,Geometry!$B$6:$B$10000,Geometry!$C$6:$C$10000)</f>
        <v>0</v>
      </c>
      <c r="T785" s="69"/>
      <c r="U785" s="69"/>
    </row>
    <row r="786" spans="19:21" ht="15" customHeight="1" x14ac:dyDescent="0.2">
      <c r="S786" s="69">
        <f>_xlfn.XLOOKUP(Results!A786,Geometry!$B$6:$B$10000,Geometry!$C$6:$C$10000)</f>
        <v>0</v>
      </c>
      <c r="T786" s="69"/>
      <c r="U786" s="69"/>
    </row>
    <row r="787" spans="19:21" ht="15" customHeight="1" x14ac:dyDescent="0.2">
      <c r="S787" s="69">
        <f>_xlfn.XLOOKUP(Results!A787,Geometry!$B$6:$B$10000,Geometry!$C$6:$C$10000)</f>
        <v>0</v>
      </c>
      <c r="T787" s="69"/>
      <c r="U787" s="69"/>
    </row>
    <row r="788" spans="19:21" ht="15" customHeight="1" x14ac:dyDescent="0.2">
      <c r="S788" s="69">
        <f>_xlfn.XLOOKUP(Results!A788,Geometry!$B$6:$B$10000,Geometry!$C$6:$C$10000)</f>
        <v>0</v>
      </c>
      <c r="T788" s="69"/>
      <c r="U788" s="69"/>
    </row>
    <row r="789" spans="19:21" ht="15" customHeight="1" x14ac:dyDescent="0.2">
      <c r="S789" s="69">
        <f>_xlfn.XLOOKUP(Results!A789,Geometry!$B$6:$B$10000,Geometry!$C$6:$C$10000)</f>
        <v>0</v>
      </c>
      <c r="T789" s="69"/>
      <c r="U789" s="69"/>
    </row>
    <row r="790" spans="19:21" ht="15" customHeight="1" x14ac:dyDescent="0.2">
      <c r="S790" s="69">
        <f>_xlfn.XLOOKUP(Results!A790,Geometry!$B$6:$B$10000,Geometry!$C$6:$C$10000)</f>
        <v>0</v>
      </c>
      <c r="T790" s="69"/>
      <c r="U790" s="69"/>
    </row>
    <row r="791" spans="19:21" ht="15" customHeight="1" x14ac:dyDescent="0.2">
      <c r="S791" s="69">
        <f>_xlfn.XLOOKUP(Results!A791,Geometry!$B$6:$B$10000,Geometry!$C$6:$C$10000)</f>
        <v>0</v>
      </c>
      <c r="T791" s="69"/>
      <c r="U791" s="69"/>
    </row>
    <row r="792" spans="19:21" ht="15" customHeight="1" x14ac:dyDescent="0.2">
      <c r="S792" s="69">
        <f>_xlfn.XLOOKUP(Results!A792,Geometry!$B$6:$B$10000,Geometry!$C$6:$C$10000)</f>
        <v>0</v>
      </c>
      <c r="T792" s="69"/>
      <c r="U792" s="69"/>
    </row>
    <row r="793" spans="19:21" ht="15" customHeight="1" x14ac:dyDescent="0.2">
      <c r="S793" s="69">
        <f>_xlfn.XLOOKUP(Results!A793,Geometry!$B$6:$B$10000,Geometry!$C$6:$C$10000)</f>
        <v>0</v>
      </c>
      <c r="T793" s="69"/>
      <c r="U793" s="69"/>
    </row>
    <row r="794" spans="19:21" ht="15" customHeight="1" x14ac:dyDescent="0.2">
      <c r="S794" s="69">
        <f>_xlfn.XLOOKUP(Results!A794,Geometry!$B$6:$B$10000,Geometry!$C$6:$C$10000)</f>
        <v>0</v>
      </c>
      <c r="T794" s="69"/>
      <c r="U794" s="69"/>
    </row>
    <row r="795" spans="19:21" ht="15" customHeight="1" x14ac:dyDescent="0.2">
      <c r="S795" s="69">
        <f>_xlfn.XLOOKUP(Results!A795,Geometry!$B$6:$B$10000,Geometry!$C$6:$C$10000)</f>
        <v>0</v>
      </c>
      <c r="T795" s="69"/>
      <c r="U795" s="69"/>
    </row>
    <row r="796" spans="19:21" ht="15" customHeight="1" x14ac:dyDescent="0.2">
      <c r="S796" s="69">
        <f>_xlfn.XLOOKUP(Results!A796,Geometry!$B$6:$B$10000,Geometry!$C$6:$C$10000)</f>
        <v>0</v>
      </c>
      <c r="T796" s="69"/>
      <c r="U796" s="69"/>
    </row>
    <row r="797" spans="19:21" ht="15" customHeight="1" x14ac:dyDescent="0.2">
      <c r="S797" s="69">
        <f>_xlfn.XLOOKUP(Results!A797,Geometry!$B$6:$B$10000,Geometry!$C$6:$C$10000)</f>
        <v>0</v>
      </c>
      <c r="T797" s="69"/>
      <c r="U797" s="69"/>
    </row>
    <row r="798" spans="19:21" ht="15" customHeight="1" x14ac:dyDescent="0.2">
      <c r="S798" s="69">
        <f>_xlfn.XLOOKUP(Results!A798,Geometry!$B$6:$B$10000,Geometry!$C$6:$C$10000)</f>
        <v>0</v>
      </c>
      <c r="T798" s="69"/>
      <c r="U798" s="69"/>
    </row>
    <row r="799" spans="19:21" ht="15" customHeight="1" x14ac:dyDescent="0.2">
      <c r="S799" s="69">
        <f>_xlfn.XLOOKUP(Results!A799,Geometry!$B$6:$B$10000,Geometry!$C$6:$C$10000)</f>
        <v>0</v>
      </c>
      <c r="T799" s="69"/>
      <c r="U799" s="69"/>
    </row>
    <row r="800" spans="19:21" ht="15" customHeight="1" x14ac:dyDescent="0.2">
      <c r="S800" s="69">
        <f>_xlfn.XLOOKUP(Results!A800,Geometry!$B$6:$B$10000,Geometry!$C$6:$C$10000)</f>
        <v>0</v>
      </c>
      <c r="T800" s="69"/>
      <c r="U800" s="69"/>
    </row>
    <row r="801" spans="19:21" ht="15" customHeight="1" x14ac:dyDescent="0.2">
      <c r="S801" s="69">
        <f>_xlfn.XLOOKUP(Results!A801,Geometry!$B$6:$B$10000,Geometry!$C$6:$C$10000)</f>
        <v>0</v>
      </c>
      <c r="T801" s="69"/>
      <c r="U801" s="69"/>
    </row>
    <row r="802" spans="19:21" ht="15" customHeight="1" x14ac:dyDescent="0.2">
      <c r="S802" s="69">
        <f>_xlfn.XLOOKUP(Results!A802,Geometry!$B$6:$B$10000,Geometry!$C$6:$C$10000)</f>
        <v>0</v>
      </c>
      <c r="T802" s="69"/>
      <c r="U802" s="69"/>
    </row>
    <row r="803" spans="19:21" ht="15" customHeight="1" x14ac:dyDescent="0.2">
      <c r="S803" s="69">
        <f>_xlfn.XLOOKUP(Results!A803,Geometry!$B$6:$B$10000,Geometry!$C$6:$C$10000)</f>
        <v>0</v>
      </c>
      <c r="T803" s="69"/>
      <c r="U803" s="69"/>
    </row>
    <row r="804" spans="19:21" ht="15" customHeight="1" x14ac:dyDescent="0.2">
      <c r="S804" s="69">
        <f>_xlfn.XLOOKUP(Results!A804,Geometry!$B$6:$B$10000,Geometry!$C$6:$C$10000)</f>
        <v>0</v>
      </c>
      <c r="T804" s="69"/>
      <c r="U804" s="69"/>
    </row>
    <row r="805" spans="19:21" ht="15" customHeight="1" x14ac:dyDescent="0.2">
      <c r="S805" s="69">
        <f>_xlfn.XLOOKUP(Results!A805,Geometry!$B$6:$B$10000,Geometry!$C$6:$C$10000)</f>
        <v>0</v>
      </c>
      <c r="T805" s="69"/>
      <c r="U805" s="69"/>
    </row>
    <row r="806" spans="19:21" ht="15" customHeight="1" x14ac:dyDescent="0.2">
      <c r="S806" s="69">
        <f>_xlfn.XLOOKUP(Results!A806,Geometry!$B$6:$B$10000,Geometry!$C$6:$C$10000)</f>
        <v>0</v>
      </c>
      <c r="T806" s="69"/>
      <c r="U806" s="69"/>
    </row>
    <row r="807" spans="19:21" ht="15" customHeight="1" x14ac:dyDescent="0.2">
      <c r="S807" s="69">
        <f>_xlfn.XLOOKUP(Results!A807,Geometry!$B$6:$B$10000,Geometry!$C$6:$C$10000)</f>
        <v>0</v>
      </c>
      <c r="T807" s="69"/>
      <c r="U807" s="69"/>
    </row>
    <row r="808" spans="19:21" ht="15" customHeight="1" x14ac:dyDescent="0.2">
      <c r="S808" s="69">
        <f>_xlfn.XLOOKUP(Results!A808,Geometry!$B$6:$B$10000,Geometry!$C$6:$C$10000)</f>
        <v>0</v>
      </c>
      <c r="T808" s="69"/>
      <c r="U808" s="69"/>
    </row>
    <row r="809" spans="19:21" ht="15" customHeight="1" x14ac:dyDescent="0.2">
      <c r="S809" s="69">
        <f>_xlfn.XLOOKUP(Results!A809,Geometry!$B$6:$B$10000,Geometry!$C$6:$C$10000)</f>
        <v>0</v>
      </c>
      <c r="T809" s="69"/>
      <c r="U809" s="69"/>
    </row>
    <row r="810" spans="19:21" ht="15" customHeight="1" x14ac:dyDescent="0.2">
      <c r="S810" s="69">
        <f>_xlfn.XLOOKUP(Results!A810,Geometry!$B$6:$B$10000,Geometry!$C$6:$C$10000)</f>
        <v>0</v>
      </c>
      <c r="T810" s="69"/>
      <c r="U810" s="69"/>
    </row>
    <row r="811" spans="19:21" ht="15" customHeight="1" x14ac:dyDescent="0.2">
      <c r="S811" s="69">
        <f>_xlfn.XLOOKUP(Results!A811,Geometry!$B$6:$B$10000,Geometry!$C$6:$C$10000)</f>
        <v>0</v>
      </c>
      <c r="T811" s="69"/>
      <c r="U811" s="69"/>
    </row>
    <row r="812" spans="19:21" ht="15" customHeight="1" x14ac:dyDescent="0.2">
      <c r="S812" s="69">
        <f>_xlfn.XLOOKUP(Results!A812,Geometry!$B$6:$B$10000,Geometry!$C$6:$C$10000)</f>
        <v>0</v>
      </c>
      <c r="T812" s="69"/>
      <c r="U812" s="69"/>
    </row>
    <row r="813" spans="19:21" ht="15" customHeight="1" x14ac:dyDescent="0.2">
      <c r="S813" s="69">
        <f>_xlfn.XLOOKUP(Results!A813,Geometry!$B$6:$B$10000,Geometry!$C$6:$C$10000)</f>
        <v>0</v>
      </c>
      <c r="T813" s="69"/>
      <c r="U813" s="69"/>
    </row>
    <row r="814" spans="19:21" ht="15" customHeight="1" x14ac:dyDescent="0.2">
      <c r="S814" s="69">
        <f>_xlfn.XLOOKUP(Results!A814,Geometry!$B$6:$B$10000,Geometry!$C$6:$C$10000)</f>
        <v>0</v>
      </c>
      <c r="T814" s="69"/>
      <c r="U814" s="69"/>
    </row>
    <row r="815" spans="19:21" ht="15" customHeight="1" x14ac:dyDescent="0.2">
      <c r="S815" s="69">
        <f>_xlfn.XLOOKUP(Results!A815,Geometry!$B$6:$B$10000,Geometry!$C$6:$C$10000)</f>
        <v>0</v>
      </c>
      <c r="T815" s="69"/>
      <c r="U815" s="69"/>
    </row>
    <row r="816" spans="19:21" ht="15" customHeight="1" x14ac:dyDescent="0.2">
      <c r="S816" s="69">
        <f>_xlfn.XLOOKUP(Results!A816,Geometry!$B$6:$B$10000,Geometry!$C$6:$C$10000)</f>
        <v>0</v>
      </c>
      <c r="T816" s="69"/>
      <c r="U816" s="69"/>
    </row>
    <row r="817" spans="19:21" ht="15" customHeight="1" x14ac:dyDescent="0.2">
      <c r="S817" s="69">
        <f>_xlfn.XLOOKUP(Results!A817,Geometry!$B$6:$B$10000,Geometry!$C$6:$C$10000)</f>
        <v>0</v>
      </c>
      <c r="T817" s="69"/>
      <c r="U817" s="69"/>
    </row>
    <row r="818" spans="19:21" ht="15" customHeight="1" x14ac:dyDescent="0.2">
      <c r="S818" s="69">
        <f>_xlfn.XLOOKUP(Results!A818,Geometry!$B$6:$B$10000,Geometry!$C$6:$C$10000)</f>
        <v>0</v>
      </c>
      <c r="T818" s="69"/>
      <c r="U818" s="69"/>
    </row>
    <row r="819" spans="19:21" ht="15" customHeight="1" x14ac:dyDescent="0.2">
      <c r="S819" s="69">
        <f>_xlfn.XLOOKUP(Results!A819,Geometry!$B$6:$B$10000,Geometry!$C$6:$C$10000)</f>
        <v>0</v>
      </c>
      <c r="T819" s="69"/>
      <c r="U819" s="69"/>
    </row>
    <row r="820" spans="19:21" ht="15" customHeight="1" x14ac:dyDescent="0.2">
      <c r="S820" s="69">
        <f>_xlfn.XLOOKUP(Results!A820,Geometry!$B$6:$B$10000,Geometry!$C$6:$C$10000)</f>
        <v>0</v>
      </c>
      <c r="T820" s="69"/>
      <c r="U820" s="69"/>
    </row>
    <row r="821" spans="19:21" ht="15" customHeight="1" x14ac:dyDescent="0.2">
      <c r="S821" s="69">
        <f>_xlfn.XLOOKUP(Results!A821,Geometry!$B$6:$B$10000,Geometry!$C$6:$C$10000)</f>
        <v>0</v>
      </c>
      <c r="T821" s="69"/>
      <c r="U821" s="69"/>
    </row>
    <row r="822" spans="19:21" ht="15" customHeight="1" x14ac:dyDescent="0.2">
      <c r="S822" s="69">
        <f>_xlfn.XLOOKUP(Results!A822,Geometry!$B$6:$B$10000,Geometry!$C$6:$C$10000)</f>
        <v>0</v>
      </c>
      <c r="T822" s="69"/>
      <c r="U822" s="69"/>
    </row>
    <row r="823" spans="19:21" ht="15" customHeight="1" x14ac:dyDescent="0.2">
      <c r="S823" s="69">
        <f>_xlfn.XLOOKUP(Results!A823,Geometry!$B$6:$B$10000,Geometry!$C$6:$C$10000)</f>
        <v>0</v>
      </c>
      <c r="T823" s="69"/>
      <c r="U823" s="69"/>
    </row>
    <row r="824" spans="19:21" ht="15" customHeight="1" x14ac:dyDescent="0.2">
      <c r="S824" s="69">
        <f>_xlfn.XLOOKUP(Results!A824,Geometry!$B$6:$B$10000,Geometry!$C$6:$C$10000)</f>
        <v>0</v>
      </c>
      <c r="T824" s="69"/>
      <c r="U824" s="69"/>
    </row>
    <row r="825" spans="19:21" ht="15" customHeight="1" x14ac:dyDescent="0.2">
      <c r="S825" s="69">
        <f>_xlfn.XLOOKUP(Results!A825,Geometry!$B$6:$B$10000,Geometry!$C$6:$C$10000)</f>
        <v>0</v>
      </c>
      <c r="T825" s="69"/>
      <c r="U825" s="69"/>
    </row>
    <row r="826" spans="19:21" ht="15" customHeight="1" x14ac:dyDescent="0.2">
      <c r="S826" s="69">
        <f>_xlfn.XLOOKUP(Results!A826,Geometry!$B$6:$B$10000,Geometry!$C$6:$C$10000)</f>
        <v>0</v>
      </c>
      <c r="T826" s="69"/>
      <c r="U826" s="69"/>
    </row>
    <row r="827" spans="19:21" ht="15" customHeight="1" x14ac:dyDescent="0.2">
      <c r="S827" s="69">
        <f>_xlfn.XLOOKUP(Results!A827,Geometry!$B$6:$B$10000,Geometry!$C$6:$C$10000)</f>
        <v>0</v>
      </c>
      <c r="T827" s="69"/>
      <c r="U827" s="69"/>
    </row>
    <row r="828" spans="19:21" ht="15" customHeight="1" x14ac:dyDescent="0.2">
      <c r="S828" s="69">
        <f>_xlfn.XLOOKUP(Results!A828,Geometry!$B$6:$B$10000,Geometry!$C$6:$C$10000)</f>
        <v>0</v>
      </c>
      <c r="T828" s="69"/>
      <c r="U828" s="69"/>
    </row>
    <row r="829" spans="19:21" ht="15" customHeight="1" x14ac:dyDescent="0.2">
      <c r="S829" s="69">
        <f>_xlfn.XLOOKUP(Results!A829,Geometry!$B$6:$B$10000,Geometry!$C$6:$C$10000)</f>
        <v>0</v>
      </c>
      <c r="T829" s="69"/>
      <c r="U829" s="69"/>
    </row>
    <row r="830" spans="19:21" ht="15" customHeight="1" x14ac:dyDescent="0.2">
      <c r="S830" s="69">
        <f>_xlfn.XLOOKUP(Results!A830,Geometry!$B$6:$B$10000,Geometry!$C$6:$C$10000)</f>
        <v>0</v>
      </c>
      <c r="T830" s="69"/>
      <c r="U830" s="69"/>
    </row>
    <row r="831" spans="19:21" ht="15" customHeight="1" x14ac:dyDescent="0.2">
      <c r="S831" s="69">
        <f>_xlfn.XLOOKUP(Results!A831,Geometry!$B$6:$B$10000,Geometry!$C$6:$C$10000)</f>
        <v>0</v>
      </c>
      <c r="T831" s="69"/>
      <c r="U831" s="69"/>
    </row>
    <row r="832" spans="19:21" ht="15" customHeight="1" x14ac:dyDescent="0.2">
      <c r="S832" s="69">
        <f>_xlfn.XLOOKUP(Results!A832,Geometry!$B$6:$B$10000,Geometry!$C$6:$C$10000)</f>
        <v>0</v>
      </c>
      <c r="T832" s="69"/>
      <c r="U832" s="69"/>
    </row>
    <row r="833" spans="19:21" ht="15" customHeight="1" x14ac:dyDescent="0.2">
      <c r="S833" s="69">
        <f>_xlfn.XLOOKUP(Results!A833,Geometry!$B$6:$B$10000,Geometry!$C$6:$C$10000)</f>
        <v>0</v>
      </c>
      <c r="T833" s="69"/>
      <c r="U833" s="69"/>
    </row>
    <row r="834" spans="19:21" ht="15" customHeight="1" x14ac:dyDescent="0.2">
      <c r="S834" s="69">
        <f>_xlfn.XLOOKUP(Results!A834,Geometry!$B$6:$B$10000,Geometry!$C$6:$C$10000)</f>
        <v>0</v>
      </c>
      <c r="T834" s="69"/>
      <c r="U834" s="69"/>
    </row>
    <row r="835" spans="19:21" ht="15" customHeight="1" x14ac:dyDescent="0.2">
      <c r="S835" s="69">
        <f>_xlfn.XLOOKUP(Results!A835,Geometry!$B$6:$B$10000,Geometry!$C$6:$C$10000)</f>
        <v>0</v>
      </c>
      <c r="T835" s="69"/>
      <c r="U835" s="69"/>
    </row>
    <row r="836" spans="19:21" ht="15" customHeight="1" x14ac:dyDescent="0.2">
      <c r="S836" s="69">
        <f>_xlfn.XLOOKUP(Results!A836,Geometry!$B$6:$B$10000,Geometry!$C$6:$C$10000)</f>
        <v>0</v>
      </c>
      <c r="T836" s="69"/>
      <c r="U836" s="69"/>
    </row>
    <row r="837" spans="19:21" ht="15" customHeight="1" x14ac:dyDescent="0.2">
      <c r="S837" s="69">
        <f>_xlfn.XLOOKUP(Results!A837,Geometry!$B$6:$B$10000,Geometry!$C$6:$C$10000)</f>
        <v>0</v>
      </c>
      <c r="T837" s="69"/>
      <c r="U837" s="69"/>
    </row>
    <row r="838" spans="19:21" ht="15" customHeight="1" x14ac:dyDescent="0.2">
      <c r="S838" s="69">
        <f>_xlfn.XLOOKUP(Results!A838,Geometry!$B$6:$B$10000,Geometry!$C$6:$C$10000)</f>
        <v>0</v>
      </c>
      <c r="T838" s="69"/>
      <c r="U838" s="69"/>
    </row>
    <row r="839" spans="19:21" ht="15" customHeight="1" x14ac:dyDescent="0.2">
      <c r="S839" s="69">
        <f>_xlfn.XLOOKUP(Results!A839,Geometry!$B$6:$B$10000,Geometry!$C$6:$C$10000)</f>
        <v>0</v>
      </c>
      <c r="T839" s="69"/>
      <c r="U839" s="69"/>
    </row>
    <row r="840" spans="19:21" ht="15" customHeight="1" x14ac:dyDescent="0.2">
      <c r="S840" s="69">
        <f>_xlfn.XLOOKUP(Results!A840,Geometry!$B$6:$B$10000,Geometry!$C$6:$C$10000)</f>
        <v>0</v>
      </c>
      <c r="T840" s="69"/>
      <c r="U840" s="69"/>
    </row>
    <row r="841" spans="19:21" ht="15" customHeight="1" x14ac:dyDescent="0.2">
      <c r="S841" s="69">
        <f>_xlfn.XLOOKUP(Results!A841,Geometry!$B$6:$B$10000,Geometry!$C$6:$C$10000)</f>
        <v>0</v>
      </c>
      <c r="T841" s="69"/>
      <c r="U841" s="69"/>
    </row>
    <row r="842" spans="19:21" ht="15" customHeight="1" x14ac:dyDescent="0.2">
      <c r="S842" s="69">
        <f>_xlfn.XLOOKUP(Results!A842,Geometry!$B$6:$B$10000,Geometry!$C$6:$C$10000)</f>
        <v>0</v>
      </c>
      <c r="T842" s="69"/>
      <c r="U842" s="69"/>
    </row>
    <row r="843" spans="19:21" ht="15" customHeight="1" x14ac:dyDescent="0.2">
      <c r="S843" s="69">
        <f>_xlfn.XLOOKUP(Results!A843,Geometry!$B$6:$B$10000,Geometry!$C$6:$C$10000)</f>
        <v>0</v>
      </c>
      <c r="T843" s="69"/>
      <c r="U843" s="69"/>
    </row>
    <row r="844" spans="19:21" ht="15" customHeight="1" x14ac:dyDescent="0.2">
      <c r="S844" s="69">
        <f>_xlfn.XLOOKUP(Results!A844,Geometry!$B$6:$B$10000,Geometry!$C$6:$C$10000)</f>
        <v>0</v>
      </c>
      <c r="T844" s="69"/>
      <c r="U844" s="69"/>
    </row>
    <row r="845" spans="19:21" ht="15" customHeight="1" x14ac:dyDescent="0.2">
      <c r="S845" s="69">
        <f>_xlfn.XLOOKUP(Results!A845,Geometry!$B$6:$B$10000,Geometry!$C$6:$C$10000)</f>
        <v>0</v>
      </c>
      <c r="T845" s="69"/>
      <c r="U845" s="69"/>
    </row>
    <row r="846" spans="19:21" ht="15" customHeight="1" x14ac:dyDescent="0.2">
      <c r="S846" s="69">
        <f>_xlfn.XLOOKUP(Results!A846,Geometry!$B$6:$B$10000,Geometry!$C$6:$C$10000)</f>
        <v>0</v>
      </c>
      <c r="T846" s="69"/>
      <c r="U846" s="69"/>
    </row>
    <row r="847" spans="19:21" ht="15" customHeight="1" x14ac:dyDescent="0.2">
      <c r="S847" s="69">
        <f>_xlfn.XLOOKUP(Results!A847,Geometry!$B$6:$B$10000,Geometry!$C$6:$C$10000)</f>
        <v>0</v>
      </c>
      <c r="T847" s="69"/>
      <c r="U847" s="69"/>
    </row>
    <row r="848" spans="19:21" ht="15" customHeight="1" x14ac:dyDescent="0.2">
      <c r="S848" s="69">
        <f>_xlfn.XLOOKUP(Results!A848,Geometry!$B$6:$B$10000,Geometry!$C$6:$C$10000)</f>
        <v>0</v>
      </c>
      <c r="T848" s="69"/>
      <c r="U848" s="69"/>
    </row>
    <row r="849" spans="19:21" ht="15" customHeight="1" x14ac:dyDescent="0.2">
      <c r="S849" s="69">
        <f>_xlfn.XLOOKUP(Results!A849,Geometry!$B$6:$B$10000,Geometry!$C$6:$C$10000)</f>
        <v>0</v>
      </c>
      <c r="T849" s="69"/>
      <c r="U849" s="69"/>
    </row>
    <row r="850" spans="19:21" ht="15" customHeight="1" x14ac:dyDescent="0.2">
      <c r="S850" s="69">
        <f>_xlfn.XLOOKUP(Results!A850,Geometry!$B$6:$B$10000,Geometry!$C$6:$C$10000)</f>
        <v>0</v>
      </c>
      <c r="T850" s="69"/>
      <c r="U850" s="69"/>
    </row>
    <row r="851" spans="19:21" ht="15" customHeight="1" x14ac:dyDescent="0.2">
      <c r="S851" s="69">
        <f>_xlfn.XLOOKUP(Results!A851,Geometry!$B$6:$B$10000,Geometry!$C$6:$C$10000)</f>
        <v>0</v>
      </c>
      <c r="T851" s="69"/>
      <c r="U851" s="69"/>
    </row>
    <row r="852" spans="19:21" ht="15" customHeight="1" x14ac:dyDescent="0.2">
      <c r="S852" s="69">
        <f>_xlfn.XLOOKUP(Results!A852,Geometry!$B$6:$B$10000,Geometry!$C$6:$C$10000)</f>
        <v>0</v>
      </c>
      <c r="T852" s="69"/>
      <c r="U852" s="69"/>
    </row>
    <row r="853" spans="19:21" ht="15" customHeight="1" x14ac:dyDescent="0.2">
      <c r="S853" s="69">
        <f>_xlfn.XLOOKUP(Results!A853,Geometry!$B$6:$B$10000,Geometry!$C$6:$C$10000)</f>
        <v>0</v>
      </c>
      <c r="T853" s="69"/>
      <c r="U853" s="69"/>
    </row>
    <row r="854" spans="19:21" ht="15" customHeight="1" x14ac:dyDescent="0.2">
      <c r="S854" s="69">
        <f>_xlfn.XLOOKUP(Results!A854,Geometry!$B$6:$B$10000,Geometry!$C$6:$C$10000)</f>
        <v>0</v>
      </c>
      <c r="T854" s="69"/>
      <c r="U854" s="69"/>
    </row>
    <row r="855" spans="19:21" ht="15" customHeight="1" x14ac:dyDescent="0.2">
      <c r="S855" s="69">
        <f>_xlfn.XLOOKUP(Results!A855,Geometry!$B$6:$B$10000,Geometry!$C$6:$C$10000)</f>
        <v>0</v>
      </c>
      <c r="T855" s="69"/>
      <c r="U855" s="69"/>
    </row>
    <row r="856" spans="19:21" ht="15" customHeight="1" x14ac:dyDescent="0.2">
      <c r="S856" s="69">
        <f>_xlfn.XLOOKUP(Results!A856,Geometry!$B$6:$B$10000,Geometry!$C$6:$C$10000)</f>
        <v>0</v>
      </c>
      <c r="T856" s="69"/>
      <c r="U856" s="69"/>
    </row>
    <row r="857" spans="19:21" ht="15" customHeight="1" x14ac:dyDescent="0.2">
      <c r="S857" s="69">
        <f>_xlfn.XLOOKUP(Results!A857,Geometry!$B$6:$B$10000,Geometry!$C$6:$C$10000)</f>
        <v>0</v>
      </c>
      <c r="T857" s="69"/>
      <c r="U857" s="69"/>
    </row>
    <row r="858" spans="19:21" ht="15" customHeight="1" x14ac:dyDescent="0.2">
      <c r="S858" s="69">
        <f>_xlfn.XLOOKUP(Results!A858,Geometry!$B$6:$B$10000,Geometry!$C$6:$C$10000)</f>
        <v>0</v>
      </c>
      <c r="T858" s="69"/>
      <c r="U858" s="69"/>
    </row>
    <row r="859" spans="19:21" ht="15" customHeight="1" x14ac:dyDescent="0.2">
      <c r="S859" s="69">
        <f>_xlfn.XLOOKUP(Results!A859,Geometry!$B$6:$B$10000,Geometry!$C$6:$C$10000)</f>
        <v>0</v>
      </c>
      <c r="T859" s="69"/>
      <c r="U859" s="69"/>
    </row>
    <row r="860" spans="19:21" ht="15" customHeight="1" x14ac:dyDescent="0.2">
      <c r="S860" s="69">
        <f>_xlfn.XLOOKUP(Results!A860,Geometry!$B$6:$B$10000,Geometry!$C$6:$C$10000)</f>
        <v>0</v>
      </c>
      <c r="T860" s="69"/>
      <c r="U860" s="69"/>
    </row>
    <row r="861" spans="19:21" ht="15" customHeight="1" x14ac:dyDescent="0.2">
      <c r="S861" s="69">
        <f>_xlfn.XLOOKUP(Results!A861,Geometry!$B$6:$B$10000,Geometry!$C$6:$C$10000)</f>
        <v>0</v>
      </c>
      <c r="T861" s="69"/>
      <c r="U861" s="69"/>
    </row>
    <row r="862" spans="19:21" ht="15" customHeight="1" x14ac:dyDescent="0.2">
      <c r="S862" s="69">
        <f>_xlfn.XLOOKUP(Results!A862,Geometry!$B$6:$B$10000,Geometry!$C$6:$C$10000)</f>
        <v>0</v>
      </c>
      <c r="T862" s="69"/>
      <c r="U862" s="69"/>
    </row>
    <row r="863" spans="19:21" ht="15" customHeight="1" x14ac:dyDescent="0.2">
      <c r="S863" s="69">
        <f>_xlfn.XLOOKUP(Results!A863,Geometry!$B$6:$B$10000,Geometry!$C$6:$C$10000)</f>
        <v>0</v>
      </c>
      <c r="T863" s="69"/>
      <c r="U863" s="69"/>
    </row>
    <row r="864" spans="19:21" ht="15" customHeight="1" x14ac:dyDescent="0.2">
      <c r="S864" s="69">
        <f>_xlfn.XLOOKUP(Results!A864,Geometry!$B$6:$B$10000,Geometry!$C$6:$C$10000)</f>
        <v>0</v>
      </c>
      <c r="T864" s="69"/>
      <c r="U864" s="69"/>
    </row>
    <row r="865" spans="19:21" ht="15" customHeight="1" x14ac:dyDescent="0.2">
      <c r="S865" s="69">
        <f>_xlfn.XLOOKUP(Results!A865,Geometry!$B$6:$B$10000,Geometry!$C$6:$C$10000)</f>
        <v>0</v>
      </c>
      <c r="T865" s="69"/>
      <c r="U865" s="69"/>
    </row>
    <row r="866" spans="19:21" ht="15" customHeight="1" x14ac:dyDescent="0.2">
      <c r="S866" s="69">
        <f>_xlfn.XLOOKUP(Results!A866,Geometry!$B$6:$B$10000,Geometry!$C$6:$C$10000)</f>
        <v>0</v>
      </c>
      <c r="T866" s="69"/>
      <c r="U866" s="69"/>
    </row>
    <row r="867" spans="19:21" ht="15" customHeight="1" x14ac:dyDescent="0.2">
      <c r="S867" s="69">
        <f>_xlfn.XLOOKUP(Results!A867,Geometry!$B$6:$B$10000,Geometry!$C$6:$C$10000)</f>
        <v>0</v>
      </c>
      <c r="T867" s="69"/>
      <c r="U867" s="69"/>
    </row>
    <row r="868" spans="19:21" ht="15" customHeight="1" x14ac:dyDescent="0.2">
      <c r="S868" s="69">
        <f>_xlfn.XLOOKUP(Results!A868,Geometry!$B$6:$B$10000,Geometry!$C$6:$C$10000)</f>
        <v>0</v>
      </c>
      <c r="T868" s="69"/>
      <c r="U868" s="69"/>
    </row>
    <row r="869" spans="19:21" ht="15" customHeight="1" x14ac:dyDescent="0.2">
      <c r="S869" s="69">
        <f>_xlfn.XLOOKUP(Results!A869,Geometry!$B$6:$B$10000,Geometry!$C$6:$C$10000)</f>
        <v>0</v>
      </c>
      <c r="T869" s="69"/>
      <c r="U869" s="69"/>
    </row>
    <row r="870" spans="19:21" ht="15" customHeight="1" x14ac:dyDescent="0.2">
      <c r="S870" s="69">
        <f>_xlfn.XLOOKUP(Results!A870,Geometry!$B$6:$B$10000,Geometry!$C$6:$C$10000)</f>
        <v>0</v>
      </c>
      <c r="T870" s="69"/>
      <c r="U870" s="69"/>
    </row>
    <row r="871" spans="19:21" ht="15" customHeight="1" x14ac:dyDescent="0.2">
      <c r="S871" s="69">
        <f>_xlfn.XLOOKUP(Results!A871,Geometry!$B$6:$B$10000,Geometry!$C$6:$C$10000)</f>
        <v>0</v>
      </c>
      <c r="T871" s="69"/>
      <c r="U871" s="69"/>
    </row>
    <row r="872" spans="19:21" ht="15" customHeight="1" x14ac:dyDescent="0.2">
      <c r="S872" s="69">
        <f>_xlfn.XLOOKUP(Results!A872,Geometry!$B$6:$B$10000,Geometry!$C$6:$C$10000)</f>
        <v>0</v>
      </c>
      <c r="T872" s="69"/>
      <c r="U872" s="69"/>
    </row>
    <row r="873" spans="19:21" ht="15" customHeight="1" x14ac:dyDescent="0.2">
      <c r="S873" s="69">
        <f>_xlfn.XLOOKUP(Results!A873,Geometry!$B$6:$B$10000,Geometry!$C$6:$C$10000)</f>
        <v>0</v>
      </c>
      <c r="T873" s="69"/>
      <c r="U873" s="69"/>
    </row>
    <row r="874" spans="19:21" ht="15" customHeight="1" x14ac:dyDescent="0.2">
      <c r="S874" s="69">
        <f>_xlfn.XLOOKUP(Results!A874,Geometry!$B$6:$B$10000,Geometry!$C$6:$C$10000)</f>
        <v>0</v>
      </c>
      <c r="T874" s="69"/>
      <c r="U874" s="69"/>
    </row>
    <row r="875" spans="19:21" ht="15" customHeight="1" x14ac:dyDescent="0.2">
      <c r="S875" s="69">
        <f>_xlfn.XLOOKUP(Results!A875,Geometry!$B$6:$B$10000,Geometry!$C$6:$C$10000)</f>
        <v>0</v>
      </c>
      <c r="T875" s="69"/>
      <c r="U875" s="69"/>
    </row>
    <row r="876" spans="19:21" ht="15" customHeight="1" x14ac:dyDescent="0.2">
      <c r="S876" s="69">
        <f>_xlfn.XLOOKUP(Results!A876,Geometry!$B$6:$B$10000,Geometry!$C$6:$C$10000)</f>
        <v>0</v>
      </c>
      <c r="T876" s="69"/>
      <c r="U876" s="69"/>
    </row>
    <row r="877" spans="19:21" ht="15" customHeight="1" x14ac:dyDescent="0.2">
      <c r="S877" s="69">
        <f>_xlfn.XLOOKUP(Results!A877,Geometry!$B$6:$B$10000,Geometry!$C$6:$C$10000)</f>
        <v>0</v>
      </c>
      <c r="T877" s="69"/>
      <c r="U877" s="69"/>
    </row>
    <row r="878" spans="19:21" ht="15" customHeight="1" x14ac:dyDescent="0.2">
      <c r="S878" s="69">
        <f>_xlfn.XLOOKUP(Results!A878,Geometry!$B$6:$B$10000,Geometry!$C$6:$C$10000)</f>
        <v>0</v>
      </c>
      <c r="T878" s="69"/>
      <c r="U878" s="69"/>
    </row>
    <row r="879" spans="19:21" ht="15" customHeight="1" x14ac:dyDescent="0.2">
      <c r="S879" s="69">
        <f>_xlfn.XLOOKUP(Results!A879,Geometry!$B$6:$B$10000,Geometry!$C$6:$C$10000)</f>
        <v>0</v>
      </c>
      <c r="T879" s="69"/>
      <c r="U879" s="69"/>
    </row>
    <row r="880" spans="19:21" ht="15" customHeight="1" x14ac:dyDescent="0.2">
      <c r="S880" s="69">
        <f>_xlfn.XLOOKUP(Results!A880,Geometry!$B$6:$B$10000,Geometry!$C$6:$C$10000)</f>
        <v>0</v>
      </c>
      <c r="T880" s="69"/>
      <c r="U880" s="69"/>
    </row>
    <row r="881" spans="19:21" ht="15" customHeight="1" x14ac:dyDescent="0.2">
      <c r="S881" s="69">
        <f>_xlfn.XLOOKUP(Results!A881,Geometry!$B$6:$B$10000,Geometry!$C$6:$C$10000)</f>
        <v>0</v>
      </c>
      <c r="T881" s="69"/>
      <c r="U881" s="69"/>
    </row>
    <row r="882" spans="19:21" ht="15" customHeight="1" x14ac:dyDescent="0.2">
      <c r="S882" s="69">
        <f>_xlfn.XLOOKUP(Results!A882,Geometry!$B$6:$B$10000,Geometry!$C$6:$C$10000)</f>
        <v>0</v>
      </c>
      <c r="T882" s="69"/>
      <c r="U882" s="69"/>
    </row>
    <row r="883" spans="19:21" ht="15" customHeight="1" x14ac:dyDescent="0.2">
      <c r="S883" s="69">
        <f>_xlfn.XLOOKUP(Results!A883,Geometry!$B$6:$B$10000,Geometry!$C$6:$C$10000)</f>
        <v>0</v>
      </c>
      <c r="T883" s="69"/>
      <c r="U883" s="69"/>
    </row>
    <row r="884" spans="19:21" ht="15" customHeight="1" x14ac:dyDescent="0.2">
      <c r="S884" s="69">
        <f>_xlfn.XLOOKUP(Results!A884,Geometry!$B$6:$B$10000,Geometry!$C$6:$C$10000)</f>
        <v>0</v>
      </c>
      <c r="T884" s="69"/>
      <c r="U884" s="69"/>
    </row>
    <row r="885" spans="19:21" ht="15" customHeight="1" x14ac:dyDescent="0.2">
      <c r="S885" s="69">
        <f>_xlfn.XLOOKUP(Results!A885,Geometry!$B$6:$B$10000,Geometry!$C$6:$C$10000)</f>
        <v>0</v>
      </c>
      <c r="T885" s="69"/>
      <c r="U885" s="69"/>
    </row>
    <row r="886" spans="19:21" ht="15" customHeight="1" x14ac:dyDescent="0.2">
      <c r="S886" s="69">
        <f>_xlfn.XLOOKUP(Results!A886,Geometry!$B$6:$B$10000,Geometry!$C$6:$C$10000)</f>
        <v>0</v>
      </c>
      <c r="T886" s="69"/>
      <c r="U886" s="69"/>
    </row>
    <row r="887" spans="19:21" ht="15" customHeight="1" x14ac:dyDescent="0.2">
      <c r="S887" s="69">
        <f>_xlfn.XLOOKUP(Results!A887,Geometry!$B$6:$B$10000,Geometry!$C$6:$C$10000)</f>
        <v>0</v>
      </c>
      <c r="T887" s="69"/>
      <c r="U887" s="69"/>
    </row>
    <row r="888" spans="19:21" ht="15" customHeight="1" x14ac:dyDescent="0.2">
      <c r="S888" s="69">
        <f>_xlfn.XLOOKUP(Results!A888,Geometry!$B$6:$B$10000,Geometry!$C$6:$C$10000)</f>
        <v>0</v>
      </c>
      <c r="T888" s="69"/>
      <c r="U888" s="69"/>
    </row>
    <row r="889" spans="19:21" ht="15" customHeight="1" x14ac:dyDescent="0.2">
      <c r="S889" s="69">
        <f>_xlfn.XLOOKUP(Results!A889,Geometry!$B$6:$B$10000,Geometry!$C$6:$C$10000)</f>
        <v>0</v>
      </c>
      <c r="T889" s="69"/>
      <c r="U889" s="69"/>
    </row>
    <row r="890" spans="19:21" ht="15" customHeight="1" x14ac:dyDescent="0.2">
      <c r="S890" s="69">
        <f>_xlfn.XLOOKUP(Results!A890,Geometry!$B$6:$B$10000,Geometry!$C$6:$C$10000)</f>
        <v>0</v>
      </c>
      <c r="T890" s="69"/>
      <c r="U890" s="69"/>
    </row>
    <row r="891" spans="19:21" ht="15" customHeight="1" x14ac:dyDescent="0.2">
      <c r="S891" s="69">
        <f>_xlfn.XLOOKUP(Results!A891,Geometry!$B$6:$B$10000,Geometry!$C$6:$C$10000)</f>
        <v>0</v>
      </c>
      <c r="T891" s="69"/>
      <c r="U891" s="69"/>
    </row>
    <row r="892" spans="19:21" ht="15" customHeight="1" x14ac:dyDescent="0.2">
      <c r="S892" s="69">
        <f>_xlfn.XLOOKUP(Results!A892,Geometry!$B$6:$B$10000,Geometry!$C$6:$C$10000)</f>
        <v>0</v>
      </c>
      <c r="T892" s="69"/>
      <c r="U892" s="69"/>
    </row>
    <row r="893" spans="19:21" ht="15" customHeight="1" x14ac:dyDescent="0.2">
      <c r="S893" s="69">
        <f>_xlfn.XLOOKUP(Results!A893,Geometry!$B$6:$B$10000,Geometry!$C$6:$C$10000)</f>
        <v>0</v>
      </c>
      <c r="T893" s="69"/>
      <c r="U893" s="69"/>
    </row>
    <row r="894" spans="19:21" ht="15" customHeight="1" x14ac:dyDescent="0.2">
      <c r="S894" s="69">
        <f>_xlfn.XLOOKUP(Results!A894,Geometry!$B$6:$B$10000,Geometry!$C$6:$C$10000)</f>
        <v>0</v>
      </c>
      <c r="T894" s="69"/>
      <c r="U894" s="69"/>
    </row>
    <row r="895" spans="19:21" ht="15" customHeight="1" x14ac:dyDescent="0.2">
      <c r="S895" s="69">
        <f>_xlfn.XLOOKUP(Results!A895,Geometry!$B$6:$B$10000,Geometry!$C$6:$C$10000)</f>
        <v>0</v>
      </c>
      <c r="T895" s="69"/>
      <c r="U895" s="69"/>
    </row>
    <row r="896" spans="19:21" ht="15" customHeight="1" x14ac:dyDescent="0.2">
      <c r="S896" s="69">
        <f>_xlfn.XLOOKUP(Results!A896,Geometry!$B$6:$B$10000,Geometry!$C$6:$C$10000)</f>
        <v>0</v>
      </c>
      <c r="T896" s="69"/>
      <c r="U896" s="69"/>
    </row>
    <row r="897" spans="19:21" ht="15" customHeight="1" x14ac:dyDescent="0.2">
      <c r="S897" s="69">
        <f>_xlfn.XLOOKUP(Results!A897,Geometry!$B$6:$B$10000,Geometry!$C$6:$C$10000)</f>
        <v>0</v>
      </c>
      <c r="T897" s="69"/>
      <c r="U897" s="69"/>
    </row>
    <row r="898" spans="19:21" ht="15" customHeight="1" x14ac:dyDescent="0.2">
      <c r="S898" s="69">
        <f>_xlfn.XLOOKUP(Results!A898,Geometry!$B$6:$B$10000,Geometry!$C$6:$C$10000)</f>
        <v>0</v>
      </c>
      <c r="T898" s="69"/>
      <c r="U898" s="69"/>
    </row>
    <row r="899" spans="19:21" ht="15" customHeight="1" x14ac:dyDescent="0.2">
      <c r="S899" s="69">
        <f>_xlfn.XLOOKUP(Results!A899,Geometry!$B$6:$B$10000,Geometry!$C$6:$C$10000)</f>
        <v>0</v>
      </c>
      <c r="T899" s="69"/>
      <c r="U899" s="69"/>
    </row>
    <row r="900" spans="19:21" ht="15" customHeight="1" x14ac:dyDescent="0.2">
      <c r="S900" s="69">
        <f>_xlfn.XLOOKUP(Results!A900,Geometry!$B$6:$B$10000,Geometry!$C$6:$C$10000)</f>
        <v>0</v>
      </c>
      <c r="T900" s="69"/>
      <c r="U900" s="69"/>
    </row>
    <row r="901" spans="19:21" ht="15" customHeight="1" x14ac:dyDescent="0.2">
      <c r="S901" s="69">
        <f>_xlfn.XLOOKUP(Results!A901,Geometry!$B$6:$B$10000,Geometry!$C$6:$C$10000)</f>
        <v>0</v>
      </c>
      <c r="T901" s="69"/>
      <c r="U901" s="69"/>
    </row>
    <row r="902" spans="19:21" ht="15" customHeight="1" x14ac:dyDescent="0.2">
      <c r="S902" s="69">
        <f>_xlfn.XLOOKUP(Results!A902,Geometry!$B$6:$B$10000,Geometry!$C$6:$C$10000)</f>
        <v>0</v>
      </c>
      <c r="T902" s="69"/>
      <c r="U902" s="69"/>
    </row>
    <row r="903" spans="19:21" ht="15" customHeight="1" x14ac:dyDescent="0.2">
      <c r="S903" s="69">
        <f>_xlfn.XLOOKUP(Results!A903,Geometry!$B$6:$B$10000,Geometry!$C$6:$C$10000)</f>
        <v>0</v>
      </c>
      <c r="T903" s="69"/>
      <c r="U903" s="69"/>
    </row>
    <row r="904" spans="19:21" ht="15" customHeight="1" x14ac:dyDescent="0.2">
      <c r="S904" s="69">
        <f>_xlfn.XLOOKUP(Results!A904,Geometry!$B$6:$B$10000,Geometry!$C$6:$C$10000)</f>
        <v>0</v>
      </c>
      <c r="T904" s="69"/>
      <c r="U904" s="69"/>
    </row>
    <row r="905" spans="19:21" ht="15" customHeight="1" x14ac:dyDescent="0.2">
      <c r="S905" s="69">
        <f>_xlfn.XLOOKUP(Results!A905,Geometry!$B$6:$B$10000,Geometry!$C$6:$C$10000)</f>
        <v>0</v>
      </c>
      <c r="T905" s="69"/>
      <c r="U905" s="69"/>
    </row>
    <row r="906" spans="19:21" ht="15" customHeight="1" x14ac:dyDescent="0.2">
      <c r="S906" s="69">
        <f>_xlfn.XLOOKUP(Results!A906,Geometry!$B$6:$B$10000,Geometry!$C$6:$C$10000)</f>
        <v>0</v>
      </c>
      <c r="T906" s="69"/>
      <c r="U906" s="69"/>
    </row>
    <row r="907" spans="19:21" ht="15" customHeight="1" x14ac:dyDescent="0.2">
      <c r="S907" s="69">
        <f>_xlfn.XLOOKUP(Results!A907,Geometry!$B$6:$B$10000,Geometry!$C$6:$C$10000)</f>
        <v>0</v>
      </c>
      <c r="T907" s="69"/>
      <c r="U907" s="69"/>
    </row>
    <row r="908" spans="19:21" ht="15" customHeight="1" x14ac:dyDescent="0.2">
      <c r="S908" s="69">
        <f>_xlfn.XLOOKUP(Results!A908,Geometry!$B$6:$B$10000,Geometry!$C$6:$C$10000)</f>
        <v>0</v>
      </c>
      <c r="T908" s="69"/>
      <c r="U908" s="69"/>
    </row>
    <row r="909" spans="19:21" ht="15" customHeight="1" x14ac:dyDescent="0.2">
      <c r="S909" s="69">
        <f>_xlfn.XLOOKUP(Results!A909,Geometry!$B$6:$B$10000,Geometry!$C$6:$C$10000)</f>
        <v>0</v>
      </c>
      <c r="T909" s="69"/>
      <c r="U909" s="69"/>
    </row>
    <row r="910" spans="19:21" ht="15" customHeight="1" x14ac:dyDescent="0.2">
      <c r="S910" s="69">
        <f>_xlfn.XLOOKUP(Results!A910,Geometry!$B$6:$B$10000,Geometry!$C$6:$C$10000)</f>
        <v>0</v>
      </c>
      <c r="T910" s="69"/>
      <c r="U910" s="69"/>
    </row>
    <row r="911" spans="19:21" ht="15" customHeight="1" x14ac:dyDescent="0.2">
      <c r="S911" s="69">
        <f>_xlfn.XLOOKUP(Results!A911,Geometry!$B$6:$B$10000,Geometry!$C$6:$C$10000)</f>
        <v>0</v>
      </c>
      <c r="T911" s="69"/>
      <c r="U911" s="69"/>
    </row>
    <row r="912" spans="19:21" ht="15" customHeight="1" x14ac:dyDescent="0.2">
      <c r="S912" s="69">
        <f>_xlfn.XLOOKUP(Results!A912,Geometry!$B$6:$B$10000,Geometry!$C$6:$C$10000)</f>
        <v>0</v>
      </c>
      <c r="T912" s="69"/>
      <c r="U912" s="69"/>
    </row>
    <row r="913" spans="19:21" ht="15" customHeight="1" x14ac:dyDescent="0.2">
      <c r="S913" s="69">
        <f>_xlfn.XLOOKUP(Results!A913,Geometry!$B$6:$B$10000,Geometry!$C$6:$C$10000)</f>
        <v>0</v>
      </c>
      <c r="T913" s="69"/>
      <c r="U913" s="69"/>
    </row>
    <row r="914" spans="19:21" ht="15" customHeight="1" x14ac:dyDescent="0.2">
      <c r="S914" s="69">
        <f>_xlfn.XLOOKUP(Results!A914,Geometry!$B$6:$B$10000,Geometry!$C$6:$C$10000)</f>
        <v>0</v>
      </c>
      <c r="T914" s="69"/>
      <c r="U914" s="69"/>
    </row>
    <row r="915" spans="19:21" ht="15" customHeight="1" x14ac:dyDescent="0.2">
      <c r="S915" s="69">
        <f>_xlfn.XLOOKUP(Results!A915,Geometry!$B$6:$B$10000,Geometry!$C$6:$C$10000)</f>
        <v>0</v>
      </c>
      <c r="T915" s="69"/>
      <c r="U915" s="69"/>
    </row>
    <row r="916" spans="19:21" ht="15" customHeight="1" x14ac:dyDescent="0.2">
      <c r="S916" s="69">
        <f>_xlfn.XLOOKUP(Results!A916,Geometry!$B$6:$B$10000,Geometry!$C$6:$C$10000)</f>
        <v>0</v>
      </c>
      <c r="T916" s="69"/>
      <c r="U916" s="69"/>
    </row>
    <row r="917" spans="19:21" ht="15" customHeight="1" x14ac:dyDescent="0.2">
      <c r="S917" s="69">
        <f>_xlfn.XLOOKUP(Results!A917,Geometry!$B$6:$B$10000,Geometry!$C$6:$C$10000)</f>
        <v>0</v>
      </c>
      <c r="T917" s="69"/>
      <c r="U917" s="69"/>
    </row>
    <row r="918" spans="19:21" ht="15" customHeight="1" x14ac:dyDescent="0.2">
      <c r="S918" s="69">
        <f>_xlfn.XLOOKUP(Results!A918,Geometry!$B$6:$B$10000,Geometry!$C$6:$C$10000)</f>
        <v>0</v>
      </c>
      <c r="T918" s="69"/>
      <c r="U918" s="69"/>
    </row>
    <row r="919" spans="19:21" ht="15" customHeight="1" x14ac:dyDescent="0.2">
      <c r="S919" s="69">
        <f>_xlfn.XLOOKUP(Results!A919,Geometry!$B$6:$B$10000,Geometry!$C$6:$C$10000)</f>
        <v>0</v>
      </c>
      <c r="T919" s="69"/>
      <c r="U919" s="69"/>
    </row>
    <row r="920" spans="19:21" ht="15" customHeight="1" x14ac:dyDescent="0.2">
      <c r="S920" s="69">
        <f>_xlfn.XLOOKUP(Results!A920,Geometry!$B$6:$B$10000,Geometry!$C$6:$C$10000)</f>
        <v>0</v>
      </c>
      <c r="T920" s="69"/>
      <c r="U920" s="69"/>
    </row>
    <row r="921" spans="19:21" ht="15" customHeight="1" x14ac:dyDescent="0.2">
      <c r="S921" s="69">
        <f>_xlfn.XLOOKUP(Results!A921,Geometry!$B$6:$B$10000,Geometry!$C$6:$C$10000)</f>
        <v>0</v>
      </c>
      <c r="T921" s="69"/>
      <c r="U921" s="69"/>
    </row>
    <row r="922" spans="19:21" ht="15" customHeight="1" x14ac:dyDescent="0.2">
      <c r="S922" s="69">
        <f>_xlfn.XLOOKUP(Results!A922,Geometry!$B$6:$B$10000,Geometry!$C$6:$C$10000)</f>
        <v>0</v>
      </c>
      <c r="T922" s="69"/>
      <c r="U922" s="69"/>
    </row>
    <row r="923" spans="19:21" ht="15" customHeight="1" x14ac:dyDescent="0.2">
      <c r="S923" s="69">
        <f>_xlfn.XLOOKUP(Results!A923,Geometry!$B$6:$B$10000,Geometry!$C$6:$C$10000)</f>
        <v>0</v>
      </c>
      <c r="T923" s="69"/>
      <c r="U923" s="69"/>
    </row>
    <row r="924" spans="19:21" ht="15" customHeight="1" x14ac:dyDescent="0.2">
      <c r="S924" s="69">
        <f>_xlfn.XLOOKUP(Results!A924,Geometry!$B$6:$B$10000,Geometry!$C$6:$C$10000)</f>
        <v>0</v>
      </c>
      <c r="T924" s="69"/>
      <c r="U924" s="69"/>
    </row>
    <row r="925" spans="19:21" ht="15" customHeight="1" x14ac:dyDescent="0.2">
      <c r="S925" s="69">
        <f>_xlfn.XLOOKUP(Results!A925,Geometry!$B$6:$B$10000,Geometry!$C$6:$C$10000)</f>
        <v>0</v>
      </c>
      <c r="T925" s="69"/>
      <c r="U925" s="69"/>
    </row>
    <row r="926" spans="19:21" ht="15" customHeight="1" x14ac:dyDescent="0.2">
      <c r="S926" s="69">
        <f>_xlfn.XLOOKUP(Results!A926,Geometry!$B$6:$B$10000,Geometry!$C$6:$C$10000)</f>
        <v>0</v>
      </c>
      <c r="T926" s="69"/>
      <c r="U926" s="69"/>
    </row>
    <row r="927" spans="19:21" ht="15" customHeight="1" x14ac:dyDescent="0.2">
      <c r="S927" s="69">
        <f>_xlfn.XLOOKUP(Results!A927,Geometry!$B$6:$B$10000,Geometry!$C$6:$C$10000)</f>
        <v>0</v>
      </c>
      <c r="T927" s="69"/>
      <c r="U927" s="69"/>
    </row>
    <row r="928" spans="19:21" ht="15" customHeight="1" x14ac:dyDescent="0.2">
      <c r="S928" s="69">
        <f>_xlfn.XLOOKUP(Results!A928,Geometry!$B$6:$B$10000,Geometry!$C$6:$C$10000)</f>
        <v>0</v>
      </c>
      <c r="T928" s="69"/>
      <c r="U928" s="69"/>
    </row>
    <row r="929" spans="19:21" ht="15" customHeight="1" x14ac:dyDescent="0.2">
      <c r="S929" s="69">
        <f>_xlfn.XLOOKUP(Results!A929,Geometry!$B$6:$B$10000,Geometry!$C$6:$C$10000)</f>
        <v>0</v>
      </c>
      <c r="T929" s="69"/>
      <c r="U929" s="69"/>
    </row>
    <row r="930" spans="19:21" ht="15" customHeight="1" x14ac:dyDescent="0.2">
      <c r="S930" s="69">
        <f>_xlfn.XLOOKUP(Results!A930,Geometry!$B$6:$B$10000,Geometry!$C$6:$C$10000)</f>
        <v>0</v>
      </c>
      <c r="T930" s="69"/>
      <c r="U930" s="69"/>
    </row>
    <row r="931" spans="19:21" ht="15" customHeight="1" x14ac:dyDescent="0.2">
      <c r="S931" s="69">
        <f>_xlfn.XLOOKUP(Results!A931,Geometry!$B$6:$B$10000,Geometry!$C$6:$C$10000)</f>
        <v>0</v>
      </c>
      <c r="T931" s="69"/>
      <c r="U931" s="69"/>
    </row>
    <row r="932" spans="19:21" ht="15" customHeight="1" x14ac:dyDescent="0.2">
      <c r="S932" s="69">
        <f>_xlfn.XLOOKUP(Results!A932,Geometry!$B$6:$B$10000,Geometry!$C$6:$C$10000)</f>
        <v>0</v>
      </c>
      <c r="T932" s="69"/>
      <c r="U932" s="69"/>
    </row>
    <row r="933" spans="19:21" ht="15" customHeight="1" x14ac:dyDescent="0.2">
      <c r="S933" s="69">
        <f>_xlfn.XLOOKUP(Results!A933,Geometry!$B$6:$B$10000,Geometry!$C$6:$C$10000)</f>
        <v>0</v>
      </c>
      <c r="T933" s="69"/>
      <c r="U933" s="69"/>
    </row>
    <row r="934" spans="19:21" ht="15" customHeight="1" x14ac:dyDescent="0.2">
      <c r="S934" s="69">
        <f>_xlfn.XLOOKUP(Results!A934,Geometry!$B$6:$B$10000,Geometry!$C$6:$C$10000)</f>
        <v>0</v>
      </c>
      <c r="T934" s="69"/>
      <c r="U934" s="69"/>
    </row>
    <row r="935" spans="19:21" ht="15" customHeight="1" x14ac:dyDescent="0.2">
      <c r="S935" s="69">
        <f>_xlfn.XLOOKUP(Results!A935,Geometry!$B$6:$B$10000,Geometry!$C$6:$C$10000)</f>
        <v>0</v>
      </c>
      <c r="T935" s="69"/>
      <c r="U935" s="69"/>
    </row>
    <row r="936" spans="19:21" ht="15" customHeight="1" x14ac:dyDescent="0.2">
      <c r="S936" s="69">
        <f>_xlfn.XLOOKUP(Results!A936,Geometry!$B$6:$B$10000,Geometry!$C$6:$C$10000)</f>
        <v>0</v>
      </c>
      <c r="T936" s="69"/>
      <c r="U936" s="69"/>
    </row>
    <row r="937" spans="19:21" ht="15" customHeight="1" x14ac:dyDescent="0.2">
      <c r="S937" s="69">
        <f>_xlfn.XLOOKUP(Results!A937,Geometry!$B$6:$B$10000,Geometry!$C$6:$C$10000)</f>
        <v>0</v>
      </c>
      <c r="T937" s="69"/>
      <c r="U937" s="69"/>
    </row>
    <row r="938" spans="19:21" ht="15" customHeight="1" x14ac:dyDescent="0.2">
      <c r="S938" s="69">
        <f>_xlfn.XLOOKUP(Results!A938,Geometry!$B$6:$B$10000,Geometry!$C$6:$C$10000)</f>
        <v>0</v>
      </c>
      <c r="T938" s="69"/>
      <c r="U938" s="69"/>
    </row>
    <row r="939" spans="19:21" ht="15" customHeight="1" x14ac:dyDescent="0.2">
      <c r="S939" s="69">
        <f>_xlfn.XLOOKUP(Results!A939,Geometry!$B$6:$B$10000,Geometry!$C$6:$C$10000)</f>
        <v>0</v>
      </c>
      <c r="T939" s="69"/>
      <c r="U939" s="69"/>
    </row>
    <row r="940" spans="19:21" ht="15" customHeight="1" x14ac:dyDescent="0.2">
      <c r="S940" s="69">
        <f>_xlfn.XLOOKUP(Results!A940,Geometry!$B$6:$B$10000,Geometry!$C$6:$C$10000)</f>
        <v>0</v>
      </c>
      <c r="T940" s="69"/>
      <c r="U940" s="69"/>
    </row>
    <row r="941" spans="19:21" ht="15" customHeight="1" x14ac:dyDescent="0.2">
      <c r="S941" s="69">
        <f>_xlfn.XLOOKUP(Results!A941,Geometry!$B$6:$B$10000,Geometry!$C$6:$C$10000)</f>
        <v>0</v>
      </c>
      <c r="T941" s="69"/>
      <c r="U941" s="69"/>
    </row>
    <row r="942" spans="19:21" ht="15" customHeight="1" x14ac:dyDescent="0.2">
      <c r="S942" s="69">
        <f>_xlfn.XLOOKUP(Results!A942,Geometry!$B$6:$B$10000,Geometry!$C$6:$C$10000)</f>
        <v>0</v>
      </c>
      <c r="T942" s="69"/>
      <c r="U942" s="69"/>
    </row>
    <row r="943" spans="19:21" ht="15" customHeight="1" x14ac:dyDescent="0.2">
      <c r="S943" s="69">
        <f>_xlfn.XLOOKUP(Results!A943,Geometry!$B$6:$B$10000,Geometry!$C$6:$C$10000)</f>
        <v>0</v>
      </c>
      <c r="T943" s="69"/>
      <c r="U943" s="69"/>
    </row>
    <row r="944" spans="19:21" ht="15" customHeight="1" x14ac:dyDescent="0.2">
      <c r="S944" s="69">
        <f>_xlfn.XLOOKUP(Results!A944,Geometry!$B$6:$B$10000,Geometry!$C$6:$C$10000)</f>
        <v>0</v>
      </c>
      <c r="T944" s="69"/>
      <c r="U944" s="69"/>
    </row>
    <row r="945" spans="19:21" ht="15" customHeight="1" x14ac:dyDescent="0.2">
      <c r="S945" s="69">
        <f>_xlfn.XLOOKUP(Results!A945,Geometry!$B$6:$B$10000,Geometry!$C$6:$C$10000)</f>
        <v>0</v>
      </c>
      <c r="T945" s="69"/>
      <c r="U945" s="69"/>
    </row>
    <row r="946" spans="19:21" ht="15" customHeight="1" x14ac:dyDescent="0.2">
      <c r="S946" s="69">
        <f>_xlfn.XLOOKUP(Results!A946,Geometry!$B$6:$B$10000,Geometry!$C$6:$C$10000)</f>
        <v>0</v>
      </c>
      <c r="T946" s="69"/>
      <c r="U946" s="69"/>
    </row>
    <row r="947" spans="19:21" ht="15" customHeight="1" x14ac:dyDescent="0.2">
      <c r="S947" s="69">
        <f>_xlfn.XLOOKUP(Results!A947,Geometry!$B$6:$B$10000,Geometry!$C$6:$C$10000)</f>
        <v>0</v>
      </c>
      <c r="T947" s="69"/>
      <c r="U947" s="69"/>
    </row>
    <row r="948" spans="19:21" ht="15" customHeight="1" x14ac:dyDescent="0.2">
      <c r="S948" s="69">
        <f>_xlfn.XLOOKUP(Results!A948,Geometry!$B$6:$B$10000,Geometry!$C$6:$C$10000)</f>
        <v>0</v>
      </c>
      <c r="T948" s="69"/>
      <c r="U948" s="69"/>
    </row>
    <row r="949" spans="19:21" ht="15" customHeight="1" x14ac:dyDescent="0.2">
      <c r="S949" s="69">
        <f>_xlfn.XLOOKUP(Results!A949,Geometry!$B$6:$B$10000,Geometry!$C$6:$C$10000)</f>
        <v>0</v>
      </c>
      <c r="T949" s="69"/>
      <c r="U949" s="69"/>
    </row>
    <row r="950" spans="19:21" ht="15" customHeight="1" x14ac:dyDescent="0.2">
      <c r="S950" s="69">
        <f>_xlfn.XLOOKUP(Results!A950,Geometry!$B$6:$B$10000,Geometry!$C$6:$C$10000)</f>
        <v>0</v>
      </c>
      <c r="T950" s="69"/>
      <c r="U950" s="69"/>
    </row>
    <row r="951" spans="19:21" ht="15" customHeight="1" x14ac:dyDescent="0.2">
      <c r="S951" s="69">
        <f>_xlfn.XLOOKUP(Results!A951,Geometry!$B$6:$B$10000,Geometry!$C$6:$C$10000)</f>
        <v>0</v>
      </c>
      <c r="T951" s="69"/>
      <c r="U951" s="69"/>
    </row>
    <row r="952" spans="19:21" ht="15" customHeight="1" x14ac:dyDescent="0.2">
      <c r="S952" s="69">
        <f>_xlfn.XLOOKUP(Results!A952,Geometry!$B$6:$B$10000,Geometry!$C$6:$C$10000)</f>
        <v>0</v>
      </c>
      <c r="T952" s="69"/>
      <c r="U952" s="69"/>
    </row>
    <row r="953" spans="19:21" ht="15" customHeight="1" x14ac:dyDescent="0.2">
      <c r="S953" s="69">
        <f>_xlfn.XLOOKUP(Results!A953,Geometry!$B$6:$B$10000,Geometry!$C$6:$C$10000)</f>
        <v>0</v>
      </c>
      <c r="T953" s="69"/>
      <c r="U953" s="69"/>
    </row>
    <row r="954" spans="19:21" ht="15" customHeight="1" x14ac:dyDescent="0.2">
      <c r="S954" s="69">
        <f>_xlfn.XLOOKUP(Results!A954,Geometry!$B$6:$B$10000,Geometry!$C$6:$C$10000)</f>
        <v>0</v>
      </c>
      <c r="T954" s="69"/>
      <c r="U954" s="69"/>
    </row>
    <row r="955" spans="19:21" ht="15" customHeight="1" x14ac:dyDescent="0.2">
      <c r="S955" s="69">
        <f>_xlfn.XLOOKUP(Results!A955,Geometry!$B$6:$B$10000,Geometry!$C$6:$C$10000)</f>
        <v>0</v>
      </c>
      <c r="T955" s="69"/>
      <c r="U955" s="69"/>
    </row>
    <row r="956" spans="19:21" ht="15" customHeight="1" x14ac:dyDescent="0.2">
      <c r="S956" s="69">
        <f>_xlfn.XLOOKUP(Results!A956,Geometry!$B$6:$B$10000,Geometry!$C$6:$C$10000)</f>
        <v>0</v>
      </c>
      <c r="T956" s="69"/>
      <c r="U956" s="69"/>
    </row>
    <row r="957" spans="19:21" ht="15" customHeight="1" x14ac:dyDescent="0.2">
      <c r="S957" s="69">
        <f>_xlfn.XLOOKUP(Results!A957,Geometry!$B$6:$B$10000,Geometry!$C$6:$C$10000)</f>
        <v>0</v>
      </c>
      <c r="T957" s="69"/>
      <c r="U957" s="69"/>
    </row>
    <row r="958" spans="19:21" ht="15" customHeight="1" x14ac:dyDescent="0.2">
      <c r="S958" s="69">
        <f>_xlfn.XLOOKUP(Results!A958,Geometry!$B$6:$B$10000,Geometry!$C$6:$C$10000)</f>
        <v>0</v>
      </c>
      <c r="T958" s="69"/>
      <c r="U958" s="69"/>
    </row>
    <row r="959" spans="19:21" ht="15" customHeight="1" x14ac:dyDescent="0.2">
      <c r="S959" s="69">
        <f>_xlfn.XLOOKUP(Results!A959,Geometry!$B$6:$B$10000,Geometry!$C$6:$C$10000)</f>
        <v>0</v>
      </c>
      <c r="T959" s="69"/>
      <c r="U959" s="69"/>
    </row>
    <row r="960" spans="19:21" ht="15" customHeight="1" x14ac:dyDescent="0.2">
      <c r="S960" s="69">
        <f>_xlfn.XLOOKUP(Results!A960,Geometry!$B$6:$B$10000,Geometry!$C$6:$C$10000)</f>
        <v>0</v>
      </c>
      <c r="T960" s="69"/>
      <c r="U960" s="69"/>
    </row>
    <row r="961" spans="19:21" ht="15" customHeight="1" x14ac:dyDescent="0.2">
      <c r="S961" s="69">
        <f>_xlfn.XLOOKUP(Results!A961,Geometry!$B$6:$B$10000,Geometry!$C$6:$C$10000)</f>
        <v>0</v>
      </c>
      <c r="T961" s="69"/>
      <c r="U961" s="69"/>
    </row>
    <row r="962" spans="19:21" ht="15" customHeight="1" x14ac:dyDescent="0.2">
      <c r="S962" s="69">
        <f>_xlfn.XLOOKUP(Results!A962,Geometry!$B$6:$B$10000,Geometry!$C$6:$C$10000)</f>
        <v>0</v>
      </c>
      <c r="T962" s="69"/>
      <c r="U962" s="69"/>
    </row>
    <row r="963" spans="19:21" ht="15" customHeight="1" x14ac:dyDescent="0.2">
      <c r="S963" s="69">
        <f>_xlfn.XLOOKUP(Results!A963,Geometry!$B$6:$B$10000,Geometry!$C$6:$C$10000)</f>
        <v>0</v>
      </c>
      <c r="T963" s="69"/>
      <c r="U963" s="69"/>
    </row>
    <row r="964" spans="19:21" ht="15" customHeight="1" x14ac:dyDescent="0.2">
      <c r="S964" s="69">
        <f>_xlfn.XLOOKUP(Results!A964,Geometry!$B$6:$B$10000,Geometry!$C$6:$C$10000)</f>
        <v>0</v>
      </c>
      <c r="T964" s="69"/>
      <c r="U964" s="69"/>
    </row>
    <row r="965" spans="19:21" ht="15" customHeight="1" x14ac:dyDescent="0.2">
      <c r="S965" s="69">
        <f>_xlfn.XLOOKUP(Results!A965,Geometry!$B$6:$B$10000,Geometry!$C$6:$C$10000)</f>
        <v>0</v>
      </c>
      <c r="T965" s="69"/>
      <c r="U965" s="69"/>
    </row>
    <row r="966" spans="19:21" ht="15" customHeight="1" x14ac:dyDescent="0.2">
      <c r="S966" s="69">
        <f>_xlfn.XLOOKUP(Results!A966,Geometry!$B$6:$B$10000,Geometry!$C$6:$C$10000)</f>
        <v>0</v>
      </c>
      <c r="T966" s="69"/>
      <c r="U966" s="69"/>
    </row>
    <row r="967" spans="19:21" ht="15" customHeight="1" x14ac:dyDescent="0.2">
      <c r="S967" s="69">
        <f>_xlfn.XLOOKUP(Results!A967,Geometry!$B$6:$B$10000,Geometry!$C$6:$C$10000)</f>
        <v>0</v>
      </c>
      <c r="T967" s="69"/>
      <c r="U967" s="69"/>
    </row>
    <row r="968" spans="19:21" ht="15" customHeight="1" x14ac:dyDescent="0.2">
      <c r="S968" s="69">
        <f>_xlfn.XLOOKUP(Results!A968,Geometry!$B$6:$B$10000,Geometry!$C$6:$C$10000)</f>
        <v>0</v>
      </c>
      <c r="T968" s="69"/>
      <c r="U968" s="69"/>
    </row>
    <row r="969" spans="19:21" ht="15" customHeight="1" x14ac:dyDescent="0.2">
      <c r="S969" s="69">
        <f>_xlfn.XLOOKUP(Results!A969,Geometry!$B$6:$B$10000,Geometry!$C$6:$C$10000)</f>
        <v>0</v>
      </c>
      <c r="T969" s="69"/>
      <c r="U969" s="69"/>
    </row>
    <row r="970" spans="19:21" ht="15" customHeight="1" x14ac:dyDescent="0.2">
      <c r="S970" s="69">
        <f>_xlfn.XLOOKUP(Results!A970,Geometry!$B$6:$B$10000,Geometry!$C$6:$C$10000)</f>
        <v>0</v>
      </c>
      <c r="T970" s="69"/>
      <c r="U970" s="69"/>
    </row>
    <row r="971" spans="19:21" ht="15" customHeight="1" x14ac:dyDescent="0.2">
      <c r="S971" s="69">
        <f>_xlfn.XLOOKUP(Results!A971,Geometry!$B$6:$B$10000,Geometry!$C$6:$C$10000)</f>
        <v>0</v>
      </c>
      <c r="T971" s="69"/>
      <c r="U971" s="69"/>
    </row>
    <row r="972" spans="19:21" ht="15" customHeight="1" x14ac:dyDescent="0.2">
      <c r="S972" s="69">
        <f>_xlfn.XLOOKUP(Results!A972,Geometry!$B$6:$B$10000,Geometry!$C$6:$C$10000)</f>
        <v>0</v>
      </c>
      <c r="T972" s="69"/>
      <c r="U972" s="69"/>
    </row>
    <row r="973" spans="19:21" ht="15" customHeight="1" x14ac:dyDescent="0.2">
      <c r="S973" s="69">
        <f>_xlfn.XLOOKUP(Results!A973,Geometry!$B$6:$B$10000,Geometry!$C$6:$C$10000)</f>
        <v>0</v>
      </c>
      <c r="T973" s="69"/>
      <c r="U973" s="69"/>
    </row>
    <row r="974" spans="19:21" ht="15" customHeight="1" x14ac:dyDescent="0.2">
      <c r="S974" s="69">
        <f>_xlfn.XLOOKUP(Results!A974,Geometry!$B$6:$B$10000,Geometry!$C$6:$C$10000)</f>
        <v>0</v>
      </c>
      <c r="T974" s="69"/>
      <c r="U974" s="69"/>
    </row>
    <row r="975" spans="19:21" ht="15" customHeight="1" x14ac:dyDescent="0.2">
      <c r="S975" s="69">
        <f>_xlfn.XLOOKUP(Results!A975,Geometry!$B$6:$B$10000,Geometry!$C$6:$C$10000)</f>
        <v>0</v>
      </c>
      <c r="T975" s="69"/>
      <c r="U975" s="69"/>
    </row>
    <row r="976" spans="19:21" ht="15" customHeight="1" x14ac:dyDescent="0.2">
      <c r="S976" s="69">
        <f>_xlfn.XLOOKUP(Results!A976,Geometry!$B$6:$B$10000,Geometry!$C$6:$C$10000)</f>
        <v>0</v>
      </c>
      <c r="T976" s="69"/>
      <c r="U976" s="69"/>
    </row>
    <row r="977" spans="19:21" ht="15" customHeight="1" x14ac:dyDescent="0.2">
      <c r="S977" s="69">
        <f>_xlfn.XLOOKUP(Results!A977,Geometry!$B$6:$B$10000,Geometry!$C$6:$C$10000)</f>
        <v>0</v>
      </c>
      <c r="T977" s="69"/>
      <c r="U977" s="69"/>
    </row>
    <row r="978" spans="19:21" ht="15" customHeight="1" x14ac:dyDescent="0.2">
      <c r="S978" s="69">
        <f>_xlfn.XLOOKUP(Results!A978,Geometry!$B$6:$B$10000,Geometry!$C$6:$C$10000)</f>
        <v>0</v>
      </c>
      <c r="T978" s="69"/>
      <c r="U978" s="69"/>
    </row>
    <row r="979" spans="19:21" ht="15" customHeight="1" x14ac:dyDescent="0.2">
      <c r="S979" s="69">
        <f>_xlfn.XLOOKUP(Results!A979,Geometry!$B$6:$B$10000,Geometry!$C$6:$C$10000)</f>
        <v>0</v>
      </c>
      <c r="T979" s="69"/>
      <c r="U979" s="69"/>
    </row>
    <row r="980" spans="19:21" ht="15" customHeight="1" x14ac:dyDescent="0.2">
      <c r="S980" s="69">
        <f>_xlfn.XLOOKUP(Results!A980,Geometry!$B$6:$B$10000,Geometry!$C$6:$C$10000)</f>
        <v>0</v>
      </c>
      <c r="T980" s="69"/>
      <c r="U980" s="69"/>
    </row>
    <row r="981" spans="19:21" ht="15" customHeight="1" x14ac:dyDescent="0.2">
      <c r="S981" s="69">
        <f>_xlfn.XLOOKUP(Results!A981,Geometry!$B$6:$B$10000,Geometry!$C$6:$C$10000)</f>
        <v>0</v>
      </c>
      <c r="T981" s="69"/>
      <c r="U981" s="69"/>
    </row>
    <row r="982" spans="19:21" ht="15" customHeight="1" x14ac:dyDescent="0.2">
      <c r="S982" s="69">
        <f>_xlfn.XLOOKUP(Results!A982,Geometry!$B$6:$B$10000,Geometry!$C$6:$C$10000)</f>
        <v>0</v>
      </c>
      <c r="T982" s="69"/>
      <c r="U982" s="69"/>
    </row>
    <row r="983" spans="19:21" ht="15" customHeight="1" x14ac:dyDescent="0.2">
      <c r="S983" s="69">
        <f>_xlfn.XLOOKUP(Results!A983,Geometry!$B$6:$B$10000,Geometry!$C$6:$C$10000)</f>
        <v>0</v>
      </c>
      <c r="T983" s="69"/>
      <c r="U983" s="69"/>
    </row>
    <row r="984" spans="19:21" ht="15" customHeight="1" x14ac:dyDescent="0.2">
      <c r="S984" s="69">
        <f>_xlfn.XLOOKUP(Results!A984,Geometry!$B$6:$B$10000,Geometry!$C$6:$C$10000)</f>
        <v>0</v>
      </c>
      <c r="T984" s="69"/>
      <c r="U984" s="69"/>
    </row>
    <row r="985" spans="19:21" ht="15" customHeight="1" x14ac:dyDescent="0.2">
      <c r="S985" s="69">
        <f>_xlfn.XLOOKUP(Results!A985,Geometry!$B$6:$B$10000,Geometry!$C$6:$C$10000)</f>
        <v>0</v>
      </c>
      <c r="T985" s="69"/>
      <c r="U985" s="69"/>
    </row>
    <row r="986" spans="19:21" ht="15" customHeight="1" x14ac:dyDescent="0.2">
      <c r="S986" s="69">
        <f>_xlfn.XLOOKUP(Results!A986,Geometry!$B$6:$B$10000,Geometry!$C$6:$C$10000)</f>
        <v>0</v>
      </c>
      <c r="T986" s="69"/>
      <c r="U986" s="69"/>
    </row>
    <row r="987" spans="19:21" ht="15" customHeight="1" x14ac:dyDescent="0.2">
      <c r="S987" s="69">
        <f>_xlfn.XLOOKUP(Results!A987,Geometry!$B$6:$B$10000,Geometry!$C$6:$C$10000)</f>
        <v>0</v>
      </c>
      <c r="T987" s="69"/>
      <c r="U987" s="69"/>
    </row>
    <row r="988" spans="19:21" ht="15" customHeight="1" x14ac:dyDescent="0.2">
      <c r="S988" s="69">
        <f>_xlfn.XLOOKUP(Results!A988,Geometry!$B$6:$B$10000,Geometry!$C$6:$C$10000)</f>
        <v>0</v>
      </c>
      <c r="T988" s="69"/>
      <c r="U988" s="69"/>
    </row>
    <row r="989" spans="19:21" ht="15" customHeight="1" x14ac:dyDescent="0.2">
      <c r="S989" s="69">
        <f>_xlfn.XLOOKUP(Results!A989,Geometry!$B$6:$B$10000,Geometry!$C$6:$C$10000)</f>
        <v>0</v>
      </c>
      <c r="T989" s="69"/>
      <c r="U989" s="69"/>
    </row>
    <row r="990" spans="19:21" ht="15" customHeight="1" x14ac:dyDescent="0.2">
      <c r="S990" s="69">
        <f>_xlfn.XLOOKUP(Results!A990,Geometry!$B$6:$B$10000,Geometry!$C$6:$C$10000)</f>
        <v>0</v>
      </c>
      <c r="T990" s="69"/>
      <c r="U990" s="69"/>
    </row>
    <row r="991" spans="19:21" ht="15" customHeight="1" x14ac:dyDescent="0.2">
      <c r="S991" s="69">
        <f>_xlfn.XLOOKUP(Results!A991,Geometry!$B$6:$B$10000,Geometry!$C$6:$C$10000)</f>
        <v>0</v>
      </c>
      <c r="T991" s="69"/>
      <c r="U991" s="69"/>
    </row>
    <row r="992" spans="19:21" ht="15" customHeight="1" x14ac:dyDescent="0.2">
      <c r="S992" s="69">
        <f>_xlfn.XLOOKUP(Results!A992,Geometry!$B$6:$B$10000,Geometry!$C$6:$C$10000)</f>
        <v>0</v>
      </c>
      <c r="T992" s="69"/>
      <c r="U992" s="69"/>
    </row>
    <row r="993" spans="19:21" ht="15" customHeight="1" x14ac:dyDescent="0.2">
      <c r="S993" s="69">
        <f>_xlfn.XLOOKUP(Results!A993,Geometry!$B$6:$B$10000,Geometry!$C$6:$C$10000)</f>
        <v>0</v>
      </c>
      <c r="T993" s="69"/>
      <c r="U993" s="69"/>
    </row>
    <row r="994" spans="19:21" ht="15" customHeight="1" x14ac:dyDescent="0.2">
      <c r="S994" s="69">
        <f>_xlfn.XLOOKUP(Results!A994,Geometry!$B$6:$B$10000,Geometry!$C$6:$C$10000)</f>
        <v>0</v>
      </c>
      <c r="T994" s="69"/>
      <c r="U994" s="69"/>
    </row>
    <row r="995" spans="19:21" ht="15" customHeight="1" x14ac:dyDescent="0.2">
      <c r="S995" s="69">
        <f>_xlfn.XLOOKUP(Results!A995,Geometry!$B$6:$B$10000,Geometry!$C$6:$C$10000)</f>
        <v>0</v>
      </c>
      <c r="T995" s="69"/>
      <c r="U995" s="69"/>
    </row>
    <row r="996" spans="19:21" ht="15" customHeight="1" x14ac:dyDescent="0.2">
      <c r="S996" s="69">
        <f>_xlfn.XLOOKUP(Results!A996,Geometry!$B$6:$B$10000,Geometry!$C$6:$C$10000)</f>
        <v>0</v>
      </c>
      <c r="T996" s="69"/>
      <c r="U996" s="69"/>
    </row>
    <row r="997" spans="19:21" ht="15" customHeight="1" x14ac:dyDescent="0.2">
      <c r="S997" s="69">
        <f>_xlfn.XLOOKUP(Results!A997,Geometry!$B$6:$B$10000,Geometry!$C$6:$C$10000)</f>
        <v>0</v>
      </c>
      <c r="T997" s="69"/>
      <c r="U997" s="69"/>
    </row>
    <row r="998" spans="19:21" ht="15" customHeight="1" x14ac:dyDescent="0.2">
      <c r="S998" s="69">
        <f>_xlfn.XLOOKUP(Results!A998,Geometry!$B$6:$B$10000,Geometry!$C$6:$C$10000)</f>
        <v>0</v>
      </c>
      <c r="T998" s="69"/>
      <c r="U998" s="69"/>
    </row>
    <row r="999" spans="19:21" ht="15" customHeight="1" x14ac:dyDescent="0.2">
      <c r="S999" s="69">
        <f>_xlfn.XLOOKUP(Results!A999,Geometry!$B$6:$B$10000,Geometry!$C$6:$C$10000)</f>
        <v>0</v>
      </c>
      <c r="T999" s="69"/>
      <c r="U999" s="69"/>
    </row>
    <row r="1000" spans="19:21" ht="15" customHeight="1" x14ac:dyDescent="0.2">
      <c r="S1000" s="69">
        <f>_xlfn.XLOOKUP(Results!A1000,Geometry!$B$6:$B$10000,Geometry!$C$6:$C$10000)</f>
        <v>0</v>
      </c>
      <c r="T1000" s="69"/>
      <c r="U1000" s="69"/>
    </row>
    <row r="1001" spans="19:21" ht="15" customHeight="1" x14ac:dyDescent="0.2">
      <c r="S1001" s="69">
        <f>_xlfn.XLOOKUP(Results!A1001,Geometry!$B$6:$B$10000,Geometry!$C$6:$C$10000)</f>
        <v>0</v>
      </c>
      <c r="T1001" s="69"/>
      <c r="U1001" s="69"/>
    </row>
    <row r="1002" spans="19:21" ht="15" customHeight="1" x14ac:dyDescent="0.2">
      <c r="S1002" s="69">
        <f>_xlfn.XLOOKUP(Results!A1002,Geometry!$B$6:$B$10000,Geometry!$C$6:$C$10000)</f>
        <v>0</v>
      </c>
      <c r="T1002" s="69"/>
      <c r="U1002" s="69"/>
    </row>
    <row r="1003" spans="19:21" ht="15" customHeight="1" x14ac:dyDescent="0.2">
      <c r="S1003" s="69">
        <f>_xlfn.XLOOKUP(Results!A1003,Geometry!$B$6:$B$10000,Geometry!$C$6:$C$10000)</f>
        <v>0</v>
      </c>
      <c r="T1003" s="69"/>
      <c r="U1003" s="69"/>
    </row>
    <row r="1004" spans="19:21" ht="15" customHeight="1" x14ac:dyDescent="0.2">
      <c r="S1004" s="69">
        <f>_xlfn.XLOOKUP(Results!A1004,Geometry!$B$6:$B$10000,Geometry!$C$6:$C$10000)</f>
        <v>0</v>
      </c>
      <c r="T1004" s="69"/>
      <c r="U1004" s="69"/>
    </row>
    <row r="1005" spans="19:21" ht="15" customHeight="1" x14ac:dyDescent="0.2">
      <c r="S1005" s="69">
        <f>_xlfn.XLOOKUP(Results!A1005,Geometry!$B$6:$B$10000,Geometry!$C$6:$C$10000)</f>
        <v>0</v>
      </c>
      <c r="T1005" s="69"/>
      <c r="U1005" s="69"/>
    </row>
    <row r="1006" spans="19:21" ht="15" customHeight="1" x14ac:dyDescent="0.2">
      <c r="S1006" s="69">
        <f>_xlfn.XLOOKUP(Results!A1006,Geometry!$B$6:$B$10000,Geometry!$C$6:$C$10000)</f>
        <v>0</v>
      </c>
      <c r="T1006" s="69"/>
      <c r="U1006" s="69"/>
    </row>
    <row r="1007" spans="19:21" ht="15" customHeight="1" x14ac:dyDescent="0.2">
      <c r="S1007" s="69">
        <f>_xlfn.XLOOKUP(Results!A1007,Geometry!$B$6:$B$10000,Geometry!$C$6:$C$10000)</f>
        <v>0</v>
      </c>
      <c r="T1007" s="69"/>
      <c r="U1007" s="69"/>
    </row>
    <row r="1008" spans="19:21" ht="15" customHeight="1" x14ac:dyDescent="0.2">
      <c r="S1008" s="69">
        <f>_xlfn.XLOOKUP(Results!A1008,Geometry!$B$6:$B$10000,Geometry!$C$6:$C$10000)</f>
        <v>0</v>
      </c>
      <c r="T1008" s="69"/>
      <c r="U1008" s="69"/>
    </row>
    <row r="1009" spans="19:21" ht="15" customHeight="1" x14ac:dyDescent="0.2">
      <c r="S1009" s="69">
        <f>_xlfn.XLOOKUP(Results!A1009,Geometry!$B$6:$B$10000,Geometry!$C$6:$C$10000)</f>
        <v>0</v>
      </c>
      <c r="T1009" s="69"/>
      <c r="U1009" s="69"/>
    </row>
    <row r="1010" spans="19:21" ht="15" customHeight="1" x14ac:dyDescent="0.2">
      <c r="S1010" s="69">
        <f>_xlfn.XLOOKUP(Results!A1010,Geometry!$B$6:$B$10000,Geometry!$C$6:$C$10000)</f>
        <v>0</v>
      </c>
      <c r="T1010" s="69"/>
      <c r="U1010" s="69"/>
    </row>
    <row r="1011" spans="19:21" ht="15" customHeight="1" x14ac:dyDescent="0.2">
      <c r="S1011" s="69">
        <f>_xlfn.XLOOKUP(Results!A1011,Geometry!$B$6:$B$10000,Geometry!$C$6:$C$10000)</f>
        <v>0</v>
      </c>
      <c r="T1011" s="69"/>
      <c r="U1011" s="69"/>
    </row>
    <row r="1012" spans="19:21" ht="15" customHeight="1" x14ac:dyDescent="0.2">
      <c r="S1012" s="69">
        <f>_xlfn.XLOOKUP(Results!A1012,Geometry!$B$6:$B$10000,Geometry!$C$6:$C$10000)</f>
        <v>0</v>
      </c>
      <c r="T1012" s="69"/>
      <c r="U1012" s="69"/>
    </row>
    <row r="1013" spans="19:21" ht="15" customHeight="1" x14ac:dyDescent="0.2">
      <c r="S1013" s="69">
        <f>_xlfn.XLOOKUP(Results!A1013,Geometry!$B$6:$B$10000,Geometry!$C$6:$C$10000)</f>
        <v>0</v>
      </c>
      <c r="T1013" s="69"/>
      <c r="U1013" s="69"/>
    </row>
    <row r="1014" spans="19:21" ht="15" customHeight="1" x14ac:dyDescent="0.2">
      <c r="S1014" s="69">
        <f>_xlfn.XLOOKUP(Results!A1014,Geometry!$B$6:$B$10000,Geometry!$C$6:$C$10000)</f>
        <v>0</v>
      </c>
      <c r="T1014" s="69"/>
      <c r="U1014" s="69"/>
    </row>
    <row r="1015" spans="19:21" ht="15" customHeight="1" x14ac:dyDescent="0.2">
      <c r="S1015" s="69">
        <f>_xlfn.XLOOKUP(Results!A1015,Geometry!$B$6:$B$10000,Geometry!$C$6:$C$10000)</f>
        <v>0</v>
      </c>
      <c r="T1015" s="69"/>
      <c r="U1015" s="69"/>
    </row>
    <row r="1016" spans="19:21" ht="15" customHeight="1" x14ac:dyDescent="0.2">
      <c r="S1016" s="69">
        <f>_xlfn.XLOOKUP(Results!A1016,Geometry!$B$6:$B$10000,Geometry!$C$6:$C$10000)</f>
        <v>0</v>
      </c>
      <c r="T1016" s="69"/>
      <c r="U1016" s="69"/>
    </row>
    <row r="1017" spans="19:21" ht="15" customHeight="1" x14ac:dyDescent="0.2">
      <c r="S1017" s="69">
        <f>_xlfn.XLOOKUP(Results!A1017,Geometry!$B$6:$B$10000,Geometry!$C$6:$C$10000)</f>
        <v>0</v>
      </c>
      <c r="T1017" s="69"/>
      <c r="U1017" s="69"/>
    </row>
    <row r="1018" spans="19:21" ht="15" customHeight="1" x14ac:dyDescent="0.2">
      <c r="S1018" s="69">
        <f>_xlfn.XLOOKUP(Results!A1018,Geometry!$B$6:$B$10000,Geometry!$C$6:$C$10000)</f>
        <v>0</v>
      </c>
      <c r="T1018" s="69"/>
      <c r="U1018" s="69"/>
    </row>
    <row r="1019" spans="19:21" ht="15" customHeight="1" x14ac:dyDescent="0.2">
      <c r="S1019" s="69">
        <f>_xlfn.XLOOKUP(Results!A1019,Geometry!$B$6:$B$10000,Geometry!$C$6:$C$10000)</f>
        <v>0</v>
      </c>
      <c r="T1019" s="69"/>
      <c r="U1019" s="69"/>
    </row>
    <row r="1020" spans="19:21" ht="15" customHeight="1" x14ac:dyDescent="0.2">
      <c r="S1020" s="69">
        <f>_xlfn.XLOOKUP(Results!A1020,Geometry!$B$6:$B$10000,Geometry!$C$6:$C$10000)</f>
        <v>0</v>
      </c>
      <c r="T1020" s="69"/>
      <c r="U1020" s="69"/>
    </row>
    <row r="1021" spans="19:21" ht="15" customHeight="1" x14ac:dyDescent="0.2">
      <c r="S1021" s="69">
        <f>_xlfn.XLOOKUP(Results!A1021,Geometry!$B$6:$B$10000,Geometry!$C$6:$C$10000)</f>
        <v>0</v>
      </c>
      <c r="T1021" s="69"/>
      <c r="U1021" s="69"/>
    </row>
    <row r="1022" spans="19:21" ht="15" customHeight="1" x14ac:dyDescent="0.2">
      <c r="S1022" s="69">
        <f>_xlfn.XLOOKUP(Results!A1022,Geometry!$B$6:$B$10000,Geometry!$C$6:$C$10000)</f>
        <v>0</v>
      </c>
      <c r="T1022" s="69"/>
      <c r="U1022" s="69"/>
    </row>
    <row r="1023" spans="19:21" ht="15" customHeight="1" x14ac:dyDescent="0.2">
      <c r="S1023" s="69">
        <f>_xlfn.XLOOKUP(Results!A1023,Geometry!$B$6:$B$10000,Geometry!$C$6:$C$10000)</f>
        <v>0</v>
      </c>
      <c r="T1023" s="69"/>
      <c r="U1023" s="69"/>
    </row>
    <row r="1024" spans="19:21" ht="15" customHeight="1" x14ac:dyDescent="0.2">
      <c r="S1024" s="69">
        <f>_xlfn.XLOOKUP(Results!A1024,Geometry!$B$6:$B$10000,Geometry!$C$6:$C$10000)</f>
        <v>0</v>
      </c>
      <c r="T1024" s="69"/>
      <c r="U1024" s="69"/>
    </row>
    <row r="1025" spans="19:21" ht="15" customHeight="1" x14ac:dyDescent="0.2">
      <c r="S1025" s="69">
        <f>_xlfn.XLOOKUP(Results!A1025,Geometry!$B$6:$B$10000,Geometry!$C$6:$C$10000)</f>
        <v>0</v>
      </c>
      <c r="T1025" s="69"/>
      <c r="U1025" s="69"/>
    </row>
    <row r="1026" spans="19:21" ht="15" customHeight="1" x14ac:dyDescent="0.2">
      <c r="S1026" s="69">
        <f>_xlfn.XLOOKUP(Results!A1026,Geometry!$B$6:$B$10000,Geometry!$C$6:$C$10000)</f>
        <v>0</v>
      </c>
      <c r="T1026" s="69"/>
      <c r="U1026" s="69"/>
    </row>
    <row r="1027" spans="19:21" ht="15" customHeight="1" x14ac:dyDescent="0.2">
      <c r="S1027" s="69">
        <f>_xlfn.XLOOKUP(Results!A1027,Geometry!$B$6:$B$10000,Geometry!$C$6:$C$10000)</f>
        <v>0</v>
      </c>
      <c r="T1027" s="69"/>
      <c r="U1027" s="69"/>
    </row>
    <row r="1028" spans="19:21" ht="15" customHeight="1" x14ac:dyDescent="0.2">
      <c r="S1028" s="69">
        <f>_xlfn.XLOOKUP(Results!A1028,Geometry!$B$6:$B$10000,Geometry!$C$6:$C$10000)</f>
        <v>0</v>
      </c>
      <c r="T1028" s="69"/>
      <c r="U1028" s="69"/>
    </row>
    <row r="1029" spans="19:21" ht="15" customHeight="1" x14ac:dyDescent="0.2">
      <c r="S1029" s="69">
        <f>_xlfn.XLOOKUP(Results!A1029,Geometry!$B$6:$B$10000,Geometry!$C$6:$C$10000)</f>
        <v>0</v>
      </c>
      <c r="T1029" s="69"/>
      <c r="U1029" s="69"/>
    </row>
    <row r="1030" spans="19:21" ht="15" customHeight="1" x14ac:dyDescent="0.2">
      <c r="S1030" s="69">
        <f>_xlfn.XLOOKUP(Results!A1030,Geometry!$B$6:$B$10000,Geometry!$C$6:$C$10000)</f>
        <v>0</v>
      </c>
      <c r="T1030" s="69"/>
      <c r="U1030" s="69"/>
    </row>
    <row r="1031" spans="19:21" ht="15" customHeight="1" x14ac:dyDescent="0.2">
      <c r="S1031" s="69">
        <f>_xlfn.XLOOKUP(Results!A1031,Geometry!$B$6:$B$10000,Geometry!$C$6:$C$10000)</f>
        <v>0</v>
      </c>
      <c r="T1031" s="69"/>
      <c r="U1031" s="69"/>
    </row>
    <row r="1032" spans="19:21" ht="15" customHeight="1" x14ac:dyDescent="0.2">
      <c r="S1032" s="69">
        <f>_xlfn.XLOOKUP(Results!A1032,Geometry!$B$6:$B$10000,Geometry!$C$6:$C$10000)</f>
        <v>0</v>
      </c>
      <c r="T1032" s="69"/>
      <c r="U1032" s="69"/>
    </row>
    <row r="1033" spans="19:21" ht="15" customHeight="1" x14ac:dyDescent="0.2">
      <c r="S1033" s="69">
        <f>_xlfn.XLOOKUP(Results!A1033,Geometry!$B$6:$B$10000,Geometry!$C$6:$C$10000)</f>
        <v>0</v>
      </c>
      <c r="T1033" s="69"/>
      <c r="U1033" s="69"/>
    </row>
    <row r="1034" spans="19:21" ht="15" customHeight="1" x14ac:dyDescent="0.2">
      <c r="S1034" s="69">
        <f>_xlfn.XLOOKUP(Results!A1034,Geometry!$B$6:$B$10000,Geometry!$C$6:$C$10000)</f>
        <v>0</v>
      </c>
      <c r="T1034" s="69"/>
      <c r="U1034" s="69"/>
    </row>
    <row r="1035" spans="19:21" ht="15" customHeight="1" x14ac:dyDescent="0.2">
      <c r="S1035" s="69">
        <f>_xlfn.XLOOKUP(Results!A1035,Geometry!$B$6:$B$10000,Geometry!$C$6:$C$10000)</f>
        <v>0</v>
      </c>
      <c r="T1035" s="69"/>
      <c r="U1035" s="69"/>
    </row>
    <row r="1036" spans="19:21" ht="15" customHeight="1" x14ac:dyDescent="0.2">
      <c r="S1036" s="69">
        <f>_xlfn.XLOOKUP(Results!A1036,Geometry!$B$6:$B$10000,Geometry!$C$6:$C$10000)</f>
        <v>0</v>
      </c>
      <c r="T1036" s="69"/>
      <c r="U1036" s="69"/>
    </row>
    <row r="1037" spans="19:21" ht="15" customHeight="1" x14ac:dyDescent="0.2">
      <c r="S1037" s="69">
        <f>_xlfn.XLOOKUP(Results!A1037,Geometry!$B$6:$B$10000,Geometry!$C$6:$C$10000)</f>
        <v>0</v>
      </c>
      <c r="T1037" s="69"/>
      <c r="U1037" s="69"/>
    </row>
    <row r="1038" spans="19:21" ht="15" customHeight="1" x14ac:dyDescent="0.2">
      <c r="S1038" s="69">
        <f>_xlfn.XLOOKUP(Results!A1038,Geometry!$B$6:$B$10000,Geometry!$C$6:$C$10000)</f>
        <v>0</v>
      </c>
      <c r="T1038" s="69"/>
      <c r="U1038" s="69"/>
    </row>
    <row r="1039" spans="19:21" ht="15" customHeight="1" x14ac:dyDescent="0.2">
      <c r="S1039" s="69">
        <f>_xlfn.XLOOKUP(Results!A1039,Geometry!$B$6:$B$10000,Geometry!$C$6:$C$10000)</f>
        <v>0</v>
      </c>
      <c r="T1039" s="69"/>
      <c r="U1039" s="69"/>
    </row>
    <row r="1040" spans="19:21" ht="15" customHeight="1" x14ac:dyDescent="0.2">
      <c r="S1040" s="69">
        <f>_xlfn.XLOOKUP(Results!A1040,Geometry!$B$6:$B$10000,Geometry!$C$6:$C$10000)</f>
        <v>0</v>
      </c>
      <c r="T1040" s="69"/>
      <c r="U1040" s="69"/>
    </row>
    <row r="1041" spans="19:21" ht="15" customHeight="1" x14ac:dyDescent="0.2">
      <c r="S1041" s="69">
        <f>_xlfn.XLOOKUP(Results!A1041,Geometry!$B$6:$B$10000,Geometry!$C$6:$C$10000)</f>
        <v>0</v>
      </c>
      <c r="T1041" s="69"/>
      <c r="U1041" s="69"/>
    </row>
    <row r="1042" spans="19:21" ht="15" customHeight="1" x14ac:dyDescent="0.2">
      <c r="S1042" s="69">
        <f>_xlfn.XLOOKUP(Results!A1042,Geometry!$B$6:$B$10000,Geometry!$C$6:$C$10000)</f>
        <v>0</v>
      </c>
      <c r="T1042" s="69"/>
      <c r="U1042" s="69"/>
    </row>
    <row r="1043" spans="19:21" ht="15" customHeight="1" x14ac:dyDescent="0.2">
      <c r="S1043" s="69">
        <f>_xlfn.XLOOKUP(Results!A1043,Geometry!$B$6:$B$10000,Geometry!$C$6:$C$10000)</f>
        <v>0</v>
      </c>
      <c r="T1043" s="69"/>
      <c r="U1043" s="69"/>
    </row>
    <row r="1044" spans="19:21" ht="15" customHeight="1" x14ac:dyDescent="0.2">
      <c r="S1044" s="69">
        <f>_xlfn.XLOOKUP(Results!A1044,Geometry!$B$6:$B$10000,Geometry!$C$6:$C$10000)</f>
        <v>0</v>
      </c>
      <c r="T1044" s="69"/>
      <c r="U1044" s="69"/>
    </row>
    <row r="1045" spans="19:21" ht="15" customHeight="1" x14ac:dyDescent="0.2">
      <c r="S1045" s="69">
        <f>_xlfn.XLOOKUP(Results!A1045,Geometry!$B$6:$B$10000,Geometry!$C$6:$C$10000)</f>
        <v>0</v>
      </c>
      <c r="T1045" s="69"/>
      <c r="U1045" s="69"/>
    </row>
    <row r="1046" spans="19:21" ht="15" customHeight="1" x14ac:dyDescent="0.2">
      <c r="S1046" s="69">
        <f>_xlfn.XLOOKUP(Results!A1046,Geometry!$B$6:$B$10000,Geometry!$C$6:$C$10000)</f>
        <v>0</v>
      </c>
      <c r="T1046" s="69"/>
      <c r="U1046" s="69"/>
    </row>
    <row r="1047" spans="19:21" ht="15" customHeight="1" x14ac:dyDescent="0.2">
      <c r="S1047" s="69">
        <f>_xlfn.XLOOKUP(Results!A1047,Geometry!$B$6:$B$10000,Geometry!$C$6:$C$10000)</f>
        <v>0</v>
      </c>
      <c r="T1047" s="69"/>
      <c r="U1047" s="69"/>
    </row>
    <row r="1048" spans="19:21" ht="15" customHeight="1" x14ac:dyDescent="0.2">
      <c r="S1048" s="69">
        <f>_xlfn.XLOOKUP(Results!A1048,Geometry!$B$6:$B$10000,Geometry!$C$6:$C$10000)</f>
        <v>0</v>
      </c>
      <c r="T1048" s="69"/>
      <c r="U1048" s="69"/>
    </row>
    <row r="1049" spans="19:21" ht="15" customHeight="1" x14ac:dyDescent="0.2">
      <c r="S1049" s="69">
        <f>_xlfn.XLOOKUP(Results!A1049,Geometry!$B$6:$B$10000,Geometry!$C$6:$C$10000)</f>
        <v>0</v>
      </c>
      <c r="T1049" s="69"/>
      <c r="U1049" s="69"/>
    </row>
    <row r="1050" spans="19:21" ht="15" customHeight="1" x14ac:dyDescent="0.2">
      <c r="S1050" s="69">
        <f>_xlfn.XLOOKUP(Results!A1050,Geometry!$B$6:$B$10000,Geometry!$C$6:$C$10000)</f>
        <v>0</v>
      </c>
      <c r="T1050" s="69"/>
      <c r="U1050" s="69"/>
    </row>
    <row r="1051" spans="19:21" ht="15" customHeight="1" x14ac:dyDescent="0.2">
      <c r="S1051" s="69">
        <f>_xlfn.XLOOKUP(Results!A1051,Geometry!$B$6:$B$10000,Geometry!$C$6:$C$10000)</f>
        <v>0</v>
      </c>
      <c r="T1051" s="69"/>
      <c r="U1051" s="69"/>
    </row>
    <row r="1052" spans="19:21" ht="15" customHeight="1" x14ac:dyDescent="0.2">
      <c r="S1052" s="69">
        <f>_xlfn.XLOOKUP(Results!A1052,Geometry!$B$6:$B$10000,Geometry!$C$6:$C$10000)</f>
        <v>0</v>
      </c>
      <c r="T1052" s="69"/>
      <c r="U1052" s="69"/>
    </row>
    <row r="1053" spans="19:21" ht="15" customHeight="1" x14ac:dyDescent="0.2">
      <c r="S1053" s="69">
        <f>_xlfn.XLOOKUP(Results!A1053,Geometry!$B$6:$B$10000,Geometry!$C$6:$C$10000)</f>
        <v>0</v>
      </c>
      <c r="T1053" s="69"/>
      <c r="U1053" s="69"/>
    </row>
    <row r="1054" spans="19:21" ht="15" customHeight="1" x14ac:dyDescent="0.2">
      <c r="S1054" s="69">
        <f>_xlfn.XLOOKUP(Results!A1054,Geometry!$B$6:$B$10000,Geometry!$C$6:$C$10000)</f>
        <v>0</v>
      </c>
      <c r="T1054" s="69"/>
      <c r="U1054" s="69"/>
    </row>
    <row r="1055" spans="19:21" ht="15" customHeight="1" x14ac:dyDescent="0.2">
      <c r="S1055" s="69">
        <f>_xlfn.XLOOKUP(Results!A1055,Geometry!$B$6:$B$10000,Geometry!$C$6:$C$10000)</f>
        <v>0</v>
      </c>
      <c r="T1055" s="69"/>
      <c r="U1055" s="69"/>
    </row>
    <row r="1056" spans="19:21" ht="15" customHeight="1" x14ac:dyDescent="0.2">
      <c r="S1056" s="69">
        <f>_xlfn.XLOOKUP(Results!A1056,Geometry!$B$6:$B$10000,Geometry!$C$6:$C$10000)</f>
        <v>0</v>
      </c>
      <c r="T1056" s="69"/>
      <c r="U1056" s="69"/>
    </row>
    <row r="1057" spans="19:21" ht="15" customHeight="1" x14ac:dyDescent="0.2">
      <c r="S1057" s="69">
        <f>_xlfn.XLOOKUP(Results!A1057,Geometry!$B$6:$B$10000,Geometry!$C$6:$C$10000)</f>
        <v>0</v>
      </c>
      <c r="T1057" s="69"/>
      <c r="U1057" s="69"/>
    </row>
    <row r="1058" spans="19:21" ht="15" customHeight="1" x14ac:dyDescent="0.2">
      <c r="S1058" s="69">
        <f>_xlfn.XLOOKUP(Results!A1058,Geometry!$B$6:$B$10000,Geometry!$C$6:$C$10000)</f>
        <v>0</v>
      </c>
      <c r="T1058" s="69"/>
      <c r="U1058" s="69"/>
    </row>
    <row r="1059" spans="19:21" ht="15" customHeight="1" x14ac:dyDescent="0.2">
      <c r="S1059" s="69">
        <f>_xlfn.XLOOKUP(Results!A1059,Geometry!$B$6:$B$10000,Geometry!$C$6:$C$10000)</f>
        <v>0</v>
      </c>
      <c r="T1059" s="69"/>
      <c r="U1059" s="69"/>
    </row>
    <row r="1060" spans="19:21" ht="15" customHeight="1" x14ac:dyDescent="0.2">
      <c r="S1060" s="69">
        <f>_xlfn.XLOOKUP(Results!A1060,Geometry!$B$6:$B$10000,Geometry!$C$6:$C$10000)</f>
        <v>0</v>
      </c>
      <c r="T1060" s="69"/>
      <c r="U1060" s="69"/>
    </row>
    <row r="1061" spans="19:21" ht="15" customHeight="1" x14ac:dyDescent="0.2">
      <c r="S1061" s="69">
        <f>_xlfn.XLOOKUP(Results!A1061,Geometry!$B$6:$B$10000,Geometry!$C$6:$C$10000)</f>
        <v>0</v>
      </c>
      <c r="T1061" s="69"/>
      <c r="U1061" s="69"/>
    </row>
    <row r="1062" spans="19:21" ht="15" customHeight="1" x14ac:dyDescent="0.2">
      <c r="S1062" s="69">
        <f>_xlfn.XLOOKUP(Results!A1062,Geometry!$B$6:$B$10000,Geometry!$C$6:$C$10000)</f>
        <v>0</v>
      </c>
      <c r="T1062" s="69"/>
      <c r="U1062" s="69"/>
    </row>
    <row r="1063" spans="19:21" ht="15" customHeight="1" x14ac:dyDescent="0.2">
      <c r="S1063" s="69">
        <f>_xlfn.XLOOKUP(Results!A1063,Geometry!$B$6:$B$10000,Geometry!$C$6:$C$10000)</f>
        <v>0</v>
      </c>
      <c r="T1063" s="69"/>
      <c r="U1063" s="69"/>
    </row>
    <row r="1064" spans="19:21" ht="15" customHeight="1" x14ac:dyDescent="0.2">
      <c r="S1064" s="69">
        <f>_xlfn.XLOOKUP(Results!A1064,Geometry!$B$6:$B$10000,Geometry!$C$6:$C$10000)</f>
        <v>0</v>
      </c>
      <c r="T1064" s="69"/>
      <c r="U1064" s="69"/>
    </row>
    <row r="1065" spans="19:21" ht="15" customHeight="1" x14ac:dyDescent="0.2">
      <c r="S1065" s="69">
        <f>_xlfn.XLOOKUP(Results!A1065,Geometry!$B$6:$B$10000,Geometry!$C$6:$C$10000)</f>
        <v>0</v>
      </c>
      <c r="T1065" s="69"/>
      <c r="U1065" s="69"/>
    </row>
    <row r="1066" spans="19:21" ht="15" customHeight="1" x14ac:dyDescent="0.2">
      <c r="S1066" s="69">
        <f>_xlfn.XLOOKUP(Results!A1066,Geometry!$B$6:$B$10000,Geometry!$C$6:$C$10000)</f>
        <v>0</v>
      </c>
      <c r="T1066" s="69"/>
      <c r="U1066" s="69"/>
    </row>
    <row r="1067" spans="19:21" ht="15" customHeight="1" x14ac:dyDescent="0.2">
      <c r="S1067" s="69">
        <f>_xlfn.XLOOKUP(Results!A1067,Geometry!$B$6:$B$10000,Geometry!$C$6:$C$10000)</f>
        <v>0</v>
      </c>
      <c r="T1067" s="69"/>
      <c r="U1067" s="69"/>
    </row>
    <row r="1068" spans="19:21" ht="15" customHeight="1" x14ac:dyDescent="0.2">
      <c r="S1068" s="69">
        <f>_xlfn.XLOOKUP(Results!A1068,Geometry!$B$6:$B$10000,Geometry!$C$6:$C$10000)</f>
        <v>0</v>
      </c>
      <c r="T1068" s="69"/>
      <c r="U1068" s="69"/>
    </row>
    <row r="1069" spans="19:21" ht="15" customHeight="1" x14ac:dyDescent="0.2">
      <c r="S1069" s="69">
        <f>_xlfn.XLOOKUP(Results!A1069,Geometry!$B$6:$B$10000,Geometry!$C$6:$C$10000)</f>
        <v>0</v>
      </c>
      <c r="T1069" s="69"/>
      <c r="U1069" s="69"/>
    </row>
    <row r="1070" spans="19:21" ht="15" customHeight="1" x14ac:dyDescent="0.2">
      <c r="S1070" s="69">
        <f>_xlfn.XLOOKUP(Results!A1070,Geometry!$B$6:$B$10000,Geometry!$C$6:$C$10000)</f>
        <v>0</v>
      </c>
      <c r="T1070" s="69"/>
      <c r="U1070" s="69"/>
    </row>
    <row r="1071" spans="19:21" ht="15" customHeight="1" x14ac:dyDescent="0.2">
      <c r="S1071" s="69">
        <f>_xlfn.XLOOKUP(Results!A1071,Geometry!$B$6:$B$10000,Geometry!$C$6:$C$10000)</f>
        <v>0</v>
      </c>
      <c r="T1071" s="69"/>
      <c r="U1071" s="69"/>
    </row>
    <row r="1072" spans="19:21" ht="15" customHeight="1" x14ac:dyDescent="0.2">
      <c r="S1072" s="69">
        <f>_xlfn.XLOOKUP(Results!A1072,Geometry!$B$6:$B$10000,Geometry!$C$6:$C$10000)</f>
        <v>0</v>
      </c>
      <c r="T1072" s="69"/>
      <c r="U1072" s="69"/>
    </row>
    <row r="1073" spans="19:21" ht="15" customHeight="1" x14ac:dyDescent="0.2">
      <c r="S1073" s="69">
        <f>_xlfn.XLOOKUP(Results!A1073,Geometry!$B$6:$B$10000,Geometry!$C$6:$C$10000)</f>
        <v>0</v>
      </c>
      <c r="T1073" s="69"/>
      <c r="U1073" s="69"/>
    </row>
    <row r="1074" spans="19:21" ht="15" customHeight="1" x14ac:dyDescent="0.2">
      <c r="S1074" s="69">
        <f>_xlfn.XLOOKUP(Results!A1074,Geometry!$B$6:$B$10000,Geometry!$C$6:$C$10000)</f>
        <v>0</v>
      </c>
      <c r="T1074" s="69"/>
      <c r="U1074" s="69"/>
    </row>
    <row r="1075" spans="19:21" ht="15" customHeight="1" x14ac:dyDescent="0.2">
      <c r="S1075" s="69">
        <f>_xlfn.XLOOKUP(Results!A1075,Geometry!$B$6:$B$10000,Geometry!$C$6:$C$10000)</f>
        <v>0</v>
      </c>
      <c r="T1075" s="69"/>
      <c r="U1075" s="69"/>
    </row>
    <row r="1076" spans="19:21" ht="15" customHeight="1" x14ac:dyDescent="0.2">
      <c r="S1076" s="69">
        <f>_xlfn.XLOOKUP(Results!A1076,Geometry!$B$6:$B$10000,Geometry!$C$6:$C$10000)</f>
        <v>0</v>
      </c>
      <c r="T1076" s="69"/>
      <c r="U1076" s="69"/>
    </row>
    <row r="1077" spans="19:21" ht="15" customHeight="1" x14ac:dyDescent="0.2">
      <c r="S1077" s="69">
        <f>_xlfn.XLOOKUP(Results!A1077,Geometry!$B$6:$B$10000,Geometry!$C$6:$C$10000)</f>
        <v>0</v>
      </c>
      <c r="T1077" s="69"/>
      <c r="U1077" s="69"/>
    </row>
    <row r="1078" spans="19:21" ht="15" customHeight="1" x14ac:dyDescent="0.2">
      <c r="S1078" s="69">
        <f>_xlfn.XLOOKUP(Results!A1078,Geometry!$B$6:$B$10000,Geometry!$C$6:$C$10000)</f>
        <v>0</v>
      </c>
      <c r="T1078" s="69"/>
      <c r="U1078" s="69"/>
    </row>
    <row r="1079" spans="19:21" ht="15" customHeight="1" x14ac:dyDescent="0.2">
      <c r="S1079" s="69">
        <f>_xlfn.XLOOKUP(Results!A1079,Geometry!$B$6:$B$10000,Geometry!$C$6:$C$10000)</f>
        <v>0</v>
      </c>
      <c r="T1079" s="69"/>
      <c r="U1079" s="69"/>
    </row>
    <row r="1080" spans="19:21" ht="15" customHeight="1" x14ac:dyDescent="0.2">
      <c r="S1080" s="69">
        <f>_xlfn.XLOOKUP(Results!A1080,Geometry!$B$6:$B$10000,Geometry!$C$6:$C$10000)</f>
        <v>0</v>
      </c>
      <c r="T1080" s="69"/>
      <c r="U1080" s="69"/>
    </row>
    <row r="1081" spans="19:21" ht="15" customHeight="1" x14ac:dyDescent="0.2">
      <c r="S1081" s="69">
        <f>_xlfn.XLOOKUP(Results!A1081,Geometry!$B$6:$B$10000,Geometry!$C$6:$C$10000)</f>
        <v>0</v>
      </c>
      <c r="T1081" s="69"/>
      <c r="U1081" s="69"/>
    </row>
    <row r="1082" spans="19:21" ht="15" customHeight="1" x14ac:dyDescent="0.2">
      <c r="S1082" s="69">
        <f>_xlfn.XLOOKUP(Results!A1082,Geometry!$B$6:$B$10000,Geometry!$C$6:$C$10000)</f>
        <v>0</v>
      </c>
      <c r="T1082" s="69"/>
      <c r="U1082" s="69"/>
    </row>
    <row r="1083" spans="19:21" ht="15" customHeight="1" x14ac:dyDescent="0.2">
      <c r="S1083" s="69">
        <f>_xlfn.XLOOKUP(Results!A1083,Geometry!$B$6:$B$10000,Geometry!$C$6:$C$10000)</f>
        <v>0</v>
      </c>
      <c r="T1083" s="69"/>
      <c r="U1083" s="69"/>
    </row>
    <row r="1084" spans="19:21" ht="15" customHeight="1" x14ac:dyDescent="0.2">
      <c r="S1084" s="69">
        <f>_xlfn.XLOOKUP(Results!A1084,Geometry!$B$6:$B$10000,Geometry!$C$6:$C$10000)</f>
        <v>0</v>
      </c>
      <c r="T1084" s="69"/>
      <c r="U1084" s="69"/>
    </row>
    <row r="1085" spans="19:21" ht="15" customHeight="1" x14ac:dyDescent="0.2">
      <c r="S1085" s="69">
        <f>_xlfn.XLOOKUP(Results!A1085,Geometry!$B$6:$B$10000,Geometry!$C$6:$C$10000)</f>
        <v>0</v>
      </c>
      <c r="T1085" s="69"/>
      <c r="U1085" s="69"/>
    </row>
    <row r="1086" spans="19:21" ht="15" customHeight="1" x14ac:dyDescent="0.2">
      <c r="S1086" s="69">
        <f>_xlfn.XLOOKUP(Results!A1086,Geometry!$B$6:$B$10000,Geometry!$C$6:$C$10000)</f>
        <v>0</v>
      </c>
      <c r="T1086" s="69"/>
      <c r="U1086" s="69"/>
    </row>
    <row r="1087" spans="19:21" ht="15" customHeight="1" x14ac:dyDescent="0.2">
      <c r="S1087" s="69">
        <f>_xlfn.XLOOKUP(Results!A1087,Geometry!$B$6:$B$10000,Geometry!$C$6:$C$10000)</f>
        <v>0</v>
      </c>
      <c r="T1087" s="69"/>
      <c r="U1087" s="69"/>
    </row>
    <row r="1088" spans="19:21" ht="15" customHeight="1" x14ac:dyDescent="0.2">
      <c r="S1088" s="69">
        <f>_xlfn.XLOOKUP(Results!A1088,Geometry!$B$6:$B$10000,Geometry!$C$6:$C$10000)</f>
        <v>0</v>
      </c>
      <c r="T1088" s="69"/>
      <c r="U1088" s="69"/>
    </row>
    <row r="1089" spans="19:21" ht="15" customHeight="1" x14ac:dyDescent="0.2">
      <c r="S1089" s="69">
        <f>_xlfn.XLOOKUP(Results!A1089,Geometry!$B$6:$B$10000,Geometry!$C$6:$C$10000)</f>
        <v>0</v>
      </c>
      <c r="T1089" s="69"/>
      <c r="U1089" s="69"/>
    </row>
    <row r="1090" spans="19:21" ht="15" customHeight="1" x14ac:dyDescent="0.2">
      <c r="S1090" s="69">
        <f>_xlfn.XLOOKUP(Results!A1090,Geometry!$B$6:$B$10000,Geometry!$C$6:$C$10000)</f>
        <v>0</v>
      </c>
      <c r="T1090" s="69"/>
      <c r="U1090" s="69"/>
    </row>
    <row r="1091" spans="19:21" ht="15" customHeight="1" x14ac:dyDescent="0.2">
      <c r="S1091" s="69">
        <f>_xlfn.XLOOKUP(Results!A1091,Geometry!$B$6:$B$10000,Geometry!$C$6:$C$10000)</f>
        <v>0</v>
      </c>
      <c r="T1091" s="69"/>
      <c r="U1091" s="69"/>
    </row>
    <row r="1092" spans="19:21" ht="15" customHeight="1" x14ac:dyDescent="0.2">
      <c r="S1092" s="69">
        <f>_xlfn.XLOOKUP(Results!A1092,Geometry!$B$6:$B$10000,Geometry!$C$6:$C$10000)</f>
        <v>0</v>
      </c>
      <c r="T1092" s="69"/>
      <c r="U1092" s="69"/>
    </row>
    <row r="1093" spans="19:21" ht="15" customHeight="1" x14ac:dyDescent="0.2">
      <c r="S1093" s="69">
        <f>_xlfn.XLOOKUP(Results!A1093,Geometry!$B$6:$B$10000,Geometry!$C$6:$C$10000)</f>
        <v>0</v>
      </c>
      <c r="T1093" s="69"/>
      <c r="U1093" s="69"/>
    </row>
    <row r="1094" spans="19:21" ht="15" customHeight="1" x14ac:dyDescent="0.2">
      <c r="S1094" s="69">
        <f>_xlfn.XLOOKUP(Results!A1094,Geometry!$B$6:$B$10000,Geometry!$C$6:$C$10000)</f>
        <v>0</v>
      </c>
      <c r="T1094" s="69"/>
      <c r="U1094" s="69"/>
    </row>
    <row r="1095" spans="19:21" ht="15" customHeight="1" x14ac:dyDescent="0.2">
      <c r="S1095" s="69">
        <f>_xlfn.XLOOKUP(Results!A1095,Geometry!$B$6:$B$10000,Geometry!$C$6:$C$10000)</f>
        <v>0</v>
      </c>
      <c r="T1095" s="69"/>
      <c r="U1095" s="69"/>
    </row>
    <row r="1096" spans="19:21" ht="15" customHeight="1" x14ac:dyDescent="0.2">
      <c r="S1096" s="69">
        <f>_xlfn.XLOOKUP(Results!A1096,Geometry!$B$6:$B$10000,Geometry!$C$6:$C$10000)</f>
        <v>0</v>
      </c>
      <c r="T1096" s="69"/>
      <c r="U1096" s="69"/>
    </row>
    <row r="1097" spans="19:21" ht="15" customHeight="1" x14ac:dyDescent="0.2">
      <c r="S1097" s="69">
        <f>_xlfn.XLOOKUP(Results!A1097,Geometry!$B$6:$B$10000,Geometry!$C$6:$C$10000)</f>
        <v>0</v>
      </c>
      <c r="T1097" s="69"/>
      <c r="U1097" s="69"/>
    </row>
    <row r="1098" spans="19:21" ht="15" customHeight="1" x14ac:dyDescent="0.2">
      <c r="S1098" s="69">
        <f>_xlfn.XLOOKUP(Results!A1098,Geometry!$B$6:$B$10000,Geometry!$C$6:$C$10000)</f>
        <v>0</v>
      </c>
      <c r="T1098" s="69"/>
      <c r="U1098" s="69"/>
    </row>
    <row r="1099" spans="19:21" ht="15" customHeight="1" x14ac:dyDescent="0.2">
      <c r="S1099" s="69">
        <f>_xlfn.XLOOKUP(Results!A1099,Geometry!$B$6:$B$10000,Geometry!$C$6:$C$10000)</f>
        <v>0</v>
      </c>
      <c r="T1099" s="69"/>
      <c r="U1099" s="69"/>
    </row>
    <row r="1100" spans="19:21" ht="15" customHeight="1" x14ac:dyDescent="0.2">
      <c r="S1100" s="69">
        <f>_xlfn.XLOOKUP(Results!A1100,Geometry!$B$6:$B$10000,Geometry!$C$6:$C$10000)</f>
        <v>0</v>
      </c>
      <c r="T1100" s="69"/>
      <c r="U1100" s="69"/>
    </row>
    <row r="1101" spans="19:21" ht="15" customHeight="1" x14ac:dyDescent="0.2">
      <c r="S1101" s="69">
        <f>_xlfn.XLOOKUP(Results!A1101,Geometry!$B$6:$B$10000,Geometry!$C$6:$C$10000)</f>
        <v>0</v>
      </c>
      <c r="T1101" s="69"/>
      <c r="U1101" s="69"/>
    </row>
    <row r="1102" spans="19:21" ht="15" customHeight="1" x14ac:dyDescent="0.2">
      <c r="S1102" s="69">
        <f>_xlfn.XLOOKUP(Results!A1102,Geometry!$B$6:$B$10000,Geometry!$C$6:$C$10000)</f>
        <v>0</v>
      </c>
      <c r="T1102" s="69"/>
      <c r="U1102" s="69"/>
    </row>
    <row r="1103" spans="19:21" ht="15" customHeight="1" x14ac:dyDescent="0.2">
      <c r="S1103" s="69">
        <f>_xlfn.XLOOKUP(Results!A1103,Geometry!$B$6:$B$10000,Geometry!$C$6:$C$10000)</f>
        <v>0</v>
      </c>
      <c r="T1103" s="69"/>
      <c r="U1103" s="69"/>
    </row>
    <row r="1104" spans="19:21" ht="15" customHeight="1" x14ac:dyDescent="0.2">
      <c r="S1104" s="69">
        <f>_xlfn.XLOOKUP(Results!A1104,Geometry!$B$6:$B$10000,Geometry!$C$6:$C$10000)</f>
        <v>0</v>
      </c>
      <c r="T1104" s="69"/>
      <c r="U1104" s="69"/>
    </row>
    <row r="1105" spans="19:21" ht="15" customHeight="1" x14ac:dyDescent="0.2">
      <c r="S1105" s="69">
        <f>_xlfn.XLOOKUP(Results!A1105,Geometry!$B$6:$B$10000,Geometry!$C$6:$C$10000)</f>
        <v>0</v>
      </c>
      <c r="T1105" s="69"/>
      <c r="U1105" s="69"/>
    </row>
    <row r="1106" spans="19:21" ht="15" customHeight="1" x14ac:dyDescent="0.2">
      <c r="S1106" s="69">
        <f>_xlfn.XLOOKUP(Results!A1106,Geometry!$B$6:$B$10000,Geometry!$C$6:$C$10000)</f>
        <v>0</v>
      </c>
      <c r="T1106" s="69"/>
      <c r="U1106" s="69"/>
    </row>
    <row r="1107" spans="19:21" ht="15" customHeight="1" x14ac:dyDescent="0.2">
      <c r="S1107" s="69">
        <f>_xlfn.XLOOKUP(Results!A1107,Geometry!$B$6:$B$10000,Geometry!$C$6:$C$10000)</f>
        <v>0</v>
      </c>
      <c r="T1107" s="69"/>
      <c r="U1107" s="69"/>
    </row>
    <row r="1108" spans="19:21" ht="15" customHeight="1" x14ac:dyDescent="0.2">
      <c r="S1108" s="69">
        <f>_xlfn.XLOOKUP(Results!A1108,Geometry!$B$6:$B$10000,Geometry!$C$6:$C$10000)</f>
        <v>0</v>
      </c>
      <c r="T1108" s="69"/>
      <c r="U1108" s="69"/>
    </row>
    <row r="1109" spans="19:21" ht="15" customHeight="1" x14ac:dyDescent="0.2">
      <c r="S1109" s="69">
        <f>_xlfn.XLOOKUP(Results!A1109,Geometry!$B$6:$B$10000,Geometry!$C$6:$C$10000)</f>
        <v>0</v>
      </c>
      <c r="T1109" s="69"/>
      <c r="U1109" s="69"/>
    </row>
    <row r="1110" spans="19:21" ht="15" customHeight="1" x14ac:dyDescent="0.2">
      <c r="S1110" s="69">
        <f>_xlfn.XLOOKUP(Results!A1110,Geometry!$B$6:$B$10000,Geometry!$C$6:$C$10000)</f>
        <v>0</v>
      </c>
      <c r="T1110" s="69"/>
      <c r="U1110" s="69"/>
    </row>
    <row r="1111" spans="19:21" ht="15" customHeight="1" x14ac:dyDescent="0.2">
      <c r="S1111" s="69">
        <f>_xlfn.XLOOKUP(Results!A1111,Geometry!$B$6:$B$10000,Geometry!$C$6:$C$10000)</f>
        <v>0</v>
      </c>
      <c r="T1111" s="69"/>
      <c r="U1111" s="69"/>
    </row>
    <row r="1112" spans="19:21" ht="15" customHeight="1" x14ac:dyDescent="0.2">
      <c r="S1112" s="69">
        <f>_xlfn.XLOOKUP(Results!A1112,Geometry!$B$6:$B$10000,Geometry!$C$6:$C$10000)</f>
        <v>0</v>
      </c>
      <c r="T1112" s="69"/>
      <c r="U1112" s="69"/>
    </row>
    <row r="1113" spans="19:21" ht="15" customHeight="1" x14ac:dyDescent="0.2">
      <c r="S1113" s="69">
        <f>_xlfn.XLOOKUP(Results!A1113,Geometry!$B$6:$B$10000,Geometry!$C$6:$C$10000)</f>
        <v>0</v>
      </c>
      <c r="T1113" s="69"/>
      <c r="U1113" s="69"/>
    </row>
    <row r="1114" spans="19:21" ht="15" customHeight="1" x14ac:dyDescent="0.2">
      <c r="S1114" s="69">
        <f>_xlfn.XLOOKUP(Results!A1114,Geometry!$B$6:$B$10000,Geometry!$C$6:$C$10000)</f>
        <v>0</v>
      </c>
      <c r="T1114" s="69"/>
      <c r="U1114" s="69"/>
    </row>
    <row r="1115" spans="19:21" ht="15" customHeight="1" x14ac:dyDescent="0.2">
      <c r="S1115" s="69">
        <f>_xlfn.XLOOKUP(Results!A1115,Geometry!$B$6:$B$10000,Geometry!$C$6:$C$10000)</f>
        <v>0</v>
      </c>
      <c r="T1115" s="69"/>
      <c r="U1115" s="69"/>
    </row>
    <row r="1116" spans="19:21" ht="15" customHeight="1" x14ac:dyDescent="0.2">
      <c r="S1116" s="69">
        <f>_xlfn.XLOOKUP(Results!A1116,Geometry!$B$6:$B$10000,Geometry!$C$6:$C$10000)</f>
        <v>0</v>
      </c>
      <c r="T1116" s="69"/>
      <c r="U1116" s="69"/>
    </row>
    <row r="1117" spans="19:21" ht="15" customHeight="1" x14ac:dyDescent="0.2">
      <c r="S1117" s="69">
        <f>_xlfn.XLOOKUP(Results!A1117,Geometry!$B$6:$B$10000,Geometry!$C$6:$C$10000)</f>
        <v>0</v>
      </c>
      <c r="T1117" s="69"/>
      <c r="U1117" s="69"/>
    </row>
    <row r="1118" spans="19:21" ht="15" customHeight="1" x14ac:dyDescent="0.2">
      <c r="S1118" s="69">
        <f>_xlfn.XLOOKUP(Results!A1118,Geometry!$B$6:$B$10000,Geometry!$C$6:$C$10000)</f>
        <v>0</v>
      </c>
      <c r="T1118" s="69"/>
      <c r="U1118" s="69"/>
    </row>
    <row r="1119" spans="19:21" ht="15" customHeight="1" x14ac:dyDescent="0.2">
      <c r="S1119" s="69">
        <f>_xlfn.XLOOKUP(Results!A1119,Geometry!$B$6:$B$10000,Geometry!$C$6:$C$10000)</f>
        <v>0</v>
      </c>
      <c r="T1119" s="69"/>
      <c r="U1119" s="69"/>
    </row>
    <row r="1120" spans="19:21" ht="15" customHeight="1" x14ac:dyDescent="0.2">
      <c r="S1120" s="69">
        <f>_xlfn.XLOOKUP(Results!A1120,Geometry!$B$6:$B$10000,Geometry!$C$6:$C$10000)</f>
        <v>0</v>
      </c>
      <c r="T1120" s="69"/>
      <c r="U1120" s="69"/>
    </row>
    <row r="1121" spans="19:21" ht="15" customHeight="1" x14ac:dyDescent="0.2">
      <c r="S1121" s="69">
        <f>_xlfn.XLOOKUP(Results!A1121,Geometry!$B$6:$B$10000,Geometry!$C$6:$C$10000)</f>
        <v>0</v>
      </c>
      <c r="T1121" s="69"/>
      <c r="U1121" s="69"/>
    </row>
    <row r="1122" spans="19:21" ht="15" customHeight="1" x14ac:dyDescent="0.2">
      <c r="S1122" s="69">
        <f>_xlfn.XLOOKUP(Results!A1122,Geometry!$B$6:$B$10000,Geometry!$C$6:$C$10000)</f>
        <v>0</v>
      </c>
      <c r="T1122" s="69"/>
      <c r="U1122" s="69"/>
    </row>
    <row r="1123" spans="19:21" ht="15" customHeight="1" x14ac:dyDescent="0.2">
      <c r="S1123" s="69">
        <f>_xlfn.XLOOKUP(Results!A1123,Geometry!$B$6:$B$10000,Geometry!$C$6:$C$10000)</f>
        <v>0</v>
      </c>
      <c r="T1123" s="69"/>
      <c r="U1123" s="69"/>
    </row>
    <row r="1124" spans="19:21" ht="15" customHeight="1" x14ac:dyDescent="0.2">
      <c r="S1124" s="69">
        <f>_xlfn.XLOOKUP(Results!A1124,Geometry!$B$6:$B$10000,Geometry!$C$6:$C$10000)</f>
        <v>0</v>
      </c>
      <c r="T1124" s="69"/>
      <c r="U1124" s="69"/>
    </row>
    <row r="1125" spans="19:21" ht="15" customHeight="1" x14ac:dyDescent="0.2">
      <c r="S1125" s="69">
        <f>_xlfn.XLOOKUP(Results!A1125,Geometry!$B$6:$B$10000,Geometry!$C$6:$C$10000)</f>
        <v>0</v>
      </c>
      <c r="T1125" s="69"/>
      <c r="U1125" s="69"/>
    </row>
    <row r="1126" spans="19:21" ht="15" customHeight="1" x14ac:dyDescent="0.2">
      <c r="S1126" s="69">
        <f>_xlfn.XLOOKUP(Results!A1126,Geometry!$B$6:$B$10000,Geometry!$C$6:$C$10000)</f>
        <v>0</v>
      </c>
      <c r="T1126" s="69"/>
      <c r="U1126" s="69"/>
    </row>
    <row r="1127" spans="19:21" ht="15" customHeight="1" x14ac:dyDescent="0.2">
      <c r="S1127" s="69">
        <f>_xlfn.XLOOKUP(Results!A1127,Geometry!$B$6:$B$10000,Geometry!$C$6:$C$10000)</f>
        <v>0</v>
      </c>
      <c r="T1127" s="69"/>
      <c r="U1127" s="69"/>
    </row>
    <row r="1128" spans="19:21" ht="15" customHeight="1" x14ac:dyDescent="0.2">
      <c r="S1128" s="69">
        <f>_xlfn.XLOOKUP(Results!A1128,Geometry!$B$6:$B$10000,Geometry!$C$6:$C$10000)</f>
        <v>0</v>
      </c>
      <c r="T1128" s="69"/>
      <c r="U1128" s="69"/>
    </row>
    <row r="1129" spans="19:21" ht="15" customHeight="1" x14ac:dyDescent="0.2">
      <c r="S1129" s="69">
        <f>_xlfn.XLOOKUP(Results!A1129,Geometry!$B$6:$B$10000,Geometry!$C$6:$C$10000)</f>
        <v>0</v>
      </c>
      <c r="T1129" s="69"/>
      <c r="U1129" s="69"/>
    </row>
    <row r="1130" spans="19:21" ht="15" customHeight="1" x14ac:dyDescent="0.2">
      <c r="S1130" s="69">
        <f>_xlfn.XLOOKUP(Results!A1130,Geometry!$B$6:$B$10000,Geometry!$C$6:$C$10000)</f>
        <v>0</v>
      </c>
      <c r="T1130" s="69"/>
      <c r="U1130" s="69"/>
    </row>
    <row r="1131" spans="19:21" ht="15" customHeight="1" x14ac:dyDescent="0.2">
      <c r="S1131" s="69">
        <f>_xlfn.XLOOKUP(Results!A1131,Geometry!$B$6:$B$10000,Geometry!$C$6:$C$10000)</f>
        <v>0</v>
      </c>
      <c r="T1131" s="69"/>
      <c r="U1131" s="69"/>
    </row>
    <row r="1132" spans="19:21" ht="15" customHeight="1" x14ac:dyDescent="0.2">
      <c r="S1132" s="69">
        <f>_xlfn.XLOOKUP(Results!A1132,Geometry!$B$6:$B$10000,Geometry!$C$6:$C$10000)</f>
        <v>0</v>
      </c>
      <c r="T1132" s="69"/>
      <c r="U1132" s="69"/>
    </row>
    <row r="1133" spans="19:21" ht="15" customHeight="1" x14ac:dyDescent="0.2">
      <c r="S1133" s="69">
        <f>_xlfn.XLOOKUP(Results!A1133,Geometry!$B$6:$B$10000,Geometry!$C$6:$C$10000)</f>
        <v>0</v>
      </c>
      <c r="T1133" s="69"/>
      <c r="U1133" s="69"/>
    </row>
    <row r="1134" spans="19:21" ht="15" customHeight="1" x14ac:dyDescent="0.2">
      <c r="S1134" s="69">
        <f>_xlfn.XLOOKUP(Results!A1134,Geometry!$B$6:$B$10000,Geometry!$C$6:$C$10000)</f>
        <v>0</v>
      </c>
      <c r="T1134" s="69"/>
      <c r="U1134" s="69"/>
    </row>
    <row r="1135" spans="19:21" ht="15" customHeight="1" x14ac:dyDescent="0.2">
      <c r="S1135" s="69">
        <f>_xlfn.XLOOKUP(Results!A1135,Geometry!$B$6:$B$10000,Geometry!$C$6:$C$10000)</f>
        <v>0</v>
      </c>
      <c r="T1135" s="69"/>
      <c r="U1135" s="69"/>
    </row>
    <row r="1136" spans="19:21" ht="15" customHeight="1" x14ac:dyDescent="0.2">
      <c r="S1136" s="69">
        <f>_xlfn.XLOOKUP(Results!A1136,Geometry!$B$6:$B$10000,Geometry!$C$6:$C$10000)</f>
        <v>0</v>
      </c>
      <c r="T1136" s="69"/>
      <c r="U1136" s="69"/>
    </row>
    <row r="1137" spans="19:21" ht="15" customHeight="1" x14ac:dyDescent="0.2">
      <c r="S1137" s="69">
        <f>_xlfn.XLOOKUP(Results!A1137,Geometry!$B$6:$B$10000,Geometry!$C$6:$C$10000)</f>
        <v>0</v>
      </c>
      <c r="T1137" s="69"/>
      <c r="U1137" s="69"/>
    </row>
    <row r="1138" spans="19:21" ht="15" customHeight="1" x14ac:dyDescent="0.2">
      <c r="S1138" s="69">
        <f>_xlfn.XLOOKUP(Results!A1138,Geometry!$B$6:$B$10000,Geometry!$C$6:$C$10000)</f>
        <v>0</v>
      </c>
      <c r="T1138" s="69"/>
      <c r="U1138" s="69"/>
    </row>
    <row r="1139" spans="19:21" ht="15" customHeight="1" x14ac:dyDescent="0.2">
      <c r="S1139" s="69">
        <f>_xlfn.XLOOKUP(Results!A1139,Geometry!$B$6:$B$10000,Geometry!$C$6:$C$10000)</f>
        <v>0</v>
      </c>
      <c r="T1139" s="69"/>
      <c r="U1139" s="69"/>
    </row>
    <row r="1140" spans="19:21" ht="15" customHeight="1" x14ac:dyDescent="0.2">
      <c r="S1140" s="69">
        <f>_xlfn.XLOOKUP(Results!A1140,Geometry!$B$6:$B$10000,Geometry!$C$6:$C$10000)</f>
        <v>0</v>
      </c>
      <c r="T1140" s="69"/>
      <c r="U1140" s="69"/>
    </row>
    <row r="1141" spans="19:21" ht="15" customHeight="1" x14ac:dyDescent="0.2">
      <c r="S1141" s="69">
        <f>_xlfn.XLOOKUP(Results!A1141,Geometry!$B$6:$B$10000,Geometry!$C$6:$C$10000)</f>
        <v>0</v>
      </c>
      <c r="T1141" s="69"/>
      <c r="U1141" s="69"/>
    </row>
    <row r="1142" spans="19:21" ht="15" customHeight="1" x14ac:dyDescent="0.2">
      <c r="S1142" s="69">
        <f>_xlfn.XLOOKUP(Results!A1142,Geometry!$B$6:$B$10000,Geometry!$C$6:$C$10000)</f>
        <v>0</v>
      </c>
      <c r="T1142" s="69"/>
      <c r="U1142" s="69"/>
    </row>
    <row r="1143" spans="19:21" ht="15" customHeight="1" x14ac:dyDescent="0.2">
      <c r="S1143" s="69">
        <f>_xlfn.XLOOKUP(Results!A1143,Geometry!$B$6:$B$10000,Geometry!$C$6:$C$10000)</f>
        <v>0</v>
      </c>
      <c r="T1143" s="69"/>
      <c r="U1143" s="69"/>
    </row>
    <row r="1144" spans="19:21" ht="15" customHeight="1" x14ac:dyDescent="0.2">
      <c r="S1144" s="69">
        <f>_xlfn.XLOOKUP(Results!A1144,Geometry!$B$6:$B$10000,Geometry!$C$6:$C$10000)</f>
        <v>0</v>
      </c>
      <c r="T1144" s="69"/>
      <c r="U1144" s="69"/>
    </row>
    <row r="1145" spans="19:21" ht="15" customHeight="1" x14ac:dyDescent="0.2">
      <c r="S1145" s="69">
        <f>_xlfn.XLOOKUP(Results!A1145,Geometry!$B$6:$B$10000,Geometry!$C$6:$C$10000)</f>
        <v>0</v>
      </c>
      <c r="T1145" s="69"/>
      <c r="U1145" s="69"/>
    </row>
    <row r="1146" spans="19:21" ht="15" customHeight="1" x14ac:dyDescent="0.2">
      <c r="S1146" s="69">
        <f>_xlfn.XLOOKUP(Results!A1146,Geometry!$B$6:$B$10000,Geometry!$C$6:$C$10000)</f>
        <v>0</v>
      </c>
      <c r="T1146" s="69"/>
      <c r="U1146" s="69"/>
    </row>
    <row r="1147" spans="19:21" ht="15" customHeight="1" x14ac:dyDescent="0.2">
      <c r="S1147" s="69">
        <f>_xlfn.XLOOKUP(Results!A1147,Geometry!$B$6:$B$10000,Geometry!$C$6:$C$10000)</f>
        <v>0</v>
      </c>
      <c r="T1147" s="69"/>
      <c r="U1147" s="69"/>
    </row>
    <row r="1148" spans="19:21" ht="15" customHeight="1" x14ac:dyDescent="0.2">
      <c r="S1148" s="69">
        <f>_xlfn.XLOOKUP(Results!A1148,Geometry!$B$6:$B$10000,Geometry!$C$6:$C$10000)</f>
        <v>0</v>
      </c>
      <c r="T1148" s="69"/>
      <c r="U1148" s="69"/>
    </row>
    <row r="1149" spans="19:21" ht="15" customHeight="1" x14ac:dyDescent="0.2">
      <c r="S1149" s="69">
        <f>_xlfn.XLOOKUP(Results!A1149,Geometry!$B$6:$B$10000,Geometry!$C$6:$C$10000)</f>
        <v>0</v>
      </c>
      <c r="T1149" s="69"/>
      <c r="U1149" s="69"/>
    </row>
    <row r="1150" spans="19:21" ht="15" customHeight="1" x14ac:dyDescent="0.2">
      <c r="S1150" s="69">
        <f>_xlfn.XLOOKUP(Results!A1150,Geometry!$B$6:$B$10000,Geometry!$C$6:$C$10000)</f>
        <v>0</v>
      </c>
      <c r="T1150" s="69"/>
      <c r="U1150" s="69"/>
    </row>
    <row r="1151" spans="19:21" ht="15" customHeight="1" x14ac:dyDescent="0.2">
      <c r="S1151" s="69">
        <f>_xlfn.XLOOKUP(Results!A1151,Geometry!$B$6:$B$10000,Geometry!$C$6:$C$10000)</f>
        <v>0</v>
      </c>
      <c r="T1151" s="69"/>
      <c r="U1151" s="69"/>
    </row>
    <row r="1152" spans="19:21" ht="15" customHeight="1" x14ac:dyDescent="0.2">
      <c r="S1152" s="69">
        <f>_xlfn.XLOOKUP(Results!A1152,Geometry!$B$6:$B$10000,Geometry!$C$6:$C$10000)</f>
        <v>0</v>
      </c>
      <c r="T1152" s="69"/>
      <c r="U1152" s="69"/>
    </row>
    <row r="1153" spans="19:21" ht="15" customHeight="1" x14ac:dyDescent="0.2">
      <c r="S1153" s="69">
        <f>_xlfn.XLOOKUP(Results!A1153,Geometry!$B$6:$B$10000,Geometry!$C$6:$C$10000)</f>
        <v>0</v>
      </c>
      <c r="T1153" s="69"/>
      <c r="U1153" s="69"/>
    </row>
    <row r="1154" spans="19:21" ht="15" customHeight="1" x14ac:dyDescent="0.2">
      <c r="S1154" s="69">
        <f>_xlfn.XLOOKUP(Results!A1154,Geometry!$B$6:$B$10000,Geometry!$C$6:$C$10000)</f>
        <v>0</v>
      </c>
      <c r="T1154" s="69"/>
      <c r="U1154" s="69"/>
    </row>
    <row r="1155" spans="19:21" ht="15" customHeight="1" x14ac:dyDescent="0.2">
      <c r="S1155" s="69">
        <f>_xlfn.XLOOKUP(Results!A1155,Geometry!$B$6:$B$10000,Geometry!$C$6:$C$10000)</f>
        <v>0</v>
      </c>
      <c r="T1155" s="69"/>
      <c r="U1155" s="69"/>
    </row>
    <row r="1156" spans="19:21" ht="15" customHeight="1" x14ac:dyDescent="0.2">
      <c r="S1156" s="69">
        <f>_xlfn.XLOOKUP(Results!A1156,Geometry!$B$6:$B$10000,Geometry!$C$6:$C$10000)</f>
        <v>0</v>
      </c>
      <c r="T1156" s="69"/>
      <c r="U1156" s="69"/>
    </row>
    <row r="1157" spans="19:21" ht="15" customHeight="1" x14ac:dyDescent="0.2">
      <c r="S1157" s="69">
        <f>_xlfn.XLOOKUP(Results!A1157,Geometry!$B$6:$B$10000,Geometry!$C$6:$C$10000)</f>
        <v>0</v>
      </c>
      <c r="T1157" s="69"/>
      <c r="U1157" s="69"/>
    </row>
    <row r="1158" spans="19:21" ht="15" customHeight="1" x14ac:dyDescent="0.2">
      <c r="S1158" s="69">
        <f>_xlfn.XLOOKUP(Results!A1158,Geometry!$B$6:$B$10000,Geometry!$C$6:$C$10000)</f>
        <v>0</v>
      </c>
      <c r="T1158" s="69"/>
      <c r="U1158" s="69"/>
    </row>
    <row r="1159" spans="19:21" ht="15" customHeight="1" x14ac:dyDescent="0.2">
      <c r="S1159" s="69">
        <f>_xlfn.XLOOKUP(Results!A1159,Geometry!$B$6:$B$10000,Geometry!$C$6:$C$10000)</f>
        <v>0</v>
      </c>
      <c r="T1159" s="69"/>
      <c r="U1159" s="69"/>
    </row>
    <row r="1160" spans="19:21" ht="15" customHeight="1" x14ac:dyDescent="0.2">
      <c r="S1160" s="69">
        <f>_xlfn.XLOOKUP(Results!A1160,Geometry!$B$6:$B$10000,Geometry!$C$6:$C$10000)</f>
        <v>0</v>
      </c>
      <c r="T1160" s="69"/>
      <c r="U1160" s="69"/>
    </row>
    <row r="1161" spans="19:21" ht="15" customHeight="1" x14ac:dyDescent="0.2">
      <c r="S1161" s="69">
        <f>_xlfn.XLOOKUP(Results!A1161,Geometry!$B$6:$B$10000,Geometry!$C$6:$C$10000)</f>
        <v>0</v>
      </c>
      <c r="T1161" s="69"/>
      <c r="U1161" s="69"/>
    </row>
    <row r="1162" spans="19:21" ht="15" customHeight="1" x14ac:dyDescent="0.2">
      <c r="S1162" s="69">
        <f>_xlfn.XLOOKUP(Results!A1162,Geometry!$B$6:$B$10000,Geometry!$C$6:$C$10000)</f>
        <v>0</v>
      </c>
      <c r="T1162" s="69"/>
      <c r="U1162" s="69"/>
    </row>
    <row r="1163" spans="19:21" ht="15" customHeight="1" x14ac:dyDescent="0.2">
      <c r="S1163" s="69">
        <f>_xlfn.XLOOKUP(Results!A1163,Geometry!$B$6:$B$10000,Geometry!$C$6:$C$10000)</f>
        <v>0</v>
      </c>
      <c r="T1163" s="69"/>
      <c r="U1163" s="69"/>
    </row>
    <row r="1164" spans="19:21" ht="15" customHeight="1" x14ac:dyDescent="0.2">
      <c r="S1164" s="69">
        <f>_xlfn.XLOOKUP(Results!A1164,Geometry!$B$6:$B$10000,Geometry!$C$6:$C$10000)</f>
        <v>0</v>
      </c>
      <c r="T1164" s="69"/>
      <c r="U1164" s="69"/>
    </row>
    <row r="1165" spans="19:21" ht="15" customHeight="1" x14ac:dyDescent="0.2">
      <c r="S1165" s="69">
        <f>_xlfn.XLOOKUP(Results!A1165,Geometry!$B$6:$B$10000,Geometry!$C$6:$C$10000)</f>
        <v>0</v>
      </c>
      <c r="T1165" s="69"/>
      <c r="U1165" s="69"/>
    </row>
    <row r="1166" spans="19:21" ht="15" customHeight="1" x14ac:dyDescent="0.2">
      <c r="S1166" s="69">
        <f>_xlfn.XLOOKUP(Results!A1166,Geometry!$B$6:$B$10000,Geometry!$C$6:$C$10000)</f>
        <v>0</v>
      </c>
      <c r="T1166" s="69"/>
      <c r="U1166" s="69"/>
    </row>
    <row r="1167" spans="19:21" ht="15" customHeight="1" x14ac:dyDescent="0.2">
      <c r="S1167" s="69">
        <f>_xlfn.XLOOKUP(Results!A1167,Geometry!$B$6:$B$10000,Geometry!$C$6:$C$10000)</f>
        <v>0</v>
      </c>
      <c r="T1167" s="69"/>
      <c r="U1167" s="69"/>
    </row>
    <row r="1168" spans="19:21" ht="15" customHeight="1" x14ac:dyDescent="0.2">
      <c r="S1168" s="69">
        <f>_xlfn.XLOOKUP(Results!A1168,Geometry!$B$6:$B$10000,Geometry!$C$6:$C$10000)</f>
        <v>0</v>
      </c>
      <c r="T1168" s="69"/>
      <c r="U1168" s="69"/>
    </row>
    <row r="1169" spans="19:21" ht="15" customHeight="1" x14ac:dyDescent="0.2">
      <c r="S1169" s="69">
        <f>_xlfn.XLOOKUP(Results!A1169,Geometry!$B$6:$B$10000,Geometry!$C$6:$C$10000)</f>
        <v>0</v>
      </c>
      <c r="T1169" s="69"/>
      <c r="U1169" s="69"/>
    </row>
    <row r="1170" spans="19:21" ht="15" customHeight="1" x14ac:dyDescent="0.2">
      <c r="S1170" s="69">
        <f>_xlfn.XLOOKUP(Results!A1170,Geometry!$B$6:$B$10000,Geometry!$C$6:$C$10000)</f>
        <v>0</v>
      </c>
      <c r="T1170" s="69"/>
      <c r="U1170" s="69"/>
    </row>
    <row r="1171" spans="19:21" ht="15" customHeight="1" x14ac:dyDescent="0.2">
      <c r="S1171" s="69">
        <f>_xlfn.XLOOKUP(Results!A1171,Geometry!$B$6:$B$10000,Geometry!$C$6:$C$10000)</f>
        <v>0</v>
      </c>
      <c r="T1171" s="69"/>
      <c r="U1171" s="69"/>
    </row>
    <row r="1172" spans="19:21" ht="15" customHeight="1" x14ac:dyDescent="0.2">
      <c r="S1172" s="69">
        <f>_xlfn.XLOOKUP(Results!A1172,Geometry!$B$6:$B$10000,Geometry!$C$6:$C$10000)</f>
        <v>0</v>
      </c>
      <c r="T1172" s="69"/>
      <c r="U1172" s="69"/>
    </row>
    <row r="1173" spans="19:21" ht="15" customHeight="1" x14ac:dyDescent="0.2">
      <c r="S1173" s="69">
        <f>_xlfn.XLOOKUP(Results!A1173,Geometry!$B$6:$B$10000,Geometry!$C$6:$C$10000)</f>
        <v>0</v>
      </c>
      <c r="T1173" s="69"/>
      <c r="U1173" s="69"/>
    </row>
    <row r="1174" spans="19:21" ht="15" customHeight="1" x14ac:dyDescent="0.2">
      <c r="S1174" s="69">
        <f>_xlfn.XLOOKUP(Results!A1174,Geometry!$B$6:$B$10000,Geometry!$C$6:$C$10000)</f>
        <v>0</v>
      </c>
      <c r="T1174" s="69"/>
      <c r="U1174" s="69"/>
    </row>
    <row r="1175" spans="19:21" ht="15" customHeight="1" x14ac:dyDescent="0.2">
      <c r="S1175" s="69">
        <f>_xlfn.XLOOKUP(Results!A1175,Geometry!$B$6:$B$10000,Geometry!$C$6:$C$10000)</f>
        <v>0</v>
      </c>
      <c r="T1175" s="69"/>
      <c r="U1175" s="69"/>
    </row>
    <row r="1176" spans="19:21" ht="15" customHeight="1" x14ac:dyDescent="0.2">
      <c r="S1176" s="69">
        <f>_xlfn.XLOOKUP(Results!A1176,Geometry!$B$6:$B$10000,Geometry!$C$6:$C$10000)</f>
        <v>0</v>
      </c>
      <c r="T1176" s="69"/>
      <c r="U1176" s="69"/>
    </row>
    <row r="1177" spans="19:21" ht="15" customHeight="1" x14ac:dyDescent="0.2">
      <c r="S1177" s="69">
        <f>_xlfn.XLOOKUP(Results!A1177,Geometry!$B$6:$B$10000,Geometry!$C$6:$C$10000)</f>
        <v>0</v>
      </c>
      <c r="T1177" s="69"/>
      <c r="U1177" s="69"/>
    </row>
    <row r="1178" spans="19:21" ht="15" customHeight="1" x14ac:dyDescent="0.2">
      <c r="S1178" s="69">
        <f>_xlfn.XLOOKUP(Results!A1178,Geometry!$B$6:$B$10000,Geometry!$C$6:$C$10000)</f>
        <v>0</v>
      </c>
      <c r="T1178" s="69"/>
      <c r="U1178" s="69"/>
    </row>
    <row r="1179" spans="19:21" ht="15" customHeight="1" x14ac:dyDescent="0.2">
      <c r="S1179" s="69">
        <f>_xlfn.XLOOKUP(Results!A1179,Geometry!$B$6:$B$10000,Geometry!$C$6:$C$10000)</f>
        <v>0</v>
      </c>
      <c r="T1179" s="69"/>
      <c r="U1179" s="69"/>
    </row>
    <row r="1180" spans="19:21" ht="15" customHeight="1" x14ac:dyDescent="0.2">
      <c r="S1180" s="69">
        <f>_xlfn.XLOOKUP(Results!A1180,Geometry!$B$6:$B$10000,Geometry!$C$6:$C$10000)</f>
        <v>0</v>
      </c>
      <c r="T1180" s="69"/>
      <c r="U1180" s="69"/>
    </row>
    <row r="1181" spans="19:21" ht="15" customHeight="1" x14ac:dyDescent="0.2">
      <c r="S1181" s="69">
        <f>_xlfn.XLOOKUP(Results!A1181,Geometry!$B$6:$B$10000,Geometry!$C$6:$C$10000)</f>
        <v>0</v>
      </c>
      <c r="T1181" s="69"/>
      <c r="U1181" s="69"/>
    </row>
    <row r="1182" spans="19:21" ht="15" customHeight="1" x14ac:dyDescent="0.2">
      <c r="S1182" s="69">
        <f>_xlfn.XLOOKUP(Results!A1182,Geometry!$B$6:$B$10000,Geometry!$C$6:$C$10000)</f>
        <v>0</v>
      </c>
      <c r="T1182" s="69"/>
      <c r="U1182" s="69"/>
    </row>
    <row r="1183" spans="19:21" ht="15" customHeight="1" x14ac:dyDescent="0.2">
      <c r="S1183" s="69">
        <f>_xlfn.XLOOKUP(Results!A1183,Geometry!$B$6:$B$10000,Geometry!$C$6:$C$10000)</f>
        <v>0</v>
      </c>
      <c r="T1183" s="69"/>
      <c r="U1183" s="69"/>
    </row>
    <row r="1184" spans="19:21" ht="15" customHeight="1" x14ac:dyDescent="0.2">
      <c r="S1184" s="69">
        <f>_xlfn.XLOOKUP(Results!A1184,Geometry!$B$6:$B$10000,Geometry!$C$6:$C$10000)</f>
        <v>0</v>
      </c>
      <c r="T1184" s="69"/>
      <c r="U1184" s="69"/>
    </row>
    <row r="1185" spans="19:21" ht="15" customHeight="1" x14ac:dyDescent="0.2">
      <c r="S1185" s="69">
        <f>_xlfn.XLOOKUP(Results!A1185,Geometry!$B$6:$B$10000,Geometry!$C$6:$C$10000)</f>
        <v>0</v>
      </c>
      <c r="T1185" s="69"/>
      <c r="U1185" s="69"/>
    </row>
    <row r="1186" spans="19:21" ht="15" customHeight="1" x14ac:dyDescent="0.2">
      <c r="S1186" s="69">
        <f>_xlfn.XLOOKUP(Results!A1186,Geometry!$B$6:$B$10000,Geometry!$C$6:$C$10000)</f>
        <v>0</v>
      </c>
      <c r="T1186" s="69"/>
      <c r="U1186" s="69"/>
    </row>
    <row r="1187" spans="19:21" ht="15" customHeight="1" x14ac:dyDescent="0.2">
      <c r="S1187" s="69">
        <f>_xlfn.XLOOKUP(Results!A1187,Geometry!$B$6:$B$10000,Geometry!$C$6:$C$10000)</f>
        <v>0</v>
      </c>
      <c r="T1187" s="69"/>
      <c r="U1187" s="69"/>
    </row>
    <row r="1188" spans="19:21" ht="15" customHeight="1" x14ac:dyDescent="0.2">
      <c r="S1188" s="69">
        <f>_xlfn.XLOOKUP(Results!A1188,Geometry!$B$6:$B$10000,Geometry!$C$6:$C$10000)</f>
        <v>0</v>
      </c>
      <c r="T1188" s="69"/>
      <c r="U1188" s="69"/>
    </row>
    <row r="1189" spans="19:21" ht="15" customHeight="1" x14ac:dyDescent="0.2">
      <c r="S1189" s="69">
        <f>_xlfn.XLOOKUP(Results!A1189,Geometry!$B$6:$B$10000,Geometry!$C$6:$C$10000)</f>
        <v>0</v>
      </c>
      <c r="T1189" s="69"/>
      <c r="U1189" s="69"/>
    </row>
    <row r="1190" spans="19:21" ht="15" customHeight="1" x14ac:dyDescent="0.2">
      <c r="S1190" s="69">
        <f>_xlfn.XLOOKUP(Results!A1190,Geometry!$B$6:$B$10000,Geometry!$C$6:$C$10000)</f>
        <v>0</v>
      </c>
      <c r="T1190" s="69"/>
      <c r="U1190" s="69"/>
    </row>
    <row r="1191" spans="19:21" ht="15" customHeight="1" x14ac:dyDescent="0.2">
      <c r="S1191" s="69">
        <f>_xlfn.XLOOKUP(Results!A1191,Geometry!$B$6:$B$10000,Geometry!$C$6:$C$10000)</f>
        <v>0</v>
      </c>
      <c r="T1191" s="69"/>
      <c r="U1191" s="69"/>
    </row>
    <row r="1192" spans="19:21" ht="15" customHeight="1" x14ac:dyDescent="0.2">
      <c r="S1192" s="69">
        <f>_xlfn.XLOOKUP(Results!A1192,Geometry!$B$6:$B$10000,Geometry!$C$6:$C$10000)</f>
        <v>0</v>
      </c>
      <c r="T1192" s="69"/>
      <c r="U1192" s="69"/>
    </row>
    <row r="1193" spans="19:21" ht="15" customHeight="1" x14ac:dyDescent="0.2">
      <c r="S1193" s="69">
        <f>_xlfn.XLOOKUP(Results!A1193,Geometry!$B$6:$B$10000,Geometry!$C$6:$C$10000)</f>
        <v>0</v>
      </c>
      <c r="T1193" s="69"/>
      <c r="U1193" s="69"/>
    </row>
    <row r="1194" spans="19:21" ht="15" customHeight="1" x14ac:dyDescent="0.2">
      <c r="S1194" s="69">
        <f>_xlfn.XLOOKUP(Results!A1194,Geometry!$B$6:$B$10000,Geometry!$C$6:$C$10000)</f>
        <v>0</v>
      </c>
      <c r="T1194" s="69"/>
      <c r="U1194" s="69"/>
    </row>
    <row r="1195" spans="19:21" ht="15" customHeight="1" x14ac:dyDescent="0.2">
      <c r="S1195" s="69">
        <f>_xlfn.XLOOKUP(Results!A1195,Geometry!$B$6:$B$10000,Geometry!$C$6:$C$10000)</f>
        <v>0</v>
      </c>
      <c r="T1195" s="69"/>
      <c r="U1195" s="69"/>
    </row>
    <row r="1196" spans="19:21" ht="15" customHeight="1" x14ac:dyDescent="0.2">
      <c r="S1196" s="69">
        <f>_xlfn.XLOOKUP(Results!A1196,Geometry!$B$6:$B$10000,Geometry!$C$6:$C$10000)</f>
        <v>0</v>
      </c>
      <c r="T1196" s="69"/>
      <c r="U1196" s="69"/>
    </row>
    <row r="1197" spans="19:21" ht="15" customHeight="1" x14ac:dyDescent="0.2">
      <c r="S1197" s="69">
        <f>_xlfn.XLOOKUP(Results!A1197,Geometry!$B$6:$B$10000,Geometry!$C$6:$C$10000)</f>
        <v>0</v>
      </c>
      <c r="T1197" s="69"/>
      <c r="U1197" s="69"/>
    </row>
    <row r="1198" spans="19:21" ht="15" customHeight="1" x14ac:dyDescent="0.2">
      <c r="S1198" s="69">
        <f>_xlfn.XLOOKUP(Results!A1198,Geometry!$B$6:$B$10000,Geometry!$C$6:$C$10000)</f>
        <v>0</v>
      </c>
      <c r="T1198" s="69"/>
      <c r="U1198" s="69"/>
    </row>
    <row r="1199" spans="19:21" ht="15" customHeight="1" x14ac:dyDescent="0.2">
      <c r="S1199" s="69">
        <f>_xlfn.XLOOKUP(Results!A1199,Geometry!$B$6:$B$10000,Geometry!$C$6:$C$10000)</f>
        <v>0</v>
      </c>
      <c r="T1199" s="69"/>
      <c r="U1199" s="69"/>
    </row>
    <row r="1200" spans="19:21" ht="15" customHeight="1" x14ac:dyDescent="0.2">
      <c r="S1200" s="69">
        <f>_xlfn.XLOOKUP(Results!A1200,Geometry!$B$6:$B$10000,Geometry!$C$6:$C$10000)</f>
        <v>0</v>
      </c>
      <c r="T1200" s="69"/>
      <c r="U1200" s="69"/>
    </row>
    <row r="1201" spans="19:21" ht="15" customHeight="1" x14ac:dyDescent="0.2">
      <c r="S1201" s="69">
        <f>_xlfn.XLOOKUP(Results!A1201,Geometry!$B$6:$B$10000,Geometry!$C$6:$C$10000)</f>
        <v>0</v>
      </c>
      <c r="T1201" s="69"/>
      <c r="U1201" s="69"/>
    </row>
    <row r="1202" spans="19:21" ht="15" customHeight="1" x14ac:dyDescent="0.2">
      <c r="S1202" s="69">
        <f>_xlfn.XLOOKUP(Results!A1202,Geometry!$B$6:$B$10000,Geometry!$C$6:$C$10000)</f>
        <v>0</v>
      </c>
      <c r="T1202" s="69"/>
      <c r="U1202" s="69"/>
    </row>
    <row r="1203" spans="19:21" ht="15" customHeight="1" x14ac:dyDescent="0.2">
      <c r="S1203" s="69">
        <f>_xlfn.XLOOKUP(Results!A1203,Geometry!$B$6:$B$10000,Geometry!$C$6:$C$10000)</f>
        <v>0</v>
      </c>
      <c r="T1203" s="69"/>
      <c r="U1203" s="69"/>
    </row>
    <row r="1204" spans="19:21" ht="15" customHeight="1" x14ac:dyDescent="0.2">
      <c r="S1204" s="69">
        <f>_xlfn.XLOOKUP(Results!A1204,Geometry!$B$6:$B$10000,Geometry!$C$6:$C$10000)</f>
        <v>0</v>
      </c>
      <c r="T1204" s="69"/>
      <c r="U1204" s="69"/>
    </row>
    <row r="1205" spans="19:21" ht="15" customHeight="1" x14ac:dyDescent="0.2">
      <c r="S1205" s="69">
        <f>_xlfn.XLOOKUP(Results!A1205,Geometry!$B$6:$B$10000,Geometry!$C$6:$C$10000)</f>
        <v>0</v>
      </c>
      <c r="T1205" s="69"/>
      <c r="U1205" s="69"/>
    </row>
    <row r="1206" spans="19:21" ht="15" customHeight="1" x14ac:dyDescent="0.2">
      <c r="S1206" s="69">
        <f>_xlfn.XLOOKUP(Results!A1206,Geometry!$B$6:$B$10000,Geometry!$C$6:$C$10000)</f>
        <v>0</v>
      </c>
      <c r="T1206" s="69"/>
      <c r="U1206" s="69"/>
    </row>
    <row r="1207" spans="19:21" ht="15" customHeight="1" x14ac:dyDescent="0.2">
      <c r="S1207" s="69">
        <f>_xlfn.XLOOKUP(Results!A1207,Geometry!$B$6:$B$10000,Geometry!$C$6:$C$10000)</f>
        <v>0</v>
      </c>
      <c r="T1207" s="69"/>
      <c r="U1207" s="69"/>
    </row>
    <row r="1208" spans="19:21" ht="15" customHeight="1" x14ac:dyDescent="0.2">
      <c r="S1208" s="69">
        <f>_xlfn.XLOOKUP(Results!A1208,Geometry!$B$6:$B$10000,Geometry!$C$6:$C$10000)</f>
        <v>0</v>
      </c>
      <c r="T1208" s="69"/>
      <c r="U1208" s="69"/>
    </row>
    <row r="1209" spans="19:21" ht="15" customHeight="1" x14ac:dyDescent="0.2">
      <c r="S1209" s="69">
        <f>_xlfn.XLOOKUP(Results!A1209,Geometry!$B$6:$B$10000,Geometry!$C$6:$C$10000)</f>
        <v>0</v>
      </c>
      <c r="T1209" s="69"/>
      <c r="U1209" s="69"/>
    </row>
    <row r="1210" spans="19:21" ht="15" customHeight="1" x14ac:dyDescent="0.2">
      <c r="S1210" s="69">
        <f>_xlfn.XLOOKUP(Results!A1210,Geometry!$B$6:$B$10000,Geometry!$C$6:$C$10000)</f>
        <v>0</v>
      </c>
      <c r="T1210" s="69"/>
      <c r="U1210" s="69"/>
    </row>
    <row r="1211" spans="19:21" ht="15" customHeight="1" x14ac:dyDescent="0.2">
      <c r="S1211" s="69">
        <f>_xlfn.XLOOKUP(Results!A1211,Geometry!$B$6:$B$10000,Geometry!$C$6:$C$10000)</f>
        <v>0</v>
      </c>
      <c r="T1211" s="69"/>
      <c r="U1211" s="69"/>
    </row>
    <row r="1212" spans="19:21" ht="15" customHeight="1" x14ac:dyDescent="0.2">
      <c r="S1212" s="69">
        <f>_xlfn.XLOOKUP(Results!A1212,Geometry!$B$6:$B$10000,Geometry!$C$6:$C$10000)</f>
        <v>0</v>
      </c>
      <c r="T1212" s="69"/>
      <c r="U1212" s="69"/>
    </row>
    <row r="1213" spans="19:21" ht="15" customHeight="1" x14ac:dyDescent="0.2">
      <c r="S1213" s="69">
        <f>_xlfn.XLOOKUP(Results!A1213,Geometry!$B$6:$B$10000,Geometry!$C$6:$C$10000)</f>
        <v>0</v>
      </c>
      <c r="T1213" s="69"/>
      <c r="U1213" s="69"/>
    </row>
    <row r="1214" spans="19:21" ht="15" customHeight="1" x14ac:dyDescent="0.2">
      <c r="S1214" s="69">
        <f>_xlfn.XLOOKUP(Results!A1214,Geometry!$B$6:$B$10000,Geometry!$C$6:$C$10000)</f>
        <v>0</v>
      </c>
      <c r="T1214" s="69"/>
      <c r="U1214" s="69"/>
    </row>
    <row r="1215" spans="19:21" ht="15" customHeight="1" x14ac:dyDescent="0.2">
      <c r="S1215" s="69">
        <f>_xlfn.XLOOKUP(Results!A1215,Geometry!$B$6:$B$10000,Geometry!$C$6:$C$10000)</f>
        <v>0</v>
      </c>
      <c r="T1215" s="69"/>
      <c r="U1215" s="69"/>
    </row>
    <row r="1216" spans="19:21" ht="15" customHeight="1" x14ac:dyDescent="0.2">
      <c r="S1216" s="69">
        <f>_xlfn.XLOOKUP(Results!A1216,Geometry!$B$6:$B$10000,Geometry!$C$6:$C$10000)</f>
        <v>0</v>
      </c>
      <c r="T1216" s="69"/>
      <c r="U1216" s="69"/>
    </row>
    <row r="1217" spans="19:21" ht="15" customHeight="1" x14ac:dyDescent="0.2">
      <c r="S1217" s="69">
        <f>_xlfn.XLOOKUP(Results!A1217,Geometry!$B$6:$B$10000,Geometry!$C$6:$C$10000)</f>
        <v>0</v>
      </c>
      <c r="T1217" s="69"/>
      <c r="U1217" s="69"/>
    </row>
    <row r="1218" spans="19:21" ht="15" customHeight="1" x14ac:dyDescent="0.2">
      <c r="S1218" s="69">
        <f>_xlfn.XLOOKUP(Results!A1218,Geometry!$B$6:$B$10000,Geometry!$C$6:$C$10000)</f>
        <v>0</v>
      </c>
      <c r="T1218" s="69"/>
      <c r="U1218" s="69"/>
    </row>
    <row r="1219" spans="19:21" ht="15" customHeight="1" x14ac:dyDescent="0.2">
      <c r="S1219" s="69">
        <f>_xlfn.XLOOKUP(Results!A1219,Geometry!$B$6:$B$10000,Geometry!$C$6:$C$10000)</f>
        <v>0</v>
      </c>
      <c r="T1219" s="69"/>
      <c r="U1219" s="69"/>
    </row>
    <row r="1220" spans="19:21" ht="15" customHeight="1" x14ac:dyDescent="0.2">
      <c r="S1220" s="69">
        <f>_xlfn.XLOOKUP(Results!A1220,Geometry!$B$6:$B$10000,Geometry!$C$6:$C$10000)</f>
        <v>0</v>
      </c>
      <c r="T1220" s="69"/>
      <c r="U1220" s="69"/>
    </row>
    <row r="1221" spans="19:21" ht="15" customHeight="1" x14ac:dyDescent="0.2">
      <c r="S1221" s="69">
        <f>_xlfn.XLOOKUP(Results!A1221,Geometry!$B$6:$B$10000,Geometry!$C$6:$C$10000)</f>
        <v>0</v>
      </c>
      <c r="T1221" s="69"/>
      <c r="U1221" s="69"/>
    </row>
    <row r="1222" spans="19:21" ht="15" customHeight="1" x14ac:dyDescent="0.2">
      <c r="S1222" s="69">
        <f>_xlfn.XLOOKUP(Results!A1222,Geometry!$B$6:$B$10000,Geometry!$C$6:$C$10000)</f>
        <v>0</v>
      </c>
      <c r="T1222" s="69"/>
      <c r="U1222" s="69"/>
    </row>
    <row r="1223" spans="19:21" ht="15" customHeight="1" x14ac:dyDescent="0.2">
      <c r="S1223" s="69">
        <f>_xlfn.XLOOKUP(Results!A1223,Geometry!$B$6:$B$10000,Geometry!$C$6:$C$10000)</f>
        <v>0</v>
      </c>
      <c r="T1223" s="69"/>
      <c r="U1223" s="69"/>
    </row>
    <row r="1224" spans="19:21" ht="15" customHeight="1" x14ac:dyDescent="0.2">
      <c r="S1224" s="69">
        <f>_xlfn.XLOOKUP(Results!A1224,Geometry!$B$6:$B$10000,Geometry!$C$6:$C$10000)</f>
        <v>0</v>
      </c>
      <c r="T1224" s="69"/>
      <c r="U1224" s="69"/>
    </row>
    <row r="1225" spans="19:21" ht="15" customHeight="1" x14ac:dyDescent="0.2">
      <c r="S1225" s="69">
        <f>_xlfn.XLOOKUP(Results!A1225,Geometry!$B$6:$B$10000,Geometry!$C$6:$C$10000)</f>
        <v>0</v>
      </c>
      <c r="T1225" s="69"/>
      <c r="U1225" s="69"/>
    </row>
    <row r="1226" spans="19:21" ht="15" customHeight="1" x14ac:dyDescent="0.2">
      <c r="S1226" s="69">
        <f>_xlfn.XLOOKUP(Results!A1226,Geometry!$B$6:$B$10000,Geometry!$C$6:$C$10000)</f>
        <v>0</v>
      </c>
      <c r="T1226" s="69"/>
      <c r="U1226" s="69"/>
    </row>
    <row r="1227" spans="19:21" ht="15" customHeight="1" x14ac:dyDescent="0.2">
      <c r="S1227" s="69">
        <f>_xlfn.XLOOKUP(Results!A1227,Geometry!$B$6:$B$10000,Geometry!$C$6:$C$10000)</f>
        <v>0</v>
      </c>
      <c r="T1227" s="69"/>
      <c r="U1227" s="69"/>
    </row>
    <row r="1228" spans="19:21" ht="15" customHeight="1" x14ac:dyDescent="0.2">
      <c r="S1228" s="69">
        <f>_xlfn.XLOOKUP(Results!A1228,Geometry!$B$6:$B$10000,Geometry!$C$6:$C$10000)</f>
        <v>0</v>
      </c>
      <c r="T1228" s="69"/>
      <c r="U1228" s="69"/>
    </row>
    <row r="1229" spans="19:21" ht="15" customHeight="1" x14ac:dyDescent="0.2">
      <c r="S1229" s="69">
        <f>_xlfn.XLOOKUP(Results!A1229,Geometry!$B$6:$B$10000,Geometry!$C$6:$C$10000)</f>
        <v>0</v>
      </c>
      <c r="T1229" s="69"/>
      <c r="U1229" s="69"/>
    </row>
    <row r="1230" spans="19:21" ht="15" customHeight="1" x14ac:dyDescent="0.2">
      <c r="S1230" s="69">
        <f>_xlfn.XLOOKUP(Results!A1230,Geometry!$B$6:$B$10000,Geometry!$C$6:$C$10000)</f>
        <v>0</v>
      </c>
      <c r="T1230" s="69"/>
      <c r="U1230" s="69"/>
    </row>
    <row r="1231" spans="19:21" ht="15" customHeight="1" x14ac:dyDescent="0.2">
      <c r="S1231" s="69">
        <f>_xlfn.XLOOKUP(Results!A1231,Geometry!$B$6:$B$10000,Geometry!$C$6:$C$10000)</f>
        <v>0</v>
      </c>
      <c r="T1231" s="69"/>
      <c r="U1231" s="69"/>
    </row>
    <row r="1232" spans="19:21" ht="15" customHeight="1" x14ac:dyDescent="0.2">
      <c r="S1232" s="69">
        <f>_xlfn.XLOOKUP(Results!A1232,Geometry!$B$6:$B$10000,Geometry!$C$6:$C$10000)</f>
        <v>0</v>
      </c>
      <c r="T1232" s="69"/>
      <c r="U1232" s="69"/>
    </row>
    <row r="1233" spans="19:21" ht="15" customHeight="1" x14ac:dyDescent="0.2">
      <c r="S1233" s="69">
        <f>_xlfn.XLOOKUP(Results!A1233,Geometry!$B$6:$B$10000,Geometry!$C$6:$C$10000)</f>
        <v>0</v>
      </c>
      <c r="T1233" s="69"/>
      <c r="U1233" s="69"/>
    </row>
    <row r="1234" spans="19:21" ht="15" customHeight="1" x14ac:dyDescent="0.2">
      <c r="S1234" s="69">
        <f>_xlfn.XLOOKUP(Results!A1234,Geometry!$B$6:$B$10000,Geometry!$C$6:$C$10000)</f>
        <v>0</v>
      </c>
      <c r="T1234" s="69"/>
      <c r="U1234" s="69"/>
    </row>
    <row r="1235" spans="19:21" ht="15" customHeight="1" x14ac:dyDescent="0.2">
      <c r="S1235" s="69">
        <f>_xlfn.XLOOKUP(Results!A1235,Geometry!$B$6:$B$10000,Geometry!$C$6:$C$10000)</f>
        <v>0</v>
      </c>
      <c r="T1235" s="69"/>
      <c r="U1235" s="69"/>
    </row>
    <row r="1236" spans="19:21" ht="15" customHeight="1" x14ac:dyDescent="0.2">
      <c r="S1236" s="69">
        <f>_xlfn.XLOOKUP(Results!A1236,Geometry!$B$6:$B$10000,Geometry!$C$6:$C$10000)</f>
        <v>0</v>
      </c>
      <c r="T1236" s="69"/>
      <c r="U1236" s="69"/>
    </row>
    <row r="1237" spans="19:21" ht="15" customHeight="1" x14ac:dyDescent="0.2">
      <c r="S1237" s="69">
        <f>_xlfn.XLOOKUP(Results!A1237,Geometry!$B$6:$B$10000,Geometry!$C$6:$C$10000)</f>
        <v>0</v>
      </c>
      <c r="T1237" s="69"/>
      <c r="U1237" s="69"/>
    </row>
    <row r="1238" spans="19:21" ht="15" customHeight="1" x14ac:dyDescent="0.2">
      <c r="S1238" s="69">
        <f>_xlfn.XLOOKUP(Results!A1238,Geometry!$B$6:$B$10000,Geometry!$C$6:$C$10000)</f>
        <v>0</v>
      </c>
      <c r="T1238" s="69"/>
      <c r="U1238" s="69"/>
    </row>
    <row r="1239" spans="19:21" ht="15" customHeight="1" x14ac:dyDescent="0.2">
      <c r="S1239" s="69">
        <f>_xlfn.XLOOKUP(Results!A1239,Geometry!$B$6:$B$10000,Geometry!$C$6:$C$10000)</f>
        <v>0</v>
      </c>
      <c r="T1239" s="69"/>
      <c r="U1239" s="69"/>
    </row>
    <row r="1240" spans="19:21" ht="15" customHeight="1" x14ac:dyDescent="0.2">
      <c r="S1240" s="69">
        <f>_xlfn.XLOOKUP(Results!A1240,Geometry!$B$6:$B$10000,Geometry!$C$6:$C$10000)</f>
        <v>0</v>
      </c>
      <c r="T1240" s="69"/>
      <c r="U1240" s="69"/>
    </row>
    <row r="1241" spans="19:21" ht="15" customHeight="1" x14ac:dyDescent="0.2">
      <c r="S1241" s="69">
        <f>_xlfn.XLOOKUP(Results!A1241,Geometry!$B$6:$B$10000,Geometry!$C$6:$C$10000)</f>
        <v>0</v>
      </c>
      <c r="T1241" s="69"/>
      <c r="U1241" s="69"/>
    </row>
    <row r="1242" spans="19:21" ht="15" customHeight="1" x14ac:dyDescent="0.2">
      <c r="S1242" s="69">
        <f>_xlfn.XLOOKUP(Results!A1242,Geometry!$B$6:$B$10000,Geometry!$C$6:$C$10000)</f>
        <v>0</v>
      </c>
      <c r="T1242" s="69"/>
      <c r="U1242" s="69"/>
    </row>
    <row r="1243" spans="19:21" ht="15" customHeight="1" x14ac:dyDescent="0.2">
      <c r="S1243" s="69">
        <f>_xlfn.XLOOKUP(Results!A1243,Geometry!$B$6:$B$10000,Geometry!$C$6:$C$10000)</f>
        <v>0</v>
      </c>
      <c r="T1243" s="69"/>
      <c r="U1243" s="69"/>
    </row>
    <row r="1244" spans="19:21" ht="15" customHeight="1" x14ac:dyDescent="0.2">
      <c r="S1244" s="69">
        <f>_xlfn.XLOOKUP(Results!A1244,Geometry!$B$6:$B$10000,Geometry!$C$6:$C$10000)</f>
        <v>0</v>
      </c>
      <c r="T1244" s="69"/>
      <c r="U1244" s="69"/>
    </row>
    <row r="1245" spans="19:21" ht="15" customHeight="1" x14ac:dyDescent="0.2">
      <c r="S1245" s="69">
        <f>_xlfn.XLOOKUP(Results!A1245,Geometry!$B$6:$B$10000,Geometry!$C$6:$C$10000)</f>
        <v>0</v>
      </c>
      <c r="T1245" s="69"/>
      <c r="U1245" s="69"/>
    </row>
    <row r="1246" spans="19:21" ht="15" customHeight="1" x14ac:dyDescent="0.2">
      <c r="S1246" s="69">
        <f>_xlfn.XLOOKUP(Results!A1246,Geometry!$B$6:$B$10000,Geometry!$C$6:$C$10000)</f>
        <v>0</v>
      </c>
      <c r="T1246" s="69"/>
      <c r="U1246" s="69"/>
    </row>
    <row r="1247" spans="19:21" ht="15" customHeight="1" x14ac:dyDescent="0.2">
      <c r="S1247" s="69">
        <f>_xlfn.XLOOKUP(Results!A1247,Geometry!$B$6:$B$10000,Geometry!$C$6:$C$10000)</f>
        <v>0</v>
      </c>
      <c r="T1247" s="69"/>
      <c r="U1247" s="69"/>
    </row>
    <row r="1248" spans="19:21" ht="15" customHeight="1" x14ac:dyDescent="0.2">
      <c r="S1248" s="69">
        <f>_xlfn.XLOOKUP(Results!A1248,Geometry!$B$6:$B$10000,Geometry!$C$6:$C$10000)</f>
        <v>0</v>
      </c>
      <c r="T1248" s="69"/>
      <c r="U1248" s="69"/>
    </row>
    <row r="1249" spans="19:21" ht="15" customHeight="1" x14ac:dyDescent="0.2">
      <c r="S1249" s="69">
        <f>_xlfn.XLOOKUP(Results!A1249,Geometry!$B$6:$B$10000,Geometry!$C$6:$C$10000)</f>
        <v>0</v>
      </c>
      <c r="T1249" s="69"/>
      <c r="U1249" s="69"/>
    </row>
    <row r="1250" spans="19:21" ht="15" customHeight="1" x14ac:dyDescent="0.2">
      <c r="S1250" s="69">
        <f>_xlfn.XLOOKUP(Results!A1250,Geometry!$B$6:$B$10000,Geometry!$C$6:$C$10000)</f>
        <v>0</v>
      </c>
      <c r="T1250" s="69"/>
      <c r="U1250" s="69"/>
    </row>
    <row r="1251" spans="19:21" ht="15" customHeight="1" x14ac:dyDescent="0.2">
      <c r="S1251" s="69">
        <f>_xlfn.XLOOKUP(Results!A1251,Geometry!$B$6:$B$10000,Geometry!$C$6:$C$10000)</f>
        <v>0</v>
      </c>
      <c r="T1251" s="69"/>
      <c r="U1251" s="69"/>
    </row>
    <row r="1252" spans="19:21" ht="15" customHeight="1" x14ac:dyDescent="0.2">
      <c r="S1252" s="69">
        <f>_xlfn.XLOOKUP(Results!A1252,Geometry!$B$6:$B$10000,Geometry!$C$6:$C$10000)</f>
        <v>0</v>
      </c>
      <c r="T1252" s="69"/>
      <c r="U1252" s="69"/>
    </row>
    <row r="1253" spans="19:21" ht="15" customHeight="1" x14ac:dyDescent="0.2">
      <c r="S1253" s="69">
        <f>_xlfn.XLOOKUP(Results!A1253,Geometry!$B$6:$B$10000,Geometry!$C$6:$C$10000)</f>
        <v>0</v>
      </c>
      <c r="T1253" s="69"/>
      <c r="U1253" s="69"/>
    </row>
    <row r="1254" spans="19:21" ht="15" customHeight="1" x14ac:dyDescent="0.2">
      <c r="S1254" s="69">
        <f>_xlfn.XLOOKUP(Results!A1254,Geometry!$B$6:$B$10000,Geometry!$C$6:$C$10000)</f>
        <v>0</v>
      </c>
      <c r="T1254" s="69"/>
      <c r="U1254" s="69"/>
    </row>
    <row r="1255" spans="19:21" ht="15" customHeight="1" x14ac:dyDescent="0.2">
      <c r="S1255" s="69">
        <f>_xlfn.XLOOKUP(Results!A1255,Geometry!$B$6:$B$10000,Geometry!$C$6:$C$10000)</f>
        <v>0</v>
      </c>
      <c r="T1255" s="69"/>
      <c r="U1255" s="69"/>
    </row>
    <row r="1256" spans="19:21" ht="15" customHeight="1" x14ac:dyDescent="0.2">
      <c r="S1256" s="69">
        <f>_xlfn.XLOOKUP(Results!A1256,Geometry!$B$6:$B$10000,Geometry!$C$6:$C$10000)</f>
        <v>0</v>
      </c>
      <c r="T1256" s="69"/>
      <c r="U1256" s="69"/>
    </row>
    <row r="1257" spans="19:21" ht="15" customHeight="1" x14ac:dyDescent="0.2">
      <c r="S1257" s="69">
        <f>_xlfn.XLOOKUP(Results!A1257,Geometry!$B$6:$B$10000,Geometry!$C$6:$C$10000)</f>
        <v>0</v>
      </c>
      <c r="T1257" s="69"/>
      <c r="U1257" s="69"/>
    </row>
    <row r="1258" spans="19:21" ht="15" customHeight="1" x14ac:dyDescent="0.2">
      <c r="S1258" s="69">
        <f>_xlfn.XLOOKUP(Results!A1258,Geometry!$B$6:$B$10000,Geometry!$C$6:$C$10000)</f>
        <v>0</v>
      </c>
      <c r="T1258" s="69"/>
      <c r="U1258" s="69"/>
    </row>
    <row r="1259" spans="19:21" ht="15" customHeight="1" x14ac:dyDescent="0.2">
      <c r="S1259" s="69">
        <f>_xlfn.XLOOKUP(Results!A1259,Geometry!$B$6:$B$10000,Geometry!$C$6:$C$10000)</f>
        <v>0</v>
      </c>
      <c r="T1259" s="69"/>
      <c r="U1259" s="69"/>
    </row>
    <row r="1260" spans="19:21" ht="15" customHeight="1" x14ac:dyDescent="0.2">
      <c r="S1260" s="69">
        <f>_xlfn.XLOOKUP(Results!A1260,Geometry!$B$6:$B$10000,Geometry!$C$6:$C$10000)</f>
        <v>0</v>
      </c>
      <c r="T1260" s="69"/>
      <c r="U1260" s="69"/>
    </row>
    <row r="1261" spans="19:21" ht="15" customHeight="1" x14ac:dyDescent="0.2">
      <c r="S1261" s="69">
        <f>_xlfn.XLOOKUP(Results!A1261,Geometry!$B$6:$B$10000,Geometry!$C$6:$C$10000)</f>
        <v>0</v>
      </c>
      <c r="T1261" s="69"/>
      <c r="U1261" s="69"/>
    </row>
    <row r="1262" spans="19:21" ht="15" customHeight="1" x14ac:dyDescent="0.2">
      <c r="S1262" s="69">
        <f>_xlfn.XLOOKUP(Results!A1262,Geometry!$B$6:$B$10000,Geometry!$C$6:$C$10000)</f>
        <v>0</v>
      </c>
      <c r="T1262" s="69"/>
      <c r="U1262" s="69"/>
    </row>
    <row r="1263" spans="19:21" ht="15" customHeight="1" x14ac:dyDescent="0.2">
      <c r="S1263" s="69">
        <f>_xlfn.XLOOKUP(Results!A1263,Geometry!$B$6:$B$10000,Geometry!$C$6:$C$10000)</f>
        <v>0</v>
      </c>
      <c r="T1263" s="69"/>
      <c r="U1263" s="69"/>
    </row>
    <row r="1264" spans="19:21" ht="15" customHeight="1" x14ac:dyDescent="0.2">
      <c r="S1264" s="69">
        <f>_xlfn.XLOOKUP(Results!A1264,Geometry!$B$6:$B$10000,Geometry!$C$6:$C$10000)</f>
        <v>0</v>
      </c>
      <c r="T1264" s="69"/>
      <c r="U1264" s="69"/>
    </row>
    <row r="1265" spans="19:21" ht="15" customHeight="1" x14ac:dyDescent="0.2">
      <c r="S1265" s="69">
        <f>_xlfn.XLOOKUP(Results!A1265,Geometry!$B$6:$B$10000,Geometry!$C$6:$C$10000)</f>
        <v>0</v>
      </c>
      <c r="T1265" s="69"/>
      <c r="U1265" s="69"/>
    </row>
    <row r="1266" spans="19:21" ht="15" customHeight="1" x14ac:dyDescent="0.2">
      <c r="S1266" s="69">
        <f>_xlfn.XLOOKUP(Results!A1266,Geometry!$B$6:$B$10000,Geometry!$C$6:$C$10000)</f>
        <v>0</v>
      </c>
      <c r="T1266" s="69"/>
      <c r="U1266" s="69"/>
    </row>
    <row r="1267" spans="19:21" ht="15" customHeight="1" x14ac:dyDescent="0.2">
      <c r="S1267" s="69">
        <f>_xlfn.XLOOKUP(Results!A1267,Geometry!$B$6:$B$10000,Geometry!$C$6:$C$10000)</f>
        <v>0</v>
      </c>
      <c r="T1267" s="69"/>
      <c r="U1267" s="69"/>
    </row>
    <row r="1268" spans="19:21" ht="15" customHeight="1" x14ac:dyDescent="0.2">
      <c r="S1268" s="69">
        <f>_xlfn.XLOOKUP(Results!A1268,Geometry!$B$6:$B$10000,Geometry!$C$6:$C$10000)</f>
        <v>0</v>
      </c>
      <c r="T1268" s="69"/>
      <c r="U1268" s="69"/>
    </row>
    <row r="1269" spans="19:21" ht="15" customHeight="1" x14ac:dyDescent="0.2">
      <c r="S1269" s="69">
        <f>_xlfn.XLOOKUP(Results!A1269,Geometry!$B$6:$B$10000,Geometry!$C$6:$C$10000)</f>
        <v>0</v>
      </c>
      <c r="T1269" s="69"/>
      <c r="U1269" s="69"/>
    </row>
    <row r="1270" spans="19:21" ht="15" customHeight="1" x14ac:dyDescent="0.2">
      <c r="S1270" s="69">
        <f>_xlfn.XLOOKUP(Results!A1270,Geometry!$B$6:$B$10000,Geometry!$C$6:$C$10000)</f>
        <v>0</v>
      </c>
      <c r="T1270" s="69"/>
      <c r="U1270" s="69"/>
    </row>
    <row r="1271" spans="19:21" ht="15" customHeight="1" x14ac:dyDescent="0.2">
      <c r="S1271" s="69">
        <f>_xlfn.XLOOKUP(Results!A1271,Geometry!$B$6:$B$10000,Geometry!$C$6:$C$10000)</f>
        <v>0</v>
      </c>
      <c r="T1271" s="69"/>
      <c r="U1271" s="69"/>
    </row>
    <row r="1272" spans="19:21" ht="15" customHeight="1" x14ac:dyDescent="0.2">
      <c r="S1272" s="69">
        <f>_xlfn.XLOOKUP(Results!A1272,Geometry!$B$6:$B$10000,Geometry!$C$6:$C$10000)</f>
        <v>0</v>
      </c>
      <c r="T1272" s="69"/>
      <c r="U1272" s="69"/>
    </row>
    <row r="1273" spans="19:21" ht="15" customHeight="1" x14ac:dyDescent="0.2">
      <c r="S1273" s="69">
        <f>_xlfn.XLOOKUP(Results!A1273,Geometry!$B$6:$B$10000,Geometry!$C$6:$C$10000)</f>
        <v>0</v>
      </c>
      <c r="T1273" s="69"/>
      <c r="U1273" s="69"/>
    </row>
    <row r="1274" spans="19:21" ht="15" customHeight="1" x14ac:dyDescent="0.2">
      <c r="S1274" s="69">
        <f>_xlfn.XLOOKUP(Results!A1274,Geometry!$B$6:$B$10000,Geometry!$C$6:$C$10000)</f>
        <v>0</v>
      </c>
      <c r="T1274" s="69"/>
      <c r="U1274" s="69"/>
    </row>
    <row r="1275" spans="19:21" ht="15" customHeight="1" x14ac:dyDescent="0.2">
      <c r="S1275" s="69">
        <f>_xlfn.XLOOKUP(Results!A1275,Geometry!$B$6:$B$10000,Geometry!$C$6:$C$10000)</f>
        <v>0</v>
      </c>
      <c r="T1275" s="69"/>
      <c r="U1275" s="69"/>
    </row>
    <row r="1276" spans="19:21" ht="15" customHeight="1" x14ac:dyDescent="0.2">
      <c r="S1276" s="69">
        <f>_xlfn.XLOOKUP(Results!A1276,Geometry!$B$6:$B$10000,Geometry!$C$6:$C$10000)</f>
        <v>0</v>
      </c>
      <c r="T1276" s="69"/>
      <c r="U1276" s="69"/>
    </row>
    <row r="1277" spans="19:21" ht="15" customHeight="1" x14ac:dyDescent="0.2">
      <c r="S1277" s="69">
        <f>_xlfn.XLOOKUP(Results!A1277,Geometry!$B$6:$B$10000,Geometry!$C$6:$C$10000)</f>
        <v>0</v>
      </c>
      <c r="T1277" s="69"/>
      <c r="U1277" s="69"/>
    </row>
    <row r="1278" spans="19:21" ht="15" customHeight="1" x14ac:dyDescent="0.2">
      <c r="S1278" s="69">
        <f>_xlfn.XLOOKUP(Results!A1278,Geometry!$B$6:$B$10000,Geometry!$C$6:$C$10000)</f>
        <v>0</v>
      </c>
      <c r="T1278" s="69"/>
      <c r="U1278" s="69"/>
    </row>
    <row r="1279" spans="19:21" ht="15" customHeight="1" x14ac:dyDescent="0.2">
      <c r="S1279" s="69">
        <f>_xlfn.XLOOKUP(Results!A1279,Geometry!$B$6:$B$10000,Geometry!$C$6:$C$10000)</f>
        <v>0</v>
      </c>
      <c r="T1279" s="69"/>
      <c r="U1279" s="69"/>
    </row>
    <row r="1280" spans="19:21" ht="15" customHeight="1" x14ac:dyDescent="0.2">
      <c r="S1280" s="69">
        <f>_xlfn.XLOOKUP(Results!A1280,Geometry!$B$6:$B$10000,Geometry!$C$6:$C$10000)</f>
        <v>0</v>
      </c>
      <c r="T1280" s="69"/>
      <c r="U1280" s="69"/>
    </row>
    <row r="1281" spans="19:21" ht="15" customHeight="1" x14ac:dyDescent="0.2">
      <c r="S1281" s="69">
        <f>_xlfn.XLOOKUP(Results!A1281,Geometry!$B$6:$B$10000,Geometry!$C$6:$C$10000)</f>
        <v>0</v>
      </c>
      <c r="T1281" s="69"/>
      <c r="U1281" s="69"/>
    </row>
    <row r="1282" spans="19:21" ht="15" customHeight="1" x14ac:dyDescent="0.2">
      <c r="S1282" s="69">
        <f>_xlfn.XLOOKUP(Results!A1282,Geometry!$B$6:$B$10000,Geometry!$C$6:$C$10000)</f>
        <v>0</v>
      </c>
      <c r="T1282" s="69"/>
      <c r="U1282" s="69"/>
    </row>
    <row r="1283" spans="19:21" ht="15" customHeight="1" x14ac:dyDescent="0.2">
      <c r="S1283" s="69">
        <f>_xlfn.XLOOKUP(Results!A1283,Geometry!$B$6:$B$10000,Geometry!$C$6:$C$10000)</f>
        <v>0</v>
      </c>
      <c r="T1283" s="69"/>
      <c r="U1283" s="69"/>
    </row>
    <row r="1284" spans="19:21" ht="15" customHeight="1" x14ac:dyDescent="0.2">
      <c r="S1284" s="69">
        <f>_xlfn.XLOOKUP(Results!A1284,Geometry!$B$6:$B$10000,Geometry!$C$6:$C$10000)</f>
        <v>0</v>
      </c>
      <c r="T1284" s="69"/>
      <c r="U1284" s="69"/>
    </row>
    <row r="1285" spans="19:21" ht="15" customHeight="1" x14ac:dyDescent="0.2">
      <c r="S1285" s="69">
        <f>_xlfn.XLOOKUP(Results!A1285,Geometry!$B$6:$B$10000,Geometry!$C$6:$C$10000)</f>
        <v>0</v>
      </c>
      <c r="T1285" s="69"/>
      <c r="U1285" s="69"/>
    </row>
    <row r="1286" spans="19:21" ht="15" customHeight="1" x14ac:dyDescent="0.2">
      <c r="S1286" s="69">
        <f>_xlfn.XLOOKUP(Results!A1286,Geometry!$B$6:$B$10000,Geometry!$C$6:$C$10000)</f>
        <v>0</v>
      </c>
      <c r="T1286" s="69"/>
      <c r="U1286" s="69"/>
    </row>
    <row r="1287" spans="19:21" ht="15" customHeight="1" x14ac:dyDescent="0.2">
      <c r="S1287" s="69">
        <f>_xlfn.XLOOKUP(Results!A1287,Geometry!$B$6:$B$10000,Geometry!$C$6:$C$10000)</f>
        <v>0</v>
      </c>
      <c r="T1287" s="69"/>
      <c r="U1287" s="69"/>
    </row>
    <row r="1288" spans="19:21" ht="15" customHeight="1" x14ac:dyDescent="0.2">
      <c r="S1288" s="69">
        <f>_xlfn.XLOOKUP(Results!A1288,Geometry!$B$6:$B$10000,Geometry!$C$6:$C$10000)</f>
        <v>0</v>
      </c>
      <c r="T1288" s="69"/>
      <c r="U1288" s="69"/>
    </row>
    <row r="1289" spans="19:21" ht="15" customHeight="1" x14ac:dyDescent="0.2">
      <c r="S1289" s="69">
        <f>_xlfn.XLOOKUP(Results!A1289,Geometry!$B$6:$B$10000,Geometry!$C$6:$C$10000)</f>
        <v>0</v>
      </c>
      <c r="T1289" s="69"/>
      <c r="U1289" s="69"/>
    </row>
    <row r="1290" spans="19:21" ht="15" customHeight="1" x14ac:dyDescent="0.2">
      <c r="S1290" s="69">
        <f>_xlfn.XLOOKUP(Results!A1290,Geometry!$B$6:$B$10000,Geometry!$C$6:$C$10000)</f>
        <v>0</v>
      </c>
      <c r="T1290" s="69"/>
      <c r="U1290" s="69"/>
    </row>
    <row r="1291" spans="19:21" ht="15" customHeight="1" x14ac:dyDescent="0.2">
      <c r="S1291" s="69">
        <f>_xlfn.XLOOKUP(Results!A1291,Geometry!$B$6:$B$10000,Geometry!$C$6:$C$10000)</f>
        <v>0</v>
      </c>
      <c r="T1291" s="69"/>
      <c r="U1291" s="69"/>
    </row>
    <row r="1292" spans="19:21" ht="15" customHeight="1" x14ac:dyDescent="0.2">
      <c r="S1292" s="69">
        <f>_xlfn.XLOOKUP(Results!A1292,Geometry!$B$6:$B$10000,Geometry!$C$6:$C$10000)</f>
        <v>0</v>
      </c>
      <c r="T1292" s="69"/>
      <c r="U1292" s="69"/>
    </row>
    <row r="1293" spans="19:21" ht="15" customHeight="1" x14ac:dyDescent="0.2">
      <c r="S1293" s="69">
        <f>_xlfn.XLOOKUP(Results!A1293,Geometry!$B$6:$B$10000,Geometry!$C$6:$C$10000)</f>
        <v>0</v>
      </c>
      <c r="T1293" s="69"/>
      <c r="U1293" s="69"/>
    </row>
    <row r="1294" spans="19:21" ht="15" customHeight="1" x14ac:dyDescent="0.2">
      <c r="S1294" s="69">
        <f>_xlfn.XLOOKUP(Results!A1294,Geometry!$B$6:$B$10000,Geometry!$C$6:$C$10000)</f>
        <v>0</v>
      </c>
      <c r="T1294" s="69"/>
      <c r="U1294" s="69"/>
    </row>
    <row r="1295" spans="19:21" ht="15" customHeight="1" x14ac:dyDescent="0.2">
      <c r="S1295" s="69">
        <f>_xlfn.XLOOKUP(Results!A1295,Geometry!$B$6:$B$10000,Geometry!$C$6:$C$10000)</f>
        <v>0</v>
      </c>
      <c r="T1295" s="69"/>
      <c r="U1295" s="69"/>
    </row>
    <row r="1296" spans="19:21" ht="15" customHeight="1" x14ac:dyDescent="0.2">
      <c r="S1296" s="69">
        <f>_xlfn.XLOOKUP(Results!A1296,Geometry!$B$6:$B$10000,Geometry!$C$6:$C$10000)</f>
        <v>0</v>
      </c>
      <c r="T1296" s="69"/>
      <c r="U1296" s="69"/>
    </row>
    <row r="1297" spans="19:21" ht="15" customHeight="1" x14ac:dyDescent="0.2">
      <c r="S1297" s="69">
        <f>_xlfn.XLOOKUP(Results!A1297,Geometry!$B$6:$B$10000,Geometry!$C$6:$C$10000)</f>
        <v>0</v>
      </c>
      <c r="T1297" s="69"/>
      <c r="U1297" s="69"/>
    </row>
    <row r="1298" spans="19:21" ht="15" customHeight="1" x14ac:dyDescent="0.2">
      <c r="S1298" s="69">
        <f>_xlfn.XLOOKUP(Results!A1298,Geometry!$B$6:$B$10000,Geometry!$C$6:$C$10000)</f>
        <v>0</v>
      </c>
      <c r="T1298" s="69"/>
      <c r="U1298" s="69"/>
    </row>
    <row r="1299" spans="19:21" ht="15" customHeight="1" x14ac:dyDescent="0.2">
      <c r="S1299" s="69">
        <f>_xlfn.XLOOKUP(Results!A1299,Geometry!$B$6:$B$10000,Geometry!$C$6:$C$10000)</f>
        <v>0</v>
      </c>
      <c r="T1299" s="69"/>
      <c r="U1299" s="69"/>
    </row>
    <row r="1300" spans="19:21" ht="15" customHeight="1" x14ac:dyDescent="0.2">
      <c r="S1300" s="69">
        <f>_xlfn.XLOOKUP(Results!A1300,Geometry!$B$6:$B$10000,Geometry!$C$6:$C$10000)</f>
        <v>0</v>
      </c>
      <c r="T1300" s="69"/>
      <c r="U1300" s="69"/>
    </row>
    <row r="1301" spans="19:21" ht="15" customHeight="1" x14ac:dyDescent="0.2">
      <c r="S1301" s="69">
        <f>_xlfn.XLOOKUP(Results!A1301,Geometry!$B$6:$B$10000,Geometry!$C$6:$C$10000)</f>
        <v>0</v>
      </c>
      <c r="T1301" s="69"/>
      <c r="U1301" s="69"/>
    </row>
    <row r="1302" spans="19:21" ht="15" customHeight="1" x14ac:dyDescent="0.2">
      <c r="S1302" s="69">
        <f>_xlfn.XLOOKUP(Results!A1302,Geometry!$B$6:$B$10000,Geometry!$C$6:$C$10000)</f>
        <v>0</v>
      </c>
      <c r="T1302" s="69"/>
      <c r="U1302" s="69"/>
    </row>
    <row r="1303" spans="19:21" ht="15" customHeight="1" x14ac:dyDescent="0.2">
      <c r="S1303" s="69">
        <f>_xlfn.XLOOKUP(Results!A1303,Geometry!$B$6:$B$10000,Geometry!$C$6:$C$10000)</f>
        <v>0</v>
      </c>
      <c r="T1303" s="69"/>
      <c r="U1303" s="69"/>
    </row>
    <row r="1304" spans="19:21" ht="15" customHeight="1" x14ac:dyDescent="0.2">
      <c r="S1304" s="69">
        <f>_xlfn.XLOOKUP(Results!A1304,Geometry!$B$6:$B$10000,Geometry!$C$6:$C$10000)</f>
        <v>0</v>
      </c>
      <c r="T1304" s="69"/>
      <c r="U1304" s="69"/>
    </row>
    <row r="1305" spans="19:21" ht="15" customHeight="1" x14ac:dyDescent="0.2">
      <c r="S1305" s="69">
        <f>_xlfn.XLOOKUP(Results!A1305,Geometry!$B$6:$B$10000,Geometry!$C$6:$C$10000)</f>
        <v>0</v>
      </c>
      <c r="T1305" s="69"/>
      <c r="U1305" s="69"/>
    </row>
    <row r="1306" spans="19:21" ht="15" customHeight="1" x14ac:dyDescent="0.2">
      <c r="S1306" s="69">
        <f>_xlfn.XLOOKUP(Results!A1306,Geometry!$B$6:$B$10000,Geometry!$C$6:$C$10000)</f>
        <v>0</v>
      </c>
      <c r="T1306" s="69"/>
      <c r="U1306" s="69"/>
    </row>
    <row r="1307" spans="19:21" ht="15" customHeight="1" x14ac:dyDescent="0.2">
      <c r="S1307" s="69">
        <f>_xlfn.XLOOKUP(Results!A1307,Geometry!$B$6:$B$10000,Geometry!$C$6:$C$10000)</f>
        <v>0</v>
      </c>
      <c r="T1307" s="69"/>
      <c r="U1307" s="69"/>
    </row>
    <row r="1308" spans="19:21" ht="15" customHeight="1" x14ac:dyDescent="0.2">
      <c r="S1308" s="69">
        <f>_xlfn.XLOOKUP(Results!A1308,Geometry!$B$6:$B$10000,Geometry!$C$6:$C$10000)</f>
        <v>0</v>
      </c>
      <c r="T1308" s="69"/>
      <c r="U1308" s="69"/>
    </row>
    <row r="1309" spans="19:21" ht="15" customHeight="1" x14ac:dyDescent="0.2">
      <c r="S1309" s="69">
        <f>_xlfn.XLOOKUP(Results!A1309,Geometry!$B$6:$B$10000,Geometry!$C$6:$C$10000)</f>
        <v>0</v>
      </c>
      <c r="T1309" s="69"/>
      <c r="U1309" s="69"/>
    </row>
    <row r="1310" spans="19:21" ht="15" customHeight="1" x14ac:dyDescent="0.2">
      <c r="S1310" s="69">
        <f>_xlfn.XLOOKUP(Results!A1310,Geometry!$B$6:$B$10000,Geometry!$C$6:$C$10000)</f>
        <v>0</v>
      </c>
      <c r="T1310" s="69"/>
      <c r="U1310" s="69"/>
    </row>
    <row r="1311" spans="19:21" ht="15" customHeight="1" x14ac:dyDescent="0.2">
      <c r="S1311" s="69">
        <f>_xlfn.XLOOKUP(Results!A1311,Geometry!$B$6:$B$10000,Geometry!$C$6:$C$10000)</f>
        <v>0</v>
      </c>
      <c r="T1311" s="69"/>
      <c r="U1311" s="69"/>
    </row>
    <row r="1312" spans="19:21" ht="15" customHeight="1" x14ac:dyDescent="0.2">
      <c r="S1312" s="69">
        <f>_xlfn.XLOOKUP(Results!A1312,Geometry!$B$6:$B$10000,Geometry!$C$6:$C$10000)</f>
        <v>0</v>
      </c>
      <c r="T1312" s="69"/>
      <c r="U1312" s="69"/>
    </row>
    <row r="1313" spans="19:21" ht="15" customHeight="1" x14ac:dyDescent="0.2">
      <c r="S1313" s="69">
        <f>_xlfn.XLOOKUP(Results!A1313,Geometry!$B$6:$B$10000,Geometry!$C$6:$C$10000)</f>
        <v>0</v>
      </c>
      <c r="T1313" s="69"/>
      <c r="U1313" s="69"/>
    </row>
    <row r="1314" spans="19:21" ht="15" customHeight="1" x14ac:dyDescent="0.2">
      <c r="S1314" s="69">
        <f>_xlfn.XLOOKUP(Results!A1314,Geometry!$B$6:$B$10000,Geometry!$C$6:$C$10000)</f>
        <v>0</v>
      </c>
      <c r="T1314" s="69"/>
      <c r="U1314" s="69"/>
    </row>
    <row r="1315" spans="19:21" ht="15" customHeight="1" x14ac:dyDescent="0.2">
      <c r="S1315" s="69">
        <f>_xlfn.XLOOKUP(Results!A1315,Geometry!$B$6:$B$10000,Geometry!$C$6:$C$10000)</f>
        <v>0</v>
      </c>
      <c r="T1315" s="69"/>
      <c r="U1315" s="69"/>
    </row>
    <row r="1316" spans="19:21" ht="15" customHeight="1" x14ac:dyDescent="0.2">
      <c r="S1316" s="69">
        <f>_xlfn.XLOOKUP(Results!A1316,Geometry!$B$6:$B$10000,Geometry!$C$6:$C$10000)</f>
        <v>0</v>
      </c>
      <c r="T1316" s="69"/>
      <c r="U1316" s="69"/>
    </row>
    <row r="1317" spans="19:21" ht="15" customHeight="1" x14ac:dyDescent="0.2">
      <c r="S1317" s="69">
        <f>_xlfn.XLOOKUP(Results!A1317,Geometry!$B$6:$B$10000,Geometry!$C$6:$C$10000)</f>
        <v>0</v>
      </c>
      <c r="T1317" s="69"/>
      <c r="U1317" s="69"/>
    </row>
    <row r="1318" spans="19:21" ht="15" customHeight="1" x14ac:dyDescent="0.2">
      <c r="S1318" s="69">
        <f>_xlfn.XLOOKUP(Results!A1318,Geometry!$B$6:$B$10000,Geometry!$C$6:$C$10000)</f>
        <v>0</v>
      </c>
      <c r="T1318" s="69"/>
      <c r="U1318" s="69"/>
    </row>
    <row r="1319" spans="19:21" ht="15" customHeight="1" x14ac:dyDescent="0.2">
      <c r="S1319" s="69">
        <f>_xlfn.XLOOKUP(Results!A1319,Geometry!$B$6:$B$10000,Geometry!$C$6:$C$10000)</f>
        <v>0</v>
      </c>
      <c r="T1319" s="69"/>
      <c r="U1319" s="69"/>
    </row>
    <row r="1320" spans="19:21" ht="15" customHeight="1" x14ac:dyDescent="0.2">
      <c r="S1320" s="69">
        <f>_xlfn.XLOOKUP(Results!A1320,Geometry!$B$6:$B$10000,Geometry!$C$6:$C$10000)</f>
        <v>0</v>
      </c>
      <c r="T1320" s="69"/>
      <c r="U1320" s="69"/>
    </row>
    <row r="1321" spans="19:21" ht="15" customHeight="1" x14ac:dyDescent="0.2">
      <c r="S1321" s="69">
        <f>_xlfn.XLOOKUP(Results!A1321,Geometry!$B$6:$B$10000,Geometry!$C$6:$C$10000)</f>
        <v>0</v>
      </c>
      <c r="T1321" s="69"/>
      <c r="U1321" s="69"/>
    </row>
    <row r="1322" spans="19:21" ht="15" customHeight="1" x14ac:dyDescent="0.2">
      <c r="S1322" s="69">
        <f>_xlfn.XLOOKUP(Results!A1322,Geometry!$B$6:$B$10000,Geometry!$C$6:$C$10000)</f>
        <v>0</v>
      </c>
      <c r="T1322" s="69"/>
      <c r="U1322" s="69"/>
    </row>
    <row r="1323" spans="19:21" ht="15" customHeight="1" x14ac:dyDescent="0.2">
      <c r="S1323" s="69">
        <f>_xlfn.XLOOKUP(Results!A1323,Geometry!$B$6:$B$10000,Geometry!$C$6:$C$10000)</f>
        <v>0</v>
      </c>
      <c r="T1323" s="69"/>
      <c r="U1323" s="69"/>
    </row>
    <row r="1324" spans="19:21" ht="15" customHeight="1" x14ac:dyDescent="0.2">
      <c r="S1324" s="69">
        <f>_xlfn.XLOOKUP(Results!A1324,Geometry!$B$6:$B$10000,Geometry!$C$6:$C$10000)</f>
        <v>0</v>
      </c>
      <c r="T1324" s="69"/>
      <c r="U1324" s="69"/>
    </row>
    <row r="1325" spans="19:21" ht="15" customHeight="1" x14ac:dyDescent="0.2">
      <c r="S1325" s="69">
        <f>_xlfn.XLOOKUP(Results!A1325,Geometry!$B$6:$B$10000,Geometry!$C$6:$C$10000)</f>
        <v>0</v>
      </c>
      <c r="T1325" s="69"/>
      <c r="U1325" s="69"/>
    </row>
    <row r="1326" spans="19:21" ht="15" customHeight="1" x14ac:dyDescent="0.2">
      <c r="S1326" s="69">
        <f>_xlfn.XLOOKUP(Results!A1326,Geometry!$B$6:$B$10000,Geometry!$C$6:$C$10000)</f>
        <v>0</v>
      </c>
      <c r="T1326" s="69"/>
      <c r="U1326" s="69"/>
    </row>
    <row r="1327" spans="19:21" ht="15" customHeight="1" x14ac:dyDescent="0.2">
      <c r="S1327" s="69">
        <f>_xlfn.XLOOKUP(Results!A1327,Geometry!$B$6:$B$10000,Geometry!$C$6:$C$10000)</f>
        <v>0</v>
      </c>
      <c r="T1327" s="69"/>
      <c r="U1327" s="69"/>
    </row>
    <row r="1328" spans="19:21" ht="15" customHeight="1" x14ac:dyDescent="0.2">
      <c r="S1328" s="69">
        <f>_xlfn.XLOOKUP(Results!A1328,Geometry!$B$6:$B$10000,Geometry!$C$6:$C$10000)</f>
        <v>0</v>
      </c>
      <c r="T1328" s="69"/>
      <c r="U1328" s="69"/>
    </row>
    <row r="1329" spans="19:21" ht="15" customHeight="1" x14ac:dyDescent="0.2">
      <c r="S1329" s="69">
        <f>_xlfn.XLOOKUP(Results!A1329,Geometry!$B$6:$B$10000,Geometry!$C$6:$C$10000)</f>
        <v>0</v>
      </c>
      <c r="T1329" s="69"/>
      <c r="U1329" s="69"/>
    </row>
    <row r="1330" spans="19:21" ht="15" customHeight="1" x14ac:dyDescent="0.2">
      <c r="S1330" s="69">
        <f>_xlfn.XLOOKUP(Results!A1330,Geometry!$B$6:$B$10000,Geometry!$C$6:$C$10000)</f>
        <v>0</v>
      </c>
      <c r="T1330" s="69"/>
      <c r="U1330" s="69"/>
    </row>
    <row r="1331" spans="19:21" ht="15" customHeight="1" x14ac:dyDescent="0.2">
      <c r="S1331" s="69">
        <f>_xlfn.XLOOKUP(Results!A1331,Geometry!$B$6:$B$10000,Geometry!$C$6:$C$10000)</f>
        <v>0</v>
      </c>
      <c r="T1331" s="69"/>
      <c r="U1331" s="69"/>
    </row>
    <row r="1332" spans="19:21" ht="15" customHeight="1" x14ac:dyDescent="0.2">
      <c r="S1332" s="69">
        <f>_xlfn.XLOOKUP(Results!A1332,Geometry!$B$6:$B$10000,Geometry!$C$6:$C$10000)</f>
        <v>0</v>
      </c>
      <c r="T1332" s="69"/>
      <c r="U1332" s="69"/>
    </row>
    <row r="1333" spans="19:21" ht="15" customHeight="1" x14ac:dyDescent="0.2">
      <c r="S1333" s="69">
        <f>_xlfn.XLOOKUP(Results!A1333,Geometry!$B$6:$B$10000,Geometry!$C$6:$C$10000)</f>
        <v>0</v>
      </c>
      <c r="T1333" s="69"/>
      <c r="U1333" s="69"/>
    </row>
    <row r="1334" spans="19:21" ht="15" customHeight="1" x14ac:dyDescent="0.2">
      <c r="S1334" s="69">
        <f>_xlfn.XLOOKUP(Results!A1334,Geometry!$B$6:$B$10000,Geometry!$C$6:$C$10000)</f>
        <v>0</v>
      </c>
      <c r="T1334" s="69"/>
      <c r="U1334" s="69"/>
    </row>
    <row r="1335" spans="19:21" ht="15" customHeight="1" x14ac:dyDescent="0.2">
      <c r="S1335" s="69">
        <f>_xlfn.XLOOKUP(Results!A1335,Geometry!$B$6:$B$10000,Geometry!$C$6:$C$10000)</f>
        <v>0</v>
      </c>
      <c r="T1335" s="69"/>
      <c r="U1335" s="69"/>
    </row>
    <row r="1336" spans="19:21" ht="15" customHeight="1" x14ac:dyDescent="0.2">
      <c r="S1336" s="69">
        <f>_xlfn.XLOOKUP(Results!A1336,Geometry!$B$6:$B$10000,Geometry!$C$6:$C$10000)</f>
        <v>0</v>
      </c>
      <c r="T1336" s="69"/>
      <c r="U1336" s="69"/>
    </row>
    <row r="1337" spans="19:21" ht="15" customHeight="1" x14ac:dyDescent="0.2">
      <c r="S1337" s="69">
        <f>_xlfn.XLOOKUP(Results!A1337,Geometry!$B$6:$B$10000,Geometry!$C$6:$C$10000)</f>
        <v>0</v>
      </c>
      <c r="T1337" s="69"/>
      <c r="U1337" s="69"/>
    </row>
    <row r="1338" spans="19:21" ht="15" customHeight="1" x14ac:dyDescent="0.2">
      <c r="S1338" s="69">
        <f>_xlfn.XLOOKUP(Results!A1338,Geometry!$B$6:$B$10000,Geometry!$C$6:$C$10000)</f>
        <v>0</v>
      </c>
      <c r="T1338" s="69"/>
      <c r="U1338" s="69"/>
    </row>
    <row r="1339" spans="19:21" ht="15" customHeight="1" x14ac:dyDescent="0.2">
      <c r="S1339" s="69">
        <f>_xlfn.XLOOKUP(Results!A1339,Geometry!$B$6:$B$10000,Geometry!$C$6:$C$10000)</f>
        <v>0</v>
      </c>
      <c r="T1339" s="69"/>
      <c r="U1339" s="69"/>
    </row>
    <row r="1340" spans="19:21" ht="15" customHeight="1" x14ac:dyDescent="0.2">
      <c r="S1340" s="69">
        <f>_xlfn.XLOOKUP(Results!A1340,Geometry!$B$6:$B$10000,Geometry!$C$6:$C$10000)</f>
        <v>0</v>
      </c>
      <c r="T1340" s="69"/>
      <c r="U1340" s="69"/>
    </row>
    <row r="1341" spans="19:21" ht="15" customHeight="1" x14ac:dyDescent="0.2">
      <c r="S1341" s="69">
        <f>_xlfn.XLOOKUP(Results!A1341,Geometry!$B$6:$B$10000,Geometry!$C$6:$C$10000)</f>
        <v>0</v>
      </c>
      <c r="T1341" s="69"/>
      <c r="U1341" s="69"/>
    </row>
    <row r="1342" spans="19:21" ht="15" customHeight="1" x14ac:dyDescent="0.2">
      <c r="S1342" s="69">
        <f>_xlfn.XLOOKUP(Results!A1342,Geometry!$B$6:$B$10000,Geometry!$C$6:$C$10000)</f>
        <v>0</v>
      </c>
      <c r="T1342" s="69"/>
      <c r="U1342" s="69"/>
    </row>
    <row r="1343" spans="19:21" ht="15" customHeight="1" x14ac:dyDescent="0.2">
      <c r="S1343" s="69">
        <f>_xlfn.XLOOKUP(Results!A1343,Geometry!$B$6:$B$10000,Geometry!$C$6:$C$10000)</f>
        <v>0</v>
      </c>
      <c r="T1343" s="69"/>
      <c r="U1343" s="69"/>
    </row>
    <row r="1344" spans="19:21" ht="15" customHeight="1" x14ac:dyDescent="0.2">
      <c r="S1344" s="69">
        <f>_xlfn.XLOOKUP(Results!A1344,Geometry!$B$6:$B$10000,Geometry!$C$6:$C$10000)</f>
        <v>0</v>
      </c>
      <c r="T1344" s="69"/>
      <c r="U1344" s="69"/>
    </row>
    <row r="1345" spans="19:21" ht="15" customHeight="1" x14ac:dyDescent="0.2">
      <c r="S1345" s="69">
        <f>_xlfn.XLOOKUP(Results!A1345,Geometry!$B$6:$B$10000,Geometry!$C$6:$C$10000)</f>
        <v>0</v>
      </c>
      <c r="T1345" s="69"/>
      <c r="U1345" s="69"/>
    </row>
    <row r="1346" spans="19:21" ht="15" customHeight="1" x14ac:dyDescent="0.2">
      <c r="S1346" s="69">
        <f>_xlfn.XLOOKUP(Results!A1346,Geometry!$B$6:$B$10000,Geometry!$C$6:$C$10000)</f>
        <v>0</v>
      </c>
      <c r="T1346" s="69"/>
      <c r="U1346" s="69"/>
    </row>
    <row r="1347" spans="19:21" ht="15" customHeight="1" x14ac:dyDescent="0.2">
      <c r="S1347" s="69">
        <f>_xlfn.XLOOKUP(Results!A1347,Geometry!$B$6:$B$10000,Geometry!$C$6:$C$10000)</f>
        <v>0</v>
      </c>
      <c r="T1347" s="69"/>
      <c r="U1347" s="69"/>
    </row>
    <row r="1348" spans="19:21" ht="15" customHeight="1" x14ac:dyDescent="0.2">
      <c r="S1348" s="69">
        <f>_xlfn.XLOOKUP(Results!A1348,Geometry!$B$6:$B$10000,Geometry!$C$6:$C$10000)</f>
        <v>0</v>
      </c>
      <c r="T1348" s="69"/>
      <c r="U1348" s="69"/>
    </row>
    <row r="1349" spans="19:21" ht="15" customHeight="1" x14ac:dyDescent="0.2">
      <c r="S1349" s="69">
        <f>_xlfn.XLOOKUP(Results!A1349,Geometry!$B$6:$B$10000,Geometry!$C$6:$C$10000)</f>
        <v>0</v>
      </c>
      <c r="T1349" s="69"/>
      <c r="U1349" s="69"/>
    </row>
    <row r="1350" spans="19:21" ht="15" customHeight="1" x14ac:dyDescent="0.2">
      <c r="S1350" s="69">
        <f>_xlfn.XLOOKUP(Results!A1350,Geometry!$B$6:$B$10000,Geometry!$C$6:$C$10000)</f>
        <v>0</v>
      </c>
      <c r="T1350" s="69"/>
      <c r="U1350" s="69"/>
    </row>
    <row r="1351" spans="19:21" ht="15" customHeight="1" x14ac:dyDescent="0.2">
      <c r="S1351" s="69">
        <f>_xlfn.XLOOKUP(Results!A1351,Geometry!$B$6:$B$10000,Geometry!$C$6:$C$10000)</f>
        <v>0</v>
      </c>
      <c r="T1351" s="69"/>
      <c r="U1351" s="69"/>
    </row>
    <row r="1352" spans="19:21" ht="15" customHeight="1" x14ac:dyDescent="0.2">
      <c r="S1352" s="69">
        <f>_xlfn.XLOOKUP(Results!A1352,Geometry!$B$6:$B$10000,Geometry!$C$6:$C$10000)</f>
        <v>0</v>
      </c>
      <c r="T1352" s="69"/>
      <c r="U1352" s="69"/>
    </row>
    <row r="1353" spans="19:21" ht="15" customHeight="1" x14ac:dyDescent="0.2">
      <c r="S1353" s="69">
        <f>_xlfn.XLOOKUP(Results!A1353,Geometry!$B$6:$B$10000,Geometry!$C$6:$C$10000)</f>
        <v>0</v>
      </c>
      <c r="T1353" s="69"/>
      <c r="U1353" s="69"/>
    </row>
    <row r="1354" spans="19:21" ht="15" customHeight="1" x14ac:dyDescent="0.2">
      <c r="S1354" s="69">
        <f>_xlfn.XLOOKUP(Results!A1354,Geometry!$B$6:$B$10000,Geometry!$C$6:$C$10000)</f>
        <v>0</v>
      </c>
      <c r="T1354" s="69"/>
      <c r="U1354" s="69"/>
    </row>
    <row r="1355" spans="19:21" ht="15" customHeight="1" x14ac:dyDescent="0.2">
      <c r="S1355" s="69">
        <f>_xlfn.XLOOKUP(Results!A1355,Geometry!$B$6:$B$10000,Geometry!$C$6:$C$10000)</f>
        <v>0</v>
      </c>
      <c r="T1355" s="69"/>
      <c r="U1355" s="69"/>
    </row>
    <row r="1356" spans="19:21" ht="15" customHeight="1" x14ac:dyDescent="0.2">
      <c r="S1356" s="69">
        <f>_xlfn.XLOOKUP(Results!A1356,Geometry!$B$6:$B$10000,Geometry!$C$6:$C$10000)</f>
        <v>0</v>
      </c>
      <c r="T1356" s="69"/>
      <c r="U1356" s="69"/>
    </row>
    <row r="1357" spans="19:21" ht="15" customHeight="1" x14ac:dyDescent="0.2">
      <c r="S1357" s="69">
        <f>_xlfn.XLOOKUP(Results!A1357,Geometry!$B$6:$B$10000,Geometry!$C$6:$C$10000)</f>
        <v>0</v>
      </c>
      <c r="T1357" s="69"/>
      <c r="U1357" s="69"/>
    </row>
    <row r="1358" spans="19:21" ht="15" customHeight="1" x14ac:dyDescent="0.2">
      <c r="S1358" s="69">
        <f>_xlfn.XLOOKUP(Results!A1358,Geometry!$B$6:$B$10000,Geometry!$C$6:$C$10000)</f>
        <v>0</v>
      </c>
      <c r="T1358" s="69"/>
      <c r="U1358" s="69"/>
    </row>
    <row r="1359" spans="19:21" ht="15" customHeight="1" x14ac:dyDescent="0.2">
      <c r="S1359" s="69">
        <f>_xlfn.XLOOKUP(Results!A1359,Geometry!$B$6:$B$10000,Geometry!$C$6:$C$10000)</f>
        <v>0</v>
      </c>
      <c r="T1359" s="69"/>
      <c r="U1359" s="69"/>
    </row>
    <row r="1360" spans="19:21" ht="15" customHeight="1" x14ac:dyDescent="0.2">
      <c r="S1360" s="69">
        <f>_xlfn.XLOOKUP(Results!A1360,Geometry!$B$6:$B$10000,Geometry!$C$6:$C$10000)</f>
        <v>0</v>
      </c>
      <c r="T1360" s="69"/>
      <c r="U1360" s="69"/>
    </row>
    <row r="1361" spans="19:21" ht="15" customHeight="1" x14ac:dyDescent="0.2">
      <c r="S1361" s="69">
        <f>_xlfn.XLOOKUP(Results!A1361,Geometry!$B$6:$B$10000,Geometry!$C$6:$C$10000)</f>
        <v>0</v>
      </c>
      <c r="T1361" s="69"/>
      <c r="U1361" s="69"/>
    </row>
    <row r="1362" spans="19:21" ht="15" customHeight="1" x14ac:dyDescent="0.2">
      <c r="S1362" s="69">
        <f>_xlfn.XLOOKUP(Results!A1362,Geometry!$B$6:$B$10000,Geometry!$C$6:$C$10000)</f>
        <v>0</v>
      </c>
      <c r="T1362" s="69"/>
      <c r="U1362" s="69"/>
    </row>
    <row r="1363" spans="19:21" ht="15" customHeight="1" x14ac:dyDescent="0.2">
      <c r="S1363" s="69">
        <f>_xlfn.XLOOKUP(Results!A1363,Geometry!$B$6:$B$10000,Geometry!$C$6:$C$10000)</f>
        <v>0</v>
      </c>
      <c r="T1363" s="69"/>
      <c r="U1363" s="69"/>
    </row>
    <row r="1364" spans="19:21" ht="15" customHeight="1" x14ac:dyDescent="0.2">
      <c r="S1364" s="69">
        <f>_xlfn.XLOOKUP(Results!A1364,Geometry!$B$6:$B$10000,Geometry!$C$6:$C$10000)</f>
        <v>0</v>
      </c>
      <c r="T1364" s="69"/>
      <c r="U1364" s="69"/>
    </row>
    <row r="1365" spans="19:21" ht="15" customHeight="1" x14ac:dyDescent="0.2">
      <c r="S1365" s="69">
        <f>_xlfn.XLOOKUP(Results!A1365,Geometry!$B$6:$B$10000,Geometry!$C$6:$C$10000)</f>
        <v>0</v>
      </c>
      <c r="T1365" s="69"/>
      <c r="U1365" s="69"/>
    </row>
    <row r="1366" spans="19:21" ht="15" customHeight="1" x14ac:dyDescent="0.2">
      <c r="S1366" s="69">
        <f>_xlfn.XLOOKUP(Results!A1366,Geometry!$B$6:$B$10000,Geometry!$C$6:$C$10000)</f>
        <v>0</v>
      </c>
      <c r="T1366" s="69"/>
      <c r="U1366" s="69"/>
    </row>
    <row r="1367" spans="19:21" ht="15" customHeight="1" x14ac:dyDescent="0.2">
      <c r="S1367" s="69">
        <f>_xlfn.XLOOKUP(Results!A1367,Geometry!$B$6:$B$10000,Geometry!$C$6:$C$10000)</f>
        <v>0</v>
      </c>
      <c r="T1367" s="69"/>
      <c r="U1367" s="69"/>
    </row>
    <row r="1368" spans="19:21" ht="15" customHeight="1" x14ac:dyDescent="0.2">
      <c r="S1368" s="69">
        <f>_xlfn.XLOOKUP(Results!A1368,Geometry!$B$6:$B$10000,Geometry!$C$6:$C$10000)</f>
        <v>0</v>
      </c>
      <c r="T1368" s="69"/>
      <c r="U1368" s="69"/>
    </row>
    <row r="1369" spans="19:21" ht="15" customHeight="1" x14ac:dyDescent="0.2">
      <c r="S1369" s="69">
        <f>_xlfn.XLOOKUP(Results!A1369,Geometry!$B$6:$B$10000,Geometry!$C$6:$C$10000)</f>
        <v>0</v>
      </c>
      <c r="T1369" s="69"/>
      <c r="U1369" s="69"/>
    </row>
    <row r="1370" spans="19:21" ht="15" customHeight="1" x14ac:dyDescent="0.2">
      <c r="S1370" s="69">
        <f>_xlfn.XLOOKUP(Results!A1370,Geometry!$B$6:$B$10000,Geometry!$C$6:$C$10000)</f>
        <v>0</v>
      </c>
      <c r="T1370" s="69"/>
      <c r="U1370" s="69"/>
    </row>
    <row r="1371" spans="19:21" ht="15" customHeight="1" x14ac:dyDescent="0.2">
      <c r="S1371" s="69">
        <f>_xlfn.XLOOKUP(Results!A1371,Geometry!$B$6:$B$10000,Geometry!$C$6:$C$10000)</f>
        <v>0</v>
      </c>
      <c r="T1371" s="69"/>
      <c r="U1371" s="69"/>
    </row>
    <row r="1372" spans="19:21" ht="15" customHeight="1" x14ac:dyDescent="0.2">
      <c r="S1372" s="69">
        <f>_xlfn.XLOOKUP(Results!A1372,Geometry!$B$6:$B$10000,Geometry!$C$6:$C$10000)</f>
        <v>0</v>
      </c>
      <c r="T1372" s="69"/>
      <c r="U1372" s="69"/>
    </row>
    <row r="1373" spans="19:21" ht="15" customHeight="1" x14ac:dyDescent="0.2">
      <c r="S1373" s="69">
        <f>_xlfn.XLOOKUP(Results!A1373,Geometry!$B$6:$B$10000,Geometry!$C$6:$C$10000)</f>
        <v>0</v>
      </c>
      <c r="T1373" s="69"/>
      <c r="U1373" s="69"/>
    </row>
    <row r="1374" spans="19:21" ht="15" customHeight="1" x14ac:dyDescent="0.2">
      <c r="S1374" s="69">
        <f>_xlfn.XLOOKUP(Results!A1374,Geometry!$B$6:$B$10000,Geometry!$C$6:$C$10000)</f>
        <v>0</v>
      </c>
      <c r="T1374" s="69"/>
      <c r="U1374" s="69"/>
    </row>
    <row r="1375" spans="19:21" ht="15" customHeight="1" x14ac:dyDescent="0.2">
      <c r="S1375" s="69">
        <f>_xlfn.XLOOKUP(Results!A1375,Geometry!$B$6:$B$10000,Geometry!$C$6:$C$10000)</f>
        <v>0</v>
      </c>
      <c r="T1375" s="69"/>
      <c r="U1375" s="69"/>
    </row>
    <row r="1376" spans="19:21" ht="15" customHeight="1" x14ac:dyDescent="0.2">
      <c r="S1376" s="69">
        <f>_xlfn.XLOOKUP(Results!A1376,Geometry!$B$6:$B$10000,Geometry!$C$6:$C$10000)</f>
        <v>0</v>
      </c>
      <c r="T1376" s="69"/>
      <c r="U1376" s="69"/>
    </row>
    <row r="1377" spans="19:21" ht="15" customHeight="1" x14ac:dyDescent="0.2">
      <c r="S1377" s="69">
        <f>_xlfn.XLOOKUP(Results!A1377,Geometry!$B$6:$B$10000,Geometry!$C$6:$C$10000)</f>
        <v>0</v>
      </c>
      <c r="T1377" s="69"/>
      <c r="U1377" s="69"/>
    </row>
    <row r="1378" spans="19:21" ht="15" customHeight="1" x14ac:dyDescent="0.2">
      <c r="S1378" s="69">
        <f>_xlfn.XLOOKUP(Results!A1378,Geometry!$B$6:$B$10000,Geometry!$C$6:$C$10000)</f>
        <v>0</v>
      </c>
      <c r="T1378" s="69"/>
      <c r="U1378" s="69"/>
    </row>
    <row r="1379" spans="19:21" ht="15" customHeight="1" x14ac:dyDescent="0.2">
      <c r="S1379" s="69">
        <f>_xlfn.XLOOKUP(Results!A1379,Geometry!$B$6:$B$10000,Geometry!$C$6:$C$10000)</f>
        <v>0</v>
      </c>
      <c r="T1379" s="69"/>
      <c r="U1379" s="69"/>
    </row>
    <row r="1380" spans="19:21" ht="15" customHeight="1" x14ac:dyDescent="0.2">
      <c r="S1380" s="69">
        <f>_xlfn.XLOOKUP(Results!A1380,Geometry!$B$6:$B$10000,Geometry!$C$6:$C$10000)</f>
        <v>0</v>
      </c>
      <c r="T1380" s="69"/>
      <c r="U1380" s="69"/>
    </row>
    <row r="1381" spans="19:21" ht="15" customHeight="1" x14ac:dyDescent="0.2">
      <c r="S1381" s="69">
        <f>_xlfn.XLOOKUP(Results!A1381,Geometry!$B$6:$B$10000,Geometry!$C$6:$C$10000)</f>
        <v>0</v>
      </c>
      <c r="T1381" s="69"/>
      <c r="U1381" s="69"/>
    </row>
    <row r="1382" spans="19:21" ht="15" customHeight="1" x14ac:dyDescent="0.2">
      <c r="S1382" s="69">
        <f>_xlfn.XLOOKUP(Results!A1382,Geometry!$B$6:$B$10000,Geometry!$C$6:$C$10000)</f>
        <v>0</v>
      </c>
      <c r="T1382" s="69"/>
      <c r="U1382" s="69"/>
    </row>
    <row r="1383" spans="19:21" ht="15" customHeight="1" x14ac:dyDescent="0.2">
      <c r="S1383" s="69">
        <f>_xlfn.XLOOKUP(Results!A1383,Geometry!$B$6:$B$10000,Geometry!$C$6:$C$10000)</f>
        <v>0</v>
      </c>
      <c r="T1383" s="69"/>
      <c r="U1383" s="69"/>
    </row>
    <row r="1384" spans="19:21" ht="15" customHeight="1" x14ac:dyDescent="0.2">
      <c r="S1384" s="69">
        <f>_xlfn.XLOOKUP(Results!A1384,Geometry!$B$6:$B$10000,Geometry!$C$6:$C$10000)</f>
        <v>0</v>
      </c>
      <c r="T1384" s="69"/>
      <c r="U1384" s="69"/>
    </row>
    <row r="1385" spans="19:21" ht="15" customHeight="1" x14ac:dyDescent="0.2">
      <c r="S1385" s="69">
        <f>_xlfn.XLOOKUP(Results!A1385,Geometry!$B$6:$B$10000,Geometry!$C$6:$C$10000)</f>
        <v>0</v>
      </c>
      <c r="T1385" s="69"/>
      <c r="U1385" s="69"/>
    </row>
    <row r="1386" spans="19:21" ht="15" customHeight="1" x14ac:dyDescent="0.2">
      <c r="S1386" s="69">
        <f>_xlfn.XLOOKUP(Results!A1386,Geometry!$B$6:$B$10000,Geometry!$C$6:$C$10000)</f>
        <v>0</v>
      </c>
      <c r="T1386" s="69"/>
      <c r="U1386" s="69"/>
    </row>
    <row r="1387" spans="19:21" ht="15" customHeight="1" x14ac:dyDescent="0.2">
      <c r="S1387" s="69">
        <f>_xlfn.XLOOKUP(Results!A1387,Geometry!$B$6:$B$10000,Geometry!$C$6:$C$10000)</f>
        <v>0</v>
      </c>
      <c r="T1387" s="69"/>
      <c r="U1387" s="69"/>
    </row>
    <row r="1388" spans="19:21" ht="15" customHeight="1" x14ac:dyDescent="0.2">
      <c r="S1388" s="69">
        <f>_xlfn.XLOOKUP(Results!A1388,Geometry!$B$6:$B$10000,Geometry!$C$6:$C$10000)</f>
        <v>0</v>
      </c>
      <c r="T1388" s="69"/>
      <c r="U1388" s="69"/>
    </row>
    <row r="1389" spans="19:21" ht="15" customHeight="1" x14ac:dyDescent="0.2">
      <c r="S1389" s="69">
        <f>_xlfn.XLOOKUP(Results!A1389,Geometry!$B$6:$B$10000,Geometry!$C$6:$C$10000)</f>
        <v>0</v>
      </c>
      <c r="T1389" s="69"/>
      <c r="U1389" s="69"/>
    </row>
    <row r="1390" spans="19:21" ht="15" customHeight="1" x14ac:dyDescent="0.2">
      <c r="S1390" s="69">
        <f>_xlfn.XLOOKUP(Results!A1390,Geometry!$B$6:$B$10000,Geometry!$C$6:$C$10000)</f>
        <v>0</v>
      </c>
      <c r="T1390" s="69"/>
      <c r="U1390" s="69"/>
    </row>
    <row r="1391" spans="19:21" ht="15" customHeight="1" x14ac:dyDescent="0.2">
      <c r="S1391" s="69">
        <f>_xlfn.XLOOKUP(Results!A1391,Geometry!$B$6:$B$10000,Geometry!$C$6:$C$10000)</f>
        <v>0</v>
      </c>
      <c r="T1391" s="69"/>
      <c r="U1391" s="69"/>
    </row>
    <row r="1392" spans="19:21" ht="15" customHeight="1" x14ac:dyDescent="0.2">
      <c r="S1392" s="69">
        <f>_xlfn.XLOOKUP(Results!A1392,Geometry!$B$6:$B$10000,Geometry!$C$6:$C$10000)</f>
        <v>0</v>
      </c>
      <c r="T1392" s="69"/>
      <c r="U1392" s="69"/>
    </row>
    <row r="1393" spans="19:21" ht="15" customHeight="1" x14ac:dyDescent="0.2">
      <c r="S1393" s="69">
        <f>_xlfn.XLOOKUP(Results!A1393,Geometry!$B$6:$B$10000,Geometry!$C$6:$C$10000)</f>
        <v>0</v>
      </c>
      <c r="T1393" s="69"/>
      <c r="U1393" s="69"/>
    </row>
    <row r="1394" spans="19:21" ht="15" customHeight="1" x14ac:dyDescent="0.2">
      <c r="S1394" s="69">
        <f>_xlfn.XLOOKUP(Results!A1394,Geometry!$B$6:$B$10000,Geometry!$C$6:$C$10000)</f>
        <v>0</v>
      </c>
      <c r="T1394" s="69"/>
      <c r="U1394" s="69"/>
    </row>
    <row r="1395" spans="19:21" ht="15" customHeight="1" x14ac:dyDescent="0.2">
      <c r="S1395" s="69">
        <f>_xlfn.XLOOKUP(Results!A1395,Geometry!$B$6:$B$10000,Geometry!$C$6:$C$10000)</f>
        <v>0</v>
      </c>
      <c r="T1395" s="69"/>
      <c r="U1395" s="69"/>
    </row>
    <row r="1396" spans="19:21" ht="15" customHeight="1" x14ac:dyDescent="0.2">
      <c r="S1396" s="69">
        <f>_xlfn.XLOOKUP(Results!A1396,Geometry!$B$6:$B$10000,Geometry!$C$6:$C$10000)</f>
        <v>0</v>
      </c>
      <c r="T1396" s="69"/>
      <c r="U1396" s="69"/>
    </row>
    <row r="1397" spans="19:21" ht="15" customHeight="1" x14ac:dyDescent="0.2">
      <c r="S1397" s="69">
        <f>_xlfn.XLOOKUP(Results!A1397,Geometry!$B$6:$B$10000,Geometry!$C$6:$C$10000)</f>
        <v>0</v>
      </c>
      <c r="T1397" s="69"/>
      <c r="U1397" s="69"/>
    </row>
    <row r="1398" spans="19:21" ht="15" customHeight="1" x14ac:dyDescent="0.2">
      <c r="S1398" s="69">
        <f>_xlfn.XLOOKUP(Results!A1398,Geometry!$B$6:$B$10000,Geometry!$C$6:$C$10000)</f>
        <v>0</v>
      </c>
      <c r="T1398" s="69"/>
      <c r="U1398" s="69"/>
    </row>
    <row r="1399" spans="19:21" ht="15" customHeight="1" x14ac:dyDescent="0.2">
      <c r="S1399" s="69">
        <f>_xlfn.XLOOKUP(Results!A1399,Geometry!$B$6:$B$10000,Geometry!$C$6:$C$10000)</f>
        <v>0</v>
      </c>
      <c r="T1399" s="69"/>
      <c r="U1399" s="69"/>
    </row>
    <row r="1400" spans="19:21" ht="15" customHeight="1" x14ac:dyDescent="0.2">
      <c r="S1400" s="69">
        <f>_xlfn.XLOOKUP(Results!A1400,Geometry!$B$6:$B$10000,Geometry!$C$6:$C$10000)</f>
        <v>0</v>
      </c>
      <c r="T1400" s="69"/>
      <c r="U1400" s="69"/>
    </row>
    <row r="1401" spans="19:21" ht="15" customHeight="1" x14ac:dyDescent="0.2">
      <c r="S1401" s="69">
        <f>_xlfn.XLOOKUP(Results!A1401,Geometry!$B$6:$B$10000,Geometry!$C$6:$C$10000)</f>
        <v>0</v>
      </c>
      <c r="T1401" s="69"/>
      <c r="U1401" s="69"/>
    </row>
    <row r="1402" spans="19:21" ht="15" customHeight="1" x14ac:dyDescent="0.2">
      <c r="S1402" s="69">
        <f>_xlfn.XLOOKUP(Results!A1402,Geometry!$B$6:$B$10000,Geometry!$C$6:$C$10000)</f>
        <v>0</v>
      </c>
      <c r="T1402" s="69"/>
      <c r="U1402" s="69"/>
    </row>
    <row r="1403" spans="19:21" ht="15" customHeight="1" x14ac:dyDescent="0.2">
      <c r="S1403" s="69">
        <f>_xlfn.XLOOKUP(Results!A1403,Geometry!$B$6:$B$10000,Geometry!$C$6:$C$10000)</f>
        <v>0</v>
      </c>
      <c r="T1403" s="69"/>
      <c r="U1403" s="69"/>
    </row>
    <row r="1404" spans="19:21" ht="15" customHeight="1" x14ac:dyDescent="0.2">
      <c r="S1404" s="69">
        <f>_xlfn.XLOOKUP(Results!A1404,Geometry!$B$6:$B$10000,Geometry!$C$6:$C$10000)</f>
        <v>0</v>
      </c>
      <c r="T1404" s="69"/>
      <c r="U1404" s="69"/>
    </row>
    <row r="1405" spans="19:21" ht="15" customHeight="1" x14ac:dyDescent="0.2">
      <c r="S1405" s="69">
        <f>_xlfn.XLOOKUP(Results!A1405,Geometry!$B$6:$B$10000,Geometry!$C$6:$C$10000)</f>
        <v>0</v>
      </c>
      <c r="T1405" s="69"/>
      <c r="U1405" s="69"/>
    </row>
    <row r="1406" spans="19:21" ht="15" customHeight="1" x14ac:dyDescent="0.2">
      <c r="S1406" s="69">
        <f>_xlfn.XLOOKUP(Results!A1406,Geometry!$B$6:$B$10000,Geometry!$C$6:$C$10000)</f>
        <v>0</v>
      </c>
      <c r="T1406" s="69"/>
      <c r="U1406" s="69"/>
    </row>
    <row r="1407" spans="19:21" ht="15" customHeight="1" x14ac:dyDescent="0.2">
      <c r="S1407" s="69">
        <f>_xlfn.XLOOKUP(Results!A1407,Geometry!$B$6:$B$10000,Geometry!$C$6:$C$10000)</f>
        <v>0</v>
      </c>
      <c r="T1407" s="69"/>
      <c r="U1407" s="69"/>
    </row>
    <row r="1408" spans="19:21" ht="15" customHeight="1" x14ac:dyDescent="0.2">
      <c r="S1408" s="69">
        <f>_xlfn.XLOOKUP(Results!A1408,Geometry!$B$6:$B$10000,Geometry!$C$6:$C$10000)</f>
        <v>0</v>
      </c>
      <c r="T1408" s="69"/>
      <c r="U1408" s="69"/>
    </row>
    <row r="1409" spans="19:21" ht="15" customHeight="1" x14ac:dyDescent="0.2">
      <c r="S1409" s="69">
        <f>_xlfn.XLOOKUP(Results!A1409,Geometry!$B$6:$B$10000,Geometry!$C$6:$C$10000)</f>
        <v>0</v>
      </c>
      <c r="T1409" s="69"/>
      <c r="U1409" s="69"/>
    </row>
    <row r="1410" spans="19:21" ht="15" customHeight="1" x14ac:dyDescent="0.2">
      <c r="S1410" s="69">
        <f>_xlfn.XLOOKUP(Results!A1410,Geometry!$B$6:$B$10000,Geometry!$C$6:$C$10000)</f>
        <v>0</v>
      </c>
      <c r="T1410" s="69"/>
      <c r="U1410" s="69"/>
    </row>
    <row r="1411" spans="19:21" ht="15" customHeight="1" x14ac:dyDescent="0.2">
      <c r="S1411" s="69">
        <f>_xlfn.XLOOKUP(Results!A1411,Geometry!$B$6:$B$10000,Geometry!$C$6:$C$10000)</f>
        <v>0</v>
      </c>
      <c r="T1411" s="69"/>
      <c r="U1411" s="69"/>
    </row>
    <row r="1412" spans="19:21" ht="15" customHeight="1" x14ac:dyDescent="0.2">
      <c r="S1412" s="69">
        <f>_xlfn.XLOOKUP(Results!A1412,Geometry!$B$6:$B$10000,Geometry!$C$6:$C$10000)</f>
        <v>0</v>
      </c>
      <c r="T1412" s="69"/>
      <c r="U1412" s="69"/>
    </row>
    <row r="1413" spans="19:21" ht="15" customHeight="1" x14ac:dyDescent="0.2">
      <c r="S1413" s="69">
        <f>_xlfn.XLOOKUP(Results!A1413,Geometry!$B$6:$B$10000,Geometry!$C$6:$C$10000)</f>
        <v>0</v>
      </c>
      <c r="T1413" s="69"/>
      <c r="U1413" s="69"/>
    </row>
    <row r="1414" spans="19:21" ht="15" customHeight="1" x14ac:dyDescent="0.2">
      <c r="S1414" s="69">
        <f>_xlfn.XLOOKUP(Results!A1414,Geometry!$B$6:$B$10000,Geometry!$C$6:$C$10000)</f>
        <v>0</v>
      </c>
      <c r="T1414" s="69"/>
      <c r="U1414" s="69"/>
    </row>
    <row r="1415" spans="19:21" ht="15" customHeight="1" x14ac:dyDescent="0.2">
      <c r="S1415" s="69">
        <f>_xlfn.XLOOKUP(Results!A1415,Geometry!$B$6:$B$10000,Geometry!$C$6:$C$10000)</f>
        <v>0</v>
      </c>
      <c r="T1415" s="69"/>
      <c r="U1415" s="69"/>
    </row>
    <row r="1416" spans="19:21" ht="15" customHeight="1" x14ac:dyDescent="0.2">
      <c r="S1416" s="69">
        <f>_xlfn.XLOOKUP(Results!A1416,Geometry!$B$6:$B$10000,Geometry!$C$6:$C$10000)</f>
        <v>0</v>
      </c>
      <c r="T1416" s="69"/>
      <c r="U1416" s="69"/>
    </row>
    <row r="1417" spans="19:21" ht="15" customHeight="1" x14ac:dyDescent="0.2">
      <c r="S1417" s="69">
        <f>_xlfn.XLOOKUP(Results!A1417,Geometry!$B$6:$B$10000,Geometry!$C$6:$C$10000)</f>
        <v>0</v>
      </c>
      <c r="T1417" s="69"/>
      <c r="U1417" s="69"/>
    </row>
    <row r="1418" spans="19:21" ht="15" customHeight="1" x14ac:dyDescent="0.2">
      <c r="S1418" s="69">
        <f>_xlfn.XLOOKUP(Results!A1418,Geometry!$B$6:$B$10000,Geometry!$C$6:$C$10000)</f>
        <v>0</v>
      </c>
      <c r="T1418" s="69"/>
      <c r="U1418" s="69"/>
    </row>
    <row r="1419" spans="19:21" ht="15" customHeight="1" x14ac:dyDescent="0.2">
      <c r="S1419" s="69">
        <f>_xlfn.XLOOKUP(Results!A1419,Geometry!$B$6:$B$10000,Geometry!$C$6:$C$10000)</f>
        <v>0</v>
      </c>
      <c r="T1419" s="69"/>
      <c r="U1419" s="69"/>
    </row>
    <row r="1420" spans="19:21" ht="15" customHeight="1" x14ac:dyDescent="0.2">
      <c r="S1420" s="69">
        <f>_xlfn.XLOOKUP(Results!A1420,Geometry!$B$6:$B$10000,Geometry!$C$6:$C$10000)</f>
        <v>0</v>
      </c>
      <c r="T1420" s="69"/>
      <c r="U1420" s="69"/>
    </row>
    <row r="1421" spans="19:21" ht="15" customHeight="1" x14ac:dyDescent="0.2">
      <c r="S1421" s="69">
        <f>_xlfn.XLOOKUP(Results!A1421,Geometry!$B$6:$B$10000,Geometry!$C$6:$C$10000)</f>
        <v>0</v>
      </c>
      <c r="T1421" s="69"/>
      <c r="U1421" s="69"/>
    </row>
    <row r="1422" spans="19:21" ht="15" customHeight="1" x14ac:dyDescent="0.2">
      <c r="S1422" s="69">
        <f>_xlfn.XLOOKUP(Results!A1422,Geometry!$B$6:$B$10000,Geometry!$C$6:$C$10000)</f>
        <v>0</v>
      </c>
      <c r="T1422" s="69"/>
      <c r="U1422" s="69"/>
    </row>
    <row r="1423" spans="19:21" ht="15" customHeight="1" x14ac:dyDescent="0.2">
      <c r="S1423" s="69">
        <f>_xlfn.XLOOKUP(Results!A1423,Geometry!$B$6:$B$10000,Geometry!$C$6:$C$10000)</f>
        <v>0</v>
      </c>
      <c r="T1423" s="69"/>
      <c r="U1423" s="69"/>
    </row>
    <row r="1424" spans="19:21" ht="15" customHeight="1" x14ac:dyDescent="0.2">
      <c r="S1424" s="69">
        <f>_xlfn.XLOOKUP(Results!A1424,Geometry!$B$6:$B$10000,Geometry!$C$6:$C$10000)</f>
        <v>0</v>
      </c>
      <c r="T1424" s="69"/>
      <c r="U1424" s="69"/>
    </row>
    <row r="1425" spans="19:21" ht="15" customHeight="1" x14ac:dyDescent="0.2">
      <c r="S1425" s="69">
        <f>_xlfn.XLOOKUP(Results!A1425,Geometry!$B$6:$B$10000,Geometry!$C$6:$C$10000)</f>
        <v>0</v>
      </c>
      <c r="T1425" s="69"/>
      <c r="U1425" s="69"/>
    </row>
    <row r="1426" spans="19:21" ht="15" customHeight="1" x14ac:dyDescent="0.2">
      <c r="S1426" s="69">
        <f>_xlfn.XLOOKUP(Results!A1426,Geometry!$B$6:$B$10000,Geometry!$C$6:$C$10000)</f>
        <v>0</v>
      </c>
      <c r="T1426" s="69"/>
      <c r="U1426" s="69"/>
    </row>
    <row r="1427" spans="19:21" ht="15" customHeight="1" x14ac:dyDescent="0.2">
      <c r="S1427" s="69">
        <f>_xlfn.XLOOKUP(Results!A1427,Geometry!$B$6:$B$10000,Geometry!$C$6:$C$10000)</f>
        <v>0</v>
      </c>
      <c r="T1427" s="69"/>
      <c r="U1427" s="69"/>
    </row>
    <row r="1428" spans="19:21" ht="15" customHeight="1" x14ac:dyDescent="0.2">
      <c r="S1428" s="69">
        <f>_xlfn.XLOOKUP(Results!A1428,Geometry!$B$6:$B$10000,Geometry!$C$6:$C$10000)</f>
        <v>0</v>
      </c>
      <c r="T1428" s="69"/>
      <c r="U1428" s="69"/>
    </row>
    <row r="1429" spans="19:21" ht="15" customHeight="1" x14ac:dyDescent="0.2">
      <c r="S1429" s="69">
        <f>_xlfn.XLOOKUP(Results!A1429,Geometry!$B$6:$B$10000,Geometry!$C$6:$C$10000)</f>
        <v>0</v>
      </c>
      <c r="T1429" s="69"/>
      <c r="U1429" s="69"/>
    </row>
    <row r="1430" spans="19:21" ht="15" customHeight="1" x14ac:dyDescent="0.2">
      <c r="S1430" s="69">
        <f>_xlfn.XLOOKUP(Results!A1430,Geometry!$B$6:$B$10000,Geometry!$C$6:$C$10000)</f>
        <v>0</v>
      </c>
      <c r="T1430" s="69"/>
      <c r="U1430" s="69"/>
    </row>
    <row r="1431" spans="19:21" ht="15" customHeight="1" x14ac:dyDescent="0.2">
      <c r="S1431" s="69">
        <f>_xlfn.XLOOKUP(Results!A1431,Geometry!$B$6:$B$10000,Geometry!$C$6:$C$10000)</f>
        <v>0</v>
      </c>
      <c r="T1431" s="69"/>
      <c r="U1431" s="69"/>
    </row>
    <row r="1432" spans="19:21" ht="15" customHeight="1" x14ac:dyDescent="0.2">
      <c r="S1432" s="69">
        <f>_xlfn.XLOOKUP(Results!A1432,Geometry!$B$6:$B$10000,Geometry!$C$6:$C$10000)</f>
        <v>0</v>
      </c>
      <c r="T1432" s="69"/>
      <c r="U1432" s="69"/>
    </row>
    <row r="1433" spans="19:21" ht="15" customHeight="1" x14ac:dyDescent="0.2">
      <c r="S1433" s="69">
        <f>_xlfn.XLOOKUP(Results!A1433,Geometry!$B$6:$B$10000,Geometry!$C$6:$C$10000)</f>
        <v>0</v>
      </c>
      <c r="T1433" s="69"/>
      <c r="U1433" s="69"/>
    </row>
    <row r="1434" spans="19:21" ht="15" customHeight="1" x14ac:dyDescent="0.2">
      <c r="S1434" s="69">
        <f>_xlfn.XLOOKUP(Results!A1434,Geometry!$B$6:$B$10000,Geometry!$C$6:$C$10000)</f>
        <v>0</v>
      </c>
      <c r="T1434" s="69"/>
      <c r="U1434" s="69"/>
    </row>
    <row r="1435" spans="19:21" ht="15" customHeight="1" x14ac:dyDescent="0.2">
      <c r="S1435" s="69">
        <f>_xlfn.XLOOKUP(Results!A1435,Geometry!$B$6:$B$10000,Geometry!$C$6:$C$10000)</f>
        <v>0</v>
      </c>
      <c r="T1435" s="69"/>
      <c r="U1435" s="69"/>
    </row>
    <row r="1436" spans="19:21" ht="15" customHeight="1" x14ac:dyDescent="0.2">
      <c r="S1436" s="69">
        <f>_xlfn.XLOOKUP(Results!A1436,Geometry!$B$6:$B$10000,Geometry!$C$6:$C$10000)</f>
        <v>0</v>
      </c>
      <c r="T1436" s="69"/>
      <c r="U1436" s="69"/>
    </row>
    <row r="1437" spans="19:21" ht="15" customHeight="1" x14ac:dyDescent="0.2">
      <c r="S1437" s="69">
        <f>_xlfn.XLOOKUP(Results!A1437,Geometry!$B$6:$B$10000,Geometry!$C$6:$C$10000)</f>
        <v>0</v>
      </c>
      <c r="T1437" s="69"/>
      <c r="U1437" s="69"/>
    </row>
    <row r="1438" spans="19:21" ht="15" customHeight="1" x14ac:dyDescent="0.2">
      <c r="S1438" s="69">
        <f>_xlfn.XLOOKUP(Results!A1438,Geometry!$B$6:$B$10000,Geometry!$C$6:$C$10000)</f>
        <v>0</v>
      </c>
      <c r="T1438" s="69"/>
      <c r="U1438" s="69"/>
    </row>
    <row r="1439" spans="19:21" ht="15" customHeight="1" x14ac:dyDescent="0.2">
      <c r="S1439" s="69">
        <f>_xlfn.XLOOKUP(Results!A1439,Geometry!$B$6:$B$10000,Geometry!$C$6:$C$10000)</f>
        <v>0</v>
      </c>
      <c r="T1439" s="69"/>
      <c r="U1439" s="69"/>
    </row>
    <row r="1440" spans="19:21" ht="15" customHeight="1" x14ac:dyDescent="0.2">
      <c r="S1440" s="69">
        <f>_xlfn.XLOOKUP(Results!A1440,Geometry!$B$6:$B$10000,Geometry!$C$6:$C$10000)</f>
        <v>0</v>
      </c>
      <c r="T1440" s="69"/>
      <c r="U1440" s="69"/>
    </row>
    <row r="1441" spans="19:21" ht="15" customHeight="1" x14ac:dyDescent="0.2">
      <c r="S1441" s="69">
        <f>_xlfn.XLOOKUP(Results!A1441,Geometry!$B$6:$B$10000,Geometry!$C$6:$C$10000)</f>
        <v>0</v>
      </c>
      <c r="T1441" s="69"/>
      <c r="U1441" s="69"/>
    </row>
    <row r="1442" spans="19:21" ht="15" customHeight="1" x14ac:dyDescent="0.2">
      <c r="S1442" s="69">
        <f>_xlfn.XLOOKUP(Results!A1442,Geometry!$B$6:$B$10000,Geometry!$C$6:$C$10000)</f>
        <v>0</v>
      </c>
      <c r="T1442" s="69"/>
      <c r="U1442" s="69"/>
    </row>
    <row r="1443" spans="19:21" ht="15" customHeight="1" x14ac:dyDescent="0.2">
      <c r="S1443" s="69">
        <f>_xlfn.XLOOKUP(Results!A1443,Geometry!$B$6:$B$10000,Geometry!$C$6:$C$10000)</f>
        <v>0</v>
      </c>
      <c r="T1443" s="69"/>
      <c r="U1443" s="69"/>
    </row>
    <row r="1444" spans="19:21" ht="15" customHeight="1" x14ac:dyDescent="0.2">
      <c r="S1444" s="69">
        <f>_xlfn.XLOOKUP(Results!A1444,Geometry!$B$6:$B$10000,Geometry!$C$6:$C$10000)</f>
        <v>0</v>
      </c>
      <c r="T1444" s="69"/>
      <c r="U1444" s="69"/>
    </row>
    <row r="1445" spans="19:21" ht="15" customHeight="1" x14ac:dyDescent="0.2">
      <c r="S1445" s="69">
        <f>_xlfn.XLOOKUP(Results!A1445,Geometry!$B$6:$B$10000,Geometry!$C$6:$C$10000)</f>
        <v>0</v>
      </c>
      <c r="T1445" s="69"/>
      <c r="U1445" s="69"/>
    </row>
    <row r="1446" spans="19:21" ht="15" customHeight="1" x14ac:dyDescent="0.2">
      <c r="S1446" s="69">
        <f>_xlfn.XLOOKUP(Results!A1446,Geometry!$B$6:$B$10000,Geometry!$C$6:$C$10000)</f>
        <v>0</v>
      </c>
      <c r="T1446" s="69"/>
      <c r="U1446" s="69"/>
    </row>
    <row r="1447" spans="19:21" ht="15" customHeight="1" x14ac:dyDescent="0.2">
      <c r="S1447" s="69">
        <f>_xlfn.XLOOKUP(Results!A1447,Geometry!$B$6:$B$10000,Geometry!$C$6:$C$10000)</f>
        <v>0</v>
      </c>
      <c r="T1447" s="69"/>
      <c r="U1447" s="69"/>
    </row>
    <row r="1448" spans="19:21" ht="15" customHeight="1" x14ac:dyDescent="0.2">
      <c r="S1448" s="69">
        <f>_xlfn.XLOOKUP(Results!A1448,Geometry!$B$6:$B$10000,Geometry!$C$6:$C$10000)</f>
        <v>0</v>
      </c>
      <c r="T1448" s="69"/>
      <c r="U1448" s="69"/>
    </row>
    <row r="1449" spans="19:21" ht="15" customHeight="1" x14ac:dyDescent="0.2">
      <c r="S1449" s="69">
        <f>_xlfn.XLOOKUP(Results!A1449,Geometry!$B$6:$B$10000,Geometry!$C$6:$C$10000)</f>
        <v>0</v>
      </c>
      <c r="T1449" s="69"/>
      <c r="U1449" s="69"/>
    </row>
    <row r="1450" spans="19:21" ht="15" customHeight="1" x14ac:dyDescent="0.2">
      <c r="S1450" s="69">
        <f>_xlfn.XLOOKUP(Results!A1450,Geometry!$B$6:$B$10000,Geometry!$C$6:$C$10000)</f>
        <v>0</v>
      </c>
      <c r="T1450" s="69"/>
      <c r="U1450" s="69"/>
    </row>
    <row r="1451" spans="19:21" ht="15" customHeight="1" x14ac:dyDescent="0.2">
      <c r="S1451" s="69">
        <f>_xlfn.XLOOKUP(Results!A1451,Geometry!$B$6:$B$10000,Geometry!$C$6:$C$10000)</f>
        <v>0</v>
      </c>
      <c r="T1451" s="69"/>
      <c r="U1451" s="69"/>
    </row>
    <row r="1452" spans="19:21" ht="15" customHeight="1" x14ac:dyDescent="0.2">
      <c r="S1452" s="69">
        <f>_xlfn.XLOOKUP(Results!A1452,Geometry!$B$6:$B$10000,Geometry!$C$6:$C$10000)</f>
        <v>0</v>
      </c>
      <c r="T1452" s="69"/>
      <c r="U1452" s="69"/>
    </row>
    <row r="1453" spans="19:21" ht="15" customHeight="1" x14ac:dyDescent="0.2">
      <c r="S1453" s="69">
        <f>_xlfn.XLOOKUP(Results!A1453,Geometry!$B$6:$B$10000,Geometry!$C$6:$C$10000)</f>
        <v>0</v>
      </c>
      <c r="T1453" s="69"/>
      <c r="U1453" s="69"/>
    </row>
    <row r="1454" spans="19:21" ht="15" customHeight="1" x14ac:dyDescent="0.2">
      <c r="S1454" s="69">
        <f>_xlfn.XLOOKUP(Results!A1454,Geometry!$B$6:$B$10000,Geometry!$C$6:$C$10000)</f>
        <v>0</v>
      </c>
      <c r="T1454" s="69"/>
      <c r="U1454" s="69"/>
    </row>
    <row r="1455" spans="19:21" ht="15" customHeight="1" x14ac:dyDescent="0.2">
      <c r="S1455" s="69">
        <f>_xlfn.XLOOKUP(Results!A1455,Geometry!$B$6:$B$10000,Geometry!$C$6:$C$10000)</f>
        <v>0</v>
      </c>
      <c r="T1455" s="69"/>
      <c r="U1455" s="69"/>
    </row>
    <row r="1456" spans="19:21" ht="15" customHeight="1" x14ac:dyDescent="0.2">
      <c r="S1456" s="69">
        <f>_xlfn.XLOOKUP(Results!A1456,Geometry!$B$6:$B$10000,Geometry!$C$6:$C$10000)</f>
        <v>0</v>
      </c>
      <c r="T1456" s="69"/>
      <c r="U1456" s="69"/>
    </row>
    <row r="1457" spans="19:21" ht="15" customHeight="1" x14ac:dyDescent="0.2">
      <c r="S1457" s="69">
        <f>_xlfn.XLOOKUP(Results!A1457,Geometry!$B$6:$B$10000,Geometry!$C$6:$C$10000)</f>
        <v>0</v>
      </c>
      <c r="T1457" s="69"/>
      <c r="U1457" s="69"/>
    </row>
    <row r="1458" spans="19:21" ht="15" customHeight="1" x14ac:dyDescent="0.2">
      <c r="S1458" s="69">
        <f>_xlfn.XLOOKUP(Results!A1458,Geometry!$B$6:$B$10000,Geometry!$C$6:$C$10000)</f>
        <v>0</v>
      </c>
      <c r="T1458" s="69"/>
      <c r="U1458" s="69"/>
    </row>
    <row r="1459" spans="19:21" ht="15" customHeight="1" x14ac:dyDescent="0.2">
      <c r="S1459" s="69">
        <f>_xlfn.XLOOKUP(Results!A1459,Geometry!$B$6:$B$10000,Geometry!$C$6:$C$10000)</f>
        <v>0</v>
      </c>
      <c r="T1459" s="69"/>
      <c r="U1459" s="69"/>
    </row>
    <row r="1460" spans="19:21" ht="15" customHeight="1" x14ac:dyDescent="0.2">
      <c r="S1460" s="69">
        <f>_xlfn.XLOOKUP(Results!A1460,Geometry!$B$6:$B$10000,Geometry!$C$6:$C$10000)</f>
        <v>0</v>
      </c>
      <c r="T1460" s="69"/>
      <c r="U1460" s="69"/>
    </row>
    <row r="1461" spans="19:21" ht="15" customHeight="1" x14ac:dyDescent="0.2">
      <c r="S1461" s="69">
        <f>_xlfn.XLOOKUP(Results!A1461,Geometry!$B$6:$B$10000,Geometry!$C$6:$C$10000)</f>
        <v>0</v>
      </c>
      <c r="T1461" s="69"/>
      <c r="U1461" s="69"/>
    </row>
    <row r="1462" spans="19:21" ht="15" customHeight="1" x14ac:dyDescent="0.2">
      <c r="S1462" s="69">
        <f>_xlfn.XLOOKUP(Results!A1462,Geometry!$B$6:$B$10000,Geometry!$C$6:$C$10000)</f>
        <v>0</v>
      </c>
      <c r="T1462" s="69"/>
      <c r="U1462" s="69"/>
    </row>
    <row r="1463" spans="19:21" ht="15" customHeight="1" x14ac:dyDescent="0.2">
      <c r="S1463" s="69">
        <f>_xlfn.XLOOKUP(Results!A1463,Geometry!$B$6:$B$10000,Geometry!$C$6:$C$10000)</f>
        <v>0</v>
      </c>
      <c r="T1463" s="69"/>
      <c r="U1463" s="69"/>
    </row>
    <row r="1464" spans="19:21" ht="15" customHeight="1" x14ac:dyDescent="0.2">
      <c r="S1464" s="69">
        <f>_xlfn.XLOOKUP(Results!A1464,Geometry!$B$6:$B$10000,Geometry!$C$6:$C$10000)</f>
        <v>0</v>
      </c>
      <c r="T1464" s="69"/>
      <c r="U1464" s="69"/>
    </row>
    <row r="1465" spans="19:21" ht="15" customHeight="1" x14ac:dyDescent="0.2">
      <c r="S1465" s="69">
        <f>_xlfn.XLOOKUP(Results!A1465,Geometry!$B$6:$B$10000,Geometry!$C$6:$C$10000)</f>
        <v>0</v>
      </c>
      <c r="T1465" s="69"/>
      <c r="U1465" s="69"/>
    </row>
    <row r="1466" spans="19:21" ht="15" customHeight="1" x14ac:dyDescent="0.2">
      <c r="S1466" s="69">
        <f>_xlfn.XLOOKUP(Results!A1466,Geometry!$B$6:$B$10000,Geometry!$C$6:$C$10000)</f>
        <v>0</v>
      </c>
      <c r="T1466" s="69"/>
      <c r="U1466" s="69"/>
    </row>
    <row r="1467" spans="19:21" ht="15" customHeight="1" x14ac:dyDescent="0.2">
      <c r="S1467" s="69">
        <f>_xlfn.XLOOKUP(Results!A1467,Geometry!$B$6:$B$10000,Geometry!$C$6:$C$10000)</f>
        <v>0</v>
      </c>
      <c r="T1467" s="69"/>
      <c r="U1467" s="69"/>
    </row>
    <row r="1468" spans="19:21" ht="15" customHeight="1" x14ac:dyDescent="0.2">
      <c r="S1468" s="69">
        <f>_xlfn.XLOOKUP(Results!A1468,Geometry!$B$6:$B$10000,Geometry!$C$6:$C$10000)</f>
        <v>0</v>
      </c>
      <c r="T1468" s="69"/>
      <c r="U1468" s="69"/>
    </row>
    <row r="1469" spans="19:21" ht="15" customHeight="1" x14ac:dyDescent="0.2">
      <c r="S1469" s="69">
        <f>_xlfn.XLOOKUP(Results!A1469,Geometry!$B$6:$B$10000,Geometry!$C$6:$C$10000)</f>
        <v>0</v>
      </c>
      <c r="T1469" s="69"/>
      <c r="U1469" s="69"/>
    </row>
    <row r="1470" spans="19:21" ht="15" customHeight="1" x14ac:dyDescent="0.2">
      <c r="S1470" s="69">
        <f>_xlfn.XLOOKUP(Results!A1470,Geometry!$B$6:$B$10000,Geometry!$C$6:$C$10000)</f>
        <v>0</v>
      </c>
      <c r="T1470" s="69"/>
      <c r="U1470" s="69"/>
    </row>
    <row r="1471" spans="19:21" ht="15" customHeight="1" x14ac:dyDescent="0.2">
      <c r="S1471" s="69">
        <f>_xlfn.XLOOKUP(Results!A1471,Geometry!$B$6:$B$10000,Geometry!$C$6:$C$10000)</f>
        <v>0</v>
      </c>
      <c r="T1471" s="69"/>
      <c r="U1471" s="69"/>
    </row>
    <row r="1472" spans="19:21" ht="15" customHeight="1" x14ac:dyDescent="0.2">
      <c r="S1472" s="69">
        <f>_xlfn.XLOOKUP(Results!A1472,Geometry!$B$6:$B$10000,Geometry!$C$6:$C$10000)</f>
        <v>0</v>
      </c>
      <c r="T1472" s="69"/>
      <c r="U1472" s="69"/>
    </row>
    <row r="1473" spans="19:21" ht="15" customHeight="1" x14ac:dyDescent="0.2">
      <c r="S1473" s="69">
        <f>_xlfn.XLOOKUP(Results!A1473,Geometry!$B$6:$B$10000,Geometry!$C$6:$C$10000)</f>
        <v>0</v>
      </c>
      <c r="T1473" s="69"/>
      <c r="U1473" s="69"/>
    </row>
    <row r="1474" spans="19:21" ht="15" customHeight="1" x14ac:dyDescent="0.2">
      <c r="S1474" s="69">
        <f>_xlfn.XLOOKUP(Results!A1474,Geometry!$B$6:$B$10000,Geometry!$C$6:$C$10000)</f>
        <v>0</v>
      </c>
      <c r="T1474" s="69"/>
      <c r="U1474" s="69"/>
    </row>
    <row r="1475" spans="19:21" ht="15" customHeight="1" x14ac:dyDescent="0.2">
      <c r="S1475" s="69">
        <f>_xlfn.XLOOKUP(Results!A1475,Geometry!$B$6:$B$10000,Geometry!$C$6:$C$10000)</f>
        <v>0</v>
      </c>
      <c r="T1475" s="69"/>
      <c r="U1475" s="69"/>
    </row>
    <row r="1476" spans="19:21" ht="15" customHeight="1" x14ac:dyDescent="0.2">
      <c r="S1476" s="69">
        <f>_xlfn.XLOOKUP(Results!A1476,Geometry!$B$6:$B$10000,Geometry!$C$6:$C$10000)</f>
        <v>0</v>
      </c>
      <c r="T1476" s="69"/>
      <c r="U1476" s="69"/>
    </row>
    <row r="1477" spans="19:21" ht="15" customHeight="1" x14ac:dyDescent="0.2">
      <c r="S1477" s="69">
        <f>_xlfn.XLOOKUP(Results!A1477,Geometry!$B$6:$B$10000,Geometry!$C$6:$C$10000)</f>
        <v>0</v>
      </c>
      <c r="T1477" s="69"/>
      <c r="U1477" s="69"/>
    </row>
    <row r="1478" spans="19:21" ht="15" customHeight="1" x14ac:dyDescent="0.2">
      <c r="S1478" s="69">
        <f>_xlfn.XLOOKUP(Results!A1478,Geometry!$B$6:$B$10000,Geometry!$C$6:$C$10000)</f>
        <v>0</v>
      </c>
      <c r="T1478" s="69"/>
      <c r="U1478" s="69"/>
    </row>
    <row r="1479" spans="19:21" ht="15" customHeight="1" x14ac:dyDescent="0.2">
      <c r="S1479" s="69">
        <f>_xlfn.XLOOKUP(Results!A1479,Geometry!$B$6:$B$10000,Geometry!$C$6:$C$10000)</f>
        <v>0</v>
      </c>
      <c r="T1479" s="69"/>
      <c r="U1479" s="69"/>
    </row>
    <row r="1480" spans="19:21" ht="15" customHeight="1" x14ac:dyDescent="0.2">
      <c r="S1480" s="69">
        <f>_xlfn.XLOOKUP(Results!A1480,Geometry!$B$6:$B$10000,Geometry!$C$6:$C$10000)</f>
        <v>0</v>
      </c>
      <c r="T1480" s="69"/>
      <c r="U1480" s="69"/>
    </row>
    <row r="1481" spans="19:21" ht="15" customHeight="1" x14ac:dyDescent="0.2">
      <c r="S1481" s="69">
        <f>_xlfn.XLOOKUP(Results!A1481,Geometry!$B$6:$B$10000,Geometry!$C$6:$C$10000)</f>
        <v>0</v>
      </c>
      <c r="T1481" s="69"/>
      <c r="U1481" s="69"/>
    </row>
    <row r="1482" spans="19:21" ht="15" customHeight="1" x14ac:dyDescent="0.2">
      <c r="S1482" s="69">
        <f>_xlfn.XLOOKUP(Results!A1482,Geometry!$B$6:$B$10000,Geometry!$C$6:$C$10000)</f>
        <v>0</v>
      </c>
      <c r="T1482" s="69"/>
      <c r="U1482" s="69"/>
    </row>
    <row r="1483" spans="19:21" ht="15" customHeight="1" x14ac:dyDescent="0.2">
      <c r="S1483" s="69">
        <f>_xlfn.XLOOKUP(Results!A1483,Geometry!$B$6:$B$10000,Geometry!$C$6:$C$10000)</f>
        <v>0</v>
      </c>
      <c r="T1483" s="69"/>
      <c r="U1483" s="69"/>
    </row>
    <row r="1484" spans="19:21" ht="15" customHeight="1" x14ac:dyDescent="0.2">
      <c r="S1484" s="69">
        <f>_xlfn.XLOOKUP(Results!A1484,Geometry!$B$6:$B$10000,Geometry!$C$6:$C$10000)</f>
        <v>0</v>
      </c>
      <c r="T1484" s="69"/>
      <c r="U1484" s="69"/>
    </row>
    <row r="1485" spans="19:21" ht="15" customHeight="1" x14ac:dyDescent="0.2">
      <c r="S1485" s="69">
        <f>_xlfn.XLOOKUP(Results!A1485,Geometry!$B$6:$B$10000,Geometry!$C$6:$C$10000)</f>
        <v>0</v>
      </c>
      <c r="T1485" s="69"/>
      <c r="U1485" s="69"/>
    </row>
    <row r="1486" spans="19:21" ht="15" customHeight="1" x14ac:dyDescent="0.2">
      <c r="S1486" s="69">
        <f>_xlfn.XLOOKUP(Results!A1486,Geometry!$B$6:$B$10000,Geometry!$C$6:$C$10000)</f>
        <v>0</v>
      </c>
      <c r="T1486" s="69"/>
      <c r="U1486" s="69"/>
    </row>
    <row r="1487" spans="19:21" ht="15" customHeight="1" x14ac:dyDescent="0.2">
      <c r="S1487" s="69">
        <f>_xlfn.XLOOKUP(Results!A1487,Geometry!$B$6:$B$10000,Geometry!$C$6:$C$10000)</f>
        <v>0</v>
      </c>
      <c r="T1487" s="69"/>
      <c r="U1487" s="69"/>
    </row>
    <row r="1488" spans="19:21" ht="15" customHeight="1" x14ac:dyDescent="0.2">
      <c r="S1488" s="69">
        <f>_xlfn.XLOOKUP(Results!A1488,Geometry!$B$6:$B$10000,Geometry!$C$6:$C$10000)</f>
        <v>0</v>
      </c>
      <c r="T1488" s="69"/>
      <c r="U1488" s="69"/>
    </row>
    <row r="1489" spans="19:21" ht="15" customHeight="1" x14ac:dyDescent="0.2">
      <c r="S1489" s="69">
        <f>_xlfn.XLOOKUP(Results!A1489,Geometry!$B$6:$B$10000,Geometry!$C$6:$C$10000)</f>
        <v>0</v>
      </c>
      <c r="T1489" s="69"/>
      <c r="U1489" s="69"/>
    </row>
    <row r="1490" spans="19:21" ht="15" customHeight="1" x14ac:dyDescent="0.2">
      <c r="S1490" s="69">
        <f>_xlfn.XLOOKUP(Results!A1490,Geometry!$B$6:$B$10000,Geometry!$C$6:$C$10000)</f>
        <v>0</v>
      </c>
      <c r="T1490" s="69"/>
      <c r="U1490" s="69"/>
    </row>
    <row r="1491" spans="19:21" ht="15" customHeight="1" x14ac:dyDescent="0.2">
      <c r="S1491" s="69">
        <f>_xlfn.XLOOKUP(Results!A1491,Geometry!$B$6:$B$10000,Geometry!$C$6:$C$10000)</f>
        <v>0</v>
      </c>
      <c r="T1491" s="69"/>
      <c r="U1491" s="69"/>
    </row>
    <row r="1492" spans="19:21" ht="15" customHeight="1" x14ac:dyDescent="0.2">
      <c r="S1492" s="69">
        <f>_xlfn.XLOOKUP(Results!A1492,Geometry!$B$6:$B$10000,Geometry!$C$6:$C$10000)</f>
        <v>0</v>
      </c>
      <c r="T1492" s="69"/>
      <c r="U1492" s="69"/>
    </row>
    <row r="1493" spans="19:21" ht="15" customHeight="1" x14ac:dyDescent="0.2">
      <c r="S1493" s="69">
        <f>_xlfn.XLOOKUP(Results!A1493,Geometry!$B$6:$B$10000,Geometry!$C$6:$C$10000)</f>
        <v>0</v>
      </c>
      <c r="T1493" s="69"/>
      <c r="U1493" s="69"/>
    </row>
    <row r="1494" spans="19:21" ht="15" customHeight="1" x14ac:dyDescent="0.2">
      <c r="S1494" s="69">
        <f>_xlfn.XLOOKUP(Results!A1494,Geometry!$B$6:$B$10000,Geometry!$C$6:$C$10000)</f>
        <v>0</v>
      </c>
      <c r="T1494" s="69"/>
      <c r="U1494" s="69"/>
    </row>
    <row r="1495" spans="19:21" ht="15" customHeight="1" x14ac:dyDescent="0.2">
      <c r="S1495" s="69">
        <f>_xlfn.XLOOKUP(Results!A1495,Geometry!$B$6:$B$10000,Geometry!$C$6:$C$10000)</f>
        <v>0</v>
      </c>
      <c r="T1495" s="69"/>
      <c r="U1495" s="69"/>
    </row>
    <row r="1496" spans="19:21" ht="15" customHeight="1" x14ac:dyDescent="0.2">
      <c r="S1496" s="69">
        <f>_xlfn.XLOOKUP(Results!A1496,Geometry!$B$6:$B$10000,Geometry!$C$6:$C$10000)</f>
        <v>0</v>
      </c>
      <c r="T1496" s="69"/>
      <c r="U1496" s="69"/>
    </row>
    <row r="1497" spans="19:21" ht="15" customHeight="1" x14ac:dyDescent="0.2">
      <c r="S1497" s="69">
        <f>_xlfn.XLOOKUP(Results!A1497,Geometry!$B$6:$B$10000,Geometry!$C$6:$C$10000)</f>
        <v>0</v>
      </c>
      <c r="T1497" s="69"/>
      <c r="U1497" s="69"/>
    </row>
    <row r="1498" spans="19:21" ht="15" customHeight="1" x14ac:dyDescent="0.2">
      <c r="S1498" s="69">
        <f>_xlfn.XLOOKUP(Results!A1498,Geometry!$B$6:$B$10000,Geometry!$C$6:$C$10000)</f>
        <v>0</v>
      </c>
      <c r="T1498" s="69"/>
      <c r="U1498" s="69"/>
    </row>
    <row r="1499" spans="19:21" ht="15" customHeight="1" x14ac:dyDescent="0.2">
      <c r="S1499" s="69">
        <f>_xlfn.XLOOKUP(Results!A1499,Geometry!$B$6:$B$10000,Geometry!$C$6:$C$10000)</f>
        <v>0</v>
      </c>
      <c r="T1499" s="69"/>
      <c r="U1499" s="69"/>
    </row>
    <row r="1500" spans="19:21" ht="15" customHeight="1" x14ac:dyDescent="0.2">
      <c r="S1500" s="69">
        <f>_xlfn.XLOOKUP(Results!A1500,Geometry!$B$6:$B$10000,Geometry!$C$6:$C$10000)</f>
        <v>0</v>
      </c>
      <c r="T1500" s="69"/>
      <c r="U1500" s="69"/>
    </row>
    <row r="1501" spans="19:21" ht="15" customHeight="1" x14ac:dyDescent="0.2">
      <c r="S1501" s="69">
        <f>_xlfn.XLOOKUP(Results!A1501,Geometry!$B$6:$B$10000,Geometry!$C$6:$C$10000)</f>
        <v>0</v>
      </c>
      <c r="T1501" s="69"/>
      <c r="U1501" s="69"/>
    </row>
    <row r="1502" spans="19:21" ht="15" customHeight="1" x14ac:dyDescent="0.2">
      <c r="S1502" s="69">
        <f>_xlfn.XLOOKUP(Results!A1502,Geometry!$B$6:$B$10000,Geometry!$C$6:$C$10000)</f>
        <v>0</v>
      </c>
      <c r="T1502" s="69"/>
      <c r="U1502" s="69"/>
    </row>
    <row r="1503" spans="19:21" ht="15" customHeight="1" x14ac:dyDescent="0.2">
      <c r="S1503" s="69">
        <f>_xlfn.XLOOKUP(Results!A1503,Geometry!$B$6:$B$10000,Geometry!$C$6:$C$10000)</f>
        <v>0</v>
      </c>
      <c r="T1503" s="69"/>
      <c r="U1503" s="69"/>
    </row>
    <row r="1504" spans="19:21" ht="15" customHeight="1" x14ac:dyDescent="0.2">
      <c r="S1504" s="69">
        <f>_xlfn.XLOOKUP(Results!A1504,Geometry!$B$6:$B$10000,Geometry!$C$6:$C$10000)</f>
        <v>0</v>
      </c>
      <c r="T1504" s="69"/>
      <c r="U1504" s="69"/>
    </row>
    <row r="1505" spans="19:21" ht="15" customHeight="1" x14ac:dyDescent="0.2">
      <c r="S1505" s="69">
        <f>_xlfn.XLOOKUP(Results!A1505,Geometry!$B$6:$B$10000,Geometry!$C$6:$C$10000)</f>
        <v>0</v>
      </c>
      <c r="T1505" s="69"/>
      <c r="U1505" s="69"/>
    </row>
    <row r="1506" spans="19:21" ht="15" customHeight="1" x14ac:dyDescent="0.2">
      <c r="S1506" s="69">
        <f>_xlfn.XLOOKUP(Results!A1506,Geometry!$B$6:$B$10000,Geometry!$C$6:$C$10000)</f>
        <v>0</v>
      </c>
      <c r="T1506" s="69"/>
      <c r="U1506" s="69"/>
    </row>
    <row r="1507" spans="19:21" ht="15" customHeight="1" x14ac:dyDescent="0.2">
      <c r="S1507" s="69">
        <f>_xlfn.XLOOKUP(Results!A1507,Geometry!$B$6:$B$10000,Geometry!$C$6:$C$10000)</f>
        <v>0</v>
      </c>
      <c r="T1507" s="69"/>
      <c r="U1507" s="69"/>
    </row>
    <row r="1508" spans="19:21" ht="15" customHeight="1" x14ac:dyDescent="0.2">
      <c r="S1508" s="69">
        <f>_xlfn.XLOOKUP(Results!A1508,Geometry!$B$6:$B$10000,Geometry!$C$6:$C$10000)</f>
        <v>0</v>
      </c>
      <c r="T1508" s="69"/>
      <c r="U1508" s="69"/>
    </row>
    <row r="1509" spans="19:21" ht="15" customHeight="1" x14ac:dyDescent="0.2">
      <c r="S1509" s="69">
        <f>_xlfn.XLOOKUP(Results!A1509,Geometry!$B$6:$B$10000,Geometry!$C$6:$C$10000)</f>
        <v>0</v>
      </c>
      <c r="T1509" s="69"/>
      <c r="U1509" s="69"/>
    </row>
    <row r="1510" spans="19:21" ht="15" customHeight="1" x14ac:dyDescent="0.2">
      <c r="S1510" s="69">
        <f>_xlfn.XLOOKUP(Results!A1510,Geometry!$B$6:$B$10000,Geometry!$C$6:$C$10000)</f>
        <v>0</v>
      </c>
      <c r="T1510" s="69"/>
      <c r="U1510" s="69"/>
    </row>
    <row r="1511" spans="19:21" ht="15" customHeight="1" x14ac:dyDescent="0.2">
      <c r="S1511" s="69">
        <f>_xlfn.XLOOKUP(Results!A1511,Geometry!$B$6:$B$10000,Geometry!$C$6:$C$10000)</f>
        <v>0</v>
      </c>
      <c r="T1511" s="69"/>
      <c r="U1511" s="69"/>
    </row>
    <row r="1512" spans="19:21" ht="15" customHeight="1" x14ac:dyDescent="0.2">
      <c r="S1512" s="69">
        <f>_xlfn.XLOOKUP(Results!A1512,Geometry!$B$6:$B$10000,Geometry!$C$6:$C$10000)</f>
        <v>0</v>
      </c>
      <c r="T1512" s="69"/>
      <c r="U1512" s="69"/>
    </row>
    <row r="1513" spans="19:21" ht="15" customHeight="1" x14ac:dyDescent="0.2">
      <c r="S1513" s="69">
        <f>_xlfn.XLOOKUP(Results!A1513,Geometry!$B$6:$B$10000,Geometry!$C$6:$C$10000)</f>
        <v>0</v>
      </c>
      <c r="T1513" s="69"/>
      <c r="U1513" s="69"/>
    </row>
    <row r="1514" spans="19:21" ht="15" customHeight="1" x14ac:dyDescent="0.2">
      <c r="S1514" s="69">
        <f>_xlfn.XLOOKUP(Results!A1514,Geometry!$B$6:$B$10000,Geometry!$C$6:$C$10000)</f>
        <v>0</v>
      </c>
      <c r="T1514" s="69"/>
      <c r="U1514" s="69"/>
    </row>
    <row r="1515" spans="19:21" ht="15" customHeight="1" x14ac:dyDescent="0.2">
      <c r="S1515" s="69">
        <f>_xlfn.XLOOKUP(Results!A1515,Geometry!$B$6:$B$10000,Geometry!$C$6:$C$10000)</f>
        <v>0</v>
      </c>
      <c r="T1515" s="69"/>
      <c r="U1515" s="69"/>
    </row>
    <row r="1516" spans="19:21" ht="15" customHeight="1" x14ac:dyDescent="0.2">
      <c r="S1516" s="69">
        <f>_xlfn.XLOOKUP(Results!A1516,Geometry!$B$6:$B$10000,Geometry!$C$6:$C$10000)</f>
        <v>0</v>
      </c>
      <c r="T1516" s="69"/>
      <c r="U1516" s="69"/>
    </row>
    <row r="1517" spans="19:21" ht="15" customHeight="1" x14ac:dyDescent="0.2">
      <c r="S1517" s="69">
        <f>_xlfn.XLOOKUP(Results!A1517,Geometry!$B$6:$B$10000,Geometry!$C$6:$C$10000)</f>
        <v>0</v>
      </c>
      <c r="T1517" s="69"/>
      <c r="U1517" s="69"/>
    </row>
    <row r="1518" spans="19:21" ht="15" customHeight="1" x14ac:dyDescent="0.2">
      <c r="S1518" s="69">
        <f>_xlfn.XLOOKUP(Results!A1518,Geometry!$B$6:$B$10000,Geometry!$C$6:$C$10000)</f>
        <v>0</v>
      </c>
      <c r="T1518" s="69"/>
      <c r="U1518" s="69"/>
    </row>
    <row r="1519" spans="19:21" ht="15" customHeight="1" x14ac:dyDescent="0.2">
      <c r="S1519" s="69">
        <f>_xlfn.XLOOKUP(Results!A1519,Geometry!$B$6:$B$10000,Geometry!$C$6:$C$10000)</f>
        <v>0</v>
      </c>
      <c r="T1519" s="69"/>
      <c r="U1519" s="69"/>
    </row>
    <row r="1520" spans="19:21" ht="15" customHeight="1" x14ac:dyDescent="0.2">
      <c r="S1520" s="69">
        <f>_xlfn.XLOOKUP(Results!A1520,Geometry!$B$6:$B$10000,Geometry!$C$6:$C$10000)</f>
        <v>0</v>
      </c>
      <c r="T1520" s="69"/>
      <c r="U1520" s="69"/>
    </row>
    <row r="1521" spans="19:21" ht="15" customHeight="1" x14ac:dyDescent="0.2">
      <c r="S1521" s="69">
        <f>_xlfn.XLOOKUP(Results!A1521,Geometry!$B$6:$B$10000,Geometry!$C$6:$C$10000)</f>
        <v>0</v>
      </c>
      <c r="T1521" s="69"/>
      <c r="U1521" s="69"/>
    </row>
    <row r="1522" spans="19:21" ht="15" customHeight="1" x14ac:dyDescent="0.2">
      <c r="S1522" s="69">
        <f>_xlfn.XLOOKUP(Results!A1522,Geometry!$B$6:$B$10000,Geometry!$C$6:$C$10000)</f>
        <v>0</v>
      </c>
      <c r="T1522" s="69"/>
      <c r="U1522" s="69"/>
    </row>
    <row r="1523" spans="19:21" ht="15" customHeight="1" x14ac:dyDescent="0.2">
      <c r="S1523" s="69">
        <f>_xlfn.XLOOKUP(Results!A1523,Geometry!$B$6:$B$10000,Geometry!$C$6:$C$10000)</f>
        <v>0</v>
      </c>
      <c r="T1523" s="69"/>
      <c r="U1523" s="69"/>
    </row>
    <row r="1524" spans="19:21" ht="15" customHeight="1" x14ac:dyDescent="0.2">
      <c r="S1524" s="69">
        <f>_xlfn.XLOOKUP(Results!A1524,Geometry!$B$6:$B$10000,Geometry!$C$6:$C$10000)</f>
        <v>0</v>
      </c>
      <c r="T1524" s="69"/>
      <c r="U1524" s="69"/>
    </row>
    <row r="1525" spans="19:21" ht="15" customHeight="1" x14ac:dyDescent="0.2">
      <c r="S1525" s="69">
        <f>_xlfn.XLOOKUP(Results!A1525,Geometry!$B$6:$B$10000,Geometry!$C$6:$C$10000)</f>
        <v>0</v>
      </c>
      <c r="T1525" s="69"/>
      <c r="U1525" s="69"/>
    </row>
    <row r="1526" spans="19:21" ht="15" customHeight="1" x14ac:dyDescent="0.2">
      <c r="S1526" s="69">
        <f>_xlfn.XLOOKUP(Results!A1526,Geometry!$B$6:$B$10000,Geometry!$C$6:$C$10000)</f>
        <v>0</v>
      </c>
      <c r="T1526" s="69"/>
      <c r="U1526" s="69"/>
    </row>
    <row r="1527" spans="19:21" ht="15" customHeight="1" x14ac:dyDescent="0.2">
      <c r="S1527" s="69">
        <f>_xlfn.XLOOKUP(Results!A1527,Geometry!$B$6:$B$10000,Geometry!$C$6:$C$10000)</f>
        <v>0</v>
      </c>
      <c r="T1527" s="69"/>
      <c r="U1527" s="69"/>
    </row>
    <row r="1528" spans="19:21" ht="15" customHeight="1" x14ac:dyDescent="0.2">
      <c r="S1528" s="69">
        <f>_xlfn.XLOOKUP(Results!A1528,Geometry!$B$6:$B$10000,Geometry!$C$6:$C$10000)</f>
        <v>0</v>
      </c>
      <c r="T1528" s="69"/>
      <c r="U1528" s="69"/>
    </row>
    <row r="1529" spans="19:21" ht="15" customHeight="1" x14ac:dyDescent="0.2">
      <c r="S1529" s="69">
        <f>_xlfn.XLOOKUP(Results!A1529,Geometry!$B$6:$B$10000,Geometry!$C$6:$C$10000)</f>
        <v>0</v>
      </c>
      <c r="T1529" s="69"/>
      <c r="U1529" s="69"/>
    </row>
    <row r="1530" spans="19:21" ht="15" customHeight="1" x14ac:dyDescent="0.2">
      <c r="S1530" s="69">
        <f>_xlfn.XLOOKUP(Results!A1530,Geometry!$B$6:$B$10000,Geometry!$C$6:$C$10000)</f>
        <v>0</v>
      </c>
      <c r="T1530" s="69"/>
      <c r="U1530" s="69"/>
    </row>
    <row r="1531" spans="19:21" ht="15" customHeight="1" x14ac:dyDescent="0.2">
      <c r="S1531" s="69">
        <f>_xlfn.XLOOKUP(Results!A1531,Geometry!$B$6:$B$10000,Geometry!$C$6:$C$10000)</f>
        <v>0</v>
      </c>
      <c r="T1531" s="69"/>
      <c r="U1531" s="69"/>
    </row>
    <row r="1532" spans="19:21" ht="15" customHeight="1" x14ac:dyDescent="0.2">
      <c r="S1532" s="69">
        <f>_xlfn.XLOOKUP(Results!A1532,Geometry!$B$6:$B$10000,Geometry!$C$6:$C$10000)</f>
        <v>0</v>
      </c>
      <c r="T1532" s="69"/>
      <c r="U1532" s="69"/>
    </row>
    <row r="1533" spans="19:21" ht="15" customHeight="1" x14ac:dyDescent="0.2">
      <c r="S1533" s="69">
        <f>_xlfn.XLOOKUP(Results!A1533,Geometry!$B$6:$B$10000,Geometry!$C$6:$C$10000)</f>
        <v>0</v>
      </c>
      <c r="T1533" s="69"/>
      <c r="U1533" s="69"/>
    </row>
    <row r="1534" spans="19:21" ht="15" customHeight="1" x14ac:dyDescent="0.2">
      <c r="S1534" s="69">
        <f>_xlfn.XLOOKUP(Results!A1534,Geometry!$B$6:$B$10000,Geometry!$C$6:$C$10000)</f>
        <v>0</v>
      </c>
      <c r="T1534" s="69"/>
      <c r="U1534" s="69"/>
    </row>
    <row r="1535" spans="19:21" ht="15" customHeight="1" x14ac:dyDescent="0.2">
      <c r="S1535" s="69">
        <f>_xlfn.XLOOKUP(Results!A1535,Geometry!$B$6:$B$10000,Geometry!$C$6:$C$10000)</f>
        <v>0</v>
      </c>
      <c r="T1535" s="69"/>
      <c r="U1535" s="69"/>
    </row>
    <row r="1536" spans="19:21" ht="15" customHeight="1" x14ac:dyDescent="0.2">
      <c r="S1536" s="69">
        <f>_xlfn.XLOOKUP(Results!A1536,Geometry!$B$6:$B$10000,Geometry!$C$6:$C$10000)</f>
        <v>0</v>
      </c>
      <c r="T1536" s="69"/>
      <c r="U1536" s="69"/>
    </row>
    <row r="1537" spans="19:21" ht="15" customHeight="1" x14ac:dyDescent="0.2">
      <c r="S1537" s="69">
        <f>_xlfn.XLOOKUP(Results!A1537,Geometry!$B$6:$B$10000,Geometry!$C$6:$C$10000)</f>
        <v>0</v>
      </c>
      <c r="T1537" s="69"/>
      <c r="U1537" s="69"/>
    </row>
    <row r="1538" spans="19:21" ht="15" customHeight="1" x14ac:dyDescent="0.2">
      <c r="S1538" s="69">
        <f>_xlfn.XLOOKUP(Results!A1538,Geometry!$B$6:$B$10000,Geometry!$C$6:$C$10000)</f>
        <v>0</v>
      </c>
      <c r="T1538" s="69"/>
      <c r="U1538" s="69"/>
    </row>
    <row r="1539" spans="19:21" ht="15" customHeight="1" x14ac:dyDescent="0.2">
      <c r="S1539" s="69">
        <f>_xlfn.XLOOKUP(Results!A1539,Geometry!$B$6:$B$10000,Geometry!$C$6:$C$10000)</f>
        <v>0</v>
      </c>
      <c r="T1539" s="69"/>
      <c r="U1539" s="69"/>
    </row>
    <row r="1540" spans="19:21" ht="15" customHeight="1" x14ac:dyDescent="0.2">
      <c r="S1540" s="69">
        <f>_xlfn.XLOOKUP(Results!A1540,Geometry!$B$6:$B$10000,Geometry!$C$6:$C$10000)</f>
        <v>0</v>
      </c>
      <c r="T1540" s="69"/>
      <c r="U1540" s="69"/>
    </row>
    <row r="1541" spans="19:21" ht="15" customHeight="1" x14ac:dyDescent="0.2">
      <c r="S1541" s="69">
        <f>_xlfn.XLOOKUP(Results!A1541,Geometry!$B$6:$B$10000,Geometry!$C$6:$C$10000)</f>
        <v>0</v>
      </c>
      <c r="T1541" s="69"/>
      <c r="U1541" s="69"/>
    </row>
    <row r="1542" spans="19:21" ht="15" customHeight="1" x14ac:dyDescent="0.2">
      <c r="S1542" s="69">
        <f>_xlfn.XLOOKUP(Results!A1542,Geometry!$B$6:$B$10000,Geometry!$C$6:$C$10000)</f>
        <v>0</v>
      </c>
      <c r="T1542" s="69"/>
      <c r="U1542" s="69"/>
    </row>
    <row r="1543" spans="19:21" ht="15" customHeight="1" x14ac:dyDescent="0.2">
      <c r="S1543" s="69">
        <f>_xlfn.XLOOKUP(Results!A1543,Geometry!$B$6:$B$10000,Geometry!$C$6:$C$10000)</f>
        <v>0</v>
      </c>
      <c r="T1543" s="69"/>
      <c r="U1543" s="69"/>
    </row>
    <row r="1544" spans="19:21" ht="15" customHeight="1" x14ac:dyDescent="0.2">
      <c r="S1544" s="69">
        <f>_xlfn.XLOOKUP(Results!A1544,Geometry!$B$6:$B$10000,Geometry!$C$6:$C$10000)</f>
        <v>0</v>
      </c>
      <c r="T1544" s="69"/>
      <c r="U1544" s="69"/>
    </row>
    <row r="1545" spans="19:21" ht="15" customHeight="1" x14ac:dyDescent="0.2">
      <c r="S1545" s="69">
        <f>_xlfn.XLOOKUP(Results!A1545,Geometry!$B$6:$B$10000,Geometry!$C$6:$C$10000)</f>
        <v>0</v>
      </c>
      <c r="T1545" s="69"/>
      <c r="U1545" s="69"/>
    </row>
    <row r="1546" spans="19:21" ht="15" customHeight="1" x14ac:dyDescent="0.2">
      <c r="S1546" s="69">
        <f>_xlfn.XLOOKUP(Results!A1546,Geometry!$B$6:$B$10000,Geometry!$C$6:$C$10000)</f>
        <v>0</v>
      </c>
      <c r="T1546" s="69"/>
      <c r="U1546" s="69"/>
    </row>
    <row r="1547" spans="19:21" ht="15" customHeight="1" x14ac:dyDescent="0.2">
      <c r="S1547" s="69">
        <f>_xlfn.XLOOKUP(Results!A1547,Geometry!$B$6:$B$10000,Geometry!$C$6:$C$10000)</f>
        <v>0</v>
      </c>
      <c r="T1547" s="69"/>
      <c r="U1547" s="69"/>
    </row>
    <row r="1548" spans="19:21" ht="15" customHeight="1" x14ac:dyDescent="0.2">
      <c r="S1548" s="69">
        <f>_xlfn.XLOOKUP(Results!A1548,Geometry!$B$6:$B$10000,Geometry!$C$6:$C$10000)</f>
        <v>0</v>
      </c>
      <c r="T1548" s="69"/>
      <c r="U1548" s="69"/>
    </row>
    <row r="1549" spans="19:21" ht="15" customHeight="1" x14ac:dyDescent="0.2">
      <c r="S1549" s="69">
        <f>_xlfn.XLOOKUP(Results!A1549,Geometry!$B$6:$B$10000,Geometry!$C$6:$C$10000)</f>
        <v>0</v>
      </c>
      <c r="T1549" s="69"/>
      <c r="U1549" s="69"/>
    </row>
    <row r="1550" spans="19:21" ht="15" customHeight="1" x14ac:dyDescent="0.2">
      <c r="S1550" s="69">
        <f>_xlfn.XLOOKUP(Results!A1550,Geometry!$B$6:$B$10000,Geometry!$C$6:$C$10000)</f>
        <v>0</v>
      </c>
      <c r="T1550" s="69"/>
      <c r="U1550" s="69"/>
    </row>
    <row r="1551" spans="19:21" ht="15" customHeight="1" x14ac:dyDescent="0.2">
      <c r="S1551" s="69">
        <f>_xlfn.XLOOKUP(Results!A1551,Geometry!$B$6:$B$10000,Geometry!$C$6:$C$10000)</f>
        <v>0</v>
      </c>
      <c r="T1551" s="69"/>
      <c r="U1551" s="69"/>
    </row>
    <row r="1552" spans="19:21" ht="15" customHeight="1" x14ac:dyDescent="0.2">
      <c r="S1552" s="69">
        <f>_xlfn.XLOOKUP(Results!A1552,Geometry!$B$6:$B$10000,Geometry!$C$6:$C$10000)</f>
        <v>0</v>
      </c>
      <c r="T1552" s="69"/>
      <c r="U1552" s="69"/>
    </row>
    <row r="1553" spans="19:21" ht="15" customHeight="1" x14ac:dyDescent="0.2">
      <c r="S1553" s="69">
        <f>_xlfn.XLOOKUP(Results!A1553,Geometry!$B$6:$B$10000,Geometry!$C$6:$C$10000)</f>
        <v>0</v>
      </c>
      <c r="T1553" s="69"/>
      <c r="U1553" s="69"/>
    </row>
    <row r="1554" spans="19:21" ht="15" customHeight="1" x14ac:dyDescent="0.2">
      <c r="S1554" s="69">
        <f>_xlfn.XLOOKUP(Results!A1554,Geometry!$B$6:$B$10000,Geometry!$C$6:$C$10000)</f>
        <v>0</v>
      </c>
      <c r="T1554" s="69"/>
      <c r="U1554" s="69"/>
    </row>
    <row r="1555" spans="19:21" ht="15" customHeight="1" x14ac:dyDescent="0.2">
      <c r="S1555" s="69">
        <f>_xlfn.XLOOKUP(Results!A1555,Geometry!$B$6:$B$10000,Geometry!$C$6:$C$10000)</f>
        <v>0</v>
      </c>
      <c r="T1555" s="69"/>
      <c r="U1555" s="69"/>
    </row>
    <row r="1556" spans="19:21" ht="15" customHeight="1" x14ac:dyDescent="0.2">
      <c r="S1556" s="69">
        <f>_xlfn.XLOOKUP(Results!A1556,Geometry!$B$6:$B$10000,Geometry!$C$6:$C$10000)</f>
        <v>0</v>
      </c>
      <c r="T1556" s="69"/>
      <c r="U1556" s="69"/>
    </row>
    <row r="1557" spans="19:21" ht="15" customHeight="1" x14ac:dyDescent="0.2">
      <c r="S1557" s="69">
        <f>_xlfn.XLOOKUP(Results!A1557,Geometry!$B$6:$B$10000,Geometry!$C$6:$C$10000)</f>
        <v>0</v>
      </c>
      <c r="T1557" s="69"/>
      <c r="U1557" s="69"/>
    </row>
    <row r="1558" spans="19:21" ht="15" customHeight="1" x14ac:dyDescent="0.2">
      <c r="S1558" s="69">
        <f>_xlfn.XLOOKUP(Results!A1558,Geometry!$B$6:$B$10000,Geometry!$C$6:$C$10000)</f>
        <v>0</v>
      </c>
      <c r="T1558" s="69"/>
      <c r="U1558" s="69"/>
    </row>
    <row r="1559" spans="19:21" ht="15" customHeight="1" x14ac:dyDescent="0.2">
      <c r="S1559" s="69">
        <f>_xlfn.XLOOKUP(Results!A1559,Geometry!$B$6:$B$10000,Geometry!$C$6:$C$10000)</f>
        <v>0</v>
      </c>
      <c r="T1559" s="69"/>
      <c r="U1559" s="69"/>
    </row>
    <row r="1560" spans="19:21" ht="15" customHeight="1" x14ac:dyDescent="0.2">
      <c r="S1560" s="69">
        <f>_xlfn.XLOOKUP(Results!A1560,Geometry!$B$6:$B$10000,Geometry!$C$6:$C$10000)</f>
        <v>0</v>
      </c>
      <c r="T1560" s="69"/>
      <c r="U1560" s="69"/>
    </row>
    <row r="1561" spans="19:21" ht="15" customHeight="1" x14ac:dyDescent="0.2">
      <c r="S1561" s="69">
        <f>_xlfn.XLOOKUP(Results!A1561,Geometry!$B$6:$B$10000,Geometry!$C$6:$C$10000)</f>
        <v>0</v>
      </c>
      <c r="T1561" s="69"/>
      <c r="U1561" s="69"/>
    </row>
    <row r="1562" spans="19:21" ht="15" customHeight="1" x14ac:dyDescent="0.2">
      <c r="S1562" s="69">
        <f>_xlfn.XLOOKUP(Results!A1562,Geometry!$B$6:$B$10000,Geometry!$C$6:$C$10000)</f>
        <v>0</v>
      </c>
      <c r="T1562" s="69"/>
      <c r="U1562" s="69"/>
    </row>
    <row r="1563" spans="19:21" ht="15" customHeight="1" x14ac:dyDescent="0.2">
      <c r="S1563" s="69">
        <f>_xlfn.XLOOKUP(Results!A1563,Geometry!$B$6:$B$10000,Geometry!$C$6:$C$10000)</f>
        <v>0</v>
      </c>
      <c r="T1563" s="69"/>
      <c r="U1563" s="69"/>
    </row>
    <row r="1564" spans="19:21" ht="15" customHeight="1" x14ac:dyDescent="0.2">
      <c r="S1564" s="69">
        <f>_xlfn.XLOOKUP(Results!A1564,Geometry!$B$6:$B$10000,Geometry!$C$6:$C$10000)</f>
        <v>0</v>
      </c>
      <c r="T1564" s="69"/>
      <c r="U1564" s="69"/>
    </row>
    <row r="1565" spans="19:21" ht="15" customHeight="1" x14ac:dyDescent="0.2">
      <c r="S1565" s="69">
        <f>_xlfn.XLOOKUP(Results!A1565,Geometry!$B$6:$B$10000,Geometry!$C$6:$C$10000)</f>
        <v>0</v>
      </c>
      <c r="T1565" s="69"/>
      <c r="U1565" s="69"/>
    </row>
    <row r="1566" spans="19:21" ht="15" customHeight="1" x14ac:dyDescent="0.2">
      <c r="S1566" s="69">
        <f>_xlfn.XLOOKUP(Results!A1566,Geometry!$B$6:$B$10000,Geometry!$C$6:$C$10000)</f>
        <v>0</v>
      </c>
      <c r="T1566" s="69"/>
      <c r="U1566" s="69"/>
    </row>
    <row r="1567" spans="19:21" ht="15" customHeight="1" x14ac:dyDescent="0.2">
      <c r="S1567" s="69">
        <f>_xlfn.XLOOKUP(Results!A1567,Geometry!$B$6:$B$10000,Geometry!$C$6:$C$10000)</f>
        <v>0</v>
      </c>
      <c r="T1567" s="69"/>
      <c r="U1567" s="69"/>
    </row>
    <row r="1568" spans="19:21" ht="15" customHeight="1" x14ac:dyDescent="0.2">
      <c r="S1568" s="69">
        <f>_xlfn.XLOOKUP(Results!A1568,Geometry!$B$6:$B$10000,Geometry!$C$6:$C$10000)</f>
        <v>0</v>
      </c>
      <c r="T1568" s="69"/>
      <c r="U1568" s="69"/>
    </row>
    <row r="1569" spans="19:21" ht="15" customHeight="1" x14ac:dyDescent="0.2">
      <c r="S1569" s="69">
        <f>_xlfn.XLOOKUP(Results!A1569,Geometry!$B$6:$B$10000,Geometry!$C$6:$C$10000)</f>
        <v>0</v>
      </c>
      <c r="T1569" s="69"/>
      <c r="U1569" s="69"/>
    </row>
    <row r="1570" spans="19:21" ht="15" customHeight="1" x14ac:dyDescent="0.2">
      <c r="S1570" s="69">
        <f>_xlfn.XLOOKUP(Results!A1570,Geometry!$B$6:$B$10000,Geometry!$C$6:$C$10000)</f>
        <v>0</v>
      </c>
      <c r="T1570" s="69"/>
      <c r="U1570" s="69"/>
    </row>
    <row r="1571" spans="19:21" ht="15" customHeight="1" x14ac:dyDescent="0.2">
      <c r="S1571" s="69">
        <f>_xlfn.XLOOKUP(Results!A1571,Geometry!$B$6:$B$10000,Geometry!$C$6:$C$10000)</f>
        <v>0</v>
      </c>
      <c r="T1571" s="69"/>
      <c r="U1571" s="69"/>
    </row>
    <row r="1572" spans="19:21" ht="15" customHeight="1" x14ac:dyDescent="0.2">
      <c r="S1572" s="69">
        <f>_xlfn.XLOOKUP(Results!A1572,Geometry!$B$6:$B$10000,Geometry!$C$6:$C$10000)</f>
        <v>0</v>
      </c>
      <c r="T1572" s="69"/>
      <c r="U1572" s="69"/>
    </row>
    <row r="1573" spans="19:21" ht="15" customHeight="1" x14ac:dyDescent="0.2">
      <c r="S1573" s="69">
        <f>_xlfn.XLOOKUP(Results!A1573,Geometry!$B$6:$B$10000,Geometry!$C$6:$C$10000)</f>
        <v>0</v>
      </c>
      <c r="T1573" s="69"/>
      <c r="U1573" s="69"/>
    </row>
    <row r="1574" spans="19:21" ht="15" customHeight="1" x14ac:dyDescent="0.2">
      <c r="S1574" s="69">
        <f>_xlfn.XLOOKUP(Results!A1574,Geometry!$B$6:$B$10000,Geometry!$C$6:$C$10000)</f>
        <v>0</v>
      </c>
      <c r="T1574" s="69"/>
      <c r="U1574" s="69"/>
    </row>
    <row r="1575" spans="19:21" ht="15" customHeight="1" x14ac:dyDescent="0.2">
      <c r="S1575" s="69">
        <f>_xlfn.XLOOKUP(Results!A1575,Geometry!$B$6:$B$10000,Geometry!$C$6:$C$10000)</f>
        <v>0</v>
      </c>
      <c r="T1575" s="69"/>
      <c r="U1575" s="69"/>
    </row>
    <row r="1576" spans="19:21" ht="15" customHeight="1" x14ac:dyDescent="0.2">
      <c r="S1576" s="69">
        <f>_xlfn.XLOOKUP(Results!A1576,Geometry!$B$6:$B$10000,Geometry!$C$6:$C$10000)</f>
        <v>0</v>
      </c>
      <c r="T1576" s="69"/>
      <c r="U1576" s="69"/>
    </row>
    <row r="1577" spans="19:21" ht="15" customHeight="1" x14ac:dyDescent="0.2">
      <c r="S1577" s="69">
        <f>_xlfn.XLOOKUP(Results!A1577,Geometry!$B$6:$B$10000,Geometry!$C$6:$C$10000)</f>
        <v>0</v>
      </c>
      <c r="T1577" s="69"/>
      <c r="U1577" s="69"/>
    </row>
    <row r="1578" spans="19:21" ht="15" customHeight="1" x14ac:dyDescent="0.2">
      <c r="S1578" s="69">
        <f>_xlfn.XLOOKUP(Results!A1578,Geometry!$B$6:$B$10000,Geometry!$C$6:$C$10000)</f>
        <v>0</v>
      </c>
      <c r="T1578" s="69"/>
      <c r="U1578" s="69"/>
    </row>
    <row r="1579" spans="19:21" ht="15" customHeight="1" x14ac:dyDescent="0.2">
      <c r="S1579" s="69">
        <f>_xlfn.XLOOKUP(Results!A1579,Geometry!$B$6:$B$10000,Geometry!$C$6:$C$10000)</f>
        <v>0</v>
      </c>
      <c r="T1579" s="69"/>
      <c r="U1579" s="69"/>
    </row>
    <row r="1580" spans="19:21" ht="15" customHeight="1" x14ac:dyDescent="0.2">
      <c r="S1580" s="69">
        <f>_xlfn.XLOOKUP(Results!A1580,Geometry!$B$6:$B$10000,Geometry!$C$6:$C$10000)</f>
        <v>0</v>
      </c>
      <c r="T1580" s="69"/>
      <c r="U1580" s="69"/>
    </row>
    <row r="1581" spans="19:21" ht="15" customHeight="1" x14ac:dyDescent="0.2">
      <c r="S1581" s="69">
        <f>_xlfn.XLOOKUP(Results!A1581,Geometry!$B$6:$B$10000,Geometry!$C$6:$C$10000)</f>
        <v>0</v>
      </c>
      <c r="T1581" s="69"/>
      <c r="U1581" s="69"/>
    </row>
    <row r="1582" spans="19:21" ht="15" customHeight="1" x14ac:dyDescent="0.2">
      <c r="S1582" s="69">
        <f>_xlfn.XLOOKUP(Results!A1582,Geometry!$B$6:$B$10000,Geometry!$C$6:$C$10000)</f>
        <v>0</v>
      </c>
      <c r="T1582" s="69"/>
      <c r="U1582" s="69"/>
    </row>
    <row r="1583" spans="19:21" ht="15" customHeight="1" x14ac:dyDescent="0.2">
      <c r="S1583" s="69">
        <f>_xlfn.XLOOKUP(Results!A1583,Geometry!$B$6:$B$10000,Geometry!$C$6:$C$10000)</f>
        <v>0</v>
      </c>
      <c r="T1583" s="69"/>
      <c r="U1583" s="69"/>
    </row>
    <row r="1584" spans="19:21" ht="15" customHeight="1" x14ac:dyDescent="0.2">
      <c r="S1584" s="69">
        <f>_xlfn.XLOOKUP(Results!A1584,Geometry!$B$6:$B$10000,Geometry!$C$6:$C$10000)</f>
        <v>0</v>
      </c>
      <c r="T1584" s="69"/>
      <c r="U1584" s="69"/>
    </row>
    <row r="1585" spans="19:21" ht="15" customHeight="1" x14ac:dyDescent="0.2">
      <c r="S1585" s="69">
        <f>_xlfn.XLOOKUP(Results!A1585,Geometry!$B$6:$B$10000,Geometry!$C$6:$C$10000)</f>
        <v>0</v>
      </c>
      <c r="T1585" s="69"/>
      <c r="U1585" s="69"/>
    </row>
    <row r="1586" spans="19:21" ht="15" customHeight="1" x14ac:dyDescent="0.2">
      <c r="S1586" s="69">
        <f>_xlfn.XLOOKUP(Results!A1586,Geometry!$B$6:$B$10000,Geometry!$C$6:$C$10000)</f>
        <v>0</v>
      </c>
      <c r="T1586" s="69"/>
      <c r="U1586" s="69"/>
    </row>
    <row r="1587" spans="19:21" ht="15" customHeight="1" x14ac:dyDescent="0.2">
      <c r="S1587" s="69">
        <f>_xlfn.XLOOKUP(Results!A1587,Geometry!$B$6:$B$10000,Geometry!$C$6:$C$10000)</f>
        <v>0</v>
      </c>
      <c r="T1587" s="69"/>
      <c r="U1587" s="69"/>
    </row>
    <row r="1588" spans="19:21" ht="15" customHeight="1" x14ac:dyDescent="0.2">
      <c r="S1588" s="69">
        <f>_xlfn.XLOOKUP(Results!A1588,Geometry!$B$6:$B$10000,Geometry!$C$6:$C$10000)</f>
        <v>0</v>
      </c>
      <c r="T1588" s="69"/>
      <c r="U1588" s="69"/>
    </row>
    <row r="1589" spans="19:21" ht="15" customHeight="1" x14ac:dyDescent="0.2">
      <c r="S1589" s="69">
        <f>_xlfn.XLOOKUP(Results!A1589,Geometry!$B$6:$B$10000,Geometry!$C$6:$C$10000)</f>
        <v>0</v>
      </c>
      <c r="T1589" s="69"/>
      <c r="U1589" s="69"/>
    </row>
    <row r="1590" spans="19:21" ht="15" customHeight="1" x14ac:dyDescent="0.2">
      <c r="S1590" s="69">
        <f>_xlfn.XLOOKUP(Results!A1590,Geometry!$B$6:$B$10000,Geometry!$C$6:$C$10000)</f>
        <v>0</v>
      </c>
      <c r="T1590" s="69"/>
      <c r="U1590" s="69"/>
    </row>
    <row r="1591" spans="19:21" ht="15" customHeight="1" x14ac:dyDescent="0.2">
      <c r="S1591" s="69">
        <f>_xlfn.XLOOKUP(Results!A1591,Geometry!$B$6:$B$10000,Geometry!$C$6:$C$10000)</f>
        <v>0</v>
      </c>
      <c r="T1591" s="69"/>
      <c r="U1591" s="69"/>
    </row>
    <row r="1592" spans="19:21" ht="15" customHeight="1" x14ac:dyDescent="0.2">
      <c r="S1592" s="69">
        <f>_xlfn.XLOOKUP(Results!A1592,Geometry!$B$6:$B$10000,Geometry!$C$6:$C$10000)</f>
        <v>0</v>
      </c>
      <c r="T1592" s="69"/>
      <c r="U1592" s="69"/>
    </row>
    <row r="1593" spans="19:21" ht="15" customHeight="1" x14ac:dyDescent="0.2">
      <c r="S1593" s="69">
        <f>_xlfn.XLOOKUP(Results!A1593,Geometry!$B$6:$B$10000,Geometry!$C$6:$C$10000)</f>
        <v>0</v>
      </c>
      <c r="T1593" s="69"/>
      <c r="U1593" s="69"/>
    </row>
    <row r="1594" spans="19:21" ht="15" customHeight="1" x14ac:dyDescent="0.2">
      <c r="S1594" s="69">
        <f>_xlfn.XLOOKUP(Results!A1594,Geometry!$B$6:$B$10000,Geometry!$C$6:$C$10000)</f>
        <v>0</v>
      </c>
      <c r="T1594" s="69"/>
      <c r="U1594" s="69"/>
    </row>
    <row r="1595" spans="19:21" ht="15" customHeight="1" x14ac:dyDescent="0.2">
      <c r="S1595" s="69">
        <f>_xlfn.XLOOKUP(Results!A1595,Geometry!$B$6:$B$10000,Geometry!$C$6:$C$10000)</f>
        <v>0</v>
      </c>
      <c r="T1595" s="69"/>
      <c r="U1595" s="69"/>
    </row>
    <row r="1596" spans="19:21" ht="15" customHeight="1" x14ac:dyDescent="0.2">
      <c r="S1596" s="69">
        <f>_xlfn.XLOOKUP(Results!A1596,Geometry!$B$6:$B$10000,Geometry!$C$6:$C$10000)</f>
        <v>0</v>
      </c>
      <c r="T1596" s="69"/>
      <c r="U1596" s="69"/>
    </row>
    <row r="1597" spans="19:21" ht="15" customHeight="1" x14ac:dyDescent="0.2">
      <c r="S1597" s="69">
        <f>_xlfn.XLOOKUP(Results!A1597,Geometry!$B$6:$B$10000,Geometry!$C$6:$C$10000)</f>
        <v>0</v>
      </c>
      <c r="T1597" s="69"/>
      <c r="U1597" s="69"/>
    </row>
    <row r="1598" spans="19:21" ht="15" customHeight="1" x14ac:dyDescent="0.2">
      <c r="S1598" s="69">
        <f>_xlfn.XLOOKUP(Results!A1598,Geometry!$B$6:$B$10000,Geometry!$C$6:$C$10000)</f>
        <v>0</v>
      </c>
      <c r="T1598" s="69"/>
      <c r="U1598" s="69"/>
    </row>
    <row r="1599" spans="19:21" ht="15" customHeight="1" x14ac:dyDescent="0.2">
      <c r="S1599" s="69">
        <f>_xlfn.XLOOKUP(Results!A1599,Geometry!$B$6:$B$10000,Geometry!$C$6:$C$10000)</f>
        <v>0</v>
      </c>
      <c r="T1599" s="69"/>
      <c r="U1599" s="69"/>
    </row>
    <row r="1600" spans="19:21" ht="15" customHeight="1" x14ac:dyDescent="0.2">
      <c r="S1600" s="69">
        <f>_xlfn.XLOOKUP(Results!A1600,Geometry!$B$6:$B$10000,Geometry!$C$6:$C$10000)</f>
        <v>0</v>
      </c>
      <c r="T1600" s="69"/>
      <c r="U1600" s="69"/>
    </row>
    <row r="1601" spans="19:21" ht="15" customHeight="1" x14ac:dyDescent="0.2">
      <c r="S1601" s="69">
        <f>_xlfn.XLOOKUP(Results!A1601,Geometry!$B$6:$B$10000,Geometry!$C$6:$C$10000)</f>
        <v>0</v>
      </c>
      <c r="T1601" s="69"/>
      <c r="U1601" s="69"/>
    </row>
    <row r="1602" spans="19:21" ht="15" customHeight="1" x14ac:dyDescent="0.2">
      <c r="S1602" s="69">
        <f>_xlfn.XLOOKUP(Results!A1602,Geometry!$B$6:$B$10000,Geometry!$C$6:$C$10000)</f>
        <v>0</v>
      </c>
      <c r="T1602" s="69"/>
      <c r="U1602" s="69"/>
    </row>
    <row r="1603" spans="19:21" ht="15" customHeight="1" x14ac:dyDescent="0.2">
      <c r="S1603" s="69">
        <f>_xlfn.XLOOKUP(Results!A1603,Geometry!$B$6:$B$10000,Geometry!$C$6:$C$10000)</f>
        <v>0</v>
      </c>
      <c r="T1603" s="69"/>
      <c r="U1603" s="69"/>
    </row>
    <row r="1604" spans="19:21" ht="15" customHeight="1" x14ac:dyDescent="0.2">
      <c r="S1604" s="69">
        <f>_xlfn.XLOOKUP(Results!A1604,Geometry!$B$6:$B$10000,Geometry!$C$6:$C$10000)</f>
        <v>0</v>
      </c>
      <c r="T1604" s="69"/>
      <c r="U1604" s="69"/>
    </row>
    <row r="1605" spans="19:21" ht="15" customHeight="1" x14ac:dyDescent="0.2">
      <c r="S1605" s="69">
        <f>_xlfn.XLOOKUP(Results!A1605,Geometry!$B$6:$B$10000,Geometry!$C$6:$C$10000)</f>
        <v>0</v>
      </c>
      <c r="T1605" s="69"/>
      <c r="U1605" s="69"/>
    </row>
    <row r="1606" spans="19:21" ht="15" customHeight="1" x14ac:dyDescent="0.2">
      <c r="S1606" s="69">
        <f>_xlfn.XLOOKUP(Results!A1606,Geometry!$B$6:$B$10000,Geometry!$C$6:$C$10000)</f>
        <v>0</v>
      </c>
      <c r="T1606" s="69"/>
      <c r="U1606" s="69"/>
    </row>
    <row r="1607" spans="19:21" ht="15" customHeight="1" x14ac:dyDescent="0.2">
      <c r="S1607" s="69">
        <f>_xlfn.XLOOKUP(Results!A1607,Geometry!$B$6:$B$10000,Geometry!$C$6:$C$10000)</f>
        <v>0</v>
      </c>
      <c r="T1607" s="69"/>
      <c r="U1607" s="69"/>
    </row>
    <row r="1608" spans="19:21" ht="15" customHeight="1" x14ac:dyDescent="0.2">
      <c r="S1608" s="69">
        <f>_xlfn.XLOOKUP(Results!A1608,Geometry!$B$6:$B$10000,Geometry!$C$6:$C$10000)</f>
        <v>0</v>
      </c>
      <c r="T1608" s="69"/>
      <c r="U1608" s="69"/>
    </row>
    <row r="1609" spans="19:21" ht="15" customHeight="1" x14ac:dyDescent="0.2">
      <c r="S1609" s="69">
        <f>_xlfn.XLOOKUP(Results!A1609,Geometry!$B$6:$B$10000,Geometry!$C$6:$C$10000)</f>
        <v>0</v>
      </c>
      <c r="T1609" s="69"/>
      <c r="U1609" s="69"/>
    </row>
    <row r="1610" spans="19:21" ht="15" customHeight="1" x14ac:dyDescent="0.2">
      <c r="S1610" s="69">
        <f>_xlfn.XLOOKUP(Results!A1610,Geometry!$B$6:$B$10000,Geometry!$C$6:$C$10000)</f>
        <v>0</v>
      </c>
      <c r="T1610" s="69"/>
      <c r="U1610" s="69"/>
    </row>
    <row r="1611" spans="19:21" ht="15" customHeight="1" x14ac:dyDescent="0.2">
      <c r="S1611" s="69">
        <f>_xlfn.XLOOKUP(Results!A1611,Geometry!$B$6:$B$10000,Geometry!$C$6:$C$10000)</f>
        <v>0</v>
      </c>
      <c r="T1611" s="69"/>
      <c r="U1611" s="69"/>
    </row>
    <row r="1612" spans="19:21" ht="15" customHeight="1" x14ac:dyDescent="0.2">
      <c r="S1612" s="69">
        <f>_xlfn.XLOOKUP(Results!A1612,Geometry!$B$6:$B$10000,Geometry!$C$6:$C$10000)</f>
        <v>0</v>
      </c>
      <c r="T1612" s="69"/>
      <c r="U1612" s="69"/>
    </row>
    <row r="1613" spans="19:21" ht="15" customHeight="1" x14ac:dyDescent="0.2">
      <c r="S1613" s="69">
        <f>_xlfn.XLOOKUP(Results!A1613,Geometry!$B$6:$B$10000,Geometry!$C$6:$C$10000)</f>
        <v>0</v>
      </c>
      <c r="T1613" s="69"/>
      <c r="U1613" s="69"/>
    </row>
    <row r="1614" spans="19:21" ht="15" customHeight="1" x14ac:dyDescent="0.2">
      <c r="S1614" s="69">
        <f>_xlfn.XLOOKUP(Results!A1614,Geometry!$B$6:$B$10000,Geometry!$C$6:$C$10000)</f>
        <v>0</v>
      </c>
      <c r="T1614" s="69"/>
      <c r="U1614" s="69"/>
    </row>
    <row r="1615" spans="19:21" ht="15" customHeight="1" x14ac:dyDescent="0.2">
      <c r="S1615" s="69">
        <f>_xlfn.XLOOKUP(Results!A1615,Geometry!$B$6:$B$10000,Geometry!$C$6:$C$10000)</f>
        <v>0</v>
      </c>
      <c r="T1615" s="69"/>
      <c r="U1615" s="69"/>
    </row>
    <row r="1616" spans="19:21" ht="15" customHeight="1" x14ac:dyDescent="0.2">
      <c r="S1616" s="69">
        <f>_xlfn.XLOOKUP(Results!A1616,Geometry!$B$6:$B$10000,Geometry!$C$6:$C$10000)</f>
        <v>0</v>
      </c>
      <c r="T1616" s="69"/>
      <c r="U1616" s="69"/>
    </row>
    <row r="1617" spans="19:21" ht="15" customHeight="1" x14ac:dyDescent="0.2">
      <c r="S1617" s="69">
        <f>_xlfn.XLOOKUP(Results!A1617,Geometry!$B$6:$B$10000,Geometry!$C$6:$C$10000)</f>
        <v>0</v>
      </c>
      <c r="T1617" s="69"/>
      <c r="U1617" s="69"/>
    </row>
    <row r="1618" spans="19:21" ht="15" customHeight="1" x14ac:dyDescent="0.2">
      <c r="S1618" s="69">
        <f>_xlfn.XLOOKUP(Results!A1618,Geometry!$B$6:$B$10000,Geometry!$C$6:$C$10000)</f>
        <v>0</v>
      </c>
      <c r="T1618" s="69"/>
      <c r="U1618" s="69"/>
    </row>
    <row r="1619" spans="19:21" ht="15" customHeight="1" x14ac:dyDescent="0.2">
      <c r="S1619" s="69">
        <f>_xlfn.XLOOKUP(Results!A1619,Geometry!$B$6:$B$10000,Geometry!$C$6:$C$10000)</f>
        <v>0</v>
      </c>
      <c r="T1619" s="69"/>
      <c r="U1619" s="69"/>
    </row>
    <row r="1620" spans="19:21" ht="15" customHeight="1" x14ac:dyDescent="0.2">
      <c r="S1620" s="69">
        <f>_xlfn.XLOOKUP(Results!A1620,Geometry!$B$6:$B$10000,Geometry!$C$6:$C$10000)</f>
        <v>0</v>
      </c>
      <c r="T1620" s="69"/>
      <c r="U1620" s="69"/>
    </row>
    <row r="1621" spans="19:21" ht="15" customHeight="1" x14ac:dyDescent="0.2">
      <c r="S1621" s="69">
        <f>_xlfn.XLOOKUP(Results!A1621,Geometry!$B$6:$B$10000,Geometry!$C$6:$C$10000)</f>
        <v>0</v>
      </c>
      <c r="T1621" s="69"/>
      <c r="U1621" s="69"/>
    </row>
    <row r="1622" spans="19:21" ht="15" customHeight="1" x14ac:dyDescent="0.2">
      <c r="S1622" s="69">
        <f>_xlfn.XLOOKUP(Results!A1622,Geometry!$B$6:$B$10000,Geometry!$C$6:$C$10000)</f>
        <v>0</v>
      </c>
      <c r="T1622" s="69"/>
      <c r="U1622" s="69"/>
    </row>
    <row r="1623" spans="19:21" ht="15" customHeight="1" x14ac:dyDescent="0.2">
      <c r="S1623" s="69">
        <f>_xlfn.XLOOKUP(Results!A1623,Geometry!$B$6:$B$10000,Geometry!$C$6:$C$10000)</f>
        <v>0</v>
      </c>
      <c r="T1623" s="69"/>
      <c r="U1623" s="69"/>
    </row>
    <row r="1624" spans="19:21" ht="15" customHeight="1" x14ac:dyDescent="0.2">
      <c r="S1624" s="69">
        <f>_xlfn.XLOOKUP(Results!A1624,Geometry!$B$6:$B$10000,Geometry!$C$6:$C$10000)</f>
        <v>0</v>
      </c>
      <c r="T1624" s="69"/>
      <c r="U1624" s="69"/>
    </row>
    <row r="1625" spans="19:21" ht="15" customHeight="1" x14ac:dyDescent="0.2">
      <c r="S1625" s="69">
        <f>_xlfn.XLOOKUP(Results!A1625,Geometry!$B$6:$B$10000,Geometry!$C$6:$C$10000)</f>
        <v>0</v>
      </c>
      <c r="T1625" s="69"/>
      <c r="U1625" s="69"/>
    </row>
    <row r="1626" spans="19:21" ht="15" customHeight="1" x14ac:dyDescent="0.2">
      <c r="S1626" s="69">
        <f>_xlfn.XLOOKUP(Results!A1626,Geometry!$B$6:$B$10000,Geometry!$C$6:$C$10000)</f>
        <v>0</v>
      </c>
      <c r="T1626" s="69"/>
      <c r="U1626" s="69"/>
    </row>
    <row r="1627" spans="19:21" ht="15" customHeight="1" x14ac:dyDescent="0.2">
      <c r="S1627" s="69">
        <f>_xlfn.XLOOKUP(Results!A1627,Geometry!$B$6:$B$10000,Geometry!$C$6:$C$10000)</f>
        <v>0</v>
      </c>
      <c r="T1627" s="69"/>
      <c r="U1627" s="69"/>
    </row>
    <row r="1628" spans="19:21" ht="15" customHeight="1" x14ac:dyDescent="0.2">
      <c r="S1628" s="69">
        <f>_xlfn.XLOOKUP(Results!A1628,Geometry!$B$6:$B$10000,Geometry!$C$6:$C$10000)</f>
        <v>0</v>
      </c>
      <c r="T1628" s="69"/>
      <c r="U1628" s="69"/>
    </row>
    <row r="1629" spans="19:21" ht="15" customHeight="1" x14ac:dyDescent="0.2">
      <c r="S1629" s="69">
        <f>_xlfn.XLOOKUP(Results!A1629,Geometry!$B$6:$B$10000,Geometry!$C$6:$C$10000)</f>
        <v>0</v>
      </c>
      <c r="T1629" s="69"/>
      <c r="U1629" s="69"/>
    </row>
    <row r="1630" spans="19:21" ht="15" customHeight="1" x14ac:dyDescent="0.2">
      <c r="S1630" s="69">
        <f>_xlfn.XLOOKUP(Results!A1630,Geometry!$B$6:$B$10000,Geometry!$C$6:$C$10000)</f>
        <v>0</v>
      </c>
      <c r="T1630" s="69"/>
      <c r="U1630" s="69"/>
    </row>
    <row r="1631" spans="19:21" ht="15" customHeight="1" x14ac:dyDescent="0.2">
      <c r="S1631" s="69">
        <f>_xlfn.XLOOKUP(Results!A1631,Geometry!$B$6:$B$10000,Geometry!$C$6:$C$10000)</f>
        <v>0</v>
      </c>
      <c r="T1631" s="69"/>
      <c r="U1631" s="69"/>
    </row>
    <row r="1632" spans="19:21" ht="15" customHeight="1" x14ac:dyDescent="0.2">
      <c r="S1632" s="69">
        <f>_xlfn.XLOOKUP(Results!A1632,Geometry!$B$6:$B$10000,Geometry!$C$6:$C$10000)</f>
        <v>0</v>
      </c>
      <c r="T1632" s="69"/>
      <c r="U1632" s="69"/>
    </row>
    <row r="1633" spans="19:21" ht="15" customHeight="1" x14ac:dyDescent="0.2">
      <c r="S1633" s="69">
        <f>_xlfn.XLOOKUP(Results!A1633,Geometry!$B$6:$B$10000,Geometry!$C$6:$C$10000)</f>
        <v>0</v>
      </c>
      <c r="T1633" s="69"/>
      <c r="U1633" s="69"/>
    </row>
    <row r="1634" spans="19:21" ht="15" customHeight="1" x14ac:dyDescent="0.2">
      <c r="S1634" s="69">
        <f>_xlfn.XLOOKUP(Results!A1634,Geometry!$B$6:$B$10000,Geometry!$C$6:$C$10000)</f>
        <v>0</v>
      </c>
      <c r="T1634" s="69"/>
      <c r="U1634" s="69"/>
    </row>
    <row r="1635" spans="19:21" ht="15" customHeight="1" x14ac:dyDescent="0.2">
      <c r="S1635" s="69">
        <f>_xlfn.XLOOKUP(Results!A1635,Geometry!$B$6:$B$10000,Geometry!$C$6:$C$10000)</f>
        <v>0</v>
      </c>
      <c r="T1635" s="69"/>
      <c r="U1635" s="69"/>
    </row>
    <row r="1636" spans="19:21" ht="15" customHeight="1" x14ac:dyDescent="0.2">
      <c r="S1636" s="69">
        <f>_xlfn.XLOOKUP(Results!A1636,Geometry!$B$6:$B$10000,Geometry!$C$6:$C$10000)</f>
        <v>0</v>
      </c>
      <c r="T1636" s="69"/>
      <c r="U1636" s="69"/>
    </row>
    <row r="1637" spans="19:21" ht="15" customHeight="1" x14ac:dyDescent="0.2">
      <c r="S1637" s="69">
        <f>_xlfn.XLOOKUP(Results!A1637,Geometry!$B$6:$B$10000,Geometry!$C$6:$C$10000)</f>
        <v>0</v>
      </c>
      <c r="T1637" s="69"/>
      <c r="U1637" s="69"/>
    </row>
    <row r="1638" spans="19:21" ht="15" customHeight="1" x14ac:dyDescent="0.2">
      <c r="S1638" s="69">
        <f>_xlfn.XLOOKUP(Results!A1638,Geometry!$B$6:$B$10000,Geometry!$C$6:$C$10000)</f>
        <v>0</v>
      </c>
      <c r="T1638" s="69"/>
      <c r="U1638" s="69"/>
    </row>
    <row r="1639" spans="19:21" ht="15" customHeight="1" x14ac:dyDescent="0.2">
      <c r="S1639" s="69">
        <f>_xlfn.XLOOKUP(Results!A1639,Geometry!$B$6:$B$10000,Geometry!$C$6:$C$10000)</f>
        <v>0</v>
      </c>
      <c r="T1639" s="69"/>
      <c r="U1639" s="69"/>
    </row>
    <row r="1640" spans="19:21" ht="15" customHeight="1" x14ac:dyDescent="0.2">
      <c r="S1640" s="69">
        <f>_xlfn.XLOOKUP(Results!A1640,Geometry!$B$6:$B$10000,Geometry!$C$6:$C$10000)</f>
        <v>0</v>
      </c>
      <c r="T1640" s="69"/>
      <c r="U1640" s="69"/>
    </row>
    <row r="1641" spans="19:21" ht="15" customHeight="1" x14ac:dyDescent="0.2">
      <c r="S1641" s="69">
        <f>_xlfn.XLOOKUP(Results!A1641,Geometry!$B$6:$B$10000,Geometry!$C$6:$C$10000)</f>
        <v>0</v>
      </c>
      <c r="T1641" s="69"/>
      <c r="U1641" s="69"/>
    </row>
    <row r="1642" spans="19:21" ht="15" customHeight="1" x14ac:dyDescent="0.2">
      <c r="S1642" s="69">
        <f>_xlfn.XLOOKUP(Results!A1642,Geometry!$B$6:$B$10000,Geometry!$C$6:$C$10000)</f>
        <v>0</v>
      </c>
      <c r="T1642" s="69"/>
      <c r="U1642" s="69"/>
    </row>
    <row r="1643" spans="19:21" ht="15" customHeight="1" x14ac:dyDescent="0.2">
      <c r="S1643" s="69">
        <f>_xlfn.XLOOKUP(Results!A1643,Geometry!$B$6:$B$10000,Geometry!$C$6:$C$10000)</f>
        <v>0</v>
      </c>
      <c r="T1643" s="69"/>
      <c r="U1643" s="69"/>
    </row>
    <row r="1644" spans="19:21" ht="15" customHeight="1" x14ac:dyDescent="0.2">
      <c r="S1644" s="69">
        <f>_xlfn.XLOOKUP(Results!A1644,Geometry!$B$6:$B$10000,Geometry!$C$6:$C$10000)</f>
        <v>0</v>
      </c>
      <c r="T1644" s="69"/>
      <c r="U1644" s="69"/>
    </row>
    <row r="1645" spans="19:21" ht="15" customHeight="1" x14ac:dyDescent="0.2">
      <c r="S1645" s="69">
        <f>_xlfn.XLOOKUP(Results!A1645,Geometry!$B$6:$B$10000,Geometry!$C$6:$C$10000)</f>
        <v>0</v>
      </c>
      <c r="T1645" s="69"/>
      <c r="U1645" s="69"/>
    </row>
    <row r="1646" spans="19:21" ht="15" customHeight="1" x14ac:dyDescent="0.2">
      <c r="S1646" s="69">
        <f>_xlfn.XLOOKUP(Results!A1646,Geometry!$B$6:$B$10000,Geometry!$C$6:$C$10000)</f>
        <v>0</v>
      </c>
      <c r="T1646" s="69"/>
      <c r="U1646" s="69"/>
    </row>
    <row r="1647" spans="19:21" ht="15" customHeight="1" x14ac:dyDescent="0.2">
      <c r="S1647" s="69">
        <f>_xlfn.XLOOKUP(Results!A1647,Geometry!$B$6:$B$10000,Geometry!$C$6:$C$10000)</f>
        <v>0</v>
      </c>
      <c r="T1647" s="69"/>
      <c r="U1647" s="69"/>
    </row>
    <row r="1648" spans="19:21" ht="15" customHeight="1" x14ac:dyDescent="0.2">
      <c r="S1648" s="69">
        <f>_xlfn.XLOOKUP(Results!A1648,Geometry!$B$6:$B$10000,Geometry!$C$6:$C$10000)</f>
        <v>0</v>
      </c>
      <c r="T1648" s="69"/>
      <c r="U1648" s="69"/>
    </row>
    <row r="1649" spans="19:21" ht="15" customHeight="1" x14ac:dyDescent="0.2">
      <c r="S1649" s="69">
        <f>_xlfn.XLOOKUP(Results!A1649,Geometry!$B$6:$B$10000,Geometry!$C$6:$C$10000)</f>
        <v>0</v>
      </c>
      <c r="T1649" s="69"/>
      <c r="U1649" s="69"/>
    </row>
    <row r="1650" spans="19:21" ht="15" customHeight="1" x14ac:dyDescent="0.2">
      <c r="S1650" s="69">
        <f>_xlfn.XLOOKUP(Results!A1650,Geometry!$B$6:$B$10000,Geometry!$C$6:$C$10000)</f>
        <v>0</v>
      </c>
      <c r="T1650" s="69"/>
      <c r="U1650" s="69"/>
    </row>
    <row r="1651" spans="19:21" ht="15" customHeight="1" x14ac:dyDescent="0.2">
      <c r="S1651" s="69">
        <f>_xlfn.XLOOKUP(Results!A1651,Geometry!$B$6:$B$10000,Geometry!$C$6:$C$10000)</f>
        <v>0</v>
      </c>
      <c r="T1651" s="69"/>
      <c r="U1651" s="69"/>
    </row>
    <row r="1652" spans="19:21" ht="15" customHeight="1" x14ac:dyDescent="0.2">
      <c r="S1652" s="69">
        <f>_xlfn.XLOOKUP(Results!A1652,Geometry!$B$6:$B$10000,Geometry!$C$6:$C$10000)</f>
        <v>0</v>
      </c>
      <c r="T1652" s="69"/>
      <c r="U1652" s="69"/>
    </row>
    <row r="1653" spans="19:21" ht="15" customHeight="1" x14ac:dyDescent="0.2">
      <c r="S1653" s="69">
        <f>_xlfn.XLOOKUP(Results!A1653,Geometry!$B$6:$B$10000,Geometry!$C$6:$C$10000)</f>
        <v>0</v>
      </c>
      <c r="T1653" s="69"/>
      <c r="U1653" s="69"/>
    </row>
    <row r="1654" spans="19:21" ht="15" customHeight="1" x14ac:dyDescent="0.2">
      <c r="S1654" s="69">
        <f>_xlfn.XLOOKUP(Results!A1654,Geometry!$B$6:$B$10000,Geometry!$C$6:$C$10000)</f>
        <v>0</v>
      </c>
      <c r="T1654" s="69"/>
      <c r="U1654" s="69"/>
    </row>
    <row r="1655" spans="19:21" ht="15" customHeight="1" x14ac:dyDescent="0.2">
      <c r="S1655" s="69">
        <f>_xlfn.XLOOKUP(Results!A1655,Geometry!$B$6:$B$10000,Geometry!$C$6:$C$10000)</f>
        <v>0</v>
      </c>
      <c r="T1655" s="69"/>
      <c r="U1655" s="69"/>
    </row>
    <row r="1656" spans="19:21" ht="15" customHeight="1" x14ac:dyDescent="0.2">
      <c r="S1656" s="69">
        <f>_xlfn.XLOOKUP(Results!A1656,Geometry!$B$6:$B$10000,Geometry!$C$6:$C$10000)</f>
        <v>0</v>
      </c>
      <c r="T1656" s="69"/>
      <c r="U1656" s="69"/>
    </row>
    <row r="1657" spans="19:21" ht="15" customHeight="1" x14ac:dyDescent="0.2">
      <c r="S1657" s="69">
        <f>_xlfn.XLOOKUP(Results!A1657,Geometry!$B$6:$B$10000,Geometry!$C$6:$C$10000)</f>
        <v>0</v>
      </c>
      <c r="T1657" s="69"/>
      <c r="U1657" s="69"/>
    </row>
    <row r="1658" spans="19:21" ht="15" customHeight="1" x14ac:dyDescent="0.2">
      <c r="S1658" s="69">
        <f>_xlfn.XLOOKUP(Results!A1658,Geometry!$B$6:$B$10000,Geometry!$C$6:$C$10000)</f>
        <v>0</v>
      </c>
      <c r="T1658" s="69"/>
      <c r="U1658" s="69"/>
    </row>
    <row r="1659" spans="19:21" ht="15" customHeight="1" x14ac:dyDescent="0.2">
      <c r="S1659" s="69">
        <f>_xlfn.XLOOKUP(Results!A1659,Geometry!$B$6:$B$10000,Geometry!$C$6:$C$10000)</f>
        <v>0</v>
      </c>
      <c r="T1659" s="69"/>
      <c r="U1659" s="69"/>
    </row>
    <row r="1660" spans="19:21" ht="15" customHeight="1" x14ac:dyDescent="0.2">
      <c r="S1660" s="69">
        <f>_xlfn.XLOOKUP(Results!A1660,Geometry!$B$6:$B$10000,Geometry!$C$6:$C$10000)</f>
        <v>0</v>
      </c>
      <c r="T1660" s="69"/>
      <c r="U1660" s="69"/>
    </row>
    <row r="1661" spans="19:21" ht="15" customHeight="1" x14ac:dyDescent="0.2">
      <c r="S1661" s="69">
        <f>_xlfn.XLOOKUP(Results!A1661,Geometry!$B$6:$B$10000,Geometry!$C$6:$C$10000)</f>
        <v>0</v>
      </c>
      <c r="T1661" s="69"/>
      <c r="U1661" s="69"/>
    </row>
    <row r="1662" spans="19:21" ht="15" customHeight="1" x14ac:dyDescent="0.2">
      <c r="S1662" s="69">
        <f>_xlfn.XLOOKUP(Results!A1662,Geometry!$B$6:$B$10000,Geometry!$C$6:$C$10000)</f>
        <v>0</v>
      </c>
      <c r="T1662" s="69"/>
      <c r="U1662" s="69"/>
    </row>
    <row r="1663" spans="19:21" ht="15" customHeight="1" x14ac:dyDescent="0.2">
      <c r="S1663" s="69">
        <f>_xlfn.XLOOKUP(Results!A1663,Geometry!$B$6:$B$10000,Geometry!$C$6:$C$10000)</f>
        <v>0</v>
      </c>
      <c r="T1663" s="69"/>
      <c r="U1663" s="69"/>
    </row>
    <row r="1664" spans="19:21" ht="15" customHeight="1" x14ac:dyDescent="0.2">
      <c r="S1664" s="69">
        <f>_xlfn.XLOOKUP(Results!A1664,Geometry!$B$6:$B$10000,Geometry!$C$6:$C$10000)</f>
        <v>0</v>
      </c>
      <c r="T1664" s="69"/>
      <c r="U1664" s="69"/>
    </row>
    <row r="1665" spans="19:21" ht="15" customHeight="1" x14ac:dyDescent="0.2">
      <c r="S1665" s="69">
        <f>_xlfn.XLOOKUP(Results!A1665,Geometry!$B$6:$B$10000,Geometry!$C$6:$C$10000)</f>
        <v>0</v>
      </c>
      <c r="T1665" s="69"/>
      <c r="U1665" s="69"/>
    </row>
    <row r="1666" spans="19:21" ht="15" customHeight="1" x14ac:dyDescent="0.2">
      <c r="S1666" s="69">
        <f>_xlfn.XLOOKUP(Results!A1666,Geometry!$B$6:$B$10000,Geometry!$C$6:$C$10000)</f>
        <v>0</v>
      </c>
      <c r="T1666" s="69"/>
      <c r="U1666" s="69"/>
    </row>
    <row r="1667" spans="19:21" ht="15" customHeight="1" x14ac:dyDescent="0.2">
      <c r="S1667" s="69">
        <f>_xlfn.XLOOKUP(Results!A1667,Geometry!$B$6:$B$10000,Geometry!$C$6:$C$10000)</f>
        <v>0</v>
      </c>
      <c r="T1667" s="69"/>
      <c r="U1667" s="69"/>
    </row>
    <row r="1668" spans="19:21" ht="15" customHeight="1" x14ac:dyDescent="0.2">
      <c r="S1668" s="69">
        <f>_xlfn.XLOOKUP(Results!A1668,Geometry!$B$6:$B$10000,Geometry!$C$6:$C$10000)</f>
        <v>0</v>
      </c>
      <c r="T1668" s="69"/>
      <c r="U1668" s="69"/>
    </row>
    <row r="1669" spans="19:21" ht="15" customHeight="1" x14ac:dyDescent="0.2">
      <c r="S1669" s="69">
        <f>_xlfn.XLOOKUP(Results!A1669,Geometry!$B$6:$B$10000,Geometry!$C$6:$C$10000)</f>
        <v>0</v>
      </c>
      <c r="T1669" s="69"/>
      <c r="U1669" s="69"/>
    </row>
    <row r="1670" spans="19:21" ht="15" customHeight="1" x14ac:dyDescent="0.2">
      <c r="S1670" s="69">
        <f>_xlfn.XLOOKUP(Results!A1670,Geometry!$B$6:$B$10000,Geometry!$C$6:$C$10000)</f>
        <v>0</v>
      </c>
      <c r="T1670" s="69"/>
      <c r="U1670" s="69"/>
    </row>
    <row r="1671" spans="19:21" ht="15" customHeight="1" x14ac:dyDescent="0.2">
      <c r="S1671" s="69">
        <f>_xlfn.XLOOKUP(Results!A1671,Geometry!$B$6:$B$10000,Geometry!$C$6:$C$10000)</f>
        <v>0</v>
      </c>
      <c r="T1671" s="69"/>
      <c r="U1671" s="69"/>
    </row>
    <row r="1672" spans="19:21" ht="15" customHeight="1" x14ac:dyDescent="0.2">
      <c r="S1672" s="69">
        <f>_xlfn.XLOOKUP(Results!A1672,Geometry!$B$6:$B$10000,Geometry!$C$6:$C$10000)</f>
        <v>0</v>
      </c>
      <c r="T1672" s="69"/>
      <c r="U1672" s="69"/>
    </row>
    <row r="1673" spans="19:21" ht="15" customHeight="1" x14ac:dyDescent="0.2">
      <c r="S1673" s="69">
        <f>_xlfn.XLOOKUP(Results!A1673,Geometry!$B$6:$B$10000,Geometry!$C$6:$C$10000)</f>
        <v>0</v>
      </c>
      <c r="T1673" s="69"/>
      <c r="U1673" s="69"/>
    </row>
    <row r="1674" spans="19:21" ht="15" customHeight="1" x14ac:dyDescent="0.2">
      <c r="S1674" s="69">
        <f>_xlfn.XLOOKUP(Results!A1674,Geometry!$B$6:$B$10000,Geometry!$C$6:$C$10000)</f>
        <v>0</v>
      </c>
      <c r="T1674" s="69"/>
      <c r="U1674" s="69"/>
    </row>
    <row r="1675" spans="19:21" ht="15" customHeight="1" x14ac:dyDescent="0.2">
      <c r="S1675" s="69">
        <f>_xlfn.XLOOKUP(Results!A1675,Geometry!$B$6:$B$10000,Geometry!$C$6:$C$10000)</f>
        <v>0</v>
      </c>
      <c r="T1675" s="69"/>
      <c r="U1675" s="69"/>
    </row>
    <row r="1676" spans="19:21" ht="15" customHeight="1" x14ac:dyDescent="0.2">
      <c r="S1676" s="69">
        <f>_xlfn.XLOOKUP(Results!A1676,Geometry!$B$6:$B$10000,Geometry!$C$6:$C$10000)</f>
        <v>0</v>
      </c>
      <c r="T1676" s="69"/>
      <c r="U1676" s="69"/>
    </row>
    <row r="1677" spans="19:21" ht="15" customHeight="1" x14ac:dyDescent="0.2">
      <c r="S1677" s="69">
        <f>_xlfn.XLOOKUP(Results!A1677,Geometry!$B$6:$B$10000,Geometry!$C$6:$C$10000)</f>
        <v>0</v>
      </c>
      <c r="T1677" s="69"/>
      <c r="U1677" s="69"/>
    </row>
    <row r="1678" spans="19:21" ht="15" customHeight="1" x14ac:dyDescent="0.2">
      <c r="S1678" s="69">
        <f>_xlfn.XLOOKUP(Results!A1678,Geometry!$B$6:$B$10000,Geometry!$C$6:$C$10000)</f>
        <v>0</v>
      </c>
      <c r="T1678" s="69"/>
      <c r="U1678" s="69"/>
    </row>
    <row r="1679" spans="19:21" ht="15" customHeight="1" x14ac:dyDescent="0.2">
      <c r="S1679" s="69">
        <f>_xlfn.XLOOKUP(Results!A1679,Geometry!$B$6:$B$10000,Geometry!$C$6:$C$10000)</f>
        <v>0</v>
      </c>
      <c r="T1679" s="69"/>
      <c r="U1679" s="69"/>
    </row>
    <row r="1680" spans="19:21" ht="15" customHeight="1" x14ac:dyDescent="0.2">
      <c r="S1680" s="69">
        <f>_xlfn.XLOOKUP(Results!A1680,Geometry!$B$6:$B$10000,Geometry!$C$6:$C$10000)</f>
        <v>0</v>
      </c>
      <c r="T1680" s="69"/>
      <c r="U1680" s="69"/>
    </row>
    <row r="1681" spans="19:21" ht="15" customHeight="1" x14ac:dyDescent="0.2">
      <c r="S1681" s="69">
        <f>_xlfn.XLOOKUP(Results!A1681,Geometry!$B$6:$B$10000,Geometry!$C$6:$C$10000)</f>
        <v>0</v>
      </c>
      <c r="T1681" s="69"/>
      <c r="U1681" s="69"/>
    </row>
    <row r="1682" spans="19:21" ht="15" customHeight="1" x14ac:dyDescent="0.2">
      <c r="S1682" s="69">
        <f>_xlfn.XLOOKUP(Results!A1682,Geometry!$B$6:$B$10000,Geometry!$C$6:$C$10000)</f>
        <v>0</v>
      </c>
      <c r="T1682" s="69"/>
      <c r="U1682" s="69"/>
    </row>
    <row r="1683" spans="19:21" ht="15" customHeight="1" x14ac:dyDescent="0.2">
      <c r="S1683" s="69">
        <f>_xlfn.XLOOKUP(Results!A1683,Geometry!$B$6:$B$10000,Geometry!$C$6:$C$10000)</f>
        <v>0</v>
      </c>
      <c r="T1683" s="69"/>
      <c r="U1683" s="69"/>
    </row>
    <row r="1684" spans="19:21" ht="15" customHeight="1" x14ac:dyDescent="0.2">
      <c r="S1684" s="69">
        <f>_xlfn.XLOOKUP(Results!A1684,Geometry!$B$6:$B$10000,Geometry!$C$6:$C$10000)</f>
        <v>0</v>
      </c>
      <c r="T1684" s="69"/>
      <c r="U1684" s="69"/>
    </row>
    <row r="1685" spans="19:21" ht="15" customHeight="1" x14ac:dyDescent="0.2">
      <c r="S1685" s="69">
        <f>_xlfn.XLOOKUP(Results!A1685,Geometry!$B$6:$B$10000,Geometry!$C$6:$C$10000)</f>
        <v>0</v>
      </c>
      <c r="T1685" s="69"/>
      <c r="U1685" s="69"/>
    </row>
    <row r="1686" spans="19:21" ht="15" customHeight="1" x14ac:dyDescent="0.2">
      <c r="S1686" s="69">
        <f>_xlfn.XLOOKUP(Results!A1686,Geometry!$B$6:$B$10000,Geometry!$C$6:$C$10000)</f>
        <v>0</v>
      </c>
      <c r="T1686" s="69"/>
      <c r="U1686" s="69"/>
    </row>
    <row r="1687" spans="19:21" ht="15" customHeight="1" x14ac:dyDescent="0.2">
      <c r="S1687" s="69">
        <f>_xlfn.XLOOKUP(Results!A1687,Geometry!$B$6:$B$10000,Geometry!$C$6:$C$10000)</f>
        <v>0</v>
      </c>
      <c r="T1687" s="69"/>
      <c r="U1687" s="69"/>
    </row>
    <row r="1688" spans="19:21" ht="15" customHeight="1" x14ac:dyDescent="0.2">
      <c r="S1688" s="69">
        <f>_xlfn.XLOOKUP(Results!A1688,Geometry!$B$6:$B$10000,Geometry!$C$6:$C$10000)</f>
        <v>0</v>
      </c>
      <c r="T1688" s="69"/>
      <c r="U1688" s="69"/>
    </row>
    <row r="1689" spans="19:21" ht="15" customHeight="1" x14ac:dyDescent="0.2">
      <c r="S1689" s="69">
        <f>_xlfn.XLOOKUP(Results!A1689,Geometry!$B$6:$B$10000,Geometry!$C$6:$C$10000)</f>
        <v>0</v>
      </c>
      <c r="T1689" s="69"/>
      <c r="U1689" s="69"/>
    </row>
    <row r="1690" spans="19:21" ht="15" customHeight="1" x14ac:dyDescent="0.2">
      <c r="S1690" s="69">
        <f>_xlfn.XLOOKUP(Results!A1690,Geometry!$B$6:$B$10000,Geometry!$C$6:$C$10000)</f>
        <v>0</v>
      </c>
      <c r="T1690" s="69"/>
      <c r="U1690" s="69"/>
    </row>
    <row r="1691" spans="19:21" ht="15" customHeight="1" x14ac:dyDescent="0.2">
      <c r="S1691" s="69">
        <f>_xlfn.XLOOKUP(Results!A1691,Geometry!$B$6:$B$10000,Geometry!$C$6:$C$10000)</f>
        <v>0</v>
      </c>
      <c r="T1691" s="69"/>
      <c r="U1691" s="69"/>
    </row>
    <row r="1692" spans="19:21" ht="15" customHeight="1" x14ac:dyDescent="0.2">
      <c r="S1692" s="69">
        <f>_xlfn.XLOOKUP(Results!A1692,Geometry!$B$6:$B$10000,Geometry!$C$6:$C$10000)</f>
        <v>0</v>
      </c>
      <c r="T1692" s="69"/>
      <c r="U1692" s="69"/>
    </row>
    <row r="1693" spans="19:21" ht="15" customHeight="1" x14ac:dyDescent="0.2">
      <c r="S1693" s="69">
        <f>_xlfn.XLOOKUP(Results!A1693,Geometry!$B$6:$B$10000,Geometry!$C$6:$C$10000)</f>
        <v>0</v>
      </c>
      <c r="T1693" s="69"/>
      <c r="U1693" s="69"/>
    </row>
    <row r="1694" spans="19:21" ht="15" customHeight="1" x14ac:dyDescent="0.2">
      <c r="S1694" s="69">
        <f>_xlfn.XLOOKUP(Results!A1694,Geometry!$B$6:$B$10000,Geometry!$C$6:$C$10000)</f>
        <v>0</v>
      </c>
      <c r="T1694" s="69"/>
      <c r="U1694" s="69"/>
    </row>
    <row r="1695" spans="19:21" ht="15" customHeight="1" x14ac:dyDescent="0.2">
      <c r="S1695" s="69">
        <f>_xlfn.XLOOKUP(Results!A1695,Geometry!$B$6:$B$10000,Geometry!$C$6:$C$10000)</f>
        <v>0</v>
      </c>
      <c r="T1695" s="69"/>
      <c r="U1695" s="69"/>
    </row>
    <row r="1696" spans="19:21" ht="15" customHeight="1" x14ac:dyDescent="0.2">
      <c r="S1696" s="69">
        <f>_xlfn.XLOOKUP(Results!A1696,Geometry!$B$6:$B$10000,Geometry!$C$6:$C$10000)</f>
        <v>0</v>
      </c>
      <c r="T1696" s="69"/>
      <c r="U1696" s="69"/>
    </row>
    <row r="1697" spans="19:21" ht="15" customHeight="1" x14ac:dyDescent="0.2">
      <c r="S1697" s="69">
        <f>_xlfn.XLOOKUP(Results!A1697,Geometry!$B$6:$B$10000,Geometry!$C$6:$C$10000)</f>
        <v>0</v>
      </c>
      <c r="T1697" s="69"/>
      <c r="U1697" s="69"/>
    </row>
    <row r="1698" spans="19:21" ht="15" customHeight="1" x14ac:dyDescent="0.2">
      <c r="S1698" s="69">
        <f>_xlfn.XLOOKUP(Results!A1698,Geometry!$B$6:$B$10000,Geometry!$C$6:$C$10000)</f>
        <v>0</v>
      </c>
      <c r="T1698" s="69"/>
      <c r="U1698" s="69"/>
    </row>
    <row r="1699" spans="19:21" ht="15" customHeight="1" x14ac:dyDescent="0.2">
      <c r="S1699" s="69">
        <f>_xlfn.XLOOKUP(Results!A1699,Geometry!$B$6:$B$10000,Geometry!$C$6:$C$10000)</f>
        <v>0</v>
      </c>
      <c r="T1699" s="69"/>
      <c r="U1699" s="69"/>
    </row>
    <row r="1700" spans="19:21" ht="15" customHeight="1" x14ac:dyDescent="0.2">
      <c r="S1700" s="69">
        <f>_xlfn.XLOOKUP(Results!A1700,Geometry!$B$6:$B$10000,Geometry!$C$6:$C$10000)</f>
        <v>0</v>
      </c>
      <c r="T1700" s="69"/>
      <c r="U1700" s="69"/>
    </row>
    <row r="1701" spans="19:21" ht="15" customHeight="1" x14ac:dyDescent="0.2">
      <c r="S1701" s="69">
        <f>_xlfn.XLOOKUP(Results!A1701,Geometry!$B$6:$B$10000,Geometry!$C$6:$C$10000)</f>
        <v>0</v>
      </c>
      <c r="T1701" s="69"/>
      <c r="U1701" s="69"/>
    </row>
    <row r="1702" spans="19:21" ht="15" customHeight="1" x14ac:dyDescent="0.2">
      <c r="S1702" s="69">
        <f>_xlfn.XLOOKUP(Results!A1702,Geometry!$B$6:$B$10000,Geometry!$C$6:$C$10000)</f>
        <v>0</v>
      </c>
      <c r="T1702" s="69"/>
      <c r="U1702" s="69"/>
    </row>
    <row r="1703" spans="19:21" ht="15" customHeight="1" x14ac:dyDescent="0.2">
      <c r="S1703" s="69">
        <f>_xlfn.XLOOKUP(Results!A1703,Geometry!$B$6:$B$10000,Geometry!$C$6:$C$10000)</f>
        <v>0</v>
      </c>
      <c r="T1703" s="69"/>
      <c r="U1703" s="69"/>
    </row>
    <row r="1704" spans="19:21" ht="15" customHeight="1" x14ac:dyDescent="0.2">
      <c r="S1704" s="69">
        <f>_xlfn.XLOOKUP(Results!A1704,Geometry!$B$6:$B$10000,Geometry!$C$6:$C$10000)</f>
        <v>0</v>
      </c>
      <c r="T1704" s="69"/>
      <c r="U1704" s="69"/>
    </row>
    <row r="1705" spans="19:21" ht="15" customHeight="1" x14ac:dyDescent="0.2">
      <c r="S1705" s="69">
        <f>_xlfn.XLOOKUP(Results!A1705,Geometry!$B$6:$B$10000,Geometry!$C$6:$C$10000)</f>
        <v>0</v>
      </c>
      <c r="T1705" s="69"/>
      <c r="U1705" s="69"/>
    </row>
    <row r="1706" spans="19:21" ht="15" customHeight="1" x14ac:dyDescent="0.2">
      <c r="S1706" s="69">
        <f>_xlfn.XLOOKUP(Results!A1706,Geometry!$B$6:$B$10000,Geometry!$C$6:$C$10000)</f>
        <v>0</v>
      </c>
      <c r="T1706" s="69"/>
      <c r="U1706" s="69"/>
    </row>
    <row r="1707" spans="19:21" ht="15" customHeight="1" x14ac:dyDescent="0.2">
      <c r="S1707" s="69">
        <f>_xlfn.XLOOKUP(Results!A1707,Geometry!$B$6:$B$10000,Geometry!$C$6:$C$10000)</f>
        <v>0</v>
      </c>
      <c r="T1707" s="69"/>
      <c r="U1707" s="69"/>
    </row>
    <row r="1708" spans="19:21" ht="15" customHeight="1" x14ac:dyDescent="0.2">
      <c r="S1708" s="69">
        <f>_xlfn.XLOOKUP(Results!A1708,Geometry!$B$6:$B$10000,Geometry!$C$6:$C$10000)</f>
        <v>0</v>
      </c>
      <c r="T1708" s="69"/>
      <c r="U1708" s="69"/>
    </row>
    <row r="1709" spans="19:21" ht="15" customHeight="1" x14ac:dyDescent="0.2">
      <c r="S1709" s="69">
        <f>_xlfn.XLOOKUP(Results!A1709,Geometry!$B$6:$B$10000,Geometry!$C$6:$C$10000)</f>
        <v>0</v>
      </c>
      <c r="T1709" s="69"/>
      <c r="U1709" s="69"/>
    </row>
    <row r="1710" spans="19:21" ht="15" customHeight="1" x14ac:dyDescent="0.2">
      <c r="S1710" s="69">
        <f>_xlfn.XLOOKUP(Results!A1710,Geometry!$B$6:$B$10000,Geometry!$C$6:$C$10000)</f>
        <v>0</v>
      </c>
      <c r="T1710" s="69"/>
      <c r="U1710" s="69"/>
    </row>
    <row r="1711" spans="19:21" ht="15" customHeight="1" x14ac:dyDescent="0.2">
      <c r="S1711" s="69">
        <f>_xlfn.XLOOKUP(Results!A1711,Geometry!$B$6:$B$10000,Geometry!$C$6:$C$10000)</f>
        <v>0</v>
      </c>
      <c r="T1711" s="69"/>
      <c r="U1711" s="69"/>
    </row>
    <row r="1712" spans="19:21" ht="15" customHeight="1" x14ac:dyDescent="0.2">
      <c r="S1712" s="69">
        <f>_xlfn.XLOOKUP(Results!A1712,Geometry!$B$6:$B$10000,Geometry!$C$6:$C$10000)</f>
        <v>0</v>
      </c>
      <c r="T1712" s="69"/>
      <c r="U1712" s="69"/>
    </row>
    <row r="1713" spans="19:21" ht="15" customHeight="1" x14ac:dyDescent="0.2">
      <c r="S1713" s="69">
        <f>_xlfn.XLOOKUP(Results!A1713,Geometry!$B$6:$B$10000,Geometry!$C$6:$C$10000)</f>
        <v>0</v>
      </c>
      <c r="T1713" s="69"/>
      <c r="U1713" s="69"/>
    </row>
    <row r="1714" spans="19:21" ht="15" customHeight="1" x14ac:dyDescent="0.2">
      <c r="S1714" s="69">
        <f>_xlfn.XLOOKUP(Results!A1714,Geometry!$B$6:$B$10000,Geometry!$C$6:$C$10000)</f>
        <v>0</v>
      </c>
      <c r="T1714" s="69"/>
      <c r="U1714" s="69"/>
    </row>
    <row r="1715" spans="19:21" ht="15" customHeight="1" x14ac:dyDescent="0.2">
      <c r="S1715" s="69">
        <f>_xlfn.XLOOKUP(Results!A1715,Geometry!$B$6:$B$10000,Geometry!$C$6:$C$10000)</f>
        <v>0</v>
      </c>
      <c r="T1715" s="69"/>
      <c r="U1715" s="69"/>
    </row>
    <row r="1716" spans="19:21" ht="15" customHeight="1" x14ac:dyDescent="0.2">
      <c r="S1716" s="69">
        <f>_xlfn.XLOOKUP(Results!A1716,Geometry!$B$6:$B$10000,Geometry!$C$6:$C$10000)</f>
        <v>0</v>
      </c>
      <c r="T1716" s="69"/>
      <c r="U1716" s="69"/>
    </row>
    <row r="1717" spans="19:21" ht="15" customHeight="1" x14ac:dyDescent="0.2">
      <c r="S1717" s="69">
        <f>_xlfn.XLOOKUP(Results!A1717,Geometry!$B$6:$B$10000,Geometry!$C$6:$C$10000)</f>
        <v>0</v>
      </c>
      <c r="T1717" s="69"/>
      <c r="U1717" s="69"/>
    </row>
    <row r="1718" spans="19:21" ht="15" customHeight="1" x14ac:dyDescent="0.2">
      <c r="S1718" s="69">
        <f>_xlfn.XLOOKUP(Results!A1718,Geometry!$B$6:$B$10000,Geometry!$C$6:$C$10000)</f>
        <v>0</v>
      </c>
      <c r="T1718" s="69"/>
      <c r="U1718" s="69"/>
    </row>
    <row r="1719" spans="19:21" ht="15" customHeight="1" x14ac:dyDescent="0.2">
      <c r="S1719" s="69">
        <f>_xlfn.XLOOKUP(Results!A1719,Geometry!$B$6:$B$10000,Geometry!$C$6:$C$10000)</f>
        <v>0</v>
      </c>
      <c r="T1719" s="69"/>
      <c r="U1719" s="69"/>
    </row>
    <row r="1720" spans="19:21" ht="15" customHeight="1" x14ac:dyDescent="0.2">
      <c r="S1720" s="69">
        <f>_xlfn.XLOOKUP(Results!A1720,Geometry!$B$6:$B$10000,Geometry!$C$6:$C$10000)</f>
        <v>0</v>
      </c>
      <c r="T1720" s="69"/>
      <c r="U1720" s="69"/>
    </row>
    <row r="1721" spans="19:21" ht="15" customHeight="1" x14ac:dyDescent="0.2">
      <c r="S1721" s="69">
        <f>_xlfn.XLOOKUP(Results!A1721,Geometry!$B$6:$B$10000,Geometry!$C$6:$C$10000)</f>
        <v>0</v>
      </c>
      <c r="T1721" s="69"/>
      <c r="U1721" s="69"/>
    </row>
    <row r="1722" spans="19:21" ht="15" customHeight="1" x14ac:dyDescent="0.2">
      <c r="S1722" s="69">
        <f>_xlfn.XLOOKUP(Results!A1722,Geometry!$B$6:$B$10000,Geometry!$C$6:$C$10000)</f>
        <v>0</v>
      </c>
      <c r="T1722" s="69"/>
      <c r="U1722" s="69"/>
    </row>
    <row r="1723" spans="19:21" ht="15" customHeight="1" x14ac:dyDescent="0.2">
      <c r="S1723" s="69">
        <f>_xlfn.XLOOKUP(Results!A1723,Geometry!$B$6:$B$10000,Geometry!$C$6:$C$10000)</f>
        <v>0</v>
      </c>
      <c r="T1723" s="69"/>
      <c r="U1723" s="69"/>
    </row>
    <row r="1724" spans="19:21" ht="15" customHeight="1" x14ac:dyDescent="0.2">
      <c r="S1724" s="69">
        <f>_xlfn.XLOOKUP(Results!A1724,Geometry!$B$6:$B$10000,Geometry!$C$6:$C$10000)</f>
        <v>0</v>
      </c>
      <c r="T1724" s="69"/>
      <c r="U1724" s="69"/>
    </row>
    <row r="1725" spans="19:21" ht="15" customHeight="1" x14ac:dyDescent="0.2">
      <c r="S1725" s="69">
        <f>_xlfn.XLOOKUP(Results!A1725,Geometry!$B$6:$B$10000,Geometry!$C$6:$C$10000)</f>
        <v>0</v>
      </c>
      <c r="T1725" s="69"/>
      <c r="U1725" s="69"/>
    </row>
    <row r="1726" spans="19:21" ht="15" customHeight="1" x14ac:dyDescent="0.2">
      <c r="S1726" s="69">
        <f>_xlfn.XLOOKUP(Results!A1726,Geometry!$B$6:$B$10000,Geometry!$C$6:$C$10000)</f>
        <v>0</v>
      </c>
      <c r="T1726" s="69"/>
      <c r="U1726" s="69"/>
    </row>
    <row r="1727" spans="19:21" ht="15" customHeight="1" x14ac:dyDescent="0.2">
      <c r="S1727" s="69">
        <f>_xlfn.XLOOKUP(Results!A1727,Geometry!$B$6:$B$10000,Geometry!$C$6:$C$10000)</f>
        <v>0</v>
      </c>
      <c r="T1727" s="69"/>
      <c r="U1727" s="69"/>
    </row>
    <row r="1728" spans="19:21" ht="15" customHeight="1" x14ac:dyDescent="0.2">
      <c r="S1728" s="69">
        <f>_xlfn.XLOOKUP(Results!A1728,Geometry!$B$6:$B$10000,Geometry!$C$6:$C$10000)</f>
        <v>0</v>
      </c>
      <c r="T1728" s="69"/>
      <c r="U1728" s="69"/>
    </row>
    <row r="1729" spans="19:21" ht="15" customHeight="1" x14ac:dyDescent="0.2">
      <c r="S1729" s="69">
        <f>_xlfn.XLOOKUP(Results!A1729,Geometry!$B$6:$B$10000,Geometry!$C$6:$C$10000)</f>
        <v>0</v>
      </c>
      <c r="T1729" s="69"/>
      <c r="U1729" s="69"/>
    </row>
    <row r="1730" spans="19:21" ht="15" customHeight="1" x14ac:dyDescent="0.2">
      <c r="S1730" s="69">
        <f>_xlfn.XLOOKUP(Results!A1730,Geometry!$B$6:$B$10000,Geometry!$C$6:$C$10000)</f>
        <v>0</v>
      </c>
      <c r="T1730" s="69"/>
      <c r="U1730" s="69"/>
    </row>
    <row r="1731" spans="19:21" ht="15" customHeight="1" x14ac:dyDescent="0.2">
      <c r="S1731" s="69">
        <f>_xlfn.XLOOKUP(Results!A1731,Geometry!$B$6:$B$10000,Geometry!$C$6:$C$10000)</f>
        <v>0</v>
      </c>
      <c r="T1731" s="69"/>
      <c r="U1731" s="69"/>
    </row>
    <row r="1732" spans="19:21" ht="15" customHeight="1" x14ac:dyDescent="0.2">
      <c r="S1732" s="69">
        <f>_xlfn.XLOOKUP(Results!A1732,Geometry!$B$6:$B$10000,Geometry!$C$6:$C$10000)</f>
        <v>0</v>
      </c>
      <c r="T1732" s="69"/>
      <c r="U1732" s="69"/>
    </row>
    <row r="1733" spans="19:21" ht="15" customHeight="1" x14ac:dyDescent="0.2">
      <c r="S1733" s="69">
        <f>_xlfn.XLOOKUP(Results!A1733,Geometry!$B$6:$B$10000,Geometry!$C$6:$C$10000)</f>
        <v>0</v>
      </c>
      <c r="T1733" s="69"/>
      <c r="U1733" s="69"/>
    </row>
    <row r="1734" spans="19:21" ht="15" customHeight="1" x14ac:dyDescent="0.2">
      <c r="S1734" s="69">
        <f>_xlfn.XLOOKUP(Results!A1734,Geometry!$B$6:$B$10000,Geometry!$C$6:$C$10000)</f>
        <v>0</v>
      </c>
      <c r="T1734" s="69"/>
      <c r="U1734" s="69"/>
    </row>
    <row r="1735" spans="19:21" ht="15" customHeight="1" x14ac:dyDescent="0.2">
      <c r="S1735" s="69">
        <f>_xlfn.XLOOKUP(Results!A1735,Geometry!$B$6:$B$10000,Geometry!$C$6:$C$10000)</f>
        <v>0</v>
      </c>
      <c r="T1735" s="69"/>
      <c r="U1735" s="69"/>
    </row>
    <row r="1736" spans="19:21" ht="15" customHeight="1" x14ac:dyDescent="0.2">
      <c r="S1736" s="69">
        <f>_xlfn.XLOOKUP(Results!A1736,Geometry!$B$6:$B$10000,Geometry!$C$6:$C$10000)</f>
        <v>0</v>
      </c>
      <c r="T1736" s="69"/>
      <c r="U1736" s="69"/>
    </row>
    <row r="1737" spans="19:21" ht="15" customHeight="1" x14ac:dyDescent="0.2">
      <c r="S1737" s="69">
        <f>_xlfn.XLOOKUP(Results!A1737,Geometry!$B$6:$B$10000,Geometry!$C$6:$C$10000)</f>
        <v>0</v>
      </c>
      <c r="T1737" s="69"/>
      <c r="U1737" s="69"/>
    </row>
    <row r="1738" spans="19:21" ht="15" customHeight="1" x14ac:dyDescent="0.2">
      <c r="S1738" s="69">
        <f>_xlfn.XLOOKUP(Results!A1738,Geometry!$B$6:$B$10000,Geometry!$C$6:$C$10000)</f>
        <v>0</v>
      </c>
      <c r="T1738" s="69"/>
      <c r="U1738" s="69"/>
    </row>
    <row r="1739" spans="19:21" ht="15" customHeight="1" x14ac:dyDescent="0.2">
      <c r="S1739" s="69">
        <f>_xlfn.XLOOKUP(Results!A1739,Geometry!$B$6:$B$10000,Geometry!$C$6:$C$10000)</f>
        <v>0</v>
      </c>
      <c r="T1739" s="69"/>
      <c r="U1739" s="69"/>
    </row>
    <row r="1740" spans="19:21" ht="15" customHeight="1" x14ac:dyDescent="0.2">
      <c r="S1740" s="69">
        <f>_xlfn.XLOOKUP(Results!A1740,Geometry!$B$6:$B$10000,Geometry!$C$6:$C$10000)</f>
        <v>0</v>
      </c>
      <c r="T1740" s="69"/>
      <c r="U1740" s="69"/>
    </row>
    <row r="1741" spans="19:21" ht="15" customHeight="1" x14ac:dyDescent="0.2">
      <c r="S1741" s="69">
        <f>_xlfn.XLOOKUP(Results!A1741,Geometry!$B$6:$B$10000,Geometry!$C$6:$C$10000)</f>
        <v>0</v>
      </c>
      <c r="T1741" s="69"/>
      <c r="U1741" s="69"/>
    </row>
    <row r="1742" spans="19:21" ht="15" customHeight="1" x14ac:dyDescent="0.2">
      <c r="S1742" s="69">
        <f>_xlfn.XLOOKUP(Results!A1742,Geometry!$B$6:$B$10000,Geometry!$C$6:$C$10000)</f>
        <v>0</v>
      </c>
      <c r="T1742" s="69"/>
      <c r="U1742" s="69"/>
    </row>
    <row r="1743" spans="19:21" ht="15" customHeight="1" x14ac:dyDescent="0.2">
      <c r="S1743" s="69">
        <f>_xlfn.XLOOKUP(Results!A1743,Geometry!$B$6:$B$10000,Geometry!$C$6:$C$10000)</f>
        <v>0</v>
      </c>
      <c r="T1743" s="69"/>
      <c r="U1743" s="69"/>
    </row>
    <row r="1744" spans="19:21" ht="15" customHeight="1" x14ac:dyDescent="0.2">
      <c r="S1744" s="69">
        <f>_xlfn.XLOOKUP(Results!A1744,Geometry!$B$6:$B$10000,Geometry!$C$6:$C$10000)</f>
        <v>0</v>
      </c>
      <c r="T1744" s="69"/>
      <c r="U1744" s="69"/>
    </row>
    <row r="1745" spans="19:21" ht="15" customHeight="1" x14ac:dyDescent="0.2">
      <c r="S1745" s="69">
        <f>_xlfn.XLOOKUP(Results!A1745,Geometry!$B$6:$B$10000,Geometry!$C$6:$C$10000)</f>
        <v>0</v>
      </c>
      <c r="T1745" s="69"/>
      <c r="U1745" s="69"/>
    </row>
    <row r="1746" spans="19:21" ht="15" customHeight="1" x14ac:dyDescent="0.2">
      <c r="S1746" s="69">
        <f>_xlfn.XLOOKUP(Results!A1746,Geometry!$B$6:$B$10000,Geometry!$C$6:$C$10000)</f>
        <v>0</v>
      </c>
      <c r="T1746" s="69"/>
      <c r="U1746" s="69"/>
    </row>
    <row r="1747" spans="19:21" ht="15" customHeight="1" x14ac:dyDescent="0.2">
      <c r="S1747" s="69">
        <f>_xlfn.XLOOKUP(Results!A1747,Geometry!$B$6:$B$10000,Geometry!$C$6:$C$10000)</f>
        <v>0</v>
      </c>
      <c r="T1747" s="69"/>
      <c r="U1747" s="69"/>
    </row>
    <row r="1748" spans="19:21" ht="15" customHeight="1" x14ac:dyDescent="0.2">
      <c r="S1748" s="69">
        <f>_xlfn.XLOOKUP(Results!A1748,Geometry!$B$6:$B$10000,Geometry!$C$6:$C$10000)</f>
        <v>0</v>
      </c>
      <c r="T1748" s="69"/>
      <c r="U1748" s="69"/>
    </row>
    <row r="1749" spans="19:21" ht="15" customHeight="1" x14ac:dyDescent="0.2">
      <c r="S1749" s="69">
        <f>_xlfn.XLOOKUP(Results!A1749,Geometry!$B$6:$B$10000,Geometry!$C$6:$C$10000)</f>
        <v>0</v>
      </c>
      <c r="T1749" s="69"/>
      <c r="U1749" s="69"/>
    </row>
    <row r="1750" spans="19:21" ht="15" customHeight="1" x14ac:dyDescent="0.2">
      <c r="S1750" s="69">
        <f>_xlfn.XLOOKUP(Results!A1750,Geometry!$B$6:$B$10000,Geometry!$C$6:$C$10000)</f>
        <v>0</v>
      </c>
      <c r="T1750" s="69"/>
      <c r="U1750" s="69"/>
    </row>
    <row r="1751" spans="19:21" ht="15" customHeight="1" x14ac:dyDescent="0.2">
      <c r="S1751" s="69">
        <f>_xlfn.XLOOKUP(Results!A1751,Geometry!$B$6:$B$10000,Geometry!$C$6:$C$10000)</f>
        <v>0</v>
      </c>
      <c r="T1751" s="69"/>
      <c r="U1751" s="69"/>
    </row>
    <row r="1752" spans="19:21" ht="15" customHeight="1" x14ac:dyDescent="0.2">
      <c r="S1752" s="69">
        <f>_xlfn.XLOOKUP(Results!A1752,Geometry!$B$6:$B$10000,Geometry!$C$6:$C$10000)</f>
        <v>0</v>
      </c>
      <c r="T1752" s="69"/>
      <c r="U1752" s="69"/>
    </row>
    <row r="1753" spans="19:21" ht="15" customHeight="1" x14ac:dyDescent="0.2">
      <c r="S1753" s="69">
        <f>_xlfn.XLOOKUP(Results!A1753,Geometry!$B$6:$B$10000,Geometry!$C$6:$C$10000)</f>
        <v>0</v>
      </c>
      <c r="T1753" s="69"/>
      <c r="U1753" s="69"/>
    </row>
    <row r="1754" spans="19:21" ht="15" customHeight="1" x14ac:dyDescent="0.2">
      <c r="S1754" s="69">
        <f>_xlfn.XLOOKUP(Results!A1754,Geometry!$B$6:$B$10000,Geometry!$C$6:$C$10000)</f>
        <v>0</v>
      </c>
      <c r="T1754" s="69"/>
      <c r="U1754" s="69"/>
    </row>
    <row r="1755" spans="19:21" ht="15" customHeight="1" x14ac:dyDescent="0.2">
      <c r="S1755" s="69">
        <f>_xlfn.XLOOKUP(Results!A1755,Geometry!$B$6:$B$10000,Geometry!$C$6:$C$10000)</f>
        <v>0</v>
      </c>
      <c r="T1755" s="69"/>
      <c r="U1755" s="69"/>
    </row>
    <row r="1756" spans="19:21" ht="15" customHeight="1" x14ac:dyDescent="0.2">
      <c r="S1756" s="69">
        <f>_xlfn.XLOOKUP(Results!A1756,Geometry!$B$6:$B$10000,Geometry!$C$6:$C$10000)</f>
        <v>0</v>
      </c>
      <c r="T1756" s="69"/>
      <c r="U1756" s="69"/>
    </row>
    <row r="1757" spans="19:21" ht="15" customHeight="1" x14ac:dyDescent="0.2">
      <c r="S1757" s="69">
        <f>_xlfn.XLOOKUP(Results!A1757,Geometry!$B$6:$B$10000,Geometry!$C$6:$C$10000)</f>
        <v>0</v>
      </c>
      <c r="T1757" s="69"/>
      <c r="U1757" s="69"/>
    </row>
    <row r="1758" spans="19:21" ht="15" customHeight="1" x14ac:dyDescent="0.2">
      <c r="S1758" s="69">
        <f>_xlfn.XLOOKUP(Results!A1758,Geometry!$B$6:$B$10000,Geometry!$C$6:$C$10000)</f>
        <v>0</v>
      </c>
      <c r="T1758" s="69"/>
      <c r="U1758" s="69"/>
    </row>
    <row r="1759" spans="19:21" ht="15" customHeight="1" x14ac:dyDescent="0.2">
      <c r="S1759" s="69">
        <f>_xlfn.XLOOKUP(Results!A1759,Geometry!$B$6:$B$10000,Geometry!$C$6:$C$10000)</f>
        <v>0</v>
      </c>
      <c r="T1759" s="69"/>
      <c r="U1759" s="69"/>
    </row>
    <row r="1760" spans="19:21" ht="15" customHeight="1" x14ac:dyDescent="0.2">
      <c r="S1760" s="69">
        <f>_xlfn.XLOOKUP(Results!A1760,Geometry!$B$6:$B$10000,Geometry!$C$6:$C$10000)</f>
        <v>0</v>
      </c>
      <c r="T1760" s="69"/>
      <c r="U1760" s="69"/>
    </row>
    <row r="1761" spans="19:21" ht="15" customHeight="1" x14ac:dyDescent="0.2">
      <c r="S1761" s="69">
        <f>_xlfn.XLOOKUP(Results!A1761,Geometry!$B$6:$B$10000,Geometry!$C$6:$C$10000)</f>
        <v>0</v>
      </c>
      <c r="T1761" s="69"/>
      <c r="U1761" s="69"/>
    </row>
    <row r="1762" spans="19:21" ht="15" customHeight="1" x14ac:dyDescent="0.2">
      <c r="S1762" s="69">
        <f>_xlfn.XLOOKUP(Results!A1762,Geometry!$B$6:$B$10000,Geometry!$C$6:$C$10000)</f>
        <v>0</v>
      </c>
      <c r="T1762" s="69"/>
      <c r="U1762" s="69"/>
    </row>
    <row r="1763" spans="19:21" ht="15" customHeight="1" x14ac:dyDescent="0.2">
      <c r="S1763" s="69">
        <f>_xlfn.XLOOKUP(Results!A1763,Geometry!$B$6:$B$10000,Geometry!$C$6:$C$10000)</f>
        <v>0</v>
      </c>
      <c r="T1763" s="69"/>
      <c r="U1763" s="69"/>
    </row>
    <row r="1764" spans="19:21" ht="15" customHeight="1" x14ac:dyDescent="0.2">
      <c r="S1764" s="69">
        <f>_xlfn.XLOOKUP(Results!A1764,Geometry!$B$6:$B$10000,Geometry!$C$6:$C$10000)</f>
        <v>0</v>
      </c>
      <c r="T1764" s="69"/>
      <c r="U1764" s="69"/>
    </row>
    <row r="1765" spans="19:21" ht="15" customHeight="1" x14ac:dyDescent="0.2">
      <c r="S1765" s="69">
        <f>_xlfn.XLOOKUP(Results!A1765,Geometry!$B$6:$B$10000,Geometry!$C$6:$C$10000)</f>
        <v>0</v>
      </c>
      <c r="T1765" s="69"/>
      <c r="U1765" s="69"/>
    </row>
    <row r="1766" spans="19:21" ht="15" customHeight="1" x14ac:dyDescent="0.2">
      <c r="S1766" s="69">
        <f>_xlfn.XLOOKUP(Results!A1766,Geometry!$B$6:$B$10000,Geometry!$C$6:$C$10000)</f>
        <v>0</v>
      </c>
      <c r="T1766" s="69"/>
      <c r="U1766" s="69"/>
    </row>
    <row r="1767" spans="19:21" ht="15" customHeight="1" x14ac:dyDescent="0.2">
      <c r="S1767" s="69">
        <f>_xlfn.XLOOKUP(Results!A1767,Geometry!$B$6:$B$10000,Geometry!$C$6:$C$10000)</f>
        <v>0</v>
      </c>
      <c r="T1767" s="69"/>
      <c r="U1767" s="69"/>
    </row>
    <row r="1768" spans="19:21" ht="15" customHeight="1" x14ac:dyDescent="0.2">
      <c r="S1768" s="69">
        <f>_xlfn.XLOOKUP(Results!A1768,Geometry!$B$6:$B$10000,Geometry!$C$6:$C$10000)</f>
        <v>0</v>
      </c>
      <c r="T1768" s="69"/>
      <c r="U1768" s="69"/>
    </row>
    <row r="1769" spans="19:21" ht="15" customHeight="1" x14ac:dyDescent="0.2">
      <c r="S1769" s="69">
        <f>_xlfn.XLOOKUP(Results!A1769,Geometry!$B$6:$B$10000,Geometry!$C$6:$C$10000)</f>
        <v>0</v>
      </c>
      <c r="T1769" s="69"/>
      <c r="U1769" s="69"/>
    </row>
    <row r="1770" spans="19:21" ht="15" customHeight="1" x14ac:dyDescent="0.2">
      <c r="S1770" s="69">
        <f>_xlfn.XLOOKUP(Results!A1770,Geometry!$B$6:$B$10000,Geometry!$C$6:$C$10000)</f>
        <v>0</v>
      </c>
      <c r="T1770" s="69"/>
      <c r="U1770" s="69"/>
    </row>
    <row r="1771" spans="19:21" ht="15" customHeight="1" x14ac:dyDescent="0.2">
      <c r="S1771" s="69">
        <f>_xlfn.XLOOKUP(Results!A1771,Geometry!$B$6:$B$10000,Geometry!$C$6:$C$10000)</f>
        <v>0</v>
      </c>
      <c r="T1771" s="69"/>
      <c r="U1771" s="69"/>
    </row>
    <row r="1772" spans="19:21" ht="15" customHeight="1" x14ac:dyDescent="0.2">
      <c r="S1772" s="69">
        <f>_xlfn.XLOOKUP(Results!A1772,Geometry!$B$6:$B$10000,Geometry!$C$6:$C$10000)</f>
        <v>0</v>
      </c>
      <c r="T1772" s="69"/>
      <c r="U1772" s="69"/>
    </row>
    <row r="1773" spans="19:21" ht="15" customHeight="1" x14ac:dyDescent="0.2">
      <c r="S1773" s="69">
        <f>_xlfn.XLOOKUP(Results!A1773,Geometry!$B$6:$B$10000,Geometry!$C$6:$C$10000)</f>
        <v>0</v>
      </c>
      <c r="T1773" s="69"/>
      <c r="U1773" s="69"/>
    </row>
    <row r="1774" spans="19:21" ht="15" customHeight="1" x14ac:dyDescent="0.2">
      <c r="S1774" s="69">
        <f>_xlfn.XLOOKUP(Results!A1774,Geometry!$B$6:$B$10000,Geometry!$C$6:$C$10000)</f>
        <v>0</v>
      </c>
      <c r="T1774" s="69"/>
      <c r="U1774" s="69"/>
    </row>
    <row r="1775" spans="19:21" ht="15" customHeight="1" x14ac:dyDescent="0.2">
      <c r="S1775" s="69">
        <f>_xlfn.XLOOKUP(Results!A1775,Geometry!$B$6:$B$10000,Geometry!$C$6:$C$10000)</f>
        <v>0</v>
      </c>
      <c r="T1775" s="69"/>
      <c r="U1775" s="69"/>
    </row>
    <row r="1776" spans="19:21" ht="15" customHeight="1" x14ac:dyDescent="0.2">
      <c r="S1776" s="69">
        <f>_xlfn.XLOOKUP(Results!A1776,Geometry!$B$6:$B$10000,Geometry!$C$6:$C$10000)</f>
        <v>0</v>
      </c>
      <c r="T1776" s="69"/>
      <c r="U1776" s="69"/>
    </row>
    <row r="1777" spans="19:21" ht="15" customHeight="1" x14ac:dyDescent="0.2">
      <c r="S1777" s="69">
        <f>_xlfn.XLOOKUP(Results!A1777,Geometry!$B$6:$B$10000,Geometry!$C$6:$C$10000)</f>
        <v>0</v>
      </c>
      <c r="T1777" s="69"/>
      <c r="U1777" s="69"/>
    </row>
    <row r="1778" spans="19:21" ht="15" customHeight="1" x14ac:dyDescent="0.2">
      <c r="S1778" s="69">
        <f>_xlfn.XLOOKUP(Results!A1778,Geometry!$B$6:$B$10000,Geometry!$C$6:$C$10000)</f>
        <v>0</v>
      </c>
      <c r="T1778" s="69"/>
      <c r="U1778" s="69"/>
    </row>
    <row r="1779" spans="19:21" ht="15" customHeight="1" x14ac:dyDescent="0.2">
      <c r="S1779" s="69">
        <f>_xlfn.XLOOKUP(Results!A1779,Geometry!$B$6:$B$10000,Geometry!$C$6:$C$10000)</f>
        <v>0</v>
      </c>
      <c r="T1779" s="69"/>
      <c r="U1779" s="69"/>
    </row>
    <row r="1780" spans="19:21" ht="15" customHeight="1" x14ac:dyDescent="0.2">
      <c r="S1780" s="69">
        <f>_xlfn.XLOOKUP(Results!A1780,Geometry!$B$6:$B$10000,Geometry!$C$6:$C$10000)</f>
        <v>0</v>
      </c>
      <c r="T1780" s="69"/>
      <c r="U1780" s="69"/>
    </row>
    <row r="1781" spans="19:21" ht="15" customHeight="1" x14ac:dyDescent="0.2">
      <c r="S1781" s="69">
        <f>_xlfn.XLOOKUP(Results!A1781,Geometry!$B$6:$B$10000,Geometry!$C$6:$C$10000)</f>
        <v>0</v>
      </c>
      <c r="T1781" s="69"/>
      <c r="U1781" s="69"/>
    </row>
    <row r="1782" spans="19:21" ht="15" customHeight="1" x14ac:dyDescent="0.2">
      <c r="S1782" s="69">
        <f>_xlfn.XLOOKUP(Results!A1782,Geometry!$B$6:$B$10000,Geometry!$C$6:$C$10000)</f>
        <v>0</v>
      </c>
      <c r="T1782" s="69"/>
      <c r="U1782" s="69"/>
    </row>
    <row r="1783" spans="19:21" ht="15" customHeight="1" x14ac:dyDescent="0.2">
      <c r="S1783" s="69">
        <f>_xlfn.XLOOKUP(Results!A1783,Geometry!$B$6:$B$10000,Geometry!$C$6:$C$10000)</f>
        <v>0</v>
      </c>
      <c r="T1783" s="69"/>
      <c r="U1783" s="69"/>
    </row>
    <row r="1784" spans="19:21" ht="15" customHeight="1" x14ac:dyDescent="0.2">
      <c r="S1784" s="69">
        <f>_xlfn.XLOOKUP(Results!A1784,Geometry!$B$6:$B$10000,Geometry!$C$6:$C$10000)</f>
        <v>0</v>
      </c>
      <c r="T1784" s="69"/>
      <c r="U1784" s="69"/>
    </row>
    <row r="1785" spans="19:21" ht="15" customHeight="1" x14ac:dyDescent="0.2">
      <c r="S1785" s="69">
        <f>_xlfn.XLOOKUP(Results!A1785,Geometry!$B$6:$B$10000,Geometry!$C$6:$C$10000)</f>
        <v>0</v>
      </c>
      <c r="T1785" s="69"/>
      <c r="U1785" s="69"/>
    </row>
    <row r="1786" spans="19:21" ht="15" customHeight="1" x14ac:dyDescent="0.2">
      <c r="S1786" s="69">
        <f>_xlfn.XLOOKUP(Results!A1786,Geometry!$B$6:$B$10000,Geometry!$C$6:$C$10000)</f>
        <v>0</v>
      </c>
      <c r="T1786" s="69"/>
      <c r="U1786" s="69"/>
    </row>
    <row r="1787" spans="19:21" ht="15" customHeight="1" x14ac:dyDescent="0.2">
      <c r="S1787" s="69">
        <f>_xlfn.XLOOKUP(Results!A1787,Geometry!$B$6:$B$10000,Geometry!$C$6:$C$10000)</f>
        <v>0</v>
      </c>
      <c r="T1787" s="69"/>
      <c r="U1787" s="69"/>
    </row>
    <row r="1788" spans="19:21" ht="15" customHeight="1" x14ac:dyDescent="0.2">
      <c r="S1788" s="69">
        <f>_xlfn.XLOOKUP(Results!A1788,Geometry!$B$6:$B$10000,Geometry!$C$6:$C$10000)</f>
        <v>0</v>
      </c>
      <c r="T1788" s="69"/>
      <c r="U1788" s="69"/>
    </row>
    <row r="1789" spans="19:21" ht="15" customHeight="1" x14ac:dyDescent="0.2">
      <c r="S1789" s="69">
        <f>_xlfn.XLOOKUP(Results!A1789,Geometry!$B$6:$B$10000,Geometry!$C$6:$C$10000)</f>
        <v>0</v>
      </c>
      <c r="T1789" s="69"/>
      <c r="U1789" s="69"/>
    </row>
    <row r="1790" spans="19:21" ht="15" customHeight="1" x14ac:dyDescent="0.2">
      <c r="S1790" s="69">
        <f>_xlfn.XLOOKUP(Results!A1790,Geometry!$B$6:$B$10000,Geometry!$C$6:$C$10000)</f>
        <v>0</v>
      </c>
      <c r="T1790" s="69"/>
      <c r="U1790" s="69"/>
    </row>
    <row r="1791" spans="19:21" ht="15" customHeight="1" x14ac:dyDescent="0.2">
      <c r="S1791" s="69">
        <f>_xlfn.XLOOKUP(Results!A1791,Geometry!$B$6:$B$10000,Geometry!$C$6:$C$10000)</f>
        <v>0</v>
      </c>
      <c r="T1791" s="69"/>
      <c r="U1791" s="69"/>
    </row>
    <row r="1792" spans="19:21" ht="15" customHeight="1" x14ac:dyDescent="0.2">
      <c r="S1792" s="69">
        <f>_xlfn.XLOOKUP(Results!A1792,Geometry!$B$6:$B$10000,Geometry!$C$6:$C$10000)</f>
        <v>0</v>
      </c>
      <c r="T1792" s="69"/>
      <c r="U1792" s="69"/>
    </row>
    <row r="1793" spans="19:21" ht="15" customHeight="1" x14ac:dyDescent="0.2">
      <c r="S1793" s="69">
        <f>_xlfn.XLOOKUP(Results!A1793,Geometry!$B$6:$B$10000,Geometry!$C$6:$C$10000)</f>
        <v>0</v>
      </c>
      <c r="T1793" s="69"/>
      <c r="U1793" s="69"/>
    </row>
    <row r="1794" spans="19:21" ht="15" customHeight="1" x14ac:dyDescent="0.2">
      <c r="S1794" s="69">
        <f>_xlfn.XLOOKUP(Results!A1794,Geometry!$B$6:$B$10000,Geometry!$C$6:$C$10000)</f>
        <v>0</v>
      </c>
      <c r="T1794" s="69"/>
      <c r="U1794" s="69"/>
    </row>
    <row r="1795" spans="19:21" ht="15" customHeight="1" x14ac:dyDescent="0.2">
      <c r="S1795" s="69">
        <f>_xlfn.XLOOKUP(Results!A1795,Geometry!$B$6:$B$10000,Geometry!$C$6:$C$10000)</f>
        <v>0</v>
      </c>
      <c r="T1795" s="69"/>
      <c r="U1795" s="69"/>
    </row>
    <row r="1796" spans="19:21" ht="15" customHeight="1" x14ac:dyDescent="0.2">
      <c r="S1796" s="69">
        <f>_xlfn.XLOOKUP(Results!A1796,Geometry!$B$6:$B$10000,Geometry!$C$6:$C$10000)</f>
        <v>0</v>
      </c>
      <c r="T1796" s="69"/>
      <c r="U1796" s="69"/>
    </row>
    <row r="1797" spans="19:21" ht="15" customHeight="1" x14ac:dyDescent="0.2">
      <c r="S1797" s="69">
        <f>_xlfn.XLOOKUP(Results!A1797,Geometry!$B$6:$B$10000,Geometry!$C$6:$C$10000)</f>
        <v>0</v>
      </c>
      <c r="T1797" s="69"/>
      <c r="U1797" s="69"/>
    </row>
    <row r="1798" spans="19:21" ht="15" customHeight="1" x14ac:dyDescent="0.2">
      <c r="S1798" s="69">
        <f>_xlfn.XLOOKUP(Results!A1798,Geometry!$B$6:$B$10000,Geometry!$C$6:$C$10000)</f>
        <v>0</v>
      </c>
      <c r="T1798" s="69"/>
      <c r="U1798" s="69"/>
    </row>
    <row r="1799" spans="19:21" ht="15" customHeight="1" x14ac:dyDescent="0.2">
      <c r="S1799" s="69">
        <f>_xlfn.XLOOKUP(Results!A1799,Geometry!$B$6:$B$10000,Geometry!$C$6:$C$10000)</f>
        <v>0</v>
      </c>
      <c r="T1799" s="69"/>
      <c r="U1799" s="69"/>
    </row>
    <row r="1800" spans="19:21" ht="15" customHeight="1" x14ac:dyDescent="0.2">
      <c r="S1800" s="69">
        <f>_xlfn.XLOOKUP(Results!A1800,Geometry!$B$6:$B$10000,Geometry!$C$6:$C$10000)</f>
        <v>0</v>
      </c>
      <c r="T1800" s="69"/>
      <c r="U1800" s="69"/>
    </row>
    <row r="1801" spans="19:21" ht="15" customHeight="1" x14ac:dyDescent="0.2">
      <c r="S1801" s="69">
        <f>_xlfn.XLOOKUP(Results!A1801,Geometry!$B$6:$B$10000,Geometry!$C$6:$C$10000)</f>
        <v>0</v>
      </c>
      <c r="T1801" s="69"/>
      <c r="U1801" s="69"/>
    </row>
    <row r="1802" spans="19:21" ht="15" customHeight="1" x14ac:dyDescent="0.2">
      <c r="S1802" s="69">
        <f>_xlfn.XLOOKUP(Results!A1802,Geometry!$B$6:$B$10000,Geometry!$C$6:$C$10000)</f>
        <v>0</v>
      </c>
      <c r="T1802" s="69"/>
      <c r="U1802" s="69"/>
    </row>
    <row r="1803" spans="19:21" ht="15" customHeight="1" x14ac:dyDescent="0.2">
      <c r="S1803" s="69">
        <f>_xlfn.XLOOKUP(Results!A1803,Geometry!$B$6:$B$10000,Geometry!$C$6:$C$10000)</f>
        <v>0</v>
      </c>
      <c r="T1803" s="69"/>
      <c r="U1803" s="69"/>
    </row>
    <row r="1804" spans="19:21" ht="15" customHeight="1" x14ac:dyDescent="0.2">
      <c r="S1804" s="69">
        <f>_xlfn.XLOOKUP(Results!A1804,Geometry!$B$6:$B$10000,Geometry!$C$6:$C$10000)</f>
        <v>0</v>
      </c>
      <c r="T1804" s="69"/>
      <c r="U1804" s="69"/>
    </row>
    <row r="1805" spans="19:21" ht="15" customHeight="1" x14ac:dyDescent="0.2">
      <c r="S1805" s="69">
        <f>_xlfn.XLOOKUP(Results!A1805,Geometry!$B$6:$B$10000,Geometry!$C$6:$C$10000)</f>
        <v>0</v>
      </c>
      <c r="T1805" s="69"/>
      <c r="U1805" s="69"/>
    </row>
    <row r="1806" spans="19:21" ht="15" customHeight="1" x14ac:dyDescent="0.2">
      <c r="S1806" s="69">
        <f>_xlfn.XLOOKUP(Results!A1806,Geometry!$B$6:$B$10000,Geometry!$C$6:$C$10000)</f>
        <v>0</v>
      </c>
      <c r="T1806" s="69"/>
      <c r="U1806" s="69"/>
    </row>
    <row r="1807" spans="19:21" ht="15" customHeight="1" x14ac:dyDescent="0.2">
      <c r="S1807" s="69">
        <f>_xlfn.XLOOKUP(Results!A1807,Geometry!$B$6:$B$10000,Geometry!$C$6:$C$10000)</f>
        <v>0</v>
      </c>
      <c r="T1807" s="69"/>
      <c r="U1807" s="69"/>
    </row>
    <row r="1808" spans="19:21" ht="15" customHeight="1" x14ac:dyDescent="0.2">
      <c r="S1808" s="69">
        <f>_xlfn.XLOOKUP(Results!A1808,Geometry!$B$6:$B$10000,Geometry!$C$6:$C$10000)</f>
        <v>0</v>
      </c>
      <c r="T1808" s="69"/>
      <c r="U1808" s="69"/>
    </row>
    <row r="1809" spans="19:21" ht="15" customHeight="1" x14ac:dyDescent="0.2">
      <c r="S1809" s="69">
        <f>_xlfn.XLOOKUP(Results!A1809,Geometry!$B$6:$B$10000,Geometry!$C$6:$C$10000)</f>
        <v>0</v>
      </c>
      <c r="T1809" s="69"/>
      <c r="U1809" s="69"/>
    </row>
    <row r="1810" spans="19:21" ht="15" customHeight="1" x14ac:dyDescent="0.2">
      <c r="S1810" s="69">
        <f>_xlfn.XLOOKUP(Results!A1810,Geometry!$B$6:$B$10000,Geometry!$C$6:$C$10000)</f>
        <v>0</v>
      </c>
      <c r="T1810" s="69"/>
      <c r="U1810" s="69"/>
    </row>
    <row r="1811" spans="19:21" ht="15" customHeight="1" x14ac:dyDescent="0.2">
      <c r="S1811" s="69">
        <f>_xlfn.XLOOKUP(Results!A1811,Geometry!$B$6:$B$10000,Geometry!$C$6:$C$10000)</f>
        <v>0</v>
      </c>
      <c r="T1811" s="69"/>
      <c r="U1811" s="69"/>
    </row>
    <row r="1812" spans="19:21" ht="15" customHeight="1" x14ac:dyDescent="0.2">
      <c r="S1812" s="69">
        <f>_xlfn.XLOOKUP(Results!A1812,Geometry!$B$6:$B$10000,Geometry!$C$6:$C$10000)</f>
        <v>0</v>
      </c>
      <c r="T1812" s="69"/>
      <c r="U1812" s="69"/>
    </row>
    <row r="1813" spans="19:21" ht="15" customHeight="1" x14ac:dyDescent="0.2">
      <c r="S1813" s="69">
        <f>_xlfn.XLOOKUP(Results!A1813,Geometry!$B$6:$B$10000,Geometry!$C$6:$C$10000)</f>
        <v>0</v>
      </c>
      <c r="T1813" s="69"/>
      <c r="U1813" s="69"/>
    </row>
    <row r="1814" spans="19:21" ht="15" customHeight="1" x14ac:dyDescent="0.2">
      <c r="S1814" s="69">
        <f>_xlfn.XLOOKUP(Results!A1814,Geometry!$B$6:$B$10000,Geometry!$C$6:$C$10000)</f>
        <v>0</v>
      </c>
      <c r="T1814" s="69"/>
      <c r="U1814" s="69"/>
    </row>
    <row r="1815" spans="19:21" ht="15" customHeight="1" x14ac:dyDescent="0.2">
      <c r="S1815" s="69">
        <f>_xlfn.XLOOKUP(Results!A1815,Geometry!$B$6:$B$10000,Geometry!$C$6:$C$10000)</f>
        <v>0</v>
      </c>
      <c r="T1815" s="69"/>
      <c r="U1815" s="69"/>
    </row>
    <row r="1816" spans="19:21" ht="15" customHeight="1" x14ac:dyDescent="0.2">
      <c r="S1816" s="69">
        <f>_xlfn.XLOOKUP(Results!A1816,Geometry!$B$6:$B$10000,Geometry!$C$6:$C$10000)</f>
        <v>0</v>
      </c>
      <c r="T1816" s="69"/>
      <c r="U1816" s="69"/>
    </row>
    <row r="1817" spans="19:21" ht="15" customHeight="1" x14ac:dyDescent="0.2">
      <c r="S1817" s="69">
        <f>_xlfn.XLOOKUP(Results!A1817,Geometry!$B$6:$B$10000,Geometry!$C$6:$C$10000)</f>
        <v>0</v>
      </c>
      <c r="T1817" s="69"/>
      <c r="U1817" s="69"/>
    </row>
    <row r="1818" spans="19:21" ht="15" customHeight="1" x14ac:dyDescent="0.2">
      <c r="S1818" s="69">
        <f>_xlfn.XLOOKUP(Results!A1818,Geometry!$B$6:$B$10000,Geometry!$C$6:$C$10000)</f>
        <v>0</v>
      </c>
      <c r="T1818" s="69"/>
      <c r="U1818" s="69"/>
    </row>
    <row r="1819" spans="19:21" ht="15" customHeight="1" x14ac:dyDescent="0.2">
      <c r="S1819" s="69">
        <f>_xlfn.XLOOKUP(Results!A1819,Geometry!$B$6:$B$10000,Geometry!$C$6:$C$10000)</f>
        <v>0</v>
      </c>
      <c r="T1819" s="69"/>
      <c r="U1819" s="69"/>
    </row>
    <row r="1820" spans="19:21" ht="15" customHeight="1" x14ac:dyDescent="0.2">
      <c r="S1820" s="69">
        <f>_xlfn.XLOOKUP(Results!A1820,Geometry!$B$6:$B$10000,Geometry!$C$6:$C$10000)</f>
        <v>0</v>
      </c>
      <c r="T1820" s="69"/>
      <c r="U1820" s="69"/>
    </row>
    <row r="1821" spans="19:21" ht="15" customHeight="1" x14ac:dyDescent="0.2">
      <c r="S1821" s="69">
        <f>_xlfn.XLOOKUP(Results!A1821,Geometry!$B$6:$B$10000,Geometry!$C$6:$C$10000)</f>
        <v>0</v>
      </c>
      <c r="T1821" s="69"/>
      <c r="U1821" s="69"/>
    </row>
    <row r="1822" spans="19:21" ht="15" customHeight="1" x14ac:dyDescent="0.2">
      <c r="S1822" s="69">
        <f>_xlfn.XLOOKUP(Results!A1822,Geometry!$B$6:$B$10000,Geometry!$C$6:$C$10000)</f>
        <v>0</v>
      </c>
      <c r="T1822" s="69"/>
      <c r="U1822" s="69"/>
    </row>
    <row r="1823" spans="19:21" ht="15" customHeight="1" x14ac:dyDescent="0.2">
      <c r="S1823" s="69">
        <f>_xlfn.XLOOKUP(Results!A1823,Geometry!$B$6:$B$10000,Geometry!$C$6:$C$10000)</f>
        <v>0</v>
      </c>
      <c r="T1823" s="69"/>
      <c r="U1823" s="69"/>
    </row>
    <row r="1824" spans="19:21" ht="15" customHeight="1" x14ac:dyDescent="0.2">
      <c r="S1824" s="69">
        <f>_xlfn.XLOOKUP(Results!A1824,Geometry!$B$6:$B$10000,Geometry!$C$6:$C$10000)</f>
        <v>0</v>
      </c>
      <c r="T1824" s="69"/>
      <c r="U1824" s="69"/>
    </row>
    <row r="1825" spans="19:21" ht="15" customHeight="1" x14ac:dyDescent="0.2">
      <c r="S1825" s="69">
        <f>_xlfn.XLOOKUP(Results!A1825,Geometry!$B$6:$B$10000,Geometry!$C$6:$C$10000)</f>
        <v>0</v>
      </c>
      <c r="T1825" s="69"/>
      <c r="U1825" s="69"/>
    </row>
    <row r="1826" spans="19:21" ht="15" customHeight="1" x14ac:dyDescent="0.2">
      <c r="S1826" s="69">
        <f>_xlfn.XLOOKUP(Results!A1826,Geometry!$B$6:$B$10000,Geometry!$C$6:$C$10000)</f>
        <v>0</v>
      </c>
      <c r="T1826" s="69"/>
      <c r="U1826" s="69"/>
    </row>
    <row r="1827" spans="19:21" ht="15" customHeight="1" x14ac:dyDescent="0.2">
      <c r="S1827" s="69">
        <f>_xlfn.XLOOKUP(Results!A1827,Geometry!$B$6:$B$10000,Geometry!$C$6:$C$10000)</f>
        <v>0</v>
      </c>
      <c r="T1827" s="69"/>
      <c r="U1827" s="69"/>
    </row>
    <row r="1828" spans="19:21" ht="15" customHeight="1" x14ac:dyDescent="0.2">
      <c r="S1828" s="69">
        <f>_xlfn.XLOOKUP(Results!A1828,Geometry!$B$6:$B$10000,Geometry!$C$6:$C$10000)</f>
        <v>0</v>
      </c>
      <c r="T1828" s="69"/>
      <c r="U1828" s="69"/>
    </row>
    <row r="1829" spans="19:21" ht="15" customHeight="1" x14ac:dyDescent="0.2">
      <c r="S1829" s="69">
        <f>_xlfn.XLOOKUP(Results!A1829,Geometry!$B$6:$B$10000,Geometry!$C$6:$C$10000)</f>
        <v>0</v>
      </c>
      <c r="T1829" s="69"/>
      <c r="U1829" s="69"/>
    </row>
    <row r="1830" spans="19:21" ht="15" customHeight="1" x14ac:dyDescent="0.2">
      <c r="S1830" s="69">
        <f>_xlfn.XLOOKUP(Results!A1830,Geometry!$B$6:$B$10000,Geometry!$C$6:$C$10000)</f>
        <v>0</v>
      </c>
      <c r="T1830" s="69"/>
      <c r="U1830" s="69"/>
    </row>
    <row r="1831" spans="19:21" ht="15" customHeight="1" x14ac:dyDescent="0.2">
      <c r="S1831" s="69">
        <f>_xlfn.XLOOKUP(Results!A1831,Geometry!$B$6:$B$10000,Geometry!$C$6:$C$10000)</f>
        <v>0</v>
      </c>
      <c r="T1831" s="69"/>
      <c r="U1831" s="69"/>
    </row>
    <row r="1832" spans="19:21" ht="15" customHeight="1" x14ac:dyDescent="0.2">
      <c r="S1832" s="69">
        <f>_xlfn.XLOOKUP(Results!A1832,Geometry!$B$6:$B$10000,Geometry!$C$6:$C$10000)</f>
        <v>0</v>
      </c>
      <c r="T1832" s="69"/>
      <c r="U1832" s="69"/>
    </row>
    <row r="1833" spans="19:21" ht="15" customHeight="1" x14ac:dyDescent="0.2">
      <c r="S1833" s="69">
        <f>_xlfn.XLOOKUP(Results!A1833,Geometry!$B$6:$B$10000,Geometry!$C$6:$C$10000)</f>
        <v>0</v>
      </c>
      <c r="T1833" s="69"/>
      <c r="U1833" s="69"/>
    </row>
    <row r="1834" spans="19:21" ht="15" customHeight="1" x14ac:dyDescent="0.2">
      <c r="S1834" s="69">
        <f>_xlfn.XLOOKUP(Results!A1834,Geometry!$B$6:$B$10000,Geometry!$C$6:$C$10000)</f>
        <v>0</v>
      </c>
      <c r="T1834" s="69"/>
      <c r="U1834" s="69"/>
    </row>
    <row r="1835" spans="19:21" ht="15" customHeight="1" x14ac:dyDescent="0.2">
      <c r="S1835" s="69">
        <f>_xlfn.XLOOKUP(Results!A1835,Geometry!$B$6:$B$10000,Geometry!$C$6:$C$10000)</f>
        <v>0</v>
      </c>
      <c r="T1835" s="69"/>
      <c r="U1835" s="69"/>
    </row>
    <row r="1836" spans="19:21" ht="15" customHeight="1" x14ac:dyDescent="0.2">
      <c r="S1836" s="69">
        <f>_xlfn.XLOOKUP(Results!A1836,Geometry!$B$6:$B$10000,Geometry!$C$6:$C$10000)</f>
        <v>0</v>
      </c>
      <c r="T1836" s="69"/>
      <c r="U1836" s="69"/>
    </row>
    <row r="1837" spans="19:21" ht="15" customHeight="1" x14ac:dyDescent="0.2">
      <c r="S1837" s="69">
        <f>_xlfn.XLOOKUP(Results!A1837,Geometry!$B$6:$B$10000,Geometry!$C$6:$C$10000)</f>
        <v>0</v>
      </c>
      <c r="T1837" s="69"/>
      <c r="U1837" s="69"/>
    </row>
    <row r="1838" spans="19:21" ht="15" customHeight="1" x14ac:dyDescent="0.2">
      <c r="S1838" s="69">
        <f>_xlfn.XLOOKUP(Results!A1838,Geometry!$B$6:$B$10000,Geometry!$C$6:$C$10000)</f>
        <v>0</v>
      </c>
      <c r="T1838" s="69"/>
      <c r="U1838" s="69"/>
    </row>
    <row r="1839" spans="19:21" ht="15" customHeight="1" x14ac:dyDescent="0.2">
      <c r="S1839" s="69">
        <f>_xlfn.XLOOKUP(Results!A1839,Geometry!$B$6:$B$10000,Geometry!$C$6:$C$10000)</f>
        <v>0</v>
      </c>
      <c r="T1839" s="69"/>
      <c r="U1839" s="69"/>
    </row>
    <row r="1840" spans="19:21" ht="15" customHeight="1" x14ac:dyDescent="0.2">
      <c r="S1840" s="69">
        <f>_xlfn.XLOOKUP(Results!A1840,Geometry!$B$6:$B$10000,Geometry!$C$6:$C$10000)</f>
        <v>0</v>
      </c>
      <c r="T1840" s="69"/>
      <c r="U1840" s="69"/>
    </row>
    <row r="1841" spans="19:21" ht="15" customHeight="1" x14ac:dyDescent="0.2">
      <c r="S1841" s="69">
        <f>_xlfn.XLOOKUP(Results!A1841,Geometry!$B$6:$B$10000,Geometry!$C$6:$C$10000)</f>
        <v>0</v>
      </c>
      <c r="T1841" s="69"/>
      <c r="U1841" s="69"/>
    </row>
    <row r="1842" spans="19:21" ht="15" customHeight="1" x14ac:dyDescent="0.2">
      <c r="S1842" s="69">
        <f>_xlfn.XLOOKUP(Results!A1842,Geometry!$B$6:$B$10000,Geometry!$C$6:$C$10000)</f>
        <v>0</v>
      </c>
      <c r="T1842" s="69"/>
      <c r="U1842" s="69"/>
    </row>
    <row r="1843" spans="19:21" ht="15" customHeight="1" x14ac:dyDescent="0.2">
      <c r="S1843" s="69">
        <f>_xlfn.XLOOKUP(Results!A1843,Geometry!$B$6:$B$10000,Geometry!$C$6:$C$10000)</f>
        <v>0</v>
      </c>
      <c r="T1843" s="69"/>
      <c r="U1843" s="69"/>
    </row>
    <row r="1844" spans="19:21" ht="15" customHeight="1" x14ac:dyDescent="0.2">
      <c r="S1844" s="69">
        <f>_xlfn.XLOOKUP(Results!A1844,Geometry!$B$6:$B$10000,Geometry!$C$6:$C$10000)</f>
        <v>0</v>
      </c>
      <c r="T1844" s="69"/>
      <c r="U1844" s="69"/>
    </row>
    <row r="1845" spans="19:21" ht="15" customHeight="1" x14ac:dyDescent="0.2">
      <c r="S1845" s="69">
        <f>_xlfn.XLOOKUP(Results!A1845,Geometry!$B$6:$B$10000,Geometry!$C$6:$C$10000)</f>
        <v>0</v>
      </c>
      <c r="T1845" s="69"/>
      <c r="U1845" s="69"/>
    </row>
    <row r="1846" spans="19:21" ht="15" customHeight="1" x14ac:dyDescent="0.2">
      <c r="S1846" s="69">
        <f>_xlfn.XLOOKUP(Results!A1846,Geometry!$B$6:$B$10000,Geometry!$C$6:$C$10000)</f>
        <v>0</v>
      </c>
      <c r="T1846" s="69"/>
      <c r="U1846" s="69"/>
    </row>
    <row r="1847" spans="19:21" ht="15" customHeight="1" x14ac:dyDescent="0.2">
      <c r="S1847" s="69">
        <f>_xlfn.XLOOKUP(Results!A1847,Geometry!$B$6:$B$10000,Geometry!$C$6:$C$10000)</f>
        <v>0</v>
      </c>
      <c r="T1847" s="69"/>
      <c r="U1847" s="69"/>
    </row>
    <row r="1848" spans="19:21" ht="15" customHeight="1" x14ac:dyDescent="0.2">
      <c r="S1848" s="69">
        <f>_xlfn.XLOOKUP(Results!A1848,Geometry!$B$6:$B$10000,Geometry!$C$6:$C$10000)</f>
        <v>0</v>
      </c>
      <c r="T1848" s="69"/>
      <c r="U1848" s="69"/>
    </row>
    <row r="1849" spans="19:21" ht="15" customHeight="1" x14ac:dyDescent="0.2">
      <c r="S1849" s="69">
        <f>_xlfn.XLOOKUP(Results!A1849,Geometry!$B$6:$B$10000,Geometry!$C$6:$C$10000)</f>
        <v>0</v>
      </c>
      <c r="T1849" s="69"/>
      <c r="U1849" s="69"/>
    </row>
    <row r="1850" spans="19:21" ht="15" customHeight="1" x14ac:dyDescent="0.2">
      <c r="S1850" s="69">
        <f>_xlfn.XLOOKUP(Results!A1850,Geometry!$B$6:$B$10000,Geometry!$C$6:$C$10000)</f>
        <v>0</v>
      </c>
      <c r="T1850" s="69"/>
      <c r="U1850" s="69"/>
    </row>
    <row r="1851" spans="19:21" ht="15" customHeight="1" x14ac:dyDescent="0.2">
      <c r="S1851" s="69">
        <f>_xlfn.XLOOKUP(Results!A1851,Geometry!$B$6:$B$10000,Geometry!$C$6:$C$10000)</f>
        <v>0</v>
      </c>
      <c r="T1851" s="69"/>
      <c r="U1851" s="69"/>
    </row>
    <row r="1852" spans="19:21" ht="15" customHeight="1" x14ac:dyDescent="0.2">
      <c r="S1852" s="69">
        <f>_xlfn.XLOOKUP(Results!A1852,Geometry!$B$6:$B$10000,Geometry!$C$6:$C$10000)</f>
        <v>0</v>
      </c>
      <c r="T1852" s="69"/>
      <c r="U1852" s="69"/>
    </row>
    <row r="1853" spans="19:21" ht="15" customHeight="1" x14ac:dyDescent="0.2">
      <c r="S1853" s="69">
        <f>_xlfn.XLOOKUP(Results!A1853,Geometry!$B$6:$B$10000,Geometry!$C$6:$C$10000)</f>
        <v>0</v>
      </c>
      <c r="T1853" s="69"/>
      <c r="U1853" s="69"/>
    </row>
    <row r="1854" spans="19:21" ht="15" customHeight="1" x14ac:dyDescent="0.2">
      <c r="S1854" s="69">
        <f>_xlfn.XLOOKUP(Results!A1854,Geometry!$B$6:$B$10000,Geometry!$C$6:$C$10000)</f>
        <v>0</v>
      </c>
      <c r="T1854" s="69"/>
      <c r="U1854" s="69"/>
    </row>
    <row r="1855" spans="19:21" ht="15" customHeight="1" x14ac:dyDescent="0.2">
      <c r="S1855" s="69">
        <f>_xlfn.XLOOKUP(Results!A1855,Geometry!$B$6:$B$10000,Geometry!$C$6:$C$10000)</f>
        <v>0</v>
      </c>
      <c r="T1855" s="69"/>
      <c r="U1855" s="69"/>
    </row>
    <row r="1856" spans="19:21" ht="15" customHeight="1" x14ac:dyDescent="0.2">
      <c r="S1856" s="69">
        <f>_xlfn.XLOOKUP(Results!A1856,Geometry!$B$6:$B$10000,Geometry!$C$6:$C$10000)</f>
        <v>0</v>
      </c>
      <c r="T1856" s="69"/>
      <c r="U1856" s="69"/>
    </row>
    <row r="1857" spans="19:21" ht="15" customHeight="1" x14ac:dyDescent="0.2">
      <c r="S1857" s="69">
        <f>_xlfn.XLOOKUP(Results!A1857,Geometry!$B$6:$B$10000,Geometry!$C$6:$C$10000)</f>
        <v>0</v>
      </c>
      <c r="T1857" s="69"/>
      <c r="U1857" s="69"/>
    </row>
    <row r="1858" spans="19:21" ht="15" customHeight="1" x14ac:dyDescent="0.2">
      <c r="S1858" s="69">
        <f>_xlfn.XLOOKUP(Results!A1858,Geometry!$B$6:$B$10000,Geometry!$C$6:$C$10000)</f>
        <v>0</v>
      </c>
      <c r="T1858" s="69"/>
      <c r="U1858" s="69"/>
    </row>
    <row r="1859" spans="19:21" ht="15" customHeight="1" x14ac:dyDescent="0.2">
      <c r="S1859" s="69">
        <f>_xlfn.XLOOKUP(Results!A1859,Geometry!$B$6:$B$10000,Geometry!$C$6:$C$10000)</f>
        <v>0</v>
      </c>
      <c r="T1859" s="69"/>
      <c r="U1859" s="69"/>
    </row>
    <row r="1860" spans="19:21" ht="15" customHeight="1" x14ac:dyDescent="0.2">
      <c r="S1860" s="69">
        <f>_xlfn.XLOOKUP(Results!A1860,Geometry!$B$6:$B$10000,Geometry!$C$6:$C$10000)</f>
        <v>0</v>
      </c>
      <c r="T1860" s="69"/>
      <c r="U1860" s="69"/>
    </row>
    <row r="1861" spans="19:21" ht="15" customHeight="1" x14ac:dyDescent="0.2">
      <c r="S1861" s="69">
        <f>_xlfn.XLOOKUP(Results!A1861,Geometry!$B$6:$B$10000,Geometry!$C$6:$C$10000)</f>
        <v>0</v>
      </c>
      <c r="T1861" s="69"/>
      <c r="U1861" s="69"/>
    </row>
    <row r="1862" spans="19:21" ht="15" customHeight="1" x14ac:dyDescent="0.2">
      <c r="S1862" s="69">
        <f>_xlfn.XLOOKUP(Results!A1862,Geometry!$B$6:$B$10000,Geometry!$C$6:$C$10000)</f>
        <v>0</v>
      </c>
      <c r="T1862" s="69"/>
      <c r="U1862" s="69"/>
    </row>
    <row r="1863" spans="19:21" ht="15" customHeight="1" x14ac:dyDescent="0.2">
      <c r="S1863" s="69">
        <f>_xlfn.XLOOKUP(Results!A1863,Geometry!$B$6:$B$10000,Geometry!$C$6:$C$10000)</f>
        <v>0</v>
      </c>
      <c r="T1863" s="69"/>
      <c r="U1863" s="69"/>
    </row>
    <row r="1864" spans="19:21" ht="15" customHeight="1" x14ac:dyDescent="0.2">
      <c r="S1864" s="69">
        <f>_xlfn.XLOOKUP(Results!A1864,Geometry!$B$6:$B$10000,Geometry!$C$6:$C$10000)</f>
        <v>0</v>
      </c>
      <c r="T1864" s="69"/>
      <c r="U1864" s="69"/>
    </row>
    <row r="1865" spans="19:21" ht="15" customHeight="1" x14ac:dyDescent="0.2">
      <c r="S1865" s="69">
        <f>_xlfn.XLOOKUP(Results!A1865,Geometry!$B$6:$B$10000,Geometry!$C$6:$C$10000)</f>
        <v>0</v>
      </c>
      <c r="T1865" s="69"/>
      <c r="U1865" s="69"/>
    </row>
    <row r="1866" spans="19:21" ht="15" customHeight="1" x14ac:dyDescent="0.2">
      <c r="S1866" s="69">
        <f>_xlfn.XLOOKUP(Results!A1866,Geometry!$B$6:$B$10000,Geometry!$C$6:$C$10000)</f>
        <v>0</v>
      </c>
      <c r="T1866" s="69"/>
      <c r="U1866" s="69"/>
    </row>
    <row r="1867" spans="19:21" ht="15" customHeight="1" x14ac:dyDescent="0.2">
      <c r="S1867" s="69">
        <f>_xlfn.XLOOKUP(Results!A1867,Geometry!$B$6:$B$10000,Geometry!$C$6:$C$10000)</f>
        <v>0</v>
      </c>
      <c r="T1867" s="69"/>
      <c r="U1867" s="69"/>
    </row>
    <row r="1868" spans="19:21" ht="15" customHeight="1" x14ac:dyDescent="0.2">
      <c r="S1868" s="69">
        <f>_xlfn.XLOOKUP(Results!A1868,Geometry!$B$6:$B$10000,Geometry!$C$6:$C$10000)</f>
        <v>0</v>
      </c>
      <c r="T1868" s="69"/>
      <c r="U1868" s="69"/>
    </row>
    <row r="1869" spans="19:21" ht="15" customHeight="1" x14ac:dyDescent="0.2">
      <c r="S1869" s="69">
        <f>_xlfn.XLOOKUP(Results!A1869,Geometry!$B$6:$B$10000,Geometry!$C$6:$C$10000)</f>
        <v>0</v>
      </c>
      <c r="T1869" s="69"/>
      <c r="U1869" s="69"/>
    </row>
    <row r="1870" spans="19:21" ht="15" customHeight="1" x14ac:dyDescent="0.2">
      <c r="S1870" s="69">
        <f>_xlfn.XLOOKUP(Results!A1870,Geometry!$B$6:$B$10000,Geometry!$C$6:$C$10000)</f>
        <v>0</v>
      </c>
      <c r="T1870" s="69"/>
      <c r="U1870" s="69"/>
    </row>
    <row r="1871" spans="19:21" ht="15" customHeight="1" x14ac:dyDescent="0.2">
      <c r="S1871" s="69">
        <f>_xlfn.XLOOKUP(Results!A1871,Geometry!$B$6:$B$10000,Geometry!$C$6:$C$10000)</f>
        <v>0</v>
      </c>
      <c r="T1871" s="69"/>
      <c r="U1871" s="69"/>
    </row>
    <row r="1872" spans="19:21" ht="15" customHeight="1" x14ac:dyDescent="0.2">
      <c r="S1872" s="69">
        <f>_xlfn.XLOOKUP(Results!A1872,Geometry!$B$6:$B$10000,Geometry!$C$6:$C$10000)</f>
        <v>0</v>
      </c>
      <c r="T1872" s="69"/>
      <c r="U1872" s="69"/>
    </row>
    <row r="1873" spans="19:21" ht="15" customHeight="1" x14ac:dyDescent="0.2">
      <c r="S1873" s="69">
        <f>_xlfn.XLOOKUP(Results!A1873,Geometry!$B$6:$B$10000,Geometry!$C$6:$C$10000)</f>
        <v>0</v>
      </c>
      <c r="T1873" s="69"/>
      <c r="U1873" s="69"/>
    </row>
    <row r="1874" spans="19:21" ht="15" customHeight="1" x14ac:dyDescent="0.2">
      <c r="S1874" s="69">
        <f>_xlfn.XLOOKUP(Results!A1874,Geometry!$B$6:$B$10000,Geometry!$C$6:$C$10000)</f>
        <v>0</v>
      </c>
      <c r="T1874" s="69"/>
      <c r="U1874" s="69"/>
    </row>
    <row r="1875" spans="19:21" ht="15" customHeight="1" x14ac:dyDescent="0.2">
      <c r="S1875" s="69">
        <f>_xlfn.XLOOKUP(Results!A1875,Geometry!$B$6:$B$10000,Geometry!$C$6:$C$10000)</f>
        <v>0</v>
      </c>
      <c r="T1875" s="69"/>
      <c r="U1875" s="69"/>
    </row>
    <row r="1876" spans="19:21" ht="15" customHeight="1" x14ac:dyDescent="0.2">
      <c r="S1876" s="69">
        <f>_xlfn.XLOOKUP(Results!A1876,Geometry!$B$6:$B$10000,Geometry!$C$6:$C$10000)</f>
        <v>0</v>
      </c>
      <c r="T1876" s="69"/>
      <c r="U1876" s="69"/>
    </row>
    <row r="1877" spans="19:21" ht="15" customHeight="1" x14ac:dyDescent="0.2">
      <c r="S1877" s="69">
        <f>_xlfn.XLOOKUP(Results!A1877,Geometry!$B$6:$B$10000,Geometry!$C$6:$C$10000)</f>
        <v>0</v>
      </c>
      <c r="T1877" s="69"/>
      <c r="U1877" s="69"/>
    </row>
    <row r="1878" spans="19:21" ht="15" customHeight="1" x14ac:dyDescent="0.2">
      <c r="S1878" s="69">
        <f>_xlfn.XLOOKUP(Results!A1878,Geometry!$B$6:$B$10000,Geometry!$C$6:$C$10000)</f>
        <v>0</v>
      </c>
      <c r="T1878" s="69"/>
      <c r="U1878" s="69"/>
    </row>
    <row r="1879" spans="19:21" ht="15" customHeight="1" x14ac:dyDescent="0.2">
      <c r="S1879" s="69">
        <f>_xlfn.XLOOKUP(Results!A1879,Geometry!$B$6:$B$10000,Geometry!$C$6:$C$10000)</f>
        <v>0</v>
      </c>
      <c r="T1879" s="69"/>
      <c r="U1879" s="69"/>
    </row>
    <row r="1880" spans="19:21" ht="15" customHeight="1" x14ac:dyDescent="0.2">
      <c r="S1880" s="69">
        <f>_xlfn.XLOOKUP(Results!A1880,Geometry!$B$6:$B$10000,Geometry!$C$6:$C$10000)</f>
        <v>0</v>
      </c>
      <c r="T1880" s="69"/>
      <c r="U1880" s="69"/>
    </row>
    <row r="1881" spans="19:21" ht="15" customHeight="1" x14ac:dyDescent="0.2">
      <c r="S1881" s="69">
        <f>_xlfn.XLOOKUP(Results!A1881,Geometry!$B$6:$B$10000,Geometry!$C$6:$C$10000)</f>
        <v>0</v>
      </c>
      <c r="T1881" s="69"/>
      <c r="U1881" s="69"/>
    </row>
    <row r="1882" spans="19:21" ht="15" customHeight="1" x14ac:dyDescent="0.2">
      <c r="S1882" s="69">
        <f>_xlfn.XLOOKUP(Results!A1882,Geometry!$B$6:$B$10000,Geometry!$C$6:$C$10000)</f>
        <v>0</v>
      </c>
      <c r="T1882" s="69"/>
      <c r="U1882" s="69"/>
    </row>
    <row r="1883" spans="19:21" ht="15" customHeight="1" x14ac:dyDescent="0.2">
      <c r="S1883" s="69">
        <f>_xlfn.XLOOKUP(Results!A1883,Geometry!$B$6:$B$10000,Geometry!$C$6:$C$10000)</f>
        <v>0</v>
      </c>
      <c r="T1883" s="69"/>
      <c r="U1883" s="69"/>
    </row>
    <row r="1884" spans="19:21" ht="15" customHeight="1" x14ac:dyDescent="0.2">
      <c r="S1884" s="69">
        <f>_xlfn.XLOOKUP(Results!A1884,Geometry!$B$6:$B$10000,Geometry!$C$6:$C$10000)</f>
        <v>0</v>
      </c>
      <c r="T1884" s="69"/>
      <c r="U1884" s="69"/>
    </row>
    <row r="1885" spans="19:21" ht="15" customHeight="1" x14ac:dyDescent="0.2">
      <c r="S1885" s="69">
        <f>_xlfn.XLOOKUP(Results!A1885,Geometry!$B$6:$B$10000,Geometry!$C$6:$C$10000)</f>
        <v>0</v>
      </c>
      <c r="T1885" s="69"/>
      <c r="U1885" s="69"/>
    </row>
    <row r="1886" spans="19:21" ht="15" customHeight="1" x14ac:dyDescent="0.2">
      <c r="S1886" s="69">
        <f>_xlfn.XLOOKUP(Results!A1886,Geometry!$B$6:$B$10000,Geometry!$C$6:$C$10000)</f>
        <v>0</v>
      </c>
      <c r="T1886" s="69"/>
      <c r="U1886" s="69"/>
    </row>
    <row r="1887" spans="19:21" ht="15" customHeight="1" x14ac:dyDescent="0.2">
      <c r="S1887" s="69">
        <f>_xlfn.XLOOKUP(Results!A1887,Geometry!$B$6:$B$10000,Geometry!$C$6:$C$10000)</f>
        <v>0</v>
      </c>
      <c r="T1887" s="69"/>
      <c r="U1887" s="69"/>
    </row>
    <row r="1888" spans="19:21" ht="15" customHeight="1" x14ac:dyDescent="0.2">
      <c r="S1888" s="69">
        <f>_xlfn.XLOOKUP(Results!A1888,Geometry!$B$6:$B$10000,Geometry!$C$6:$C$10000)</f>
        <v>0</v>
      </c>
      <c r="T1888" s="69"/>
      <c r="U1888" s="69"/>
    </row>
    <row r="1889" spans="19:21" ht="15" customHeight="1" x14ac:dyDescent="0.2">
      <c r="S1889" s="69">
        <f>_xlfn.XLOOKUP(Results!A1889,Geometry!$B$6:$B$10000,Geometry!$C$6:$C$10000)</f>
        <v>0</v>
      </c>
      <c r="T1889" s="69"/>
      <c r="U1889" s="69"/>
    </row>
    <row r="1890" spans="19:21" ht="15" customHeight="1" x14ac:dyDescent="0.2">
      <c r="S1890" s="69">
        <f>_xlfn.XLOOKUP(Results!A1890,Geometry!$B$6:$B$10000,Geometry!$C$6:$C$10000)</f>
        <v>0</v>
      </c>
      <c r="T1890" s="69"/>
      <c r="U1890" s="69"/>
    </row>
    <row r="1891" spans="19:21" ht="15" customHeight="1" x14ac:dyDescent="0.2">
      <c r="S1891" s="69">
        <f>_xlfn.XLOOKUP(Results!A1891,Geometry!$B$6:$B$10000,Geometry!$C$6:$C$10000)</f>
        <v>0</v>
      </c>
      <c r="T1891" s="69"/>
      <c r="U1891" s="69"/>
    </row>
    <row r="1892" spans="19:21" ht="15" customHeight="1" x14ac:dyDescent="0.2">
      <c r="S1892" s="69">
        <f>_xlfn.XLOOKUP(Results!A1892,Geometry!$B$6:$B$10000,Geometry!$C$6:$C$10000)</f>
        <v>0</v>
      </c>
      <c r="T1892" s="69"/>
      <c r="U1892" s="69"/>
    </row>
    <row r="1893" spans="19:21" ht="15" customHeight="1" x14ac:dyDescent="0.2">
      <c r="S1893" s="69">
        <f>_xlfn.XLOOKUP(Results!A1893,Geometry!$B$6:$B$10000,Geometry!$C$6:$C$10000)</f>
        <v>0</v>
      </c>
      <c r="T1893" s="69"/>
      <c r="U1893" s="69"/>
    </row>
    <row r="1894" spans="19:21" ht="15" customHeight="1" x14ac:dyDescent="0.2">
      <c r="S1894" s="69">
        <f>_xlfn.XLOOKUP(Results!A1894,Geometry!$B$6:$B$10000,Geometry!$C$6:$C$10000)</f>
        <v>0</v>
      </c>
      <c r="T1894" s="69"/>
      <c r="U1894" s="69"/>
    </row>
    <row r="1895" spans="19:21" ht="15" customHeight="1" x14ac:dyDescent="0.2">
      <c r="S1895" s="69">
        <f>_xlfn.XLOOKUP(Results!A1895,Geometry!$B$6:$B$10000,Geometry!$C$6:$C$10000)</f>
        <v>0</v>
      </c>
      <c r="T1895" s="69"/>
      <c r="U1895" s="69"/>
    </row>
    <row r="1896" spans="19:21" ht="15" customHeight="1" x14ac:dyDescent="0.2">
      <c r="S1896" s="69">
        <f>_xlfn.XLOOKUP(Results!A1896,Geometry!$B$6:$B$10000,Geometry!$C$6:$C$10000)</f>
        <v>0</v>
      </c>
      <c r="T1896" s="69"/>
      <c r="U1896" s="69"/>
    </row>
    <row r="1897" spans="19:21" ht="15" customHeight="1" x14ac:dyDescent="0.2">
      <c r="S1897" s="69">
        <f>_xlfn.XLOOKUP(Results!A1897,Geometry!$B$6:$B$10000,Geometry!$C$6:$C$10000)</f>
        <v>0</v>
      </c>
      <c r="T1897" s="69"/>
      <c r="U1897" s="69"/>
    </row>
    <row r="1898" spans="19:21" ht="15" customHeight="1" x14ac:dyDescent="0.2">
      <c r="S1898" s="69">
        <f>_xlfn.XLOOKUP(Results!A1898,Geometry!$B$6:$B$10000,Geometry!$C$6:$C$10000)</f>
        <v>0</v>
      </c>
      <c r="T1898" s="69"/>
      <c r="U1898" s="69"/>
    </row>
    <row r="1899" spans="19:21" ht="15" customHeight="1" x14ac:dyDescent="0.2">
      <c r="S1899" s="69">
        <f>_xlfn.XLOOKUP(Results!A1899,Geometry!$B$6:$B$10000,Geometry!$C$6:$C$10000)</f>
        <v>0</v>
      </c>
      <c r="T1899" s="69"/>
      <c r="U1899" s="69"/>
    </row>
    <row r="1900" spans="19:21" ht="15" customHeight="1" x14ac:dyDescent="0.2">
      <c r="S1900" s="69">
        <f>_xlfn.XLOOKUP(Results!A1900,Geometry!$B$6:$B$10000,Geometry!$C$6:$C$10000)</f>
        <v>0</v>
      </c>
      <c r="T1900" s="69"/>
      <c r="U1900" s="69"/>
    </row>
    <row r="1901" spans="19:21" ht="15" customHeight="1" x14ac:dyDescent="0.2">
      <c r="S1901" s="69">
        <f>_xlfn.XLOOKUP(Results!A1901,Geometry!$B$6:$B$10000,Geometry!$C$6:$C$10000)</f>
        <v>0</v>
      </c>
      <c r="T1901" s="69"/>
      <c r="U1901" s="69"/>
    </row>
    <row r="1902" spans="19:21" ht="15" customHeight="1" x14ac:dyDescent="0.2">
      <c r="S1902" s="69">
        <f>_xlfn.XLOOKUP(Results!A1902,Geometry!$B$6:$B$10000,Geometry!$C$6:$C$10000)</f>
        <v>0</v>
      </c>
      <c r="T1902" s="69"/>
      <c r="U1902" s="69"/>
    </row>
    <row r="1903" spans="19:21" ht="15" customHeight="1" x14ac:dyDescent="0.2">
      <c r="S1903" s="69">
        <f>_xlfn.XLOOKUP(Results!A1903,Geometry!$B$6:$B$10000,Geometry!$C$6:$C$10000)</f>
        <v>0</v>
      </c>
      <c r="T1903" s="69"/>
      <c r="U1903" s="69"/>
    </row>
    <row r="1904" spans="19:21" ht="15" customHeight="1" x14ac:dyDescent="0.2">
      <c r="S1904" s="69">
        <f>_xlfn.XLOOKUP(Results!A1904,Geometry!$B$6:$B$10000,Geometry!$C$6:$C$10000)</f>
        <v>0</v>
      </c>
      <c r="T1904" s="69"/>
      <c r="U1904" s="69"/>
    </row>
    <row r="1905" spans="19:21" ht="15" customHeight="1" x14ac:dyDescent="0.2">
      <c r="S1905" s="69">
        <f>_xlfn.XLOOKUP(Results!A1905,Geometry!$B$6:$B$10000,Geometry!$C$6:$C$10000)</f>
        <v>0</v>
      </c>
      <c r="T1905" s="69"/>
      <c r="U1905" s="69"/>
    </row>
    <row r="1906" spans="19:21" ht="15" customHeight="1" x14ac:dyDescent="0.2">
      <c r="S1906" s="69">
        <f>_xlfn.XLOOKUP(Results!A1906,Geometry!$B$6:$B$10000,Geometry!$C$6:$C$10000)</f>
        <v>0</v>
      </c>
      <c r="T1906" s="69"/>
      <c r="U1906" s="69"/>
    </row>
    <row r="1907" spans="19:21" ht="15" customHeight="1" x14ac:dyDescent="0.2">
      <c r="S1907" s="69">
        <f>_xlfn.XLOOKUP(Results!A1907,Geometry!$B$6:$B$10000,Geometry!$C$6:$C$10000)</f>
        <v>0</v>
      </c>
      <c r="T1907" s="69"/>
      <c r="U1907" s="69"/>
    </row>
    <row r="1908" spans="19:21" ht="15" customHeight="1" x14ac:dyDescent="0.2">
      <c r="S1908" s="69">
        <f>_xlfn.XLOOKUP(Results!A1908,Geometry!$B$6:$B$10000,Geometry!$C$6:$C$10000)</f>
        <v>0</v>
      </c>
      <c r="T1908" s="69"/>
      <c r="U1908" s="69"/>
    </row>
    <row r="1909" spans="19:21" ht="15" customHeight="1" x14ac:dyDescent="0.2">
      <c r="S1909" s="69">
        <f>_xlfn.XLOOKUP(Results!A1909,Geometry!$B$6:$B$10000,Geometry!$C$6:$C$10000)</f>
        <v>0</v>
      </c>
      <c r="T1909" s="69"/>
      <c r="U1909" s="69"/>
    </row>
    <row r="1910" spans="19:21" ht="15" customHeight="1" x14ac:dyDescent="0.2">
      <c r="S1910" s="69">
        <f>_xlfn.XLOOKUP(Results!A1910,Geometry!$B$6:$B$10000,Geometry!$C$6:$C$10000)</f>
        <v>0</v>
      </c>
      <c r="T1910" s="69"/>
      <c r="U1910" s="69"/>
    </row>
    <row r="1911" spans="19:21" ht="15" customHeight="1" x14ac:dyDescent="0.2">
      <c r="S1911" s="69">
        <f>_xlfn.XLOOKUP(Results!A1911,Geometry!$B$6:$B$10000,Geometry!$C$6:$C$10000)</f>
        <v>0</v>
      </c>
      <c r="T1911" s="69"/>
      <c r="U1911" s="69"/>
    </row>
    <row r="1912" spans="19:21" ht="15" customHeight="1" x14ac:dyDescent="0.2">
      <c r="S1912" s="69">
        <f>_xlfn.XLOOKUP(Results!A1912,Geometry!$B$6:$B$10000,Geometry!$C$6:$C$10000)</f>
        <v>0</v>
      </c>
      <c r="T1912" s="69"/>
      <c r="U1912" s="69"/>
    </row>
    <row r="1913" spans="19:21" ht="15" customHeight="1" x14ac:dyDescent="0.2">
      <c r="S1913" s="69">
        <f>_xlfn.XLOOKUP(Results!A1913,Geometry!$B$6:$B$10000,Geometry!$C$6:$C$10000)</f>
        <v>0</v>
      </c>
      <c r="T1913" s="69"/>
      <c r="U1913" s="69"/>
    </row>
    <row r="1914" spans="19:21" ht="15" customHeight="1" x14ac:dyDescent="0.2">
      <c r="S1914" s="69">
        <f>_xlfn.XLOOKUP(Results!A1914,Geometry!$B$6:$B$10000,Geometry!$C$6:$C$10000)</f>
        <v>0</v>
      </c>
      <c r="T1914" s="69"/>
      <c r="U1914" s="69"/>
    </row>
    <row r="1915" spans="19:21" ht="15" customHeight="1" x14ac:dyDescent="0.2">
      <c r="S1915" s="69">
        <f>_xlfn.XLOOKUP(Results!A1915,Geometry!$B$6:$B$10000,Geometry!$C$6:$C$10000)</f>
        <v>0</v>
      </c>
      <c r="T1915" s="69"/>
      <c r="U1915" s="69"/>
    </row>
    <row r="1916" spans="19:21" ht="15" customHeight="1" x14ac:dyDescent="0.2">
      <c r="S1916" s="69">
        <f>_xlfn.XLOOKUP(Results!A1916,Geometry!$B$6:$B$10000,Geometry!$C$6:$C$10000)</f>
        <v>0</v>
      </c>
      <c r="T1916" s="69"/>
      <c r="U1916" s="69"/>
    </row>
    <row r="1917" spans="19:21" ht="15" customHeight="1" x14ac:dyDescent="0.2">
      <c r="S1917" s="69">
        <f>_xlfn.XLOOKUP(Results!A1917,Geometry!$B$6:$B$10000,Geometry!$C$6:$C$10000)</f>
        <v>0</v>
      </c>
      <c r="T1917" s="69"/>
      <c r="U1917" s="69"/>
    </row>
    <row r="1918" spans="19:21" ht="15" customHeight="1" x14ac:dyDescent="0.2">
      <c r="S1918" s="69">
        <f>_xlfn.XLOOKUP(Results!A1918,Geometry!$B$6:$B$10000,Geometry!$C$6:$C$10000)</f>
        <v>0</v>
      </c>
      <c r="T1918" s="69"/>
      <c r="U1918" s="69"/>
    </row>
    <row r="1919" spans="19:21" ht="15" customHeight="1" x14ac:dyDescent="0.2">
      <c r="S1919" s="69">
        <f>_xlfn.XLOOKUP(Results!A1919,Geometry!$B$6:$B$10000,Geometry!$C$6:$C$10000)</f>
        <v>0</v>
      </c>
      <c r="T1919" s="69"/>
      <c r="U1919" s="69"/>
    </row>
    <row r="1920" spans="19:21" ht="15" customHeight="1" x14ac:dyDescent="0.2">
      <c r="S1920" s="69">
        <f>_xlfn.XLOOKUP(Results!A1920,Geometry!$B$6:$B$10000,Geometry!$C$6:$C$10000)</f>
        <v>0</v>
      </c>
      <c r="T1920" s="69"/>
      <c r="U1920" s="69"/>
    </row>
    <row r="1921" spans="19:21" ht="15" customHeight="1" x14ac:dyDescent="0.2">
      <c r="S1921" s="69">
        <f>_xlfn.XLOOKUP(Results!A1921,Geometry!$B$6:$B$10000,Geometry!$C$6:$C$10000)</f>
        <v>0</v>
      </c>
      <c r="T1921" s="69"/>
      <c r="U1921" s="69"/>
    </row>
    <row r="1922" spans="19:21" ht="15" customHeight="1" x14ac:dyDescent="0.2">
      <c r="S1922" s="69">
        <f>_xlfn.XLOOKUP(Results!A1922,Geometry!$B$6:$B$10000,Geometry!$C$6:$C$10000)</f>
        <v>0</v>
      </c>
      <c r="T1922" s="69"/>
      <c r="U1922" s="69"/>
    </row>
    <row r="1923" spans="19:21" ht="15" customHeight="1" x14ac:dyDescent="0.2">
      <c r="S1923" s="69">
        <f>_xlfn.XLOOKUP(Results!A1923,Geometry!$B$6:$B$10000,Geometry!$C$6:$C$10000)</f>
        <v>0</v>
      </c>
      <c r="T1923" s="69"/>
      <c r="U1923" s="69"/>
    </row>
    <row r="1924" spans="19:21" ht="15" customHeight="1" x14ac:dyDescent="0.2">
      <c r="S1924" s="69">
        <f>_xlfn.XLOOKUP(Results!A1924,Geometry!$B$6:$B$10000,Geometry!$C$6:$C$10000)</f>
        <v>0</v>
      </c>
      <c r="T1924" s="69"/>
      <c r="U1924" s="69"/>
    </row>
    <row r="1925" spans="19:21" ht="15" customHeight="1" x14ac:dyDescent="0.2">
      <c r="S1925" s="69">
        <f>_xlfn.XLOOKUP(Results!A1925,Geometry!$B$6:$B$10000,Geometry!$C$6:$C$10000)</f>
        <v>0</v>
      </c>
      <c r="T1925" s="69"/>
      <c r="U1925" s="69"/>
    </row>
    <row r="1926" spans="19:21" ht="15" customHeight="1" x14ac:dyDescent="0.2">
      <c r="S1926" s="69">
        <f>_xlfn.XLOOKUP(Results!A1926,Geometry!$B$6:$B$10000,Geometry!$C$6:$C$10000)</f>
        <v>0</v>
      </c>
      <c r="T1926" s="69"/>
      <c r="U1926" s="69"/>
    </row>
    <row r="1927" spans="19:21" ht="15" customHeight="1" x14ac:dyDescent="0.2">
      <c r="S1927" s="69">
        <f>_xlfn.XLOOKUP(Results!A1927,Geometry!$B$6:$B$10000,Geometry!$C$6:$C$10000)</f>
        <v>0</v>
      </c>
      <c r="T1927" s="69"/>
      <c r="U1927" s="69"/>
    </row>
    <row r="1928" spans="19:21" ht="15" customHeight="1" x14ac:dyDescent="0.2">
      <c r="S1928" s="69">
        <f>_xlfn.XLOOKUP(Results!A1928,Geometry!$B$6:$B$10000,Geometry!$C$6:$C$10000)</f>
        <v>0</v>
      </c>
      <c r="T1928" s="69"/>
      <c r="U1928" s="69"/>
    </row>
    <row r="1929" spans="19:21" ht="15" customHeight="1" x14ac:dyDescent="0.2">
      <c r="S1929" s="69">
        <f>_xlfn.XLOOKUP(Results!A1929,Geometry!$B$6:$B$10000,Geometry!$C$6:$C$10000)</f>
        <v>0</v>
      </c>
      <c r="T1929" s="69"/>
      <c r="U1929" s="69"/>
    </row>
    <row r="1930" spans="19:21" ht="15" customHeight="1" x14ac:dyDescent="0.2">
      <c r="S1930" s="69">
        <f>_xlfn.XLOOKUP(Results!A1930,Geometry!$B$6:$B$10000,Geometry!$C$6:$C$10000)</f>
        <v>0</v>
      </c>
      <c r="T1930" s="69"/>
      <c r="U1930" s="69"/>
    </row>
    <row r="1931" spans="19:21" ht="15" customHeight="1" x14ac:dyDescent="0.2">
      <c r="S1931" s="69">
        <f>_xlfn.XLOOKUP(Results!A1931,Geometry!$B$6:$B$10000,Geometry!$C$6:$C$10000)</f>
        <v>0</v>
      </c>
      <c r="T1931" s="69"/>
      <c r="U1931" s="69"/>
    </row>
    <row r="1932" spans="19:21" ht="15" customHeight="1" x14ac:dyDescent="0.2">
      <c r="S1932" s="69">
        <f>_xlfn.XLOOKUP(Results!A1932,Geometry!$B$6:$B$10000,Geometry!$C$6:$C$10000)</f>
        <v>0</v>
      </c>
      <c r="T1932" s="69"/>
      <c r="U1932" s="69"/>
    </row>
    <row r="1933" spans="19:21" ht="15" customHeight="1" x14ac:dyDescent="0.2">
      <c r="S1933" s="69">
        <f>_xlfn.XLOOKUP(Results!A1933,Geometry!$B$6:$B$10000,Geometry!$C$6:$C$10000)</f>
        <v>0</v>
      </c>
      <c r="T1933" s="69"/>
      <c r="U1933" s="69"/>
    </row>
    <row r="1934" spans="19:21" ht="15" customHeight="1" x14ac:dyDescent="0.2">
      <c r="S1934" s="69">
        <f>_xlfn.XLOOKUP(Results!A1934,Geometry!$B$6:$B$10000,Geometry!$C$6:$C$10000)</f>
        <v>0</v>
      </c>
      <c r="T1934" s="69"/>
      <c r="U1934" s="69"/>
    </row>
    <row r="1935" spans="19:21" ht="15" customHeight="1" x14ac:dyDescent="0.2">
      <c r="S1935" s="69">
        <f>_xlfn.XLOOKUP(Results!A1935,Geometry!$B$6:$B$10000,Geometry!$C$6:$C$10000)</f>
        <v>0</v>
      </c>
      <c r="T1935" s="69"/>
      <c r="U1935" s="69"/>
    </row>
    <row r="1936" spans="19:21" ht="15" customHeight="1" x14ac:dyDescent="0.2">
      <c r="S1936" s="69">
        <f>_xlfn.XLOOKUP(Results!A1936,Geometry!$B$6:$B$10000,Geometry!$C$6:$C$10000)</f>
        <v>0</v>
      </c>
      <c r="T1936" s="69"/>
      <c r="U1936" s="69"/>
    </row>
    <row r="1937" spans="19:21" ht="15" customHeight="1" x14ac:dyDescent="0.2">
      <c r="S1937" s="69">
        <f>_xlfn.XLOOKUP(Results!A1937,Geometry!$B$6:$B$10000,Geometry!$C$6:$C$10000)</f>
        <v>0</v>
      </c>
      <c r="T1937" s="69"/>
      <c r="U1937" s="69"/>
    </row>
    <row r="1938" spans="19:21" ht="15" customHeight="1" x14ac:dyDescent="0.2">
      <c r="S1938" s="69">
        <f>_xlfn.XLOOKUP(Results!A1938,Geometry!$B$6:$B$10000,Geometry!$C$6:$C$10000)</f>
        <v>0</v>
      </c>
      <c r="T1938" s="69"/>
      <c r="U1938" s="69"/>
    </row>
    <row r="1939" spans="19:21" ht="15" customHeight="1" x14ac:dyDescent="0.2">
      <c r="S1939" s="69">
        <f>_xlfn.XLOOKUP(Results!A1939,Geometry!$B$6:$B$10000,Geometry!$C$6:$C$10000)</f>
        <v>0</v>
      </c>
      <c r="T1939" s="69"/>
      <c r="U1939" s="69"/>
    </row>
    <row r="1940" spans="19:21" ht="15" customHeight="1" x14ac:dyDescent="0.2">
      <c r="S1940" s="69">
        <f>_xlfn.XLOOKUP(Results!A1940,Geometry!$B$6:$B$10000,Geometry!$C$6:$C$10000)</f>
        <v>0</v>
      </c>
      <c r="T1940" s="69"/>
      <c r="U1940" s="69"/>
    </row>
    <row r="1941" spans="19:21" ht="15" customHeight="1" x14ac:dyDescent="0.2">
      <c r="S1941" s="69">
        <f>_xlfn.XLOOKUP(Results!A1941,Geometry!$B$6:$B$10000,Geometry!$C$6:$C$10000)</f>
        <v>0</v>
      </c>
      <c r="T1941" s="69"/>
      <c r="U1941" s="69"/>
    </row>
    <row r="1942" spans="19:21" ht="15" customHeight="1" x14ac:dyDescent="0.2">
      <c r="S1942" s="69">
        <f>_xlfn.XLOOKUP(Results!A1942,Geometry!$B$6:$B$10000,Geometry!$C$6:$C$10000)</f>
        <v>0</v>
      </c>
      <c r="T1942" s="69"/>
      <c r="U1942" s="69"/>
    </row>
    <row r="1943" spans="19:21" ht="15" customHeight="1" x14ac:dyDescent="0.2">
      <c r="S1943" s="69">
        <f>_xlfn.XLOOKUP(Results!A1943,Geometry!$B$6:$B$10000,Geometry!$C$6:$C$10000)</f>
        <v>0</v>
      </c>
      <c r="T1943" s="69"/>
      <c r="U1943" s="69"/>
    </row>
    <row r="1944" spans="19:21" ht="15" customHeight="1" x14ac:dyDescent="0.2">
      <c r="S1944" s="69">
        <f>_xlfn.XLOOKUP(Results!A1944,Geometry!$B$6:$B$10000,Geometry!$C$6:$C$10000)</f>
        <v>0</v>
      </c>
      <c r="T1944" s="69"/>
      <c r="U1944" s="69"/>
    </row>
    <row r="1945" spans="19:21" ht="15" customHeight="1" x14ac:dyDescent="0.2">
      <c r="S1945" s="69">
        <f>_xlfn.XLOOKUP(Results!A1945,Geometry!$B$6:$B$10000,Geometry!$C$6:$C$10000)</f>
        <v>0</v>
      </c>
      <c r="T1945" s="69"/>
      <c r="U1945" s="69"/>
    </row>
    <row r="1946" spans="19:21" ht="15" customHeight="1" x14ac:dyDescent="0.2">
      <c r="S1946" s="69">
        <f>_xlfn.XLOOKUP(Results!A1946,Geometry!$B$6:$B$10000,Geometry!$C$6:$C$10000)</f>
        <v>0</v>
      </c>
      <c r="T1946" s="69"/>
      <c r="U1946" s="69"/>
    </row>
    <row r="1947" spans="19:21" ht="15" customHeight="1" x14ac:dyDescent="0.2">
      <c r="S1947" s="69">
        <f>_xlfn.XLOOKUP(Results!A1947,Geometry!$B$6:$B$10000,Geometry!$C$6:$C$10000)</f>
        <v>0</v>
      </c>
      <c r="T1947" s="69"/>
      <c r="U1947" s="69"/>
    </row>
    <row r="1948" spans="19:21" ht="15" customHeight="1" x14ac:dyDescent="0.2">
      <c r="S1948" s="69">
        <f>_xlfn.XLOOKUP(Results!A1948,Geometry!$B$6:$B$10000,Geometry!$C$6:$C$10000)</f>
        <v>0</v>
      </c>
      <c r="T1948" s="69"/>
      <c r="U1948" s="69"/>
    </row>
    <row r="1949" spans="19:21" ht="15" customHeight="1" x14ac:dyDescent="0.2">
      <c r="S1949" s="69">
        <f>_xlfn.XLOOKUP(Results!A1949,Geometry!$B$6:$B$10000,Geometry!$C$6:$C$10000)</f>
        <v>0</v>
      </c>
      <c r="T1949" s="69"/>
      <c r="U1949" s="69"/>
    </row>
    <row r="1950" spans="19:21" ht="15" customHeight="1" x14ac:dyDescent="0.2">
      <c r="S1950" s="69">
        <f>_xlfn.XLOOKUP(Results!A1950,Geometry!$B$6:$B$10000,Geometry!$C$6:$C$10000)</f>
        <v>0</v>
      </c>
      <c r="T1950" s="69"/>
      <c r="U1950" s="69"/>
    </row>
    <row r="1951" spans="19:21" ht="15" customHeight="1" x14ac:dyDescent="0.2">
      <c r="S1951" s="69">
        <f>_xlfn.XLOOKUP(Results!A1951,Geometry!$B$6:$B$10000,Geometry!$C$6:$C$10000)</f>
        <v>0</v>
      </c>
      <c r="T1951" s="69"/>
      <c r="U1951" s="69"/>
    </row>
    <row r="1952" spans="19:21" ht="15" customHeight="1" x14ac:dyDescent="0.2">
      <c r="S1952" s="69">
        <f>_xlfn.XLOOKUP(Results!A1952,Geometry!$B$6:$B$10000,Geometry!$C$6:$C$10000)</f>
        <v>0</v>
      </c>
      <c r="T1952" s="69"/>
      <c r="U1952" s="69"/>
    </row>
    <row r="1953" spans="19:21" ht="15" customHeight="1" x14ac:dyDescent="0.2">
      <c r="S1953" s="69">
        <f>_xlfn.XLOOKUP(Results!A1953,Geometry!$B$6:$B$10000,Geometry!$C$6:$C$10000)</f>
        <v>0</v>
      </c>
      <c r="T1953" s="69"/>
      <c r="U1953" s="69"/>
    </row>
    <row r="1954" spans="19:21" ht="15" customHeight="1" x14ac:dyDescent="0.2">
      <c r="S1954" s="69">
        <f>_xlfn.XLOOKUP(Results!A1954,Geometry!$B$6:$B$10000,Geometry!$C$6:$C$10000)</f>
        <v>0</v>
      </c>
      <c r="T1954" s="69"/>
      <c r="U1954" s="69"/>
    </row>
    <row r="1955" spans="19:21" ht="15" customHeight="1" x14ac:dyDescent="0.2">
      <c r="S1955" s="69">
        <f>_xlfn.XLOOKUP(Results!A1955,Geometry!$B$6:$B$10000,Geometry!$C$6:$C$10000)</f>
        <v>0</v>
      </c>
      <c r="T1955" s="69"/>
      <c r="U1955" s="69"/>
    </row>
    <row r="1956" spans="19:21" ht="15" customHeight="1" x14ac:dyDescent="0.2">
      <c r="S1956" s="69">
        <f>_xlfn.XLOOKUP(Results!A1956,Geometry!$B$6:$B$10000,Geometry!$C$6:$C$10000)</f>
        <v>0</v>
      </c>
      <c r="T1956" s="69"/>
      <c r="U1956" s="69"/>
    </row>
    <row r="1957" spans="19:21" ht="15" customHeight="1" x14ac:dyDescent="0.2">
      <c r="S1957" s="69">
        <f>_xlfn.XLOOKUP(Results!A1957,Geometry!$B$6:$B$10000,Geometry!$C$6:$C$10000)</f>
        <v>0</v>
      </c>
      <c r="T1957" s="69"/>
      <c r="U1957" s="69"/>
    </row>
    <row r="1958" spans="19:21" ht="15" customHeight="1" x14ac:dyDescent="0.2">
      <c r="S1958" s="69">
        <f>_xlfn.XLOOKUP(Results!A1958,Geometry!$B$6:$B$10000,Geometry!$C$6:$C$10000)</f>
        <v>0</v>
      </c>
      <c r="T1958" s="69"/>
      <c r="U1958" s="69"/>
    </row>
    <row r="1959" spans="19:21" ht="15" customHeight="1" x14ac:dyDescent="0.2">
      <c r="S1959" s="69">
        <f>_xlfn.XLOOKUP(Results!A1959,Geometry!$B$6:$B$10000,Geometry!$C$6:$C$10000)</f>
        <v>0</v>
      </c>
      <c r="T1959" s="69"/>
      <c r="U1959" s="69"/>
    </row>
    <row r="1960" spans="19:21" ht="15" customHeight="1" x14ac:dyDescent="0.2">
      <c r="S1960" s="69">
        <f>_xlfn.XLOOKUP(Results!A1960,Geometry!$B$6:$B$10000,Geometry!$C$6:$C$10000)</f>
        <v>0</v>
      </c>
      <c r="T1960" s="69"/>
      <c r="U1960" s="69"/>
    </row>
    <row r="1961" spans="19:21" ht="15" customHeight="1" x14ac:dyDescent="0.2">
      <c r="S1961" s="69">
        <f>_xlfn.XLOOKUP(Results!A1961,Geometry!$B$6:$B$10000,Geometry!$C$6:$C$10000)</f>
        <v>0</v>
      </c>
      <c r="T1961" s="69"/>
      <c r="U1961" s="69"/>
    </row>
    <row r="1962" spans="19:21" ht="15" customHeight="1" x14ac:dyDescent="0.2">
      <c r="S1962" s="69">
        <f>_xlfn.XLOOKUP(Results!A1962,Geometry!$B$6:$B$10000,Geometry!$C$6:$C$10000)</f>
        <v>0</v>
      </c>
      <c r="T1962" s="69"/>
      <c r="U1962" s="69"/>
    </row>
    <row r="1963" spans="19:21" ht="15" customHeight="1" x14ac:dyDescent="0.2">
      <c r="S1963" s="69">
        <f>_xlfn.XLOOKUP(Results!A1963,Geometry!$B$6:$B$10000,Geometry!$C$6:$C$10000)</f>
        <v>0</v>
      </c>
      <c r="T1963" s="69"/>
      <c r="U1963" s="69"/>
    </row>
    <row r="1964" spans="19:21" ht="15" customHeight="1" x14ac:dyDescent="0.2">
      <c r="S1964" s="69">
        <f>_xlfn.XLOOKUP(Results!A1964,Geometry!$B$6:$B$10000,Geometry!$C$6:$C$10000)</f>
        <v>0</v>
      </c>
      <c r="T1964" s="69"/>
      <c r="U1964" s="69"/>
    </row>
    <row r="1965" spans="19:21" ht="15" customHeight="1" x14ac:dyDescent="0.2">
      <c r="S1965" s="69">
        <f>_xlfn.XLOOKUP(Results!A1965,Geometry!$B$6:$B$10000,Geometry!$C$6:$C$10000)</f>
        <v>0</v>
      </c>
      <c r="T1965" s="69"/>
      <c r="U1965" s="69"/>
    </row>
    <row r="1966" spans="19:21" ht="15" customHeight="1" x14ac:dyDescent="0.2">
      <c r="S1966" s="69">
        <f>_xlfn.XLOOKUP(Results!A1966,Geometry!$B$6:$B$10000,Geometry!$C$6:$C$10000)</f>
        <v>0</v>
      </c>
      <c r="T1966" s="69"/>
      <c r="U1966" s="69"/>
    </row>
    <row r="1967" spans="19:21" ht="15" customHeight="1" x14ac:dyDescent="0.2">
      <c r="S1967" s="69">
        <f>_xlfn.XLOOKUP(Results!A1967,Geometry!$B$6:$B$10000,Geometry!$C$6:$C$10000)</f>
        <v>0</v>
      </c>
      <c r="T1967" s="69"/>
      <c r="U1967" s="69"/>
    </row>
    <row r="1968" spans="19:21" ht="15" customHeight="1" x14ac:dyDescent="0.2">
      <c r="S1968" s="69">
        <f>_xlfn.XLOOKUP(Results!A1968,Geometry!$B$6:$B$10000,Geometry!$C$6:$C$10000)</f>
        <v>0</v>
      </c>
      <c r="T1968" s="69"/>
      <c r="U1968" s="69"/>
    </row>
    <row r="1969" spans="19:21" ht="15" customHeight="1" x14ac:dyDescent="0.2">
      <c r="S1969" s="69">
        <f>_xlfn.XLOOKUP(Results!A1969,Geometry!$B$6:$B$10000,Geometry!$C$6:$C$10000)</f>
        <v>0</v>
      </c>
      <c r="T1969" s="69"/>
      <c r="U1969" s="69"/>
    </row>
    <row r="1970" spans="19:21" ht="15" customHeight="1" x14ac:dyDescent="0.2">
      <c r="S1970" s="69">
        <f>_xlfn.XLOOKUP(Results!A1970,Geometry!$B$6:$B$10000,Geometry!$C$6:$C$10000)</f>
        <v>0</v>
      </c>
      <c r="T1970" s="69"/>
      <c r="U1970" s="69"/>
    </row>
    <row r="1971" spans="19:21" ht="15" customHeight="1" x14ac:dyDescent="0.2">
      <c r="S1971" s="69">
        <f>_xlfn.XLOOKUP(Results!A1971,Geometry!$B$6:$B$10000,Geometry!$C$6:$C$10000)</f>
        <v>0</v>
      </c>
      <c r="T1971" s="69"/>
      <c r="U1971" s="69"/>
    </row>
    <row r="1972" spans="19:21" ht="15" customHeight="1" x14ac:dyDescent="0.2">
      <c r="S1972" s="69">
        <f>_xlfn.XLOOKUP(Results!A1972,Geometry!$B$6:$B$10000,Geometry!$C$6:$C$10000)</f>
        <v>0</v>
      </c>
      <c r="T1972" s="69"/>
      <c r="U1972" s="69"/>
    </row>
    <row r="1973" spans="19:21" ht="15" customHeight="1" x14ac:dyDescent="0.2">
      <c r="S1973" s="69">
        <f>_xlfn.XLOOKUP(Results!A1973,Geometry!$B$6:$B$10000,Geometry!$C$6:$C$10000)</f>
        <v>0</v>
      </c>
      <c r="T1973" s="69"/>
      <c r="U1973" s="69"/>
    </row>
    <row r="1974" spans="19:21" ht="15" customHeight="1" x14ac:dyDescent="0.2">
      <c r="S1974" s="69">
        <f>_xlfn.XLOOKUP(Results!A1974,Geometry!$B$6:$B$10000,Geometry!$C$6:$C$10000)</f>
        <v>0</v>
      </c>
      <c r="T1974" s="69"/>
      <c r="U1974" s="69"/>
    </row>
    <row r="1975" spans="19:21" ht="15" customHeight="1" x14ac:dyDescent="0.2">
      <c r="S1975" s="69">
        <f>_xlfn.XLOOKUP(Results!A1975,Geometry!$B$6:$B$10000,Geometry!$C$6:$C$10000)</f>
        <v>0</v>
      </c>
      <c r="T1975" s="69"/>
      <c r="U1975" s="69"/>
    </row>
    <row r="1976" spans="19:21" ht="15" customHeight="1" x14ac:dyDescent="0.2">
      <c r="S1976" s="69">
        <f>_xlfn.XLOOKUP(Results!A1976,Geometry!$B$6:$B$10000,Geometry!$C$6:$C$10000)</f>
        <v>0</v>
      </c>
      <c r="T1976" s="69"/>
      <c r="U1976" s="69"/>
    </row>
    <row r="1977" spans="19:21" ht="15" customHeight="1" x14ac:dyDescent="0.2">
      <c r="S1977" s="69">
        <f>_xlfn.XLOOKUP(Results!A1977,Geometry!$B$6:$B$10000,Geometry!$C$6:$C$10000)</f>
        <v>0</v>
      </c>
      <c r="T1977" s="69"/>
      <c r="U1977" s="69"/>
    </row>
    <row r="1978" spans="19:21" ht="15" customHeight="1" x14ac:dyDescent="0.2">
      <c r="S1978" s="69">
        <f>_xlfn.XLOOKUP(Results!A1978,Geometry!$B$6:$B$10000,Geometry!$C$6:$C$10000)</f>
        <v>0</v>
      </c>
      <c r="T1978" s="69"/>
      <c r="U1978" s="69"/>
    </row>
    <row r="1979" spans="19:21" ht="15" customHeight="1" x14ac:dyDescent="0.2">
      <c r="S1979" s="69">
        <f>_xlfn.XLOOKUP(Results!A1979,Geometry!$B$6:$B$10000,Geometry!$C$6:$C$10000)</f>
        <v>0</v>
      </c>
      <c r="T1979" s="69"/>
      <c r="U1979" s="69"/>
    </row>
    <row r="1980" spans="19:21" ht="15" customHeight="1" x14ac:dyDescent="0.2">
      <c r="S1980" s="69">
        <f>_xlfn.XLOOKUP(Results!A1980,Geometry!$B$6:$B$10000,Geometry!$C$6:$C$10000)</f>
        <v>0</v>
      </c>
      <c r="T1980" s="69"/>
      <c r="U1980" s="69"/>
    </row>
    <row r="1981" spans="19:21" ht="15" customHeight="1" x14ac:dyDescent="0.2">
      <c r="S1981" s="69">
        <f>_xlfn.XLOOKUP(Results!A1981,Geometry!$B$6:$B$10000,Geometry!$C$6:$C$10000)</f>
        <v>0</v>
      </c>
      <c r="T1981" s="69"/>
      <c r="U1981" s="69"/>
    </row>
    <row r="1982" spans="19:21" ht="15" customHeight="1" x14ac:dyDescent="0.2">
      <c r="S1982" s="69">
        <f>_xlfn.XLOOKUP(Results!A1982,Geometry!$B$6:$B$10000,Geometry!$C$6:$C$10000)</f>
        <v>0</v>
      </c>
      <c r="T1982" s="69"/>
      <c r="U1982" s="69"/>
    </row>
    <row r="1983" spans="19:21" ht="15" customHeight="1" x14ac:dyDescent="0.2">
      <c r="S1983" s="69">
        <f>_xlfn.XLOOKUP(Results!A1983,Geometry!$B$6:$B$10000,Geometry!$C$6:$C$10000)</f>
        <v>0</v>
      </c>
      <c r="T1983" s="69"/>
      <c r="U1983" s="69"/>
    </row>
    <row r="1984" spans="19:21" ht="15" customHeight="1" x14ac:dyDescent="0.2">
      <c r="S1984" s="69">
        <f>_xlfn.XLOOKUP(Results!A1984,Geometry!$B$6:$B$10000,Geometry!$C$6:$C$10000)</f>
        <v>0</v>
      </c>
      <c r="T1984" s="69"/>
      <c r="U1984" s="69"/>
    </row>
    <row r="1985" spans="19:21" ht="15" customHeight="1" x14ac:dyDescent="0.2">
      <c r="S1985" s="69">
        <f>_xlfn.XLOOKUP(Results!A1985,Geometry!$B$6:$B$10000,Geometry!$C$6:$C$10000)</f>
        <v>0</v>
      </c>
      <c r="T1985" s="69"/>
      <c r="U1985" s="69"/>
    </row>
    <row r="1986" spans="19:21" ht="15" customHeight="1" x14ac:dyDescent="0.2">
      <c r="S1986" s="69">
        <f>_xlfn.XLOOKUP(Results!A1986,Geometry!$B$6:$B$10000,Geometry!$C$6:$C$10000)</f>
        <v>0</v>
      </c>
      <c r="T1986" s="69"/>
      <c r="U1986" s="69"/>
    </row>
    <row r="1987" spans="19:21" ht="15" customHeight="1" x14ac:dyDescent="0.2">
      <c r="S1987" s="69">
        <f>_xlfn.XLOOKUP(Results!A1987,Geometry!$B$6:$B$10000,Geometry!$C$6:$C$10000)</f>
        <v>0</v>
      </c>
      <c r="T1987" s="69"/>
      <c r="U1987" s="69"/>
    </row>
    <row r="1988" spans="19:21" ht="15" customHeight="1" x14ac:dyDescent="0.2">
      <c r="S1988" s="69">
        <f>_xlfn.XLOOKUP(Results!A1988,Geometry!$B$6:$B$10000,Geometry!$C$6:$C$10000)</f>
        <v>0</v>
      </c>
      <c r="T1988" s="69"/>
      <c r="U1988" s="69"/>
    </row>
    <row r="1989" spans="19:21" ht="15" customHeight="1" x14ac:dyDescent="0.2">
      <c r="S1989" s="69">
        <f>_xlfn.XLOOKUP(Results!A1989,Geometry!$B$6:$B$10000,Geometry!$C$6:$C$10000)</f>
        <v>0</v>
      </c>
      <c r="T1989" s="69"/>
      <c r="U1989" s="69"/>
    </row>
    <row r="1990" spans="19:21" ht="15" customHeight="1" x14ac:dyDescent="0.2">
      <c r="S1990" s="69">
        <f>_xlfn.XLOOKUP(Results!A1990,Geometry!$B$6:$B$10000,Geometry!$C$6:$C$10000)</f>
        <v>0</v>
      </c>
      <c r="T1990" s="69"/>
      <c r="U1990" s="69"/>
    </row>
    <row r="1991" spans="19:21" ht="15" customHeight="1" x14ac:dyDescent="0.2">
      <c r="S1991" s="69">
        <f>_xlfn.XLOOKUP(Results!A1991,Geometry!$B$6:$B$10000,Geometry!$C$6:$C$10000)</f>
        <v>0</v>
      </c>
      <c r="T1991" s="69"/>
      <c r="U1991" s="69"/>
    </row>
    <row r="1992" spans="19:21" ht="15" customHeight="1" x14ac:dyDescent="0.2">
      <c r="S1992" s="69">
        <f>_xlfn.XLOOKUP(Results!A1992,Geometry!$B$6:$B$10000,Geometry!$C$6:$C$10000)</f>
        <v>0</v>
      </c>
      <c r="T1992" s="69"/>
      <c r="U1992" s="69"/>
    </row>
    <row r="1993" spans="19:21" ht="15" customHeight="1" x14ac:dyDescent="0.2">
      <c r="S1993" s="69">
        <f>_xlfn.XLOOKUP(Results!A1993,Geometry!$B$6:$B$10000,Geometry!$C$6:$C$10000)</f>
        <v>0</v>
      </c>
      <c r="T1993" s="69"/>
      <c r="U1993" s="69"/>
    </row>
    <row r="1994" spans="19:21" ht="15" customHeight="1" x14ac:dyDescent="0.2">
      <c r="S1994" s="69">
        <f>_xlfn.XLOOKUP(Results!A1994,Geometry!$B$6:$B$10000,Geometry!$C$6:$C$10000)</f>
        <v>0</v>
      </c>
      <c r="T1994" s="69"/>
      <c r="U1994" s="69"/>
    </row>
    <row r="1995" spans="19:21" ht="15" customHeight="1" x14ac:dyDescent="0.2">
      <c r="S1995" s="69">
        <f>_xlfn.XLOOKUP(Results!A1995,Geometry!$B$6:$B$10000,Geometry!$C$6:$C$10000)</f>
        <v>0</v>
      </c>
      <c r="T1995" s="69"/>
      <c r="U1995" s="69"/>
    </row>
    <row r="1996" spans="19:21" ht="15" customHeight="1" x14ac:dyDescent="0.2">
      <c r="S1996" s="69">
        <f>_xlfn.XLOOKUP(Results!A1996,Geometry!$B$6:$B$10000,Geometry!$C$6:$C$10000)</f>
        <v>0</v>
      </c>
      <c r="T1996" s="69"/>
      <c r="U1996" s="69"/>
    </row>
    <row r="1997" spans="19:21" ht="15" customHeight="1" x14ac:dyDescent="0.2">
      <c r="S1997" s="69">
        <f>_xlfn.XLOOKUP(Results!A1997,Geometry!$B$6:$B$10000,Geometry!$C$6:$C$10000)</f>
        <v>0</v>
      </c>
      <c r="T1997" s="69"/>
      <c r="U1997" s="69"/>
    </row>
    <row r="1998" spans="19:21" ht="15" customHeight="1" x14ac:dyDescent="0.2">
      <c r="S1998" s="69">
        <f>_xlfn.XLOOKUP(Results!A1998,Geometry!$B$6:$B$10000,Geometry!$C$6:$C$10000)</f>
        <v>0</v>
      </c>
      <c r="T1998" s="69"/>
      <c r="U1998" s="69"/>
    </row>
    <row r="1999" spans="19:21" ht="15" customHeight="1" x14ac:dyDescent="0.2">
      <c r="S1999" s="69">
        <f>_xlfn.XLOOKUP(Results!A1999,Geometry!$B$6:$B$10000,Geometry!$C$6:$C$10000)</f>
        <v>0</v>
      </c>
      <c r="T1999" s="69"/>
      <c r="U1999" s="69"/>
    </row>
    <row r="2000" spans="19:21" ht="15" customHeight="1" x14ac:dyDescent="0.2">
      <c r="S2000" s="69">
        <f>_xlfn.XLOOKUP(Results!A2000,Geometry!$B$6:$B$10000,Geometry!$C$6:$C$10000)</f>
        <v>0</v>
      </c>
      <c r="T2000" s="69"/>
      <c r="U2000" s="69"/>
    </row>
    <row r="2001" spans="19:21" ht="15" customHeight="1" x14ac:dyDescent="0.2">
      <c r="S2001" s="69">
        <f>_xlfn.XLOOKUP(Results!A2001,Geometry!$B$6:$B$10000,Geometry!$C$6:$C$10000)</f>
        <v>0</v>
      </c>
      <c r="T2001" s="69"/>
      <c r="U2001" s="69"/>
    </row>
    <row r="2002" spans="19:21" ht="15" customHeight="1" x14ac:dyDescent="0.2">
      <c r="S2002" s="69">
        <f>_xlfn.XLOOKUP(Results!A2002,Geometry!$B$6:$B$10000,Geometry!$C$6:$C$10000)</f>
        <v>0</v>
      </c>
      <c r="T2002" s="69"/>
      <c r="U2002" s="69"/>
    </row>
    <row r="2003" spans="19:21" ht="15" customHeight="1" x14ac:dyDescent="0.2">
      <c r="S2003" s="69">
        <f>_xlfn.XLOOKUP(Results!A2003,Geometry!$B$6:$B$10000,Geometry!$C$6:$C$10000)</f>
        <v>0</v>
      </c>
      <c r="T2003" s="69"/>
      <c r="U2003" s="69"/>
    </row>
    <row r="2004" spans="19:21" ht="15" customHeight="1" x14ac:dyDescent="0.2">
      <c r="S2004" s="69">
        <f>_xlfn.XLOOKUP(Results!A2004,Geometry!$B$6:$B$10000,Geometry!$C$6:$C$10000)</f>
        <v>0</v>
      </c>
      <c r="T2004" s="69"/>
      <c r="U2004" s="69"/>
    </row>
    <row r="2005" spans="19:21" ht="15" customHeight="1" x14ac:dyDescent="0.2">
      <c r="S2005" s="69">
        <f>_xlfn.XLOOKUP(Results!A2005,Geometry!$B$6:$B$10000,Geometry!$C$6:$C$10000)</f>
        <v>0</v>
      </c>
      <c r="T2005" s="69"/>
      <c r="U2005" s="69"/>
    </row>
    <row r="2006" spans="19:21" ht="15" customHeight="1" x14ac:dyDescent="0.2">
      <c r="S2006" s="69">
        <f>_xlfn.XLOOKUP(Results!A2006,Geometry!$B$6:$B$10000,Geometry!$C$6:$C$10000)</f>
        <v>0</v>
      </c>
      <c r="T2006" s="69"/>
      <c r="U2006" s="69"/>
    </row>
    <row r="2007" spans="19:21" ht="15" customHeight="1" x14ac:dyDescent="0.2">
      <c r="S2007" s="69">
        <f>_xlfn.XLOOKUP(Results!A2007,Geometry!$B$6:$B$10000,Geometry!$C$6:$C$10000)</f>
        <v>0</v>
      </c>
      <c r="T2007" s="69"/>
      <c r="U2007" s="69"/>
    </row>
    <row r="2008" spans="19:21" ht="15" customHeight="1" x14ac:dyDescent="0.2">
      <c r="S2008" s="69">
        <f>_xlfn.XLOOKUP(Results!A2008,Geometry!$B$6:$B$10000,Geometry!$C$6:$C$10000)</f>
        <v>0</v>
      </c>
      <c r="T2008" s="69"/>
      <c r="U2008" s="69"/>
    </row>
    <row r="2009" spans="19:21" ht="15" customHeight="1" x14ac:dyDescent="0.2">
      <c r="S2009" s="69">
        <f>_xlfn.XLOOKUP(Results!A2009,Geometry!$B$6:$B$10000,Geometry!$C$6:$C$10000)</f>
        <v>0</v>
      </c>
      <c r="T2009" s="69"/>
      <c r="U2009" s="69"/>
    </row>
    <row r="2010" spans="19:21" ht="15" customHeight="1" x14ac:dyDescent="0.2">
      <c r="S2010" s="69">
        <f>_xlfn.XLOOKUP(Results!A2010,Geometry!$B$6:$B$10000,Geometry!$C$6:$C$10000)</f>
        <v>0</v>
      </c>
      <c r="T2010" s="69"/>
      <c r="U2010" s="69"/>
    </row>
    <row r="2011" spans="19:21" ht="15" customHeight="1" x14ac:dyDescent="0.2">
      <c r="S2011" s="69">
        <f>_xlfn.XLOOKUP(Results!A2011,Geometry!$B$6:$B$10000,Geometry!$C$6:$C$10000)</f>
        <v>0</v>
      </c>
      <c r="T2011" s="69"/>
      <c r="U2011" s="69"/>
    </row>
    <row r="2012" spans="19:21" ht="15" customHeight="1" x14ac:dyDescent="0.2">
      <c r="S2012" s="69">
        <f>_xlfn.XLOOKUP(Results!A2012,Geometry!$B$6:$B$10000,Geometry!$C$6:$C$10000)</f>
        <v>0</v>
      </c>
      <c r="T2012" s="69"/>
      <c r="U2012" s="69"/>
    </row>
    <row r="2013" spans="19:21" ht="15" customHeight="1" x14ac:dyDescent="0.2">
      <c r="S2013" s="69">
        <f>_xlfn.XLOOKUP(Results!A2013,Geometry!$B$6:$B$10000,Geometry!$C$6:$C$10000)</f>
        <v>0</v>
      </c>
      <c r="T2013" s="69"/>
      <c r="U2013" s="69"/>
    </row>
    <row r="2014" spans="19:21" ht="15" customHeight="1" x14ac:dyDescent="0.2">
      <c r="S2014" s="69">
        <f>_xlfn.XLOOKUP(Results!A2014,Geometry!$B$6:$B$10000,Geometry!$C$6:$C$10000)</f>
        <v>0</v>
      </c>
      <c r="T2014" s="69"/>
      <c r="U2014" s="69"/>
    </row>
    <row r="2015" spans="19:21" ht="15" customHeight="1" x14ac:dyDescent="0.2">
      <c r="S2015" s="69">
        <f>_xlfn.XLOOKUP(Results!A2015,Geometry!$B$6:$B$10000,Geometry!$C$6:$C$10000)</f>
        <v>0</v>
      </c>
      <c r="T2015" s="69"/>
      <c r="U2015" s="69"/>
    </row>
    <row r="2016" spans="19:21" ht="15" customHeight="1" x14ac:dyDescent="0.2">
      <c r="S2016" s="69">
        <f>_xlfn.XLOOKUP(Results!A2016,Geometry!$B$6:$B$10000,Geometry!$C$6:$C$10000)</f>
        <v>0</v>
      </c>
      <c r="T2016" s="69"/>
      <c r="U2016" s="69"/>
    </row>
    <row r="2017" spans="19:21" ht="15" customHeight="1" x14ac:dyDescent="0.2">
      <c r="S2017" s="69">
        <f>_xlfn.XLOOKUP(Results!A2017,Geometry!$B$6:$B$10000,Geometry!$C$6:$C$10000)</f>
        <v>0</v>
      </c>
      <c r="T2017" s="69"/>
      <c r="U2017" s="69"/>
    </row>
    <row r="2018" spans="19:21" ht="15" customHeight="1" x14ac:dyDescent="0.2">
      <c r="S2018" s="69">
        <f>_xlfn.XLOOKUP(Results!A2018,Geometry!$B$6:$B$10000,Geometry!$C$6:$C$10000)</f>
        <v>0</v>
      </c>
      <c r="T2018" s="69"/>
      <c r="U2018" s="69"/>
    </row>
    <row r="2019" spans="19:21" ht="15" customHeight="1" x14ac:dyDescent="0.2">
      <c r="S2019" s="69">
        <f>_xlfn.XLOOKUP(Results!A2019,Geometry!$B$6:$B$10000,Geometry!$C$6:$C$10000)</f>
        <v>0</v>
      </c>
      <c r="T2019" s="69"/>
      <c r="U2019" s="69"/>
    </row>
    <row r="2020" spans="19:21" ht="15" customHeight="1" x14ac:dyDescent="0.2">
      <c r="S2020" s="69">
        <f>_xlfn.XLOOKUP(Results!A2020,Geometry!$B$6:$B$10000,Geometry!$C$6:$C$10000)</f>
        <v>0</v>
      </c>
      <c r="T2020" s="69"/>
      <c r="U2020" s="69"/>
    </row>
    <row r="2021" spans="19:21" ht="15" customHeight="1" x14ac:dyDescent="0.2">
      <c r="S2021" s="69">
        <f>_xlfn.XLOOKUP(Results!A2021,Geometry!$B$6:$B$10000,Geometry!$C$6:$C$10000)</f>
        <v>0</v>
      </c>
      <c r="T2021" s="69"/>
      <c r="U2021" s="69"/>
    </row>
    <row r="2022" spans="19:21" ht="15" customHeight="1" x14ac:dyDescent="0.2">
      <c r="S2022" s="69">
        <f>_xlfn.XLOOKUP(Results!A2022,Geometry!$B$6:$B$10000,Geometry!$C$6:$C$10000)</f>
        <v>0</v>
      </c>
      <c r="T2022" s="69"/>
      <c r="U2022" s="69"/>
    </row>
    <row r="2023" spans="19:21" ht="15" customHeight="1" x14ac:dyDescent="0.2">
      <c r="S2023" s="69">
        <f>_xlfn.XLOOKUP(Results!A2023,Geometry!$B$6:$B$10000,Geometry!$C$6:$C$10000)</f>
        <v>0</v>
      </c>
      <c r="T2023" s="69"/>
      <c r="U2023" s="69"/>
    </row>
    <row r="2024" spans="19:21" ht="15" customHeight="1" x14ac:dyDescent="0.2">
      <c r="S2024" s="69">
        <f>_xlfn.XLOOKUP(Results!A2024,Geometry!$B$6:$B$10000,Geometry!$C$6:$C$10000)</f>
        <v>0</v>
      </c>
      <c r="T2024" s="69"/>
      <c r="U2024" s="69"/>
    </row>
    <row r="2025" spans="19:21" ht="15" customHeight="1" x14ac:dyDescent="0.2">
      <c r="S2025" s="69">
        <f>_xlfn.XLOOKUP(Results!A2025,Geometry!$B$6:$B$10000,Geometry!$C$6:$C$10000)</f>
        <v>0</v>
      </c>
      <c r="T2025" s="69"/>
      <c r="U2025" s="69"/>
    </row>
    <row r="2026" spans="19:21" ht="15" customHeight="1" x14ac:dyDescent="0.2">
      <c r="S2026" s="69">
        <f>_xlfn.XLOOKUP(Results!A2026,Geometry!$B$6:$B$10000,Geometry!$C$6:$C$10000)</f>
        <v>0</v>
      </c>
      <c r="T2026" s="69"/>
      <c r="U2026" s="69"/>
    </row>
    <row r="2027" spans="19:21" ht="15" customHeight="1" x14ac:dyDescent="0.2">
      <c r="S2027" s="69">
        <f>_xlfn.XLOOKUP(Results!A2027,Geometry!$B$6:$B$10000,Geometry!$C$6:$C$10000)</f>
        <v>0</v>
      </c>
      <c r="T2027" s="69"/>
      <c r="U2027" s="69"/>
    </row>
    <row r="2028" spans="19:21" ht="15" customHeight="1" x14ac:dyDescent="0.2">
      <c r="S2028" s="69">
        <f>_xlfn.XLOOKUP(Results!A2028,Geometry!$B$6:$B$10000,Geometry!$C$6:$C$10000)</f>
        <v>0</v>
      </c>
      <c r="T2028" s="69"/>
      <c r="U2028" s="69"/>
    </row>
    <row r="2029" spans="19:21" ht="15" customHeight="1" x14ac:dyDescent="0.2">
      <c r="S2029" s="69">
        <f>_xlfn.XLOOKUP(Results!A2029,Geometry!$B$6:$B$10000,Geometry!$C$6:$C$10000)</f>
        <v>0</v>
      </c>
      <c r="T2029" s="69"/>
      <c r="U2029" s="69"/>
    </row>
    <row r="2030" spans="19:21" ht="15" customHeight="1" x14ac:dyDescent="0.2">
      <c r="S2030" s="69">
        <f>_xlfn.XLOOKUP(Results!A2030,Geometry!$B$6:$B$10000,Geometry!$C$6:$C$10000)</f>
        <v>0</v>
      </c>
      <c r="T2030" s="69"/>
      <c r="U2030" s="69"/>
    </row>
    <row r="2031" spans="19:21" ht="15" customHeight="1" x14ac:dyDescent="0.2">
      <c r="S2031" s="69">
        <f>_xlfn.XLOOKUP(Results!A2031,Geometry!$B$6:$B$10000,Geometry!$C$6:$C$10000)</f>
        <v>0</v>
      </c>
      <c r="T2031" s="69"/>
      <c r="U2031" s="69"/>
    </row>
    <row r="2032" spans="19:21" ht="15" customHeight="1" x14ac:dyDescent="0.2">
      <c r="S2032" s="69">
        <f>_xlfn.XLOOKUP(Results!A2032,Geometry!$B$6:$B$10000,Geometry!$C$6:$C$10000)</f>
        <v>0</v>
      </c>
      <c r="T2032" s="69"/>
      <c r="U2032" s="69"/>
    </row>
    <row r="2033" spans="19:21" ht="15" customHeight="1" x14ac:dyDescent="0.2">
      <c r="S2033" s="69">
        <f>_xlfn.XLOOKUP(Results!A2033,Geometry!$B$6:$B$10000,Geometry!$C$6:$C$10000)</f>
        <v>0</v>
      </c>
      <c r="T2033" s="69"/>
      <c r="U2033" s="69"/>
    </row>
    <row r="2034" spans="19:21" ht="15" customHeight="1" x14ac:dyDescent="0.2">
      <c r="S2034" s="69">
        <f>_xlfn.XLOOKUP(Results!A2034,Geometry!$B$6:$B$10000,Geometry!$C$6:$C$10000)</f>
        <v>0</v>
      </c>
      <c r="T2034" s="69"/>
      <c r="U2034" s="69"/>
    </row>
    <row r="2035" spans="19:21" ht="15" customHeight="1" x14ac:dyDescent="0.2">
      <c r="S2035" s="69">
        <f>_xlfn.XLOOKUP(Results!A2035,Geometry!$B$6:$B$10000,Geometry!$C$6:$C$10000)</f>
        <v>0</v>
      </c>
      <c r="T2035" s="69"/>
      <c r="U2035" s="69"/>
    </row>
    <row r="2036" spans="19:21" ht="15" customHeight="1" x14ac:dyDescent="0.2">
      <c r="S2036" s="69">
        <f>_xlfn.XLOOKUP(Results!A2036,Geometry!$B$6:$B$10000,Geometry!$C$6:$C$10000)</f>
        <v>0</v>
      </c>
      <c r="T2036" s="69"/>
      <c r="U2036" s="69"/>
    </row>
    <row r="2037" spans="19:21" ht="15" customHeight="1" x14ac:dyDescent="0.2">
      <c r="S2037" s="69">
        <f>_xlfn.XLOOKUP(Results!A2037,Geometry!$B$6:$B$10000,Geometry!$C$6:$C$10000)</f>
        <v>0</v>
      </c>
      <c r="T2037" s="69"/>
      <c r="U2037" s="69"/>
    </row>
    <row r="2038" spans="19:21" ht="15" customHeight="1" x14ac:dyDescent="0.2">
      <c r="S2038" s="69">
        <f>_xlfn.XLOOKUP(Results!A2038,Geometry!$B$6:$B$10000,Geometry!$C$6:$C$10000)</f>
        <v>0</v>
      </c>
      <c r="T2038" s="69"/>
      <c r="U2038" s="69"/>
    </row>
    <row r="2039" spans="19:21" ht="15" customHeight="1" x14ac:dyDescent="0.2">
      <c r="S2039" s="69">
        <f>_xlfn.XLOOKUP(Results!A2039,Geometry!$B$6:$B$10000,Geometry!$C$6:$C$10000)</f>
        <v>0</v>
      </c>
      <c r="T2039" s="69"/>
      <c r="U2039" s="69"/>
    </row>
    <row r="2040" spans="19:21" ht="15" customHeight="1" x14ac:dyDescent="0.2">
      <c r="S2040" s="69">
        <f>_xlfn.XLOOKUP(Results!A2040,Geometry!$B$6:$B$10000,Geometry!$C$6:$C$10000)</f>
        <v>0</v>
      </c>
      <c r="T2040" s="69"/>
      <c r="U2040" s="69"/>
    </row>
    <row r="2041" spans="19:21" ht="15" customHeight="1" x14ac:dyDescent="0.2">
      <c r="S2041" s="69">
        <f>_xlfn.XLOOKUP(Results!A2041,Geometry!$B$6:$B$10000,Geometry!$C$6:$C$10000)</f>
        <v>0</v>
      </c>
      <c r="T2041" s="69"/>
      <c r="U2041" s="69"/>
    </row>
    <row r="2042" spans="19:21" ht="15" customHeight="1" x14ac:dyDescent="0.2">
      <c r="S2042" s="69">
        <f>_xlfn.XLOOKUP(Results!A2042,Geometry!$B$6:$B$10000,Geometry!$C$6:$C$10000)</f>
        <v>0</v>
      </c>
      <c r="T2042" s="69"/>
      <c r="U2042" s="69"/>
    </row>
    <row r="2043" spans="19:21" ht="15" customHeight="1" x14ac:dyDescent="0.2">
      <c r="S2043" s="69">
        <f>_xlfn.XLOOKUP(Results!A2043,Geometry!$B$6:$B$10000,Geometry!$C$6:$C$10000)</f>
        <v>0</v>
      </c>
      <c r="T2043" s="69"/>
      <c r="U2043" s="69"/>
    </row>
    <row r="2044" spans="19:21" ht="15" customHeight="1" x14ac:dyDescent="0.2">
      <c r="S2044" s="69">
        <f>_xlfn.XLOOKUP(Results!A2044,Geometry!$B$6:$B$10000,Geometry!$C$6:$C$10000)</f>
        <v>0</v>
      </c>
      <c r="T2044" s="69"/>
      <c r="U2044" s="69"/>
    </row>
    <row r="2045" spans="19:21" ht="15" customHeight="1" x14ac:dyDescent="0.2">
      <c r="S2045" s="69">
        <f>_xlfn.XLOOKUP(Results!A2045,Geometry!$B$6:$B$10000,Geometry!$C$6:$C$10000)</f>
        <v>0</v>
      </c>
      <c r="T2045" s="69"/>
      <c r="U2045" s="69"/>
    </row>
    <row r="2046" spans="19:21" ht="15" customHeight="1" x14ac:dyDescent="0.2">
      <c r="S2046" s="69">
        <f>_xlfn.XLOOKUP(Results!A2046,Geometry!$B$6:$B$10000,Geometry!$C$6:$C$10000)</f>
        <v>0</v>
      </c>
      <c r="T2046" s="69"/>
      <c r="U2046" s="69"/>
    </row>
    <row r="2047" spans="19:21" ht="15" customHeight="1" x14ac:dyDescent="0.2">
      <c r="S2047" s="69">
        <f>_xlfn.XLOOKUP(Results!A2047,Geometry!$B$6:$B$10000,Geometry!$C$6:$C$10000)</f>
        <v>0</v>
      </c>
      <c r="T2047" s="69"/>
      <c r="U2047" s="69"/>
    </row>
    <row r="2048" spans="19:21" ht="15" customHeight="1" x14ac:dyDescent="0.2">
      <c r="S2048" s="69">
        <f>_xlfn.XLOOKUP(Results!A2048,Geometry!$B$6:$B$10000,Geometry!$C$6:$C$10000)</f>
        <v>0</v>
      </c>
      <c r="T2048" s="69"/>
      <c r="U2048" s="69"/>
    </row>
    <row r="2049" spans="19:21" ht="15" customHeight="1" x14ac:dyDescent="0.2">
      <c r="S2049" s="69">
        <f>_xlfn.XLOOKUP(Results!A2049,Geometry!$B$6:$B$10000,Geometry!$C$6:$C$10000)</f>
        <v>0</v>
      </c>
      <c r="T2049" s="69"/>
      <c r="U2049" s="69"/>
    </row>
    <row r="2050" spans="19:21" ht="15" customHeight="1" x14ac:dyDescent="0.2">
      <c r="S2050" s="69">
        <f>_xlfn.XLOOKUP(Results!A2050,Geometry!$B$6:$B$10000,Geometry!$C$6:$C$10000)</f>
        <v>0</v>
      </c>
      <c r="T2050" s="69"/>
      <c r="U2050" s="69"/>
    </row>
    <row r="2051" spans="19:21" ht="15" customHeight="1" x14ac:dyDescent="0.2">
      <c r="S2051" s="69">
        <f>_xlfn.XLOOKUP(Results!A2051,Geometry!$B$6:$B$10000,Geometry!$C$6:$C$10000)</f>
        <v>0</v>
      </c>
      <c r="T2051" s="69"/>
      <c r="U2051" s="69"/>
    </row>
    <row r="2052" spans="19:21" ht="15" customHeight="1" x14ac:dyDescent="0.2">
      <c r="S2052" s="69">
        <f>_xlfn.XLOOKUP(Results!A2052,Geometry!$B$6:$B$10000,Geometry!$C$6:$C$10000)</f>
        <v>0</v>
      </c>
      <c r="T2052" s="69"/>
      <c r="U2052" s="69"/>
    </row>
    <row r="2053" spans="19:21" ht="15" customHeight="1" x14ac:dyDescent="0.2">
      <c r="S2053" s="69">
        <f>_xlfn.XLOOKUP(Results!A2053,Geometry!$B$6:$B$10000,Geometry!$C$6:$C$10000)</f>
        <v>0</v>
      </c>
      <c r="T2053" s="69"/>
      <c r="U2053" s="69"/>
    </row>
    <row r="2054" spans="19:21" ht="15" customHeight="1" x14ac:dyDescent="0.2">
      <c r="S2054" s="69">
        <f>_xlfn.XLOOKUP(Results!A2054,Geometry!$B$6:$B$10000,Geometry!$C$6:$C$10000)</f>
        <v>0</v>
      </c>
      <c r="T2054" s="69"/>
      <c r="U2054" s="69"/>
    </row>
    <row r="2055" spans="19:21" ht="15" customHeight="1" x14ac:dyDescent="0.2">
      <c r="S2055" s="69">
        <f>_xlfn.XLOOKUP(Results!A2055,Geometry!$B$6:$B$10000,Geometry!$C$6:$C$10000)</f>
        <v>0</v>
      </c>
      <c r="T2055" s="69"/>
      <c r="U2055" s="69"/>
    </row>
    <row r="2056" spans="19:21" ht="15" customHeight="1" x14ac:dyDescent="0.2">
      <c r="S2056" s="69">
        <f>_xlfn.XLOOKUP(Results!A2056,Geometry!$B$6:$B$10000,Geometry!$C$6:$C$10000)</f>
        <v>0</v>
      </c>
      <c r="T2056" s="69"/>
      <c r="U2056" s="69"/>
    </row>
    <row r="2057" spans="19:21" ht="15" customHeight="1" x14ac:dyDescent="0.2">
      <c r="S2057" s="69">
        <f>_xlfn.XLOOKUP(Results!A2057,Geometry!$B$6:$B$10000,Geometry!$C$6:$C$10000)</f>
        <v>0</v>
      </c>
      <c r="T2057" s="69"/>
      <c r="U2057" s="69"/>
    </row>
    <row r="2058" spans="19:21" ht="15" customHeight="1" x14ac:dyDescent="0.2">
      <c r="S2058" s="69">
        <f>_xlfn.XLOOKUP(Results!A2058,Geometry!$B$6:$B$10000,Geometry!$C$6:$C$10000)</f>
        <v>0</v>
      </c>
      <c r="T2058" s="69"/>
      <c r="U2058" s="69"/>
    </row>
    <row r="2059" spans="19:21" ht="15" customHeight="1" x14ac:dyDescent="0.2">
      <c r="S2059" s="69">
        <f>_xlfn.XLOOKUP(Results!A2059,Geometry!$B$6:$B$10000,Geometry!$C$6:$C$10000)</f>
        <v>0</v>
      </c>
      <c r="T2059" s="69"/>
      <c r="U2059" s="69"/>
    </row>
    <row r="2060" spans="19:21" ht="15" customHeight="1" x14ac:dyDescent="0.2">
      <c r="S2060" s="69">
        <f>_xlfn.XLOOKUP(Results!A2060,Geometry!$B$6:$B$10000,Geometry!$C$6:$C$10000)</f>
        <v>0</v>
      </c>
      <c r="T2060" s="69"/>
      <c r="U2060" s="69"/>
    </row>
    <row r="2061" spans="19:21" ht="15" customHeight="1" x14ac:dyDescent="0.2">
      <c r="S2061" s="69">
        <f>_xlfn.XLOOKUP(Results!A2061,Geometry!$B$6:$B$10000,Geometry!$C$6:$C$10000)</f>
        <v>0</v>
      </c>
      <c r="T2061" s="69"/>
      <c r="U2061" s="69"/>
    </row>
    <row r="2062" spans="19:21" ht="15" customHeight="1" x14ac:dyDescent="0.2">
      <c r="S2062" s="69">
        <f>_xlfn.XLOOKUP(Results!A2062,Geometry!$B$6:$B$10000,Geometry!$C$6:$C$10000)</f>
        <v>0</v>
      </c>
      <c r="T2062" s="69"/>
      <c r="U2062" s="69"/>
    </row>
    <row r="2063" spans="19:21" ht="15" customHeight="1" x14ac:dyDescent="0.2">
      <c r="S2063" s="69">
        <f>_xlfn.XLOOKUP(Results!A2063,Geometry!$B$6:$B$10000,Geometry!$C$6:$C$10000)</f>
        <v>0</v>
      </c>
      <c r="T2063" s="69"/>
      <c r="U2063" s="69"/>
    </row>
    <row r="2064" spans="19:21" ht="15" customHeight="1" x14ac:dyDescent="0.2">
      <c r="S2064" s="69">
        <f>_xlfn.XLOOKUP(Results!A2064,Geometry!$B$6:$B$10000,Geometry!$C$6:$C$10000)</f>
        <v>0</v>
      </c>
      <c r="T2064" s="69"/>
      <c r="U2064" s="69"/>
    </row>
    <row r="2065" spans="19:21" ht="15" customHeight="1" x14ac:dyDescent="0.2">
      <c r="S2065" s="69">
        <f>_xlfn.XLOOKUP(Results!A2065,Geometry!$B$6:$B$10000,Geometry!$C$6:$C$10000)</f>
        <v>0</v>
      </c>
      <c r="T2065" s="69"/>
      <c r="U2065" s="69"/>
    </row>
    <row r="2066" spans="19:21" ht="15" customHeight="1" x14ac:dyDescent="0.2">
      <c r="S2066" s="69">
        <f>_xlfn.XLOOKUP(Results!A2066,Geometry!$B$6:$B$10000,Geometry!$C$6:$C$10000)</f>
        <v>0</v>
      </c>
      <c r="T2066" s="69"/>
      <c r="U2066" s="69"/>
    </row>
    <row r="2067" spans="19:21" ht="15" customHeight="1" x14ac:dyDescent="0.2">
      <c r="S2067" s="69">
        <f>_xlfn.XLOOKUP(Results!A2067,Geometry!$B$6:$B$10000,Geometry!$C$6:$C$10000)</f>
        <v>0</v>
      </c>
      <c r="T2067" s="69"/>
      <c r="U2067" s="69"/>
    </row>
    <row r="2068" spans="19:21" ht="15" customHeight="1" x14ac:dyDescent="0.2">
      <c r="S2068" s="69">
        <f>_xlfn.XLOOKUP(Results!A2068,Geometry!$B$6:$B$10000,Geometry!$C$6:$C$10000)</f>
        <v>0</v>
      </c>
      <c r="T2068" s="69"/>
      <c r="U2068" s="69"/>
    </row>
    <row r="2069" spans="19:21" ht="15" customHeight="1" x14ac:dyDescent="0.2">
      <c r="S2069" s="69">
        <f>_xlfn.XLOOKUP(Results!A2069,Geometry!$B$6:$B$10000,Geometry!$C$6:$C$10000)</f>
        <v>0</v>
      </c>
      <c r="T2069" s="69"/>
      <c r="U2069" s="69"/>
    </row>
    <row r="2070" spans="19:21" ht="15" customHeight="1" x14ac:dyDescent="0.2">
      <c r="S2070" s="69">
        <f>_xlfn.XLOOKUP(Results!A2070,Geometry!$B$6:$B$10000,Geometry!$C$6:$C$10000)</f>
        <v>0</v>
      </c>
      <c r="T2070" s="69"/>
      <c r="U2070" s="69"/>
    </row>
    <row r="2071" spans="19:21" ht="15" customHeight="1" x14ac:dyDescent="0.2">
      <c r="S2071" s="69">
        <f>_xlfn.XLOOKUP(Results!A2071,Geometry!$B$6:$B$10000,Geometry!$C$6:$C$10000)</f>
        <v>0</v>
      </c>
      <c r="T2071" s="69"/>
      <c r="U2071" s="69"/>
    </row>
    <row r="2072" spans="19:21" ht="15" customHeight="1" x14ac:dyDescent="0.2">
      <c r="S2072" s="69">
        <f>_xlfn.XLOOKUP(Results!A2072,Geometry!$B$6:$B$10000,Geometry!$C$6:$C$10000)</f>
        <v>0</v>
      </c>
      <c r="T2072" s="69"/>
      <c r="U2072" s="69"/>
    </row>
    <row r="2073" spans="19:21" ht="15" customHeight="1" x14ac:dyDescent="0.2">
      <c r="S2073" s="69">
        <f>_xlfn.XLOOKUP(Results!A2073,Geometry!$B$6:$B$10000,Geometry!$C$6:$C$10000)</f>
        <v>0</v>
      </c>
      <c r="T2073" s="69"/>
      <c r="U2073" s="69"/>
    </row>
    <row r="2074" spans="19:21" ht="15" customHeight="1" x14ac:dyDescent="0.2">
      <c r="S2074" s="69">
        <f>_xlfn.XLOOKUP(Results!A2074,Geometry!$B$6:$B$10000,Geometry!$C$6:$C$10000)</f>
        <v>0</v>
      </c>
      <c r="T2074" s="69"/>
      <c r="U2074" s="69"/>
    </row>
    <row r="2075" spans="19:21" ht="15" customHeight="1" x14ac:dyDescent="0.2">
      <c r="S2075" s="69">
        <f>_xlfn.XLOOKUP(Results!A2075,Geometry!$B$6:$B$10000,Geometry!$C$6:$C$10000)</f>
        <v>0</v>
      </c>
      <c r="T2075" s="69"/>
      <c r="U2075" s="69"/>
    </row>
    <row r="2076" spans="19:21" ht="15" customHeight="1" x14ac:dyDescent="0.2">
      <c r="S2076" s="69">
        <f>_xlfn.XLOOKUP(Results!A2076,Geometry!$B$6:$B$10000,Geometry!$C$6:$C$10000)</f>
        <v>0</v>
      </c>
      <c r="T2076" s="69"/>
      <c r="U2076" s="69"/>
    </row>
    <row r="2077" spans="19:21" ht="15" customHeight="1" x14ac:dyDescent="0.2">
      <c r="S2077" s="69">
        <f>_xlfn.XLOOKUP(Results!A2077,Geometry!$B$6:$B$10000,Geometry!$C$6:$C$10000)</f>
        <v>0</v>
      </c>
      <c r="T2077" s="69"/>
      <c r="U2077" s="69"/>
    </row>
    <row r="2078" spans="19:21" ht="15" customHeight="1" x14ac:dyDescent="0.2">
      <c r="S2078" s="69">
        <f>_xlfn.XLOOKUP(Results!A2078,Geometry!$B$6:$B$10000,Geometry!$C$6:$C$10000)</f>
        <v>0</v>
      </c>
      <c r="T2078" s="69"/>
      <c r="U2078" s="69"/>
    </row>
    <row r="2079" spans="19:21" ht="15" customHeight="1" x14ac:dyDescent="0.2">
      <c r="S2079" s="69">
        <f>_xlfn.XLOOKUP(Results!A2079,Geometry!$B$6:$B$10000,Geometry!$C$6:$C$10000)</f>
        <v>0</v>
      </c>
      <c r="T2079" s="69"/>
      <c r="U2079" s="69"/>
    </row>
    <row r="2080" spans="19:21" ht="15" customHeight="1" x14ac:dyDescent="0.2">
      <c r="S2080" s="69">
        <f>_xlfn.XLOOKUP(Results!A2080,Geometry!$B$6:$B$10000,Geometry!$C$6:$C$10000)</f>
        <v>0</v>
      </c>
      <c r="T2080" s="69"/>
      <c r="U2080" s="69"/>
    </row>
    <row r="2081" spans="19:21" ht="15" customHeight="1" x14ac:dyDescent="0.2">
      <c r="S2081" s="69">
        <f>_xlfn.XLOOKUP(Results!A2081,Geometry!$B$6:$B$10000,Geometry!$C$6:$C$10000)</f>
        <v>0</v>
      </c>
      <c r="T2081" s="69"/>
      <c r="U2081" s="69"/>
    </row>
    <row r="2082" spans="19:21" ht="15" customHeight="1" x14ac:dyDescent="0.2">
      <c r="S2082" s="69">
        <f>_xlfn.XLOOKUP(Results!A2082,Geometry!$B$6:$B$10000,Geometry!$C$6:$C$10000)</f>
        <v>0</v>
      </c>
      <c r="T2082" s="69"/>
      <c r="U2082" s="69"/>
    </row>
    <row r="2083" spans="19:21" ht="15" customHeight="1" x14ac:dyDescent="0.2">
      <c r="S2083" s="69">
        <f>_xlfn.XLOOKUP(Results!A2083,Geometry!$B$6:$B$10000,Geometry!$C$6:$C$10000)</f>
        <v>0</v>
      </c>
      <c r="T2083" s="69"/>
      <c r="U2083" s="69"/>
    </row>
    <row r="2084" spans="19:21" ht="15" customHeight="1" x14ac:dyDescent="0.2">
      <c r="S2084" s="69">
        <f>_xlfn.XLOOKUP(Results!A2084,Geometry!$B$6:$B$10000,Geometry!$C$6:$C$10000)</f>
        <v>0</v>
      </c>
      <c r="T2084" s="69"/>
      <c r="U2084" s="69"/>
    </row>
    <row r="2085" spans="19:21" ht="15" customHeight="1" x14ac:dyDescent="0.2">
      <c r="S2085" s="69">
        <f>_xlfn.XLOOKUP(Results!A2085,Geometry!$B$6:$B$10000,Geometry!$C$6:$C$10000)</f>
        <v>0</v>
      </c>
      <c r="T2085" s="69"/>
      <c r="U2085" s="69"/>
    </row>
    <row r="2086" spans="19:21" ht="15" customHeight="1" x14ac:dyDescent="0.2">
      <c r="S2086" s="69">
        <f>_xlfn.XLOOKUP(Results!A2086,Geometry!$B$6:$B$10000,Geometry!$C$6:$C$10000)</f>
        <v>0</v>
      </c>
      <c r="T2086" s="69"/>
      <c r="U2086" s="69"/>
    </row>
    <row r="2087" spans="19:21" ht="15" customHeight="1" x14ac:dyDescent="0.2">
      <c r="S2087" s="69">
        <f>_xlfn.XLOOKUP(Results!A2087,Geometry!$B$6:$B$10000,Geometry!$C$6:$C$10000)</f>
        <v>0</v>
      </c>
      <c r="T2087" s="69"/>
      <c r="U2087" s="69"/>
    </row>
    <row r="2088" spans="19:21" ht="15" customHeight="1" x14ac:dyDescent="0.2">
      <c r="S2088" s="69">
        <f>_xlfn.XLOOKUP(Results!A2088,Geometry!$B$6:$B$10000,Geometry!$C$6:$C$10000)</f>
        <v>0</v>
      </c>
      <c r="T2088" s="69"/>
      <c r="U2088" s="69"/>
    </row>
    <row r="2089" spans="19:21" ht="15" customHeight="1" x14ac:dyDescent="0.2">
      <c r="S2089" s="69">
        <f>_xlfn.XLOOKUP(Results!A2089,Geometry!$B$6:$B$10000,Geometry!$C$6:$C$10000)</f>
        <v>0</v>
      </c>
      <c r="T2089" s="69"/>
      <c r="U2089" s="69"/>
    </row>
    <row r="2090" spans="19:21" ht="15" customHeight="1" x14ac:dyDescent="0.2">
      <c r="S2090" s="69">
        <f>_xlfn.XLOOKUP(Results!A2090,Geometry!$B$6:$B$10000,Geometry!$C$6:$C$10000)</f>
        <v>0</v>
      </c>
      <c r="T2090" s="69"/>
      <c r="U2090" s="69"/>
    </row>
    <row r="2091" spans="19:21" ht="15" customHeight="1" x14ac:dyDescent="0.2">
      <c r="S2091" s="69">
        <f>_xlfn.XLOOKUP(Results!A2091,Geometry!$B$6:$B$10000,Geometry!$C$6:$C$10000)</f>
        <v>0</v>
      </c>
      <c r="T2091" s="69"/>
      <c r="U2091" s="69"/>
    </row>
    <row r="2092" spans="19:21" ht="15" customHeight="1" x14ac:dyDescent="0.2">
      <c r="S2092" s="69">
        <f>_xlfn.XLOOKUP(Results!A2092,Geometry!$B$6:$B$10000,Geometry!$C$6:$C$10000)</f>
        <v>0</v>
      </c>
      <c r="T2092" s="69"/>
      <c r="U2092" s="69"/>
    </row>
    <row r="2093" spans="19:21" ht="15" customHeight="1" x14ac:dyDescent="0.2">
      <c r="S2093" s="69">
        <f>_xlfn.XLOOKUP(Results!A2093,Geometry!$B$6:$B$10000,Geometry!$C$6:$C$10000)</f>
        <v>0</v>
      </c>
      <c r="T2093" s="69"/>
      <c r="U2093" s="69"/>
    </row>
    <row r="2094" spans="19:21" ht="15" customHeight="1" x14ac:dyDescent="0.2">
      <c r="S2094" s="69">
        <f>_xlfn.XLOOKUP(Results!A2094,Geometry!$B$6:$B$10000,Geometry!$C$6:$C$10000)</f>
        <v>0</v>
      </c>
      <c r="T2094" s="69"/>
      <c r="U2094" s="69"/>
    </row>
    <row r="2095" spans="19:21" ht="15" customHeight="1" x14ac:dyDescent="0.2">
      <c r="S2095" s="69">
        <f>_xlfn.XLOOKUP(Results!A2095,Geometry!$B$6:$B$10000,Geometry!$C$6:$C$10000)</f>
        <v>0</v>
      </c>
      <c r="T2095" s="69"/>
      <c r="U2095" s="69"/>
    </row>
    <row r="2096" spans="19:21" ht="15" customHeight="1" x14ac:dyDescent="0.2">
      <c r="S2096" s="69">
        <f>_xlfn.XLOOKUP(Results!A2096,Geometry!$B$6:$B$10000,Geometry!$C$6:$C$10000)</f>
        <v>0</v>
      </c>
      <c r="T2096" s="69"/>
      <c r="U2096" s="69"/>
    </row>
    <row r="2097" spans="19:21" ht="15" customHeight="1" x14ac:dyDescent="0.2">
      <c r="S2097" s="69">
        <f>_xlfn.XLOOKUP(Results!A2097,Geometry!$B$6:$B$10000,Geometry!$C$6:$C$10000)</f>
        <v>0</v>
      </c>
      <c r="T2097" s="69"/>
      <c r="U2097" s="69"/>
    </row>
    <row r="2098" spans="19:21" ht="15" customHeight="1" x14ac:dyDescent="0.2">
      <c r="S2098" s="69">
        <f>_xlfn.XLOOKUP(Results!A2098,Geometry!$B$6:$B$10000,Geometry!$C$6:$C$10000)</f>
        <v>0</v>
      </c>
      <c r="T2098" s="69"/>
      <c r="U2098" s="69"/>
    </row>
    <row r="2099" spans="19:21" ht="15" customHeight="1" x14ac:dyDescent="0.2">
      <c r="S2099" s="69">
        <f>_xlfn.XLOOKUP(Results!A2099,Geometry!$B$6:$B$10000,Geometry!$C$6:$C$10000)</f>
        <v>0</v>
      </c>
      <c r="T2099" s="69"/>
      <c r="U2099" s="69"/>
    </row>
    <row r="2100" spans="19:21" ht="15" customHeight="1" x14ac:dyDescent="0.2">
      <c r="S2100" s="69">
        <f>_xlfn.XLOOKUP(Results!A2100,Geometry!$B$6:$B$10000,Geometry!$C$6:$C$10000)</f>
        <v>0</v>
      </c>
      <c r="T2100" s="69"/>
      <c r="U2100" s="69"/>
    </row>
    <row r="2101" spans="19:21" ht="15" customHeight="1" x14ac:dyDescent="0.2">
      <c r="S2101" s="69">
        <f>_xlfn.XLOOKUP(Results!A2101,Geometry!$B$6:$B$10000,Geometry!$C$6:$C$10000)</f>
        <v>0</v>
      </c>
      <c r="T2101" s="69"/>
      <c r="U2101" s="69"/>
    </row>
    <row r="2102" spans="19:21" ht="15" customHeight="1" x14ac:dyDescent="0.2">
      <c r="S2102" s="69">
        <f>_xlfn.XLOOKUP(Results!A2102,Geometry!$B$6:$B$10000,Geometry!$C$6:$C$10000)</f>
        <v>0</v>
      </c>
      <c r="T2102" s="69"/>
      <c r="U2102" s="69"/>
    </row>
    <row r="2103" spans="19:21" ht="15" customHeight="1" x14ac:dyDescent="0.2">
      <c r="S2103" s="69">
        <f>_xlfn.XLOOKUP(Results!A2103,Geometry!$B$6:$B$10000,Geometry!$C$6:$C$10000)</f>
        <v>0</v>
      </c>
      <c r="T2103" s="69"/>
      <c r="U2103" s="69"/>
    </row>
    <row r="2104" spans="19:21" ht="15" customHeight="1" x14ac:dyDescent="0.2">
      <c r="S2104" s="69">
        <f>_xlfn.XLOOKUP(Results!A2104,Geometry!$B$6:$B$10000,Geometry!$C$6:$C$10000)</f>
        <v>0</v>
      </c>
      <c r="T2104" s="69"/>
      <c r="U2104" s="69"/>
    </row>
    <row r="2105" spans="19:21" ht="15" customHeight="1" x14ac:dyDescent="0.2">
      <c r="S2105" s="69">
        <f>_xlfn.XLOOKUP(Results!A2105,Geometry!$B$6:$B$10000,Geometry!$C$6:$C$10000)</f>
        <v>0</v>
      </c>
      <c r="T2105" s="69"/>
      <c r="U2105" s="69"/>
    </row>
    <row r="2106" spans="19:21" ht="15" customHeight="1" x14ac:dyDescent="0.2">
      <c r="S2106" s="69">
        <f>_xlfn.XLOOKUP(Results!A2106,Geometry!$B$6:$B$10000,Geometry!$C$6:$C$10000)</f>
        <v>0</v>
      </c>
      <c r="T2106" s="69"/>
      <c r="U2106" s="69"/>
    </row>
    <row r="2107" spans="19:21" ht="15" customHeight="1" x14ac:dyDescent="0.2">
      <c r="S2107" s="69">
        <f>_xlfn.XLOOKUP(Results!A2107,Geometry!$B$6:$B$10000,Geometry!$C$6:$C$10000)</f>
        <v>0</v>
      </c>
      <c r="T2107" s="69"/>
      <c r="U2107" s="69"/>
    </row>
    <row r="2108" spans="19:21" ht="15" customHeight="1" x14ac:dyDescent="0.2">
      <c r="S2108" s="69">
        <f>_xlfn.XLOOKUP(Results!A2108,Geometry!$B$6:$B$10000,Geometry!$C$6:$C$10000)</f>
        <v>0</v>
      </c>
      <c r="T2108" s="69"/>
      <c r="U2108" s="69"/>
    </row>
    <row r="2109" spans="19:21" ht="15" customHeight="1" x14ac:dyDescent="0.2">
      <c r="S2109" s="69">
        <f>_xlfn.XLOOKUP(Results!A2109,Geometry!$B$6:$B$10000,Geometry!$C$6:$C$10000)</f>
        <v>0</v>
      </c>
      <c r="T2109" s="69"/>
      <c r="U2109" s="69"/>
    </row>
    <row r="2110" spans="19:21" ht="15" customHeight="1" x14ac:dyDescent="0.2">
      <c r="S2110" s="69">
        <f>_xlfn.XLOOKUP(Results!A2110,Geometry!$B$6:$B$10000,Geometry!$C$6:$C$10000)</f>
        <v>0</v>
      </c>
      <c r="T2110" s="69"/>
      <c r="U2110" s="69"/>
    </row>
    <row r="2111" spans="19:21" ht="15" customHeight="1" x14ac:dyDescent="0.2">
      <c r="S2111" s="69">
        <f>_xlfn.XLOOKUP(Results!A2111,Geometry!$B$6:$B$10000,Geometry!$C$6:$C$10000)</f>
        <v>0</v>
      </c>
      <c r="T2111" s="69"/>
      <c r="U2111" s="69"/>
    </row>
    <row r="2112" spans="19:21" ht="15" customHeight="1" x14ac:dyDescent="0.2">
      <c r="S2112" s="69">
        <f>_xlfn.XLOOKUP(Results!A2112,Geometry!$B$6:$B$10000,Geometry!$C$6:$C$10000)</f>
        <v>0</v>
      </c>
      <c r="T2112" s="69"/>
      <c r="U2112" s="69"/>
    </row>
    <row r="2113" spans="19:21" ht="15" customHeight="1" x14ac:dyDescent="0.2">
      <c r="S2113" s="69">
        <f>_xlfn.XLOOKUP(Results!A2113,Geometry!$B$6:$B$10000,Geometry!$C$6:$C$10000)</f>
        <v>0</v>
      </c>
      <c r="T2113" s="69"/>
      <c r="U2113" s="69"/>
    </row>
    <row r="2114" spans="19:21" ht="15" customHeight="1" x14ac:dyDescent="0.2">
      <c r="S2114" s="69">
        <f>_xlfn.XLOOKUP(Results!A2114,Geometry!$B$6:$B$10000,Geometry!$C$6:$C$10000)</f>
        <v>0</v>
      </c>
      <c r="T2114" s="69"/>
      <c r="U2114" s="69"/>
    </row>
    <row r="2115" spans="19:21" ht="15" customHeight="1" x14ac:dyDescent="0.2">
      <c r="S2115" s="69">
        <f>_xlfn.XLOOKUP(Results!A2115,Geometry!$B$6:$B$10000,Geometry!$C$6:$C$10000)</f>
        <v>0</v>
      </c>
      <c r="T2115" s="69"/>
      <c r="U2115" s="69"/>
    </row>
    <row r="2116" spans="19:21" ht="15" customHeight="1" x14ac:dyDescent="0.2">
      <c r="S2116" s="69">
        <f>_xlfn.XLOOKUP(Results!A2116,Geometry!$B$6:$B$10000,Geometry!$C$6:$C$10000)</f>
        <v>0</v>
      </c>
      <c r="T2116" s="69"/>
      <c r="U2116" s="69"/>
    </row>
    <row r="2117" spans="19:21" ht="15" customHeight="1" x14ac:dyDescent="0.2">
      <c r="S2117" s="69">
        <f>_xlfn.XLOOKUP(Results!A2117,Geometry!$B$6:$B$10000,Geometry!$C$6:$C$10000)</f>
        <v>0</v>
      </c>
      <c r="T2117" s="69"/>
      <c r="U2117" s="69"/>
    </row>
    <row r="2118" spans="19:21" ht="15" customHeight="1" x14ac:dyDescent="0.2">
      <c r="S2118" s="69">
        <f>_xlfn.XLOOKUP(Results!A2118,Geometry!$B$6:$B$10000,Geometry!$C$6:$C$10000)</f>
        <v>0</v>
      </c>
      <c r="T2118" s="69"/>
      <c r="U2118" s="69"/>
    </row>
    <row r="2119" spans="19:21" ht="15" customHeight="1" x14ac:dyDescent="0.2">
      <c r="S2119" s="69">
        <f>_xlfn.XLOOKUP(Results!A2119,Geometry!$B$6:$B$10000,Geometry!$C$6:$C$10000)</f>
        <v>0</v>
      </c>
      <c r="T2119" s="69"/>
      <c r="U2119" s="69"/>
    </row>
    <row r="2120" spans="19:21" ht="15" customHeight="1" x14ac:dyDescent="0.2">
      <c r="S2120" s="69">
        <f>_xlfn.XLOOKUP(Results!A2120,Geometry!$B$6:$B$10000,Geometry!$C$6:$C$10000)</f>
        <v>0</v>
      </c>
      <c r="T2120" s="69"/>
      <c r="U2120" s="69"/>
    </row>
    <row r="2121" spans="19:21" ht="15" customHeight="1" x14ac:dyDescent="0.2">
      <c r="S2121" s="69">
        <f>_xlfn.XLOOKUP(Results!A2121,Geometry!$B$6:$B$10000,Geometry!$C$6:$C$10000)</f>
        <v>0</v>
      </c>
      <c r="T2121" s="69"/>
      <c r="U2121" s="69"/>
    </row>
    <row r="2122" spans="19:21" ht="15" customHeight="1" x14ac:dyDescent="0.2">
      <c r="S2122" s="69">
        <f>_xlfn.XLOOKUP(Results!A2122,Geometry!$B$6:$B$10000,Geometry!$C$6:$C$10000)</f>
        <v>0</v>
      </c>
      <c r="T2122" s="69"/>
      <c r="U2122" s="69"/>
    </row>
    <row r="2123" spans="19:21" ht="15" customHeight="1" x14ac:dyDescent="0.2">
      <c r="S2123" s="69">
        <f>_xlfn.XLOOKUP(Results!A2123,Geometry!$B$6:$B$10000,Geometry!$C$6:$C$10000)</f>
        <v>0</v>
      </c>
      <c r="T2123" s="69"/>
      <c r="U2123" s="69"/>
    </row>
    <row r="2124" spans="19:21" ht="15" customHeight="1" x14ac:dyDescent="0.2">
      <c r="S2124" s="69">
        <f>_xlfn.XLOOKUP(Results!A2124,Geometry!$B$6:$B$10000,Geometry!$C$6:$C$10000)</f>
        <v>0</v>
      </c>
      <c r="T2124" s="69"/>
      <c r="U2124" s="69"/>
    </row>
    <row r="2125" spans="19:21" ht="15" customHeight="1" x14ac:dyDescent="0.2">
      <c r="S2125" s="69">
        <f>_xlfn.XLOOKUP(Results!A2125,Geometry!$B$6:$B$10000,Geometry!$C$6:$C$10000)</f>
        <v>0</v>
      </c>
      <c r="T2125" s="69"/>
      <c r="U2125" s="69"/>
    </row>
    <row r="2126" spans="19:21" ht="15" customHeight="1" x14ac:dyDescent="0.2">
      <c r="S2126" s="69">
        <f>_xlfn.XLOOKUP(Results!A2126,Geometry!$B$6:$B$10000,Geometry!$C$6:$C$10000)</f>
        <v>0</v>
      </c>
      <c r="T2126" s="69"/>
      <c r="U2126" s="69"/>
    </row>
    <row r="2127" spans="19:21" ht="15" customHeight="1" x14ac:dyDescent="0.2">
      <c r="S2127" s="69">
        <f>_xlfn.XLOOKUP(Results!A2127,Geometry!$B$6:$B$10000,Geometry!$C$6:$C$10000)</f>
        <v>0</v>
      </c>
      <c r="T2127" s="69"/>
      <c r="U2127" s="69"/>
    </row>
    <row r="2128" spans="19:21" ht="15" customHeight="1" x14ac:dyDescent="0.2">
      <c r="S2128" s="69">
        <f>_xlfn.XLOOKUP(Results!A2128,Geometry!$B$6:$B$10000,Geometry!$C$6:$C$10000)</f>
        <v>0</v>
      </c>
      <c r="T2128" s="69"/>
      <c r="U2128" s="69"/>
    </row>
    <row r="2129" spans="19:21" ht="15" customHeight="1" x14ac:dyDescent="0.2">
      <c r="S2129" s="69">
        <f>_xlfn.XLOOKUP(Results!A2129,Geometry!$B$6:$B$10000,Geometry!$C$6:$C$10000)</f>
        <v>0</v>
      </c>
      <c r="T2129" s="69"/>
      <c r="U2129" s="69"/>
    </row>
    <row r="2130" spans="19:21" ht="15" customHeight="1" x14ac:dyDescent="0.2">
      <c r="S2130" s="69">
        <f>_xlfn.XLOOKUP(Results!A2130,Geometry!$B$6:$B$10000,Geometry!$C$6:$C$10000)</f>
        <v>0</v>
      </c>
      <c r="T2130" s="69"/>
      <c r="U2130" s="69"/>
    </row>
    <row r="2131" spans="19:21" ht="15" customHeight="1" x14ac:dyDescent="0.2">
      <c r="S2131" s="69">
        <f>_xlfn.XLOOKUP(Results!A2131,Geometry!$B$6:$B$10000,Geometry!$C$6:$C$10000)</f>
        <v>0</v>
      </c>
      <c r="T2131" s="69"/>
      <c r="U2131" s="69"/>
    </row>
    <row r="2132" spans="19:21" ht="15" customHeight="1" x14ac:dyDescent="0.2">
      <c r="S2132" s="69">
        <f>_xlfn.XLOOKUP(Results!A2132,Geometry!$B$6:$B$10000,Geometry!$C$6:$C$10000)</f>
        <v>0</v>
      </c>
      <c r="T2132" s="69"/>
      <c r="U2132" s="69"/>
    </row>
    <row r="2133" spans="19:21" ht="15" customHeight="1" x14ac:dyDescent="0.2">
      <c r="S2133" s="69">
        <f>_xlfn.XLOOKUP(Results!A2133,Geometry!$B$6:$B$10000,Geometry!$C$6:$C$10000)</f>
        <v>0</v>
      </c>
      <c r="T2133" s="69"/>
      <c r="U2133" s="69"/>
    </row>
    <row r="2134" spans="19:21" ht="15" customHeight="1" x14ac:dyDescent="0.2">
      <c r="S2134" s="69">
        <f>_xlfn.XLOOKUP(Results!A2134,Geometry!$B$6:$B$10000,Geometry!$C$6:$C$10000)</f>
        <v>0</v>
      </c>
      <c r="T2134" s="69"/>
      <c r="U2134" s="69"/>
    </row>
    <row r="2135" spans="19:21" ht="15" customHeight="1" x14ac:dyDescent="0.2">
      <c r="S2135" s="69">
        <f>_xlfn.XLOOKUP(Results!A2135,Geometry!$B$6:$B$10000,Geometry!$C$6:$C$10000)</f>
        <v>0</v>
      </c>
      <c r="T2135" s="69"/>
      <c r="U2135" s="69"/>
    </row>
    <row r="2136" spans="19:21" ht="15" customHeight="1" x14ac:dyDescent="0.2">
      <c r="S2136" s="69">
        <f>_xlfn.XLOOKUP(Results!A2136,Geometry!$B$6:$B$10000,Geometry!$C$6:$C$10000)</f>
        <v>0</v>
      </c>
      <c r="T2136" s="69"/>
      <c r="U2136" s="69"/>
    </row>
    <row r="2137" spans="19:21" ht="15" customHeight="1" x14ac:dyDescent="0.2">
      <c r="S2137" s="69">
        <f>_xlfn.XLOOKUP(Results!A2137,Geometry!$B$6:$B$10000,Geometry!$C$6:$C$10000)</f>
        <v>0</v>
      </c>
      <c r="T2137" s="69"/>
      <c r="U2137" s="69"/>
    </row>
    <row r="2138" spans="19:21" ht="15" customHeight="1" x14ac:dyDescent="0.2">
      <c r="S2138" s="69">
        <f>_xlfn.XLOOKUP(Results!A2138,Geometry!$B$6:$B$10000,Geometry!$C$6:$C$10000)</f>
        <v>0</v>
      </c>
      <c r="T2138" s="69"/>
      <c r="U2138" s="69"/>
    </row>
    <row r="2139" spans="19:21" ht="15" customHeight="1" x14ac:dyDescent="0.2">
      <c r="S2139" s="69">
        <f>_xlfn.XLOOKUP(Results!A2139,Geometry!$B$6:$B$10000,Geometry!$C$6:$C$10000)</f>
        <v>0</v>
      </c>
      <c r="T2139" s="69"/>
      <c r="U2139" s="69"/>
    </row>
    <row r="2140" spans="19:21" ht="15" customHeight="1" x14ac:dyDescent="0.2">
      <c r="S2140" s="69">
        <f>_xlfn.XLOOKUP(Results!A2140,Geometry!$B$6:$B$10000,Geometry!$C$6:$C$10000)</f>
        <v>0</v>
      </c>
      <c r="T2140" s="69"/>
      <c r="U2140" s="69"/>
    </row>
    <row r="2141" spans="19:21" ht="15" customHeight="1" x14ac:dyDescent="0.2">
      <c r="S2141" s="69">
        <f>_xlfn.XLOOKUP(Results!A2141,Geometry!$B$6:$B$10000,Geometry!$C$6:$C$10000)</f>
        <v>0</v>
      </c>
      <c r="T2141" s="69"/>
      <c r="U2141" s="69"/>
    </row>
    <row r="2142" spans="19:21" ht="15" customHeight="1" x14ac:dyDescent="0.2">
      <c r="S2142" s="69">
        <f>_xlfn.XLOOKUP(Results!A2142,Geometry!$B$6:$B$10000,Geometry!$C$6:$C$10000)</f>
        <v>0</v>
      </c>
      <c r="T2142" s="69"/>
      <c r="U2142" s="69"/>
    </row>
    <row r="2143" spans="19:21" ht="15" customHeight="1" x14ac:dyDescent="0.2">
      <c r="S2143" s="69">
        <f>_xlfn.XLOOKUP(Results!A2143,Geometry!$B$6:$B$10000,Geometry!$C$6:$C$10000)</f>
        <v>0</v>
      </c>
      <c r="T2143" s="69"/>
      <c r="U2143" s="69"/>
    </row>
    <row r="2144" spans="19:21" ht="15" customHeight="1" x14ac:dyDescent="0.2">
      <c r="S2144" s="69">
        <f>_xlfn.XLOOKUP(Results!A2144,Geometry!$B$6:$B$10000,Geometry!$C$6:$C$10000)</f>
        <v>0</v>
      </c>
      <c r="T2144" s="69"/>
      <c r="U2144" s="69"/>
    </row>
    <row r="2145" spans="19:21" ht="15" customHeight="1" x14ac:dyDescent="0.2">
      <c r="S2145" s="69">
        <f>_xlfn.XLOOKUP(Results!A2145,Geometry!$B$6:$B$10000,Geometry!$C$6:$C$10000)</f>
        <v>0</v>
      </c>
      <c r="T2145" s="69"/>
      <c r="U2145" s="69"/>
    </row>
    <row r="2146" spans="19:21" ht="15" customHeight="1" x14ac:dyDescent="0.2">
      <c r="S2146" s="69">
        <f>_xlfn.XLOOKUP(Results!A2146,Geometry!$B$6:$B$10000,Geometry!$C$6:$C$10000)</f>
        <v>0</v>
      </c>
      <c r="T2146" s="69"/>
      <c r="U2146" s="69"/>
    </row>
    <row r="2147" spans="19:21" ht="15" customHeight="1" x14ac:dyDescent="0.2">
      <c r="S2147" s="69">
        <f>_xlfn.XLOOKUP(Results!A2147,Geometry!$B$6:$B$10000,Geometry!$C$6:$C$10000)</f>
        <v>0</v>
      </c>
      <c r="T2147" s="69"/>
      <c r="U2147" s="69"/>
    </row>
    <row r="2148" spans="19:21" ht="15" customHeight="1" x14ac:dyDescent="0.2">
      <c r="S2148" s="69">
        <f>_xlfn.XLOOKUP(Results!A2148,Geometry!$B$6:$B$10000,Geometry!$C$6:$C$10000)</f>
        <v>0</v>
      </c>
      <c r="T2148" s="69"/>
      <c r="U2148" s="69"/>
    </row>
    <row r="2149" spans="19:21" ht="15" customHeight="1" x14ac:dyDescent="0.2">
      <c r="S2149" s="69">
        <f>_xlfn.XLOOKUP(Results!A2149,Geometry!$B$6:$B$10000,Geometry!$C$6:$C$10000)</f>
        <v>0</v>
      </c>
      <c r="T2149" s="69"/>
      <c r="U2149" s="69"/>
    </row>
    <row r="2150" spans="19:21" ht="15" customHeight="1" x14ac:dyDescent="0.2">
      <c r="S2150" s="69">
        <f>_xlfn.XLOOKUP(Results!A2150,Geometry!$B$6:$B$10000,Geometry!$C$6:$C$10000)</f>
        <v>0</v>
      </c>
      <c r="T2150" s="69"/>
      <c r="U2150" s="69"/>
    </row>
    <row r="2151" spans="19:21" ht="15" customHeight="1" x14ac:dyDescent="0.2">
      <c r="S2151" s="69">
        <f>_xlfn.XLOOKUP(Results!A2151,Geometry!$B$6:$B$10000,Geometry!$C$6:$C$10000)</f>
        <v>0</v>
      </c>
      <c r="T2151" s="69"/>
      <c r="U2151" s="69"/>
    </row>
    <row r="2152" spans="19:21" ht="15" customHeight="1" x14ac:dyDescent="0.2">
      <c r="S2152" s="69">
        <f>_xlfn.XLOOKUP(Results!A2152,Geometry!$B$6:$B$10000,Geometry!$C$6:$C$10000)</f>
        <v>0</v>
      </c>
      <c r="T2152" s="69"/>
      <c r="U2152" s="69"/>
    </row>
    <row r="2153" spans="19:21" ht="15" customHeight="1" x14ac:dyDescent="0.2">
      <c r="S2153" s="69">
        <f>_xlfn.XLOOKUP(Results!A2153,Geometry!$B$6:$B$10000,Geometry!$C$6:$C$10000)</f>
        <v>0</v>
      </c>
      <c r="T2153" s="69"/>
      <c r="U2153" s="69"/>
    </row>
    <row r="2154" spans="19:21" ht="15" customHeight="1" x14ac:dyDescent="0.2">
      <c r="S2154" s="69">
        <f>_xlfn.XLOOKUP(Results!A2154,Geometry!$B$6:$B$10000,Geometry!$C$6:$C$10000)</f>
        <v>0</v>
      </c>
      <c r="T2154" s="69"/>
      <c r="U2154" s="69"/>
    </row>
    <row r="2155" spans="19:21" ht="15" customHeight="1" x14ac:dyDescent="0.2">
      <c r="S2155" s="69">
        <f>_xlfn.XLOOKUP(Results!A2155,Geometry!$B$6:$B$10000,Geometry!$C$6:$C$10000)</f>
        <v>0</v>
      </c>
      <c r="T2155" s="69"/>
      <c r="U2155" s="69"/>
    </row>
    <row r="2156" spans="19:21" ht="15" customHeight="1" x14ac:dyDescent="0.2">
      <c r="S2156" s="69">
        <f>_xlfn.XLOOKUP(Results!A2156,Geometry!$B$6:$B$10000,Geometry!$C$6:$C$10000)</f>
        <v>0</v>
      </c>
      <c r="T2156" s="69"/>
      <c r="U2156" s="69"/>
    </row>
    <row r="2157" spans="19:21" ht="15" customHeight="1" x14ac:dyDescent="0.2">
      <c r="S2157" s="69">
        <f>_xlfn.XLOOKUP(Results!A2157,Geometry!$B$6:$B$10000,Geometry!$C$6:$C$10000)</f>
        <v>0</v>
      </c>
      <c r="T2157" s="69"/>
      <c r="U2157" s="69"/>
    </row>
    <row r="2158" spans="19:21" ht="15" customHeight="1" x14ac:dyDescent="0.2">
      <c r="S2158" s="69">
        <f>_xlfn.XLOOKUP(Results!A2158,Geometry!$B$6:$B$10000,Geometry!$C$6:$C$10000)</f>
        <v>0</v>
      </c>
      <c r="T2158" s="69"/>
      <c r="U2158" s="69"/>
    </row>
    <row r="2159" spans="19:21" ht="15" customHeight="1" x14ac:dyDescent="0.2">
      <c r="S2159" s="69">
        <f>_xlfn.XLOOKUP(Results!A2159,Geometry!$B$6:$B$10000,Geometry!$C$6:$C$10000)</f>
        <v>0</v>
      </c>
      <c r="T2159" s="69"/>
      <c r="U2159" s="69"/>
    </row>
    <row r="2160" spans="19:21" ht="15" customHeight="1" x14ac:dyDescent="0.2">
      <c r="S2160" s="69">
        <f>_xlfn.XLOOKUP(Results!A2160,Geometry!$B$6:$B$10000,Geometry!$C$6:$C$10000)</f>
        <v>0</v>
      </c>
      <c r="T2160" s="69"/>
      <c r="U2160" s="69"/>
    </row>
    <row r="2161" spans="19:21" ht="15" customHeight="1" x14ac:dyDescent="0.2">
      <c r="S2161" s="69">
        <f>_xlfn.XLOOKUP(Results!A2161,Geometry!$B$6:$B$10000,Geometry!$C$6:$C$10000)</f>
        <v>0</v>
      </c>
      <c r="T2161" s="69"/>
      <c r="U2161" s="69"/>
    </row>
    <row r="2162" spans="19:21" ht="15" customHeight="1" x14ac:dyDescent="0.2">
      <c r="S2162" s="69">
        <f>_xlfn.XLOOKUP(Results!A2162,Geometry!$B$6:$B$10000,Geometry!$C$6:$C$10000)</f>
        <v>0</v>
      </c>
      <c r="T2162" s="69"/>
      <c r="U2162" s="69"/>
    </row>
    <row r="2163" spans="19:21" ht="15" customHeight="1" x14ac:dyDescent="0.2">
      <c r="S2163" s="69">
        <f>_xlfn.XLOOKUP(Results!A2163,Geometry!$B$6:$B$10000,Geometry!$C$6:$C$10000)</f>
        <v>0</v>
      </c>
      <c r="T2163" s="69"/>
      <c r="U2163" s="69"/>
    </row>
    <row r="2164" spans="19:21" ht="15" customHeight="1" x14ac:dyDescent="0.2">
      <c r="S2164" s="69">
        <f>_xlfn.XLOOKUP(Results!A2164,Geometry!$B$6:$B$10000,Geometry!$C$6:$C$10000)</f>
        <v>0</v>
      </c>
      <c r="T2164" s="69"/>
      <c r="U2164" s="69"/>
    </row>
    <row r="2165" spans="19:21" ht="15" customHeight="1" x14ac:dyDescent="0.2">
      <c r="S2165" s="69">
        <f>_xlfn.XLOOKUP(Results!A2165,Geometry!$B$6:$B$10000,Geometry!$C$6:$C$10000)</f>
        <v>0</v>
      </c>
      <c r="T2165" s="69"/>
      <c r="U2165" s="69"/>
    </row>
    <row r="2166" spans="19:21" ht="15" customHeight="1" x14ac:dyDescent="0.2">
      <c r="S2166" s="69">
        <f>_xlfn.XLOOKUP(Results!A2166,Geometry!$B$6:$B$10000,Geometry!$C$6:$C$10000)</f>
        <v>0</v>
      </c>
      <c r="T2166" s="69"/>
      <c r="U2166" s="69"/>
    </row>
    <row r="2167" spans="19:21" ht="15" customHeight="1" x14ac:dyDescent="0.2">
      <c r="S2167" s="69">
        <f>_xlfn.XLOOKUP(Results!A2167,Geometry!$B$6:$B$10000,Geometry!$C$6:$C$10000)</f>
        <v>0</v>
      </c>
      <c r="T2167" s="69"/>
      <c r="U2167" s="69"/>
    </row>
    <row r="2168" spans="19:21" ht="15" customHeight="1" x14ac:dyDescent="0.2">
      <c r="S2168" s="69">
        <f>_xlfn.XLOOKUP(Results!A2168,Geometry!$B$6:$B$10000,Geometry!$C$6:$C$10000)</f>
        <v>0</v>
      </c>
      <c r="T2168" s="69"/>
      <c r="U2168" s="69"/>
    </row>
    <row r="2169" spans="19:21" ht="15" customHeight="1" x14ac:dyDescent="0.2">
      <c r="S2169" s="69">
        <f>_xlfn.XLOOKUP(Results!A2169,Geometry!$B$6:$B$10000,Geometry!$C$6:$C$10000)</f>
        <v>0</v>
      </c>
      <c r="T2169" s="69"/>
      <c r="U2169" s="69"/>
    </row>
    <row r="2170" spans="19:21" ht="15" customHeight="1" x14ac:dyDescent="0.2">
      <c r="S2170" s="69">
        <f>_xlfn.XLOOKUP(Results!A2170,Geometry!$B$6:$B$10000,Geometry!$C$6:$C$10000)</f>
        <v>0</v>
      </c>
      <c r="T2170" s="69"/>
      <c r="U2170" s="69"/>
    </row>
    <row r="2171" spans="19:21" ht="15" customHeight="1" x14ac:dyDescent="0.2">
      <c r="S2171" s="69">
        <f>_xlfn.XLOOKUP(Results!A2171,Geometry!$B$6:$B$10000,Geometry!$C$6:$C$10000)</f>
        <v>0</v>
      </c>
      <c r="T2171" s="69"/>
      <c r="U2171" s="69"/>
    </row>
    <row r="2172" spans="19:21" ht="15" customHeight="1" x14ac:dyDescent="0.2">
      <c r="S2172" s="69">
        <f>_xlfn.XLOOKUP(Results!A2172,Geometry!$B$6:$B$10000,Geometry!$C$6:$C$10000)</f>
        <v>0</v>
      </c>
      <c r="T2172" s="69"/>
      <c r="U2172" s="69"/>
    </row>
    <row r="2173" spans="19:21" ht="15" customHeight="1" x14ac:dyDescent="0.2">
      <c r="S2173" s="69">
        <f>_xlfn.XLOOKUP(Results!A2173,Geometry!$B$6:$B$10000,Geometry!$C$6:$C$10000)</f>
        <v>0</v>
      </c>
      <c r="T2173" s="69"/>
      <c r="U2173" s="69"/>
    </row>
    <row r="2174" spans="19:21" ht="15" customHeight="1" x14ac:dyDescent="0.2">
      <c r="S2174" s="69">
        <f>_xlfn.XLOOKUP(Results!A2174,Geometry!$B$6:$B$10000,Geometry!$C$6:$C$10000)</f>
        <v>0</v>
      </c>
      <c r="T2174" s="69"/>
      <c r="U2174" s="69"/>
    </row>
    <row r="2175" spans="19:21" ht="15" customHeight="1" x14ac:dyDescent="0.2">
      <c r="S2175" s="69">
        <f>_xlfn.XLOOKUP(Results!A2175,Geometry!$B$6:$B$10000,Geometry!$C$6:$C$10000)</f>
        <v>0</v>
      </c>
      <c r="T2175" s="69"/>
      <c r="U2175" s="69"/>
    </row>
    <row r="2176" spans="19:21" ht="15" customHeight="1" x14ac:dyDescent="0.2">
      <c r="S2176" s="69">
        <f>_xlfn.XLOOKUP(Results!A2176,Geometry!$B$6:$B$10000,Geometry!$C$6:$C$10000)</f>
        <v>0</v>
      </c>
      <c r="T2176" s="69"/>
      <c r="U2176" s="69"/>
    </row>
    <row r="2177" spans="19:21" ht="15" customHeight="1" x14ac:dyDescent="0.2">
      <c r="S2177" s="69">
        <f>_xlfn.XLOOKUP(Results!A2177,Geometry!$B$6:$B$10000,Geometry!$C$6:$C$10000)</f>
        <v>0</v>
      </c>
      <c r="T2177" s="69"/>
      <c r="U2177" s="69"/>
    </row>
    <row r="2178" spans="19:21" ht="15" customHeight="1" x14ac:dyDescent="0.2">
      <c r="S2178" s="69">
        <f>_xlfn.XLOOKUP(Results!A2178,Geometry!$B$6:$B$10000,Geometry!$C$6:$C$10000)</f>
        <v>0</v>
      </c>
      <c r="T2178" s="69"/>
      <c r="U2178" s="69"/>
    </row>
    <row r="2179" spans="19:21" ht="15" customHeight="1" x14ac:dyDescent="0.2">
      <c r="S2179" s="69">
        <f>_xlfn.XLOOKUP(Results!A2179,Geometry!$B$6:$B$10000,Geometry!$C$6:$C$10000)</f>
        <v>0</v>
      </c>
      <c r="T2179" s="69"/>
      <c r="U2179" s="69"/>
    </row>
    <row r="2180" spans="19:21" ht="15" customHeight="1" x14ac:dyDescent="0.2">
      <c r="S2180" s="69">
        <f>_xlfn.XLOOKUP(Results!A2180,Geometry!$B$6:$B$10000,Geometry!$C$6:$C$10000)</f>
        <v>0</v>
      </c>
      <c r="T2180" s="69"/>
      <c r="U2180" s="69"/>
    </row>
    <row r="2181" spans="19:21" ht="15" customHeight="1" x14ac:dyDescent="0.2">
      <c r="S2181" s="69">
        <f>_xlfn.XLOOKUP(Results!A2181,Geometry!$B$6:$B$10000,Geometry!$C$6:$C$10000)</f>
        <v>0</v>
      </c>
      <c r="T2181" s="69"/>
      <c r="U2181" s="69"/>
    </row>
    <row r="2182" spans="19:21" ht="15" customHeight="1" x14ac:dyDescent="0.2">
      <c r="S2182" s="69">
        <f>_xlfn.XLOOKUP(Results!A2182,Geometry!$B$6:$B$10000,Geometry!$C$6:$C$10000)</f>
        <v>0</v>
      </c>
      <c r="T2182" s="69"/>
      <c r="U2182" s="69"/>
    </row>
    <row r="2183" spans="19:21" ht="15" customHeight="1" x14ac:dyDescent="0.2">
      <c r="S2183" s="69">
        <f>_xlfn.XLOOKUP(Results!A2183,Geometry!$B$6:$B$10000,Geometry!$C$6:$C$10000)</f>
        <v>0</v>
      </c>
      <c r="T2183" s="69"/>
      <c r="U2183" s="69"/>
    </row>
    <row r="2184" spans="19:21" ht="15" customHeight="1" x14ac:dyDescent="0.2">
      <c r="S2184" s="69">
        <f>_xlfn.XLOOKUP(Results!A2184,Geometry!$B$6:$B$10000,Geometry!$C$6:$C$10000)</f>
        <v>0</v>
      </c>
      <c r="T2184" s="69"/>
      <c r="U2184" s="69"/>
    </row>
    <row r="2185" spans="19:21" ht="15" customHeight="1" x14ac:dyDescent="0.2">
      <c r="S2185" s="69">
        <f>_xlfn.XLOOKUP(Results!A2185,Geometry!$B$6:$B$10000,Geometry!$C$6:$C$10000)</f>
        <v>0</v>
      </c>
      <c r="T2185" s="69"/>
      <c r="U2185" s="69"/>
    </row>
    <row r="2186" spans="19:21" ht="15" customHeight="1" x14ac:dyDescent="0.2">
      <c r="S2186" s="69">
        <f>_xlfn.XLOOKUP(Results!A2186,Geometry!$B$6:$B$10000,Geometry!$C$6:$C$10000)</f>
        <v>0</v>
      </c>
      <c r="T2186" s="69"/>
      <c r="U2186" s="69"/>
    </row>
    <row r="2187" spans="19:21" ht="15" customHeight="1" x14ac:dyDescent="0.2">
      <c r="S2187" s="69">
        <f>_xlfn.XLOOKUP(Results!A2187,Geometry!$B$6:$B$10000,Geometry!$C$6:$C$10000)</f>
        <v>0</v>
      </c>
      <c r="T2187" s="69"/>
      <c r="U2187" s="69"/>
    </row>
    <row r="2188" spans="19:21" ht="15" customHeight="1" x14ac:dyDescent="0.2">
      <c r="S2188" s="69">
        <f>_xlfn.XLOOKUP(Results!A2188,Geometry!$B$6:$B$10000,Geometry!$C$6:$C$10000)</f>
        <v>0</v>
      </c>
      <c r="T2188" s="69"/>
      <c r="U2188" s="69"/>
    </row>
    <row r="2189" spans="19:21" ht="15" customHeight="1" x14ac:dyDescent="0.2">
      <c r="S2189" s="69">
        <f>_xlfn.XLOOKUP(Results!A2189,Geometry!$B$6:$B$10000,Geometry!$C$6:$C$10000)</f>
        <v>0</v>
      </c>
      <c r="T2189" s="69"/>
      <c r="U2189" s="69"/>
    </row>
    <row r="2190" spans="19:21" ht="15" customHeight="1" x14ac:dyDescent="0.2">
      <c r="S2190" s="69">
        <f>_xlfn.XLOOKUP(Results!A2190,Geometry!$B$6:$B$10000,Geometry!$C$6:$C$10000)</f>
        <v>0</v>
      </c>
      <c r="T2190" s="69"/>
      <c r="U2190" s="69"/>
    </row>
    <row r="2191" spans="19:21" ht="15" customHeight="1" x14ac:dyDescent="0.2">
      <c r="S2191" s="69">
        <f>_xlfn.XLOOKUP(Results!A2191,Geometry!$B$6:$B$10000,Geometry!$C$6:$C$10000)</f>
        <v>0</v>
      </c>
      <c r="T2191" s="69"/>
      <c r="U2191" s="69"/>
    </row>
    <row r="2192" spans="19:21" ht="15" customHeight="1" x14ac:dyDescent="0.2">
      <c r="S2192" s="69">
        <f>_xlfn.XLOOKUP(Results!A2192,Geometry!$B$6:$B$10000,Geometry!$C$6:$C$10000)</f>
        <v>0</v>
      </c>
      <c r="T2192" s="69"/>
      <c r="U2192" s="69"/>
    </row>
    <row r="2193" spans="19:21" ht="15" customHeight="1" x14ac:dyDescent="0.2">
      <c r="S2193" s="69">
        <f>_xlfn.XLOOKUP(Results!A2193,Geometry!$B$6:$B$10000,Geometry!$C$6:$C$10000)</f>
        <v>0</v>
      </c>
      <c r="T2193" s="69"/>
      <c r="U2193" s="69"/>
    </row>
    <row r="2194" spans="19:21" ht="15" customHeight="1" x14ac:dyDescent="0.2">
      <c r="S2194" s="69">
        <f>_xlfn.XLOOKUP(Results!A2194,Geometry!$B$6:$B$10000,Geometry!$C$6:$C$10000)</f>
        <v>0</v>
      </c>
      <c r="T2194" s="69"/>
      <c r="U2194" s="69"/>
    </row>
    <row r="2195" spans="19:21" ht="15" customHeight="1" x14ac:dyDescent="0.2">
      <c r="S2195" s="69">
        <f>_xlfn.XLOOKUP(Results!A2195,Geometry!$B$6:$B$10000,Geometry!$C$6:$C$10000)</f>
        <v>0</v>
      </c>
      <c r="T2195" s="69"/>
      <c r="U2195" s="69"/>
    </row>
    <row r="2196" spans="19:21" ht="15" customHeight="1" x14ac:dyDescent="0.2">
      <c r="S2196" s="69">
        <f>_xlfn.XLOOKUP(Results!A2196,Geometry!$B$6:$B$10000,Geometry!$C$6:$C$10000)</f>
        <v>0</v>
      </c>
      <c r="T2196" s="69"/>
      <c r="U2196" s="69"/>
    </row>
    <row r="2197" spans="19:21" ht="15" customHeight="1" x14ac:dyDescent="0.2">
      <c r="S2197" s="69">
        <f>_xlfn.XLOOKUP(Results!A2197,Geometry!$B$6:$B$10000,Geometry!$C$6:$C$10000)</f>
        <v>0</v>
      </c>
      <c r="T2197" s="69"/>
      <c r="U2197" s="69"/>
    </row>
    <row r="2198" spans="19:21" ht="15" customHeight="1" x14ac:dyDescent="0.2">
      <c r="S2198" s="69">
        <f>_xlfn.XLOOKUP(Results!A2198,Geometry!$B$6:$B$10000,Geometry!$C$6:$C$10000)</f>
        <v>0</v>
      </c>
      <c r="T2198" s="69"/>
      <c r="U2198" s="69"/>
    </row>
    <row r="2199" spans="19:21" ht="15" customHeight="1" x14ac:dyDescent="0.2">
      <c r="S2199" s="69">
        <f>_xlfn.XLOOKUP(Results!A2199,Geometry!$B$6:$B$10000,Geometry!$C$6:$C$10000)</f>
        <v>0</v>
      </c>
      <c r="T2199" s="69"/>
      <c r="U2199" s="69"/>
    </row>
    <row r="2200" spans="19:21" ht="15" customHeight="1" x14ac:dyDescent="0.2">
      <c r="S2200" s="69">
        <f>_xlfn.XLOOKUP(Results!A2200,Geometry!$B$6:$B$10000,Geometry!$C$6:$C$10000)</f>
        <v>0</v>
      </c>
      <c r="T2200" s="69"/>
      <c r="U2200" s="69"/>
    </row>
    <row r="2201" spans="19:21" ht="15" customHeight="1" x14ac:dyDescent="0.2">
      <c r="S2201" s="69">
        <f>_xlfn.XLOOKUP(Results!A2201,Geometry!$B$6:$B$10000,Geometry!$C$6:$C$10000)</f>
        <v>0</v>
      </c>
      <c r="T2201" s="69"/>
      <c r="U2201" s="69"/>
    </row>
    <row r="2202" spans="19:21" ht="15" customHeight="1" x14ac:dyDescent="0.2">
      <c r="S2202" s="69">
        <f>_xlfn.XLOOKUP(Results!A2202,Geometry!$B$6:$B$10000,Geometry!$C$6:$C$10000)</f>
        <v>0</v>
      </c>
      <c r="T2202" s="69"/>
      <c r="U2202" s="69"/>
    </row>
    <row r="2203" spans="19:21" ht="15" customHeight="1" x14ac:dyDescent="0.2">
      <c r="S2203" s="69">
        <f>_xlfn.XLOOKUP(Results!A2203,Geometry!$B$6:$B$10000,Geometry!$C$6:$C$10000)</f>
        <v>0</v>
      </c>
      <c r="T2203" s="69"/>
      <c r="U2203" s="69"/>
    </row>
    <row r="2204" spans="19:21" ht="15" customHeight="1" x14ac:dyDescent="0.2">
      <c r="S2204" s="69">
        <f>_xlfn.XLOOKUP(Results!A2204,Geometry!$B$6:$B$10000,Geometry!$C$6:$C$10000)</f>
        <v>0</v>
      </c>
      <c r="T2204" s="69"/>
      <c r="U2204" s="69"/>
    </row>
    <row r="2205" spans="19:21" ht="15" customHeight="1" x14ac:dyDescent="0.2">
      <c r="S2205" s="69">
        <f>_xlfn.XLOOKUP(Results!A2205,Geometry!$B$6:$B$10000,Geometry!$C$6:$C$10000)</f>
        <v>0</v>
      </c>
      <c r="T2205" s="69"/>
      <c r="U2205" s="69"/>
    </row>
    <row r="2206" spans="19:21" ht="15" customHeight="1" x14ac:dyDescent="0.2">
      <c r="S2206" s="69">
        <f>_xlfn.XLOOKUP(Results!A2206,Geometry!$B$6:$B$10000,Geometry!$C$6:$C$10000)</f>
        <v>0</v>
      </c>
      <c r="T2206" s="69"/>
      <c r="U2206" s="69"/>
    </row>
    <row r="2207" spans="19:21" ht="15" customHeight="1" x14ac:dyDescent="0.2">
      <c r="S2207" s="69">
        <f>_xlfn.XLOOKUP(Results!A2207,Geometry!$B$6:$B$10000,Geometry!$C$6:$C$10000)</f>
        <v>0</v>
      </c>
      <c r="T2207" s="69"/>
      <c r="U2207" s="69"/>
    </row>
    <row r="2208" spans="19:21" ht="15" customHeight="1" x14ac:dyDescent="0.2">
      <c r="S2208" s="69">
        <f>_xlfn.XLOOKUP(Results!A2208,Geometry!$B$6:$B$10000,Geometry!$C$6:$C$10000)</f>
        <v>0</v>
      </c>
      <c r="T2208" s="69"/>
      <c r="U2208" s="69"/>
    </row>
    <row r="2209" spans="19:21" ht="15" customHeight="1" x14ac:dyDescent="0.2">
      <c r="S2209" s="69">
        <f>_xlfn.XLOOKUP(Results!A2209,Geometry!$B$6:$B$10000,Geometry!$C$6:$C$10000)</f>
        <v>0</v>
      </c>
      <c r="T2209" s="69"/>
      <c r="U2209" s="69"/>
    </row>
    <row r="2210" spans="19:21" ht="15" customHeight="1" x14ac:dyDescent="0.2">
      <c r="S2210" s="69">
        <f>_xlfn.XLOOKUP(Results!A2210,Geometry!$B$6:$B$10000,Geometry!$C$6:$C$10000)</f>
        <v>0</v>
      </c>
      <c r="T2210" s="69"/>
      <c r="U2210" s="69"/>
    </row>
    <row r="2211" spans="19:21" ht="15" customHeight="1" x14ac:dyDescent="0.2">
      <c r="S2211" s="69">
        <f>_xlfn.XLOOKUP(Results!A2211,Geometry!$B$6:$B$10000,Geometry!$C$6:$C$10000)</f>
        <v>0</v>
      </c>
      <c r="T2211" s="69"/>
      <c r="U2211" s="69"/>
    </row>
    <row r="2212" spans="19:21" ht="15" customHeight="1" x14ac:dyDescent="0.2">
      <c r="S2212" s="69">
        <f>_xlfn.XLOOKUP(Results!A2212,Geometry!$B$6:$B$10000,Geometry!$C$6:$C$10000)</f>
        <v>0</v>
      </c>
      <c r="T2212" s="69"/>
      <c r="U2212" s="69"/>
    </row>
    <row r="2213" spans="19:21" ht="15" customHeight="1" x14ac:dyDescent="0.2">
      <c r="S2213" s="69">
        <f>_xlfn.XLOOKUP(Results!A2213,Geometry!$B$6:$B$10000,Geometry!$C$6:$C$10000)</f>
        <v>0</v>
      </c>
      <c r="T2213" s="69"/>
      <c r="U2213" s="69"/>
    </row>
    <row r="2214" spans="19:21" ht="15" customHeight="1" x14ac:dyDescent="0.2">
      <c r="S2214" s="69">
        <f>_xlfn.XLOOKUP(Results!A2214,Geometry!$B$6:$B$10000,Geometry!$C$6:$C$10000)</f>
        <v>0</v>
      </c>
      <c r="T2214" s="69"/>
      <c r="U2214" s="69"/>
    </row>
    <row r="2215" spans="19:21" ht="15" customHeight="1" x14ac:dyDescent="0.2">
      <c r="S2215" s="69">
        <f>_xlfn.XLOOKUP(Results!A2215,Geometry!$B$6:$B$10000,Geometry!$C$6:$C$10000)</f>
        <v>0</v>
      </c>
      <c r="T2215" s="69"/>
      <c r="U2215" s="69"/>
    </row>
    <row r="2216" spans="19:21" ht="15" customHeight="1" x14ac:dyDescent="0.2">
      <c r="S2216" s="69">
        <f>_xlfn.XLOOKUP(Results!A2216,Geometry!$B$6:$B$10000,Geometry!$C$6:$C$10000)</f>
        <v>0</v>
      </c>
      <c r="T2216" s="69"/>
      <c r="U2216" s="69"/>
    </row>
    <row r="2217" spans="19:21" ht="15" customHeight="1" x14ac:dyDescent="0.2">
      <c r="S2217" s="69">
        <f>_xlfn.XLOOKUP(Results!A2217,Geometry!$B$6:$B$10000,Geometry!$C$6:$C$10000)</f>
        <v>0</v>
      </c>
      <c r="T2217" s="69"/>
      <c r="U2217" s="69"/>
    </row>
    <row r="2218" spans="19:21" ht="15" customHeight="1" x14ac:dyDescent="0.2">
      <c r="S2218" s="69">
        <f>_xlfn.XLOOKUP(Results!A2218,Geometry!$B$6:$B$10000,Geometry!$C$6:$C$10000)</f>
        <v>0</v>
      </c>
      <c r="T2218" s="69"/>
      <c r="U2218" s="69"/>
    </row>
    <row r="2219" spans="19:21" ht="15" customHeight="1" x14ac:dyDescent="0.2">
      <c r="S2219" s="69">
        <f>_xlfn.XLOOKUP(Results!A2219,Geometry!$B$6:$B$10000,Geometry!$C$6:$C$10000)</f>
        <v>0</v>
      </c>
      <c r="T2219" s="69"/>
      <c r="U2219" s="69"/>
    </row>
    <row r="2220" spans="19:21" ht="15" customHeight="1" x14ac:dyDescent="0.2">
      <c r="S2220" s="69">
        <f>_xlfn.XLOOKUP(Results!A2220,Geometry!$B$6:$B$10000,Geometry!$C$6:$C$10000)</f>
        <v>0</v>
      </c>
      <c r="T2220" s="69"/>
      <c r="U2220" s="69"/>
    </row>
    <row r="2221" spans="19:21" ht="15" customHeight="1" x14ac:dyDescent="0.2">
      <c r="S2221" s="69">
        <f>_xlfn.XLOOKUP(Results!A2221,Geometry!$B$6:$B$10000,Geometry!$C$6:$C$10000)</f>
        <v>0</v>
      </c>
      <c r="T2221" s="69"/>
      <c r="U2221" s="69"/>
    </row>
    <row r="2222" spans="19:21" ht="15" customHeight="1" x14ac:dyDescent="0.2">
      <c r="S2222" s="69">
        <f>_xlfn.XLOOKUP(Results!A2222,Geometry!$B$6:$B$10000,Geometry!$C$6:$C$10000)</f>
        <v>0</v>
      </c>
      <c r="T2222" s="69"/>
      <c r="U2222" s="69"/>
    </row>
    <row r="2223" spans="19:21" ht="15" customHeight="1" x14ac:dyDescent="0.2">
      <c r="S2223" s="69">
        <f>_xlfn.XLOOKUP(Results!A2223,Geometry!$B$6:$B$10000,Geometry!$C$6:$C$10000)</f>
        <v>0</v>
      </c>
      <c r="T2223" s="69"/>
      <c r="U2223" s="69"/>
    </row>
    <row r="2224" spans="19:21" ht="15" customHeight="1" x14ac:dyDescent="0.2">
      <c r="S2224" s="69">
        <f>_xlfn.XLOOKUP(Results!A2224,Geometry!$B$6:$B$10000,Geometry!$C$6:$C$10000)</f>
        <v>0</v>
      </c>
      <c r="T2224" s="69"/>
      <c r="U2224" s="69"/>
    </row>
    <row r="2225" spans="19:21" ht="15" customHeight="1" x14ac:dyDescent="0.2">
      <c r="S2225" s="69">
        <f>_xlfn.XLOOKUP(Results!A2225,Geometry!$B$6:$B$10000,Geometry!$C$6:$C$10000)</f>
        <v>0</v>
      </c>
      <c r="T2225" s="69"/>
      <c r="U2225" s="69"/>
    </row>
    <row r="2226" spans="19:21" ht="15" customHeight="1" x14ac:dyDescent="0.2">
      <c r="S2226" s="69">
        <f>_xlfn.XLOOKUP(Results!A2226,Geometry!$B$6:$B$10000,Geometry!$C$6:$C$10000)</f>
        <v>0</v>
      </c>
      <c r="T2226" s="69"/>
      <c r="U2226" s="69"/>
    </row>
    <row r="2227" spans="19:21" ht="15" customHeight="1" x14ac:dyDescent="0.2">
      <c r="S2227" s="69">
        <f>_xlfn.XLOOKUP(Results!A2227,Geometry!$B$6:$B$10000,Geometry!$C$6:$C$10000)</f>
        <v>0</v>
      </c>
      <c r="T2227" s="69"/>
      <c r="U2227" s="69"/>
    </row>
    <row r="2228" spans="19:21" ht="15" customHeight="1" x14ac:dyDescent="0.2">
      <c r="S2228" s="69">
        <f>_xlfn.XLOOKUP(Results!A2228,Geometry!$B$6:$B$10000,Geometry!$C$6:$C$10000)</f>
        <v>0</v>
      </c>
      <c r="T2228" s="69"/>
      <c r="U2228" s="69"/>
    </row>
    <row r="2229" spans="19:21" ht="15" customHeight="1" x14ac:dyDescent="0.2">
      <c r="S2229" s="69">
        <f>_xlfn.XLOOKUP(Results!A2229,Geometry!$B$6:$B$10000,Geometry!$C$6:$C$10000)</f>
        <v>0</v>
      </c>
      <c r="T2229" s="69"/>
      <c r="U2229" s="69"/>
    </row>
    <row r="2230" spans="19:21" ht="15" customHeight="1" x14ac:dyDescent="0.2">
      <c r="S2230" s="69">
        <f>_xlfn.XLOOKUP(Results!A2230,Geometry!$B$6:$B$10000,Geometry!$C$6:$C$10000)</f>
        <v>0</v>
      </c>
      <c r="T2230" s="69"/>
      <c r="U2230" s="69"/>
    </row>
    <row r="2231" spans="19:21" ht="15" customHeight="1" x14ac:dyDescent="0.2">
      <c r="S2231" s="69">
        <f>_xlfn.XLOOKUP(Results!A2231,Geometry!$B$6:$B$10000,Geometry!$C$6:$C$10000)</f>
        <v>0</v>
      </c>
      <c r="T2231" s="69"/>
      <c r="U2231" s="69"/>
    </row>
    <row r="2232" spans="19:21" ht="15" customHeight="1" x14ac:dyDescent="0.2">
      <c r="S2232" s="69">
        <f>_xlfn.XLOOKUP(Results!A2232,Geometry!$B$6:$B$10000,Geometry!$C$6:$C$10000)</f>
        <v>0</v>
      </c>
      <c r="T2232" s="69"/>
      <c r="U2232" s="69"/>
    </row>
    <row r="2233" spans="19:21" ht="15" customHeight="1" x14ac:dyDescent="0.2">
      <c r="S2233" s="69">
        <f>_xlfn.XLOOKUP(Results!A2233,Geometry!$B$6:$B$10000,Geometry!$C$6:$C$10000)</f>
        <v>0</v>
      </c>
      <c r="T2233" s="69"/>
      <c r="U2233" s="69"/>
    </row>
    <row r="2234" spans="19:21" ht="15" customHeight="1" x14ac:dyDescent="0.2">
      <c r="S2234" s="69">
        <f>_xlfn.XLOOKUP(Results!A2234,Geometry!$B$6:$B$10000,Geometry!$C$6:$C$10000)</f>
        <v>0</v>
      </c>
      <c r="T2234" s="69"/>
      <c r="U2234" s="69"/>
    </row>
    <row r="2235" spans="19:21" ht="15" customHeight="1" x14ac:dyDescent="0.2">
      <c r="S2235" s="69">
        <f>_xlfn.XLOOKUP(Results!A2235,Geometry!$B$6:$B$10000,Geometry!$C$6:$C$10000)</f>
        <v>0</v>
      </c>
      <c r="T2235" s="69"/>
      <c r="U2235" s="69"/>
    </row>
    <row r="2236" spans="19:21" ht="15" customHeight="1" x14ac:dyDescent="0.2">
      <c r="S2236" s="69">
        <f>_xlfn.XLOOKUP(Results!A2236,Geometry!$B$6:$B$10000,Geometry!$C$6:$C$10000)</f>
        <v>0</v>
      </c>
      <c r="T2236" s="69"/>
      <c r="U2236" s="69"/>
    </row>
    <row r="2237" spans="19:21" ht="15" customHeight="1" x14ac:dyDescent="0.2">
      <c r="S2237" s="69">
        <f>_xlfn.XLOOKUP(Results!A2237,Geometry!$B$6:$B$10000,Geometry!$C$6:$C$10000)</f>
        <v>0</v>
      </c>
      <c r="T2237" s="69"/>
      <c r="U2237" s="69"/>
    </row>
    <row r="2238" spans="19:21" ht="15" customHeight="1" x14ac:dyDescent="0.2">
      <c r="S2238" s="69">
        <f>_xlfn.XLOOKUP(Results!A2238,Geometry!$B$6:$B$10000,Geometry!$C$6:$C$10000)</f>
        <v>0</v>
      </c>
      <c r="T2238" s="69"/>
      <c r="U2238" s="69"/>
    </row>
    <row r="2239" spans="19:21" ht="15" customHeight="1" x14ac:dyDescent="0.2">
      <c r="S2239" s="69">
        <f>_xlfn.XLOOKUP(Results!A2239,Geometry!$B$6:$B$10000,Geometry!$C$6:$C$10000)</f>
        <v>0</v>
      </c>
      <c r="T2239" s="69"/>
      <c r="U2239" s="69"/>
    </row>
    <row r="2240" spans="19:21" ht="15" customHeight="1" x14ac:dyDescent="0.2">
      <c r="S2240" s="69">
        <f>_xlfn.XLOOKUP(Results!A2240,Geometry!$B$6:$B$10000,Geometry!$C$6:$C$10000)</f>
        <v>0</v>
      </c>
      <c r="T2240" s="69"/>
      <c r="U2240" s="69"/>
    </row>
    <row r="2241" spans="19:21" ht="15" customHeight="1" x14ac:dyDescent="0.2">
      <c r="S2241" s="69">
        <f>_xlfn.XLOOKUP(Results!A2241,Geometry!$B$6:$B$10000,Geometry!$C$6:$C$10000)</f>
        <v>0</v>
      </c>
      <c r="T2241" s="69"/>
      <c r="U2241" s="69"/>
    </row>
    <row r="2242" spans="19:21" ht="15" customHeight="1" x14ac:dyDescent="0.2">
      <c r="S2242" s="69">
        <f>_xlfn.XLOOKUP(Results!A2242,Geometry!$B$6:$B$10000,Geometry!$C$6:$C$10000)</f>
        <v>0</v>
      </c>
      <c r="T2242" s="69"/>
      <c r="U2242" s="69"/>
    </row>
    <row r="2243" spans="19:21" ht="15" customHeight="1" x14ac:dyDescent="0.2">
      <c r="S2243" s="69">
        <f>_xlfn.XLOOKUP(Results!A2243,Geometry!$B$6:$B$10000,Geometry!$C$6:$C$10000)</f>
        <v>0</v>
      </c>
      <c r="T2243" s="69"/>
      <c r="U2243" s="69"/>
    </row>
    <row r="2244" spans="19:21" ht="15" customHeight="1" x14ac:dyDescent="0.2">
      <c r="S2244" s="69">
        <f>_xlfn.XLOOKUP(Results!A2244,Geometry!$B$6:$B$10000,Geometry!$C$6:$C$10000)</f>
        <v>0</v>
      </c>
      <c r="T2244" s="69"/>
      <c r="U2244" s="69"/>
    </row>
    <row r="2245" spans="19:21" ht="15" customHeight="1" x14ac:dyDescent="0.2">
      <c r="S2245" s="69">
        <f>_xlfn.XLOOKUP(Results!A2245,Geometry!$B$6:$B$10000,Geometry!$C$6:$C$10000)</f>
        <v>0</v>
      </c>
      <c r="T2245" s="69"/>
      <c r="U2245" s="69"/>
    </row>
    <row r="2246" spans="19:21" ht="15" customHeight="1" x14ac:dyDescent="0.2">
      <c r="S2246" s="69">
        <f>_xlfn.XLOOKUP(Results!A2246,Geometry!$B$6:$B$10000,Geometry!$C$6:$C$10000)</f>
        <v>0</v>
      </c>
      <c r="T2246" s="69"/>
      <c r="U2246" s="69"/>
    </row>
    <row r="2247" spans="19:21" ht="15" customHeight="1" x14ac:dyDescent="0.2">
      <c r="S2247" s="69">
        <f>_xlfn.XLOOKUP(Results!A2247,Geometry!$B$6:$B$10000,Geometry!$C$6:$C$10000)</f>
        <v>0</v>
      </c>
      <c r="T2247" s="69"/>
      <c r="U2247" s="69"/>
    </row>
    <row r="2248" spans="19:21" ht="15" customHeight="1" x14ac:dyDescent="0.2">
      <c r="S2248" s="69">
        <f>_xlfn.XLOOKUP(Results!A2248,Geometry!$B$6:$B$10000,Geometry!$C$6:$C$10000)</f>
        <v>0</v>
      </c>
      <c r="T2248" s="69"/>
      <c r="U2248" s="69"/>
    </row>
    <row r="2249" spans="19:21" ht="15" customHeight="1" x14ac:dyDescent="0.2">
      <c r="S2249" s="69">
        <f>_xlfn.XLOOKUP(Results!A2249,Geometry!$B$6:$B$10000,Geometry!$C$6:$C$10000)</f>
        <v>0</v>
      </c>
      <c r="T2249" s="69"/>
      <c r="U2249" s="69"/>
    </row>
    <row r="2250" spans="19:21" ht="15" customHeight="1" x14ac:dyDescent="0.2">
      <c r="S2250" s="69">
        <f>_xlfn.XLOOKUP(Results!A2250,Geometry!$B$6:$B$10000,Geometry!$C$6:$C$10000)</f>
        <v>0</v>
      </c>
      <c r="T2250" s="69"/>
      <c r="U2250" s="69"/>
    </row>
    <row r="2251" spans="19:21" ht="15" customHeight="1" x14ac:dyDescent="0.2">
      <c r="S2251" s="69">
        <f>_xlfn.XLOOKUP(Results!A2251,Geometry!$B$6:$B$10000,Geometry!$C$6:$C$10000)</f>
        <v>0</v>
      </c>
      <c r="T2251" s="69"/>
      <c r="U2251" s="69"/>
    </row>
    <row r="2252" spans="19:21" ht="15" customHeight="1" x14ac:dyDescent="0.2">
      <c r="S2252" s="69">
        <f>_xlfn.XLOOKUP(Results!A2252,Geometry!$B$6:$B$10000,Geometry!$C$6:$C$10000)</f>
        <v>0</v>
      </c>
      <c r="T2252" s="69"/>
      <c r="U2252" s="69"/>
    </row>
    <row r="2253" spans="19:21" ht="15" customHeight="1" x14ac:dyDescent="0.2">
      <c r="S2253" s="69">
        <f>_xlfn.XLOOKUP(Results!A2253,Geometry!$B$6:$B$10000,Geometry!$C$6:$C$10000)</f>
        <v>0</v>
      </c>
      <c r="T2253" s="69"/>
      <c r="U2253" s="69"/>
    </row>
    <row r="2254" spans="19:21" ht="15" customHeight="1" x14ac:dyDescent="0.2">
      <c r="S2254" s="69">
        <f>_xlfn.XLOOKUP(Results!A2254,Geometry!$B$6:$B$10000,Geometry!$C$6:$C$10000)</f>
        <v>0</v>
      </c>
      <c r="T2254" s="69"/>
      <c r="U2254" s="69"/>
    </row>
    <row r="2255" spans="19:21" ht="15" customHeight="1" x14ac:dyDescent="0.2">
      <c r="S2255" s="69">
        <f>_xlfn.XLOOKUP(Results!A2255,Geometry!$B$6:$B$10000,Geometry!$C$6:$C$10000)</f>
        <v>0</v>
      </c>
      <c r="T2255" s="69"/>
      <c r="U2255" s="69"/>
    </row>
    <row r="2256" spans="19:21" ht="15" customHeight="1" x14ac:dyDescent="0.2">
      <c r="S2256" s="69">
        <f>_xlfn.XLOOKUP(Results!A2256,Geometry!$B$6:$B$10000,Geometry!$C$6:$C$10000)</f>
        <v>0</v>
      </c>
      <c r="T2256" s="69"/>
      <c r="U2256" s="69"/>
    </row>
    <row r="2257" spans="19:21" ht="15" customHeight="1" x14ac:dyDescent="0.2">
      <c r="S2257" s="69">
        <f>_xlfn.XLOOKUP(Results!A2257,Geometry!$B$6:$B$10000,Geometry!$C$6:$C$10000)</f>
        <v>0</v>
      </c>
      <c r="T2257" s="69"/>
      <c r="U2257" s="69"/>
    </row>
    <row r="2258" spans="19:21" ht="15" customHeight="1" x14ac:dyDescent="0.2">
      <c r="S2258" s="69">
        <f>_xlfn.XLOOKUP(Results!A2258,Geometry!$B$6:$B$10000,Geometry!$C$6:$C$10000)</f>
        <v>0</v>
      </c>
      <c r="T2258" s="69"/>
      <c r="U2258" s="69"/>
    </row>
    <row r="2259" spans="19:21" ht="15" customHeight="1" x14ac:dyDescent="0.2">
      <c r="S2259" s="69">
        <f>_xlfn.XLOOKUP(Results!A2259,Geometry!$B$6:$B$10000,Geometry!$C$6:$C$10000)</f>
        <v>0</v>
      </c>
      <c r="T2259" s="69"/>
      <c r="U2259" s="69"/>
    </row>
    <row r="2260" spans="19:21" ht="15" customHeight="1" x14ac:dyDescent="0.2">
      <c r="S2260" s="69">
        <f>_xlfn.XLOOKUP(Results!A2260,Geometry!$B$6:$B$10000,Geometry!$C$6:$C$10000)</f>
        <v>0</v>
      </c>
      <c r="T2260" s="69"/>
      <c r="U2260" s="69"/>
    </row>
    <row r="2261" spans="19:21" ht="15" customHeight="1" x14ac:dyDescent="0.2">
      <c r="S2261" s="69">
        <f>_xlfn.XLOOKUP(Results!A2261,Geometry!$B$6:$B$10000,Geometry!$C$6:$C$10000)</f>
        <v>0</v>
      </c>
      <c r="T2261" s="69"/>
      <c r="U2261" s="69"/>
    </row>
    <row r="2262" spans="19:21" ht="15" customHeight="1" x14ac:dyDescent="0.2">
      <c r="S2262" s="69">
        <f>_xlfn.XLOOKUP(Results!A2262,Geometry!$B$6:$B$10000,Geometry!$C$6:$C$10000)</f>
        <v>0</v>
      </c>
      <c r="T2262" s="69"/>
      <c r="U2262" s="69"/>
    </row>
    <row r="2263" spans="19:21" ht="15" customHeight="1" x14ac:dyDescent="0.2">
      <c r="S2263" s="69">
        <f>_xlfn.XLOOKUP(Results!A2263,Geometry!$B$6:$B$10000,Geometry!$C$6:$C$10000)</f>
        <v>0</v>
      </c>
      <c r="T2263" s="69"/>
      <c r="U2263" s="69"/>
    </row>
    <row r="2264" spans="19:21" ht="15" customHeight="1" x14ac:dyDescent="0.2">
      <c r="S2264" s="69">
        <f>_xlfn.XLOOKUP(Results!A2264,Geometry!$B$6:$B$10000,Geometry!$C$6:$C$10000)</f>
        <v>0</v>
      </c>
      <c r="T2264" s="69"/>
      <c r="U2264" s="69"/>
    </row>
    <row r="2265" spans="19:21" ht="15" customHeight="1" x14ac:dyDescent="0.2">
      <c r="S2265" s="69">
        <f>_xlfn.XLOOKUP(Results!A2265,Geometry!$B$6:$B$10000,Geometry!$C$6:$C$10000)</f>
        <v>0</v>
      </c>
      <c r="T2265" s="69"/>
      <c r="U2265" s="69"/>
    </row>
    <row r="2266" spans="19:21" ht="15" customHeight="1" x14ac:dyDescent="0.2">
      <c r="S2266" s="69">
        <f>_xlfn.XLOOKUP(Results!A2266,Geometry!$B$6:$B$10000,Geometry!$C$6:$C$10000)</f>
        <v>0</v>
      </c>
      <c r="T2266" s="69"/>
      <c r="U2266" s="69"/>
    </row>
    <row r="2267" spans="19:21" ht="15" customHeight="1" x14ac:dyDescent="0.2">
      <c r="S2267" s="69">
        <f>_xlfn.XLOOKUP(Results!A2267,Geometry!$B$6:$B$10000,Geometry!$C$6:$C$10000)</f>
        <v>0</v>
      </c>
      <c r="T2267" s="69"/>
      <c r="U2267" s="69"/>
    </row>
    <row r="2268" spans="19:21" ht="15" customHeight="1" x14ac:dyDescent="0.2">
      <c r="S2268" s="69">
        <f>_xlfn.XLOOKUP(Results!A2268,Geometry!$B$6:$B$10000,Geometry!$C$6:$C$10000)</f>
        <v>0</v>
      </c>
      <c r="T2268" s="69"/>
      <c r="U2268" s="69"/>
    </row>
    <row r="2269" spans="19:21" ht="15" customHeight="1" x14ac:dyDescent="0.2">
      <c r="S2269" s="69">
        <f>_xlfn.XLOOKUP(Results!A2269,Geometry!$B$6:$B$10000,Geometry!$C$6:$C$10000)</f>
        <v>0</v>
      </c>
      <c r="T2269" s="69"/>
      <c r="U2269" s="69"/>
    </row>
    <row r="2270" spans="19:21" ht="15" customHeight="1" x14ac:dyDescent="0.2">
      <c r="S2270" s="69">
        <f>_xlfn.XLOOKUP(Results!A2270,Geometry!$B$6:$B$10000,Geometry!$C$6:$C$10000)</f>
        <v>0</v>
      </c>
      <c r="T2270" s="69"/>
      <c r="U2270" s="69"/>
    </row>
    <row r="2271" spans="19:21" ht="15" customHeight="1" x14ac:dyDescent="0.2">
      <c r="S2271" s="69">
        <f>_xlfn.XLOOKUP(Results!A2271,Geometry!$B$6:$B$10000,Geometry!$C$6:$C$10000)</f>
        <v>0</v>
      </c>
      <c r="T2271" s="69"/>
      <c r="U2271" s="69"/>
    </row>
    <row r="2272" spans="19:21" ht="15" customHeight="1" x14ac:dyDescent="0.2">
      <c r="S2272" s="69">
        <f>_xlfn.XLOOKUP(Results!A2272,Geometry!$B$6:$B$10000,Geometry!$C$6:$C$10000)</f>
        <v>0</v>
      </c>
      <c r="T2272" s="69"/>
      <c r="U2272" s="69"/>
    </row>
    <row r="2273" spans="19:21" ht="15" customHeight="1" x14ac:dyDescent="0.2">
      <c r="S2273" s="69">
        <f>_xlfn.XLOOKUP(Results!A2273,Geometry!$B$6:$B$10000,Geometry!$C$6:$C$10000)</f>
        <v>0</v>
      </c>
      <c r="T2273" s="69"/>
      <c r="U2273" s="69"/>
    </row>
    <row r="2274" spans="19:21" ht="15" customHeight="1" x14ac:dyDescent="0.2">
      <c r="S2274" s="69">
        <f>_xlfn.XLOOKUP(Results!A2274,Geometry!$B$6:$B$10000,Geometry!$C$6:$C$10000)</f>
        <v>0</v>
      </c>
      <c r="T2274" s="69"/>
      <c r="U2274" s="69"/>
    </row>
    <row r="2275" spans="19:21" ht="15" customHeight="1" x14ac:dyDescent="0.2">
      <c r="S2275" s="69">
        <f>_xlfn.XLOOKUP(Results!A2275,Geometry!$B$6:$B$10000,Geometry!$C$6:$C$10000)</f>
        <v>0</v>
      </c>
      <c r="T2275" s="69"/>
      <c r="U2275" s="69"/>
    </row>
    <row r="2276" spans="19:21" ht="15" customHeight="1" x14ac:dyDescent="0.2">
      <c r="S2276" s="69">
        <f>_xlfn.XLOOKUP(Results!A2276,Geometry!$B$6:$B$10000,Geometry!$C$6:$C$10000)</f>
        <v>0</v>
      </c>
      <c r="T2276" s="69"/>
      <c r="U2276" s="69"/>
    </row>
    <row r="2277" spans="19:21" ht="15" customHeight="1" x14ac:dyDescent="0.2">
      <c r="S2277" s="69">
        <f>_xlfn.XLOOKUP(Results!A2277,Geometry!$B$6:$B$10000,Geometry!$C$6:$C$10000)</f>
        <v>0</v>
      </c>
      <c r="T2277" s="69"/>
      <c r="U2277" s="69"/>
    </row>
    <row r="2278" spans="19:21" ht="15" customHeight="1" x14ac:dyDescent="0.2">
      <c r="S2278" s="69">
        <f>_xlfn.XLOOKUP(Results!A2278,Geometry!$B$6:$B$10000,Geometry!$C$6:$C$10000)</f>
        <v>0</v>
      </c>
      <c r="T2278" s="69"/>
      <c r="U2278" s="69"/>
    </row>
    <row r="2279" spans="19:21" ht="15" customHeight="1" x14ac:dyDescent="0.2">
      <c r="S2279" s="69">
        <f>_xlfn.XLOOKUP(Results!A2279,Geometry!$B$6:$B$10000,Geometry!$C$6:$C$10000)</f>
        <v>0</v>
      </c>
      <c r="T2279" s="69"/>
      <c r="U2279" s="69"/>
    </row>
    <row r="2280" spans="19:21" ht="15" customHeight="1" x14ac:dyDescent="0.2">
      <c r="S2280" s="69">
        <f>_xlfn.XLOOKUP(Results!A2280,Geometry!$B$6:$B$10000,Geometry!$C$6:$C$10000)</f>
        <v>0</v>
      </c>
      <c r="T2280" s="69"/>
      <c r="U2280" s="69"/>
    </row>
    <row r="2281" spans="19:21" ht="15" customHeight="1" x14ac:dyDescent="0.2">
      <c r="S2281" s="69">
        <f>_xlfn.XLOOKUP(Results!A2281,Geometry!$B$6:$B$10000,Geometry!$C$6:$C$10000)</f>
        <v>0</v>
      </c>
      <c r="T2281" s="69"/>
      <c r="U2281" s="69"/>
    </row>
    <row r="2282" spans="19:21" ht="15" customHeight="1" x14ac:dyDescent="0.2">
      <c r="S2282" s="69">
        <f>_xlfn.XLOOKUP(Results!A2282,Geometry!$B$6:$B$10000,Geometry!$C$6:$C$10000)</f>
        <v>0</v>
      </c>
      <c r="T2282" s="69"/>
      <c r="U2282" s="69"/>
    </row>
    <row r="2283" spans="19:21" ht="15" customHeight="1" x14ac:dyDescent="0.2">
      <c r="S2283" s="69">
        <f>_xlfn.XLOOKUP(Results!A2283,Geometry!$B$6:$B$10000,Geometry!$C$6:$C$10000)</f>
        <v>0</v>
      </c>
      <c r="T2283" s="69"/>
      <c r="U2283" s="69"/>
    </row>
    <row r="2284" spans="19:21" ht="15" customHeight="1" x14ac:dyDescent="0.2">
      <c r="S2284" s="69">
        <f>_xlfn.XLOOKUP(Results!A2284,Geometry!$B$6:$B$10000,Geometry!$C$6:$C$10000)</f>
        <v>0</v>
      </c>
      <c r="T2284" s="69"/>
      <c r="U2284" s="69"/>
    </row>
    <row r="2285" spans="19:21" ht="15" customHeight="1" x14ac:dyDescent="0.2">
      <c r="S2285" s="69">
        <f>_xlfn.XLOOKUP(Results!A2285,Geometry!$B$6:$B$10000,Geometry!$C$6:$C$10000)</f>
        <v>0</v>
      </c>
      <c r="T2285" s="69"/>
      <c r="U2285" s="69"/>
    </row>
    <row r="2286" spans="19:21" ht="15" customHeight="1" x14ac:dyDescent="0.2">
      <c r="S2286" s="69">
        <f>_xlfn.XLOOKUP(Results!A2286,Geometry!$B$6:$B$10000,Geometry!$C$6:$C$10000)</f>
        <v>0</v>
      </c>
      <c r="T2286" s="69"/>
      <c r="U2286" s="69"/>
    </row>
    <row r="2287" spans="19:21" ht="15" customHeight="1" x14ac:dyDescent="0.2">
      <c r="S2287" s="69">
        <f>_xlfn.XLOOKUP(Results!A2287,Geometry!$B$6:$B$10000,Geometry!$C$6:$C$10000)</f>
        <v>0</v>
      </c>
      <c r="T2287" s="69"/>
      <c r="U2287" s="69"/>
    </row>
    <row r="2288" spans="19:21" ht="15" customHeight="1" x14ac:dyDescent="0.2">
      <c r="S2288" s="69">
        <f>_xlfn.XLOOKUP(Results!A2288,Geometry!$B$6:$B$10000,Geometry!$C$6:$C$10000)</f>
        <v>0</v>
      </c>
      <c r="T2288" s="69"/>
      <c r="U2288" s="69"/>
    </row>
    <row r="2289" spans="19:21" ht="15" customHeight="1" x14ac:dyDescent="0.2">
      <c r="S2289" s="69">
        <f>_xlfn.XLOOKUP(Results!A2289,Geometry!$B$6:$B$10000,Geometry!$C$6:$C$10000)</f>
        <v>0</v>
      </c>
      <c r="T2289" s="69"/>
      <c r="U2289" s="69"/>
    </row>
    <row r="2290" spans="19:21" ht="15" customHeight="1" x14ac:dyDescent="0.2">
      <c r="S2290" s="69">
        <f>_xlfn.XLOOKUP(Results!A2290,Geometry!$B$6:$B$10000,Geometry!$C$6:$C$10000)</f>
        <v>0</v>
      </c>
      <c r="T2290" s="69"/>
      <c r="U2290" s="69"/>
    </row>
    <row r="2291" spans="19:21" ht="15" customHeight="1" x14ac:dyDescent="0.2">
      <c r="S2291" s="69">
        <f>_xlfn.XLOOKUP(Results!A2291,Geometry!$B$6:$B$10000,Geometry!$C$6:$C$10000)</f>
        <v>0</v>
      </c>
      <c r="T2291" s="69"/>
      <c r="U2291" s="69"/>
    </row>
    <row r="2292" spans="19:21" ht="15" customHeight="1" x14ac:dyDescent="0.2">
      <c r="S2292" s="69">
        <f>_xlfn.XLOOKUP(Results!A2292,Geometry!$B$6:$B$10000,Geometry!$C$6:$C$10000)</f>
        <v>0</v>
      </c>
      <c r="T2292" s="69"/>
      <c r="U2292" s="69"/>
    </row>
    <row r="2293" spans="19:21" ht="15" customHeight="1" x14ac:dyDescent="0.2">
      <c r="S2293" s="69">
        <f>_xlfn.XLOOKUP(Results!A2293,Geometry!$B$6:$B$10000,Geometry!$C$6:$C$10000)</f>
        <v>0</v>
      </c>
      <c r="T2293" s="69"/>
      <c r="U2293" s="69"/>
    </row>
    <row r="2294" spans="19:21" ht="15" customHeight="1" x14ac:dyDescent="0.2">
      <c r="S2294" s="69">
        <f>_xlfn.XLOOKUP(Results!A2294,Geometry!$B$6:$B$10000,Geometry!$C$6:$C$10000)</f>
        <v>0</v>
      </c>
      <c r="T2294" s="69"/>
      <c r="U2294" s="69"/>
    </row>
    <row r="2295" spans="19:21" ht="15" customHeight="1" x14ac:dyDescent="0.2">
      <c r="S2295" s="69">
        <f>_xlfn.XLOOKUP(Results!A2295,Geometry!$B$6:$B$10000,Geometry!$C$6:$C$10000)</f>
        <v>0</v>
      </c>
      <c r="T2295" s="69"/>
      <c r="U2295" s="69"/>
    </row>
    <row r="2296" spans="19:21" ht="15" customHeight="1" x14ac:dyDescent="0.2">
      <c r="S2296" s="69">
        <f>_xlfn.XLOOKUP(Results!A2296,Geometry!$B$6:$B$10000,Geometry!$C$6:$C$10000)</f>
        <v>0</v>
      </c>
      <c r="T2296" s="69"/>
      <c r="U2296" s="69"/>
    </row>
    <row r="2297" spans="19:21" ht="15" customHeight="1" x14ac:dyDescent="0.2">
      <c r="S2297" s="69">
        <f>_xlfn.XLOOKUP(Results!A2297,Geometry!$B$6:$B$10000,Geometry!$C$6:$C$10000)</f>
        <v>0</v>
      </c>
      <c r="T2297" s="69"/>
      <c r="U2297" s="69"/>
    </row>
    <row r="2298" spans="19:21" ht="15" customHeight="1" x14ac:dyDescent="0.2">
      <c r="S2298" s="69">
        <f>_xlfn.XLOOKUP(Results!A2298,Geometry!$B$6:$B$10000,Geometry!$C$6:$C$10000)</f>
        <v>0</v>
      </c>
      <c r="T2298" s="69"/>
      <c r="U2298" s="69"/>
    </row>
    <row r="2299" spans="19:21" ht="15" customHeight="1" x14ac:dyDescent="0.2">
      <c r="S2299" s="69">
        <f>_xlfn.XLOOKUP(Results!A2299,Geometry!$B$6:$B$10000,Geometry!$C$6:$C$10000)</f>
        <v>0</v>
      </c>
      <c r="T2299" s="69"/>
      <c r="U2299" s="69"/>
    </row>
    <row r="2300" spans="19:21" ht="15" customHeight="1" x14ac:dyDescent="0.2">
      <c r="S2300" s="69">
        <f>_xlfn.XLOOKUP(Results!A2300,Geometry!$B$6:$B$10000,Geometry!$C$6:$C$10000)</f>
        <v>0</v>
      </c>
      <c r="T2300" s="69"/>
      <c r="U2300" s="69"/>
    </row>
    <row r="2301" spans="19:21" ht="15" customHeight="1" x14ac:dyDescent="0.2">
      <c r="S2301" s="69">
        <f>_xlfn.XLOOKUP(Results!A2301,Geometry!$B$6:$B$10000,Geometry!$C$6:$C$10000)</f>
        <v>0</v>
      </c>
      <c r="T2301" s="69"/>
      <c r="U2301" s="69"/>
    </row>
    <row r="2302" spans="19:21" ht="15" customHeight="1" x14ac:dyDescent="0.2">
      <c r="S2302" s="69">
        <f>_xlfn.XLOOKUP(Results!A2302,Geometry!$B$6:$B$10000,Geometry!$C$6:$C$10000)</f>
        <v>0</v>
      </c>
      <c r="T2302" s="69"/>
      <c r="U2302" s="69"/>
    </row>
    <row r="2303" spans="19:21" ht="15" customHeight="1" x14ac:dyDescent="0.2">
      <c r="S2303" s="69">
        <f>_xlfn.XLOOKUP(Results!A2303,Geometry!$B$6:$B$10000,Geometry!$C$6:$C$10000)</f>
        <v>0</v>
      </c>
      <c r="T2303" s="69"/>
      <c r="U2303" s="69"/>
    </row>
    <row r="2304" spans="19:21" ht="15" customHeight="1" x14ac:dyDescent="0.2">
      <c r="S2304" s="69">
        <f>_xlfn.XLOOKUP(Results!A2304,Geometry!$B$6:$B$10000,Geometry!$C$6:$C$10000)</f>
        <v>0</v>
      </c>
      <c r="T2304" s="69"/>
      <c r="U2304" s="69"/>
    </row>
    <row r="2305" spans="19:21" ht="15" customHeight="1" x14ac:dyDescent="0.2">
      <c r="S2305" s="69">
        <f>_xlfn.XLOOKUP(Results!A2305,Geometry!$B$6:$B$10000,Geometry!$C$6:$C$10000)</f>
        <v>0</v>
      </c>
      <c r="T2305" s="69"/>
      <c r="U2305" s="69"/>
    </row>
    <row r="2306" spans="19:21" ht="15" customHeight="1" x14ac:dyDescent="0.2">
      <c r="S2306" s="69">
        <f>_xlfn.XLOOKUP(Results!A2306,Geometry!$B$6:$B$10000,Geometry!$C$6:$C$10000)</f>
        <v>0</v>
      </c>
      <c r="T2306" s="69"/>
      <c r="U2306" s="69"/>
    </row>
    <row r="2307" spans="19:21" ht="15" customHeight="1" x14ac:dyDescent="0.2">
      <c r="S2307" s="69">
        <f>_xlfn.XLOOKUP(Results!A2307,Geometry!$B$6:$B$10000,Geometry!$C$6:$C$10000)</f>
        <v>0</v>
      </c>
      <c r="T2307" s="69"/>
      <c r="U2307" s="69"/>
    </row>
    <row r="2308" spans="19:21" ht="15" customHeight="1" x14ac:dyDescent="0.2">
      <c r="S2308" s="69">
        <f>_xlfn.XLOOKUP(Results!A2308,Geometry!$B$6:$B$10000,Geometry!$C$6:$C$10000)</f>
        <v>0</v>
      </c>
      <c r="T2308" s="69"/>
      <c r="U2308" s="69"/>
    </row>
    <row r="2309" spans="19:21" ht="15" customHeight="1" x14ac:dyDescent="0.2">
      <c r="S2309" s="69">
        <f>_xlfn.XLOOKUP(Results!A2309,Geometry!$B$6:$B$10000,Geometry!$C$6:$C$10000)</f>
        <v>0</v>
      </c>
      <c r="T2309" s="69"/>
      <c r="U2309" s="69"/>
    </row>
    <row r="2310" spans="19:21" ht="15" customHeight="1" x14ac:dyDescent="0.2">
      <c r="S2310" s="69">
        <f>_xlfn.XLOOKUP(Results!A2310,Geometry!$B$6:$B$10000,Geometry!$C$6:$C$10000)</f>
        <v>0</v>
      </c>
      <c r="T2310" s="69"/>
      <c r="U2310" s="69"/>
    </row>
    <row r="2311" spans="19:21" ht="15" customHeight="1" x14ac:dyDescent="0.2">
      <c r="S2311" s="69">
        <f>_xlfn.XLOOKUP(Results!A2311,Geometry!$B$6:$B$10000,Geometry!$C$6:$C$10000)</f>
        <v>0</v>
      </c>
      <c r="T2311" s="69"/>
      <c r="U2311" s="69"/>
    </row>
    <row r="2312" spans="19:21" ht="15" customHeight="1" x14ac:dyDescent="0.2">
      <c r="S2312" s="69">
        <f>_xlfn.XLOOKUP(Results!A2312,Geometry!$B$6:$B$10000,Geometry!$C$6:$C$10000)</f>
        <v>0</v>
      </c>
      <c r="T2312" s="69"/>
      <c r="U2312" s="69"/>
    </row>
    <row r="2313" spans="19:21" ht="15" customHeight="1" x14ac:dyDescent="0.2">
      <c r="S2313" s="69">
        <f>_xlfn.XLOOKUP(Results!A2313,Geometry!$B$6:$B$10000,Geometry!$C$6:$C$10000)</f>
        <v>0</v>
      </c>
      <c r="T2313" s="69"/>
      <c r="U2313" s="69"/>
    </row>
    <row r="2314" spans="19:21" ht="15" customHeight="1" x14ac:dyDescent="0.2">
      <c r="S2314" s="69">
        <f>_xlfn.XLOOKUP(Results!A2314,Geometry!$B$6:$B$10000,Geometry!$C$6:$C$10000)</f>
        <v>0</v>
      </c>
      <c r="T2314" s="69"/>
      <c r="U2314" s="69"/>
    </row>
    <row r="2315" spans="19:21" ht="15" customHeight="1" x14ac:dyDescent="0.2">
      <c r="S2315" s="69">
        <f>_xlfn.XLOOKUP(Results!A2315,Geometry!$B$6:$B$10000,Geometry!$C$6:$C$10000)</f>
        <v>0</v>
      </c>
      <c r="T2315" s="69"/>
      <c r="U2315" s="69"/>
    </row>
    <row r="2316" spans="19:21" ht="15" customHeight="1" x14ac:dyDescent="0.2">
      <c r="S2316" s="69">
        <f>_xlfn.XLOOKUP(Results!A2316,Geometry!$B$6:$B$10000,Geometry!$C$6:$C$10000)</f>
        <v>0</v>
      </c>
      <c r="T2316" s="69"/>
      <c r="U2316" s="69"/>
    </row>
    <row r="2317" spans="19:21" ht="15" customHeight="1" x14ac:dyDescent="0.2">
      <c r="S2317" s="69">
        <f>_xlfn.XLOOKUP(Results!A2317,Geometry!$B$6:$B$10000,Geometry!$C$6:$C$10000)</f>
        <v>0</v>
      </c>
      <c r="T2317" s="69"/>
      <c r="U2317" s="69"/>
    </row>
    <row r="2318" spans="19:21" ht="15" customHeight="1" x14ac:dyDescent="0.2">
      <c r="S2318" s="69">
        <f>_xlfn.XLOOKUP(Results!A2318,Geometry!$B$6:$B$10000,Geometry!$C$6:$C$10000)</f>
        <v>0</v>
      </c>
      <c r="T2318" s="69"/>
      <c r="U2318" s="69"/>
    </row>
    <row r="2319" spans="19:21" ht="15" customHeight="1" x14ac:dyDescent="0.2">
      <c r="S2319" s="69">
        <f>_xlfn.XLOOKUP(Results!A2319,Geometry!$B$6:$B$10000,Geometry!$C$6:$C$10000)</f>
        <v>0</v>
      </c>
      <c r="T2319" s="69"/>
      <c r="U2319" s="69"/>
    </row>
    <row r="2320" spans="19:21" ht="15" customHeight="1" x14ac:dyDescent="0.2">
      <c r="S2320" s="69">
        <f>_xlfn.XLOOKUP(Results!A2320,Geometry!$B$6:$B$10000,Geometry!$C$6:$C$10000)</f>
        <v>0</v>
      </c>
      <c r="T2320" s="69"/>
      <c r="U2320" s="69"/>
    </row>
    <row r="2321" spans="19:21" ht="15" customHeight="1" x14ac:dyDescent="0.2">
      <c r="S2321" s="69">
        <f>_xlfn.XLOOKUP(Results!A2321,Geometry!$B$6:$B$10000,Geometry!$C$6:$C$10000)</f>
        <v>0</v>
      </c>
      <c r="T2321" s="69"/>
      <c r="U2321" s="69"/>
    </row>
    <row r="2322" spans="19:21" ht="15" customHeight="1" x14ac:dyDescent="0.2">
      <c r="S2322" s="69">
        <f>_xlfn.XLOOKUP(Results!A2322,Geometry!$B$6:$B$10000,Geometry!$C$6:$C$10000)</f>
        <v>0</v>
      </c>
      <c r="T2322" s="69"/>
      <c r="U2322" s="69"/>
    </row>
    <row r="2323" spans="19:21" ht="15" customHeight="1" x14ac:dyDescent="0.2">
      <c r="S2323" s="69">
        <f>_xlfn.XLOOKUP(Results!A2323,Geometry!$B$6:$B$10000,Geometry!$C$6:$C$10000)</f>
        <v>0</v>
      </c>
      <c r="T2323" s="69"/>
      <c r="U2323" s="69"/>
    </row>
    <row r="2324" spans="19:21" ht="15" customHeight="1" x14ac:dyDescent="0.2">
      <c r="S2324" s="69">
        <f>_xlfn.XLOOKUP(Results!A2324,Geometry!$B$6:$B$10000,Geometry!$C$6:$C$10000)</f>
        <v>0</v>
      </c>
      <c r="T2324" s="69"/>
      <c r="U2324" s="69"/>
    </row>
    <row r="2325" spans="19:21" ht="15" customHeight="1" x14ac:dyDescent="0.2">
      <c r="S2325" s="69">
        <f>_xlfn.XLOOKUP(Results!A2325,Geometry!$B$6:$B$10000,Geometry!$C$6:$C$10000)</f>
        <v>0</v>
      </c>
      <c r="T2325" s="69"/>
      <c r="U2325" s="69"/>
    </row>
    <row r="2326" spans="19:21" ht="15" customHeight="1" x14ac:dyDescent="0.2">
      <c r="S2326" s="69">
        <f>_xlfn.XLOOKUP(Results!A2326,Geometry!$B$6:$B$10000,Geometry!$C$6:$C$10000)</f>
        <v>0</v>
      </c>
      <c r="T2326" s="69"/>
      <c r="U2326" s="69"/>
    </row>
    <row r="2327" spans="19:21" ht="15" customHeight="1" x14ac:dyDescent="0.2">
      <c r="S2327" s="69">
        <f>_xlfn.XLOOKUP(Results!A2327,Geometry!$B$6:$B$10000,Geometry!$C$6:$C$10000)</f>
        <v>0</v>
      </c>
      <c r="T2327" s="69"/>
      <c r="U2327" s="69"/>
    </row>
    <row r="2328" spans="19:21" ht="15" customHeight="1" x14ac:dyDescent="0.2">
      <c r="S2328" s="69">
        <f>_xlfn.XLOOKUP(Results!A2328,Geometry!$B$6:$B$10000,Geometry!$C$6:$C$10000)</f>
        <v>0</v>
      </c>
      <c r="T2328" s="69"/>
      <c r="U2328" s="69"/>
    </row>
    <row r="2329" spans="19:21" ht="15" customHeight="1" x14ac:dyDescent="0.2">
      <c r="S2329" s="69">
        <f>_xlfn.XLOOKUP(Results!A2329,Geometry!$B$6:$B$10000,Geometry!$C$6:$C$10000)</f>
        <v>0</v>
      </c>
      <c r="T2329" s="69"/>
      <c r="U2329" s="69"/>
    </row>
    <row r="2330" spans="19:21" ht="15" customHeight="1" x14ac:dyDescent="0.2">
      <c r="S2330" s="69">
        <f>_xlfn.XLOOKUP(Results!A2330,Geometry!$B$6:$B$10000,Geometry!$C$6:$C$10000)</f>
        <v>0</v>
      </c>
      <c r="T2330" s="69"/>
      <c r="U2330" s="69"/>
    </row>
    <row r="2331" spans="19:21" ht="15" customHeight="1" x14ac:dyDescent="0.2">
      <c r="S2331" s="69">
        <f>_xlfn.XLOOKUP(Results!A2331,Geometry!$B$6:$B$10000,Geometry!$C$6:$C$10000)</f>
        <v>0</v>
      </c>
      <c r="T2331" s="69"/>
      <c r="U2331" s="69"/>
    </row>
    <row r="2332" spans="19:21" ht="15" customHeight="1" x14ac:dyDescent="0.2">
      <c r="S2332" s="69">
        <f>_xlfn.XLOOKUP(Results!A2332,Geometry!$B$6:$B$10000,Geometry!$C$6:$C$10000)</f>
        <v>0</v>
      </c>
      <c r="T2332" s="69"/>
      <c r="U2332" s="69"/>
    </row>
    <row r="2333" spans="19:21" ht="15" customHeight="1" x14ac:dyDescent="0.2">
      <c r="S2333" s="69">
        <f>_xlfn.XLOOKUP(Results!A2333,Geometry!$B$6:$B$10000,Geometry!$C$6:$C$10000)</f>
        <v>0</v>
      </c>
      <c r="T2333" s="69"/>
      <c r="U2333" s="69"/>
    </row>
    <row r="2334" spans="19:21" ht="15" customHeight="1" x14ac:dyDescent="0.2">
      <c r="S2334" s="69">
        <f>_xlfn.XLOOKUP(Results!A2334,Geometry!$B$6:$B$10000,Geometry!$C$6:$C$10000)</f>
        <v>0</v>
      </c>
      <c r="T2334" s="69"/>
      <c r="U2334" s="69"/>
    </row>
    <row r="2335" spans="19:21" ht="15" customHeight="1" x14ac:dyDescent="0.2">
      <c r="S2335" s="69">
        <f>_xlfn.XLOOKUP(Results!A2335,Geometry!$B$6:$B$10000,Geometry!$C$6:$C$10000)</f>
        <v>0</v>
      </c>
      <c r="T2335" s="69"/>
      <c r="U2335" s="69"/>
    </row>
    <row r="2336" spans="19:21" ht="15" customHeight="1" x14ac:dyDescent="0.2">
      <c r="S2336" s="69">
        <f>_xlfn.XLOOKUP(Results!A2336,Geometry!$B$6:$B$10000,Geometry!$C$6:$C$10000)</f>
        <v>0</v>
      </c>
      <c r="T2336" s="69"/>
      <c r="U2336" s="69"/>
    </row>
    <row r="2337" spans="19:21" ht="15" customHeight="1" x14ac:dyDescent="0.2">
      <c r="S2337" s="69">
        <f>_xlfn.XLOOKUP(Results!A2337,Geometry!$B$6:$B$10000,Geometry!$C$6:$C$10000)</f>
        <v>0</v>
      </c>
      <c r="T2337" s="69"/>
      <c r="U2337" s="69"/>
    </row>
    <row r="2338" spans="19:21" ht="15" customHeight="1" x14ac:dyDescent="0.2">
      <c r="S2338" s="69">
        <f>_xlfn.XLOOKUP(Results!A2338,Geometry!$B$6:$B$10000,Geometry!$C$6:$C$10000)</f>
        <v>0</v>
      </c>
      <c r="T2338" s="69"/>
      <c r="U2338" s="69"/>
    </row>
    <row r="2339" spans="19:21" ht="15" customHeight="1" x14ac:dyDescent="0.2">
      <c r="S2339" s="69">
        <f>_xlfn.XLOOKUP(Results!A2339,Geometry!$B$6:$B$10000,Geometry!$C$6:$C$10000)</f>
        <v>0</v>
      </c>
      <c r="T2339" s="69"/>
      <c r="U2339" s="69"/>
    </row>
    <row r="2340" spans="19:21" ht="15" customHeight="1" x14ac:dyDescent="0.2">
      <c r="S2340" s="69">
        <f>_xlfn.XLOOKUP(Results!A2340,Geometry!$B$6:$B$10000,Geometry!$C$6:$C$10000)</f>
        <v>0</v>
      </c>
      <c r="T2340" s="69"/>
      <c r="U2340" s="69"/>
    </row>
    <row r="2341" spans="19:21" ht="15" customHeight="1" x14ac:dyDescent="0.2">
      <c r="S2341" s="69">
        <f>_xlfn.XLOOKUP(Results!A2341,Geometry!$B$6:$B$10000,Geometry!$C$6:$C$10000)</f>
        <v>0</v>
      </c>
      <c r="T2341" s="69"/>
      <c r="U2341" s="69"/>
    </row>
    <row r="2342" spans="19:21" ht="15" customHeight="1" x14ac:dyDescent="0.2">
      <c r="S2342" s="69">
        <f>_xlfn.XLOOKUP(Results!A2342,Geometry!$B$6:$B$10000,Geometry!$C$6:$C$10000)</f>
        <v>0</v>
      </c>
      <c r="T2342" s="69"/>
      <c r="U2342" s="69"/>
    </row>
    <row r="2343" spans="19:21" ht="15" customHeight="1" x14ac:dyDescent="0.2">
      <c r="S2343" s="69">
        <f>_xlfn.XLOOKUP(Results!A2343,Geometry!$B$6:$B$10000,Geometry!$C$6:$C$10000)</f>
        <v>0</v>
      </c>
      <c r="T2343" s="69"/>
      <c r="U2343" s="69"/>
    </row>
    <row r="2344" spans="19:21" ht="15" customHeight="1" x14ac:dyDescent="0.2">
      <c r="S2344" s="69">
        <f>_xlfn.XLOOKUP(Results!A2344,Geometry!$B$6:$B$10000,Geometry!$C$6:$C$10000)</f>
        <v>0</v>
      </c>
      <c r="T2344" s="69"/>
      <c r="U2344" s="69"/>
    </row>
    <row r="2345" spans="19:21" ht="15" customHeight="1" x14ac:dyDescent="0.2">
      <c r="S2345" s="69">
        <f>_xlfn.XLOOKUP(Results!A2345,Geometry!$B$6:$B$10000,Geometry!$C$6:$C$10000)</f>
        <v>0</v>
      </c>
      <c r="T2345" s="69"/>
      <c r="U2345" s="69"/>
    </row>
    <row r="2346" spans="19:21" ht="15" customHeight="1" x14ac:dyDescent="0.2">
      <c r="S2346" s="69">
        <f>_xlfn.XLOOKUP(Results!A2346,Geometry!$B$6:$B$10000,Geometry!$C$6:$C$10000)</f>
        <v>0</v>
      </c>
      <c r="T2346" s="69"/>
      <c r="U2346" s="69"/>
    </row>
    <row r="2347" spans="19:21" ht="15" customHeight="1" x14ac:dyDescent="0.2">
      <c r="S2347" s="69">
        <f>_xlfn.XLOOKUP(Results!A2347,Geometry!$B$6:$B$10000,Geometry!$C$6:$C$10000)</f>
        <v>0</v>
      </c>
      <c r="T2347" s="69"/>
      <c r="U2347" s="69"/>
    </row>
    <row r="2348" spans="19:21" ht="15" customHeight="1" x14ac:dyDescent="0.2">
      <c r="S2348" s="69">
        <f>_xlfn.XLOOKUP(Results!A2348,Geometry!$B$6:$B$10000,Geometry!$C$6:$C$10000)</f>
        <v>0</v>
      </c>
      <c r="T2348" s="69"/>
      <c r="U2348" s="69"/>
    </row>
    <row r="2349" spans="19:21" ht="15" customHeight="1" x14ac:dyDescent="0.2">
      <c r="S2349" s="69">
        <f>_xlfn.XLOOKUP(Results!A2349,Geometry!$B$6:$B$10000,Geometry!$C$6:$C$10000)</f>
        <v>0</v>
      </c>
      <c r="T2349" s="69"/>
      <c r="U2349" s="69"/>
    </row>
    <row r="2350" spans="19:21" ht="15" customHeight="1" x14ac:dyDescent="0.2">
      <c r="S2350" s="69">
        <f>_xlfn.XLOOKUP(Results!A2350,Geometry!$B$6:$B$10000,Geometry!$C$6:$C$10000)</f>
        <v>0</v>
      </c>
      <c r="T2350" s="69"/>
      <c r="U2350" s="69"/>
    </row>
    <row r="2351" spans="19:21" ht="15" customHeight="1" x14ac:dyDescent="0.2">
      <c r="S2351" s="69">
        <f>_xlfn.XLOOKUP(Results!A2351,Geometry!$B$6:$B$10000,Geometry!$C$6:$C$10000)</f>
        <v>0</v>
      </c>
      <c r="T2351" s="69"/>
      <c r="U2351" s="69"/>
    </row>
    <row r="2352" spans="19:21" ht="15" customHeight="1" x14ac:dyDescent="0.2">
      <c r="S2352" s="69">
        <f>_xlfn.XLOOKUP(Results!A2352,Geometry!$B$6:$B$10000,Geometry!$C$6:$C$10000)</f>
        <v>0</v>
      </c>
      <c r="T2352" s="69"/>
      <c r="U2352" s="69"/>
    </row>
    <row r="2353" spans="19:21" ht="15" customHeight="1" x14ac:dyDescent="0.2">
      <c r="S2353" s="69">
        <f>_xlfn.XLOOKUP(Results!A2353,Geometry!$B$6:$B$10000,Geometry!$C$6:$C$10000)</f>
        <v>0</v>
      </c>
      <c r="T2353" s="69"/>
      <c r="U2353" s="69"/>
    </row>
    <row r="2354" spans="19:21" ht="15" customHeight="1" x14ac:dyDescent="0.2">
      <c r="S2354" s="69">
        <f>_xlfn.XLOOKUP(Results!A2354,Geometry!$B$6:$B$10000,Geometry!$C$6:$C$10000)</f>
        <v>0</v>
      </c>
      <c r="T2354" s="69"/>
      <c r="U2354" s="69"/>
    </row>
    <row r="2355" spans="19:21" ht="15" customHeight="1" x14ac:dyDescent="0.2">
      <c r="S2355" s="69">
        <f>_xlfn.XLOOKUP(Results!A2355,Geometry!$B$6:$B$10000,Geometry!$C$6:$C$10000)</f>
        <v>0</v>
      </c>
      <c r="T2355" s="69"/>
      <c r="U2355" s="69"/>
    </row>
    <row r="2356" spans="19:21" ht="15" customHeight="1" x14ac:dyDescent="0.2">
      <c r="S2356" s="69">
        <f>_xlfn.XLOOKUP(Results!A2356,Geometry!$B$6:$B$10000,Geometry!$C$6:$C$10000)</f>
        <v>0</v>
      </c>
      <c r="T2356" s="69"/>
      <c r="U2356" s="69"/>
    </row>
    <row r="2357" spans="19:21" ht="15" customHeight="1" x14ac:dyDescent="0.2">
      <c r="S2357" s="69">
        <f>_xlfn.XLOOKUP(Results!A2357,Geometry!$B$6:$B$10000,Geometry!$C$6:$C$10000)</f>
        <v>0</v>
      </c>
      <c r="T2357" s="69"/>
      <c r="U2357" s="69"/>
    </row>
    <row r="2358" spans="19:21" ht="15" customHeight="1" x14ac:dyDescent="0.2">
      <c r="S2358" s="69">
        <f>_xlfn.XLOOKUP(Results!A2358,Geometry!$B$6:$B$10000,Geometry!$C$6:$C$10000)</f>
        <v>0</v>
      </c>
      <c r="T2358" s="69"/>
      <c r="U2358" s="69"/>
    </row>
    <row r="2359" spans="19:21" ht="15" customHeight="1" x14ac:dyDescent="0.2">
      <c r="S2359" s="69">
        <f>_xlfn.XLOOKUP(Results!A2359,Geometry!$B$6:$B$10000,Geometry!$C$6:$C$10000)</f>
        <v>0</v>
      </c>
      <c r="T2359" s="69"/>
      <c r="U2359" s="69"/>
    </row>
    <row r="2360" spans="19:21" ht="15" customHeight="1" x14ac:dyDescent="0.2">
      <c r="S2360" s="69">
        <f>_xlfn.XLOOKUP(Results!A2360,Geometry!$B$6:$B$10000,Geometry!$C$6:$C$10000)</f>
        <v>0</v>
      </c>
      <c r="T2360" s="69"/>
      <c r="U2360" s="69"/>
    </row>
    <row r="2361" spans="19:21" ht="15" customHeight="1" x14ac:dyDescent="0.2">
      <c r="S2361" s="69">
        <f>_xlfn.XLOOKUP(Results!A2361,Geometry!$B$6:$B$10000,Geometry!$C$6:$C$10000)</f>
        <v>0</v>
      </c>
      <c r="T2361" s="69"/>
      <c r="U2361" s="69"/>
    </row>
    <row r="2362" spans="19:21" ht="15" customHeight="1" x14ac:dyDescent="0.2">
      <c r="S2362" s="69">
        <f>_xlfn.XLOOKUP(Results!A2362,Geometry!$B$6:$B$10000,Geometry!$C$6:$C$10000)</f>
        <v>0</v>
      </c>
      <c r="T2362" s="69"/>
      <c r="U2362" s="69"/>
    </row>
    <row r="2363" spans="19:21" ht="15" customHeight="1" x14ac:dyDescent="0.2">
      <c r="S2363" s="69">
        <f>_xlfn.XLOOKUP(Results!A2363,Geometry!$B$6:$B$10000,Geometry!$C$6:$C$10000)</f>
        <v>0</v>
      </c>
      <c r="T2363" s="69"/>
      <c r="U2363" s="69"/>
    </row>
    <row r="2364" spans="19:21" ht="15" customHeight="1" x14ac:dyDescent="0.2">
      <c r="S2364" s="69">
        <f>_xlfn.XLOOKUP(Results!A2364,Geometry!$B$6:$B$10000,Geometry!$C$6:$C$10000)</f>
        <v>0</v>
      </c>
      <c r="T2364" s="69"/>
      <c r="U2364" s="69"/>
    </row>
    <row r="2365" spans="19:21" ht="15" customHeight="1" x14ac:dyDescent="0.2">
      <c r="S2365" s="69">
        <f>_xlfn.XLOOKUP(Results!A2365,Geometry!$B$6:$B$10000,Geometry!$C$6:$C$10000)</f>
        <v>0</v>
      </c>
      <c r="T2365" s="69"/>
      <c r="U2365" s="69"/>
    </row>
    <row r="2366" spans="19:21" ht="15" customHeight="1" x14ac:dyDescent="0.2">
      <c r="S2366" s="69">
        <f>_xlfn.XLOOKUP(Results!A2366,Geometry!$B$6:$B$10000,Geometry!$C$6:$C$10000)</f>
        <v>0</v>
      </c>
      <c r="T2366" s="69"/>
      <c r="U2366" s="69"/>
    </row>
    <row r="2367" spans="19:21" ht="15" customHeight="1" x14ac:dyDescent="0.2">
      <c r="S2367" s="69">
        <f>_xlfn.XLOOKUP(Results!A2367,Geometry!$B$6:$B$10000,Geometry!$C$6:$C$10000)</f>
        <v>0</v>
      </c>
      <c r="T2367" s="69"/>
      <c r="U2367" s="69"/>
    </row>
    <row r="2368" spans="19:21" ht="15" customHeight="1" x14ac:dyDescent="0.2">
      <c r="S2368" s="69">
        <f>_xlfn.XLOOKUP(Results!A2368,Geometry!$B$6:$B$10000,Geometry!$C$6:$C$10000)</f>
        <v>0</v>
      </c>
      <c r="T2368" s="69"/>
      <c r="U2368" s="69"/>
    </row>
    <row r="2369" spans="19:21" ht="15" customHeight="1" x14ac:dyDescent="0.2">
      <c r="S2369" s="69">
        <f>_xlfn.XLOOKUP(Results!A2369,Geometry!$B$6:$B$10000,Geometry!$C$6:$C$10000)</f>
        <v>0</v>
      </c>
      <c r="T2369" s="69"/>
      <c r="U2369" s="69"/>
    </row>
    <row r="2370" spans="19:21" ht="15" customHeight="1" x14ac:dyDescent="0.2">
      <c r="S2370" s="69">
        <f>_xlfn.XLOOKUP(Results!A2370,Geometry!$B$6:$B$10000,Geometry!$C$6:$C$10000)</f>
        <v>0</v>
      </c>
      <c r="T2370" s="69"/>
      <c r="U2370" s="69"/>
    </row>
    <row r="2371" spans="19:21" ht="15" customHeight="1" x14ac:dyDescent="0.2">
      <c r="S2371" s="69">
        <f>_xlfn.XLOOKUP(Results!A2371,Geometry!$B$6:$B$10000,Geometry!$C$6:$C$10000)</f>
        <v>0</v>
      </c>
      <c r="T2371" s="69"/>
      <c r="U2371" s="69"/>
    </row>
    <row r="2372" spans="19:21" ht="15" customHeight="1" x14ac:dyDescent="0.2">
      <c r="S2372" s="69">
        <f>_xlfn.XLOOKUP(Results!A2372,Geometry!$B$6:$B$10000,Geometry!$C$6:$C$10000)</f>
        <v>0</v>
      </c>
      <c r="T2372" s="69"/>
      <c r="U2372" s="69"/>
    </row>
    <row r="2373" spans="19:21" ht="15" customHeight="1" x14ac:dyDescent="0.2">
      <c r="S2373" s="69">
        <f>_xlfn.XLOOKUP(Results!A2373,Geometry!$B$6:$B$10000,Geometry!$C$6:$C$10000)</f>
        <v>0</v>
      </c>
      <c r="T2373" s="69"/>
      <c r="U2373" s="69"/>
    </row>
    <row r="2374" spans="19:21" ht="15" customHeight="1" x14ac:dyDescent="0.2">
      <c r="S2374" s="69">
        <f>_xlfn.XLOOKUP(Results!A2374,Geometry!$B$6:$B$10000,Geometry!$C$6:$C$10000)</f>
        <v>0</v>
      </c>
      <c r="T2374" s="69"/>
      <c r="U2374" s="69"/>
    </row>
    <row r="2375" spans="19:21" ht="15" customHeight="1" x14ac:dyDescent="0.2">
      <c r="S2375" s="69">
        <f>_xlfn.XLOOKUP(Results!A2375,Geometry!$B$6:$B$10000,Geometry!$C$6:$C$10000)</f>
        <v>0</v>
      </c>
      <c r="T2375" s="69"/>
      <c r="U2375" s="69"/>
    </row>
    <row r="2376" spans="19:21" ht="15" customHeight="1" x14ac:dyDescent="0.2">
      <c r="S2376" s="69">
        <f>_xlfn.XLOOKUP(Results!A2376,Geometry!$B$6:$B$10000,Geometry!$C$6:$C$10000)</f>
        <v>0</v>
      </c>
      <c r="T2376" s="69"/>
      <c r="U2376" s="69"/>
    </row>
    <row r="2377" spans="19:21" ht="15" customHeight="1" x14ac:dyDescent="0.2">
      <c r="S2377" s="69">
        <f>_xlfn.XLOOKUP(Results!A2377,Geometry!$B$6:$B$10000,Geometry!$C$6:$C$10000)</f>
        <v>0</v>
      </c>
      <c r="T2377" s="69"/>
      <c r="U2377" s="69"/>
    </row>
    <row r="2378" spans="19:21" ht="15" customHeight="1" x14ac:dyDescent="0.2">
      <c r="S2378" s="69">
        <f>_xlfn.XLOOKUP(Results!A2378,Geometry!$B$6:$B$10000,Geometry!$C$6:$C$10000)</f>
        <v>0</v>
      </c>
      <c r="T2378" s="69"/>
      <c r="U2378" s="69"/>
    </row>
    <row r="2379" spans="19:21" ht="15" customHeight="1" x14ac:dyDescent="0.2">
      <c r="S2379" s="69">
        <f>_xlfn.XLOOKUP(Results!A2379,Geometry!$B$6:$B$10000,Geometry!$C$6:$C$10000)</f>
        <v>0</v>
      </c>
      <c r="T2379" s="69"/>
      <c r="U2379" s="69"/>
    </row>
    <row r="2380" spans="19:21" ht="15" customHeight="1" x14ac:dyDescent="0.2">
      <c r="S2380" s="69">
        <f>_xlfn.XLOOKUP(Results!A2380,Geometry!$B$6:$B$10000,Geometry!$C$6:$C$10000)</f>
        <v>0</v>
      </c>
      <c r="T2380" s="69"/>
      <c r="U2380" s="69"/>
    </row>
    <row r="2381" spans="19:21" ht="15" customHeight="1" x14ac:dyDescent="0.2">
      <c r="S2381" s="69">
        <f>_xlfn.XLOOKUP(Results!A2381,Geometry!$B$6:$B$10000,Geometry!$C$6:$C$10000)</f>
        <v>0</v>
      </c>
      <c r="T2381" s="69"/>
      <c r="U2381" s="69"/>
    </row>
    <row r="2382" spans="19:21" ht="15" customHeight="1" x14ac:dyDescent="0.2">
      <c r="S2382" s="69">
        <f>_xlfn.XLOOKUP(Results!A2382,Geometry!$B$6:$B$10000,Geometry!$C$6:$C$10000)</f>
        <v>0</v>
      </c>
      <c r="T2382" s="69"/>
      <c r="U2382" s="69"/>
    </row>
    <row r="2383" spans="19:21" ht="15" customHeight="1" x14ac:dyDescent="0.2">
      <c r="S2383" s="69">
        <f>_xlfn.XLOOKUP(Results!A2383,Geometry!$B$6:$B$10000,Geometry!$C$6:$C$10000)</f>
        <v>0</v>
      </c>
      <c r="T2383" s="69"/>
      <c r="U2383" s="69"/>
    </row>
    <row r="2384" spans="19:21" ht="15" customHeight="1" x14ac:dyDescent="0.2">
      <c r="S2384" s="69">
        <f>_xlfn.XLOOKUP(Results!A2384,Geometry!$B$6:$B$10000,Geometry!$C$6:$C$10000)</f>
        <v>0</v>
      </c>
      <c r="T2384" s="69"/>
      <c r="U2384" s="69"/>
    </row>
    <row r="2385" spans="19:21" ht="15" customHeight="1" x14ac:dyDescent="0.2">
      <c r="S2385" s="69">
        <f>_xlfn.XLOOKUP(Results!A2385,Geometry!$B$6:$B$10000,Geometry!$C$6:$C$10000)</f>
        <v>0</v>
      </c>
      <c r="T2385" s="69"/>
      <c r="U2385" s="69"/>
    </row>
    <row r="2386" spans="19:21" ht="15" customHeight="1" x14ac:dyDescent="0.2">
      <c r="S2386" s="69">
        <f>_xlfn.XLOOKUP(Results!A2386,Geometry!$B$6:$B$10000,Geometry!$C$6:$C$10000)</f>
        <v>0</v>
      </c>
      <c r="T2386" s="69"/>
      <c r="U2386" s="69"/>
    </row>
    <row r="2387" spans="19:21" ht="15" customHeight="1" x14ac:dyDescent="0.2">
      <c r="S2387" s="69">
        <f>_xlfn.XLOOKUP(Results!A2387,Geometry!$B$6:$B$10000,Geometry!$C$6:$C$10000)</f>
        <v>0</v>
      </c>
      <c r="T2387" s="69"/>
      <c r="U2387" s="69"/>
    </row>
    <row r="2388" spans="19:21" ht="15" customHeight="1" x14ac:dyDescent="0.2">
      <c r="S2388" s="69">
        <f>_xlfn.XLOOKUP(Results!A2388,Geometry!$B$6:$B$10000,Geometry!$C$6:$C$10000)</f>
        <v>0</v>
      </c>
      <c r="T2388" s="69"/>
      <c r="U2388" s="69"/>
    </row>
    <row r="2389" spans="19:21" ht="15" customHeight="1" x14ac:dyDescent="0.2">
      <c r="S2389" s="69">
        <f>_xlfn.XLOOKUP(Results!A2389,Geometry!$B$6:$B$10000,Geometry!$C$6:$C$10000)</f>
        <v>0</v>
      </c>
      <c r="T2389" s="69"/>
      <c r="U2389" s="69"/>
    </row>
    <row r="2390" spans="19:21" ht="15" customHeight="1" x14ac:dyDescent="0.2">
      <c r="S2390" s="69">
        <f>_xlfn.XLOOKUP(Results!A2390,Geometry!$B$6:$B$10000,Geometry!$C$6:$C$10000)</f>
        <v>0</v>
      </c>
      <c r="T2390" s="69"/>
      <c r="U2390" s="69"/>
    </row>
    <row r="2391" spans="19:21" ht="15" customHeight="1" x14ac:dyDescent="0.2">
      <c r="S2391" s="69">
        <f>_xlfn.XLOOKUP(Results!A2391,Geometry!$B$6:$B$10000,Geometry!$C$6:$C$10000)</f>
        <v>0</v>
      </c>
      <c r="T2391" s="69"/>
      <c r="U2391" s="69"/>
    </row>
    <row r="2392" spans="19:21" ht="15" customHeight="1" x14ac:dyDescent="0.2">
      <c r="S2392" s="69">
        <f>_xlfn.XLOOKUP(Results!A2392,Geometry!$B$6:$B$10000,Geometry!$C$6:$C$10000)</f>
        <v>0</v>
      </c>
      <c r="T2392" s="69"/>
      <c r="U2392" s="69"/>
    </row>
    <row r="2393" spans="19:21" ht="15" customHeight="1" x14ac:dyDescent="0.2">
      <c r="S2393" s="69">
        <f>_xlfn.XLOOKUP(Results!A2393,Geometry!$B$6:$B$10000,Geometry!$C$6:$C$10000)</f>
        <v>0</v>
      </c>
      <c r="T2393" s="69"/>
      <c r="U2393" s="69"/>
    </row>
    <row r="2394" spans="19:21" ht="15" customHeight="1" x14ac:dyDescent="0.2">
      <c r="S2394" s="69">
        <f>_xlfn.XLOOKUP(Results!A2394,Geometry!$B$6:$B$10000,Geometry!$C$6:$C$10000)</f>
        <v>0</v>
      </c>
      <c r="T2394" s="69"/>
      <c r="U2394" s="69"/>
    </row>
    <row r="2395" spans="19:21" ht="15" customHeight="1" x14ac:dyDescent="0.2">
      <c r="S2395" s="69">
        <f>_xlfn.XLOOKUP(Results!A2395,Geometry!$B$6:$B$10000,Geometry!$C$6:$C$10000)</f>
        <v>0</v>
      </c>
      <c r="T2395" s="69"/>
      <c r="U2395" s="69"/>
    </row>
    <row r="2396" spans="19:21" ht="15" customHeight="1" x14ac:dyDescent="0.2">
      <c r="S2396" s="69">
        <f>_xlfn.XLOOKUP(Results!A2396,Geometry!$B$6:$B$10000,Geometry!$C$6:$C$10000)</f>
        <v>0</v>
      </c>
      <c r="T2396" s="69"/>
      <c r="U2396" s="69"/>
    </row>
    <row r="2397" spans="19:21" ht="15" customHeight="1" x14ac:dyDescent="0.2">
      <c r="S2397" s="69">
        <f>_xlfn.XLOOKUP(Results!A2397,Geometry!$B$6:$B$10000,Geometry!$C$6:$C$10000)</f>
        <v>0</v>
      </c>
      <c r="T2397" s="69"/>
      <c r="U2397" s="69"/>
    </row>
    <row r="2398" spans="19:21" ht="15" customHeight="1" x14ac:dyDescent="0.2">
      <c r="S2398" s="69">
        <f>_xlfn.XLOOKUP(Results!A2398,Geometry!$B$6:$B$10000,Geometry!$C$6:$C$10000)</f>
        <v>0</v>
      </c>
      <c r="T2398" s="69"/>
      <c r="U2398" s="69"/>
    </row>
    <row r="2399" spans="19:21" ht="15" customHeight="1" x14ac:dyDescent="0.2">
      <c r="S2399" s="69">
        <f>_xlfn.XLOOKUP(Results!A2399,Geometry!$B$6:$B$10000,Geometry!$C$6:$C$10000)</f>
        <v>0</v>
      </c>
      <c r="T2399" s="69"/>
      <c r="U2399" s="69"/>
    </row>
    <row r="2400" spans="19:21" ht="15" customHeight="1" x14ac:dyDescent="0.2">
      <c r="S2400" s="69">
        <f>_xlfn.XLOOKUP(Results!A2400,Geometry!$B$6:$B$10000,Geometry!$C$6:$C$10000)</f>
        <v>0</v>
      </c>
      <c r="T2400" s="69"/>
      <c r="U2400" s="69"/>
    </row>
    <row r="2401" spans="19:21" ht="15" customHeight="1" x14ac:dyDescent="0.2">
      <c r="S2401" s="69">
        <f>_xlfn.XLOOKUP(Results!A2401,Geometry!$B$6:$B$10000,Geometry!$C$6:$C$10000)</f>
        <v>0</v>
      </c>
      <c r="T2401" s="69"/>
      <c r="U2401" s="69"/>
    </row>
    <row r="2402" spans="19:21" ht="15" customHeight="1" x14ac:dyDescent="0.2">
      <c r="S2402" s="69">
        <f>_xlfn.XLOOKUP(Results!A2402,Geometry!$B$6:$B$10000,Geometry!$C$6:$C$10000)</f>
        <v>0</v>
      </c>
      <c r="T2402" s="69"/>
      <c r="U2402" s="69"/>
    </row>
    <row r="2403" spans="19:21" ht="15" customHeight="1" x14ac:dyDescent="0.2">
      <c r="S2403" s="69">
        <f>_xlfn.XLOOKUP(Results!A2403,Geometry!$B$6:$B$10000,Geometry!$C$6:$C$10000)</f>
        <v>0</v>
      </c>
      <c r="T2403" s="69"/>
      <c r="U2403" s="69"/>
    </row>
    <row r="2404" spans="19:21" ht="15" customHeight="1" x14ac:dyDescent="0.2">
      <c r="S2404" s="69">
        <f>_xlfn.XLOOKUP(Results!A2404,Geometry!$B$6:$B$10000,Geometry!$C$6:$C$10000)</f>
        <v>0</v>
      </c>
      <c r="T2404" s="69"/>
      <c r="U2404" s="69"/>
    </row>
    <row r="2405" spans="19:21" ht="15" customHeight="1" x14ac:dyDescent="0.2">
      <c r="S2405" s="69">
        <f>_xlfn.XLOOKUP(Results!A2405,Geometry!$B$6:$B$10000,Geometry!$C$6:$C$10000)</f>
        <v>0</v>
      </c>
      <c r="T2405" s="69"/>
      <c r="U2405" s="69"/>
    </row>
    <row r="2406" spans="19:21" ht="15" customHeight="1" x14ac:dyDescent="0.2">
      <c r="S2406" s="69">
        <f>_xlfn.XLOOKUP(Results!A2406,Geometry!$B$6:$B$10000,Geometry!$C$6:$C$10000)</f>
        <v>0</v>
      </c>
      <c r="T2406" s="69"/>
      <c r="U2406" s="69"/>
    </row>
    <row r="2407" spans="19:21" ht="15" customHeight="1" x14ac:dyDescent="0.2">
      <c r="S2407" s="69">
        <f>_xlfn.XLOOKUP(Results!A2407,Geometry!$B$6:$B$10000,Geometry!$C$6:$C$10000)</f>
        <v>0</v>
      </c>
      <c r="T2407" s="69"/>
      <c r="U2407" s="69"/>
    </row>
    <row r="2408" spans="19:21" ht="15" customHeight="1" x14ac:dyDescent="0.2">
      <c r="S2408" s="69">
        <f>_xlfn.XLOOKUP(Results!A2408,Geometry!$B$6:$B$10000,Geometry!$C$6:$C$10000)</f>
        <v>0</v>
      </c>
      <c r="T2408" s="69"/>
      <c r="U2408" s="69"/>
    </row>
    <row r="2409" spans="19:21" ht="15" customHeight="1" x14ac:dyDescent="0.2">
      <c r="S2409" s="69">
        <f>_xlfn.XLOOKUP(Results!A2409,Geometry!$B$6:$B$10000,Geometry!$C$6:$C$10000)</f>
        <v>0</v>
      </c>
      <c r="T2409" s="69"/>
      <c r="U2409" s="69"/>
    </row>
    <row r="2410" spans="19:21" ht="15" customHeight="1" x14ac:dyDescent="0.2">
      <c r="S2410" s="69">
        <f>_xlfn.XLOOKUP(Results!A2410,Geometry!$B$6:$B$10000,Geometry!$C$6:$C$10000)</f>
        <v>0</v>
      </c>
      <c r="T2410" s="69"/>
      <c r="U2410" s="69"/>
    </row>
    <row r="2411" spans="19:21" ht="15" customHeight="1" x14ac:dyDescent="0.2">
      <c r="S2411" s="69">
        <f>_xlfn.XLOOKUP(Results!A2411,Geometry!$B$6:$B$10000,Geometry!$C$6:$C$10000)</f>
        <v>0</v>
      </c>
      <c r="T2411" s="69"/>
      <c r="U2411" s="69"/>
    </row>
    <row r="2412" spans="19:21" ht="15" customHeight="1" x14ac:dyDescent="0.2">
      <c r="S2412" s="69">
        <f>_xlfn.XLOOKUP(Results!A2412,Geometry!$B$6:$B$10000,Geometry!$C$6:$C$10000)</f>
        <v>0</v>
      </c>
      <c r="T2412" s="69"/>
      <c r="U2412" s="69"/>
    </row>
    <row r="2413" spans="19:21" ht="15" customHeight="1" x14ac:dyDescent="0.2">
      <c r="S2413" s="69">
        <f>_xlfn.XLOOKUP(Results!A2413,Geometry!$B$6:$B$10000,Geometry!$C$6:$C$10000)</f>
        <v>0</v>
      </c>
      <c r="T2413" s="69"/>
      <c r="U2413" s="69"/>
    </row>
    <row r="2414" spans="19:21" ht="15" customHeight="1" x14ac:dyDescent="0.2">
      <c r="S2414" s="69">
        <f>_xlfn.XLOOKUP(Results!A2414,Geometry!$B$6:$B$10000,Geometry!$C$6:$C$10000)</f>
        <v>0</v>
      </c>
      <c r="T2414" s="69"/>
      <c r="U2414" s="69"/>
    </row>
    <row r="2415" spans="19:21" ht="15" customHeight="1" x14ac:dyDescent="0.2">
      <c r="S2415" s="69">
        <f>_xlfn.XLOOKUP(Results!A2415,Geometry!$B$6:$B$10000,Geometry!$C$6:$C$10000)</f>
        <v>0</v>
      </c>
      <c r="T2415" s="69"/>
      <c r="U2415" s="69"/>
    </row>
    <row r="2416" spans="19:21" ht="15" customHeight="1" x14ac:dyDescent="0.2">
      <c r="S2416" s="69">
        <f>_xlfn.XLOOKUP(Results!A2416,Geometry!$B$6:$B$10000,Geometry!$C$6:$C$10000)</f>
        <v>0</v>
      </c>
      <c r="T2416" s="69"/>
      <c r="U2416" s="69"/>
    </row>
    <row r="2417" spans="19:21" ht="15" customHeight="1" x14ac:dyDescent="0.2">
      <c r="S2417" s="69">
        <f>_xlfn.XLOOKUP(Results!A2417,Geometry!$B$6:$B$10000,Geometry!$C$6:$C$10000)</f>
        <v>0</v>
      </c>
      <c r="T2417" s="69"/>
      <c r="U2417" s="69"/>
    </row>
    <row r="2418" spans="19:21" ht="15" customHeight="1" x14ac:dyDescent="0.2">
      <c r="S2418" s="69">
        <f>_xlfn.XLOOKUP(Results!A2418,Geometry!$B$6:$B$10000,Geometry!$C$6:$C$10000)</f>
        <v>0</v>
      </c>
      <c r="T2418" s="69"/>
      <c r="U2418" s="69"/>
    </row>
    <row r="2419" spans="19:21" ht="15" customHeight="1" x14ac:dyDescent="0.2">
      <c r="S2419" s="69">
        <f>_xlfn.XLOOKUP(Results!A2419,Geometry!$B$6:$B$10000,Geometry!$C$6:$C$10000)</f>
        <v>0</v>
      </c>
      <c r="T2419" s="69"/>
      <c r="U2419" s="69"/>
    </row>
    <row r="2420" spans="19:21" ht="15" customHeight="1" x14ac:dyDescent="0.2">
      <c r="S2420" s="69">
        <f>_xlfn.XLOOKUP(Results!A2420,Geometry!$B$6:$B$10000,Geometry!$C$6:$C$10000)</f>
        <v>0</v>
      </c>
      <c r="T2420" s="69"/>
      <c r="U2420" s="69"/>
    </row>
    <row r="2421" spans="19:21" ht="15" customHeight="1" x14ac:dyDescent="0.2">
      <c r="S2421" s="69">
        <f>_xlfn.XLOOKUP(Results!A2421,Geometry!$B$6:$B$10000,Geometry!$C$6:$C$10000)</f>
        <v>0</v>
      </c>
      <c r="T2421" s="69"/>
      <c r="U2421" s="69"/>
    </row>
    <row r="2422" spans="19:21" ht="15" customHeight="1" x14ac:dyDescent="0.2">
      <c r="S2422" s="69">
        <f>_xlfn.XLOOKUP(Results!A2422,Geometry!$B$6:$B$10000,Geometry!$C$6:$C$10000)</f>
        <v>0</v>
      </c>
      <c r="T2422" s="69"/>
      <c r="U2422" s="69"/>
    </row>
    <row r="2423" spans="19:21" ht="15" customHeight="1" x14ac:dyDescent="0.2">
      <c r="S2423" s="69">
        <f>_xlfn.XLOOKUP(Results!A2423,Geometry!$B$6:$B$10000,Geometry!$C$6:$C$10000)</f>
        <v>0</v>
      </c>
      <c r="T2423" s="69"/>
      <c r="U2423" s="69"/>
    </row>
    <row r="2424" spans="19:21" ht="15" customHeight="1" x14ac:dyDescent="0.2">
      <c r="S2424" s="69">
        <f>_xlfn.XLOOKUP(Results!A2424,Geometry!$B$6:$B$10000,Geometry!$C$6:$C$10000)</f>
        <v>0</v>
      </c>
      <c r="T2424" s="69"/>
      <c r="U2424" s="69"/>
    </row>
    <row r="2425" spans="19:21" ht="15" customHeight="1" x14ac:dyDescent="0.2">
      <c r="S2425" s="69">
        <f>_xlfn.XLOOKUP(Results!A2425,Geometry!$B$6:$B$10000,Geometry!$C$6:$C$10000)</f>
        <v>0</v>
      </c>
      <c r="T2425" s="69"/>
      <c r="U2425" s="69"/>
    </row>
    <row r="2426" spans="19:21" ht="15" customHeight="1" x14ac:dyDescent="0.2">
      <c r="S2426" s="69">
        <f>_xlfn.XLOOKUP(Results!A2426,Geometry!$B$6:$B$10000,Geometry!$C$6:$C$10000)</f>
        <v>0</v>
      </c>
      <c r="T2426" s="69"/>
      <c r="U2426" s="69"/>
    </row>
    <row r="2427" spans="19:21" ht="15" customHeight="1" x14ac:dyDescent="0.2">
      <c r="S2427" s="69">
        <f>_xlfn.XLOOKUP(Results!A2427,Geometry!$B$6:$B$10000,Geometry!$C$6:$C$10000)</f>
        <v>0</v>
      </c>
      <c r="T2427" s="69"/>
      <c r="U2427" s="69"/>
    </row>
    <row r="2428" spans="19:21" ht="15" customHeight="1" x14ac:dyDescent="0.2">
      <c r="S2428" s="69">
        <f>_xlfn.XLOOKUP(Results!A2428,Geometry!$B$6:$B$10000,Geometry!$C$6:$C$10000)</f>
        <v>0</v>
      </c>
      <c r="T2428" s="69"/>
      <c r="U2428" s="69"/>
    </row>
    <row r="2429" spans="19:21" ht="15" customHeight="1" x14ac:dyDescent="0.2">
      <c r="S2429" s="69">
        <f>_xlfn.XLOOKUP(Results!A2429,Geometry!$B$6:$B$10000,Geometry!$C$6:$C$10000)</f>
        <v>0</v>
      </c>
      <c r="T2429" s="69"/>
      <c r="U2429" s="69"/>
    </row>
    <row r="2430" spans="19:21" ht="15" customHeight="1" x14ac:dyDescent="0.2">
      <c r="S2430" s="69">
        <f>_xlfn.XLOOKUP(Results!A2430,Geometry!$B$6:$B$10000,Geometry!$C$6:$C$10000)</f>
        <v>0</v>
      </c>
      <c r="T2430" s="69"/>
      <c r="U2430" s="69"/>
    </row>
    <row r="2431" spans="19:21" ht="15" customHeight="1" x14ac:dyDescent="0.2">
      <c r="S2431" s="69">
        <f>_xlfn.XLOOKUP(Results!A2431,Geometry!$B$6:$B$10000,Geometry!$C$6:$C$10000)</f>
        <v>0</v>
      </c>
      <c r="T2431" s="69"/>
      <c r="U2431" s="69"/>
    </row>
    <row r="2432" spans="19:21" ht="15" customHeight="1" x14ac:dyDescent="0.2">
      <c r="S2432" s="69">
        <f>_xlfn.XLOOKUP(Results!A2432,Geometry!$B$6:$B$10000,Geometry!$C$6:$C$10000)</f>
        <v>0</v>
      </c>
      <c r="T2432" s="69"/>
      <c r="U2432" s="69"/>
    </row>
    <row r="2433" spans="19:21" ht="15" customHeight="1" x14ac:dyDescent="0.2">
      <c r="S2433" s="69">
        <f>_xlfn.XLOOKUP(Results!A2433,Geometry!$B$6:$B$10000,Geometry!$C$6:$C$10000)</f>
        <v>0</v>
      </c>
      <c r="T2433" s="69"/>
      <c r="U2433" s="69"/>
    </row>
    <row r="2434" spans="19:21" ht="15" customHeight="1" x14ac:dyDescent="0.2">
      <c r="S2434" s="69">
        <f>_xlfn.XLOOKUP(Results!A2434,Geometry!$B$6:$B$10000,Geometry!$C$6:$C$10000)</f>
        <v>0</v>
      </c>
      <c r="T2434" s="69"/>
      <c r="U2434" s="69"/>
    </row>
    <row r="2435" spans="19:21" ht="15" customHeight="1" x14ac:dyDescent="0.2">
      <c r="S2435" s="69">
        <f>_xlfn.XLOOKUP(Results!A2435,Geometry!$B$6:$B$10000,Geometry!$C$6:$C$10000)</f>
        <v>0</v>
      </c>
      <c r="T2435" s="69"/>
      <c r="U2435" s="69"/>
    </row>
    <row r="2436" spans="19:21" ht="15" customHeight="1" x14ac:dyDescent="0.2">
      <c r="S2436" s="69">
        <f>_xlfn.XLOOKUP(Results!A2436,Geometry!$B$6:$B$10000,Geometry!$C$6:$C$10000)</f>
        <v>0</v>
      </c>
      <c r="T2436" s="69"/>
      <c r="U2436" s="69"/>
    </row>
    <row r="2437" spans="19:21" ht="15" customHeight="1" x14ac:dyDescent="0.2">
      <c r="S2437" s="69">
        <f>_xlfn.XLOOKUP(Results!A2437,Geometry!$B$6:$B$10000,Geometry!$C$6:$C$10000)</f>
        <v>0</v>
      </c>
      <c r="T2437" s="69"/>
      <c r="U2437" s="69"/>
    </row>
    <row r="2438" spans="19:21" ht="15" customHeight="1" x14ac:dyDescent="0.2">
      <c r="S2438" s="69">
        <f>_xlfn.XLOOKUP(Results!A2438,Geometry!$B$6:$B$10000,Geometry!$C$6:$C$10000)</f>
        <v>0</v>
      </c>
      <c r="T2438" s="69"/>
      <c r="U2438" s="69"/>
    </row>
    <row r="2439" spans="19:21" ht="15" customHeight="1" x14ac:dyDescent="0.2">
      <c r="S2439" s="69">
        <f>_xlfn.XLOOKUP(Results!A2439,Geometry!$B$6:$B$10000,Geometry!$C$6:$C$10000)</f>
        <v>0</v>
      </c>
      <c r="T2439" s="69"/>
      <c r="U2439" s="69"/>
    </row>
    <row r="2440" spans="19:21" ht="15" customHeight="1" x14ac:dyDescent="0.2">
      <c r="S2440" s="69">
        <f>_xlfn.XLOOKUP(Results!A2440,Geometry!$B$6:$B$10000,Geometry!$C$6:$C$10000)</f>
        <v>0</v>
      </c>
      <c r="T2440" s="69"/>
      <c r="U2440" s="69"/>
    </row>
    <row r="2441" spans="19:21" ht="15" customHeight="1" x14ac:dyDescent="0.2">
      <c r="S2441" s="69">
        <f>_xlfn.XLOOKUP(Results!A2441,Geometry!$B$6:$B$10000,Geometry!$C$6:$C$10000)</f>
        <v>0</v>
      </c>
      <c r="T2441" s="69"/>
      <c r="U2441" s="69"/>
    </row>
    <row r="2442" spans="19:21" ht="15" customHeight="1" x14ac:dyDescent="0.2">
      <c r="S2442" s="69">
        <f>_xlfn.XLOOKUP(Results!A2442,Geometry!$B$6:$B$10000,Geometry!$C$6:$C$10000)</f>
        <v>0</v>
      </c>
      <c r="T2442" s="69"/>
      <c r="U2442" s="69"/>
    </row>
    <row r="2443" spans="19:21" ht="15" customHeight="1" x14ac:dyDescent="0.2">
      <c r="S2443" s="69">
        <f>_xlfn.XLOOKUP(Results!A2443,Geometry!$B$6:$B$10000,Geometry!$C$6:$C$10000)</f>
        <v>0</v>
      </c>
      <c r="T2443" s="69"/>
      <c r="U2443" s="69"/>
    </row>
    <row r="2444" spans="19:21" ht="15" customHeight="1" x14ac:dyDescent="0.2">
      <c r="S2444" s="69">
        <f>_xlfn.XLOOKUP(Results!A2444,Geometry!$B$6:$B$10000,Geometry!$C$6:$C$10000)</f>
        <v>0</v>
      </c>
      <c r="T2444" s="69"/>
      <c r="U2444" s="69"/>
    </row>
    <row r="2445" spans="19:21" ht="15" customHeight="1" x14ac:dyDescent="0.2">
      <c r="S2445" s="69">
        <f>_xlfn.XLOOKUP(Results!A2445,Geometry!$B$6:$B$10000,Geometry!$C$6:$C$10000)</f>
        <v>0</v>
      </c>
      <c r="T2445" s="69"/>
      <c r="U2445" s="69"/>
    </row>
    <row r="2446" spans="19:21" ht="15" customHeight="1" x14ac:dyDescent="0.2">
      <c r="S2446" s="69">
        <f>_xlfn.XLOOKUP(Results!A2446,Geometry!$B$6:$B$10000,Geometry!$C$6:$C$10000)</f>
        <v>0</v>
      </c>
      <c r="T2446" s="69"/>
      <c r="U2446" s="69"/>
    </row>
    <row r="2447" spans="19:21" ht="15" customHeight="1" x14ac:dyDescent="0.2">
      <c r="S2447" s="69">
        <f>_xlfn.XLOOKUP(Results!A2447,Geometry!$B$6:$B$10000,Geometry!$C$6:$C$10000)</f>
        <v>0</v>
      </c>
      <c r="T2447" s="69"/>
      <c r="U2447" s="69"/>
    </row>
    <row r="2448" spans="19:21" ht="15" customHeight="1" x14ac:dyDescent="0.2">
      <c r="S2448" s="69">
        <f>_xlfn.XLOOKUP(Results!A2448,Geometry!$B$6:$B$10000,Geometry!$C$6:$C$10000)</f>
        <v>0</v>
      </c>
      <c r="T2448" s="69"/>
      <c r="U2448" s="69"/>
    </row>
    <row r="2449" spans="19:21" ht="15" customHeight="1" x14ac:dyDescent="0.2">
      <c r="S2449" s="69">
        <f>_xlfn.XLOOKUP(Results!A2449,Geometry!$B$6:$B$10000,Geometry!$C$6:$C$10000)</f>
        <v>0</v>
      </c>
      <c r="T2449" s="69"/>
      <c r="U2449" s="69"/>
    </row>
    <row r="2450" spans="19:21" ht="15" customHeight="1" x14ac:dyDescent="0.2">
      <c r="S2450" s="69">
        <f>_xlfn.XLOOKUP(Results!A2450,Geometry!$B$6:$B$10000,Geometry!$C$6:$C$10000)</f>
        <v>0</v>
      </c>
      <c r="T2450" s="69"/>
      <c r="U2450" s="69"/>
    </row>
    <row r="2451" spans="19:21" ht="15" customHeight="1" x14ac:dyDescent="0.2">
      <c r="S2451" s="69">
        <f>_xlfn.XLOOKUP(Results!A2451,Geometry!$B$6:$B$10000,Geometry!$C$6:$C$10000)</f>
        <v>0</v>
      </c>
      <c r="T2451" s="69"/>
      <c r="U2451" s="69"/>
    </row>
    <row r="2452" spans="19:21" ht="15" customHeight="1" x14ac:dyDescent="0.2">
      <c r="S2452" s="69">
        <f>_xlfn.XLOOKUP(Results!A2452,Geometry!$B$6:$B$10000,Geometry!$C$6:$C$10000)</f>
        <v>0</v>
      </c>
      <c r="T2452" s="69"/>
      <c r="U2452" s="69"/>
    </row>
    <row r="2453" spans="19:21" ht="15" customHeight="1" x14ac:dyDescent="0.2">
      <c r="S2453" s="69">
        <f>_xlfn.XLOOKUP(Results!A2453,Geometry!$B$6:$B$10000,Geometry!$C$6:$C$10000)</f>
        <v>0</v>
      </c>
      <c r="T2453" s="69"/>
      <c r="U2453" s="69"/>
    </row>
    <row r="2454" spans="19:21" ht="15" customHeight="1" x14ac:dyDescent="0.2">
      <c r="S2454" s="69">
        <f>_xlfn.XLOOKUP(Results!A2454,Geometry!$B$6:$B$10000,Geometry!$C$6:$C$10000)</f>
        <v>0</v>
      </c>
      <c r="T2454" s="69"/>
      <c r="U2454" s="69"/>
    </row>
    <row r="2455" spans="19:21" ht="15" customHeight="1" x14ac:dyDescent="0.2">
      <c r="S2455" s="69">
        <f>_xlfn.XLOOKUP(Results!A2455,Geometry!$B$6:$B$10000,Geometry!$C$6:$C$10000)</f>
        <v>0</v>
      </c>
      <c r="T2455" s="69"/>
      <c r="U2455" s="69"/>
    </row>
    <row r="2456" spans="19:21" ht="15" customHeight="1" x14ac:dyDescent="0.2">
      <c r="S2456" s="69">
        <f>_xlfn.XLOOKUP(Results!A2456,Geometry!$B$6:$B$10000,Geometry!$C$6:$C$10000)</f>
        <v>0</v>
      </c>
      <c r="T2456" s="69"/>
      <c r="U2456" s="69"/>
    </row>
    <row r="2457" spans="19:21" ht="15" customHeight="1" x14ac:dyDescent="0.2">
      <c r="S2457" s="69">
        <f>_xlfn.XLOOKUP(Results!A2457,Geometry!$B$6:$B$10000,Geometry!$C$6:$C$10000)</f>
        <v>0</v>
      </c>
      <c r="T2457" s="69"/>
      <c r="U2457" s="69"/>
    </row>
    <row r="2458" spans="19:21" ht="15" customHeight="1" x14ac:dyDescent="0.2">
      <c r="S2458" s="69">
        <f>_xlfn.XLOOKUP(Results!A2458,Geometry!$B$6:$B$10000,Geometry!$C$6:$C$10000)</f>
        <v>0</v>
      </c>
      <c r="T2458" s="69"/>
      <c r="U2458" s="69"/>
    </row>
    <row r="2459" spans="19:21" ht="15" customHeight="1" x14ac:dyDescent="0.2">
      <c r="S2459" s="69">
        <f>_xlfn.XLOOKUP(Results!A2459,Geometry!$B$6:$B$10000,Geometry!$C$6:$C$10000)</f>
        <v>0</v>
      </c>
      <c r="T2459" s="69"/>
      <c r="U2459" s="69"/>
    </row>
    <row r="2460" spans="19:21" ht="15" customHeight="1" x14ac:dyDescent="0.2">
      <c r="S2460" s="69">
        <f>_xlfn.XLOOKUP(Results!A2460,Geometry!$B$6:$B$10000,Geometry!$C$6:$C$10000)</f>
        <v>0</v>
      </c>
      <c r="T2460" s="69"/>
      <c r="U2460" s="69"/>
    </row>
    <row r="2461" spans="19:21" ht="15" customHeight="1" x14ac:dyDescent="0.2">
      <c r="S2461" s="69">
        <f>_xlfn.XLOOKUP(Results!A2461,Geometry!$B$6:$B$10000,Geometry!$C$6:$C$10000)</f>
        <v>0</v>
      </c>
      <c r="T2461" s="69"/>
      <c r="U2461" s="69"/>
    </row>
    <row r="2462" spans="19:21" ht="15" customHeight="1" x14ac:dyDescent="0.2">
      <c r="S2462" s="69">
        <f>_xlfn.XLOOKUP(Results!A2462,Geometry!$B$6:$B$10000,Geometry!$C$6:$C$10000)</f>
        <v>0</v>
      </c>
      <c r="T2462" s="69"/>
      <c r="U2462" s="69"/>
    </row>
    <row r="2463" spans="19:21" ht="15" customHeight="1" x14ac:dyDescent="0.2">
      <c r="S2463" s="69">
        <f>_xlfn.XLOOKUP(Results!A2463,Geometry!$B$6:$B$10000,Geometry!$C$6:$C$10000)</f>
        <v>0</v>
      </c>
      <c r="T2463" s="69"/>
      <c r="U2463" s="69"/>
    </row>
    <row r="2464" spans="19:21" ht="15" customHeight="1" x14ac:dyDescent="0.2">
      <c r="S2464" s="69">
        <f>_xlfn.XLOOKUP(Results!A2464,Geometry!$B$6:$B$10000,Geometry!$C$6:$C$10000)</f>
        <v>0</v>
      </c>
      <c r="T2464" s="69"/>
      <c r="U2464" s="69"/>
    </row>
    <row r="2465" spans="19:21" ht="15" customHeight="1" x14ac:dyDescent="0.2">
      <c r="S2465" s="69">
        <f>_xlfn.XLOOKUP(Results!A2465,Geometry!$B$6:$B$10000,Geometry!$C$6:$C$10000)</f>
        <v>0</v>
      </c>
      <c r="T2465" s="69"/>
      <c r="U2465" s="69"/>
    </row>
    <row r="2466" spans="19:21" ht="15" customHeight="1" x14ac:dyDescent="0.2">
      <c r="S2466" s="69">
        <f>_xlfn.XLOOKUP(Results!A2466,Geometry!$B$6:$B$10000,Geometry!$C$6:$C$10000)</f>
        <v>0</v>
      </c>
      <c r="T2466" s="69"/>
      <c r="U2466" s="69"/>
    </row>
    <row r="2467" spans="19:21" ht="15" customHeight="1" x14ac:dyDescent="0.2">
      <c r="S2467" s="69">
        <f>_xlfn.XLOOKUP(Results!A2467,Geometry!$B$6:$B$10000,Geometry!$C$6:$C$10000)</f>
        <v>0</v>
      </c>
      <c r="T2467" s="69"/>
      <c r="U2467" s="69"/>
    </row>
    <row r="2468" spans="19:21" ht="15" customHeight="1" x14ac:dyDescent="0.2">
      <c r="S2468" s="69">
        <f>_xlfn.XLOOKUP(Results!A2468,Geometry!$B$6:$B$10000,Geometry!$C$6:$C$10000)</f>
        <v>0</v>
      </c>
      <c r="T2468" s="69"/>
      <c r="U2468" s="69"/>
    </row>
    <row r="2469" spans="19:21" ht="15" customHeight="1" x14ac:dyDescent="0.2">
      <c r="S2469" s="69">
        <f>_xlfn.XLOOKUP(Results!A2469,Geometry!$B$6:$B$10000,Geometry!$C$6:$C$10000)</f>
        <v>0</v>
      </c>
      <c r="T2469" s="69"/>
      <c r="U2469" s="69"/>
    </row>
    <row r="2470" spans="19:21" ht="15" customHeight="1" x14ac:dyDescent="0.2">
      <c r="S2470" s="69">
        <f>_xlfn.XLOOKUP(Results!A2470,Geometry!$B$6:$B$10000,Geometry!$C$6:$C$10000)</f>
        <v>0</v>
      </c>
      <c r="T2470" s="69"/>
      <c r="U2470" s="69"/>
    </row>
    <row r="2471" spans="19:21" ht="15" customHeight="1" x14ac:dyDescent="0.2">
      <c r="S2471" s="69">
        <f>_xlfn.XLOOKUP(Results!A2471,Geometry!$B$6:$B$10000,Geometry!$C$6:$C$10000)</f>
        <v>0</v>
      </c>
      <c r="T2471" s="69"/>
      <c r="U2471" s="69"/>
    </row>
    <row r="2472" spans="19:21" ht="15" customHeight="1" x14ac:dyDescent="0.2">
      <c r="S2472" s="69">
        <f>_xlfn.XLOOKUP(Results!A2472,Geometry!$B$6:$B$10000,Geometry!$C$6:$C$10000)</f>
        <v>0</v>
      </c>
      <c r="T2472" s="69"/>
      <c r="U2472" s="69"/>
    </row>
    <row r="2473" spans="19:21" ht="15" customHeight="1" x14ac:dyDescent="0.2">
      <c r="S2473" s="69">
        <f>_xlfn.XLOOKUP(Results!A2473,Geometry!$B$6:$B$10000,Geometry!$C$6:$C$10000)</f>
        <v>0</v>
      </c>
      <c r="T2473" s="69"/>
      <c r="U2473" s="69"/>
    </row>
    <row r="2474" spans="19:21" ht="15" customHeight="1" x14ac:dyDescent="0.2">
      <c r="S2474" s="69">
        <f>_xlfn.XLOOKUP(Results!A2474,Geometry!$B$6:$B$10000,Geometry!$C$6:$C$10000)</f>
        <v>0</v>
      </c>
      <c r="T2474" s="69"/>
      <c r="U2474" s="69"/>
    </row>
    <row r="2475" spans="19:21" ht="15" customHeight="1" x14ac:dyDescent="0.2">
      <c r="S2475" s="69">
        <f>_xlfn.XLOOKUP(Results!A2475,Geometry!$B$6:$B$10000,Geometry!$C$6:$C$10000)</f>
        <v>0</v>
      </c>
      <c r="T2475" s="69"/>
      <c r="U2475" s="69"/>
    </row>
    <row r="2476" spans="19:21" ht="15" customHeight="1" x14ac:dyDescent="0.2">
      <c r="S2476" s="69">
        <f>_xlfn.XLOOKUP(Results!A2476,Geometry!$B$6:$B$10000,Geometry!$C$6:$C$10000)</f>
        <v>0</v>
      </c>
      <c r="T2476" s="69"/>
      <c r="U2476" s="69"/>
    </row>
    <row r="2477" spans="19:21" ht="15" customHeight="1" x14ac:dyDescent="0.2">
      <c r="S2477" s="69">
        <f>_xlfn.XLOOKUP(Results!A2477,Geometry!$B$6:$B$10000,Geometry!$C$6:$C$10000)</f>
        <v>0</v>
      </c>
      <c r="T2477" s="69"/>
      <c r="U2477" s="69"/>
    </row>
    <row r="2478" spans="19:21" ht="15" customHeight="1" x14ac:dyDescent="0.2">
      <c r="S2478" s="69">
        <f>_xlfn.XLOOKUP(Results!A2478,Geometry!$B$6:$B$10000,Geometry!$C$6:$C$10000)</f>
        <v>0</v>
      </c>
      <c r="T2478" s="69"/>
      <c r="U2478" s="69"/>
    </row>
    <row r="2479" spans="19:21" ht="15" customHeight="1" x14ac:dyDescent="0.2">
      <c r="S2479" s="69">
        <f>_xlfn.XLOOKUP(Results!A2479,Geometry!$B$6:$B$10000,Geometry!$C$6:$C$10000)</f>
        <v>0</v>
      </c>
      <c r="T2479" s="69"/>
      <c r="U2479" s="69"/>
    </row>
    <row r="2480" spans="19:21" ht="15" customHeight="1" x14ac:dyDescent="0.2">
      <c r="S2480" s="69">
        <f>_xlfn.XLOOKUP(Results!A2480,Geometry!$B$6:$B$10000,Geometry!$C$6:$C$10000)</f>
        <v>0</v>
      </c>
      <c r="T2480" s="69"/>
      <c r="U2480" s="69"/>
    </row>
    <row r="2481" spans="19:21" ht="15" customHeight="1" x14ac:dyDescent="0.2">
      <c r="S2481" s="69">
        <f>_xlfn.XLOOKUP(Results!A2481,Geometry!$B$6:$B$10000,Geometry!$C$6:$C$10000)</f>
        <v>0</v>
      </c>
      <c r="T2481" s="69"/>
      <c r="U2481" s="69"/>
    </row>
    <row r="2482" spans="19:21" ht="15" customHeight="1" x14ac:dyDescent="0.2">
      <c r="S2482" s="69">
        <f>_xlfn.XLOOKUP(Results!A2482,Geometry!$B$6:$B$10000,Geometry!$C$6:$C$10000)</f>
        <v>0</v>
      </c>
      <c r="T2482" s="69"/>
      <c r="U2482" s="69"/>
    </row>
    <row r="2483" spans="19:21" ht="15" customHeight="1" x14ac:dyDescent="0.2">
      <c r="S2483" s="69">
        <f>_xlfn.XLOOKUP(Results!A2483,Geometry!$B$6:$B$10000,Geometry!$C$6:$C$10000)</f>
        <v>0</v>
      </c>
      <c r="T2483" s="69"/>
      <c r="U2483" s="69"/>
    </row>
    <row r="2484" spans="19:21" ht="15" customHeight="1" x14ac:dyDescent="0.2">
      <c r="S2484" s="69">
        <f>_xlfn.XLOOKUP(Results!A2484,Geometry!$B$6:$B$10000,Geometry!$C$6:$C$10000)</f>
        <v>0</v>
      </c>
      <c r="T2484" s="69"/>
      <c r="U2484" s="69"/>
    </row>
    <row r="2485" spans="19:21" ht="15" customHeight="1" x14ac:dyDescent="0.2">
      <c r="S2485" s="69">
        <f>_xlfn.XLOOKUP(Results!A2485,Geometry!$B$6:$B$10000,Geometry!$C$6:$C$10000)</f>
        <v>0</v>
      </c>
      <c r="T2485" s="69"/>
      <c r="U2485" s="69"/>
    </row>
    <row r="2486" spans="19:21" ht="15" customHeight="1" x14ac:dyDescent="0.2">
      <c r="S2486" s="69">
        <f>_xlfn.XLOOKUP(Results!A2486,Geometry!$B$6:$B$10000,Geometry!$C$6:$C$10000)</f>
        <v>0</v>
      </c>
      <c r="T2486" s="69"/>
      <c r="U2486" s="69"/>
    </row>
    <row r="2487" spans="19:21" ht="15" customHeight="1" x14ac:dyDescent="0.2">
      <c r="S2487" s="69">
        <f>_xlfn.XLOOKUP(Results!A2487,Geometry!$B$6:$B$10000,Geometry!$C$6:$C$10000)</f>
        <v>0</v>
      </c>
      <c r="T2487" s="69"/>
      <c r="U2487" s="69"/>
    </row>
    <row r="2488" spans="19:21" ht="15" customHeight="1" x14ac:dyDescent="0.2">
      <c r="S2488" s="69">
        <f>_xlfn.XLOOKUP(Results!A2488,Geometry!$B$6:$B$10000,Geometry!$C$6:$C$10000)</f>
        <v>0</v>
      </c>
      <c r="T2488" s="69"/>
      <c r="U2488" s="69"/>
    </row>
    <row r="2489" spans="19:21" ht="15" customHeight="1" x14ac:dyDescent="0.2">
      <c r="S2489" s="69">
        <f>_xlfn.XLOOKUP(Results!A2489,Geometry!$B$6:$B$10000,Geometry!$C$6:$C$10000)</f>
        <v>0</v>
      </c>
      <c r="T2489" s="69"/>
      <c r="U2489" s="69"/>
    </row>
    <row r="2490" spans="19:21" ht="15" customHeight="1" x14ac:dyDescent="0.2">
      <c r="S2490" s="69">
        <f>_xlfn.XLOOKUP(Results!A2490,Geometry!$B$6:$B$10000,Geometry!$C$6:$C$10000)</f>
        <v>0</v>
      </c>
      <c r="T2490" s="69"/>
      <c r="U2490" s="69"/>
    </row>
    <row r="2491" spans="19:21" ht="15" customHeight="1" x14ac:dyDescent="0.2">
      <c r="S2491" s="69">
        <f>_xlfn.XLOOKUP(Results!A2491,Geometry!$B$6:$B$10000,Geometry!$C$6:$C$10000)</f>
        <v>0</v>
      </c>
      <c r="T2491" s="69"/>
      <c r="U2491" s="69"/>
    </row>
    <row r="2492" spans="19:21" ht="15" customHeight="1" x14ac:dyDescent="0.2">
      <c r="S2492" s="69">
        <f>_xlfn.XLOOKUP(Results!A2492,Geometry!$B$6:$B$10000,Geometry!$C$6:$C$10000)</f>
        <v>0</v>
      </c>
      <c r="T2492" s="69"/>
      <c r="U2492" s="69"/>
    </row>
    <row r="2493" spans="19:21" ht="15" customHeight="1" x14ac:dyDescent="0.2">
      <c r="S2493" s="69">
        <f>_xlfn.XLOOKUP(Results!A2493,Geometry!$B$6:$B$10000,Geometry!$C$6:$C$10000)</f>
        <v>0</v>
      </c>
      <c r="T2493" s="69"/>
      <c r="U2493" s="69"/>
    </row>
    <row r="2494" spans="19:21" ht="15" customHeight="1" x14ac:dyDescent="0.2">
      <c r="S2494" s="69">
        <f>_xlfn.XLOOKUP(Results!A2494,Geometry!$B$6:$B$10000,Geometry!$C$6:$C$10000)</f>
        <v>0</v>
      </c>
      <c r="T2494" s="69"/>
      <c r="U2494" s="69"/>
    </row>
    <row r="2495" spans="19:21" ht="15" customHeight="1" x14ac:dyDescent="0.2">
      <c r="S2495" s="69">
        <f>_xlfn.XLOOKUP(Results!A2495,Geometry!$B$6:$B$10000,Geometry!$C$6:$C$10000)</f>
        <v>0</v>
      </c>
      <c r="T2495" s="69"/>
      <c r="U2495" s="69"/>
    </row>
    <row r="2496" spans="19:21" ht="15" customHeight="1" x14ac:dyDescent="0.2">
      <c r="S2496" s="69">
        <f>_xlfn.XLOOKUP(Results!A2496,Geometry!$B$6:$B$10000,Geometry!$C$6:$C$10000)</f>
        <v>0</v>
      </c>
      <c r="T2496" s="69"/>
      <c r="U2496" s="69"/>
    </row>
    <row r="2497" spans="19:21" ht="15" customHeight="1" x14ac:dyDescent="0.2">
      <c r="S2497" s="69">
        <f>_xlfn.XLOOKUP(Results!A2497,Geometry!$B$6:$B$10000,Geometry!$C$6:$C$10000)</f>
        <v>0</v>
      </c>
      <c r="T2497" s="69"/>
      <c r="U2497" s="69"/>
    </row>
    <row r="2498" spans="19:21" ht="15" customHeight="1" x14ac:dyDescent="0.2">
      <c r="S2498" s="69">
        <f>_xlfn.XLOOKUP(Results!A2498,Geometry!$B$6:$B$10000,Geometry!$C$6:$C$10000)</f>
        <v>0</v>
      </c>
      <c r="T2498" s="69"/>
      <c r="U2498" s="69"/>
    </row>
    <row r="2499" spans="19:21" ht="15" customHeight="1" x14ac:dyDescent="0.2">
      <c r="S2499" s="69">
        <f>_xlfn.XLOOKUP(Results!A2499,Geometry!$B$6:$B$10000,Geometry!$C$6:$C$10000)</f>
        <v>0</v>
      </c>
      <c r="T2499" s="69"/>
      <c r="U2499" s="69"/>
    </row>
    <row r="2500" spans="19:21" ht="15" customHeight="1" x14ac:dyDescent="0.2">
      <c r="S2500" s="69">
        <f>_xlfn.XLOOKUP(Results!A2500,Geometry!$B$6:$B$10000,Geometry!$C$6:$C$10000)</f>
        <v>0</v>
      </c>
      <c r="T2500" s="69"/>
      <c r="U2500" s="69"/>
    </row>
    <row r="2501" spans="19:21" ht="15" customHeight="1" x14ac:dyDescent="0.2">
      <c r="S2501" s="69">
        <f>_xlfn.XLOOKUP(Results!A2501,Geometry!$B$6:$B$10000,Geometry!$C$6:$C$10000)</f>
        <v>0</v>
      </c>
      <c r="T2501" s="69"/>
      <c r="U2501" s="69"/>
    </row>
    <row r="2502" spans="19:21" ht="15" customHeight="1" x14ac:dyDescent="0.2">
      <c r="S2502" s="69">
        <f>_xlfn.XLOOKUP(Results!A2502,Geometry!$B$6:$B$10000,Geometry!$C$6:$C$10000)</f>
        <v>0</v>
      </c>
      <c r="T2502" s="69"/>
      <c r="U2502" s="69"/>
    </row>
    <row r="2503" spans="19:21" ht="15" customHeight="1" x14ac:dyDescent="0.2">
      <c r="S2503" s="69">
        <f>_xlfn.XLOOKUP(Results!A2503,Geometry!$B$6:$B$10000,Geometry!$C$6:$C$10000)</f>
        <v>0</v>
      </c>
      <c r="T2503" s="69"/>
      <c r="U2503" s="69"/>
    </row>
    <row r="2504" spans="19:21" ht="15" customHeight="1" x14ac:dyDescent="0.2">
      <c r="S2504" s="69">
        <f>_xlfn.XLOOKUP(Results!A2504,Geometry!$B$6:$B$10000,Geometry!$C$6:$C$10000)</f>
        <v>0</v>
      </c>
      <c r="T2504" s="69"/>
      <c r="U2504" s="69"/>
    </row>
    <row r="2505" spans="19:21" ht="15" customHeight="1" x14ac:dyDescent="0.2">
      <c r="S2505" s="69">
        <f>_xlfn.XLOOKUP(Results!A2505,Geometry!$B$6:$B$10000,Geometry!$C$6:$C$10000)</f>
        <v>0</v>
      </c>
      <c r="T2505" s="69"/>
      <c r="U2505" s="69"/>
    </row>
    <row r="2506" spans="19:21" ht="15" customHeight="1" x14ac:dyDescent="0.2">
      <c r="S2506" s="69">
        <f>_xlfn.XLOOKUP(Results!A2506,Geometry!$B$6:$B$10000,Geometry!$C$6:$C$10000)</f>
        <v>0</v>
      </c>
      <c r="T2506" s="69"/>
      <c r="U2506" s="69"/>
    </row>
    <row r="2507" spans="19:21" ht="15" customHeight="1" x14ac:dyDescent="0.2">
      <c r="S2507" s="69">
        <f>_xlfn.XLOOKUP(Results!A2507,Geometry!$B$6:$B$10000,Geometry!$C$6:$C$10000)</f>
        <v>0</v>
      </c>
      <c r="T2507" s="69"/>
      <c r="U2507" s="69"/>
    </row>
    <row r="2508" spans="19:21" ht="15" customHeight="1" x14ac:dyDescent="0.2">
      <c r="S2508" s="69">
        <f>_xlfn.XLOOKUP(Results!A2508,Geometry!$B$6:$B$10000,Geometry!$C$6:$C$10000)</f>
        <v>0</v>
      </c>
      <c r="T2508" s="69"/>
      <c r="U2508" s="69"/>
    </row>
    <row r="2509" spans="19:21" ht="15" customHeight="1" x14ac:dyDescent="0.2">
      <c r="S2509" s="69">
        <f>_xlfn.XLOOKUP(Results!A2509,Geometry!$B$6:$B$10000,Geometry!$C$6:$C$10000)</f>
        <v>0</v>
      </c>
      <c r="T2509" s="69"/>
      <c r="U2509" s="69"/>
    </row>
    <row r="2510" spans="19:21" ht="15" customHeight="1" x14ac:dyDescent="0.2">
      <c r="S2510" s="69">
        <f>_xlfn.XLOOKUP(Results!A2510,Geometry!$B$6:$B$10000,Geometry!$C$6:$C$10000)</f>
        <v>0</v>
      </c>
      <c r="T2510" s="69"/>
      <c r="U2510" s="69"/>
    </row>
    <row r="2511" spans="19:21" ht="15" customHeight="1" x14ac:dyDescent="0.2">
      <c r="S2511" s="69">
        <f>_xlfn.XLOOKUP(Results!A2511,Geometry!$B$6:$B$10000,Geometry!$C$6:$C$10000)</f>
        <v>0</v>
      </c>
      <c r="T2511" s="69"/>
      <c r="U2511" s="69"/>
    </row>
    <row r="2512" spans="19:21" ht="15" customHeight="1" x14ac:dyDescent="0.2">
      <c r="S2512" s="69">
        <f>_xlfn.XLOOKUP(Results!A2512,Geometry!$B$6:$B$10000,Geometry!$C$6:$C$10000)</f>
        <v>0</v>
      </c>
      <c r="T2512" s="69"/>
      <c r="U2512" s="69"/>
    </row>
    <row r="2513" spans="19:21" ht="15" customHeight="1" x14ac:dyDescent="0.2">
      <c r="S2513" s="69">
        <f>_xlfn.XLOOKUP(Results!A2513,Geometry!$B$6:$B$10000,Geometry!$C$6:$C$10000)</f>
        <v>0</v>
      </c>
      <c r="T2513" s="69"/>
      <c r="U2513" s="69"/>
    </row>
    <row r="2514" spans="19:21" ht="15" customHeight="1" x14ac:dyDescent="0.2">
      <c r="S2514" s="69">
        <f>_xlfn.XLOOKUP(Results!A2514,Geometry!$B$6:$B$10000,Geometry!$C$6:$C$10000)</f>
        <v>0</v>
      </c>
      <c r="T2514" s="69"/>
      <c r="U2514" s="69"/>
    </row>
    <row r="2515" spans="19:21" ht="15" customHeight="1" x14ac:dyDescent="0.2">
      <c r="S2515" s="69">
        <f>_xlfn.XLOOKUP(Results!A2515,Geometry!$B$6:$B$10000,Geometry!$C$6:$C$10000)</f>
        <v>0</v>
      </c>
      <c r="T2515" s="69"/>
      <c r="U2515" s="69"/>
    </row>
    <row r="2516" spans="19:21" ht="15" customHeight="1" x14ac:dyDescent="0.2">
      <c r="S2516" s="69">
        <f>_xlfn.XLOOKUP(Results!A2516,Geometry!$B$6:$B$10000,Geometry!$C$6:$C$10000)</f>
        <v>0</v>
      </c>
      <c r="T2516" s="69"/>
      <c r="U2516" s="69"/>
    </row>
    <row r="2517" spans="19:21" ht="15" customHeight="1" x14ac:dyDescent="0.2">
      <c r="S2517" s="69">
        <f>_xlfn.XLOOKUP(Results!A2517,Geometry!$B$6:$B$10000,Geometry!$C$6:$C$10000)</f>
        <v>0</v>
      </c>
      <c r="T2517" s="69"/>
      <c r="U2517" s="69"/>
    </row>
    <row r="2518" spans="19:21" ht="15" customHeight="1" x14ac:dyDescent="0.2">
      <c r="S2518" s="69">
        <f>_xlfn.XLOOKUP(Results!A2518,Geometry!$B$6:$B$10000,Geometry!$C$6:$C$10000)</f>
        <v>0</v>
      </c>
      <c r="T2518" s="69"/>
      <c r="U2518" s="69"/>
    </row>
    <row r="2519" spans="19:21" ht="15" customHeight="1" x14ac:dyDescent="0.2">
      <c r="S2519" s="69">
        <f>_xlfn.XLOOKUP(Results!A2519,Geometry!$B$6:$B$10000,Geometry!$C$6:$C$10000)</f>
        <v>0</v>
      </c>
      <c r="T2519" s="69"/>
      <c r="U2519" s="69"/>
    </row>
    <row r="2520" spans="19:21" ht="15" customHeight="1" x14ac:dyDescent="0.2">
      <c r="S2520" s="69">
        <f>_xlfn.XLOOKUP(Results!A2520,Geometry!$B$6:$B$10000,Geometry!$C$6:$C$10000)</f>
        <v>0</v>
      </c>
      <c r="T2520" s="69"/>
      <c r="U2520" s="69"/>
    </row>
    <row r="2521" spans="19:21" ht="15" customHeight="1" x14ac:dyDescent="0.2">
      <c r="S2521" s="69">
        <f>_xlfn.XLOOKUP(Results!A2521,Geometry!$B$6:$B$10000,Geometry!$C$6:$C$10000)</f>
        <v>0</v>
      </c>
      <c r="T2521" s="69"/>
      <c r="U2521" s="69"/>
    </row>
    <row r="2522" spans="19:21" ht="15" customHeight="1" x14ac:dyDescent="0.2">
      <c r="S2522" s="69">
        <f>_xlfn.XLOOKUP(Results!A2522,Geometry!$B$6:$B$10000,Geometry!$C$6:$C$10000)</f>
        <v>0</v>
      </c>
      <c r="T2522" s="69"/>
      <c r="U2522" s="69"/>
    </row>
    <row r="2523" spans="19:21" ht="15" customHeight="1" x14ac:dyDescent="0.2">
      <c r="S2523" s="69">
        <f>_xlfn.XLOOKUP(Results!A2523,Geometry!$B$6:$B$10000,Geometry!$C$6:$C$10000)</f>
        <v>0</v>
      </c>
      <c r="T2523" s="69"/>
      <c r="U2523" s="69"/>
    </row>
    <row r="2524" spans="19:21" ht="15" customHeight="1" x14ac:dyDescent="0.2">
      <c r="S2524" s="69">
        <f>_xlfn.XLOOKUP(Results!A2524,Geometry!$B$6:$B$10000,Geometry!$C$6:$C$10000)</f>
        <v>0</v>
      </c>
      <c r="T2524" s="69"/>
      <c r="U2524" s="69"/>
    </row>
    <row r="2525" spans="19:21" ht="15" customHeight="1" x14ac:dyDescent="0.2">
      <c r="S2525" s="69">
        <f>_xlfn.XLOOKUP(Results!A2525,Geometry!$B$6:$B$10000,Geometry!$C$6:$C$10000)</f>
        <v>0</v>
      </c>
      <c r="T2525" s="69"/>
      <c r="U2525" s="69"/>
    </row>
    <row r="2526" spans="19:21" ht="15" customHeight="1" x14ac:dyDescent="0.2">
      <c r="S2526" s="69">
        <f>_xlfn.XLOOKUP(Results!A2526,Geometry!$B$6:$B$10000,Geometry!$C$6:$C$10000)</f>
        <v>0</v>
      </c>
      <c r="T2526" s="69"/>
      <c r="U2526" s="69"/>
    </row>
    <row r="2527" spans="19:21" ht="15" customHeight="1" x14ac:dyDescent="0.2">
      <c r="S2527" s="69">
        <f>_xlfn.XLOOKUP(Results!A2527,Geometry!$B$6:$B$10000,Geometry!$C$6:$C$10000)</f>
        <v>0</v>
      </c>
      <c r="T2527" s="69"/>
      <c r="U2527" s="69"/>
    </row>
    <row r="2528" spans="19:21" ht="15" customHeight="1" x14ac:dyDescent="0.2">
      <c r="S2528" s="69">
        <f>_xlfn.XLOOKUP(Results!A2528,Geometry!$B$6:$B$10000,Geometry!$C$6:$C$10000)</f>
        <v>0</v>
      </c>
      <c r="T2528" s="69"/>
      <c r="U2528" s="69"/>
    </row>
    <row r="2529" spans="19:21" ht="15" customHeight="1" x14ac:dyDescent="0.2">
      <c r="S2529" s="69">
        <f>_xlfn.XLOOKUP(Results!A2529,Geometry!$B$6:$B$10000,Geometry!$C$6:$C$10000)</f>
        <v>0</v>
      </c>
      <c r="T2529" s="69"/>
      <c r="U2529" s="69"/>
    </row>
    <row r="2530" spans="19:21" ht="15" customHeight="1" x14ac:dyDescent="0.2">
      <c r="S2530" s="69">
        <f>_xlfn.XLOOKUP(Results!A2530,Geometry!$B$6:$B$10000,Geometry!$C$6:$C$10000)</f>
        <v>0</v>
      </c>
      <c r="T2530" s="69"/>
      <c r="U2530" s="69"/>
    </row>
    <row r="2531" spans="19:21" ht="15" customHeight="1" x14ac:dyDescent="0.2">
      <c r="S2531" s="69">
        <f>_xlfn.XLOOKUP(Results!A2531,Geometry!$B$6:$B$10000,Geometry!$C$6:$C$10000)</f>
        <v>0</v>
      </c>
      <c r="T2531" s="69"/>
      <c r="U2531" s="69"/>
    </row>
    <row r="2532" spans="19:21" ht="15" customHeight="1" x14ac:dyDescent="0.2">
      <c r="S2532" s="69">
        <f>_xlfn.XLOOKUP(Results!A2532,Geometry!$B$6:$B$10000,Geometry!$C$6:$C$10000)</f>
        <v>0</v>
      </c>
      <c r="T2532" s="69"/>
      <c r="U2532" s="69"/>
    </row>
    <row r="2533" spans="19:21" ht="15" customHeight="1" x14ac:dyDescent="0.2">
      <c r="S2533" s="69">
        <f>_xlfn.XLOOKUP(Results!A2533,Geometry!$B$6:$B$10000,Geometry!$C$6:$C$10000)</f>
        <v>0</v>
      </c>
      <c r="T2533" s="69"/>
      <c r="U2533" s="69"/>
    </row>
    <row r="2534" spans="19:21" ht="15" customHeight="1" x14ac:dyDescent="0.2">
      <c r="S2534" s="69">
        <f>_xlfn.XLOOKUP(Results!A2534,Geometry!$B$6:$B$10000,Geometry!$C$6:$C$10000)</f>
        <v>0</v>
      </c>
      <c r="T2534" s="69"/>
      <c r="U2534" s="69"/>
    </row>
    <row r="2535" spans="19:21" ht="15" customHeight="1" x14ac:dyDescent="0.2">
      <c r="S2535" s="69">
        <f>_xlfn.XLOOKUP(Results!A2535,Geometry!$B$6:$B$10000,Geometry!$C$6:$C$10000)</f>
        <v>0</v>
      </c>
      <c r="T2535" s="69"/>
      <c r="U2535" s="69"/>
    </row>
    <row r="2536" spans="19:21" ht="15" customHeight="1" x14ac:dyDescent="0.2">
      <c r="S2536" s="69">
        <f>_xlfn.XLOOKUP(Results!A2536,Geometry!$B$6:$B$10000,Geometry!$C$6:$C$10000)</f>
        <v>0</v>
      </c>
      <c r="T2536" s="69"/>
      <c r="U2536" s="69"/>
    </row>
    <row r="2537" spans="19:21" ht="15" customHeight="1" x14ac:dyDescent="0.2">
      <c r="S2537" s="69">
        <f>_xlfn.XLOOKUP(Results!A2537,Geometry!$B$6:$B$10000,Geometry!$C$6:$C$10000)</f>
        <v>0</v>
      </c>
      <c r="T2537" s="69"/>
      <c r="U2537" s="69"/>
    </row>
    <row r="2538" spans="19:21" ht="15" customHeight="1" x14ac:dyDescent="0.2">
      <c r="S2538" s="69">
        <f>_xlfn.XLOOKUP(Results!A2538,Geometry!$B$6:$B$10000,Geometry!$C$6:$C$10000)</f>
        <v>0</v>
      </c>
      <c r="T2538" s="69"/>
      <c r="U2538" s="69"/>
    </row>
    <row r="2539" spans="19:21" ht="15" customHeight="1" x14ac:dyDescent="0.2">
      <c r="S2539" s="69">
        <f>_xlfn.XLOOKUP(Results!A2539,Geometry!$B$6:$B$10000,Geometry!$C$6:$C$10000)</f>
        <v>0</v>
      </c>
      <c r="T2539" s="69"/>
      <c r="U2539" s="69"/>
    </row>
    <row r="2540" spans="19:21" ht="15" customHeight="1" x14ac:dyDescent="0.2">
      <c r="S2540" s="69">
        <f>_xlfn.XLOOKUP(Results!A2540,Geometry!$B$6:$B$10000,Geometry!$C$6:$C$10000)</f>
        <v>0</v>
      </c>
      <c r="T2540" s="69"/>
      <c r="U2540" s="69"/>
    </row>
    <row r="2541" spans="19:21" ht="15" customHeight="1" x14ac:dyDescent="0.2">
      <c r="S2541" s="69">
        <f>_xlfn.XLOOKUP(Results!A2541,Geometry!$B$6:$B$10000,Geometry!$C$6:$C$10000)</f>
        <v>0</v>
      </c>
      <c r="T2541" s="69"/>
      <c r="U2541" s="69"/>
    </row>
    <row r="2542" spans="19:21" ht="15" customHeight="1" x14ac:dyDescent="0.2">
      <c r="S2542" s="69">
        <f>_xlfn.XLOOKUP(Results!A2542,Geometry!$B$6:$B$10000,Geometry!$C$6:$C$10000)</f>
        <v>0</v>
      </c>
      <c r="T2542" s="69"/>
      <c r="U2542" s="69"/>
    </row>
    <row r="2543" spans="19:21" ht="15" customHeight="1" x14ac:dyDescent="0.2">
      <c r="S2543" s="69">
        <f>_xlfn.XLOOKUP(Results!A2543,Geometry!$B$6:$B$10000,Geometry!$C$6:$C$10000)</f>
        <v>0</v>
      </c>
      <c r="T2543" s="69"/>
      <c r="U2543" s="69"/>
    </row>
    <row r="2544" spans="19:21" ht="15" customHeight="1" x14ac:dyDescent="0.2">
      <c r="S2544" s="69">
        <f>_xlfn.XLOOKUP(Results!A2544,Geometry!$B$6:$B$10000,Geometry!$C$6:$C$10000)</f>
        <v>0</v>
      </c>
      <c r="T2544" s="69"/>
      <c r="U2544" s="69"/>
    </row>
    <row r="2545" spans="19:21" ht="15" customHeight="1" x14ac:dyDescent="0.2">
      <c r="S2545" s="69">
        <f>_xlfn.XLOOKUP(Results!A2545,Geometry!$B$6:$B$10000,Geometry!$C$6:$C$10000)</f>
        <v>0</v>
      </c>
      <c r="T2545" s="69"/>
      <c r="U2545" s="69"/>
    </row>
    <row r="2546" spans="19:21" ht="15" customHeight="1" x14ac:dyDescent="0.2">
      <c r="S2546" s="69">
        <f>_xlfn.XLOOKUP(Results!A2546,Geometry!$B$6:$B$10000,Geometry!$C$6:$C$10000)</f>
        <v>0</v>
      </c>
      <c r="T2546" s="69"/>
      <c r="U2546" s="69"/>
    </row>
    <row r="2547" spans="19:21" ht="15" customHeight="1" x14ac:dyDescent="0.2">
      <c r="S2547" s="69">
        <f>_xlfn.XLOOKUP(Results!A2547,Geometry!$B$6:$B$10000,Geometry!$C$6:$C$10000)</f>
        <v>0</v>
      </c>
      <c r="T2547" s="69"/>
      <c r="U2547" s="69"/>
    </row>
    <row r="2548" spans="19:21" ht="15" customHeight="1" x14ac:dyDescent="0.2">
      <c r="S2548" s="69">
        <f>_xlfn.XLOOKUP(Results!A2548,Geometry!$B$6:$B$10000,Geometry!$C$6:$C$10000)</f>
        <v>0</v>
      </c>
      <c r="T2548" s="69"/>
      <c r="U2548" s="69"/>
    </row>
    <row r="2549" spans="19:21" ht="15" customHeight="1" x14ac:dyDescent="0.2">
      <c r="S2549" s="69">
        <f>_xlfn.XLOOKUP(Results!A2549,Geometry!$B$6:$B$10000,Geometry!$C$6:$C$10000)</f>
        <v>0</v>
      </c>
      <c r="T2549" s="69"/>
      <c r="U2549" s="69"/>
    </row>
    <row r="2550" spans="19:21" ht="15" customHeight="1" x14ac:dyDescent="0.2">
      <c r="S2550" s="69">
        <f>_xlfn.XLOOKUP(Results!A2550,Geometry!$B$6:$B$10000,Geometry!$C$6:$C$10000)</f>
        <v>0</v>
      </c>
      <c r="T2550" s="69"/>
      <c r="U2550" s="69"/>
    </row>
    <row r="2551" spans="19:21" ht="15" customHeight="1" x14ac:dyDescent="0.2">
      <c r="S2551" s="69">
        <f>_xlfn.XLOOKUP(Results!A2551,Geometry!$B$6:$B$10000,Geometry!$C$6:$C$10000)</f>
        <v>0</v>
      </c>
      <c r="T2551" s="69"/>
      <c r="U2551" s="69"/>
    </row>
    <row r="2552" spans="19:21" ht="15" customHeight="1" x14ac:dyDescent="0.2">
      <c r="S2552" s="69">
        <f>_xlfn.XLOOKUP(Results!A2552,Geometry!$B$6:$B$10000,Geometry!$C$6:$C$10000)</f>
        <v>0</v>
      </c>
      <c r="T2552" s="69"/>
      <c r="U2552" s="69"/>
    </row>
    <row r="2553" spans="19:21" ht="15" customHeight="1" x14ac:dyDescent="0.2">
      <c r="S2553" s="69">
        <f>_xlfn.XLOOKUP(Results!A2553,Geometry!$B$6:$B$10000,Geometry!$C$6:$C$10000)</f>
        <v>0</v>
      </c>
      <c r="T2553" s="69"/>
      <c r="U2553" s="69"/>
    </row>
    <row r="2554" spans="19:21" ht="15" customHeight="1" x14ac:dyDescent="0.2">
      <c r="S2554" s="69">
        <f>_xlfn.XLOOKUP(Results!A2554,Geometry!$B$6:$B$10000,Geometry!$C$6:$C$10000)</f>
        <v>0</v>
      </c>
      <c r="T2554" s="69"/>
      <c r="U2554" s="69"/>
    </row>
    <row r="2555" spans="19:21" ht="15" customHeight="1" x14ac:dyDescent="0.2">
      <c r="S2555" s="69">
        <f>_xlfn.XLOOKUP(Results!A2555,Geometry!$B$6:$B$10000,Geometry!$C$6:$C$10000)</f>
        <v>0</v>
      </c>
      <c r="T2555" s="69"/>
      <c r="U2555" s="69"/>
    </row>
    <row r="2556" spans="19:21" ht="15" customHeight="1" x14ac:dyDescent="0.2">
      <c r="S2556" s="69">
        <f>_xlfn.XLOOKUP(Results!A2556,Geometry!$B$6:$B$10000,Geometry!$C$6:$C$10000)</f>
        <v>0</v>
      </c>
      <c r="T2556" s="69"/>
      <c r="U2556" s="69"/>
    </row>
    <row r="2557" spans="19:21" ht="15" customHeight="1" x14ac:dyDescent="0.2">
      <c r="S2557" s="69">
        <f>_xlfn.XLOOKUP(Results!A2557,Geometry!$B$6:$B$10000,Geometry!$C$6:$C$10000)</f>
        <v>0</v>
      </c>
      <c r="T2557" s="69"/>
      <c r="U2557" s="69"/>
    </row>
    <row r="2558" spans="19:21" ht="15" customHeight="1" x14ac:dyDescent="0.2">
      <c r="S2558" s="69">
        <f>_xlfn.XLOOKUP(Results!A2558,Geometry!$B$6:$B$10000,Geometry!$C$6:$C$10000)</f>
        <v>0</v>
      </c>
      <c r="T2558" s="69"/>
      <c r="U2558" s="69"/>
    </row>
    <row r="2559" spans="19:21" ht="15" customHeight="1" x14ac:dyDescent="0.2">
      <c r="S2559" s="69">
        <f>_xlfn.XLOOKUP(Results!A2559,Geometry!$B$6:$B$10000,Geometry!$C$6:$C$10000)</f>
        <v>0</v>
      </c>
      <c r="T2559" s="69"/>
      <c r="U2559" s="69"/>
    </row>
    <row r="2560" spans="19:21" ht="15" customHeight="1" x14ac:dyDescent="0.2">
      <c r="S2560" s="69">
        <f>_xlfn.XLOOKUP(Results!A2560,Geometry!$B$6:$B$10000,Geometry!$C$6:$C$10000)</f>
        <v>0</v>
      </c>
      <c r="T2560" s="69"/>
      <c r="U2560" s="69"/>
    </row>
    <row r="2561" spans="19:21" ht="15" customHeight="1" x14ac:dyDescent="0.2">
      <c r="S2561" s="69">
        <f>_xlfn.XLOOKUP(Results!A2561,Geometry!$B$6:$B$10000,Geometry!$C$6:$C$10000)</f>
        <v>0</v>
      </c>
      <c r="T2561" s="69"/>
      <c r="U2561" s="69"/>
    </row>
    <row r="2562" spans="19:21" ht="15" customHeight="1" x14ac:dyDescent="0.2">
      <c r="S2562" s="69">
        <f>_xlfn.XLOOKUP(Results!A2562,Geometry!$B$6:$B$10000,Geometry!$C$6:$C$10000)</f>
        <v>0</v>
      </c>
      <c r="T2562" s="69"/>
      <c r="U2562" s="69"/>
    </row>
    <row r="2563" spans="19:21" ht="15" customHeight="1" x14ac:dyDescent="0.2">
      <c r="S2563" s="69">
        <f>_xlfn.XLOOKUP(Results!A2563,Geometry!$B$6:$B$10000,Geometry!$C$6:$C$10000)</f>
        <v>0</v>
      </c>
      <c r="T2563" s="69"/>
      <c r="U2563" s="69"/>
    </row>
    <row r="2564" spans="19:21" ht="15" customHeight="1" x14ac:dyDescent="0.2">
      <c r="S2564" s="69">
        <f>_xlfn.XLOOKUP(Results!A2564,Geometry!$B$6:$B$10000,Geometry!$C$6:$C$10000)</f>
        <v>0</v>
      </c>
      <c r="T2564" s="69"/>
      <c r="U2564" s="69"/>
    </row>
    <row r="2565" spans="19:21" ht="15" customHeight="1" x14ac:dyDescent="0.2">
      <c r="S2565" s="69">
        <f>_xlfn.XLOOKUP(Results!A2565,Geometry!$B$6:$B$10000,Geometry!$C$6:$C$10000)</f>
        <v>0</v>
      </c>
      <c r="T2565" s="69"/>
      <c r="U2565" s="69"/>
    </row>
    <row r="2566" spans="19:21" ht="15" customHeight="1" x14ac:dyDescent="0.2">
      <c r="S2566" s="69">
        <f>_xlfn.XLOOKUP(Results!A2566,Geometry!$B$6:$B$10000,Geometry!$C$6:$C$10000)</f>
        <v>0</v>
      </c>
      <c r="T2566" s="69"/>
      <c r="U2566" s="69"/>
    </row>
    <row r="2567" spans="19:21" ht="15" customHeight="1" x14ac:dyDescent="0.2">
      <c r="S2567" s="69">
        <f>_xlfn.XLOOKUP(Results!A2567,Geometry!$B$6:$B$10000,Geometry!$C$6:$C$10000)</f>
        <v>0</v>
      </c>
      <c r="T2567" s="69"/>
      <c r="U2567" s="69"/>
    </row>
    <row r="2568" spans="19:21" ht="15" customHeight="1" x14ac:dyDescent="0.2">
      <c r="S2568" s="69">
        <f>_xlfn.XLOOKUP(Results!A2568,Geometry!$B$6:$B$10000,Geometry!$C$6:$C$10000)</f>
        <v>0</v>
      </c>
      <c r="T2568" s="69"/>
      <c r="U2568" s="69"/>
    </row>
    <row r="2569" spans="19:21" ht="15" customHeight="1" x14ac:dyDescent="0.2">
      <c r="S2569" s="69">
        <f>_xlfn.XLOOKUP(Results!A2569,Geometry!$B$6:$B$10000,Geometry!$C$6:$C$10000)</f>
        <v>0</v>
      </c>
      <c r="T2569" s="69"/>
      <c r="U2569" s="69"/>
    </row>
    <row r="2570" spans="19:21" ht="15" customHeight="1" x14ac:dyDescent="0.2">
      <c r="S2570" s="69">
        <f>_xlfn.XLOOKUP(Results!A2570,Geometry!$B$6:$B$10000,Geometry!$C$6:$C$10000)</f>
        <v>0</v>
      </c>
      <c r="T2570" s="69"/>
      <c r="U2570" s="69"/>
    </row>
    <row r="2571" spans="19:21" ht="15" customHeight="1" x14ac:dyDescent="0.2">
      <c r="S2571" s="69">
        <f>_xlfn.XLOOKUP(Results!A2571,Geometry!$B$6:$B$10000,Geometry!$C$6:$C$10000)</f>
        <v>0</v>
      </c>
      <c r="T2571" s="69"/>
      <c r="U2571" s="69"/>
    </row>
    <row r="2572" spans="19:21" ht="15" customHeight="1" x14ac:dyDescent="0.2">
      <c r="S2572" s="69">
        <f>_xlfn.XLOOKUP(Results!A2572,Geometry!$B$6:$B$10000,Geometry!$C$6:$C$10000)</f>
        <v>0</v>
      </c>
      <c r="T2572" s="69"/>
      <c r="U2572" s="69"/>
    </row>
    <row r="2573" spans="19:21" ht="15" customHeight="1" x14ac:dyDescent="0.2">
      <c r="S2573" s="69">
        <f>_xlfn.XLOOKUP(Results!A2573,Geometry!$B$6:$B$10000,Geometry!$C$6:$C$10000)</f>
        <v>0</v>
      </c>
      <c r="T2573" s="69"/>
      <c r="U2573" s="69"/>
    </row>
    <row r="2574" spans="19:21" ht="15" customHeight="1" x14ac:dyDescent="0.2">
      <c r="S2574" s="69">
        <f>_xlfn.XLOOKUP(Results!A2574,Geometry!$B$6:$B$10000,Geometry!$C$6:$C$10000)</f>
        <v>0</v>
      </c>
      <c r="T2574" s="69"/>
      <c r="U2574" s="69"/>
    </row>
    <row r="2575" spans="19:21" ht="15" customHeight="1" x14ac:dyDescent="0.2">
      <c r="S2575" s="69">
        <f>_xlfn.XLOOKUP(Results!A2575,Geometry!$B$6:$B$10000,Geometry!$C$6:$C$10000)</f>
        <v>0</v>
      </c>
      <c r="T2575" s="69"/>
      <c r="U2575" s="69"/>
    </row>
    <row r="2576" spans="19:21" ht="15" customHeight="1" x14ac:dyDescent="0.2">
      <c r="S2576" s="69">
        <f>_xlfn.XLOOKUP(Results!A2576,Geometry!$B$6:$B$10000,Geometry!$C$6:$C$10000)</f>
        <v>0</v>
      </c>
      <c r="T2576" s="69"/>
      <c r="U2576" s="69"/>
    </row>
    <row r="2577" spans="19:21" ht="15" customHeight="1" x14ac:dyDescent="0.2">
      <c r="S2577" s="69">
        <f>_xlfn.XLOOKUP(Results!A2577,Geometry!$B$6:$B$10000,Geometry!$C$6:$C$10000)</f>
        <v>0</v>
      </c>
      <c r="T2577" s="69"/>
      <c r="U2577" s="69"/>
    </row>
    <row r="2578" spans="19:21" ht="15" customHeight="1" x14ac:dyDescent="0.2">
      <c r="S2578" s="69">
        <f>_xlfn.XLOOKUP(Results!A2578,Geometry!$B$6:$B$10000,Geometry!$C$6:$C$10000)</f>
        <v>0</v>
      </c>
      <c r="T2578" s="69"/>
      <c r="U2578" s="69"/>
    </row>
    <row r="2579" spans="19:21" ht="15" customHeight="1" x14ac:dyDescent="0.2">
      <c r="S2579" s="69">
        <f>_xlfn.XLOOKUP(Results!A2579,Geometry!$B$6:$B$10000,Geometry!$C$6:$C$10000)</f>
        <v>0</v>
      </c>
      <c r="T2579" s="69"/>
      <c r="U2579" s="69"/>
    </row>
    <row r="2580" spans="19:21" ht="15" customHeight="1" x14ac:dyDescent="0.2">
      <c r="S2580" s="69">
        <f>_xlfn.XLOOKUP(Results!A2580,Geometry!$B$6:$B$10000,Geometry!$C$6:$C$10000)</f>
        <v>0</v>
      </c>
      <c r="T2580" s="69"/>
      <c r="U2580" s="69"/>
    </row>
    <row r="2581" spans="19:21" ht="15" customHeight="1" x14ac:dyDescent="0.2">
      <c r="S2581" s="69">
        <f>_xlfn.XLOOKUP(Results!A2581,Geometry!$B$6:$B$10000,Geometry!$C$6:$C$10000)</f>
        <v>0</v>
      </c>
      <c r="T2581" s="69"/>
      <c r="U2581" s="69"/>
    </row>
    <row r="2582" spans="19:21" ht="15" customHeight="1" x14ac:dyDescent="0.2">
      <c r="S2582" s="69">
        <f>_xlfn.XLOOKUP(Results!A2582,Geometry!$B$6:$B$10000,Geometry!$C$6:$C$10000)</f>
        <v>0</v>
      </c>
      <c r="T2582" s="69"/>
      <c r="U2582" s="69"/>
    </row>
    <row r="2583" spans="19:21" ht="15" customHeight="1" x14ac:dyDescent="0.2">
      <c r="S2583" s="69">
        <f>_xlfn.XLOOKUP(Results!A2583,Geometry!$B$6:$B$10000,Geometry!$C$6:$C$10000)</f>
        <v>0</v>
      </c>
      <c r="T2583" s="69"/>
      <c r="U2583" s="69"/>
    </row>
    <row r="2584" spans="19:21" ht="15" customHeight="1" x14ac:dyDescent="0.2">
      <c r="S2584" s="69">
        <f>_xlfn.XLOOKUP(Results!A2584,Geometry!$B$6:$B$10000,Geometry!$C$6:$C$10000)</f>
        <v>0</v>
      </c>
      <c r="T2584" s="69"/>
      <c r="U2584" s="69"/>
    </row>
    <row r="2585" spans="19:21" ht="15" customHeight="1" x14ac:dyDescent="0.2">
      <c r="S2585" s="69">
        <f>_xlfn.XLOOKUP(Results!A2585,Geometry!$B$6:$B$10000,Geometry!$C$6:$C$10000)</f>
        <v>0</v>
      </c>
      <c r="T2585" s="69"/>
      <c r="U2585" s="69"/>
    </row>
    <row r="2586" spans="19:21" ht="15" customHeight="1" x14ac:dyDescent="0.2">
      <c r="S2586" s="69">
        <f>_xlfn.XLOOKUP(Results!A2586,Geometry!$B$6:$B$10000,Geometry!$C$6:$C$10000)</f>
        <v>0</v>
      </c>
      <c r="T2586" s="69"/>
      <c r="U2586" s="69"/>
    </row>
    <row r="2587" spans="19:21" ht="15" customHeight="1" x14ac:dyDescent="0.2">
      <c r="S2587" s="69">
        <f>_xlfn.XLOOKUP(Results!A2587,Geometry!$B$6:$B$10000,Geometry!$C$6:$C$10000)</f>
        <v>0</v>
      </c>
      <c r="T2587" s="69"/>
      <c r="U2587" s="69"/>
    </row>
    <row r="2588" spans="19:21" ht="15" customHeight="1" x14ac:dyDescent="0.2">
      <c r="S2588" s="69">
        <f>_xlfn.XLOOKUP(Results!A2588,Geometry!$B$6:$B$10000,Geometry!$C$6:$C$10000)</f>
        <v>0</v>
      </c>
      <c r="T2588" s="69"/>
      <c r="U2588" s="69"/>
    </row>
    <row r="2589" spans="19:21" ht="15" customHeight="1" x14ac:dyDescent="0.2">
      <c r="S2589" s="69">
        <f>_xlfn.XLOOKUP(Results!A2589,Geometry!$B$6:$B$10000,Geometry!$C$6:$C$10000)</f>
        <v>0</v>
      </c>
      <c r="T2589" s="69"/>
      <c r="U2589" s="69"/>
    </row>
    <row r="2590" spans="19:21" ht="15" customHeight="1" x14ac:dyDescent="0.2">
      <c r="S2590" s="69">
        <f>_xlfn.XLOOKUP(Results!A2590,Geometry!$B$6:$B$10000,Geometry!$C$6:$C$10000)</f>
        <v>0</v>
      </c>
      <c r="T2590" s="69"/>
      <c r="U2590" s="69"/>
    </row>
    <row r="2591" spans="19:21" ht="15" customHeight="1" x14ac:dyDescent="0.2">
      <c r="S2591" s="69">
        <f>_xlfn.XLOOKUP(Results!A2591,Geometry!$B$6:$B$10000,Geometry!$C$6:$C$10000)</f>
        <v>0</v>
      </c>
      <c r="T2591" s="69"/>
      <c r="U2591" s="69"/>
    </row>
    <row r="2592" spans="19:21" ht="15" customHeight="1" x14ac:dyDescent="0.2">
      <c r="S2592" s="69">
        <f>_xlfn.XLOOKUP(Results!A2592,Geometry!$B$6:$B$10000,Geometry!$C$6:$C$10000)</f>
        <v>0</v>
      </c>
      <c r="T2592" s="69"/>
      <c r="U2592" s="69"/>
    </row>
    <row r="2593" spans="19:21" ht="15" customHeight="1" x14ac:dyDescent="0.2">
      <c r="S2593" s="69">
        <f>_xlfn.XLOOKUP(Results!A2593,Geometry!$B$6:$B$10000,Geometry!$C$6:$C$10000)</f>
        <v>0</v>
      </c>
      <c r="T2593" s="69"/>
      <c r="U2593" s="69"/>
    </row>
    <row r="2594" spans="19:21" ht="15" customHeight="1" x14ac:dyDescent="0.2">
      <c r="S2594" s="69">
        <f>_xlfn.XLOOKUP(Results!A2594,Geometry!$B$6:$B$10000,Geometry!$C$6:$C$10000)</f>
        <v>0</v>
      </c>
      <c r="T2594" s="69"/>
      <c r="U2594" s="69"/>
    </row>
    <row r="2595" spans="19:21" ht="15" customHeight="1" x14ac:dyDescent="0.2">
      <c r="S2595" s="69">
        <f>_xlfn.XLOOKUP(Results!A2595,Geometry!$B$6:$B$10000,Geometry!$C$6:$C$10000)</f>
        <v>0</v>
      </c>
      <c r="T2595" s="69"/>
      <c r="U2595" s="69"/>
    </row>
    <row r="2596" spans="19:21" ht="15" customHeight="1" x14ac:dyDescent="0.2">
      <c r="S2596" s="69">
        <f>_xlfn.XLOOKUP(Results!A2596,Geometry!$B$6:$B$10000,Geometry!$C$6:$C$10000)</f>
        <v>0</v>
      </c>
      <c r="T2596" s="69"/>
      <c r="U2596" s="69"/>
    </row>
    <row r="2597" spans="19:21" ht="15" customHeight="1" x14ac:dyDescent="0.2">
      <c r="S2597" s="69">
        <f>_xlfn.XLOOKUP(Results!A2597,Geometry!$B$6:$B$10000,Geometry!$C$6:$C$10000)</f>
        <v>0</v>
      </c>
      <c r="T2597" s="69"/>
      <c r="U2597" s="69"/>
    </row>
    <row r="2598" spans="19:21" ht="15" customHeight="1" x14ac:dyDescent="0.2">
      <c r="S2598" s="69">
        <f>_xlfn.XLOOKUP(Results!A2598,Geometry!$B$6:$B$10000,Geometry!$C$6:$C$10000)</f>
        <v>0</v>
      </c>
      <c r="T2598" s="69"/>
      <c r="U2598" s="69"/>
    </row>
    <row r="2599" spans="19:21" ht="15" customHeight="1" x14ac:dyDescent="0.2">
      <c r="S2599" s="69">
        <f>_xlfn.XLOOKUP(Results!A2599,Geometry!$B$6:$B$10000,Geometry!$C$6:$C$10000)</f>
        <v>0</v>
      </c>
      <c r="T2599" s="69"/>
      <c r="U2599" s="69"/>
    </row>
    <row r="2600" spans="19:21" ht="15" customHeight="1" x14ac:dyDescent="0.2">
      <c r="S2600" s="69">
        <f>_xlfn.XLOOKUP(Results!A2600,Geometry!$B$6:$B$10000,Geometry!$C$6:$C$10000)</f>
        <v>0</v>
      </c>
      <c r="T2600" s="69"/>
      <c r="U2600" s="69"/>
    </row>
    <row r="2601" spans="19:21" ht="15" customHeight="1" x14ac:dyDescent="0.2">
      <c r="S2601" s="69">
        <f>_xlfn.XLOOKUP(Results!A2601,Geometry!$B$6:$B$10000,Geometry!$C$6:$C$10000)</f>
        <v>0</v>
      </c>
      <c r="T2601" s="69"/>
      <c r="U2601" s="69"/>
    </row>
    <row r="2602" spans="19:21" ht="15" customHeight="1" x14ac:dyDescent="0.2">
      <c r="S2602" s="69">
        <f>_xlfn.XLOOKUP(Results!A2602,Geometry!$B$6:$B$10000,Geometry!$C$6:$C$10000)</f>
        <v>0</v>
      </c>
      <c r="T2602" s="69"/>
      <c r="U2602" s="69"/>
    </row>
    <row r="2603" spans="19:21" ht="15" customHeight="1" x14ac:dyDescent="0.2">
      <c r="S2603" s="69">
        <f>_xlfn.XLOOKUP(Results!A2603,Geometry!$B$6:$B$10000,Geometry!$C$6:$C$10000)</f>
        <v>0</v>
      </c>
      <c r="T2603" s="69"/>
      <c r="U2603" s="69"/>
    </row>
    <row r="2604" spans="19:21" ht="15" customHeight="1" x14ac:dyDescent="0.2">
      <c r="S2604" s="69">
        <f>_xlfn.XLOOKUP(Results!A2604,Geometry!$B$6:$B$10000,Geometry!$C$6:$C$10000)</f>
        <v>0</v>
      </c>
      <c r="T2604" s="69"/>
      <c r="U2604" s="69"/>
    </row>
    <row r="2605" spans="19:21" ht="15" customHeight="1" x14ac:dyDescent="0.2">
      <c r="S2605" s="69">
        <f>_xlfn.XLOOKUP(Results!A2605,Geometry!$B$6:$B$10000,Geometry!$C$6:$C$10000)</f>
        <v>0</v>
      </c>
      <c r="T2605" s="69"/>
      <c r="U2605" s="69"/>
    </row>
    <row r="2606" spans="19:21" ht="15" customHeight="1" x14ac:dyDescent="0.2">
      <c r="S2606" s="69">
        <f>_xlfn.XLOOKUP(Results!A2606,Geometry!$B$6:$B$10000,Geometry!$C$6:$C$10000)</f>
        <v>0</v>
      </c>
      <c r="T2606" s="69"/>
      <c r="U2606" s="69"/>
    </row>
    <row r="2607" spans="19:21" ht="15" customHeight="1" x14ac:dyDescent="0.2">
      <c r="S2607" s="69">
        <f>_xlfn.XLOOKUP(Results!A2607,Geometry!$B$6:$B$10000,Geometry!$C$6:$C$10000)</f>
        <v>0</v>
      </c>
      <c r="T2607" s="69"/>
      <c r="U2607" s="69"/>
    </row>
    <row r="2608" spans="19:21" ht="15" customHeight="1" x14ac:dyDescent="0.2">
      <c r="S2608" s="69">
        <f>_xlfn.XLOOKUP(Results!A2608,Geometry!$B$6:$B$10000,Geometry!$C$6:$C$10000)</f>
        <v>0</v>
      </c>
      <c r="T2608" s="69"/>
      <c r="U2608" s="69"/>
    </row>
    <row r="2609" spans="19:21" ht="15" customHeight="1" x14ac:dyDescent="0.2">
      <c r="S2609" s="69">
        <f>_xlfn.XLOOKUP(Results!A2609,Geometry!$B$6:$B$10000,Geometry!$C$6:$C$10000)</f>
        <v>0</v>
      </c>
      <c r="T2609" s="69"/>
      <c r="U2609" s="69"/>
    </row>
    <row r="2610" spans="19:21" ht="15" customHeight="1" x14ac:dyDescent="0.2">
      <c r="S2610" s="69">
        <f>_xlfn.XLOOKUP(Results!A2610,Geometry!$B$6:$B$10000,Geometry!$C$6:$C$10000)</f>
        <v>0</v>
      </c>
      <c r="T2610" s="69"/>
      <c r="U2610" s="69"/>
    </row>
    <row r="2611" spans="19:21" ht="15" customHeight="1" x14ac:dyDescent="0.2">
      <c r="S2611" s="69">
        <f>_xlfn.XLOOKUP(Results!A2611,Geometry!$B$6:$B$10000,Geometry!$C$6:$C$10000)</f>
        <v>0</v>
      </c>
      <c r="T2611" s="69"/>
      <c r="U2611" s="69"/>
    </row>
    <row r="2612" spans="19:21" ht="15" customHeight="1" x14ac:dyDescent="0.2">
      <c r="S2612" s="69">
        <f>_xlfn.XLOOKUP(Results!A2612,Geometry!$B$6:$B$10000,Geometry!$C$6:$C$10000)</f>
        <v>0</v>
      </c>
      <c r="T2612" s="69"/>
      <c r="U2612" s="69"/>
    </row>
    <row r="2613" spans="19:21" ht="15" customHeight="1" x14ac:dyDescent="0.2">
      <c r="S2613" s="69">
        <f>_xlfn.XLOOKUP(Results!A2613,Geometry!$B$6:$B$10000,Geometry!$C$6:$C$10000)</f>
        <v>0</v>
      </c>
      <c r="T2613" s="69"/>
      <c r="U2613" s="69"/>
    </row>
    <row r="2614" spans="19:21" ht="15" customHeight="1" x14ac:dyDescent="0.2">
      <c r="S2614" s="69">
        <f>_xlfn.XLOOKUP(Results!A2614,Geometry!$B$6:$B$10000,Geometry!$C$6:$C$10000)</f>
        <v>0</v>
      </c>
      <c r="T2614" s="69"/>
      <c r="U2614" s="69"/>
    </row>
    <row r="2615" spans="19:21" ht="15" customHeight="1" x14ac:dyDescent="0.2">
      <c r="S2615" s="69">
        <f>_xlfn.XLOOKUP(Results!A2615,Geometry!$B$6:$B$10000,Geometry!$C$6:$C$10000)</f>
        <v>0</v>
      </c>
      <c r="T2615" s="69"/>
      <c r="U2615" s="69"/>
    </row>
    <row r="2616" spans="19:21" ht="15" customHeight="1" x14ac:dyDescent="0.2">
      <c r="S2616" s="69">
        <f>_xlfn.XLOOKUP(Results!A2616,Geometry!$B$6:$B$10000,Geometry!$C$6:$C$10000)</f>
        <v>0</v>
      </c>
      <c r="T2616" s="69"/>
      <c r="U2616" s="69"/>
    </row>
    <row r="2617" spans="19:21" ht="15" customHeight="1" x14ac:dyDescent="0.2">
      <c r="S2617" s="69">
        <f>_xlfn.XLOOKUP(Results!A2617,Geometry!$B$6:$B$10000,Geometry!$C$6:$C$10000)</f>
        <v>0</v>
      </c>
      <c r="T2617" s="69"/>
      <c r="U2617" s="69"/>
    </row>
    <row r="2618" spans="19:21" ht="15" customHeight="1" x14ac:dyDescent="0.2">
      <c r="S2618" s="69">
        <f>_xlfn.XLOOKUP(Results!A2618,Geometry!$B$6:$B$10000,Geometry!$C$6:$C$10000)</f>
        <v>0</v>
      </c>
      <c r="T2618" s="69"/>
      <c r="U2618" s="69"/>
    </row>
    <row r="2619" spans="19:21" ht="15" customHeight="1" x14ac:dyDescent="0.2">
      <c r="S2619" s="69">
        <f>_xlfn.XLOOKUP(Results!A2619,Geometry!$B$6:$B$10000,Geometry!$C$6:$C$10000)</f>
        <v>0</v>
      </c>
      <c r="T2619" s="69"/>
      <c r="U2619" s="69"/>
    </row>
    <row r="2620" spans="19:21" ht="15" customHeight="1" x14ac:dyDescent="0.2">
      <c r="S2620" s="69">
        <f>_xlfn.XLOOKUP(Results!A2620,Geometry!$B$6:$B$10000,Geometry!$C$6:$C$10000)</f>
        <v>0</v>
      </c>
      <c r="T2620" s="69"/>
      <c r="U2620" s="69"/>
    </row>
    <row r="2621" spans="19:21" ht="15" customHeight="1" x14ac:dyDescent="0.2">
      <c r="S2621" s="69">
        <f>_xlfn.XLOOKUP(Results!A2621,Geometry!$B$6:$B$10000,Geometry!$C$6:$C$10000)</f>
        <v>0</v>
      </c>
      <c r="T2621" s="69"/>
      <c r="U2621" s="69"/>
    </row>
    <row r="2622" spans="19:21" ht="15" customHeight="1" x14ac:dyDescent="0.2">
      <c r="S2622" s="69">
        <f>_xlfn.XLOOKUP(Results!A2622,Geometry!$B$6:$B$10000,Geometry!$C$6:$C$10000)</f>
        <v>0</v>
      </c>
      <c r="T2622" s="69"/>
      <c r="U2622" s="69"/>
    </row>
    <row r="2623" spans="19:21" ht="15" customHeight="1" x14ac:dyDescent="0.2">
      <c r="S2623" s="69">
        <f>_xlfn.XLOOKUP(Results!A2623,Geometry!$B$6:$B$10000,Geometry!$C$6:$C$10000)</f>
        <v>0</v>
      </c>
      <c r="T2623" s="69"/>
      <c r="U2623" s="69"/>
    </row>
    <row r="2624" spans="19:21" ht="15" customHeight="1" x14ac:dyDescent="0.2">
      <c r="S2624" s="69">
        <f>_xlfn.XLOOKUP(Results!A2624,Geometry!$B$6:$B$10000,Geometry!$C$6:$C$10000)</f>
        <v>0</v>
      </c>
      <c r="T2624" s="69"/>
      <c r="U2624" s="69"/>
    </row>
    <row r="2625" spans="19:21" ht="15" customHeight="1" x14ac:dyDescent="0.2">
      <c r="S2625" s="69">
        <f>_xlfn.XLOOKUP(Results!A2625,Geometry!$B$6:$B$10000,Geometry!$C$6:$C$10000)</f>
        <v>0</v>
      </c>
      <c r="T2625" s="69"/>
      <c r="U2625" s="69"/>
    </row>
    <row r="2626" spans="19:21" ht="15" customHeight="1" x14ac:dyDescent="0.2">
      <c r="S2626" s="69">
        <f>_xlfn.XLOOKUP(Results!A2626,Geometry!$B$6:$B$10000,Geometry!$C$6:$C$10000)</f>
        <v>0</v>
      </c>
      <c r="T2626" s="69"/>
      <c r="U2626" s="69"/>
    </row>
    <row r="2627" spans="19:21" ht="15" customHeight="1" x14ac:dyDescent="0.2">
      <c r="S2627" s="69">
        <f>_xlfn.XLOOKUP(Results!A2627,Geometry!$B$6:$B$10000,Geometry!$C$6:$C$10000)</f>
        <v>0</v>
      </c>
      <c r="T2627" s="69"/>
      <c r="U2627" s="69"/>
    </row>
    <row r="2628" spans="19:21" ht="15" customHeight="1" x14ac:dyDescent="0.2">
      <c r="S2628" s="69">
        <f>_xlfn.XLOOKUP(Results!A2628,Geometry!$B$6:$B$10000,Geometry!$C$6:$C$10000)</f>
        <v>0</v>
      </c>
      <c r="T2628" s="69"/>
      <c r="U2628" s="69"/>
    </row>
    <row r="2629" spans="19:21" ht="15" customHeight="1" x14ac:dyDescent="0.2">
      <c r="S2629" s="69">
        <f>_xlfn.XLOOKUP(Results!A2629,Geometry!$B$6:$B$10000,Geometry!$C$6:$C$10000)</f>
        <v>0</v>
      </c>
      <c r="T2629" s="69"/>
      <c r="U2629" s="69"/>
    </row>
    <row r="2630" spans="19:21" ht="15" customHeight="1" x14ac:dyDescent="0.2">
      <c r="S2630" s="69">
        <f>_xlfn.XLOOKUP(Results!A2630,Geometry!$B$6:$B$10000,Geometry!$C$6:$C$10000)</f>
        <v>0</v>
      </c>
      <c r="T2630" s="69"/>
      <c r="U2630" s="69"/>
    </row>
    <row r="2631" spans="19:21" ht="15" customHeight="1" x14ac:dyDescent="0.2">
      <c r="S2631" s="69">
        <f>_xlfn.XLOOKUP(Results!A2631,Geometry!$B$6:$B$10000,Geometry!$C$6:$C$10000)</f>
        <v>0</v>
      </c>
      <c r="T2631" s="69"/>
      <c r="U2631" s="69"/>
    </row>
    <row r="2632" spans="19:21" ht="15" customHeight="1" x14ac:dyDescent="0.2">
      <c r="S2632" s="69">
        <f>_xlfn.XLOOKUP(Results!A2632,Geometry!$B$6:$B$10000,Geometry!$C$6:$C$10000)</f>
        <v>0</v>
      </c>
      <c r="T2632" s="69"/>
      <c r="U2632" s="69"/>
    </row>
    <row r="2633" spans="19:21" ht="15" customHeight="1" x14ac:dyDescent="0.2">
      <c r="S2633" s="69">
        <f>_xlfn.XLOOKUP(Results!A2633,Geometry!$B$6:$B$10000,Geometry!$C$6:$C$10000)</f>
        <v>0</v>
      </c>
      <c r="T2633" s="69"/>
      <c r="U2633" s="69"/>
    </row>
    <row r="2634" spans="19:21" ht="15" customHeight="1" x14ac:dyDescent="0.2">
      <c r="S2634" s="69">
        <f>_xlfn.XLOOKUP(Results!A2634,Geometry!$B$6:$B$10000,Geometry!$C$6:$C$10000)</f>
        <v>0</v>
      </c>
      <c r="T2634" s="69"/>
      <c r="U2634" s="69"/>
    </row>
    <row r="2635" spans="19:21" ht="15" customHeight="1" x14ac:dyDescent="0.2">
      <c r="S2635" s="69">
        <f>_xlfn.XLOOKUP(Results!A2635,Geometry!$B$6:$B$10000,Geometry!$C$6:$C$10000)</f>
        <v>0</v>
      </c>
      <c r="T2635" s="69"/>
      <c r="U2635" s="69"/>
    </row>
    <row r="2636" spans="19:21" ht="15" customHeight="1" x14ac:dyDescent="0.2">
      <c r="S2636" s="69">
        <f>_xlfn.XLOOKUP(Results!A2636,Geometry!$B$6:$B$10000,Geometry!$C$6:$C$10000)</f>
        <v>0</v>
      </c>
      <c r="T2636" s="69"/>
      <c r="U2636" s="69"/>
    </row>
    <row r="2637" spans="19:21" ht="15" customHeight="1" x14ac:dyDescent="0.2">
      <c r="S2637" s="69">
        <f>_xlfn.XLOOKUP(Results!A2637,Geometry!$B$6:$B$10000,Geometry!$C$6:$C$10000)</f>
        <v>0</v>
      </c>
      <c r="T2637" s="69"/>
      <c r="U2637" s="69"/>
    </row>
    <row r="2638" spans="19:21" ht="15" customHeight="1" x14ac:dyDescent="0.2">
      <c r="S2638" s="69">
        <f>_xlfn.XLOOKUP(Results!A2638,Geometry!$B$6:$B$10000,Geometry!$C$6:$C$10000)</f>
        <v>0</v>
      </c>
      <c r="T2638" s="69"/>
      <c r="U2638" s="69"/>
    </row>
    <row r="2639" spans="19:21" ht="15" customHeight="1" x14ac:dyDescent="0.2">
      <c r="S2639" s="69">
        <f>_xlfn.XLOOKUP(Results!A2639,Geometry!$B$6:$B$10000,Geometry!$C$6:$C$10000)</f>
        <v>0</v>
      </c>
      <c r="T2639" s="69"/>
      <c r="U2639" s="69"/>
    </row>
    <row r="2640" spans="19:21" ht="15" customHeight="1" x14ac:dyDescent="0.2">
      <c r="S2640" s="69">
        <f>_xlfn.XLOOKUP(Results!A2640,Geometry!$B$6:$B$10000,Geometry!$C$6:$C$10000)</f>
        <v>0</v>
      </c>
      <c r="T2640" s="69"/>
      <c r="U2640" s="69"/>
    </row>
    <row r="2641" spans="19:21" ht="15" customHeight="1" x14ac:dyDescent="0.2">
      <c r="S2641" s="69">
        <f>_xlfn.XLOOKUP(Results!A2641,Geometry!$B$6:$B$10000,Geometry!$C$6:$C$10000)</f>
        <v>0</v>
      </c>
      <c r="T2641" s="69"/>
      <c r="U2641" s="69"/>
    </row>
    <row r="2642" spans="19:21" ht="15" customHeight="1" x14ac:dyDescent="0.2">
      <c r="S2642" s="69">
        <f>_xlfn.XLOOKUP(Results!A2642,Geometry!$B$6:$B$10000,Geometry!$C$6:$C$10000)</f>
        <v>0</v>
      </c>
      <c r="T2642" s="69"/>
      <c r="U2642" s="69"/>
    </row>
    <row r="2643" spans="19:21" ht="15" customHeight="1" x14ac:dyDescent="0.2">
      <c r="S2643" s="69">
        <f>_xlfn.XLOOKUP(Results!A2643,Geometry!$B$6:$B$10000,Geometry!$C$6:$C$10000)</f>
        <v>0</v>
      </c>
      <c r="T2643" s="69"/>
      <c r="U2643" s="69"/>
    </row>
    <row r="2644" spans="19:21" ht="15" customHeight="1" x14ac:dyDescent="0.2">
      <c r="S2644" s="69">
        <f>_xlfn.XLOOKUP(Results!A2644,Geometry!$B$6:$B$10000,Geometry!$C$6:$C$10000)</f>
        <v>0</v>
      </c>
      <c r="T2644" s="69"/>
      <c r="U2644" s="69"/>
    </row>
    <row r="2645" spans="19:21" ht="15" customHeight="1" x14ac:dyDescent="0.2">
      <c r="S2645" s="69">
        <f>_xlfn.XLOOKUP(Results!A2645,Geometry!$B$6:$B$10000,Geometry!$C$6:$C$10000)</f>
        <v>0</v>
      </c>
      <c r="T2645" s="69"/>
      <c r="U2645" s="69"/>
    </row>
    <row r="2646" spans="19:21" ht="15" customHeight="1" x14ac:dyDescent="0.2">
      <c r="S2646" s="69">
        <f>_xlfn.XLOOKUP(Results!A2646,Geometry!$B$6:$B$10000,Geometry!$C$6:$C$10000)</f>
        <v>0</v>
      </c>
      <c r="T2646" s="69"/>
      <c r="U2646" s="69"/>
    </row>
    <row r="2647" spans="19:21" ht="15" customHeight="1" x14ac:dyDescent="0.2">
      <c r="S2647" s="69">
        <f>_xlfn.XLOOKUP(Results!A2647,Geometry!$B$6:$B$10000,Geometry!$C$6:$C$10000)</f>
        <v>0</v>
      </c>
      <c r="T2647" s="69"/>
      <c r="U2647" s="69"/>
    </row>
    <row r="2648" spans="19:21" ht="15" customHeight="1" x14ac:dyDescent="0.2">
      <c r="S2648" s="69">
        <f>_xlfn.XLOOKUP(Results!A2648,Geometry!$B$6:$B$10000,Geometry!$C$6:$C$10000)</f>
        <v>0</v>
      </c>
      <c r="T2648" s="69"/>
      <c r="U2648" s="69"/>
    </row>
    <row r="2649" spans="19:21" ht="15" customHeight="1" x14ac:dyDescent="0.2">
      <c r="S2649" s="69">
        <f>_xlfn.XLOOKUP(Results!A2649,Geometry!$B$6:$B$10000,Geometry!$C$6:$C$10000)</f>
        <v>0</v>
      </c>
      <c r="T2649" s="69"/>
      <c r="U2649" s="69"/>
    </row>
    <row r="2650" spans="19:21" ht="15" customHeight="1" x14ac:dyDescent="0.2">
      <c r="S2650" s="69">
        <f>_xlfn.XLOOKUP(Results!A2650,Geometry!$B$6:$B$10000,Geometry!$C$6:$C$10000)</f>
        <v>0</v>
      </c>
      <c r="T2650" s="69"/>
      <c r="U2650" s="69"/>
    </row>
    <row r="2651" spans="19:21" ht="15" customHeight="1" x14ac:dyDescent="0.2">
      <c r="S2651" s="69">
        <f>_xlfn.XLOOKUP(Results!A2651,Geometry!$B$6:$B$10000,Geometry!$C$6:$C$10000)</f>
        <v>0</v>
      </c>
      <c r="T2651" s="69"/>
      <c r="U2651" s="69"/>
    </row>
    <row r="2652" spans="19:21" ht="15" customHeight="1" x14ac:dyDescent="0.2">
      <c r="S2652" s="69">
        <f>_xlfn.XLOOKUP(Results!A2652,Geometry!$B$6:$B$10000,Geometry!$C$6:$C$10000)</f>
        <v>0</v>
      </c>
      <c r="T2652" s="69"/>
      <c r="U2652" s="69"/>
    </row>
    <row r="2653" spans="19:21" ht="15" customHeight="1" x14ac:dyDescent="0.2">
      <c r="S2653" s="69">
        <f>_xlfn.XLOOKUP(Results!A2653,Geometry!$B$6:$B$10000,Geometry!$C$6:$C$10000)</f>
        <v>0</v>
      </c>
      <c r="T2653" s="69"/>
      <c r="U2653" s="69"/>
    </row>
    <row r="2654" spans="19:21" ht="15" customHeight="1" x14ac:dyDescent="0.2">
      <c r="S2654" s="69">
        <f>_xlfn.XLOOKUP(Results!A2654,Geometry!$B$6:$B$10000,Geometry!$C$6:$C$10000)</f>
        <v>0</v>
      </c>
      <c r="T2654" s="69"/>
      <c r="U2654" s="69"/>
    </row>
    <row r="2655" spans="19:21" ht="15" customHeight="1" x14ac:dyDescent="0.2">
      <c r="S2655" s="69">
        <f>_xlfn.XLOOKUP(Results!A2655,Geometry!$B$6:$B$10000,Geometry!$C$6:$C$10000)</f>
        <v>0</v>
      </c>
      <c r="T2655" s="69"/>
      <c r="U2655" s="69"/>
    </row>
    <row r="2656" spans="19:21" ht="15" customHeight="1" x14ac:dyDescent="0.2">
      <c r="S2656" s="69">
        <f>_xlfn.XLOOKUP(Results!A2656,Geometry!$B$6:$B$10000,Geometry!$C$6:$C$10000)</f>
        <v>0</v>
      </c>
      <c r="T2656" s="69"/>
      <c r="U2656" s="69"/>
    </row>
    <row r="2657" spans="19:21" ht="15" customHeight="1" x14ac:dyDescent="0.2">
      <c r="S2657" s="69">
        <f>_xlfn.XLOOKUP(Results!A2657,Geometry!$B$6:$B$10000,Geometry!$C$6:$C$10000)</f>
        <v>0</v>
      </c>
      <c r="T2657" s="69"/>
      <c r="U2657" s="69"/>
    </row>
    <row r="2658" spans="19:21" ht="15" customHeight="1" x14ac:dyDescent="0.2">
      <c r="S2658" s="69">
        <f>_xlfn.XLOOKUP(Results!A2658,Geometry!$B$6:$B$10000,Geometry!$C$6:$C$10000)</f>
        <v>0</v>
      </c>
      <c r="T2658" s="69"/>
      <c r="U2658" s="69"/>
    </row>
    <row r="2659" spans="19:21" ht="15" customHeight="1" x14ac:dyDescent="0.2">
      <c r="S2659" s="69">
        <f>_xlfn.XLOOKUP(Results!A2659,Geometry!$B$6:$B$10000,Geometry!$C$6:$C$10000)</f>
        <v>0</v>
      </c>
      <c r="T2659" s="69"/>
      <c r="U2659" s="69"/>
    </row>
    <row r="2660" spans="19:21" ht="15" customHeight="1" x14ac:dyDescent="0.2">
      <c r="S2660" s="69">
        <f>_xlfn.XLOOKUP(Results!A2660,Geometry!$B$6:$B$10000,Geometry!$C$6:$C$10000)</f>
        <v>0</v>
      </c>
      <c r="T2660" s="69"/>
      <c r="U2660" s="69"/>
    </row>
    <row r="2661" spans="19:21" ht="15" customHeight="1" x14ac:dyDescent="0.2">
      <c r="S2661" s="69">
        <f>_xlfn.XLOOKUP(Results!A2661,Geometry!$B$6:$B$10000,Geometry!$C$6:$C$10000)</f>
        <v>0</v>
      </c>
      <c r="T2661" s="69"/>
      <c r="U2661" s="69"/>
    </row>
    <row r="2662" spans="19:21" ht="15" customHeight="1" x14ac:dyDescent="0.2">
      <c r="S2662" s="69">
        <f>_xlfn.XLOOKUP(Results!A2662,Geometry!$B$6:$B$10000,Geometry!$C$6:$C$10000)</f>
        <v>0</v>
      </c>
      <c r="T2662" s="69"/>
      <c r="U2662" s="69"/>
    </row>
    <row r="2663" spans="19:21" ht="15" customHeight="1" x14ac:dyDescent="0.2">
      <c r="S2663" s="69">
        <f>_xlfn.XLOOKUP(Results!A2663,Geometry!$B$6:$B$10000,Geometry!$C$6:$C$10000)</f>
        <v>0</v>
      </c>
      <c r="T2663" s="69"/>
      <c r="U2663" s="69"/>
    </row>
    <row r="2664" spans="19:21" ht="15" customHeight="1" x14ac:dyDescent="0.2">
      <c r="S2664" s="69">
        <f>_xlfn.XLOOKUP(Results!A2664,Geometry!$B$6:$B$10000,Geometry!$C$6:$C$10000)</f>
        <v>0</v>
      </c>
      <c r="T2664" s="69"/>
      <c r="U2664" s="69"/>
    </row>
    <row r="2665" spans="19:21" ht="15" customHeight="1" x14ac:dyDescent="0.2">
      <c r="S2665" s="69">
        <f>_xlfn.XLOOKUP(Results!A2665,Geometry!$B$6:$B$10000,Geometry!$C$6:$C$10000)</f>
        <v>0</v>
      </c>
      <c r="T2665" s="69"/>
      <c r="U2665" s="69"/>
    </row>
    <row r="2666" spans="19:21" ht="15" customHeight="1" x14ac:dyDescent="0.2">
      <c r="S2666" s="69">
        <f>_xlfn.XLOOKUP(Results!A2666,Geometry!$B$6:$B$10000,Geometry!$C$6:$C$10000)</f>
        <v>0</v>
      </c>
      <c r="T2666" s="69"/>
      <c r="U2666" s="69"/>
    </row>
    <row r="2667" spans="19:21" ht="15" customHeight="1" x14ac:dyDescent="0.2">
      <c r="S2667" s="69">
        <f>_xlfn.XLOOKUP(Results!A2667,Geometry!$B$6:$B$10000,Geometry!$C$6:$C$10000)</f>
        <v>0</v>
      </c>
      <c r="T2667" s="69"/>
      <c r="U2667" s="69"/>
    </row>
    <row r="2668" spans="19:21" ht="15" customHeight="1" x14ac:dyDescent="0.2">
      <c r="S2668" s="69">
        <f>_xlfn.XLOOKUP(Results!A2668,Geometry!$B$6:$B$10000,Geometry!$C$6:$C$10000)</f>
        <v>0</v>
      </c>
      <c r="T2668" s="69"/>
      <c r="U2668" s="69"/>
    </row>
    <row r="2669" spans="19:21" ht="15" customHeight="1" x14ac:dyDescent="0.2">
      <c r="S2669" s="69">
        <f>_xlfn.XLOOKUP(Results!A2669,Geometry!$B$6:$B$10000,Geometry!$C$6:$C$10000)</f>
        <v>0</v>
      </c>
      <c r="T2669" s="69"/>
      <c r="U2669" s="69"/>
    </row>
    <row r="2670" spans="19:21" ht="15" customHeight="1" x14ac:dyDescent="0.2">
      <c r="S2670" s="69">
        <f>_xlfn.XLOOKUP(Results!A2670,Geometry!$B$6:$B$10000,Geometry!$C$6:$C$10000)</f>
        <v>0</v>
      </c>
      <c r="T2670" s="69"/>
      <c r="U2670" s="69"/>
    </row>
    <row r="2671" spans="19:21" ht="15" customHeight="1" x14ac:dyDescent="0.2">
      <c r="S2671" s="69">
        <f>_xlfn.XLOOKUP(Results!A2671,Geometry!$B$6:$B$10000,Geometry!$C$6:$C$10000)</f>
        <v>0</v>
      </c>
      <c r="T2671" s="69"/>
      <c r="U2671" s="69"/>
    </row>
    <row r="2672" spans="19:21" ht="15" customHeight="1" x14ac:dyDescent="0.2">
      <c r="S2672" s="69">
        <f>_xlfn.XLOOKUP(Results!A2672,Geometry!$B$6:$B$10000,Geometry!$C$6:$C$10000)</f>
        <v>0</v>
      </c>
      <c r="T2672" s="69"/>
      <c r="U2672" s="69"/>
    </row>
    <row r="2673" spans="19:21" ht="15" customHeight="1" x14ac:dyDescent="0.2">
      <c r="S2673" s="69">
        <f>_xlfn.XLOOKUP(Results!A2673,Geometry!$B$6:$B$10000,Geometry!$C$6:$C$10000)</f>
        <v>0</v>
      </c>
      <c r="T2673" s="69"/>
      <c r="U2673" s="69"/>
    </row>
    <row r="2674" spans="19:21" ht="15" customHeight="1" x14ac:dyDescent="0.2">
      <c r="S2674" s="69">
        <f>_xlfn.XLOOKUP(Results!A2674,Geometry!$B$6:$B$10000,Geometry!$C$6:$C$10000)</f>
        <v>0</v>
      </c>
      <c r="T2674" s="69"/>
      <c r="U2674" s="69"/>
    </row>
    <row r="2675" spans="19:21" ht="15" customHeight="1" x14ac:dyDescent="0.2">
      <c r="S2675" s="69">
        <f>_xlfn.XLOOKUP(Results!A2675,Geometry!$B$6:$B$10000,Geometry!$C$6:$C$10000)</f>
        <v>0</v>
      </c>
      <c r="T2675" s="69"/>
      <c r="U2675" s="69"/>
    </row>
    <row r="2676" spans="19:21" ht="15" customHeight="1" x14ac:dyDescent="0.2">
      <c r="S2676" s="69">
        <f>_xlfn.XLOOKUP(Results!A2676,Geometry!$B$6:$B$10000,Geometry!$C$6:$C$10000)</f>
        <v>0</v>
      </c>
      <c r="T2676" s="69"/>
      <c r="U2676" s="69"/>
    </row>
    <row r="2677" spans="19:21" ht="15" customHeight="1" x14ac:dyDescent="0.2">
      <c r="S2677" s="69">
        <f>_xlfn.XLOOKUP(Results!A2677,Geometry!$B$6:$B$10000,Geometry!$C$6:$C$10000)</f>
        <v>0</v>
      </c>
      <c r="T2677" s="69"/>
      <c r="U2677" s="69"/>
    </row>
    <row r="2678" spans="19:21" ht="15" customHeight="1" x14ac:dyDescent="0.2">
      <c r="S2678" s="69">
        <f>_xlfn.XLOOKUP(Results!A2678,Geometry!$B$6:$B$10000,Geometry!$C$6:$C$10000)</f>
        <v>0</v>
      </c>
      <c r="T2678" s="69"/>
      <c r="U2678" s="69"/>
    </row>
    <row r="2679" spans="19:21" ht="15" customHeight="1" x14ac:dyDescent="0.2">
      <c r="S2679" s="69">
        <f>_xlfn.XLOOKUP(Results!A2679,Geometry!$B$6:$B$10000,Geometry!$C$6:$C$10000)</f>
        <v>0</v>
      </c>
      <c r="T2679" s="69"/>
      <c r="U2679" s="69"/>
    </row>
    <row r="2680" spans="19:21" ht="15" customHeight="1" x14ac:dyDescent="0.2">
      <c r="S2680" s="69">
        <f>_xlfn.XLOOKUP(Results!A2680,Geometry!$B$6:$B$10000,Geometry!$C$6:$C$10000)</f>
        <v>0</v>
      </c>
      <c r="T2680" s="69"/>
      <c r="U2680" s="69"/>
    </row>
    <row r="2681" spans="19:21" ht="15" customHeight="1" x14ac:dyDescent="0.2">
      <c r="S2681" s="69">
        <f>_xlfn.XLOOKUP(Results!A2681,Geometry!$B$6:$B$10000,Geometry!$C$6:$C$10000)</f>
        <v>0</v>
      </c>
      <c r="T2681" s="69"/>
      <c r="U2681" s="69"/>
    </row>
    <row r="2682" spans="19:21" ht="15" customHeight="1" x14ac:dyDescent="0.2">
      <c r="S2682" s="69">
        <f>_xlfn.XLOOKUP(Results!A2682,Geometry!$B$6:$B$10000,Geometry!$C$6:$C$10000)</f>
        <v>0</v>
      </c>
      <c r="T2682" s="69"/>
      <c r="U2682" s="69"/>
    </row>
    <row r="2683" spans="19:21" ht="15" customHeight="1" x14ac:dyDescent="0.2">
      <c r="S2683" s="69">
        <f>_xlfn.XLOOKUP(Results!A2683,Geometry!$B$6:$B$10000,Geometry!$C$6:$C$10000)</f>
        <v>0</v>
      </c>
      <c r="T2683" s="69"/>
      <c r="U2683" s="69"/>
    </row>
    <row r="2684" spans="19:21" ht="15" customHeight="1" x14ac:dyDescent="0.2">
      <c r="S2684" s="69">
        <f>_xlfn.XLOOKUP(Results!A2684,Geometry!$B$6:$B$10000,Geometry!$C$6:$C$10000)</f>
        <v>0</v>
      </c>
      <c r="T2684" s="69"/>
      <c r="U2684" s="69"/>
    </row>
    <row r="2685" spans="19:21" ht="15" customHeight="1" x14ac:dyDescent="0.2">
      <c r="S2685" s="69">
        <f>_xlfn.XLOOKUP(Results!A2685,Geometry!$B$6:$B$10000,Geometry!$C$6:$C$10000)</f>
        <v>0</v>
      </c>
      <c r="T2685" s="69"/>
      <c r="U2685" s="69"/>
    </row>
    <row r="2686" spans="19:21" ht="15" customHeight="1" x14ac:dyDescent="0.2">
      <c r="S2686" s="69">
        <f>_xlfn.XLOOKUP(Results!A2686,Geometry!$B$6:$B$10000,Geometry!$C$6:$C$10000)</f>
        <v>0</v>
      </c>
      <c r="T2686" s="69"/>
      <c r="U2686" s="69"/>
    </row>
    <row r="2687" spans="19:21" ht="15" customHeight="1" x14ac:dyDescent="0.2">
      <c r="S2687" s="69">
        <f>_xlfn.XLOOKUP(Results!A2687,Geometry!$B$6:$B$10000,Geometry!$C$6:$C$10000)</f>
        <v>0</v>
      </c>
      <c r="T2687" s="69"/>
      <c r="U2687" s="69"/>
    </row>
    <row r="2688" spans="19:21" ht="15" customHeight="1" x14ac:dyDescent="0.2">
      <c r="S2688" s="69">
        <f>_xlfn.XLOOKUP(Results!A2688,Geometry!$B$6:$B$10000,Geometry!$C$6:$C$10000)</f>
        <v>0</v>
      </c>
      <c r="T2688" s="69"/>
      <c r="U2688" s="69"/>
    </row>
    <row r="2689" spans="19:21" ht="15" customHeight="1" x14ac:dyDescent="0.2">
      <c r="S2689" s="69">
        <f>_xlfn.XLOOKUP(Results!A2689,Geometry!$B$6:$B$10000,Geometry!$C$6:$C$10000)</f>
        <v>0</v>
      </c>
      <c r="T2689" s="69"/>
      <c r="U2689" s="69"/>
    </row>
    <row r="2690" spans="19:21" ht="15" customHeight="1" x14ac:dyDescent="0.2">
      <c r="S2690" s="69">
        <f>_xlfn.XLOOKUP(Results!A2690,Geometry!$B$6:$B$10000,Geometry!$C$6:$C$10000)</f>
        <v>0</v>
      </c>
      <c r="T2690" s="69"/>
      <c r="U2690" s="69"/>
    </row>
    <row r="2691" spans="19:21" ht="15" customHeight="1" x14ac:dyDescent="0.2">
      <c r="S2691" s="69">
        <f>_xlfn.XLOOKUP(Results!A2691,Geometry!$B$6:$B$10000,Geometry!$C$6:$C$10000)</f>
        <v>0</v>
      </c>
      <c r="T2691" s="69"/>
      <c r="U2691" s="69"/>
    </row>
    <row r="2692" spans="19:21" ht="15" customHeight="1" x14ac:dyDescent="0.2">
      <c r="S2692" s="69">
        <f>_xlfn.XLOOKUP(Results!A2692,Geometry!$B$6:$B$10000,Geometry!$C$6:$C$10000)</f>
        <v>0</v>
      </c>
      <c r="T2692" s="69"/>
      <c r="U2692" s="69"/>
    </row>
    <row r="2693" spans="19:21" ht="15" customHeight="1" x14ac:dyDescent="0.2">
      <c r="S2693" s="69">
        <f>_xlfn.XLOOKUP(Results!A2693,Geometry!$B$6:$B$10000,Geometry!$C$6:$C$10000)</f>
        <v>0</v>
      </c>
      <c r="T2693" s="69"/>
      <c r="U2693" s="69"/>
    </row>
    <row r="2694" spans="19:21" ht="15" customHeight="1" x14ac:dyDescent="0.2">
      <c r="S2694" s="69">
        <f>_xlfn.XLOOKUP(Results!A2694,Geometry!$B$6:$B$10000,Geometry!$C$6:$C$10000)</f>
        <v>0</v>
      </c>
      <c r="T2694" s="69"/>
      <c r="U2694" s="69"/>
    </row>
    <row r="2695" spans="19:21" ht="15" customHeight="1" x14ac:dyDescent="0.2">
      <c r="S2695" s="69">
        <f>_xlfn.XLOOKUP(Results!A2695,Geometry!$B$6:$B$10000,Geometry!$C$6:$C$10000)</f>
        <v>0</v>
      </c>
      <c r="T2695" s="69"/>
      <c r="U2695" s="69"/>
    </row>
    <row r="2696" spans="19:21" ht="15" customHeight="1" x14ac:dyDescent="0.2">
      <c r="S2696" s="69">
        <f>_xlfn.XLOOKUP(Results!A2696,Geometry!$B$6:$B$10000,Geometry!$C$6:$C$10000)</f>
        <v>0</v>
      </c>
      <c r="T2696" s="69"/>
      <c r="U2696" s="69"/>
    </row>
    <row r="2697" spans="19:21" ht="15" customHeight="1" x14ac:dyDescent="0.2">
      <c r="S2697" s="69">
        <f>_xlfn.XLOOKUP(Results!A2697,Geometry!$B$6:$B$10000,Geometry!$C$6:$C$10000)</f>
        <v>0</v>
      </c>
      <c r="T2697" s="69"/>
      <c r="U2697" s="69"/>
    </row>
    <row r="2698" spans="19:21" ht="15" customHeight="1" x14ac:dyDescent="0.2">
      <c r="S2698" s="69">
        <f>_xlfn.XLOOKUP(Results!A2698,Geometry!$B$6:$B$10000,Geometry!$C$6:$C$10000)</f>
        <v>0</v>
      </c>
      <c r="T2698" s="69"/>
      <c r="U2698" s="69"/>
    </row>
    <row r="2699" spans="19:21" ht="15" customHeight="1" x14ac:dyDescent="0.2">
      <c r="S2699" s="69">
        <f>_xlfn.XLOOKUP(Results!A2699,Geometry!$B$6:$B$10000,Geometry!$C$6:$C$10000)</f>
        <v>0</v>
      </c>
      <c r="T2699" s="69"/>
      <c r="U2699" s="69"/>
    </row>
    <row r="2700" spans="19:21" ht="15" customHeight="1" x14ac:dyDescent="0.2">
      <c r="S2700" s="69">
        <f>_xlfn.XLOOKUP(Results!A2700,Geometry!$B$6:$B$10000,Geometry!$C$6:$C$10000)</f>
        <v>0</v>
      </c>
      <c r="T2700" s="69"/>
      <c r="U2700" s="69"/>
    </row>
    <row r="2701" spans="19:21" ht="15" customHeight="1" x14ac:dyDescent="0.2">
      <c r="S2701" s="69">
        <f>_xlfn.XLOOKUP(Results!A2701,Geometry!$B$6:$B$10000,Geometry!$C$6:$C$10000)</f>
        <v>0</v>
      </c>
      <c r="T2701" s="69"/>
      <c r="U2701" s="69"/>
    </row>
    <row r="2702" spans="19:21" ht="15" customHeight="1" x14ac:dyDescent="0.2">
      <c r="S2702" s="69">
        <f>_xlfn.XLOOKUP(Results!A2702,Geometry!$B$6:$B$10000,Geometry!$C$6:$C$10000)</f>
        <v>0</v>
      </c>
      <c r="T2702" s="69"/>
      <c r="U2702" s="69"/>
    </row>
    <row r="2703" spans="19:21" ht="15" customHeight="1" x14ac:dyDescent="0.2">
      <c r="S2703" s="69">
        <f>_xlfn.XLOOKUP(Results!A2703,Geometry!$B$6:$B$10000,Geometry!$C$6:$C$10000)</f>
        <v>0</v>
      </c>
      <c r="T2703" s="69"/>
      <c r="U2703" s="69"/>
    </row>
    <row r="2704" spans="19:21" ht="15" customHeight="1" x14ac:dyDescent="0.2">
      <c r="S2704" s="69">
        <f>_xlfn.XLOOKUP(Results!A2704,Geometry!$B$6:$B$10000,Geometry!$C$6:$C$10000)</f>
        <v>0</v>
      </c>
      <c r="T2704" s="69"/>
      <c r="U2704" s="69"/>
    </row>
    <row r="2705" spans="19:21" ht="15" customHeight="1" x14ac:dyDescent="0.2">
      <c r="S2705" s="69">
        <f>_xlfn.XLOOKUP(Results!A2705,Geometry!$B$6:$B$10000,Geometry!$C$6:$C$10000)</f>
        <v>0</v>
      </c>
      <c r="T2705" s="69"/>
      <c r="U2705" s="69"/>
    </row>
    <row r="2706" spans="19:21" ht="15" customHeight="1" x14ac:dyDescent="0.2">
      <c r="S2706" s="69">
        <f>_xlfn.XLOOKUP(Results!A2706,Geometry!$B$6:$B$10000,Geometry!$C$6:$C$10000)</f>
        <v>0</v>
      </c>
      <c r="T2706" s="69"/>
      <c r="U2706" s="69"/>
    </row>
    <row r="2707" spans="19:21" ht="15" customHeight="1" x14ac:dyDescent="0.2">
      <c r="S2707" s="69">
        <f>_xlfn.XLOOKUP(Results!A2707,Geometry!$B$6:$B$10000,Geometry!$C$6:$C$10000)</f>
        <v>0</v>
      </c>
      <c r="T2707" s="69"/>
      <c r="U2707" s="69"/>
    </row>
    <row r="2708" spans="19:21" ht="15" customHeight="1" x14ac:dyDescent="0.2">
      <c r="S2708" s="69">
        <f>_xlfn.XLOOKUP(Results!A2708,Geometry!$B$6:$B$10000,Geometry!$C$6:$C$10000)</f>
        <v>0</v>
      </c>
      <c r="T2708" s="69"/>
      <c r="U2708" s="69"/>
    </row>
    <row r="2709" spans="19:21" ht="15" customHeight="1" x14ac:dyDescent="0.2">
      <c r="S2709" s="69">
        <f>_xlfn.XLOOKUP(Results!A2709,Geometry!$B$6:$B$10000,Geometry!$C$6:$C$10000)</f>
        <v>0</v>
      </c>
      <c r="T2709" s="69"/>
      <c r="U2709" s="69"/>
    </row>
    <row r="2710" spans="19:21" ht="15" customHeight="1" x14ac:dyDescent="0.2">
      <c r="S2710" s="69">
        <f>_xlfn.XLOOKUP(Results!A2710,Geometry!$B$6:$B$10000,Geometry!$C$6:$C$10000)</f>
        <v>0</v>
      </c>
      <c r="T2710" s="69"/>
      <c r="U2710" s="69"/>
    </row>
    <row r="2711" spans="19:21" ht="15" customHeight="1" x14ac:dyDescent="0.2">
      <c r="S2711" s="69">
        <f>_xlfn.XLOOKUP(Results!A2711,Geometry!$B$6:$B$10000,Geometry!$C$6:$C$10000)</f>
        <v>0</v>
      </c>
      <c r="T2711" s="69"/>
      <c r="U2711" s="69"/>
    </row>
    <row r="2712" spans="19:21" ht="15" customHeight="1" x14ac:dyDescent="0.2">
      <c r="S2712" s="69">
        <f>_xlfn.XLOOKUP(Results!A2712,Geometry!$B$6:$B$10000,Geometry!$C$6:$C$10000)</f>
        <v>0</v>
      </c>
      <c r="T2712" s="69"/>
      <c r="U2712" s="69"/>
    </row>
    <row r="2713" spans="19:21" ht="15" customHeight="1" x14ac:dyDescent="0.2">
      <c r="S2713" s="69">
        <f>_xlfn.XLOOKUP(Results!A2713,Geometry!$B$6:$B$10000,Geometry!$C$6:$C$10000)</f>
        <v>0</v>
      </c>
      <c r="T2713" s="69"/>
      <c r="U2713" s="69"/>
    </row>
    <row r="2714" spans="19:21" ht="15" customHeight="1" x14ac:dyDescent="0.2">
      <c r="S2714" s="69">
        <f>_xlfn.XLOOKUP(Results!A2714,Geometry!$B$6:$B$10000,Geometry!$C$6:$C$10000)</f>
        <v>0</v>
      </c>
      <c r="T2714" s="69"/>
      <c r="U2714" s="69"/>
    </row>
    <row r="2715" spans="19:21" ht="15" customHeight="1" x14ac:dyDescent="0.2">
      <c r="S2715" s="69">
        <f>_xlfn.XLOOKUP(Results!A2715,Geometry!$B$6:$B$10000,Geometry!$C$6:$C$10000)</f>
        <v>0</v>
      </c>
      <c r="T2715" s="69"/>
      <c r="U2715" s="69"/>
    </row>
    <row r="2716" spans="19:21" ht="15" customHeight="1" x14ac:dyDescent="0.2">
      <c r="S2716" s="69">
        <f>_xlfn.XLOOKUP(Results!A2716,Geometry!$B$6:$B$10000,Geometry!$C$6:$C$10000)</f>
        <v>0</v>
      </c>
      <c r="T2716" s="69"/>
      <c r="U2716" s="69"/>
    </row>
    <row r="2717" spans="19:21" ht="15" customHeight="1" x14ac:dyDescent="0.2">
      <c r="S2717" s="69">
        <f>_xlfn.XLOOKUP(Results!A2717,Geometry!$B$6:$B$10000,Geometry!$C$6:$C$10000)</f>
        <v>0</v>
      </c>
      <c r="T2717" s="69"/>
      <c r="U2717" s="69"/>
    </row>
    <row r="2718" spans="19:21" ht="15" customHeight="1" x14ac:dyDescent="0.2">
      <c r="S2718" s="69">
        <f>_xlfn.XLOOKUP(Results!A2718,Geometry!$B$6:$B$10000,Geometry!$C$6:$C$10000)</f>
        <v>0</v>
      </c>
      <c r="T2718" s="69"/>
      <c r="U2718" s="69"/>
    </row>
    <row r="2719" spans="19:21" ht="15" customHeight="1" x14ac:dyDescent="0.2">
      <c r="S2719" s="69">
        <f>_xlfn.XLOOKUP(Results!A2719,Geometry!$B$6:$B$10000,Geometry!$C$6:$C$10000)</f>
        <v>0</v>
      </c>
      <c r="T2719" s="69"/>
      <c r="U2719" s="69"/>
    </row>
    <row r="2720" spans="19:21" ht="15" customHeight="1" x14ac:dyDescent="0.2">
      <c r="S2720" s="69">
        <f>_xlfn.XLOOKUP(Results!A2720,Geometry!$B$6:$B$10000,Geometry!$C$6:$C$10000)</f>
        <v>0</v>
      </c>
      <c r="T2720" s="69"/>
      <c r="U2720" s="69"/>
    </row>
    <row r="2721" spans="19:21" ht="15" customHeight="1" x14ac:dyDescent="0.2">
      <c r="S2721" s="69">
        <f>_xlfn.XLOOKUP(Results!A2721,Geometry!$B$6:$B$10000,Geometry!$C$6:$C$10000)</f>
        <v>0</v>
      </c>
      <c r="T2721" s="69"/>
      <c r="U2721" s="69"/>
    </row>
    <row r="2722" spans="19:21" ht="15" customHeight="1" x14ac:dyDescent="0.2">
      <c r="S2722" s="69">
        <f>_xlfn.XLOOKUP(Results!A2722,Geometry!$B$6:$B$10000,Geometry!$C$6:$C$10000)</f>
        <v>0</v>
      </c>
      <c r="T2722" s="69"/>
      <c r="U2722" s="69"/>
    </row>
    <row r="2723" spans="19:21" ht="15" customHeight="1" x14ac:dyDescent="0.2">
      <c r="S2723" s="69">
        <f>_xlfn.XLOOKUP(Results!A2723,Geometry!$B$6:$B$10000,Geometry!$C$6:$C$10000)</f>
        <v>0</v>
      </c>
      <c r="T2723" s="69"/>
      <c r="U2723" s="69"/>
    </row>
    <row r="2724" spans="19:21" ht="15" customHeight="1" x14ac:dyDescent="0.2">
      <c r="S2724" s="69">
        <f>_xlfn.XLOOKUP(Results!A2724,Geometry!$B$6:$B$10000,Geometry!$C$6:$C$10000)</f>
        <v>0</v>
      </c>
      <c r="T2724" s="69"/>
      <c r="U2724" s="69"/>
    </row>
    <row r="2725" spans="19:21" ht="15" customHeight="1" x14ac:dyDescent="0.2">
      <c r="S2725" s="69">
        <f>_xlfn.XLOOKUP(Results!A2725,Geometry!$B$6:$B$10000,Geometry!$C$6:$C$10000)</f>
        <v>0</v>
      </c>
      <c r="T2725" s="69"/>
      <c r="U2725" s="69"/>
    </row>
    <row r="2726" spans="19:21" ht="15" customHeight="1" x14ac:dyDescent="0.2">
      <c r="S2726" s="69">
        <f>_xlfn.XLOOKUP(Results!A2726,Geometry!$B$6:$B$10000,Geometry!$C$6:$C$10000)</f>
        <v>0</v>
      </c>
      <c r="T2726" s="69"/>
      <c r="U2726" s="69"/>
    </row>
    <row r="2727" spans="19:21" ht="15" customHeight="1" x14ac:dyDescent="0.2">
      <c r="S2727" s="69">
        <f>_xlfn.XLOOKUP(Results!A2727,Geometry!$B$6:$B$10000,Geometry!$C$6:$C$10000)</f>
        <v>0</v>
      </c>
      <c r="T2727" s="69"/>
      <c r="U2727" s="69"/>
    </row>
    <row r="2728" spans="19:21" ht="15" customHeight="1" x14ac:dyDescent="0.2">
      <c r="S2728" s="69">
        <f>_xlfn.XLOOKUP(Results!A2728,Geometry!$B$6:$B$10000,Geometry!$C$6:$C$10000)</f>
        <v>0</v>
      </c>
      <c r="T2728" s="69"/>
      <c r="U2728" s="69"/>
    </row>
    <row r="2729" spans="19:21" ht="15" customHeight="1" x14ac:dyDescent="0.2">
      <c r="S2729" s="69">
        <f>_xlfn.XLOOKUP(Results!A2729,Geometry!$B$6:$B$10000,Geometry!$C$6:$C$10000)</f>
        <v>0</v>
      </c>
      <c r="T2729" s="69"/>
      <c r="U2729" s="69"/>
    </row>
    <row r="2730" spans="19:21" ht="15" customHeight="1" x14ac:dyDescent="0.2">
      <c r="S2730" s="69">
        <f>_xlfn.XLOOKUP(Results!A2730,Geometry!$B$6:$B$10000,Geometry!$C$6:$C$10000)</f>
        <v>0</v>
      </c>
      <c r="T2730" s="69"/>
      <c r="U2730" s="69"/>
    </row>
    <row r="2731" spans="19:21" ht="15" customHeight="1" x14ac:dyDescent="0.2">
      <c r="S2731" s="69">
        <f>_xlfn.XLOOKUP(Results!A2731,Geometry!$B$6:$B$10000,Geometry!$C$6:$C$10000)</f>
        <v>0</v>
      </c>
      <c r="T2731" s="69"/>
      <c r="U2731" s="69"/>
    </row>
    <row r="2732" spans="19:21" ht="15" customHeight="1" x14ac:dyDescent="0.2">
      <c r="S2732" s="69">
        <f>_xlfn.XLOOKUP(Results!A2732,Geometry!$B$6:$B$10000,Geometry!$C$6:$C$10000)</f>
        <v>0</v>
      </c>
      <c r="T2732" s="69"/>
      <c r="U2732" s="69"/>
    </row>
    <row r="2733" spans="19:21" ht="15" customHeight="1" x14ac:dyDescent="0.2">
      <c r="S2733" s="69">
        <f>_xlfn.XLOOKUP(Results!A2733,Geometry!$B$6:$B$10000,Geometry!$C$6:$C$10000)</f>
        <v>0</v>
      </c>
      <c r="T2733" s="69"/>
      <c r="U2733" s="69"/>
    </row>
    <row r="2734" spans="19:21" ht="15" customHeight="1" x14ac:dyDescent="0.2">
      <c r="S2734" s="69">
        <f>_xlfn.XLOOKUP(Results!A2734,Geometry!$B$6:$B$10000,Geometry!$C$6:$C$10000)</f>
        <v>0</v>
      </c>
      <c r="T2734" s="69"/>
      <c r="U2734" s="69"/>
    </row>
    <row r="2735" spans="19:21" ht="15" customHeight="1" x14ac:dyDescent="0.2">
      <c r="S2735" s="69">
        <f>_xlfn.XLOOKUP(Results!A2735,Geometry!$B$6:$B$10000,Geometry!$C$6:$C$10000)</f>
        <v>0</v>
      </c>
      <c r="T2735" s="69"/>
      <c r="U2735" s="69"/>
    </row>
    <row r="2736" spans="19:21" ht="15" customHeight="1" x14ac:dyDescent="0.2">
      <c r="S2736" s="69">
        <f>_xlfn.XLOOKUP(Results!A2736,Geometry!$B$6:$B$10000,Geometry!$C$6:$C$10000)</f>
        <v>0</v>
      </c>
      <c r="T2736" s="69"/>
      <c r="U2736" s="69"/>
    </row>
    <row r="2737" spans="19:21" ht="15" customHeight="1" x14ac:dyDescent="0.2">
      <c r="S2737" s="69">
        <f>_xlfn.XLOOKUP(Results!A2737,Geometry!$B$6:$B$10000,Geometry!$C$6:$C$10000)</f>
        <v>0</v>
      </c>
      <c r="T2737" s="69"/>
      <c r="U2737" s="69"/>
    </row>
    <row r="2738" spans="19:21" ht="15" customHeight="1" x14ac:dyDescent="0.2">
      <c r="S2738" s="69">
        <f>_xlfn.XLOOKUP(Results!A2738,Geometry!$B$6:$B$10000,Geometry!$C$6:$C$10000)</f>
        <v>0</v>
      </c>
      <c r="T2738" s="69"/>
      <c r="U2738" s="69"/>
    </row>
    <row r="2739" spans="19:21" ht="15" customHeight="1" x14ac:dyDescent="0.2">
      <c r="S2739" s="69">
        <f>_xlfn.XLOOKUP(Results!A2739,Geometry!$B$6:$B$10000,Geometry!$C$6:$C$10000)</f>
        <v>0</v>
      </c>
      <c r="T2739" s="69"/>
      <c r="U2739" s="69"/>
    </row>
    <row r="2740" spans="19:21" ht="15" customHeight="1" x14ac:dyDescent="0.2">
      <c r="S2740" s="69">
        <f>_xlfn.XLOOKUP(Results!A2740,Geometry!$B$6:$B$10000,Geometry!$C$6:$C$10000)</f>
        <v>0</v>
      </c>
      <c r="T2740" s="69"/>
      <c r="U2740" s="69"/>
    </row>
    <row r="2741" spans="19:21" ht="15" customHeight="1" x14ac:dyDescent="0.2">
      <c r="S2741" s="69">
        <f>_xlfn.XLOOKUP(Results!A2741,Geometry!$B$6:$B$10000,Geometry!$C$6:$C$10000)</f>
        <v>0</v>
      </c>
      <c r="T2741" s="69"/>
      <c r="U2741" s="69"/>
    </row>
    <row r="2742" spans="19:21" ht="15" customHeight="1" x14ac:dyDescent="0.2">
      <c r="S2742" s="69">
        <f>_xlfn.XLOOKUP(Results!A2742,Geometry!$B$6:$B$10000,Geometry!$C$6:$C$10000)</f>
        <v>0</v>
      </c>
      <c r="T2742" s="69"/>
      <c r="U2742" s="69"/>
    </row>
    <row r="2743" spans="19:21" ht="15" customHeight="1" x14ac:dyDescent="0.2">
      <c r="S2743" s="69">
        <f>_xlfn.XLOOKUP(Results!A2743,Geometry!$B$6:$B$10000,Geometry!$C$6:$C$10000)</f>
        <v>0</v>
      </c>
      <c r="T2743" s="69"/>
      <c r="U2743" s="69"/>
    </row>
    <row r="2744" spans="19:21" ht="15" customHeight="1" x14ac:dyDescent="0.2">
      <c r="S2744" s="69">
        <f>_xlfn.XLOOKUP(Results!A2744,Geometry!$B$6:$B$10000,Geometry!$C$6:$C$10000)</f>
        <v>0</v>
      </c>
      <c r="T2744" s="69"/>
      <c r="U2744" s="69"/>
    </row>
    <row r="2745" spans="19:21" ht="15" customHeight="1" x14ac:dyDescent="0.2">
      <c r="S2745" s="69">
        <f>_xlfn.XLOOKUP(Results!A2745,Geometry!$B$6:$B$10000,Geometry!$C$6:$C$10000)</f>
        <v>0</v>
      </c>
      <c r="T2745" s="69"/>
      <c r="U2745" s="69"/>
    </row>
    <row r="2746" spans="19:21" ht="15" customHeight="1" x14ac:dyDescent="0.2">
      <c r="S2746" s="69">
        <f>_xlfn.XLOOKUP(Results!A2746,Geometry!$B$6:$B$10000,Geometry!$C$6:$C$10000)</f>
        <v>0</v>
      </c>
      <c r="T2746" s="69"/>
      <c r="U2746" s="69"/>
    </row>
    <row r="2747" spans="19:21" ht="15" customHeight="1" x14ac:dyDescent="0.2">
      <c r="S2747" s="69">
        <f>_xlfn.XLOOKUP(Results!A2747,Geometry!$B$6:$B$10000,Geometry!$C$6:$C$10000)</f>
        <v>0</v>
      </c>
      <c r="T2747" s="69"/>
      <c r="U2747" s="69"/>
    </row>
    <row r="2748" spans="19:21" ht="15" customHeight="1" x14ac:dyDescent="0.2">
      <c r="S2748" s="69">
        <f>_xlfn.XLOOKUP(Results!A2748,Geometry!$B$6:$B$10000,Geometry!$C$6:$C$10000)</f>
        <v>0</v>
      </c>
      <c r="T2748" s="69"/>
      <c r="U2748" s="69"/>
    </row>
    <row r="2749" spans="19:21" ht="15" customHeight="1" x14ac:dyDescent="0.2">
      <c r="S2749" s="69">
        <f>_xlfn.XLOOKUP(Results!A2749,Geometry!$B$6:$B$10000,Geometry!$C$6:$C$10000)</f>
        <v>0</v>
      </c>
      <c r="T2749" s="69"/>
      <c r="U2749" s="69"/>
    </row>
    <row r="2750" spans="19:21" ht="15" customHeight="1" x14ac:dyDescent="0.2">
      <c r="S2750" s="69">
        <f>_xlfn.XLOOKUP(Results!A2750,Geometry!$B$6:$B$10000,Geometry!$C$6:$C$10000)</f>
        <v>0</v>
      </c>
      <c r="T2750" s="69"/>
      <c r="U2750" s="69"/>
    </row>
    <row r="2751" spans="19:21" ht="15" customHeight="1" x14ac:dyDescent="0.2">
      <c r="S2751" s="69">
        <f>_xlfn.XLOOKUP(Results!A2751,Geometry!$B$6:$B$10000,Geometry!$C$6:$C$10000)</f>
        <v>0</v>
      </c>
      <c r="T2751" s="69"/>
      <c r="U2751" s="69"/>
    </row>
    <row r="2752" spans="19:21" ht="15" customHeight="1" x14ac:dyDescent="0.2">
      <c r="S2752" s="69">
        <f>_xlfn.XLOOKUP(Results!A2752,Geometry!$B$6:$B$10000,Geometry!$C$6:$C$10000)</f>
        <v>0</v>
      </c>
      <c r="T2752" s="69"/>
      <c r="U2752" s="69"/>
    </row>
    <row r="2753" spans="19:21" ht="15" customHeight="1" x14ac:dyDescent="0.2">
      <c r="S2753" s="69">
        <f>_xlfn.XLOOKUP(Results!A2753,Geometry!$B$6:$B$10000,Geometry!$C$6:$C$10000)</f>
        <v>0</v>
      </c>
      <c r="T2753" s="69"/>
      <c r="U2753" s="69"/>
    </row>
    <row r="2754" spans="19:21" ht="15" customHeight="1" x14ac:dyDescent="0.2">
      <c r="S2754" s="69">
        <f>_xlfn.XLOOKUP(Results!A2754,Geometry!$B$6:$B$10000,Geometry!$C$6:$C$10000)</f>
        <v>0</v>
      </c>
      <c r="T2754" s="69"/>
      <c r="U2754" s="69"/>
    </row>
    <row r="2755" spans="19:21" ht="15" customHeight="1" x14ac:dyDescent="0.2">
      <c r="S2755" s="69">
        <f>_xlfn.XLOOKUP(Results!A2755,Geometry!$B$6:$B$10000,Geometry!$C$6:$C$10000)</f>
        <v>0</v>
      </c>
      <c r="T2755" s="69"/>
      <c r="U2755" s="69"/>
    </row>
    <row r="2756" spans="19:21" ht="15" customHeight="1" x14ac:dyDescent="0.2">
      <c r="S2756" s="69">
        <f>_xlfn.XLOOKUP(Results!A2756,Geometry!$B$6:$B$10000,Geometry!$C$6:$C$10000)</f>
        <v>0</v>
      </c>
      <c r="T2756" s="69"/>
      <c r="U2756" s="69"/>
    </row>
    <row r="2757" spans="19:21" ht="15" customHeight="1" x14ac:dyDescent="0.2">
      <c r="S2757" s="69">
        <f>_xlfn.XLOOKUP(Results!A2757,Geometry!$B$6:$B$10000,Geometry!$C$6:$C$10000)</f>
        <v>0</v>
      </c>
      <c r="T2757" s="69"/>
      <c r="U2757" s="69"/>
    </row>
    <row r="2758" spans="19:21" ht="15" customHeight="1" x14ac:dyDescent="0.2">
      <c r="S2758" s="69">
        <f>_xlfn.XLOOKUP(Results!A2758,Geometry!$B$6:$B$10000,Geometry!$C$6:$C$10000)</f>
        <v>0</v>
      </c>
      <c r="T2758" s="69"/>
      <c r="U2758" s="69"/>
    </row>
    <row r="2759" spans="19:21" ht="15" customHeight="1" x14ac:dyDescent="0.2">
      <c r="S2759" s="69">
        <f>_xlfn.XLOOKUP(Results!A2759,Geometry!$B$6:$B$10000,Geometry!$C$6:$C$10000)</f>
        <v>0</v>
      </c>
      <c r="T2759" s="69"/>
      <c r="U2759" s="69"/>
    </row>
    <row r="2760" spans="19:21" ht="15" customHeight="1" x14ac:dyDescent="0.2">
      <c r="S2760" s="69">
        <f>_xlfn.XLOOKUP(Results!A2760,Geometry!$B$6:$B$10000,Geometry!$C$6:$C$10000)</f>
        <v>0</v>
      </c>
      <c r="T2760" s="69"/>
      <c r="U2760" s="69"/>
    </row>
    <row r="2761" spans="19:21" ht="15" customHeight="1" x14ac:dyDescent="0.2">
      <c r="S2761" s="69">
        <f>_xlfn.XLOOKUP(Results!A2761,Geometry!$B$6:$B$10000,Geometry!$C$6:$C$10000)</f>
        <v>0</v>
      </c>
      <c r="T2761" s="69"/>
      <c r="U2761" s="69"/>
    </row>
    <row r="2762" spans="19:21" ht="15" customHeight="1" x14ac:dyDescent="0.2">
      <c r="S2762" s="69">
        <f>_xlfn.XLOOKUP(Results!A2762,Geometry!$B$6:$B$10000,Geometry!$C$6:$C$10000)</f>
        <v>0</v>
      </c>
      <c r="T2762" s="69"/>
      <c r="U2762" s="69"/>
    </row>
    <row r="2763" spans="19:21" ht="15" customHeight="1" x14ac:dyDescent="0.2">
      <c r="S2763" s="69">
        <f>_xlfn.XLOOKUP(Results!A2763,Geometry!$B$6:$B$10000,Geometry!$C$6:$C$10000)</f>
        <v>0</v>
      </c>
      <c r="T2763" s="69"/>
      <c r="U2763" s="69"/>
    </row>
    <row r="2764" spans="19:21" ht="15" customHeight="1" x14ac:dyDescent="0.2">
      <c r="S2764" s="69">
        <f>_xlfn.XLOOKUP(Results!A2764,Geometry!$B$6:$B$10000,Geometry!$C$6:$C$10000)</f>
        <v>0</v>
      </c>
      <c r="T2764" s="69"/>
      <c r="U2764" s="69"/>
    </row>
    <row r="2765" spans="19:21" ht="15" customHeight="1" x14ac:dyDescent="0.2">
      <c r="S2765" s="69">
        <f>_xlfn.XLOOKUP(Results!A2765,Geometry!$B$6:$B$10000,Geometry!$C$6:$C$10000)</f>
        <v>0</v>
      </c>
      <c r="T2765" s="69"/>
      <c r="U2765" s="69"/>
    </row>
    <row r="2766" spans="19:21" ht="15" customHeight="1" x14ac:dyDescent="0.2">
      <c r="S2766" s="69">
        <f>_xlfn.XLOOKUP(Results!A2766,Geometry!$B$6:$B$10000,Geometry!$C$6:$C$10000)</f>
        <v>0</v>
      </c>
      <c r="T2766" s="69"/>
      <c r="U2766" s="69"/>
    </row>
    <row r="2767" spans="19:21" ht="15" customHeight="1" x14ac:dyDescent="0.2">
      <c r="S2767" s="69">
        <f>_xlfn.XLOOKUP(Results!A2767,Geometry!$B$6:$B$10000,Geometry!$C$6:$C$10000)</f>
        <v>0</v>
      </c>
      <c r="T2767" s="69"/>
      <c r="U2767" s="69"/>
    </row>
    <row r="2768" spans="19:21" ht="15" customHeight="1" x14ac:dyDescent="0.2">
      <c r="S2768" s="69">
        <f>_xlfn.XLOOKUP(Results!A2768,Geometry!$B$6:$B$10000,Geometry!$C$6:$C$10000)</f>
        <v>0</v>
      </c>
      <c r="T2768" s="69"/>
      <c r="U2768" s="69"/>
    </row>
    <row r="2769" spans="19:21" ht="15" customHeight="1" x14ac:dyDescent="0.2">
      <c r="S2769" s="69">
        <f>_xlfn.XLOOKUP(Results!A2769,Geometry!$B$6:$B$10000,Geometry!$C$6:$C$10000)</f>
        <v>0</v>
      </c>
      <c r="T2769" s="69"/>
      <c r="U2769" s="69"/>
    </row>
    <row r="2770" spans="19:21" ht="15" customHeight="1" x14ac:dyDescent="0.2">
      <c r="S2770" s="69">
        <f>_xlfn.XLOOKUP(Results!A2770,Geometry!$B$6:$B$10000,Geometry!$C$6:$C$10000)</f>
        <v>0</v>
      </c>
      <c r="T2770" s="69"/>
      <c r="U2770" s="69"/>
    </row>
    <row r="2771" spans="19:21" ht="15" customHeight="1" x14ac:dyDescent="0.2">
      <c r="S2771" s="69">
        <f>_xlfn.XLOOKUP(Results!A2771,Geometry!$B$6:$B$10000,Geometry!$C$6:$C$10000)</f>
        <v>0</v>
      </c>
      <c r="T2771" s="69"/>
      <c r="U2771" s="69"/>
    </row>
    <row r="2772" spans="19:21" ht="15" customHeight="1" x14ac:dyDescent="0.2">
      <c r="S2772" s="69">
        <f>_xlfn.XLOOKUP(Results!A2772,Geometry!$B$6:$B$10000,Geometry!$C$6:$C$10000)</f>
        <v>0</v>
      </c>
      <c r="T2772" s="69"/>
      <c r="U2772" s="69"/>
    </row>
    <row r="2773" spans="19:21" ht="15" customHeight="1" x14ac:dyDescent="0.2">
      <c r="S2773" s="69">
        <f>_xlfn.XLOOKUP(Results!A2773,Geometry!$B$6:$B$10000,Geometry!$C$6:$C$10000)</f>
        <v>0</v>
      </c>
      <c r="T2773" s="69"/>
      <c r="U2773" s="69"/>
    </row>
    <row r="2774" spans="19:21" ht="15" customHeight="1" x14ac:dyDescent="0.2">
      <c r="S2774" s="69">
        <f>_xlfn.XLOOKUP(Results!A2774,Geometry!$B$6:$B$10000,Geometry!$C$6:$C$10000)</f>
        <v>0</v>
      </c>
      <c r="T2774" s="69"/>
      <c r="U2774" s="69"/>
    </row>
    <row r="2775" spans="19:21" ht="15" customHeight="1" x14ac:dyDescent="0.2">
      <c r="S2775" s="69">
        <f>_xlfn.XLOOKUP(Results!A2775,Geometry!$B$6:$B$10000,Geometry!$C$6:$C$10000)</f>
        <v>0</v>
      </c>
      <c r="T2775" s="69"/>
      <c r="U2775" s="69"/>
    </row>
    <row r="2776" spans="19:21" ht="15" customHeight="1" x14ac:dyDescent="0.2">
      <c r="S2776" s="69">
        <f>_xlfn.XLOOKUP(Results!A2776,Geometry!$B$6:$B$10000,Geometry!$C$6:$C$10000)</f>
        <v>0</v>
      </c>
      <c r="T2776" s="69"/>
      <c r="U2776" s="69"/>
    </row>
    <row r="2777" spans="19:21" ht="15" customHeight="1" x14ac:dyDescent="0.2">
      <c r="S2777" s="69">
        <f>_xlfn.XLOOKUP(Results!A2777,Geometry!$B$6:$B$10000,Geometry!$C$6:$C$10000)</f>
        <v>0</v>
      </c>
      <c r="T2777" s="69"/>
      <c r="U2777" s="69"/>
    </row>
    <row r="2778" spans="19:21" ht="15" customHeight="1" x14ac:dyDescent="0.2">
      <c r="S2778" s="69">
        <f>_xlfn.XLOOKUP(Results!A2778,Geometry!$B$6:$B$10000,Geometry!$C$6:$C$10000)</f>
        <v>0</v>
      </c>
      <c r="T2778" s="69"/>
      <c r="U2778" s="69"/>
    </row>
    <row r="2779" spans="19:21" ht="15" customHeight="1" x14ac:dyDescent="0.2">
      <c r="S2779" s="69">
        <f>_xlfn.XLOOKUP(Results!A2779,Geometry!$B$6:$B$10000,Geometry!$C$6:$C$10000)</f>
        <v>0</v>
      </c>
      <c r="T2779" s="69"/>
      <c r="U2779" s="69"/>
    </row>
    <row r="2780" spans="19:21" ht="15" customHeight="1" x14ac:dyDescent="0.2">
      <c r="S2780" s="69">
        <f>_xlfn.XLOOKUP(Results!A2780,Geometry!$B$6:$B$10000,Geometry!$C$6:$C$10000)</f>
        <v>0</v>
      </c>
      <c r="T2780" s="69"/>
      <c r="U2780" s="69"/>
    </row>
    <row r="2781" spans="19:21" ht="15" customHeight="1" x14ac:dyDescent="0.2">
      <c r="S2781" s="69">
        <f>_xlfn.XLOOKUP(Results!A2781,Geometry!$B$6:$B$10000,Geometry!$C$6:$C$10000)</f>
        <v>0</v>
      </c>
      <c r="T2781" s="69"/>
      <c r="U2781" s="69"/>
    </row>
    <row r="2782" spans="19:21" ht="15" customHeight="1" x14ac:dyDescent="0.2">
      <c r="S2782" s="69">
        <f>_xlfn.XLOOKUP(Results!A2782,Geometry!$B$6:$B$10000,Geometry!$C$6:$C$10000)</f>
        <v>0</v>
      </c>
      <c r="T2782" s="69"/>
      <c r="U2782" s="69"/>
    </row>
    <row r="2783" spans="19:21" ht="15" customHeight="1" x14ac:dyDescent="0.2">
      <c r="S2783" s="69">
        <f>_xlfn.XLOOKUP(Results!A2783,Geometry!$B$6:$B$10000,Geometry!$C$6:$C$10000)</f>
        <v>0</v>
      </c>
      <c r="T2783" s="69"/>
      <c r="U2783" s="69"/>
    </row>
    <row r="2784" spans="19:21" ht="15" customHeight="1" x14ac:dyDescent="0.2">
      <c r="S2784" s="69">
        <f>_xlfn.XLOOKUP(Results!A2784,Geometry!$B$6:$B$10000,Geometry!$C$6:$C$10000)</f>
        <v>0</v>
      </c>
      <c r="T2784" s="69"/>
      <c r="U2784" s="69"/>
    </row>
    <row r="2785" spans="19:21" ht="15" customHeight="1" x14ac:dyDescent="0.2">
      <c r="S2785" s="69">
        <f>_xlfn.XLOOKUP(Results!A2785,Geometry!$B$6:$B$10000,Geometry!$C$6:$C$10000)</f>
        <v>0</v>
      </c>
      <c r="T2785" s="69"/>
      <c r="U2785" s="69"/>
    </row>
    <row r="2786" spans="19:21" ht="15" customHeight="1" x14ac:dyDescent="0.2">
      <c r="S2786" s="69">
        <f>_xlfn.XLOOKUP(Results!A2786,Geometry!$B$6:$B$10000,Geometry!$C$6:$C$10000)</f>
        <v>0</v>
      </c>
      <c r="T2786" s="69"/>
      <c r="U2786" s="69"/>
    </row>
    <row r="2787" spans="19:21" ht="15" customHeight="1" x14ac:dyDescent="0.2">
      <c r="S2787" s="69">
        <f>_xlfn.XLOOKUP(Results!A2787,Geometry!$B$6:$B$10000,Geometry!$C$6:$C$10000)</f>
        <v>0</v>
      </c>
      <c r="T2787" s="69"/>
      <c r="U2787" s="69"/>
    </row>
    <row r="2788" spans="19:21" ht="15" customHeight="1" x14ac:dyDescent="0.2">
      <c r="S2788" s="69">
        <f>_xlfn.XLOOKUP(Results!A2788,Geometry!$B$6:$B$10000,Geometry!$C$6:$C$10000)</f>
        <v>0</v>
      </c>
      <c r="T2788" s="69"/>
      <c r="U2788" s="69"/>
    </row>
    <row r="2789" spans="19:21" ht="15" customHeight="1" x14ac:dyDescent="0.2">
      <c r="S2789" s="69">
        <f>_xlfn.XLOOKUP(Results!A2789,Geometry!$B$6:$B$10000,Geometry!$C$6:$C$10000)</f>
        <v>0</v>
      </c>
      <c r="T2789" s="69"/>
      <c r="U2789" s="69"/>
    </row>
    <row r="2790" spans="19:21" ht="15" customHeight="1" x14ac:dyDescent="0.2">
      <c r="S2790" s="69">
        <f>_xlfn.XLOOKUP(Results!A2790,Geometry!$B$6:$B$10000,Geometry!$C$6:$C$10000)</f>
        <v>0</v>
      </c>
      <c r="T2790" s="69"/>
      <c r="U2790" s="69"/>
    </row>
    <row r="2791" spans="19:21" ht="15" customHeight="1" x14ac:dyDescent="0.2">
      <c r="S2791" s="69">
        <f>_xlfn.XLOOKUP(Results!A2791,Geometry!$B$6:$B$10000,Geometry!$C$6:$C$10000)</f>
        <v>0</v>
      </c>
      <c r="T2791" s="69"/>
      <c r="U2791" s="69"/>
    </row>
    <row r="2792" spans="19:21" ht="15" customHeight="1" x14ac:dyDescent="0.2">
      <c r="S2792" s="69">
        <f>_xlfn.XLOOKUP(Results!A2792,Geometry!$B$6:$B$10000,Geometry!$C$6:$C$10000)</f>
        <v>0</v>
      </c>
      <c r="T2792" s="69"/>
      <c r="U2792" s="69"/>
    </row>
    <row r="2793" spans="19:21" ht="15" customHeight="1" x14ac:dyDescent="0.2">
      <c r="S2793" s="69">
        <f>_xlfn.XLOOKUP(Results!A2793,Geometry!$B$6:$B$10000,Geometry!$C$6:$C$10000)</f>
        <v>0</v>
      </c>
      <c r="T2793" s="69"/>
      <c r="U2793" s="69"/>
    </row>
    <row r="2794" spans="19:21" ht="15" customHeight="1" x14ac:dyDescent="0.2">
      <c r="S2794" s="69">
        <f>_xlfn.XLOOKUP(Results!A2794,Geometry!$B$6:$B$10000,Geometry!$C$6:$C$10000)</f>
        <v>0</v>
      </c>
      <c r="T2794" s="69"/>
      <c r="U2794" s="69"/>
    </row>
    <row r="2795" spans="19:21" ht="15" customHeight="1" x14ac:dyDescent="0.2">
      <c r="S2795" s="69">
        <f>_xlfn.XLOOKUP(Results!A2795,Geometry!$B$6:$B$10000,Geometry!$C$6:$C$10000)</f>
        <v>0</v>
      </c>
      <c r="T2795" s="69"/>
      <c r="U2795" s="69"/>
    </row>
    <row r="2796" spans="19:21" ht="15" customHeight="1" x14ac:dyDescent="0.2">
      <c r="S2796" s="69">
        <f>_xlfn.XLOOKUP(Results!A2796,Geometry!$B$6:$B$10000,Geometry!$C$6:$C$10000)</f>
        <v>0</v>
      </c>
      <c r="T2796" s="69"/>
      <c r="U2796" s="69"/>
    </row>
    <row r="2797" spans="19:21" ht="15" customHeight="1" x14ac:dyDescent="0.2">
      <c r="S2797" s="69">
        <f>_xlfn.XLOOKUP(Results!A2797,Geometry!$B$6:$B$10000,Geometry!$C$6:$C$10000)</f>
        <v>0</v>
      </c>
      <c r="T2797" s="69"/>
      <c r="U2797" s="69"/>
    </row>
    <row r="2798" spans="19:21" ht="15" customHeight="1" x14ac:dyDescent="0.2">
      <c r="S2798" s="69">
        <f>_xlfn.XLOOKUP(Results!A2798,Geometry!$B$6:$B$10000,Geometry!$C$6:$C$10000)</f>
        <v>0</v>
      </c>
      <c r="T2798" s="69"/>
      <c r="U2798" s="69"/>
    </row>
    <row r="2799" spans="19:21" ht="15" customHeight="1" x14ac:dyDescent="0.2">
      <c r="S2799" s="69">
        <f>_xlfn.XLOOKUP(Results!A2799,Geometry!$B$6:$B$10000,Geometry!$C$6:$C$10000)</f>
        <v>0</v>
      </c>
      <c r="T2799" s="69"/>
      <c r="U2799" s="69"/>
    </row>
    <row r="2800" spans="19:21" ht="15" customHeight="1" x14ac:dyDescent="0.2">
      <c r="S2800" s="69">
        <f>_xlfn.XLOOKUP(Results!A2800,Geometry!$B$6:$B$10000,Geometry!$C$6:$C$10000)</f>
        <v>0</v>
      </c>
      <c r="T2800" s="69"/>
      <c r="U2800" s="69"/>
    </row>
    <row r="2801" spans="19:21" ht="15" customHeight="1" x14ac:dyDescent="0.2">
      <c r="S2801" s="69">
        <f>_xlfn.XLOOKUP(Results!A2801,Geometry!$B$6:$B$10000,Geometry!$C$6:$C$10000)</f>
        <v>0</v>
      </c>
      <c r="T2801" s="69"/>
      <c r="U2801" s="69"/>
    </row>
    <row r="2802" spans="19:21" ht="15" customHeight="1" x14ac:dyDescent="0.2">
      <c r="S2802" s="69">
        <f>_xlfn.XLOOKUP(Results!A2802,Geometry!$B$6:$B$10000,Geometry!$C$6:$C$10000)</f>
        <v>0</v>
      </c>
      <c r="T2802" s="69"/>
      <c r="U2802" s="69"/>
    </row>
    <row r="2803" spans="19:21" ht="15" customHeight="1" x14ac:dyDescent="0.2">
      <c r="S2803" s="69">
        <f>_xlfn.XLOOKUP(Results!A2803,Geometry!$B$6:$B$10000,Geometry!$C$6:$C$10000)</f>
        <v>0</v>
      </c>
      <c r="T2803" s="69"/>
      <c r="U2803" s="69"/>
    </row>
    <row r="2804" spans="19:21" ht="15" customHeight="1" x14ac:dyDescent="0.2">
      <c r="S2804" s="69">
        <f>_xlfn.XLOOKUP(Results!A2804,Geometry!$B$6:$B$10000,Geometry!$C$6:$C$10000)</f>
        <v>0</v>
      </c>
      <c r="T2804" s="69"/>
      <c r="U2804" s="69"/>
    </row>
    <row r="2805" spans="19:21" ht="15" customHeight="1" x14ac:dyDescent="0.2">
      <c r="S2805" s="69">
        <f>_xlfn.XLOOKUP(Results!A2805,Geometry!$B$6:$B$10000,Geometry!$C$6:$C$10000)</f>
        <v>0</v>
      </c>
      <c r="T2805" s="69"/>
      <c r="U2805" s="69"/>
    </row>
    <row r="2806" spans="19:21" ht="15" customHeight="1" x14ac:dyDescent="0.2">
      <c r="S2806" s="69">
        <f>_xlfn.XLOOKUP(Results!A2806,Geometry!$B$6:$B$10000,Geometry!$C$6:$C$10000)</f>
        <v>0</v>
      </c>
      <c r="T2806" s="69"/>
      <c r="U2806" s="69"/>
    </row>
    <row r="2807" spans="19:21" ht="15" customHeight="1" x14ac:dyDescent="0.2">
      <c r="S2807" s="69">
        <f>_xlfn.XLOOKUP(Results!A2807,Geometry!$B$6:$B$10000,Geometry!$C$6:$C$10000)</f>
        <v>0</v>
      </c>
      <c r="T2807" s="69"/>
      <c r="U2807" s="69"/>
    </row>
    <row r="2808" spans="19:21" ht="15" customHeight="1" x14ac:dyDescent="0.2">
      <c r="S2808" s="69">
        <f>_xlfn.XLOOKUP(Results!A2808,Geometry!$B$6:$B$10000,Geometry!$C$6:$C$10000)</f>
        <v>0</v>
      </c>
      <c r="T2808" s="69"/>
      <c r="U2808" s="69"/>
    </row>
    <row r="2809" spans="19:21" ht="15" customHeight="1" x14ac:dyDescent="0.2">
      <c r="S2809" s="69">
        <f>_xlfn.XLOOKUP(Results!A2809,Geometry!$B$6:$B$10000,Geometry!$C$6:$C$10000)</f>
        <v>0</v>
      </c>
      <c r="T2809" s="69"/>
      <c r="U2809" s="69"/>
    </row>
    <row r="2810" spans="19:21" ht="15" customHeight="1" x14ac:dyDescent="0.2">
      <c r="S2810" s="69">
        <f>_xlfn.XLOOKUP(Results!A2810,Geometry!$B$6:$B$10000,Geometry!$C$6:$C$10000)</f>
        <v>0</v>
      </c>
      <c r="T2810" s="69"/>
      <c r="U2810" s="69"/>
    </row>
    <row r="2811" spans="19:21" ht="15" customHeight="1" x14ac:dyDescent="0.2">
      <c r="S2811" s="69">
        <f>_xlfn.XLOOKUP(Results!A2811,Geometry!$B$6:$B$10000,Geometry!$C$6:$C$10000)</f>
        <v>0</v>
      </c>
      <c r="T2811" s="69"/>
      <c r="U2811" s="69"/>
    </row>
    <row r="2812" spans="19:21" ht="15" customHeight="1" x14ac:dyDescent="0.2">
      <c r="S2812" s="69">
        <f>_xlfn.XLOOKUP(Results!A2812,Geometry!$B$6:$B$10000,Geometry!$C$6:$C$10000)</f>
        <v>0</v>
      </c>
      <c r="T2812" s="69"/>
      <c r="U2812" s="69"/>
    </row>
    <row r="2813" spans="19:21" ht="15" customHeight="1" x14ac:dyDescent="0.2">
      <c r="S2813" s="69">
        <f>_xlfn.XLOOKUP(Results!A2813,Geometry!$B$6:$B$10000,Geometry!$C$6:$C$10000)</f>
        <v>0</v>
      </c>
      <c r="T2813" s="69"/>
      <c r="U2813" s="69"/>
    </row>
    <row r="2814" spans="19:21" ht="15" customHeight="1" x14ac:dyDescent="0.2">
      <c r="S2814" s="69">
        <f>_xlfn.XLOOKUP(Results!A2814,Geometry!$B$6:$B$10000,Geometry!$C$6:$C$10000)</f>
        <v>0</v>
      </c>
      <c r="T2814" s="69"/>
      <c r="U2814" s="69"/>
    </row>
    <row r="2815" spans="19:21" ht="15" customHeight="1" x14ac:dyDescent="0.2">
      <c r="S2815" s="69">
        <f>_xlfn.XLOOKUP(Results!A2815,Geometry!$B$6:$B$10000,Geometry!$C$6:$C$10000)</f>
        <v>0</v>
      </c>
      <c r="T2815" s="69"/>
      <c r="U2815" s="69"/>
    </row>
    <row r="2816" spans="19:21" ht="15" customHeight="1" x14ac:dyDescent="0.2">
      <c r="S2816" s="69">
        <f>_xlfn.XLOOKUP(Results!A2816,Geometry!$B$6:$B$10000,Geometry!$C$6:$C$10000)</f>
        <v>0</v>
      </c>
      <c r="T2816" s="69"/>
      <c r="U2816" s="69"/>
    </row>
    <row r="2817" spans="19:21" ht="15" customHeight="1" x14ac:dyDescent="0.2">
      <c r="S2817" s="69">
        <f>_xlfn.XLOOKUP(Results!A2817,Geometry!$B$6:$B$10000,Geometry!$C$6:$C$10000)</f>
        <v>0</v>
      </c>
      <c r="T2817" s="69"/>
      <c r="U2817" s="69"/>
    </row>
    <row r="2818" spans="19:21" ht="15" customHeight="1" x14ac:dyDescent="0.2">
      <c r="S2818" s="69">
        <f>_xlfn.XLOOKUP(Results!A2818,Geometry!$B$6:$B$10000,Geometry!$C$6:$C$10000)</f>
        <v>0</v>
      </c>
      <c r="T2818" s="69"/>
      <c r="U2818" s="69"/>
    </row>
    <row r="2819" spans="19:21" ht="15" customHeight="1" x14ac:dyDescent="0.2">
      <c r="S2819" s="69">
        <f>_xlfn.XLOOKUP(Results!A2819,Geometry!$B$6:$B$10000,Geometry!$C$6:$C$10000)</f>
        <v>0</v>
      </c>
      <c r="T2819" s="69"/>
      <c r="U2819" s="69"/>
    </row>
    <row r="2820" spans="19:21" ht="15" customHeight="1" x14ac:dyDescent="0.2">
      <c r="S2820" s="69">
        <f>_xlfn.XLOOKUP(Results!A2820,Geometry!$B$6:$B$10000,Geometry!$C$6:$C$10000)</f>
        <v>0</v>
      </c>
      <c r="T2820" s="69"/>
      <c r="U2820" s="69"/>
    </row>
    <row r="2821" spans="19:21" ht="15" customHeight="1" x14ac:dyDescent="0.2">
      <c r="S2821" s="69">
        <f>_xlfn.XLOOKUP(Results!A2821,Geometry!$B$6:$B$10000,Geometry!$C$6:$C$10000)</f>
        <v>0</v>
      </c>
      <c r="T2821" s="69"/>
      <c r="U2821" s="69"/>
    </row>
    <row r="2822" spans="19:21" ht="15" customHeight="1" x14ac:dyDescent="0.2">
      <c r="S2822" s="69">
        <f>_xlfn.XLOOKUP(Results!A2822,Geometry!$B$6:$B$10000,Geometry!$C$6:$C$10000)</f>
        <v>0</v>
      </c>
      <c r="T2822" s="69"/>
      <c r="U2822" s="69"/>
    </row>
    <row r="2823" spans="19:21" ht="15" customHeight="1" x14ac:dyDescent="0.2">
      <c r="S2823" s="69">
        <f>_xlfn.XLOOKUP(Results!A2823,Geometry!$B$6:$B$10000,Geometry!$C$6:$C$10000)</f>
        <v>0</v>
      </c>
      <c r="T2823" s="69"/>
      <c r="U2823" s="69"/>
    </row>
    <row r="2824" spans="19:21" ht="15" customHeight="1" x14ac:dyDescent="0.2">
      <c r="S2824" s="69">
        <f>_xlfn.XLOOKUP(Results!A2824,Geometry!$B$6:$B$10000,Geometry!$C$6:$C$10000)</f>
        <v>0</v>
      </c>
      <c r="T2824" s="69"/>
      <c r="U2824" s="69"/>
    </row>
    <row r="2825" spans="19:21" ht="15" customHeight="1" x14ac:dyDescent="0.2">
      <c r="S2825" s="69">
        <f>_xlfn.XLOOKUP(Results!A2825,Geometry!$B$6:$B$10000,Geometry!$C$6:$C$10000)</f>
        <v>0</v>
      </c>
      <c r="T2825" s="69"/>
      <c r="U2825" s="69"/>
    </row>
    <row r="2826" spans="19:21" ht="15" customHeight="1" x14ac:dyDescent="0.2">
      <c r="S2826" s="69">
        <f>_xlfn.XLOOKUP(Results!A2826,Geometry!$B$6:$B$10000,Geometry!$C$6:$C$10000)</f>
        <v>0</v>
      </c>
      <c r="T2826" s="69"/>
      <c r="U2826" s="69"/>
    </row>
    <row r="2827" spans="19:21" ht="15" customHeight="1" x14ac:dyDescent="0.2">
      <c r="S2827" s="69">
        <f>_xlfn.XLOOKUP(Results!A2827,Geometry!$B$6:$B$10000,Geometry!$C$6:$C$10000)</f>
        <v>0</v>
      </c>
      <c r="T2827" s="69"/>
      <c r="U2827" s="69"/>
    </row>
    <row r="2828" spans="19:21" ht="15" customHeight="1" x14ac:dyDescent="0.2">
      <c r="S2828" s="69">
        <f>_xlfn.XLOOKUP(Results!A2828,Geometry!$B$6:$B$10000,Geometry!$C$6:$C$10000)</f>
        <v>0</v>
      </c>
      <c r="T2828" s="69"/>
      <c r="U2828" s="69"/>
    </row>
    <row r="2829" spans="19:21" ht="15" customHeight="1" x14ac:dyDescent="0.2">
      <c r="S2829" s="69">
        <f>_xlfn.XLOOKUP(Results!A2829,Geometry!$B$6:$B$10000,Geometry!$C$6:$C$10000)</f>
        <v>0</v>
      </c>
      <c r="T2829" s="69"/>
      <c r="U2829" s="69"/>
    </row>
    <row r="2830" spans="19:21" ht="15" customHeight="1" x14ac:dyDescent="0.2">
      <c r="S2830" s="69">
        <f>_xlfn.XLOOKUP(Results!A2830,Geometry!$B$6:$B$10000,Geometry!$C$6:$C$10000)</f>
        <v>0</v>
      </c>
      <c r="T2830" s="69"/>
      <c r="U2830" s="69"/>
    </row>
    <row r="2831" spans="19:21" ht="15" customHeight="1" x14ac:dyDescent="0.2">
      <c r="S2831" s="69">
        <f>_xlfn.XLOOKUP(Results!A2831,Geometry!$B$6:$B$10000,Geometry!$C$6:$C$10000)</f>
        <v>0</v>
      </c>
      <c r="T2831" s="69"/>
      <c r="U2831" s="69"/>
    </row>
    <row r="2832" spans="19:21" ht="15" customHeight="1" x14ac:dyDescent="0.2">
      <c r="S2832" s="69">
        <f>_xlfn.XLOOKUP(Results!A2832,Geometry!$B$6:$B$10000,Geometry!$C$6:$C$10000)</f>
        <v>0</v>
      </c>
      <c r="T2832" s="69"/>
      <c r="U2832" s="69"/>
    </row>
    <row r="2833" spans="19:21" ht="15" customHeight="1" x14ac:dyDescent="0.2">
      <c r="S2833" s="69">
        <f>_xlfn.XLOOKUP(Results!A2833,Geometry!$B$6:$B$10000,Geometry!$C$6:$C$10000)</f>
        <v>0</v>
      </c>
      <c r="T2833" s="69"/>
      <c r="U2833" s="69"/>
    </row>
    <row r="2834" spans="19:21" ht="15" customHeight="1" x14ac:dyDescent="0.2">
      <c r="S2834" s="69">
        <f>_xlfn.XLOOKUP(Results!A2834,Geometry!$B$6:$B$10000,Geometry!$C$6:$C$10000)</f>
        <v>0</v>
      </c>
      <c r="T2834" s="69"/>
      <c r="U2834" s="69"/>
    </row>
    <row r="2835" spans="19:21" ht="15" customHeight="1" x14ac:dyDescent="0.2">
      <c r="S2835" s="69">
        <f>_xlfn.XLOOKUP(Results!A2835,Geometry!$B$6:$B$10000,Geometry!$C$6:$C$10000)</f>
        <v>0</v>
      </c>
      <c r="T2835" s="69"/>
      <c r="U2835" s="69"/>
    </row>
    <row r="2836" spans="19:21" ht="15" customHeight="1" x14ac:dyDescent="0.2">
      <c r="S2836" s="69">
        <f>_xlfn.XLOOKUP(Results!A2836,Geometry!$B$6:$B$10000,Geometry!$C$6:$C$10000)</f>
        <v>0</v>
      </c>
      <c r="T2836" s="69"/>
      <c r="U2836" s="69"/>
    </row>
    <row r="2837" spans="19:21" ht="15" customHeight="1" x14ac:dyDescent="0.2">
      <c r="S2837" s="69">
        <f>_xlfn.XLOOKUP(Results!A2837,Geometry!$B$6:$B$10000,Geometry!$C$6:$C$10000)</f>
        <v>0</v>
      </c>
      <c r="T2837" s="69"/>
      <c r="U2837" s="69"/>
    </row>
    <row r="2838" spans="19:21" ht="15" customHeight="1" x14ac:dyDescent="0.2">
      <c r="S2838" s="69">
        <f>_xlfn.XLOOKUP(Results!A2838,Geometry!$B$6:$B$10000,Geometry!$C$6:$C$10000)</f>
        <v>0</v>
      </c>
      <c r="T2838" s="69"/>
      <c r="U2838" s="69"/>
    </row>
    <row r="2839" spans="19:21" ht="15" customHeight="1" x14ac:dyDescent="0.2">
      <c r="S2839" s="69">
        <f>_xlfn.XLOOKUP(Results!A2839,Geometry!$B$6:$B$10000,Geometry!$C$6:$C$10000)</f>
        <v>0</v>
      </c>
      <c r="T2839" s="69"/>
      <c r="U2839" s="69"/>
    </row>
    <row r="2840" spans="19:21" ht="15" customHeight="1" x14ac:dyDescent="0.2">
      <c r="S2840" s="69">
        <f>_xlfn.XLOOKUP(Results!A2840,Geometry!$B$6:$B$10000,Geometry!$C$6:$C$10000)</f>
        <v>0</v>
      </c>
      <c r="T2840" s="69"/>
      <c r="U2840" s="69"/>
    </row>
    <row r="2841" spans="19:21" ht="15" customHeight="1" x14ac:dyDescent="0.2">
      <c r="S2841" s="69">
        <f>_xlfn.XLOOKUP(Results!A2841,Geometry!$B$6:$B$10000,Geometry!$C$6:$C$10000)</f>
        <v>0</v>
      </c>
      <c r="T2841" s="69"/>
      <c r="U2841" s="69"/>
    </row>
    <row r="2842" spans="19:21" ht="15" customHeight="1" x14ac:dyDescent="0.2">
      <c r="S2842" s="69">
        <f>_xlfn.XLOOKUP(Results!A2842,Geometry!$B$6:$B$10000,Geometry!$C$6:$C$10000)</f>
        <v>0</v>
      </c>
      <c r="T2842" s="69"/>
      <c r="U2842" s="69"/>
    </row>
    <row r="2843" spans="19:21" ht="15" customHeight="1" x14ac:dyDescent="0.2">
      <c r="S2843" s="69">
        <f>_xlfn.XLOOKUP(Results!A2843,Geometry!$B$6:$B$10000,Geometry!$C$6:$C$10000)</f>
        <v>0</v>
      </c>
      <c r="T2843" s="69"/>
      <c r="U2843" s="69"/>
    </row>
    <row r="2844" spans="19:21" ht="15" customHeight="1" x14ac:dyDescent="0.2">
      <c r="S2844" s="69">
        <f>_xlfn.XLOOKUP(Results!A2844,Geometry!$B$6:$B$10000,Geometry!$C$6:$C$10000)</f>
        <v>0</v>
      </c>
      <c r="T2844" s="69"/>
      <c r="U2844" s="69"/>
    </row>
    <row r="2845" spans="19:21" ht="15" customHeight="1" x14ac:dyDescent="0.2">
      <c r="S2845" s="69">
        <f>_xlfn.XLOOKUP(Results!A2845,Geometry!$B$6:$B$10000,Geometry!$C$6:$C$10000)</f>
        <v>0</v>
      </c>
      <c r="T2845" s="69"/>
      <c r="U2845" s="69"/>
    </row>
    <row r="2846" spans="19:21" ht="15" customHeight="1" x14ac:dyDescent="0.2">
      <c r="S2846" s="69">
        <f>_xlfn.XLOOKUP(Results!A2846,Geometry!$B$6:$B$10000,Geometry!$C$6:$C$10000)</f>
        <v>0</v>
      </c>
      <c r="T2846" s="69"/>
      <c r="U2846" s="69"/>
    </row>
    <row r="2847" spans="19:21" ht="15" customHeight="1" x14ac:dyDescent="0.2">
      <c r="S2847" s="69">
        <f>_xlfn.XLOOKUP(Results!A2847,Geometry!$B$6:$B$10000,Geometry!$C$6:$C$10000)</f>
        <v>0</v>
      </c>
      <c r="T2847" s="69"/>
      <c r="U2847" s="69"/>
    </row>
    <row r="2848" spans="19:21" ht="15" customHeight="1" x14ac:dyDescent="0.2">
      <c r="S2848" s="69">
        <f>_xlfn.XLOOKUP(Results!A2848,Geometry!$B$6:$B$10000,Geometry!$C$6:$C$10000)</f>
        <v>0</v>
      </c>
      <c r="T2848" s="69"/>
      <c r="U2848" s="69"/>
    </row>
    <row r="2849" spans="19:21" ht="15" customHeight="1" x14ac:dyDescent="0.2">
      <c r="S2849" s="69">
        <f>_xlfn.XLOOKUP(Results!A2849,Geometry!$B$6:$B$10000,Geometry!$C$6:$C$10000)</f>
        <v>0</v>
      </c>
      <c r="T2849" s="69"/>
      <c r="U2849" s="69"/>
    </row>
    <row r="2850" spans="19:21" ht="15" customHeight="1" x14ac:dyDescent="0.2">
      <c r="S2850" s="69">
        <f>_xlfn.XLOOKUP(Results!A2850,Geometry!$B$6:$B$10000,Geometry!$C$6:$C$10000)</f>
        <v>0</v>
      </c>
      <c r="T2850" s="69"/>
      <c r="U2850" s="69"/>
    </row>
    <row r="2851" spans="19:21" ht="15" customHeight="1" x14ac:dyDescent="0.2">
      <c r="S2851" s="69">
        <f>_xlfn.XLOOKUP(Results!A2851,Geometry!$B$6:$B$10000,Geometry!$C$6:$C$10000)</f>
        <v>0</v>
      </c>
      <c r="T2851" s="69"/>
      <c r="U2851" s="69"/>
    </row>
    <row r="2852" spans="19:21" ht="15" customHeight="1" x14ac:dyDescent="0.2">
      <c r="S2852" s="69">
        <f>_xlfn.XLOOKUP(Results!A2852,Geometry!$B$6:$B$10000,Geometry!$C$6:$C$10000)</f>
        <v>0</v>
      </c>
      <c r="T2852" s="69"/>
      <c r="U2852" s="69"/>
    </row>
    <row r="2853" spans="19:21" ht="15" customHeight="1" x14ac:dyDescent="0.2">
      <c r="S2853" s="69">
        <f>_xlfn.XLOOKUP(Results!A2853,Geometry!$B$6:$B$10000,Geometry!$C$6:$C$10000)</f>
        <v>0</v>
      </c>
      <c r="T2853" s="69"/>
      <c r="U2853" s="69"/>
    </row>
    <row r="2854" spans="19:21" ht="15" customHeight="1" x14ac:dyDescent="0.2">
      <c r="S2854" s="69">
        <f>_xlfn.XLOOKUP(Results!A2854,Geometry!$B$6:$B$10000,Geometry!$C$6:$C$10000)</f>
        <v>0</v>
      </c>
      <c r="T2854" s="69"/>
      <c r="U2854" s="69"/>
    </row>
    <row r="2855" spans="19:21" ht="15" customHeight="1" x14ac:dyDescent="0.2">
      <c r="S2855" s="69">
        <f>_xlfn.XLOOKUP(Results!A2855,Geometry!$B$6:$B$10000,Geometry!$C$6:$C$10000)</f>
        <v>0</v>
      </c>
      <c r="T2855" s="69"/>
      <c r="U2855" s="69"/>
    </row>
    <row r="2856" spans="19:21" ht="15" customHeight="1" x14ac:dyDescent="0.2">
      <c r="S2856" s="69">
        <f>_xlfn.XLOOKUP(Results!A2856,Geometry!$B$6:$B$10000,Geometry!$C$6:$C$10000)</f>
        <v>0</v>
      </c>
      <c r="T2856" s="69"/>
      <c r="U2856" s="69"/>
    </row>
    <row r="2857" spans="19:21" ht="15" customHeight="1" x14ac:dyDescent="0.2">
      <c r="S2857" s="69">
        <f>_xlfn.XLOOKUP(Results!A2857,Geometry!$B$6:$B$10000,Geometry!$C$6:$C$10000)</f>
        <v>0</v>
      </c>
      <c r="T2857" s="69"/>
      <c r="U2857" s="69"/>
    </row>
    <row r="2858" spans="19:21" ht="15" customHeight="1" x14ac:dyDescent="0.2">
      <c r="S2858" s="69">
        <f>_xlfn.XLOOKUP(Results!A2858,Geometry!$B$6:$B$10000,Geometry!$C$6:$C$10000)</f>
        <v>0</v>
      </c>
      <c r="T2858" s="69"/>
      <c r="U2858" s="69"/>
    </row>
    <row r="2859" spans="19:21" ht="15" customHeight="1" x14ac:dyDescent="0.2">
      <c r="S2859" s="69">
        <f>_xlfn.XLOOKUP(Results!A2859,Geometry!$B$6:$B$10000,Geometry!$C$6:$C$10000)</f>
        <v>0</v>
      </c>
      <c r="T2859" s="69"/>
      <c r="U2859" s="69"/>
    </row>
    <row r="2860" spans="19:21" ht="15" customHeight="1" x14ac:dyDescent="0.2">
      <c r="S2860" s="69">
        <f>_xlfn.XLOOKUP(Results!A2860,Geometry!$B$6:$B$10000,Geometry!$C$6:$C$10000)</f>
        <v>0</v>
      </c>
      <c r="T2860" s="69"/>
      <c r="U2860" s="69"/>
    </row>
    <row r="2861" spans="19:21" ht="15" customHeight="1" x14ac:dyDescent="0.2">
      <c r="S2861" s="69">
        <f>_xlfn.XLOOKUP(Results!A2861,Geometry!$B$6:$B$10000,Geometry!$C$6:$C$10000)</f>
        <v>0</v>
      </c>
      <c r="T2861" s="69"/>
      <c r="U2861" s="69"/>
    </row>
    <row r="2862" spans="19:21" ht="15" customHeight="1" x14ac:dyDescent="0.2">
      <c r="S2862" s="69">
        <f>_xlfn.XLOOKUP(Results!A2862,Geometry!$B$6:$B$10000,Geometry!$C$6:$C$10000)</f>
        <v>0</v>
      </c>
      <c r="T2862" s="69"/>
      <c r="U2862" s="69"/>
    </row>
    <row r="2863" spans="19:21" ht="15" customHeight="1" x14ac:dyDescent="0.2">
      <c r="S2863" s="69">
        <f>_xlfn.XLOOKUP(Results!A2863,Geometry!$B$6:$B$10000,Geometry!$C$6:$C$10000)</f>
        <v>0</v>
      </c>
      <c r="T2863" s="69"/>
      <c r="U2863" s="69"/>
    </row>
    <row r="2864" spans="19:21" ht="15" customHeight="1" x14ac:dyDescent="0.2">
      <c r="S2864" s="69">
        <f>_xlfn.XLOOKUP(Results!A2864,Geometry!$B$6:$B$10000,Geometry!$C$6:$C$10000)</f>
        <v>0</v>
      </c>
      <c r="T2864" s="69"/>
      <c r="U2864" s="69"/>
    </row>
    <row r="2865" spans="19:21" ht="15" customHeight="1" x14ac:dyDescent="0.2">
      <c r="S2865" s="69">
        <f>_xlfn.XLOOKUP(Results!A2865,Geometry!$B$6:$B$10000,Geometry!$C$6:$C$10000)</f>
        <v>0</v>
      </c>
      <c r="T2865" s="69"/>
      <c r="U2865" s="69"/>
    </row>
    <row r="2866" spans="19:21" ht="15" customHeight="1" x14ac:dyDescent="0.2">
      <c r="S2866" s="69">
        <f>_xlfn.XLOOKUP(Results!A2866,Geometry!$B$6:$B$10000,Geometry!$C$6:$C$10000)</f>
        <v>0</v>
      </c>
      <c r="T2866" s="69"/>
      <c r="U2866" s="69"/>
    </row>
    <row r="2867" spans="19:21" ht="15" customHeight="1" x14ac:dyDescent="0.2">
      <c r="S2867" s="69">
        <f>_xlfn.XLOOKUP(Results!A2867,Geometry!$B$6:$B$10000,Geometry!$C$6:$C$10000)</f>
        <v>0</v>
      </c>
      <c r="T2867" s="69"/>
      <c r="U2867" s="69"/>
    </row>
    <row r="2868" spans="19:21" ht="15" customHeight="1" x14ac:dyDescent="0.2">
      <c r="S2868" s="69">
        <f>_xlfn.XLOOKUP(Results!A2868,Geometry!$B$6:$B$10000,Geometry!$C$6:$C$10000)</f>
        <v>0</v>
      </c>
      <c r="T2868" s="69"/>
      <c r="U2868" s="69"/>
    </row>
    <row r="2869" spans="19:21" ht="15" customHeight="1" x14ac:dyDescent="0.2">
      <c r="S2869" s="69">
        <f>_xlfn.XLOOKUP(Results!A2869,Geometry!$B$6:$B$10000,Geometry!$C$6:$C$10000)</f>
        <v>0</v>
      </c>
      <c r="T2869" s="69"/>
      <c r="U2869" s="69"/>
    </row>
    <row r="2870" spans="19:21" ht="15" customHeight="1" x14ac:dyDescent="0.2">
      <c r="S2870" s="69">
        <f>_xlfn.XLOOKUP(Results!A2870,Geometry!$B$6:$B$10000,Geometry!$C$6:$C$10000)</f>
        <v>0</v>
      </c>
      <c r="T2870" s="69"/>
      <c r="U2870" s="69"/>
    </row>
    <row r="2871" spans="19:21" ht="15" customHeight="1" x14ac:dyDescent="0.2">
      <c r="S2871" s="69">
        <f>_xlfn.XLOOKUP(Results!A2871,Geometry!$B$6:$B$10000,Geometry!$C$6:$C$10000)</f>
        <v>0</v>
      </c>
      <c r="T2871" s="69"/>
      <c r="U2871" s="69"/>
    </row>
    <row r="2872" spans="19:21" ht="15" customHeight="1" x14ac:dyDescent="0.2">
      <c r="S2872" s="69">
        <f>_xlfn.XLOOKUP(Results!A2872,Geometry!$B$6:$B$10000,Geometry!$C$6:$C$10000)</f>
        <v>0</v>
      </c>
      <c r="T2872" s="69"/>
      <c r="U2872" s="69"/>
    </row>
    <row r="2873" spans="19:21" ht="15" customHeight="1" x14ac:dyDescent="0.2">
      <c r="S2873" s="69">
        <f>_xlfn.XLOOKUP(Results!A2873,Geometry!$B$6:$B$10000,Geometry!$C$6:$C$10000)</f>
        <v>0</v>
      </c>
      <c r="T2873" s="69"/>
      <c r="U2873" s="69"/>
    </row>
    <row r="2874" spans="19:21" ht="15" customHeight="1" x14ac:dyDescent="0.2">
      <c r="S2874" s="69">
        <f>_xlfn.XLOOKUP(Results!A2874,Geometry!$B$6:$B$10000,Geometry!$C$6:$C$10000)</f>
        <v>0</v>
      </c>
      <c r="T2874" s="69"/>
      <c r="U2874" s="69"/>
    </row>
    <row r="2875" spans="19:21" ht="15" customHeight="1" x14ac:dyDescent="0.2">
      <c r="S2875" s="69">
        <f>_xlfn.XLOOKUP(Results!A2875,Geometry!$B$6:$B$10000,Geometry!$C$6:$C$10000)</f>
        <v>0</v>
      </c>
      <c r="T2875" s="69"/>
      <c r="U2875" s="69"/>
    </row>
    <row r="2876" spans="19:21" ht="15" customHeight="1" x14ac:dyDescent="0.2">
      <c r="S2876" s="69">
        <f>_xlfn.XLOOKUP(Results!A2876,Geometry!$B$6:$B$10000,Geometry!$C$6:$C$10000)</f>
        <v>0</v>
      </c>
      <c r="T2876" s="69"/>
      <c r="U2876" s="69"/>
    </row>
    <row r="2877" spans="19:21" ht="15" customHeight="1" x14ac:dyDescent="0.2">
      <c r="S2877" s="69">
        <f>_xlfn.XLOOKUP(Results!A2877,Geometry!$B$6:$B$10000,Geometry!$C$6:$C$10000)</f>
        <v>0</v>
      </c>
      <c r="T2877" s="69"/>
      <c r="U2877" s="69"/>
    </row>
    <row r="2878" spans="19:21" ht="15" customHeight="1" x14ac:dyDescent="0.2">
      <c r="S2878" s="69">
        <f>_xlfn.XLOOKUP(Results!A2878,Geometry!$B$6:$B$10000,Geometry!$C$6:$C$10000)</f>
        <v>0</v>
      </c>
      <c r="T2878" s="69"/>
      <c r="U2878" s="69"/>
    </row>
    <row r="2879" spans="19:21" ht="15" customHeight="1" x14ac:dyDescent="0.2">
      <c r="S2879" s="69">
        <f>_xlfn.XLOOKUP(Results!A2879,Geometry!$B$6:$B$10000,Geometry!$C$6:$C$10000)</f>
        <v>0</v>
      </c>
      <c r="T2879" s="69"/>
      <c r="U2879" s="69"/>
    </row>
    <row r="2880" spans="19:21" ht="15" customHeight="1" x14ac:dyDescent="0.2">
      <c r="S2880" s="69">
        <f>_xlfn.XLOOKUP(Results!A2880,Geometry!$B$6:$B$10000,Geometry!$C$6:$C$10000)</f>
        <v>0</v>
      </c>
      <c r="T2880" s="69"/>
      <c r="U2880" s="69"/>
    </row>
    <row r="2881" spans="19:21" ht="15" customHeight="1" x14ac:dyDescent="0.2">
      <c r="S2881" s="69">
        <f>_xlfn.XLOOKUP(Results!A2881,Geometry!$B$6:$B$10000,Geometry!$C$6:$C$10000)</f>
        <v>0</v>
      </c>
      <c r="T2881" s="69"/>
      <c r="U2881" s="69"/>
    </row>
    <row r="2882" spans="19:21" ht="15" customHeight="1" x14ac:dyDescent="0.2">
      <c r="S2882" s="69">
        <f>_xlfn.XLOOKUP(Results!A2882,Geometry!$B$6:$B$10000,Geometry!$C$6:$C$10000)</f>
        <v>0</v>
      </c>
      <c r="T2882" s="69"/>
      <c r="U2882" s="69"/>
    </row>
    <row r="2883" spans="19:21" ht="15" customHeight="1" x14ac:dyDescent="0.2">
      <c r="S2883" s="69">
        <f>_xlfn.XLOOKUP(Results!A2883,Geometry!$B$6:$B$10000,Geometry!$C$6:$C$10000)</f>
        <v>0</v>
      </c>
      <c r="T2883" s="69"/>
      <c r="U2883" s="69"/>
    </row>
    <row r="2884" spans="19:21" ht="15" customHeight="1" x14ac:dyDescent="0.2">
      <c r="S2884" s="69">
        <f>_xlfn.XLOOKUP(Results!A2884,Geometry!$B$6:$B$10000,Geometry!$C$6:$C$10000)</f>
        <v>0</v>
      </c>
      <c r="T2884" s="69"/>
      <c r="U2884" s="69"/>
    </row>
    <row r="2885" spans="19:21" ht="15" customHeight="1" x14ac:dyDescent="0.2">
      <c r="S2885" s="69">
        <f>_xlfn.XLOOKUP(Results!A2885,Geometry!$B$6:$B$10000,Geometry!$C$6:$C$10000)</f>
        <v>0</v>
      </c>
      <c r="T2885" s="69"/>
      <c r="U2885" s="69"/>
    </row>
    <row r="2886" spans="19:21" ht="15" customHeight="1" x14ac:dyDescent="0.2">
      <c r="S2886" s="69">
        <f>_xlfn.XLOOKUP(Results!A2886,Geometry!$B$6:$B$10000,Geometry!$C$6:$C$10000)</f>
        <v>0</v>
      </c>
      <c r="T2886" s="69"/>
      <c r="U2886" s="69"/>
    </row>
    <row r="2887" spans="19:21" ht="15" customHeight="1" x14ac:dyDescent="0.2">
      <c r="S2887" s="69">
        <f>_xlfn.XLOOKUP(Results!A2887,Geometry!$B$6:$B$10000,Geometry!$C$6:$C$10000)</f>
        <v>0</v>
      </c>
      <c r="T2887" s="69"/>
      <c r="U2887" s="69"/>
    </row>
    <row r="2888" spans="19:21" ht="15" customHeight="1" x14ac:dyDescent="0.2">
      <c r="S2888" s="69">
        <f>_xlfn.XLOOKUP(Results!A2888,Geometry!$B$6:$B$10000,Geometry!$C$6:$C$10000)</f>
        <v>0</v>
      </c>
      <c r="T2888" s="69"/>
      <c r="U2888" s="69"/>
    </row>
    <row r="2889" spans="19:21" ht="15" customHeight="1" x14ac:dyDescent="0.2">
      <c r="S2889" s="69">
        <f>_xlfn.XLOOKUP(Results!A2889,Geometry!$B$6:$B$10000,Geometry!$C$6:$C$10000)</f>
        <v>0</v>
      </c>
      <c r="T2889" s="69"/>
      <c r="U2889" s="69"/>
    </row>
    <row r="2890" spans="19:21" ht="15" customHeight="1" x14ac:dyDescent="0.2">
      <c r="S2890" s="69">
        <f>_xlfn.XLOOKUP(Results!A2890,Geometry!$B$6:$B$10000,Geometry!$C$6:$C$10000)</f>
        <v>0</v>
      </c>
      <c r="T2890" s="69"/>
      <c r="U2890" s="69"/>
    </row>
    <row r="2891" spans="19:21" ht="15" customHeight="1" x14ac:dyDescent="0.2">
      <c r="S2891" s="69">
        <f>_xlfn.XLOOKUP(Results!A2891,Geometry!$B$6:$B$10000,Geometry!$C$6:$C$10000)</f>
        <v>0</v>
      </c>
      <c r="T2891" s="69"/>
      <c r="U2891" s="69"/>
    </row>
    <row r="2892" spans="19:21" ht="15" customHeight="1" x14ac:dyDescent="0.2">
      <c r="S2892" s="69">
        <f>_xlfn.XLOOKUP(Results!A2892,Geometry!$B$6:$B$10000,Geometry!$C$6:$C$10000)</f>
        <v>0</v>
      </c>
      <c r="T2892" s="69"/>
      <c r="U2892" s="69"/>
    </row>
    <row r="2893" spans="19:21" ht="15" customHeight="1" x14ac:dyDescent="0.2">
      <c r="S2893" s="69">
        <f>_xlfn.XLOOKUP(Results!A2893,Geometry!$B$6:$B$10000,Geometry!$C$6:$C$10000)</f>
        <v>0</v>
      </c>
      <c r="T2893" s="69"/>
      <c r="U2893" s="69"/>
    </row>
    <row r="2894" spans="19:21" ht="15" customHeight="1" x14ac:dyDescent="0.2">
      <c r="S2894" s="69">
        <f>_xlfn.XLOOKUP(Results!A2894,Geometry!$B$6:$B$10000,Geometry!$C$6:$C$10000)</f>
        <v>0</v>
      </c>
      <c r="T2894" s="69"/>
      <c r="U2894" s="69"/>
    </row>
    <row r="2895" spans="19:21" ht="15" customHeight="1" x14ac:dyDescent="0.2">
      <c r="S2895" s="69">
        <f>_xlfn.XLOOKUP(Results!A2895,Geometry!$B$6:$B$10000,Geometry!$C$6:$C$10000)</f>
        <v>0</v>
      </c>
      <c r="T2895" s="69"/>
      <c r="U2895" s="69"/>
    </row>
    <row r="2896" spans="19:21" ht="15" customHeight="1" x14ac:dyDescent="0.2">
      <c r="S2896" s="69">
        <f>_xlfn.XLOOKUP(Results!A2896,Geometry!$B$6:$B$10000,Geometry!$C$6:$C$10000)</f>
        <v>0</v>
      </c>
      <c r="T2896" s="69"/>
      <c r="U2896" s="69"/>
    </row>
    <row r="2897" spans="19:21" ht="15" customHeight="1" x14ac:dyDescent="0.2">
      <c r="S2897" s="69">
        <f>_xlfn.XLOOKUP(Results!A2897,Geometry!$B$6:$B$10000,Geometry!$C$6:$C$10000)</f>
        <v>0</v>
      </c>
      <c r="T2897" s="69"/>
      <c r="U2897" s="69"/>
    </row>
    <row r="2898" spans="19:21" ht="15" customHeight="1" x14ac:dyDescent="0.2">
      <c r="S2898" s="69">
        <f>_xlfn.XLOOKUP(Results!A2898,Geometry!$B$6:$B$10000,Geometry!$C$6:$C$10000)</f>
        <v>0</v>
      </c>
      <c r="T2898" s="69"/>
      <c r="U2898" s="69"/>
    </row>
    <row r="2899" spans="19:21" ht="15" customHeight="1" x14ac:dyDescent="0.2">
      <c r="S2899" s="69">
        <f>_xlfn.XLOOKUP(Results!A2899,Geometry!$B$6:$B$10000,Geometry!$C$6:$C$10000)</f>
        <v>0</v>
      </c>
      <c r="T2899" s="69"/>
      <c r="U2899" s="69"/>
    </row>
    <row r="2900" spans="19:21" ht="15" customHeight="1" x14ac:dyDescent="0.2">
      <c r="S2900" s="69">
        <f>_xlfn.XLOOKUP(Results!A2900,Geometry!$B$6:$B$10000,Geometry!$C$6:$C$10000)</f>
        <v>0</v>
      </c>
      <c r="T2900" s="69"/>
      <c r="U2900" s="69"/>
    </row>
    <row r="2901" spans="19:21" ht="15" customHeight="1" x14ac:dyDescent="0.2">
      <c r="S2901" s="69">
        <f>_xlfn.XLOOKUP(Results!A2901,Geometry!$B$6:$B$10000,Geometry!$C$6:$C$10000)</f>
        <v>0</v>
      </c>
      <c r="T2901" s="69"/>
      <c r="U2901" s="69"/>
    </row>
    <row r="2902" spans="19:21" ht="15" customHeight="1" x14ac:dyDescent="0.2">
      <c r="S2902" s="69">
        <f>_xlfn.XLOOKUP(Results!A2902,Geometry!$B$6:$B$10000,Geometry!$C$6:$C$10000)</f>
        <v>0</v>
      </c>
      <c r="T2902" s="69"/>
      <c r="U2902" s="69"/>
    </row>
    <row r="2903" spans="19:21" ht="15" customHeight="1" x14ac:dyDescent="0.2">
      <c r="S2903" s="69">
        <f>_xlfn.XLOOKUP(Results!A2903,Geometry!$B$6:$B$10000,Geometry!$C$6:$C$10000)</f>
        <v>0</v>
      </c>
      <c r="T2903" s="69"/>
      <c r="U2903" s="69"/>
    </row>
    <row r="2904" spans="19:21" ht="15" customHeight="1" x14ac:dyDescent="0.2">
      <c r="S2904" s="69">
        <f>_xlfn.XLOOKUP(Results!A2904,Geometry!$B$6:$B$10000,Geometry!$C$6:$C$10000)</f>
        <v>0</v>
      </c>
      <c r="T2904" s="69"/>
      <c r="U2904" s="69"/>
    </row>
    <row r="2905" spans="19:21" ht="15" customHeight="1" x14ac:dyDescent="0.2">
      <c r="S2905" s="69">
        <f>_xlfn.XLOOKUP(Results!A2905,Geometry!$B$6:$B$10000,Geometry!$C$6:$C$10000)</f>
        <v>0</v>
      </c>
      <c r="T2905" s="69"/>
      <c r="U2905" s="69"/>
    </row>
    <row r="2906" spans="19:21" ht="15" customHeight="1" x14ac:dyDescent="0.2">
      <c r="S2906" s="69">
        <f>_xlfn.XLOOKUP(Results!A2906,Geometry!$B$6:$B$10000,Geometry!$C$6:$C$10000)</f>
        <v>0</v>
      </c>
      <c r="T2906" s="69"/>
      <c r="U2906" s="69"/>
    </row>
    <row r="2907" spans="19:21" ht="15" customHeight="1" x14ac:dyDescent="0.2">
      <c r="S2907" s="69">
        <f>_xlfn.XLOOKUP(Results!A2907,Geometry!$B$6:$B$10000,Geometry!$C$6:$C$10000)</f>
        <v>0</v>
      </c>
      <c r="T2907" s="69"/>
      <c r="U2907" s="69"/>
    </row>
    <row r="2908" spans="19:21" ht="15" customHeight="1" x14ac:dyDescent="0.2">
      <c r="S2908" s="69">
        <f>_xlfn.XLOOKUP(Results!A2908,Geometry!$B$6:$B$10000,Geometry!$C$6:$C$10000)</f>
        <v>0</v>
      </c>
      <c r="T2908" s="69"/>
      <c r="U2908" s="69"/>
    </row>
    <row r="2909" spans="19:21" ht="15" customHeight="1" x14ac:dyDescent="0.2">
      <c r="S2909" s="69">
        <f>_xlfn.XLOOKUP(Results!A2909,Geometry!$B$6:$B$10000,Geometry!$C$6:$C$10000)</f>
        <v>0</v>
      </c>
      <c r="T2909" s="69"/>
      <c r="U2909" s="69"/>
    </row>
    <row r="2910" spans="19:21" ht="15" customHeight="1" x14ac:dyDescent="0.2">
      <c r="S2910" s="69">
        <f>_xlfn.XLOOKUP(Results!A2910,Geometry!$B$6:$B$10000,Geometry!$C$6:$C$10000)</f>
        <v>0</v>
      </c>
      <c r="T2910" s="69"/>
      <c r="U2910" s="69"/>
    </row>
    <row r="2911" spans="19:21" ht="15" customHeight="1" x14ac:dyDescent="0.2">
      <c r="S2911" s="69">
        <f>_xlfn.XLOOKUP(Results!A2911,Geometry!$B$6:$B$10000,Geometry!$C$6:$C$10000)</f>
        <v>0</v>
      </c>
      <c r="T2911" s="69"/>
      <c r="U2911" s="69"/>
    </row>
    <row r="2912" spans="19:21" ht="15" customHeight="1" x14ac:dyDescent="0.2">
      <c r="S2912" s="69">
        <f>_xlfn.XLOOKUP(Results!A2912,Geometry!$B$6:$B$10000,Geometry!$C$6:$C$10000)</f>
        <v>0</v>
      </c>
      <c r="T2912" s="69"/>
      <c r="U2912" s="69"/>
    </row>
    <row r="2913" spans="19:21" ht="15" customHeight="1" x14ac:dyDescent="0.2">
      <c r="S2913" s="69">
        <f>_xlfn.XLOOKUP(Results!A2913,Geometry!$B$6:$B$10000,Geometry!$C$6:$C$10000)</f>
        <v>0</v>
      </c>
      <c r="T2913" s="69"/>
      <c r="U2913" s="69"/>
    </row>
    <row r="2914" spans="19:21" ht="15" customHeight="1" x14ac:dyDescent="0.2">
      <c r="S2914" s="69">
        <f>_xlfn.XLOOKUP(Results!A2914,Geometry!$B$6:$B$10000,Geometry!$C$6:$C$10000)</f>
        <v>0</v>
      </c>
      <c r="T2914" s="69"/>
      <c r="U2914" s="69"/>
    </row>
    <row r="2915" spans="19:21" ht="15" customHeight="1" x14ac:dyDescent="0.2">
      <c r="S2915" s="69">
        <f>_xlfn.XLOOKUP(Results!A2915,Geometry!$B$6:$B$10000,Geometry!$C$6:$C$10000)</f>
        <v>0</v>
      </c>
      <c r="T2915" s="69"/>
      <c r="U2915" s="69"/>
    </row>
    <row r="2916" spans="19:21" ht="15" customHeight="1" x14ac:dyDescent="0.2">
      <c r="S2916" s="69">
        <f>_xlfn.XLOOKUP(Results!A2916,Geometry!$B$6:$B$10000,Geometry!$C$6:$C$10000)</f>
        <v>0</v>
      </c>
      <c r="T2916" s="69"/>
      <c r="U2916" s="69"/>
    </row>
    <row r="2917" spans="19:21" ht="15" customHeight="1" x14ac:dyDescent="0.2">
      <c r="S2917" s="69">
        <f>_xlfn.XLOOKUP(Results!A2917,Geometry!$B$6:$B$10000,Geometry!$C$6:$C$10000)</f>
        <v>0</v>
      </c>
      <c r="T2917" s="69"/>
      <c r="U2917" s="69"/>
    </row>
    <row r="2918" spans="19:21" ht="15" customHeight="1" x14ac:dyDescent="0.2">
      <c r="S2918" s="69">
        <f>_xlfn.XLOOKUP(Results!A2918,Geometry!$B$6:$B$10000,Geometry!$C$6:$C$10000)</f>
        <v>0</v>
      </c>
      <c r="T2918" s="69"/>
      <c r="U2918" s="69"/>
    </row>
    <row r="2919" spans="19:21" ht="15" customHeight="1" x14ac:dyDescent="0.2">
      <c r="S2919" s="69">
        <f>_xlfn.XLOOKUP(Results!A2919,Geometry!$B$6:$B$10000,Geometry!$C$6:$C$10000)</f>
        <v>0</v>
      </c>
      <c r="T2919" s="69"/>
      <c r="U2919" s="69"/>
    </row>
    <row r="2920" spans="19:21" ht="15" customHeight="1" x14ac:dyDescent="0.2">
      <c r="S2920" s="69">
        <f>_xlfn.XLOOKUP(Results!A2920,Geometry!$B$6:$B$10000,Geometry!$C$6:$C$10000)</f>
        <v>0</v>
      </c>
      <c r="T2920" s="69"/>
      <c r="U2920" s="69"/>
    </row>
    <row r="2921" spans="19:21" ht="15" customHeight="1" x14ac:dyDescent="0.2">
      <c r="S2921" s="69">
        <f>_xlfn.XLOOKUP(Results!A2921,Geometry!$B$6:$B$10000,Geometry!$C$6:$C$10000)</f>
        <v>0</v>
      </c>
      <c r="T2921" s="69"/>
      <c r="U2921" s="69"/>
    </row>
    <row r="2922" spans="19:21" ht="15" customHeight="1" x14ac:dyDescent="0.2">
      <c r="S2922" s="69">
        <f>_xlfn.XLOOKUP(Results!A2922,Geometry!$B$6:$B$10000,Geometry!$C$6:$C$10000)</f>
        <v>0</v>
      </c>
      <c r="T2922" s="69"/>
      <c r="U2922" s="69"/>
    </row>
    <row r="2923" spans="19:21" ht="15" customHeight="1" x14ac:dyDescent="0.2">
      <c r="S2923" s="69">
        <f>_xlfn.XLOOKUP(Results!A2923,Geometry!$B$6:$B$10000,Geometry!$C$6:$C$10000)</f>
        <v>0</v>
      </c>
      <c r="T2923" s="69"/>
      <c r="U2923" s="69"/>
    </row>
    <row r="2924" spans="19:21" ht="15" customHeight="1" x14ac:dyDescent="0.2">
      <c r="S2924" s="69">
        <f>_xlfn.XLOOKUP(Results!A2924,Geometry!$B$6:$B$10000,Geometry!$C$6:$C$10000)</f>
        <v>0</v>
      </c>
      <c r="T2924" s="69"/>
      <c r="U2924" s="69"/>
    </row>
    <row r="2925" spans="19:21" ht="15" customHeight="1" x14ac:dyDescent="0.2">
      <c r="S2925" s="69">
        <f>_xlfn.XLOOKUP(Results!A2925,Geometry!$B$6:$B$10000,Geometry!$C$6:$C$10000)</f>
        <v>0</v>
      </c>
      <c r="T2925" s="69"/>
      <c r="U2925" s="69"/>
    </row>
    <row r="2926" spans="19:21" ht="15" customHeight="1" x14ac:dyDescent="0.2">
      <c r="S2926" s="69">
        <f>_xlfn.XLOOKUP(Results!A2926,Geometry!$B$6:$B$10000,Geometry!$C$6:$C$10000)</f>
        <v>0</v>
      </c>
      <c r="T2926" s="69"/>
      <c r="U2926" s="69"/>
    </row>
    <row r="2927" spans="19:21" ht="15" customHeight="1" x14ac:dyDescent="0.2">
      <c r="S2927" s="69">
        <f>_xlfn.XLOOKUP(Results!A2927,Geometry!$B$6:$B$10000,Geometry!$C$6:$C$10000)</f>
        <v>0</v>
      </c>
      <c r="T2927" s="69"/>
      <c r="U2927" s="69"/>
    </row>
    <row r="2928" spans="19:21" ht="15" customHeight="1" x14ac:dyDescent="0.2">
      <c r="S2928" s="69">
        <f>_xlfn.XLOOKUP(Results!A2928,Geometry!$B$6:$B$10000,Geometry!$C$6:$C$10000)</f>
        <v>0</v>
      </c>
      <c r="T2928" s="69"/>
      <c r="U2928" s="69"/>
    </row>
    <row r="2929" spans="19:21" ht="15" customHeight="1" x14ac:dyDescent="0.2">
      <c r="S2929" s="69">
        <f>_xlfn.XLOOKUP(Results!A2929,Geometry!$B$6:$B$10000,Geometry!$C$6:$C$10000)</f>
        <v>0</v>
      </c>
      <c r="T2929" s="69"/>
      <c r="U2929" s="69"/>
    </row>
    <row r="2930" spans="19:21" ht="15" customHeight="1" x14ac:dyDescent="0.2">
      <c r="S2930" s="69">
        <f>_xlfn.XLOOKUP(Results!A2930,Geometry!$B$6:$B$10000,Geometry!$C$6:$C$10000)</f>
        <v>0</v>
      </c>
      <c r="T2930" s="69"/>
      <c r="U2930" s="69"/>
    </row>
    <row r="2931" spans="19:21" ht="15" customHeight="1" x14ac:dyDescent="0.2">
      <c r="S2931" s="69">
        <f>_xlfn.XLOOKUP(Results!A2931,Geometry!$B$6:$B$10000,Geometry!$C$6:$C$10000)</f>
        <v>0</v>
      </c>
      <c r="T2931" s="69"/>
      <c r="U2931" s="69"/>
    </row>
    <row r="2932" spans="19:21" ht="15" customHeight="1" x14ac:dyDescent="0.2">
      <c r="S2932" s="69">
        <f>_xlfn.XLOOKUP(Results!A2932,Geometry!$B$6:$B$10000,Geometry!$C$6:$C$10000)</f>
        <v>0</v>
      </c>
      <c r="T2932" s="69"/>
      <c r="U2932" s="69"/>
    </row>
    <row r="2933" spans="19:21" ht="15" customHeight="1" x14ac:dyDescent="0.2">
      <c r="S2933" s="69">
        <f>_xlfn.XLOOKUP(Results!A2933,Geometry!$B$6:$B$10000,Geometry!$C$6:$C$10000)</f>
        <v>0</v>
      </c>
      <c r="T2933" s="69"/>
      <c r="U2933" s="69"/>
    </row>
    <row r="2934" spans="19:21" ht="15" customHeight="1" x14ac:dyDescent="0.2">
      <c r="S2934" s="69">
        <f>_xlfn.XLOOKUP(Results!A2934,Geometry!$B$6:$B$10000,Geometry!$C$6:$C$10000)</f>
        <v>0</v>
      </c>
      <c r="T2934" s="69"/>
      <c r="U2934" s="69"/>
    </row>
    <row r="2935" spans="19:21" ht="15" customHeight="1" x14ac:dyDescent="0.2">
      <c r="S2935" s="69">
        <f>_xlfn.XLOOKUP(Results!A2935,Geometry!$B$6:$B$10000,Geometry!$C$6:$C$10000)</f>
        <v>0</v>
      </c>
      <c r="T2935" s="69"/>
      <c r="U2935" s="69"/>
    </row>
    <row r="2936" spans="19:21" ht="15" customHeight="1" x14ac:dyDescent="0.2">
      <c r="S2936" s="69">
        <f>_xlfn.XLOOKUP(Results!A2936,Geometry!$B$6:$B$10000,Geometry!$C$6:$C$10000)</f>
        <v>0</v>
      </c>
      <c r="T2936" s="69"/>
      <c r="U2936" s="69"/>
    </row>
    <row r="2937" spans="19:21" ht="15" customHeight="1" x14ac:dyDescent="0.2">
      <c r="S2937" s="69">
        <f>_xlfn.XLOOKUP(Results!A2937,Geometry!$B$6:$B$10000,Geometry!$C$6:$C$10000)</f>
        <v>0</v>
      </c>
      <c r="T2937" s="69"/>
      <c r="U2937" s="69"/>
    </row>
    <row r="2938" spans="19:21" ht="15" customHeight="1" x14ac:dyDescent="0.2">
      <c r="S2938" s="69">
        <f>_xlfn.XLOOKUP(Results!A2938,Geometry!$B$6:$B$10000,Geometry!$C$6:$C$10000)</f>
        <v>0</v>
      </c>
      <c r="T2938" s="69"/>
      <c r="U2938" s="69"/>
    </row>
    <row r="2939" spans="19:21" ht="15" customHeight="1" x14ac:dyDescent="0.2">
      <c r="S2939" s="69">
        <f>_xlfn.XLOOKUP(Results!A2939,Geometry!$B$6:$B$10000,Geometry!$C$6:$C$10000)</f>
        <v>0</v>
      </c>
      <c r="T2939" s="69"/>
      <c r="U2939" s="69"/>
    </row>
    <row r="2940" spans="19:21" ht="15" customHeight="1" x14ac:dyDescent="0.2">
      <c r="S2940" s="69">
        <f>_xlfn.XLOOKUP(Results!A2940,Geometry!$B$6:$B$10000,Geometry!$C$6:$C$10000)</f>
        <v>0</v>
      </c>
      <c r="T2940" s="69"/>
      <c r="U2940" s="69"/>
    </row>
    <row r="2941" spans="19:21" ht="15" customHeight="1" x14ac:dyDescent="0.2">
      <c r="S2941" s="69">
        <f>_xlfn.XLOOKUP(Results!A2941,Geometry!$B$6:$B$10000,Geometry!$C$6:$C$10000)</f>
        <v>0</v>
      </c>
      <c r="T2941" s="69"/>
      <c r="U2941" s="69"/>
    </row>
    <row r="2942" spans="19:21" ht="15" customHeight="1" x14ac:dyDescent="0.2">
      <c r="S2942" s="69">
        <f>_xlfn.XLOOKUP(Results!A2942,Geometry!$B$6:$B$10000,Geometry!$C$6:$C$10000)</f>
        <v>0</v>
      </c>
      <c r="T2942" s="69"/>
      <c r="U2942" s="69"/>
    </row>
    <row r="2943" spans="19:21" ht="15" customHeight="1" x14ac:dyDescent="0.2">
      <c r="S2943" s="69">
        <f>_xlfn.XLOOKUP(Results!A2943,Geometry!$B$6:$B$10000,Geometry!$C$6:$C$10000)</f>
        <v>0</v>
      </c>
      <c r="T2943" s="69"/>
      <c r="U2943" s="69"/>
    </row>
    <row r="2944" spans="19:21" ht="15" customHeight="1" x14ac:dyDescent="0.2">
      <c r="S2944" s="69">
        <f>_xlfn.XLOOKUP(Results!A2944,Geometry!$B$6:$B$10000,Geometry!$C$6:$C$10000)</f>
        <v>0</v>
      </c>
      <c r="T2944" s="69"/>
      <c r="U2944" s="69"/>
    </row>
    <row r="2945" spans="19:21" ht="15" customHeight="1" x14ac:dyDescent="0.2">
      <c r="S2945" s="69">
        <f>_xlfn.XLOOKUP(Results!A2945,Geometry!$B$6:$B$10000,Geometry!$C$6:$C$10000)</f>
        <v>0</v>
      </c>
      <c r="T2945" s="69"/>
      <c r="U2945" s="69"/>
    </row>
    <row r="2946" spans="19:21" ht="15" customHeight="1" x14ac:dyDescent="0.2">
      <c r="S2946" s="69">
        <f>_xlfn.XLOOKUP(Results!A2946,Geometry!$B$6:$B$10000,Geometry!$C$6:$C$10000)</f>
        <v>0</v>
      </c>
      <c r="T2946" s="69"/>
      <c r="U2946" s="69"/>
    </row>
    <row r="2947" spans="19:21" ht="15" customHeight="1" x14ac:dyDescent="0.2">
      <c r="S2947" s="69">
        <f>_xlfn.XLOOKUP(Results!A2947,Geometry!$B$6:$B$10000,Geometry!$C$6:$C$10000)</f>
        <v>0</v>
      </c>
      <c r="T2947" s="69"/>
      <c r="U2947" s="69"/>
    </row>
    <row r="2948" spans="19:21" ht="15" customHeight="1" x14ac:dyDescent="0.2">
      <c r="S2948" s="69">
        <f>_xlfn.XLOOKUP(Results!A2948,Geometry!$B$6:$B$10000,Geometry!$C$6:$C$10000)</f>
        <v>0</v>
      </c>
      <c r="T2948" s="69"/>
      <c r="U2948" s="69"/>
    </row>
    <row r="2949" spans="19:21" ht="15" customHeight="1" x14ac:dyDescent="0.2">
      <c r="S2949" s="69">
        <f>_xlfn.XLOOKUP(Results!A2949,Geometry!$B$6:$B$10000,Geometry!$C$6:$C$10000)</f>
        <v>0</v>
      </c>
      <c r="T2949" s="69"/>
      <c r="U2949" s="69"/>
    </row>
    <row r="2950" spans="19:21" ht="15" customHeight="1" x14ac:dyDescent="0.2">
      <c r="S2950" s="69">
        <f>_xlfn.XLOOKUP(Results!A2950,Geometry!$B$6:$B$10000,Geometry!$C$6:$C$10000)</f>
        <v>0</v>
      </c>
      <c r="T2950" s="69"/>
      <c r="U2950" s="69"/>
    </row>
    <row r="2951" spans="19:21" ht="15" customHeight="1" x14ac:dyDescent="0.2">
      <c r="S2951" s="69">
        <f>_xlfn.XLOOKUP(Results!A2951,Geometry!$B$6:$B$10000,Geometry!$C$6:$C$10000)</f>
        <v>0</v>
      </c>
      <c r="T2951" s="69"/>
      <c r="U2951" s="69"/>
    </row>
    <row r="2952" spans="19:21" ht="15" customHeight="1" x14ac:dyDescent="0.2">
      <c r="S2952" s="69">
        <f>_xlfn.XLOOKUP(Results!A2952,Geometry!$B$6:$B$10000,Geometry!$C$6:$C$10000)</f>
        <v>0</v>
      </c>
      <c r="T2952" s="69"/>
      <c r="U2952" s="69"/>
    </row>
    <row r="2953" spans="19:21" ht="15" customHeight="1" x14ac:dyDescent="0.2">
      <c r="S2953" s="69">
        <f>_xlfn.XLOOKUP(Results!A2953,Geometry!$B$6:$B$10000,Geometry!$C$6:$C$10000)</f>
        <v>0</v>
      </c>
      <c r="T2953" s="69"/>
      <c r="U2953" s="69"/>
    </row>
    <row r="2954" spans="19:21" ht="15" customHeight="1" x14ac:dyDescent="0.2">
      <c r="S2954" s="69">
        <f>_xlfn.XLOOKUP(Results!A2954,Geometry!$B$6:$B$10000,Geometry!$C$6:$C$10000)</f>
        <v>0</v>
      </c>
      <c r="T2954" s="69"/>
      <c r="U2954" s="69"/>
    </row>
    <row r="2955" spans="19:21" ht="15" customHeight="1" x14ac:dyDescent="0.2">
      <c r="S2955" s="69">
        <f>_xlfn.XLOOKUP(Results!A2955,Geometry!$B$6:$B$10000,Geometry!$C$6:$C$10000)</f>
        <v>0</v>
      </c>
      <c r="T2955" s="69"/>
      <c r="U2955" s="69"/>
    </row>
    <row r="2956" spans="19:21" ht="15" customHeight="1" x14ac:dyDescent="0.2">
      <c r="S2956" s="69">
        <f>_xlfn.XLOOKUP(Results!A2956,Geometry!$B$6:$B$10000,Geometry!$C$6:$C$10000)</f>
        <v>0</v>
      </c>
      <c r="T2956" s="69"/>
      <c r="U2956" s="69"/>
    </row>
    <row r="2957" spans="19:21" ht="15" customHeight="1" x14ac:dyDescent="0.2">
      <c r="S2957" s="69">
        <f>_xlfn.XLOOKUP(Results!A2957,Geometry!$B$6:$B$10000,Geometry!$C$6:$C$10000)</f>
        <v>0</v>
      </c>
      <c r="T2957" s="69"/>
      <c r="U2957" s="69"/>
    </row>
    <row r="2958" spans="19:21" ht="15" customHeight="1" x14ac:dyDescent="0.2">
      <c r="S2958" s="69">
        <f>_xlfn.XLOOKUP(Results!A2958,Geometry!$B$6:$B$10000,Geometry!$C$6:$C$10000)</f>
        <v>0</v>
      </c>
      <c r="T2958" s="69"/>
      <c r="U2958" s="69"/>
    </row>
    <row r="2959" spans="19:21" ht="15" customHeight="1" x14ac:dyDescent="0.2">
      <c r="S2959" s="69">
        <f>_xlfn.XLOOKUP(Results!A2959,Geometry!$B$6:$B$10000,Geometry!$C$6:$C$10000)</f>
        <v>0</v>
      </c>
      <c r="T2959" s="69"/>
      <c r="U2959" s="69"/>
    </row>
    <row r="2960" spans="19:21" ht="15" customHeight="1" x14ac:dyDescent="0.2">
      <c r="S2960" s="69">
        <f>_xlfn.XLOOKUP(Results!A2960,Geometry!$B$6:$B$10000,Geometry!$C$6:$C$10000)</f>
        <v>0</v>
      </c>
      <c r="T2960" s="69"/>
      <c r="U2960" s="69"/>
    </row>
    <row r="2961" spans="19:21" ht="15" customHeight="1" x14ac:dyDescent="0.2">
      <c r="S2961" s="69">
        <f>_xlfn.XLOOKUP(Results!A2961,Geometry!$B$6:$B$10000,Geometry!$C$6:$C$10000)</f>
        <v>0</v>
      </c>
      <c r="T2961" s="69"/>
      <c r="U2961" s="69"/>
    </row>
    <row r="2962" spans="19:21" ht="15" customHeight="1" x14ac:dyDescent="0.2">
      <c r="S2962" s="69">
        <f>_xlfn.XLOOKUP(Results!A2962,Geometry!$B$6:$B$10000,Geometry!$C$6:$C$10000)</f>
        <v>0</v>
      </c>
      <c r="T2962" s="69"/>
      <c r="U2962" s="69"/>
    </row>
    <row r="2963" spans="19:21" ht="15" customHeight="1" x14ac:dyDescent="0.2">
      <c r="S2963" s="69">
        <f>_xlfn.XLOOKUP(Results!A2963,Geometry!$B$6:$B$10000,Geometry!$C$6:$C$10000)</f>
        <v>0</v>
      </c>
      <c r="T2963" s="69"/>
      <c r="U2963" s="69"/>
    </row>
    <row r="2964" spans="19:21" ht="15" customHeight="1" x14ac:dyDescent="0.2">
      <c r="S2964" s="69">
        <f>_xlfn.XLOOKUP(Results!A2964,Geometry!$B$6:$B$10000,Geometry!$C$6:$C$10000)</f>
        <v>0</v>
      </c>
      <c r="T2964" s="69"/>
      <c r="U2964" s="69"/>
    </row>
    <row r="2965" spans="19:21" ht="15" customHeight="1" x14ac:dyDescent="0.2">
      <c r="S2965" s="69">
        <f>_xlfn.XLOOKUP(Results!A2965,Geometry!$B$6:$B$10000,Geometry!$C$6:$C$10000)</f>
        <v>0</v>
      </c>
      <c r="T2965" s="69"/>
      <c r="U2965" s="69"/>
    </row>
    <row r="2966" spans="19:21" ht="15" customHeight="1" x14ac:dyDescent="0.2">
      <c r="S2966" s="69">
        <f>_xlfn.XLOOKUP(Results!A2966,Geometry!$B$6:$B$10000,Geometry!$C$6:$C$10000)</f>
        <v>0</v>
      </c>
      <c r="T2966" s="69"/>
      <c r="U2966" s="69"/>
    </row>
    <row r="2967" spans="19:21" ht="15" customHeight="1" x14ac:dyDescent="0.2">
      <c r="S2967" s="69">
        <f>_xlfn.XLOOKUP(Results!A2967,Geometry!$B$6:$B$10000,Geometry!$C$6:$C$10000)</f>
        <v>0</v>
      </c>
      <c r="T2967" s="69"/>
      <c r="U2967" s="69"/>
    </row>
    <row r="2968" spans="19:21" ht="15" customHeight="1" x14ac:dyDescent="0.2">
      <c r="S2968" s="69">
        <f>_xlfn.XLOOKUP(Results!A2968,Geometry!$B$6:$B$10000,Geometry!$C$6:$C$10000)</f>
        <v>0</v>
      </c>
      <c r="T2968" s="69"/>
      <c r="U2968" s="69"/>
    </row>
    <row r="2969" spans="19:21" ht="15" customHeight="1" x14ac:dyDescent="0.2">
      <c r="S2969" s="69">
        <f>_xlfn.XLOOKUP(Results!A2969,Geometry!$B$6:$B$10000,Geometry!$C$6:$C$10000)</f>
        <v>0</v>
      </c>
      <c r="T2969" s="69"/>
      <c r="U2969" s="69"/>
    </row>
    <row r="2970" spans="19:21" ht="15" customHeight="1" x14ac:dyDescent="0.2">
      <c r="S2970" s="69">
        <f>_xlfn.XLOOKUP(Results!A2970,Geometry!$B$6:$B$10000,Geometry!$C$6:$C$10000)</f>
        <v>0</v>
      </c>
      <c r="T2970" s="69"/>
      <c r="U2970" s="69"/>
    </row>
    <row r="2971" spans="19:21" ht="15" customHeight="1" x14ac:dyDescent="0.2">
      <c r="S2971" s="69">
        <f>_xlfn.XLOOKUP(Results!A2971,Geometry!$B$6:$B$10000,Geometry!$C$6:$C$10000)</f>
        <v>0</v>
      </c>
      <c r="T2971" s="69"/>
      <c r="U2971" s="69"/>
    </row>
    <row r="2972" spans="19:21" ht="15" customHeight="1" x14ac:dyDescent="0.2">
      <c r="S2972" s="69">
        <f>_xlfn.XLOOKUP(Results!A2972,Geometry!$B$6:$B$10000,Geometry!$C$6:$C$10000)</f>
        <v>0</v>
      </c>
      <c r="T2972" s="69"/>
      <c r="U2972" s="69"/>
    </row>
    <row r="2973" spans="19:21" ht="15" customHeight="1" x14ac:dyDescent="0.2">
      <c r="S2973" s="69">
        <f>_xlfn.XLOOKUP(Results!A2973,Geometry!$B$6:$B$10000,Geometry!$C$6:$C$10000)</f>
        <v>0</v>
      </c>
      <c r="T2973" s="69"/>
      <c r="U2973" s="69"/>
    </row>
    <row r="2974" spans="19:21" ht="15" customHeight="1" x14ac:dyDescent="0.2">
      <c r="S2974" s="69">
        <f>_xlfn.XLOOKUP(Results!A2974,Geometry!$B$6:$B$10000,Geometry!$C$6:$C$10000)</f>
        <v>0</v>
      </c>
      <c r="T2974" s="69"/>
      <c r="U2974" s="69"/>
    </row>
    <row r="2975" spans="19:21" ht="15" customHeight="1" x14ac:dyDescent="0.2">
      <c r="S2975" s="69">
        <f>_xlfn.XLOOKUP(Results!A2975,Geometry!$B$6:$B$10000,Geometry!$C$6:$C$10000)</f>
        <v>0</v>
      </c>
      <c r="T2975" s="69"/>
      <c r="U2975" s="69"/>
    </row>
    <row r="2976" spans="19:21" ht="15" customHeight="1" x14ac:dyDescent="0.2">
      <c r="S2976" s="69">
        <f>_xlfn.XLOOKUP(Results!A2976,Geometry!$B$6:$B$10000,Geometry!$C$6:$C$10000)</f>
        <v>0</v>
      </c>
      <c r="T2976" s="69"/>
      <c r="U2976" s="69"/>
    </row>
    <row r="2977" spans="19:21" ht="15" customHeight="1" x14ac:dyDescent="0.2">
      <c r="S2977" s="69">
        <f>_xlfn.XLOOKUP(Results!A2977,Geometry!$B$6:$B$10000,Geometry!$C$6:$C$10000)</f>
        <v>0</v>
      </c>
      <c r="T2977" s="69"/>
      <c r="U2977" s="69"/>
    </row>
    <row r="2978" spans="19:21" ht="15" customHeight="1" x14ac:dyDescent="0.2">
      <c r="S2978" s="69">
        <f>_xlfn.XLOOKUP(Results!A2978,Geometry!$B$6:$B$10000,Geometry!$C$6:$C$10000)</f>
        <v>0</v>
      </c>
      <c r="T2978" s="69"/>
      <c r="U2978" s="69"/>
    </row>
    <row r="2979" spans="19:21" ht="15" customHeight="1" x14ac:dyDescent="0.2">
      <c r="S2979" s="69">
        <f>_xlfn.XLOOKUP(Results!A2979,Geometry!$B$6:$B$10000,Geometry!$C$6:$C$10000)</f>
        <v>0</v>
      </c>
      <c r="T2979" s="69"/>
      <c r="U2979" s="69"/>
    </row>
    <row r="2980" spans="19:21" ht="15" customHeight="1" x14ac:dyDescent="0.2">
      <c r="S2980" s="69">
        <f>_xlfn.XLOOKUP(Results!A2980,Geometry!$B$6:$B$10000,Geometry!$C$6:$C$10000)</f>
        <v>0</v>
      </c>
      <c r="T2980" s="69"/>
      <c r="U2980" s="69"/>
    </row>
    <row r="2981" spans="19:21" ht="15" customHeight="1" x14ac:dyDescent="0.2">
      <c r="S2981" s="69">
        <f>_xlfn.XLOOKUP(Results!A2981,Geometry!$B$6:$B$10000,Geometry!$C$6:$C$10000)</f>
        <v>0</v>
      </c>
      <c r="T2981" s="69"/>
      <c r="U2981" s="69"/>
    </row>
    <row r="2982" spans="19:21" ht="15" customHeight="1" x14ac:dyDescent="0.2">
      <c r="S2982" s="69">
        <f>_xlfn.XLOOKUP(Results!A2982,Geometry!$B$6:$B$10000,Geometry!$C$6:$C$10000)</f>
        <v>0</v>
      </c>
      <c r="T2982" s="69"/>
      <c r="U2982" s="69"/>
    </row>
    <row r="2983" spans="19:21" ht="15" customHeight="1" x14ac:dyDescent="0.2">
      <c r="S2983" s="69">
        <f>_xlfn.XLOOKUP(Results!A2983,Geometry!$B$6:$B$10000,Geometry!$C$6:$C$10000)</f>
        <v>0</v>
      </c>
      <c r="T2983" s="69"/>
      <c r="U2983" s="69"/>
    </row>
    <row r="2984" spans="19:21" ht="15" customHeight="1" x14ac:dyDescent="0.2">
      <c r="S2984" s="69">
        <f>_xlfn.XLOOKUP(Results!A2984,Geometry!$B$6:$B$10000,Geometry!$C$6:$C$10000)</f>
        <v>0</v>
      </c>
      <c r="T2984" s="69"/>
      <c r="U2984" s="69"/>
    </row>
    <row r="2985" spans="19:21" ht="15" customHeight="1" x14ac:dyDescent="0.2">
      <c r="S2985" s="69">
        <f>_xlfn.XLOOKUP(Results!A2985,Geometry!$B$6:$B$10000,Geometry!$C$6:$C$10000)</f>
        <v>0</v>
      </c>
      <c r="T2985" s="69"/>
      <c r="U2985" s="69"/>
    </row>
    <row r="2986" spans="19:21" ht="15" customHeight="1" x14ac:dyDescent="0.2">
      <c r="S2986" s="69">
        <f>_xlfn.XLOOKUP(Results!A2986,Geometry!$B$6:$B$10000,Geometry!$C$6:$C$10000)</f>
        <v>0</v>
      </c>
      <c r="T2986" s="69"/>
      <c r="U2986" s="69"/>
    </row>
    <row r="2987" spans="19:21" ht="15" customHeight="1" x14ac:dyDescent="0.2">
      <c r="S2987" s="69">
        <f>_xlfn.XLOOKUP(Results!A2987,Geometry!$B$6:$B$10000,Geometry!$C$6:$C$10000)</f>
        <v>0</v>
      </c>
      <c r="T2987" s="69"/>
      <c r="U2987" s="69"/>
    </row>
    <row r="2988" spans="19:21" ht="15" customHeight="1" x14ac:dyDescent="0.2">
      <c r="S2988" s="69">
        <f>_xlfn.XLOOKUP(Results!A2988,Geometry!$B$6:$B$10000,Geometry!$C$6:$C$10000)</f>
        <v>0</v>
      </c>
      <c r="T2988" s="69"/>
      <c r="U2988" s="69"/>
    </row>
    <row r="2989" spans="19:21" ht="15" customHeight="1" x14ac:dyDescent="0.2">
      <c r="S2989" s="69">
        <f>_xlfn.XLOOKUP(Results!A2989,Geometry!$B$6:$B$10000,Geometry!$C$6:$C$10000)</f>
        <v>0</v>
      </c>
      <c r="T2989" s="69"/>
      <c r="U2989" s="69"/>
    </row>
    <row r="2990" spans="19:21" ht="15" customHeight="1" x14ac:dyDescent="0.2">
      <c r="S2990" s="69">
        <f>_xlfn.XLOOKUP(Results!A2990,Geometry!$B$6:$B$10000,Geometry!$C$6:$C$10000)</f>
        <v>0</v>
      </c>
      <c r="T2990" s="69"/>
      <c r="U2990" s="69"/>
    </row>
    <row r="2991" spans="19:21" ht="15" customHeight="1" x14ac:dyDescent="0.2">
      <c r="S2991" s="69">
        <f>_xlfn.XLOOKUP(Results!A2991,Geometry!$B$6:$B$10000,Geometry!$C$6:$C$10000)</f>
        <v>0</v>
      </c>
      <c r="T2991" s="69"/>
      <c r="U2991" s="69"/>
    </row>
    <row r="2992" spans="19:21" ht="15" customHeight="1" x14ac:dyDescent="0.2">
      <c r="S2992" s="69">
        <f>_xlfn.XLOOKUP(Results!A2992,Geometry!$B$6:$B$10000,Geometry!$C$6:$C$10000)</f>
        <v>0</v>
      </c>
      <c r="T2992" s="69"/>
      <c r="U2992" s="69"/>
    </row>
    <row r="2993" spans="19:21" ht="15" customHeight="1" x14ac:dyDescent="0.2">
      <c r="S2993" s="69">
        <f>_xlfn.XLOOKUP(Results!A2993,Geometry!$B$6:$B$10000,Geometry!$C$6:$C$10000)</f>
        <v>0</v>
      </c>
      <c r="T2993" s="69"/>
      <c r="U2993" s="69"/>
    </row>
    <row r="2994" spans="19:21" ht="15" customHeight="1" x14ac:dyDescent="0.2">
      <c r="S2994" s="69">
        <f>_xlfn.XLOOKUP(Results!A2994,Geometry!$B$6:$B$10000,Geometry!$C$6:$C$10000)</f>
        <v>0</v>
      </c>
      <c r="T2994" s="69"/>
      <c r="U2994" s="69"/>
    </row>
    <row r="2995" spans="19:21" ht="15" customHeight="1" x14ac:dyDescent="0.2">
      <c r="S2995" s="69">
        <f>_xlfn.XLOOKUP(Results!A2995,Geometry!$B$6:$B$10000,Geometry!$C$6:$C$10000)</f>
        <v>0</v>
      </c>
      <c r="T2995" s="69"/>
      <c r="U2995" s="69"/>
    </row>
    <row r="2996" spans="19:21" ht="15" customHeight="1" x14ac:dyDescent="0.2">
      <c r="S2996" s="69">
        <f>_xlfn.XLOOKUP(Results!A2996,Geometry!$B$6:$B$10000,Geometry!$C$6:$C$10000)</f>
        <v>0</v>
      </c>
      <c r="T2996" s="69"/>
      <c r="U2996" s="69"/>
    </row>
    <row r="2997" spans="19:21" ht="15" customHeight="1" x14ac:dyDescent="0.2">
      <c r="S2997" s="69">
        <f>_xlfn.XLOOKUP(Results!A2997,Geometry!$B$6:$B$10000,Geometry!$C$6:$C$10000)</f>
        <v>0</v>
      </c>
      <c r="T2997" s="69"/>
      <c r="U2997" s="69"/>
    </row>
    <row r="2998" spans="19:21" ht="15" customHeight="1" x14ac:dyDescent="0.2">
      <c r="S2998" s="69">
        <f>_xlfn.XLOOKUP(Results!A2998,Geometry!$B$6:$B$10000,Geometry!$C$6:$C$10000)</f>
        <v>0</v>
      </c>
      <c r="T2998" s="69"/>
      <c r="U2998" s="69"/>
    </row>
    <row r="2999" spans="19:21" ht="15" customHeight="1" x14ac:dyDescent="0.2">
      <c r="S2999" s="69">
        <f>_xlfn.XLOOKUP(Results!A2999,Geometry!$B$6:$B$10000,Geometry!$C$6:$C$10000)</f>
        <v>0</v>
      </c>
      <c r="T2999" s="69"/>
      <c r="U2999" s="69"/>
    </row>
    <row r="3000" spans="19:21" ht="15" customHeight="1" x14ac:dyDescent="0.2">
      <c r="S3000" s="69">
        <f>_xlfn.XLOOKUP(Results!A3000,Geometry!$B$6:$B$10000,Geometry!$C$6:$C$10000)</f>
        <v>0</v>
      </c>
      <c r="T3000" s="69"/>
      <c r="U3000" s="69"/>
    </row>
    <row r="3001" spans="19:21" ht="15" customHeight="1" x14ac:dyDescent="0.2">
      <c r="S3001" s="69">
        <f>_xlfn.XLOOKUP(Results!A3001,Geometry!$B$6:$B$10000,Geometry!$C$6:$C$10000)</f>
        <v>0</v>
      </c>
      <c r="T3001" s="69"/>
      <c r="U3001" s="69"/>
    </row>
    <row r="3002" spans="19:21" ht="15" customHeight="1" x14ac:dyDescent="0.2">
      <c r="S3002" s="69">
        <f>_xlfn.XLOOKUP(Results!A3002,Geometry!$B$6:$B$10000,Geometry!$C$6:$C$10000)</f>
        <v>0</v>
      </c>
      <c r="T3002" s="69"/>
      <c r="U3002" s="69"/>
    </row>
    <row r="3003" spans="19:21" ht="15" customHeight="1" x14ac:dyDescent="0.2">
      <c r="S3003" s="69">
        <f>_xlfn.XLOOKUP(Results!A3003,Geometry!$B$6:$B$10000,Geometry!$C$6:$C$10000)</f>
        <v>0</v>
      </c>
      <c r="T3003" s="69"/>
      <c r="U3003" s="69"/>
    </row>
    <row r="3004" spans="19:21" ht="15" customHeight="1" x14ac:dyDescent="0.2">
      <c r="S3004" s="69">
        <f>_xlfn.XLOOKUP(Results!A3004,Geometry!$B$6:$B$10000,Geometry!$C$6:$C$10000)</f>
        <v>0</v>
      </c>
      <c r="T3004" s="69"/>
      <c r="U3004" s="69"/>
    </row>
    <row r="3005" spans="19:21" ht="15" customHeight="1" x14ac:dyDescent="0.2">
      <c r="S3005" s="69">
        <f>_xlfn.XLOOKUP(Results!A3005,Geometry!$B$6:$B$10000,Geometry!$C$6:$C$10000)</f>
        <v>0</v>
      </c>
      <c r="T3005" s="69"/>
      <c r="U3005" s="69"/>
    </row>
    <row r="3006" spans="19:21" ht="15" customHeight="1" x14ac:dyDescent="0.2">
      <c r="S3006" s="69">
        <f>_xlfn.XLOOKUP(Results!A3006,Geometry!$B$6:$B$10000,Geometry!$C$6:$C$10000)</f>
        <v>0</v>
      </c>
      <c r="T3006" s="69"/>
      <c r="U3006" s="69"/>
    </row>
    <row r="3007" spans="19:21" ht="15" customHeight="1" x14ac:dyDescent="0.2">
      <c r="S3007" s="69">
        <f>_xlfn.XLOOKUP(Results!A3007,Geometry!$B$6:$B$10000,Geometry!$C$6:$C$10000)</f>
        <v>0</v>
      </c>
      <c r="T3007" s="69"/>
      <c r="U3007" s="69"/>
    </row>
    <row r="3008" spans="19:21" ht="15" customHeight="1" x14ac:dyDescent="0.2">
      <c r="S3008" s="69">
        <f>_xlfn.XLOOKUP(Results!A3008,Geometry!$B$6:$B$10000,Geometry!$C$6:$C$10000)</f>
        <v>0</v>
      </c>
      <c r="T3008" s="69"/>
      <c r="U3008" s="69"/>
    </row>
    <row r="3009" spans="19:21" ht="15" customHeight="1" x14ac:dyDescent="0.2">
      <c r="S3009" s="69">
        <f>_xlfn.XLOOKUP(Results!A3009,Geometry!$B$6:$B$10000,Geometry!$C$6:$C$10000)</f>
        <v>0</v>
      </c>
      <c r="T3009" s="69"/>
      <c r="U3009" s="69"/>
    </row>
    <row r="3010" spans="19:21" ht="15" customHeight="1" x14ac:dyDescent="0.2">
      <c r="S3010" s="69">
        <f>_xlfn.XLOOKUP(Results!A3010,Geometry!$B$6:$B$10000,Geometry!$C$6:$C$10000)</f>
        <v>0</v>
      </c>
      <c r="T3010" s="69"/>
      <c r="U3010" s="69"/>
    </row>
    <row r="3011" spans="19:21" ht="15" customHeight="1" x14ac:dyDescent="0.2">
      <c r="S3011" s="69">
        <f>_xlfn.XLOOKUP(Results!A3011,Geometry!$B$6:$B$10000,Geometry!$C$6:$C$10000)</f>
        <v>0</v>
      </c>
      <c r="T3011" s="69"/>
      <c r="U3011" s="69"/>
    </row>
    <row r="3012" spans="19:21" ht="15" customHeight="1" x14ac:dyDescent="0.2">
      <c r="S3012" s="69">
        <f>_xlfn.XLOOKUP(Results!A3012,Geometry!$B$6:$B$10000,Geometry!$C$6:$C$10000)</f>
        <v>0</v>
      </c>
      <c r="T3012" s="69"/>
      <c r="U3012" s="69"/>
    </row>
    <row r="3013" spans="19:21" ht="15" customHeight="1" x14ac:dyDescent="0.2">
      <c r="S3013" s="69">
        <f>_xlfn.XLOOKUP(Results!A3013,Geometry!$B$6:$B$10000,Geometry!$C$6:$C$10000)</f>
        <v>0</v>
      </c>
      <c r="T3013" s="69"/>
      <c r="U3013" s="69"/>
    </row>
    <row r="3014" spans="19:21" ht="15" customHeight="1" x14ac:dyDescent="0.2">
      <c r="S3014" s="69">
        <f>_xlfn.XLOOKUP(Results!A3014,Geometry!$B$6:$B$10000,Geometry!$C$6:$C$10000)</f>
        <v>0</v>
      </c>
      <c r="T3014" s="69"/>
      <c r="U3014" s="69"/>
    </row>
    <row r="3015" spans="19:21" ht="15" customHeight="1" x14ac:dyDescent="0.2">
      <c r="S3015" s="69">
        <f>_xlfn.XLOOKUP(Results!A3015,Geometry!$B$6:$B$10000,Geometry!$C$6:$C$10000)</f>
        <v>0</v>
      </c>
      <c r="T3015" s="69"/>
      <c r="U3015" s="69"/>
    </row>
    <row r="3016" spans="19:21" ht="15" customHeight="1" x14ac:dyDescent="0.2">
      <c r="S3016" s="69">
        <f>_xlfn.XLOOKUP(Results!A3016,Geometry!$B$6:$B$10000,Geometry!$C$6:$C$10000)</f>
        <v>0</v>
      </c>
      <c r="T3016" s="69"/>
      <c r="U3016" s="69"/>
    </row>
    <row r="3017" spans="19:21" ht="15" customHeight="1" x14ac:dyDescent="0.2">
      <c r="S3017" s="69">
        <f>_xlfn.XLOOKUP(Results!A3017,Geometry!$B$6:$B$10000,Geometry!$C$6:$C$10000)</f>
        <v>0</v>
      </c>
      <c r="T3017" s="69"/>
      <c r="U3017" s="69"/>
    </row>
    <row r="3018" spans="19:21" ht="15" customHeight="1" x14ac:dyDescent="0.2">
      <c r="S3018" s="69">
        <f>_xlfn.XLOOKUP(Results!A3018,Geometry!$B$6:$B$10000,Geometry!$C$6:$C$10000)</f>
        <v>0</v>
      </c>
      <c r="T3018" s="69"/>
      <c r="U3018" s="69"/>
    </row>
    <row r="3019" spans="19:21" ht="15" customHeight="1" x14ac:dyDescent="0.2">
      <c r="S3019" s="69">
        <f>_xlfn.XLOOKUP(Results!A3019,Geometry!$B$6:$B$10000,Geometry!$C$6:$C$10000)</f>
        <v>0</v>
      </c>
      <c r="T3019" s="69"/>
      <c r="U3019" s="69"/>
    </row>
    <row r="3020" spans="19:21" ht="15" customHeight="1" x14ac:dyDescent="0.2">
      <c r="S3020" s="69">
        <f>_xlfn.XLOOKUP(Results!A3020,Geometry!$B$6:$B$10000,Geometry!$C$6:$C$10000)</f>
        <v>0</v>
      </c>
      <c r="T3020" s="69"/>
      <c r="U3020" s="69"/>
    </row>
    <row r="3021" spans="19:21" ht="15" customHeight="1" x14ac:dyDescent="0.2">
      <c r="S3021" s="69">
        <f>_xlfn.XLOOKUP(Results!A3021,Geometry!$B$6:$B$10000,Geometry!$C$6:$C$10000)</f>
        <v>0</v>
      </c>
      <c r="T3021" s="69"/>
      <c r="U3021" s="69"/>
    </row>
    <row r="3022" spans="19:21" ht="15" customHeight="1" x14ac:dyDescent="0.2">
      <c r="S3022" s="69">
        <f>_xlfn.XLOOKUP(Results!A3022,Geometry!$B$6:$B$10000,Geometry!$C$6:$C$10000)</f>
        <v>0</v>
      </c>
      <c r="T3022" s="69"/>
      <c r="U3022" s="69"/>
    </row>
    <row r="3023" spans="19:21" ht="15" customHeight="1" x14ac:dyDescent="0.2">
      <c r="S3023" s="69">
        <f>_xlfn.XLOOKUP(Results!A3023,Geometry!$B$6:$B$10000,Geometry!$C$6:$C$10000)</f>
        <v>0</v>
      </c>
      <c r="T3023" s="69"/>
      <c r="U3023" s="69"/>
    </row>
    <row r="3024" spans="19:21" ht="15" customHeight="1" x14ac:dyDescent="0.2">
      <c r="S3024" s="69">
        <f>_xlfn.XLOOKUP(Results!A3024,Geometry!$B$6:$B$10000,Geometry!$C$6:$C$10000)</f>
        <v>0</v>
      </c>
      <c r="T3024" s="69"/>
      <c r="U3024" s="69"/>
    </row>
    <row r="3025" spans="19:21" ht="15" customHeight="1" x14ac:dyDescent="0.2">
      <c r="S3025" s="69">
        <f>_xlfn.XLOOKUP(Results!A3025,Geometry!$B$6:$B$10000,Geometry!$C$6:$C$10000)</f>
        <v>0</v>
      </c>
      <c r="T3025" s="69"/>
      <c r="U3025" s="69"/>
    </row>
    <row r="3026" spans="19:21" ht="15" customHeight="1" x14ac:dyDescent="0.2">
      <c r="S3026" s="69">
        <f>_xlfn.XLOOKUP(Results!A3026,Geometry!$B$6:$B$10000,Geometry!$C$6:$C$10000)</f>
        <v>0</v>
      </c>
      <c r="T3026" s="69"/>
      <c r="U3026" s="69"/>
    </row>
    <row r="3027" spans="19:21" ht="15" customHeight="1" x14ac:dyDescent="0.2">
      <c r="S3027" s="69">
        <f>_xlfn.XLOOKUP(Results!A3027,Geometry!$B$6:$B$10000,Geometry!$C$6:$C$10000)</f>
        <v>0</v>
      </c>
      <c r="T3027" s="69"/>
      <c r="U3027" s="69"/>
    </row>
    <row r="3028" spans="19:21" ht="15" customHeight="1" x14ac:dyDescent="0.2">
      <c r="S3028" s="69">
        <f>_xlfn.XLOOKUP(Results!A3028,Geometry!$B$6:$B$10000,Geometry!$C$6:$C$10000)</f>
        <v>0</v>
      </c>
      <c r="T3028" s="69"/>
      <c r="U3028" s="69"/>
    </row>
    <row r="3029" spans="19:21" ht="15" customHeight="1" x14ac:dyDescent="0.2">
      <c r="S3029" s="69">
        <f>_xlfn.XLOOKUP(Results!A3029,Geometry!$B$6:$B$10000,Geometry!$C$6:$C$10000)</f>
        <v>0</v>
      </c>
      <c r="T3029" s="69"/>
      <c r="U3029" s="69"/>
    </row>
    <row r="3030" spans="19:21" ht="15" customHeight="1" x14ac:dyDescent="0.2">
      <c r="S3030" s="69">
        <f>_xlfn.XLOOKUP(Results!A3030,Geometry!$B$6:$B$10000,Geometry!$C$6:$C$10000)</f>
        <v>0</v>
      </c>
      <c r="T3030" s="69"/>
      <c r="U3030" s="69"/>
    </row>
    <row r="3031" spans="19:21" ht="15" customHeight="1" x14ac:dyDescent="0.2">
      <c r="S3031" s="69">
        <f>_xlfn.XLOOKUP(Results!A3031,Geometry!$B$6:$B$10000,Geometry!$C$6:$C$10000)</f>
        <v>0</v>
      </c>
      <c r="T3031" s="69"/>
      <c r="U3031" s="69"/>
    </row>
    <row r="3032" spans="19:21" ht="15" customHeight="1" x14ac:dyDescent="0.2">
      <c r="S3032" s="69">
        <f>_xlfn.XLOOKUP(Results!A3032,Geometry!$B$6:$B$10000,Geometry!$C$6:$C$10000)</f>
        <v>0</v>
      </c>
      <c r="T3032" s="69"/>
      <c r="U3032" s="69"/>
    </row>
    <row r="3033" spans="19:21" ht="15" customHeight="1" x14ac:dyDescent="0.2">
      <c r="S3033" s="69">
        <f>_xlfn.XLOOKUP(Results!A3033,Geometry!$B$6:$B$10000,Geometry!$C$6:$C$10000)</f>
        <v>0</v>
      </c>
      <c r="T3033" s="69"/>
      <c r="U3033" s="69"/>
    </row>
    <row r="3034" spans="19:21" ht="15" customHeight="1" x14ac:dyDescent="0.2">
      <c r="S3034" s="69">
        <f>_xlfn.XLOOKUP(Results!A3034,Geometry!$B$6:$B$10000,Geometry!$C$6:$C$10000)</f>
        <v>0</v>
      </c>
      <c r="T3034" s="69"/>
      <c r="U3034" s="69"/>
    </row>
    <row r="3035" spans="19:21" ht="15" customHeight="1" x14ac:dyDescent="0.2">
      <c r="S3035" s="69">
        <f>_xlfn.XLOOKUP(Results!A3035,Geometry!$B$6:$B$10000,Geometry!$C$6:$C$10000)</f>
        <v>0</v>
      </c>
      <c r="T3035" s="69"/>
      <c r="U3035" s="69"/>
    </row>
    <row r="3036" spans="19:21" ht="15" customHeight="1" x14ac:dyDescent="0.2">
      <c r="S3036" s="69">
        <f>_xlfn.XLOOKUP(Results!A3036,Geometry!$B$6:$B$10000,Geometry!$C$6:$C$10000)</f>
        <v>0</v>
      </c>
      <c r="T3036" s="69"/>
      <c r="U3036" s="69"/>
    </row>
    <row r="3037" spans="19:21" ht="15" customHeight="1" x14ac:dyDescent="0.2">
      <c r="S3037" s="69">
        <f>_xlfn.XLOOKUP(Results!A3037,Geometry!$B$6:$B$10000,Geometry!$C$6:$C$10000)</f>
        <v>0</v>
      </c>
      <c r="T3037" s="69"/>
      <c r="U3037" s="69"/>
    </row>
    <row r="3038" spans="19:21" ht="15" customHeight="1" x14ac:dyDescent="0.2">
      <c r="S3038" s="69">
        <f>_xlfn.XLOOKUP(Results!A3038,Geometry!$B$6:$B$10000,Geometry!$C$6:$C$10000)</f>
        <v>0</v>
      </c>
      <c r="T3038" s="69"/>
      <c r="U3038" s="69"/>
    </row>
    <row r="3039" spans="19:21" ht="15" customHeight="1" x14ac:dyDescent="0.2">
      <c r="S3039" s="69">
        <f>_xlfn.XLOOKUP(Results!A3039,Geometry!$B$6:$B$10000,Geometry!$C$6:$C$10000)</f>
        <v>0</v>
      </c>
      <c r="T3039" s="69"/>
      <c r="U3039" s="69"/>
    </row>
    <row r="3040" spans="19:21" ht="15" customHeight="1" x14ac:dyDescent="0.2">
      <c r="S3040" s="69">
        <f>_xlfn.XLOOKUP(Results!A3040,Geometry!$B$6:$B$10000,Geometry!$C$6:$C$10000)</f>
        <v>0</v>
      </c>
      <c r="T3040" s="69"/>
      <c r="U3040" s="69"/>
    </row>
    <row r="3041" spans="19:21" ht="15" customHeight="1" x14ac:dyDescent="0.2">
      <c r="S3041" s="69">
        <f>_xlfn.XLOOKUP(Results!A3041,Geometry!$B$6:$B$10000,Geometry!$C$6:$C$10000)</f>
        <v>0</v>
      </c>
      <c r="T3041" s="69"/>
      <c r="U3041" s="69"/>
    </row>
    <row r="3042" spans="19:21" ht="15" customHeight="1" x14ac:dyDescent="0.2">
      <c r="S3042" s="69">
        <f>_xlfn.XLOOKUP(Results!A3042,Geometry!$B$6:$B$10000,Geometry!$C$6:$C$10000)</f>
        <v>0</v>
      </c>
      <c r="T3042" s="69"/>
      <c r="U3042" s="69"/>
    </row>
    <row r="3043" spans="19:21" ht="15" customHeight="1" x14ac:dyDescent="0.2">
      <c r="S3043" s="69">
        <f>_xlfn.XLOOKUP(Results!A3043,Geometry!$B$6:$B$10000,Geometry!$C$6:$C$10000)</f>
        <v>0</v>
      </c>
      <c r="T3043" s="69"/>
      <c r="U3043" s="69"/>
    </row>
    <row r="3044" spans="19:21" ht="15" customHeight="1" x14ac:dyDescent="0.2">
      <c r="S3044" s="69">
        <f>_xlfn.XLOOKUP(Results!A3044,Geometry!$B$6:$B$10000,Geometry!$C$6:$C$10000)</f>
        <v>0</v>
      </c>
      <c r="T3044" s="69"/>
      <c r="U3044" s="69"/>
    </row>
    <row r="3045" spans="19:21" ht="15" customHeight="1" x14ac:dyDescent="0.2">
      <c r="S3045" s="69">
        <f>_xlfn.XLOOKUP(Results!A3045,Geometry!$B$6:$B$10000,Geometry!$C$6:$C$10000)</f>
        <v>0</v>
      </c>
      <c r="T3045" s="69"/>
      <c r="U3045" s="69"/>
    </row>
    <row r="3046" spans="19:21" ht="15" customHeight="1" x14ac:dyDescent="0.2">
      <c r="S3046" s="69">
        <f>_xlfn.XLOOKUP(Results!A3046,Geometry!$B$6:$B$10000,Geometry!$C$6:$C$10000)</f>
        <v>0</v>
      </c>
      <c r="T3046" s="69"/>
      <c r="U3046" s="69"/>
    </row>
    <row r="3047" spans="19:21" ht="15" customHeight="1" x14ac:dyDescent="0.2">
      <c r="S3047" s="69">
        <f>_xlfn.XLOOKUP(Results!A3047,Geometry!$B$6:$B$10000,Geometry!$C$6:$C$10000)</f>
        <v>0</v>
      </c>
      <c r="T3047" s="69"/>
      <c r="U3047" s="69"/>
    </row>
    <row r="3048" spans="19:21" ht="15" customHeight="1" x14ac:dyDescent="0.2">
      <c r="S3048" s="69">
        <f>_xlfn.XLOOKUP(Results!A3048,Geometry!$B$6:$B$10000,Geometry!$C$6:$C$10000)</f>
        <v>0</v>
      </c>
      <c r="T3048" s="69"/>
      <c r="U3048" s="69"/>
    </row>
    <row r="3049" spans="19:21" ht="15" customHeight="1" x14ac:dyDescent="0.2">
      <c r="S3049" s="69">
        <f>_xlfn.XLOOKUP(Results!A3049,Geometry!$B$6:$B$10000,Geometry!$C$6:$C$10000)</f>
        <v>0</v>
      </c>
      <c r="T3049" s="69"/>
      <c r="U3049" s="69"/>
    </row>
    <row r="3050" spans="19:21" ht="15" customHeight="1" x14ac:dyDescent="0.2">
      <c r="S3050" s="69">
        <f>_xlfn.XLOOKUP(Results!A3050,Geometry!$B$6:$B$10000,Geometry!$C$6:$C$10000)</f>
        <v>0</v>
      </c>
      <c r="T3050" s="69"/>
      <c r="U3050" s="69"/>
    </row>
    <row r="3051" spans="19:21" ht="15" customHeight="1" x14ac:dyDescent="0.2">
      <c r="S3051" s="69">
        <f>_xlfn.XLOOKUP(Results!A3051,Geometry!$B$6:$B$10000,Geometry!$C$6:$C$10000)</f>
        <v>0</v>
      </c>
      <c r="T3051" s="69"/>
      <c r="U3051" s="69"/>
    </row>
    <row r="3052" spans="19:21" ht="15" customHeight="1" x14ac:dyDescent="0.2">
      <c r="S3052" s="69">
        <f>_xlfn.XLOOKUP(Results!A3052,Geometry!$B$6:$B$10000,Geometry!$C$6:$C$10000)</f>
        <v>0</v>
      </c>
      <c r="T3052" s="69"/>
      <c r="U3052" s="69"/>
    </row>
    <row r="3053" spans="19:21" ht="15" customHeight="1" x14ac:dyDescent="0.2">
      <c r="S3053" s="69">
        <f>_xlfn.XLOOKUP(Results!A3053,Geometry!$B$6:$B$10000,Geometry!$C$6:$C$10000)</f>
        <v>0</v>
      </c>
      <c r="T3053" s="69"/>
      <c r="U3053" s="69"/>
    </row>
    <row r="3054" spans="19:21" ht="15" customHeight="1" x14ac:dyDescent="0.2">
      <c r="S3054" s="69">
        <f>_xlfn.XLOOKUP(Results!A3054,Geometry!$B$6:$B$10000,Geometry!$C$6:$C$10000)</f>
        <v>0</v>
      </c>
      <c r="T3054" s="69"/>
      <c r="U3054" s="69"/>
    </row>
    <row r="3055" spans="19:21" ht="15" customHeight="1" x14ac:dyDescent="0.2">
      <c r="S3055" s="69">
        <f>_xlfn.XLOOKUP(Results!A3055,Geometry!$B$6:$B$10000,Geometry!$C$6:$C$10000)</f>
        <v>0</v>
      </c>
      <c r="T3055" s="69"/>
      <c r="U3055" s="69"/>
    </row>
    <row r="3056" spans="19:21" ht="15" customHeight="1" x14ac:dyDescent="0.2">
      <c r="S3056" s="69">
        <f>_xlfn.XLOOKUP(Results!A3056,Geometry!$B$6:$B$10000,Geometry!$C$6:$C$10000)</f>
        <v>0</v>
      </c>
      <c r="T3056" s="69"/>
      <c r="U3056" s="69"/>
    </row>
    <row r="3057" spans="19:21" ht="15" customHeight="1" x14ac:dyDescent="0.2">
      <c r="S3057" s="69">
        <f>_xlfn.XLOOKUP(Results!A3057,Geometry!$B$6:$B$10000,Geometry!$C$6:$C$10000)</f>
        <v>0</v>
      </c>
      <c r="T3057" s="69"/>
      <c r="U3057" s="69"/>
    </row>
    <row r="3058" spans="19:21" ht="15" customHeight="1" x14ac:dyDescent="0.2">
      <c r="S3058" s="69">
        <f>_xlfn.XLOOKUP(Results!A3058,Geometry!$B$6:$B$10000,Geometry!$C$6:$C$10000)</f>
        <v>0</v>
      </c>
      <c r="T3058" s="69"/>
      <c r="U3058" s="69"/>
    </row>
    <row r="3059" spans="19:21" ht="15" customHeight="1" x14ac:dyDescent="0.2">
      <c r="S3059" s="69">
        <f>_xlfn.XLOOKUP(Results!A3059,Geometry!$B$6:$B$10000,Geometry!$C$6:$C$10000)</f>
        <v>0</v>
      </c>
      <c r="T3059" s="69"/>
      <c r="U3059" s="69"/>
    </row>
    <row r="3060" spans="19:21" ht="15" customHeight="1" x14ac:dyDescent="0.2">
      <c r="S3060" s="69">
        <f>_xlfn.XLOOKUP(Results!A3060,Geometry!$B$6:$B$10000,Geometry!$C$6:$C$10000)</f>
        <v>0</v>
      </c>
      <c r="T3060" s="69"/>
      <c r="U3060" s="69"/>
    </row>
    <row r="3061" spans="19:21" ht="15" customHeight="1" x14ac:dyDescent="0.2">
      <c r="S3061" s="69">
        <f>_xlfn.XLOOKUP(Results!A3061,Geometry!$B$6:$B$10000,Geometry!$C$6:$C$10000)</f>
        <v>0</v>
      </c>
      <c r="T3061" s="69"/>
      <c r="U3061" s="69"/>
    </row>
    <row r="3062" spans="19:21" ht="15" customHeight="1" x14ac:dyDescent="0.2">
      <c r="S3062" s="69">
        <f>_xlfn.XLOOKUP(Results!A3062,Geometry!$B$6:$B$10000,Geometry!$C$6:$C$10000)</f>
        <v>0</v>
      </c>
      <c r="T3062" s="69"/>
      <c r="U3062" s="69"/>
    </row>
    <row r="3063" spans="19:21" ht="15" customHeight="1" x14ac:dyDescent="0.2">
      <c r="S3063" s="69">
        <f>_xlfn.XLOOKUP(Results!A3063,Geometry!$B$6:$B$10000,Geometry!$C$6:$C$10000)</f>
        <v>0</v>
      </c>
      <c r="T3063" s="69"/>
      <c r="U3063" s="69"/>
    </row>
    <row r="3064" spans="19:21" ht="15" customHeight="1" x14ac:dyDescent="0.2">
      <c r="S3064" s="69">
        <f>_xlfn.XLOOKUP(Results!A3064,Geometry!$B$6:$B$10000,Geometry!$C$6:$C$10000)</f>
        <v>0</v>
      </c>
      <c r="T3064" s="69"/>
      <c r="U3064" s="69"/>
    </row>
    <row r="3065" spans="19:21" ht="15" customHeight="1" x14ac:dyDescent="0.2">
      <c r="S3065" s="69">
        <f>_xlfn.XLOOKUP(Results!A3065,Geometry!$B$6:$B$10000,Geometry!$C$6:$C$10000)</f>
        <v>0</v>
      </c>
      <c r="T3065" s="69"/>
      <c r="U3065" s="69"/>
    </row>
    <row r="3066" spans="19:21" ht="15" customHeight="1" x14ac:dyDescent="0.2">
      <c r="S3066" s="69">
        <f>_xlfn.XLOOKUP(Results!A3066,Geometry!$B$6:$B$10000,Geometry!$C$6:$C$10000)</f>
        <v>0</v>
      </c>
      <c r="T3066" s="69"/>
      <c r="U3066" s="69"/>
    </row>
    <row r="3067" spans="19:21" ht="15" customHeight="1" x14ac:dyDescent="0.2">
      <c r="S3067" s="69">
        <f>_xlfn.XLOOKUP(Results!A3067,Geometry!$B$6:$B$10000,Geometry!$C$6:$C$10000)</f>
        <v>0</v>
      </c>
      <c r="T3067" s="69"/>
      <c r="U3067" s="69"/>
    </row>
    <row r="3068" spans="19:21" ht="15" customHeight="1" x14ac:dyDescent="0.2">
      <c r="S3068" s="69">
        <f>_xlfn.XLOOKUP(Results!A3068,Geometry!$B$6:$B$10000,Geometry!$C$6:$C$10000)</f>
        <v>0</v>
      </c>
      <c r="T3068" s="69"/>
      <c r="U3068" s="69"/>
    </row>
    <row r="3069" spans="19:21" ht="15" customHeight="1" x14ac:dyDescent="0.2">
      <c r="S3069" s="69">
        <f>_xlfn.XLOOKUP(Results!A3069,Geometry!$B$6:$B$10000,Geometry!$C$6:$C$10000)</f>
        <v>0</v>
      </c>
      <c r="T3069" s="69"/>
      <c r="U3069" s="69"/>
    </row>
    <row r="3070" spans="19:21" ht="15" customHeight="1" x14ac:dyDescent="0.2">
      <c r="S3070" s="69">
        <f>_xlfn.XLOOKUP(Results!A3070,Geometry!$B$6:$B$10000,Geometry!$C$6:$C$10000)</f>
        <v>0</v>
      </c>
      <c r="T3070" s="69"/>
      <c r="U3070" s="69"/>
    </row>
    <row r="3071" spans="19:21" ht="15" customHeight="1" x14ac:dyDescent="0.2">
      <c r="S3071" s="69">
        <f>_xlfn.XLOOKUP(Results!A3071,Geometry!$B$6:$B$10000,Geometry!$C$6:$C$10000)</f>
        <v>0</v>
      </c>
      <c r="T3071" s="69"/>
      <c r="U3071" s="69"/>
    </row>
    <row r="3072" spans="19:21" ht="15" customHeight="1" x14ac:dyDescent="0.2">
      <c r="S3072" s="69">
        <f>_xlfn.XLOOKUP(Results!A3072,Geometry!$B$6:$B$10000,Geometry!$C$6:$C$10000)</f>
        <v>0</v>
      </c>
      <c r="T3072" s="69"/>
      <c r="U3072" s="69"/>
    </row>
    <row r="3073" spans="19:21" ht="15" customHeight="1" x14ac:dyDescent="0.2">
      <c r="S3073" s="69">
        <f>_xlfn.XLOOKUP(Results!A3073,Geometry!$B$6:$B$10000,Geometry!$C$6:$C$10000)</f>
        <v>0</v>
      </c>
      <c r="T3073" s="69"/>
      <c r="U3073" s="69"/>
    </row>
    <row r="3074" spans="19:21" ht="15" customHeight="1" x14ac:dyDescent="0.2">
      <c r="S3074" s="69">
        <f>_xlfn.XLOOKUP(Results!A3074,Geometry!$B$6:$B$10000,Geometry!$C$6:$C$10000)</f>
        <v>0</v>
      </c>
      <c r="T3074" s="69"/>
      <c r="U3074" s="69"/>
    </row>
    <row r="3075" spans="19:21" ht="15" customHeight="1" x14ac:dyDescent="0.2">
      <c r="S3075" s="69">
        <f>_xlfn.XLOOKUP(Results!A3075,Geometry!$B$6:$B$10000,Geometry!$C$6:$C$10000)</f>
        <v>0</v>
      </c>
      <c r="T3075" s="69"/>
      <c r="U3075" s="69"/>
    </row>
    <row r="3076" spans="19:21" ht="15" customHeight="1" x14ac:dyDescent="0.2">
      <c r="S3076" s="69">
        <f>_xlfn.XLOOKUP(Results!A3076,Geometry!$B$6:$B$10000,Geometry!$C$6:$C$10000)</f>
        <v>0</v>
      </c>
      <c r="T3076" s="69"/>
      <c r="U3076" s="69"/>
    </row>
    <row r="3077" spans="19:21" ht="15" customHeight="1" x14ac:dyDescent="0.2">
      <c r="S3077" s="69">
        <f>_xlfn.XLOOKUP(Results!A3077,Geometry!$B$6:$B$10000,Geometry!$C$6:$C$10000)</f>
        <v>0</v>
      </c>
      <c r="T3077" s="69"/>
      <c r="U3077" s="69"/>
    </row>
    <row r="3078" spans="19:21" ht="15" customHeight="1" x14ac:dyDescent="0.2">
      <c r="S3078" s="69">
        <f>_xlfn.XLOOKUP(Results!A3078,Geometry!$B$6:$B$10000,Geometry!$C$6:$C$10000)</f>
        <v>0</v>
      </c>
      <c r="T3078" s="69"/>
      <c r="U3078" s="69"/>
    </row>
    <row r="3079" spans="19:21" ht="15" customHeight="1" x14ac:dyDescent="0.2">
      <c r="S3079" s="69">
        <f>_xlfn.XLOOKUP(Results!A3079,Geometry!$B$6:$B$10000,Geometry!$C$6:$C$10000)</f>
        <v>0</v>
      </c>
      <c r="T3079" s="69"/>
      <c r="U3079" s="69"/>
    </row>
    <row r="3080" spans="19:21" ht="15" customHeight="1" x14ac:dyDescent="0.2">
      <c r="S3080" s="69">
        <f>_xlfn.XLOOKUP(Results!A3080,Geometry!$B$6:$B$10000,Geometry!$C$6:$C$10000)</f>
        <v>0</v>
      </c>
      <c r="T3080" s="69"/>
      <c r="U3080" s="69"/>
    </row>
    <row r="3081" spans="19:21" ht="15" customHeight="1" x14ac:dyDescent="0.2">
      <c r="S3081" s="69">
        <f>_xlfn.XLOOKUP(Results!A3081,Geometry!$B$6:$B$10000,Geometry!$C$6:$C$10000)</f>
        <v>0</v>
      </c>
      <c r="T3081" s="69"/>
      <c r="U3081" s="69"/>
    </row>
    <row r="3082" spans="19:21" ht="15" customHeight="1" x14ac:dyDescent="0.2">
      <c r="S3082" s="69">
        <f>_xlfn.XLOOKUP(Results!A3082,Geometry!$B$6:$B$10000,Geometry!$C$6:$C$10000)</f>
        <v>0</v>
      </c>
      <c r="T3082" s="69"/>
      <c r="U3082" s="69"/>
    </row>
    <row r="3083" spans="19:21" ht="15" customHeight="1" x14ac:dyDescent="0.2">
      <c r="S3083" s="69">
        <f>_xlfn.XLOOKUP(Results!A3083,Geometry!$B$6:$B$10000,Geometry!$C$6:$C$10000)</f>
        <v>0</v>
      </c>
      <c r="T3083" s="69"/>
      <c r="U3083" s="69"/>
    </row>
    <row r="3084" spans="19:21" ht="15" customHeight="1" x14ac:dyDescent="0.2">
      <c r="S3084" s="69">
        <f>_xlfn.XLOOKUP(Results!A3084,Geometry!$B$6:$B$10000,Geometry!$C$6:$C$10000)</f>
        <v>0</v>
      </c>
      <c r="T3084" s="69"/>
      <c r="U3084" s="69"/>
    </row>
    <row r="3085" spans="19:21" ht="15" customHeight="1" x14ac:dyDescent="0.2">
      <c r="S3085" s="69">
        <f>_xlfn.XLOOKUP(Results!A3085,Geometry!$B$6:$B$10000,Geometry!$C$6:$C$10000)</f>
        <v>0</v>
      </c>
      <c r="T3085" s="69"/>
      <c r="U3085" s="69"/>
    </row>
    <row r="3086" spans="19:21" ht="15" customHeight="1" x14ac:dyDescent="0.2">
      <c r="S3086" s="69">
        <f>_xlfn.XLOOKUP(Results!A3086,Geometry!$B$6:$B$10000,Geometry!$C$6:$C$10000)</f>
        <v>0</v>
      </c>
      <c r="T3086" s="69"/>
      <c r="U3086" s="69"/>
    </row>
    <row r="3087" spans="19:21" ht="15" customHeight="1" x14ac:dyDescent="0.2">
      <c r="S3087" s="69">
        <f>_xlfn.XLOOKUP(Results!A3087,Geometry!$B$6:$B$10000,Geometry!$C$6:$C$10000)</f>
        <v>0</v>
      </c>
      <c r="T3087" s="69"/>
      <c r="U3087" s="69"/>
    </row>
    <row r="3088" spans="19:21" ht="15" customHeight="1" x14ac:dyDescent="0.2">
      <c r="S3088" s="69">
        <f>_xlfn.XLOOKUP(Results!A3088,Geometry!$B$6:$B$10000,Geometry!$C$6:$C$10000)</f>
        <v>0</v>
      </c>
      <c r="T3088" s="69"/>
      <c r="U3088" s="69"/>
    </row>
    <row r="3089" spans="19:21" ht="15" customHeight="1" x14ac:dyDescent="0.2">
      <c r="S3089" s="69">
        <f>_xlfn.XLOOKUP(Results!A3089,Geometry!$B$6:$B$10000,Geometry!$C$6:$C$10000)</f>
        <v>0</v>
      </c>
      <c r="T3089" s="69"/>
      <c r="U3089" s="69"/>
    </row>
    <row r="3090" spans="19:21" ht="15" customHeight="1" x14ac:dyDescent="0.2">
      <c r="S3090" s="69">
        <f>_xlfn.XLOOKUP(Results!A3090,Geometry!$B$6:$B$10000,Geometry!$C$6:$C$10000)</f>
        <v>0</v>
      </c>
      <c r="T3090" s="69"/>
      <c r="U3090" s="69"/>
    </row>
    <row r="3091" spans="19:21" ht="15" customHeight="1" x14ac:dyDescent="0.2">
      <c r="S3091" s="69">
        <f>_xlfn.XLOOKUP(Results!A3091,Geometry!$B$6:$B$10000,Geometry!$C$6:$C$10000)</f>
        <v>0</v>
      </c>
      <c r="T3091" s="69"/>
      <c r="U3091" s="69"/>
    </row>
    <row r="3092" spans="19:21" ht="15" customHeight="1" x14ac:dyDescent="0.2">
      <c r="S3092" s="69">
        <f>_xlfn.XLOOKUP(Results!A3092,Geometry!$B$6:$B$10000,Geometry!$C$6:$C$10000)</f>
        <v>0</v>
      </c>
      <c r="T3092" s="69"/>
      <c r="U3092" s="69"/>
    </row>
    <row r="3093" spans="19:21" ht="15" customHeight="1" x14ac:dyDescent="0.2">
      <c r="S3093" s="69">
        <f>_xlfn.XLOOKUP(Results!A3093,Geometry!$B$6:$B$10000,Geometry!$C$6:$C$10000)</f>
        <v>0</v>
      </c>
      <c r="T3093" s="69"/>
      <c r="U3093" s="69"/>
    </row>
    <row r="3094" spans="19:21" ht="15" customHeight="1" x14ac:dyDescent="0.2">
      <c r="S3094" s="69">
        <f>_xlfn.XLOOKUP(Results!A3094,Geometry!$B$6:$B$10000,Geometry!$C$6:$C$10000)</f>
        <v>0</v>
      </c>
      <c r="T3094" s="69"/>
      <c r="U3094" s="69"/>
    </row>
    <row r="3095" spans="19:21" ht="15" customHeight="1" x14ac:dyDescent="0.2">
      <c r="S3095" s="69">
        <f>_xlfn.XLOOKUP(Results!A3095,Geometry!$B$6:$B$10000,Geometry!$C$6:$C$10000)</f>
        <v>0</v>
      </c>
      <c r="T3095" s="69"/>
      <c r="U3095" s="69"/>
    </row>
    <row r="3096" spans="19:21" ht="15" customHeight="1" x14ac:dyDescent="0.2">
      <c r="S3096" s="69">
        <f>_xlfn.XLOOKUP(Results!A3096,Geometry!$B$6:$B$10000,Geometry!$C$6:$C$10000)</f>
        <v>0</v>
      </c>
      <c r="T3096" s="69"/>
      <c r="U3096" s="69"/>
    </row>
    <row r="3097" spans="19:21" ht="15" customHeight="1" x14ac:dyDescent="0.2">
      <c r="S3097" s="69">
        <f>_xlfn.XLOOKUP(Results!A3097,Geometry!$B$6:$B$10000,Geometry!$C$6:$C$10000)</f>
        <v>0</v>
      </c>
      <c r="T3097" s="69"/>
      <c r="U3097" s="69"/>
    </row>
    <row r="3098" spans="19:21" ht="15" customHeight="1" x14ac:dyDescent="0.2">
      <c r="S3098" s="69">
        <f>_xlfn.XLOOKUP(Results!A3098,Geometry!$B$6:$B$10000,Geometry!$C$6:$C$10000)</f>
        <v>0</v>
      </c>
      <c r="T3098" s="69"/>
      <c r="U3098" s="69"/>
    </row>
    <row r="3099" spans="19:21" ht="15" customHeight="1" x14ac:dyDescent="0.2">
      <c r="S3099" s="69">
        <f>_xlfn.XLOOKUP(Results!A3099,Geometry!$B$6:$B$10000,Geometry!$C$6:$C$10000)</f>
        <v>0</v>
      </c>
      <c r="T3099" s="69"/>
      <c r="U3099" s="69"/>
    </row>
    <row r="3100" spans="19:21" ht="15" customHeight="1" x14ac:dyDescent="0.2">
      <c r="S3100" s="69">
        <f>_xlfn.XLOOKUP(Results!A3100,Geometry!$B$6:$B$10000,Geometry!$C$6:$C$10000)</f>
        <v>0</v>
      </c>
      <c r="T3100" s="69"/>
      <c r="U3100" s="69"/>
    </row>
    <row r="3101" spans="19:21" ht="15" customHeight="1" x14ac:dyDescent="0.2">
      <c r="S3101" s="69">
        <f>_xlfn.XLOOKUP(Results!A3101,Geometry!$B$6:$B$10000,Geometry!$C$6:$C$10000)</f>
        <v>0</v>
      </c>
      <c r="T3101" s="69"/>
      <c r="U3101" s="69"/>
    </row>
    <row r="3102" spans="19:21" ht="15" customHeight="1" x14ac:dyDescent="0.2">
      <c r="S3102" s="69">
        <f>_xlfn.XLOOKUP(Results!A3102,Geometry!$B$6:$B$10000,Geometry!$C$6:$C$10000)</f>
        <v>0</v>
      </c>
      <c r="T3102" s="69"/>
      <c r="U3102" s="69"/>
    </row>
    <row r="3103" spans="19:21" ht="15" customHeight="1" x14ac:dyDescent="0.2">
      <c r="S3103" s="69">
        <f>_xlfn.XLOOKUP(Results!A3103,Geometry!$B$6:$B$10000,Geometry!$C$6:$C$10000)</f>
        <v>0</v>
      </c>
      <c r="T3103" s="69"/>
      <c r="U3103" s="69"/>
    </row>
    <row r="3104" spans="19:21" ht="15" customHeight="1" x14ac:dyDescent="0.2">
      <c r="S3104" s="69">
        <f>_xlfn.XLOOKUP(Results!A3104,Geometry!$B$6:$B$10000,Geometry!$C$6:$C$10000)</f>
        <v>0</v>
      </c>
      <c r="T3104" s="69"/>
      <c r="U3104" s="69"/>
    </row>
    <row r="3105" spans="19:21" ht="15" customHeight="1" x14ac:dyDescent="0.2">
      <c r="S3105" s="69">
        <f>_xlfn.XLOOKUP(Results!A3105,Geometry!$B$6:$B$10000,Geometry!$C$6:$C$10000)</f>
        <v>0</v>
      </c>
      <c r="T3105" s="69"/>
      <c r="U3105" s="69"/>
    </row>
    <row r="3106" spans="19:21" ht="15" customHeight="1" x14ac:dyDescent="0.2">
      <c r="S3106" s="69">
        <f>_xlfn.XLOOKUP(Results!A3106,Geometry!$B$6:$B$10000,Geometry!$C$6:$C$10000)</f>
        <v>0</v>
      </c>
      <c r="T3106" s="69"/>
      <c r="U3106" s="69"/>
    </row>
    <row r="3107" spans="19:21" ht="15" customHeight="1" x14ac:dyDescent="0.2">
      <c r="S3107" s="69">
        <f>_xlfn.XLOOKUP(Results!A3107,Geometry!$B$6:$B$10000,Geometry!$C$6:$C$10000)</f>
        <v>0</v>
      </c>
      <c r="T3107" s="69"/>
      <c r="U3107" s="69"/>
    </row>
    <row r="3108" spans="19:21" ht="15" customHeight="1" x14ac:dyDescent="0.2">
      <c r="S3108" s="69">
        <f>_xlfn.XLOOKUP(Results!A3108,Geometry!$B$6:$B$10000,Geometry!$C$6:$C$10000)</f>
        <v>0</v>
      </c>
      <c r="T3108" s="69"/>
      <c r="U3108" s="69"/>
    </row>
    <row r="3109" spans="19:21" ht="15" customHeight="1" x14ac:dyDescent="0.2">
      <c r="S3109" s="69">
        <f>_xlfn.XLOOKUP(Results!A3109,Geometry!$B$6:$B$10000,Geometry!$C$6:$C$10000)</f>
        <v>0</v>
      </c>
      <c r="T3109" s="69"/>
      <c r="U3109" s="69"/>
    </row>
    <row r="3110" spans="19:21" ht="15" customHeight="1" x14ac:dyDescent="0.2">
      <c r="S3110" s="69">
        <f>_xlfn.XLOOKUP(Results!A3110,Geometry!$B$6:$B$10000,Geometry!$C$6:$C$10000)</f>
        <v>0</v>
      </c>
      <c r="T3110" s="69"/>
      <c r="U3110" s="69"/>
    </row>
    <row r="3111" spans="19:21" ht="15" customHeight="1" x14ac:dyDescent="0.2">
      <c r="S3111" s="69">
        <f>_xlfn.XLOOKUP(Results!A3111,Geometry!$B$6:$B$10000,Geometry!$C$6:$C$10000)</f>
        <v>0</v>
      </c>
      <c r="T3111" s="69"/>
      <c r="U3111" s="69"/>
    </row>
    <row r="3112" spans="19:21" ht="15" customHeight="1" x14ac:dyDescent="0.2">
      <c r="S3112" s="69">
        <f>_xlfn.XLOOKUP(Results!A3112,Geometry!$B$6:$B$10000,Geometry!$C$6:$C$10000)</f>
        <v>0</v>
      </c>
      <c r="T3112" s="69"/>
      <c r="U3112" s="69"/>
    </row>
    <row r="3113" spans="19:21" ht="15" customHeight="1" x14ac:dyDescent="0.2">
      <c r="S3113" s="69">
        <f>_xlfn.XLOOKUP(Results!A3113,Geometry!$B$6:$B$10000,Geometry!$C$6:$C$10000)</f>
        <v>0</v>
      </c>
      <c r="T3113" s="69"/>
      <c r="U3113" s="69"/>
    </row>
    <row r="3114" spans="19:21" ht="15" customHeight="1" x14ac:dyDescent="0.2">
      <c r="S3114" s="69">
        <f>_xlfn.XLOOKUP(Results!A3114,Geometry!$B$6:$B$10000,Geometry!$C$6:$C$10000)</f>
        <v>0</v>
      </c>
      <c r="T3114" s="69"/>
      <c r="U3114" s="69"/>
    </row>
    <row r="3115" spans="19:21" ht="15" customHeight="1" x14ac:dyDescent="0.2">
      <c r="S3115" s="69">
        <f>_xlfn.XLOOKUP(Results!A3115,Geometry!$B$6:$B$10000,Geometry!$C$6:$C$10000)</f>
        <v>0</v>
      </c>
      <c r="T3115" s="69"/>
      <c r="U3115" s="69"/>
    </row>
    <row r="3116" spans="19:21" ht="15" customHeight="1" x14ac:dyDescent="0.2">
      <c r="S3116" s="69">
        <f>_xlfn.XLOOKUP(Results!A3116,Geometry!$B$6:$B$10000,Geometry!$C$6:$C$10000)</f>
        <v>0</v>
      </c>
      <c r="T3116" s="69"/>
      <c r="U3116" s="69"/>
    </row>
    <row r="3117" spans="19:21" ht="15" customHeight="1" x14ac:dyDescent="0.2">
      <c r="S3117" s="69">
        <f>_xlfn.XLOOKUP(Results!A3117,Geometry!$B$6:$B$10000,Geometry!$C$6:$C$10000)</f>
        <v>0</v>
      </c>
      <c r="T3117" s="69"/>
      <c r="U3117" s="69"/>
    </row>
    <row r="3118" spans="19:21" ht="15" customHeight="1" x14ac:dyDescent="0.2">
      <c r="S3118" s="69">
        <f>_xlfn.XLOOKUP(Results!A3118,Geometry!$B$6:$B$10000,Geometry!$C$6:$C$10000)</f>
        <v>0</v>
      </c>
      <c r="T3118" s="69"/>
      <c r="U3118" s="69"/>
    </row>
    <row r="3119" spans="19:21" ht="15" customHeight="1" x14ac:dyDescent="0.2">
      <c r="S3119" s="69">
        <f>_xlfn.XLOOKUP(Results!A3119,Geometry!$B$6:$B$10000,Geometry!$C$6:$C$10000)</f>
        <v>0</v>
      </c>
      <c r="T3119" s="69"/>
      <c r="U3119" s="69"/>
    </row>
    <row r="3120" spans="19:21" ht="15" customHeight="1" x14ac:dyDescent="0.2">
      <c r="S3120" s="69">
        <f>_xlfn.XLOOKUP(Results!A3120,Geometry!$B$6:$B$10000,Geometry!$C$6:$C$10000)</f>
        <v>0</v>
      </c>
      <c r="T3120" s="69"/>
      <c r="U3120" s="69"/>
    </row>
    <row r="3121" spans="19:21" ht="15" customHeight="1" x14ac:dyDescent="0.2">
      <c r="S3121" s="69">
        <f>_xlfn.XLOOKUP(Results!A3121,Geometry!$B$6:$B$10000,Geometry!$C$6:$C$10000)</f>
        <v>0</v>
      </c>
      <c r="T3121" s="69"/>
      <c r="U3121" s="69"/>
    </row>
    <row r="3122" spans="19:21" ht="15" customHeight="1" x14ac:dyDescent="0.2">
      <c r="S3122" s="69">
        <f>_xlfn.XLOOKUP(Results!A3122,Geometry!$B$6:$B$10000,Geometry!$C$6:$C$10000)</f>
        <v>0</v>
      </c>
      <c r="T3122" s="69"/>
      <c r="U3122" s="69"/>
    </row>
    <row r="3123" spans="19:21" ht="15" customHeight="1" x14ac:dyDescent="0.2">
      <c r="S3123" s="69">
        <f>_xlfn.XLOOKUP(Results!A3123,Geometry!$B$6:$B$10000,Geometry!$C$6:$C$10000)</f>
        <v>0</v>
      </c>
      <c r="T3123" s="69"/>
      <c r="U3123" s="69"/>
    </row>
    <row r="3124" spans="19:21" ht="15" customHeight="1" x14ac:dyDescent="0.2">
      <c r="S3124" s="69">
        <f>_xlfn.XLOOKUP(Results!A3124,Geometry!$B$6:$B$10000,Geometry!$C$6:$C$10000)</f>
        <v>0</v>
      </c>
      <c r="T3124" s="69"/>
      <c r="U3124" s="69"/>
    </row>
    <row r="3125" spans="19:21" ht="15" customHeight="1" x14ac:dyDescent="0.2">
      <c r="S3125" s="69">
        <f>_xlfn.XLOOKUP(Results!A3125,Geometry!$B$6:$B$10000,Geometry!$C$6:$C$10000)</f>
        <v>0</v>
      </c>
      <c r="T3125" s="69"/>
      <c r="U3125" s="69"/>
    </row>
    <row r="3126" spans="19:21" ht="15" customHeight="1" x14ac:dyDescent="0.2">
      <c r="S3126" s="69">
        <f>_xlfn.XLOOKUP(Results!A3126,Geometry!$B$6:$B$10000,Geometry!$C$6:$C$10000)</f>
        <v>0</v>
      </c>
      <c r="T3126" s="69"/>
      <c r="U3126" s="69"/>
    </row>
    <row r="3127" spans="19:21" ht="15" customHeight="1" x14ac:dyDescent="0.2">
      <c r="S3127" s="69">
        <f>_xlfn.XLOOKUP(Results!A3127,Geometry!$B$6:$B$10000,Geometry!$C$6:$C$10000)</f>
        <v>0</v>
      </c>
      <c r="T3127" s="69"/>
      <c r="U3127" s="69"/>
    </row>
    <row r="3128" spans="19:21" ht="15" customHeight="1" x14ac:dyDescent="0.2">
      <c r="S3128" s="69">
        <f>_xlfn.XLOOKUP(Results!A3128,Geometry!$B$6:$B$10000,Geometry!$C$6:$C$10000)</f>
        <v>0</v>
      </c>
      <c r="T3128" s="69"/>
      <c r="U3128" s="69"/>
    </row>
    <row r="3129" spans="19:21" ht="15" customHeight="1" x14ac:dyDescent="0.2">
      <c r="S3129" s="69">
        <f>_xlfn.XLOOKUP(Results!A3129,Geometry!$B$6:$B$10000,Geometry!$C$6:$C$10000)</f>
        <v>0</v>
      </c>
      <c r="T3129" s="69"/>
      <c r="U3129" s="69"/>
    </row>
    <row r="3130" spans="19:21" ht="15" customHeight="1" x14ac:dyDescent="0.2">
      <c r="S3130" s="69">
        <f>_xlfn.XLOOKUP(Results!A3130,Geometry!$B$6:$B$10000,Geometry!$C$6:$C$10000)</f>
        <v>0</v>
      </c>
      <c r="T3130" s="69"/>
      <c r="U3130" s="69"/>
    </row>
    <row r="3131" spans="19:21" ht="15" customHeight="1" x14ac:dyDescent="0.2">
      <c r="S3131" s="69">
        <f>_xlfn.XLOOKUP(Results!A3131,Geometry!$B$6:$B$10000,Geometry!$C$6:$C$10000)</f>
        <v>0</v>
      </c>
      <c r="T3131" s="69"/>
      <c r="U3131" s="69"/>
    </row>
    <row r="3132" spans="19:21" ht="15" customHeight="1" x14ac:dyDescent="0.2">
      <c r="S3132" s="69">
        <f>_xlfn.XLOOKUP(Results!A3132,Geometry!$B$6:$B$10000,Geometry!$C$6:$C$10000)</f>
        <v>0</v>
      </c>
      <c r="T3132" s="69"/>
      <c r="U3132" s="69"/>
    </row>
    <row r="3133" spans="19:21" ht="15" customHeight="1" x14ac:dyDescent="0.2">
      <c r="S3133" s="69">
        <f>_xlfn.XLOOKUP(Results!A3133,Geometry!$B$6:$B$10000,Geometry!$C$6:$C$10000)</f>
        <v>0</v>
      </c>
      <c r="T3133" s="69"/>
      <c r="U3133" s="69"/>
    </row>
    <row r="3134" spans="19:21" ht="15" customHeight="1" x14ac:dyDescent="0.2">
      <c r="S3134" s="69">
        <f>_xlfn.XLOOKUP(Results!A3134,Geometry!$B$6:$B$10000,Geometry!$C$6:$C$10000)</f>
        <v>0</v>
      </c>
      <c r="T3134" s="69"/>
      <c r="U3134" s="69"/>
    </row>
    <row r="3135" spans="19:21" ht="15" customHeight="1" x14ac:dyDescent="0.2">
      <c r="S3135" s="69">
        <f>_xlfn.XLOOKUP(Results!A3135,Geometry!$B$6:$B$10000,Geometry!$C$6:$C$10000)</f>
        <v>0</v>
      </c>
      <c r="T3135" s="69"/>
      <c r="U3135" s="69"/>
    </row>
    <row r="3136" spans="19:21" ht="15" customHeight="1" x14ac:dyDescent="0.2">
      <c r="S3136" s="69">
        <f>_xlfn.XLOOKUP(Results!A3136,Geometry!$B$6:$B$10000,Geometry!$C$6:$C$10000)</f>
        <v>0</v>
      </c>
      <c r="T3136" s="69"/>
      <c r="U3136" s="69"/>
    </row>
    <row r="3137" spans="19:21" ht="15" customHeight="1" x14ac:dyDescent="0.2">
      <c r="S3137" s="69">
        <f>_xlfn.XLOOKUP(Results!A3137,Geometry!$B$6:$B$10000,Geometry!$C$6:$C$10000)</f>
        <v>0</v>
      </c>
      <c r="T3137" s="69"/>
      <c r="U3137" s="69"/>
    </row>
    <row r="3138" spans="19:21" ht="15" customHeight="1" x14ac:dyDescent="0.2">
      <c r="S3138" s="69">
        <f>_xlfn.XLOOKUP(Results!A3138,Geometry!$B$6:$B$10000,Geometry!$C$6:$C$10000)</f>
        <v>0</v>
      </c>
      <c r="T3138" s="69"/>
      <c r="U3138" s="69"/>
    </row>
    <row r="3139" spans="19:21" ht="15" customHeight="1" x14ac:dyDescent="0.2">
      <c r="S3139" s="69">
        <f>_xlfn.XLOOKUP(Results!A3139,Geometry!$B$6:$B$10000,Geometry!$C$6:$C$10000)</f>
        <v>0</v>
      </c>
      <c r="T3139" s="69"/>
      <c r="U3139" s="69"/>
    </row>
    <row r="3140" spans="19:21" ht="15" customHeight="1" x14ac:dyDescent="0.2">
      <c r="S3140" s="69">
        <f>_xlfn.XLOOKUP(Results!A3140,Geometry!$B$6:$B$10000,Geometry!$C$6:$C$10000)</f>
        <v>0</v>
      </c>
      <c r="T3140" s="69"/>
      <c r="U3140" s="69"/>
    </row>
    <row r="3141" spans="19:21" ht="15" customHeight="1" x14ac:dyDescent="0.2">
      <c r="S3141" s="69">
        <f>_xlfn.XLOOKUP(Results!A3141,Geometry!$B$6:$B$10000,Geometry!$C$6:$C$10000)</f>
        <v>0</v>
      </c>
      <c r="T3141" s="69"/>
      <c r="U3141" s="69"/>
    </row>
    <row r="3142" spans="19:21" ht="15" customHeight="1" x14ac:dyDescent="0.2">
      <c r="S3142" s="69">
        <f>_xlfn.XLOOKUP(Results!A3142,Geometry!$B$6:$B$10000,Geometry!$C$6:$C$10000)</f>
        <v>0</v>
      </c>
      <c r="T3142" s="69"/>
      <c r="U3142" s="69"/>
    </row>
    <row r="3143" spans="19:21" ht="15" customHeight="1" x14ac:dyDescent="0.2">
      <c r="S3143" s="69">
        <f>_xlfn.XLOOKUP(Results!A3143,Geometry!$B$6:$B$10000,Geometry!$C$6:$C$10000)</f>
        <v>0</v>
      </c>
      <c r="T3143" s="69"/>
      <c r="U3143" s="69"/>
    </row>
    <row r="3144" spans="19:21" ht="15" customHeight="1" x14ac:dyDescent="0.2">
      <c r="S3144" s="69">
        <f>_xlfn.XLOOKUP(Results!A3144,Geometry!$B$6:$B$10000,Geometry!$C$6:$C$10000)</f>
        <v>0</v>
      </c>
      <c r="T3144" s="69"/>
      <c r="U3144" s="69"/>
    </row>
    <row r="3145" spans="19:21" ht="15" customHeight="1" x14ac:dyDescent="0.2">
      <c r="S3145" s="69">
        <f>_xlfn.XLOOKUP(Results!A3145,Geometry!$B$6:$B$10000,Geometry!$C$6:$C$10000)</f>
        <v>0</v>
      </c>
      <c r="T3145" s="69"/>
      <c r="U3145" s="69"/>
    </row>
    <row r="3146" spans="19:21" ht="15" customHeight="1" x14ac:dyDescent="0.2">
      <c r="S3146" s="69">
        <f>_xlfn.XLOOKUP(Results!A3146,Geometry!$B$6:$B$10000,Geometry!$C$6:$C$10000)</f>
        <v>0</v>
      </c>
      <c r="T3146" s="69"/>
      <c r="U3146" s="69"/>
    </row>
    <row r="3147" spans="19:21" ht="15" customHeight="1" x14ac:dyDescent="0.2">
      <c r="S3147" s="69">
        <f>_xlfn.XLOOKUP(Results!A3147,Geometry!$B$6:$B$10000,Geometry!$C$6:$C$10000)</f>
        <v>0</v>
      </c>
      <c r="T3147" s="69"/>
      <c r="U3147" s="69"/>
    </row>
    <row r="3148" spans="19:21" ht="15" customHeight="1" x14ac:dyDescent="0.2">
      <c r="S3148" s="69">
        <f>_xlfn.XLOOKUP(Results!A3148,Geometry!$B$6:$B$10000,Geometry!$C$6:$C$10000)</f>
        <v>0</v>
      </c>
      <c r="T3148" s="69"/>
      <c r="U3148" s="69"/>
    </row>
    <row r="3149" spans="19:21" ht="15" customHeight="1" x14ac:dyDescent="0.2">
      <c r="S3149" s="69">
        <f>_xlfn.XLOOKUP(Results!A3149,Geometry!$B$6:$B$10000,Geometry!$C$6:$C$10000)</f>
        <v>0</v>
      </c>
      <c r="T3149" s="69"/>
      <c r="U3149" s="69"/>
    </row>
    <row r="3150" spans="19:21" ht="15" customHeight="1" x14ac:dyDescent="0.2">
      <c r="S3150" s="69">
        <f>_xlfn.XLOOKUP(Results!A3150,Geometry!$B$6:$B$10000,Geometry!$C$6:$C$10000)</f>
        <v>0</v>
      </c>
      <c r="T3150" s="69"/>
      <c r="U3150" s="69"/>
    </row>
    <row r="3151" spans="19:21" ht="15" customHeight="1" x14ac:dyDescent="0.2">
      <c r="S3151" s="69">
        <f>_xlfn.XLOOKUP(Results!A3151,Geometry!$B$6:$B$10000,Geometry!$C$6:$C$10000)</f>
        <v>0</v>
      </c>
      <c r="T3151" s="69"/>
      <c r="U3151" s="69"/>
    </row>
    <row r="3152" spans="19:21" ht="15" customHeight="1" x14ac:dyDescent="0.2">
      <c r="S3152" s="69">
        <f>_xlfn.XLOOKUP(Results!A3152,Geometry!$B$6:$B$10000,Geometry!$C$6:$C$10000)</f>
        <v>0</v>
      </c>
      <c r="T3152" s="69"/>
      <c r="U3152" s="69"/>
    </row>
    <row r="3153" spans="19:21" ht="15" customHeight="1" x14ac:dyDescent="0.2">
      <c r="S3153" s="69">
        <f>_xlfn.XLOOKUP(Results!A3153,Geometry!$B$6:$B$10000,Geometry!$C$6:$C$10000)</f>
        <v>0</v>
      </c>
      <c r="T3153" s="69"/>
      <c r="U3153" s="69"/>
    </row>
    <row r="3154" spans="19:21" ht="15" customHeight="1" x14ac:dyDescent="0.2">
      <c r="S3154" s="69">
        <f>_xlfn.XLOOKUP(Results!A3154,Geometry!$B$6:$B$10000,Geometry!$C$6:$C$10000)</f>
        <v>0</v>
      </c>
      <c r="T3154" s="69"/>
      <c r="U3154" s="69"/>
    </row>
    <row r="3155" spans="19:21" ht="15" customHeight="1" x14ac:dyDescent="0.2">
      <c r="S3155" s="69">
        <f>_xlfn.XLOOKUP(Results!A3155,Geometry!$B$6:$B$10000,Geometry!$C$6:$C$10000)</f>
        <v>0</v>
      </c>
      <c r="T3155" s="69"/>
      <c r="U3155" s="69"/>
    </row>
    <row r="3156" spans="19:21" ht="15" customHeight="1" x14ac:dyDescent="0.2">
      <c r="S3156" s="69">
        <f>_xlfn.XLOOKUP(Results!A3156,Geometry!$B$6:$B$10000,Geometry!$C$6:$C$10000)</f>
        <v>0</v>
      </c>
      <c r="T3156" s="69"/>
      <c r="U3156" s="69"/>
    </row>
    <row r="3157" spans="19:21" ht="15" customHeight="1" x14ac:dyDescent="0.2">
      <c r="S3157" s="69">
        <f>_xlfn.XLOOKUP(Results!A3157,Geometry!$B$6:$B$10000,Geometry!$C$6:$C$10000)</f>
        <v>0</v>
      </c>
      <c r="T3157" s="69"/>
      <c r="U3157" s="69"/>
    </row>
    <row r="3158" spans="19:21" ht="15" customHeight="1" x14ac:dyDescent="0.2">
      <c r="S3158" s="69">
        <f>_xlfn.XLOOKUP(Results!A3158,Geometry!$B$6:$B$10000,Geometry!$C$6:$C$10000)</f>
        <v>0</v>
      </c>
      <c r="T3158" s="69"/>
      <c r="U3158" s="69"/>
    </row>
    <row r="3159" spans="19:21" ht="15" customHeight="1" x14ac:dyDescent="0.2">
      <c r="S3159" s="69">
        <f>_xlfn.XLOOKUP(Results!A3159,Geometry!$B$6:$B$10000,Geometry!$C$6:$C$10000)</f>
        <v>0</v>
      </c>
      <c r="T3159" s="69"/>
      <c r="U3159" s="69"/>
    </row>
    <row r="3160" spans="19:21" ht="15" customHeight="1" x14ac:dyDescent="0.2">
      <c r="S3160" s="69">
        <f>_xlfn.XLOOKUP(Results!A3160,Geometry!$B$6:$B$10000,Geometry!$C$6:$C$10000)</f>
        <v>0</v>
      </c>
      <c r="T3160" s="69"/>
      <c r="U3160" s="69"/>
    </row>
    <row r="3161" spans="19:21" ht="15" customHeight="1" x14ac:dyDescent="0.2">
      <c r="S3161" s="69">
        <f>_xlfn.XLOOKUP(Results!A3161,Geometry!$B$6:$B$10000,Geometry!$C$6:$C$10000)</f>
        <v>0</v>
      </c>
      <c r="T3161" s="69"/>
      <c r="U3161" s="69"/>
    </row>
    <row r="3162" spans="19:21" ht="15" customHeight="1" x14ac:dyDescent="0.2">
      <c r="S3162" s="69">
        <f>_xlfn.XLOOKUP(Results!A3162,Geometry!$B$6:$B$10000,Geometry!$C$6:$C$10000)</f>
        <v>0</v>
      </c>
      <c r="T3162" s="69"/>
      <c r="U3162" s="69"/>
    </row>
    <row r="3163" spans="19:21" ht="15" customHeight="1" x14ac:dyDescent="0.2">
      <c r="S3163" s="69">
        <f>_xlfn.XLOOKUP(Results!A3163,Geometry!$B$6:$B$10000,Geometry!$C$6:$C$10000)</f>
        <v>0</v>
      </c>
      <c r="T3163" s="69"/>
      <c r="U3163" s="69"/>
    </row>
    <row r="3164" spans="19:21" ht="15" customHeight="1" x14ac:dyDescent="0.2">
      <c r="S3164" s="69">
        <f>_xlfn.XLOOKUP(Results!A3164,Geometry!$B$6:$B$10000,Geometry!$C$6:$C$10000)</f>
        <v>0</v>
      </c>
      <c r="T3164" s="69"/>
      <c r="U3164" s="69"/>
    </row>
    <row r="3165" spans="19:21" ht="15" customHeight="1" x14ac:dyDescent="0.2">
      <c r="S3165" s="69">
        <f>_xlfn.XLOOKUP(Results!A3165,Geometry!$B$6:$B$10000,Geometry!$C$6:$C$10000)</f>
        <v>0</v>
      </c>
      <c r="T3165" s="69"/>
      <c r="U3165" s="69"/>
    </row>
    <row r="3166" spans="19:21" ht="15" customHeight="1" x14ac:dyDescent="0.2">
      <c r="S3166" s="69">
        <f>_xlfn.XLOOKUP(Results!A3166,Geometry!$B$6:$B$10000,Geometry!$C$6:$C$10000)</f>
        <v>0</v>
      </c>
      <c r="T3166" s="69"/>
      <c r="U3166" s="69"/>
    </row>
    <row r="3167" spans="19:21" ht="15" customHeight="1" x14ac:dyDescent="0.2">
      <c r="S3167" s="69">
        <f>_xlfn.XLOOKUP(Results!A3167,Geometry!$B$6:$B$10000,Geometry!$C$6:$C$10000)</f>
        <v>0</v>
      </c>
      <c r="T3167" s="69"/>
      <c r="U3167" s="69"/>
    </row>
    <row r="3168" spans="19:21" ht="15" customHeight="1" x14ac:dyDescent="0.2">
      <c r="S3168" s="69">
        <f>_xlfn.XLOOKUP(Results!A3168,Geometry!$B$6:$B$10000,Geometry!$C$6:$C$10000)</f>
        <v>0</v>
      </c>
      <c r="T3168" s="69"/>
      <c r="U3168" s="69"/>
    </row>
    <row r="3169" spans="19:21" ht="15" customHeight="1" x14ac:dyDescent="0.2">
      <c r="S3169" s="69">
        <f>_xlfn.XLOOKUP(Results!A3169,Geometry!$B$6:$B$10000,Geometry!$C$6:$C$10000)</f>
        <v>0</v>
      </c>
      <c r="T3169" s="69"/>
      <c r="U3169" s="69"/>
    </row>
    <row r="3170" spans="19:21" ht="15" customHeight="1" x14ac:dyDescent="0.2">
      <c r="S3170" s="69">
        <f>_xlfn.XLOOKUP(Results!A3170,Geometry!$B$6:$B$10000,Geometry!$C$6:$C$10000)</f>
        <v>0</v>
      </c>
      <c r="T3170" s="69"/>
      <c r="U3170" s="69"/>
    </row>
    <row r="3171" spans="19:21" ht="15" customHeight="1" x14ac:dyDescent="0.2">
      <c r="S3171" s="69">
        <f>_xlfn.XLOOKUP(Results!A3171,Geometry!$B$6:$B$10000,Geometry!$C$6:$C$10000)</f>
        <v>0</v>
      </c>
      <c r="T3171" s="69"/>
      <c r="U3171" s="69"/>
    </row>
    <row r="3172" spans="19:21" ht="15" customHeight="1" x14ac:dyDescent="0.2">
      <c r="S3172" s="69">
        <f>_xlfn.XLOOKUP(Results!A3172,Geometry!$B$6:$B$10000,Geometry!$C$6:$C$10000)</f>
        <v>0</v>
      </c>
      <c r="T3172" s="69"/>
      <c r="U3172" s="69"/>
    </row>
    <row r="3173" spans="19:21" ht="15" customHeight="1" x14ac:dyDescent="0.2">
      <c r="S3173" s="69">
        <f>_xlfn.XLOOKUP(Results!A3173,Geometry!$B$6:$B$10000,Geometry!$C$6:$C$10000)</f>
        <v>0</v>
      </c>
      <c r="T3173" s="69"/>
      <c r="U3173" s="69"/>
    </row>
    <row r="3174" spans="19:21" ht="15" customHeight="1" x14ac:dyDescent="0.2">
      <c r="S3174" s="69">
        <f>_xlfn.XLOOKUP(Results!A3174,Geometry!$B$6:$B$10000,Geometry!$C$6:$C$10000)</f>
        <v>0</v>
      </c>
      <c r="T3174" s="69"/>
      <c r="U3174" s="69"/>
    </row>
    <row r="3175" spans="19:21" ht="15" customHeight="1" x14ac:dyDescent="0.2">
      <c r="S3175" s="69">
        <f>_xlfn.XLOOKUP(Results!A3175,Geometry!$B$6:$B$10000,Geometry!$C$6:$C$10000)</f>
        <v>0</v>
      </c>
      <c r="T3175" s="69"/>
      <c r="U3175" s="69"/>
    </row>
    <row r="3176" spans="19:21" ht="15" customHeight="1" x14ac:dyDescent="0.2">
      <c r="S3176" s="69">
        <f>_xlfn.XLOOKUP(Results!A3176,Geometry!$B$6:$B$10000,Geometry!$C$6:$C$10000)</f>
        <v>0</v>
      </c>
      <c r="T3176" s="69"/>
      <c r="U3176" s="69"/>
    </row>
    <row r="3177" spans="19:21" ht="15" customHeight="1" x14ac:dyDescent="0.2">
      <c r="S3177" s="69">
        <f>_xlfn.XLOOKUP(Results!A3177,Geometry!$B$6:$B$10000,Geometry!$C$6:$C$10000)</f>
        <v>0</v>
      </c>
      <c r="T3177" s="69"/>
      <c r="U3177" s="69"/>
    </row>
    <row r="3178" spans="19:21" ht="15" customHeight="1" x14ac:dyDescent="0.2">
      <c r="S3178" s="69">
        <f>_xlfn.XLOOKUP(Results!A3178,Geometry!$B$6:$B$10000,Geometry!$C$6:$C$10000)</f>
        <v>0</v>
      </c>
      <c r="T3178" s="69"/>
      <c r="U3178" s="69"/>
    </row>
    <row r="3179" spans="19:21" ht="15" customHeight="1" x14ac:dyDescent="0.2">
      <c r="S3179" s="69">
        <f>_xlfn.XLOOKUP(Results!A3179,Geometry!$B$6:$B$10000,Geometry!$C$6:$C$10000)</f>
        <v>0</v>
      </c>
      <c r="T3179" s="69"/>
      <c r="U3179" s="69"/>
    </row>
    <row r="3180" spans="19:21" ht="15" customHeight="1" x14ac:dyDescent="0.2">
      <c r="S3180" s="69">
        <f>_xlfn.XLOOKUP(Results!A3180,Geometry!$B$6:$B$10000,Geometry!$C$6:$C$10000)</f>
        <v>0</v>
      </c>
      <c r="T3180" s="69"/>
      <c r="U3180" s="69"/>
    </row>
    <row r="3181" spans="19:21" ht="15" customHeight="1" x14ac:dyDescent="0.2">
      <c r="S3181" s="69">
        <f>_xlfn.XLOOKUP(Results!A3181,Geometry!$B$6:$B$10000,Geometry!$C$6:$C$10000)</f>
        <v>0</v>
      </c>
      <c r="T3181" s="69"/>
      <c r="U3181" s="69"/>
    </row>
    <row r="3182" spans="19:21" ht="15" customHeight="1" x14ac:dyDescent="0.2">
      <c r="S3182" s="69">
        <f>_xlfn.XLOOKUP(Results!A3182,Geometry!$B$6:$B$10000,Geometry!$C$6:$C$10000)</f>
        <v>0</v>
      </c>
      <c r="T3182" s="69"/>
      <c r="U3182" s="69"/>
    </row>
    <row r="3183" spans="19:21" ht="15" customHeight="1" x14ac:dyDescent="0.2">
      <c r="S3183" s="69">
        <f>_xlfn.XLOOKUP(Results!A3183,Geometry!$B$6:$B$10000,Geometry!$C$6:$C$10000)</f>
        <v>0</v>
      </c>
      <c r="T3183" s="69"/>
      <c r="U3183" s="69"/>
    </row>
    <row r="3184" spans="19:21" ht="15" customHeight="1" x14ac:dyDescent="0.2">
      <c r="S3184" s="69">
        <f>_xlfn.XLOOKUP(Results!A3184,Geometry!$B$6:$B$10000,Geometry!$C$6:$C$10000)</f>
        <v>0</v>
      </c>
      <c r="T3184" s="69"/>
      <c r="U3184" s="69"/>
    </row>
    <row r="3185" spans="19:21" ht="15" customHeight="1" x14ac:dyDescent="0.2">
      <c r="S3185" s="69">
        <f>_xlfn.XLOOKUP(Results!A3185,Geometry!$B$6:$B$10000,Geometry!$C$6:$C$10000)</f>
        <v>0</v>
      </c>
      <c r="T3185" s="69"/>
      <c r="U3185" s="69"/>
    </row>
    <row r="3186" spans="19:21" ht="15" customHeight="1" x14ac:dyDescent="0.2">
      <c r="S3186" s="69">
        <f>_xlfn.XLOOKUP(Results!A3186,Geometry!$B$6:$B$10000,Geometry!$C$6:$C$10000)</f>
        <v>0</v>
      </c>
      <c r="T3186" s="69"/>
      <c r="U3186" s="69"/>
    </row>
    <row r="3187" spans="19:21" ht="15" customHeight="1" x14ac:dyDescent="0.2">
      <c r="S3187" s="69">
        <f>_xlfn.XLOOKUP(Results!A3187,Geometry!$B$6:$B$10000,Geometry!$C$6:$C$10000)</f>
        <v>0</v>
      </c>
      <c r="T3187" s="69"/>
      <c r="U3187" s="69"/>
    </row>
    <row r="3188" spans="19:21" ht="15" customHeight="1" x14ac:dyDescent="0.2">
      <c r="S3188" s="69">
        <f>_xlfn.XLOOKUP(Results!A3188,Geometry!$B$6:$B$10000,Geometry!$C$6:$C$10000)</f>
        <v>0</v>
      </c>
      <c r="T3188" s="69"/>
      <c r="U3188" s="69"/>
    </row>
    <row r="3189" spans="19:21" ht="15" customHeight="1" x14ac:dyDescent="0.2">
      <c r="S3189" s="69">
        <f>_xlfn.XLOOKUP(Results!A3189,Geometry!$B$6:$B$10000,Geometry!$C$6:$C$10000)</f>
        <v>0</v>
      </c>
      <c r="T3189" s="69"/>
      <c r="U3189" s="69"/>
    </row>
    <row r="3190" spans="19:21" ht="15" customHeight="1" x14ac:dyDescent="0.2">
      <c r="S3190" s="69">
        <f>_xlfn.XLOOKUP(Results!A3190,Geometry!$B$6:$B$10000,Geometry!$C$6:$C$10000)</f>
        <v>0</v>
      </c>
      <c r="T3190" s="69"/>
      <c r="U3190" s="69"/>
    </row>
    <row r="3191" spans="19:21" ht="15" customHeight="1" x14ac:dyDescent="0.2">
      <c r="S3191" s="69">
        <f>_xlfn.XLOOKUP(Results!A3191,Geometry!$B$6:$B$10000,Geometry!$C$6:$C$10000)</f>
        <v>0</v>
      </c>
      <c r="T3191" s="69"/>
      <c r="U3191" s="69"/>
    </row>
    <row r="3192" spans="19:21" ht="15" customHeight="1" x14ac:dyDescent="0.2">
      <c r="S3192" s="69">
        <f>_xlfn.XLOOKUP(Results!A3192,Geometry!$B$6:$B$10000,Geometry!$C$6:$C$10000)</f>
        <v>0</v>
      </c>
      <c r="T3192" s="69"/>
      <c r="U3192" s="69"/>
    </row>
    <row r="3193" spans="19:21" ht="15" customHeight="1" x14ac:dyDescent="0.2">
      <c r="S3193" s="69">
        <f>_xlfn.XLOOKUP(Results!A3193,Geometry!$B$6:$B$10000,Geometry!$C$6:$C$10000)</f>
        <v>0</v>
      </c>
      <c r="T3193" s="69"/>
      <c r="U3193" s="69"/>
    </row>
    <row r="3194" spans="19:21" ht="15" customHeight="1" x14ac:dyDescent="0.2">
      <c r="S3194" s="69">
        <f>_xlfn.XLOOKUP(Results!A3194,Geometry!$B$6:$B$10000,Geometry!$C$6:$C$10000)</f>
        <v>0</v>
      </c>
      <c r="T3194" s="69"/>
      <c r="U3194" s="69"/>
    </row>
    <row r="3195" spans="19:21" ht="15" customHeight="1" x14ac:dyDescent="0.2">
      <c r="S3195" s="69">
        <f>_xlfn.XLOOKUP(Results!A3195,Geometry!$B$6:$B$10000,Geometry!$C$6:$C$10000)</f>
        <v>0</v>
      </c>
      <c r="T3195" s="69"/>
      <c r="U3195" s="69"/>
    </row>
    <row r="3196" spans="19:21" ht="15" customHeight="1" x14ac:dyDescent="0.2">
      <c r="S3196" s="69">
        <f>_xlfn.XLOOKUP(Results!A3196,Geometry!$B$6:$B$10000,Geometry!$C$6:$C$10000)</f>
        <v>0</v>
      </c>
      <c r="T3196" s="69"/>
      <c r="U3196" s="69"/>
    </row>
    <row r="3197" spans="19:21" ht="15" customHeight="1" x14ac:dyDescent="0.2">
      <c r="S3197" s="69">
        <f>_xlfn.XLOOKUP(Results!A3197,Geometry!$B$6:$B$10000,Geometry!$C$6:$C$10000)</f>
        <v>0</v>
      </c>
      <c r="T3197" s="69"/>
      <c r="U3197" s="69"/>
    </row>
    <row r="3198" spans="19:21" ht="15" customHeight="1" x14ac:dyDescent="0.2">
      <c r="S3198" s="69">
        <f>_xlfn.XLOOKUP(Results!A3198,Geometry!$B$6:$B$10000,Geometry!$C$6:$C$10000)</f>
        <v>0</v>
      </c>
      <c r="T3198" s="69"/>
      <c r="U3198" s="69"/>
    </row>
    <row r="3199" spans="19:21" ht="15" customHeight="1" x14ac:dyDescent="0.2">
      <c r="S3199" s="69">
        <f>_xlfn.XLOOKUP(Results!A3199,Geometry!$B$6:$B$10000,Geometry!$C$6:$C$10000)</f>
        <v>0</v>
      </c>
      <c r="T3199" s="69"/>
      <c r="U3199" s="69"/>
    </row>
    <row r="3200" spans="19:21" ht="15" customHeight="1" x14ac:dyDescent="0.2">
      <c r="S3200" s="69">
        <f>_xlfn.XLOOKUP(Results!A3200,Geometry!$B$6:$B$10000,Geometry!$C$6:$C$10000)</f>
        <v>0</v>
      </c>
      <c r="T3200" s="69"/>
      <c r="U3200" s="69"/>
    </row>
    <row r="3201" spans="19:21" ht="15" customHeight="1" x14ac:dyDescent="0.2">
      <c r="S3201" s="69">
        <f>_xlfn.XLOOKUP(Results!A3201,Geometry!$B$6:$B$10000,Geometry!$C$6:$C$10000)</f>
        <v>0</v>
      </c>
      <c r="T3201" s="69"/>
      <c r="U3201" s="69"/>
    </row>
    <row r="3202" spans="19:21" ht="15" customHeight="1" x14ac:dyDescent="0.2">
      <c r="S3202" s="69">
        <f>_xlfn.XLOOKUP(Results!A3202,Geometry!$B$6:$B$10000,Geometry!$C$6:$C$10000)</f>
        <v>0</v>
      </c>
      <c r="T3202" s="69"/>
      <c r="U3202" s="69"/>
    </row>
    <row r="3203" spans="19:21" ht="15" customHeight="1" x14ac:dyDescent="0.2">
      <c r="S3203" s="69">
        <f>_xlfn.XLOOKUP(Results!A3203,Geometry!$B$6:$B$10000,Geometry!$C$6:$C$10000)</f>
        <v>0</v>
      </c>
      <c r="T3203" s="69"/>
      <c r="U3203" s="69"/>
    </row>
    <row r="3204" spans="19:21" ht="15" customHeight="1" x14ac:dyDescent="0.2">
      <c r="S3204" s="69">
        <f>_xlfn.XLOOKUP(Results!A3204,Geometry!$B$6:$B$10000,Geometry!$C$6:$C$10000)</f>
        <v>0</v>
      </c>
      <c r="T3204" s="69"/>
      <c r="U3204" s="69"/>
    </row>
    <row r="3205" spans="19:21" ht="15" customHeight="1" x14ac:dyDescent="0.2">
      <c r="S3205" s="69">
        <f>_xlfn.XLOOKUP(Results!A3205,Geometry!$B$6:$B$10000,Geometry!$C$6:$C$10000)</f>
        <v>0</v>
      </c>
      <c r="T3205" s="69"/>
      <c r="U3205" s="69"/>
    </row>
    <row r="3206" spans="19:21" ht="15" customHeight="1" x14ac:dyDescent="0.2">
      <c r="S3206" s="69">
        <f>_xlfn.XLOOKUP(Results!A3206,Geometry!$B$6:$B$10000,Geometry!$C$6:$C$10000)</f>
        <v>0</v>
      </c>
      <c r="T3206" s="69"/>
      <c r="U3206" s="69"/>
    </row>
    <row r="3207" spans="19:21" ht="15" customHeight="1" x14ac:dyDescent="0.2">
      <c r="S3207" s="69">
        <f>_xlfn.XLOOKUP(Results!A3207,Geometry!$B$6:$B$10000,Geometry!$C$6:$C$10000)</f>
        <v>0</v>
      </c>
      <c r="T3207" s="69"/>
      <c r="U3207" s="69"/>
    </row>
    <row r="3208" spans="19:21" ht="15" customHeight="1" x14ac:dyDescent="0.2">
      <c r="S3208" s="69">
        <f>_xlfn.XLOOKUP(Results!A3208,Geometry!$B$6:$B$10000,Geometry!$C$6:$C$10000)</f>
        <v>0</v>
      </c>
      <c r="T3208" s="69"/>
      <c r="U3208" s="69"/>
    </row>
    <row r="3209" spans="19:21" ht="15" customHeight="1" x14ac:dyDescent="0.2">
      <c r="S3209" s="69">
        <f>_xlfn.XLOOKUP(Results!A3209,Geometry!$B$6:$B$10000,Geometry!$C$6:$C$10000)</f>
        <v>0</v>
      </c>
      <c r="T3209" s="69"/>
      <c r="U3209" s="69"/>
    </row>
    <row r="3210" spans="19:21" ht="15" customHeight="1" x14ac:dyDescent="0.2">
      <c r="S3210" s="69">
        <f>_xlfn.XLOOKUP(Results!A3210,Geometry!$B$6:$B$10000,Geometry!$C$6:$C$10000)</f>
        <v>0</v>
      </c>
      <c r="T3210" s="69"/>
      <c r="U3210" s="69"/>
    </row>
    <row r="3211" spans="19:21" ht="15" customHeight="1" x14ac:dyDescent="0.2">
      <c r="S3211" s="69">
        <f>_xlfn.XLOOKUP(Results!A3211,Geometry!$B$6:$B$10000,Geometry!$C$6:$C$10000)</f>
        <v>0</v>
      </c>
      <c r="T3211" s="69"/>
      <c r="U3211" s="69"/>
    </row>
    <row r="3212" spans="19:21" ht="15" customHeight="1" x14ac:dyDescent="0.2">
      <c r="S3212" s="69">
        <f>_xlfn.XLOOKUP(Results!A3212,Geometry!$B$6:$B$10000,Geometry!$C$6:$C$10000)</f>
        <v>0</v>
      </c>
      <c r="T3212" s="69"/>
      <c r="U3212" s="69"/>
    </row>
    <row r="3213" spans="19:21" ht="15" customHeight="1" x14ac:dyDescent="0.2">
      <c r="S3213" s="69">
        <f>_xlfn.XLOOKUP(Results!A3213,Geometry!$B$6:$B$10000,Geometry!$C$6:$C$10000)</f>
        <v>0</v>
      </c>
      <c r="T3213" s="69"/>
      <c r="U3213" s="69"/>
    </row>
    <row r="3214" spans="19:21" ht="15" customHeight="1" x14ac:dyDescent="0.2">
      <c r="S3214" s="69">
        <f>_xlfn.XLOOKUP(Results!A3214,Geometry!$B$6:$B$10000,Geometry!$C$6:$C$10000)</f>
        <v>0</v>
      </c>
      <c r="T3214" s="69"/>
      <c r="U3214" s="69"/>
    </row>
    <row r="3215" spans="19:21" ht="15" customHeight="1" x14ac:dyDescent="0.2">
      <c r="S3215" s="69">
        <f>_xlfn.XLOOKUP(Results!A3215,Geometry!$B$6:$B$10000,Geometry!$C$6:$C$10000)</f>
        <v>0</v>
      </c>
      <c r="T3215" s="69"/>
      <c r="U3215" s="69"/>
    </row>
    <row r="3216" spans="19:21" ht="15" customHeight="1" x14ac:dyDescent="0.2">
      <c r="S3216" s="69">
        <f>_xlfn.XLOOKUP(Results!A3216,Geometry!$B$6:$B$10000,Geometry!$C$6:$C$10000)</f>
        <v>0</v>
      </c>
      <c r="T3216" s="69"/>
      <c r="U3216" s="69"/>
    </row>
    <row r="3217" spans="19:21" ht="15" customHeight="1" x14ac:dyDescent="0.2">
      <c r="S3217" s="69">
        <f>_xlfn.XLOOKUP(Results!A3217,Geometry!$B$6:$B$10000,Geometry!$C$6:$C$10000)</f>
        <v>0</v>
      </c>
      <c r="T3217" s="69"/>
      <c r="U3217" s="69"/>
    </row>
    <row r="3218" spans="19:21" ht="15" customHeight="1" x14ac:dyDescent="0.2">
      <c r="S3218" s="69">
        <f>_xlfn.XLOOKUP(Results!A3218,Geometry!$B$6:$B$10000,Geometry!$C$6:$C$10000)</f>
        <v>0</v>
      </c>
      <c r="T3218" s="69"/>
      <c r="U3218" s="69"/>
    </row>
    <row r="3219" spans="19:21" ht="15" customHeight="1" x14ac:dyDescent="0.2">
      <c r="S3219" s="69">
        <f>_xlfn.XLOOKUP(Results!A3219,Geometry!$B$6:$B$10000,Geometry!$C$6:$C$10000)</f>
        <v>0</v>
      </c>
      <c r="T3219" s="69"/>
      <c r="U3219" s="69"/>
    </row>
    <row r="3220" spans="19:21" ht="15" customHeight="1" x14ac:dyDescent="0.2">
      <c r="S3220" s="69">
        <f>_xlfn.XLOOKUP(Results!A3220,Geometry!$B$6:$B$10000,Geometry!$C$6:$C$10000)</f>
        <v>0</v>
      </c>
      <c r="T3220" s="69"/>
      <c r="U3220" s="69"/>
    </row>
    <row r="3221" spans="19:21" ht="15" customHeight="1" x14ac:dyDescent="0.2">
      <c r="S3221" s="69">
        <f>_xlfn.XLOOKUP(Results!A3221,Geometry!$B$6:$B$10000,Geometry!$C$6:$C$10000)</f>
        <v>0</v>
      </c>
      <c r="T3221" s="69"/>
      <c r="U3221" s="69"/>
    </row>
    <row r="3222" spans="19:21" ht="15" customHeight="1" x14ac:dyDescent="0.2">
      <c r="S3222" s="69">
        <f>_xlfn.XLOOKUP(Results!A3222,Geometry!$B$6:$B$10000,Geometry!$C$6:$C$10000)</f>
        <v>0</v>
      </c>
      <c r="T3222" s="69"/>
      <c r="U3222" s="69"/>
    </row>
    <row r="3223" spans="19:21" ht="15" customHeight="1" x14ac:dyDescent="0.2">
      <c r="S3223" s="69">
        <f>_xlfn.XLOOKUP(Results!A3223,Geometry!$B$6:$B$10000,Geometry!$C$6:$C$10000)</f>
        <v>0</v>
      </c>
      <c r="T3223" s="69"/>
      <c r="U3223" s="69"/>
    </row>
    <row r="3224" spans="19:21" ht="15" customHeight="1" x14ac:dyDescent="0.2">
      <c r="S3224" s="69">
        <f>_xlfn.XLOOKUP(Results!A3224,Geometry!$B$6:$B$10000,Geometry!$C$6:$C$10000)</f>
        <v>0</v>
      </c>
      <c r="T3224" s="69"/>
      <c r="U3224" s="69"/>
    </row>
    <row r="3225" spans="19:21" ht="15" customHeight="1" x14ac:dyDescent="0.2">
      <c r="S3225" s="69">
        <f>_xlfn.XLOOKUP(Results!A3225,Geometry!$B$6:$B$10000,Geometry!$C$6:$C$10000)</f>
        <v>0</v>
      </c>
      <c r="T3225" s="69"/>
      <c r="U3225" s="69"/>
    </row>
    <row r="3226" spans="19:21" ht="15" customHeight="1" x14ac:dyDescent="0.2">
      <c r="S3226" s="69">
        <f>_xlfn.XLOOKUP(Results!A3226,Geometry!$B$6:$B$10000,Geometry!$C$6:$C$10000)</f>
        <v>0</v>
      </c>
      <c r="T3226" s="69"/>
      <c r="U3226" s="69"/>
    </row>
    <row r="3227" spans="19:21" ht="15" customHeight="1" x14ac:dyDescent="0.2">
      <c r="S3227" s="69">
        <f>_xlfn.XLOOKUP(Results!A3227,Geometry!$B$6:$B$10000,Geometry!$C$6:$C$10000)</f>
        <v>0</v>
      </c>
      <c r="T3227" s="69"/>
      <c r="U3227" s="69"/>
    </row>
    <row r="3228" spans="19:21" ht="15" customHeight="1" x14ac:dyDescent="0.2">
      <c r="S3228" s="69">
        <f>_xlfn.XLOOKUP(Results!A3228,Geometry!$B$6:$B$10000,Geometry!$C$6:$C$10000)</f>
        <v>0</v>
      </c>
      <c r="T3228" s="69"/>
      <c r="U3228" s="69"/>
    </row>
    <row r="3229" spans="19:21" ht="15" customHeight="1" x14ac:dyDescent="0.2">
      <c r="S3229" s="69">
        <f>_xlfn.XLOOKUP(Results!A3229,Geometry!$B$6:$B$10000,Geometry!$C$6:$C$10000)</f>
        <v>0</v>
      </c>
      <c r="T3229" s="69"/>
      <c r="U3229" s="69"/>
    </row>
    <row r="3230" spans="19:21" ht="15" customHeight="1" x14ac:dyDescent="0.2">
      <c r="S3230" s="69">
        <f>_xlfn.XLOOKUP(Results!A3230,Geometry!$B$6:$B$10000,Geometry!$C$6:$C$10000)</f>
        <v>0</v>
      </c>
      <c r="T3230" s="69"/>
      <c r="U3230" s="69"/>
    </row>
    <row r="3231" spans="19:21" ht="15" customHeight="1" x14ac:dyDescent="0.2">
      <c r="S3231" s="69">
        <f>_xlfn.XLOOKUP(Results!A3231,Geometry!$B$6:$B$10000,Geometry!$C$6:$C$10000)</f>
        <v>0</v>
      </c>
      <c r="T3231" s="69"/>
      <c r="U3231" s="69"/>
    </row>
    <row r="3232" spans="19:21" ht="15" customHeight="1" x14ac:dyDescent="0.2">
      <c r="S3232" s="69">
        <f>_xlfn.XLOOKUP(Results!A3232,Geometry!$B$6:$B$10000,Geometry!$C$6:$C$10000)</f>
        <v>0</v>
      </c>
      <c r="T3232" s="69"/>
      <c r="U3232" s="69"/>
    </row>
    <row r="3233" spans="19:21" ht="15" customHeight="1" x14ac:dyDescent="0.2">
      <c r="S3233" s="69">
        <f>_xlfn.XLOOKUP(Results!A3233,Geometry!$B$6:$B$10000,Geometry!$C$6:$C$10000)</f>
        <v>0</v>
      </c>
      <c r="T3233" s="69"/>
      <c r="U3233" s="69"/>
    </row>
    <row r="3234" spans="19:21" ht="15" customHeight="1" x14ac:dyDescent="0.2">
      <c r="S3234" s="69">
        <f>_xlfn.XLOOKUP(Results!A3234,Geometry!$B$6:$B$10000,Geometry!$C$6:$C$10000)</f>
        <v>0</v>
      </c>
      <c r="T3234" s="69"/>
      <c r="U3234" s="69"/>
    </row>
    <row r="3235" spans="19:21" ht="15" customHeight="1" x14ac:dyDescent="0.2">
      <c r="S3235" s="69">
        <f>_xlfn.XLOOKUP(Results!A3235,Geometry!$B$6:$B$10000,Geometry!$C$6:$C$10000)</f>
        <v>0</v>
      </c>
      <c r="T3235" s="69"/>
      <c r="U3235" s="69"/>
    </row>
    <row r="3236" spans="19:21" ht="15" customHeight="1" x14ac:dyDescent="0.2">
      <c r="S3236" s="69">
        <f>_xlfn.XLOOKUP(Results!A3236,Geometry!$B$6:$B$10000,Geometry!$C$6:$C$10000)</f>
        <v>0</v>
      </c>
      <c r="T3236" s="69"/>
      <c r="U3236" s="69"/>
    </row>
    <row r="3237" spans="19:21" ht="15" customHeight="1" x14ac:dyDescent="0.2">
      <c r="S3237" s="69">
        <f>_xlfn.XLOOKUP(Results!A3237,Geometry!$B$6:$B$10000,Geometry!$C$6:$C$10000)</f>
        <v>0</v>
      </c>
      <c r="T3237" s="69"/>
      <c r="U3237" s="69"/>
    </row>
    <row r="3238" spans="19:21" ht="15" customHeight="1" x14ac:dyDescent="0.2">
      <c r="S3238" s="69">
        <f>_xlfn.XLOOKUP(Results!A3238,Geometry!$B$6:$B$10000,Geometry!$C$6:$C$10000)</f>
        <v>0</v>
      </c>
      <c r="T3238" s="69"/>
      <c r="U3238" s="69"/>
    </row>
    <row r="3239" spans="19:21" ht="15" customHeight="1" x14ac:dyDescent="0.2">
      <c r="S3239" s="69">
        <f>_xlfn.XLOOKUP(Results!A3239,Geometry!$B$6:$B$10000,Geometry!$C$6:$C$10000)</f>
        <v>0</v>
      </c>
      <c r="T3239" s="69"/>
      <c r="U3239" s="69"/>
    </row>
    <row r="3240" spans="19:21" ht="15" customHeight="1" x14ac:dyDescent="0.2">
      <c r="S3240" s="69">
        <f>_xlfn.XLOOKUP(Results!A3240,Geometry!$B$6:$B$10000,Geometry!$C$6:$C$10000)</f>
        <v>0</v>
      </c>
      <c r="T3240" s="69"/>
      <c r="U3240" s="69"/>
    </row>
    <row r="3241" spans="19:21" ht="15" customHeight="1" x14ac:dyDescent="0.2">
      <c r="S3241" s="69">
        <f>_xlfn.XLOOKUP(Results!A3241,Geometry!$B$6:$B$10000,Geometry!$C$6:$C$10000)</f>
        <v>0</v>
      </c>
      <c r="T3241" s="69"/>
      <c r="U3241" s="69"/>
    </row>
    <row r="3242" spans="19:21" ht="15" customHeight="1" x14ac:dyDescent="0.2">
      <c r="S3242" s="69">
        <f>_xlfn.XLOOKUP(Results!A3242,Geometry!$B$6:$B$10000,Geometry!$C$6:$C$10000)</f>
        <v>0</v>
      </c>
      <c r="T3242" s="69"/>
      <c r="U3242" s="69"/>
    </row>
    <row r="3243" spans="19:21" ht="15" customHeight="1" x14ac:dyDescent="0.2">
      <c r="S3243" s="69">
        <f>_xlfn.XLOOKUP(Results!A3243,Geometry!$B$6:$B$10000,Geometry!$C$6:$C$10000)</f>
        <v>0</v>
      </c>
      <c r="T3243" s="69"/>
      <c r="U3243" s="69"/>
    </row>
    <row r="3244" spans="19:21" ht="15" customHeight="1" x14ac:dyDescent="0.2">
      <c r="S3244" s="69">
        <f>_xlfn.XLOOKUP(Results!A3244,Geometry!$B$6:$B$10000,Geometry!$C$6:$C$10000)</f>
        <v>0</v>
      </c>
      <c r="T3244" s="69"/>
      <c r="U3244" s="69"/>
    </row>
    <row r="3245" spans="19:21" ht="15" customHeight="1" x14ac:dyDescent="0.2">
      <c r="S3245" s="69">
        <f>_xlfn.XLOOKUP(Results!A3245,Geometry!$B$6:$B$10000,Geometry!$C$6:$C$10000)</f>
        <v>0</v>
      </c>
      <c r="T3245" s="69"/>
      <c r="U3245" s="69"/>
    </row>
    <row r="3246" spans="19:21" ht="15" customHeight="1" x14ac:dyDescent="0.2">
      <c r="S3246" s="69">
        <f>_xlfn.XLOOKUP(Results!A3246,Geometry!$B$6:$B$10000,Geometry!$C$6:$C$10000)</f>
        <v>0</v>
      </c>
      <c r="T3246" s="69"/>
      <c r="U3246" s="69"/>
    </row>
    <row r="3247" spans="19:21" ht="15" customHeight="1" x14ac:dyDescent="0.2">
      <c r="S3247" s="69">
        <f>_xlfn.XLOOKUP(Results!A3247,Geometry!$B$6:$B$10000,Geometry!$C$6:$C$10000)</f>
        <v>0</v>
      </c>
      <c r="T3247" s="69"/>
      <c r="U3247" s="69"/>
    </row>
    <row r="3248" spans="19:21" ht="15" customHeight="1" x14ac:dyDescent="0.2">
      <c r="S3248" s="69">
        <f>_xlfn.XLOOKUP(Results!A3248,Geometry!$B$6:$B$10000,Geometry!$C$6:$C$10000)</f>
        <v>0</v>
      </c>
      <c r="T3248" s="69"/>
      <c r="U3248" s="69"/>
    </row>
    <row r="3249" spans="19:21" ht="15" customHeight="1" x14ac:dyDescent="0.2">
      <c r="S3249" s="69">
        <f>_xlfn.XLOOKUP(Results!A3249,Geometry!$B$6:$B$10000,Geometry!$C$6:$C$10000)</f>
        <v>0</v>
      </c>
      <c r="T3249" s="69"/>
      <c r="U3249" s="69"/>
    </row>
    <row r="3250" spans="19:21" ht="15" customHeight="1" x14ac:dyDescent="0.2">
      <c r="S3250" s="69">
        <f>_xlfn.XLOOKUP(Results!A3250,Geometry!$B$6:$B$10000,Geometry!$C$6:$C$10000)</f>
        <v>0</v>
      </c>
      <c r="T3250" s="69"/>
      <c r="U3250" s="69"/>
    </row>
    <row r="3251" spans="19:21" ht="15" customHeight="1" x14ac:dyDescent="0.2">
      <c r="S3251" s="69">
        <f>_xlfn.XLOOKUP(Results!A3251,Geometry!$B$6:$B$10000,Geometry!$C$6:$C$10000)</f>
        <v>0</v>
      </c>
      <c r="T3251" s="69"/>
      <c r="U3251" s="69"/>
    </row>
    <row r="3252" spans="19:21" ht="15" customHeight="1" x14ac:dyDescent="0.2">
      <c r="S3252" s="69">
        <f>_xlfn.XLOOKUP(Results!A3252,Geometry!$B$6:$B$10000,Geometry!$C$6:$C$10000)</f>
        <v>0</v>
      </c>
      <c r="T3252" s="69"/>
      <c r="U3252" s="69"/>
    </row>
    <row r="3253" spans="19:21" ht="15" customHeight="1" x14ac:dyDescent="0.2">
      <c r="S3253" s="69">
        <f>_xlfn.XLOOKUP(Results!A3253,Geometry!$B$6:$B$10000,Geometry!$C$6:$C$10000)</f>
        <v>0</v>
      </c>
      <c r="T3253" s="69"/>
      <c r="U3253" s="69"/>
    </row>
    <row r="3254" spans="19:21" ht="15" customHeight="1" x14ac:dyDescent="0.2">
      <c r="S3254" s="69">
        <f>_xlfn.XLOOKUP(Results!A3254,Geometry!$B$6:$B$10000,Geometry!$C$6:$C$10000)</f>
        <v>0</v>
      </c>
      <c r="T3254" s="69"/>
      <c r="U3254" s="69"/>
    </row>
    <row r="3255" spans="19:21" ht="15" customHeight="1" x14ac:dyDescent="0.2">
      <c r="S3255" s="69">
        <f>_xlfn.XLOOKUP(Results!A3255,Geometry!$B$6:$B$10000,Geometry!$C$6:$C$10000)</f>
        <v>0</v>
      </c>
      <c r="T3255" s="69"/>
      <c r="U3255" s="69"/>
    </row>
    <row r="3256" spans="19:21" ht="15" customHeight="1" x14ac:dyDescent="0.2">
      <c r="S3256" s="69">
        <f>_xlfn.XLOOKUP(Results!A3256,Geometry!$B$6:$B$10000,Geometry!$C$6:$C$10000)</f>
        <v>0</v>
      </c>
      <c r="T3256" s="69"/>
      <c r="U3256" s="69"/>
    </row>
    <row r="3257" spans="19:21" ht="15" customHeight="1" x14ac:dyDescent="0.2">
      <c r="S3257" s="69">
        <f>_xlfn.XLOOKUP(Results!A3257,Geometry!$B$6:$B$10000,Geometry!$C$6:$C$10000)</f>
        <v>0</v>
      </c>
      <c r="T3257" s="69"/>
      <c r="U3257" s="69"/>
    </row>
    <row r="3258" spans="19:21" ht="15" customHeight="1" x14ac:dyDescent="0.2">
      <c r="S3258" s="69">
        <f>_xlfn.XLOOKUP(Results!A3258,Geometry!$B$6:$B$10000,Geometry!$C$6:$C$10000)</f>
        <v>0</v>
      </c>
      <c r="T3258" s="69"/>
      <c r="U3258" s="69"/>
    </row>
    <row r="3259" spans="19:21" ht="15" customHeight="1" x14ac:dyDescent="0.2">
      <c r="S3259" s="69">
        <f>_xlfn.XLOOKUP(Results!A3259,Geometry!$B$6:$B$10000,Geometry!$C$6:$C$10000)</f>
        <v>0</v>
      </c>
      <c r="T3259" s="69"/>
      <c r="U3259" s="69"/>
    </row>
    <row r="3260" spans="19:21" ht="15" customHeight="1" x14ac:dyDescent="0.2">
      <c r="S3260" s="69">
        <f>_xlfn.XLOOKUP(Results!A3260,Geometry!$B$6:$B$10000,Geometry!$C$6:$C$10000)</f>
        <v>0</v>
      </c>
      <c r="T3260" s="69"/>
      <c r="U3260" s="69"/>
    </row>
    <row r="3261" spans="19:21" ht="15" customHeight="1" x14ac:dyDescent="0.2">
      <c r="S3261" s="69">
        <f>_xlfn.XLOOKUP(Results!A3261,Geometry!$B$6:$B$10000,Geometry!$C$6:$C$10000)</f>
        <v>0</v>
      </c>
      <c r="T3261" s="69"/>
      <c r="U3261" s="69"/>
    </row>
    <row r="3262" spans="19:21" ht="15" customHeight="1" x14ac:dyDescent="0.2">
      <c r="S3262" s="69">
        <f>_xlfn.XLOOKUP(Results!A3262,Geometry!$B$6:$B$10000,Geometry!$C$6:$C$10000)</f>
        <v>0</v>
      </c>
      <c r="T3262" s="69"/>
      <c r="U3262" s="69"/>
    </row>
    <row r="3263" spans="19:21" ht="15" customHeight="1" x14ac:dyDescent="0.2">
      <c r="S3263" s="69">
        <f>_xlfn.XLOOKUP(Results!A3263,Geometry!$B$6:$B$10000,Geometry!$C$6:$C$10000)</f>
        <v>0</v>
      </c>
      <c r="T3263" s="69"/>
      <c r="U3263" s="69"/>
    </row>
    <row r="3264" spans="19:21" ht="15" customHeight="1" x14ac:dyDescent="0.2">
      <c r="S3264" s="69">
        <f>_xlfn.XLOOKUP(Results!A3264,Geometry!$B$6:$B$10000,Geometry!$C$6:$C$10000)</f>
        <v>0</v>
      </c>
      <c r="T3264" s="69"/>
      <c r="U3264" s="69"/>
    </row>
    <row r="3265" spans="19:21" ht="15" customHeight="1" x14ac:dyDescent="0.2">
      <c r="S3265" s="69">
        <f>_xlfn.XLOOKUP(Results!A3265,Geometry!$B$6:$B$10000,Geometry!$C$6:$C$10000)</f>
        <v>0</v>
      </c>
      <c r="T3265" s="69"/>
      <c r="U3265" s="69"/>
    </row>
    <row r="3266" spans="19:21" ht="15" customHeight="1" x14ac:dyDescent="0.2">
      <c r="S3266" s="69">
        <f>_xlfn.XLOOKUP(Results!A3266,Geometry!$B$6:$B$10000,Geometry!$C$6:$C$10000)</f>
        <v>0</v>
      </c>
      <c r="T3266" s="69"/>
      <c r="U3266" s="69"/>
    </row>
    <row r="3267" spans="19:21" ht="15" customHeight="1" x14ac:dyDescent="0.2">
      <c r="S3267" s="69">
        <f>_xlfn.XLOOKUP(Results!A3267,Geometry!$B$6:$B$10000,Geometry!$C$6:$C$10000)</f>
        <v>0</v>
      </c>
      <c r="T3267" s="69"/>
      <c r="U3267" s="69"/>
    </row>
    <row r="3268" spans="19:21" ht="15" customHeight="1" x14ac:dyDescent="0.2">
      <c r="S3268" s="69">
        <f>_xlfn.XLOOKUP(Results!A3268,Geometry!$B$6:$B$10000,Geometry!$C$6:$C$10000)</f>
        <v>0</v>
      </c>
      <c r="T3268" s="69"/>
      <c r="U3268" s="69"/>
    </row>
    <row r="3269" spans="19:21" ht="15" customHeight="1" x14ac:dyDescent="0.2">
      <c r="S3269" s="69">
        <f>_xlfn.XLOOKUP(Results!A3269,Geometry!$B$6:$B$10000,Geometry!$C$6:$C$10000)</f>
        <v>0</v>
      </c>
      <c r="T3269" s="69"/>
      <c r="U3269" s="69"/>
    </row>
    <row r="3270" spans="19:21" ht="15" customHeight="1" x14ac:dyDescent="0.2">
      <c r="S3270" s="69">
        <f>_xlfn.XLOOKUP(Results!A3270,Geometry!$B$6:$B$10000,Geometry!$C$6:$C$10000)</f>
        <v>0</v>
      </c>
      <c r="T3270" s="69"/>
      <c r="U3270" s="69"/>
    </row>
    <row r="3271" spans="19:21" ht="15" customHeight="1" x14ac:dyDescent="0.2">
      <c r="S3271" s="69">
        <f>_xlfn.XLOOKUP(Results!A3271,Geometry!$B$6:$B$10000,Geometry!$C$6:$C$10000)</f>
        <v>0</v>
      </c>
      <c r="T3271" s="69"/>
      <c r="U3271" s="69"/>
    </row>
    <row r="3272" spans="19:21" ht="15" customHeight="1" x14ac:dyDescent="0.2">
      <c r="S3272" s="69">
        <f>_xlfn.XLOOKUP(Results!A3272,Geometry!$B$6:$B$10000,Geometry!$C$6:$C$10000)</f>
        <v>0</v>
      </c>
      <c r="T3272" s="69"/>
      <c r="U3272" s="69"/>
    </row>
    <row r="3273" spans="19:21" ht="15" customHeight="1" x14ac:dyDescent="0.2">
      <c r="S3273" s="69">
        <f>_xlfn.XLOOKUP(Results!A3273,Geometry!$B$6:$B$10000,Geometry!$C$6:$C$10000)</f>
        <v>0</v>
      </c>
      <c r="T3273" s="69"/>
      <c r="U3273" s="69"/>
    </row>
    <row r="3274" spans="19:21" ht="15" customHeight="1" x14ac:dyDescent="0.2">
      <c r="S3274" s="69">
        <f>_xlfn.XLOOKUP(Results!A3274,Geometry!$B$6:$B$10000,Geometry!$C$6:$C$10000)</f>
        <v>0</v>
      </c>
      <c r="T3274" s="69"/>
      <c r="U3274" s="69"/>
    </row>
    <row r="3275" spans="19:21" ht="15" customHeight="1" x14ac:dyDescent="0.2">
      <c r="S3275" s="69">
        <f>_xlfn.XLOOKUP(Results!A3275,Geometry!$B$6:$B$10000,Geometry!$C$6:$C$10000)</f>
        <v>0</v>
      </c>
      <c r="T3275" s="69"/>
      <c r="U3275" s="69"/>
    </row>
    <row r="3276" spans="19:21" ht="15" customHeight="1" x14ac:dyDescent="0.2">
      <c r="S3276" s="69">
        <f>_xlfn.XLOOKUP(Results!A3276,Geometry!$B$6:$B$10000,Geometry!$C$6:$C$10000)</f>
        <v>0</v>
      </c>
      <c r="T3276" s="69"/>
      <c r="U3276" s="69"/>
    </row>
    <row r="3277" spans="19:21" ht="15" customHeight="1" x14ac:dyDescent="0.2">
      <c r="S3277" s="69">
        <f>_xlfn.XLOOKUP(Results!A3277,Geometry!$B$6:$B$10000,Geometry!$C$6:$C$10000)</f>
        <v>0</v>
      </c>
      <c r="T3277" s="69"/>
      <c r="U3277" s="69"/>
    </row>
    <row r="3278" spans="19:21" ht="15" customHeight="1" x14ac:dyDescent="0.2">
      <c r="S3278" s="69">
        <f>_xlfn.XLOOKUP(Results!A3278,Geometry!$B$6:$B$10000,Geometry!$C$6:$C$10000)</f>
        <v>0</v>
      </c>
      <c r="T3278" s="69"/>
      <c r="U3278" s="69"/>
    </row>
    <row r="3279" spans="19:21" ht="15" customHeight="1" x14ac:dyDescent="0.2">
      <c r="S3279" s="69">
        <f>_xlfn.XLOOKUP(Results!A3279,Geometry!$B$6:$B$10000,Geometry!$C$6:$C$10000)</f>
        <v>0</v>
      </c>
      <c r="T3279" s="69"/>
      <c r="U3279" s="69"/>
    </row>
    <row r="3280" spans="19:21" ht="15" customHeight="1" x14ac:dyDescent="0.2">
      <c r="S3280" s="69">
        <f>_xlfn.XLOOKUP(Results!A3280,Geometry!$B$6:$B$10000,Geometry!$C$6:$C$10000)</f>
        <v>0</v>
      </c>
      <c r="T3280" s="69"/>
      <c r="U3280" s="69"/>
    </row>
    <row r="3281" spans="19:21" ht="15" customHeight="1" x14ac:dyDescent="0.2">
      <c r="S3281" s="69">
        <f>_xlfn.XLOOKUP(Results!A3281,Geometry!$B$6:$B$10000,Geometry!$C$6:$C$10000)</f>
        <v>0</v>
      </c>
      <c r="T3281" s="69"/>
      <c r="U3281" s="69"/>
    </row>
    <row r="3282" spans="19:21" ht="15" customHeight="1" x14ac:dyDescent="0.2">
      <c r="S3282" s="69">
        <f>_xlfn.XLOOKUP(Results!A3282,Geometry!$B$6:$B$10000,Geometry!$C$6:$C$10000)</f>
        <v>0</v>
      </c>
      <c r="T3282" s="69"/>
      <c r="U3282" s="69"/>
    </row>
    <row r="3283" spans="19:21" ht="15" customHeight="1" x14ac:dyDescent="0.2">
      <c r="S3283" s="69">
        <f>_xlfn.XLOOKUP(Results!A3283,Geometry!$B$6:$B$10000,Geometry!$C$6:$C$10000)</f>
        <v>0</v>
      </c>
      <c r="T3283" s="69"/>
      <c r="U3283" s="69"/>
    </row>
    <row r="3284" spans="19:21" ht="15" customHeight="1" x14ac:dyDescent="0.2">
      <c r="S3284" s="69">
        <f>_xlfn.XLOOKUP(Results!A3284,Geometry!$B$6:$B$10000,Geometry!$C$6:$C$10000)</f>
        <v>0</v>
      </c>
      <c r="T3284" s="69"/>
      <c r="U3284" s="69"/>
    </row>
    <row r="3285" spans="19:21" ht="15" customHeight="1" x14ac:dyDescent="0.2">
      <c r="S3285" s="69">
        <f>_xlfn.XLOOKUP(Results!A3285,Geometry!$B$6:$B$10000,Geometry!$C$6:$C$10000)</f>
        <v>0</v>
      </c>
      <c r="T3285" s="69"/>
      <c r="U3285" s="69"/>
    </row>
    <row r="3286" spans="19:21" ht="15" customHeight="1" x14ac:dyDescent="0.2">
      <c r="S3286" s="69">
        <f>_xlfn.XLOOKUP(Results!A3286,Geometry!$B$6:$B$10000,Geometry!$C$6:$C$10000)</f>
        <v>0</v>
      </c>
      <c r="T3286" s="69"/>
      <c r="U3286" s="69"/>
    </row>
    <row r="3287" spans="19:21" ht="15" customHeight="1" x14ac:dyDescent="0.2">
      <c r="S3287" s="69">
        <f>_xlfn.XLOOKUP(Results!A3287,Geometry!$B$6:$B$10000,Geometry!$C$6:$C$10000)</f>
        <v>0</v>
      </c>
      <c r="T3287" s="69"/>
      <c r="U3287" s="69"/>
    </row>
    <row r="3288" spans="19:21" ht="15" customHeight="1" x14ac:dyDescent="0.2">
      <c r="S3288" s="69">
        <f>_xlfn.XLOOKUP(Results!A3288,Geometry!$B$6:$B$10000,Geometry!$C$6:$C$10000)</f>
        <v>0</v>
      </c>
      <c r="T3288" s="69"/>
      <c r="U3288" s="69"/>
    </row>
    <row r="3289" spans="19:21" ht="15" customHeight="1" x14ac:dyDescent="0.2">
      <c r="S3289" s="69">
        <f>_xlfn.XLOOKUP(Results!A3289,Geometry!$B$6:$B$10000,Geometry!$C$6:$C$10000)</f>
        <v>0</v>
      </c>
      <c r="T3289" s="69"/>
      <c r="U3289" s="69"/>
    </row>
    <row r="3290" spans="19:21" ht="15" customHeight="1" x14ac:dyDescent="0.2">
      <c r="S3290" s="69">
        <f>_xlfn.XLOOKUP(Results!A3290,Geometry!$B$6:$B$10000,Geometry!$C$6:$C$10000)</f>
        <v>0</v>
      </c>
      <c r="T3290" s="69"/>
      <c r="U3290" s="69"/>
    </row>
    <row r="3291" spans="19:21" ht="15" customHeight="1" x14ac:dyDescent="0.2">
      <c r="S3291" s="69">
        <f>_xlfn.XLOOKUP(Results!A3291,Geometry!$B$6:$B$10000,Geometry!$C$6:$C$10000)</f>
        <v>0</v>
      </c>
      <c r="T3291" s="69"/>
      <c r="U3291" s="69"/>
    </row>
    <row r="3292" spans="19:21" ht="15" customHeight="1" x14ac:dyDescent="0.2">
      <c r="S3292" s="69">
        <f>_xlfn.XLOOKUP(Results!A3292,Geometry!$B$6:$B$10000,Geometry!$C$6:$C$10000)</f>
        <v>0</v>
      </c>
      <c r="T3292" s="69"/>
      <c r="U3292" s="69"/>
    </row>
    <row r="3293" spans="19:21" ht="15" customHeight="1" x14ac:dyDescent="0.2">
      <c r="S3293" s="69">
        <f>_xlfn.XLOOKUP(Results!A3293,Geometry!$B$6:$B$10000,Geometry!$C$6:$C$10000)</f>
        <v>0</v>
      </c>
      <c r="T3293" s="69"/>
      <c r="U3293" s="69"/>
    </row>
    <row r="3294" spans="19:21" ht="15" customHeight="1" x14ac:dyDescent="0.2">
      <c r="S3294" s="69">
        <f>_xlfn.XLOOKUP(Results!A3294,Geometry!$B$6:$B$10000,Geometry!$C$6:$C$10000)</f>
        <v>0</v>
      </c>
      <c r="T3294" s="69"/>
      <c r="U3294" s="69"/>
    </row>
    <row r="3295" spans="19:21" ht="15" customHeight="1" x14ac:dyDescent="0.2">
      <c r="S3295" s="69">
        <f>_xlfn.XLOOKUP(Results!A3295,Geometry!$B$6:$B$10000,Geometry!$C$6:$C$10000)</f>
        <v>0</v>
      </c>
      <c r="T3295" s="69"/>
      <c r="U3295" s="69"/>
    </row>
    <row r="3296" spans="19:21" ht="15" customHeight="1" x14ac:dyDescent="0.2">
      <c r="S3296" s="69">
        <f>_xlfn.XLOOKUP(Results!A3296,Geometry!$B$6:$B$10000,Geometry!$C$6:$C$10000)</f>
        <v>0</v>
      </c>
      <c r="T3296" s="69"/>
      <c r="U3296" s="69"/>
    </row>
    <row r="3297" spans="19:21" ht="15" customHeight="1" x14ac:dyDescent="0.2">
      <c r="S3297" s="69">
        <f>_xlfn.XLOOKUP(Results!A3297,Geometry!$B$6:$B$10000,Geometry!$C$6:$C$10000)</f>
        <v>0</v>
      </c>
      <c r="T3297" s="69"/>
      <c r="U3297" s="69"/>
    </row>
    <row r="3298" spans="19:21" ht="15" customHeight="1" x14ac:dyDescent="0.2">
      <c r="S3298" s="69">
        <f>_xlfn.XLOOKUP(Results!A3298,Geometry!$B$6:$B$10000,Geometry!$C$6:$C$10000)</f>
        <v>0</v>
      </c>
      <c r="T3298" s="69"/>
      <c r="U3298" s="69"/>
    </row>
    <row r="3299" spans="19:21" ht="15" customHeight="1" x14ac:dyDescent="0.2">
      <c r="S3299" s="69">
        <f>_xlfn.XLOOKUP(Results!A3299,Geometry!$B$6:$B$10000,Geometry!$C$6:$C$10000)</f>
        <v>0</v>
      </c>
      <c r="T3299" s="69"/>
      <c r="U3299" s="69"/>
    </row>
    <row r="3300" spans="19:21" ht="15" customHeight="1" x14ac:dyDescent="0.2">
      <c r="S3300" s="69">
        <f>_xlfn.XLOOKUP(Results!A3300,Geometry!$B$6:$B$10000,Geometry!$C$6:$C$10000)</f>
        <v>0</v>
      </c>
      <c r="T3300" s="69"/>
      <c r="U3300" s="69"/>
    </row>
    <row r="3301" spans="19:21" ht="15" customHeight="1" x14ac:dyDescent="0.2">
      <c r="S3301" s="69">
        <f>_xlfn.XLOOKUP(Results!A3301,Geometry!$B$6:$B$10000,Geometry!$C$6:$C$10000)</f>
        <v>0</v>
      </c>
      <c r="T3301" s="69"/>
      <c r="U3301" s="69"/>
    </row>
    <row r="3302" spans="19:21" ht="15" customHeight="1" x14ac:dyDescent="0.2">
      <c r="S3302" s="69">
        <f>_xlfn.XLOOKUP(Results!A3302,Geometry!$B$6:$B$10000,Geometry!$C$6:$C$10000)</f>
        <v>0</v>
      </c>
      <c r="T3302" s="69"/>
      <c r="U3302" s="69"/>
    </row>
    <row r="3303" spans="19:21" ht="15" customHeight="1" x14ac:dyDescent="0.2">
      <c r="S3303" s="69">
        <f>_xlfn.XLOOKUP(Results!A3303,Geometry!$B$6:$B$10000,Geometry!$C$6:$C$10000)</f>
        <v>0</v>
      </c>
      <c r="T3303" s="69"/>
      <c r="U3303" s="69"/>
    </row>
    <row r="3304" spans="19:21" ht="15" customHeight="1" x14ac:dyDescent="0.2">
      <c r="S3304" s="69">
        <f>_xlfn.XLOOKUP(Results!A3304,Geometry!$B$6:$B$10000,Geometry!$C$6:$C$10000)</f>
        <v>0</v>
      </c>
      <c r="T3304" s="69"/>
      <c r="U3304" s="69"/>
    </row>
    <row r="3305" spans="19:21" ht="15" customHeight="1" x14ac:dyDescent="0.2">
      <c r="S3305" s="69">
        <f>_xlfn.XLOOKUP(Results!A3305,Geometry!$B$6:$B$10000,Geometry!$C$6:$C$10000)</f>
        <v>0</v>
      </c>
      <c r="T3305" s="69"/>
      <c r="U3305" s="69"/>
    </row>
    <row r="3306" spans="19:21" ht="15" customHeight="1" x14ac:dyDescent="0.2">
      <c r="S3306" s="69">
        <f>_xlfn.XLOOKUP(Results!A3306,Geometry!$B$6:$B$10000,Geometry!$C$6:$C$10000)</f>
        <v>0</v>
      </c>
      <c r="T3306" s="69"/>
      <c r="U3306" s="69"/>
    </row>
    <row r="3307" spans="19:21" ht="15" customHeight="1" x14ac:dyDescent="0.2">
      <c r="S3307" s="69">
        <f>_xlfn.XLOOKUP(Results!A3307,Geometry!$B$6:$B$10000,Geometry!$C$6:$C$10000)</f>
        <v>0</v>
      </c>
      <c r="T3307" s="69"/>
      <c r="U3307" s="69"/>
    </row>
    <row r="3308" spans="19:21" ht="15" customHeight="1" x14ac:dyDescent="0.2">
      <c r="S3308" s="69">
        <f>_xlfn.XLOOKUP(Results!A3308,Geometry!$B$6:$B$10000,Geometry!$C$6:$C$10000)</f>
        <v>0</v>
      </c>
      <c r="T3308" s="69"/>
      <c r="U3308" s="69"/>
    </row>
    <row r="3309" spans="19:21" ht="15" customHeight="1" x14ac:dyDescent="0.2">
      <c r="S3309" s="69">
        <f>_xlfn.XLOOKUP(Results!A3309,Geometry!$B$6:$B$10000,Geometry!$C$6:$C$10000)</f>
        <v>0</v>
      </c>
      <c r="T3309" s="69"/>
      <c r="U3309" s="69"/>
    </row>
    <row r="3310" spans="19:21" ht="15" customHeight="1" x14ac:dyDescent="0.2">
      <c r="S3310" s="69">
        <f>_xlfn.XLOOKUP(Results!A3310,Geometry!$B$6:$B$10000,Geometry!$C$6:$C$10000)</f>
        <v>0</v>
      </c>
      <c r="T3310" s="69"/>
      <c r="U3310" s="69"/>
    </row>
    <row r="3311" spans="19:21" ht="15" customHeight="1" x14ac:dyDescent="0.2">
      <c r="S3311" s="69">
        <f>_xlfn.XLOOKUP(Results!A3311,Geometry!$B$6:$B$10000,Geometry!$C$6:$C$10000)</f>
        <v>0</v>
      </c>
      <c r="T3311" s="69"/>
      <c r="U3311" s="69"/>
    </row>
    <row r="3312" spans="19:21" ht="15" customHeight="1" x14ac:dyDescent="0.2">
      <c r="S3312" s="69">
        <f>_xlfn.XLOOKUP(Results!A3312,Geometry!$B$6:$B$10000,Geometry!$C$6:$C$10000)</f>
        <v>0</v>
      </c>
      <c r="T3312" s="69"/>
      <c r="U3312" s="69"/>
    </row>
    <row r="3313" spans="19:21" ht="15" customHeight="1" x14ac:dyDescent="0.2">
      <c r="S3313" s="69">
        <f>_xlfn.XLOOKUP(Results!A3313,Geometry!$B$6:$B$10000,Geometry!$C$6:$C$10000)</f>
        <v>0</v>
      </c>
      <c r="T3313" s="69"/>
      <c r="U3313" s="69"/>
    </row>
    <row r="3314" spans="19:21" ht="15" customHeight="1" x14ac:dyDescent="0.2">
      <c r="S3314" s="69">
        <f>_xlfn.XLOOKUP(Results!A3314,Geometry!$B$6:$B$10000,Geometry!$C$6:$C$10000)</f>
        <v>0</v>
      </c>
      <c r="T3314" s="69"/>
      <c r="U3314" s="69"/>
    </row>
    <row r="3315" spans="19:21" ht="15" customHeight="1" x14ac:dyDescent="0.2">
      <c r="S3315" s="69">
        <f>_xlfn.XLOOKUP(Results!A3315,Geometry!$B$6:$B$10000,Geometry!$C$6:$C$10000)</f>
        <v>0</v>
      </c>
      <c r="T3315" s="69"/>
      <c r="U3315" s="69"/>
    </row>
    <row r="3316" spans="19:21" ht="15" customHeight="1" x14ac:dyDescent="0.2">
      <c r="S3316" s="69">
        <f>_xlfn.XLOOKUP(Results!A3316,Geometry!$B$6:$B$10000,Geometry!$C$6:$C$10000)</f>
        <v>0</v>
      </c>
      <c r="T3316" s="69"/>
      <c r="U3316" s="69"/>
    </row>
    <row r="3317" spans="19:21" ht="15" customHeight="1" x14ac:dyDescent="0.2">
      <c r="S3317" s="69">
        <f>_xlfn.XLOOKUP(Results!A3317,Geometry!$B$6:$B$10000,Geometry!$C$6:$C$10000)</f>
        <v>0</v>
      </c>
      <c r="T3317" s="69"/>
      <c r="U3317" s="69"/>
    </row>
    <row r="3318" spans="19:21" ht="15" customHeight="1" x14ac:dyDescent="0.2">
      <c r="S3318" s="69">
        <f>_xlfn.XLOOKUP(Results!A3318,Geometry!$B$6:$B$10000,Geometry!$C$6:$C$10000)</f>
        <v>0</v>
      </c>
      <c r="T3318" s="69"/>
      <c r="U3318" s="69"/>
    </row>
    <row r="3319" spans="19:21" ht="15" customHeight="1" x14ac:dyDescent="0.2">
      <c r="S3319" s="69">
        <f>_xlfn.XLOOKUP(Results!A3319,Geometry!$B$6:$B$10000,Geometry!$C$6:$C$10000)</f>
        <v>0</v>
      </c>
      <c r="T3319" s="69"/>
      <c r="U3319" s="69"/>
    </row>
    <row r="3320" spans="19:21" ht="15" customHeight="1" x14ac:dyDescent="0.2">
      <c r="S3320" s="69">
        <f>_xlfn.XLOOKUP(Results!A3320,Geometry!$B$6:$B$10000,Geometry!$C$6:$C$10000)</f>
        <v>0</v>
      </c>
      <c r="T3320" s="69"/>
      <c r="U3320" s="69"/>
    </row>
    <row r="3321" spans="19:21" ht="15" customHeight="1" x14ac:dyDescent="0.2">
      <c r="S3321" s="69">
        <f>_xlfn.XLOOKUP(Results!A3321,Geometry!$B$6:$B$10000,Geometry!$C$6:$C$10000)</f>
        <v>0</v>
      </c>
      <c r="T3321" s="69"/>
      <c r="U3321" s="69"/>
    </row>
    <row r="3322" spans="19:21" ht="15" customHeight="1" x14ac:dyDescent="0.2">
      <c r="S3322" s="69">
        <f>_xlfn.XLOOKUP(Results!A3322,Geometry!$B$6:$B$10000,Geometry!$C$6:$C$10000)</f>
        <v>0</v>
      </c>
      <c r="T3322" s="69"/>
      <c r="U3322" s="69"/>
    </row>
    <row r="3323" spans="19:21" ht="15" customHeight="1" x14ac:dyDescent="0.2">
      <c r="S3323" s="69">
        <f>_xlfn.XLOOKUP(Results!A3323,Geometry!$B$6:$B$10000,Geometry!$C$6:$C$10000)</f>
        <v>0</v>
      </c>
      <c r="T3323" s="69"/>
      <c r="U3323" s="69"/>
    </row>
    <row r="3324" spans="19:21" ht="15" customHeight="1" x14ac:dyDescent="0.2">
      <c r="S3324" s="69">
        <f>_xlfn.XLOOKUP(Results!A3324,Geometry!$B$6:$B$10000,Geometry!$C$6:$C$10000)</f>
        <v>0</v>
      </c>
      <c r="T3324" s="69"/>
      <c r="U3324" s="69"/>
    </row>
    <row r="3325" spans="19:21" ht="15" customHeight="1" x14ac:dyDescent="0.2">
      <c r="S3325" s="69">
        <f>_xlfn.XLOOKUP(Results!A3325,Geometry!$B$6:$B$10000,Geometry!$C$6:$C$10000)</f>
        <v>0</v>
      </c>
      <c r="T3325" s="69"/>
      <c r="U3325" s="69"/>
    </row>
    <row r="3326" spans="19:21" ht="15" customHeight="1" x14ac:dyDescent="0.2">
      <c r="S3326" s="69">
        <f>_xlfn.XLOOKUP(Results!A3326,Geometry!$B$6:$B$10000,Geometry!$C$6:$C$10000)</f>
        <v>0</v>
      </c>
      <c r="T3326" s="69"/>
      <c r="U3326" s="69"/>
    </row>
    <row r="3327" spans="19:21" ht="15" customHeight="1" x14ac:dyDescent="0.2">
      <c r="S3327" s="69">
        <f>_xlfn.XLOOKUP(Results!A3327,Geometry!$B$6:$B$10000,Geometry!$C$6:$C$10000)</f>
        <v>0</v>
      </c>
      <c r="T3327" s="69"/>
      <c r="U3327" s="69"/>
    </row>
    <row r="3328" spans="19:21" ht="15" customHeight="1" x14ac:dyDescent="0.2">
      <c r="S3328" s="69">
        <f>_xlfn.XLOOKUP(Results!A3328,Geometry!$B$6:$B$10000,Geometry!$C$6:$C$10000)</f>
        <v>0</v>
      </c>
      <c r="T3328" s="69"/>
      <c r="U3328" s="69"/>
    </row>
    <row r="3329" spans="19:21" ht="15" customHeight="1" x14ac:dyDescent="0.2">
      <c r="S3329" s="69">
        <f>_xlfn.XLOOKUP(Results!A3329,Geometry!$B$6:$B$10000,Geometry!$C$6:$C$10000)</f>
        <v>0</v>
      </c>
      <c r="T3329" s="69"/>
      <c r="U3329" s="69"/>
    </row>
    <row r="3330" spans="19:21" ht="15" customHeight="1" x14ac:dyDescent="0.2">
      <c r="S3330" s="69">
        <f>_xlfn.XLOOKUP(Results!A3330,Geometry!$B$6:$B$10000,Geometry!$C$6:$C$10000)</f>
        <v>0</v>
      </c>
      <c r="T3330" s="69"/>
      <c r="U3330" s="69"/>
    </row>
    <row r="3331" spans="19:21" ht="15" customHeight="1" x14ac:dyDescent="0.2">
      <c r="S3331" s="69">
        <f>_xlfn.XLOOKUP(Results!A3331,Geometry!$B$6:$B$10000,Geometry!$C$6:$C$10000)</f>
        <v>0</v>
      </c>
      <c r="T3331" s="69"/>
      <c r="U3331" s="69"/>
    </row>
    <row r="3332" spans="19:21" ht="15" customHeight="1" x14ac:dyDescent="0.2">
      <c r="S3332" s="69">
        <f>_xlfn.XLOOKUP(Results!A3332,Geometry!$B$6:$B$10000,Geometry!$C$6:$C$10000)</f>
        <v>0</v>
      </c>
      <c r="T3332" s="69"/>
      <c r="U3332" s="69"/>
    </row>
    <row r="3333" spans="19:21" ht="15" customHeight="1" x14ac:dyDescent="0.2">
      <c r="S3333" s="69">
        <f>_xlfn.XLOOKUP(Results!A3333,Geometry!$B$6:$B$10000,Geometry!$C$6:$C$10000)</f>
        <v>0</v>
      </c>
      <c r="T3333" s="69"/>
      <c r="U3333" s="69"/>
    </row>
    <row r="3334" spans="19:21" ht="15" customHeight="1" x14ac:dyDescent="0.2">
      <c r="S3334" s="69">
        <f>_xlfn.XLOOKUP(Results!A3334,Geometry!$B$6:$B$10000,Geometry!$C$6:$C$10000)</f>
        <v>0</v>
      </c>
      <c r="T3334" s="69"/>
      <c r="U3334" s="69"/>
    </row>
    <row r="3335" spans="19:21" ht="15" customHeight="1" x14ac:dyDescent="0.2">
      <c r="S3335" s="69">
        <f>_xlfn.XLOOKUP(Results!A3335,Geometry!$B$6:$B$10000,Geometry!$C$6:$C$10000)</f>
        <v>0</v>
      </c>
      <c r="T3335" s="69"/>
      <c r="U3335" s="69"/>
    </row>
    <row r="3336" spans="19:21" ht="15" customHeight="1" x14ac:dyDescent="0.2">
      <c r="S3336" s="69">
        <f>_xlfn.XLOOKUP(Results!A3336,Geometry!$B$6:$B$10000,Geometry!$C$6:$C$10000)</f>
        <v>0</v>
      </c>
      <c r="T3336" s="69"/>
      <c r="U3336" s="69"/>
    </row>
    <row r="3337" spans="19:21" ht="15" customHeight="1" x14ac:dyDescent="0.2">
      <c r="S3337" s="69">
        <f>_xlfn.XLOOKUP(Results!A3337,Geometry!$B$6:$B$10000,Geometry!$C$6:$C$10000)</f>
        <v>0</v>
      </c>
      <c r="T3337" s="69"/>
      <c r="U3337" s="69"/>
    </row>
    <row r="3338" spans="19:21" ht="15" customHeight="1" x14ac:dyDescent="0.2">
      <c r="S3338" s="69">
        <f>_xlfn.XLOOKUP(Results!A3338,Geometry!$B$6:$B$10000,Geometry!$C$6:$C$10000)</f>
        <v>0</v>
      </c>
      <c r="T3338" s="69"/>
      <c r="U3338" s="69"/>
    </row>
    <row r="3339" spans="19:21" ht="15" customHeight="1" x14ac:dyDescent="0.2">
      <c r="S3339" s="69">
        <f>_xlfn.XLOOKUP(Results!A3339,Geometry!$B$6:$B$10000,Geometry!$C$6:$C$10000)</f>
        <v>0</v>
      </c>
      <c r="T3339" s="69"/>
      <c r="U3339" s="69"/>
    </row>
    <row r="3340" spans="19:21" ht="15" customHeight="1" x14ac:dyDescent="0.2">
      <c r="S3340" s="69">
        <f>_xlfn.XLOOKUP(Results!A3340,Geometry!$B$6:$B$10000,Geometry!$C$6:$C$10000)</f>
        <v>0</v>
      </c>
      <c r="T3340" s="69"/>
      <c r="U3340" s="69"/>
    </row>
    <row r="3341" spans="19:21" ht="15" customHeight="1" x14ac:dyDescent="0.2">
      <c r="S3341" s="69">
        <f>_xlfn.XLOOKUP(Results!A3341,Geometry!$B$6:$B$10000,Geometry!$C$6:$C$10000)</f>
        <v>0</v>
      </c>
      <c r="T3341" s="69"/>
      <c r="U3341" s="69"/>
    </row>
    <row r="3342" spans="19:21" ht="15" customHeight="1" x14ac:dyDescent="0.2">
      <c r="S3342" s="69">
        <f>_xlfn.XLOOKUP(Results!A3342,Geometry!$B$6:$B$10000,Geometry!$C$6:$C$10000)</f>
        <v>0</v>
      </c>
      <c r="T3342" s="69"/>
      <c r="U3342" s="69"/>
    </row>
    <row r="3343" spans="19:21" ht="15" customHeight="1" x14ac:dyDescent="0.2">
      <c r="S3343" s="69">
        <f>_xlfn.XLOOKUP(Results!A3343,Geometry!$B$6:$B$10000,Geometry!$C$6:$C$10000)</f>
        <v>0</v>
      </c>
      <c r="T3343" s="69"/>
      <c r="U3343" s="69"/>
    </row>
    <row r="3344" spans="19:21" ht="15" customHeight="1" x14ac:dyDescent="0.2">
      <c r="S3344" s="69">
        <f>_xlfn.XLOOKUP(Results!A3344,Geometry!$B$6:$B$10000,Geometry!$C$6:$C$10000)</f>
        <v>0</v>
      </c>
      <c r="T3344" s="69"/>
      <c r="U3344" s="69"/>
    </row>
    <row r="3345" spans="19:21" ht="15" customHeight="1" x14ac:dyDescent="0.2">
      <c r="S3345" s="69">
        <f>_xlfn.XLOOKUP(Results!A3345,Geometry!$B$6:$B$10000,Geometry!$C$6:$C$10000)</f>
        <v>0</v>
      </c>
      <c r="T3345" s="69"/>
      <c r="U3345" s="69"/>
    </row>
    <row r="3346" spans="19:21" ht="15" customHeight="1" x14ac:dyDescent="0.2">
      <c r="S3346" s="69">
        <f>_xlfn.XLOOKUP(Results!A3346,Geometry!$B$6:$B$10000,Geometry!$C$6:$C$10000)</f>
        <v>0</v>
      </c>
      <c r="T3346" s="69"/>
      <c r="U3346" s="69"/>
    </row>
    <row r="3347" spans="19:21" ht="15" customHeight="1" x14ac:dyDescent="0.2">
      <c r="S3347" s="69">
        <f>_xlfn.XLOOKUP(Results!A3347,Geometry!$B$6:$B$10000,Geometry!$C$6:$C$10000)</f>
        <v>0</v>
      </c>
      <c r="T3347" s="69"/>
      <c r="U3347" s="69"/>
    </row>
    <row r="3348" spans="19:21" ht="15" customHeight="1" x14ac:dyDescent="0.2">
      <c r="S3348" s="69">
        <f>_xlfn.XLOOKUP(Results!A3348,Geometry!$B$6:$B$10000,Geometry!$C$6:$C$10000)</f>
        <v>0</v>
      </c>
      <c r="T3348" s="69"/>
      <c r="U3348" s="69"/>
    </row>
    <row r="3349" spans="19:21" ht="15" customHeight="1" x14ac:dyDescent="0.2">
      <c r="S3349" s="69">
        <f>_xlfn.XLOOKUP(Results!A3349,Geometry!$B$6:$B$10000,Geometry!$C$6:$C$10000)</f>
        <v>0</v>
      </c>
      <c r="T3349" s="69"/>
      <c r="U3349" s="69"/>
    </row>
    <row r="3350" spans="19:21" ht="15" customHeight="1" x14ac:dyDescent="0.2">
      <c r="S3350" s="69">
        <f>_xlfn.XLOOKUP(Results!A3350,Geometry!$B$6:$B$10000,Geometry!$C$6:$C$10000)</f>
        <v>0</v>
      </c>
      <c r="T3350" s="69"/>
      <c r="U3350" s="69"/>
    </row>
    <row r="3351" spans="19:21" ht="15" customHeight="1" x14ac:dyDescent="0.2">
      <c r="S3351" s="69">
        <f>_xlfn.XLOOKUP(Results!A3351,Geometry!$B$6:$B$10000,Geometry!$C$6:$C$10000)</f>
        <v>0</v>
      </c>
      <c r="T3351" s="69"/>
      <c r="U3351" s="69"/>
    </row>
    <row r="3352" spans="19:21" ht="15" customHeight="1" x14ac:dyDescent="0.2">
      <c r="S3352" s="69">
        <f>_xlfn.XLOOKUP(Results!A3352,Geometry!$B$6:$B$10000,Geometry!$C$6:$C$10000)</f>
        <v>0</v>
      </c>
      <c r="T3352" s="69"/>
      <c r="U3352" s="69"/>
    </row>
    <row r="3353" spans="19:21" ht="15" customHeight="1" x14ac:dyDescent="0.2">
      <c r="S3353" s="69">
        <f>_xlfn.XLOOKUP(Results!A3353,Geometry!$B$6:$B$10000,Geometry!$C$6:$C$10000)</f>
        <v>0</v>
      </c>
      <c r="T3353" s="69"/>
      <c r="U3353" s="69"/>
    </row>
    <row r="3354" spans="19:21" ht="15" customHeight="1" x14ac:dyDescent="0.2">
      <c r="S3354" s="69">
        <f>_xlfn.XLOOKUP(Results!A3354,Geometry!$B$6:$B$10000,Geometry!$C$6:$C$10000)</f>
        <v>0</v>
      </c>
      <c r="T3354" s="69"/>
      <c r="U3354" s="69"/>
    </row>
    <row r="3355" spans="19:21" ht="15" customHeight="1" x14ac:dyDescent="0.2">
      <c r="S3355" s="69">
        <f>_xlfn.XLOOKUP(Results!A3355,Geometry!$B$6:$B$10000,Geometry!$C$6:$C$10000)</f>
        <v>0</v>
      </c>
      <c r="T3355" s="69"/>
      <c r="U3355" s="69"/>
    </row>
    <row r="3356" spans="19:21" ht="15" customHeight="1" x14ac:dyDescent="0.2">
      <c r="S3356" s="69">
        <f>_xlfn.XLOOKUP(Results!A3356,Geometry!$B$6:$B$10000,Geometry!$C$6:$C$10000)</f>
        <v>0</v>
      </c>
      <c r="T3356" s="69"/>
      <c r="U3356" s="69"/>
    </row>
    <row r="3357" spans="19:21" ht="15" customHeight="1" x14ac:dyDescent="0.2">
      <c r="S3357" s="69">
        <f>_xlfn.XLOOKUP(Results!A3357,Geometry!$B$6:$B$10000,Geometry!$C$6:$C$10000)</f>
        <v>0</v>
      </c>
      <c r="T3357" s="69"/>
      <c r="U3357" s="69"/>
    </row>
    <row r="3358" spans="19:21" ht="15" customHeight="1" x14ac:dyDescent="0.2">
      <c r="S3358" s="69">
        <f>_xlfn.XLOOKUP(Results!A3358,Geometry!$B$6:$B$10000,Geometry!$C$6:$C$10000)</f>
        <v>0</v>
      </c>
      <c r="T3358" s="69"/>
      <c r="U3358" s="69"/>
    </row>
    <row r="3359" spans="19:21" ht="15" customHeight="1" x14ac:dyDescent="0.2">
      <c r="S3359" s="69">
        <f>_xlfn.XLOOKUP(Results!A3359,Geometry!$B$6:$B$10000,Geometry!$C$6:$C$10000)</f>
        <v>0</v>
      </c>
      <c r="T3359" s="69"/>
      <c r="U3359" s="69"/>
    </row>
    <row r="3360" spans="19:21" ht="15" customHeight="1" x14ac:dyDescent="0.2">
      <c r="S3360" s="69">
        <f>_xlfn.XLOOKUP(Results!A3360,Geometry!$B$6:$B$10000,Geometry!$C$6:$C$10000)</f>
        <v>0</v>
      </c>
      <c r="T3360" s="69"/>
      <c r="U3360" s="69"/>
    </row>
    <row r="3361" spans="19:21" ht="15" customHeight="1" x14ac:dyDescent="0.2">
      <c r="S3361" s="69">
        <f>_xlfn.XLOOKUP(Results!A3361,Geometry!$B$6:$B$10000,Geometry!$C$6:$C$10000)</f>
        <v>0</v>
      </c>
      <c r="T3361" s="69"/>
      <c r="U3361" s="69"/>
    </row>
    <row r="3362" spans="19:21" ht="15" customHeight="1" x14ac:dyDescent="0.2">
      <c r="S3362" s="69">
        <f>_xlfn.XLOOKUP(Results!A3362,Geometry!$B$6:$B$10000,Geometry!$C$6:$C$10000)</f>
        <v>0</v>
      </c>
      <c r="T3362" s="69"/>
      <c r="U3362" s="69"/>
    </row>
    <row r="3363" spans="19:21" ht="15" customHeight="1" x14ac:dyDescent="0.2">
      <c r="S3363" s="69">
        <f>_xlfn.XLOOKUP(Results!A3363,Geometry!$B$6:$B$10000,Geometry!$C$6:$C$10000)</f>
        <v>0</v>
      </c>
      <c r="T3363" s="69"/>
      <c r="U3363" s="69"/>
    </row>
    <row r="3364" spans="19:21" ht="15" customHeight="1" x14ac:dyDescent="0.2">
      <c r="S3364" s="69">
        <f>_xlfn.XLOOKUP(Results!A3364,Geometry!$B$6:$B$10000,Geometry!$C$6:$C$10000)</f>
        <v>0</v>
      </c>
      <c r="T3364" s="69"/>
      <c r="U3364" s="69"/>
    </row>
    <row r="3365" spans="19:21" ht="15" customHeight="1" x14ac:dyDescent="0.2">
      <c r="S3365" s="69">
        <f>_xlfn.XLOOKUP(Results!A3365,Geometry!$B$6:$B$10000,Geometry!$C$6:$C$10000)</f>
        <v>0</v>
      </c>
      <c r="T3365" s="69"/>
      <c r="U3365" s="69"/>
    </row>
    <row r="3366" spans="19:21" ht="15" customHeight="1" x14ac:dyDescent="0.2">
      <c r="S3366" s="69">
        <f>_xlfn.XLOOKUP(Results!A3366,Geometry!$B$6:$B$10000,Geometry!$C$6:$C$10000)</f>
        <v>0</v>
      </c>
      <c r="T3366" s="69"/>
      <c r="U3366" s="69"/>
    </row>
    <row r="3367" spans="19:21" ht="15" customHeight="1" x14ac:dyDescent="0.2">
      <c r="S3367" s="69">
        <f>_xlfn.XLOOKUP(Results!A3367,Geometry!$B$6:$B$10000,Geometry!$C$6:$C$10000)</f>
        <v>0</v>
      </c>
      <c r="T3367" s="69"/>
      <c r="U3367" s="69"/>
    </row>
    <row r="3368" spans="19:21" ht="15" customHeight="1" x14ac:dyDescent="0.2">
      <c r="S3368" s="69">
        <f>_xlfn.XLOOKUP(Results!A3368,Geometry!$B$6:$B$10000,Geometry!$C$6:$C$10000)</f>
        <v>0</v>
      </c>
      <c r="T3368" s="69"/>
      <c r="U3368" s="69"/>
    </row>
    <row r="3369" spans="19:21" ht="15" customHeight="1" x14ac:dyDescent="0.2">
      <c r="S3369" s="69">
        <f>_xlfn.XLOOKUP(Results!A3369,Geometry!$B$6:$B$10000,Geometry!$C$6:$C$10000)</f>
        <v>0</v>
      </c>
      <c r="T3369" s="69"/>
      <c r="U3369" s="69"/>
    </row>
    <row r="3370" spans="19:21" ht="15" customHeight="1" x14ac:dyDescent="0.2">
      <c r="S3370" s="69">
        <f>_xlfn.XLOOKUP(Results!A3370,Geometry!$B$6:$B$10000,Geometry!$C$6:$C$10000)</f>
        <v>0</v>
      </c>
      <c r="T3370" s="69"/>
      <c r="U3370" s="69"/>
    </row>
    <row r="3371" spans="19:21" ht="15" customHeight="1" x14ac:dyDescent="0.2">
      <c r="S3371" s="69">
        <f>_xlfn.XLOOKUP(Results!A3371,Geometry!$B$6:$B$10000,Geometry!$C$6:$C$10000)</f>
        <v>0</v>
      </c>
      <c r="T3371" s="69"/>
      <c r="U3371" s="69"/>
    </row>
    <row r="3372" spans="19:21" ht="15" customHeight="1" x14ac:dyDescent="0.2">
      <c r="S3372" s="69">
        <f>_xlfn.XLOOKUP(Results!A3372,Geometry!$B$6:$B$10000,Geometry!$C$6:$C$10000)</f>
        <v>0</v>
      </c>
      <c r="T3372" s="69"/>
      <c r="U3372" s="69"/>
    </row>
    <row r="3373" spans="19:21" ht="15" customHeight="1" x14ac:dyDescent="0.2">
      <c r="S3373" s="69">
        <f>_xlfn.XLOOKUP(Results!A3373,Geometry!$B$6:$B$10000,Geometry!$C$6:$C$10000)</f>
        <v>0</v>
      </c>
      <c r="T3373" s="69"/>
      <c r="U3373" s="69"/>
    </row>
    <row r="3374" spans="19:21" ht="15" customHeight="1" x14ac:dyDescent="0.2">
      <c r="S3374" s="69">
        <f>_xlfn.XLOOKUP(Results!A3374,Geometry!$B$6:$B$10000,Geometry!$C$6:$C$10000)</f>
        <v>0</v>
      </c>
      <c r="T3374" s="69"/>
      <c r="U3374" s="69"/>
    </row>
    <row r="3375" spans="19:21" ht="15" customHeight="1" x14ac:dyDescent="0.2">
      <c r="S3375" s="69">
        <f>_xlfn.XLOOKUP(Results!A3375,Geometry!$B$6:$B$10000,Geometry!$C$6:$C$10000)</f>
        <v>0</v>
      </c>
      <c r="T3375" s="69"/>
      <c r="U3375" s="69"/>
    </row>
    <row r="3376" spans="19:21" ht="15" customHeight="1" x14ac:dyDescent="0.2">
      <c r="S3376" s="69">
        <f>_xlfn.XLOOKUP(Results!A3376,Geometry!$B$6:$B$10000,Geometry!$C$6:$C$10000)</f>
        <v>0</v>
      </c>
      <c r="T3376" s="69"/>
      <c r="U3376" s="69"/>
    </row>
    <row r="3377" spans="19:21" ht="15" customHeight="1" x14ac:dyDescent="0.2">
      <c r="S3377" s="69">
        <f>_xlfn.XLOOKUP(Results!A3377,Geometry!$B$6:$B$10000,Geometry!$C$6:$C$10000)</f>
        <v>0</v>
      </c>
      <c r="T3377" s="69"/>
      <c r="U3377" s="69"/>
    </row>
    <row r="3378" spans="19:21" ht="15" customHeight="1" x14ac:dyDescent="0.2">
      <c r="S3378" s="69">
        <f>_xlfn.XLOOKUP(Results!A3378,Geometry!$B$6:$B$10000,Geometry!$C$6:$C$10000)</f>
        <v>0</v>
      </c>
      <c r="T3378" s="69"/>
      <c r="U3378" s="69"/>
    </row>
    <row r="3379" spans="19:21" ht="15" customHeight="1" x14ac:dyDescent="0.2">
      <c r="S3379" s="69">
        <f>_xlfn.XLOOKUP(Results!A3379,Geometry!$B$6:$B$10000,Geometry!$C$6:$C$10000)</f>
        <v>0</v>
      </c>
      <c r="T3379" s="69"/>
      <c r="U3379" s="69"/>
    </row>
    <row r="3380" spans="19:21" ht="15" customHeight="1" x14ac:dyDescent="0.2">
      <c r="S3380" s="69">
        <f>_xlfn.XLOOKUP(Results!A3380,Geometry!$B$6:$B$10000,Geometry!$C$6:$C$10000)</f>
        <v>0</v>
      </c>
      <c r="T3380" s="69"/>
      <c r="U3380" s="69"/>
    </row>
    <row r="3381" spans="19:21" ht="15" customHeight="1" x14ac:dyDescent="0.2">
      <c r="S3381" s="69">
        <f>_xlfn.XLOOKUP(Results!A3381,Geometry!$B$6:$B$10000,Geometry!$C$6:$C$10000)</f>
        <v>0</v>
      </c>
      <c r="T3381" s="69"/>
      <c r="U3381" s="69"/>
    </row>
    <row r="3382" spans="19:21" ht="15" customHeight="1" x14ac:dyDescent="0.2">
      <c r="S3382" s="69">
        <f>_xlfn.XLOOKUP(Results!A3382,Geometry!$B$6:$B$10000,Geometry!$C$6:$C$10000)</f>
        <v>0</v>
      </c>
      <c r="T3382" s="69"/>
      <c r="U3382" s="69"/>
    </row>
    <row r="3383" spans="19:21" ht="15" customHeight="1" x14ac:dyDescent="0.2">
      <c r="S3383" s="69">
        <f>_xlfn.XLOOKUP(Results!A3383,Geometry!$B$6:$B$10000,Geometry!$C$6:$C$10000)</f>
        <v>0</v>
      </c>
      <c r="T3383" s="69"/>
      <c r="U3383" s="69"/>
    </row>
    <row r="3384" spans="19:21" ht="15" customHeight="1" x14ac:dyDescent="0.2">
      <c r="S3384" s="69">
        <f>_xlfn.XLOOKUP(Results!A3384,Geometry!$B$6:$B$10000,Geometry!$C$6:$C$10000)</f>
        <v>0</v>
      </c>
      <c r="T3384" s="69"/>
      <c r="U3384" s="69"/>
    </row>
    <row r="3385" spans="19:21" ht="15" customHeight="1" x14ac:dyDescent="0.2">
      <c r="S3385" s="69">
        <f>_xlfn.XLOOKUP(Results!A3385,Geometry!$B$6:$B$10000,Geometry!$C$6:$C$10000)</f>
        <v>0</v>
      </c>
      <c r="T3385" s="69"/>
      <c r="U3385" s="69"/>
    </row>
    <row r="3386" spans="19:21" ht="15" customHeight="1" x14ac:dyDescent="0.2">
      <c r="S3386" s="69">
        <f>_xlfn.XLOOKUP(Results!A3386,Geometry!$B$6:$B$10000,Geometry!$C$6:$C$10000)</f>
        <v>0</v>
      </c>
      <c r="T3386" s="69"/>
      <c r="U3386" s="69"/>
    </row>
    <row r="3387" spans="19:21" ht="15" customHeight="1" x14ac:dyDescent="0.2">
      <c r="S3387" s="69">
        <f>_xlfn.XLOOKUP(Results!A3387,Geometry!$B$6:$B$10000,Geometry!$C$6:$C$10000)</f>
        <v>0</v>
      </c>
      <c r="T3387" s="69"/>
      <c r="U3387" s="69"/>
    </row>
    <row r="3388" spans="19:21" ht="15" customHeight="1" x14ac:dyDescent="0.2">
      <c r="S3388" s="69">
        <f>_xlfn.XLOOKUP(Results!A3388,Geometry!$B$6:$B$10000,Geometry!$C$6:$C$10000)</f>
        <v>0</v>
      </c>
      <c r="T3388" s="69"/>
      <c r="U3388" s="69"/>
    </row>
    <row r="3389" spans="19:21" ht="15" customHeight="1" x14ac:dyDescent="0.2">
      <c r="S3389" s="69">
        <f>_xlfn.XLOOKUP(Results!A3389,Geometry!$B$6:$B$10000,Geometry!$C$6:$C$10000)</f>
        <v>0</v>
      </c>
      <c r="T3389" s="69"/>
      <c r="U3389" s="69"/>
    </row>
    <row r="3390" spans="19:21" ht="15" customHeight="1" x14ac:dyDescent="0.2">
      <c r="S3390" s="69">
        <f>_xlfn.XLOOKUP(Results!A3390,Geometry!$B$6:$B$10000,Geometry!$C$6:$C$10000)</f>
        <v>0</v>
      </c>
      <c r="T3390" s="69"/>
      <c r="U3390" s="69"/>
    </row>
    <row r="3391" spans="19:21" ht="15" customHeight="1" x14ac:dyDescent="0.2">
      <c r="S3391" s="69">
        <f>_xlfn.XLOOKUP(Results!A3391,Geometry!$B$6:$B$10000,Geometry!$C$6:$C$10000)</f>
        <v>0</v>
      </c>
      <c r="T3391" s="69"/>
      <c r="U3391" s="69"/>
    </row>
    <row r="3392" spans="19:21" ht="15" customHeight="1" x14ac:dyDescent="0.2">
      <c r="S3392" s="69">
        <f>_xlfn.XLOOKUP(Results!A3392,Geometry!$B$6:$B$10000,Geometry!$C$6:$C$10000)</f>
        <v>0</v>
      </c>
      <c r="T3392" s="69"/>
      <c r="U3392" s="69"/>
    </row>
    <row r="3393" spans="19:21" ht="15" customHeight="1" x14ac:dyDescent="0.2">
      <c r="S3393" s="69">
        <f>_xlfn.XLOOKUP(Results!A3393,Geometry!$B$6:$B$10000,Geometry!$C$6:$C$10000)</f>
        <v>0</v>
      </c>
      <c r="T3393" s="69"/>
      <c r="U3393" s="69"/>
    </row>
    <row r="3394" spans="19:21" ht="15" customHeight="1" x14ac:dyDescent="0.2">
      <c r="S3394" s="69">
        <f>_xlfn.XLOOKUP(Results!A3394,Geometry!$B$6:$B$10000,Geometry!$C$6:$C$10000)</f>
        <v>0</v>
      </c>
      <c r="T3394" s="69"/>
      <c r="U3394" s="69"/>
    </row>
    <row r="3395" spans="19:21" ht="15" customHeight="1" x14ac:dyDescent="0.2">
      <c r="S3395" s="69">
        <f>_xlfn.XLOOKUP(Results!A3395,Geometry!$B$6:$B$10000,Geometry!$C$6:$C$10000)</f>
        <v>0</v>
      </c>
      <c r="T3395" s="69"/>
      <c r="U3395" s="69"/>
    </row>
    <row r="3396" spans="19:21" ht="15" customHeight="1" x14ac:dyDescent="0.2">
      <c r="S3396" s="69">
        <f>_xlfn.XLOOKUP(Results!A3396,Geometry!$B$6:$B$10000,Geometry!$C$6:$C$10000)</f>
        <v>0</v>
      </c>
      <c r="T3396" s="69"/>
      <c r="U3396" s="69"/>
    </row>
    <row r="3397" spans="19:21" ht="15" customHeight="1" x14ac:dyDescent="0.2">
      <c r="S3397" s="69">
        <f>_xlfn.XLOOKUP(Results!A3397,Geometry!$B$6:$B$10000,Geometry!$C$6:$C$10000)</f>
        <v>0</v>
      </c>
      <c r="T3397" s="69"/>
      <c r="U3397" s="69"/>
    </row>
    <row r="3398" spans="19:21" ht="15" customHeight="1" x14ac:dyDescent="0.2">
      <c r="S3398" s="69">
        <f>_xlfn.XLOOKUP(Results!A3398,Geometry!$B$6:$B$10000,Geometry!$C$6:$C$10000)</f>
        <v>0</v>
      </c>
      <c r="T3398" s="69"/>
      <c r="U3398" s="69"/>
    </row>
    <row r="3399" spans="19:21" ht="15" customHeight="1" x14ac:dyDescent="0.2">
      <c r="S3399" s="69">
        <f>_xlfn.XLOOKUP(Results!A3399,Geometry!$B$6:$B$10000,Geometry!$C$6:$C$10000)</f>
        <v>0</v>
      </c>
      <c r="T3399" s="69"/>
      <c r="U3399" s="69"/>
    </row>
    <row r="3400" spans="19:21" ht="15" customHeight="1" x14ac:dyDescent="0.2">
      <c r="S3400" s="69">
        <f>_xlfn.XLOOKUP(Results!A3400,Geometry!$B$6:$B$10000,Geometry!$C$6:$C$10000)</f>
        <v>0</v>
      </c>
      <c r="T3400" s="69"/>
      <c r="U3400" s="69"/>
    </row>
    <row r="3401" spans="19:21" ht="15" customHeight="1" x14ac:dyDescent="0.2">
      <c r="S3401" s="69">
        <f>_xlfn.XLOOKUP(Results!A3401,Geometry!$B$6:$B$10000,Geometry!$C$6:$C$10000)</f>
        <v>0</v>
      </c>
      <c r="T3401" s="69"/>
      <c r="U3401" s="69"/>
    </row>
    <row r="3402" spans="19:21" ht="15" customHeight="1" x14ac:dyDescent="0.2">
      <c r="S3402" s="69">
        <f>_xlfn.XLOOKUP(Results!A3402,Geometry!$B$6:$B$10000,Geometry!$C$6:$C$10000)</f>
        <v>0</v>
      </c>
      <c r="T3402" s="69"/>
      <c r="U3402" s="69"/>
    </row>
    <row r="3403" spans="19:21" ht="15" customHeight="1" x14ac:dyDescent="0.2">
      <c r="S3403" s="69">
        <f>_xlfn.XLOOKUP(Results!A3403,Geometry!$B$6:$B$10000,Geometry!$C$6:$C$10000)</f>
        <v>0</v>
      </c>
      <c r="T3403" s="69"/>
      <c r="U3403" s="69"/>
    </row>
    <row r="3404" spans="19:21" ht="15" customHeight="1" x14ac:dyDescent="0.2">
      <c r="S3404" s="69">
        <f>_xlfn.XLOOKUP(Results!A3404,Geometry!$B$6:$B$10000,Geometry!$C$6:$C$10000)</f>
        <v>0</v>
      </c>
      <c r="T3404" s="69"/>
      <c r="U3404" s="69"/>
    </row>
    <row r="3405" spans="19:21" ht="15" customHeight="1" x14ac:dyDescent="0.2">
      <c r="S3405" s="69">
        <f>_xlfn.XLOOKUP(Results!A3405,Geometry!$B$6:$B$10000,Geometry!$C$6:$C$10000)</f>
        <v>0</v>
      </c>
      <c r="T3405" s="69"/>
      <c r="U3405" s="69"/>
    </row>
    <row r="3406" spans="19:21" ht="15" customHeight="1" x14ac:dyDescent="0.2">
      <c r="S3406" s="69">
        <f>_xlfn.XLOOKUP(Results!A3406,Geometry!$B$6:$B$10000,Geometry!$C$6:$C$10000)</f>
        <v>0</v>
      </c>
      <c r="T3406" s="69"/>
      <c r="U3406" s="69"/>
    </row>
    <row r="3407" spans="19:21" ht="15" customHeight="1" x14ac:dyDescent="0.2">
      <c r="S3407" s="69">
        <f>_xlfn.XLOOKUP(Results!A3407,Geometry!$B$6:$B$10000,Geometry!$C$6:$C$10000)</f>
        <v>0</v>
      </c>
      <c r="T3407" s="69"/>
      <c r="U3407" s="69"/>
    </row>
    <row r="3408" spans="19:21" ht="15" customHeight="1" x14ac:dyDescent="0.2">
      <c r="S3408" s="69">
        <f>_xlfn.XLOOKUP(Results!A3408,Geometry!$B$6:$B$10000,Geometry!$C$6:$C$10000)</f>
        <v>0</v>
      </c>
      <c r="T3408" s="69"/>
      <c r="U3408" s="69"/>
    </row>
    <row r="3409" spans="19:21" ht="15" customHeight="1" x14ac:dyDescent="0.2">
      <c r="S3409" s="69">
        <f>_xlfn.XLOOKUP(Results!A3409,Geometry!$B$6:$B$10000,Geometry!$C$6:$C$10000)</f>
        <v>0</v>
      </c>
      <c r="T3409" s="69"/>
      <c r="U3409" s="69"/>
    </row>
    <row r="3410" spans="19:21" ht="15" customHeight="1" x14ac:dyDescent="0.2">
      <c r="S3410" s="69">
        <f>_xlfn.XLOOKUP(Results!A3410,Geometry!$B$6:$B$10000,Geometry!$C$6:$C$10000)</f>
        <v>0</v>
      </c>
      <c r="T3410" s="69"/>
      <c r="U3410" s="69"/>
    </row>
    <row r="3411" spans="19:21" ht="15" customHeight="1" x14ac:dyDescent="0.2">
      <c r="S3411" s="69">
        <f>_xlfn.XLOOKUP(Results!A3411,Geometry!$B$6:$B$10000,Geometry!$C$6:$C$10000)</f>
        <v>0</v>
      </c>
      <c r="T3411" s="69"/>
      <c r="U3411" s="69"/>
    </row>
    <row r="3412" spans="19:21" ht="15" customHeight="1" x14ac:dyDescent="0.2">
      <c r="S3412" s="69">
        <f>_xlfn.XLOOKUP(Results!A3412,Geometry!$B$6:$B$10000,Geometry!$C$6:$C$10000)</f>
        <v>0</v>
      </c>
      <c r="T3412" s="69"/>
      <c r="U3412" s="69"/>
    </row>
    <row r="3413" spans="19:21" ht="15" customHeight="1" x14ac:dyDescent="0.2">
      <c r="S3413" s="69">
        <f>_xlfn.XLOOKUP(Results!A3413,Geometry!$B$6:$B$10000,Geometry!$C$6:$C$10000)</f>
        <v>0</v>
      </c>
      <c r="T3413" s="69"/>
      <c r="U3413" s="69"/>
    </row>
    <row r="3414" spans="19:21" ht="15" customHeight="1" x14ac:dyDescent="0.2">
      <c r="S3414" s="69">
        <f>_xlfn.XLOOKUP(Results!A3414,Geometry!$B$6:$B$10000,Geometry!$C$6:$C$10000)</f>
        <v>0</v>
      </c>
      <c r="T3414" s="69"/>
      <c r="U3414" s="69"/>
    </row>
    <row r="3415" spans="19:21" ht="15" customHeight="1" x14ac:dyDescent="0.2">
      <c r="S3415" s="69">
        <f>_xlfn.XLOOKUP(Results!A3415,Geometry!$B$6:$B$10000,Geometry!$C$6:$C$10000)</f>
        <v>0</v>
      </c>
      <c r="T3415" s="69"/>
      <c r="U3415" s="69"/>
    </row>
    <row r="3416" spans="19:21" ht="15" customHeight="1" x14ac:dyDescent="0.2">
      <c r="S3416" s="69">
        <f>_xlfn.XLOOKUP(Results!A3416,Geometry!$B$6:$B$10000,Geometry!$C$6:$C$10000)</f>
        <v>0</v>
      </c>
      <c r="T3416" s="69"/>
      <c r="U3416" s="69"/>
    </row>
    <row r="3417" spans="19:21" ht="15" customHeight="1" x14ac:dyDescent="0.2">
      <c r="S3417" s="69">
        <f>_xlfn.XLOOKUP(Results!A3417,Geometry!$B$6:$B$10000,Geometry!$C$6:$C$10000)</f>
        <v>0</v>
      </c>
      <c r="T3417" s="69"/>
      <c r="U3417" s="69"/>
    </row>
    <row r="3418" spans="19:21" ht="15" customHeight="1" x14ac:dyDescent="0.2">
      <c r="S3418" s="69">
        <f>_xlfn.XLOOKUP(Results!A3418,Geometry!$B$6:$B$10000,Geometry!$C$6:$C$10000)</f>
        <v>0</v>
      </c>
      <c r="T3418" s="69"/>
      <c r="U3418" s="69"/>
    </row>
    <row r="3419" spans="19:21" ht="15" customHeight="1" x14ac:dyDescent="0.2">
      <c r="S3419" s="69">
        <f>_xlfn.XLOOKUP(Results!A3419,Geometry!$B$6:$B$10000,Geometry!$C$6:$C$10000)</f>
        <v>0</v>
      </c>
      <c r="T3419" s="69"/>
      <c r="U3419" s="69"/>
    </row>
    <row r="3420" spans="19:21" ht="15" customHeight="1" x14ac:dyDescent="0.2">
      <c r="S3420" s="69">
        <f>_xlfn.XLOOKUP(Results!A3420,Geometry!$B$6:$B$10000,Geometry!$C$6:$C$10000)</f>
        <v>0</v>
      </c>
      <c r="T3420" s="69"/>
      <c r="U3420" s="69"/>
    </row>
    <row r="3421" spans="19:21" ht="15" customHeight="1" x14ac:dyDescent="0.2">
      <c r="S3421" s="69">
        <f>_xlfn.XLOOKUP(Results!A3421,Geometry!$B$6:$B$10000,Geometry!$C$6:$C$10000)</f>
        <v>0</v>
      </c>
      <c r="T3421" s="69"/>
      <c r="U3421" s="69"/>
    </row>
    <row r="3422" spans="19:21" ht="15" customHeight="1" x14ac:dyDescent="0.2">
      <c r="S3422" s="69">
        <f>_xlfn.XLOOKUP(Results!A3422,Geometry!$B$6:$B$10000,Geometry!$C$6:$C$10000)</f>
        <v>0</v>
      </c>
      <c r="T3422" s="69"/>
      <c r="U3422" s="69"/>
    </row>
    <row r="3423" spans="19:21" ht="15" customHeight="1" x14ac:dyDescent="0.2">
      <c r="S3423" s="69">
        <f>_xlfn.XLOOKUP(Results!A3423,Geometry!$B$6:$B$10000,Geometry!$C$6:$C$10000)</f>
        <v>0</v>
      </c>
      <c r="T3423" s="69"/>
      <c r="U3423" s="69"/>
    </row>
    <row r="3424" spans="19:21" ht="15" customHeight="1" x14ac:dyDescent="0.2">
      <c r="S3424" s="69">
        <f>_xlfn.XLOOKUP(Results!A3424,Geometry!$B$6:$B$10000,Geometry!$C$6:$C$10000)</f>
        <v>0</v>
      </c>
      <c r="T3424" s="69"/>
      <c r="U3424" s="69"/>
    </row>
    <row r="3425" spans="19:21" ht="15" customHeight="1" x14ac:dyDescent="0.2">
      <c r="S3425" s="69">
        <f>_xlfn.XLOOKUP(Results!A3425,Geometry!$B$6:$B$10000,Geometry!$C$6:$C$10000)</f>
        <v>0</v>
      </c>
      <c r="T3425" s="69"/>
      <c r="U3425" s="69"/>
    </row>
    <row r="3426" spans="19:21" ht="15" customHeight="1" x14ac:dyDescent="0.2">
      <c r="S3426" s="69">
        <f>_xlfn.XLOOKUP(Results!A3426,Geometry!$B$6:$B$10000,Geometry!$C$6:$C$10000)</f>
        <v>0</v>
      </c>
      <c r="T3426" s="69"/>
      <c r="U3426" s="69"/>
    </row>
    <row r="3427" spans="19:21" ht="15" customHeight="1" x14ac:dyDescent="0.2">
      <c r="S3427" s="69">
        <f>_xlfn.XLOOKUP(Results!A3427,Geometry!$B$6:$B$10000,Geometry!$C$6:$C$10000)</f>
        <v>0</v>
      </c>
      <c r="T3427" s="69"/>
      <c r="U3427" s="69"/>
    </row>
    <row r="3428" spans="19:21" ht="15" customHeight="1" x14ac:dyDescent="0.2">
      <c r="S3428" s="69">
        <f>_xlfn.XLOOKUP(Results!A3428,Geometry!$B$6:$B$10000,Geometry!$C$6:$C$10000)</f>
        <v>0</v>
      </c>
      <c r="T3428" s="69"/>
      <c r="U3428" s="69"/>
    </row>
    <row r="3429" spans="19:21" ht="15" customHeight="1" x14ac:dyDescent="0.2">
      <c r="S3429" s="69">
        <f>_xlfn.XLOOKUP(Results!A3429,Geometry!$B$6:$B$10000,Geometry!$C$6:$C$10000)</f>
        <v>0</v>
      </c>
      <c r="T3429" s="69"/>
      <c r="U3429" s="69"/>
    </row>
    <row r="3430" spans="19:21" ht="15" customHeight="1" x14ac:dyDescent="0.2">
      <c r="S3430" s="69">
        <f>_xlfn.XLOOKUP(Results!A3430,Geometry!$B$6:$B$10000,Geometry!$C$6:$C$10000)</f>
        <v>0</v>
      </c>
      <c r="T3430" s="69"/>
      <c r="U3430" s="69"/>
    </row>
    <row r="3431" spans="19:21" ht="15" customHeight="1" x14ac:dyDescent="0.2">
      <c r="S3431" s="69">
        <f>_xlfn.XLOOKUP(Results!A3431,Geometry!$B$6:$B$10000,Geometry!$C$6:$C$10000)</f>
        <v>0</v>
      </c>
      <c r="T3431" s="69"/>
      <c r="U3431" s="69"/>
    </row>
    <row r="3432" spans="19:21" ht="15" customHeight="1" x14ac:dyDescent="0.2">
      <c r="S3432" s="69">
        <f>_xlfn.XLOOKUP(Results!A3432,Geometry!$B$6:$B$10000,Geometry!$C$6:$C$10000)</f>
        <v>0</v>
      </c>
      <c r="T3432" s="69"/>
      <c r="U3432" s="69"/>
    </row>
    <row r="3433" spans="19:21" ht="15" customHeight="1" x14ac:dyDescent="0.2">
      <c r="S3433" s="69">
        <f>_xlfn.XLOOKUP(Results!A3433,Geometry!$B$6:$B$10000,Geometry!$C$6:$C$10000)</f>
        <v>0</v>
      </c>
      <c r="T3433" s="69"/>
      <c r="U3433" s="69"/>
    </row>
    <row r="3434" spans="19:21" ht="15" customHeight="1" x14ac:dyDescent="0.2">
      <c r="S3434" s="69">
        <f>_xlfn.XLOOKUP(Results!A3434,Geometry!$B$6:$B$10000,Geometry!$C$6:$C$10000)</f>
        <v>0</v>
      </c>
      <c r="T3434" s="69"/>
      <c r="U3434" s="69"/>
    </row>
    <row r="3435" spans="19:21" ht="15" customHeight="1" x14ac:dyDescent="0.2">
      <c r="S3435" s="69">
        <f>_xlfn.XLOOKUP(Results!A3435,Geometry!$B$6:$B$10000,Geometry!$C$6:$C$10000)</f>
        <v>0</v>
      </c>
      <c r="T3435" s="69"/>
      <c r="U3435" s="69"/>
    </row>
    <row r="3436" spans="19:21" ht="15" customHeight="1" x14ac:dyDescent="0.2">
      <c r="S3436" s="69">
        <f>_xlfn.XLOOKUP(Results!A3436,Geometry!$B$6:$B$10000,Geometry!$C$6:$C$10000)</f>
        <v>0</v>
      </c>
      <c r="T3436" s="69"/>
      <c r="U3436" s="69"/>
    </row>
    <row r="3437" spans="19:21" ht="15" customHeight="1" x14ac:dyDescent="0.2">
      <c r="S3437" s="69">
        <f>_xlfn.XLOOKUP(Results!A3437,Geometry!$B$6:$B$10000,Geometry!$C$6:$C$10000)</f>
        <v>0</v>
      </c>
      <c r="T3437" s="69"/>
      <c r="U3437" s="69"/>
    </row>
    <row r="3438" spans="19:21" ht="15" customHeight="1" x14ac:dyDescent="0.2">
      <c r="S3438" s="69">
        <f>_xlfn.XLOOKUP(Results!A3438,Geometry!$B$6:$B$10000,Geometry!$C$6:$C$10000)</f>
        <v>0</v>
      </c>
      <c r="T3438" s="69"/>
      <c r="U3438" s="69"/>
    </row>
    <row r="3439" spans="19:21" ht="15" customHeight="1" x14ac:dyDescent="0.2">
      <c r="S3439" s="69">
        <f>_xlfn.XLOOKUP(Results!A3439,Geometry!$B$6:$B$10000,Geometry!$C$6:$C$10000)</f>
        <v>0</v>
      </c>
      <c r="T3439" s="69"/>
      <c r="U3439" s="69"/>
    </row>
    <row r="3440" spans="19:21" ht="15" customHeight="1" x14ac:dyDescent="0.2">
      <c r="S3440" s="69">
        <f>_xlfn.XLOOKUP(Results!A3440,Geometry!$B$6:$B$10000,Geometry!$C$6:$C$10000)</f>
        <v>0</v>
      </c>
      <c r="T3440" s="69"/>
      <c r="U3440" s="69"/>
    </row>
    <row r="3441" spans="19:21" ht="15" customHeight="1" x14ac:dyDescent="0.2">
      <c r="S3441" s="69">
        <f>_xlfn.XLOOKUP(Results!A3441,Geometry!$B$6:$B$10000,Geometry!$C$6:$C$10000)</f>
        <v>0</v>
      </c>
      <c r="T3441" s="69"/>
      <c r="U3441" s="69"/>
    </row>
    <row r="3442" spans="19:21" ht="15" customHeight="1" x14ac:dyDescent="0.2">
      <c r="S3442" s="69">
        <f>_xlfn.XLOOKUP(Results!A3442,Geometry!$B$6:$B$10000,Geometry!$C$6:$C$10000)</f>
        <v>0</v>
      </c>
      <c r="T3442" s="69"/>
      <c r="U3442" s="69"/>
    </row>
    <row r="3443" spans="19:21" ht="15" customHeight="1" x14ac:dyDescent="0.2">
      <c r="S3443" s="69">
        <f>_xlfn.XLOOKUP(Results!A3443,Geometry!$B$6:$B$10000,Geometry!$C$6:$C$10000)</f>
        <v>0</v>
      </c>
      <c r="T3443" s="69"/>
      <c r="U3443" s="69"/>
    </row>
    <row r="3444" spans="19:21" ht="15" customHeight="1" x14ac:dyDescent="0.2">
      <c r="S3444" s="69">
        <f>_xlfn.XLOOKUP(Results!A3444,Geometry!$B$6:$B$10000,Geometry!$C$6:$C$10000)</f>
        <v>0</v>
      </c>
      <c r="T3444" s="69"/>
      <c r="U3444" s="69"/>
    </row>
    <row r="3445" spans="19:21" ht="15" customHeight="1" x14ac:dyDescent="0.2">
      <c r="S3445" s="69">
        <f>_xlfn.XLOOKUP(Results!A3445,Geometry!$B$6:$B$10000,Geometry!$C$6:$C$10000)</f>
        <v>0</v>
      </c>
      <c r="T3445" s="69"/>
      <c r="U3445" s="69"/>
    </row>
    <row r="3446" spans="19:21" ht="15" customHeight="1" x14ac:dyDescent="0.2">
      <c r="S3446" s="69">
        <f>_xlfn.XLOOKUP(Results!A3446,Geometry!$B$6:$B$10000,Geometry!$C$6:$C$10000)</f>
        <v>0</v>
      </c>
      <c r="T3446" s="69"/>
      <c r="U3446" s="69"/>
    </row>
    <row r="3447" spans="19:21" ht="15" customHeight="1" x14ac:dyDescent="0.2">
      <c r="S3447" s="69">
        <f>_xlfn.XLOOKUP(Results!A3447,Geometry!$B$6:$B$10000,Geometry!$C$6:$C$10000)</f>
        <v>0</v>
      </c>
      <c r="T3447" s="69"/>
      <c r="U3447" s="69"/>
    </row>
    <row r="3448" spans="19:21" ht="15" customHeight="1" x14ac:dyDescent="0.2">
      <c r="S3448" s="69">
        <f>_xlfn.XLOOKUP(Results!A3448,Geometry!$B$6:$B$10000,Geometry!$C$6:$C$10000)</f>
        <v>0</v>
      </c>
      <c r="T3448" s="69"/>
      <c r="U3448" s="69"/>
    </row>
    <row r="3449" spans="19:21" ht="15" customHeight="1" x14ac:dyDescent="0.2">
      <c r="S3449" s="69">
        <f>_xlfn.XLOOKUP(Results!A3449,Geometry!$B$6:$B$10000,Geometry!$C$6:$C$10000)</f>
        <v>0</v>
      </c>
      <c r="T3449" s="69"/>
      <c r="U3449" s="69"/>
    </row>
    <row r="3450" spans="19:21" ht="15" customHeight="1" x14ac:dyDescent="0.2">
      <c r="S3450" s="69">
        <f>_xlfn.XLOOKUP(Results!A3450,Geometry!$B$6:$B$10000,Geometry!$C$6:$C$10000)</f>
        <v>0</v>
      </c>
      <c r="T3450" s="69"/>
      <c r="U3450" s="69"/>
    </row>
    <row r="3451" spans="19:21" ht="15" customHeight="1" x14ac:dyDescent="0.2">
      <c r="S3451" s="69">
        <f>_xlfn.XLOOKUP(Results!A3451,Geometry!$B$6:$B$10000,Geometry!$C$6:$C$10000)</f>
        <v>0</v>
      </c>
      <c r="T3451" s="69"/>
      <c r="U3451" s="69"/>
    </row>
    <row r="3452" spans="19:21" ht="15" customHeight="1" x14ac:dyDescent="0.2">
      <c r="S3452" s="69">
        <f>_xlfn.XLOOKUP(Results!A3452,Geometry!$B$6:$B$10000,Geometry!$C$6:$C$10000)</f>
        <v>0</v>
      </c>
      <c r="T3452" s="69"/>
      <c r="U3452" s="69"/>
    </row>
    <row r="3453" spans="19:21" ht="15" customHeight="1" x14ac:dyDescent="0.2">
      <c r="S3453" s="69">
        <f>_xlfn.XLOOKUP(Results!A3453,Geometry!$B$6:$B$10000,Geometry!$C$6:$C$10000)</f>
        <v>0</v>
      </c>
      <c r="T3453" s="69"/>
      <c r="U3453" s="69"/>
    </row>
    <row r="3454" spans="19:21" ht="15" customHeight="1" x14ac:dyDescent="0.2">
      <c r="S3454" s="69">
        <f>_xlfn.XLOOKUP(Results!A3454,Geometry!$B$6:$B$10000,Geometry!$C$6:$C$10000)</f>
        <v>0</v>
      </c>
      <c r="T3454" s="69"/>
      <c r="U3454" s="69"/>
    </row>
    <row r="3455" spans="19:21" ht="15" customHeight="1" x14ac:dyDescent="0.2">
      <c r="S3455" s="69">
        <f>_xlfn.XLOOKUP(Results!A3455,Geometry!$B$6:$B$10000,Geometry!$C$6:$C$10000)</f>
        <v>0</v>
      </c>
      <c r="T3455" s="69"/>
      <c r="U3455" s="69"/>
    </row>
    <row r="3456" spans="19:21" ht="15" customHeight="1" x14ac:dyDescent="0.2">
      <c r="S3456" s="69">
        <f>_xlfn.XLOOKUP(Results!A3456,Geometry!$B$6:$B$10000,Geometry!$C$6:$C$10000)</f>
        <v>0</v>
      </c>
      <c r="T3456" s="69"/>
      <c r="U3456" s="69"/>
    </row>
    <row r="3457" spans="19:21" ht="15" customHeight="1" x14ac:dyDescent="0.2">
      <c r="S3457" s="69">
        <f>_xlfn.XLOOKUP(Results!A3457,Geometry!$B$6:$B$10000,Geometry!$C$6:$C$10000)</f>
        <v>0</v>
      </c>
      <c r="T3457" s="69"/>
      <c r="U3457" s="69"/>
    </row>
    <row r="3458" spans="19:21" ht="15" customHeight="1" x14ac:dyDescent="0.2">
      <c r="S3458" s="69">
        <f>_xlfn.XLOOKUP(Results!A3458,Geometry!$B$6:$B$10000,Geometry!$C$6:$C$10000)</f>
        <v>0</v>
      </c>
      <c r="T3458" s="69"/>
      <c r="U3458" s="69"/>
    </row>
    <row r="3459" spans="19:21" ht="15" customHeight="1" x14ac:dyDescent="0.2">
      <c r="S3459" s="69">
        <f>_xlfn.XLOOKUP(Results!A3459,Geometry!$B$6:$B$10000,Geometry!$C$6:$C$10000)</f>
        <v>0</v>
      </c>
      <c r="T3459" s="69"/>
      <c r="U3459" s="69"/>
    </row>
    <row r="3460" spans="19:21" ht="15" customHeight="1" x14ac:dyDescent="0.2">
      <c r="S3460" s="69">
        <f>_xlfn.XLOOKUP(Results!A3460,Geometry!$B$6:$B$10000,Geometry!$C$6:$C$10000)</f>
        <v>0</v>
      </c>
      <c r="T3460" s="69"/>
      <c r="U3460" s="69"/>
    </row>
    <row r="3461" spans="19:21" ht="15" customHeight="1" x14ac:dyDescent="0.2">
      <c r="S3461" s="69">
        <f>_xlfn.XLOOKUP(Results!A3461,Geometry!$B$6:$B$10000,Geometry!$C$6:$C$10000)</f>
        <v>0</v>
      </c>
      <c r="T3461" s="69"/>
      <c r="U3461" s="69"/>
    </row>
    <row r="3462" spans="19:21" ht="15" customHeight="1" x14ac:dyDescent="0.2">
      <c r="S3462" s="69">
        <f>_xlfn.XLOOKUP(Results!A3462,Geometry!$B$6:$B$10000,Geometry!$C$6:$C$10000)</f>
        <v>0</v>
      </c>
      <c r="T3462" s="69"/>
      <c r="U3462" s="69"/>
    </row>
    <row r="3463" spans="19:21" ht="15" customHeight="1" x14ac:dyDescent="0.2">
      <c r="S3463" s="69">
        <f>_xlfn.XLOOKUP(Results!A3463,Geometry!$B$6:$B$10000,Geometry!$C$6:$C$10000)</f>
        <v>0</v>
      </c>
      <c r="T3463" s="69"/>
      <c r="U3463" s="69"/>
    </row>
    <row r="3464" spans="19:21" ht="15" customHeight="1" x14ac:dyDescent="0.2">
      <c r="S3464" s="69">
        <f>_xlfn.XLOOKUP(Results!A3464,Geometry!$B$6:$B$10000,Geometry!$C$6:$C$10000)</f>
        <v>0</v>
      </c>
      <c r="T3464" s="69"/>
      <c r="U3464" s="69"/>
    </row>
    <row r="3465" spans="19:21" ht="15" customHeight="1" x14ac:dyDescent="0.2">
      <c r="S3465" s="69">
        <f>_xlfn.XLOOKUP(Results!A3465,Geometry!$B$6:$B$10000,Geometry!$C$6:$C$10000)</f>
        <v>0</v>
      </c>
      <c r="T3465" s="69"/>
      <c r="U3465" s="69"/>
    </row>
    <row r="3466" spans="19:21" ht="15" customHeight="1" x14ac:dyDescent="0.2">
      <c r="S3466" s="69">
        <f>_xlfn.XLOOKUP(Results!A3466,Geometry!$B$6:$B$10000,Geometry!$C$6:$C$10000)</f>
        <v>0</v>
      </c>
      <c r="T3466" s="69"/>
      <c r="U3466" s="69"/>
    </row>
    <row r="3467" spans="19:21" ht="15" customHeight="1" x14ac:dyDescent="0.2">
      <c r="S3467" s="69">
        <f>_xlfn.XLOOKUP(Results!A3467,Geometry!$B$6:$B$10000,Geometry!$C$6:$C$10000)</f>
        <v>0</v>
      </c>
      <c r="T3467" s="69"/>
      <c r="U3467" s="69"/>
    </row>
    <row r="3468" spans="19:21" ht="15" customHeight="1" x14ac:dyDescent="0.2">
      <c r="S3468" s="69">
        <f>_xlfn.XLOOKUP(Results!A3468,Geometry!$B$6:$B$10000,Geometry!$C$6:$C$10000)</f>
        <v>0</v>
      </c>
      <c r="T3468" s="69"/>
      <c r="U3468" s="69"/>
    </row>
    <row r="3469" spans="19:21" ht="15" customHeight="1" x14ac:dyDescent="0.2">
      <c r="S3469" s="69">
        <f>_xlfn.XLOOKUP(Results!A3469,Geometry!$B$6:$B$10000,Geometry!$C$6:$C$10000)</f>
        <v>0</v>
      </c>
      <c r="T3469" s="69"/>
      <c r="U3469" s="69"/>
    </row>
    <row r="3470" spans="19:21" ht="15" customHeight="1" x14ac:dyDescent="0.2">
      <c r="S3470" s="69">
        <f>_xlfn.XLOOKUP(Results!A3470,Geometry!$B$6:$B$10000,Geometry!$C$6:$C$10000)</f>
        <v>0</v>
      </c>
      <c r="T3470" s="69"/>
      <c r="U3470" s="69"/>
    </row>
    <row r="3471" spans="19:21" ht="15" customHeight="1" x14ac:dyDescent="0.2">
      <c r="S3471" s="69">
        <f>_xlfn.XLOOKUP(Results!A3471,Geometry!$B$6:$B$10000,Geometry!$C$6:$C$10000)</f>
        <v>0</v>
      </c>
      <c r="T3471" s="69"/>
      <c r="U3471" s="69"/>
    </row>
    <row r="3472" spans="19:21" ht="15" customHeight="1" x14ac:dyDescent="0.2">
      <c r="S3472" s="69">
        <f>_xlfn.XLOOKUP(Results!A3472,Geometry!$B$6:$B$10000,Geometry!$C$6:$C$10000)</f>
        <v>0</v>
      </c>
      <c r="T3472" s="69"/>
      <c r="U3472" s="69"/>
    </row>
    <row r="3473" spans="19:21" ht="15" customHeight="1" x14ac:dyDescent="0.2">
      <c r="S3473" s="69">
        <f>_xlfn.XLOOKUP(Results!A3473,Geometry!$B$6:$B$10000,Geometry!$C$6:$C$10000)</f>
        <v>0</v>
      </c>
      <c r="T3473" s="69"/>
      <c r="U3473" s="69"/>
    </row>
    <row r="3474" spans="19:21" ht="15" customHeight="1" x14ac:dyDescent="0.2">
      <c r="S3474" s="69">
        <f>_xlfn.XLOOKUP(Results!A3474,Geometry!$B$6:$B$10000,Geometry!$C$6:$C$10000)</f>
        <v>0</v>
      </c>
      <c r="T3474" s="69"/>
      <c r="U3474" s="69"/>
    </row>
    <row r="3475" spans="19:21" ht="15" customHeight="1" x14ac:dyDescent="0.2">
      <c r="S3475" s="69">
        <f>_xlfn.XLOOKUP(Results!A3475,Geometry!$B$6:$B$10000,Geometry!$C$6:$C$10000)</f>
        <v>0</v>
      </c>
      <c r="T3475" s="69"/>
      <c r="U3475" s="69"/>
    </row>
    <row r="3476" spans="19:21" ht="15" customHeight="1" x14ac:dyDescent="0.2">
      <c r="S3476" s="69">
        <f>_xlfn.XLOOKUP(Results!A3476,Geometry!$B$6:$B$10000,Geometry!$C$6:$C$10000)</f>
        <v>0</v>
      </c>
      <c r="T3476" s="69"/>
      <c r="U3476" s="69"/>
    </row>
    <row r="3477" spans="19:21" ht="15" customHeight="1" x14ac:dyDescent="0.2">
      <c r="S3477" s="69">
        <f>_xlfn.XLOOKUP(Results!A3477,Geometry!$B$6:$B$10000,Geometry!$C$6:$C$10000)</f>
        <v>0</v>
      </c>
      <c r="T3477" s="69"/>
      <c r="U3477" s="69"/>
    </row>
    <row r="3478" spans="19:21" ht="15" customHeight="1" x14ac:dyDescent="0.2">
      <c r="S3478" s="69">
        <f>_xlfn.XLOOKUP(Results!A3478,Geometry!$B$6:$B$10000,Geometry!$C$6:$C$10000)</f>
        <v>0</v>
      </c>
      <c r="T3478" s="69"/>
      <c r="U3478" s="69"/>
    </row>
    <row r="3479" spans="19:21" ht="15" customHeight="1" x14ac:dyDescent="0.2">
      <c r="S3479" s="69">
        <f>_xlfn.XLOOKUP(Results!A3479,Geometry!$B$6:$B$10000,Geometry!$C$6:$C$10000)</f>
        <v>0</v>
      </c>
      <c r="T3479" s="69"/>
      <c r="U3479" s="69"/>
    </row>
    <row r="3480" spans="19:21" ht="15" customHeight="1" x14ac:dyDescent="0.2">
      <c r="S3480" s="69">
        <f>_xlfn.XLOOKUP(Results!A3480,Geometry!$B$6:$B$10000,Geometry!$C$6:$C$10000)</f>
        <v>0</v>
      </c>
      <c r="T3480" s="69"/>
      <c r="U3480" s="69"/>
    </row>
    <row r="3481" spans="19:21" ht="15" customHeight="1" x14ac:dyDescent="0.2">
      <c r="S3481" s="69">
        <f>_xlfn.XLOOKUP(Results!A3481,Geometry!$B$6:$B$10000,Geometry!$C$6:$C$10000)</f>
        <v>0</v>
      </c>
      <c r="T3481" s="69"/>
      <c r="U3481" s="69"/>
    </row>
    <row r="3482" spans="19:21" ht="15" customHeight="1" x14ac:dyDescent="0.2">
      <c r="S3482" s="69">
        <f>_xlfn.XLOOKUP(Results!A3482,Geometry!$B$6:$B$10000,Geometry!$C$6:$C$10000)</f>
        <v>0</v>
      </c>
      <c r="T3482" s="69"/>
      <c r="U3482" s="69"/>
    </row>
    <row r="3483" spans="19:21" ht="15" customHeight="1" x14ac:dyDescent="0.2">
      <c r="S3483" s="69">
        <f>_xlfn.XLOOKUP(Results!A3483,Geometry!$B$6:$B$10000,Geometry!$C$6:$C$10000)</f>
        <v>0</v>
      </c>
      <c r="T3483" s="69"/>
      <c r="U3483" s="69"/>
    </row>
    <row r="3484" spans="19:21" ht="15" customHeight="1" x14ac:dyDescent="0.2">
      <c r="S3484" s="69">
        <f>_xlfn.XLOOKUP(Results!A3484,Geometry!$B$6:$B$10000,Geometry!$C$6:$C$10000)</f>
        <v>0</v>
      </c>
      <c r="T3484" s="69"/>
      <c r="U3484" s="69"/>
    </row>
    <row r="3485" spans="19:21" ht="15" customHeight="1" x14ac:dyDescent="0.2">
      <c r="S3485" s="69">
        <f>_xlfn.XLOOKUP(Results!A3485,Geometry!$B$6:$B$10000,Geometry!$C$6:$C$10000)</f>
        <v>0</v>
      </c>
      <c r="T3485" s="69"/>
      <c r="U3485" s="69"/>
    </row>
    <row r="3486" spans="19:21" ht="15" customHeight="1" x14ac:dyDescent="0.2">
      <c r="S3486" s="69">
        <f>_xlfn.XLOOKUP(Results!A3486,Geometry!$B$6:$B$10000,Geometry!$C$6:$C$10000)</f>
        <v>0</v>
      </c>
      <c r="T3486" s="69"/>
      <c r="U3486" s="69"/>
    </row>
    <row r="3487" spans="19:21" ht="15" customHeight="1" x14ac:dyDescent="0.2">
      <c r="S3487" s="69">
        <f>_xlfn.XLOOKUP(Results!A3487,Geometry!$B$6:$B$10000,Geometry!$C$6:$C$10000)</f>
        <v>0</v>
      </c>
      <c r="T3487" s="69"/>
      <c r="U3487" s="69"/>
    </row>
    <row r="3488" spans="19:21" ht="15" customHeight="1" x14ac:dyDescent="0.2">
      <c r="S3488" s="69">
        <f>_xlfn.XLOOKUP(Results!A3488,Geometry!$B$6:$B$10000,Geometry!$C$6:$C$10000)</f>
        <v>0</v>
      </c>
      <c r="T3488" s="69"/>
      <c r="U3488" s="69"/>
    </row>
    <row r="3489" spans="19:21" ht="15" customHeight="1" x14ac:dyDescent="0.2">
      <c r="S3489" s="69">
        <f>_xlfn.XLOOKUP(Results!A3489,Geometry!$B$6:$B$10000,Geometry!$C$6:$C$10000)</f>
        <v>0</v>
      </c>
      <c r="T3489" s="69"/>
      <c r="U3489" s="69"/>
    </row>
    <row r="3490" spans="19:21" ht="15" customHeight="1" x14ac:dyDescent="0.2">
      <c r="S3490" s="69">
        <f>_xlfn.XLOOKUP(Results!A3490,Geometry!$B$6:$B$10000,Geometry!$C$6:$C$10000)</f>
        <v>0</v>
      </c>
      <c r="T3490" s="69"/>
      <c r="U3490" s="69"/>
    </row>
    <row r="3491" spans="19:21" ht="15" customHeight="1" x14ac:dyDescent="0.2">
      <c r="S3491" s="69">
        <f>_xlfn.XLOOKUP(Results!A3491,Geometry!$B$6:$B$10000,Geometry!$C$6:$C$10000)</f>
        <v>0</v>
      </c>
      <c r="T3491" s="69"/>
      <c r="U3491" s="69"/>
    </row>
    <row r="3492" spans="19:21" ht="15" customHeight="1" x14ac:dyDescent="0.2">
      <c r="S3492" s="69">
        <f>_xlfn.XLOOKUP(Results!A3492,Geometry!$B$6:$B$10000,Geometry!$C$6:$C$10000)</f>
        <v>0</v>
      </c>
      <c r="T3492" s="69"/>
      <c r="U3492" s="69"/>
    </row>
    <row r="3493" spans="19:21" ht="15" customHeight="1" x14ac:dyDescent="0.2">
      <c r="S3493" s="69">
        <f>_xlfn.XLOOKUP(Results!A3493,Geometry!$B$6:$B$10000,Geometry!$C$6:$C$10000)</f>
        <v>0</v>
      </c>
      <c r="T3493" s="69"/>
      <c r="U3493" s="69"/>
    </row>
    <row r="3494" spans="19:21" ht="15" customHeight="1" x14ac:dyDescent="0.2">
      <c r="S3494" s="69">
        <f>_xlfn.XLOOKUP(Results!A3494,Geometry!$B$6:$B$10000,Geometry!$C$6:$C$10000)</f>
        <v>0</v>
      </c>
      <c r="T3494" s="69"/>
      <c r="U3494" s="69"/>
    </row>
    <row r="3495" spans="19:21" ht="15" customHeight="1" x14ac:dyDescent="0.2">
      <c r="S3495" s="69">
        <f>_xlfn.XLOOKUP(Results!A3495,Geometry!$B$6:$B$10000,Geometry!$C$6:$C$10000)</f>
        <v>0</v>
      </c>
      <c r="T3495" s="69"/>
      <c r="U3495" s="69"/>
    </row>
    <row r="3496" spans="19:21" ht="15" customHeight="1" x14ac:dyDescent="0.2">
      <c r="S3496" s="69">
        <f>_xlfn.XLOOKUP(Results!A3496,Geometry!$B$6:$B$10000,Geometry!$C$6:$C$10000)</f>
        <v>0</v>
      </c>
      <c r="T3496" s="69"/>
      <c r="U3496" s="69"/>
    </row>
    <row r="3497" spans="19:21" ht="15" customHeight="1" x14ac:dyDescent="0.2">
      <c r="S3497" s="69">
        <f>_xlfn.XLOOKUP(Results!A3497,Geometry!$B$6:$B$10000,Geometry!$C$6:$C$10000)</f>
        <v>0</v>
      </c>
      <c r="T3497" s="69"/>
      <c r="U3497" s="69"/>
    </row>
    <row r="3498" spans="19:21" ht="15" customHeight="1" x14ac:dyDescent="0.2">
      <c r="S3498" s="69">
        <f>_xlfn.XLOOKUP(Results!A3498,Geometry!$B$6:$B$10000,Geometry!$C$6:$C$10000)</f>
        <v>0</v>
      </c>
      <c r="T3498" s="69"/>
      <c r="U3498" s="69"/>
    </row>
    <row r="3499" spans="19:21" ht="15" customHeight="1" x14ac:dyDescent="0.2">
      <c r="S3499" s="69">
        <f>_xlfn.XLOOKUP(Results!A3499,Geometry!$B$6:$B$10000,Geometry!$C$6:$C$10000)</f>
        <v>0</v>
      </c>
      <c r="T3499" s="69"/>
      <c r="U3499" s="69"/>
    </row>
    <row r="3500" spans="19:21" ht="15" customHeight="1" x14ac:dyDescent="0.2">
      <c r="S3500" s="69">
        <f>_xlfn.XLOOKUP(Results!A3500,Geometry!$B$6:$B$10000,Geometry!$C$6:$C$10000)</f>
        <v>0</v>
      </c>
      <c r="T3500" s="69"/>
      <c r="U3500" s="69"/>
    </row>
    <row r="3501" spans="19:21" ht="15" customHeight="1" x14ac:dyDescent="0.2">
      <c r="S3501" s="69">
        <f>_xlfn.XLOOKUP(Results!A3501,Geometry!$B$6:$B$10000,Geometry!$C$6:$C$10000)</f>
        <v>0</v>
      </c>
      <c r="T3501" s="69"/>
      <c r="U3501" s="69"/>
    </row>
    <row r="3502" spans="19:21" ht="15" customHeight="1" x14ac:dyDescent="0.2">
      <c r="S3502" s="69">
        <f>_xlfn.XLOOKUP(Results!A3502,Geometry!$B$6:$B$10000,Geometry!$C$6:$C$10000)</f>
        <v>0</v>
      </c>
      <c r="T3502" s="69"/>
      <c r="U3502" s="69"/>
    </row>
    <row r="3503" spans="19:21" ht="15" customHeight="1" x14ac:dyDescent="0.2">
      <c r="S3503" s="69">
        <f>_xlfn.XLOOKUP(Results!A3503,Geometry!$B$6:$B$10000,Geometry!$C$6:$C$10000)</f>
        <v>0</v>
      </c>
      <c r="T3503" s="69"/>
      <c r="U3503" s="69"/>
    </row>
    <row r="3504" spans="19:21" ht="15" customHeight="1" x14ac:dyDescent="0.2">
      <c r="S3504" s="69">
        <f>_xlfn.XLOOKUP(Results!A3504,Geometry!$B$6:$B$10000,Geometry!$C$6:$C$10000)</f>
        <v>0</v>
      </c>
      <c r="T3504" s="69"/>
      <c r="U3504" s="69"/>
    </row>
    <row r="3505" spans="19:21" ht="15" customHeight="1" x14ac:dyDescent="0.2">
      <c r="S3505" s="69">
        <f>_xlfn.XLOOKUP(Results!A3505,Geometry!$B$6:$B$10000,Geometry!$C$6:$C$10000)</f>
        <v>0</v>
      </c>
      <c r="T3505" s="69"/>
      <c r="U3505" s="69"/>
    </row>
    <row r="3506" spans="19:21" ht="15" customHeight="1" x14ac:dyDescent="0.2">
      <c r="S3506" s="69">
        <f>_xlfn.XLOOKUP(Results!A3506,Geometry!$B$6:$B$10000,Geometry!$C$6:$C$10000)</f>
        <v>0</v>
      </c>
      <c r="T3506" s="69"/>
      <c r="U3506" s="69"/>
    </row>
    <row r="3507" spans="19:21" ht="15" customHeight="1" x14ac:dyDescent="0.2">
      <c r="S3507" s="69">
        <f>_xlfn.XLOOKUP(Results!A3507,Geometry!$B$6:$B$10000,Geometry!$C$6:$C$10000)</f>
        <v>0</v>
      </c>
      <c r="T3507" s="69"/>
      <c r="U3507" s="69"/>
    </row>
    <row r="3508" spans="19:21" ht="15" customHeight="1" x14ac:dyDescent="0.2">
      <c r="S3508" s="69">
        <f>_xlfn.XLOOKUP(Results!A3508,Geometry!$B$6:$B$10000,Geometry!$C$6:$C$10000)</f>
        <v>0</v>
      </c>
      <c r="T3508" s="69"/>
      <c r="U3508" s="69"/>
    </row>
    <row r="3509" spans="19:21" ht="15" customHeight="1" x14ac:dyDescent="0.2">
      <c r="S3509" s="69">
        <f>_xlfn.XLOOKUP(Results!A3509,Geometry!$B$6:$B$10000,Geometry!$C$6:$C$10000)</f>
        <v>0</v>
      </c>
      <c r="T3509" s="69"/>
      <c r="U3509" s="69"/>
    </row>
    <row r="3510" spans="19:21" ht="15" customHeight="1" x14ac:dyDescent="0.2">
      <c r="S3510" s="69">
        <f>_xlfn.XLOOKUP(Results!A3510,Geometry!$B$6:$B$10000,Geometry!$C$6:$C$10000)</f>
        <v>0</v>
      </c>
      <c r="T3510" s="69"/>
      <c r="U3510" s="69"/>
    </row>
    <row r="3511" spans="19:21" ht="15" customHeight="1" x14ac:dyDescent="0.2">
      <c r="S3511" s="69">
        <f>_xlfn.XLOOKUP(Results!A3511,Geometry!$B$6:$B$10000,Geometry!$C$6:$C$10000)</f>
        <v>0</v>
      </c>
      <c r="T3511" s="69"/>
      <c r="U3511" s="69"/>
    </row>
    <row r="3512" spans="19:21" ht="15" customHeight="1" x14ac:dyDescent="0.2">
      <c r="S3512" s="69">
        <f>_xlfn.XLOOKUP(Results!A3512,Geometry!$B$6:$B$10000,Geometry!$C$6:$C$10000)</f>
        <v>0</v>
      </c>
      <c r="T3512" s="69"/>
      <c r="U3512" s="69"/>
    </row>
    <row r="3513" spans="19:21" ht="15" customHeight="1" x14ac:dyDescent="0.2">
      <c r="S3513" s="69">
        <f>_xlfn.XLOOKUP(Results!A3513,Geometry!$B$6:$B$10000,Geometry!$C$6:$C$10000)</f>
        <v>0</v>
      </c>
      <c r="T3513" s="69"/>
      <c r="U3513" s="69"/>
    </row>
    <row r="3514" spans="19:21" ht="15" customHeight="1" x14ac:dyDescent="0.2">
      <c r="S3514" s="69">
        <f>_xlfn.XLOOKUP(Results!A3514,Geometry!$B$6:$B$10000,Geometry!$C$6:$C$10000)</f>
        <v>0</v>
      </c>
      <c r="T3514" s="69"/>
      <c r="U3514" s="69"/>
    </row>
    <row r="3515" spans="19:21" ht="15" customHeight="1" x14ac:dyDescent="0.2">
      <c r="S3515" s="69">
        <f>_xlfn.XLOOKUP(Results!A3515,Geometry!$B$6:$B$10000,Geometry!$C$6:$C$10000)</f>
        <v>0</v>
      </c>
      <c r="T3515" s="69"/>
      <c r="U3515" s="69"/>
    </row>
    <row r="3516" spans="19:21" ht="15" customHeight="1" x14ac:dyDescent="0.2">
      <c r="S3516" s="69">
        <f>_xlfn.XLOOKUP(Results!A3516,Geometry!$B$6:$B$10000,Geometry!$C$6:$C$10000)</f>
        <v>0</v>
      </c>
      <c r="T3516" s="69"/>
      <c r="U3516" s="69"/>
    </row>
    <row r="3517" spans="19:21" ht="15" customHeight="1" x14ac:dyDescent="0.2">
      <c r="S3517" s="69">
        <f>_xlfn.XLOOKUP(Results!A3517,Geometry!$B$6:$B$10000,Geometry!$C$6:$C$10000)</f>
        <v>0</v>
      </c>
      <c r="T3517" s="69"/>
      <c r="U3517" s="69"/>
    </row>
    <row r="3518" spans="19:21" ht="15" customHeight="1" x14ac:dyDescent="0.2">
      <c r="S3518" s="69">
        <f>_xlfn.XLOOKUP(Results!A3518,Geometry!$B$6:$B$10000,Geometry!$C$6:$C$10000)</f>
        <v>0</v>
      </c>
      <c r="T3518" s="69"/>
      <c r="U3518" s="69"/>
    </row>
    <row r="3519" spans="19:21" ht="15" customHeight="1" x14ac:dyDescent="0.2">
      <c r="S3519" s="69">
        <f>_xlfn.XLOOKUP(Results!A3519,Geometry!$B$6:$B$10000,Geometry!$C$6:$C$10000)</f>
        <v>0</v>
      </c>
      <c r="T3519" s="69"/>
      <c r="U3519" s="69"/>
    </row>
    <row r="3520" spans="19:21" ht="15" customHeight="1" x14ac:dyDescent="0.2">
      <c r="S3520" s="69">
        <f>_xlfn.XLOOKUP(Results!A3520,Geometry!$B$6:$B$10000,Geometry!$C$6:$C$10000)</f>
        <v>0</v>
      </c>
      <c r="T3520" s="69"/>
      <c r="U3520" s="69"/>
    </row>
    <row r="3521" spans="19:21" ht="15" customHeight="1" x14ac:dyDescent="0.2">
      <c r="S3521" s="69">
        <f>_xlfn.XLOOKUP(Results!A3521,Geometry!$B$6:$B$10000,Geometry!$C$6:$C$10000)</f>
        <v>0</v>
      </c>
      <c r="T3521" s="69"/>
      <c r="U3521" s="69"/>
    </row>
    <row r="3522" spans="19:21" ht="15" customHeight="1" x14ac:dyDescent="0.2">
      <c r="S3522" s="69">
        <f>_xlfn.XLOOKUP(Results!A3522,Geometry!$B$6:$B$10000,Geometry!$C$6:$C$10000)</f>
        <v>0</v>
      </c>
      <c r="T3522" s="69"/>
      <c r="U3522" s="69"/>
    </row>
    <row r="3523" spans="19:21" ht="15" customHeight="1" x14ac:dyDescent="0.2">
      <c r="S3523" s="69">
        <f>_xlfn.XLOOKUP(Results!A3523,Geometry!$B$6:$B$10000,Geometry!$C$6:$C$10000)</f>
        <v>0</v>
      </c>
      <c r="T3523" s="69"/>
      <c r="U3523" s="69"/>
    </row>
    <row r="3524" spans="19:21" ht="15" customHeight="1" x14ac:dyDescent="0.2">
      <c r="S3524" s="69">
        <f>_xlfn.XLOOKUP(Results!A3524,Geometry!$B$6:$B$10000,Geometry!$C$6:$C$10000)</f>
        <v>0</v>
      </c>
      <c r="T3524" s="69"/>
      <c r="U3524" s="69"/>
    </row>
    <row r="3525" spans="19:21" ht="15" customHeight="1" x14ac:dyDescent="0.2">
      <c r="S3525" s="69">
        <f>_xlfn.XLOOKUP(Results!A3525,Geometry!$B$6:$B$10000,Geometry!$C$6:$C$10000)</f>
        <v>0</v>
      </c>
      <c r="T3525" s="69"/>
      <c r="U3525" s="69"/>
    </row>
    <row r="3526" spans="19:21" ht="15" customHeight="1" x14ac:dyDescent="0.2">
      <c r="S3526" s="69">
        <f>_xlfn.XLOOKUP(Results!A3526,Geometry!$B$6:$B$10000,Geometry!$C$6:$C$10000)</f>
        <v>0</v>
      </c>
      <c r="T3526" s="69"/>
      <c r="U3526" s="69"/>
    </row>
    <row r="3527" spans="19:21" ht="15" customHeight="1" x14ac:dyDescent="0.2">
      <c r="S3527" s="69">
        <f>_xlfn.XLOOKUP(Results!A3527,Geometry!$B$6:$B$10000,Geometry!$C$6:$C$10000)</f>
        <v>0</v>
      </c>
      <c r="T3527" s="69"/>
      <c r="U3527" s="69"/>
    </row>
    <row r="3528" spans="19:21" ht="15" customHeight="1" x14ac:dyDescent="0.2">
      <c r="S3528" s="69">
        <f>_xlfn.XLOOKUP(Results!A3528,Geometry!$B$6:$B$10000,Geometry!$C$6:$C$10000)</f>
        <v>0</v>
      </c>
      <c r="T3528" s="69"/>
      <c r="U3528" s="69"/>
    </row>
    <row r="3529" spans="19:21" ht="15" customHeight="1" x14ac:dyDescent="0.2">
      <c r="S3529" s="69">
        <f>_xlfn.XLOOKUP(Results!A3529,Geometry!$B$6:$B$10000,Geometry!$C$6:$C$10000)</f>
        <v>0</v>
      </c>
      <c r="T3529" s="69"/>
      <c r="U3529" s="69"/>
    </row>
    <row r="3530" spans="19:21" ht="15" customHeight="1" x14ac:dyDescent="0.2">
      <c r="S3530" s="69">
        <f>_xlfn.XLOOKUP(Results!A3530,Geometry!$B$6:$B$10000,Geometry!$C$6:$C$10000)</f>
        <v>0</v>
      </c>
      <c r="T3530" s="69"/>
      <c r="U3530" s="69"/>
    </row>
    <row r="3531" spans="19:21" ht="15" customHeight="1" x14ac:dyDescent="0.2">
      <c r="S3531" s="69">
        <f>_xlfn.XLOOKUP(Results!A3531,Geometry!$B$6:$B$10000,Geometry!$C$6:$C$10000)</f>
        <v>0</v>
      </c>
      <c r="T3531" s="69"/>
      <c r="U3531" s="69"/>
    </row>
    <row r="3532" spans="19:21" ht="15" customHeight="1" x14ac:dyDescent="0.2">
      <c r="S3532" s="69">
        <f>_xlfn.XLOOKUP(Results!A3532,Geometry!$B$6:$B$10000,Geometry!$C$6:$C$10000)</f>
        <v>0</v>
      </c>
      <c r="T3532" s="69"/>
      <c r="U3532" s="69"/>
    </row>
    <row r="3533" spans="19:21" ht="15" customHeight="1" x14ac:dyDescent="0.2">
      <c r="S3533" s="69">
        <f>_xlfn.XLOOKUP(Results!A3533,Geometry!$B$6:$B$10000,Geometry!$C$6:$C$10000)</f>
        <v>0</v>
      </c>
      <c r="T3533" s="69"/>
      <c r="U3533" s="69"/>
    </row>
    <row r="3534" spans="19:21" ht="15" customHeight="1" x14ac:dyDescent="0.2">
      <c r="S3534" s="69">
        <f>_xlfn.XLOOKUP(Results!A3534,Geometry!$B$6:$B$10000,Geometry!$C$6:$C$10000)</f>
        <v>0</v>
      </c>
      <c r="T3534" s="69"/>
      <c r="U3534" s="69"/>
    </row>
    <row r="3535" spans="19:21" ht="15" customHeight="1" x14ac:dyDescent="0.2">
      <c r="S3535" s="69">
        <f>_xlfn.XLOOKUP(Results!A3535,Geometry!$B$6:$B$10000,Geometry!$C$6:$C$10000)</f>
        <v>0</v>
      </c>
      <c r="T3535" s="69"/>
      <c r="U3535" s="69"/>
    </row>
    <row r="3536" spans="19:21" ht="15" customHeight="1" x14ac:dyDescent="0.2">
      <c r="S3536" s="69">
        <f>_xlfn.XLOOKUP(Results!A3536,Geometry!$B$6:$B$10000,Geometry!$C$6:$C$10000)</f>
        <v>0</v>
      </c>
      <c r="T3536" s="69"/>
      <c r="U3536" s="69"/>
    </row>
    <row r="3537" spans="19:21" ht="15" customHeight="1" x14ac:dyDescent="0.2">
      <c r="S3537" s="69">
        <f>_xlfn.XLOOKUP(Results!A3537,Geometry!$B$6:$B$10000,Geometry!$C$6:$C$10000)</f>
        <v>0</v>
      </c>
      <c r="T3537" s="69"/>
      <c r="U3537" s="69"/>
    </row>
    <row r="3538" spans="19:21" ht="15" customHeight="1" x14ac:dyDescent="0.2">
      <c r="S3538" s="69">
        <f>_xlfn.XLOOKUP(Results!A3538,Geometry!$B$6:$B$10000,Geometry!$C$6:$C$10000)</f>
        <v>0</v>
      </c>
      <c r="T3538" s="69"/>
      <c r="U3538" s="69"/>
    </row>
    <row r="3539" spans="19:21" ht="15" customHeight="1" x14ac:dyDescent="0.2">
      <c r="S3539" s="69">
        <f>_xlfn.XLOOKUP(Results!A3539,Geometry!$B$6:$B$10000,Geometry!$C$6:$C$10000)</f>
        <v>0</v>
      </c>
      <c r="T3539" s="69"/>
      <c r="U3539" s="69"/>
    </row>
    <row r="3540" spans="19:21" ht="15" customHeight="1" x14ac:dyDescent="0.2">
      <c r="S3540" s="69">
        <f>_xlfn.XLOOKUP(Results!A3540,Geometry!$B$6:$B$10000,Geometry!$C$6:$C$10000)</f>
        <v>0</v>
      </c>
      <c r="T3540" s="69"/>
      <c r="U3540" s="69"/>
    </row>
    <row r="3541" spans="19:21" ht="15" customHeight="1" x14ac:dyDescent="0.2">
      <c r="S3541" s="69">
        <f>_xlfn.XLOOKUP(Results!A3541,Geometry!$B$6:$B$10000,Geometry!$C$6:$C$10000)</f>
        <v>0</v>
      </c>
      <c r="T3541" s="69"/>
      <c r="U3541" s="69"/>
    </row>
    <row r="3542" spans="19:21" ht="15" customHeight="1" x14ac:dyDescent="0.2">
      <c r="S3542" s="69">
        <f>_xlfn.XLOOKUP(Results!A3542,Geometry!$B$6:$B$10000,Geometry!$C$6:$C$10000)</f>
        <v>0</v>
      </c>
      <c r="T3542" s="69"/>
      <c r="U3542" s="69"/>
    </row>
    <row r="3543" spans="19:21" ht="15" customHeight="1" x14ac:dyDescent="0.2">
      <c r="S3543" s="69">
        <f>_xlfn.XLOOKUP(Results!A3543,Geometry!$B$6:$B$10000,Geometry!$C$6:$C$10000)</f>
        <v>0</v>
      </c>
      <c r="T3543" s="69"/>
      <c r="U3543" s="69"/>
    </row>
    <row r="3544" spans="19:21" ht="15" customHeight="1" x14ac:dyDescent="0.2">
      <c r="S3544" s="69">
        <f>_xlfn.XLOOKUP(Results!A3544,Geometry!$B$6:$B$10000,Geometry!$C$6:$C$10000)</f>
        <v>0</v>
      </c>
      <c r="T3544" s="69"/>
      <c r="U3544" s="69"/>
    </row>
    <row r="3545" spans="19:21" ht="15" customHeight="1" x14ac:dyDescent="0.2">
      <c r="S3545" s="69">
        <f>_xlfn.XLOOKUP(Results!A3545,Geometry!$B$6:$B$10000,Geometry!$C$6:$C$10000)</f>
        <v>0</v>
      </c>
      <c r="T3545" s="69"/>
      <c r="U3545" s="69"/>
    </row>
    <row r="3546" spans="19:21" ht="15" customHeight="1" x14ac:dyDescent="0.2">
      <c r="S3546" s="69">
        <f>_xlfn.XLOOKUP(Results!A3546,Geometry!$B$6:$B$10000,Geometry!$C$6:$C$10000)</f>
        <v>0</v>
      </c>
      <c r="T3546" s="69"/>
      <c r="U3546" s="69"/>
    </row>
    <row r="3547" spans="19:21" ht="15" customHeight="1" x14ac:dyDescent="0.2">
      <c r="S3547" s="69">
        <f>_xlfn.XLOOKUP(Results!A3547,Geometry!$B$6:$B$10000,Geometry!$C$6:$C$10000)</f>
        <v>0</v>
      </c>
      <c r="T3547" s="69"/>
      <c r="U3547" s="69"/>
    </row>
    <row r="3548" spans="19:21" ht="15" customHeight="1" x14ac:dyDescent="0.2">
      <c r="S3548" s="69">
        <f>_xlfn.XLOOKUP(Results!A3548,Geometry!$B$6:$B$10000,Geometry!$C$6:$C$10000)</f>
        <v>0</v>
      </c>
      <c r="T3548" s="69"/>
      <c r="U3548" s="69"/>
    </row>
    <row r="3549" spans="19:21" ht="15" customHeight="1" x14ac:dyDescent="0.2">
      <c r="S3549" s="69">
        <f>_xlfn.XLOOKUP(Results!A3549,Geometry!$B$6:$B$10000,Geometry!$C$6:$C$10000)</f>
        <v>0</v>
      </c>
      <c r="T3549" s="69"/>
      <c r="U3549" s="69"/>
    </row>
    <row r="3550" spans="19:21" ht="15" customHeight="1" x14ac:dyDescent="0.2">
      <c r="S3550" s="69">
        <f>_xlfn.XLOOKUP(Results!A3550,Geometry!$B$6:$B$10000,Geometry!$C$6:$C$10000)</f>
        <v>0</v>
      </c>
      <c r="T3550" s="69"/>
      <c r="U3550" s="69"/>
    </row>
    <row r="3551" spans="19:21" ht="15" customHeight="1" x14ac:dyDescent="0.2">
      <c r="S3551" s="69">
        <f>_xlfn.XLOOKUP(Results!A3551,Geometry!$B$6:$B$10000,Geometry!$C$6:$C$10000)</f>
        <v>0</v>
      </c>
      <c r="T3551" s="69"/>
      <c r="U3551" s="69"/>
    </row>
    <row r="3552" spans="19:21" ht="15" customHeight="1" x14ac:dyDescent="0.2">
      <c r="S3552" s="69">
        <f>_xlfn.XLOOKUP(Results!A3552,Geometry!$B$6:$B$10000,Geometry!$C$6:$C$10000)</f>
        <v>0</v>
      </c>
      <c r="T3552" s="69"/>
      <c r="U3552" s="69"/>
    </row>
    <row r="3553" spans="19:21" ht="15" customHeight="1" x14ac:dyDescent="0.2">
      <c r="S3553" s="69">
        <f>_xlfn.XLOOKUP(Results!A3553,Geometry!$B$6:$B$10000,Geometry!$C$6:$C$10000)</f>
        <v>0</v>
      </c>
      <c r="T3553" s="69"/>
      <c r="U3553" s="69"/>
    </row>
    <row r="3554" spans="19:21" ht="15" customHeight="1" x14ac:dyDescent="0.2">
      <c r="S3554" s="69">
        <f>_xlfn.XLOOKUP(Results!A3554,Geometry!$B$6:$B$10000,Geometry!$C$6:$C$10000)</f>
        <v>0</v>
      </c>
      <c r="T3554" s="69"/>
      <c r="U3554" s="69"/>
    </row>
    <row r="3555" spans="19:21" ht="15" customHeight="1" x14ac:dyDescent="0.2">
      <c r="S3555" s="69">
        <f>_xlfn.XLOOKUP(Results!A3555,Geometry!$B$6:$B$10000,Geometry!$C$6:$C$10000)</f>
        <v>0</v>
      </c>
      <c r="T3555" s="69"/>
      <c r="U3555" s="69"/>
    </row>
    <row r="3556" spans="19:21" ht="15" customHeight="1" x14ac:dyDescent="0.2">
      <c r="S3556" s="69">
        <f>_xlfn.XLOOKUP(Results!A3556,Geometry!$B$6:$B$10000,Geometry!$C$6:$C$10000)</f>
        <v>0</v>
      </c>
      <c r="T3556" s="69"/>
      <c r="U3556" s="69"/>
    </row>
    <row r="3557" spans="19:21" ht="15" customHeight="1" x14ac:dyDescent="0.2">
      <c r="S3557" s="69">
        <f>_xlfn.XLOOKUP(Results!A3557,Geometry!$B$6:$B$10000,Geometry!$C$6:$C$10000)</f>
        <v>0</v>
      </c>
      <c r="T3557" s="69"/>
      <c r="U3557" s="69"/>
    </row>
    <row r="3558" spans="19:21" ht="15" customHeight="1" x14ac:dyDescent="0.2">
      <c r="S3558" s="69">
        <f>_xlfn.XLOOKUP(Results!A3558,Geometry!$B$6:$B$10000,Geometry!$C$6:$C$10000)</f>
        <v>0</v>
      </c>
      <c r="T3558" s="69"/>
      <c r="U3558" s="69"/>
    </row>
    <row r="3559" spans="19:21" ht="15" customHeight="1" x14ac:dyDescent="0.2">
      <c r="S3559" s="69">
        <f>_xlfn.XLOOKUP(Results!A3559,Geometry!$B$6:$B$10000,Geometry!$C$6:$C$10000)</f>
        <v>0</v>
      </c>
      <c r="T3559" s="69"/>
      <c r="U3559" s="69"/>
    </row>
    <row r="3560" spans="19:21" ht="15" customHeight="1" x14ac:dyDescent="0.2">
      <c r="S3560" s="69">
        <f>_xlfn.XLOOKUP(Results!A3560,Geometry!$B$6:$B$10000,Geometry!$C$6:$C$10000)</f>
        <v>0</v>
      </c>
      <c r="T3560" s="69"/>
      <c r="U3560" s="69"/>
    </row>
    <row r="3561" spans="19:21" ht="15" customHeight="1" x14ac:dyDescent="0.2">
      <c r="S3561" s="69">
        <f>_xlfn.XLOOKUP(Results!A3561,Geometry!$B$6:$B$10000,Geometry!$C$6:$C$10000)</f>
        <v>0</v>
      </c>
      <c r="T3561" s="69"/>
      <c r="U3561" s="69"/>
    </row>
    <row r="3562" spans="19:21" ht="15" customHeight="1" x14ac:dyDescent="0.2">
      <c r="S3562" s="69">
        <f>_xlfn.XLOOKUP(Results!A3562,Geometry!$B$6:$B$10000,Geometry!$C$6:$C$10000)</f>
        <v>0</v>
      </c>
      <c r="T3562" s="69"/>
      <c r="U3562" s="69"/>
    </row>
    <row r="3563" spans="19:21" ht="15" customHeight="1" x14ac:dyDescent="0.2">
      <c r="S3563" s="69">
        <f>_xlfn.XLOOKUP(Results!A3563,Geometry!$B$6:$B$10000,Geometry!$C$6:$C$10000)</f>
        <v>0</v>
      </c>
      <c r="T3563" s="69"/>
      <c r="U3563" s="69"/>
    </row>
    <row r="3564" spans="19:21" ht="15" customHeight="1" x14ac:dyDescent="0.2">
      <c r="S3564" s="69">
        <f>_xlfn.XLOOKUP(Results!A3564,Geometry!$B$6:$B$10000,Geometry!$C$6:$C$10000)</f>
        <v>0</v>
      </c>
      <c r="T3564" s="69"/>
      <c r="U3564" s="69"/>
    </row>
    <row r="3565" spans="19:21" ht="15" customHeight="1" x14ac:dyDescent="0.2">
      <c r="S3565" s="69">
        <f>_xlfn.XLOOKUP(Results!A3565,Geometry!$B$6:$B$10000,Geometry!$C$6:$C$10000)</f>
        <v>0</v>
      </c>
      <c r="T3565" s="69"/>
      <c r="U3565" s="69"/>
    </row>
    <row r="3566" spans="19:21" ht="15" customHeight="1" x14ac:dyDescent="0.2">
      <c r="S3566" s="69">
        <f>_xlfn.XLOOKUP(Results!A3566,Geometry!$B$6:$B$10000,Geometry!$C$6:$C$10000)</f>
        <v>0</v>
      </c>
      <c r="T3566" s="69"/>
      <c r="U3566" s="69"/>
    </row>
    <row r="3567" spans="19:21" ht="15" customHeight="1" x14ac:dyDescent="0.2">
      <c r="S3567" s="69">
        <f>_xlfn.XLOOKUP(Results!A3567,Geometry!$B$6:$B$10000,Geometry!$C$6:$C$10000)</f>
        <v>0</v>
      </c>
      <c r="T3567" s="69"/>
      <c r="U3567" s="69"/>
    </row>
    <row r="3568" spans="19:21" ht="15" customHeight="1" x14ac:dyDescent="0.2">
      <c r="S3568" s="69">
        <f>_xlfn.XLOOKUP(Results!A3568,Geometry!$B$6:$B$10000,Geometry!$C$6:$C$10000)</f>
        <v>0</v>
      </c>
      <c r="T3568" s="69"/>
      <c r="U3568" s="69"/>
    </row>
    <row r="3569" spans="19:21" ht="15" customHeight="1" x14ac:dyDescent="0.2">
      <c r="S3569" s="69">
        <f>_xlfn.XLOOKUP(Results!A3569,Geometry!$B$6:$B$10000,Geometry!$C$6:$C$10000)</f>
        <v>0</v>
      </c>
      <c r="T3569" s="69"/>
      <c r="U3569" s="69"/>
    </row>
    <row r="3570" spans="19:21" ht="15" customHeight="1" x14ac:dyDescent="0.2">
      <c r="S3570" s="69">
        <f>_xlfn.XLOOKUP(Results!A3570,Geometry!$B$6:$B$10000,Geometry!$C$6:$C$10000)</f>
        <v>0</v>
      </c>
      <c r="T3570" s="69"/>
      <c r="U3570" s="69"/>
    </row>
    <row r="3571" spans="19:21" ht="15" customHeight="1" x14ac:dyDescent="0.2">
      <c r="S3571" s="69">
        <f>_xlfn.XLOOKUP(Results!A3571,Geometry!$B$6:$B$10000,Geometry!$C$6:$C$10000)</f>
        <v>0</v>
      </c>
      <c r="T3571" s="69"/>
      <c r="U3571" s="69"/>
    </row>
    <row r="3572" spans="19:21" ht="15" customHeight="1" x14ac:dyDescent="0.2">
      <c r="S3572" s="69">
        <f>_xlfn.XLOOKUP(Results!A3572,Geometry!$B$6:$B$10000,Geometry!$C$6:$C$10000)</f>
        <v>0</v>
      </c>
      <c r="T3572" s="69"/>
      <c r="U3572" s="69"/>
    </row>
    <row r="3573" spans="19:21" ht="15" customHeight="1" x14ac:dyDescent="0.2">
      <c r="S3573" s="69">
        <f>_xlfn.XLOOKUP(Results!A3573,Geometry!$B$6:$B$10000,Geometry!$C$6:$C$10000)</f>
        <v>0</v>
      </c>
      <c r="T3573" s="69"/>
      <c r="U3573" s="69"/>
    </row>
    <row r="3574" spans="19:21" ht="15" customHeight="1" x14ac:dyDescent="0.2">
      <c r="S3574" s="69">
        <f>_xlfn.XLOOKUP(Results!A3574,Geometry!$B$6:$B$10000,Geometry!$C$6:$C$10000)</f>
        <v>0</v>
      </c>
      <c r="T3574" s="69"/>
      <c r="U3574" s="69"/>
    </row>
    <row r="3575" spans="19:21" ht="15" customHeight="1" x14ac:dyDescent="0.2">
      <c r="S3575" s="69">
        <f>_xlfn.XLOOKUP(Results!A3575,Geometry!$B$6:$B$10000,Geometry!$C$6:$C$10000)</f>
        <v>0</v>
      </c>
      <c r="T3575" s="69"/>
      <c r="U3575" s="69"/>
    </row>
    <row r="3576" spans="19:21" ht="15" customHeight="1" x14ac:dyDescent="0.2">
      <c r="S3576" s="69">
        <f>_xlfn.XLOOKUP(Results!A3576,Geometry!$B$6:$B$10000,Geometry!$C$6:$C$10000)</f>
        <v>0</v>
      </c>
      <c r="T3576" s="69"/>
      <c r="U3576" s="69"/>
    </row>
    <row r="3577" spans="19:21" ht="15" customHeight="1" x14ac:dyDescent="0.2">
      <c r="S3577" s="69">
        <f>_xlfn.XLOOKUP(Results!A3577,Geometry!$B$6:$B$10000,Geometry!$C$6:$C$10000)</f>
        <v>0</v>
      </c>
      <c r="T3577" s="69"/>
      <c r="U3577" s="69"/>
    </row>
    <row r="3578" spans="19:21" ht="15" customHeight="1" x14ac:dyDescent="0.2">
      <c r="S3578" s="69">
        <f>_xlfn.XLOOKUP(Results!A3578,Geometry!$B$6:$B$10000,Geometry!$C$6:$C$10000)</f>
        <v>0</v>
      </c>
      <c r="T3578" s="69"/>
      <c r="U3578" s="69"/>
    </row>
    <row r="3579" spans="19:21" ht="15" customHeight="1" x14ac:dyDescent="0.2">
      <c r="S3579" s="69">
        <f>_xlfn.XLOOKUP(Results!A3579,Geometry!$B$6:$B$10000,Geometry!$C$6:$C$10000)</f>
        <v>0</v>
      </c>
      <c r="T3579" s="69"/>
      <c r="U3579" s="69"/>
    </row>
    <row r="3580" spans="19:21" ht="15" customHeight="1" x14ac:dyDescent="0.2">
      <c r="S3580" s="69">
        <f>_xlfn.XLOOKUP(Results!A3580,Geometry!$B$6:$B$10000,Geometry!$C$6:$C$10000)</f>
        <v>0</v>
      </c>
      <c r="T3580" s="69"/>
      <c r="U3580" s="69"/>
    </row>
    <row r="3581" spans="19:21" ht="15" customHeight="1" x14ac:dyDescent="0.2">
      <c r="S3581" s="69">
        <f>_xlfn.XLOOKUP(Results!A3581,Geometry!$B$6:$B$10000,Geometry!$C$6:$C$10000)</f>
        <v>0</v>
      </c>
      <c r="T3581" s="69"/>
      <c r="U3581" s="69"/>
    </row>
    <row r="3582" spans="19:21" ht="15" customHeight="1" x14ac:dyDescent="0.2">
      <c r="S3582" s="69">
        <f>_xlfn.XLOOKUP(Results!A3582,Geometry!$B$6:$B$10000,Geometry!$C$6:$C$10000)</f>
        <v>0</v>
      </c>
      <c r="T3582" s="69"/>
      <c r="U3582" s="69"/>
    </row>
    <row r="3583" spans="19:21" ht="15" customHeight="1" x14ac:dyDescent="0.2">
      <c r="S3583" s="69">
        <f>_xlfn.XLOOKUP(Results!A3583,Geometry!$B$6:$B$10000,Geometry!$C$6:$C$10000)</f>
        <v>0</v>
      </c>
      <c r="T3583" s="69"/>
      <c r="U3583" s="69"/>
    </row>
    <row r="3584" spans="19:21" ht="15" customHeight="1" x14ac:dyDescent="0.2">
      <c r="S3584" s="69">
        <f>_xlfn.XLOOKUP(Results!A3584,Geometry!$B$6:$B$10000,Geometry!$C$6:$C$10000)</f>
        <v>0</v>
      </c>
      <c r="T3584" s="69"/>
      <c r="U3584" s="69"/>
    </row>
    <row r="3585" spans="19:21" ht="15" customHeight="1" x14ac:dyDescent="0.2">
      <c r="S3585" s="69">
        <f>_xlfn.XLOOKUP(Results!A3585,Geometry!$B$6:$B$10000,Geometry!$C$6:$C$10000)</f>
        <v>0</v>
      </c>
      <c r="T3585" s="69"/>
      <c r="U3585" s="69"/>
    </row>
    <row r="3586" spans="19:21" ht="15" customHeight="1" x14ac:dyDescent="0.2">
      <c r="S3586" s="69">
        <f>_xlfn.XLOOKUP(Results!A3586,Geometry!$B$6:$B$10000,Geometry!$C$6:$C$10000)</f>
        <v>0</v>
      </c>
      <c r="T3586" s="69"/>
      <c r="U3586" s="69"/>
    </row>
    <row r="3587" spans="19:21" ht="15" customHeight="1" x14ac:dyDescent="0.2">
      <c r="S3587" s="69">
        <f>_xlfn.XLOOKUP(Results!A3587,Geometry!$B$6:$B$10000,Geometry!$C$6:$C$10000)</f>
        <v>0</v>
      </c>
      <c r="T3587" s="69"/>
      <c r="U3587" s="69"/>
    </row>
    <row r="3588" spans="19:21" ht="15" customHeight="1" x14ac:dyDescent="0.2">
      <c r="S3588" s="69">
        <f>_xlfn.XLOOKUP(Results!A3588,Geometry!$B$6:$B$10000,Geometry!$C$6:$C$10000)</f>
        <v>0</v>
      </c>
      <c r="T3588" s="69"/>
      <c r="U3588" s="69"/>
    </row>
    <row r="3589" spans="19:21" ht="15" customHeight="1" x14ac:dyDescent="0.2">
      <c r="S3589" s="69">
        <f>_xlfn.XLOOKUP(Results!A3589,Geometry!$B$6:$B$10000,Geometry!$C$6:$C$10000)</f>
        <v>0</v>
      </c>
      <c r="T3589" s="69"/>
      <c r="U3589" s="69"/>
    </row>
    <row r="3590" spans="19:21" ht="15" customHeight="1" x14ac:dyDescent="0.2">
      <c r="S3590" s="69">
        <f>_xlfn.XLOOKUP(Results!A3590,Geometry!$B$6:$B$10000,Geometry!$C$6:$C$10000)</f>
        <v>0</v>
      </c>
      <c r="T3590" s="69"/>
      <c r="U3590" s="69"/>
    </row>
    <row r="3591" spans="19:21" ht="15" customHeight="1" x14ac:dyDescent="0.2">
      <c r="S3591" s="69">
        <f>_xlfn.XLOOKUP(Results!A3591,Geometry!$B$6:$B$10000,Geometry!$C$6:$C$10000)</f>
        <v>0</v>
      </c>
      <c r="T3591" s="69"/>
      <c r="U3591" s="69"/>
    </row>
    <row r="3592" spans="19:21" ht="15" customHeight="1" x14ac:dyDescent="0.2">
      <c r="S3592" s="69">
        <f>_xlfn.XLOOKUP(Results!A3592,Geometry!$B$6:$B$10000,Geometry!$C$6:$C$10000)</f>
        <v>0</v>
      </c>
      <c r="T3592" s="69"/>
      <c r="U3592" s="69"/>
    </row>
    <row r="3593" spans="19:21" ht="15" customHeight="1" x14ac:dyDescent="0.2">
      <c r="S3593" s="69">
        <f>_xlfn.XLOOKUP(Results!A3593,Geometry!$B$6:$B$10000,Geometry!$C$6:$C$10000)</f>
        <v>0</v>
      </c>
      <c r="T3593" s="69"/>
      <c r="U3593" s="69"/>
    </row>
    <row r="3594" spans="19:21" ht="15" customHeight="1" x14ac:dyDescent="0.2">
      <c r="S3594" s="69">
        <f>_xlfn.XLOOKUP(Results!A3594,Geometry!$B$6:$B$10000,Geometry!$C$6:$C$10000)</f>
        <v>0</v>
      </c>
      <c r="T3594" s="69"/>
      <c r="U3594" s="69"/>
    </row>
    <row r="3595" spans="19:21" ht="15" customHeight="1" x14ac:dyDescent="0.2">
      <c r="S3595" s="69">
        <f>_xlfn.XLOOKUP(Results!A3595,Geometry!$B$6:$B$10000,Geometry!$C$6:$C$10000)</f>
        <v>0</v>
      </c>
      <c r="T3595" s="69"/>
      <c r="U3595" s="69"/>
    </row>
    <row r="3596" spans="19:21" ht="15" customHeight="1" x14ac:dyDescent="0.2">
      <c r="S3596" s="69">
        <f>_xlfn.XLOOKUP(Results!A3596,Geometry!$B$6:$B$10000,Geometry!$C$6:$C$10000)</f>
        <v>0</v>
      </c>
      <c r="T3596" s="69"/>
      <c r="U3596" s="69"/>
    </row>
    <row r="3597" spans="19:21" ht="15" customHeight="1" x14ac:dyDescent="0.2">
      <c r="S3597" s="69">
        <f>_xlfn.XLOOKUP(Results!A3597,Geometry!$B$6:$B$10000,Geometry!$C$6:$C$10000)</f>
        <v>0</v>
      </c>
      <c r="T3597" s="69"/>
      <c r="U3597" s="69"/>
    </row>
    <row r="3598" spans="19:21" ht="15" customHeight="1" x14ac:dyDescent="0.2">
      <c r="S3598" s="69">
        <f>_xlfn.XLOOKUP(Results!A3598,Geometry!$B$6:$B$10000,Geometry!$C$6:$C$10000)</f>
        <v>0</v>
      </c>
      <c r="T3598" s="69"/>
      <c r="U3598" s="69"/>
    </row>
    <row r="3599" spans="19:21" ht="15" customHeight="1" x14ac:dyDescent="0.2">
      <c r="S3599" s="69">
        <f>_xlfn.XLOOKUP(Results!A3599,Geometry!$B$6:$B$10000,Geometry!$C$6:$C$10000)</f>
        <v>0</v>
      </c>
      <c r="T3599" s="69"/>
      <c r="U3599" s="69"/>
    </row>
    <row r="3600" spans="19:21" ht="15" customHeight="1" x14ac:dyDescent="0.2">
      <c r="S3600" s="69">
        <f>_xlfn.XLOOKUP(Results!A3600,Geometry!$B$6:$B$10000,Geometry!$C$6:$C$10000)</f>
        <v>0</v>
      </c>
      <c r="T3600" s="69"/>
      <c r="U3600" s="69"/>
    </row>
    <row r="3601" spans="19:21" ht="15" customHeight="1" x14ac:dyDescent="0.2">
      <c r="S3601" s="69">
        <f>_xlfn.XLOOKUP(Results!A3601,Geometry!$B$6:$B$10000,Geometry!$C$6:$C$10000)</f>
        <v>0</v>
      </c>
      <c r="T3601" s="69"/>
      <c r="U3601" s="69"/>
    </row>
    <row r="3602" spans="19:21" ht="15" customHeight="1" x14ac:dyDescent="0.2">
      <c r="S3602" s="69">
        <f>_xlfn.XLOOKUP(Results!A3602,Geometry!$B$6:$B$10000,Geometry!$C$6:$C$10000)</f>
        <v>0</v>
      </c>
      <c r="T3602" s="69"/>
      <c r="U3602" s="69"/>
    </row>
    <row r="3603" spans="19:21" ht="15" customHeight="1" x14ac:dyDescent="0.2">
      <c r="S3603" s="69">
        <f>_xlfn.XLOOKUP(Results!A3603,Geometry!$B$6:$B$10000,Geometry!$C$6:$C$10000)</f>
        <v>0</v>
      </c>
      <c r="T3603" s="69"/>
      <c r="U3603" s="69"/>
    </row>
    <row r="3604" spans="19:21" ht="15" customHeight="1" x14ac:dyDescent="0.2">
      <c r="S3604" s="69">
        <f>_xlfn.XLOOKUP(Results!A3604,Geometry!$B$6:$B$10000,Geometry!$C$6:$C$10000)</f>
        <v>0</v>
      </c>
      <c r="T3604" s="69"/>
      <c r="U3604" s="69"/>
    </row>
    <row r="3605" spans="19:21" ht="15" customHeight="1" x14ac:dyDescent="0.2">
      <c r="S3605" s="69">
        <f>_xlfn.XLOOKUP(Results!A3605,Geometry!$B$6:$B$10000,Geometry!$C$6:$C$10000)</f>
        <v>0</v>
      </c>
      <c r="T3605" s="69"/>
      <c r="U3605" s="69"/>
    </row>
    <row r="3606" spans="19:21" ht="15" customHeight="1" x14ac:dyDescent="0.2">
      <c r="S3606" s="69">
        <f>_xlfn.XLOOKUP(Results!A3606,Geometry!$B$6:$B$10000,Geometry!$C$6:$C$10000)</f>
        <v>0</v>
      </c>
      <c r="T3606" s="69"/>
      <c r="U3606" s="69"/>
    </row>
    <row r="3607" spans="19:21" ht="15" customHeight="1" x14ac:dyDescent="0.2">
      <c r="S3607" s="69">
        <f>_xlfn.XLOOKUP(Results!A3607,Geometry!$B$6:$B$10000,Geometry!$C$6:$C$10000)</f>
        <v>0</v>
      </c>
      <c r="T3607" s="69"/>
      <c r="U3607" s="69"/>
    </row>
    <row r="3608" spans="19:21" ht="15" customHeight="1" x14ac:dyDescent="0.2">
      <c r="S3608" s="69">
        <f>_xlfn.XLOOKUP(Results!A3608,Geometry!$B$6:$B$10000,Geometry!$C$6:$C$10000)</f>
        <v>0</v>
      </c>
      <c r="T3608" s="69"/>
      <c r="U3608" s="69"/>
    </row>
    <row r="3609" spans="19:21" ht="15" customHeight="1" x14ac:dyDescent="0.2">
      <c r="S3609" s="69">
        <f>_xlfn.XLOOKUP(Results!A3609,Geometry!$B$6:$B$10000,Geometry!$C$6:$C$10000)</f>
        <v>0</v>
      </c>
      <c r="T3609" s="69"/>
      <c r="U3609" s="69"/>
    </row>
    <row r="3610" spans="19:21" ht="15" customHeight="1" x14ac:dyDescent="0.2">
      <c r="S3610" s="69">
        <f>_xlfn.XLOOKUP(Results!A3610,Geometry!$B$6:$B$10000,Geometry!$C$6:$C$10000)</f>
        <v>0</v>
      </c>
      <c r="T3610" s="69"/>
      <c r="U3610" s="69"/>
    </row>
    <row r="3611" spans="19:21" ht="15" customHeight="1" x14ac:dyDescent="0.2">
      <c r="S3611" s="69">
        <f>_xlfn.XLOOKUP(Results!A3611,Geometry!$B$6:$B$10000,Geometry!$C$6:$C$10000)</f>
        <v>0</v>
      </c>
      <c r="T3611" s="69"/>
      <c r="U3611" s="69"/>
    </row>
    <row r="3612" spans="19:21" ht="15" customHeight="1" x14ac:dyDescent="0.2">
      <c r="S3612" s="69">
        <f>_xlfn.XLOOKUP(Results!A3612,Geometry!$B$6:$B$10000,Geometry!$C$6:$C$10000)</f>
        <v>0</v>
      </c>
      <c r="T3612" s="69"/>
      <c r="U3612" s="69"/>
    </row>
    <row r="3613" spans="19:21" ht="15" customHeight="1" x14ac:dyDescent="0.2">
      <c r="S3613" s="69">
        <f>_xlfn.XLOOKUP(Results!A3613,Geometry!$B$6:$B$10000,Geometry!$C$6:$C$10000)</f>
        <v>0</v>
      </c>
      <c r="T3613" s="69"/>
      <c r="U3613" s="69"/>
    </row>
    <row r="3614" spans="19:21" ht="15" customHeight="1" x14ac:dyDescent="0.2">
      <c r="S3614" s="69">
        <f>_xlfn.XLOOKUP(Results!A3614,Geometry!$B$6:$B$10000,Geometry!$C$6:$C$10000)</f>
        <v>0</v>
      </c>
      <c r="T3614" s="69"/>
      <c r="U3614" s="69"/>
    </row>
    <row r="3615" spans="19:21" ht="15" customHeight="1" x14ac:dyDescent="0.2">
      <c r="S3615" s="69">
        <f>_xlfn.XLOOKUP(Results!A3615,Geometry!$B$6:$B$10000,Geometry!$C$6:$C$10000)</f>
        <v>0</v>
      </c>
      <c r="T3615" s="69"/>
      <c r="U3615" s="69"/>
    </row>
    <row r="3616" spans="19:21" ht="15" customHeight="1" x14ac:dyDescent="0.2">
      <c r="S3616" s="69">
        <f>_xlfn.XLOOKUP(Results!A3616,Geometry!$B$6:$B$10000,Geometry!$C$6:$C$10000)</f>
        <v>0</v>
      </c>
      <c r="T3616" s="69"/>
      <c r="U3616" s="69"/>
    </row>
    <row r="3617" spans="19:21" ht="15" customHeight="1" x14ac:dyDescent="0.2">
      <c r="S3617" s="69">
        <f>_xlfn.XLOOKUP(Results!A3617,Geometry!$B$6:$B$10000,Geometry!$C$6:$C$10000)</f>
        <v>0</v>
      </c>
      <c r="T3617" s="69"/>
      <c r="U3617" s="69"/>
    </row>
    <row r="3618" spans="19:21" ht="15" customHeight="1" x14ac:dyDescent="0.2">
      <c r="S3618" s="69">
        <f>_xlfn.XLOOKUP(Results!A3618,Geometry!$B$6:$B$10000,Geometry!$C$6:$C$10000)</f>
        <v>0</v>
      </c>
      <c r="T3618" s="69"/>
      <c r="U3618" s="69"/>
    </row>
    <row r="3619" spans="19:21" ht="15" customHeight="1" x14ac:dyDescent="0.2">
      <c r="S3619" s="69">
        <f>_xlfn.XLOOKUP(Results!A3619,Geometry!$B$6:$B$10000,Geometry!$C$6:$C$10000)</f>
        <v>0</v>
      </c>
      <c r="T3619" s="69"/>
      <c r="U3619" s="69"/>
    </row>
    <row r="3620" spans="19:21" ht="15" customHeight="1" x14ac:dyDescent="0.2">
      <c r="S3620" s="69">
        <f>_xlfn.XLOOKUP(Results!A3620,Geometry!$B$6:$B$10000,Geometry!$C$6:$C$10000)</f>
        <v>0</v>
      </c>
      <c r="T3620" s="69"/>
      <c r="U3620" s="69"/>
    </row>
    <row r="3621" spans="19:21" ht="15" customHeight="1" x14ac:dyDescent="0.2">
      <c r="S3621" s="69">
        <f>_xlfn.XLOOKUP(Results!A3621,Geometry!$B$6:$B$10000,Geometry!$C$6:$C$10000)</f>
        <v>0</v>
      </c>
      <c r="T3621" s="69"/>
      <c r="U3621" s="69"/>
    </row>
    <row r="3622" spans="19:21" ht="15" customHeight="1" x14ac:dyDescent="0.2">
      <c r="S3622" s="69">
        <f>_xlfn.XLOOKUP(Results!A3622,Geometry!$B$6:$B$10000,Geometry!$C$6:$C$10000)</f>
        <v>0</v>
      </c>
      <c r="T3622" s="69"/>
      <c r="U3622" s="69"/>
    </row>
    <row r="3623" spans="19:21" ht="15" customHeight="1" x14ac:dyDescent="0.2">
      <c r="S3623" s="69">
        <f>_xlfn.XLOOKUP(Results!A3623,Geometry!$B$6:$B$10000,Geometry!$C$6:$C$10000)</f>
        <v>0</v>
      </c>
      <c r="T3623" s="69"/>
      <c r="U3623" s="69"/>
    </row>
    <row r="3624" spans="19:21" ht="15" customHeight="1" x14ac:dyDescent="0.2">
      <c r="S3624" s="69">
        <f>_xlfn.XLOOKUP(Results!A3624,Geometry!$B$6:$B$10000,Geometry!$C$6:$C$10000)</f>
        <v>0</v>
      </c>
      <c r="T3624" s="69"/>
      <c r="U3624" s="69"/>
    </row>
    <row r="3625" spans="19:21" ht="15" customHeight="1" x14ac:dyDescent="0.2">
      <c r="S3625" s="69">
        <f>_xlfn.XLOOKUP(Results!A3625,Geometry!$B$6:$B$10000,Geometry!$C$6:$C$10000)</f>
        <v>0</v>
      </c>
      <c r="T3625" s="69"/>
      <c r="U3625" s="69"/>
    </row>
    <row r="3626" spans="19:21" ht="15" customHeight="1" x14ac:dyDescent="0.2">
      <c r="S3626" s="69">
        <f>_xlfn.XLOOKUP(Results!A3626,Geometry!$B$6:$B$10000,Geometry!$C$6:$C$10000)</f>
        <v>0</v>
      </c>
      <c r="T3626" s="69"/>
      <c r="U3626" s="69"/>
    </row>
    <row r="3627" spans="19:21" ht="15" customHeight="1" x14ac:dyDescent="0.2">
      <c r="S3627" s="69">
        <f>_xlfn.XLOOKUP(Results!A3627,Geometry!$B$6:$B$10000,Geometry!$C$6:$C$10000)</f>
        <v>0</v>
      </c>
      <c r="T3627" s="69"/>
      <c r="U3627" s="69"/>
    </row>
    <row r="3628" spans="19:21" ht="15" customHeight="1" x14ac:dyDescent="0.2">
      <c r="S3628" s="69">
        <f>_xlfn.XLOOKUP(Results!A3628,Geometry!$B$6:$B$10000,Geometry!$C$6:$C$10000)</f>
        <v>0</v>
      </c>
      <c r="T3628" s="69"/>
      <c r="U3628" s="69"/>
    </row>
    <row r="3629" spans="19:21" ht="15" customHeight="1" x14ac:dyDescent="0.2">
      <c r="S3629" s="69">
        <f>_xlfn.XLOOKUP(Results!A3629,Geometry!$B$6:$B$10000,Geometry!$C$6:$C$10000)</f>
        <v>0</v>
      </c>
      <c r="T3629" s="69"/>
      <c r="U3629" s="69"/>
    </row>
    <row r="3630" spans="19:21" ht="15" customHeight="1" x14ac:dyDescent="0.2">
      <c r="S3630" s="69">
        <f>_xlfn.XLOOKUP(Results!A3630,Geometry!$B$6:$B$10000,Geometry!$C$6:$C$10000)</f>
        <v>0</v>
      </c>
      <c r="T3630" s="69"/>
      <c r="U3630" s="69"/>
    </row>
    <row r="3631" spans="19:21" ht="15" customHeight="1" x14ac:dyDescent="0.2">
      <c r="S3631" s="69">
        <f>_xlfn.XLOOKUP(Results!A3631,Geometry!$B$6:$B$10000,Geometry!$C$6:$C$10000)</f>
        <v>0</v>
      </c>
      <c r="T3631" s="69"/>
      <c r="U3631" s="69"/>
    </row>
    <row r="3632" spans="19:21" ht="15" customHeight="1" x14ac:dyDescent="0.2">
      <c r="S3632" s="69">
        <f>_xlfn.XLOOKUP(Results!A3632,Geometry!$B$6:$B$10000,Geometry!$C$6:$C$10000)</f>
        <v>0</v>
      </c>
      <c r="T3632" s="69"/>
      <c r="U3632" s="69"/>
    </row>
    <row r="3633" spans="19:21" ht="15" customHeight="1" x14ac:dyDescent="0.2">
      <c r="S3633" s="69">
        <f>_xlfn.XLOOKUP(Results!A3633,Geometry!$B$6:$B$10000,Geometry!$C$6:$C$10000)</f>
        <v>0</v>
      </c>
      <c r="T3633" s="69"/>
      <c r="U3633" s="69"/>
    </row>
    <row r="3634" spans="19:21" ht="15" customHeight="1" x14ac:dyDescent="0.2">
      <c r="S3634" s="69">
        <f>_xlfn.XLOOKUP(Results!A3634,Geometry!$B$6:$B$10000,Geometry!$C$6:$C$10000)</f>
        <v>0</v>
      </c>
      <c r="T3634" s="69"/>
      <c r="U3634" s="69"/>
    </row>
    <row r="3635" spans="19:21" ht="15" customHeight="1" x14ac:dyDescent="0.2">
      <c r="S3635" s="69">
        <f>_xlfn.XLOOKUP(Results!A3635,Geometry!$B$6:$B$10000,Geometry!$C$6:$C$10000)</f>
        <v>0</v>
      </c>
      <c r="T3635" s="69"/>
      <c r="U3635" s="69"/>
    </row>
    <row r="3636" spans="19:21" ht="15" customHeight="1" x14ac:dyDescent="0.2">
      <c r="S3636" s="69">
        <f>_xlfn.XLOOKUP(Results!A3636,Geometry!$B$6:$B$10000,Geometry!$C$6:$C$10000)</f>
        <v>0</v>
      </c>
      <c r="T3636" s="69"/>
      <c r="U3636" s="69"/>
    </row>
    <row r="3637" spans="19:21" ht="15" customHeight="1" x14ac:dyDescent="0.2">
      <c r="S3637" s="69">
        <f>_xlfn.XLOOKUP(Results!A3637,Geometry!$B$6:$B$10000,Geometry!$C$6:$C$10000)</f>
        <v>0</v>
      </c>
      <c r="T3637" s="69"/>
      <c r="U3637" s="69"/>
    </row>
    <row r="3638" spans="19:21" ht="15" customHeight="1" x14ac:dyDescent="0.2">
      <c r="S3638" s="69">
        <f>_xlfn.XLOOKUP(Results!A3638,Geometry!$B$6:$B$10000,Geometry!$C$6:$C$10000)</f>
        <v>0</v>
      </c>
      <c r="T3638" s="69"/>
      <c r="U3638" s="69"/>
    </row>
    <row r="3639" spans="19:21" ht="15" customHeight="1" x14ac:dyDescent="0.2">
      <c r="S3639" s="69">
        <f>_xlfn.XLOOKUP(Results!A3639,Geometry!$B$6:$B$10000,Geometry!$C$6:$C$10000)</f>
        <v>0</v>
      </c>
      <c r="T3639" s="69"/>
      <c r="U3639" s="69"/>
    </row>
    <row r="3640" spans="19:21" ht="15" customHeight="1" x14ac:dyDescent="0.2">
      <c r="S3640" s="69">
        <f>_xlfn.XLOOKUP(Results!A3640,Geometry!$B$6:$B$10000,Geometry!$C$6:$C$10000)</f>
        <v>0</v>
      </c>
      <c r="T3640" s="69"/>
      <c r="U3640" s="69"/>
    </row>
    <row r="3641" spans="19:21" ht="15" customHeight="1" x14ac:dyDescent="0.2">
      <c r="S3641" s="69">
        <f>_xlfn.XLOOKUP(Results!A3641,Geometry!$B$6:$B$10000,Geometry!$C$6:$C$10000)</f>
        <v>0</v>
      </c>
      <c r="T3641" s="69"/>
      <c r="U3641" s="69"/>
    </row>
    <row r="3642" spans="19:21" ht="15" customHeight="1" x14ac:dyDescent="0.2">
      <c r="S3642" s="69">
        <f>_xlfn.XLOOKUP(Results!A3642,Geometry!$B$6:$B$10000,Geometry!$C$6:$C$10000)</f>
        <v>0</v>
      </c>
      <c r="T3642" s="69"/>
      <c r="U3642" s="69"/>
    </row>
    <row r="3643" spans="19:21" ht="15" customHeight="1" x14ac:dyDescent="0.2">
      <c r="S3643" s="69">
        <f>_xlfn.XLOOKUP(Results!A3643,Geometry!$B$6:$B$10000,Geometry!$C$6:$C$10000)</f>
        <v>0</v>
      </c>
      <c r="T3643" s="69"/>
      <c r="U3643" s="69"/>
    </row>
    <row r="3644" spans="19:21" ht="15" customHeight="1" x14ac:dyDescent="0.2">
      <c r="S3644" s="69">
        <f>_xlfn.XLOOKUP(Results!A3644,Geometry!$B$6:$B$10000,Geometry!$C$6:$C$10000)</f>
        <v>0</v>
      </c>
      <c r="T3644" s="69"/>
      <c r="U3644" s="69"/>
    </row>
    <row r="3645" spans="19:21" ht="15" customHeight="1" x14ac:dyDescent="0.2">
      <c r="S3645" s="69">
        <f>_xlfn.XLOOKUP(Results!A3645,Geometry!$B$6:$B$10000,Geometry!$C$6:$C$10000)</f>
        <v>0</v>
      </c>
      <c r="T3645" s="69"/>
      <c r="U3645" s="69"/>
    </row>
    <row r="3646" spans="19:21" ht="15" customHeight="1" x14ac:dyDescent="0.2">
      <c r="S3646" s="69">
        <f>_xlfn.XLOOKUP(Results!A3646,Geometry!$B$6:$B$10000,Geometry!$C$6:$C$10000)</f>
        <v>0</v>
      </c>
      <c r="T3646" s="69"/>
      <c r="U3646" s="69"/>
    </row>
    <row r="3647" spans="19:21" ht="15" customHeight="1" x14ac:dyDescent="0.2">
      <c r="S3647" s="69">
        <f>_xlfn.XLOOKUP(Results!A3647,Geometry!$B$6:$B$10000,Geometry!$C$6:$C$10000)</f>
        <v>0</v>
      </c>
      <c r="T3647" s="69"/>
      <c r="U3647" s="69"/>
    </row>
    <row r="3648" spans="19:21" ht="15" customHeight="1" x14ac:dyDescent="0.2">
      <c r="S3648" s="69">
        <f>_xlfn.XLOOKUP(Results!A3648,Geometry!$B$6:$B$10000,Geometry!$C$6:$C$10000)</f>
        <v>0</v>
      </c>
      <c r="T3648" s="69"/>
      <c r="U3648" s="69"/>
    </row>
    <row r="3649" spans="19:21" ht="15" customHeight="1" x14ac:dyDescent="0.2">
      <c r="S3649" s="69">
        <f>_xlfn.XLOOKUP(Results!A3649,Geometry!$B$6:$B$10000,Geometry!$C$6:$C$10000)</f>
        <v>0</v>
      </c>
      <c r="T3649" s="69"/>
      <c r="U3649" s="69"/>
    </row>
    <row r="3650" spans="19:21" ht="15" customHeight="1" x14ac:dyDescent="0.2">
      <c r="S3650" s="69">
        <f>_xlfn.XLOOKUP(Results!A3650,Geometry!$B$6:$B$10000,Geometry!$C$6:$C$10000)</f>
        <v>0</v>
      </c>
      <c r="T3650" s="69"/>
      <c r="U3650" s="69"/>
    </row>
    <row r="3651" spans="19:21" ht="15" customHeight="1" x14ac:dyDescent="0.2">
      <c r="S3651" s="69">
        <f>_xlfn.XLOOKUP(Results!A3651,Geometry!$B$6:$B$10000,Geometry!$C$6:$C$10000)</f>
        <v>0</v>
      </c>
      <c r="T3651" s="69"/>
      <c r="U3651" s="69"/>
    </row>
    <row r="3652" spans="19:21" ht="15" customHeight="1" x14ac:dyDescent="0.2">
      <c r="S3652" s="69">
        <f>_xlfn.XLOOKUP(Results!A3652,Geometry!$B$6:$B$10000,Geometry!$C$6:$C$10000)</f>
        <v>0</v>
      </c>
      <c r="T3652" s="69"/>
      <c r="U3652" s="69"/>
    </row>
    <row r="3653" spans="19:21" ht="15" customHeight="1" x14ac:dyDescent="0.2">
      <c r="S3653" s="69">
        <f>_xlfn.XLOOKUP(Results!A3653,Geometry!$B$6:$B$10000,Geometry!$C$6:$C$10000)</f>
        <v>0</v>
      </c>
      <c r="T3653" s="69"/>
      <c r="U3653" s="69"/>
    </row>
    <row r="3654" spans="19:21" ht="15" customHeight="1" x14ac:dyDescent="0.2">
      <c r="S3654" s="69">
        <f>_xlfn.XLOOKUP(Results!A3654,Geometry!$B$6:$B$10000,Geometry!$C$6:$C$10000)</f>
        <v>0</v>
      </c>
      <c r="T3654" s="69"/>
      <c r="U3654" s="69"/>
    </row>
    <row r="3655" spans="19:21" ht="15" customHeight="1" x14ac:dyDescent="0.2">
      <c r="S3655" s="69">
        <f>_xlfn.XLOOKUP(Results!A3655,Geometry!$B$6:$B$10000,Geometry!$C$6:$C$10000)</f>
        <v>0</v>
      </c>
      <c r="T3655" s="69"/>
      <c r="U3655" s="69"/>
    </row>
    <row r="3656" spans="19:21" ht="15" customHeight="1" x14ac:dyDescent="0.2">
      <c r="S3656" s="69">
        <f>_xlfn.XLOOKUP(Results!A3656,Geometry!$B$6:$B$10000,Geometry!$C$6:$C$10000)</f>
        <v>0</v>
      </c>
      <c r="T3656" s="69"/>
      <c r="U3656" s="69"/>
    </row>
    <row r="3657" spans="19:21" ht="15" customHeight="1" x14ac:dyDescent="0.2">
      <c r="S3657" s="69">
        <f>_xlfn.XLOOKUP(Results!A3657,Geometry!$B$6:$B$10000,Geometry!$C$6:$C$10000)</f>
        <v>0</v>
      </c>
      <c r="T3657" s="69"/>
      <c r="U3657" s="69"/>
    </row>
    <row r="3658" spans="19:21" ht="15" customHeight="1" x14ac:dyDescent="0.2">
      <c r="S3658" s="69">
        <f>_xlfn.XLOOKUP(Results!A3658,Geometry!$B$6:$B$10000,Geometry!$C$6:$C$10000)</f>
        <v>0</v>
      </c>
      <c r="T3658" s="69"/>
      <c r="U3658" s="69"/>
    </row>
    <row r="3659" spans="19:21" ht="15" customHeight="1" x14ac:dyDescent="0.2">
      <c r="S3659" s="69">
        <f>_xlfn.XLOOKUP(Results!A3659,Geometry!$B$6:$B$10000,Geometry!$C$6:$C$10000)</f>
        <v>0</v>
      </c>
      <c r="T3659" s="69"/>
      <c r="U3659" s="69"/>
    </row>
    <row r="3660" spans="19:21" ht="15" customHeight="1" x14ac:dyDescent="0.2">
      <c r="S3660" s="69">
        <f>_xlfn.XLOOKUP(Results!A3660,Geometry!$B$6:$B$10000,Geometry!$C$6:$C$10000)</f>
        <v>0</v>
      </c>
      <c r="T3660" s="69"/>
      <c r="U3660" s="69"/>
    </row>
    <row r="3661" spans="19:21" ht="15" customHeight="1" x14ac:dyDescent="0.2">
      <c r="S3661" s="69">
        <f>_xlfn.XLOOKUP(Results!A3661,Geometry!$B$6:$B$10000,Geometry!$C$6:$C$10000)</f>
        <v>0</v>
      </c>
      <c r="T3661" s="69"/>
      <c r="U3661" s="69"/>
    </row>
    <row r="3662" spans="19:21" ht="15" customHeight="1" x14ac:dyDescent="0.2">
      <c r="S3662" s="69">
        <f>_xlfn.XLOOKUP(Results!A3662,Geometry!$B$6:$B$10000,Geometry!$C$6:$C$10000)</f>
        <v>0</v>
      </c>
      <c r="T3662" s="69"/>
      <c r="U3662" s="69"/>
    </row>
    <row r="3663" spans="19:21" ht="15" customHeight="1" x14ac:dyDescent="0.2">
      <c r="S3663" s="69">
        <f>_xlfn.XLOOKUP(Results!A3663,Geometry!$B$6:$B$10000,Geometry!$C$6:$C$10000)</f>
        <v>0</v>
      </c>
      <c r="T3663" s="69"/>
      <c r="U3663" s="69"/>
    </row>
    <row r="3664" spans="19:21" ht="15" customHeight="1" x14ac:dyDescent="0.2">
      <c r="S3664" s="69">
        <f>_xlfn.XLOOKUP(Results!A3664,Geometry!$B$6:$B$10000,Geometry!$C$6:$C$10000)</f>
        <v>0</v>
      </c>
      <c r="T3664" s="69"/>
      <c r="U3664" s="69"/>
    </row>
    <row r="3665" spans="19:21" ht="15" customHeight="1" x14ac:dyDescent="0.2">
      <c r="S3665" s="69">
        <f>_xlfn.XLOOKUP(Results!A3665,Geometry!$B$6:$B$10000,Geometry!$C$6:$C$10000)</f>
        <v>0</v>
      </c>
      <c r="T3665" s="69"/>
      <c r="U3665" s="69"/>
    </row>
    <row r="3666" spans="19:21" ht="15" customHeight="1" x14ac:dyDescent="0.2">
      <c r="S3666" s="69">
        <f>_xlfn.XLOOKUP(Results!A3666,Geometry!$B$6:$B$10000,Geometry!$C$6:$C$10000)</f>
        <v>0</v>
      </c>
      <c r="T3666" s="69"/>
      <c r="U3666" s="69"/>
    </row>
    <row r="3667" spans="19:21" ht="15" customHeight="1" x14ac:dyDescent="0.2">
      <c r="S3667" s="69">
        <f>_xlfn.XLOOKUP(Results!A3667,Geometry!$B$6:$B$10000,Geometry!$C$6:$C$10000)</f>
        <v>0</v>
      </c>
      <c r="T3667" s="69"/>
      <c r="U3667" s="69"/>
    </row>
    <row r="3668" spans="19:21" ht="15" customHeight="1" x14ac:dyDescent="0.2">
      <c r="S3668" s="69">
        <f>_xlfn.XLOOKUP(Results!A3668,Geometry!$B$6:$B$10000,Geometry!$C$6:$C$10000)</f>
        <v>0</v>
      </c>
      <c r="T3668" s="69"/>
      <c r="U3668" s="69"/>
    </row>
    <row r="3669" spans="19:21" ht="15" customHeight="1" x14ac:dyDescent="0.2">
      <c r="S3669" s="69">
        <f>_xlfn.XLOOKUP(Results!A3669,Geometry!$B$6:$B$10000,Geometry!$C$6:$C$10000)</f>
        <v>0</v>
      </c>
      <c r="T3669" s="69"/>
      <c r="U3669" s="69"/>
    </row>
    <row r="3670" spans="19:21" ht="15" customHeight="1" x14ac:dyDescent="0.2">
      <c r="S3670" s="69">
        <f>_xlfn.XLOOKUP(Results!A3670,Geometry!$B$6:$B$10000,Geometry!$C$6:$C$10000)</f>
        <v>0</v>
      </c>
      <c r="T3670" s="69"/>
      <c r="U3670" s="69"/>
    </row>
    <row r="3671" spans="19:21" ht="15" customHeight="1" x14ac:dyDescent="0.2">
      <c r="S3671" s="69">
        <f>_xlfn.XLOOKUP(Results!A3671,Geometry!$B$6:$B$10000,Geometry!$C$6:$C$10000)</f>
        <v>0</v>
      </c>
      <c r="T3671" s="69"/>
      <c r="U3671" s="69"/>
    </row>
    <row r="3672" spans="19:21" ht="15" customHeight="1" x14ac:dyDescent="0.2">
      <c r="S3672" s="69">
        <f>_xlfn.XLOOKUP(Results!A3672,Geometry!$B$6:$B$10000,Geometry!$C$6:$C$10000)</f>
        <v>0</v>
      </c>
      <c r="T3672" s="69"/>
      <c r="U3672" s="69"/>
    </row>
    <row r="3673" spans="19:21" ht="15" customHeight="1" x14ac:dyDescent="0.2">
      <c r="S3673" s="69">
        <f>_xlfn.XLOOKUP(Results!A3673,Geometry!$B$6:$B$10000,Geometry!$C$6:$C$10000)</f>
        <v>0</v>
      </c>
      <c r="T3673" s="69"/>
      <c r="U3673" s="69"/>
    </row>
    <row r="3674" spans="19:21" ht="15" customHeight="1" x14ac:dyDescent="0.2">
      <c r="S3674" s="69">
        <f>_xlfn.XLOOKUP(Results!A3674,Geometry!$B$6:$B$10000,Geometry!$C$6:$C$10000)</f>
        <v>0</v>
      </c>
      <c r="T3674" s="69"/>
      <c r="U3674" s="69"/>
    </row>
    <row r="3675" spans="19:21" ht="15" customHeight="1" x14ac:dyDescent="0.2">
      <c r="S3675" s="69">
        <f>_xlfn.XLOOKUP(Results!A3675,Geometry!$B$6:$B$10000,Geometry!$C$6:$C$10000)</f>
        <v>0</v>
      </c>
      <c r="T3675" s="69"/>
      <c r="U3675" s="69"/>
    </row>
    <row r="3676" spans="19:21" ht="15" customHeight="1" x14ac:dyDescent="0.2">
      <c r="S3676" s="69">
        <f>_xlfn.XLOOKUP(Results!A3676,Geometry!$B$6:$B$10000,Geometry!$C$6:$C$10000)</f>
        <v>0</v>
      </c>
      <c r="T3676" s="69"/>
      <c r="U3676" s="69"/>
    </row>
    <row r="3677" spans="19:21" ht="15" customHeight="1" x14ac:dyDescent="0.2">
      <c r="S3677" s="69">
        <f>_xlfn.XLOOKUP(Results!A3677,Geometry!$B$6:$B$10000,Geometry!$C$6:$C$10000)</f>
        <v>0</v>
      </c>
      <c r="T3677" s="69"/>
      <c r="U3677" s="69"/>
    </row>
    <row r="3678" spans="19:21" ht="15" customHeight="1" x14ac:dyDescent="0.2">
      <c r="S3678" s="69">
        <f>_xlfn.XLOOKUP(Results!A3678,Geometry!$B$6:$B$10000,Geometry!$C$6:$C$10000)</f>
        <v>0</v>
      </c>
      <c r="T3678" s="69"/>
      <c r="U3678" s="69"/>
    </row>
    <row r="3679" spans="19:21" ht="15" customHeight="1" x14ac:dyDescent="0.2">
      <c r="S3679" s="69">
        <f>_xlfn.XLOOKUP(Results!A3679,Geometry!$B$6:$B$10000,Geometry!$C$6:$C$10000)</f>
        <v>0</v>
      </c>
      <c r="T3679" s="69"/>
      <c r="U3679" s="69"/>
    </row>
    <row r="3680" spans="19:21" ht="15" customHeight="1" x14ac:dyDescent="0.2">
      <c r="S3680" s="69">
        <f>_xlfn.XLOOKUP(Results!A3680,Geometry!$B$6:$B$10000,Geometry!$C$6:$C$10000)</f>
        <v>0</v>
      </c>
      <c r="T3680" s="69"/>
      <c r="U3680" s="69"/>
    </row>
    <row r="3681" spans="19:21" ht="15" customHeight="1" x14ac:dyDescent="0.2">
      <c r="S3681" s="69">
        <f>_xlfn.XLOOKUP(Results!A3681,Geometry!$B$6:$B$10000,Geometry!$C$6:$C$10000)</f>
        <v>0</v>
      </c>
      <c r="T3681" s="69"/>
      <c r="U3681" s="69"/>
    </row>
    <row r="3682" spans="19:21" ht="15" customHeight="1" x14ac:dyDescent="0.2">
      <c r="S3682" s="69">
        <f>_xlfn.XLOOKUP(Results!A3682,Geometry!$B$6:$B$10000,Geometry!$C$6:$C$10000)</f>
        <v>0</v>
      </c>
      <c r="T3682" s="69"/>
      <c r="U3682" s="69"/>
    </row>
    <row r="3683" spans="19:21" ht="15" customHeight="1" x14ac:dyDescent="0.2">
      <c r="S3683" s="69">
        <f>_xlfn.XLOOKUP(Results!A3683,Geometry!$B$6:$B$10000,Geometry!$C$6:$C$10000)</f>
        <v>0</v>
      </c>
      <c r="T3683" s="69"/>
      <c r="U3683" s="69"/>
    </row>
    <row r="3684" spans="19:21" ht="15" customHeight="1" x14ac:dyDescent="0.2">
      <c r="S3684" s="69">
        <f>_xlfn.XLOOKUP(Results!A3684,Geometry!$B$6:$B$10000,Geometry!$C$6:$C$10000)</f>
        <v>0</v>
      </c>
      <c r="T3684" s="69"/>
      <c r="U3684" s="69"/>
    </row>
    <row r="3685" spans="19:21" ht="15" customHeight="1" x14ac:dyDescent="0.2">
      <c r="S3685" s="69">
        <f>_xlfn.XLOOKUP(Results!A3685,Geometry!$B$6:$B$10000,Geometry!$C$6:$C$10000)</f>
        <v>0</v>
      </c>
      <c r="T3685" s="69"/>
      <c r="U3685" s="69"/>
    </row>
    <row r="3686" spans="19:21" ht="15" customHeight="1" x14ac:dyDescent="0.2">
      <c r="S3686" s="69">
        <f>_xlfn.XLOOKUP(Results!A3686,Geometry!$B$6:$B$10000,Geometry!$C$6:$C$10000)</f>
        <v>0</v>
      </c>
      <c r="T3686" s="69"/>
      <c r="U3686" s="69"/>
    </row>
    <row r="3687" spans="19:21" ht="15" customHeight="1" x14ac:dyDescent="0.2">
      <c r="S3687" s="69">
        <f>_xlfn.XLOOKUP(Results!A3687,Geometry!$B$6:$B$10000,Geometry!$C$6:$C$10000)</f>
        <v>0</v>
      </c>
      <c r="T3687" s="69"/>
      <c r="U3687" s="69"/>
    </row>
    <row r="3688" spans="19:21" ht="15" customHeight="1" x14ac:dyDescent="0.2">
      <c r="S3688" s="69">
        <f>_xlfn.XLOOKUP(Results!A3688,Geometry!$B$6:$B$10000,Geometry!$C$6:$C$10000)</f>
        <v>0</v>
      </c>
      <c r="T3688" s="69"/>
      <c r="U3688" s="69"/>
    </row>
    <row r="3689" spans="19:21" ht="15" customHeight="1" x14ac:dyDescent="0.2">
      <c r="S3689" s="69">
        <f>_xlfn.XLOOKUP(Results!A3689,Geometry!$B$6:$B$10000,Geometry!$C$6:$C$10000)</f>
        <v>0</v>
      </c>
      <c r="T3689" s="69"/>
      <c r="U3689" s="69"/>
    </row>
    <row r="3690" spans="19:21" ht="15" customHeight="1" x14ac:dyDescent="0.2">
      <c r="S3690" s="69">
        <f>_xlfn.XLOOKUP(Results!A3690,Geometry!$B$6:$B$10000,Geometry!$C$6:$C$10000)</f>
        <v>0</v>
      </c>
      <c r="T3690" s="69"/>
      <c r="U3690" s="69"/>
    </row>
    <row r="3691" spans="19:21" ht="15" customHeight="1" x14ac:dyDescent="0.2">
      <c r="S3691" s="69">
        <f>_xlfn.XLOOKUP(Results!A3691,Geometry!$B$6:$B$10000,Geometry!$C$6:$C$10000)</f>
        <v>0</v>
      </c>
      <c r="T3691" s="69"/>
      <c r="U3691" s="69"/>
    </row>
    <row r="3692" spans="19:21" ht="15" customHeight="1" x14ac:dyDescent="0.2">
      <c r="S3692" s="69">
        <f>_xlfn.XLOOKUP(Results!A3692,Geometry!$B$6:$B$10000,Geometry!$C$6:$C$10000)</f>
        <v>0</v>
      </c>
      <c r="T3692" s="69"/>
      <c r="U3692" s="69"/>
    </row>
    <row r="3693" spans="19:21" ht="15" customHeight="1" x14ac:dyDescent="0.2">
      <c r="S3693" s="69">
        <f>_xlfn.XLOOKUP(Results!A3693,Geometry!$B$6:$B$10000,Geometry!$C$6:$C$10000)</f>
        <v>0</v>
      </c>
      <c r="T3693" s="69"/>
      <c r="U3693" s="69"/>
    </row>
    <row r="3694" spans="19:21" ht="15" customHeight="1" x14ac:dyDescent="0.2">
      <c r="S3694" s="69">
        <f>_xlfn.XLOOKUP(Results!A3694,Geometry!$B$6:$B$10000,Geometry!$C$6:$C$10000)</f>
        <v>0</v>
      </c>
      <c r="T3694" s="69"/>
      <c r="U3694" s="69"/>
    </row>
    <row r="3695" spans="19:21" ht="15" customHeight="1" x14ac:dyDescent="0.2">
      <c r="S3695" s="69">
        <f>_xlfn.XLOOKUP(Results!A3695,Geometry!$B$6:$B$10000,Geometry!$C$6:$C$10000)</f>
        <v>0</v>
      </c>
      <c r="T3695" s="69"/>
      <c r="U3695" s="69"/>
    </row>
    <row r="3696" spans="19:21" ht="15" customHeight="1" x14ac:dyDescent="0.2">
      <c r="S3696" s="69">
        <f>_xlfn.XLOOKUP(Results!A3696,Geometry!$B$6:$B$10000,Geometry!$C$6:$C$10000)</f>
        <v>0</v>
      </c>
      <c r="T3696" s="69"/>
      <c r="U3696" s="69"/>
    </row>
    <row r="3697" spans="19:21" ht="15" customHeight="1" x14ac:dyDescent="0.2">
      <c r="S3697" s="69">
        <f>_xlfn.XLOOKUP(Results!A3697,Geometry!$B$6:$B$10000,Geometry!$C$6:$C$10000)</f>
        <v>0</v>
      </c>
      <c r="T3697" s="69"/>
      <c r="U3697" s="69"/>
    </row>
    <row r="3698" spans="19:21" ht="15" customHeight="1" x14ac:dyDescent="0.2">
      <c r="S3698" s="69">
        <f>_xlfn.XLOOKUP(Results!A3698,Geometry!$B$6:$B$10000,Geometry!$C$6:$C$10000)</f>
        <v>0</v>
      </c>
      <c r="T3698" s="69"/>
      <c r="U3698" s="69"/>
    </row>
    <row r="3699" spans="19:21" ht="15" customHeight="1" x14ac:dyDescent="0.2">
      <c r="S3699" s="69">
        <f>_xlfn.XLOOKUP(Results!A3699,Geometry!$B$6:$B$10000,Geometry!$C$6:$C$10000)</f>
        <v>0</v>
      </c>
      <c r="T3699" s="69"/>
      <c r="U3699" s="69"/>
    </row>
    <row r="3700" spans="19:21" ht="15" customHeight="1" x14ac:dyDescent="0.2">
      <c r="S3700" s="69">
        <f>_xlfn.XLOOKUP(Results!A3700,Geometry!$B$6:$B$10000,Geometry!$C$6:$C$10000)</f>
        <v>0</v>
      </c>
      <c r="T3700" s="69"/>
      <c r="U3700" s="69"/>
    </row>
    <row r="3701" spans="19:21" ht="15" customHeight="1" x14ac:dyDescent="0.2">
      <c r="S3701" s="69">
        <f>_xlfn.XLOOKUP(Results!A3701,Geometry!$B$6:$B$10000,Geometry!$C$6:$C$10000)</f>
        <v>0</v>
      </c>
      <c r="T3701" s="69"/>
      <c r="U3701" s="69"/>
    </row>
    <row r="3702" spans="19:21" ht="15" customHeight="1" x14ac:dyDescent="0.2">
      <c r="S3702" s="69">
        <f>_xlfn.XLOOKUP(Results!A3702,Geometry!$B$6:$B$10000,Geometry!$C$6:$C$10000)</f>
        <v>0</v>
      </c>
      <c r="T3702" s="69"/>
      <c r="U3702" s="69"/>
    </row>
    <row r="3703" spans="19:21" ht="15" customHeight="1" x14ac:dyDescent="0.2">
      <c r="S3703" s="69">
        <f>_xlfn.XLOOKUP(Results!A3703,Geometry!$B$6:$B$10000,Geometry!$C$6:$C$10000)</f>
        <v>0</v>
      </c>
      <c r="T3703" s="69"/>
      <c r="U3703" s="69"/>
    </row>
    <row r="3704" spans="19:21" ht="15" customHeight="1" x14ac:dyDescent="0.2">
      <c r="S3704" s="69">
        <f>_xlfn.XLOOKUP(Results!A3704,Geometry!$B$6:$B$10000,Geometry!$C$6:$C$10000)</f>
        <v>0</v>
      </c>
      <c r="T3704" s="69"/>
      <c r="U3704" s="69"/>
    </row>
    <row r="3705" spans="19:21" ht="15" customHeight="1" x14ac:dyDescent="0.2">
      <c r="S3705" s="69">
        <f>_xlfn.XLOOKUP(Results!A3705,Geometry!$B$6:$B$10000,Geometry!$C$6:$C$10000)</f>
        <v>0</v>
      </c>
      <c r="T3705" s="69"/>
      <c r="U3705" s="69"/>
    </row>
    <row r="3706" spans="19:21" ht="15" customHeight="1" x14ac:dyDescent="0.2">
      <c r="S3706" s="69">
        <f>_xlfn.XLOOKUP(Results!A3706,Geometry!$B$6:$B$10000,Geometry!$C$6:$C$10000)</f>
        <v>0</v>
      </c>
      <c r="T3706" s="69"/>
      <c r="U3706" s="69"/>
    </row>
    <row r="3707" spans="19:21" ht="15" customHeight="1" x14ac:dyDescent="0.2">
      <c r="S3707" s="69">
        <f>_xlfn.XLOOKUP(Results!A3707,Geometry!$B$6:$B$10000,Geometry!$C$6:$C$10000)</f>
        <v>0</v>
      </c>
      <c r="T3707" s="69"/>
      <c r="U3707" s="69"/>
    </row>
    <row r="3708" spans="19:21" ht="15" customHeight="1" x14ac:dyDescent="0.2">
      <c r="S3708" s="69">
        <f>_xlfn.XLOOKUP(Results!A3708,Geometry!$B$6:$B$10000,Geometry!$C$6:$C$10000)</f>
        <v>0</v>
      </c>
      <c r="T3708" s="69"/>
      <c r="U3708" s="69"/>
    </row>
    <row r="3709" spans="19:21" ht="15" customHeight="1" x14ac:dyDescent="0.2">
      <c r="S3709" s="69">
        <f>_xlfn.XLOOKUP(Results!A3709,Geometry!$B$6:$B$10000,Geometry!$C$6:$C$10000)</f>
        <v>0</v>
      </c>
      <c r="T3709" s="69"/>
      <c r="U3709" s="69"/>
    </row>
    <row r="3710" spans="19:21" ht="15" customHeight="1" x14ac:dyDescent="0.2">
      <c r="S3710" s="69">
        <f>_xlfn.XLOOKUP(Results!A3710,Geometry!$B$6:$B$10000,Geometry!$C$6:$C$10000)</f>
        <v>0</v>
      </c>
      <c r="T3710" s="69"/>
      <c r="U3710" s="69"/>
    </row>
    <row r="3711" spans="19:21" ht="15" customHeight="1" x14ac:dyDescent="0.2">
      <c r="S3711" s="69">
        <f>_xlfn.XLOOKUP(Results!A3711,Geometry!$B$6:$B$10000,Geometry!$C$6:$C$10000)</f>
        <v>0</v>
      </c>
      <c r="T3711" s="69"/>
      <c r="U3711" s="69"/>
    </row>
    <row r="3712" spans="19:21" ht="15" customHeight="1" x14ac:dyDescent="0.2">
      <c r="S3712" s="69">
        <f>_xlfn.XLOOKUP(Results!A3712,Geometry!$B$6:$B$10000,Geometry!$C$6:$C$10000)</f>
        <v>0</v>
      </c>
      <c r="T3712" s="69"/>
      <c r="U3712" s="69"/>
    </row>
    <row r="3713" spans="19:21" ht="15" customHeight="1" x14ac:dyDescent="0.2">
      <c r="S3713" s="69">
        <f>_xlfn.XLOOKUP(Results!A3713,Geometry!$B$6:$B$10000,Geometry!$C$6:$C$10000)</f>
        <v>0</v>
      </c>
      <c r="T3713" s="69"/>
      <c r="U3713" s="69"/>
    </row>
    <row r="3714" spans="19:21" ht="15" customHeight="1" x14ac:dyDescent="0.2">
      <c r="S3714" s="69">
        <f>_xlfn.XLOOKUP(Results!A3714,Geometry!$B$6:$B$10000,Geometry!$C$6:$C$10000)</f>
        <v>0</v>
      </c>
      <c r="T3714" s="69"/>
      <c r="U3714" s="69"/>
    </row>
    <row r="3715" spans="19:21" ht="15" customHeight="1" x14ac:dyDescent="0.2">
      <c r="S3715" s="69">
        <f>_xlfn.XLOOKUP(Results!A3715,Geometry!$B$6:$B$10000,Geometry!$C$6:$C$10000)</f>
        <v>0</v>
      </c>
      <c r="T3715" s="69"/>
      <c r="U3715" s="69"/>
    </row>
    <row r="3716" spans="19:21" ht="15" customHeight="1" x14ac:dyDescent="0.2">
      <c r="S3716" s="69">
        <f>_xlfn.XLOOKUP(Results!A3716,Geometry!$B$6:$B$10000,Geometry!$C$6:$C$10000)</f>
        <v>0</v>
      </c>
      <c r="T3716" s="69"/>
      <c r="U3716" s="69"/>
    </row>
    <row r="3717" spans="19:21" ht="15" customHeight="1" x14ac:dyDescent="0.2">
      <c r="S3717" s="69">
        <f>_xlfn.XLOOKUP(Results!A3717,Geometry!$B$6:$B$10000,Geometry!$C$6:$C$10000)</f>
        <v>0</v>
      </c>
      <c r="T3717" s="69"/>
      <c r="U3717" s="69"/>
    </row>
    <row r="3718" spans="19:21" ht="15" customHeight="1" x14ac:dyDescent="0.2">
      <c r="S3718" s="69">
        <f>_xlfn.XLOOKUP(Results!A3718,Geometry!$B$6:$B$10000,Geometry!$C$6:$C$10000)</f>
        <v>0</v>
      </c>
      <c r="T3718" s="69"/>
      <c r="U3718" s="69"/>
    </row>
    <row r="3719" spans="19:21" ht="15" customHeight="1" x14ac:dyDescent="0.2">
      <c r="S3719" s="69">
        <f>_xlfn.XLOOKUP(Results!A3719,Geometry!$B$6:$B$10000,Geometry!$C$6:$C$10000)</f>
        <v>0</v>
      </c>
      <c r="T3719" s="69"/>
      <c r="U3719" s="69"/>
    </row>
    <row r="3720" spans="19:21" ht="15" customHeight="1" x14ac:dyDescent="0.2">
      <c r="S3720" s="69">
        <f>_xlfn.XLOOKUP(Results!A3720,Geometry!$B$6:$B$10000,Geometry!$C$6:$C$10000)</f>
        <v>0</v>
      </c>
      <c r="T3720" s="69"/>
      <c r="U3720" s="69"/>
    </row>
    <row r="3721" spans="19:21" ht="15" customHeight="1" x14ac:dyDescent="0.2">
      <c r="S3721" s="69">
        <f>_xlfn.XLOOKUP(Results!A3721,Geometry!$B$6:$B$10000,Geometry!$C$6:$C$10000)</f>
        <v>0</v>
      </c>
      <c r="T3721" s="69"/>
      <c r="U3721" s="69"/>
    </row>
    <row r="3722" spans="19:21" ht="15" customHeight="1" x14ac:dyDescent="0.2">
      <c r="S3722" s="69">
        <f>_xlfn.XLOOKUP(Results!A3722,Geometry!$B$6:$B$10000,Geometry!$C$6:$C$10000)</f>
        <v>0</v>
      </c>
      <c r="T3722" s="69"/>
      <c r="U3722" s="69"/>
    </row>
    <row r="3723" spans="19:21" ht="15" customHeight="1" x14ac:dyDescent="0.2">
      <c r="S3723" s="69">
        <f>_xlfn.XLOOKUP(Results!A3723,Geometry!$B$6:$B$10000,Geometry!$C$6:$C$10000)</f>
        <v>0</v>
      </c>
      <c r="T3723" s="69"/>
      <c r="U3723" s="69"/>
    </row>
    <row r="3724" spans="19:21" ht="15" customHeight="1" x14ac:dyDescent="0.2">
      <c r="S3724" s="69">
        <f>_xlfn.XLOOKUP(Results!A3724,Geometry!$B$6:$B$10000,Geometry!$C$6:$C$10000)</f>
        <v>0</v>
      </c>
      <c r="T3724" s="69"/>
      <c r="U3724" s="69"/>
    </row>
    <row r="3725" spans="19:21" ht="15" customHeight="1" x14ac:dyDescent="0.2">
      <c r="S3725" s="69">
        <f>_xlfn.XLOOKUP(Results!A3725,Geometry!$B$6:$B$10000,Geometry!$C$6:$C$10000)</f>
        <v>0</v>
      </c>
      <c r="T3725" s="69"/>
      <c r="U3725" s="69"/>
    </row>
    <row r="3726" spans="19:21" ht="15" customHeight="1" x14ac:dyDescent="0.2">
      <c r="S3726" s="69">
        <f>_xlfn.XLOOKUP(Results!A3726,Geometry!$B$6:$B$10000,Geometry!$C$6:$C$10000)</f>
        <v>0</v>
      </c>
      <c r="T3726" s="69"/>
      <c r="U3726" s="69"/>
    </row>
    <row r="3727" spans="19:21" ht="15" customHeight="1" x14ac:dyDescent="0.2">
      <c r="S3727" s="69">
        <f>_xlfn.XLOOKUP(Results!A3727,Geometry!$B$6:$B$10000,Geometry!$C$6:$C$10000)</f>
        <v>0</v>
      </c>
      <c r="T3727" s="69"/>
      <c r="U3727" s="69"/>
    </row>
    <row r="3728" spans="19:21" ht="15" customHeight="1" x14ac:dyDescent="0.2">
      <c r="S3728" s="69">
        <f>_xlfn.XLOOKUP(Results!A3728,Geometry!$B$6:$B$10000,Geometry!$C$6:$C$10000)</f>
        <v>0</v>
      </c>
      <c r="T3728" s="69"/>
      <c r="U3728" s="69"/>
    </row>
    <row r="3729" spans="19:21" ht="15" customHeight="1" x14ac:dyDescent="0.2">
      <c r="S3729" s="69">
        <f>_xlfn.XLOOKUP(Results!A3729,Geometry!$B$6:$B$10000,Geometry!$C$6:$C$10000)</f>
        <v>0</v>
      </c>
      <c r="T3729" s="69"/>
      <c r="U3729" s="69"/>
    </row>
    <row r="3730" spans="19:21" ht="15" customHeight="1" x14ac:dyDescent="0.2">
      <c r="S3730" s="69">
        <f>_xlfn.XLOOKUP(Results!A3730,Geometry!$B$6:$B$10000,Geometry!$C$6:$C$10000)</f>
        <v>0</v>
      </c>
      <c r="T3730" s="69"/>
      <c r="U3730" s="69"/>
    </row>
    <row r="3731" spans="19:21" ht="15" customHeight="1" x14ac:dyDescent="0.2">
      <c r="S3731" s="69">
        <f>_xlfn.XLOOKUP(Results!A3731,Geometry!$B$6:$B$10000,Geometry!$C$6:$C$10000)</f>
        <v>0</v>
      </c>
      <c r="T3731" s="69"/>
      <c r="U3731" s="69"/>
    </row>
    <row r="3732" spans="19:21" ht="15" customHeight="1" x14ac:dyDescent="0.2">
      <c r="S3732" s="69">
        <f>_xlfn.XLOOKUP(Results!A3732,Geometry!$B$6:$B$10000,Geometry!$C$6:$C$10000)</f>
        <v>0</v>
      </c>
      <c r="T3732" s="69"/>
      <c r="U3732" s="69"/>
    </row>
    <row r="3733" spans="19:21" ht="15" customHeight="1" x14ac:dyDescent="0.2">
      <c r="S3733" s="69">
        <f>_xlfn.XLOOKUP(Results!A3733,Geometry!$B$6:$B$10000,Geometry!$C$6:$C$10000)</f>
        <v>0</v>
      </c>
      <c r="T3733" s="69"/>
      <c r="U3733" s="69"/>
    </row>
    <row r="3734" spans="19:21" ht="15" customHeight="1" x14ac:dyDescent="0.2">
      <c r="S3734" s="69">
        <f>_xlfn.XLOOKUP(Results!A3734,Geometry!$B$6:$B$10000,Geometry!$C$6:$C$10000)</f>
        <v>0</v>
      </c>
      <c r="T3734" s="69"/>
      <c r="U3734" s="69"/>
    </row>
    <row r="3735" spans="19:21" ht="15" customHeight="1" x14ac:dyDescent="0.2">
      <c r="S3735" s="69">
        <f>_xlfn.XLOOKUP(Results!A3735,Geometry!$B$6:$B$10000,Geometry!$C$6:$C$10000)</f>
        <v>0</v>
      </c>
      <c r="T3735" s="69"/>
      <c r="U3735" s="69"/>
    </row>
    <row r="3736" spans="19:21" ht="15" customHeight="1" x14ac:dyDescent="0.2">
      <c r="S3736" s="69">
        <f>_xlfn.XLOOKUP(Results!A3736,Geometry!$B$6:$B$10000,Geometry!$C$6:$C$10000)</f>
        <v>0</v>
      </c>
      <c r="T3736" s="69"/>
      <c r="U3736" s="69"/>
    </row>
    <row r="3737" spans="19:21" ht="15" customHeight="1" x14ac:dyDescent="0.2">
      <c r="S3737" s="69">
        <f>_xlfn.XLOOKUP(Results!A3737,Geometry!$B$6:$B$10000,Geometry!$C$6:$C$10000)</f>
        <v>0</v>
      </c>
      <c r="T3737" s="69"/>
      <c r="U3737" s="69"/>
    </row>
    <row r="3738" spans="19:21" ht="15" customHeight="1" x14ac:dyDescent="0.2">
      <c r="S3738" s="69">
        <f>_xlfn.XLOOKUP(Results!A3738,Geometry!$B$6:$B$10000,Geometry!$C$6:$C$10000)</f>
        <v>0</v>
      </c>
      <c r="T3738" s="69"/>
      <c r="U3738" s="69"/>
    </row>
    <row r="3739" spans="19:21" ht="15" customHeight="1" x14ac:dyDescent="0.2">
      <c r="S3739" s="69">
        <f>_xlfn.XLOOKUP(Results!A3739,Geometry!$B$6:$B$10000,Geometry!$C$6:$C$10000)</f>
        <v>0</v>
      </c>
      <c r="T3739" s="69"/>
      <c r="U3739" s="69"/>
    </row>
    <row r="3740" spans="19:21" ht="15" customHeight="1" x14ac:dyDescent="0.2">
      <c r="S3740" s="69">
        <f>_xlfn.XLOOKUP(Results!A3740,Geometry!$B$6:$B$10000,Geometry!$C$6:$C$10000)</f>
        <v>0</v>
      </c>
      <c r="T3740" s="69"/>
      <c r="U3740" s="69"/>
    </row>
    <row r="3741" spans="19:21" ht="15" customHeight="1" x14ac:dyDescent="0.2">
      <c r="S3741" s="69">
        <f>_xlfn.XLOOKUP(Results!A3741,Geometry!$B$6:$B$10000,Geometry!$C$6:$C$10000)</f>
        <v>0</v>
      </c>
      <c r="T3741" s="69"/>
      <c r="U3741" s="69"/>
    </row>
    <row r="3742" spans="19:21" ht="15" customHeight="1" x14ac:dyDescent="0.2">
      <c r="S3742" s="69">
        <f>_xlfn.XLOOKUP(Results!A3742,Geometry!$B$6:$B$10000,Geometry!$C$6:$C$10000)</f>
        <v>0</v>
      </c>
      <c r="T3742" s="69"/>
      <c r="U3742" s="69"/>
    </row>
    <row r="3743" spans="19:21" ht="15" customHeight="1" x14ac:dyDescent="0.2">
      <c r="S3743" s="69">
        <f>_xlfn.XLOOKUP(Results!A3743,Geometry!$B$6:$B$10000,Geometry!$C$6:$C$10000)</f>
        <v>0</v>
      </c>
      <c r="T3743" s="69"/>
      <c r="U3743" s="69"/>
    </row>
    <row r="3744" spans="19:21" ht="15" customHeight="1" x14ac:dyDescent="0.2">
      <c r="S3744" s="69">
        <f>_xlfn.XLOOKUP(Results!A3744,Geometry!$B$6:$B$10000,Geometry!$C$6:$C$10000)</f>
        <v>0</v>
      </c>
      <c r="T3744" s="69"/>
      <c r="U3744" s="69"/>
    </row>
    <row r="3745" spans="19:21" ht="15" customHeight="1" x14ac:dyDescent="0.2">
      <c r="S3745" s="69">
        <f>_xlfn.XLOOKUP(Results!A3745,Geometry!$B$6:$B$10000,Geometry!$C$6:$C$10000)</f>
        <v>0</v>
      </c>
      <c r="T3745" s="69"/>
      <c r="U3745" s="69"/>
    </row>
    <row r="3746" spans="19:21" ht="15" customHeight="1" x14ac:dyDescent="0.2">
      <c r="S3746" s="69">
        <f>_xlfn.XLOOKUP(Results!A3746,Geometry!$B$6:$B$10000,Geometry!$C$6:$C$10000)</f>
        <v>0</v>
      </c>
      <c r="T3746" s="69"/>
      <c r="U3746" s="69"/>
    </row>
    <row r="3747" spans="19:21" ht="15" customHeight="1" x14ac:dyDescent="0.2">
      <c r="S3747" s="69">
        <f>_xlfn.XLOOKUP(Results!A3747,Geometry!$B$6:$B$10000,Geometry!$C$6:$C$10000)</f>
        <v>0</v>
      </c>
      <c r="T3747" s="69"/>
      <c r="U3747" s="69"/>
    </row>
    <row r="3748" spans="19:21" ht="15" customHeight="1" x14ac:dyDescent="0.2">
      <c r="S3748" s="69">
        <f>_xlfn.XLOOKUP(Results!A3748,Geometry!$B$6:$B$10000,Geometry!$C$6:$C$10000)</f>
        <v>0</v>
      </c>
      <c r="T3748" s="69"/>
      <c r="U3748" s="69"/>
    </row>
    <row r="3749" spans="19:21" ht="15" customHeight="1" x14ac:dyDescent="0.2">
      <c r="S3749" s="69">
        <f>_xlfn.XLOOKUP(Results!A3749,Geometry!$B$6:$B$10000,Geometry!$C$6:$C$10000)</f>
        <v>0</v>
      </c>
      <c r="T3749" s="69"/>
      <c r="U3749" s="69"/>
    </row>
    <row r="3750" spans="19:21" ht="15" customHeight="1" x14ac:dyDescent="0.2">
      <c r="S3750" s="69">
        <f>_xlfn.XLOOKUP(Results!A3750,Geometry!$B$6:$B$10000,Geometry!$C$6:$C$10000)</f>
        <v>0</v>
      </c>
      <c r="T3750" s="69"/>
      <c r="U3750" s="69"/>
    </row>
    <row r="3751" spans="19:21" ht="15" customHeight="1" x14ac:dyDescent="0.2">
      <c r="S3751" s="69">
        <f>_xlfn.XLOOKUP(Results!A3751,Geometry!$B$6:$B$10000,Geometry!$C$6:$C$10000)</f>
        <v>0</v>
      </c>
      <c r="T3751" s="69"/>
      <c r="U3751" s="69"/>
    </row>
    <row r="3752" spans="19:21" ht="15" customHeight="1" x14ac:dyDescent="0.2">
      <c r="S3752" s="69">
        <f>_xlfn.XLOOKUP(Results!A3752,Geometry!$B$6:$B$10000,Geometry!$C$6:$C$10000)</f>
        <v>0</v>
      </c>
      <c r="T3752" s="69"/>
      <c r="U3752" s="69"/>
    </row>
    <row r="3753" spans="19:21" ht="15" customHeight="1" x14ac:dyDescent="0.2">
      <c r="S3753" s="69">
        <f>_xlfn.XLOOKUP(Results!A3753,Geometry!$B$6:$B$10000,Geometry!$C$6:$C$10000)</f>
        <v>0</v>
      </c>
      <c r="T3753" s="69"/>
      <c r="U3753" s="69"/>
    </row>
    <row r="3754" spans="19:21" ht="15" customHeight="1" x14ac:dyDescent="0.2">
      <c r="S3754" s="69">
        <f>_xlfn.XLOOKUP(Results!A3754,Geometry!$B$6:$B$10000,Geometry!$C$6:$C$10000)</f>
        <v>0</v>
      </c>
      <c r="T3754" s="69"/>
      <c r="U3754" s="69"/>
    </row>
    <row r="3755" spans="19:21" ht="15" customHeight="1" x14ac:dyDescent="0.2">
      <c r="S3755" s="69">
        <f>_xlfn.XLOOKUP(Results!A3755,Geometry!$B$6:$B$10000,Geometry!$C$6:$C$10000)</f>
        <v>0</v>
      </c>
      <c r="T3755" s="69"/>
      <c r="U3755" s="69"/>
    </row>
    <row r="3756" spans="19:21" ht="15" customHeight="1" x14ac:dyDescent="0.2">
      <c r="S3756" s="69">
        <f>_xlfn.XLOOKUP(Results!A3756,Geometry!$B$6:$B$10000,Geometry!$C$6:$C$10000)</f>
        <v>0</v>
      </c>
      <c r="T3756" s="69"/>
      <c r="U3756" s="69"/>
    </row>
    <row r="3757" spans="19:21" ht="15" customHeight="1" x14ac:dyDescent="0.2">
      <c r="S3757" s="69">
        <f>_xlfn.XLOOKUP(Results!A3757,Geometry!$B$6:$B$10000,Geometry!$C$6:$C$10000)</f>
        <v>0</v>
      </c>
      <c r="T3757" s="69"/>
      <c r="U3757" s="69"/>
    </row>
    <row r="3758" spans="19:21" ht="15" customHeight="1" x14ac:dyDescent="0.2">
      <c r="S3758" s="69">
        <f>_xlfn.XLOOKUP(Results!A3758,Geometry!$B$6:$B$10000,Geometry!$C$6:$C$10000)</f>
        <v>0</v>
      </c>
      <c r="T3758" s="69"/>
      <c r="U3758" s="69"/>
    </row>
    <row r="3759" spans="19:21" ht="15" customHeight="1" x14ac:dyDescent="0.2">
      <c r="S3759" s="69">
        <f>_xlfn.XLOOKUP(Results!A3759,Geometry!$B$6:$B$10000,Geometry!$C$6:$C$10000)</f>
        <v>0</v>
      </c>
      <c r="T3759" s="69"/>
      <c r="U3759" s="69"/>
    </row>
    <row r="3760" spans="19:21" ht="15" customHeight="1" x14ac:dyDescent="0.2">
      <c r="S3760" s="69">
        <f>_xlfn.XLOOKUP(Results!A3760,Geometry!$B$6:$B$10000,Geometry!$C$6:$C$10000)</f>
        <v>0</v>
      </c>
      <c r="T3760" s="69"/>
      <c r="U3760" s="69"/>
    </row>
    <row r="3761" spans="19:21" ht="15" customHeight="1" x14ac:dyDescent="0.2">
      <c r="S3761" s="69">
        <f>_xlfn.XLOOKUP(Results!A3761,Geometry!$B$6:$B$10000,Geometry!$C$6:$C$10000)</f>
        <v>0</v>
      </c>
      <c r="T3761" s="69"/>
      <c r="U3761" s="69"/>
    </row>
    <row r="3762" spans="19:21" ht="15" customHeight="1" x14ac:dyDescent="0.2">
      <c r="S3762" s="69">
        <f>_xlfn.XLOOKUP(Results!A3762,Geometry!$B$6:$B$10000,Geometry!$C$6:$C$10000)</f>
        <v>0</v>
      </c>
      <c r="T3762" s="69"/>
      <c r="U3762" s="69"/>
    </row>
    <row r="3763" spans="19:21" ht="15" customHeight="1" x14ac:dyDescent="0.2">
      <c r="S3763" s="69">
        <f>_xlfn.XLOOKUP(Results!A3763,Geometry!$B$6:$B$10000,Geometry!$C$6:$C$10000)</f>
        <v>0</v>
      </c>
      <c r="T3763" s="69"/>
      <c r="U3763" s="69"/>
    </row>
    <row r="3764" spans="19:21" ht="15" customHeight="1" x14ac:dyDescent="0.2">
      <c r="S3764" s="69">
        <f>_xlfn.XLOOKUP(Results!A3764,Geometry!$B$6:$B$10000,Geometry!$C$6:$C$10000)</f>
        <v>0</v>
      </c>
      <c r="T3764" s="69"/>
      <c r="U3764" s="69"/>
    </row>
    <row r="3765" spans="19:21" ht="15" customHeight="1" x14ac:dyDescent="0.2">
      <c r="S3765" s="69">
        <f>_xlfn.XLOOKUP(Results!A3765,Geometry!$B$6:$B$10000,Geometry!$C$6:$C$10000)</f>
        <v>0</v>
      </c>
      <c r="T3765" s="69"/>
      <c r="U3765" s="69"/>
    </row>
    <row r="3766" spans="19:21" ht="15" customHeight="1" x14ac:dyDescent="0.2">
      <c r="S3766" s="69">
        <f>_xlfn.XLOOKUP(Results!A3766,Geometry!$B$6:$B$10000,Geometry!$C$6:$C$10000)</f>
        <v>0</v>
      </c>
      <c r="T3766" s="69"/>
      <c r="U3766" s="69"/>
    </row>
    <row r="3767" spans="19:21" ht="15" customHeight="1" x14ac:dyDescent="0.2">
      <c r="S3767" s="69">
        <f>_xlfn.XLOOKUP(Results!A3767,Geometry!$B$6:$B$10000,Geometry!$C$6:$C$10000)</f>
        <v>0</v>
      </c>
      <c r="T3767" s="69"/>
      <c r="U3767" s="69"/>
    </row>
    <row r="3768" spans="19:21" ht="15" customHeight="1" x14ac:dyDescent="0.2">
      <c r="S3768" s="69">
        <f>_xlfn.XLOOKUP(Results!A3768,Geometry!$B$6:$B$10000,Geometry!$C$6:$C$10000)</f>
        <v>0</v>
      </c>
      <c r="T3768" s="69"/>
      <c r="U3768" s="69"/>
    </row>
    <row r="3769" spans="19:21" ht="15" customHeight="1" x14ac:dyDescent="0.2">
      <c r="S3769" s="69">
        <f>_xlfn.XLOOKUP(Results!A3769,Geometry!$B$6:$B$10000,Geometry!$C$6:$C$10000)</f>
        <v>0</v>
      </c>
      <c r="T3769" s="69"/>
      <c r="U3769" s="69"/>
    </row>
    <row r="3770" spans="19:21" ht="15" customHeight="1" x14ac:dyDescent="0.2">
      <c r="S3770" s="69">
        <f>_xlfn.XLOOKUP(Results!A3770,Geometry!$B$6:$B$10000,Geometry!$C$6:$C$10000)</f>
        <v>0</v>
      </c>
      <c r="T3770" s="69"/>
      <c r="U3770" s="69"/>
    </row>
    <row r="3771" spans="19:21" ht="15" customHeight="1" x14ac:dyDescent="0.2">
      <c r="S3771" s="69">
        <f>_xlfn.XLOOKUP(Results!A3771,Geometry!$B$6:$B$10000,Geometry!$C$6:$C$10000)</f>
        <v>0</v>
      </c>
      <c r="T3771" s="69"/>
      <c r="U3771" s="69"/>
    </row>
    <row r="3772" spans="19:21" ht="15" customHeight="1" x14ac:dyDescent="0.2">
      <c r="S3772" s="69">
        <f>_xlfn.XLOOKUP(Results!A3772,Geometry!$B$6:$B$10000,Geometry!$C$6:$C$10000)</f>
        <v>0</v>
      </c>
      <c r="T3772" s="69"/>
      <c r="U3772" s="69"/>
    </row>
    <row r="3773" spans="19:21" ht="15" customHeight="1" x14ac:dyDescent="0.2">
      <c r="S3773" s="69">
        <f>_xlfn.XLOOKUP(Results!A3773,Geometry!$B$6:$B$10000,Geometry!$C$6:$C$10000)</f>
        <v>0</v>
      </c>
      <c r="T3773" s="69"/>
      <c r="U3773" s="69"/>
    </row>
    <row r="3774" spans="19:21" ht="15" customHeight="1" x14ac:dyDescent="0.2">
      <c r="S3774" s="69">
        <f>_xlfn.XLOOKUP(Results!A3774,Geometry!$B$6:$B$10000,Geometry!$C$6:$C$10000)</f>
        <v>0</v>
      </c>
      <c r="T3774" s="69"/>
      <c r="U3774" s="69"/>
    </row>
    <row r="3775" spans="19:21" ht="15" customHeight="1" x14ac:dyDescent="0.2">
      <c r="S3775" s="69">
        <f>_xlfn.XLOOKUP(Results!A3775,Geometry!$B$6:$B$10000,Geometry!$C$6:$C$10000)</f>
        <v>0</v>
      </c>
      <c r="T3775" s="69"/>
      <c r="U3775" s="69"/>
    </row>
    <row r="3776" spans="19:21" ht="15" customHeight="1" x14ac:dyDescent="0.2">
      <c r="S3776" s="69">
        <f>_xlfn.XLOOKUP(Results!A3776,Geometry!$B$6:$B$10000,Geometry!$C$6:$C$10000)</f>
        <v>0</v>
      </c>
      <c r="T3776" s="69"/>
      <c r="U3776" s="69"/>
    </row>
    <row r="3777" spans="19:21" ht="15" customHeight="1" x14ac:dyDescent="0.2">
      <c r="S3777" s="69">
        <f>_xlfn.XLOOKUP(Results!A3777,Geometry!$B$6:$B$10000,Geometry!$C$6:$C$10000)</f>
        <v>0</v>
      </c>
      <c r="T3777" s="69"/>
      <c r="U3777" s="69"/>
    </row>
    <row r="3778" spans="19:21" ht="15" customHeight="1" x14ac:dyDescent="0.2">
      <c r="S3778" s="69">
        <f>_xlfn.XLOOKUP(Results!A3778,Geometry!$B$6:$B$10000,Geometry!$C$6:$C$10000)</f>
        <v>0</v>
      </c>
      <c r="T3778" s="69"/>
      <c r="U3778" s="69"/>
    </row>
    <row r="3779" spans="19:21" ht="15" customHeight="1" x14ac:dyDescent="0.2">
      <c r="S3779" s="69">
        <f>_xlfn.XLOOKUP(Results!A3779,Geometry!$B$6:$B$10000,Geometry!$C$6:$C$10000)</f>
        <v>0</v>
      </c>
      <c r="T3779" s="69"/>
      <c r="U3779" s="69"/>
    </row>
    <row r="3780" spans="19:21" ht="15" customHeight="1" x14ac:dyDescent="0.2">
      <c r="S3780" s="69">
        <f>_xlfn.XLOOKUP(Results!A3780,Geometry!$B$6:$B$10000,Geometry!$C$6:$C$10000)</f>
        <v>0</v>
      </c>
      <c r="T3780" s="69"/>
      <c r="U3780" s="69"/>
    </row>
    <row r="3781" spans="19:21" ht="15" customHeight="1" x14ac:dyDescent="0.2">
      <c r="S3781" s="69">
        <f>_xlfn.XLOOKUP(Results!A3781,Geometry!$B$6:$B$10000,Geometry!$C$6:$C$10000)</f>
        <v>0</v>
      </c>
      <c r="T3781" s="69"/>
      <c r="U3781" s="69"/>
    </row>
    <row r="3782" spans="19:21" ht="15" customHeight="1" x14ac:dyDescent="0.2">
      <c r="S3782" s="69">
        <f>_xlfn.XLOOKUP(Results!A3782,Geometry!$B$6:$B$10000,Geometry!$C$6:$C$10000)</f>
        <v>0</v>
      </c>
      <c r="T3782" s="69"/>
      <c r="U3782" s="69"/>
    </row>
    <row r="3783" spans="19:21" ht="15" customHeight="1" x14ac:dyDescent="0.2">
      <c r="S3783" s="69">
        <f>_xlfn.XLOOKUP(Results!A3783,Geometry!$B$6:$B$10000,Geometry!$C$6:$C$10000)</f>
        <v>0</v>
      </c>
      <c r="T3783" s="69"/>
      <c r="U3783" s="69"/>
    </row>
    <row r="3784" spans="19:21" ht="15" customHeight="1" x14ac:dyDescent="0.2">
      <c r="S3784" s="69">
        <f>_xlfn.XLOOKUP(Results!A3784,Geometry!$B$6:$B$10000,Geometry!$C$6:$C$10000)</f>
        <v>0</v>
      </c>
      <c r="T3784" s="69"/>
      <c r="U3784" s="69"/>
    </row>
    <row r="3785" spans="19:21" ht="15" customHeight="1" x14ac:dyDescent="0.2">
      <c r="S3785" s="69">
        <f>_xlfn.XLOOKUP(Results!A3785,Geometry!$B$6:$B$10000,Geometry!$C$6:$C$10000)</f>
        <v>0</v>
      </c>
      <c r="T3785" s="69"/>
      <c r="U3785" s="69"/>
    </row>
    <row r="3786" spans="19:21" ht="15" customHeight="1" x14ac:dyDescent="0.2">
      <c r="S3786" s="69">
        <f>_xlfn.XLOOKUP(Results!A3786,Geometry!$B$6:$B$10000,Geometry!$C$6:$C$10000)</f>
        <v>0</v>
      </c>
      <c r="T3786" s="69"/>
      <c r="U3786" s="69"/>
    </row>
    <row r="3787" spans="19:21" ht="15" customHeight="1" x14ac:dyDescent="0.2">
      <c r="S3787" s="69">
        <f>_xlfn.XLOOKUP(Results!A3787,Geometry!$B$6:$B$10000,Geometry!$C$6:$C$10000)</f>
        <v>0</v>
      </c>
      <c r="T3787" s="69"/>
      <c r="U3787" s="69"/>
    </row>
    <row r="3788" spans="19:21" ht="15" customHeight="1" x14ac:dyDescent="0.2">
      <c r="S3788" s="69">
        <f>_xlfn.XLOOKUP(Results!A3788,Geometry!$B$6:$B$10000,Geometry!$C$6:$C$10000)</f>
        <v>0</v>
      </c>
      <c r="T3788" s="69"/>
      <c r="U3788" s="69"/>
    </row>
    <row r="3789" spans="19:21" ht="15" customHeight="1" x14ac:dyDescent="0.2">
      <c r="S3789" s="69">
        <f>_xlfn.XLOOKUP(Results!A3789,Geometry!$B$6:$B$10000,Geometry!$C$6:$C$10000)</f>
        <v>0</v>
      </c>
      <c r="T3789" s="69"/>
      <c r="U3789" s="69"/>
    </row>
    <row r="3790" spans="19:21" ht="15" customHeight="1" x14ac:dyDescent="0.2">
      <c r="S3790" s="69">
        <f>_xlfn.XLOOKUP(Results!A3790,Geometry!$B$6:$B$10000,Geometry!$C$6:$C$10000)</f>
        <v>0</v>
      </c>
      <c r="T3790" s="69"/>
      <c r="U3790" s="69"/>
    </row>
    <row r="3791" spans="19:21" ht="15" customHeight="1" x14ac:dyDescent="0.2">
      <c r="S3791" s="69">
        <f>_xlfn.XLOOKUP(Results!A3791,Geometry!$B$6:$B$10000,Geometry!$C$6:$C$10000)</f>
        <v>0</v>
      </c>
      <c r="T3791" s="69"/>
      <c r="U3791" s="69"/>
    </row>
    <row r="3792" spans="19:21" ht="15" customHeight="1" x14ac:dyDescent="0.2">
      <c r="S3792" s="69">
        <f>_xlfn.XLOOKUP(Results!A3792,Geometry!$B$6:$B$10000,Geometry!$C$6:$C$10000)</f>
        <v>0</v>
      </c>
      <c r="T3792" s="69"/>
      <c r="U3792" s="69"/>
    </row>
    <row r="3793" spans="19:21" ht="15" customHeight="1" x14ac:dyDescent="0.2">
      <c r="S3793" s="69">
        <f>_xlfn.XLOOKUP(Results!A3793,Geometry!$B$6:$B$10000,Geometry!$C$6:$C$10000)</f>
        <v>0</v>
      </c>
      <c r="T3793" s="69"/>
      <c r="U3793" s="69"/>
    </row>
    <row r="3794" spans="19:21" ht="15" customHeight="1" x14ac:dyDescent="0.2">
      <c r="S3794" s="69">
        <f>_xlfn.XLOOKUP(Results!A3794,Geometry!$B$6:$B$10000,Geometry!$C$6:$C$10000)</f>
        <v>0</v>
      </c>
      <c r="T3794" s="69"/>
      <c r="U3794" s="69"/>
    </row>
    <row r="3795" spans="19:21" ht="15" customHeight="1" x14ac:dyDescent="0.2">
      <c r="S3795" s="69">
        <f>_xlfn.XLOOKUP(Results!A3795,Geometry!$B$6:$B$10000,Geometry!$C$6:$C$10000)</f>
        <v>0</v>
      </c>
      <c r="T3795" s="69"/>
      <c r="U3795" s="69"/>
    </row>
    <row r="3796" spans="19:21" ht="15" customHeight="1" x14ac:dyDescent="0.2">
      <c r="S3796" s="69">
        <f>_xlfn.XLOOKUP(Results!A3796,Geometry!$B$6:$B$10000,Geometry!$C$6:$C$10000)</f>
        <v>0</v>
      </c>
      <c r="T3796" s="69"/>
      <c r="U3796" s="69"/>
    </row>
    <row r="3797" spans="19:21" ht="15" customHeight="1" x14ac:dyDescent="0.2">
      <c r="S3797" s="69">
        <f>_xlfn.XLOOKUP(Results!A3797,Geometry!$B$6:$B$10000,Geometry!$C$6:$C$10000)</f>
        <v>0</v>
      </c>
      <c r="T3797" s="69"/>
      <c r="U3797" s="69"/>
    </row>
    <row r="3798" spans="19:21" ht="15" customHeight="1" x14ac:dyDescent="0.2">
      <c r="S3798" s="69">
        <f>_xlfn.XLOOKUP(Results!A3798,Geometry!$B$6:$B$10000,Geometry!$C$6:$C$10000)</f>
        <v>0</v>
      </c>
      <c r="T3798" s="69"/>
      <c r="U3798" s="69"/>
    </row>
    <row r="3799" spans="19:21" ht="15" customHeight="1" x14ac:dyDescent="0.2">
      <c r="S3799" s="69">
        <f>_xlfn.XLOOKUP(Results!A3799,Geometry!$B$6:$B$10000,Geometry!$C$6:$C$10000)</f>
        <v>0</v>
      </c>
      <c r="T3799" s="69"/>
      <c r="U3799" s="69"/>
    </row>
    <row r="3800" spans="19:21" ht="15" customHeight="1" x14ac:dyDescent="0.2">
      <c r="S3800" s="69">
        <f>_xlfn.XLOOKUP(Results!A3800,Geometry!$B$6:$B$10000,Geometry!$C$6:$C$10000)</f>
        <v>0</v>
      </c>
      <c r="T3800" s="69"/>
      <c r="U3800" s="69"/>
    </row>
    <row r="3801" spans="19:21" ht="15" customHeight="1" x14ac:dyDescent="0.2">
      <c r="S3801" s="69">
        <f>_xlfn.XLOOKUP(Results!A3801,Geometry!$B$6:$B$10000,Geometry!$C$6:$C$10000)</f>
        <v>0</v>
      </c>
      <c r="T3801" s="69"/>
      <c r="U3801" s="69"/>
    </row>
    <row r="3802" spans="19:21" ht="15" customHeight="1" x14ac:dyDescent="0.2">
      <c r="S3802" s="69">
        <f>_xlfn.XLOOKUP(Results!A3802,Geometry!$B$6:$B$10000,Geometry!$C$6:$C$10000)</f>
        <v>0</v>
      </c>
      <c r="T3802" s="69"/>
      <c r="U3802" s="69"/>
    </row>
    <row r="3803" spans="19:21" ht="15" customHeight="1" x14ac:dyDescent="0.2">
      <c r="S3803" s="69">
        <f>_xlfn.XLOOKUP(Results!A3803,Geometry!$B$6:$B$10000,Geometry!$C$6:$C$10000)</f>
        <v>0</v>
      </c>
      <c r="T3803" s="69"/>
      <c r="U3803" s="69"/>
    </row>
    <row r="3804" spans="19:21" ht="15" customHeight="1" x14ac:dyDescent="0.2">
      <c r="S3804" s="69">
        <f>_xlfn.XLOOKUP(Results!A3804,Geometry!$B$6:$B$10000,Geometry!$C$6:$C$10000)</f>
        <v>0</v>
      </c>
      <c r="T3804" s="69"/>
      <c r="U3804" s="69"/>
    </row>
    <row r="3805" spans="19:21" ht="15" customHeight="1" x14ac:dyDescent="0.2">
      <c r="S3805" s="69">
        <f>_xlfn.XLOOKUP(Results!A3805,Geometry!$B$6:$B$10000,Geometry!$C$6:$C$10000)</f>
        <v>0</v>
      </c>
      <c r="T3805" s="69"/>
      <c r="U3805" s="69"/>
    </row>
    <row r="3806" spans="19:21" ht="15" customHeight="1" x14ac:dyDescent="0.2">
      <c r="S3806" s="69">
        <f>_xlfn.XLOOKUP(Results!A3806,Geometry!$B$6:$B$10000,Geometry!$C$6:$C$10000)</f>
        <v>0</v>
      </c>
      <c r="T3806" s="69"/>
      <c r="U3806" s="69"/>
    </row>
    <row r="3807" spans="19:21" ht="15" customHeight="1" x14ac:dyDescent="0.2">
      <c r="S3807" s="69">
        <f>_xlfn.XLOOKUP(Results!A3807,Geometry!$B$6:$B$10000,Geometry!$C$6:$C$10000)</f>
        <v>0</v>
      </c>
      <c r="T3807" s="69"/>
      <c r="U3807" s="69"/>
    </row>
    <row r="3808" spans="19:21" ht="15" customHeight="1" x14ac:dyDescent="0.2">
      <c r="S3808" s="69">
        <f>_xlfn.XLOOKUP(Results!A3808,Geometry!$B$6:$B$10000,Geometry!$C$6:$C$10000)</f>
        <v>0</v>
      </c>
      <c r="T3808" s="69"/>
      <c r="U3808" s="69"/>
    </row>
    <row r="3809" spans="19:21" ht="15" customHeight="1" x14ac:dyDescent="0.2">
      <c r="S3809" s="69">
        <f>_xlfn.XLOOKUP(Results!A3809,Geometry!$B$6:$B$10000,Geometry!$C$6:$C$10000)</f>
        <v>0</v>
      </c>
      <c r="T3809" s="69"/>
      <c r="U3809" s="69"/>
    </row>
    <row r="3810" spans="19:21" ht="15" customHeight="1" x14ac:dyDescent="0.2">
      <c r="S3810" s="69">
        <f>_xlfn.XLOOKUP(Results!A3810,Geometry!$B$6:$B$10000,Geometry!$C$6:$C$10000)</f>
        <v>0</v>
      </c>
      <c r="T3810" s="69"/>
      <c r="U3810" s="69"/>
    </row>
    <row r="3811" spans="19:21" ht="15" customHeight="1" x14ac:dyDescent="0.2">
      <c r="S3811" s="69">
        <f>_xlfn.XLOOKUP(Results!A3811,Geometry!$B$6:$B$10000,Geometry!$C$6:$C$10000)</f>
        <v>0</v>
      </c>
      <c r="T3811" s="69"/>
      <c r="U3811" s="69"/>
    </row>
    <row r="3812" spans="19:21" ht="15" customHeight="1" x14ac:dyDescent="0.2">
      <c r="S3812" s="69">
        <f>_xlfn.XLOOKUP(Results!A3812,Geometry!$B$6:$B$10000,Geometry!$C$6:$C$10000)</f>
        <v>0</v>
      </c>
      <c r="T3812" s="69"/>
      <c r="U3812" s="69"/>
    </row>
    <row r="3813" spans="19:21" ht="15" customHeight="1" x14ac:dyDescent="0.2">
      <c r="S3813" s="69">
        <f>_xlfn.XLOOKUP(Results!A3813,Geometry!$B$6:$B$10000,Geometry!$C$6:$C$10000)</f>
        <v>0</v>
      </c>
      <c r="T3813" s="69"/>
      <c r="U3813" s="69"/>
    </row>
    <row r="3814" spans="19:21" ht="15" customHeight="1" x14ac:dyDescent="0.2">
      <c r="S3814" s="69">
        <f>_xlfn.XLOOKUP(Results!A3814,Geometry!$B$6:$B$10000,Geometry!$C$6:$C$10000)</f>
        <v>0</v>
      </c>
      <c r="T3814" s="69"/>
      <c r="U3814" s="69"/>
    </row>
    <row r="3815" spans="19:21" ht="15" customHeight="1" x14ac:dyDescent="0.2">
      <c r="S3815" s="69">
        <f>_xlfn.XLOOKUP(Results!A3815,Geometry!$B$6:$B$10000,Geometry!$C$6:$C$10000)</f>
        <v>0</v>
      </c>
      <c r="T3815" s="69"/>
      <c r="U3815" s="69"/>
    </row>
    <row r="3816" spans="19:21" ht="15" customHeight="1" x14ac:dyDescent="0.2">
      <c r="S3816" s="69">
        <f>_xlfn.XLOOKUP(Results!A3816,Geometry!$B$6:$B$10000,Geometry!$C$6:$C$10000)</f>
        <v>0</v>
      </c>
      <c r="T3816" s="69"/>
      <c r="U3816" s="69"/>
    </row>
    <row r="3817" spans="19:21" ht="15" customHeight="1" x14ac:dyDescent="0.2">
      <c r="S3817" s="69">
        <f>_xlfn.XLOOKUP(Results!A3817,Geometry!$B$6:$B$10000,Geometry!$C$6:$C$10000)</f>
        <v>0</v>
      </c>
      <c r="T3817" s="69"/>
      <c r="U3817" s="69"/>
    </row>
    <row r="3818" spans="19:21" ht="15" customHeight="1" x14ac:dyDescent="0.2">
      <c r="S3818" s="69">
        <f>_xlfn.XLOOKUP(Results!A3818,Geometry!$B$6:$B$10000,Geometry!$C$6:$C$10000)</f>
        <v>0</v>
      </c>
      <c r="T3818" s="69"/>
      <c r="U3818" s="69"/>
    </row>
    <row r="3819" spans="19:21" ht="15" customHeight="1" x14ac:dyDescent="0.2">
      <c r="S3819" s="69">
        <f>_xlfn.XLOOKUP(Results!A3819,Geometry!$B$6:$B$10000,Geometry!$C$6:$C$10000)</f>
        <v>0</v>
      </c>
      <c r="T3819" s="69"/>
      <c r="U3819" s="69"/>
    </row>
    <row r="3820" spans="19:21" ht="15" customHeight="1" x14ac:dyDescent="0.2">
      <c r="S3820" s="69">
        <f>_xlfn.XLOOKUP(Results!A3820,Geometry!$B$6:$B$10000,Geometry!$C$6:$C$10000)</f>
        <v>0</v>
      </c>
      <c r="T3820" s="69"/>
      <c r="U3820" s="69"/>
    </row>
    <row r="3821" spans="19:21" ht="15" customHeight="1" x14ac:dyDescent="0.2">
      <c r="S3821" s="69">
        <f>_xlfn.XLOOKUP(Results!A3821,Geometry!$B$6:$B$10000,Geometry!$C$6:$C$10000)</f>
        <v>0</v>
      </c>
      <c r="T3821" s="69"/>
      <c r="U3821" s="69"/>
    </row>
    <row r="3822" spans="19:21" ht="15" customHeight="1" x14ac:dyDescent="0.2">
      <c r="S3822" s="69">
        <f>_xlfn.XLOOKUP(Results!A3822,Geometry!$B$6:$B$10000,Geometry!$C$6:$C$10000)</f>
        <v>0</v>
      </c>
      <c r="T3822" s="69"/>
      <c r="U3822" s="69"/>
    </row>
    <row r="3823" spans="19:21" ht="15" customHeight="1" x14ac:dyDescent="0.2">
      <c r="S3823" s="69">
        <f>_xlfn.XLOOKUP(Results!A3823,Geometry!$B$6:$B$10000,Geometry!$C$6:$C$10000)</f>
        <v>0</v>
      </c>
      <c r="T3823" s="69"/>
      <c r="U3823" s="69"/>
    </row>
    <row r="3824" spans="19:21" ht="15" customHeight="1" x14ac:dyDescent="0.2">
      <c r="S3824" s="69">
        <f>_xlfn.XLOOKUP(Results!A3824,Geometry!$B$6:$B$10000,Geometry!$C$6:$C$10000)</f>
        <v>0</v>
      </c>
      <c r="T3824" s="69"/>
      <c r="U3824" s="69"/>
    </row>
    <row r="3825" spans="19:21" ht="15" customHeight="1" x14ac:dyDescent="0.2">
      <c r="S3825" s="69">
        <f>_xlfn.XLOOKUP(Results!A3825,Geometry!$B$6:$B$10000,Geometry!$C$6:$C$10000)</f>
        <v>0</v>
      </c>
      <c r="T3825" s="69"/>
      <c r="U3825" s="69"/>
    </row>
    <row r="3826" spans="19:21" ht="15" customHeight="1" x14ac:dyDescent="0.2">
      <c r="S3826" s="69">
        <f>_xlfn.XLOOKUP(Results!A3826,Geometry!$B$6:$B$10000,Geometry!$C$6:$C$10000)</f>
        <v>0</v>
      </c>
      <c r="T3826" s="69"/>
      <c r="U3826" s="69"/>
    </row>
    <row r="3827" spans="19:21" ht="15" customHeight="1" x14ac:dyDescent="0.2">
      <c r="S3827" s="69">
        <f>_xlfn.XLOOKUP(Results!A3827,Geometry!$B$6:$B$10000,Geometry!$C$6:$C$10000)</f>
        <v>0</v>
      </c>
      <c r="T3827" s="69"/>
      <c r="U3827" s="69"/>
    </row>
    <row r="3828" spans="19:21" ht="15" customHeight="1" x14ac:dyDescent="0.2">
      <c r="S3828" s="69">
        <f>_xlfn.XLOOKUP(Results!A3828,Geometry!$B$6:$B$10000,Geometry!$C$6:$C$10000)</f>
        <v>0</v>
      </c>
      <c r="T3828" s="69"/>
      <c r="U3828" s="69"/>
    </row>
    <row r="3829" spans="19:21" ht="15" customHeight="1" x14ac:dyDescent="0.2">
      <c r="S3829" s="69">
        <f>_xlfn.XLOOKUP(Results!A3829,Geometry!$B$6:$B$10000,Geometry!$C$6:$C$10000)</f>
        <v>0</v>
      </c>
      <c r="T3829" s="69"/>
      <c r="U3829" s="69"/>
    </row>
    <row r="3830" spans="19:21" ht="15" customHeight="1" x14ac:dyDescent="0.2">
      <c r="S3830" s="69">
        <f>_xlfn.XLOOKUP(Results!A3830,Geometry!$B$6:$B$10000,Geometry!$C$6:$C$10000)</f>
        <v>0</v>
      </c>
      <c r="T3830" s="69"/>
      <c r="U3830" s="69"/>
    </row>
    <row r="3831" spans="19:21" ht="15" customHeight="1" x14ac:dyDescent="0.2">
      <c r="S3831" s="69">
        <f>_xlfn.XLOOKUP(Results!A3831,Geometry!$B$6:$B$10000,Geometry!$C$6:$C$10000)</f>
        <v>0</v>
      </c>
      <c r="T3831" s="69"/>
      <c r="U3831" s="69"/>
    </row>
    <row r="3832" spans="19:21" ht="15" customHeight="1" x14ac:dyDescent="0.2">
      <c r="S3832" s="69">
        <f>_xlfn.XLOOKUP(Results!A3832,Geometry!$B$6:$B$10000,Geometry!$C$6:$C$10000)</f>
        <v>0</v>
      </c>
      <c r="T3832" s="69"/>
      <c r="U3832" s="69"/>
    </row>
    <row r="3833" spans="19:21" ht="15" customHeight="1" x14ac:dyDescent="0.2">
      <c r="S3833" s="69">
        <f>_xlfn.XLOOKUP(Results!A3833,Geometry!$B$6:$B$10000,Geometry!$C$6:$C$10000)</f>
        <v>0</v>
      </c>
      <c r="T3833" s="69"/>
      <c r="U3833" s="69"/>
    </row>
    <row r="3834" spans="19:21" ht="15" customHeight="1" x14ac:dyDescent="0.2">
      <c r="S3834" s="69">
        <f>_xlfn.XLOOKUP(Results!A3834,Geometry!$B$6:$B$10000,Geometry!$C$6:$C$10000)</f>
        <v>0</v>
      </c>
      <c r="T3834" s="69"/>
      <c r="U3834" s="69"/>
    </row>
    <row r="3835" spans="19:21" ht="15" customHeight="1" x14ac:dyDescent="0.2">
      <c r="S3835" s="69">
        <f>_xlfn.XLOOKUP(Results!A3835,Geometry!$B$6:$B$10000,Geometry!$C$6:$C$10000)</f>
        <v>0</v>
      </c>
      <c r="T3835" s="69"/>
      <c r="U3835" s="69"/>
    </row>
    <row r="3836" spans="19:21" ht="15" customHeight="1" x14ac:dyDescent="0.2">
      <c r="S3836" s="69">
        <f>_xlfn.XLOOKUP(Results!A3836,Geometry!$B$6:$B$10000,Geometry!$C$6:$C$10000)</f>
        <v>0</v>
      </c>
      <c r="T3836" s="69"/>
      <c r="U3836" s="69"/>
    </row>
    <row r="3837" spans="19:21" ht="15" customHeight="1" x14ac:dyDescent="0.2">
      <c r="S3837" s="69">
        <f>_xlfn.XLOOKUP(Results!A3837,Geometry!$B$6:$B$10000,Geometry!$C$6:$C$10000)</f>
        <v>0</v>
      </c>
      <c r="T3837" s="69"/>
      <c r="U3837" s="69"/>
    </row>
    <row r="3838" spans="19:21" ht="15" customHeight="1" x14ac:dyDescent="0.2">
      <c r="S3838" s="69">
        <f>_xlfn.XLOOKUP(Results!A3838,Geometry!$B$6:$B$10000,Geometry!$C$6:$C$10000)</f>
        <v>0</v>
      </c>
      <c r="T3838" s="69"/>
      <c r="U3838" s="69"/>
    </row>
    <row r="3839" spans="19:21" ht="15" customHeight="1" x14ac:dyDescent="0.2">
      <c r="S3839" s="69">
        <f>_xlfn.XLOOKUP(Results!A3839,Geometry!$B$6:$B$10000,Geometry!$C$6:$C$10000)</f>
        <v>0</v>
      </c>
      <c r="T3839" s="69"/>
      <c r="U3839" s="69"/>
    </row>
    <row r="3840" spans="19:21" ht="15" customHeight="1" x14ac:dyDescent="0.2">
      <c r="S3840" s="69">
        <f>_xlfn.XLOOKUP(Results!A3840,Geometry!$B$6:$B$10000,Geometry!$C$6:$C$10000)</f>
        <v>0</v>
      </c>
      <c r="T3840" s="69"/>
      <c r="U3840" s="69"/>
    </row>
    <row r="3841" spans="19:21" ht="15" customHeight="1" x14ac:dyDescent="0.2">
      <c r="S3841" s="69">
        <f>_xlfn.XLOOKUP(Results!A3841,Geometry!$B$6:$B$10000,Geometry!$C$6:$C$10000)</f>
        <v>0</v>
      </c>
      <c r="T3841" s="69"/>
      <c r="U3841" s="69"/>
    </row>
    <row r="3842" spans="19:21" ht="15" customHeight="1" x14ac:dyDescent="0.2">
      <c r="S3842" s="69">
        <f>_xlfn.XLOOKUP(Results!A3842,Geometry!$B$6:$B$10000,Geometry!$C$6:$C$10000)</f>
        <v>0</v>
      </c>
      <c r="T3842" s="69"/>
      <c r="U3842" s="69"/>
    </row>
    <row r="3843" spans="19:21" ht="15" customHeight="1" x14ac:dyDescent="0.2">
      <c r="S3843" s="69">
        <f>_xlfn.XLOOKUP(Results!A3843,Geometry!$B$6:$B$10000,Geometry!$C$6:$C$10000)</f>
        <v>0</v>
      </c>
      <c r="T3843" s="69"/>
      <c r="U3843" s="69"/>
    </row>
    <row r="3844" spans="19:21" ht="15" customHeight="1" x14ac:dyDescent="0.2">
      <c r="S3844" s="69">
        <f>_xlfn.XLOOKUP(Results!A3844,Geometry!$B$6:$B$10000,Geometry!$C$6:$C$10000)</f>
        <v>0</v>
      </c>
      <c r="T3844" s="69"/>
      <c r="U3844" s="69"/>
    </row>
    <row r="3845" spans="19:21" ht="15" customHeight="1" x14ac:dyDescent="0.2">
      <c r="S3845" s="69">
        <f>_xlfn.XLOOKUP(Results!A3845,Geometry!$B$6:$B$10000,Geometry!$C$6:$C$10000)</f>
        <v>0</v>
      </c>
      <c r="T3845" s="69"/>
      <c r="U3845" s="69"/>
    </row>
    <row r="3846" spans="19:21" ht="15" customHeight="1" x14ac:dyDescent="0.2">
      <c r="S3846" s="69">
        <f>_xlfn.XLOOKUP(Results!A3846,Geometry!$B$6:$B$10000,Geometry!$C$6:$C$10000)</f>
        <v>0</v>
      </c>
      <c r="T3846" s="69"/>
      <c r="U3846" s="69"/>
    </row>
    <row r="3847" spans="19:21" ht="15" customHeight="1" x14ac:dyDescent="0.2">
      <c r="S3847" s="69">
        <f>_xlfn.XLOOKUP(Results!A3847,Geometry!$B$6:$B$10000,Geometry!$C$6:$C$10000)</f>
        <v>0</v>
      </c>
      <c r="T3847" s="69"/>
      <c r="U3847" s="69"/>
    </row>
    <row r="3848" spans="19:21" ht="15" customHeight="1" x14ac:dyDescent="0.2">
      <c r="S3848" s="69">
        <f>_xlfn.XLOOKUP(Results!A3848,Geometry!$B$6:$B$10000,Geometry!$C$6:$C$10000)</f>
        <v>0</v>
      </c>
      <c r="T3848" s="69"/>
      <c r="U3848" s="69"/>
    </row>
    <row r="3849" spans="19:21" ht="15" customHeight="1" x14ac:dyDescent="0.2">
      <c r="S3849" s="69">
        <f>_xlfn.XLOOKUP(Results!A3849,Geometry!$B$6:$B$10000,Geometry!$C$6:$C$10000)</f>
        <v>0</v>
      </c>
      <c r="T3849" s="69"/>
      <c r="U3849" s="69"/>
    </row>
    <row r="3850" spans="19:21" ht="15" customHeight="1" x14ac:dyDescent="0.2">
      <c r="S3850" s="69">
        <f>_xlfn.XLOOKUP(Results!A3850,Geometry!$B$6:$B$10000,Geometry!$C$6:$C$10000)</f>
        <v>0</v>
      </c>
      <c r="T3850" s="69"/>
      <c r="U3850" s="69"/>
    </row>
    <row r="3851" spans="19:21" ht="15" customHeight="1" x14ac:dyDescent="0.2">
      <c r="S3851" s="69">
        <f>_xlfn.XLOOKUP(Results!A3851,Geometry!$B$6:$B$10000,Geometry!$C$6:$C$10000)</f>
        <v>0</v>
      </c>
      <c r="T3851" s="69"/>
      <c r="U3851" s="69"/>
    </row>
    <row r="3852" spans="19:21" ht="15" customHeight="1" x14ac:dyDescent="0.2">
      <c r="S3852" s="69">
        <f>_xlfn.XLOOKUP(Results!A3852,Geometry!$B$6:$B$10000,Geometry!$C$6:$C$10000)</f>
        <v>0</v>
      </c>
      <c r="T3852" s="69"/>
      <c r="U3852" s="69"/>
    </row>
    <row r="3853" spans="19:21" ht="15" customHeight="1" x14ac:dyDescent="0.2">
      <c r="S3853" s="69">
        <f>_xlfn.XLOOKUP(Results!A3853,Geometry!$B$6:$B$10000,Geometry!$C$6:$C$10000)</f>
        <v>0</v>
      </c>
      <c r="T3853" s="69"/>
      <c r="U3853" s="69"/>
    </row>
    <row r="3854" spans="19:21" ht="15" customHeight="1" x14ac:dyDescent="0.2">
      <c r="S3854" s="69">
        <f>_xlfn.XLOOKUP(Results!A3854,Geometry!$B$6:$B$10000,Geometry!$C$6:$C$10000)</f>
        <v>0</v>
      </c>
      <c r="T3854" s="69"/>
      <c r="U3854" s="69"/>
    </row>
    <row r="3855" spans="19:21" ht="15" customHeight="1" x14ac:dyDescent="0.2">
      <c r="S3855" s="69">
        <f>_xlfn.XLOOKUP(Results!A3855,Geometry!$B$6:$B$10000,Geometry!$C$6:$C$10000)</f>
        <v>0</v>
      </c>
      <c r="T3855" s="69"/>
      <c r="U3855" s="69"/>
    </row>
    <row r="3856" spans="19:21" ht="15" customHeight="1" x14ac:dyDescent="0.2">
      <c r="S3856" s="69">
        <f>_xlfn.XLOOKUP(Results!A3856,Geometry!$B$6:$B$10000,Geometry!$C$6:$C$10000)</f>
        <v>0</v>
      </c>
      <c r="T3856" s="69"/>
      <c r="U3856" s="69"/>
    </row>
    <row r="3857" spans="19:21" ht="15" customHeight="1" x14ac:dyDescent="0.2">
      <c r="S3857" s="69">
        <f>_xlfn.XLOOKUP(Results!A3857,Geometry!$B$6:$B$10000,Geometry!$C$6:$C$10000)</f>
        <v>0</v>
      </c>
      <c r="T3857" s="69"/>
      <c r="U3857" s="69"/>
    </row>
    <row r="3858" spans="19:21" ht="15" customHeight="1" x14ac:dyDescent="0.2">
      <c r="S3858" s="69">
        <f>_xlfn.XLOOKUP(Results!A3858,Geometry!$B$6:$B$10000,Geometry!$C$6:$C$10000)</f>
        <v>0</v>
      </c>
      <c r="T3858" s="69"/>
      <c r="U3858" s="69"/>
    </row>
    <row r="3859" spans="19:21" ht="15" customHeight="1" x14ac:dyDescent="0.2">
      <c r="S3859" s="69">
        <f>_xlfn.XLOOKUP(Results!A3859,Geometry!$B$6:$B$10000,Geometry!$C$6:$C$10000)</f>
        <v>0</v>
      </c>
      <c r="T3859" s="69"/>
      <c r="U3859" s="69"/>
    </row>
    <row r="3860" spans="19:21" ht="15" customHeight="1" x14ac:dyDescent="0.2">
      <c r="S3860" s="69">
        <f>_xlfn.XLOOKUP(Results!A3860,Geometry!$B$6:$B$10000,Geometry!$C$6:$C$10000)</f>
        <v>0</v>
      </c>
      <c r="T3860" s="69"/>
      <c r="U3860" s="69"/>
    </row>
    <row r="3861" spans="19:21" ht="15" customHeight="1" x14ac:dyDescent="0.2">
      <c r="S3861" s="69">
        <f>_xlfn.XLOOKUP(Results!A3861,Geometry!$B$6:$B$10000,Geometry!$C$6:$C$10000)</f>
        <v>0</v>
      </c>
      <c r="T3861" s="69"/>
      <c r="U3861" s="69"/>
    </row>
    <row r="3862" spans="19:21" ht="15" customHeight="1" x14ac:dyDescent="0.2">
      <c r="S3862" s="69">
        <f>_xlfn.XLOOKUP(Results!A3862,Geometry!$B$6:$B$10000,Geometry!$C$6:$C$10000)</f>
        <v>0</v>
      </c>
      <c r="T3862" s="69"/>
      <c r="U3862" s="69"/>
    </row>
    <row r="3863" spans="19:21" ht="15" customHeight="1" x14ac:dyDescent="0.2">
      <c r="S3863" s="69">
        <f>_xlfn.XLOOKUP(Results!A3863,Geometry!$B$6:$B$10000,Geometry!$C$6:$C$10000)</f>
        <v>0</v>
      </c>
      <c r="T3863" s="69"/>
      <c r="U3863" s="69"/>
    </row>
    <row r="3864" spans="19:21" ht="15" customHeight="1" x14ac:dyDescent="0.2">
      <c r="S3864" s="69">
        <f>_xlfn.XLOOKUP(Results!A3864,Geometry!$B$6:$B$10000,Geometry!$C$6:$C$10000)</f>
        <v>0</v>
      </c>
      <c r="T3864" s="69"/>
      <c r="U3864" s="69"/>
    </row>
    <row r="3865" spans="19:21" ht="15" customHeight="1" x14ac:dyDescent="0.2">
      <c r="S3865" s="69">
        <f>_xlfn.XLOOKUP(Results!A3865,Geometry!$B$6:$B$10000,Geometry!$C$6:$C$10000)</f>
        <v>0</v>
      </c>
      <c r="T3865" s="69"/>
      <c r="U3865" s="69"/>
    </row>
    <row r="3866" spans="19:21" ht="15" customHeight="1" x14ac:dyDescent="0.2">
      <c r="S3866" s="69">
        <f>_xlfn.XLOOKUP(Results!A3866,Geometry!$B$6:$B$10000,Geometry!$C$6:$C$10000)</f>
        <v>0</v>
      </c>
      <c r="T3866" s="69"/>
      <c r="U3866" s="69"/>
    </row>
    <row r="3867" spans="19:21" ht="15" customHeight="1" x14ac:dyDescent="0.2">
      <c r="S3867" s="69">
        <f>_xlfn.XLOOKUP(Results!A3867,Geometry!$B$6:$B$10000,Geometry!$C$6:$C$10000)</f>
        <v>0</v>
      </c>
      <c r="T3867" s="69"/>
      <c r="U3867" s="69"/>
    </row>
    <row r="3868" spans="19:21" ht="15" customHeight="1" x14ac:dyDescent="0.2">
      <c r="S3868" s="69">
        <f>_xlfn.XLOOKUP(Results!A3868,Geometry!$B$6:$B$10000,Geometry!$C$6:$C$10000)</f>
        <v>0</v>
      </c>
      <c r="T3868" s="69"/>
      <c r="U3868" s="69"/>
    </row>
    <row r="3869" spans="19:21" ht="15" customHeight="1" x14ac:dyDescent="0.2">
      <c r="S3869" s="69">
        <f>_xlfn.XLOOKUP(Results!A3869,Geometry!$B$6:$B$10000,Geometry!$C$6:$C$10000)</f>
        <v>0</v>
      </c>
      <c r="T3869" s="69"/>
      <c r="U3869" s="69"/>
    </row>
    <row r="3870" spans="19:21" ht="15" customHeight="1" x14ac:dyDescent="0.2">
      <c r="S3870" s="69">
        <f>_xlfn.XLOOKUP(Results!A3870,Geometry!$B$6:$B$10000,Geometry!$C$6:$C$10000)</f>
        <v>0</v>
      </c>
      <c r="T3870" s="69"/>
      <c r="U3870" s="69"/>
    </row>
    <row r="3871" spans="19:21" ht="15" customHeight="1" x14ac:dyDescent="0.2">
      <c r="S3871" s="69">
        <f>_xlfn.XLOOKUP(Results!A3871,Geometry!$B$6:$B$10000,Geometry!$C$6:$C$10000)</f>
        <v>0</v>
      </c>
      <c r="T3871" s="69"/>
      <c r="U3871" s="69"/>
    </row>
    <row r="3872" spans="19:21" ht="15" customHeight="1" x14ac:dyDescent="0.2">
      <c r="S3872" s="69">
        <f>_xlfn.XLOOKUP(Results!A3872,Geometry!$B$6:$B$10000,Geometry!$C$6:$C$10000)</f>
        <v>0</v>
      </c>
      <c r="T3872" s="69"/>
      <c r="U3872" s="69"/>
    </row>
    <row r="3873" spans="19:21" ht="15" customHeight="1" x14ac:dyDescent="0.2">
      <c r="S3873" s="69">
        <f>_xlfn.XLOOKUP(Results!A3873,Geometry!$B$6:$B$10000,Geometry!$C$6:$C$10000)</f>
        <v>0</v>
      </c>
      <c r="T3873" s="69"/>
      <c r="U3873" s="69"/>
    </row>
    <row r="3874" spans="19:21" ht="15" customHeight="1" x14ac:dyDescent="0.2">
      <c r="S3874" s="69">
        <f>_xlfn.XLOOKUP(Results!A3874,Geometry!$B$6:$B$10000,Geometry!$C$6:$C$10000)</f>
        <v>0</v>
      </c>
      <c r="T3874" s="69"/>
      <c r="U3874" s="69"/>
    </row>
    <row r="3875" spans="19:21" ht="15" customHeight="1" x14ac:dyDescent="0.2">
      <c r="S3875" s="69">
        <f>_xlfn.XLOOKUP(Results!A3875,Geometry!$B$6:$B$10000,Geometry!$C$6:$C$10000)</f>
        <v>0</v>
      </c>
      <c r="T3875" s="69"/>
      <c r="U3875" s="69"/>
    </row>
    <row r="3876" spans="19:21" ht="15" customHeight="1" x14ac:dyDescent="0.2">
      <c r="S3876" s="69">
        <f>_xlfn.XLOOKUP(Results!A3876,Geometry!$B$6:$B$10000,Geometry!$C$6:$C$10000)</f>
        <v>0</v>
      </c>
      <c r="T3876" s="69"/>
      <c r="U3876" s="69"/>
    </row>
    <row r="3877" spans="19:21" ht="15" customHeight="1" x14ac:dyDescent="0.2">
      <c r="S3877" s="69">
        <f>_xlfn.XLOOKUP(Results!A3877,Geometry!$B$6:$B$10000,Geometry!$C$6:$C$10000)</f>
        <v>0</v>
      </c>
      <c r="T3877" s="69"/>
      <c r="U3877" s="69"/>
    </row>
    <row r="3878" spans="19:21" ht="15" customHeight="1" x14ac:dyDescent="0.2">
      <c r="S3878" s="69">
        <f>_xlfn.XLOOKUP(Results!A3878,Geometry!$B$6:$B$10000,Geometry!$C$6:$C$10000)</f>
        <v>0</v>
      </c>
      <c r="T3878" s="69"/>
      <c r="U3878" s="69"/>
    </row>
    <row r="3879" spans="19:21" ht="15" customHeight="1" x14ac:dyDescent="0.2">
      <c r="S3879" s="69">
        <f>_xlfn.XLOOKUP(Results!A3879,Geometry!$B$6:$B$10000,Geometry!$C$6:$C$10000)</f>
        <v>0</v>
      </c>
      <c r="T3879" s="69"/>
      <c r="U3879" s="69"/>
    </row>
    <row r="3880" spans="19:21" ht="15" customHeight="1" x14ac:dyDescent="0.2">
      <c r="S3880" s="69">
        <f>_xlfn.XLOOKUP(Results!A3880,Geometry!$B$6:$B$10000,Geometry!$C$6:$C$10000)</f>
        <v>0</v>
      </c>
      <c r="T3880" s="69"/>
      <c r="U3880" s="69"/>
    </row>
    <row r="3881" spans="19:21" ht="15" customHeight="1" x14ac:dyDescent="0.2">
      <c r="S3881" s="69">
        <f>_xlfn.XLOOKUP(Results!A3881,Geometry!$B$6:$B$10000,Geometry!$C$6:$C$10000)</f>
        <v>0</v>
      </c>
      <c r="T3881" s="69"/>
      <c r="U3881" s="69"/>
    </row>
    <row r="3882" spans="19:21" ht="15" customHeight="1" x14ac:dyDescent="0.2">
      <c r="S3882" s="69">
        <f>_xlfn.XLOOKUP(Results!A3882,Geometry!$B$6:$B$10000,Geometry!$C$6:$C$10000)</f>
        <v>0</v>
      </c>
      <c r="T3882" s="69"/>
      <c r="U3882" s="69"/>
    </row>
    <row r="3883" spans="19:21" ht="15" customHeight="1" x14ac:dyDescent="0.2">
      <c r="S3883" s="69">
        <f>_xlfn.XLOOKUP(Results!A3883,Geometry!$B$6:$B$10000,Geometry!$C$6:$C$10000)</f>
        <v>0</v>
      </c>
      <c r="T3883" s="69"/>
      <c r="U3883" s="69"/>
    </row>
    <row r="3884" spans="19:21" ht="15" customHeight="1" x14ac:dyDescent="0.2">
      <c r="S3884" s="69">
        <f>_xlfn.XLOOKUP(Results!A3884,Geometry!$B$6:$B$10000,Geometry!$C$6:$C$10000)</f>
        <v>0</v>
      </c>
      <c r="T3884" s="69"/>
      <c r="U3884" s="69"/>
    </row>
    <row r="3885" spans="19:21" ht="15" customHeight="1" x14ac:dyDescent="0.2">
      <c r="S3885" s="69">
        <f>_xlfn.XLOOKUP(Results!A3885,Geometry!$B$6:$B$10000,Geometry!$C$6:$C$10000)</f>
        <v>0</v>
      </c>
      <c r="T3885" s="69"/>
      <c r="U3885" s="69"/>
    </row>
    <row r="3886" spans="19:21" ht="15" customHeight="1" x14ac:dyDescent="0.2">
      <c r="S3886" s="69">
        <f>_xlfn.XLOOKUP(Results!A3886,Geometry!$B$6:$B$10000,Geometry!$C$6:$C$10000)</f>
        <v>0</v>
      </c>
      <c r="T3886" s="69"/>
      <c r="U3886" s="69"/>
    </row>
    <row r="3887" spans="19:21" ht="15" customHeight="1" x14ac:dyDescent="0.2">
      <c r="S3887" s="69">
        <f>_xlfn.XLOOKUP(Results!A3887,Geometry!$B$6:$B$10000,Geometry!$C$6:$C$10000)</f>
        <v>0</v>
      </c>
      <c r="T3887" s="69"/>
      <c r="U3887" s="69"/>
    </row>
    <row r="3888" spans="19:21" ht="15" customHeight="1" x14ac:dyDescent="0.2">
      <c r="S3888" s="69">
        <f>_xlfn.XLOOKUP(Results!A3888,Geometry!$B$6:$B$10000,Geometry!$C$6:$C$10000)</f>
        <v>0</v>
      </c>
      <c r="T3888" s="69"/>
      <c r="U3888" s="69"/>
    </row>
    <row r="3889" spans="19:21" ht="15" customHeight="1" x14ac:dyDescent="0.2">
      <c r="S3889" s="69">
        <f>_xlfn.XLOOKUP(Results!A3889,Geometry!$B$6:$B$10000,Geometry!$C$6:$C$10000)</f>
        <v>0</v>
      </c>
      <c r="T3889" s="69"/>
      <c r="U3889" s="69"/>
    </row>
    <row r="3890" spans="19:21" ht="15" customHeight="1" x14ac:dyDescent="0.2">
      <c r="S3890" s="69">
        <f>_xlfn.XLOOKUP(Results!A3890,Geometry!$B$6:$B$10000,Geometry!$C$6:$C$10000)</f>
        <v>0</v>
      </c>
      <c r="T3890" s="69"/>
      <c r="U3890" s="69"/>
    </row>
    <row r="3891" spans="19:21" ht="15" customHeight="1" x14ac:dyDescent="0.2">
      <c r="S3891" s="69">
        <f>_xlfn.XLOOKUP(Results!A3891,Geometry!$B$6:$B$10000,Geometry!$C$6:$C$10000)</f>
        <v>0</v>
      </c>
      <c r="T3891" s="69"/>
      <c r="U3891" s="69"/>
    </row>
    <row r="3892" spans="19:21" ht="15" customHeight="1" x14ac:dyDescent="0.2">
      <c r="S3892" s="69">
        <f>_xlfn.XLOOKUP(Results!A3892,Geometry!$B$6:$B$10000,Geometry!$C$6:$C$10000)</f>
        <v>0</v>
      </c>
      <c r="T3892" s="69"/>
      <c r="U3892" s="69"/>
    </row>
    <row r="3893" spans="19:21" ht="15" customHeight="1" x14ac:dyDescent="0.2">
      <c r="S3893" s="69">
        <f>_xlfn.XLOOKUP(Results!A3893,Geometry!$B$6:$B$10000,Geometry!$C$6:$C$10000)</f>
        <v>0</v>
      </c>
      <c r="T3893" s="69"/>
      <c r="U3893" s="69"/>
    </row>
    <row r="3894" spans="19:21" ht="15" customHeight="1" x14ac:dyDescent="0.2">
      <c r="S3894" s="69">
        <f>_xlfn.XLOOKUP(Results!A3894,Geometry!$B$6:$B$10000,Geometry!$C$6:$C$10000)</f>
        <v>0</v>
      </c>
      <c r="T3894" s="69"/>
      <c r="U3894" s="69"/>
    </row>
    <row r="3895" spans="19:21" ht="15" customHeight="1" x14ac:dyDescent="0.2">
      <c r="S3895" s="69">
        <f>_xlfn.XLOOKUP(Results!A3895,Geometry!$B$6:$B$10000,Geometry!$C$6:$C$10000)</f>
        <v>0</v>
      </c>
      <c r="T3895" s="69"/>
      <c r="U3895" s="69"/>
    </row>
    <row r="3896" spans="19:21" ht="15" customHeight="1" x14ac:dyDescent="0.2">
      <c r="S3896" s="69">
        <f>_xlfn.XLOOKUP(Results!A3896,Geometry!$B$6:$B$10000,Geometry!$C$6:$C$10000)</f>
        <v>0</v>
      </c>
      <c r="T3896" s="69"/>
      <c r="U3896" s="69"/>
    </row>
    <row r="3897" spans="19:21" ht="15" customHeight="1" x14ac:dyDescent="0.2">
      <c r="S3897" s="69">
        <f>_xlfn.XLOOKUP(Results!A3897,Geometry!$B$6:$B$10000,Geometry!$C$6:$C$10000)</f>
        <v>0</v>
      </c>
      <c r="T3897" s="69"/>
      <c r="U3897" s="69"/>
    </row>
    <row r="3898" spans="19:21" ht="15" customHeight="1" x14ac:dyDescent="0.2">
      <c r="S3898" s="69">
        <f>_xlfn.XLOOKUP(Results!A3898,Geometry!$B$6:$B$10000,Geometry!$C$6:$C$10000)</f>
        <v>0</v>
      </c>
      <c r="T3898" s="69"/>
      <c r="U3898" s="69"/>
    </row>
    <row r="3899" spans="19:21" ht="15" customHeight="1" x14ac:dyDescent="0.2">
      <c r="S3899" s="69">
        <f>_xlfn.XLOOKUP(Results!A3899,Geometry!$B$6:$B$10000,Geometry!$C$6:$C$10000)</f>
        <v>0</v>
      </c>
      <c r="T3899" s="69"/>
      <c r="U3899" s="69"/>
    </row>
    <row r="3900" spans="19:21" ht="15" customHeight="1" x14ac:dyDescent="0.2">
      <c r="S3900" s="69">
        <f>_xlfn.XLOOKUP(Results!A3900,Geometry!$B$6:$B$10000,Geometry!$C$6:$C$10000)</f>
        <v>0</v>
      </c>
      <c r="T3900" s="69"/>
      <c r="U3900" s="69"/>
    </row>
    <row r="3901" spans="19:21" ht="15" customHeight="1" x14ac:dyDescent="0.2">
      <c r="S3901" s="69">
        <f>_xlfn.XLOOKUP(Results!A3901,Geometry!$B$6:$B$10000,Geometry!$C$6:$C$10000)</f>
        <v>0</v>
      </c>
      <c r="T3901" s="69"/>
      <c r="U3901" s="69"/>
    </row>
    <row r="3902" spans="19:21" ht="15" customHeight="1" x14ac:dyDescent="0.2">
      <c r="S3902" s="69">
        <f>_xlfn.XLOOKUP(Results!A3902,Geometry!$B$6:$B$10000,Geometry!$C$6:$C$10000)</f>
        <v>0</v>
      </c>
      <c r="T3902" s="69"/>
      <c r="U3902" s="69"/>
    </row>
    <row r="3903" spans="19:21" ht="15" customHeight="1" x14ac:dyDescent="0.2">
      <c r="S3903" s="69">
        <f>_xlfn.XLOOKUP(Results!A3903,Geometry!$B$6:$B$10000,Geometry!$C$6:$C$10000)</f>
        <v>0</v>
      </c>
      <c r="T3903" s="69"/>
      <c r="U3903" s="69"/>
    </row>
    <row r="3904" spans="19:21" ht="15" customHeight="1" x14ac:dyDescent="0.2">
      <c r="S3904" s="69">
        <f>_xlfn.XLOOKUP(Results!A3904,Geometry!$B$6:$B$10000,Geometry!$C$6:$C$10000)</f>
        <v>0</v>
      </c>
      <c r="T3904" s="69"/>
      <c r="U3904" s="69"/>
    </row>
    <row r="3905" spans="19:21" ht="15" customHeight="1" x14ac:dyDescent="0.2">
      <c r="S3905" s="69">
        <f>_xlfn.XLOOKUP(Results!A3905,Geometry!$B$6:$B$10000,Geometry!$C$6:$C$10000)</f>
        <v>0</v>
      </c>
      <c r="T3905" s="69"/>
      <c r="U3905" s="69"/>
    </row>
    <row r="3906" spans="19:21" ht="15" customHeight="1" x14ac:dyDescent="0.2">
      <c r="S3906" s="69">
        <f>_xlfn.XLOOKUP(Results!A3906,Geometry!$B$6:$B$10000,Geometry!$C$6:$C$10000)</f>
        <v>0</v>
      </c>
      <c r="T3906" s="69"/>
      <c r="U3906" s="69"/>
    </row>
    <row r="3907" spans="19:21" ht="15" customHeight="1" x14ac:dyDescent="0.2">
      <c r="S3907" s="69">
        <f>_xlfn.XLOOKUP(Results!A3907,Geometry!$B$6:$B$10000,Geometry!$C$6:$C$10000)</f>
        <v>0</v>
      </c>
      <c r="T3907" s="69"/>
      <c r="U3907" s="69"/>
    </row>
    <row r="3908" spans="19:21" ht="15" customHeight="1" x14ac:dyDescent="0.2">
      <c r="S3908" s="69">
        <f>_xlfn.XLOOKUP(Results!A3908,Geometry!$B$6:$B$10000,Geometry!$C$6:$C$10000)</f>
        <v>0</v>
      </c>
      <c r="T3908" s="69"/>
      <c r="U3908" s="69"/>
    </row>
    <row r="3909" spans="19:21" ht="15" customHeight="1" x14ac:dyDescent="0.2">
      <c r="S3909" s="69">
        <f>_xlfn.XLOOKUP(Results!A3909,Geometry!$B$6:$B$10000,Geometry!$C$6:$C$10000)</f>
        <v>0</v>
      </c>
      <c r="T3909" s="69"/>
      <c r="U3909" s="69"/>
    </row>
    <row r="3910" spans="19:21" ht="15" customHeight="1" x14ac:dyDescent="0.2">
      <c r="S3910" s="69">
        <f>_xlfn.XLOOKUP(Results!A3910,Geometry!$B$6:$B$10000,Geometry!$C$6:$C$10000)</f>
        <v>0</v>
      </c>
      <c r="T3910" s="69"/>
      <c r="U3910" s="69"/>
    </row>
    <row r="3911" spans="19:21" ht="15" customHeight="1" x14ac:dyDescent="0.2">
      <c r="S3911" s="69">
        <f>_xlfn.XLOOKUP(Results!A3911,Geometry!$B$6:$B$10000,Geometry!$C$6:$C$10000)</f>
        <v>0</v>
      </c>
      <c r="T3911" s="69"/>
      <c r="U3911" s="69"/>
    </row>
    <row r="3912" spans="19:21" ht="15" customHeight="1" x14ac:dyDescent="0.2">
      <c r="S3912" s="69">
        <f>_xlfn.XLOOKUP(Results!A3912,Geometry!$B$6:$B$10000,Geometry!$C$6:$C$10000)</f>
        <v>0</v>
      </c>
      <c r="T3912" s="69"/>
      <c r="U3912" s="69"/>
    </row>
    <row r="3913" spans="19:21" ht="15" customHeight="1" x14ac:dyDescent="0.2">
      <c r="S3913" s="69">
        <f>_xlfn.XLOOKUP(Results!A3913,Geometry!$B$6:$B$10000,Geometry!$C$6:$C$10000)</f>
        <v>0</v>
      </c>
      <c r="T3913" s="69"/>
      <c r="U3913" s="69"/>
    </row>
    <row r="3914" spans="19:21" ht="15" customHeight="1" x14ac:dyDescent="0.2">
      <c r="S3914" s="69">
        <f>_xlfn.XLOOKUP(Results!A3914,Geometry!$B$6:$B$10000,Geometry!$C$6:$C$10000)</f>
        <v>0</v>
      </c>
      <c r="T3914" s="69"/>
      <c r="U3914" s="69"/>
    </row>
    <row r="3915" spans="19:21" ht="15" customHeight="1" x14ac:dyDescent="0.2">
      <c r="S3915" s="69">
        <f>_xlfn.XLOOKUP(Results!A3915,Geometry!$B$6:$B$10000,Geometry!$C$6:$C$10000)</f>
        <v>0</v>
      </c>
      <c r="T3915" s="69"/>
      <c r="U3915" s="69"/>
    </row>
    <row r="3916" spans="19:21" ht="15" customHeight="1" x14ac:dyDescent="0.2">
      <c r="S3916" s="69">
        <f>_xlfn.XLOOKUP(Results!A3916,Geometry!$B$6:$B$10000,Geometry!$C$6:$C$10000)</f>
        <v>0</v>
      </c>
      <c r="T3916" s="69"/>
      <c r="U3916" s="69"/>
    </row>
    <row r="3917" spans="19:21" ht="15" customHeight="1" x14ac:dyDescent="0.2">
      <c r="S3917" s="69">
        <f>_xlfn.XLOOKUP(Results!A3917,Geometry!$B$6:$B$10000,Geometry!$C$6:$C$10000)</f>
        <v>0</v>
      </c>
      <c r="T3917" s="69"/>
      <c r="U3917" s="69"/>
    </row>
    <row r="3918" spans="19:21" ht="15" customHeight="1" x14ac:dyDescent="0.2">
      <c r="S3918" s="69">
        <f>_xlfn.XLOOKUP(Results!A3918,Geometry!$B$6:$B$10000,Geometry!$C$6:$C$10000)</f>
        <v>0</v>
      </c>
      <c r="T3918" s="69"/>
      <c r="U3918" s="69"/>
    </row>
    <row r="3919" spans="19:21" ht="15" customHeight="1" x14ac:dyDescent="0.2">
      <c r="S3919" s="69">
        <f>_xlfn.XLOOKUP(Results!A3919,Geometry!$B$6:$B$10000,Geometry!$C$6:$C$10000)</f>
        <v>0</v>
      </c>
      <c r="T3919" s="69"/>
      <c r="U3919" s="69"/>
    </row>
    <row r="3920" spans="19:21" ht="15" customHeight="1" x14ac:dyDescent="0.2">
      <c r="S3920" s="69">
        <f>_xlfn.XLOOKUP(Results!A3920,Geometry!$B$6:$B$10000,Geometry!$C$6:$C$10000)</f>
        <v>0</v>
      </c>
      <c r="T3920" s="69"/>
      <c r="U3920" s="69"/>
    </row>
    <row r="3921" spans="19:21" ht="15" customHeight="1" x14ac:dyDescent="0.2">
      <c r="S3921" s="69">
        <f>_xlfn.XLOOKUP(Results!A3921,Geometry!$B$6:$B$10000,Geometry!$C$6:$C$10000)</f>
        <v>0</v>
      </c>
      <c r="T3921" s="69"/>
      <c r="U3921" s="69"/>
    </row>
    <row r="3922" spans="19:21" ht="15" customHeight="1" x14ac:dyDescent="0.2">
      <c r="S3922" s="69">
        <f>_xlfn.XLOOKUP(Results!A3922,Geometry!$B$6:$B$10000,Geometry!$C$6:$C$10000)</f>
        <v>0</v>
      </c>
      <c r="T3922" s="69"/>
      <c r="U3922" s="69"/>
    </row>
    <row r="3923" spans="19:21" ht="15" customHeight="1" x14ac:dyDescent="0.2">
      <c r="S3923" s="69">
        <f>_xlfn.XLOOKUP(Results!A3923,Geometry!$B$6:$B$10000,Geometry!$C$6:$C$10000)</f>
        <v>0</v>
      </c>
      <c r="T3923" s="69"/>
      <c r="U3923" s="69"/>
    </row>
    <row r="3924" spans="19:21" ht="15" customHeight="1" x14ac:dyDescent="0.2">
      <c r="S3924" s="69">
        <f>_xlfn.XLOOKUP(Results!A3924,Geometry!$B$6:$B$10000,Geometry!$C$6:$C$10000)</f>
        <v>0</v>
      </c>
      <c r="T3924" s="69"/>
      <c r="U3924" s="69"/>
    </row>
    <row r="3925" spans="19:21" ht="15" customHeight="1" x14ac:dyDescent="0.2">
      <c r="S3925" s="69">
        <f>_xlfn.XLOOKUP(Results!A3925,Geometry!$B$6:$B$10000,Geometry!$C$6:$C$10000)</f>
        <v>0</v>
      </c>
      <c r="T3925" s="69"/>
      <c r="U3925" s="69"/>
    </row>
    <row r="3926" spans="19:21" ht="15" customHeight="1" x14ac:dyDescent="0.2">
      <c r="S3926" s="69">
        <f>_xlfn.XLOOKUP(Results!A3926,Geometry!$B$6:$B$10000,Geometry!$C$6:$C$10000)</f>
        <v>0</v>
      </c>
      <c r="T3926" s="69"/>
      <c r="U3926" s="69"/>
    </row>
    <row r="3927" spans="19:21" ht="15" customHeight="1" x14ac:dyDescent="0.2">
      <c r="S3927" s="69">
        <f>_xlfn.XLOOKUP(Results!A3927,Geometry!$B$6:$B$10000,Geometry!$C$6:$C$10000)</f>
        <v>0</v>
      </c>
      <c r="T3927" s="69"/>
      <c r="U3927" s="69"/>
    </row>
    <row r="3928" spans="19:21" ht="15" customHeight="1" x14ac:dyDescent="0.2">
      <c r="S3928" s="69">
        <f>_xlfn.XLOOKUP(Results!A3928,Geometry!$B$6:$B$10000,Geometry!$C$6:$C$10000)</f>
        <v>0</v>
      </c>
      <c r="T3928" s="69"/>
      <c r="U3928" s="69"/>
    </row>
    <row r="3929" spans="19:21" ht="15" customHeight="1" x14ac:dyDescent="0.2">
      <c r="S3929" s="69">
        <f>_xlfn.XLOOKUP(Results!A3929,Geometry!$B$6:$B$10000,Geometry!$C$6:$C$10000)</f>
        <v>0</v>
      </c>
      <c r="T3929" s="69"/>
      <c r="U3929" s="69"/>
    </row>
    <row r="3930" spans="19:21" ht="15" customHeight="1" x14ac:dyDescent="0.2">
      <c r="S3930" s="69">
        <f>_xlfn.XLOOKUP(Results!A3930,Geometry!$B$6:$B$10000,Geometry!$C$6:$C$10000)</f>
        <v>0</v>
      </c>
      <c r="T3930" s="69"/>
      <c r="U3930" s="69"/>
    </row>
    <row r="3931" spans="19:21" ht="15" customHeight="1" x14ac:dyDescent="0.2">
      <c r="S3931" s="69">
        <f>_xlfn.XLOOKUP(Results!A3931,Geometry!$B$6:$B$10000,Geometry!$C$6:$C$10000)</f>
        <v>0</v>
      </c>
      <c r="T3931" s="69"/>
      <c r="U3931" s="69"/>
    </row>
    <row r="3932" spans="19:21" ht="15" customHeight="1" x14ac:dyDescent="0.2">
      <c r="S3932" s="69">
        <f>_xlfn.XLOOKUP(Results!A3932,Geometry!$B$6:$B$10000,Geometry!$C$6:$C$10000)</f>
        <v>0</v>
      </c>
      <c r="T3932" s="69"/>
      <c r="U3932" s="69"/>
    </row>
    <row r="3933" spans="19:21" ht="15" customHeight="1" x14ac:dyDescent="0.2">
      <c r="S3933" s="69">
        <f>_xlfn.XLOOKUP(Results!A3933,Geometry!$B$6:$B$10000,Geometry!$C$6:$C$10000)</f>
        <v>0</v>
      </c>
      <c r="T3933" s="69"/>
      <c r="U3933" s="69"/>
    </row>
    <row r="3934" spans="19:21" ht="15" customHeight="1" x14ac:dyDescent="0.2">
      <c r="S3934" s="69">
        <f>_xlfn.XLOOKUP(Results!A3934,Geometry!$B$6:$B$10000,Geometry!$C$6:$C$10000)</f>
        <v>0</v>
      </c>
      <c r="T3934" s="69"/>
      <c r="U3934" s="69"/>
    </row>
    <row r="3935" spans="19:21" ht="15" customHeight="1" x14ac:dyDescent="0.2">
      <c r="S3935" s="69">
        <f>_xlfn.XLOOKUP(Results!A3935,Geometry!$B$6:$B$10000,Geometry!$C$6:$C$10000)</f>
        <v>0</v>
      </c>
      <c r="T3935" s="69"/>
      <c r="U3935" s="69"/>
    </row>
    <row r="3936" spans="19:21" ht="15" customHeight="1" x14ac:dyDescent="0.2">
      <c r="S3936" s="69">
        <f>_xlfn.XLOOKUP(Results!A3936,Geometry!$B$6:$B$10000,Geometry!$C$6:$C$10000)</f>
        <v>0</v>
      </c>
      <c r="T3936" s="69"/>
      <c r="U3936" s="69"/>
    </row>
    <row r="3937" spans="19:21" ht="15" customHeight="1" x14ac:dyDescent="0.2">
      <c r="S3937" s="69">
        <f>_xlfn.XLOOKUP(Results!A3937,Geometry!$B$6:$B$10000,Geometry!$C$6:$C$10000)</f>
        <v>0</v>
      </c>
      <c r="T3937" s="69"/>
      <c r="U3937" s="69"/>
    </row>
    <row r="3938" spans="19:21" ht="15" customHeight="1" x14ac:dyDescent="0.2">
      <c r="S3938" s="69">
        <f>_xlfn.XLOOKUP(Results!A3938,Geometry!$B$6:$B$10000,Geometry!$C$6:$C$10000)</f>
        <v>0</v>
      </c>
      <c r="T3938" s="69"/>
      <c r="U3938" s="69"/>
    </row>
    <row r="3939" spans="19:21" ht="15" customHeight="1" x14ac:dyDescent="0.2">
      <c r="S3939" s="69">
        <f>_xlfn.XLOOKUP(Results!A3939,Geometry!$B$6:$B$10000,Geometry!$C$6:$C$10000)</f>
        <v>0</v>
      </c>
      <c r="T3939" s="69"/>
      <c r="U3939" s="69"/>
    </row>
    <row r="3940" spans="19:21" ht="15" customHeight="1" x14ac:dyDescent="0.2">
      <c r="S3940" s="69">
        <f>_xlfn.XLOOKUP(Results!A3940,Geometry!$B$6:$B$10000,Geometry!$C$6:$C$10000)</f>
        <v>0</v>
      </c>
      <c r="T3940" s="69"/>
      <c r="U3940" s="69"/>
    </row>
    <row r="3941" spans="19:21" ht="15" customHeight="1" x14ac:dyDescent="0.2">
      <c r="S3941" s="69">
        <f>_xlfn.XLOOKUP(Results!A3941,Geometry!$B$6:$B$10000,Geometry!$C$6:$C$10000)</f>
        <v>0</v>
      </c>
      <c r="T3941" s="69"/>
      <c r="U3941" s="69"/>
    </row>
    <row r="3942" spans="19:21" ht="15" customHeight="1" x14ac:dyDescent="0.2">
      <c r="S3942" s="69">
        <f>_xlfn.XLOOKUP(Results!A3942,Geometry!$B$6:$B$10000,Geometry!$C$6:$C$10000)</f>
        <v>0</v>
      </c>
      <c r="T3942" s="69"/>
      <c r="U3942" s="69"/>
    </row>
    <row r="3943" spans="19:21" ht="15" customHeight="1" x14ac:dyDescent="0.2">
      <c r="S3943" s="69">
        <f>_xlfn.XLOOKUP(Results!A3943,Geometry!$B$6:$B$10000,Geometry!$C$6:$C$10000)</f>
        <v>0</v>
      </c>
      <c r="T3943" s="69"/>
      <c r="U3943" s="69"/>
    </row>
    <row r="3944" spans="19:21" ht="15" customHeight="1" x14ac:dyDescent="0.2">
      <c r="S3944" s="69">
        <f>_xlfn.XLOOKUP(Results!A3944,Geometry!$B$6:$B$10000,Geometry!$C$6:$C$10000)</f>
        <v>0</v>
      </c>
      <c r="T3944" s="69"/>
      <c r="U3944" s="69"/>
    </row>
    <row r="3945" spans="19:21" ht="15" customHeight="1" x14ac:dyDescent="0.2">
      <c r="S3945" s="69">
        <f>_xlfn.XLOOKUP(Results!A3945,Geometry!$B$6:$B$10000,Geometry!$C$6:$C$10000)</f>
        <v>0</v>
      </c>
      <c r="T3945" s="69"/>
      <c r="U3945" s="69"/>
    </row>
    <row r="3946" spans="19:21" ht="15" customHeight="1" x14ac:dyDescent="0.2">
      <c r="S3946" s="69">
        <f>_xlfn.XLOOKUP(Results!A3946,Geometry!$B$6:$B$10000,Geometry!$C$6:$C$10000)</f>
        <v>0</v>
      </c>
      <c r="T3946" s="69"/>
      <c r="U3946" s="69"/>
    </row>
    <row r="3947" spans="19:21" ht="15" customHeight="1" x14ac:dyDescent="0.2">
      <c r="S3947" s="69">
        <f>_xlfn.XLOOKUP(Results!A3947,Geometry!$B$6:$B$10000,Geometry!$C$6:$C$10000)</f>
        <v>0</v>
      </c>
      <c r="T3947" s="69"/>
      <c r="U3947" s="69"/>
    </row>
    <row r="3948" spans="19:21" ht="15" customHeight="1" x14ac:dyDescent="0.2">
      <c r="S3948" s="69">
        <f>_xlfn.XLOOKUP(Results!A3948,Geometry!$B$6:$B$10000,Geometry!$C$6:$C$10000)</f>
        <v>0</v>
      </c>
      <c r="T3948" s="69"/>
      <c r="U3948" s="69"/>
    </row>
    <row r="3949" spans="19:21" ht="15" customHeight="1" x14ac:dyDescent="0.2">
      <c r="S3949" s="69">
        <f>_xlfn.XLOOKUP(Results!A3949,Geometry!$B$6:$B$10000,Geometry!$C$6:$C$10000)</f>
        <v>0</v>
      </c>
      <c r="T3949" s="69"/>
      <c r="U3949" s="69"/>
    </row>
    <row r="3950" spans="19:21" ht="15" customHeight="1" x14ac:dyDescent="0.2">
      <c r="S3950" s="69">
        <f>_xlfn.XLOOKUP(Results!A3950,Geometry!$B$6:$B$10000,Geometry!$C$6:$C$10000)</f>
        <v>0</v>
      </c>
      <c r="T3950" s="69"/>
      <c r="U3950" s="69"/>
    </row>
    <row r="3951" spans="19:21" ht="15" customHeight="1" x14ac:dyDescent="0.2">
      <c r="S3951" s="69">
        <f>_xlfn.XLOOKUP(Results!A3951,Geometry!$B$6:$B$10000,Geometry!$C$6:$C$10000)</f>
        <v>0</v>
      </c>
      <c r="T3951" s="69"/>
      <c r="U3951" s="69"/>
    </row>
    <row r="3952" spans="19:21" ht="15" customHeight="1" x14ac:dyDescent="0.2">
      <c r="S3952" s="69">
        <f>_xlfn.XLOOKUP(Results!A3952,Geometry!$B$6:$B$10000,Geometry!$C$6:$C$10000)</f>
        <v>0</v>
      </c>
      <c r="T3952" s="69"/>
      <c r="U3952" s="69"/>
    </row>
    <row r="3953" spans="19:21" ht="15" customHeight="1" x14ac:dyDescent="0.2">
      <c r="S3953" s="69">
        <f>_xlfn.XLOOKUP(Results!A3953,Geometry!$B$6:$B$10000,Geometry!$C$6:$C$10000)</f>
        <v>0</v>
      </c>
      <c r="T3953" s="69"/>
      <c r="U3953" s="69"/>
    </row>
    <row r="3954" spans="19:21" ht="15" customHeight="1" x14ac:dyDescent="0.2">
      <c r="S3954" s="69">
        <f>_xlfn.XLOOKUP(Results!A3954,Geometry!$B$6:$B$10000,Geometry!$C$6:$C$10000)</f>
        <v>0</v>
      </c>
      <c r="T3954" s="69"/>
      <c r="U3954" s="69"/>
    </row>
    <row r="3955" spans="19:21" ht="15" customHeight="1" x14ac:dyDescent="0.2">
      <c r="S3955" s="69">
        <f>_xlfn.XLOOKUP(Results!A3955,Geometry!$B$6:$B$10000,Geometry!$C$6:$C$10000)</f>
        <v>0</v>
      </c>
      <c r="T3955" s="69"/>
      <c r="U3955" s="69"/>
    </row>
    <row r="3956" spans="19:21" ht="15" customHeight="1" x14ac:dyDescent="0.2">
      <c r="S3956" s="69">
        <f>_xlfn.XLOOKUP(Results!A3956,Geometry!$B$6:$B$10000,Geometry!$C$6:$C$10000)</f>
        <v>0</v>
      </c>
      <c r="T3956" s="69"/>
      <c r="U3956" s="69"/>
    </row>
    <row r="3957" spans="19:21" ht="15" customHeight="1" x14ac:dyDescent="0.2">
      <c r="S3957" s="69">
        <f>_xlfn.XLOOKUP(Results!A3957,Geometry!$B$6:$B$10000,Geometry!$C$6:$C$10000)</f>
        <v>0</v>
      </c>
      <c r="T3957" s="69"/>
      <c r="U3957" s="69"/>
    </row>
    <row r="3958" spans="19:21" ht="15" customHeight="1" x14ac:dyDescent="0.2">
      <c r="S3958" s="69">
        <f>_xlfn.XLOOKUP(Results!A3958,Geometry!$B$6:$B$10000,Geometry!$C$6:$C$10000)</f>
        <v>0</v>
      </c>
      <c r="T3958" s="69"/>
      <c r="U3958" s="69"/>
    </row>
    <row r="3959" spans="19:21" ht="15" customHeight="1" x14ac:dyDescent="0.2">
      <c r="S3959" s="69">
        <f>_xlfn.XLOOKUP(Results!A3959,Geometry!$B$6:$B$10000,Geometry!$C$6:$C$10000)</f>
        <v>0</v>
      </c>
      <c r="T3959" s="69"/>
      <c r="U3959" s="69"/>
    </row>
    <row r="3960" spans="19:21" ht="15" customHeight="1" x14ac:dyDescent="0.2">
      <c r="S3960" s="69">
        <f>_xlfn.XLOOKUP(Results!A3960,Geometry!$B$6:$B$10000,Geometry!$C$6:$C$10000)</f>
        <v>0</v>
      </c>
      <c r="T3960" s="69"/>
      <c r="U3960" s="69"/>
    </row>
    <row r="3961" spans="19:21" ht="15" customHeight="1" x14ac:dyDescent="0.2">
      <c r="S3961" s="69">
        <f>_xlfn.XLOOKUP(Results!A3961,Geometry!$B$6:$B$10000,Geometry!$C$6:$C$10000)</f>
        <v>0</v>
      </c>
      <c r="T3961" s="69"/>
      <c r="U3961" s="69"/>
    </row>
    <row r="3962" spans="19:21" ht="15" customHeight="1" x14ac:dyDescent="0.2">
      <c r="S3962" s="69">
        <f>_xlfn.XLOOKUP(Results!A3962,Geometry!$B$6:$B$10000,Geometry!$C$6:$C$10000)</f>
        <v>0</v>
      </c>
      <c r="T3962" s="69"/>
      <c r="U3962" s="69"/>
    </row>
    <row r="3963" spans="19:21" ht="15" customHeight="1" x14ac:dyDescent="0.2">
      <c r="S3963" s="69">
        <f>_xlfn.XLOOKUP(Results!A3963,Geometry!$B$6:$B$10000,Geometry!$C$6:$C$10000)</f>
        <v>0</v>
      </c>
      <c r="T3963" s="69"/>
      <c r="U3963" s="69"/>
    </row>
    <row r="3964" spans="19:21" ht="15" customHeight="1" x14ac:dyDescent="0.2">
      <c r="S3964" s="69">
        <f>_xlfn.XLOOKUP(Results!A3964,Geometry!$B$6:$B$10000,Geometry!$C$6:$C$10000)</f>
        <v>0</v>
      </c>
      <c r="T3964" s="69"/>
      <c r="U3964" s="69"/>
    </row>
    <row r="3965" spans="19:21" ht="15" customHeight="1" x14ac:dyDescent="0.2">
      <c r="S3965" s="69">
        <f>_xlfn.XLOOKUP(Results!A3965,Geometry!$B$6:$B$10000,Geometry!$C$6:$C$10000)</f>
        <v>0</v>
      </c>
      <c r="T3965" s="69"/>
      <c r="U3965" s="69"/>
    </row>
    <row r="3966" spans="19:21" ht="15" customHeight="1" x14ac:dyDescent="0.2">
      <c r="S3966" s="69">
        <f>_xlfn.XLOOKUP(Results!A3966,Geometry!$B$6:$B$10000,Geometry!$C$6:$C$10000)</f>
        <v>0</v>
      </c>
      <c r="T3966" s="69"/>
      <c r="U3966" s="69"/>
    </row>
    <row r="3967" spans="19:21" ht="15" customHeight="1" x14ac:dyDescent="0.2">
      <c r="S3967" s="69">
        <f>_xlfn.XLOOKUP(Results!A3967,Geometry!$B$6:$B$10000,Geometry!$C$6:$C$10000)</f>
        <v>0</v>
      </c>
      <c r="T3967" s="69"/>
      <c r="U3967" s="69"/>
    </row>
    <row r="3968" spans="19:21" ht="15" customHeight="1" x14ac:dyDescent="0.2">
      <c r="S3968" s="69">
        <f>_xlfn.XLOOKUP(Results!A3968,Geometry!$B$6:$B$10000,Geometry!$C$6:$C$10000)</f>
        <v>0</v>
      </c>
      <c r="T3968" s="69"/>
      <c r="U3968" s="69"/>
    </row>
    <row r="3969" spans="19:21" ht="15" customHeight="1" x14ac:dyDescent="0.2">
      <c r="S3969" s="69">
        <f>_xlfn.XLOOKUP(Results!A3969,Geometry!$B$6:$B$10000,Geometry!$C$6:$C$10000)</f>
        <v>0</v>
      </c>
      <c r="T3969" s="69"/>
      <c r="U3969" s="69"/>
    </row>
    <row r="3970" spans="19:21" ht="15" customHeight="1" x14ac:dyDescent="0.2">
      <c r="S3970" s="69">
        <f>_xlfn.XLOOKUP(Results!A3970,Geometry!$B$6:$B$10000,Geometry!$C$6:$C$10000)</f>
        <v>0</v>
      </c>
      <c r="T3970" s="69"/>
      <c r="U3970" s="69"/>
    </row>
    <row r="3971" spans="19:21" ht="15" customHeight="1" x14ac:dyDescent="0.2">
      <c r="S3971" s="69">
        <f>_xlfn.XLOOKUP(Results!A3971,Geometry!$B$6:$B$10000,Geometry!$C$6:$C$10000)</f>
        <v>0</v>
      </c>
      <c r="T3971" s="69"/>
      <c r="U3971" s="69"/>
    </row>
    <row r="3972" spans="19:21" ht="15" customHeight="1" x14ac:dyDescent="0.2">
      <c r="S3972" s="69">
        <f>_xlfn.XLOOKUP(Results!A3972,Geometry!$B$6:$B$10000,Geometry!$C$6:$C$10000)</f>
        <v>0</v>
      </c>
      <c r="T3972" s="69"/>
      <c r="U3972" s="69"/>
    </row>
    <row r="3973" spans="19:21" ht="15" customHeight="1" x14ac:dyDescent="0.2">
      <c r="S3973" s="69">
        <f>_xlfn.XLOOKUP(Results!A3973,Geometry!$B$6:$B$10000,Geometry!$C$6:$C$10000)</f>
        <v>0</v>
      </c>
      <c r="T3973" s="69"/>
      <c r="U3973" s="69"/>
    </row>
    <row r="3974" spans="19:21" ht="15" customHeight="1" x14ac:dyDescent="0.2">
      <c r="S3974" s="69">
        <f>_xlfn.XLOOKUP(Results!A3974,Geometry!$B$6:$B$10000,Geometry!$C$6:$C$10000)</f>
        <v>0</v>
      </c>
      <c r="T3974" s="69"/>
      <c r="U3974" s="69"/>
    </row>
    <row r="3975" spans="19:21" ht="15" customHeight="1" x14ac:dyDescent="0.2">
      <c r="S3975" s="69">
        <f>_xlfn.XLOOKUP(Results!A3975,Geometry!$B$6:$B$10000,Geometry!$C$6:$C$10000)</f>
        <v>0</v>
      </c>
      <c r="T3975" s="69"/>
      <c r="U3975" s="69"/>
    </row>
    <row r="3976" spans="19:21" ht="15" customHeight="1" x14ac:dyDescent="0.2">
      <c r="S3976" s="69">
        <f>_xlfn.XLOOKUP(Results!A3976,Geometry!$B$6:$B$10000,Geometry!$C$6:$C$10000)</f>
        <v>0</v>
      </c>
      <c r="T3976" s="69"/>
      <c r="U3976" s="69"/>
    </row>
    <row r="3977" spans="19:21" ht="15" customHeight="1" x14ac:dyDescent="0.2">
      <c r="S3977" s="69">
        <f>_xlfn.XLOOKUP(Results!A3977,Geometry!$B$6:$B$10000,Geometry!$C$6:$C$10000)</f>
        <v>0</v>
      </c>
      <c r="T3977" s="69"/>
      <c r="U3977" s="69"/>
    </row>
    <row r="3978" spans="19:21" ht="15" customHeight="1" x14ac:dyDescent="0.2">
      <c r="S3978" s="69">
        <f>_xlfn.XLOOKUP(Results!A3978,Geometry!$B$6:$B$10000,Geometry!$C$6:$C$10000)</f>
        <v>0</v>
      </c>
      <c r="T3978" s="69"/>
      <c r="U3978" s="69"/>
    </row>
    <row r="3979" spans="19:21" ht="15" customHeight="1" x14ac:dyDescent="0.2">
      <c r="S3979" s="69">
        <f>_xlfn.XLOOKUP(Results!A3979,Geometry!$B$6:$B$10000,Geometry!$C$6:$C$10000)</f>
        <v>0</v>
      </c>
      <c r="T3979" s="69"/>
      <c r="U3979" s="69"/>
    </row>
    <row r="3980" spans="19:21" ht="15" customHeight="1" x14ac:dyDescent="0.2">
      <c r="S3980" s="69">
        <f>_xlfn.XLOOKUP(Results!A3980,Geometry!$B$6:$B$10000,Geometry!$C$6:$C$10000)</f>
        <v>0</v>
      </c>
      <c r="T3980" s="69"/>
      <c r="U3980" s="69"/>
    </row>
    <row r="3981" spans="19:21" ht="15" customHeight="1" x14ac:dyDescent="0.2">
      <c r="S3981" s="69">
        <f>_xlfn.XLOOKUP(Results!A3981,Geometry!$B$6:$B$10000,Geometry!$C$6:$C$10000)</f>
        <v>0</v>
      </c>
      <c r="T3981" s="69"/>
      <c r="U3981" s="69"/>
    </row>
    <row r="3982" spans="19:21" ht="15" customHeight="1" x14ac:dyDescent="0.2">
      <c r="S3982" s="69">
        <f>_xlfn.XLOOKUP(Results!A3982,Geometry!$B$6:$B$10000,Geometry!$C$6:$C$10000)</f>
        <v>0</v>
      </c>
      <c r="T3982" s="69"/>
      <c r="U3982" s="69"/>
    </row>
    <row r="3983" spans="19:21" ht="15" customHeight="1" x14ac:dyDescent="0.2">
      <c r="S3983" s="69">
        <f>_xlfn.XLOOKUP(Results!A3983,Geometry!$B$6:$B$10000,Geometry!$C$6:$C$10000)</f>
        <v>0</v>
      </c>
      <c r="T3983" s="69"/>
      <c r="U3983" s="69"/>
    </row>
    <row r="3984" spans="19:21" ht="15" customHeight="1" x14ac:dyDescent="0.2">
      <c r="S3984" s="69">
        <f>_xlfn.XLOOKUP(Results!A3984,Geometry!$B$6:$B$10000,Geometry!$C$6:$C$10000)</f>
        <v>0</v>
      </c>
      <c r="T3984" s="69"/>
      <c r="U3984" s="69"/>
    </row>
    <row r="3985" spans="19:21" ht="15" customHeight="1" x14ac:dyDescent="0.2">
      <c r="S3985" s="69">
        <f>_xlfn.XLOOKUP(Results!A3985,Geometry!$B$6:$B$10000,Geometry!$C$6:$C$10000)</f>
        <v>0</v>
      </c>
      <c r="T3985" s="69"/>
      <c r="U3985" s="69"/>
    </row>
    <row r="3986" spans="19:21" ht="15" customHeight="1" x14ac:dyDescent="0.2">
      <c r="S3986" s="69">
        <f>_xlfn.XLOOKUP(Results!A3986,Geometry!$B$6:$B$10000,Geometry!$C$6:$C$10000)</f>
        <v>0</v>
      </c>
      <c r="T3986" s="69"/>
      <c r="U3986" s="69"/>
    </row>
    <row r="3987" spans="19:21" ht="15" customHeight="1" x14ac:dyDescent="0.2">
      <c r="S3987" s="69">
        <f>_xlfn.XLOOKUP(Results!A3987,Geometry!$B$6:$B$10000,Geometry!$C$6:$C$10000)</f>
        <v>0</v>
      </c>
      <c r="T3987" s="69"/>
      <c r="U3987" s="69"/>
    </row>
    <row r="3988" spans="19:21" ht="15" customHeight="1" x14ac:dyDescent="0.2">
      <c r="S3988" s="69">
        <f>_xlfn.XLOOKUP(Results!A3988,Geometry!$B$6:$B$10000,Geometry!$C$6:$C$10000)</f>
        <v>0</v>
      </c>
      <c r="T3988" s="69"/>
      <c r="U3988" s="69"/>
    </row>
    <row r="3989" spans="19:21" ht="15" customHeight="1" x14ac:dyDescent="0.2">
      <c r="S3989" s="69">
        <f>_xlfn.XLOOKUP(Results!A3989,Geometry!$B$6:$B$10000,Geometry!$C$6:$C$10000)</f>
        <v>0</v>
      </c>
      <c r="T3989" s="69"/>
      <c r="U3989" s="69"/>
    </row>
    <row r="3990" spans="19:21" ht="15" customHeight="1" x14ac:dyDescent="0.2">
      <c r="S3990" s="69">
        <f>_xlfn.XLOOKUP(Results!A3990,Geometry!$B$6:$B$10000,Geometry!$C$6:$C$10000)</f>
        <v>0</v>
      </c>
      <c r="T3990" s="69"/>
      <c r="U3990" s="69"/>
    </row>
    <row r="3991" spans="19:21" ht="15" customHeight="1" x14ac:dyDescent="0.2">
      <c r="S3991" s="69">
        <f>_xlfn.XLOOKUP(Results!A3991,Geometry!$B$6:$B$10000,Geometry!$C$6:$C$10000)</f>
        <v>0</v>
      </c>
      <c r="T3991" s="69"/>
      <c r="U3991" s="69"/>
    </row>
    <row r="3992" spans="19:21" ht="15" customHeight="1" x14ac:dyDescent="0.2">
      <c r="S3992" s="69">
        <f>_xlfn.XLOOKUP(Results!A3992,Geometry!$B$6:$B$10000,Geometry!$C$6:$C$10000)</f>
        <v>0</v>
      </c>
      <c r="T3992" s="69"/>
      <c r="U3992" s="69"/>
    </row>
    <row r="3993" spans="19:21" ht="15" customHeight="1" x14ac:dyDescent="0.2">
      <c r="S3993" s="69">
        <f>_xlfn.XLOOKUP(Results!A3993,Geometry!$B$6:$B$10000,Geometry!$C$6:$C$10000)</f>
        <v>0</v>
      </c>
      <c r="T3993" s="69"/>
      <c r="U3993" s="69"/>
    </row>
    <row r="3994" spans="19:21" ht="15" customHeight="1" x14ac:dyDescent="0.2">
      <c r="S3994" s="69">
        <f>_xlfn.XLOOKUP(Results!A3994,Geometry!$B$6:$B$10000,Geometry!$C$6:$C$10000)</f>
        <v>0</v>
      </c>
      <c r="T3994" s="69"/>
      <c r="U3994" s="69"/>
    </row>
    <row r="3995" spans="19:21" ht="15" customHeight="1" x14ac:dyDescent="0.2">
      <c r="S3995" s="69">
        <f>_xlfn.XLOOKUP(Results!A3995,Geometry!$B$6:$B$10000,Geometry!$C$6:$C$10000)</f>
        <v>0</v>
      </c>
      <c r="T3995" s="69"/>
      <c r="U3995" s="69"/>
    </row>
    <row r="3996" spans="19:21" ht="15" customHeight="1" x14ac:dyDescent="0.2">
      <c r="S3996" s="69">
        <f>_xlfn.XLOOKUP(Results!A3996,Geometry!$B$6:$B$10000,Geometry!$C$6:$C$10000)</f>
        <v>0</v>
      </c>
      <c r="T3996" s="69"/>
      <c r="U3996" s="69"/>
    </row>
    <row r="3997" spans="19:21" ht="15" customHeight="1" x14ac:dyDescent="0.2">
      <c r="S3997" s="69">
        <f>_xlfn.XLOOKUP(Results!A3997,Geometry!$B$6:$B$10000,Geometry!$C$6:$C$10000)</f>
        <v>0</v>
      </c>
      <c r="T3997" s="69"/>
      <c r="U3997" s="69"/>
    </row>
    <row r="3998" spans="19:21" ht="15" customHeight="1" x14ac:dyDescent="0.2">
      <c r="S3998" s="69">
        <f>_xlfn.XLOOKUP(Results!A3998,Geometry!$B$6:$B$10000,Geometry!$C$6:$C$10000)</f>
        <v>0</v>
      </c>
      <c r="T3998" s="69"/>
      <c r="U3998" s="69"/>
    </row>
    <row r="3999" spans="19:21" ht="15" customHeight="1" x14ac:dyDescent="0.2">
      <c r="S3999" s="69">
        <f>_xlfn.XLOOKUP(Results!A3999,Geometry!$B$6:$B$10000,Geometry!$C$6:$C$10000)</f>
        <v>0</v>
      </c>
      <c r="T3999" s="69"/>
      <c r="U3999" s="69"/>
    </row>
    <row r="4000" spans="19:21" ht="15" customHeight="1" x14ac:dyDescent="0.2">
      <c r="S4000" s="69">
        <f>_xlfn.XLOOKUP(Results!A4000,Geometry!$B$6:$B$10000,Geometry!$C$6:$C$10000)</f>
        <v>0</v>
      </c>
      <c r="T4000" s="69"/>
      <c r="U4000" s="69"/>
    </row>
    <row r="4001" spans="19:21" ht="15" customHeight="1" x14ac:dyDescent="0.2">
      <c r="S4001" s="69">
        <f>_xlfn.XLOOKUP(Results!A4001,Geometry!$B$6:$B$10000,Geometry!$C$6:$C$10000)</f>
        <v>0</v>
      </c>
      <c r="T4001" s="69"/>
      <c r="U4001" s="69"/>
    </row>
    <row r="4002" spans="19:21" ht="15" customHeight="1" x14ac:dyDescent="0.2">
      <c r="S4002" s="69">
        <f>_xlfn.XLOOKUP(Results!A4002,Geometry!$B$6:$B$10000,Geometry!$C$6:$C$10000)</f>
        <v>0</v>
      </c>
      <c r="T4002" s="69"/>
      <c r="U4002" s="69"/>
    </row>
    <row r="4003" spans="19:21" ht="15" customHeight="1" x14ac:dyDescent="0.2">
      <c r="S4003" s="69">
        <f>_xlfn.XLOOKUP(Results!A4003,Geometry!$B$6:$B$10000,Geometry!$C$6:$C$10000)</f>
        <v>0</v>
      </c>
      <c r="T4003" s="69"/>
      <c r="U4003" s="69"/>
    </row>
    <row r="4004" spans="19:21" ht="15" customHeight="1" x14ac:dyDescent="0.2">
      <c r="S4004" s="69">
        <f>_xlfn.XLOOKUP(Results!A4004,Geometry!$B$6:$B$10000,Geometry!$C$6:$C$10000)</f>
        <v>0</v>
      </c>
      <c r="T4004" s="69"/>
      <c r="U4004" s="69"/>
    </row>
    <row r="4005" spans="19:21" ht="15" customHeight="1" x14ac:dyDescent="0.2">
      <c r="S4005" s="69">
        <f>_xlfn.XLOOKUP(Results!A4005,Geometry!$B$6:$B$10000,Geometry!$C$6:$C$10000)</f>
        <v>0</v>
      </c>
      <c r="T4005" s="69"/>
      <c r="U4005" s="69"/>
    </row>
    <row r="4006" spans="19:21" ht="15" customHeight="1" x14ac:dyDescent="0.2">
      <c r="S4006" s="69">
        <f>_xlfn.XLOOKUP(Results!A4006,Geometry!$B$6:$B$10000,Geometry!$C$6:$C$10000)</f>
        <v>0</v>
      </c>
      <c r="T4006" s="69"/>
      <c r="U4006" s="69"/>
    </row>
    <row r="4007" spans="19:21" ht="15" customHeight="1" x14ac:dyDescent="0.2">
      <c r="S4007" s="69">
        <f>_xlfn.XLOOKUP(Results!A4007,Geometry!$B$6:$B$10000,Geometry!$C$6:$C$10000)</f>
        <v>0</v>
      </c>
      <c r="T4007" s="69"/>
      <c r="U4007" s="69"/>
    </row>
    <row r="4008" spans="19:21" ht="15" customHeight="1" x14ac:dyDescent="0.2">
      <c r="S4008" s="69">
        <f>_xlfn.XLOOKUP(Results!A4008,Geometry!$B$6:$B$10000,Geometry!$C$6:$C$10000)</f>
        <v>0</v>
      </c>
      <c r="T4008" s="69"/>
      <c r="U4008" s="69"/>
    </row>
    <row r="4009" spans="19:21" ht="15" customHeight="1" x14ac:dyDescent="0.2">
      <c r="S4009" s="69">
        <f>_xlfn.XLOOKUP(Results!A4009,Geometry!$B$6:$B$10000,Geometry!$C$6:$C$10000)</f>
        <v>0</v>
      </c>
      <c r="T4009" s="69"/>
      <c r="U4009" s="69"/>
    </row>
    <row r="4010" spans="19:21" ht="15" customHeight="1" x14ac:dyDescent="0.2">
      <c r="S4010" s="69">
        <f>_xlfn.XLOOKUP(Results!A4010,Geometry!$B$6:$B$10000,Geometry!$C$6:$C$10000)</f>
        <v>0</v>
      </c>
      <c r="T4010" s="69"/>
      <c r="U4010" s="69"/>
    </row>
    <row r="4011" spans="19:21" ht="15" customHeight="1" x14ac:dyDescent="0.2">
      <c r="S4011" s="69">
        <f>_xlfn.XLOOKUP(Results!A4011,Geometry!$B$6:$B$10000,Geometry!$C$6:$C$10000)</f>
        <v>0</v>
      </c>
      <c r="T4011" s="69"/>
      <c r="U4011" s="69"/>
    </row>
    <row r="4012" spans="19:21" ht="15" customHeight="1" x14ac:dyDescent="0.2">
      <c r="S4012" s="69">
        <f>_xlfn.XLOOKUP(Results!A4012,Geometry!$B$6:$B$10000,Geometry!$C$6:$C$10000)</f>
        <v>0</v>
      </c>
      <c r="T4012" s="69"/>
      <c r="U4012" s="69"/>
    </row>
    <row r="4013" spans="19:21" ht="15" customHeight="1" x14ac:dyDescent="0.2">
      <c r="S4013" s="69">
        <f>_xlfn.XLOOKUP(Results!A4013,Geometry!$B$6:$B$10000,Geometry!$C$6:$C$10000)</f>
        <v>0</v>
      </c>
      <c r="T4013" s="69"/>
      <c r="U4013" s="69"/>
    </row>
    <row r="4014" spans="19:21" ht="15" customHeight="1" x14ac:dyDescent="0.2">
      <c r="S4014" s="69">
        <f>_xlfn.XLOOKUP(Results!A4014,Geometry!$B$6:$B$10000,Geometry!$C$6:$C$10000)</f>
        <v>0</v>
      </c>
      <c r="T4014" s="69"/>
      <c r="U4014" s="69"/>
    </row>
    <row r="4015" spans="19:21" ht="15" customHeight="1" x14ac:dyDescent="0.2">
      <c r="S4015" s="69">
        <f>_xlfn.XLOOKUP(Results!A4015,Geometry!$B$6:$B$10000,Geometry!$C$6:$C$10000)</f>
        <v>0</v>
      </c>
      <c r="T4015" s="69"/>
      <c r="U4015" s="69"/>
    </row>
    <row r="4016" spans="19:21" ht="15" customHeight="1" x14ac:dyDescent="0.2">
      <c r="S4016" s="69">
        <f>_xlfn.XLOOKUP(Results!A4016,Geometry!$B$6:$B$10000,Geometry!$C$6:$C$10000)</f>
        <v>0</v>
      </c>
      <c r="T4016" s="69"/>
      <c r="U4016" s="69"/>
    </row>
    <row r="4017" spans="19:21" ht="15" customHeight="1" x14ac:dyDescent="0.2">
      <c r="S4017" s="69">
        <f>_xlfn.XLOOKUP(Results!A4017,Geometry!$B$6:$B$10000,Geometry!$C$6:$C$10000)</f>
        <v>0</v>
      </c>
      <c r="T4017" s="69"/>
      <c r="U4017" s="69"/>
    </row>
    <row r="4018" spans="19:21" ht="15" customHeight="1" x14ac:dyDescent="0.2">
      <c r="S4018" s="69">
        <f>_xlfn.XLOOKUP(Results!A4018,Geometry!$B$6:$B$10000,Geometry!$C$6:$C$10000)</f>
        <v>0</v>
      </c>
      <c r="T4018" s="69"/>
      <c r="U4018" s="69"/>
    </row>
    <row r="4019" spans="19:21" ht="15" customHeight="1" x14ac:dyDescent="0.2">
      <c r="S4019" s="69">
        <f>_xlfn.XLOOKUP(Results!A4019,Geometry!$B$6:$B$10000,Geometry!$C$6:$C$10000)</f>
        <v>0</v>
      </c>
      <c r="T4019" s="69"/>
      <c r="U4019" s="69"/>
    </row>
    <row r="4020" spans="19:21" ht="15" customHeight="1" x14ac:dyDescent="0.2">
      <c r="S4020" s="69">
        <f>_xlfn.XLOOKUP(Results!A4020,Geometry!$B$6:$B$10000,Geometry!$C$6:$C$10000)</f>
        <v>0</v>
      </c>
      <c r="T4020" s="69"/>
      <c r="U4020" s="69"/>
    </row>
    <row r="4021" spans="19:21" ht="15" customHeight="1" x14ac:dyDescent="0.2">
      <c r="S4021" s="69">
        <f>_xlfn.XLOOKUP(Results!A4021,Geometry!$B$6:$B$10000,Geometry!$C$6:$C$10000)</f>
        <v>0</v>
      </c>
      <c r="T4021" s="69"/>
      <c r="U4021" s="69"/>
    </row>
    <row r="4022" spans="19:21" ht="15" customHeight="1" x14ac:dyDescent="0.2">
      <c r="S4022" s="69">
        <f>_xlfn.XLOOKUP(Results!A4022,Geometry!$B$6:$B$10000,Geometry!$C$6:$C$10000)</f>
        <v>0</v>
      </c>
      <c r="T4022" s="69"/>
      <c r="U4022" s="69"/>
    </row>
    <row r="4023" spans="19:21" ht="15" customHeight="1" x14ac:dyDescent="0.2">
      <c r="S4023" s="69">
        <f>_xlfn.XLOOKUP(Results!A4023,Geometry!$B$6:$B$10000,Geometry!$C$6:$C$10000)</f>
        <v>0</v>
      </c>
      <c r="T4023" s="69"/>
      <c r="U4023" s="69"/>
    </row>
    <row r="4024" spans="19:21" ht="15" customHeight="1" x14ac:dyDescent="0.2">
      <c r="S4024" s="69">
        <f>_xlfn.XLOOKUP(Results!A4024,Geometry!$B$6:$B$10000,Geometry!$C$6:$C$10000)</f>
        <v>0</v>
      </c>
      <c r="T4024" s="69"/>
      <c r="U4024" s="69"/>
    </row>
    <row r="4025" spans="19:21" ht="15" customHeight="1" x14ac:dyDescent="0.2">
      <c r="S4025" s="69">
        <f>_xlfn.XLOOKUP(Results!A4025,Geometry!$B$6:$B$10000,Geometry!$C$6:$C$10000)</f>
        <v>0</v>
      </c>
      <c r="T4025" s="69"/>
      <c r="U4025" s="69"/>
    </row>
    <row r="4026" spans="19:21" ht="15" customHeight="1" x14ac:dyDescent="0.2">
      <c r="S4026" s="69">
        <f>_xlfn.XLOOKUP(Results!A4026,Geometry!$B$6:$B$10000,Geometry!$C$6:$C$10000)</f>
        <v>0</v>
      </c>
      <c r="T4026" s="69"/>
      <c r="U4026" s="69"/>
    </row>
    <row r="4027" spans="19:21" ht="15" customHeight="1" x14ac:dyDescent="0.2">
      <c r="S4027" s="69">
        <f>_xlfn.XLOOKUP(Results!A4027,Geometry!$B$6:$B$10000,Geometry!$C$6:$C$10000)</f>
        <v>0</v>
      </c>
      <c r="T4027" s="69"/>
      <c r="U4027" s="69"/>
    </row>
    <row r="4028" spans="19:21" ht="15" customHeight="1" x14ac:dyDescent="0.2">
      <c r="S4028" s="69">
        <f>_xlfn.XLOOKUP(Results!A4028,Geometry!$B$6:$B$10000,Geometry!$C$6:$C$10000)</f>
        <v>0</v>
      </c>
      <c r="T4028" s="69"/>
      <c r="U4028" s="69"/>
    </row>
    <row r="4029" spans="19:21" ht="15" customHeight="1" x14ac:dyDescent="0.2">
      <c r="S4029" s="69">
        <f>_xlfn.XLOOKUP(Results!A4029,Geometry!$B$6:$B$10000,Geometry!$C$6:$C$10000)</f>
        <v>0</v>
      </c>
      <c r="T4029" s="69"/>
      <c r="U4029" s="69"/>
    </row>
    <row r="4030" spans="19:21" ht="15" customHeight="1" x14ac:dyDescent="0.2">
      <c r="S4030" s="69">
        <f>_xlfn.XLOOKUP(Results!A4030,Geometry!$B$6:$B$10000,Geometry!$C$6:$C$10000)</f>
        <v>0</v>
      </c>
      <c r="T4030" s="69"/>
      <c r="U4030" s="69"/>
    </row>
    <row r="4031" spans="19:21" ht="15" customHeight="1" x14ac:dyDescent="0.2">
      <c r="S4031" s="69">
        <f>_xlfn.XLOOKUP(Results!A4031,Geometry!$B$6:$B$10000,Geometry!$C$6:$C$10000)</f>
        <v>0</v>
      </c>
      <c r="T4031" s="69"/>
      <c r="U4031" s="69"/>
    </row>
    <row r="4032" spans="19:21" ht="15" customHeight="1" x14ac:dyDescent="0.2">
      <c r="S4032" s="69">
        <f>_xlfn.XLOOKUP(Results!A4032,Geometry!$B$6:$B$10000,Geometry!$C$6:$C$10000)</f>
        <v>0</v>
      </c>
      <c r="T4032" s="69"/>
      <c r="U4032" s="69"/>
    </row>
    <row r="4033" spans="19:21" ht="15" customHeight="1" x14ac:dyDescent="0.2">
      <c r="S4033" s="69">
        <f>_xlfn.XLOOKUP(Results!A4033,Geometry!$B$6:$B$10000,Geometry!$C$6:$C$10000)</f>
        <v>0</v>
      </c>
      <c r="T4033" s="69"/>
      <c r="U4033" s="69"/>
    </row>
    <row r="4034" spans="19:21" ht="15" customHeight="1" x14ac:dyDescent="0.2">
      <c r="S4034" s="69">
        <f>_xlfn.XLOOKUP(Results!A4034,Geometry!$B$6:$B$10000,Geometry!$C$6:$C$10000)</f>
        <v>0</v>
      </c>
      <c r="T4034" s="69"/>
      <c r="U4034" s="69"/>
    </row>
    <row r="4035" spans="19:21" ht="15" customHeight="1" x14ac:dyDescent="0.2">
      <c r="S4035" s="69">
        <f>_xlfn.XLOOKUP(Results!A4035,Geometry!$B$6:$B$10000,Geometry!$C$6:$C$10000)</f>
        <v>0</v>
      </c>
      <c r="T4035" s="69"/>
      <c r="U4035" s="69"/>
    </row>
    <row r="4036" spans="19:21" ht="15" customHeight="1" x14ac:dyDescent="0.2">
      <c r="S4036" s="69">
        <f>_xlfn.XLOOKUP(Results!A4036,Geometry!$B$6:$B$10000,Geometry!$C$6:$C$10000)</f>
        <v>0</v>
      </c>
      <c r="T4036" s="69"/>
      <c r="U4036" s="69"/>
    </row>
    <row r="4037" spans="19:21" ht="15" customHeight="1" x14ac:dyDescent="0.2">
      <c r="S4037" s="69">
        <f>_xlfn.XLOOKUP(Results!A4037,Geometry!$B$6:$B$10000,Geometry!$C$6:$C$10000)</f>
        <v>0</v>
      </c>
      <c r="T4037" s="69"/>
      <c r="U4037" s="69"/>
    </row>
    <row r="4038" spans="19:21" ht="15" customHeight="1" x14ac:dyDescent="0.2">
      <c r="S4038" s="69">
        <f>_xlfn.XLOOKUP(Results!A4038,Geometry!$B$6:$B$10000,Geometry!$C$6:$C$10000)</f>
        <v>0</v>
      </c>
      <c r="T4038" s="69"/>
      <c r="U4038" s="69"/>
    </row>
    <row r="4039" spans="19:21" ht="15" customHeight="1" x14ac:dyDescent="0.2">
      <c r="S4039" s="69">
        <f>_xlfn.XLOOKUP(Results!A4039,Geometry!$B$6:$B$10000,Geometry!$C$6:$C$10000)</f>
        <v>0</v>
      </c>
      <c r="T4039" s="69"/>
      <c r="U4039" s="69"/>
    </row>
    <row r="4040" spans="19:21" ht="15" customHeight="1" x14ac:dyDescent="0.2">
      <c r="S4040" s="69">
        <f>_xlfn.XLOOKUP(Results!A4040,Geometry!$B$6:$B$10000,Geometry!$C$6:$C$10000)</f>
        <v>0</v>
      </c>
      <c r="T4040" s="69"/>
      <c r="U4040" s="69"/>
    </row>
    <row r="4041" spans="19:21" ht="15" customHeight="1" x14ac:dyDescent="0.2">
      <c r="S4041" s="69">
        <f>_xlfn.XLOOKUP(Results!A4041,Geometry!$B$6:$B$10000,Geometry!$C$6:$C$10000)</f>
        <v>0</v>
      </c>
      <c r="T4041" s="69"/>
      <c r="U4041" s="69"/>
    </row>
    <row r="4042" spans="19:21" ht="15" customHeight="1" x14ac:dyDescent="0.2">
      <c r="S4042" s="69">
        <f>_xlfn.XLOOKUP(Results!A4042,Geometry!$B$6:$B$10000,Geometry!$C$6:$C$10000)</f>
        <v>0</v>
      </c>
      <c r="T4042" s="69"/>
      <c r="U4042" s="69"/>
    </row>
    <row r="4043" spans="19:21" ht="15" customHeight="1" x14ac:dyDescent="0.2">
      <c r="S4043" s="69">
        <f>_xlfn.XLOOKUP(Results!A4043,Geometry!$B$6:$B$10000,Geometry!$C$6:$C$10000)</f>
        <v>0</v>
      </c>
      <c r="T4043" s="69"/>
      <c r="U4043" s="69"/>
    </row>
    <row r="4044" spans="19:21" ht="15" customHeight="1" x14ac:dyDescent="0.2">
      <c r="S4044" s="69">
        <f>_xlfn.XLOOKUP(Results!A4044,Geometry!$B$6:$B$10000,Geometry!$C$6:$C$10000)</f>
        <v>0</v>
      </c>
      <c r="T4044" s="69"/>
      <c r="U4044" s="69"/>
    </row>
    <row r="4045" spans="19:21" ht="15" customHeight="1" x14ac:dyDescent="0.2">
      <c r="S4045" s="69">
        <f>_xlfn.XLOOKUP(Results!A4045,Geometry!$B$6:$B$10000,Geometry!$C$6:$C$10000)</f>
        <v>0</v>
      </c>
      <c r="T4045" s="69"/>
      <c r="U4045" s="69"/>
    </row>
    <row r="4046" spans="19:21" ht="15" customHeight="1" x14ac:dyDescent="0.2">
      <c r="S4046" s="69">
        <f>_xlfn.XLOOKUP(Results!A4046,Geometry!$B$6:$B$10000,Geometry!$C$6:$C$10000)</f>
        <v>0</v>
      </c>
      <c r="T4046" s="69"/>
      <c r="U4046" s="69"/>
    </row>
    <row r="4047" spans="19:21" ht="15" customHeight="1" x14ac:dyDescent="0.2">
      <c r="S4047" s="69">
        <f>_xlfn.XLOOKUP(Results!A4047,Geometry!$B$6:$B$10000,Geometry!$C$6:$C$10000)</f>
        <v>0</v>
      </c>
      <c r="T4047" s="69"/>
      <c r="U4047" s="69"/>
    </row>
    <row r="4048" spans="19:21" ht="15" customHeight="1" x14ac:dyDescent="0.2">
      <c r="S4048" s="69">
        <f>_xlfn.XLOOKUP(Results!A4048,Geometry!$B$6:$B$10000,Geometry!$C$6:$C$10000)</f>
        <v>0</v>
      </c>
      <c r="T4048" s="69"/>
      <c r="U4048" s="69"/>
    </row>
    <row r="4049" spans="19:21" ht="15" customHeight="1" x14ac:dyDescent="0.2">
      <c r="S4049" s="69">
        <f>_xlfn.XLOOKUP(Results!A4049,Geometry!$B$6:$B$10000,Geometry!$C$6:$C$10000)</f>
        <v>0</v>
      </c>
      <c r="T4049" s="69"/>
      <c r="U4049" s="69"/>
    </row>
    <row r="4050" spans="19:21" ht="15" customHeight="1" x14ac:dyDescent="0.2">
      <c r="S4050" s="69">
        <f>_xlfn.XLOOKUP(Results!A4050,Geometry!$B$6:$B$10000,Geometry!$C$6:$C$10000)</f>
        <v>0</v>
      </c>
      <c r="T4050" s="69"/>
      <c r="U4050" s="69"/>
    </row>
    <row r="4051" spans="19:21" ht="15" customHeight="1" x14ac:dyDescent="0.2">
      <c r="S4051" s="69">
        <f>_xlfn.XLOOKUP(Results!A4051,Geometry!$B$6:$B$10000,Geometry!$C$6:$C$10000)</f>
        <v>0</v>
      </c>
      <c r="T4051" s="69"/>
      <c r="U4051" s="69"/>
    </row>
    <row r="4052" spans="19:21" ht="15" customHeight="1" x14ac:dyDescent="0.2">
      <c r="S4052" s="69">
        <f>_xlfn.XLOOKUP(Results!A4052,Geometry!$B$6:$B$10000,Geometry!$C$6:$C$10000)</f>
        <v>0</v>
      </c>
      <c r="T4052" s="69"/>
      <c r="U4052" s="69"/>
    </row>
    <row r="4053" spans="19:21" ht="15" customHeight="1" x14ac:dyDescent="0.2">
      <c r="S4053" s="69">
        <f>_xlfn.XLOOKUP(Results!A4053,Geometry!$B$6:$B$10000,Geometry!$C$6:$C$10000)</f>
        <v>0</v>
      </c>
      <c r="T4053" s="69"/>
      <c r="U4053" s="69"/>
    </row>
    <row r="4054" spans="19:21" ht="15" customHeight="1" x14ac:dyDescent="0.2">
      <c r="S4054" s="69">
        <f>_xlfn.XLOOKUP(Results!A4054,Geometry!$B$6:$B$10000,Geometry!$C$6:$C$10000)</f>
        <v>0</v>
      </c>
      <c r="T4054" s="69"/>
      <c r="U4054" s="69"/>
    </row>
    <row r="4055" spans="19:21" ht="15" customHeight="1" x14ac:dyDescent="0.2">
      <c r="S4055" s="69">
        <f>_xlfn.XLOOKUP(Results!A4055,Geometry!$B$6:$B$10000,Geometry!$C$6:$C$10000)</f>
        <v>0</v>
      </c>
      <c r="T4055" s="69"/>
      <c r="U4055" s="69"/>
    </row>
    <row r="4056" spans="19:21" ht="15" customHeight="1" x14ac:dyDescent="0.2">
      <c r="S4056" s="69">
        <f>_xlfn.XLOOKUP(Results!A4056,Geometry!$B$6:$B$10000,Geometry!$C$6:$C$10000)</f>
        <v>0</v>
      </c>
      <c r="T4056" s="69"/>
      <c r="U4056" s="69"/>
    </row>
    <row r="4057" spans="19:21" ht="15" customHeight="1" x14ac:dyDescent="0.2">
      <c r="S4057" s="69">
        <f>_xlfn.XLOOKUP(Results!A4057,Geometry!$B$6:$B$10000,Geometry!$C$6:$C$10000)</f>
        <v>0</v>
      </c>
      <c r="T4057" s="69"/>
      <c r="U4057" s="69"/>
    </row>
    <row r="4058" spans="19:21" ht="15" customHeight="1" x14ac:dyDescent="0.2">
      <c r="S4058" s="69">
        <f>_xlfn.XLOOKUP(Results!A4058,Geometry!$B$6:$B$10000,Geometry!$C$6:$C$10000)</f>
        <v>0</v>
      </c>
      <c r="T4058" s="69"/>
      <c r="U4058" s="69"/>
    </row>
    <row r="4059" spans="19:21" ht="15" customHeight="1" x14ac:dyDescent="0.2">
      <c r="S4059" s="69">
        <f>_xlfn.XLOOKUP(Results!A4059,Geometry!$B$6:$B$10000,Geometry!$C$6:$C$10000)</f>
        <v>0</v>
      </c>
      <c r="T4059" s="69"/>
      <c r="U4059" s="69"/>
    </row>
    <row r="4060" spans="19:21" ht="15" customHeight="1" x14ac:dyDescent="0.2">
      <c r="S4060" s="69">
        <f>_xlfn.XLOOKUP(Results!A4060,Geometry!$B$6:$B$10000,Geometry!$C$6:$C$10000)</f>
        <v>0</v>
      </c>
      <c r="T4060" s="69"/>
      <c r="U4060" s="69"/>
    </row>
    <row r="4061" spans="19:21" ht="15" customHeight="1" x14ac:dyDescent="0.2">
      <c r="S4061" s="69">
        <f>_xlfn.XLOOKUP(Results!A4061,Geometry!$B$6:$B$10000,Geometry!$C$6:$C$10000)</f>
        <v>0</v>
      </c>
      <c r="T4061" s="69"/>
      <c r="U4061" s="69"/>
    </row>
    <row r="4062" spans="19:21" ht="15" customHeight="1" x14ac:dyDescent="0.2">
      <c r="S4062" s="69">
        <f>_xlfn.XLOOKUP(Results!A4062,Geometry!$B$6:$B$10000,Geometry!$C$6:$C$10000)</f>
        <v>0</v>
      </c>
      <c r="T4062" s="69"/>
      <c r="U4062" s="69"/>
    </row>
    <row r="4063" spans="19:21" ht="15" customHeight="1" x14ac:dyDescent="0.2">
      <c r="S4063" s="69">
        <f>_xlfn.XLOOKUP(Results!A4063,Geometry!$B$6:$B$10000,Geometry!$C$6:$C$10000)</f>
        <v>0</v>
      </c>
      <c r="T4063" s="69"/>
      <c r="U4063" s="69"/>
    </row>
    <row r="4064" spans="19:21" ht="15" customHeight="1" x14ac:dyDescent="0.2">
      <c r="S4064" s="69">
        <f>_xlfn.XLOOKUP(Results!A4064,Geometry!$B$6:$B$10000,Geometry!$C$6:$C$10000)</f>
        <v>0</v>
      </c>
      <c r="T4064" s="69"/>
      <c r="U4064" s="69"/>
    </row>
    <row r="4065" spans="19:21" ht="15" customHeight="1" x14ac:dyDescent="0.2">
      <c r="S4065" s="69">
        <f>_xlfn.XLOOKUP(Results!A4065,Geometry!$B$6:$B$10000,Geometry!$C$6:$C$10000)</f>
        <v>0</v>
      </c>
      <c r="T4065" s="69"/>
      <c r="U4065" s="69"/>
    </row>
    <row r="4066" spans="19:21" ht="15" customHeight="1" x14ac:dyDescent="0.2">
      <c r="S4066" s="69">
        <f>_xlfn.XLOOKUP(Results!A4066,Geometry!$B$6:$B$10000,Geometry!$C$6:$C$10000)</f>
        <v>0</v>
      </c>
      <c r="T4066" s="69"/>
      <c r="U4066" s="69"/>
    </row>
    <row r="4067" spans="19:21" ht="15" customHeight="1" x14ac:dyDescent="0.2">
      <c r="S4067" s="69">
        <f>_xlfn.XLOOKUP(Results!A4067,Geometry!$B$6:$B$10000,Geometry!$C$6:$C$10000)</f>
        <v>0</v>
      </c>
      <c r="T4067" s="69"/>
      <c r="U4067" s="69"/>
    </row>
    <row r="4068" spans="19:21" ht="15" customHeight="1" x14ac:dyDescent="0.2">
      <c r="S4068" s="69">
        <f>_xlfn.XLOOKUP(Results!A4068,Geometry!$B$6:$B$10000,Geometry!$C$6:$C$10000)</f>
        <v>0</v>
      </c>
      <c r="T4068" s="69"/>
      <c r="U4068" s="69"/>
    </row>
    <row r="4069" spans="19:21" ht="15" customHeight="1" x14ac:dyDescent="0.2">
      <c r="S4069" s="69">
        <f>_xlfn.XLOOKUP(Results!A4069,Geometry!$B$6:$B$10000,Geometry!$C$6:$C$10000)</f>
        <v>0</v>
      </c>
      <c r="T4069" s="69"/>
      <c r="U4069" s="69"/>
    </row>
    <row r="4070" spans="19:21" ht="15" customHeight="1" x14ac:dyDescent="0.2">
      <c r="S4070" s="69">
        <f>_xlfn.XLOOKUP(Results!A4070,Geometry!$B$6:$B$10000,Geometry!$C$6:$C$10000)</f>
        <v>0</v>
      </c>
      <c r="T4070" s="69"/>
      <c r="U4070" s="69"/>
    </row>
    <row r="4071" spans="19:21" ht="15" customHeight="1" x14ac:dyDescent="0.2">
      <c r="S4071" s="69">
        <f>_xlfn.XLOOKUP(Results!A4071,Geometry!$B$6:$B$10000,Geometry!$C$6:$C$10000)</f>
        <v>0</v>
      </c>
      <c r="T4071" s="69"/>
      <c r="U4071" s="69"/>
    </row>
    <row r="4072" spans="19:21" ht="15" customHeight="1" x14ac:dyDescent="0.2">
      <c r="S4072" s="69">
        <f>_xlfn.XLOOKUP(Results!A4072,Geometry!$B$6:$B$10000,Geometry!$C$6:$C$10000)</f>
        <v>0</v>
      </c>
      <c r="T4072" s="69"/>
      <c r="U4072" s="69"/>
    </row>
    <row r="4073" spans="19:21" ht="15" customHeight="1" x14ac:dyDescent="0.2">
      <c r="S4073" s="69">
        <f>_xlfn.XLOOKUP(Results!A4073,Geometry!$B$6:$B$10000,Geometry!$C$6:$C$10000)</f>
        <v>0</v>
      </c>
      <c r="T4073" s="69"/>
      <c r="U4073" s="69"/>
    </row>
    <row r="4074" spans="19:21" ht="15" customHeight="1" x14ac:dyDescent="0.2">
      <c r="S4074" s="69">
        <f>_xlfn.XLOOKUP(Results!A4074,Geometry!$B$6:$B$10000,Geometry!$C$6:$C$10000)</f>
        <v>0</v>
      </c>
      <c r="T4074" s="69"/>
      <c r="U4074" s="69"/>
    </row>
    <row r="4075" spans="19:21" ht="15" customHeight="1" x14ac:dyDescent="0.2">
      <c r="S4075" s="69">
        <f>_xlfn.XLOOKUP(Results!A4075,Geometry!$B$6:$B$10000,Geometry!$C$6:$C$10000)</f>
        <v>0</v>
      </c>
      <c r="T4075" s="69"/>
      <c r="U4075" s="69"/>
    </row>
    <row r="4076" spans="19:21" ht="15" customHeight="1" x14ac:dyDescent="0.2">
      <c r="S4076" s="69">
        <f>_xlfn.XLOOKUP(Results!A4076,Geometry!$B$6:$B$10000,Geometry!$C$6:$C$10000)</f>
        <v>0</v>
      </c>
      <c r="T4076" s="69"/>
      <c r="U4076" s="69"/>
    </row>
    <row r="4077" spans="19:21" ht="15" customHeight="1" x14ac:dyDescent="0.2">
      <c r="S4077" s="69">
        <f>_xlfn.XLOOKUP(Results!A4077,Geometry!$B$6:$B$10000,Geometry!$C$6:$C$10000)</f>
        <v>0</v>
      </c>
      <c r="T4077" s="69"/>
      <c r="U4077" s="69"/>
    </row>
    <row r="4078" spans="19:21" ht="15" customHeight="1" x14ac:dyDescent="0.2">
      <c r="S4078" s="69">
        <f>_xlfn.XLOOKUP(Results!A4078,Geometry!$B$6:$B$10000,Geometry!$C$6:$C$10000)</f>
        <v>0</v>
      </c>
      <c r="T4078" s="69"/>
      <c r="U4078" s="69"/>
    </row>
    <row r="4079" spans="19:21" ht="15" customHeight="1" x14ac:dyDescent="0.2">
      <c r="S4079" s="69">
        <f>_xlfn.XLOOKUP(Results!A4079,Geometry!$B$6:$B$10000,Geometry!$C$6:$C$10000)</f>
        <v>0</v>
      </c>
      <c r="T4079" s="69"/>
      <c r="U4079" s="69"/>
    </row>
    <row r="4080" spans="19:21" ht="15" customHeight="1" x14ac:dyDescent="0.2">
      <c r="S4080" s="69">
        <f>_xlfn.XLOOKUP(Results!A4080,Geometry!$B$6:$B$10000,Geometry!$C$6:$C$10000)</f>
        <v>0</v>
      </c>
      <c r="T4080" s="69"/>
      <c r="U4080" s="69"/>
    </row>
    <row r="4081" spans="19:21" ht="15" customHeight="1" x14ac:dyDescent="0.2">
      <c r="S4081" s="69">
        <f>_xlfn.XLOOKUP(Results!A4081,Geometry!$B$6:$B$10000,Geometry!$C$6:$C$10000)</f>
        <v>0</v>
      </c>
      <c r="T4081" s="69"/>
      <c r="U4081" s="69"/>
    </row>
    <row r="4082" spans="19:21" ht="15" customHeight="1" x14ac:dyDescent="0.2">
      <c r="S4082" s="69">
        <f>_xlfn.XLOOKUP(Results!A4082,Geometry!$B$6:$B$10000,Geometry!$C$6:$C$10000)</f>
        <v>0</v>
      </c>
      <c r="T4082" s="69"/>
      <c r="U4082" s="69"/>
    </row>
    <row r="4083" spans="19:21" ht="15" customHeight="1" x14ac:dyDescent="0.2">
      <c r="S4083" s="69">
        <f>_xlfn.XLOOKUP(Results!A4083,Geometry!$B$6:$B$10000,Geometry!$C$6:$C$10000)</f>
        <v>0</v>
      </c>
      <c r="T4083" s="69"/>
      <c r="U4083" s="69"/>
    </row>
    <row r="4084" spans="19:21" ht="15" customHeight="1" x14ac:dyDescent="0.2">
      <c r="S4084" s="69">
        <f>_xlfn.XLOOKUP(Results!A4084,Geometry!$B$6:$B$10000,Geometry!$C$6:$C$10000)</f>
        <v>0</v>
      </c>
      <c r="T4084" s="69"/>
      <c r="U4084" s="69"/>
    </row>
    <row r="4085" spans="19:21" ht="15" customHeight="1" x14ac:dyDescent="0.2">
      <c r="S4085" s="69">
        <f>_xlfn.XLOOKUP(Results!A4085,Geometry!$B$6:$B$10000,Geometry!$C$6:$C$10000)</f>
        <v>0</v>
      </c>
      <c r="T4085" s="69"/>
      <c r="U4085" s="69"/>
    </row>
    <row r="4086" spans="19:21" ht="15" customHeight="1" x14ac:dyDescent="0.2">
      <c r="S4086" s="69">
        <f>_xlfn.XLOOKUP(Results!A4086,Geometry!$B$6:$B$10000,Geometry!$C$6:$C$10000)</f>
        <v>0</v>
      </c>
      <c r="T4086" s="69"/>
      <c r="U4086" s="69"/>
    </row>
    <row r="4087" spans="19:21" ht="15" customHeight="1" x14ac:dyDescent="0.2">
      <c r="S4087" s="69">
        <f>_xlfn.XLOOKUP(Results!A4087,Geometry!$B$6:$B$10000,Geometry!$C$6:$C$10000)</f>
        <v>0</v>
      </c>
      <c r="T4087" s="69"/>
      <c r="U4087" s="69"/>
    </row>
    <row r="4088" spans="19:21" ht="15" customHeight="1" x14ac:dyDescent="0.2">
      <c r="S4088" s="69">
        <f>_xlfn.XLOOKUP(Results!A4088,Geometry!$B$6:$B$10000,Geometry!$C$6:$C$10000)</f>
        <v>0</v>
      </c>
      <c r="T4088" s="69"/>
      <c r="U4088" s="69"/>
    </row>
    <row r="4089" spans="19:21" ht="15" customHeight="1" x14ac:dyDescent="0.2">
      <c r="S4089" s="69">
        <f>_xlfn.XLOOKUP(Results!A4089,Geometry!$B$6:$B$10000,Geometry!$C$6:$C$10000)</f>
        <v>0</v>
      </c>
      <c r="T4089" s="69"/>
      <c r="U4089" s="69"/>
    </row>
    <row r="4090" spans="19:21" ht="15" customHeight="1" x14ac:dyDescent="0.2">
      <c r="S4090" s="69">
        <f>_xlfn.XLOOKUP(Results!A4090,Geometry!$B$6:$B$10000,Geometry!$C$6:$C$10000)</f>
        <v>0</v>
      </c>
      <c r="T4090" s="69"/>
      <c r="U4090" s="69"/>
    </row>
    <row r="4091" spans="19:21" ht="15" customHeight="1" x14ac:dyDescent="0.2">
      <c r="S4091" s="69">
        <f>_xlfn.XLOOKUP(Results!A4091,Geometry!$B$6:$B$10000,Geometry!$C$6:$C$10000)</f>
        <v>0</v>
      </c>
      <c r="T4091" s="69"/>
      <c r="U4091" s="69"/>
    </row>
    <row r="4092" spans="19:21" ht="15" customHeight="1" x14ac:dyDescent="0.2">
      <c r="S4092" s="69">
        <f>_xlfn.XLOOKUP(Results!A4092,Geometry!$B$6:$B$10000,Geometry!$C$6:$C$10000)</f>
        <v>0</v>
      </c>
      <c r="T4092" s="69"/>
      <c r="U4092" s="69"/>
    </row>
    <row r="4093" spans="19:21" ht="15" customHeight="1" x14ac:dyDescent="0.2">
      <c r="S4093" s="69">
        <f>_xlfn.XLOOKUP(Results!A4093,Geometry!$B$6:$B$10000,Geometry!$C$6:$C$10000)</f>
        <v>0</v>
      </c>
      <c r="T4093" s="69"/>
      <c r="U4093" s="69"/>
    </row>
    <row r="4094" spans="19:21" ht="15" customHeight="1" x14ac:dyDescent="0.2">
      <c r="S4094" s="69">
        <f>_xlfn.XLOOKUP(Results!A4094,Geometry!$B$6:$B$10000,Geometry!$C$6:$C$10000)</f>
        <v>0</v>
      </c>
      <c r="T4094" s="69"/>
      <c r="U4094" s="69"/>
    </row>
    <row r="4095" spans="19:21" ht="15" customHeight="1" x14ac:dyDescent="0.2">
      <c r="S4095" s="69">
        <f>_xlfn.XLOOKUP(Results!A4095,Geometry!$B$6:$B$10000,Geometry!$C$6:$C$10000)</f>
        <v>0</v>
      </c>
      <c r="T4095" s="69"/>
      <c r="U4095" s="69"/>
    </row>
    <row r="4096" spans="19:21" ht="15" customHeight="1" x14ac:dyDescent="0.2">
      <c r="S4096" s="69">
        <f>_xlfn.XLOOKUP(Results!A4096,Geometry!$B$6:$B$10000,Geometry!$C$6:$C$10000)</f>
        <v>0</v>
      </c>
      <c r="T4096" s="69"/>
      <c r="U4096" s="69"/>
    </row>
    <row r="4097" spans="19:21" ht="15" customHeight="1" x14ac:dyDescent="0.2">
      <c r="S4097" s="69">
        <f>_xlfn.XLOOKUP(Results!A4097,Geometry!$B$6:$B$10000,Geometry!$C$6:$C$10000)</f>
        <v>0</v>
      </c>
      <c r="T4097" s="69"/>
      <c r="U4097" s="69"/>
    </row>
    <row r="4098" spans="19:21" ht="15" customHeight="1" x14ac:dyDescent="0.2">
      <c r="S4098" s="69">
        <f>_xlfn.XLOOKUP(Results!A4098,Geometry!$B$6:$B$10000,Geometry!$C$6:$C$10000)</f>
        <v>0</v>
      </c>
      <c r="T4098" s="69"/>
      <c r="U4098" s="69"/>
    </row>
    <row r="4099" spans="19:21" ht="15" customHeight="1" x14ac:dyDescent="0.2">
      <c r="S4099" s="69">
        <f>_xlfn.XLOOKUP(Results!A4099,Geometry!$B$6:$B$10000,Geometry!$C$6:$C$10000)</f>
        <v>0</v>
      </c>
      <c r="T4099" s="69"/>
      <c r="U4099" s="69"/>
    </row>
    <row r="4100" spans="19:21" ht="15" customHeight="1" x14ac:dyDescent="0.2">
      <c r="S4100" s="69">
        <f>_xlfn.XLOOKUP(Results!A4100,Geometry!$B$6:$B$10000,Geometry!$C$6:$C$10000)</f>
        <v>0</v>
      </c>
      <c r="T4100" s="69"/>
      <c r="U4100" s="69"/>
    </row>
    <row r="4101" spans="19:21" ht="15" customHeight="1" x14ac:dyDescent="0.2">
      <c r="S4101" s="69">
        <f>_xlfn.XLOOKUP(Results!A4101,Geometry!$B$6:$B$10000,Geometry!$C$6:$C$10000)</f>
        <v>0</v>
      </c>
      <c r="T4101" s="69"/>
      <c r="U4101" s="69"/>
    </row>
    <row r="4102" spans="19:21" ht="15" customHeight="1" x14ac:dyDescent="0.2">
      <c r="S4102" s="69">
        <f>_xlfn.XLOOKUP(Results!A4102,Geometry!$B$6:$B$10000,Geometry!$C$6:$C$10000)</f>
        <v>0</v>
      </c>
      <c r="T4102" s="69"/>
      <c r="U4102" s="69"/>
    </row>
    <row r="4103" spans="19:21" ht="15" customHeight="1" x14ac:dyDescent="0.2">
      <c r="S4103" s="69">
        <f>_xlfn.XLOOKUP(Results!A4103,Geometry!$B$6:$B$10000,Geometry!$C$6:$C$10000)</f>
        <v>0</v>
      </c>
      <c r="T4103" s="69"/>
      <c r="U4103" s="69"/>
    </row>
    <row r="4104" spans="19:21" ht="15" customHeight="1" x14ac:dyDescent="0.2">
      <c r="S4104" s="69">
        <f>_xlfn.XLOOKUP(Results!A4104,Geometry!$B$6:$B$10000,Geometry!$C$6:$C$10000)</f>
        <v>0</v>
      </c>
      <c r="T4104" s="69"/>
      <c r="U4104" s="69"/>
    </row>
    <row r="4105" spans="19:21" ht="15" customHeight="1" x14ac:dyDescent="0.2">
      <c r="S4105" s="69">
        <f>_xlfn.XLOOKUP(Results!A4105,Geometry!$B$6:$B$10000,Geometry!$C$6:$C$10000)</f>
        <v>0</v>
      </c>
      <c r="T4105" s="69"/>
      <c r="U4105" s="69"/>
    </row>
    <row r="4106" spans="19:21" ht="15" customHeight="1" x14ac:dyDescent="0.2">
      <c r="S4106" s="69">
        <f>_xlfn.XLOOKUP(Results!A4106,Geometry!$B$6:$B$10000,Geometry!$C$6:$C$10000)</f>
        <v>0</v>
      </c>
      <c r="T4106" s="69"/>
      <c r="U4106" s="69"/>
    </row>
    <row r="4107" spans="19:21" ht="15" customHeight="1" x14ac:dyDescent="0.2">
      <c r="S4107" s="69">
        <f>_xlfn.XLOOKUP(Results!A4107,Geometry!$B$6:$B$10000,Geometry!$C$6:$C$10000)</f>
        <v>0</v>
      </c>
      <c r="T4107" s="69"/>
      <c r="U4107" s="69"/>
    </row>
    <row r="4108" spans="19:21" ht="15" customHeight="1" x14ac:dyDescent="0.2">
      <c r="S4108" s="69">
        <f>_xlfn.XLOOKUP(Results!A4108,Geometry!$B$6:$B$10000,Geometry!$C$6:$C$10000)</f>
        <v>0</v>
      </c>
      <c r="T4108" s="69"/>
      <c r="U4108" s="69"/>
    </row>
    <row r="4109" spans="19:21" ht="15" customHeight="1" x14ac:dyDescent="0.2">
      <c r="S4109" s="69">
        <f>_xlfn.XLOOKUP(Results!A4109,Geometry!$B$6:$B$10000,Geometry!$C$6:$C$10000)</f>
        <v>0</v>
      </c>
      <c r="T4109" s="69"/>
      <c r="U4109" s="69"/>
    </row>
    <row r="4110" spans="19:21" ht="15" customHeight="1" x14ac:dyDescent="0.2">
      <c r="S4110" s="69">
        <f>_xlfn.XLOOKUP(Results!A4110,Geometry!$B$6:$B$10000,Geometry!$C$6:$C$10000)</f>
        <v>0</v>
      </c>
      <c r="T4110" s="69"/>
      <c r="U4110" s="69"/>
    </row>
    <row r="4111" spans="19:21" ht="15" customHeight="1" x14ac:dyDescent="0.2">
      <c r="S4111" s="69">
        <f>_xlfn.XLOOKUP(Results!A4111,Geometry!$B$6:$B$10000,Geometry!$C$6:$C$10000)</f>
        <v>0</v>
      </c>
      <c r="T4111" s="69"/>
      <c r="U4111" s="69"/>
    </row>
    <row r="4112" spans="19:21" ht="15" customHeight="1" x14ac:dyDescent="0.2">
      <c r="S4112" s="69">
        <f>_xlfn.XLOOKUP(Results!A4112,Geometry!$B$6:$B$10000,Geometry!$C$6:$C$10000)</f>
        <v>0</v>
      </c>
      <c r="T4112" s="69"/>
      <c r="U4112" s="69"/>
    </row>
    <row r="4113" spans="19:21" ht="15" customHeight="1" x14ac:dyDescent="0.2">
      <c r="S4113" s="69">
        <f>_xlfn.XLOOKUP(Results!A4113,Geometry!$B$6:$B$10000,Geometry!$C$6:$C$10000)</f>
        <v>0</v>
      </c>
      <c r="T4113" s="69"/>
      <c r="U4113" s="69"/>
    </row>
    <row r="4114" spans="19:21" ht="15" customHeight="1" x14ac:dyDescent="0.2">
      <c r="S4114" s="69">
        <f>_xlfn.XLOOKUP(Results!A4114,Geometry!$B$6:$B$10000,Geometry!$C$6:$C$10000)</f>
        <v>0</v>
      </c>
      <c r="T4114" s="69"/>
      <c r="U4114" s="69"/>
    </row>
    <row r="4115" spans="19:21" ht="15" customHeight="1" x14ac:dyDescent="0.2">
      <c r="S4115" s="69">
        <f>_xlfn.XLOOKUP(Results!A4115,Geometry!$B$6:$B$10000,Geometry!$C$6:$C$10000)</f>
        <v>0</v>
      </c>
      <c r="T4115" s="69"/>
      <c r="U4115" s="69"/>
    </row>
    <row r="4116" spans="19:21" ht="15" customHeight="1" x14ac:dyDescent="0.2">
      <c r="S4116" s="69">
        <f>_xlfn.XLOOKUP(Results!A4116,Geometry!$B$6:$B$10000,Geometry!$C$6:$C$10000)</f>
        <v>0</v>
      </c>
      <c r="T4116" s="69"/>
      <c r="U4116" s="69"/>
    </row>
    <row r="4117" spans="19:21" ht="15" customHeight="1" x14ac:dyDescent="0.2">
      <c r="S4117" s="69">
        <f>_xlfn.XLOOKUP(Results!A4117,Geometry!$B$6:$B$10000,Geometry!$C$6:$C$10000)</f>
        <v>0</v>
      </c>
      <c r="T4117" s="69"/>
      <c r="U4117" s="69"/>
    </row>
    <row r="4118" spans="19:21" ht="15" customHeight="1" x14ac:dyDescent="0.2">
      <c r="S4118" s="69">
        <f>_xlfn.XLOOKUP(Results!A4118,Geometry!$B$6:$B$10000,Geometry!$C$6:$C$10000)</f>
        <v>0</v>
      </c>
      <c r="T4118" s="69"/>
      <c r="U4118" s="69"/>
    </row>
    <row r="4119" spans="19:21" ht="15" customHeight="1" x14ac:dyDescent="0.2">
      <c r="S4119" s="69">
        <f>_xlfn.XLOOKUP(Results!A4119,Geometry!$B$6:$B$10000,Geometry!$C$6:$C$10000)</f>
        <v>0</v>
      </c>
      <c r="T4119" s="69"/>
      <c r="U4119" s="69"/>
    </row>
    <row r="4120" spans="19:21" ht="15" customHeight="1" x14ac:dyDescent="0.2">
      <c r="S4120" s="69">
        <f>_xlfn.XLOOKUP(Results!A4120,Geometry!$B$6:$B$10000,Geometry!$C$6:$C$10000)</f>
        <v>0</v>
      </c>
      <c r="T4120" s="69"/>
      <c r="U4120" s="69"/>
    </row>
    <row r="4121" spans="19:21" ht="15" customHeight="1" x14ac:dyDescent="0.2">
      <c r="S4121" s="69">
        <f>_xlfn.XLOOKUP(Results!A4121,Geometry!$B$6:$B$10000,Geometry!$C$6:$C$10000)</f>
        <v>0</v>
      </c>
      <c r="T4121" s="69"/>
      <c r="U4121" s="69"/>
    </row>
    <row r="4122" spans="19:21" ht="15" customHeight="1" x14ac:dyDescent="0.2">
      <c r="S4122" s="69">
        <f>_xlfn.XLOOKUP(Results!A4122,Geometry!$B$6:$B$10000,Geometry!$C$6:$C$10000)</f>
        <v>0</v>
      </c>
      <c r="T4122" s="69"/>
      <c r="U4122" s="69"/>
    </row>
    <row r="4123" spans="19:21" ht="15" customHeight="1" x14ac:dyDescent="0.2">
      <c r="S4123" s="69">
        <f>_xlfn.XLOOKUP(Results!A4123,Geometry!$B$6:$B$10000,Geometry!$C$6:$C$10000)</f>
        <v>0</v>
      </c>
      <c r="T4123" s="69"/>
      <c r="U4123" s="69"/>
    </row>
    <row r="4124" spans="19:21" ht="15" customHeight="1" x14ac:dyDescent="0.2">
      <c r="S4124" s="69">
        <f>_xlfn.XLOOKUP(Results!A4124,Geometry!$B$6:$B$10000,Geometry!$C$6:$C$10000)</f>
        <v>0</v>
      </c>
      <c r="T4124" s="69"/>
      <c r="U4124" s="69"/>
    </row>
    <row r="4125" spans="19:21" ht="15" customHeight="1" x14ac:dyDescent="0.2">
      <c r="S4125" s="69">
        <f>_xlfn.XLOOKUP(Results!A4125,Geometry!$B$6:$B$10000,Geometry!$C$6:$C$10000)</f>
        <v>0</v>
      </c>
      <c r="T4125" s="69"/>
      <c r="U4125" s="69"/>
    </row>
    <row r="4126" spans="19:21" ht="15" customHeight="1" x14ac:dyDescent="0.2">
      <c r="S4126" s="69">
        <f>_xlfn.XLOOKUP(Results!A4126,Geometry!$B$6:$B$10000,Geometry!$C$6:$C$10000)</f>
        <v>0</v>
      </c>
      <c r="T4126" s="69"/>
      <c r="U4126" s="69"/>
    </row>
    <row r="4127" spans="19:21" ht="15" customHeight="1" x14ac:dyDescent="0.2">
      <c r="S4127" s="69">
        <f>_xlfn.XLOOKUP(Results!A4127,Geometry!$B$6:$B$10000,Geometry!$C$6:$C$10000)</f>
        <v>0</v>
      </c>
      <c r="T4127" s="69"/>
      <c r="U4127" s="69"/>
    </row>
    <row r="4128" spans="19:21" ht="15" customHeight="1" x14ac:dyDescent="0.2">
      <c r="S4128" s="69">
        <f>_xlfn.XLOOKUP(Results!A4128,Geometry!$B$6:$B$10000,Geometry!$C$6:$C$10000)</f>
        <v>0</v>
      </c>
      <c r="T4128" s="69"/>
      <c r="U4128" s="69"/>
    </row>
    <row r="4129" spans="19:21" ht="15" customHeight="1" x14ac:dyDescent="0.2">
      <c r="S4129" s="69">
        <f>_xlfn.XLOOKUP(Results!A4129,Geometry!$B$6:$B$10000,Geometry!$C$6:$C$10000)</f>
        <v>0</v>
      </c>
      <c r="T4129" s="69"/>
      <c r="U4129" s="69"/>
    </row>
    <row r="4130" spans="19:21" ht="15" customHeight="1" x14ac:dyDescent="0.2">
      <c r="S4130" s="69">
        <f>_xlfn.XLOOKUP(Results!A4130,Geometry!$B$6:$B$10000,Geometry!$C$6:$C$10000)</f>
        <v>0</v>
      </c>
      <c r="T4130" s="69"/>
      <c r="U4130" s="69"/>
    </row>
    <row r="4131" spans="19:21" ht="15" customHeight="1" x14ac:dyDescent="0.2">
      <c r="S4131" s="69">
        <f>_xlfn.XLOOKUP(Results!A4131,Geometry!$B$6:$B$10000,Geometry!$C$6:$C$10000)</f>
        <v>0</v>
      </c>
      <c r="T4131" s="69"/>
      <c r="U4131" s="69"/>
    </row>
    <row r="4132" spans="19:21" ht="15" customHeight="1" x14ac:dyDescent="0.2">
      <c r="S4132" s="69">
        <f>_xlfn.XLOOKUP(Results!A4132,Geometry!$B$6:$B$10000,Geometry!$C$6:$C$10000)</f>
        <v>0</v>
      </c>
      <c r="T4132" s="69"/>
      <c r="U4132" s="69"/>
    </row>
    <row r="4133" spans="19:21" ht="15" customHeight="1" x14ac:dyDescent="0.2">
      <c r="S4133" s="69">
        <f>_xlfn.XLOOKUP(Results!A4133,Geometry!$B$6:$B$10000,Geometry!$C$6:$C$10000)</f>
        <v>0</v>
      </c>
      <c r="T4133" s="69"/>
      <c r="U4133" s="69"/>
    </row>
    <row r="4134" spans="19:21" ht="15" customHeight="1" x14ac:dyDescent="0.2">
      <c r="S4134" s="69">
        <f>_xlfn.XLOOKUP(Results!A4134,Geometry!$B$6:$B$10000,Geometry!$C$6:$C$10000)</f>
        <v>0</v>
      </c>
      <c r="T4134" s="69"/>
      <c r="U4134" s="69"/>
    </row>
    <row r="4135" spans="19:21" ht="15" customHeight="1" x14ac:dyDescent="0.2">
      <c r="S4135" s="69">
        <f>_xlfn.XLOOKUP(Results!A4135,Geometry!$B$6:$B$10000,Geometry!$C$6:$C$10000)</f>
        <v>0</v>
      </c>
      <c r="T4135" s="69"/>
      <c r="U4135" s="69"/>
    </row>
    <row r="4136" spans="19:21" ht="15" customHeight="1" x14ac:dyDescent="0.2">
      <c r="S4136" s="69">
        <f>_xlfn.XLOOKUP(Results!A4136,Geometry!$B$6:$B$10000,Geometry!$C$6:$C$10000)</f>
        <v>0</v>
      </c>
      <c r="T4136" s="69"/>
      <c r="U4136" s="69"/>
    </row>
    <row r="4137" spans="19:21" ht="15" customHeight="1" x14ac:dyDescent="0.2">
      <c r="S4137" s="69">
        <f>_xlfn.XLOOKUP(Results!A4137,Geometry!$B$6:$B$10000,Geometry!$C$6:$C$10000)</f>
        <v>0</v>
      </c>
      <c r="T4137" s="69"/>
      <c r="U4137" s="69"/>
    </row>
    <row r="4138" spans="19:21" ht="15" customHeight="1" x14ac:dyDescent="0.2">
      <c r="S4138" s="69">
        <f>_xlfn.XLOOKUP(Results!A4138,Geometry!$B$6:$B$10000,Geometry!$C$6:$C$10000)</f>
        <v>0</v>
      </c>
      <c r="T4138" s="69"/>
      <c r="U4138" s="69"/>
    </row>
    <row r="4139" spans="19:21" ht="15" customHeight="1" x14ac:dyDescent="0.2">
      <c r="S4139" s="69">
        <f>_xlfn.XLOOKUP(Results!A4139,Geometry!$B$6:$B$10000,Geometry!$C$6:$C$10000)</f>
        <v>0</v>
      </c>
      <c r="T4139" s="69"/>
      <c r="U4139" s="69"/>
    </row>
    <row r="4140" spans="19:21" ht="15" customHeight="1" x14ac:dyDescent="0.2">
      <c r="S4140" s="69">
        <f>_xlfn.XLOOKUP(Results!A4140,Geometry!$B$6:$B$10000,Geometry!$C$6:$C$10000)</f>
        <v>0</v>
      </c>
      <c r="T4140" s="69"/>
      <c r="U4140" s="69"/>
    </row>
    <row r="4141" spans="19:21" ht="15" customHeight="1" x14ac:dyDescent="0.2">
      <c r="S4141" s="69">
        <f>_xlfn.XLOOKUP(Results!A4141,Geometry!$B$6:$B$10000,Geometry!$C$6:$C$10000)</f>
        <v>0</v>
      </c>
      <c r="T4141" s="69"/>
      <c r="U4141" s="69"/>
    </row>
    <row r="4142" spans="19:21" ht="15" customHeight="1" x14ac:dyDescent="0.2">
      <c r="S4142" s="69">
        <f>_xlfn.XLOOKUP(Results!A4142,Geometry!$B$6:$B$10000,Geometry!$C$6:$C$10000)</f>
        <v>0</v>
      </c>
      <c r="T4142" s="69"/>
      <c r="U4142" s="69"/>
    </row>
    <row r="4143" spans="19:21" ht="15" customHeight="1" x14ac:dyDescent="0.2">
      <c r="S4143" s="69">
        <f>_xlfn.XLOOKUP(Results!A4143,Geometry!$B$6:$B$10000,Geometry!$C$6:$C$10000)</f>
        <v>0</v>
      </c>
      <c r="T4143" s="69"/>
      <c r="U4143" s="69"/>
    </row>
    <row r="4144" spans="19:21" ht="15" customHeight="1" x14ac:dyDescent="0.2">
      <c r="S4144" s="69">
        <f>_xlfn.XLOOKUP(Results!A4144,Geometry!$B$6:$B$10000,Geometry!$C$6:$C$10000)</f>
        <v>0</v>
      </c>
      <c r="T4144" s="69"/>
      <c r="U4144" s="69"/>
    </row>
    <row r="4145" spans="19:21" ht="15" customHeight="1" x14ac:dyDescent="0.2">
      <c r="S4145" s="69">
        <f>_xlfn.XLOOKUP(Results!A4145,Geometry!$B$6:$B$10000,Geometry!$C$6:$C$10000)</f>
        <v>0</v>
      </c>
      <c r="T4145" s="69"/>
      <c r="U4145" s="69"/>
    </row>
    <row r="4146" spans="19:21" ht="15" customHeight="1" x14ac:dyDescent="0.2">
      <c r="S4146" s="69">
        <f>_xlfn.XLOOKUP(Results!A4146,Geometry!$B$6:$B$10000,Geometry!$C$6:$C$10000)</f>
        <v>0</v>
      </c>
      <c r="T4146" s="69"/>
      <c r="U4146" s="69"/>
    </row>
    <row r="4147" spans="19:21" ht="15" customHeight="1" x14ac:dyDescent="0.2">
      <c r="S4147" s="69">
        <f>_xlfn.XLOOKUP(Results!A4147,Geometry!$B$6:$B$10000,Geometry!$C$6:$C$10000)</f>
        <v>0</v>
      </c>
      <c r="T4147" s="69"/>
      <c r="U4147" s="69"/>
    </row>
    <row r="4148" spans="19:21" ht="15" customHeight="1" x14ac:dyDescent="0.2">
      <c r="S4148" s="69">
        <f>_xlfn.XLOOKUP(Results!A4148,Geometry!$B$6:$B$10000,Geometry!$C$6:$C$10000)</f>
        <v>0</v>
      </c>
      <c r="T4148" s="69"/>
      <c r="U4148" s="69"/>
    </row>
    <row r="4149" spans="19:21" ht="15" customHeight="1" x14ac:dyDescent="0.2">
      <c r="S4149" s="69">
        <f>_xlfn.XLOOKUP(Results!A4149,Geometry!$B$6:$B$10000,Geometry!$C$6:$C$10000)</f>
        <v>0</v>
      </c>
      <c r="T4149" s="69"/>
      <c r="U4149" s="69"/>
    </row>
    <row r="4150" spans="19:21" ht="15" customHeight="1" x14ac:dyDescent="0.2">
      <c r="S4150" s="69">
        <f>_xlfn.XLOOKUP(Results!A4150,Geometry!$B$6:$B$10000,Geometry!$C$6:$C$10000)</f>
        <v>0</v>
      </c>
      <c r="T4150" s="69"/>
      <c r="U4150" s="69"/>
    </row>
    <row r="4151" spans="19:21" ht="15" customHeight="1" x14ac:dyDescent="0.2">
      <c r="S4151" s="69">
        <f>_xlfn.XLOOKUP(Results!A4151,Geometry!$B$6:$B$10000,Geometry!$C$6:$C$10000)</f>
        <v>0</v>
      </c>
      <c r="T4151" s="69"/>
      <c r="U4151" s="69"/>
    </row>
    <row r="4152" spans="19:21" ht="15" customHeight="1" x14ac:dyDescent="0.2">
      <c r="S4152" s="69">
        <f>_xlfn.XLOOKUP(Results!A4152,Geometry!$B$6:$B$10000,Geometry!$C$6:$C$10000)</f>
        <v>0</v>
      </c>
      <c r="T4152" s="69"/>
      <c r="U4152" s="69"/>
    </row>
    <row r="4153" spans="19:21" ht="15" customHeight="1" x14ac:dyDescent="0.2">
      <c r="S4153" s="69">
        <f>_xlfn.XLOOKUP(Results!A4153,Geometry!$B$6:$B$10000,Geometry!$C$6:$C$10000)</f>
        <v>0</v>
      </c>
      <c r="T4153" s="69"/>
      <c r="U4153" s="69"/>
    </row>
    <row r="4154" spans="19:21" ht="15" customHeight="1" x14ac:dyDescent="0.2">
      <c r="S4154" s="69">
        <f>_xlfn.XLOOKUP(Results!A4154,Geometry!$B$6:$B$10000,Geometry!$C$6:$C$10000)</f>
        <v>0</v>
      </c>
      <c r="T4154" s="69"/>
      <c r="U4154" s="69"/>
    </row>
    <row r="4155" spans="19:21" ht="15" customHeight="1" x14ac:dyDescent="0.2">
      <c r="S4155" s="69">
        <f>_xlfn.XLOOKUP(Results!A4155,Geometry!$B$6:$B$10000,Geometry!$C$6:$C$10000)</f>
        <v>0</v>
      </c>
      <c r="T4155" s="69"/>
      <c r="U4155" s="69"/>
    </row>
    <row r="4156" spans="19:21" ht="15" customHeight="1" x14ac:dyDescent="0.2">
      <c r="S4156" s="69">
        <f>_xlfn.XLOOKUP(Results!A4156,Geometry!$B$6:$B$10000,Geometry!$C$6:$C$10000)</f>
        <v>0</v>
      </c>
      <c r="T4156" s="69"/>
      <c r="U4156" s="69"/>
    </row>
    <row r="4157" spans="19:21" ht="15" customHeight="1" x14ac:dyDescent="0.2">
      <c r="S4157" s="69">
        <f>_xlfn.XLOOKUP(Results!A4157,Geometry!$B$6:$B$10000,Geometry!$C$6:$C$10000)</f>
        <v>0</v>
      </c>
      <c r="T4157" s="69"/>
      <c r="U4157" s="69"/>
    </row>
    <row r="4158" spans="19:21" ht="15" customHeight="1" x14ac:dyDescent="0.2">
      <c r="S4158" s="69">
        <f>_xlfn.XLOOKUP(Results!A4158,Geometry!$B$6:$B$10000,Geometry!$C$6:$C$10000)</f>
        <v>0</v>
      </c>
      <c r="T4158" s="69"/>
      <c r="U4158" s="69"/>
    </row>
    <row r="4159" spans="19:21" ht="15" customHeight="1" x14ac:dyDescent="0.2">
      <c r="S4159" s="69">
        <f>_xlfn.XLOOKUP(Results!A4159,Geometry!$B$6:$B$10000,Geometry!$C$6:$C$10000)</f>
        <v>0</v>
      </c>
      <c r="T4159" s="69"/>
      <c r="U4159" s="69"/>
    </row>
    <row r="4160" spans="19:21" ht="15" customHeight="1" x14ac:dyDescent="0.2">
      <c r="S4160" s="69">
        <f>_xlfn.XLOOKUP(Results!A4160,Geometry!$B$6:$B$10000,Geometry!$C$6:$C$10000)</f>
        <v>0</v>
      </c>
      <c r="T4160" s="69"/>
      <c r="U4160" s="69"/>
    </row>
    <row r="4161" spans="19:21" ht="15" customHeight="1" x14ac:dyDescent="0.2">
      <c r="S4161" s="69">
        <f>_xlfn.XLOOKUP(Results!A4161,Geometry!$B$6:$B$10000,Geometry!$C$6:$C$10000)</f>
        <v>0</v>
      </c>
      <c r="T4161" s="69"/>
      <c r="U4161" s="69"/>
    </row>
    <row r="4162" spans="19:21" ht="15" customHeight="1" x14ac:dyDescent="0.2">
      <c r="S4162" s="69">
        <f>_xlfn.XLOOKUP(Results!A4162,Geometry!$B$6:$B$10000,Geometry!$C$6:$C$10000)</f>
        <v>0</v>
      </c>
      <c r="T4162" s="69"/>
      <c r="U4162" s="69"/>
    </row>
    <row r="4163" spans="19:21" ht="15" customHeight="1" x14ac:dyDescent="0.2">
      <c r="S4163" s="69">
        <f>_xlfn.XLOOKUP(Results!A4163,Geometry!$B$6:$B$10000,Geometry!$C$6:$C$10000)</f>
        <v>0</v>
      </c>
      <c r="T4163" s="69"/>
      <c r="U4163" s="69"/>
    </row>
    <row r="4164" spans="19:21" ht="15" customHeight="1" x14ac:dyDescent="0.2">
      <c r="S4164" s="69">
        <f>_xlfn.XLOOKUP(Results!A4164,Geometry!$B$6:$B$10000,Geometry!$C$6:$C$10000)</f>
        <v>0</v>
      </c>
      <c r="T4164" s="69"/>
      <c r="U4164" s="69"/>
    </row>
    <row r="4165" spans="19:21" ht="15" customHeight="1" x14ac:dyDescent="0.2">
      <c r="S4165" s="69">
        <f>_xlfn.XLOOKUP(Results!A4165,Geometry!$B$6:$B$10000,Geometry!$C$6:$C$10000)</f>
        <v>0</v>
      </c>
      <c r="T4165" s="69"/>
      <c r="U4165" s="69"/>
    </row>
    <row r="4166" spans="19:21" ht="15" customHeight="1" x14ac:dyDescent="0.2">
      <c r="S4166" s="69">
        <f>_xlfn.XLOOKUP(Results!A4166,Geometry!$B$6:$B$10000,Geometry!$C$6:$C$10000)</f>
        <v>0</v>
      </c>
      <c r="T4166" s="69"/>
      <c r="U4166" s="69"/>
    </row>
    <row r="4167" spans="19:21" ht="15" customHeight="1" x14ac:dyDescent="0.2">
      <c r="S4167" s="69">
        <f>_xlfn.XLOOKUP(Results!A4167,Geometry!$B$6:$B$10000,Geometry!$C$6:$C$10000)</f>
        <v>0</v>
      </c>
      <c r="T4167" s="69"/>
      <c r="U4167" s="69"/>
    </row>
    <row r="4168" spans="19:21" ht="15" customHeight="1" x14ac:dyDescent="0.2">
      <c r="S4168" s="69">
        <f>_xlfn.XLOOKUP(Results!A4168,Geometry!$B$6:$B$10000,Geometry!$C$6:$C$10000)</f>
        <v>0</v>
      </c>
      <c r="T4168" s="69"/>
      <c r="U4168" s="69"/>
    </row>
    <row r="4169" spans="19:21" ht="15" customHeight="1" x14ac:dyDescent="0.2">
      <c r="S4169" s="69">
        <f>_xlfn.XLOOKUP(Results!A4169,Geometry!$B$6:$B$10000,Geometry!$C$6:$C$10000)</f>
        <v>0</v>
      </c>
      <c r="T4169" s="69"/>
      <c r="U4169" s="69"/>
    </row>
    <row r="4170" spans="19:21" ht="15" customHeight="1" x14ac:dyDescent="0.2">
      <c r="S4170" s="69">
        <f>_xlfn.XLOOKUP(Results!A4170,Geometry!$B$6:$B$10000,Geometry!$C$6:$C$10000)</f>
        <v>0</v>
      </c>
      <c r="T4170" s="69"/>
      <c r="U4170" s="69"/>
    </row>
    <row r="4171" spans="19:21" ht="15" customHeight="1" x14ac:dyDescent="0.2">
      <c r="S4171" s="69">
        <f>_xlfn.XLOOKUP(Results!A4171,Geometry!$B$6:$B$10000,Geometry!$C$6:$C$10000)</f>
        <v>0</v>
      </c>
      <c r="T4171" s="69"/>
      <c r="U4171" s="69"/>
    </row>
    <row r="4172" spans="19:21" ht="15" customHeight="1" x14ac:dyDescent="0.2">
      <c r="S4172" s="69">
        <f>_xlfn.XLOOKUP(Results!A4172,Geometry!$B$6:$B$10000,Geometry!$C$6:$C$10000)</f>
        <v>0</v>
      </c>
      <c r="T4172" s="69"/>
      <c r="U4172" s="69"/>
    </row>
    <row r="4173" spans="19:21" ht="15" customHeight="1" x14ac:dyDescent="0.2">
      <c r="S4173" s="69">
        <f>_xlfn.XLOOKUP(Results!A4173,Geometry!$B$6:$B$10000,Geometry!$C$6:$C$10000)</f>
        <v>0</v>
      </c>
      <c r="T4173" s="69"/>
      <c r="U4173" s="69"/>
    </row>
    <row r="4174" spans="19:21" ht="15" customHeight="1" x14ac:dyDescent="0.2">
      <c r="S4174" s="69">
        <f>_xlfn.XLOOKUP(Results!A4174,Geometry!$B$6:$B$10000,Geometry!$C$6:$C$10000)</f>
        <v>0</v>
      </c>
      <c r="T4174" s="69"/>
      <c r="U4174" s="69"/>
    </row>
    <row r="4175" spans="19:21" ht="15" customHeight="1" x14ac:dyDescent="0.2">
      <c r="S4175" s="69">
        <f>_xlfn.XLOOKUP(Results!A4175,Geometry!$B$6:$B$10000,Geometry!$C$6:$C$10000)</f>
        <v>0</v>
      </c>
      <c r="T4175" s="69"/>
      <c r="U4175" s="69"/>
    </row>
    <row r="4176" spans="19:21" ht="15" customHeight="1" x14ac:dyDescent="0.2">
      <c r="S4176" s="69">
        <f>_xlfn.XLOOKUP(Results!A4176,Geometry!$B$6:$B$10000,Geometry!$C$6:$C$10000)</f>
        <v>0</v>
      </c>
      <c r="T4176" s="69"/>
      <c r="U4176" s="69"/>
    </row>
    <row r="4177" spans="19:21" ht="15" customHeight="1" x14ac:dyDescent="0.2">
      <c r="S4177" s="69">
        <f>_xlfn.XLOOKUP(Results!A4177,Geometry!$B$6:$B$10000,Geometry!$C$6:$C$10000)</f>
        <v>0</v>
      </c>
      <c r="T4177" s="69"/>
      <c r="U4177" s="69"/>
    </row>
    <row r="4178" spans="19:21" ht="15" customHeight="1" x14ac:dyDescent="0.2">
      <c r="S4178" s="69">
        <f>_xlfn.XLOOKUP(Results!A4178,Geometry!$B$6:$B$10000,Geometry!$C$6:$C$10000)</f>
        <v>0</v>
      </c>
      <c r="T4178" s="69"/>
      <c r="U4178" s="69"/>
    </row>
    <row r="4179" spans="19:21" ht="15" customHeight="1" x14ac:dyDescent="0.2">
      <c r="S4179" s="69">
        <f>_xlfn.XLOOKUP(Results!A4179,Geometry!$B$6:$B$10000,Geometry!$C$6:$C$10000)</f>
        <v>0</v>
      </c>
      <c r="T4179" s="69"/>
      <c r="U4179" s="69"/>
    </row>
    <row r="4180" spans="19:21" ht="15" customHeight="1" x14ac:dyDescent="0.2">
      <c r="S4180" s="69">
        <f>_xlfn.XLOOKUP(Results!A4180,Geometry!$B$6:$B$10000,Geometry!$C$6:$C$10000)</f>
        <v>0</v>
      </c>
      <c r="T4180" s="69"/>
      <c r="U4180" s="69"/>
    </row>
    <row r="4181" spans="19:21" ht="15" customHeight="1" x14ac:dyDescent="0.2">
      <c r="S4181" s="69">
        <f>_xlfn.XLOOKUP(Results!A4181,Geometry!$B$6:$B$10000,Geometry!$C$6:$C$10000)</f>
        <v>0</v>
      </c>
      <c r="T4181" s="69"/>
      <c r="U4181" s="69"/>
    </row>
    <row r="4182" spans="19:21" ht="15" customHeight="1" x14ac:dyDescent="0.2">
      <c r="S4182" s="69">
        <f>_xlfn.XLOOKUP(Results!A4182,Geometry!$B$6:$B$10000,Geometry!$C$6:$C$10000)</f>
        <v>0</v>
      </c>
      <c r="T4182" s="69"/>
      <c r="U4182" s="69"/>
    </row>
    <row r="4183" spans="19:21" ht="15" customHeight="1" x14ac:dyDescent="0.2">
      <c r="S4183" s="69">
        <f>_xlfn.XLOOKUP(Results!A4183,Geometry!$B$6:$B$10000,Geometry!$C$6:$C$10000)</f>
        <v>0</v>
      </c>
      <c r="T4183" s="69"/>
      <c r="U4183" s="69"/>
    </row>
    <row r="4184" spans="19:21" ht="15" customHeight="1" x14ac:dyDescent="0.2">
      <c r="S4184" s="69">
        <f>_xlfn.XLOOKUP(Results!A4184,Geometry!$B$6:$B$10000,Geometry!$C$6:$C$10000)</f>
        <v>0</v>
      </c>
      <c r="T4184" s="69"/>
      <c r="U4184" s="69"/>
    </row>
    <row r="4185" spans="19:21" ht="15" customHeight="1" x14ac:dyDescent="0.2">
      <c r="S4185" s="69">
        <f>_xlfn.XLOOKUP(Results!A4185,Geometry!$B$6:$B$10000,Geometry!$C$6:$C$10000)</f>
        <v>0</v>
      </c>
      <c r="T4185" s="69"/>
      <c r="U4185" s="69"/>
    </row>
    <row r="4186" spans="19:21" ht="15" customHeight="1" x14ac:dyDescent="0.2">
      <c r="S4186" s="69">
        <f>_xlfn.XLOOKUP(Results!A4186,Geometry!$B$6:$B$10000,Geometry!$C$6:$C$10000)</f>
        <v>0</v>
      </c>
      <c r="T4186" s="69"/>
      <c r="U4186" s="69"/>
    </row>
    <row r="4187" spans="19:21" ht="15" customHeight="1" x14ac:dyDescent="0.2">
      <c r="S4187" s="69">
        <f>_xlfn.XLOOKUP(Results!A4187,Geometry!$B$6:$B$10000,Geometry!$C$6:$C$10000)</f>
        <v>0</v>
      </c>
      <c r="T4187" s="69"/>
      <c r="U4187" s="69"/>
    </row>
    <row r="4188" spans="19:21" ht="15" customHeight="1" x14ac:dyDescent="0.2">
      <c r="S4188" s="69">
        <f>_xlfn.XLOOKUP(Results!A4188,Geometry!$B$6:$B$10000,Geometry!$C$6:$C$10000)</f>
        <v>0</v>
      </c>
      <c r="T4188" s="69"/>
      <c r="U4188" s="69"/>
    </row>
    <row r="4189" spans="19:21" ht="15" customHeight="1" x14ac:dyDescent="0.2">
      <c r="S4189" s="69">
        <f>_xlfn.XLOOKUP(Results!A4189,Geometry!$B$6:$B$10000,Geometry!$C$6:$C$10000)</f>
        <v>0</v>
      </c>
      <c r="T4189" s="69"/>
      <c r="U4189" s="69"/>
    </row>
    <row r="4190" spans="19:21" ht="15" customHeight="1" x14ac:dyDescent="0.2">
      <c r="S4190" s="69">
        <f>_xlfn.XLOOKUP(Results!A4190,Geometry!$B$6:$B$10000,Geometry!$C$6:$C$10000)</f>
        <v>0</v>
      </c>
      <c r="T4190" s="69"/>
      <c r="U4190" s="69"/>
    </row>
    <row r="4191" spans="19:21" ht="15" customHeight="1" x14ac:dyDescent="0.2">
      <c r="S4191" s="69">
        <f>_xlfn.XLOOKUP(Results!A4191,Geometry!$B$6:$B$10000,Geometry!$C$6:$C$10000)</f>
        <v>0</v>
      </c>
      <c r="T4191" s="69"/>
      <c r="U4191" s="69"/>
    </row>
    <row r="4192" spans="19:21" ht="15" customHeight="1" x14ac:dyDescent="0.2">
      <c r="S4192" s="69">
        <f>_xlfn.XLOOKUP(Results!A4192,Geometry!$B$6:$B$10000,Geometry!$C$6:$C$10000)</f>
        <v>0</v>
      </c>
      <c r="T4192" s="69"/>
      <c r="U4192" s="69"/>
    </row>
    <row r="4193" spans="19:21" ht="15" customHeight="1" x14ac:dyDescent="0.2">
      <c r="S4193" s="69">
        <f>_xlfn.XLOOKUP(Results!A4193,Geometry!$B$6:$B$10000,Geometry!$C$6:$C$10000)</f>
        <v>0</v>
      </c>
      <c r="T4193" s="69"/>
      <c r="U4193" s="69"/>
    </row>
    <row r="4194" spans="19:21" ht="15" customHeight="1" x14ac:dyDescent="0.2">
      <c r="S4194" s="69">
        <f>_xlfn.XLOOKUP(Results!A4194,Geometry!$B$6:$B$10000,Geometry!$C$6:$C$10000)</f>
        <v>0</v>
      </c>
      <c r="T4194" s="69"/>
      <c r="U4194" s="69"/>
    </row>
    <row r="4195" spans="19:21" ht="15" customHeight="1" x14ac:dyDescent="0.2">
      <c r="S4195" s="69">
        <f>_xlfn.XLOOKUP(Results!A4195,Geometry!$B$6:$B$10000,Geometry!$C$6:$C$10000)</f>
        <v>0</v>
      </c>
      <c r="T4195" s="69"/>
      <c r="U4195" s="69"/>
    </row>
    <row r="4196" spans="19:21" ht="15" customHeight="1" x14ac:dyDescent="0.2">
      <c r="S4196" s="69">
        <f>_xlfn.XLOOKUP(Results!A4196,Geometry!$B$6:$B$10000,Geometry!$C$6:$C$10000)</f>
        <v>0</v>
      </c>
      <c r="T4196" s="69"/>
      <c r="U4196" s="69"/>
    </row>
    <row r="4197" spans="19:21" ht="15" customHeight="1" x14ac:dyDescent="0.2">
      <c r="S4197" s="69">
        <f>_xlfn.XLOOKUP(Results!A4197,Geometry!$B$6:$B$10000,Geometry!$C$6:$C$10000)</f>
        <v>0</v>
      </c>
      <c r="T4197" s="69"/>
      <c r="U4197" s="69"/>
    </row>
    <row r="4198" spans="19:21" ht="15" customHeight="1" x14ac:dyDescent="0.2">
      <c r="S4198" s="69">
        <f>_xlfn.XLOOKUP(Results!A4198,Geometry!$B$6:$B$10000,Geometry!$C$6:$C$10000)</f>
        <v>0</v>
      </c>
      <c r="T4198" s="69"/>
      <c r="U4198" s="69"/>
    </row>
    <row r="4199" spans="19:21" ht="15" customHeight="1" x14ac:dyDescent="0.2">
      <c r="S4199" s="69">
        <f>_xlfn.XLOOKUP(Results!A4199,Geometry!$B$6:$B$10000,Geometry!$C$6:$C$10000)</f>
        <v>0</v>
      </c>
      <c r="T4199" s="69"/>
      <c r="U4199" s="69"/>
    </row>
    <row r="4200" spans="19:21" ht="15" customHeight="1" x14ac:dyDescent="0.2">
      <c r="S4200" s="69">
        <f>_xlfn.XLOOKUP(Results!A4200,Geometry!$B$6:$B$10000,Geometry!$C$6:$C$10000)</f>
        <v>0</v>
      </c>
      <c r="T4200" s="69"/>
      <c r="U4200" s="69"/>
    </row>
    <row r="4201" spans="19:21" ht="15" customHeight="1" x14ac:dyDescent="0.2">
      <c r="S4201" s="69">
        <f>_xlfn.XLOOKUP(Results!A4201,Geometry!$B$6:$B$10000,Geometry!$C$6:$C$10000)</f>
        <v>0</v>
      </c>
      <c r="T4201" s="69"/>
      <c r="U4201" s="69"/>
    </row>
    <row r="4202" spans="19:21" ht="15" customHeight="1" x14ac:dyDescent="0.2">
      <c r="S4202" s="69">
        <f>_xlfn.XLOOKUP(Results!A4202,Geometry!$B$6:$B$10000,Geometry!$C$6:$C$10000)</f>
        <v>0</v>
      </c>
      <c r="T4202" s="69"/>
      <c r="U4202" s="69"/>
    </row>
    <row r="4203" spans="19:21" ht="15" customHeight="1" x14ac:dyDescent="0.2">
      <c r="S4203" s="69">
        <f>_xlfn.XLOOKUP(Results!A4203,Geometry!$B$6:$B$10000,Geometry!$C$6:$C$10000)</f>
        <v>0</v>
      </c>
      <c r="T4203" s="69"/>
      <c r="U4203" s="69"/>
    </row>
    <row r="4204" spans="19:21" ht="15" customHeight="1" x14ac:dyDescent="0.2">
      <c r="S4204" s="69">
        <f>_xlfn.XLOOKUP(Results!A4204,Geometry!$B$6:$B$10000,Geometry!$C$6:$C$10000)</f>
        <v>0</v>
      </c>
      <c r="T4204" s="69"/>
      <c r="U4204" s="69"/>
    </row>
    <row r="4205" spans="19:21" ht="15" customHeight="1" x14ac:dyDescent="0.2">
      <c r="S4205" s="69">
        <f>_xlfn.XLOOKUP(Results!A4205,Geometry!$B$6:$B$10000,Geometry!$C$6:$C$10000)</f>
        <v>0</v>
      </c>
      <c r="T4205" s="69"/>
      <c r="U4205" s="69"/>
    </row>
    <row r="4206" spans="19:21" ht="15" customHeight="1" x14ac:dyDescent="0.2">
      <c r="S4206" s="69">
        <f>_xlfn.XLOOKUP(Results!A4206,Geometry!$B$6:$B$10000,Geometry!$C$6:$C$10000)</f>
        <v>0</v>
      </c>
      <c r="T4206" s="69"/>
      <c r="U4206" s="69"/>
    </row>
    <row r="4207" spans="19:21" ht="15" customHeight="1" x14ac:dyDescent="0.2">
      <c r="S4207" s="69">
        <f>_xlfn.XLOOKUP(Results!A4207,Geometry!$B$6:$B$10000,Geometry!$C$6:$C$10000)</f>
        <v>0</v>
      </c>
      <c r="T4207" s="69"/>
      <c r="U4207" s="69"/>
    </row>
    <row r="4208" spans="19:21" ht="15" customHeight="1" x14ac:dyDescent="0.2">
      <c r="S4208" s="69">
        <f>_xlfn.XLOOKUP(Results!A4208,Geometry!$B$6:$B$10000,Geometry!$C$6:$C$10000)</f>
        <v>0</v>
      </c>
      <c r="T4208" s="69"/>
      <c r="U4208" s="69"/>
    </row>
    <row r="4209" spans="19:21" ht="15" customHeight="1" x14ac:dyDescent="0.2">
      <c r="S4209" s="69">
        <f>_xlfn.XLOOKUP(Results!A4209,Geometry!$B$6:$B$10000,Geometry!$C$6:$C$10000)</f>
        <v>0</v>
      </c>
      <c r="T4209" s="69"/>
      <c r="U4209" s="69"/>
    </row>
    <row r="4210" spans="19:21" ht="15" customHeight="1" x14ac:dyDescent="0.2">
      <c r="S4210" s="69">
        <f>_xlfn.XLOOKUP(Results!A4210,Geometry!$B$6:$B$10000,Geometry!$C$6:$C$10000)</f>
        <v>0</v>
      </c>
      <c r="T4210" s="69"/>
      <c r="U4210" s="69"/>
    </row>
    <row r="4211" spans="19:21" ht="15" customHeight="1" x14ac:dyDescent="0.2">
      <c r="S4211" s="69">
        <f>_xlfn.XLOOKUP(Results!A4211,Geometry!$B$6:$B$10000,Geometry!$C$6:$C$10000)</f>
        <v>0</v>
      </c>
      <c r="T4211" s="69"/>
      <c r="U4211" s="69"/>
    </row>
    <row r="4212" spans="19:21" ht="15" customHeight="1" x14ac:dyDescent="0.2">
      <c r="S4212" s="69">
        <f>_xlfn.XLOOKUP(Results!A4212,Geometry!$B$6:$B$10000,Geometry!$C$6:$C$10000)</f>
        <v>0</v>
      </c>
      <c r="T4212" s="69"/>
      <c r="U4212" s="69"/>
    </row>
    <row r="4213" spans="19:21" ht="15" customHeight="1" x14ac:dyDescent="0.2">
      <c r="S4213" s="69">
        <f>_xlfn.XLOOKUP(Results!A4213,Geometry!$B$6:$B$10000,Geometry!$C$6:$C$10000)</f>
        <v>0</v>
      </c>
      <c r="T4213" s="69"/>
      <c r="U4213" s="69"/>
    </row>
    <row r="4214" spans="19:21" ht="15" customHeight="1" x14ac:dyDescent="0.2">
      <c r="S4214" s="69">
        <f>_xlfn.XLOOKUP(Results!A4214,Geometry!$B$6:$B$10000,Geometry!$C$6:$C$10000)</f>
        <v>0</v>
      </c>
      <c r="T4214" s="69"/>
      <c r="U4214" s="69"/>
    </row>
    <row r="4215" spans="19:21" ht="15" customHeight="1" x14ac:dyDescent="0.2">
      <c r="S4215" s="69">
        <f>_xlfn.XLOOKUP(Results!A4215,Geometry!$B$6:$B$10000,Geometry!$C$6:$C$10000)</f>
        <v>0</v>
      </c>
      <c r="T4215" s="69"/>
      <c r="U4215" s="69"/>
    </row>
    <row r="4216" spans="19:21" ht="15" customHeight="1" x14ac:dyDescent="0.2">
      <c r="S4216" s="69">
        <f>_xlfn.XLOOKUP(Results!A4216,Geometry!$B$6:$B$10000,Geometry!$C$6:$C$10000)</f>
        <v>0</v>
      </c>
      <c r="T4216" s="69"/>
      <c r="U4216" s="69"/>
    </row>
    <row r="4217" spans="19:21" ht="15" customHeight="1" x14ac:dyDescent="0.2">
      <c r="S4217" s="69">
        <f>_xlfn.XLOOKUP(Results!A4217,Geometry!$B$6:$B$10000,Geometry!$C$6:$C$10000)</f>
        <v>0</v>
      </c>
      <c r="T4217" s="69"/>
      <c r="U4217" s="69"/>
    </row>
    <row r="4218" spans="19:21" ht="15" customHeight="1" x14ac:dyDescent="0.2">
      <c r="S4218" s="69">
        <f>_xlfn.XLOOKUP(Results!A4218,Geometry!$B$6:$B$10000,Geometry!$C$6:$C$10000)</f>
        <v>0</v>
      </c>
      <c r="T4218" s="69"/>
      <c r="U4218" s="69"/>
    </row>
    <row r="4219" spans="19:21" ht="15" customHeight="1" x14ac:dyDescent="0.2">
      <c r="S4219" s="69">
        <f>_xlfn.XLOOKUP(Results!A4219,Geometry!$B$6:$B$10000,Geometry!$C$6:$C$10000)</f>
        <v>0</v>
      </c>
      <c r="T4219" s="69"/>
      <c r="U4219" s="69"/>
    </row>
    <row r="4220" spans="19:21" ht="15" customHeight="1" x14ac:dyDescent="0.2">
      <c r="S4220" s="69">
        <f>_xlfn.XLOOKUP(Results!A4220,Geometry!$B$6:$B$10000,Geometry!$C$6:$C$10000)</f>
        <v>0</v>
      </c>
      <c r="T4220" s="69"/>
      <c r="U4220" s="69"/>
    </row>
    <row r="4221" spans="19:21" ht="15" customHeight="1" x14ac:dyDescent="0.2">
      <c r="S4221" s="69">
        <f>_xlfn.XLOOKUP(Results!A4221,Geometry!$B$6:$B$10000,Geometry!$C$6:$C$10000)</f>
        <v>0</v>
      </c>
      <c r="T4221" s="69"/>
      <c r="U4221" s="69"/>
    </row>
    <row r="4222" spans="19:21" ht="15" customHeight="1" x14ac:dyDescent="0.2">
      <c r="S4222" s="69">
        <f>_xlfn.XLOOKUP(Results!A4222,Geometry!$B$6:$B$10000,Geometry!$C$6:$C$10000)</f>
        <v>0</v>
      </c>
      <c r="T4222" s="69"/>
      <c r="U4222" s="69"/>
    </row>
    <row r="4223" spans="19:21" ht="15" customHeight="1" x14ac:dyDescent="0.2">
      <c r="S4223" s="69">
        <f>_xlfn.XLOOKUP(Results!A4223,Geometry!$B$6:$B$10000,Geometry!$C$6:$C$10000)</f>
        <v>0</v>
      </c>
      <c r="T4223" s="69"/>
      <c r="U4223" s="69"/>
    </row>
    <row r="4224" spans="19:21" ht="15" customHeight="1" x14ac:dyDescent="0.2">
      <c r="S4224" s="69">
        <f>_xlfn.XLOOKUP(Results!A4224,Geometry!$B$6:$B$10000,Geometry!$C$6:$C$10000)</f>
        <v>0</v>
      </c>
      <c r="T4224" s="69"/>
      <c r="U4224" s="69"/>
    </row>
    <row r="4225" spans="19:21" ht="15" customHeight="1" x14ac:dyDescent="0.2">
      <c r="S4225" s="69">
        <f>_xlfn.XLOOKUP(Results!A4225,Geometry!$B$6:$B$10000,Geometry!$C$6:$C$10000)</f>
        <v>0</v>
      </c>
      <c r="T4225" s="69"/>
      <c r="U4225" s="69"/>
    </row>
    <row r="4226" spans="19:21" ht="15" customHeight="1" x14ac:dyDescent="0.2">
      <c r="S4226" s="69">
        <f>_xlfn.XLOOKUP(Results!A4226,Geometry!$B$6:$B$10000,Geometry!$C$6:$C$10000)</f>
        <v>0</v>
      </c>
      <c r="T4226" s="69"/>
      <c r="U4226" s="69"/>
    </row>
    <row r="4227" spans="19:21" ht="15" customHeight="1" x14ac:dyDescent="0.2">
      <c r="S4227" s="69">
        <f>_xlfn.XLOOKUP(Results!A4227,Geometry!$B$6:$B$10000,Geometry!$C$6:$C$10000)</f>
        <v>0</v>
      </c>
      <c r="T4227" s="69"/>
      <c r="U4227" s="69"/>
    </row>
    <row r="4228" spans="19:21" ht="15" customHeight="1" x14ac:dyDescent="0.2">
      <c r="S4228" s="69">
        <f>_xlfn.XLOOKUP(Results!A4228,Geometry!$B$6:$B$10000,Geometry!$C$6:$C$10000)</f>
        <v>0</v>
      </c>
      <c r="T4228" s="69"/>
      <c r="U4228" s="69"/>
    </row>
    <row r="4229" spans="19:21" ht="15" customHeight="1" x14ac:dyDescent="0.2">
      <c r="S4229" s="69">
        <f>_xlfn.XLOOKUP(Results!A4229,Geometry!$B$6:$B$10000,Geometry!$C$6:$C$10000)</f>
        <v>0</v>
      </c>
      <c r="T4229" s="69"/>
      <c r="U4229" s="69"/>
    </row>
    <row r="4230" spans="19:21" ht="15" customHeight="1" x14ac:dyDescent="0.2">
      <c r="S4230" s="69">
        <f>_xlfn.XLOOKUP(Results!A4230,Geometry!$B$6:$B$10000,Geometry!$C$6:$C$10000)</f>
        <v>0</v>
      </c>
      <c r="T4230" s="69"/>
      <c r="U4230" s="69"/>
    </row>
    <row r="4231" spans="19:21" ht="15" customHeight="1" x14ac:dyDescent="0.2">
      <c r="S4231" s="69">
        <f>_xlfn.XLOOKUP(Results!A4231,Geometry!$B$6:$B$10000,Geometry!$C$6:$C$10000)</f>
        <v>0</v>
      </c>
      <c r="T4231" s="69"/>
      <c r="U4231" s="69"/>
    </row>
    <row r="4232" spans="19:21" ht="15" customHeight="1" x14ac:dyDescent="0.2">
      <c r="S4232" s="69">
        <f>_xlfn.XLOOKUP(Results!A4232,Geometry!$B$6:$B$10000,Geometry!$C$6:$C$10000)</f>
        <v>0</v>
      </c>
      <c r="T4232" s="69"/>
      <c r="U4232" s="69"/>
    </row>
    <row r="4233" spans="19:21" ht="15" customHeight="1" x14ac:dyDescent="0.2">
      <c r="S4233" s="69">
        <f>_xlfn.XLOOKUP(Results!A4233,Geometry!$B$6:$B$10000,Geometry!$C$6:$C$10000)</f>
        <v>0</v>
      </c>
      <c r="T4233" s="69"/>
      <c r="U4233" s="69"/>
    </row>
    <row r="4234" spans="19:21" ht="15" customHeight="1" x14ac:dyDescent="0.2">
      <c r="S4234" s="69">
        <f>_xlfn.XLOOKUP(Results!A4234,Geometry!$B$6:$B$10000,Geometry!$C$6:$C$10000)</f>
        <v>0</v>
      </c>
      <c r="T4234" s="69"/>
      <c r="U4234" s="69"/>
    </row>
    <row r="4235" spans="19:21" ht="15" customHeight="1" x14ac:dyDescent="0.2">
      <c r="S4235" s="69">
        <f>_xlfn.XLOOKUP(Results!A4235,Geometry!$B$6:$B$10000,Geometry!$C$6:$C$10000)</f>
        <v>0</v>
      </c>
      <c r="T4235" s="69"/>
      <c r="U4235" s="69"/>
    </row>
    <row r="4236" spans="19:21" ht="15" customHeight="1" x14ac:dyDescent="0.2">
      <c r="S4236" s="69">
        <f>_xlfn.XLOOKUP(Results!A4236,Geometry!$B$6:$B$10000,Geometry!$C$6:$C$10000)</f>
        <v>0</v>
      </c>
      <c r="T4236" s="69"/>
      <c r="U4236" s="69"/>
    </row>
    <row r="4237" spans="19:21" ht="15" customHeight="1" x14ac:dyDescent="0.2">
      <c r="S4237" s="69">
        <f>_xlfn.XLOOKUP(Results!A4237,Geometry!$B$6:$B$10000,Geometry!$C$6:$C$10000)</f>
        <v>0</v>
      </c>
      <c r="T4237" s="69"/>
      <c r="U4237" s="69"/>
    </row>
    <row r="4238" spans="19:21" ht="15" customHeight="1" x14ac:dyDescent="0.2">
      <c r="S4238" s="69">
        <f>_xlfn.XLOOKUP(Results!A4238,Geometry!$B$6:$B$10000,Geometry!$C$6:$C$10000)</f>
        <v>0</v>
      </c>
      <c r="T4238" s="69"/>
      <c r="U4238" s="69"/>
    </row>
    <row r="4239" spans="19:21" ht="15" customHeight="1" x14ac:dyDescent="0.2">
      <c r="S4239" s="69">
        <f>_xlfn.XLOOKUP(Results!A4239,Geometry!$B$6:$B$10000,Geometry!$C$6:$C$10000)</f>
        <v>0</v>
      </c>
      <c r="T4239" s="69"/>
      <c r="U4239" s="69"/>
    </row>
    <row r="4240" spans="19:21" ht="15" customHeight="1" x14ac:dyDescent="0.2">
      <c r="S4240" s="69">
        <f>_xlfn.XLOOKUP(Results!A4240,Geometry!$B$6:$B$10000,Geometry!$C$6:$C$10000)</f>
        <v>0</v>
      </c>
      <c r="T4240" s="69"/>
      <c r="U4240" s="69"/>
    </row>
    <row r="4241" spans="19:21" ht="15" customHeight="1" x14ac:dyDescent="0.2">
      <c r="S4241" s="69">
        <f>_xlfn.XLOOKUP(Results!A4241,Geometry!$B$6:$B$10000,Geometry!$C$6:$C$10000)</f>
        <v>0</v>
      </c>
      <c r="T4241" s="69"/>
      <c r="U4241" s="69"/>
    </row>
    <row r="4242" spans="19:21" ht="15" customHeight="1" x14ac:dyDescent="0.2">
      <c r="S4242" s="69">
        <f>_xlfn.XLOOKUP(Results!A4242,Geometry!$B$6:$B$10000,Geometry!$C$6:$C$10000)</f>
        <v>0</v>
      </c>
      <c r="T4242" s="69"/>
      <c r="U4242" s="69"/>
    </row>
    <row r="4243" spans="19:21" ht="15" customHeight="1" x14ac:dyDescent="0.2">
      <c r="S4243" s="69">
        <f>_xlfn.XLOOKUP(Results!A4243,Geometry!$B$6:$B$10000,Geometry!$C$6:$C$10000)</f>
        <v>0</v>
      </c>
      <c r="T4243" s="69"/>
      <c r="U4243" s="69"/>
    </row>
    <row r="4244" spans="19:21" ht="15" customHeight="1" x14ac:dyDescent="0.2">
      <c r="S4244" s="69">
        <f>_xlfn.XLOOKUP(Results!A4244,Geometry!$B$6:$B$10000,Geometry!$C$6:$C$10000)</f>
        <v>0</v>
      </c>
      <c r="T4244" s="69"/>
      <c r="U4244" s="69"/>
    </row>
    <row r="4245" spans="19:21" ht="15" customHeight="1" x14ac:dyDescent="0.2">
      <c r="S4245" s="69">
        <f>_xlfn.XLOOKUP(Results!A4245,Geometry!$B$6:$B$10000,Geometry!$C$6:$C$10000)</f>
        <v>0</v>
      </c>
      <c r="T4245" s="69"/>
      <c r="U4245" s="69"/>
    </row>
    <row r="4246" spans="19:21" ht="15" customHeight="1" x14ac:dyDescent="0.2">
      <c r="S4246" s="69">
        <f>_xlfn.XLOOKUP(Results!A4246,Geometry!$B$6:$B$10000,Geometry!$C$6:$C$10000)</f>
        <v>0</v>
      </c>
      <c r="T4246" s="69"/>
      <c r="U4246" s="69"/>
    </row>
    <row r="4247" spans="19:21" ht="15" customHeight="1" x14ac:dyDescent="0.2">
      <c r="S4247" s="69">
        <f>_xlfn.XLOOKUP(Results!A4247,Geometry!$B$6:$B$10000,Geometry!$C$6:$C$10000)</f>
        <v>0</v>
      </c>
      <c r="T4247" s="69"/>
      <c r="U4247" s="69"/>
    </row>
    <row r="4248" spans="19:21" ht="15" customHeight="1" x14ac:dyDescent="0.2">
      <c r="S4248" s="69">
        <f>_xlfn.XLOOKUP(Results!A4248,Geometry!$B$6:$B$10000,Geometry!$C$6:$C$10000)</f>
        <v>0</v>
      </c>
      <c r="T4248" s="69"/>
      <c r="U4248" s="69"/>
    </row>
    <row r="4249" spans="19:21" ht="15" customHeight="1" x14ac:dyDescent="0.2">
      <c r="S4249" s="69">
        <f>_xlfn.XLOOKUP(Results!A4249,Geometry!$B$6:$B$10000,Geometry!$C$6:$C$10000)</f>
        <v>0</v>
      </c>
      <c r="T4249" s="69"/>
      <c r="U4249" s="69"/>
    </row>
    <row r="4250" spans="19:21" ht="15" customHeight="1" x14ac:dyDescent="0.2">
      <c r="S4250" s="69">
        <f>_xlfn.XLOOKUP(Results!A4250,Geometry!$B$6:$B$10000,Geometry!$C$6:$C$10000)</f>
        <v>0</v>
      </c>
      <c r="T4250" s="69"/>
      <c r="U4250" s="69"/>
    </row>
    <row r="4251" spans="19:21" ht="15" customHeight="1" x14ac:dyDescent="0.2">
      <c r="S4251" s="69">
        <f>_xlfn.XLOOKUP(Results!A4251,Geometry!$B$6:$B$10000,Geometry!$C$6:$C$10000)</f>
        <v>0</v>
      </c>
      <c r="T4251" s="69"/>
      <c r="U4251" s="69"/>
    </row>
    <row r="4252" spans="19:21" ht="15" customHeight="1" x14ac:dyDescent="0.2">
      <c r="S4252" s="69">
        <f>_xlfn.XLOOKUP(Results!A4252,Geometry!$B$6:$B$10000,Geometry!$C$6:$C$10000)</f>
        <v>0</v>
      </c>
      <c r="T4252" s="69"/>
      <c r="U4252" s="69"/>
    </row>
    <row r="4253" spans="19:21" ht="15" customHeight="1" x14ac:dyDescent="0.2">
      <c r="S4253" s="69">
        <f>_xlfn.XLOOKUP(Results!A4253,Geometry!$B$6:$B$10000,Geometry!$C$6:$C$10000)</f>
        <v>0</v>
      </c>
      <c r="T4253" s="69"/>
      <c r="U4253" s="69"/>
    </row>
    <row r="4254" spans="19:21" ht="15" customHeight="1" x14ac:dyDescent="0.2">
      <c r="S4254" s="69">
        <f>_xlfn.XLOOKUP(Results!A4254,Geometry!$B$6:$B$10000,Geometry!$C$6:$C$10000)</f>
        <v>0</v>
      </c>
      <c r="T4254" s="69"/>
      <c r="U4254" s="69"/>
    </row>
    <row r="4255" spans="19:21" ht="15" customHeight="1" x14ac:dyDescent="0.2">
      <c r="S4255" s="69">
        <f>_xlfn.XLOOKUP(Results!A4255,Geometry!$B$6:$B$10000,Geometry!$C$6:$C$10000)</f>
        <v>0</v>
      </c>
      <c r="T4255" s="69"/>
      <c r="U4255" s="69"/>
    </row>
    <row r="4256" spans="19:21" ht="15" customHeight="1" x14ac:dyDescent="0.2">
      <c r="S4256" s="69">
        <f>_xlfn.XLOOKUP(Results!A4256,Geometry!$B$6:$B$10000,Geometry!$C$6:$C$10000)</f>
        <v>0</v>
      </c>
      <c r="T4256" s="69"/>
      <c r="U4256" s="69"/>
    </row>
    <row r="4257" spans="19:21" ht="15" customHeight="1" x14ac:dyDescent="0.2">
      <c r="S4257" s="69">
        <f>_xlfn.XLOOKUP(Results!A4257,Geometry!$B$6:$B$10000,Geometry!$C$6:$C$10000)</f>
        <v>0</v>
      </c>
      <c r="T4257" s="69"/>
      <c r="U4257" s="69"/>
    </row>
    <row r="4258" spans="19:21" ht="15" customHeight="1" x14ac:dyDescent="0.2">
      <c r="S4258" s="69">
        <f>_xlfn.XLOOKUP(Results!A4258,Geometry!$B$6:$B$10000,Geometry!$C$6:$C$10000)</f>
        <v>0</v>
      </c>
      <c r="T4258" s="69"/>
      <c r="U4258" s="69"/>
    </row>
    <row r="4259" spans="19:21" ht="15" customHeight="1" x14ac:dyDescent="0.2">
      <c r="S4259" s="69">
        <f>_xlfn.XLOOKUP(Results!A4259,Geometry!$B$6:$B$10000,Geometry!$C$6:$C$10000)</f>
        <v>0</v>
      </c>
      <c r="T4259" s="69"/>
      <c r="U4259" s="69"/>
    </row>
    <row r="4260" spans="19:21" ht="15" customHeight="1" x14ac:dyDescent="0.2">
      <c r="S4260" s="69">
        <f>_xlfn.XLOOKUP(Results!A4260,Geometry!$B$6:$B$10000,Geometry!$C$6:$C$10000)</f>
        <v>0</v>
      </c>
      <c r="T4260" s="69"/>
      <c r="U4260" s="69"/>
    </row>
    <row r="4261" spans="19:21" ht="15" customHeight="1" x14ac:dyDescent="0.2">
      <c r="S4261" s="69">
        <f>_xlfn.XLOOKUP(Results!A4261,Geometry!$B$6:$B$10000,Geometry!$C$6:$C$10000)</f>
        <v>0</v>
      </c>
      <c r="T4261" s="69"/>
      <c r="U4261" s="69"/>
    </row>
    <row r="4262" spans="19:21" ht="15" customHeight="1" x14ac:dyDescent="0.2">
      <c r="S4262" s="69">
        <f>_xlfn.XLOOKUP(Results!A4262,Geometry!$B$6:$B$10000,Geometry!$C$6:$C$10000)</f>
        <v>0</v>
      </c>
      <c r="T4262" s="69"/>
      <c r="U4262" s="69"/>
    </row>
    <row r="4263" spans="19:21" ht="15" customHeight="1" x14ac:dyDescent="0.2">
      <c r="S4263" s="69">
        <f>_xlfn.XLOOKUP(Results!A4263,Geometry!$B$6:$B$10000,Geometry!$C$6:$C$10000)</f>
        <v>0</v>
      </c>
      <c r="T4263" s="69"/>
      <c r="U4263" s="69"/>
    </row>
    <row r="4264" spans="19:21" ht="15" customHeight="1" x14ac:dyDescent="0.2">
      <c r="S4264" s="69">
        <f>_xlfn.XLOOKUP(Results!A4264,Geometry!$B$6:$B$10000,Geometry!$C$6:$C$10000)</f>
        <v>0</v>
      </c>
      <c r="T4264" s="69"/>
      <c r="U4264" s="69"/>
    </row>
    <row r="4265" spans="19:21" ht="15" customHeight="1" x14ac:dyDescent="0.2">
      <c r="S4265" s="69">
        <f>_xlfn.XLOOKUP(Results!A4265,Geometry!$B$6:$B$10000,Geometry!$C$6:$C$10000)</f>
        <v>0</v>
      </c>
      <c r="T4265" s="69"/>
      <c r="U4265" s="69"/>
    </row>
    <row r="4266" spans="19:21" ht="15" customHeight="1" x14ac:dyDescent="0.2">
      <c r="S4266" s="69">
        <f>_xlfn.XLOOKUP(Results!A4266,Geometry!$B$6:$B$10000,Geometry!$C$6:$C$10000)</f>
        <v>0</v>
      </c>
      <c r="T4266" s="69"/>
      <c r="U4266" s="69"/>
    </row>
    <row r="4267" spans="19:21" ht="15" customHeight="1" x14ac:dyDescent="0.2">
      <c r="S4267" s="69">
        <f>_xlfn.XLOOKUP(Results!A4267,Geometry!$B$6:$B$10000,Geometry!$C$6:$C$10000)</f>
        <v>0</v>
      </c>
      <c r="T4267" s="69"/>
      <c r="U4267" s="69"/>
    </row>
    <row r="4268" spans="19:21" ht="15" customHeight="1" x14ac:dyDescent="0.2">
      <c r="S4268" s="69">
        <f>_xlfn.XLOOKUP(Results!A4268,Geometry!$B$6:$B$10000,Geometry!$C$6:$C$10000)</f>
        <v>0</v>
      </c>
      <c r="T4268" s="69"/>
      <c r="U4268" s="69"/>
    </row>
    <row r="4269" spans="19:21" ht="15" customHeight="1" x14ac:dyDescent="0.2">
      <c r="S4269" s="69">
        <f>_xlfn.XLOOKUP(Results!A4269,Geometry!$B$6:$B$10000,Geometry!$C$6:$C$10000)</f>
        <v>0</v>
      </c>
      <c r="T4269" s="69"/>
      <c r="U4269" s="69"/>
    </row>
    <row r="4270" spans="19:21" ht="15" customHeight="1" x14ac:dyDescent="0.2">
      <c r="S4270" s="69">
        <f>_xlfn.XLOOKUP(Results!A4270,Geometry!$B$6:$B$10000,Geometry!$C$6:$C$10000)</f>
        <v>0</v>
      </c>
      <c r="T4270" s="69"/>
      <c r="U4270" s="69"/>
    </row>
    <row r="4271" spans="19:21" ht="15" customHeight="1" x14ac:dyDescent="0.2">
      <c r="S4271" s="69">
        <f>_xlfn.XLOOKUP(Results!A4271,Geometry!$B$6:$B$10000,Geometry!$C$6:$C$10000)</f>
        <v>0</v>
      </c>
      <c r="T4271" s="69"/>
      <c r="U4271" s="69"/>
    </row>
    <row r="4272" spans="19:21" ht="15" customHeight="1" x14ac:dyDescent="0.2">
      <c r="S4272" s="69">
        <f>_xlfn.XLOOKUP(Results!A4272,Geometry!$B$6:$B$10000,Geometry!$C$6:$C$10000)</f>
        <v>0</v>
      </c>
      <c r="T4272" s="69"/>
      <c r="U4272" s="69"/>
    </row>
    <row r="4273" spans="19:21" ht="15" customHeight="1" x14ac:dyDescent="0.2">
      <c r="S4273" s="69">
        <f>_xlfn.XLOOKUP(Results!A4273,Geometry!$B$6:$B$10000,Geometry!$C$6:$C$10000)</f>
        <v>0</v>
      </c>
      <c r="T4273" s="69"/>
      <c r="U4273" s="69"/>
    </row>
    <row r="4274" spans="19:21" ht="15" customHeight="1" x14ac:dyDescent="0.2">
      <c r="S4274" s="69">
        <f>_xlfn.XLOOKUP(Results!A4274,Geometry!$B$6:$B$10000,Geometry!$C$6:$C$10000)</f>
        <v>0</v>
      </c>
      <c r="T4274" s="69"/>
      <c r="U4274" s="69"/>
    </row>
    <row r="4275" spans="19:21" ht="15" customHeight="1" x14ac:dyDescent="0.2">
      <c r="S4275" s="69">
        <f>_xlfn.XLOOKUP(Results!A4275,Geometry!$B$6:$B$10000,Geometry!$C$6:$C$10000)</f>
        <v>0</v>
      </c>
      <c r="T4275" s="69"/>
      <c r="U4275" s="69"/>
    </row>
    <row r="4276" spans="19:21" ht="15" customHeight="1" x14ac:dyDescent="0.2">
      <c r="S4276" s="69">
        <f>_xlfn.XLOOKUP(Results!A4276,Geometry!$B$6:$B$10000,Geometry!$C$6:$C$10000)</f>
        <v>0</v>
      </c>
      <c r="T4276" s="69"/>
      <c r="U4276" s="69"/>
    </row>
    <row r="4277" spans="19:21" ht="15" customHeight="1" x14ac:dyDescent="0.2">
      <c r="S4277" s="69">
        <f>_xlfn.XLOOKUP(Results!A4277,Geometry!$B$6:$B$10000,Geometry!$C$6:$C$10000)</f>
        <v>0</v>
      </c>
      <c r="T4277" s="69"/>
      <c r="U4277" s="69"/>
    </row>
    <row r="4278" spans="19:21" ht="15" customHeight="1" x14ac:dyDescent="0.2">
      <c r="S4278" s="69">
        <f>_xlfn.XLOOKUP(Results!A4278,Geometry!$B$6:$B$10000,Geometry!$C$6:$C$10000)</f>
        <v>0</v>
      </c>
      <c r="T4278" s="69"/>
      <c r="U4278" s="69"/>
    </row>
    <row r="4279" spans="19:21" ht="15" customHeight="1" x14ac:dyDescent="0.2">
      <c r="S4279" s="69">
        <f>_xlfn.XLOOKUP(Results!A4279,Geometry!$B$6:$B$10000,Geometry!$C$6:$C$10000)</f>
        <v>0</v>
      </c>
      <c r="T4279" s="69"/>
      <c r="U4279" s="69"/>
    </row>
    <row r="4280" spans="19:21" ht="15" customHeight="1" x14ac:dyDescent="0.2">
      <c r="S4280" s="69">
        <f>_xlfn.XLOOKUP(Results!A4280,Geometry!$B$6:$B$10000,Geometry!$C$6:$C$10000)</f>
        <v>0</v>
      </c>
      <c r="T4280" s="69"/>
      <c r="U4280" s="69"/>
    </row>
    <row r="4281" spans="19:21" ht="15" customHeight="1" x14ac:dyDescent="0.2">
      <c r="S4281" s="69">
        <f>_xlfn.XLOOKUP(Results!A4281,Geometry!$B$6:$B$10000,Geometry!$C$6:$C$10000)</f>
        <v>0</v>
      </c>
      <c r="T4281" s="69"/>
      <c r="U4281" s="69"/>
    </row>
    <row r="4282" spans="19:21" ht="15" customHeight="1" x14ac:dyDescent="0.2">
      <c r="S4282" s="69">
        <f>_xlfn.XLOOKUP(Results!A4282,Geometry!$B$6:$B$10000,Geometry!$C$6:$C$10000)</f>
        <v>0</v>
      </c>
      <c r="T4282" s="69"/>
      <c r="U4282" s="69"/>
    </row>
    <row r="4283" spans="19:21" ht="15" customHeight="1" x14ac:dyDescent="0.2">
      <c r="S4283" s="69">
        <f>_xlfn.XLOOKUP(Results!A4283,Geometry!$B$6:$B$10000,Geometry!$C$6:$C$10000)</f>
        <v>0</v>
      </c>
      <c r="T4283" s="69"/>
      <c r="U4283" s="69"/>
    </row>
    <row r="4284" spans="19:21" ht="15" customHeight="1" x14ac:dyDescent="0.2">
      <c r="S4284" s="69">
        <f>_xlfn.XLOOKUP(Results!A4284,Geometry!$B$6:$B$10000,Geometry!$C$6:$C$10000)</f>
        <v>0</v>
      </c>
      <c r="T4284" s="69"/>
      <c r="U4284" s="69"/>
    </row>
    <row r="4285" spans="19:21" ht="15" customHeight="1" x14ac:dyDescent="0.2">
      <c r="S4285" s="69">
        <f>_xlfn.XLOOKUP(Results!A4285,Geometry!$B$6:$B$10000,Geometry!$C$6:$C$10000)</f>
        <v>0</v>
      </c>
      <c r="T4285" s="69"/>
      <c r="U4285" s="69"/>
    </row>
    <row r="4286" spans="19:21" ht="15" customHeight="1" x14ac:dyDescent="0.2">
      <c r="S4286" s="69">
        <f>_xlfn.XLOOKUP(Results!A4286,Geometry!$B$6:$B$10000,Geometry!$C$6:$C$10000)</f>
        <v>0</v>
      </c>
      <c r="T4286" s="69"/>
      <c r="U4286" s="69"/>
    </row>
    <row r="4287" spans="19:21" ht="15" customHeight="1" x14ac:dyDescent="0.2">
      <c r="S4287" s="69">
        <f>_xlfn.XLOOKUP(Results!A4287,Geometry!$B$6:$B$10000,Geometry!$C$6:$C$10000)</f>
        <v>0</v>
      </c>
      <c r="T4287" s="69"/>
      <c r="U4287" s="69"/>
    </row>
    <row r="4288" spans="19:21" ht="15" customHeight="1" x14ac:dyDescent="0.2">
      <c r="S4288" s="69">
        <f>_xlfn.XLOOKUP(Results!A4288,Geometry!$B$6:$B$10000,Geometry!$C$6:$C$10000)</f>
        <v>0</v>
      </c>
      <c r="T4288" s="69"/>
      <c r="U4288" s="69"/>
    </row>
    <row r="4289" spans="19:21" ht="15" customHeight="1" x14ac:dyDescent="0.2">
      <c r="S4289" s="69">
        <f>_xlfn.XLOOKUP(Results!A4289,Geometry!$B$6:$B$10000,Geometry!$C$6:$C$10000)</f>
        <v>0</v>
      </c>
      <c r="T4289" s="69"/>
      <c r="U4289" s="69"/>
    </row>
    <row r="4290" spans="19:21" ht="15" customHeight="1" x14ac:dyDescent="0.2">
      <c r="S4290" s="69">
        <f>_xlfn.XLOOKUP(Results!A4290,Geometry!$B$6:$B$10000,Geometry!$C$6:$C$10000)</f>
        <v>0</v>
      </c>
      <c r="T4290" s="69"/>
      <c r="U4290" s="69"/>
    </row>
    <row r="4291" spans="19:21" ht="15" customHeight="1" x14ac:dyDescent="0.2">
      <c r="S4291" s="69">
        <f>_xlfn.XLOOKUP(Results!A4291,Geometry!$B$6:$B$10000,Geometry!$C$6:$C$10000)</f>
        <v>0</v>
      </c>
      <c r="T4291" s="69"/>
      <c r="U4291" s="69"/>
    </row>
    <row r="4292" spans="19:21" ht="15" customHeight="1" x14ac:dyDescent="0.2">
      <c r="S4292" s="69">
        <f>_xlfn.XLOOKUP(Results!A4292,Geometry!$B$6:$B$10000,Geometry!$C$6:$C$10000)</f>
        <v>0</v>
      </c>
      <c r="T4292" s="69"/>
      <c r="U4292" s="69"/>
    </row>
    <row r="4293" spans="19:21" ht="15" customHeight="1" x14ac:dyDescent="0.2">
      <c r="S4293" s="69">
        <f>_xlfn.XLOOKUP(Results!A4293,Geometry!$B$6:$B$10000,Geometry!$C$6:$C$10000)</f>
        <v>0</v>
      </c>
      <c r="T4293" s="69"/>
      <c r="U4293" s="69"/>
    </row>
    <row r="4294" spans="19:21" ht="15" customHeight="1" x14ac:dyDescent="0.2">
      <c r="S4294" s="69">
        <f>_xlfn.XLOOKUP(Results!A4294,Geometry!$B$6:$B$10000,Geometry!$C$6:$C$10000)</f>
        <v>0</v>
      </c>
      <c r="T4294" s="69"/>
      <c r="U4294" s="69"/>
    </row>
    <row r="4295" spans="19:21" ht="15" customHeight="1" x14ac:dyDescent="0.2">
      <c r="S4295" s="69">
        <f>_xlfn.XLOOKUP(Results!A4295,Geometry!$B$6:$B$10000,Geometry!$C$6:$C$10000)</f>
        <v>0</v>
      </c>
      <c r="T4295" s="69"/>
      <c r="U4295" s="69"/>
    </row>
    <row r="4296" spans="19:21" ht="15" customHeight="1" x14ac:dyDescent="0.2">
      <c r="S4296" s="69">
        <f>_xlfn.XLOOKUP(Results!A4296,Geometry!$B$6:$B$10000,Geometry!$C$6:$C$10000)</f>
        <v>0</v>
      </c>
      <c r="T4296" s="69"/>
      <c r="U4296" s="69"/>
    </row>
    <row r="4297" spans="19:21" ht="15" customHeight="1" x14ac:dyDescent="0.2">
      <c r="S4297" s="69">
        <f>_xlfn.XLOOKUP(Results!A4297,Geometry!$B$6:$B$10000,Geometry!$C$6:$C$10000)</f>
        <v>0</v>
      </c>
      <c r="T4297" s="69"/>
      <c r="U4297" s="69"/>
    </row>
    <row r="4298" spans="19:21" ht="15" customHeight="1" x14ac:dyDescent="0.2">
      <c r="S4298" s="69">
        <f>_xlfn.XLOOKUP(Results!A4298,Geometry!$B$6:$B$10000,Geometry!$C$6:$C$10000)</f>
        <v>0</v>
      </c>
      <c r="T4298" s="69"/>
      <c r="U4298" s="69"/>
    </row>
    <row r="4299" spans="19:21" ht="15" customHeight="1" x14ac:dyDescent="0.2">
      <c r="S4299" s="69">
        <f>_xlfn.XLOOKUP(Results!A4299,Geometry!$B$6:$B$10000,Geometry!$C$6:$C$10000)</f>
        <v>0</v>
      </c>
      <c r="T4299" s="69"/>
      <c r="U4299" s="69"/>
    </row>
    <row r="4300" spans="19:21" ht="15" customHeight="1" x14ac:dyDescent="0.2">
      <c r="S4300" s="69">
        <f>_xlfn.XLOOKUP(Results!A4300,Geometry!$B$6:$B$10000,Geometry!$C$6:$C$10000)</f>
        <v>0</v>
      </c>
      <c r="T4300" s="69"/>
      <c r="U4300" s="69"/>
    </row>
    <row r="4301" spans="19:21" ht="15" customHeight="1" x14ac:dyDescent="0.2">
      <c r="S4301" s="69">
        <f>_xlfn.XLOOKUP(Results!A4301,Geometry!$B$6:$B$10000,Geometry!$C$6:$C$10000)</f>
        <v>0</v>
      </c>
      <c r="T4301" s="69"/>
      <c r="U4301" s="69"/>
    </row>
    <row r="4302" spans="19:21" ht="15" customHeight="1" x14ac:dyDescent="0.2">
      <c r="S4302" s="69">
        <f>_xlfn.XLOOKUP(Results!A4302,Geometry!$B$6:$B$10000,Geometry!$C$6:$C$10000)</f>
        <v>0</v>
      </c>
      <c r="T4302" s="69"/>
      <c r="U4302" s="69"/>
    </row>
    <row r="4303" spans="19:21" ht="15" customHeight="1" x14ac:dyDescent="0.2">
      <c r="S4303" s="69">
        <f>_xlfn.XLOOKUP(Results!A4303,Geometry!$B$6:$B$10000,Geometry!$C$6:$C$10000)</f>
        <v>0</v>
      </c>
      <c r="T4303" s="69"/>
      <c r="U4303" s="69"/>
    </row>
    <row r="4304" spans="19:21" ht="15" customHeight="1" x14ac:dyDescent="0.2">
      <c r="S4304" s="69">
        <f>_xlfn.XLOOKUP(Results!A4304,Geometry!$B$6:$B$10000,Geometry!$C$6:$C$10000)</f>
        <v>0</v>
      </c>
      <c r="T4304" s="69"/>
      <c r="U4304" s="69"/>
    </row>
    <row r="4305" spans="19:21" ht="15" customHeight="1" x14ac:dyDescent="0.2">
      <c r="S4305" s="69">
        <f>_xlfn.XLOOKUP(Results!A4305,Geometry!$B$6:$B$10000,Geometry!$C$6:$C$10000)</f>
        <v>0</v>
      </c>
      <c r="T4305" s="69"/>
      <c r="U4305" s="69"/>
    </row>
    <row r="4306" spans="19:21" ht="15" customHeight="1" x14ac:dyDescent="0.2">
      <c r="S4306" s="69">
        <f>_xlfn.XLOOKUP(Results!A4306,Geometry!$B$6:$B$10000,Geometry!$C$6:$C$10000)</f>
        <v>0</v>
      </c>
      <c r="T4306" s="69"/>
      <c r="U4306" s="69"/>
    </row>
    <row r="4307" spans="19:21" ht="15" customHeight="1" x14ac:dyDescent="0.2">
      <c r="S4307" s="69">
        <f>_xlfn.XLOOKUP(Results!A4307,Geometry!$B$6:$B$10000,Geometry!$C$6:$C$10000)</f>
        <v>0</v>
      </c>
      <c r="T4307" s="69"/>
      <c r="U4307" s="69"/>
    </row>
    <row r="4308" spans="19:21" ht="15" customHeight="1" x14ac:dyDescent="0.2">
      <c r="S4308" s="69">
        <f>_xlfn.XLOOKUP(Results!A4308,Geometry!$B$6:$B$10000,Geometry!$C$6:$C$10000)</f>
        <v>0</v>
      </c>
      <c r="T4308" s="69"/>
      <c r="U4308" s="69"/>
    </row>
    <row r="4309" spans="19:21" ht="15" customHeight="1" x14ac:dyDescent="0.2">
      <c r="S4309" s="69">
        <f>_xlfn.XLOOKUP(Results!A4309,Geometry!$B$6:$B$10000,Geometry!$C$6:$C$10000)</f>
        <v>0</v>
      </c>
      <c r="T4309" s="69"/>
      <c r="U4309" s="69"/>
    </row>
    <row r="4310" spans="19:21" ht="15" customHeight="1" x14ac:dyDescent="0.2">
      <c r="S4310" s="69">
        <f>_xlfn.XLOOKUP(Results!A4310,Geometry!$B$6:$B$10000,Geometry!$C$6:$C$10000)</f>
        <v>0</v>
      </c>
      <c r="T4310" s="69"/>
      <c r="U4310" s="69"/>
    </row>
    <row r="4311" spans="19:21" ht="15" customHeight="1" x14ac:dyDescent="0.2">
      <c r="S4311" s="69">
        <f>_xlfn.XLOOKUP(Results!A4311,Geometry!$B$6:$B$10000,Geometry!$C$6:$C$10000)</f>
        <v>0</v>
      </c>
      <c r="T4311" s="69"/>
      <c r="U4311" s="69"/>
    </row>
    <row r="4312" spans="19:21" ht="15" customHeight="1" x14ac:dyDescent="0.2">
      <c r="S4312" s="69">
        <f>_xlfn.XLOOKUP(Results!A4312,Geometry!$B$6:$B$10000,Geometry!$C$6:$C$10000)</f>
        <v>0</v>
      </c>
      <c r="T4312" s="69"/>
      <c r="U4312" s="69"/>
    </row>
    <row r="4313" spans="19:21" ht="15" customHeight="1" x14ac:dyDescent="0.2">
      <c r="S4313" s="69">
        <f>_xlfn.XLOOKUP(Results!A4313,Geometry!$B$6:$B$10000,Geometry!$C$6:$C$10000)</f>
        <v>0</v>
      </c>
      <c r="T4313" s="69"/>
      <c r="U4313" s="69"/>
    </row>
    <row r="4314" spans="19:21" ht="15" customHeight="1" x14ac:dyDescent="0.2">
      <c r="S4314" s="69">
        <f>_xlfn.XLOOKUP(Results!A4314,Geometry!$B$6:$B$10000,Geometry!$C$6:$C$10000)</f>
        <v>0</v>
      </c>
      <c r="T4314" s="69"/>
      <c r="U4314" s="69"/>
    </row>
    <row r="4315" spans="19:21" ht="15" customHeight="1" x14ac:dyDescent="0.2">
      <c r="S4315" s="69">
        <f>_xlfn.XLOOKUP(Results!A4315,Geometry!$B$6:$B$10000,Geometry!$C$6:$C$10000)</f>
        <v>0</v>
      </c>
      <c r="T4315" s="69"/>
      <c r="U4315" s="69"/>
    </row>
    <row r="4316" spans="19:21" ht="15" customHeight="1" x14ac:dyDescent="0.2">
      <c r="S4316" s="69">
        <f>_xlfn.XLOOKUP(Results!A4316,Geometry!$B$6:$B$10000,Geometry!$C$6:$C$10000)</f>
        <v>0</v>
      </c>
      <c r="T4316" s="69"/>
      <c r="U4316" s="69"/>
    </row>
    <row r="4317" spans="19:21" ht="15" customHeight="1" x14ac:dyDescent="0.2">
      <c r="S4317" s="69">
        <f>_xlfn.XLOOKUP(Results!A4317,Geometry!$B$6:$B$10000,Geometry!$C$6:$C$10000)</f>
        <v>0</v>
      </c>
      <c r="T4317" s="69"/>
      <c r="U4317" s="69"/>
    </row>
    <row r="4318" spans="19:21" ht="15" customHeight="1" x14ac:dyDescent="0.2">
      <c r="S4318" s="69">
        <f>_xlfn.XLOOKUP(Results!A4318,Geometry!$B$6:$B$10000,Geometry!$C$6:$C$10000)</f>
        <v>0</v>
      </c>
      <c r="T4318" s="69"/>
      <c r="U4318" s="69"/>
    </row>
    <row r="4319" spans="19:21" ht="15" customHeight="1" x14ac:dyDescent="0.2">
      <c r="S4319" s="69">
        <f>_xlfn.XLOOKUP(Results!A4319,Geometry!$B$6:$B$10000,Geometry!$C$6:$C$10000)</f>
        <v>0</v>
      </c>
      <c r="T4319" s="69"/>
      <c r="U4319" s="69"/>
    </row>
    <row r="4320" spans="19:21" ht="15" customHeight="1" x14ac:dyDescent="0.2">
      <c r="S4320" s="69">
        <f>_xlfn.XLOOKUP(Results!A4320,Geometry!$B$6:$B$10000,Geometry!$C$6:$C$10000)</f>
        <v>0</v>
      </c>
      <c r="T4320" s="69"/>
      <c r="U4320" s="69"/>
    </row>
    <row r="4321" spans="19:21" ht="15" customHeight="1" x14ac:dyDescent="0.2">
      <c r="S4321" s="69">
        <f>_xlfn.XLOOKUP(Results!A4321,Geometry!$B$6:$B$10000,Geometry!$C$6:$C$10000)</f>
        <v>0</v>
      </c>
      <c r="T4321" s="69"/>
      <c r="U4321" s="69"/>
    </row>
    <row r="4322" spans="19:21" ht="15" customHeight="1" x14ac:dyDescent="0.2">
      <c r="S4322" s="69">
        <f>_xlfn.XLOOKUP(Results!A4322,Geometry!$B$6:$B$10000,Geometry!$C$6:$C$10000)</f>
        <v>0</v>
      </c>
      <c r="T4322" s="69"/>
      <c r="U4322" s="69"/>
    </row>
    <row r="4323" spans="19:21" ht="15" customHeight="1" x14ac:dyDescent="0.2">
      <c r="S4323" s="69">
        <f>_xlfn.XLOOKUP(Results!A4323,Geometry!$B$6:$B$10000,Geometry!$C$6:$C$10000)</f>
        <v>0</v>
      </c>
      <c r="T4323" s="69"/>
      <c r="U4323" s="69"/>
    </row>
    <row r="4324" spans="19:21" ht="15" customHeight="1" x14ac:dyDescent="0.2">
      <c r="S4324" s="69">
        <f>_xlfn.XLOOKUP(Results!A4324,Geometry!$B$6:$B$10000,Geometry!$C$6:$C$10000)</f>
        <v>0</v>
      </c>
      <c r="T4324" s="69"/>
      <c r="U4324" s="69"/>
    </row>
    <row r="4325" spans="19:21" ht="15" customHeight="1" x14ac:dyDescent="0.2">
      <c r="S4325" s="69">
        <f>_xlfn.XLOOKUP(Results!A4325,Geometry!$B$6:$B$10000,Geometry!$C$6:$C$10000)</f>
        <v>0</v>
      </c>
      <c r="T4325" s="69"/>
      <c r="U4325" s="69"/>
    </row>
    <row r="4326" spans="19:21" ht="15" customHeight="1" x14ac:dyDescent="0.2">
      <c r="S4326" s="69">
        <f>_xlfn.XLOOKUP(Results!A4326,Geometry!$B$6:$B$10000,Geometry!$C$6:$C$10000)</f>
        <v>0</v>
      </c>
      <c r="T4326" s="69"/>
      <c r="U4326" s="69"/>
    </row>
    <row r="4327" spans="19:21" ht="15" customHeight="1" x14ac:dyDescent="0.2">
      <c r="S4327" s="69">
        <f>_xlfn.XLOOKUP(Results!A4327,Geometry!$B$6:$B$10000,Geometry!$C$6:$C$10000)</f>
        <v>0</v>
      </c>
      <c r="T4327" s="69"/>
      <c r="U4327" s="69"/>
    </row>
    <row r="4328" spans="19:21" ht="15" customHeight="1" x14ac:dyDescent="0.2">
      <c r="S4328" s="69">
        <f>_xlfn.XLOOKUP(Results!A4328,Geometry!$B$6:$B$10000,Geometry!$C$6:$C$10000)</f>
        <v>0</v>
      </c>
      <c r="T4328" s="69"/>
      <c r="U4328" s="69"/>
    </row>
    <row r="4329" spans="19:21" ht="15" customHeight="1" x14ac:dyDescent="0.2">
      <c r="S4329" s="69">
        <f>_xlfn.XLOOKUP(Results!A4329,Geometry!$B$6:$B$10000,Geometry!$C$6:$C$10000)</f>
        <v>0</v>
      </c>
      <c r="T4329" s="69"/>
      <c r="U4329" s="69"/>
    </row>
    <row r="4330" spans="19:21" ht="15" customHeight="1" x14ac:dyDescent="0.2">
      <c r="S4330" s="69">
        <f>_xlfn.XLOOKUP(Results!A4330,Geometry!$B$6:$B$10000,Geometry!$C$6:$C$10000)</f>
        <v>0</v>
      </c>
      <c r="T4330" s="69"/>
      <c r="U4330" s="69"/>
    </row>
    <row r="4331" spans="19:21" ht="15" customHeight="1" x14ac:dyDescent="0.2">
      <c r="S4331" s="69">
        <f>_xlfn.XLOOKUP(Results!A4331,Geometry!$B$6:$B$10000,Geometry!$C$6:$C$10000)</f>
        <v>0</v>
      </c>
      <c r="T4331" s="69"/>
      <c r="U4331" s="69"/>
    </row>
    <row r="4332" spans="19:21" ht="15" customHeight="1" x14ac:dyDescent="0.2">
      <c r="S4332" s="69">
        <f>_xlfn.XLOOKUP(Results!A4332,Geometry!$B$6:$B$10000,Geometry!$C$6:$C$10000)</f>
        <v>0</v>
      </c>
      <c r="T4332" s="69"/>
      <c r="U4332" s="69"/>
    </row>
    <row r="4333" spans="19:21" ht="15" customHeight="1" x14ac:dyDescent="0.2">
      <c r="S4333" s="69">
        <f>_xlfn.XLOOKUP(Results!A4333,Geometry!$B$6:$B$10000,Geometry!$C$6:$C$10000)</f>
        <v>0</v>
      </c>
      <c r="T4333" s="69"/>
      <c r="U4333" s="69"/>
    </row>
    <row r="4334" spans="19:21" ht="15" customHeight="1" x14ac:dyDescent="0.2">
      <c r="S4334" s="69">
        <f>_xlfn.XLOOKUP(Results!A4334,Geometry!$B$6:$B$10000,Geometry!$C$6:$C$10000)</f>
        <v>0</v>
      </c>
      <c r="T4334" s="69"/>
      <c r="U4334" s="69"/>
    </row>
    <row r="4335" spans="19:21" ht="15" customHeight="1" x14ac:dyDescent="0.2">
      <c r="S4335" s="69">
        <f>_xlfn.XLOOKUP(Results!A4335,Geometry!$B$6:$B$10000,Geometry!$C$6:$C$10000)</f>
        <v>0</v>
      </c>
      <c r="T4335" s="69"/>
      <c r="U4335" s="69"/>
    </row>
    <row r="4336" spans="19:21" ht="15" customHeight="1" x14ac:dyDescent="0.2">
      <c r="S4336" s="69">
        <f>_xlfn.XLOOKUP(Results!A4336,Geometry!$B$6:$B$10000,Geometry!$C$6:$C$10000)</f>
        <v>0</v>
      </c>
      <c r="T4336" s="69"/>
      <c r="U4336" s="69"/>
    </row>
    <row r="4337" spans="19:21" ht="15" customHeight="1" x14ac:dyDescent="0.2">
      <c r="S4337" s="69">
        <f>_xlfn.XLOOKUP(Results!A4337,Geometry!$B$6:$B$10000,Geometry!$C$6:$C$10000)</f>
        <v>0</v>
      </c>
      <c r="T4337" s="69"/>
      <c r="U4337" s="69"/>
    </row>
    <row r="4338" spans="19:21" ht="15" customHeight="1" x14ac:dyDescent="0.2">
      <c r="S4338" s="69">
        <f>_xlfn.XLOOKUP(Results!A4338,Geometry!$B$6:$B$10000,Geometry!$C$6:$C$10000)</f>
        <v>0</v>
      </c>
      <c r="T4338" s="69"/>
      <c r="U4338" s="69"/>
    </row>
    <row r="4339" spans="19:21" ht="15" customHeight="1" x14ac:dyDescent="0.2">
      <c r="S4339" s="69">
        <f>_xlfn.XLOOKUP(Results!A4339,Geometry!$B$6:$B$10000,Geometry!$C$6:$C$10000)</f>
        <v>0</v>
      </c>
      <c r="T4339" s="69"/>
      <c r="U4339" s="69"/>
    </row>
    <row r="4340" spans="19:21" ht="15" customHeight="1" x14ac:dyDescent="0.2">
      <c r="S4340" s="69">
        <f>_xlfn.XLOOKUP(Results!A4340,Geometry!$B$6:$B$10000,Geometry!$C$6:$C$10000)</f>
        <v>0</v>
      </c>
      <c r="T4340" s="69"/>
      <c r="U4340" s="69"/>
    </row>
    <row r="4341" spans="19:21" ht="15" customHeight="1" x14ac:dyDescent="0.2">
      <c r="S4341" s="69">
        <f>_xlfn.XLOOKUP(Results!A4341,Geometry!$B$6:$B$10000,Geometry!$C$6:$C$10000)</f>
        <v>0</v>
      </c>
      <c r="T4341" s="69"/>
      <c r="U4341" s="69"/>
    </row>
    <row r="4342" spans="19:21" ht="15" customHeight="1" x14ac:dyDescent="0.2">
      <c r="S4342" s="69">
        <f>_xlfn.XLOOKUP(Results!A4342,Geometry!$B$6:$B$10000,Geometry!$C$6:$C$10000)</f>
        <v>0</v>
      </c>
      <c r="T4342" s="69"/>
      <c r="U4342" s="69"/>
    </row>
    <row r="4343" spans="19:21" ht="15" customHeight="1" x14ac:dyDescent="0.2">
      <c r="S4343" s="69">
        <f>_xlfn.XLOOKUP(Results!A4343,Geometry!$B$6:$B$10000,Geometry!$C$6:$C$10000)</f>
        <v>0</v>
      </c>
      <c r="T4343" s="69"/>
      <c r="U4343" s="69"/>
    </row>
    <row r="4344" spans="19:21" ht="15" customHeight="1" x14ac:dyDescent="0.2">
      <c r="S4344" s="69">
        <f>_xlfn.XLOOKUP(Results!A4344,Geometry!$B$6:$B$10000,Geometry!$C$6:$C$10000)</f>
        <v>0</v>
      </c>
      <c r="T4344" s="69"/>
      <c r="U4344" s="69"/>
    </row>
    <row r="4345" spans="19:21" ht="15" customHeight="1" x14ac:dyDescent="0.2">
      <c r="S4345" s="69">
        <f>_xlfn.XLOOKUP(Results!A4345,Geometry!$B$6:$B$10000,Geometry!$C$6:$C$10000)</f>
        <v>0</v>
      </c>
      <c r="T4345" s="69"/>
      <c r="U4345" s="69"/>
    </row>
    <row r="4346" spans="19:21" ht="15" customHeight="1" x14ac:dyDescent="0.2">
      <c r="S4346" s="69">
        <f>_xlfn.XLOOKUP(Results!A4346,Geometry!$B$6:$B$10000,Geometry!$C$6:$C$10000)</f>
        <v>0</v>
      </c>
      <c r="T4346" s="69"/>
      <c r="U4346" s="69"/>
    </row>
    <row r="4347" spans="19:21" ht="15" customHeight="1" x14ac:dyDescent="0.2">
      <c r="S4347" s="69">
        <f>_xlfn.XLOOKUP(Results!A4347,Geometry!$B$6:$B$10000,Geometry!$C$6:$C$10000)</f>
        <v>0</v>
      </c>
      <c r="T4347" s="69"/>
      <c r="U4347" s="69"/>
    </row>
    <row r="4348" spans="19:21" ht="15" customHeight="1" x14ac:dyDescent="0.2">
      <c r="S4348" s="69">
        <f>_xlfn.XLOOKUP(Results!A4348,Geometry!$B$6:$B$10000,Geometry!$C$6:$C$10000)</f>
        <v>0</v>
      </c>
      <c r="T4348" s="69"/>
      <c r="U4348" s="69"/>
    </row>
    <row r="4349" spans="19:21" ht="15" customHeight="1" x14ac:dyDescent="0.2">
      <c r="S4349" s="69">
        <f>_xlfn.XLOOKUP(Results!A4349,Geometry!$B$6:$B$10000,Geometry!$C$6:$C$10000)</f>
        <v>0</v>
      </c>
      <c r="T4349" s="69"/>
      <c r="U4349" s="69"/>
    </row>
    <row r="4350" spans="19:21" ht="15" customHeight="1" x14ac:dyDescent="0.2">
      <c r="S4350" s="69">
        <f>_xlfn.XLOOKUP(Results!A4350,Geometry!$B$6:$B$10000,Geometry!$C$6:$C$10000)</f>
        <v>0</v>
      </c>
      <c r="T4350" s="69"/>
      <c r="U4350" s="69"/>
    </row>
    <row r="4351" spans="19:21" ht="15" customHeight="1" x14ac:dyDescent="0.2">
      <c r="S4351" s="69">
        <f>_xlfn.XLOOKUP(Results!A4351,Geometry!$B$6:$B$10000,Geometry!$C$6:$C$10000)</f>
        <v>0</v>
      </c>
      <c r="T4351" s="69"/>
      <c r="U4351" s="69"/>
    </row>
    <row r="4352" spans="19:21" ht="15" customHeight="1" x14ac:dyDescent="0.2">
      <c r="S4352" s="69">
        <f>_xlfn.XLOOKUP(Results!A4352,Geometry!$B$6:$B$10000,Geometry!$C$6:$C$10000)</f>
        <v>0</v>
      </c>
      <c r="T4352" s="69"/>
      <c r="U4352" s="69"/>
    </row>
    <row r="4353" spans="19:21" ht="15" customHeight="1" x14ac:dyDescent="0.2">
      <c r="S4353" s="69">
        <f>_xlfn.XLOOKUP(Results!A4353,Geometry!$B$6:$B$10000,Geometry!$C$6:$C$10000)</f>
        <v>0</v>
      </c>
      <c r="T4353" s="69"/>
      <c r="U4353" s="69"/>
    </row>
    <row r="4354" spans="19:21" ht="15" customHeight="1" x14ac:dyDescent="0.2">
      <c r="S4354" s="69">
        <f>_xlfn.XLOOKUP(Results!A4354,Geometry!$B$6:$B$10000,Geometry!$C$6:$C$10000)</f>
        <v>0</v>
      </c>
      <c r="T4354" s="69"/>
      <c r="U4354" s="69"/>
    </row>
    <row r="4355" spans="19:21" ht="15" customHeight="1" x14ac:dyDescent="0.2">
      <c r="S4355" s="69">
        <f>_xlfn.XLOOKUP(Results!A4355,Geometry!$B$6:$B$10000,Geometry!$C$6:$C$10000)</f>
        <v>0</v>
      </c>
      <c r="T4355" s="69"/>
      <c r="U4355" s="69"/>
    </row>
    <row r="4356" spans="19:21" ht="15" customHeight="1" x14ac:dyDescent="0.2">
      <c r="S4356" s="69">
        <f>_xlfn.XLOOKUP(Results!A4356,Geometry!$B$6:$B$10000,Geometry!$C$6:$C$10000)</f>
        <v>0</v>
      </c>
      <c r="T4356" s="69"/>
      <c r="U4356" s="69"/>
    </row>
    <row r="4357" spans="19:21" ht="15" customHeight="1" x14ac:dyDescent="0.2">
      <c r="S4357" s="69">
        <f>_xlfn.XLOOKUP(Results!A4357,Geometry!$B$6:$B$10000,Geometry!$C$6:$C$10000)</f>
        <v>0</v>
      </c>
      <c r="T4357" s="69"/>
      <c r="U4357" s="69"/>
    </row>
    <row r="4358" spans="19:21" ht="15" customHeight="1" x14ac:dyDescent="0.2">
      <c r="S4358" s="69">
        <f>_xlfn.XLOOKUP(Results!A4358,Geometry!$B$6:$B$10000,Geometry!$C$6:$C$10000)</f>
        <v>0</v>
      </c>
      <c r="T4358" s="69"/>
      <c r="U4358" s="69"/>
    </row>
    <row r="4359" spans="19:21" ht="15" customHeight="1" x14ac:dyDescent="0.2">
      <c r="S4359" s="69">
        <f>_xlfn.XLOOKUP(Results!A4359,Geometry!$B$6:$B$10000,Geometry!$C$6:$C$10000)</f>
        <v>0</v>
      </c>
      <c r="T4359" s="69"/>
      <c r="U4359" s="69"/>
    </row>
    <row r="4360" spans="19:21" ht="15" customHeight="1" x14ac:dyDescent="0.2">
      <c r="S4360" s="69">
        <f>_xlfn.XLOOKUP(Results!A4360,Geometry!$B$6:$B$10000,Geometry!$C$6:$C$10000)</f>
        <v>0</v>
      </c>
      <c r="T4360" s="69"/>
      <c r="U4360" s="69"/>
    </row>
    <row r="4361" spans="19:21" ht="15" customHeight="1" x14ac:dyDescent="0.2">
      <c r="S4361" s="69">
        <f>_xlfn.XLOOKUP(Results!A4361,Geometry!$B$6:$B$10000,Geometry!$C$6:$C$10000)</f>
        <v>0</v>
      </c>
      <c r="T4361" s="69"/>
      <c r="U4361" s="69"/>
    </row>
    <row r="4362" spans="19:21" ht="15" customHeight="1" x14ac:dyDescent="0.2">
      <c r="S4362" s="69">
        <f>_xlfn.XLOOKUP(Results!A4362,Geometry!$B$6:$B$10000,Geometry!$C$6:$C$10000)</f>
        <v>0</v>
      </c>
      <c r="T4362" s="69"/>
      <c r="U4362" s="69"/>
    </row>
    <row r="4363" spans="19:21" ht="15" customHeight="1" x14ac:dyDescent="0.2">
      <c r="S4363" s="69">
        <f>_xlfn.XLOOKUP(Results!A4363,Geometry!$B$6:$B$10000,Geometry!$C$6:$C$10000)</f>
        <v>0</v>
      </c>
      <c r="T4363" s="69"/>
      <c r="U4363" s="69"/>
    </row>
    <row r="4364" spans="19:21" ht="15" customHeight="1" x14ac:dyDescent="0.2">
      <c r="S4364" s="69">
        <f>_xlfn.XLOOKUP(Results!A4364,Geometry!$B$6:$B$10000,Geometry!$C$6:$C$10000)</f>
        <v>0</v>
      </c>
      <c r="T4364" s="69"/>
      <c r="U4364" s="69"/>
    </row>
    <row r="4365" spans="19:21" ht="15" customHeight="1" x14ac:dyDescent="0.2">
      <c r="S4365" s="69">
        <f>_xlfn.XLOOKUP(Results!A4365,Geometry!$B$6:$B$10000,Geometry!$C$6:$C$10000)</f>
        <v>0</v>
      </c>
      <c r="T4365" s="69"/>
      <c r="U4365" s="69"/>
    </row>
    <row r="4366" spans="19:21" ht="15" customHeight="1" x14ac:dyDescent="0.2">
      <c r="S4366" s="69">
        <f>_xlfn.XLOOKUP(Results!A4366,Geometry!$B$6:$B$10000,Geometry!$C$6:$C$10000)</f>
        <v>0</v>
      </c>
      <c r="T4366" s="69"/>
      <c r="U4366" s="69"/>
    </row>
    <row r="4367" spans="19:21" ht="15" customHeight="1" x14ac:dyDescent="0.2">
      <c r="S4367" s="69">
        <f>_xlfn.XLOOKUP(Results!A4367,Geometry!$B$6:$B$10000,Geometry!$C$6:$C$10000)</f>
        <v>0</v>
      </c>
      <c r="T4367" s="69"/>
      <c r="U4367" s="69"/>
    </row>
    <row r="4368" spans="19:21" ht="15" customHeight="1" x14ac:dyDescent="0.2">
      <c r="S4368" s="69">
        <f>_xlfn.XLOOKUP(Results!A4368,Geometry!$B$6:$B$10000,Geometry!$C$6:$C$10000)</f>
        <v>0</v>
      </c>
      <c r="T4368" s="69"/>
      <c r="U4368" s="69"/>
    </row>
    <row r="4369" spans="19:21" ht="15" customHeight="1" x14ac:dyDescent="0.2">
      <c r="S4369" s="69">
        <f>_xlfn.XLOOKUP(Results!A4369,Geometry!$B$6:$B$10000,Geometry!$C$6:$C$10000)</f>
        <v>0</v>
      </c>
      <c r="T4369" s="69"/>
      <c r="U4369" s="69"/>
    </row>
    <row r="4370" spans="19:21" ht="15" customHeight="1" x14ac:dyDescent="0.2">
      <c r="S4370" s="69">
        <f>_xlfn.XLOOKUP(Results!A4370,Geometry!$B$6:$B$10000,Geometry!$C$6:$C$10000)</f>
        <v>0</v>
      </c>
      <c r="T4370" s="69"/>
      <c r="U4370" s="69"/>
    </row>
    <row r="4371" spans="19:21" ht="15" customHeight="1" x14ac:dyDescent="0.2">
      <c r="S4371" s="69">
        <f>_xlfn.XLOOKUP(Results!A4371,Geometry!$B$6:$B$10000,Geometry!$C$6:$C$10000)</f>
        <v>0</v>
      </c>
      <c r="T4371" s="69"/>
      <c r="U4371" s="69"/>
    </row>
    <row r="4372" spans="19:21" ht="15" customHeight="1" x14ac:dyDescent="0.2">
      <c r="S4372" s="69">
        <f>_xlfn.XLOOKUP(Results!A4372,Geometry!$B$6:$B$10000,Geometry!$C$6:$C$10000)</f>
        <v>0</v>
      </c>
      <c r="T4372" s="69"/>
      <c r="U4372" s="69"/>
    </row>
    <row r="4373" spans="19:21" ht="15" customHeight="1" x14ac:dyDescent="0.2">
      <c r="S4373" s="69">
        <f>_xlfn.XLOOKUP(Results!A4373,Geometry!$B$6:$B$10000,Geometry!$C$6:$C$10000)</f>
        <v>0</v>
      </c>
      <c r="T4373" s="69"/>
      <c r="U4373" s="69"/>
    </row>
    <row r="4374" spans="19:21" ht="15" customHeight="1" x14ac:dyDescent="0.2">
      <c r="S4374" s="69">
        <f>_xlfn.XLOOKUP(Results!A4374,Geometry!$B$6:$B$10000,Geometry!$C$6:$C$10000)</f>
        <v>0</v>
      </c>
      <c r="T4374" s="69"/>
      <c r="U4374" s="69"/>
    </row>
    <row r="4375" spans="19:21" ht="15" customHeight="1" x14ac:dyDescent="0.2">
      <c r="S4375" s="69">
        <f>_xlfn.XLOOKUP(Results!A4375,Geometry!$B$6:$B$10000,Geometry!$C$6:$C$10000)</f>
        <v>0</v>
      </c>
      <c r="T4375" s="69"/>
      <c r="U4375" s="69"/>
    </row>
    <row r="4376" spans="19:21" ht="15" customHeight="1" x14ac:dyDescent="0.2">
      <c r="S4376" s="69">
        <f>_xlfn.XLOOKUP(Results!A4376,Geometry!$B$6:$B$10000,Geometry!$C$6:$C$10000)</f>
        <v>0</v>
      </c>
      <c r="T4376" s="69"/>
      <c r="U4376" s="69"/>
    </row>
    <row r="4377" spans="19:21" ht="15" customHeight="1" x14ac:dyDescent="0.2">
      <c r="S4377" s="69">
        <f>_xlfn.XLOOKUP(Results!A4377,Geometry!$B$6:$B$10000,Geometry!$C$6:$C$10000)</f>
        <v>0</v>
      </c>
      <c r="T4377" s="69"/>
      <c r="U4377" s="69"/>
    </row>
    <row r="4378" spans="19:21" ht="15" customHeight="1" x14ac:dyDescent="0.2">
      <c r="S4378" s="69">
        <f>_xlfn.XLOOKUP(Results!A4378,Geometry!$B$6:$B$10000,Geometry!$C$6:$C$10000)</f>
        <v>0</v>
      </c>
      <c r="T4378" s="69"/>
      <c r="U4378" s="69"/>
    </row>
    <row r="4379" spans="19:21" ht="15" customHeight="1" x14ac:dyDescent="0.2">
      <c r="S4379" s="69">
        <f>_xlfn.XLOOKUP(Results!A4379,Geometry!$B$6:$B$10000,Geometry!$C$6:$C$10000)</f>
        <v>0</v>
      </c>
      <c r="T4379" s="69"/>
      <c r="U4379" s="69"/>
    </row>
    <row r="4380" spans="19:21" ht="15" customHeight="1" x14ac:dyDescent="0.2">
      <c r="S4380" s="69">
        <f>_xlfn.XLOOKUP(Results!A4380,Geometry!$B$6:$B$10000,Geometry!$C$6:$C$10000)</f>
        <v>0</v>
      </c>
      <c r="T4380" s="69"/>
      <c r="U4380" s="69"/>
    </row>
    <row r="4381" spans="19:21" ht="15" customHeight="1" x14ac:dyDescent="0.2">
      <c r="S4381" s="69">
        <f>_xlfn.XLOOKUP(Results!A4381,Geometry!$B$6:$B$10000,Geometry!$C$6:$C$10000)</f>
        <v>0</v>
      </c>
      <c r="T4381" s="69"/>
      <c r="U4381" s="69"/>
    </row>
    <row r="4382" spans="19:21" ht="15" customHeight="1" x14ac:dyDescent="0.2">
      <c r="S4382" s="69">
        <f>_xlfn.XLOOKUP(Results!A4382,Geometry!$B$6:$B$10000,Geometry!$C$6:$C$10000)</f>
        <v>0</v>
      </c>
      <c r="T4382" s="69"/>
      <c r="U4382" s="69"/>
    </row>
    <row r="4383" spans="19:21" ht="15" customHeight="1" x14ac:dyDescent="0.2">
      <c r="S4383" s="69">
        <f>_xlfn.XLOOKUP(Results!A4383,Geometry!$B$6:$B$10000,Geometry!$C$6:$C$10000)</f>
        <v>0</v>
      </c>
      <c r="T4383" s="69"/>
      <c r="U4383" s="69"/>
    </row>
    <row r="4384" spans="19:21" ht="15" customHeight="1" x14ac:dyDescent="0.2">
      <c r="S4384" s="69">
        <f>_xlfn.XLOOKUP(Results!A4384,Geometry!$B$6:$B$10000,Geometry!$C$6:$C$10000)</f>
        <v>0</v>
      </c>
      <c r="T4384" s="69"/>
      <c r="U4384" s="69"/>
    </row>
    <row r="4385" spans="19:21" ht="15" customHeight="1" x14ac:dyDescent="0.2">
      <c r="S4385" s="69">
        <f>_xlfn.XLOOKUP(Results!A4385,Geometry!$B$6:$B$10000,Geometry!$C$6:$C$10000)</f>
        <v>0</v>
      </c>
      <c r="T4385" s="69"/>
      <c r="U4385" s="69"/>
    </row>
    <row r="4386" spans="19:21" ht="15" customHeight="1" x14ac:dyDescent="0.2">
      <c r="S4386" s="69">
        <f>_xlfn.XLOOKUP(Results!A4386,Geometry!$B$6:$B$10000,Geometry!$C$6:$C$10000)</f>
        <v>0</v>
      </c>
      <c r="T4386" s="69"/>
      <c r="U4386" s="69"/>
    </row>
    <row r="4387" spans="19:21" ht="15" customHeight="1" x14ac:dyDescent="0.2">
      <c r="S4387" s="69">
        <f>_xlfn.XLOOKUP(Results!A4387,Geometry!$B$6:$B$10000,Geometry!$C$6:$C$10000)</f>
        <v>0</v>
      </c>
      <c r="T4387" s="69"/>
      <c r="U4387" s="69"/>
    </row>
    <row r="4388" spans="19:21" ht="15" customHeight="1" x14ac:dyDescent="0.2">
      <c r="S4388" s="69">
        <f>_xlfn.XLOOKUP(Results!A4388,Geometry!$B$6:$B$10000,Geometry!$C$6:$C$10000)</f>
        <v>0</v>
      </c>
      <c r="T4388" s="69"/>
      <c r="U4388" s="69"/>
    </row>
    <row r="4389" spans="19:21" ht="15" customHeight="1" x14ac:dyDescent="0.2">
      <c r="S4389" s="69">
        <f>_xlfn.XLOOKUP(Results!A4389,Geometry!$B$6:$B$10000,Geometry!$C$6:$C$10000)</f>
        <v>0</v>
      </c>
      <c r="T4389" s="69"/>
      <c r="U4389" s="69"/>
    </row>
    <row r="4390" spans="19:21" ht="15" customHeight="1" x14ac:dyDescent="0.2">
      <c r="S4390" s="69">
        <f>_xlfn.XLOOKUP(Results!A4390,Geometry!$B$6:$B$10000,Geometry!$C$6:$C$10000)</f>
        <v>0</v>
      </c>
      <c r="T4390" s="69"/>
      <c r="U4390" s="69"/>
    </row>
    <row r="4391" spans="19:21" ht="15" customHeight="1" x14ac:dyDescent="0.2">
      <c r="S4391" s="69">
        <f>_xlfn.XLOOKUP(Results!A4391,Geometry!$B$6:$B$10000,Geometry!$C$6:$C$10000)</f>
        <v>0</v>
      </c>
      <c r="T4391" s="69"/>
      <c r="U4391" s="69"/>
    </row>
    <row r="4392" spans="19:21" ht="15" customHeight="1" x14ac:dyDescent="0.2">
      <c r="S4392" s="69">
        <f>_xlfn.XLOOKUP(Results!A4392,Geometry!$B$6:$B$10000,Geometry!$C$6:$C$10000)</f>
        <v>0</v>
      </c>
      <c r="T4392" s="69"/>
      <c r="U4392" s="69"/>
    </row>
    <row r="4393" spans="19:21" ht="15" customHeight="1" x14ac:dyDescent="0.2">
      <c r="S4393" s="69">
        <f>_xlfn.XLOOKUP(Results!A4393,Geometry!$B$6:$B$10000,Geometry!$C$6:$C$10000)</f>
        <v>0</v>
      </c>
      <c r="T4393" s="69"/>
      <c r="U4393" s="69"/>
    </row>
    <row r="4394" spans="19:21" ht="15" customHeight="1" x14ac:dyDescent="0.2">
      <c r="S4394" s="69">
        <f>_xlfn.XLOOKUP(Results!A4394,Geometry!$B$6:$B$10000,Geometry!$C$6:$C$10000)</f>
        <v>0</v>
      </c>
      <c r="T4394" s="69"/>
      <c r="U4394" s="69"/>
    </row>
    <row r="4395" spans="19:21" ht="15" customHeight="1" x14ac:dyDescent="0.2">
      <c r="S4395" s="69">
        <f>_xlfn.XLOOKUP(Results!A4395,Geometry!$B$6:$B$10000,Geometry!$C$6:$C$10000)</f>
        <v>0</v>
      </c>
      <c r="T4395" s="69"/>
      <c r="U4395" s="69"/>
    </row>
    <row r="4396" spans="19:21" ht="15" customHeight="1" x14ac:dyDescent="0.2">
      <c r="S4396" s="69">
        <f>_xlfn.XLOOKUP(Results!A4396,Geometry!$B$6:$B$10000,Geometry!$C$6:$C$10000)</f>
        <v>0</v>
      </c>
      <c r="T4396" s="69"/>
      <c r="U4396" s="69"/>
    </row>
    <row r="4397" spans="19:21" ht="15" customHeight="1" x14ac:dyDescent="0.2">
      <c r="S4397" s="69">
        <f>_xlfn.XLOOKUP(Results!A4397,Geometry!$B$6:$B$10000,Geometry!$C$6:$C$10000)</f>
        <v>0</v>
      </c>
      <c r="T4397" s="69"/>
      <c r="U4397" s="69"/>
    </row>
    <row r="4398" spans="19:21" ht="15" customHeight="1" x14ac:dyDescent="0.2">
      <c r="S4398" s="69">
        <f>_xlfn.XLOOKUP(Results!A4398,Geometry!$B$6:$B$10000,Geometry!$C$6:$C$10000)</f>
        <v>0</v>
      </c>
      <c r="T4398" s="69"/>
      <c r="U4398" s="69"/>
    </row>
    <row r="4399" spans="19:21" ht="15" customHeight="1" x14ac:dyDescent="0.2">
      <c r="S4399" s="69">
        <f>_xlfn.XLOOKUP(Results!A4399,Geometry!$B$6:$B$10000,Geometry!$C$6:$C$10000)</f>
        <v>0</v>
      </c>
      <c r="T4399" s="69"/>
      <c r="U4399" s="69"/>
    </row>
    <row r="4400" spans="19:21" ht="15" customHeight="1" x14ac:dyDescent="0.2">
      <c r="S4400" s="69">
        <f>_xlfn.XLOOKUP(Results!A4400,Geometry!$B$6:$B$10000,Geometry!$C$6:$C$10000)</f>
        <v>0</v>
      </c>
      <c r="T4400" s="69"/>
      <c r="U4400" s="69"/>
    </row>
    <row r="4401" spans="19:21" ht="15" customHeight="1" x14ac:dyDescent="0.2">
      <c r="S4401" s="69">
        <f>_xlfn.XLOOKUP(Results!A4401,Geometry!$B$6:$B$10000,Geometry!$C$6:$C$10000)</f>
        <v>0</v>
      </c>
      <c r="T4401" s="69"/>
      <c r="U4401" s="69"/>
    </row>
    <row r="4402" spans="19:21" ht="15" customHeight="1" x14ac:dyDescent="0.2">
      <c r="S4402" s="69">
        <f>_xlfn.XLOOKUP(Results!A4402,Geometry!$B$6:$B$10000,Geometry!$C$6:$C$10000)</f>
        <v>0</v>
      </c>
      <c r="T4402" s="69"/>
      <c r="U4402" s="69"/>
    </row>
    <row r="4403" spans="19:21" ht="15" customHeight="1" x14ac:dyDescent="0.2">
      <c r="S4403" s="69">
        <f>_xlfn.XLOOKUP(Results!A4403,Geometry!$B$6:$B$10000,Geometry!$C$6:$C$10000)</f>
        <v>0</v>
      </c>
      <c r="T4403" s="69"/>
      <c r="U4403" s="69"/>
    </row>
    <row r="4404" spans="19:21" ht="15" customHeight="1" x14ac:dyDescent="0.2">
      <c r="S4404" s="69">
        <f>_xlfn.XLOOKUP(Results!A4404,Geometry!$B$6:$B$10000,Geometry!$C$6:$C$10000)</f>
        <v>0</v>
      </c>
      <c r="T4404" s="69"/>
      <c r="U4404" s="69"/>
    </row>
    <row r="4405" spans="19:21" ht="15" customHeight="1" x14ac:dyDescent="0.2">
      <c r="S4405" s="69">
        <f>_xlfn.XLOOKUP(Results!A4405,Geometry!$B$6:$B$10000,Geometry!$C$6:$C$10000)</f>
        <v>0</v>
      </c>
      <c r="T4405" s="69"/>
      <c r="U4405" s="69"/>
    </row>
    <row r="4406" spans="19:21" ht="15" customHeight="1" x14ac:dyDescent="0.2">
      <c r="S4406" s="69">
        <f>_xlfn.XLOOKUP(Results!A4406,Geometry!$B$6:$B$10000,Geometry!$C$6:$C$10000)</f>
        <v>0</v>
      </c>
      <c r="T4406" s="69"/>
      <c r="U4406" s="69"/>
    </row>
    <row r="4407" spans="19:21" ht="15" customHeight="1" x14ac:dyDescent="0.2">
      <c r="S4407" s="69">
        <f>_xlfn.XLOOKUP(Results!A4407,Geometry!$B$6:$B$10000,Geometry!$C$6:$C$10000)</f>
        <v>0</v>
      </c>
      <c r="T4407" s="69"/>
      <c r="U4407" s="69"/>
    </row>
    <row r="4408" spans="19:21" ht="15" customHeight="1" x14ac:dyDescent="0.2">
      <c r="S4408" s="69">
        <f>_xlfn.XLOOKUP(Results!A4408,Geometry!$B$6:$B$10000,Geometry!$C$6:$C$10000)</f>
        <v>0</v>
      </c>
      <c r="T4408" s="69"/>
      <c r="U4408" s="69"/>
    </row>
    <row r="4409" spans="19:21" ht="15" customHeight="1" x14ac:dyDescent="0.2">
      <c r="S4409" s="69">
        <f>_xlfn.XLOOKUP(Results!A4409,Geometry!$B$6:$B$10000,Geometry!$C$6:$C$10000)</f>
        <v>0</v>
      </c>
      <c r="T4409" s="69"/>
      <c r="U4409" s="69"/>
    </row>
    <row r="4410" spans="19:21" ht="15" customHeight="1" x14ac:dyDescent="0.2">
      <c r="S4410" s="69">
        <f>_xlfn.XLOOKUP(Results!A4410,Geometry!$B$6:$B$10000,Geometry!$C$6:$C$10000)</f>
        <v>0</v>
      </c>
      <c r="T4410" s="69"/>
      <c r="U4410" s="69"/>
    </row>
    <row r="4411" spans="19:21" ht="15" customHeight="1" x14ac:dyDescent="0.2">
      <c r="S4411" s="69">
        <f>_xlfn.XLOOKUP(Results!A4411,Geometry!$B$6:$B$10000,Geometry!$C$6:$C$10000)</f>
        <v>0</v>
      </c>
      <c r="T4411" s="69"/>
      <c r="U4411" s="69"/>
    </row>
    <row r="4412" spans="19:21" ht="15" customHeight="1" x14ac:dyDescent="0.2">
      <c r="S4412" s="69">
        <f>_xlfn.XLOOKUP(Results!A4412,Geometry!$B$6:$B$10000,Geometry!$C$6:$C$10000)</f>
        <v>0</v>
      </c>
      <c r="T4412" s="69"/>
      <c r="U4412" s="69"/>
    </row>
    <row r="4413" spans="19:21" ht="15" customHeight="1" x14ac:dyDescent="0.2">
      <c r="S4413" s="69">
        <f>_xlfn.XLOOKUP(Results!A4413,Geometry!$B$6:$B$10000,Geometry!$C$6:$C$10000)</f>
        <v>0</v>
      </c>
      <c r="T4413" s="69"/>
      <c r="U4413" s="69"/>
    </row>
    <row r="4414" spans="19:21" ht="15" customHeight="1" x14ac:dyDescent="0.2">
      <c r="S4414" s="69">
        <f>_xlfn.XLOOKUP(Results!A4414,Geometry!$B$6:$B$10000,Geometry!$C$6:$C$10000)</f>
        <v>0</v>
      </c>
      <c r="T4414" s="69"/>
      <c r="U4414" s="69"/>
    </row>
    <row r="4415" spans="19:21" ht="15" customHeight="1" x14ac:dyDescent="0.2">
      <c r="S4415" s="69">
        <f>_xlfn.XLOOKUP(Results!A4415,Geometry!$B$6:$B$10000,Geometry!$C$6:$C$10000)</f>
        <v>0</v>
      </c>
      <c r="T4415" s="69"/>
      <c r="U4415" s="69"/>
    </row>
    <row r="4416" spans="19:21" ht="15" customHeight="1" x14ac:dyDescent="0.2">
      <c r="S4416" s="69">
        <f>_xlfn.XLOOKUP(Results!A4416,Geometry!$B$6:$B$10000,Geometry!$C$6:$C$10000)</f>
        <v>0</v>
      </c>
      <c r="T4416" s="69"/>
      <c r="U4416" s="69"/>
    </row>
    <row r="4417" spans="19:21" ht="15" customHeight="1" x14ac:dyDescent="0.2">
      <c r="S4417" s="69">
        <f>_xlfn.XLOOKUP(Results!A4417,Geometry!$B$6:$B$10000,Geometry!$C$6:$C$10000)</f>
        <v>0</v>
      </c>
      <c r="T4417" s="69"/>
      <c r="U4417" s="69"/>
    </row>
    <row r="4418" spans="19:21" ht="15" customHeight="1" x14ac:dyDescent="0.2">
      <c r="S4418" s="69">
        <f>_xlfn.XLOOKUP(Results!A4418,Geometry!$B$6:$B$10000,Geometry!$C$6:$C$10000)</f>
        <v>0</v>
      </c>
      <c r="T4418" s="69"/>
      <c r="U4418" s="69"/>
    </row>
    <row r="4419" spans="19:21" ht="15" customHeight="1" x14ac:dyDescent="0.2">
      <c r="S4419" s="69">
        <f>_xlfn.XLOOKUP(Results!A4419,Geometry!$B$6:$B$10000,Geometry!$C$6:$C$10000)</f>
        <v>0</v>
      </c>
      <c r="T4419" s="69"/>
      <c r="U4419" s="69"/>
    </row>
    <row r="4420" spans="19:21" ht="15" customHeight="1" x14ac:dyDescent="0.2">
      <c r="S4420" s="69">
        <f>_xlfn.XLOOKUP(Results!A4420,Geometry!$B$6:$B$10000,Geometry!$C$6:$C$10000)</f>
        <v>0</v>
      </c>
      <c r="T4420" s="69"/>
      <c r="U4420" s="69"/>
    </row>
    <row r="4421" spans="19:21" ht="15" customHeight="1" x14ac:dyDescent="0.2">
      <c r="S4421" s="69">
        <f>_xlfn.XLOOKUP(Results!A4421,Geometry!$B$6:$B$10000,Geometry!$C$6:$C$10000)</f>
        <v>0</v>
      </c>
      <c r="T4421" s="69"/>
      <c r="U4421" s="69"/>
    </row>
    <row r="4422" spans="19:21" ht="15" customHeight="1" x14ac:dyDescent="0.2">
      <c r="S4422" s="69">
        <f>_xlfn.XLOOKUP(Results!A4422,Geometry!$B$6:$B$10000,Geometry!$C$6:$C$10000)</f>
        <v>0</v>
      </c>
      <c r="T4422" s="69"/>
      <c r="U4422" s="69"/>
    </row>
    <row r="4423" spans="19:21" ht="15" customHeight="1" x14ac:dyDescent="0.2">
      <c r="S4423" s="69">
        <f>_xlfn.XLOOKUP(Results!A4423,Geometry!$B$6:$B$10000,Geometry!$C$6:$C$10000)</f>
        <v>0</v>
      </c>
      <c r="T4423" s="69"/>
      <c r="U4423" s="69"/>
    </row>
    <row r="4424" spans="19:21" ht="15" customHeight="1" x14ac:dyDescent="0.2">
      <c r="S4424" s="69">
        <f>_xlfn.XLOOKUP(Results!A4424,Geometry!$B$6:$B$10000,Geometry!$C$6:$C$10000)</f>
        <v>0</v>
      </c>
      <c r="T4424" s="69"/>
      <c r="U4424" s="69"/>
    </row>
    <row r="4425" spans="19:21" ht="15" customHeight="1" x14ac:dyDescent="0.2">
      <c r="S4425" s="69">
        <f>_xlfn.XLOOKUP(Results!A4425,Geometry!$B$6:$B$10000,Geometry!$C$6:$C$10000)</f>
        <v>0</v>
      </c>
      <c r="T4425" s="69"/>
      <c r="U4425" s="69"/>
    </row>
    <row r="4426" spans="19:21" ht="15" customHeight="1" x14ac:dyDescent="0.2">
      <c r="S4426" s="69">
        <f>_xlfn.XLOOKUP(Results!A4426,Geometry!$B$6:$B$10000,Geometry!$C$6:$C$10000)</f>
        <v>0</v>
      </c>
      <c r="T4426" s="69"/>
      <c r="U4426" s="69"/>
    </row>
    <row r="4427" spans="19:21" ht="15" customHeight="1" x14ac:dyDescent="0.2">
      <c r="S4427" s="69">
        <f>_xlfn.XLOOKUP(Results!A4427,Geometry!$B$6:$B$10000,Geometry!$C$6:$C$10000)</f>
        <v>0</v>
      </c>
      <c r="T4427" s="69"/>
      <c r="U4427" s="69"/>
    </row>
    <row r="4428" spans="19:21" ht="15" customHeight="1" x14ac:dyDescent="0.2">
      <c r="S4428" s="69">
        <f>_xlfn.XLOOKUP(Results!A4428,Geometry!$B$6:$B$10000,Geometry!$C$6:$C$10000)</f>
        <v>0</v>
      </c>
      <c r="T4428" s="69"/>
      <c r="U4428" s="69"/>
    </row>
    <row r="4429" spans="19:21" ht="15" customHeight="1" x14ac:dyDescent="0.2">
      <c r="S4429" s="69">
        <f>_xlfn.XLOOKUP(Results!A4429,Geometry!$B$6:$B$10000,Geometry!$C$6:$C$10000)</f>
        <v>0</v>
      </c>
      <c r="T4429" s="69"/>
      <c r="U4429" s="69"/>
    </row>
    <row r="4430" spans="19:21" ht="15" customHeight="1" x14ac:dyDescent="0.2">
      <c r="S4430" s="69">
        <f>_xlfn.XLOOKUP(Results!A4430,Geometry!$B$6:$B$10000,Geometry!$C$6:$C$10000)</f>
        <v>0</v>
      </c>
      <c r="T4430" s="69"/>
      <c r="U4430" s="69"/>
    </row>
    <row r="4431" spans="19:21" ht="15" customHeight="1" x14ac:dyDescent="0.2">
      <c r="S4431" s="69">
        <f>_xlfn.XLOOKUP(Results!A4431,Geometry!$B$6:$B$10000,Geometry!$C$6:$C$10000)</f>
        <v>0</v>
      </c>
      <c r="T4431" s="69"/>
      <c r="U4431" s="69"/>
    </row>
    <row r="4432" spans="19:21" ht="15" customHeight="1" x14ac:dyDescent="0.2">
      <c r="S4432" s="69">
        <f>_xlfn.XLOOKUP(Results!A4432,Geometry!$B$6:$B$10000,Geometry!$C$6:$C$10000)</f>
        <v>0</v>
      </c>
      <c r="T4432" s="69"/>
      <c r="U4432" s="69"/>
    </row>
    <row r="4433" spans="19:21" ht="15" customHeight="1" x14ac:dyDescent="0.2">
      <c r="S4433" s="69">
        <f>_xlfn.XLOOKUP(Results!A4433,Geometry!$B$6:$B$10000,Geometry!$C$6:$C$10000)</f>
        <v>0</v>
      </c>
      <c r="T4433" s="69"/>
      <c r="U4433" s="69"/>
    </row>
    <row r="4434" spans="19:21" ht="15" customHeight="1" x14ac:dyDescent="0.2">
      <c r="S4434" s="69">
        <f>_xlfn.XLOOKUP(Results!A4434,Geometry!$B$6:$B$10000,Geometry!$C$6:$C$10000)</f>
        <v>0</v>
      </c>
      <c r="T4434" s="69"/>
      <c r="U4434" s="69"/>
    </row>
    <row r="4435" spans="19:21" ht="15" customHeight="1" x14ac:dyDescent="0.2">
      <c r="S4435" s="69">
        <f>_xlfn.XLOOKUP(Results!A4435,Geometry!$B$6:$B$10000,Geometry!$C$6:$C$10000)</f>
        <v>0</v>
      </c>
      <c r="T4435" s="69"/>
      <c r="U4435" s="69"/>
    </row>
    <row r="4436" spans="19:21" ht="15" customHeight="1" x14ac:dyDescent="0.2">
      <c r="S4436" s="69">
        <f>_xlfn.XLOOKUP(Results!A4436,Geometry!$B$6:$B$10000,Geometry!$C$6:$C$10000)</f>
        <v>0</v>
      </c>
      <c r="T4436" s="69"/>
      <c r="U4436" s="69"/>
    </row>
    <row r="4437" spans="19:21" ht="15" customHeight="1" x14ac:dyDescent="0.2">
      <c r="S4437" s="69">
        <f>_xlfn.XLOOKUP(Results!A4437,Geometry!$B$6:$B$10000,Geometry!$C$6:$C$10000)</f>
        <v>0</v>
      </c>
      <c r="T4437" s="69"/>
      <c r="U4437" s="69"/>
    </row>
    <row r="4438" spans="19:21" ht="15" customHeight="1" x14ac:dyDescent="0.2">
      <c r="S4438" s="69">
        <f>_xlfn.XLOOKUP(Results!A4438,Geometry!$B$6:$B$10000,Geometry!$C$6:$C$10000)</f>
        <v>0</v>
      </c>
      <c r="T4438" s="69"/>
      <c r="U4438" s="69"/>
    </row>
    <row r="4439" spans="19:21" ht="15" customHeight="1" x14ac:dyDescent="0.2">
      <c r="S4439" s="69">
        <f>_xlfn.XLOOKUP(Results!A4439,Geometry!$B$6:$B$10000,Geometry!$C$6:$C$10000)</f>
        <v>0</v>
      </c>
      <c r="T4439" s="69"/>
      <c r="U4439" s="69"/>
    </row>
    <row r="4440" spans="19:21" ht="15" customHeight="1" x14ac:dyDescent="0.2">
      <c r="S4440" s="69">
        <f>_xlfn.XLOOKUP(Results!A4440,Geometry!$B$6:$B$10000,Geometry!$C$6:$C$10000)</f>
        <v>0</v>
      </c>
      <c r="T4440" s="69"/>
      <c r="U4440" s="69"/>
    </row>
    <row r="4441" spans="19:21" ht="15" customHeight="1" x14ac:dyDescent="0.2">
      <c r="S4441" s="69">
        <f>_xlfn.XLOOKUP(Results!A4441,Geometry!$B$6:$B$10000,Geometry!$C$6:$C$10000)</f>
        <v>0</v>
      </c>
      <c r="T4441" s="69"/>
      <c r="U4441" s="69"/>
    </row>
    <row r="4442" spans="19:21" ht="15" customHeight="1" x14ac:dyDescent="0.2">
      <c r="S4442" s="69">
        <f>_xlfn.XLOOKUP(Results!A4442,Geometry!$B$6:$B$10000,Geometry!$C$6:$C$10000)</f>
        <v>0</v>
      </c>
      <c r="T4442" s="69"/>
      <c r="U4442" s="69"/>
    </row>
    <row r="4443" spans="19:21" ht="15" customHeight="1" x14ac:dyDescent="0.2">
      <c r="S4443" s="69">
        <f>_xlfn.XLOOKUP(Results!A4443,Geometry!$B$6:$B$10000,Geometry!$C$6:$C$10000)</f>
        <v>0</v>
      </c>
      <c r="T4443" s="69"/>
      <c r="U4443" s="69"/>
    </row>
    <row r="4444" spans="19:21" ht="15" customHeight="1" x14ac:dyDescent="0.2">
      <c r="S4444" s="69">
        <f>_xlfn.XLOOKUP(Results!A4444,Geometry!$B$6:$B$10000,Geometry!$C$6:$C$10000)</f>
        <v>0</v>
      </c>
      <c r="T4444" s="69"/>
      <c r="U4444" s="69"/>
    </row>
    <row r="4445" spans="19:21" ht="15" customHeight="1" x14ac:dyDescent="0.2">
      <c r="S4445" s="69">
        <f>_xlfn.XLOOKUP(Results!A4445,Geometry!$B$6:$B$10000,Geometry!$C$6:$C$10000)</f>
        <v>0</v>
      </c>
      <c r="T4445" s="69"/>
      <c r="U4445" s="69"/>
    </row>
    <row r="4446" spans="19:21" ht="15" customHeight="1" x14ac:dyDescent="0.2">
      <c r="S4446" s="69">
        <f>_xlfn.XLOOKUP(Results!A4446,Geometry!$B$6:$B$10000,Geometry!$C$6:$C$10000)</f>
        <v>0</v>
      </c>
      <c r="T4446" s="69"/>
      <c r="U4446" s="69"/>
    </row>
    <row r="4447" spans="19:21" ht="15" customHeight="1" x14ac:dyDescent="0.2">
      <c r="S4447" s="69">
        <f>_xlfn.XLOOKUP(Results!A4447,Geometry!$B$6:$B$10000,Geometry!$C$6:$C$10000)</f>
        <v>0</v>
      </c>
      <c r="T4447" s="69"/>
      <c r="U4447" s="69"/>
    </row>
    <row r="4448" spans="19:21" ht="15" customHeight="1" x14ac:dyDescent="0.2">
      <c r="S4448" s="69">
        <f>_xlfn.XLOOKUP(Results!A4448,Geometry!$B$6:$B$10000,Geometry!$C$6:$C$10000)</f>
        <v>0</v>
      </c>
      <c r="T4448" s="69"/>
      <c r="U4448" s="69"/>
    </row>
    <row r="4449" spans="19:21" ht="15" customHeight="1" x14ac:dyDescent="0.2">
      <c r="S4449" s="69">
        <f>_xlfn.XLOOKUP(Results!A4449,Geometry!$B$6:$B$10000,Geometry!$C$6:$C$10000)</f>
        <v>0</v>
      </c>
      <c r="T4449" s="69"/>
      <c r="U4449" s="69"/>
    </row>
    <row r="4450" spans="19:21" ht="15" customHeight="1" x14ac:dyDescent="0.2">
      <c r="S4450" s="69">
        <f>_xlfn.XLOOKUP(Results!A4450,Geometry!$B$6:$B$10000,Geometry!$C$6:$C$10000)</f>
        <v>0</v>
      </c>
      <c r="T4450" s="69"/>
      <c r="U4450" s="69"/>
    </row>
    <row r="4451" spans="19:21" ht="15" customHeight="1" x14ac:dyDescent="0.2">
      <c r="S4451" s="69">
        <f>_xlfn.XLOOKUP(Results!A4451,Geometry!$B$6:$B$10000,Geometry!$C$6:$C$10000)</f>
        <v>0</v>
      </c>
      <c r="T4451" s="69"/>
      <c r="U4451" s="69"/>
    </row>
    <row r="4452" spans="19:21" ht="15" customHeight="1" x14ac:dyDescent="0.2">
      <c r="S4452" s="69">
        <f>_xlfn.XLOOKUP(Results!A4452,Geometry!$B$6:$B$10000,Geometry!$C$6:$C$10000)</f>
        <v>0</v>
      </c>
      <c r="T4452" s="69"/>
      <c r="U4452" s="69"/>
    </row>
    <row r="4453" spans="19:21" ht="15" customHeight="1" x14ac:dyDescent="0.2">
      <c r="S4453" s="69">
        <f>_xlfn.XLOOKUP(Results!A4453,Geometry!$B$6:$B$10000,Geometry!$C$6:$C$10000)</f>
        <v>0</v>
      </c>
      <c r="T4453" s="69"/>
      <c r="U4453" s="69"/>
    </row>
    <row r="4454" spans="19:21" ht="15" customHeight="1" x14ac:dyDescent="0.2">
      <c r="S4454" s="69">
        <f>_xlfn.XLOOKUP(Results!A4454,Geometry!$B$6:$B$10000,Geometry!$C$6:$C$10000)</f>
        <v>0</v>
      </c>
      <c r="T4454" s="69"/>
      <c r="U4454" s="69"/>
    </row>
    <row r="4455" spans="19:21" ht="15" customHeight="1" x14ac:dyDescent="0.2">
      <c r="S4455" s="69">
        <f>_xlfn.XLOOKUP(Results!A4455,Geometry!$B$6:$B$10000,Geometry!$C$6:$C$10000)</f>
        <v>0</v>
      </c>
      <c r="T4455" s="69"/>
      <c r="U4455" s="69"/>
    </row>
    <row r="4456" spans="19:21" ht="15" customHeight="1" x14ac:dyDescent="0.2">
      <c r="S4456" s="69">
        <f>_xlfn.XLOOKUP(Results!A4456,Geometry!$B$6:$B$10000,Geometry!$C$6:$C$10000)</f>
        <v>0</v>
      </c>
      <c r="T4456" s="69"/>
      <c r="U4456" s="69"/>
    </row>
    <row r="4457" spans="19:21" ht="15" customHeight="1" x14ac:dyDescent="0.2">
      <c r="S4457" s="69">
        <f>_xlfn.XLOOKUP(Results!A4457,Geometry!$B$6:$B$10000,Geometry!$C$6:$C$10000)</f>
        <v>0</v>
      </c>
      <c r="T4457" s="69"/>
      <c r="U4457" s="69"/>
    </row>
    <row r="4458" spans="19:21" ht="15" customHeight="1" x14ac:dyDescent="0.2">
      <c r="S4458" s="69">
        <f>_xlfn.XLOOKUP(Results!A4458,Geometry!$B$6:$B$10000,Geometry!$C$6:$C$10000)</f>
        <v>0</v>
      </c>
      <c r="T4458" s="69"/>
      <c r="U4458" s="69"/>
    </row>
    <row r="4459" spans="19:21" ht="15" customHeight="1" x14ac:dyDescent="0.2">
      <c r="S4459" s="69">
        <f>_xlfn.XLOOKUP(Results!A4459,Geometry!$B$6:$B$10000,Geometry!$C$6:$C$10000)</f>
        <v>0</v>
      </c>
      <c r="T4459" s="69"/>
      <c r="U4459" s="69"/>
    </row>
    <row r="4460" spans="19:21" ht="15" customHeight="1" x14ac:dyDescent="0.2">
      <c r="S4460" s="69">
        <f>_xlfn.XLOOKUP(Results!A4460,Geometry!$B$6:$B$10000,Geometry!$C$6:$C$10000)</f>
        <v>0</v>
      </c>
      <c r="T4460" s="69"/>
      <c r="U4460" s="69"/>
    </row>
    <row r="4461" spans="19:21" ht="15" customHeight="1" x14ac:dyDescent="0.2">
      <c r="S4461" s="69">
        <f>_xlfn.XLOOKUP(Results!A4461,Geometry!$B$6:$B$10000,Geometry!$C$6:$C$10000)</f>
        <v>0</v>
      </c>
      <c r="T4461" s="69"/>
      <c r="U4461" s="69"/>
    </row>
    <row r="4462" spans="19:21" ht="15" customHeight="1" x14ac:dyDescent="0.2">
      <c r="S4462" s="69">
        <f>_xlfn.XLOOKUP(Results!A4462,Geometry!$B$6:$B$10000,Geometry!$C$6:$C$10000)</f>
        <v>0</v>
      </c>
      <c r="T4462" s="69"/>
      <c r="U4462" s="69"/>
    </row>
    <row r="4463" spans="19:21" ht="15" customHeight="1" x14ac:dyDescent="0.2">
      <c r="S4463" s="69">
        <f>_xlfn.XLOOKUP(Results!A4463,Geometry!$B$6:$B$10000,Geometry!$C$6:$C$10000)</f>
        <v>0</v>
      </c>
      <c r="T4463" s="69"/>
      <c r="U4463" s="69"/>
    </row>
    <row r="4464" spans="19:21" ht="15" customHeight="1" x14ac:dyDescent="0.2">
      <c r="S4464" s="69">
        <f>_xlfn.XLOOKUP(Results!A4464,Geometry!$B$6:$B$10000,Geometry!$C$6:$C$10000)</f>
        <v>0</v>
      </c>
      <c r="T4464" s="69"/>
      <c r="U4464" s="69"/>
    </row>
    <row r="4465" spans="19:21" ht="15" customHeight="1" x14ac:dyDescent="0.2">
      <c r="S4465" s="69">
        <f>_xlfn.XLOOKUP(Results!A4465,Geometry!$B$6:$B$10000,Geometry!$C$6:$C$10000)</f>
        <v>0</v>
      </c>
      <c r="T4465" s="69"/>
      <c r="U4465" s="69"/>
    </row>
    <row r="4466" spans="19:21" ht="15" customHeight="1" x14ac:dyDescent="0.2">
      <c r="S4466" s="69">
        <f>_xlfn.XLOOKUP(Results!A4466,Geometry!$B$6:$B$10000,Geometry!$C$6:$C$10000)</f>
        <v>0</v>
      </c>
      <c r="T4466" s="69"/>
      <c r="U4466" s="69"/>
    </row>
    <row r="4467" spans="19:21" ht="15" customHeight="1" x14ac:dyDescent="0.2">
      <c r="S4467" s="69">
        <f>_xlfn.XLOOKUP(Results!A4467,Geometry!$B$6:$B$10000,Geometry!$C$6:$C$10000)</f>
        <v>0</v>
      </c>
      <c r="T4467" s="69"/>
      <c r="U4467" s="69"/>
    </row>
    <row r="4468" spans="19:21" ht="15" customHeight="1" x14ac:dyDescent="0.2">
      <c r="S4468" s="69">
        <f>_xlfn.XLOOKUP(Results!A4468,Geometry!$B$6:$B$10000,Geometry!$C$6:$C$10000)</f>
        <v>0</v>
      </c>
      <c r="T4468" s="69"/>
      <c r="U4468" s="69"/>
    </row>
    <row r="4469" spans="19:21" ht="15" customHeight="1" x14ac:dyDescent="0.2">
      <c r="S4469" s="69">
        <f>_xlfn.XLOOKUP(Results!A4469,Geometry!$B$6:$B$10000,Geometry!$C$6:$C$10000)</f>
        <v>0</v>
      </c>
      <c r="T4469" s="69"/>
      <c r="U4469" s="69"/>
    </row>
    <row r="4470" spans="19:21" ht="15" customHeight="1" x14ac:dyDescent="0.2">
      <c r="S4470" s="69">
        <f>_xlfn.XLOOKUP(Results!A4470,Geometry!$B$6:$B$10000,Geometry!$C$6:$C$10000)</f>
        <v>0</v>
      </c>
      <c r="T4470" s="69"/>
      <c r="U4470" s="69"/>
    </row>
    <row r="4471" spans="19:21" ht="15" customHeight="1" x14ac:dyDescent="0.2">
      <c r="S4471" s="69">
        <f>_xlfn.XLOOKUP(Results!A4471,Geometry!$B$6:$B$10000,Geometry!$C$6:$C$10000)</f>
        <v>0</v>
      </c>
      <c r="T4471" s="69"/>
      <c r="U4471" s="69"/>
    </row>
    <row r="4472" spans="19:21" ht="15" customHeight="1" x14ac:dyDescent="0.2">
      <c r="S4472" s="69">
        <f>_xlfn.XLOOKUP(Results!A4472,Geometry!$B$6:$B$10000,Geometry!$C$6:$C$10000)</f>
        <v>0</v>
      </c>
      <c r="T4472" s="69"/>
      <c r="U4472" s="69"/>
    </row>
    <row r="4473" spans="19:21" ht="15" customHeight="1" x14ac:dyDescent="0.2">
      <c r="S4473" s="69">
        <f>_xlfn.XLOOKUP(Results!A4473,Geometry!$B$6:$B$10000,Geometry!$C$6:$C$10000)</f>
        <v>0</v>
      </c>
      <c r="T4473" s="69"/>
      <c r="U4473" s="69"/>
    </row>
    <row r="4474" spans="19:21" ht="15" customHeight="1" x14ac:dyDescent="0.2">
      <c r="S4474" s="69">
        <f>_xlfn.XLOOKUP(Results!A4474,Geometry!$B$6:$B$10000,Geometry!$C$6:$C$10000)</f>
        <v>0</v>
      </c>
      <c r="T4474" s="69"/>
      <c r="U4474" s="69"/>
    </row>
    <row r="4475" spans="19:21" ht="15" customHeight="1" x14ac:dyDescent="0.2">
      <c r="S4475" s="69">
        <f>_xlfn.XLOOKUP(Results!A4475,Geometry!$B$6:$B$10000,Geometry!$C$6:$C$10000)</f>
        <v>0</v>
      </c>
      <c r="T4475" s="69"/>
      <c r="U4475" s="69"/>
    </row>
    <row r="4476" spans="19:21" ht="15" customHeight="1" x14ac:dyDescent="0.2">
      <c r="S4476" s="69">
        <f>_xlfn.XLOOKUP(Results!A4476,Geometry!$B$6:$B$10000,Geometry!$C$6:$C$10000)</f>
        <v>0</v>
      </c>
      <c r="T4476" s="69"/>
      <c r="U4476" s="69"/>
    </row>
    <row r="4477" spans="19:21" ht="15" customHeight="1" x14ac:dyDescent="0.2">
      <c r="S4477" s="69">
        <f>_xlfn.XLOOKUP(Results!A4477,Geometry!$B$6:$B$10000,Geometry!$C$6:$C$10000)</f>
        <v>0</v>
      </c>
      <c r="T4477" s="69"/>
      <c r="U4477" s="69"/>
    </row>
    <row r="4478" spans="19:21" ht="15" customHeight="1" x14ac:dyDescent="0.2">
      <c r="S4478" s="69">
        <f>_xlfn.XLOOKUP(Results!A4478,Geometry!$B$6:$B$10000,Geometry!$C$6:$C$10000)</f>
        <v>0</v>
      </c>
      <c r="T4478" s="69"/>
      <c r="U4478" s="69"/>
    </row>
    <row r="4479" spans="19:21" ht="15" customHeight="1" x14ac:dyDescent="0.2">
      <c r="S4479" s="69">
        <f>_xlfn.XLOOKUP(Results!A4479,Geometry!$B$6:$B$10000,Geometry!$C$6:$C$10000)</f>
        <v>0</v>
      </c>
      <c r="T4479" s="69"/>
      <c r="U4479" s="69"/>
    </row>
    <row r="4480" spans="19:21" ht="15" customHeight="1" x14ac:dyDescent="0.2">
      <c r="S4480" s="69">
        <f>_xlfn.XLOOKUP(Results!A4480,Geometry!$B$6:$B$10000,Geometry!$C$6:$C$10000)</f>
        <v>0</v>
      </c>
      <c r="T4480" s="69"/>
      <c r="U4480" s="69"/>
    </row>
    <row r="4481" spans="19:21" ht="15" customHeight="1" x14ac:dyDescent="0.2">
      <c r="S4481" s="69">
        <f>_xlfn.XLOOKUP(Results!A4481,Geometry!$B$6:$B$10000,Geometry!$C$6:$C$10000)</f>
        <v>0</v>
      </c>
      <c r="T4481" s="69"/>
      <c r="U4481" s="69"/>
    </row>
    <row r="4482" spans="19:21" ht="15" customHeight="1" x14ac:dyDescent="0.2">
      <c r="S4482" s="69">
        <f>_xlfn.XLOOKUP(Results!A4482,Geometry!$B$6:$B$10000,Geometry!$C$6:$C$10000)</f>
        <v>0</v>
      </c>
      <c r="T4482" s="69"/>
      <c r="U4482" s="69"/>
    </row>
    <row r="4483" spans="19:21" ht="15" customHeight="1" x14ac:dyDescent="0.2">
      <c r="S4483" s="69">
        <f>_xlfn.XLOOKUP(Results!A4483,Geometry!$B$6:$B$10000,Geometry!$C$6:$C$10000)</f>
        <v>0</v>
      </c>
      <c r="T4483" s="69"/>
      <c r="U4483" s="69"/>
    </row>
    <row r="4484" spans="19:21" ht="15" customHeight="1" x14ac:dyDescent="0.2">
      <c r="S4484" s="69">
        <f>_xlfn.XLOOKUP(Results!A4484,Geometry!$B$6:$B$10000,Geometry!$C$6:$C$10000)</f>
        <v>0</v>
      </c>
      <c r="T4484" s="69"/>
      <c r="U4484" s="69"/>
    </row>
    <row r="4485" spans="19:21" ht="15" customHeight="1" x14ac:dyDescent="0.2">
      <c r="S4485" s="69">
        <f>_xlfn.XLOOKUP(Results!A4485,Geometry!$B$6:$B$10000,Geometry!$C$6:$C$10000)</f>
        <v>0</v>
      </c>
      <c r="T4485" s="69"/>
      <c r="U4485" s="69"/>
    </row>
    <row r="4486" spans="19:21" ht="15" customHeight="1" x14ac:dyDescent="0.2">
      <c r="S4486" s="69">
        <f>_xlfn.XLOOKUP(Results!A4486,Geometry!$B$6:$B$10000,Geometry!$C$6:$C$10000)</f>
        <v>0</v>
      </c>
      <c r="T4486" s="69"/>
      <c r="U4486" s="69"/>
    </row>
    <row r="4487" spans="19:21" ht="15" customHeight="1" x14ac:dyDescent="0.2">
      <c r="S4487" s="69">
        <f>_xlfn.XLOOKUP(Results!A4487,Geometry!$B$6:$B$10000,Geometry!$C$6:$C$10000)</f>
        <v>0</v>
      </c>
      <c r="T4487" s="69"/>
      <c r="U4487" s="69"/>
    </row>
    <row r="4488" spans="19:21" ht="15" customHeight="1" x14ac:dyDescent="0.2">
      <c r="S4488" s="69">
        <f>_xlfn.XLOOKUP(Results!A4488,Geometry!$B$6:$B$10000,Geometry!$C$6:$C$10000)</f>
        <v>0</v>
      </c>
      <c r="T4488" s="69"/>
      <c r="U4488" s="69"/>
    </row>
    <row r="4489" spans="19:21" ht="15" customHeight="1" x14ac:dyDescent="0.2">
      <c r="S4489" s="69">
        <f>_xlfn.XLOOKUP(Results!A4489,Geometry!$B$6:$B$10000,Geometry!$C$6:$C$10000)</f>
        <v>0</v>
      </c>
      <c r="T4489" s="69"/>
      <c r="U4489" s="69"/>
    </row>
    <row r="4490" spans="19:21" ht="15" customHeight="1" x14ac:dyDescent="0.2">
      <c r="S4490" s="69">
        <f>_xlfn.XLOOKUP(Results!A4490,Geometry!$B$6:$B$10000,Geometry!$C$6:$C$10000)</f>
        <v>0</v>
      </c>
      <c r="T4490" s="69"/>
      <c r="U4490" s="69"/>
    </row>
    <row r="4491" spans="19:21" ht="15" customHeight="1" x14ac:dyDescent="0.2">
      <c r="S4491" s="69">
        <f>_xlfn.XLOOKUP(Results!A4491,Geometry!$B$6:$B$10000,Geometry!$C$6:$C$10000)</f>
        <v>0</v>
      </c>
      <c r="T4491" s="69"/>
      <c r="U4491" s="69"/>
    </row>
    <row r="4492" spans="19:21" ht="15" customHeight="1" x14ac:dyDescent="0.2">
      <c r="S4492" s="69">
        <f>_xlfn.XLOOKUP(Results!A4492,Geometry!$B$6:$B$10000,Geometry!$C$6:$C$10000)</f>
        <v>0</v>
      </c>
      <c r="T4492" s="69"/>
      <c r="U4492" s="69"/>
    </row>
    <row r="4493" spans="19:21" ht="15" customHeight="1" x14ac:dyDescent="0.2">
      <c r="S4493" s="69">
        <f>_xlfn.XLOOKUP(Results!A4493,Geometry!$B$6:$B$10000,Geometry!$C$6:$C$10000)</f>
        <v>0</v>
      </c>
      <c r="T4493" s="69"/>
      <c r="U4493" s="69"/>
    </row>
    <row r="4494" spans="19:21" ht="15" customHeight="1" x14ac:dyDescent="0.2">
      <c r="S4494" s="69">
        <f>_xlfn.XLOOKUP(Results!A4494,Geometry!$B$6:$B$10000,Geometry!$C$6:$C$10000)</f>
        <v>0</v>
      </c>
      <c r="T4494" s="69"/>
      <c r="U4494" s="69"/>
    </row>
    <row r="4495" spans="19:21" ht="15" customHeight="1" x14ac:dyDescent="0.2">
      <c r="S4495" s="69">
        <f>_xlfn.XLOOKUP(Results!A4495,Geometry!$B$6:$B$10000,Geometry!$C$6:$C$10000)</f>
        <v>0</v>
      </c>
      <c r="T4495" s="69"/>
      <c r="U4495" s="69"/>
    </row>
    <row r="4496" spans="19:21" ht="15" customHeight="1" x14ac:dyDescent="0.2">
      <c r="S4496" s="69">
        <f>_xlfn.XLOOKUP(Results!A4496,Geometry!$B$6:$B$10000,Geometry!$C$6:$C$10000)</f>
        <v>0</v>
      </c>
      <c r="T4496" s="69"/>
      <c r="U4496" s="69"/>
    </row>
    <row r="4497" spans="19:21" ht="15" customHeight="1" x14ac:dyDescent="0.2">
      <c r="S4497" s="69">
        <f>_xlfn.XLOOKUP(Results!A4497,Geometry!$B$6:$B$10000,Geometry!$C$6:$C$10000)</f>
        <v>0</v>
      </c>
      <c r="T4497" s="69"/>
      <c r="U4497" s="69"/>
    </row>
    <row r="4498" spans="19:21" ht="15" customHeight="1" x14ac:dyDescent="0.2">
      <c r="S4498" s="69">
        <f>_xlfn.XLOOKUP(Results!A4498,Geometry!$B$6:$B$10000,Geometry!$C$6:$C$10000)</f>
        <v>0</v>
      </c>
      <c r="T4498" s="69"/>
      <c r="U4498" s="69"/>
    </row>
    <row r="4499" spans="19:21" ht="15" customHeight="1" x14ac:dyDescent="0.2">
      <c r="S4499" s="69">
        <f>_xlfn.XLOOKUP(Results!A4499,Geometry!$B$6:$B$10000,Geometry!$C$6:$C$10000)</f>
        <v>0</v>
      </c>
      <c r="T4499" s="69"/>
      <c r="U4499" s="69"/>
    </row>
    <row r="4500" spans="19:21" ht="15" customHeight="1" x14ac:dyDescent="0.2">
      <c r="S4500" s="69">
        <f>_xlfn.XLOOKUP(Results!A4500,Geometry!$B$6:$B$10000,Geometry!$C$6:$C$10000)</f>
        <v>0</v>
      </c>
      <c r="T4500" s="69"/>
      <c r="U4500" s="69"/>
    </row>
    <row r="4501" spans="19:21" ht="15" customHeight="1" x14ac:dyDescent="0.2">
      <c r="S4501" s="69">
        <f>_xlfn.XLOOKUP(Results!A4501,Geometry!$B$6:$B$10000,Geometry!$C$6:$C$10000)</f>
        <v>0</v>
      </c>
      <c r="T4501" s="69"/>
      <c r="U4501" s="69"/>
    </row>
    <row r="4502" spans="19:21" ht="15" customHeight="1" x14ac:dyDescent="0.2">
      <c r="S4502" s="69">
        <f>_xlfn.XLOOKUP(Results!A4502,Geometry!$B$6:$B$10000,Geometry!$C$6:$C$10000)</f>
        <v>0</v>
      </c>
      <c r="T4502" s="69"/>
      <c r="U4502" s="69"/>
    </row>
    <row r="4503" spans="19:21" ht="15" customHeight="1" x14ac:dyDescent="0.2">
      <c r="S4503" s="69">
        <f>_xlfn.XLOOKUP(Results!A4503,Geometry!$B$6:$B$10000,Geometry!$C$6:$C$10000)</f>
        <v>0</v>
      </c>
      <c r="T4503" s="69"/>
      <c r="U4503" s="69"/>
    </row>
    <row r="4504" spans="19:21" ht="15" customHeight="1" x14ac:dyDescent="0.2">
      <c r="S4504" s="69">
        <f>_xlfn.XLOOKUP(Results!A4504,Geometry!$B$6:$B$10000,Geometry!$C$6:$C$10000)</f>
        <v>0</v>
      </c>
      <c r="T4504" s="69"/>
      <c r="U4504" s="69"/>
    </row>
    <row r="4505" spans="19:21" ht="15" customHeight="1" x14ac:dyDescent="0.2">
      <c r="S4505" s="69">
        <f>_xlfn.XLOOKUP(Results!A4505,Geometry!$B$6:$B$10000,Geometry!$C$6:$C$10000)</f>
        <v>0</v>
      </c>
      <c r="T4505" s="69"/>
      <c r="U4505" s="69"/>
    </row>
    <row r="4506" spans="19:21" ht="15" customHeight="1" x14ac:dyDescent="0.2">
      <c r="S4506" s="69">
        <f>_xlfn.XLOOKUP(Results!A4506,Geometry!$B$6:$B$10000,Geometry!$C$6:$C$10000)</f>
        <v>0</v>
      </c>
      <c r="T4506" s="69"/>
      <c r="U4506" s="69"/>
    </row>
    <row r="4507" spans="19:21" ht="15" customHeight="1" x14ac:dyDescent="0.2">
      <c r="S4507" s="69">
        <f>_xlfn.XLOOKUP(Results!A4507,Geometry!$B$6:$B$10000,Geometry!$C$6:$C$10000)</f>
        <v>0</v>
      </c>
      <c r="T4507" s="69"/>
      <c r="U4507" s="69"/>
    </row>
    <row r="4508" spans="19:21" ht="15" customHeight="1" x14ac:dyDescent="0.2">
      <c r="S4508" s="69">
        <f>_xlfn.XLOOKUP(Results!A4508,Geometry!$B$6:$B$10000,Geometry!$C$6:$C$10000)</f>
        <v>0</v>
      </c>
      <c r="T4508" s="69"/>
      <c r="U4508" s="69"/>
    </row>
    <row r="4509" spans="19:21" ht="15" customHeight="1" x14ac:dyDescent="0.2">
      <c r="S4509" s="69">
        <f>_xlfn.XLOOKUP(Results!A4509,Geometry!$B$6:$B$10000,Geometry!$C$6:$C$10000)</f>
        <v>0</v>
      </c>
      <c r="T4509" s="69"/>
      <c r="U4509" s="69"/>
    </row>
    <row r="4510" spans="19:21" ht="15" customHeight="1" x14ac:dyDescent="0.2">
      <c r="S4510" s="69">
        <f>_xlfn.XLOOKUP(Results!A4510,Geometry!$B$6:$B$10000,Geometry!$C$6:$C$10000)</f>
        <v>0</v>
      </c>
      <c r="T4510" s="69"/>
      <c r="U4510" s="69"/>
    </row>
    <row r="4511" spans="19:21" ht="15" customHeight="1" x14ac:dyDescent="0.2">
      <c r="S4511" s="69">
        <f>_xlfn.XLOOKUP(Results!A4511,Geometry!$B$6:$B$10000,Geometry!$C$6:$C$10000)</f>
        <v>0</v>
      </c>
      <c r="T4511" s="69"/>
      <c r="U4511" s="69"/>
    </row>
    <row r="4512" spans="19:21" ht="15" customHeight="1" x14ac:dyDescent="0.2">
      <c r="S4512" s="69">
        <f>_xlfn.XLOOKUP(Results!A4512,Geometry!$B$6:$B$10000,Geometry!$C$6:$C$10000)</f>
        <v>0</v>
      </c>
      <c r="T4512" s="69"/>
      <c r="U4512" s="69"/>
    </row>
    <row r="4513" spans="19:21" ht="15" customHeight="1" x14ac:dyDescent="0.2">
      <c r="S4513" s="69">
        <f>_xlfn.XLOOKUP(Results!A4513,Geometry!$B$6:$B$10000,Geometry!$C$6:$C$10000)</f>
        <v>0</v>
      </c>
      <c r="T4513" s="69"/>
      <c r="U4513" s="69"/>
    </row>
    <row r="4514" spans="19:21" ht="15" customHeight="1" x14ac:dyDescent="0.2">
      <c r="S4514" s="69">
        <f>_xlfn.XLOOKUP(Results!A4514,Geometry!$B$6:$B$10000,Geometry!$C$6:$C$10000)</f>
        <v>0</v>
      </c>
      <c r="T4514" s="69"/>
      <c r="U4514" s="69"/>
    </row>
    <row r="4515" spans="19:21" ht="15" customHeight="1" x14ac:dyDescent="0.2">
      <c r="S4515" s="69">
        <f>_xlfn.XLOOKUP(Results!A4515,Geometry!$B$6:$B$10000,Geometry!$C$6:$C$10000)</f>
        <v>0</v>
      </c>
      <c r="T4515" s="69"/>
      <c r="U4515" s="69"/>
    </row>
    <row r="4516" spans="19:21" ht="15" customHeight="1" x14ac:dyDescent="0.2">
      <c r="S4516" s="69">
        <f>_xlfn.XLOOKUP(Results!A4516,Geometry!$B$6:$B$10000,Geometry!$C$6:$C$10000)</f>
        <v>0</v>
      </c>
      <c r="T4516" s="69"/>
      <c r="U4516" s="69"/>
    </row>
    <row r="4517" spans="19:21" ht="15" customHeight="1" x14ac:dyDescent="0.2">
      <c r="S4517" s="69">
        <f>_xlfn.XLOOKUP(Results!A4517,Geometry!$B$6:$B$10000,Geometry!$C$6:$C$10000)</f>
        <v>0</v>
      </c>
      <c r="T4517" s="69"/>
      <c r="U4517" s="69"/>
    </row>
    <row r="4518" spans="19:21" ht="15" customHeight="1" x14ac:dyDescent="0.2">
      <c r="S4518" s="69">
        <f>_xlfn.XLOOKUP(Results!A4518,Geometry!$B$6:$B$10000,Geometry!$C$6:$C$10000)</f>
        <v>0</v>
      </c>
      <c r="T4518" s="69"/>
      <c r="U4518" s="69"/>
    </row>
    <row r="4519" spans="19:21" ht="15" customHeight="1" x14ac:dyDescent="0.2">
      <c r="S4519" s="69">
        <f>_xlfn.XLOOKUP(Results!A4519,Geometry!$B$6:$B$10000,Geometry!$C$6:$C$10000)</f>
        <v>0</v>
      </c>
      <c r="T4519" s="69"/>
      <c r="U4519" s="69"/>
    </row>
    <row r="4520" spans="19:21" ht="15" customHeight="1" x14ac:dyDescent="0.2">
      <c r="S4520" s="69">
        <f>_xlfn.XLOOKUP(Results!A4520,Geometry!$B$6:$B$10000,Geometry!$C$6:$C$10000)</f>
        <v>0</v>
      </c>
      <c r="T4520" s="69"/>
      <c r="U4520" s="69"/>
    </row>
    <row r="4521" spans="19:21" ht="15" customHeight="1" x14ac:dyDescent="0.2">
      <c r="S4521" s="69">
        <f>_xlfn.XLOOKUP(Results!A4521,Geometry!$B$6:$B$10000,Geometry!$C$6:$C$10000)</f>
        <v>0</v>
      </c>
      <c r="T4521" s="69"/>
      <c r="U4521" s="69"/>
    </row>
    <row r="4522" spans="19:21" ht="15" customHeight="1" x14ac:dyDescent="0.2">
      <c r="S4522" s="69">
        <f>_xlfn.XLOOKUP(Results!A4522,Geometry!$B$6:$B$10000,Geometry!$C$6:$C$10000)</f>
        <v>0</v>
      </c>
      <c r="T4522" s="69"/>
      <c r="U4522" s="69"/>
    </row>
    <row r="4523" spans="19:21" ht="15" customHeight="1" x14ac:dyDescent="0.2">
      <c r="S4523" s="69">
        <f>_xlfn.XLOOKUP(Results!A4523,Geometry!$B$6:$B$10000,Geometry!$C$6:$C$10000)</f>
        <v>0</v>
      </c>
      <c r="T4523" s="69"/>
      <c r="U4523" s="69"/>
    </row>
    <row r="4524" spans="19:21" ht="15" customHeight="1" x14ac:dyDescent="0.2">
      <c r="S4524" s="69">
        <f>_xlfn.XLOOKUP(Results!A4524,Geometry!$B$6:$B$10000,Geometry!$C$6:$C$10000)</f>
        <v>0</v>
      </c>
      <c r="T4524" s="69"/>
      <c r="U4524" s="69"/>
    </row>
    <row r="4525" spans="19:21" ht="15" customHeight="1" x14ac:dyDescent="0.2">
      <c r="S4525" s="69">
        <f>_xlfn.XLOOKUP(Results!A4525,Geometry!$B$6:$B$10000,Geometry!$C$6:$C$10000)</f>
        <v>0</v>
      </c>
      <c r="T4525" s="69"/>
      <c r="U4525" s="69"/>
    </row>
    <row r="4526" spans="19:21" ht="15" customHeight="1" x14ac:dyDescent="0.2">
      <c r="S4526" s="69">
        <f>_xlfn.XLOOKUP(Results!A4526,Geometry!$B$6:$B$10000,Geometry!$C$6:$C$10000)</f>
        <v>0</v>
      </c>
      <c r="T4526" s="69"/>
      <c r="U4526" s="69"/>
    </row>
    <row r="4527" spans="19:21" ht="15" customHeight="1" x14ac:dyDescent="0.2">
      <c r="S4527" s="69">
        <f>_xlfn.XLOOKUP(Results!A4527,Geometry!$B$6:$B$10000,Geometry!$C$6:$C$10000)</f>
        <v>0</v>
      </c>
      <c r="T4527" s="69"/>
      <c r="U4527" s="69"/>
    </row>
    <row r="4528" spans="19:21" ht="15" customHeight="1" x14ac:dyDescent="0.2">
      <c r="S4528" s="69">
        <f>_xlfn.XLOOKUP(Results!A4528,Geometry!$B$6:$B$10000,Geometry!$C$6:$C$10000)</f>
        <v>0</v>
      </c>
      <c r="T4528" s="69"/>
      <c r="U4528" s="69"/>
    </row>
    <row r="4529" spans="19:21" ht="15" customHeight="1" x14ac:dyDescent="0.2">
      <c r="S4529" s="69">
        <f>_xlfn.XLOOKUP(Results!A4529,Geometry!$B$6:$B$10000,Geometry!$C$6:$C$10000)</f>
        <v>0</v>
      </c>
      <c r="T4529" s="69"/>
      <c r="U4529" s="69"/>
    </row>
    <row r="4530" spans="19:21" ht="15" customHeight="1" x14ac:dyDescent="0.2">
      <c r="S4530" s="69">
        <f>_xlfn.XLOOKUP(Results!A4530,Geometry!$B$6:$B$10000,Geometry!$C$6:$C$10000)</f>
        <v>0</v>
      </c>
      <c r="T4530" s="69"/>
      <c r="U4530" s="69"/>
    </row>
    <row r="4531" spans="19:21" ht="15" customHeight="1" x14ac:dyDescent="0.2">
      <c r="S4531" s="69">
        <f>_xlfn.XLOOKUP(Results!A4531,Geometry!$B$6:$B$10000,Geometry!$C$6:$C$10000)</f>
        <v>0</v>
      </c>
      <c r="T4531" s="69"/>
      <c r="U4531" s="69"/>
    </row>
    <row r="4532" spans="19:21" ht="15" customHeight="1" x14ac:dyDescent="0.2">
      <c r="S4532" s="69">
        <f>_xlfn.XLOOKUP(Results!A4532,Geometry!$B$6:$B$10000,Geometry!$C$6:$C$10000)</f>
        <v>0</v>
      </c>
      <c r="T4532" s="69"/>
      <c r="U4532" s="69"/>
    </row>
    <row r="4533" spans="19:21" ht="15" customHeight="1" x14ac:dyDescent="0.2">
      <c r="S4533" s="69">
        <f>_xlfn.XLOOKUP(Results!A4533,Geometry!$B$6:$B$10000,Geometry!$C$6:$C$10000)</f>
        <v>0</v>
      </c>
      <c r="T4533" s="69"/>
      <c r="U4533" s="69"/>
    </row>
    <row r="4534" spans="19:21" ht="15" customHeight="1" x14ac:dyDescent="0.2">
      <c r="S4534" s="69">
        <f>_xlfn.XLOOKUP(Results!A4534,Geometry!$B$6:$B$10000,Geometry!$C$6:$C$10000)</f>
        <v>0</v>
      </c>
      <c r="T4534" s="69"/>
      <c r="U4534" s="69"/>
    </row>
    <row r="4535" spans="19:21" ht="15" customHeight="1" x14ac:dyDescent="0.2">
      <c r="S4535" s="69">
        <f>_xlfn.XLOOKUP(Results!A4535,Geometry!$B$6:$B$10000,Geometry!$C$6:$C$10000)</f>
        <v>0</v>
      </c>
      <c r="T4535" s="69"/>
      <c r="U4535" s="69"/>
    </row>
    <row r="4536" spans="19:21" ht="15" customHeight="1" x14ac:dyDescent="0.2">
      <c r="S4536" s="69">
        <f>_xlfn.XLOOKUP(Results!A4536,Geometry!$B$6:$B$10000,Geometry!$C$6:$C$10000)</f>
        <v>0</v>
      </c>
      <c r="T4536" s="69"/>
      <c r="U4536" s="69"/>
    </row>
    <row r="4537" spans="19:21" ht="15" customHeight="1" x14ac:dyDescent="0.2">
      <c r="S4537" s="69">
        <f>_xlfn.XLOOKUP(Results!A4537,Geometry!$B$6:$B$10000,Geometry!$C$6:$C$10000)</f>
        <v>0</v>
      </c>
      <c r="T4537" s="69"/>
      <c r="U4537" s="69"/>
    </row>
    <row r="4538" spans="19:21" ht="15" customHeight="1" x14ac:dyDescent="0.2">
      <c r="S4538" s="69">
        <f>_xlfn.XLOOKUP(Results!A4538,Geometry!$B$6:$B$10000,Geometry!$C$6:$C$10000)</f>
        <v>0</v>
      </c>
      <c r="T4538" s="69"/>
      <c r="U4538" s="69"/>
    </row>
    <row r="4539" spans="19:21" ht="15" customHeight="1" x14ac:dyDescent="0.2">
      <c r="S4539" s="69">
        <f>_xlfn.XLOOKUP(Results!A4539,Geometry!$B$6:$B$10000,Geometry!$C$6:$C$10000)</f>
        <v>0</v>
      </c>
      <c r="T4539" s="69"/>
      <c r="U4539" s="69"/>
    </row>
    <row r="4540" spans="19:21" ht="15" customHeight="1" x14ac:dyDescent="0.2">
      <c r="S4540" s="69">
        <f>_xlfn.XLOOKUP(Results!A4540,Geometry!$B$6:$B$10000,Geometry!$C$6:$C$10000)</f>
        <v>0</v>
      </c>
      <c r="T4540" s="69"/>
      <c r="U4540" s="69"/>
    </row>
    <row r="4541" spans="19:21" ht="15" customHeight="1" x14ac:dyDescent="0.2">
      <c r="S4541" s="69">
        <f>_xlfn.XLOOKUP(Results!A4541,Geometry!$B$6:$B$10000,Geometry!$C$6:$C$10000)</f>
        <v>0</v>
      </c>
      <c r="T4541" s="69"/>
      <c r="U4541" s="69"/>
    </row>
    <row r="4542" spans="19:21" ht="15" customHeight="1" x14ac:dyDescent="0.2">
      <c r="S4542" s="69">
        <f>_xlfn.XLOOKUP(Results!A4542,Geometry!$B$6:$B$10000,Geometry!$C$6:$C$10000)</f>
        <v>0</v>
      </c>
      <c r="T4542" s="69"/>
      <c r="U4542" s="69"/>
    </row>
    <row r="4543" spans="19:21" ht="15" customHeight="1" x14ac:dyDescent="0.2">
      <c r="S4543" s="69">
        <f>_xlfn.XLOOKUP(Results!A4543,Geometry!$B$6:$B$10000,Geometry!$C$6:$C$10000)</f>
        <v>0</v>
      </c>
      <c r="T4543" s="69"/>
      <c r="U4543" s="69"/>
    </row>
    <row r="4544" spans="19:21" ht="15" customHeight="1" x14ac:dyDescent="0.2">
      <c r="S4544" s="69">
        <f>_xlfn.XLOOKUP(Results!A4544,Geometry!$B$6:$B$10000,Geometry!$C$6:$C$10000)</f>
        <v>0</v>
      </c>
      <c r="T4544" s="69"/>
      <c r="U4544" s="69"/>
    </row>
    <row r="4545" spans="19:21" ht="15" customHeight="1" x14ac:dyDescent="0.2">
      <c r="S4545" s="69">
        <f>_xlfn.XLOOKUP(Results!A4545,Geometry!$B$6:$B$10000,Geometry!$C$6:$C$10000)</f>
        <v>0</v>
      </c>
      <c r="T4545" s="69"/>
      <c r="U4545" s="69"/>
    </row>
    <row r="4546" spans="19:21" ht="15" customHeight="1" x14ac:dyDescent="0.2">
      <c r="S4546" s="69">
        <f>_xlfn.XLOOKUP(Results!A4546,Geometry!$B$6:$B$10000,Geometry!$C$6:$C$10000)</f>
        <v>0</v>
      </c>
      <c r="T4546" s="69"/>
      <c r="U4546" s="69"/>
    </row>
    <row r="4547" spans="19:21" ht="15" customHeight="1" x14ac:dyDescent="0.2">
      <c r="S4547" s="69">
        <f>_xlfn.XLOOKUP(Results!A4547,Geometry!$B$6:$B$10000,Geometry!$C$6:$C$10000)</f>
        <v>0</v>
      </c>
      <c r="T4547" s="69"/>
      <c r="U4547" s="69"/>
    </row>
    <row r="4548" spans="19:21" ht="15" customHeight="1" x14ac:dyDescent="0.2">
      <c r="S4548" s="69">
        <f>_xlfn.XLOOKUP(Results!A4548,Geometry!$B$6:$B$10000,Geometry!$C$6:$C$10000)</f>
        <v>0</v>
      </c>
      <c r="T4548" s="69"/>
      <c r="U4548" s="69"/>
    </row>
    <row r="4549" spans="19:21" ht="15" customHeight="1" x14ac:dyDescent="0.2">
      <c r="S4549" s="69">
        <f>_xlfn.XLOOKUP(Results!A4549,Geometry!$B$6:$B$10000,Geometry!$C$6:$C$10000)</f>
        <v>0</v>
      </c>
      <c r="T4549" s="69"/>
      <c r="U4549" s="69"/>
    </row>
    <row r="4550" spans="19:21" ht="15" customHeight="1" x14ac:dyDescent="0.2">
      <c r="S4550" s="69">
        <f>_xlfn.XLOOKUP(Results!A4550,Geometry!$B$6:$B$10000,Geometry!$C$6:$C$10000)</f>
        <v>0</v>
      </c>
      <c r="T4550" s="69"/>
      <c r="U4550" s="69"/>
    </row>
    <row r="4551" spans="19:21" ht="15" customHeight="1" x14ac:dyDescent="0.2">
      <c r="S4551" s="69">
        <f>_xlfn.XLOOKUP(Results!A4551,Geometry!$B$6:$B$10000,Geometry!$C$6:$C$10000)</f>
        <v>0</v>
      </c>
      <c r="T4551" s="69"/>
      <c r="U4551" s="69"/>
    </row>
    <row r="4552" spans="19:21" ht="15" customHeight="1" x14ac:dyDescent="0.2">
      <c r="S4552" s="69">
        <f>_xlfn.XLOOKUP(Results!A4552,Geometry!$B$6:$B$10000,Geometry!$C$6:$C$10000)</f>
        <v>0</v>
      </c>
      <c r="T4552" s="69"/>
      <c r="U4552" s="69"/>
    </row>
    <row r="4553" spans="19:21" ht="15" customHeight="1" x14ac:dyDescent="0.2">
      <c r="S4553" s="69">
        <f>_xlfn.XLOOKUP(Results!A4553,Geometry!$B$6:$B$10000,Geometry!$C$6:$C$10000)</f>
        <v>0</v>
      </c>
      <c r="T4553" s="69"/>
      <c r="U4553" s="69"/>
    </row>
    <row r="4554" spans="19:21" ht="15" customHeight="1" x14ac:dyDescent="0.2">
      <c r="S4554" s="69">
        <f>_xlfn.XLOOKUP(Results!A4554,Geometry!$B$6:$B$10000,Geometry!$C$6:$C$10000)</f>
        <v>0</v>
      </c>
      <c r="T4554" s="69"/>
      <c r="U4554" s="69"/>
    </row>
    <row r="4555" spans="19:21" ht="15" customHeight="1" x14ac:dyDescent="0.2">
      <c r="S4555" s="69">
        <f>_xlfn.XLOOKUP(Results!A4555,Geometry!$B$6:$B$10000,Geometry!$C$6:$C$10000)</f>
        <v>0</v>
      </c>
      <c r="T4555" s="69"/>
      <c r="U4555" s="69"/>
    </row>
    <row r="4556" spans="19:21" ht="15" customHeight="1" x14ac:dyDescent="0.2">
      <c r="S4556" s="69">
        <f>_xlfn.XLOOKUP(Results!A4556,Geometry!$B$6:$B$10000,Geometry!$C$6:$C$10000)</f>
        <v>0</v>
      </c>
      <c r="T4556" s="69"/>
      <c r="U4556" s="69"/>
    </row>
    <row r="4557" spans="19:21" ht="15" customHeight="1" x14ac:dyDescent="0.2">
      <c r="S4557" s="69">
        <f>_xlfn.XLOOKUP(Results!A4557,Geometry!$B$6:$B$10000,Geometry!$C$6:$C$10000)</f>
        <v>0</v>
      </c>
      <c r="T4557" s="69"/>
      <c r="U4557" s="69"/>
    </row>
    <row r="4558" spans="19:21" ht="15" customHeight="1" x14ac:dyDescent="0.2">
      <c r="S4558" s="69">
        <f>_xlfn.XLOOKUP(Results!A4558,Geometry!$B$6:$B$10000,Geometry!$C$6:$C$10000)</f>
        <v>0</v>
      </c>
      <c r="T4558" s="69"/>
      <c r="U4558" s="69"/>
    </row>
    <row r="4559" spans="19:21" ht="15" customHeight="1" x14ac:dyDescent="0.2">
      <c r="S4559" s="69">
        <f>_xlfn.XLOOKUP(Results!A4559,Geometry!$B$6:$B$10000,Geometry!$C$6:$C$10000)</f>
        <v>0</v>
      </c>
      <c r="T4559" s="69"/>
      <c r="U4559" s="69"/>
    </row>
    <row r="4560" spans="19:21" ht="15" customHeight="1" x14ac:dyDescent="0.2">
      <c r="S4560" s="69">
        <f>_xlfn.XLOOKUP(Results!A4560,Geometry!$B$6:$B$10000,Geometry!$C$6:$C$10000)</f>
        <v>0</v>
      </c>
      <c r="T4560" s="69"/>
      <c r="U4560" s="69"/>
    </row>
    <row r="4561" spans="19:21" ht="15" customHeight="1" x14ac:dyDescent="0.2">
      <c r="S4561" s="69">
        <f>_xlfn.XLOOKUP(Results!A4561,Geometry!$B$6:$B$10000,Geometry!$C$6:$C$10000)</f>
        <v>0</v>
      </c>
      <c r="T4561" s="69"/>
      <c r="U4561" s="69"/>
    </row>
    <row r="4562" spans="19:21" ht="15" customHeight="1" x14ac:dyDescent="0.2">
      <c r="S4562" s="69">
        <f>_xlfn.XLOOKUP(Results!A4562,Geometry!$B$6:$B$10000,Geometry!$C$6:$C$10000)</f>
        <v>0</v>
      </c>
      <c r="T4562" s="69"/>
      <c r="U4562" s="69"/>
    </row>
    <row r="4563" spans="19:21" ht="15" customHeight="1" x14ac:dyDescent="0.2">
      <c r="S4563" s="69">
        <f>_xlfn.XLOOKUP(Results!A4563,Geometry!$B$6:$B$10000,Geometry!$C$6:$C$10000)</f>
        <v>0</v>
      </c>
      <c r="T4563" s="69"/>
      <c r="U4563" s="69"/>
    </row>
    <row r="4564" spans="19:21" ht="15" customHeight="1" x14ac:dyDescent="0.2">
      <c r="S4564" s="69">
        <f>_xlfn.XLOOKUP(Results!A4564,Geometry!$B$6:$B$10000,Geometry!$C$6:$C$10000)</f>
        <v>0</v>
      </c>
      <c r="T4564" s="69"/>
      <c r="U4564" s="69"/>
    </row>
    <row r="4565" spans="19:21" ht="15" customHeight="1" x14ac:dyDescent="0.2">
      <c r="S4565" s="69">
        <f>_xlfn.XLOOKUP(Results!A4565,Geometry!$B$6:$B$10000,Geometry!$C$6:$C$10000)</f>
        <v>0</v>
      </c>
      <c r="T4565" s="69"/>
      <c r="U4565" s="69"/>
    </row>
    <row r="4566" spans="19:21" ht="15" customHeight="1" x14ac:dyDescent="0.2">
      <c r="S4566" s="69">
        <f>_xlfn.XLOOKUP(Results!A4566,Geometry!$B$6:$B$10000,Geometry!$C$6:$C$10000)</f>
        <v>0</v>
      </c>
      <c r="T4566" s="69"/>
      <c r="U4566" s="69"/>
    </row>
    <row r="4567" spans="19:21" ht="15" customHeight="1" x14ac:dyDescent="0.2">
      <c r="S4567" s="69">
        <f>_xlfn.XLOOKUP(Results!A4567,Geometry!$B$6:$B$10000,Geometry!$C$6:$C$10000)</f>
        <v>0</v>
      </c>
      <c r="T4567" s="69"/>
      <c r="U4567" s="69"/>
    </row>
    <row r="4568" spans="19:21" ht="15" customHeight="1" x14ac:dyDescent="0.2">
      <c r="S4568" s="69">
        <f>_xlfn.XLOOKUP(Results!A4568,Geometry!$B$6:$B$10000,Geometry!$C$6:$C$10000)</f>
        <v>0</v>
      </c>
      <c r="T4568" s="69"/>
      <c r="U4568" s="69"/>
    </row>
    <row r="4569" spans="19:21" ht="15" customHeight="1" x14ac:dyDescent="0.2">
      <c r="S4569" s="69">
        <f>_xlfn.XLOOKUP(Results!A4569,Geometry!$B$6:$B$10000,Geometry!$C$6:$C$10000)</f>
        <v>0</v>
      </c>
      <c r="T4569" s="69"/>
      <c r="U4569" s="69"/>
    </row>
    <row r="4570" spans="19:21" ht="15" customHeight="1" x14ac:dyDescent="0.2">
      <c r="S4570" s="69">
        <f>_xlfn.XLOOKUP(Results!A4570,Geometry!$B$6:$B$10000,Geometry!$C$6:$C$10000)</f>
        <v>0</v>
      </c>
      <c r="T4570" s="69"/>
      <c r="U4570" s="69"/>
    </row>
    <row r="4571" spans="19:21" ht="15" customHeight="1" x14ac:dyDescent="0.2">
      <c r="S4571" s="69">
        <f>_xlfn.XLOOKUP(Results!A4571,Geometry!$B$6:$B$10000,Geometry!$C$6:$C$10000)</f>
        <v>0</v>
      </c>
      <c r="T4571" s="69"/>
      <c r="U4571" s="69"/>
    </row>
    <row r="4572" spans="19:21" ht="15" customHeight="1" x14ac:dyDescent="0.2">
      <c r="S4572" s="69">
        <f>_xlfn.XLOOKUP(Results!A4572,Geometry!$B$6:$B$10000,Geometry!$C$6:$C$10000)</f>
        <v>0</v>
      </c>
      <c r="T4572" s="69"/>
      <c r="U4572" s="69"/>
    </row>
    <row r="4573" spans="19:21" ht="15" customHeight="1" x14ac:dyDescent="0.2">
      <c r="S4573" s="69">
        <f>_xlfn.XLOOKUP(Results!A4573,Geometry!$B$6:$B$10000,Geometry!$C$6:$C$10000)</f>
        <v>0</v>
      </c>
      <c r="T4573" s="69"/>
      <c r="U4573" s="69"/>
    </row>
    <row r="4574" spans="19:21" ht="15" customHeight="1" x14ac:dyDescent="0.2">
      <c r="S4574" s="69">
        <f>_xlfn.XLOOKUP(Results!A4574,Geometry!$B$6:$B$10000,Geometry!$C$6:$C$10000)</f>
        <v>0</v>
      </c>
      <c r="T4574" s="69"/>
      <c r="U4574" s="69"/>
    </row>
    <row r="4575" spans="19:21" ht="15" customHeight="1" x14ac:dyDescent="0.2">
      <c r="S4575" s="69">
        <f>_xlfn.XLOOKUP(Results!A4575,Geometry!$B$6:$B$10000,Geometry!$C$6:$C$10000)</f>
        <v>0</v>
      </c>
      <c r="T4575" s="69"/>
      <c r="U4575" s="69"/>
    </row>
    <row r="4576" spans="19:21" ht="15" customHeight="1" x14ac:dyDescent="0.2">
      <c r="S4576" s="69">
        <f>_xlfn.XLOOKUP(Results!A4576,Geometry!$B$6:$B$10000,Geometry!$C$6:$C$10000)</f>
        <v>0</v>
      </c>
      <c r="T4576" s="69"/>
      <c r="U4576" s="69"/>
    </row>
    <row r="4577" spans="19:21" ht="15" customHeight="1" x14ac:dyDescent="0.2">
      <c r="S4577" s="69">
        <f>_xlfn.XLOOKUP(Results!A4577,Geometry!$B$6:$B$10000,Geometry!$C$6:$C$10000)</f>
        <v>0</v>
      </c>
      <c r="T4577" s="69"/>
      <c r="U4577" s="69"/>
    </row>
    <row r="4578" spans="19:21" ht="15" customHeight="1" x14ac:dyDescent="0.2">
      <c r="S4578" s="69">
        <f>_xlfn.XLOOKUP(Results!A4578,Geometry!$B$6:$B$10000,Geometry!$C$6:$C$10000)</f>
        <v>0</v>
      </c>
      <c r="T4578" s="69"/>
      <c r="U4578" s="69"/>
    </row>
    <row r="4579" spans="19:21" ht="15" customHeight="1" x14ac:dyDescent="0.2">
      <c r="S4579" s="69">
        <f>_xlfn.XLOOKUP(Results!A4579,Geometry!$B$6:$B$10000,Geometry!$C$6:$C$10000)</f>
        <v>0</v>
      </c>
      <c r="T4579" s="69"/>
      <c r="U4579" s="69"/>
    </row>
    <row r="4580" spans="19:21" ht="15" customHeight="1" x14ac:dyDescent="0.2">
      <c r="S4580" s="69">
        <f>_xlfn.XLOOKUP(Results!A4580,Geometry!$B$6:$B$10000,Geometry!$C$6:$C$10000)</f>
        <v>0</v>
      </c>
      <c r="T4580" s="69"/>
      <c r="U4580" s="69"/>
    </row>
    <row r="4581" spans="19:21" ht="15" customHeight="1" x14ac:dyDescent="0.2">
      <c r="S4581" s="69">
        <f>_xlfn.XLOOKUP(Results!A4581,Geometry!$B$6:$B$10000,Geometry!$C$6:$C$10000)</f>
        <v>0</v>
      </c>
      <c r="T4581" s="69"/>
      <c r="U4581" s="69"/>
    </row>
    <row r="4582" spans="19:21" ht="15" customHeight="1" x14ac:dyDescent="0.2">
      <c r="S4582" s="69">
        <f>_xlfn.XLOOKUP(Results!A4582,Geometry!$B$6:$B$10000,Geometry!$C$6:$C$10000)</f>
        <v>0</v>
      </c>
      <c r="T4582" s="69"/>
      <c r="U4582" s="69"/>
    </row>
    <row r="4583" spans="19:21" ht="15" customHeight="1" x14ac:dyDescent="0.2">
      <c r="S4583" s="69">
        <f>_xlfn.XLOOKUP(Results!A4583,Geometry!$B$6:$B$10000,Geometry!$C$6:$C$10000)</f>
        <v>0</v>
      </c>
      <c r="T4583" s="69"/>
      <c r="U4583" s="69"/>
    </row>
    <row r="4584" spans="19:21" ht="15" customHeight="1" x14ac:dyDescent="0.2">
      <c r="S4584" s="69">
        <f>_xlfn.XLOOKUP(Results!A4584,Geometry!$B$6:$B$10000,Geometry!$C$6:$C$10000)</f>
        <v>0</v>
      </c>
      <c r="T4584" s="69"/>
      <c r="U4584" s="69"/>
    </row>
    <row r="4585" spans="19:21" ht="15" customHeight="1" x14ac:dyDescent="0.2">
      <c r="S4585" s="69">
        <f>_xlfn.XLOOKUP(Results!A4585,Geometry!$B$6:$B$10000,Geometry!$C$6:$C$10000)</f>
        <v>0</v>
      </c>
      <c r="T4585" s="69"/>
      <c r="U4585" s="69"/>
    </row>
    <row r="4586" spans="19:21" ht="15" customHeight="1" x14ac:dyDescent="0.2">
      <c r="S4586" s="69">
        <f>_xlfn.XLOOKUP(Results!A4586,Geometry!$B$6:$B$10000,Geometry!$C$6:$C$10000)</f>
        <v>0</v>
      </c>
      <c r="T4586" s="69"/>
      <c r="U4586" s="69"/>
    </row>
    <row r="4587" spans="19:21" ht="15" customHeight="1" x14ac:dyDescent="0.2">
      <c r="S4587" s="69">
        <f>_xlfn.XLOOKUP(Results!A4587,Geometry!$B$6:$B$10000,Geometry!$C$6:$C$10000)</f>
        <v>0</v>
      </c>
      <c r="T4587" s="69"/>
      <c r="U4587" s="69"/>
    </row>
    <row r="4588" spans="19:21" ht="15" customHeight="1" x14ac:dyDescent="0.2">
      <c r="S4588" s="69">
        <f>_xlfn.XLOOKUP(Results!A4588,Geometry!$B$6:$B$10000,Geometry!$C$6:$C$10000)</f>
        <v>0</v>
      </c>
      <c r="T4588" s="69"/>
      <c r="U4588" s="69"/>
    </row>
    <row r="4589" spans="19:21" ht="15" customHeight="1" x14ac:dyDescent="0.2">
      <c r="S4589" s="69">
        <f>_xlfn.XLOOKUP(Results!A4589,Geometry!$B$6:$B$10000,Geometry!$C$6:$C$10000)</f>
        <v>0</v>
      </c>
      <c r="T4589" s="69"/>
      <c r="U4589" s="69"/>
    </row>
    <row r="4590" spans="19:21" ht="15" customHeight="1" x14ac:dyDescent="0.2">
      <c r="S4590" s="69">
        <f>_xlfn.XLOOKUP(Results!A4590,Geometry!$B$6:$B$10000,Geometry!$C$6:$C$10000)</f>
        <v>0</v>
      </c>
      <c r="T4590" s="69"/>
      <c r="U4590" s="69"/>
    </row>
    <row r="4591" spans="19:21" ht="15" customHeight="1" x14ac:dyDescent="0.2">
      <c r="S4591" s="69">
        <f>_xlfn.XLOOKUP(Results!A4591,Geometry!$B$6:$B$10000,Geometry!$C$6:$C$10000)</f>
        <v>0</v>
      </c>
      <c r="T4591" s="69"/>
      <c r="U4591" s="69"/>
    </row>
    <row r="4592" spans="19:21" ht="15" customHeight="1" x14ac:dyDescent="0.2">
      <c r="S4592" s="69">
        <f>_xlfn.XLOOKUP(Results!A4592,Geometry!$B$6:$B$10000,Geometry!$C$6:$C$10000)</f>
        <v>0</v>
      </c>
      <c r="T4592" s="69"/>
      <c r="U4592" s="69"/>
    </row>
    <row r="4593" spans="19:21" ht="15" customHeight="1" x14ac:dyDescent="0.2">
      <c r="S4593" s="69">
        <f>_xlfn.XLOOKUP(Results!A4593,Geometry!$B$6:$B$10000,Geometry!$C$6:$C$10000)</f>
        <v>0</v>
      </c>
      <c r="T4593" s="69"/>
      <c r="U4593" s="69"/>
    </row>
    <row r="4594" spans="19:21" ht="15" customHeight="1" x14ac:dyDescent="0.2">
      <c r="S4594" s="69">
        <f>_xlfn.XLOOKUP(Results!A4594,Geometry!$B$6:$B$10000,Geometry!$C$6:$C$10000)</f>
        <v>0</v>
      </c>
      <c r="T4594" s="69"/>
      <c r="U4594" s="69"/>
    </row>
    <row r="4595" spans="19:21" ht="15" customHeight="1" x14ac:dyDescent="0.2">
      <c r="S4595" s="69">
        <f>_xlfn.XLOOKUP(Results!A4595,Geometry!$B$6:$B$10000,Geometry!$C$6:$C$10000)</f>
        <v>0</v>
      </c>
      <c r="T4595" s="69"/>
      <c r="U4595" s="69"/>
    </row>
    <row r="4596" spans="19:21" ht="15" customHeight="1" x14ac:dyDescent="0.2">
      <c r="S4596" s="69">
        <f>_xlfn.XLOOKUP(Results!A4596,Geometry!$B$6:$B$10000,Geometry!$C$6:$C$10000)</f>
        <v>0</v>
      </c>
      <c r="T4596" s="69"/>
      <c r="U4596" s="69"/>
    </row>
    <row r="4597" spans="19:21" ht="15" customHeight="1" x14ac:dyDescent="0.2">
      <c r="S4597" s="69">
        <f>_xlfn.XLOOKUP(Results!A4597,Geometry!$B$6:$B$10000,Geometry!$C$6:$C$10000)</f>
        <v>0</v>
      </c>
      <c r="T4597" s="69"/>
      <c r="U4597" s="69"/>
    </row>
    <row r="4598" spans="19:21" ht="15" customHeight="1" x14ac:dyDescent="0.2">
      <c r="S4598" s="69">
        <f>_xlfn.XLOOKUP(Results!A4598,Geometry!$B$6:$B$10000,Geometry!$C$6:$C$10000)</f>
        <v>0</v>
      </c>
      <c r="T4598" s="69"/>
      <c r="U4598" s="69"/>
    </row>
    <row r="4599" spans="19:21" ht="15" customHeight="1" x14ac:dyDescent="0.2">
      <c r="S4599" s="69">
        <f>_xlfn.XLOOKUP(Results!A4599,Geometry!$B$6:$B$10000,Geometry!$C$6:$C$10000)</f>
        <v>0</v>
      </c>
      <c r="T4599" s="69"/>
      <c r="U4599" s="69"/>
    </row>
    <row r="4600" spans="19:21" ht="15" customHeight="1" x14ac:dyDescent="0.2">
      <c r="S4600" s="69">
        <f>_xlfn.XLOOKUP(Results!A4600,Geometry!$B$6:$B$10000,Geometry!$C$6:$C$10000)</f>
        <v>0</v>
      </c>
      <c r="T4600" s="69"/>
      <c r="U4600" s="69"/>
    </row>
    <row r="4601" spans="19:21" ht="15" customHeight="1" x14ac:dyDescent="0.2">
      <c r="S4601" s="69">
        <f>_xlfn.XLOOKUP(Results!A4601,Geometry!$B$6:$B$10000,Geometry!$C$6:$C$10000)</f>
        <v>0</v>
      </c>
      <c r="T4601" s="69"/>
      <c r="U4601" s="69"/>
    </row>
    <row r="4602" spans="19:21" ht="15" customHeight="1" x14ac:dyDescent="0.2">
      <c r="S4602" s="69">
        <f>_xlfn.XLOOKUP(Results!A4602,Geometry!$B$6:$B$10000,Geometry!$C$6:$C$10000)</f>
        <v>0</v>
      </c>
      <c r="T4602" s="69"/>
      <c r="U4602" s="69"/>
    </row>
    <row r="4603" spans="19:21" ht="15" customHeight="1" x14ac:dyDescent="0.2">
      <c r="S4603" s="69">
        <f>_xlfn.XLOOKUP(Results!A4603,Geometry!$B$6:$B$10000,Geometry!$C$6:$C$10000)</f>
        <v>0</v>
      </c>
      <c r="T4603" s="69"/>
      <c r="U4603" s="69"/>
    </row>
    <row r="4604" spans="19:21" ht="15" customHeight="1" x14ac:dyDescent="0.2">
      <c r="S4604" s="69">
        <f>_xlfn.XLOOKUP(Results!A4604,Geometry!$B$6:$B$10000,Geometry!$C$6:$C$10000)</f>
        <v>0</v>
      </c>
      <c r="T4604" s="69"/>
      <c r="U4604" s="69"/>
    </row>
    <row r="4605" spans="19:21" ht="15" customHeight="1" x14ac:dyDescent="0.2">
      <c r="S4605" s="69">
        <f>_xlfn.XLOOKUP(Results!A4605,Geometry!$B$6:$B$10000,Geometry!$C$6:$C$10000)</f>
        <v>0</v>
      </c>
      <c r="T4605" s="69"/>
      <c r="U4605" s="69"/>
    </row>
    <row r="4606" spans="19:21" ht="15" customHeight="1" x14ac:dyDescent="0.2">
      <c r="S4606" s="69">
        <f>_xlfn.XLOOKUP(Results!A4606,Geometry!$B$6:$B$10000,Geometry!$C$6:$C$10000)</f>
        <v>0</v>
      </c>
      <c r="T4606" s="69"/>
      <c r="U4606" s="69"/>
    </row>
    <row r="4607" spans="19:21" ht="15" customHeight="1" x14ac:dyDescent="0.2">
      <c r="S4607" s="69">
        <f>_xlfn.XLOOKUP(Results!A4607,Geometry!$B$6:$B$10000,Geometry!$C$6:$C$10000)</f>
        <v>0</v>
      </c>
      <c r="T4607" s="69"/>
      <c r="U4607" s="69"/>
    </row>
    <row r="4608" spans="19:21" ht="15" customHeight="1" x14ac:dyDescent="0.2">
      <c r="S4608" s="69">
        <f>_xlfn.XLOOKUP(Results!A4608,Geometry!$B$6:$B$10000,Geometry!$C$6:$C$10000)</f>
        <v>0</v>
      </c>
      <c r="T4608" s="69"/>
      <c r="U4608" s="69"/>
    </row>
    <row r="4609" spans="19:21" ht="15" customHeight="1" x14ac:dyDescent="0.2">
      <c r="S4609" s="69">
        <f>_xlfn.XLOOKUP(Results!A4609,Geometry!$B$6:$B$10000,Geometry!$C$6:$C$10000)</f>
        <v>0</v>
      </c>
      <c r="T4609" s="69"/>
      <c r="U4609" s="69"/>
    </row>
    <row r="4610" spans="19:21" ht="15" customHeight="1" x14ac:dyDescent="0.2">
      <c r="S4610" s="69">
        <f>_xlfn.XLOOKUP(Results!A4610,Geometry!$B$6:$B$10000,Geometry!$C$6:$C$10000)</f>
        <v>0</v>
      </c>
      <c r="T4610" s="69"/>
      <c r="U4610" s="69"/>
    </row>
    <row r="4611" spans="19:21" ht="15" customHeight="1" x14ac:dyDescent="0.2">
      <c r="S4611" s="69">
        <f>_xlfn.XLOOKUP(Results!A4611,Geometry!$B$6:$B$10000,Geometry!$C$6:$C$10000)</f>
        <v>0</v>
      </c>
      <c r="T4611" s="69"/>
      <c r="U4611" s="69"/>
    </row>
    <row r="4612" spans="19:21" ht="15" customHeight="1" x14ac:dyDescent="0.2">
      <c r="S4612" s="69">
        <f>_xlfn.XLOOKUP(Results!A4612,Geometry!$B$6:$B$10000,Geometry!$C$6:$C$10000)</f>
        <v>0</v>
      </c>
      <c r="T4612" s="69"/>
      <c r="U4612" s="69"/>
    </row>
    <row r="4613" spans="19:21" ht="15" customHeight="1" x14ac:dyDescent="0.2">
      <c r="S4613" s="69">
        <f>_xlfn.XLOOKUP(Results!A4613,Geometry!$B$6:$B$10000,Geometry!$C$6:$C$10000)</f>
        <v>0</v>
      </c>
      <c r="T4613" s="69"/>
      <c r="U4613" s="69"/>
    </row>
    <row r="4614" spans="19:21" ht="15" customHeight="1" x14ac:dyDescent="0.2">
      <c r="S4614" s="69">
        <f>_xlfn.XLOOKUP(Results!A4614,Geometry!$B$6:$B$10000,Geometry!$C$6:$C$10000)</f>
        <v>0</v>
      </c>
      <c r="T4614" s="69"/>
      <c r="U4614" s="69"/>
    </row>
    <row r="4615" spans="19:21" ht="15" customHeight="1" x14ac:dyDescent="0.2">
      <c r="S4615" s="69">
        <f>_xlfn.XLOOKUP(Results!A4615,Geometry!$B$6:$B$10000,Geometry!$C$6:$C$10000)</f>
        <v>0</v>
      </c>
      <c r="T4615" s="69"/>
      <c r="U4615" s="69"/>
    </row>
    <row r="4616" spans="19:21" ht="15" customHeight="1" x14ac:dyDescent="0.2">
      <c r="S4616" s="69">
        <f>_xlfn.XLOOKUP(Results!A4616,Geometry!$B$6:$B$10000,Geometry!$C$6:$C$10000)</f>
        <v>0</v>
      </c>
      <c r="T4616" s="69"/>
      <c r="U4616" s="69"/>
    </row>
    <row r="4617" spans="19:21" ht="15" customHeight="1" x14ac:dyDescent="0.2">
      <c r="S4617" s="69">
        <f>_xlfn.XLOOKUP(Results!A4617,Geometry!$B$6:$B$10000,Geometry!$C$6:$C$10000)</f>
        <v>0</v>
      </c>
      <c r="T4617" s="69"/>
      <c r="U4617" s="69"/>
    </row>
    <row r="4618" spans="19:21" ht="15" customHeight="1" x14ac:dyDescent="0.2">
      <c r="S4618" s="69">
        <f>_xlfn.XLOOKUP(Results!A4618,Geometry!$B$6:$B$10000,Geometry!$C$6:$C$10000)</f>
        <v>0</v>
      </c>
      <c r="T4618" s="69"/>
      <c r="U4618" s="69"/>
    </row>
    <row r="4619" spans="19:21" ht="15" customHeight="1" x14ac:dyDescent="0.2">
      <c r="S4619" s="69">
        <f>_xlfn.XLOOKUP(Results!A4619,Geometry!$B$6:$B$10000,Geometry!$C$6:$C$10000)</f>
        <v>0</v>
      </c>
      <c r="T4619" s="69"/>
      <c r="U4619" s="69"/>
    </row>
    <row r="4620" spans="19:21" ht="15" customHeight="1" x14ac:dyDescent="0.2">
      <c r="S4620" s="69">
        <f>_xlfn.XLOOKUP(Results!A4620,Geometry!$B$6:$B$10000,Geometry!$C$6:$C$10000)</f>
        <v>0</v>
      </c>
      <c r="T4620" s="69"/>
      <c r="U4620" s="69"/>
    </row>
    <row r="4621" spans="19:21" ht="15" customHeight="1" x14ac:dyDescent="0.2">
      <c r="S4621" s="69">
        <f>_xlfn.XLOOKUP(Results!A4621,Geometry!$B$6:$B$10000,Geometry!$C$6:$C$10000)</f>
        <v>0</v>
      </c>
      <c r="T4621" s="69"/>
      <c r="U4621" s="69"/>
    </row>
    <row r="4622" spans="19:21" ht="15" customHeight="1" x14ac:dyDescent="0.2">
      <c r="S4622" s="69">
        <f>_xlfn.XLOOKUP(Results!A4622,Geometry!$B$6:$B$10000,Geometry!$C$6:$C$10000)</f>
        <v>0</v>
      </c>
      <c r="T4622" s="69"/>
      <c r="U4622" s="69"/>
    </row>
    <row r="4623" spans="19:21" ht="15" customHeight="1" x14ac:dyDescent="0.2">
      <c r="S4623" s="69">
        <f>_xlfn.XLOOKUP(Results!A4623,Geometry!$B$6:$B$10000,Geometry!$C$6:$C$10000)</f>
        <v>0</v>
      </c>
      <c r="T4623" s="69"/>
      <c r="U4623" s="69"/>
    </row>
    <row r="4624" spans="19:21" ht="15" customHeight="1" x14ac:dyDescent="0.2">
      <c r="S4624" s="69">
        <f>_xlfn.XLOOKUP(Results!A4624,Geometry!$B$6:$B$10000,Geometry!$C$6:$C$10000)</f>
        <v>0</v>
      </c>
      <c r="T4624" s="69"/>
      <c r="U4624" s="69"/>
    </row>
    <row r="4625" spans="19:21" ht="15" customHeight="1" x14ac:dyDescent="0.2">
      <c r="S4625" s="69">
        <f>_xlfn.XLOOKUP(Results!A4625,Geometry!$B$6:$B$10000,Geometry!$C$6:$C$10000)</f>
        <v>0</v>
      </c>
      <c r="T4625" s="69"/>
      <c r="U4625" s="69"/>
    </row>
    <row r="4626" spans="19:21" ht="15" customHeight="1" x14ac:dyDescent="0.2">
      <c r="S4626" s="69">
        <f>_xlfn.XLOOKUP(Results!A4626,Geometry!$B$6:$B$10000,Geometry!$C$6:$C$10000)</f>
        <v>0</v>
      </c>
      <c r="T4626" s="69"/>
      <c r="U4626" s="69"/>
    </row>
    <row r="4627" spans="19:21" ht="15" customHeight="1" x14ac:dyDescent="0.2">
      <c r="S4627" s="69">
        <f>_xlfn.XLOOKUP(Results!A4627,Geometry!$B$6:$B$10000,Geometry!$C$6:$C$10000)</f>
        <v>0</v>
      </c>
      <c r="T4627" s="69"/>
      <c r="U4627" s="69"/>
    </row>
    <row r="4628" spans="19:21" ht="15" customHeight="1" x14ac:dyDescent="0.2">
      <c r="S4628" s="69">
        <f>_xlfn.XLOOKUP(Results!A4628,Geometry!$B$6:$B$10000,Geometry!$C$6:$C$10000)</f>
        <v>0</v>
      </c>
      <c r="T4628" s="69"/>
      <c r="U4628" s="69"/>
    </row>
    <row r="4629" spans="19:21" ht="15" customHeight="1" x14ac:dyDescent="0.2">
      <c r="S4629" s="69">
        <f>_xlfn.XLOOKUP(Results!A4629,Geometry!$B$6:$B$10000,Geometry!$C$6:$C$10000)</f>
        <v>0</v>
      </c>
      <c r="T4629" s="69"/>
      <c r="U4629" s="69"/>
    </row>
    <row r="4630" spans="19:21" ht="15" customHeight="1" x14ac:dyDescent="0.2">
      <c r="S4630" s="69">
        <f>_xlfn.XLOOKUP(Results!A4630,Geometry!$B$6:$B$10000,Geometry!$C$6:$C$10000)</f>
        <v>0</v>
      </c>
      <c r="T4630" s="69"/>
      <c r="U4630" s="69"/>
    </row>
    <row r="4631" spans="19:21" ht="15" customHeight="1" x14ac:dyDescent="0.2">
      <c r="S4631" s="69">
        <f>_xlfn.XLOOKUP(Results!A4631,Geometry!$B$6:$B$10000,Geometry!$C$6:$C$10000)</f>
        <v>0</v>
      </c>
      <c r="T4631" s="69"/>
      <c r="U4631" s="69"/>
    </row>
    <row r="4632" spans="19:21" ht="15" customHeight="1" x14ac:dyDescent="0.2">
      <c r="S4632" s="69">
        <f>_xlfn.XLOOKUP(Results!A4632,Geometry!$B$6:$B$10000,Geometry!$C$6:$C$10000)</f>
        <v>0</v>
      </c>
      <c r="T4632" s="69"/>
      <c r="U4632" s="69"/>
    </row>
    <row r="4633" spans="19:21" ht="15" customHeight="1" x14ac:dyDescent="0.2">
      <c r="S4633" s="69">
        <f>_xlfn.XLOOKUP(Results!A4633,Geometry!$B$6:$B$10000,Geometry!$C$6:$C$10000)</f>
        <v>0</v>
      </c>
      <c r="T4633" s="69"/>
      <c r="U4633" s="69"/>
    </row>
    <row r="4634" spans="19:21" ht="15" customHeight="1" x14ac:dyDescent="0.2">
      <c r="S4634" s="69">
        <f>_xlfn.XLOOKUP(Results!A4634,Geometry!$B$6:$B$10000,Geometry!$C$6:$C$10000)</f>
        <v>0</v>
      </c>
      <c r="T4634" s="69"/>
      <c r="U4634" s="69"/>
    </row>
    <row r="4635" spans="19:21" ht="15" customHeight="1" x14ac:dyDescent="0.2">
      <c r="S4635" s="69">
        <f>_xlfn.XLOOKUP(Results!A4635,Geometry!$B$6:$B$10000,Geometry!$C$6:$C$10000)</f>
        <v>0</v>
      </c>
      <c r="T4635" s="69"/>
      <c r="U4635" s="69"/>
    </row>
    <row r="4636" spans="19:21" ht="15" customHeight="1" x14ac:dyDescent="0.2">
      <c r="S4636" s="69">
        <f>_xlfn.XLOOKUP(Results!A4636,Geometry!$B$6:$B$10000,Geometry!$C$6:$C$10000)</f>
        <v>0</v>
      </c>
      <c r="T4636" s="69"/>
      <c r="U4636" s="69"/>
    </row>
    <row r="4637" spans="19:21" ht="15" customHeight="1" x14ac:dyDescent="0.2">
      <c r="S4637" s="69">
        <f>_xlfn.XLOOKUP(Results!A4637,Geometry!$B$6:$B$10000,Geometry!$C$6:$C$10000)</f>
        <v>0</v>
      </c>
      <c r="T4637" s="69"/>
      <c r="U4637" s="69"/>
    </row>
    <row r="4638" spans="19:21" ht="15" customHeight="1" x14ac:dyDescent="0.2">
      <c r="S4638" s="69">
        <f>_xlfn.XLOOKUP(Results!A4638,Geometry!$B$6:$B$10000,Geometry!$C$6:$C$10000)</f>
        <v>0</v>
      </c>
      <c r="T4638" s="69"/>
      <c r="U4638" s="69"/>
    </row>
    <row r="4639" spans="19:21" ht="15" customHeight="1" x14ac:dyDescent="0.2">
      <c r="S4639" s="69">
        <f>_xlfn.XLOOKUP(Results!A4639,Geometry!$B$6:$B$10000,Geometry!$C$6:$C$10000)</f>
        <v>0</v>
      </c>
      <c r="T4639" s="69"/>
      <c r="U4639" s="69"/>
    </row>
    <row r="4640" spans="19:21" ht="15" customHeight="1" x14ac:dyDescent="0.2">
      <c r="S4640" s="69">
        <f>_xlfn.XLOOKUP(Results!A4640,Geometry!$B$6:$B$10000,Geometry!$C$6:$C$10000)</f>
        <v>0</v>
      </c>
      <c r="T4640" s="69"/>
      <c r="U4640" s="69"/>
    </row>
    <row r="4641" spans="19:21" ht="15" customHeight="1" x14ac:dyDescent="0.2">
      <c r="S4641" s="69">
        <f>_xlfn.XLOOKUP(Results!A4641,Geometry!$B$6:$B$10000,Geometry!$C$6:$C$10000)</f>
        <v>0</v>
      </c>
      <c r="T4641" s="69"/>
      <c r="U4641" s="69"/>
    </row>
    <row r="4642" spans="19:21" ht="15" customHeight="1" x14ac:dyDescent="0.2">
      <c r="S4642" s="69">
        <f>_xlfn.XLOOKUP(Results!A4642,Geometry!$B$6:$B$10000,Geometry!$C$6:$C$10000)</f>
        <v>0</v>
      </c>
      <c r="T4642" s="69"/>
      <c r="U4642" s="69"/>
    </row>
    <row r="4643" spans="19:21" ht="15" customHeight="1" x14ac:dyDescent="0.2">
      <c r="S4643" s="69">
        <f>_xlfn.XLOOKUP(Results!A4643,Geometry!$B$6:$B$10000,Geometry!$C$6:$C$10000)</f>
        <v>0</v>
      </c>
      <c r="T4643" s="69"/>
      <c r="U4643" s="69"/>
    </row>
    <row r="4644" spans="19:21" ht="15" customHeight="1" x14ac:dyDescent="0.2">
      <c r="S4644" s="69">
        <f>_xlfn.XLOOKUP(Results!A4644,Geometry!$B$6:$B$10000,Geometry!$C$6:$C$10000)</f>
        <v>0</v>
      </c>
      <c r="T4644" s="69"/>
      <c r="U4644" s="69"/>
    </row>
    <row r="4645" spans="19:21" ht="15" customHeight="1" x14ac:dyDescent="0.2">
      <c r="S4645" s="69">
        <f>_xlfn.XLOOKUP(Results!A4645,Geometry!$B$6:$B$10000,Geometry!$C$6:$C$10000)</f>
        <v>0</v>
      </c>
      <c r="T4645" s="69"/>
      <c r="U4645" s="69"/>
    </row>
    <row r="4646" spans="19:21" ht="15" customHeight="1" x14ac:dyDescent="0.2">
      <c r="S4646" s="69">
        <f>_xlfn.XLOOKUP(Results!A4646,Geometry!$B$6:$B$10000,Geometry!$C$6:$C$10000)</f>
        <v>0</v>
      </c>
      <c r="T4646" s="69"/>
      <c r="U4646" s="69"/>
    </row>
    <row r="4647" spans="19:21" ht="15" customHeight="1" x14ac:dyDescent="0.2">
      <c r="S4647" s="69">
        <f>_xlfn.XLOOKUP(Results!A4647,Geometry!$B$6:$B$10000,Geometry!$C$6:$C$10000)</f>
        <v>0</v>
      </c>
      <c r="T4647" s="69"/>
      <c r="U4647" s="69"/>
    </row>
    <row r="4648" spans="19:21" ht="15" customHeight="1" x14ac:dyDescent="0.2">
      <c r="S4648" s="69">
        <f>_xlfn.XLOOKUP(Results!A4648,Geometry!$B$6:$B$10000,Geometry!$C$6:$C$10000)</f>
        <v>0</v>
      </c>
      <c r="T4648" s="69"/>
      <c r="U4648" s="69"/>
    </row>
    <row r="4649" spans="19:21" ht="15" customHeight="1" x14ac:dyDescent="0.2">
      <c r="S4649" s="69">
        <f>_xlfn.XLOOKUP(Results!A4649,Geometry!$B$6:$B$10000,Geometry!$C$6:$C$10000)</f>
        <v>0</v>
      </c>
      <c r="T4649" s="69"/>
      <c r="U4649" s="69"/>
    </row>
    <row r="4650" spans="19:21" ht="15" customHeight="1" x14ac:dyDescent="0.2">
      <c r="S4650" s="69">
        <f>_xlfn.XLOOKUP(Results!A4650,Geometry!$B$6:$B$10000,Geometry!$C$6:$C$10000)</f>
        <v>0</v>
      </c>
      <c r="T4650" s="69"/>
      <c r="U4650" s="69"/>
    </row>
    <row r="4651" spans="19:21" ht="15" customHeight="1" x14ac:dyDescent="0.2">
      <c r="S4651" s="69">
        <f>_xlfn.XLOOKUP(Results!A4651,Geometry!$B$6:$B$10000,Geometry!$C$6:$C$10000)</f>
        <v>0</v>
      </c>
      <c r="T4651" s="69"/>
      <c r="U4651" s="69"/>
    </row>
    <row r="4652" spans="19:21" ht="15" customHeight="1" x14ac:dyDescent="0.2">
      <c r="S4652" s="69">
        <f>_xlfn.XLOOKUP(Results!A4652,Geometry!$B$6:$B$10000,Geometry!$C$6:$C$10000)</f>
        <v>0</v>
      </c>
      <c r="T4652" s="69"/>
      <c r="U4652" s="69"/>
    </row>
    <row r="4653" spans="19:21" ht="15" customHeight="1" x14ac:dyDescent="0.2">
      <c r="S4653" s="69">
        <f>_xlfn.XLOOKUP(Results!A4653,Geometry!$B$6:$B$10000,Geometry!$C$6:$C$10000)</f>
        <v>0</v>
      </c>
      <c r="T4653" s="69"/>
      <c r="U4653" s="69"/>
    </row>
    <row r="4654" spans="19:21" ht="15" customHeight="1" x14ac:dyDescent="0.2">
      <c r="S4654" s="69">
        <f>_xlfn.XLOOKUP(Results!A4654,Geometry!$B$6:$B$10000,Geometry!$C$6:$C$10000)</f>
        <v>0</v>
      </c>
      <c r="T4654" s="69"/>
      <c r="U4654" s="69"/>
    </row>
    <row r="4655" spans="19:21" ht="15" customHeight="1" x14ac:dyDescent="0.2">
      <c r="S4655" s="69">
        <f>_xlfn.XLOOKUP(Results!A4655,Geometry!$B$6:$B$10000,Geometry!$C$6:$C$10000)</f>
        <v>0</v>
      </c>
      <c r="T4655" s="69"/>
      <c r="U4655" s="69"/>
    </row>
    <row r="4656" spans="19:21" ht="15" customHeight="1" x14ac:dyDescent="0.2">
      <c r="S4656" s="69">
        <f>_xlfn.XLOOKUP(Results!A4656,Geometry!$B$6:$B$10000,Geometry!$C$6:$C$10000)</f>
        <v>0</v>
      </c>
      <c r="T4656" s="69"/>
      <c r="U4656" s="69"/>
    </row>
    <row r="4657" spans="19:21" ht="15" customHeight="1" x14ac:dyDescent="0.2">
      <c r="S4657" s="69">
        <f>_xlfn.XLOOKUP(Results!A4657,Geometry!$B$6:$B$10000,Geometry!$C$6:$C$10000)</f>
        <v>0</v>
      </c>
      <c r="T4657" s="69"/>
      <c r="U4657" s="69"/>
    </row>
    <row r="4658" spans="19:21" ht="15" customHeight="1" x14ac:dyDescent="0.2">
      <c r="S4658" s="69">
        <f>_xlfn.XLOOKUP(Results!A4658,Geometry!$B$6:$B$10000,Geometry!$C$6:$C$10000)</f>
        <v>0</v>
      </c>
      <c r="T4658" s="69"/>
      <c r="U4658" s="69"/>
    </row>
    <row r="4659" spans="19:21" ht="15" customHeight="1" x14ac:dyDescent="0.2">
      <c r="S4659" s="69">
        <f>_xlfn.XLOOKUP(Results!A4659,Geometry!$B$6:$B$10000,Geometry!$C$6:$C$10000)</f>
        <v>0</v>
      </c>
      <c r="T4659" s="69"/>
      <c r="U4659" s="69"/>
    </row>
    <row r="4660" spans="19:21" ht="15" customHeight="1" x14ac:dyDescent="0.2">
      <c r="S4660" s="69">
        <f>_xlfn.XLOOKUP(Results!A4660,Geometry!$B$6:$B$10000,Geometry!$C$6:$C$10000)</f>
        <v>0</v>
      </c>
      <c r="T4660" s="69"/>
      <c r="U4660" s="69"/>
    </row>
    <row r="4661" spans="19:21" ht="15" customHeight="1" x14ac:dyDescent="0.2">
      <c r="S4661" s="69">
        <f>_xlfn.XLOOKUP(Results!A4661,Geometry!$B$6:$B$10000,Geometry!$C$6:$C$10000)</f>
        <v>0</v>
      </c>
      <c r="T4661" s="69"/>
      <c r="U4661" s="69"/>
    </row>
    <row r="4662" spans="19:21" ht="15" customHeight="1" x14ac:dyDescent="0.2">
      <c r="S4662" s="69">
        <f>_xlfn.XLOOKUP(Results!A4662,Geometry!$B$6:$B$10000,Geometry!$C$6:$C$10000)</f>
        <v>0</v>
      </c>
      <c r="T4662" s="69"/>
      <c r="U4662" s="69"/>
    </row>
    <row r="4663" spans="19:21" ht="15" customHeight="1" x14ac:dyDescent="0.2">
      <c r="S4663" s="69">
        <f>_xlfn.XLOOKUP(Results!A4663,Geometry!$B$6:$B$10000,Geometry!$C$6:$C$10000)</f>
        <v>0</v>
      </c>
      <c r="T4663" s="69"/>
      <c r="U4663" s="69"/>
    </row>
    <row r="4664" spans="19:21" ht="15" customHeight="1" x14ac:dyDescent="0.2">
      <c r="S4664" s="69">
        <f>_xlfn.XLOOKUP(Results!A4664,Geometry!$B$6:$B$10000,Geometry!$C$6:$C$10000)</f>
        <v>0</v>
      </c>
      <c r="T4664" s="69"/>
      <c r="U4664" s="69"/>
    </row>
    <row r="4665" spans="19:21" ht="15" customHeight="1" x14ac:dyDescent="0.2">
      <c r="S4665" s="69">
        <f>_xlfn.XLOOKUP(Results!A4665,Geometry!$B$6:$B$10000,Geometry!$C$6:$C$10000)</f>
        <v>0</v>
      </c>
      <c r="T4665" s="69"/>
      <c r="U4665" s="69"/>
    </row>
    <row r="4666" spans="19:21" ht="15" customHeight="1" x14ac:dyDescent="0.2">
      <c r="S4666" s="69">
        <f>_xlfn.XLOOKUP(Results!A4666,Geometry!$B$6:$B$10000,Geometry!$C$6:$C$10000)</f>
        <v>0</v>
      </c>
      <c r="T4666" s="69"/>
      <c r="U4666" s="69"/>
    </row>
    <row r="4667" spans="19:21" ht="15" customHeight="1" x14ac:dyDescent="0.2">
      <c r="S4667" s="69">
        <f>_xlfn.XLOOKUP(Results!A4667,Geometry!$B$6:$B$10000,Geometry!$C$6:$C$10000)</f>
        <v>0</v>
      </c>
      <c r="T4667" s="69"/>
      <c r="U4667" s="69"/>
    </row>
    <row r="4668" spans="19:21" ht="15" customHeight="1" x14ac:dyDescent="0.2">
      <c r="S4668" s="69">
        <f>_xlfn.XLOOKUP(Results!A4668,Geometry!$B$6:$B$10000,Geometry!$C$6:$C$10000)</f>
        <v>0</v>
      </c>
      <c r="T4668" s="69"/>
      <c r="U4668" s="69"/>
    </row>
    <row r="4669" spans="19:21" ht="15" customHeight="1" x14ac:dyDescent="0.2">
      <c r="S4669" s="69">
        <f>_xlfn.XLOOKUP(Results!A4669,Geometry!$B$6:$B$10000,Geometry!$C$6:$C$10000)</f>
        <v>0</v>
      </c>
      <c r="T4669" s="69"/>
      <c r="U4669" s="69"/>
    </row>
    <row r="4670" spans="19:21" ht="15" customHeight="1" x14ac:dyDescent="0.2">
      <c r="S4670" s="69">
        <f>_xlfn.XLOOKUP(Results!A4670,Geometry!$B$6:$B$10000,Geometry!$C$6:$C$10000)</f>
        <v>0</v>
      </c>
      <c r="T4670" s="69"/>
      <c r="U4670" s="69"/>
    </row>
    <row r="4671" spans="19:21" ht="15" customHeight="1" x14ac:dyDescent="0.2">
      <c r="S4671" s="69">
        <f>_xlfn.XLOOKUP(Results!A4671,Geometry!$B$6:$B$10000,Geometry!$C$6:$C$10000)</f>
        <v>0</v>
      </c>
      <c r="T4671" s="69"/>
      <c r="U4671" s="69"/>
    </row>
    <row r="4672" spans="19:21" ht="15" customHeight="1" x14ac:dyDescent="0.2">
      <c r="S4672" s="69">
        <f>_xlfn.XLOOKUP(Results!A4672,Geometry!$B$6:$B$10000,Geometry!$C$6:$C$10000)</f>
        <v>0</v>
      </c>
      <c r="T4672" s="69"/>
      <c r="U4672" s="69"/>
    </row>
    <row r="4673" spans="19:21" ht="15" customHeight="1" x14ac:dyDescent="0.2">
      <c r="S4673" s="69">
        <f>_xlfn.XLOOKUP(Results!A4673,Geometry!$B$6:$B$10000,Geometry!$C$6:$C$10000)</f>
        <v>0</v>
      </c>
      <c r="T4673" s="69"/>
      <c r="U4673" s="69"/>
    </row>
    <row r="4674" spans="19:21" ht="15" customHeight="1" x14ac:dyDescent="0.2">
      <c r="S4674" s="69">
        <f>_xlfn.XLOOKUP(Results!A4674,Geometry!$B$6:$B$10000,Geometry!$C$6:$C$10000)</f>
        <v>0</v>
      </c>
      <c r="T4674" s="69"/>
      <c r="U4674" s="69"/>
    </row>
    <row r="4675" spans="19:21" ht="15" customHeight="1" x14ac:dyDescent="0.2">
      <c r="S4675" s="69">
        <f>_xlfn.XLOOKUP(Results!A4675,Geometry!$B$6:$B$10000,Geometry!$C$6:$C$10000)</f>
        <v>0</v>
      </c>
      <c r="T4675" s="69"/>
      <c r="U4675" s="69"/>
    </row>
    <row r="4676" spans="19:21" ht="15" customHeight="1" x14ac:dyDescent="0.2">
      <c r="S4676" s="69">
        <f>_xlfn.XLOOKUP(Results!A4676,Geometry!$B$6:$B$10000,Geometry!$C$6:$C$10000)</f>
        <v>0</v>
      </c>
      <c r="T4676" s="69"/>
      <c r="U4676" s="69"/>
    </row>
    <row r="4677" spans="19:21" ht="15" customHeight="1" x14ac:dyDescent="0.2">
      <c r="S4677" s="69">
        <f>_xlfn.XLOOKUP(Results!A4677,Geometry!$B$6:$B$10000,Geometry!$C$6:$C$10000)</f>
        <v>0</v>
      </c>
      <c r="T4677" s="69"/>
      <c r="U4677" s="69"/>
    </row>
    <row r="4678" spans="19:21" ht="15" customHeight="1" x14ac:dyDescent="0.2">
      <c r="S4678" s="69">
        <f>_xlfn.XLOOKUP(Results!A4678,Geometry!$B$6:$B$10000,Geometry!$C$6:$C$10000)</f>
        <v>0</v>
      </c>
      <c r="T4678" s="69"/>
      <c r="U4678" s="69"/>
    </row>
    <row r="4679" spans="19:21" ht="15" customHeight="1" x14ac:dyDescent="0.2">
      <c r="S4679" s="69">
        <f>_xlfn.XLOOKUP(Results!A4679,Geometry!$B$6:$B$10000,Geometry!$C$6:$C$10000)</f>
        <v>0</v>
      </c>
      <c r="T4679" s="69"/>
      <c r="U4679" s="69"/>
    </row>
    <row r="4680" spans="19:21" ht="15" customHeight="1" x14ac:dyDescent="0.2">
      <c r="S4680" s="69">
        <f>_xlfn.XLOOKUP(Results!A4680,Geometry!$B$6:$B$10000,Geometry!$C$6:$C$10000)</f>
        <v>0</v>
      </c>
      <c r="T4680" s="69"/>
      <c r="U4680" s="69"/>
    </row>
    <row r="4681" spans="19:21" ht="15" customHeight="1" x14ac:dyDescent="0.2">
      <c r="S4681" s="69">
        <f>_xlfn.XLOOKUP(Results!A4681,Geometry!$B$6:$B$10000,Geometry!$C$6:$C$10000)</f>
        <v>0</v>
      </c>
      <c r="T4681" s="69"/>
      <c r="U4681" s="69"/>
    </row>
    <row r="4682" spans="19:21" ht="15" customHeight="1" x14ac:dyDescent="0.2">
      <c r="S4682" s="69">
        <f>_xlfn.XLOOKUP(Results!A4682,Geometry!$B$6:$B$10000,Geometry!$C$6:$C$10000)</f>
        <v>0</v>
      </c>
      <c r="T4682" s="69"/>
      <c r="U4682" s="69"/>
    </row>
    <row r="4683" spans="19:21" ht="15" customHeight="1" x14ac:dyDescent="0.2">
      <c r="S4683" s="69">
        <f>_xlfn.XLOOKUP(Results!A4683,Geometry!$B$6:$B$10000,Geometry!$C$6:$C$10000)</f>
        <v>0</v>
      </c>
      <c r="T4683" s="69"/>
      <c r="U4683" s="69"/>
    </row>
    <row r="4684" spans="19:21" ht="15" customHeight="1" x14ac:dyDescent="0.2">
      <c r="S4684" s="69">
        <f>_xlfn.XLOOKUP(Results!A4684,Geometry!$B$6:$B$10000,Geometry!$C$6:$C$10000)</f>
        <v>0</v>
      </c>
      <c r="T4684" s="69"/>
      <c r="U4684" s="69"/>
    </row>
    <row r="4685" spans="19:21" ht="15" customHeight="1" x14ac:dyDescent="0.2">
      <c r="S4685" s="69">
        <f>_xlfn.XLOOKUP(Results!A4685,Geometry!$B$6:$B$10000,Geometry!$C$6:$C$10000)</f>
        <v>0</v>
      </c>
      <c r="T4685" s="69"/>
      <c r="U4685" s="69"/>
    </row>
    <row r="4686" spans="19:21" ht="15" customHeight="1" x14ac:dyDescent="0.2">
      <c r="S4686" s="69">
        <f>_xlfn.XLOOKUP(Results!A4686,Geometry!$B$6:$B$10000,Geometry!$C$6:$C$10000)</f>
        <v>0</v>
      </c>
      <c r="T4686" s="69"/>
      <c r="U4686" s="69"/>
    </row>
    <row r="4687" spans="19:21" ht="15" customHeight="1" x14ac:dyDescent="0.2">
      <c r="S4687" s="69">
        <f>_xlfn.XLOOKUP(Results!A4687,Geometry!$B$6:$B$10000,Geometry!$C$6:$C$10000)</f>
        <v>0</v>
      </c>
      <c r="T4687" s="69"/>
      <c r="U4687" s="69"/>
    </row>
    <row r="4688" spans="19:21" ht="15" customHeight="1" x14ac:dyDescent="0.2">
      <c r="S4688" s="69">
        <f>_xlfn.XLOOKUP(Results!A4688,Geometry!$B$6:$B$10000,Geometry!$C$6:$C$10000)</f>
        <v>0</v>
      </c>
      <c r="T4688" s="69"/>
      <c r="U4688" s="69"/>
    </row>
    <row r="4689" spans="19:21" ht="15" customHeight="1" x14ac:dyDescent="0.2">
      <c r="S4689" s="69">
        <f>_xlfn.XLOOKUP(Results!A4689,Geometry!$B$6:$B$10000,Geometry!$C$6:$C$10000)</f>
        <v>0</v>
      </c>
      <c r="T4689" s="69"/>
      <c r="U4689" s="69"/>
    </row>
    <row r="4690" spans="19:21" ht="15" customHeight="1" x14ac:dyDescent="0.2">
      <c r="S4690" s="69">
        <f>_xlfn.XLOOKUP(Results!A4690,Geometry!$B$6:$B$10000,Geometry!$C$6:$C$10000)</f>
        <v>0</v>
      </c>
      <c r="T4690" s="69"/>
      <c r="U4690" s="69"/>
    </row>
    <row r="4691" spans="19:21" ht="15" customHeight="1" x14ac:dyDescent="0.2">
      <c r="S4691" s="69">
        <f>_xlfn.XLOOKUP(Results!A4691,Geometry!$B$6:$B$10000,Geometry!$C$6:$C$10000)</f>
        <v>0</v>
      </c>
      <c r="T4691" s="69"/>
      <c r="U4691" s="69"/>
    </row>
    <row r="4692" spans="19:21" ht="15" customHeight="1" x14ac:dyDescent="0.2">
      <c r="S4692" s="69">
        <f>_xlfn.XLOOKUP(Results!A4692,Geometry!$B$6:$B$10000,Geometry!$C$6:$C$10000)</f>
        <v>0</v>
      </c>
      <c r="T4692" s="69"/>
      <c r="U4692" s="69"/>
    </row>
    <row r="4693" spans="19:21" ht="15" customHeight="1" x14ac:dyDescent="0.2">
      <c r="S4693" s="69">
        <f>_xlfn.XLOOKUP(Results!A4693,Geometry!$B$6:$B$10000,Geometry!$C$6:$C$10000)</f>
        <v>0</v>
      </c>
      <c r="T4693" s="69"/>
      <c r="U4693" s="69"/>
    </row>
    <row r="4694" spans="19:21" ht="15" customHeight="1" x14ac:dyDescent="0.2">
      <c r="S4694" s="69">
        <f>_xlfn.XLOOKUP(Results!A4694,Geometry!$B$6:$B$10000,Geometry!$C$6:$C$10000)</f>
        <v>0</v>
      </c>
      <c r="T4694" s="69"/>
      <c r="U4694" s="69"/>
    </row>
    <row r="4695" spans="19:21" ht="15" customHeight="1" x14ac:dyDescent="0.2">
      <c r="S4695" s="69">
        <f>_xlfn.XLOOKUP(Results!A4695,Geometry!$B$6:$B$10000,Geometry!$C$6:$C$10000)</f>
        <v>0</v>
      </c>
      <c r="T4695" s="69"/>
      <c r="U4695" s="69"/>
    </row>
    <row r="4696" spans="19:21" ht="15" customHeight="1" x14ac:dyDescent="0.2">
      <c r="S4696" s="69">
        <f>_xlfn.XLOOKUP(Results!A4696,Geometry!$B$6:$B$10000,Geometry!$C$6:$C$10000)</f>
        <v>0</v>
      </c>
      <c r="T4696" s="69"/>
      <c r="U4696" s="69"/>
    </row>
    <row r="4697" spans="19:21" ht="15" customHeight="1" x14ac:dyDescent="0.2">
      <c r="S4697" s="69">
        <f>_xlfn.XLOOKUP(Results!A4697,Geometry!$B$6:$B$10000,Geometry!$C$6:$C$10000)</f>
        <v>0</v>
      </c>
      <c r="T4697" s="69"/>
      <c r="U4697" s="69"/>
    </row>
    <row r="4698" spans="19:21" ht="15" customHeight="1" x14ac:dyDescent="0.2">
      <c r="S4698" s="69">
        <f>_xlfn.XLOOKUP(Results!A4698,Geometry!$B$6:$B$10000,Geometry!$C$6:$C$10000)</f>
        <v>0</v>
      </c>
      <c r="T4698" s="69"/>
      <c r="U4698" s="69"/>
    </row>
    <row r="4699" spans="19:21" ht="15" customHeight="1" x14ac:dyDescent="0.2">
      <c r="S4699" s="69">
        <f>_xlfn.XLOOKUP(Results!A4699,Geometry!$B$6:$B$10000,Geometry!$C$6:$C$10000)</f>
        <v>0</v>
      </c>
      <c r="T4699" s="69"/>
      <c r="U4699" s="69"/>
    </row>
    <row r="4700" spans="19:21" ht="15" customHeight="1" x14ac:dyDescent="0.2">
      <c r="S4700" s="69">
        <f>_xlfn.XLOOKUP(Results!A4700,Geometry!$B$6:$B$10000,Geometry!$C$6:$C$10000)</f>
        <v>0</v>
      </c>
      <c r="T4700" s="69"/>
      <c r="U4700" s="69"/>
    </row>
    <row r="4701" spans="19:21" ht="15" customHeight="1" x14ac:dyDescent="0.2">
      <c r="S4701" s="69">
        <f>_xlfn.XLOOKUP(Results!A4701,Geometry!$B$6:$B$10000,Geometry!$C$6:$C$10000)</f>
        <v>0</v>
      </c>
      <c r="T4701" s="69"/>
      <c r="U4701" s="69"/>
    </row>
    <row r="4702" spans="19:21" ht="15" customHeight="1" x14ac:dyDescent="0.2">
      <c r="S4702" s="69">
        <f>_xlfn.XLOOKUP(Results!A4702,Geometry!$B$6:$B$10000,Geometry!$C$6:$C$10000)</f>
        <v>0</v>
      </c>
      <c r="T4702" s="69"/>
      <c r="U4702" s="69"/>
    </row>
    <row r="4703" spans="19:21" ht="15" customHeight="1" x14ac:dyDescent="0.2">
      <c r="S4703" s="69">
        <f>_xlfn.XLOOKUP(Results!A4703,Geometry!$B$6:$B$10000,Geometry!$C$6:$C$10000)</f>
        <v>0</v>
      </c>
      <c r="T4703" s="69"/>
      <c r="U4703" s="69"/>
    </row>
    <row r="4704" spans="19:21" ht="15" customHeight="1" x14ac:dyDescent="0.2">
      <c r="S4704" s="69">
        <f>_xlfn.XLOOKUP(Results!A4704,Geometry!$B$6:$B$10000,Geometry!$C$6:$C$10000)</f>
        <v>0</v>
      </c>
      <c r="T4704" s="69"/>
      <c r="U4704" s="69"/>
    </row>
    <row r="4705" spans="19:21" ht="15" customHeight="1" x14ac:dyDescent="0.2">
      <c r="S4705" s="69">
        <f>_xlfn.XLOOKUP(Results!A4705,Geometry!$B$6:$B$10000,Geometry!$C$6:$C$10000)</f>
        <v>0</v>
      </c>
      <c r="T4705" s="69"/>
      <c r="U4705" s="69"/>
    </row>
    <row r="4706" spans="19:21" ht="15" customHeight="1" x14ac:dyDescent="0.2">
      <c r="S4706" s="69">
        <f>_xlfn.XLOOKUP(Results!A4706,Geometry!$B$6:$B$10000,Geometry!$C$6:$C$10000)</f>
        <v>0</v>
      </c>
      <c r="T4706" s="69"/>
      <c r="U4706" s="69"/>
    </row>
    <row r="4707" spans="19:21" ht="15" customHeight="1" x14ac:dyDescent="0.2">
      <c r="S4707" s="69">
        <f>_xlfn.XLOOKUP(Results!A4707,Geometry!$B$6:$B$10000,Geometry!$C$6:$C$10000)</f>
        <v>0</v>
      </c>
      <c r="T4707" s="69"/>
      <c r="U4707" s="69"/>
    </row>
    <row r="4708" spans="19:21" ht="15" customHeight="1" x14ac:dyDescent="0.2">
      <c r="S4708" s="69">
        <f>_xlfn.XLOOKUP(Results!A4708,Geometry!$B$6:$B$10000,Geometry!$C$6:$C$10000)</f>
        <v>0</v>
      </c>
      <c r="T4708" s="69"/>
      <c r="U4708" s="69"/>
    </row>
    <row r="4709" spans="19:21" ht="15" customHeight="1" x14ac:dyDescent="0.2">
      <c r="S4709" s="69">
        <f>_xlfn.XLOOKUP(Results!A4709,Geometry!$B$6:$B$10000,Geometry!$C$6:$C$10000)</f>
        <v>0</v>
      </c>
      <c r="T4709" s="69"/>
      <c r="U4709" s="69"/>
    </row>
    <row r="4710" spans="19:21" ht="15" customHeight="1" x14ac:dyDescent="0.2">
      <c r="S4710" s="69">
        <f>_xlfn.XLOOKUP(Results!A4710,Geometry!$B$6:$B$10000,Geometry!$C$6:$C$10000)</f>
        <v>0</v>
      </c>
      <c r="T4710" s="69"/>
      <c r="U4710" s="69"/>
    </row>
    <row r="4711" spans="19:21" ht="15" customHeight="1" x14ac:dyDescent="0.2">
      <c r="S4711" s="69">
        <f>_xlfn.XLOOKUP(Results!A4711,Geometry!$B$6:$B$10000,Geometry!$C$6:$C$10000)</f>
        <v>0</v>
      </c>
      <c r="T4711" s="69"/>
      <c r="U4711" s="69"/>
    </row>
    <row r="4712" spans="19:21" ht="15" customHeight="1" x14ac:dyDescent="0.2">
      <c r="S4712" s="69">
        <f>_xlfn.XLOOKUP(Results!A4712,Geometry!$B$6:$B$10000,Geometry!$C$6:$C$10000)</f>
        <v>0</v>
      </c>
      <c r="T4712" s="69"/>
      <c r="U4712" s="69"/>
    </row>
    <row r="4713" spans="19:21" ht="15" customHeight="1" x14ac:dyDescent="0.2">
      <c r="S4713" s="69">
        <f>_xlfn.XLOOKUP(Results!A4713,Geometry!$B$6:$B$10000,Geometry!$C$6:$C$10000)</f>
        <v>0</v>
      </c>
      <c r="T4713" s="69"/>
      <c r="U4713" s="69"/>
    </row>
    <row r="4714" spans="19:21" ht="15" customHeight="1" x14ac:dyDescent="0.2">
      <c r="S4714" s="69">
        <f>_xlfn.XLOOKUP(Results!A4714,Geometry!$B$6:$B$10000,Geometry!$C$6:$C$10000)</f>
        <v>0</v>
      </c>
      <c r="T4714" s="69"/>
      <c r="U4714" s="69"/>
    </row>
    <row r="4715" spans="19:21" ht="15" customHeight="1" x14ac:dyDescent="0.2">
      <c r="S4715" s="69">
        <f>_xlfn.XLOOKUP(Results!A4715,Geometry!$B$6:$B$10000,Geometry!$C$6:$C$10000)</f>
        <v>0</v>
      </c>
      <c r="T4715" s="69"/>
      <c r="U4715" s="69"/>
    </row>
    <row r="4716" spans="19:21" ht="15" customHeight="1" x14ac:dyDescent="0.2">
      <c r="S4716" s="69">
        <f>_xlfn.XLOOKUP(Results!A4716,Geometry!$B$6:$B$10000,Geometry!$C$6:$C$10000)</f>
        <v>0</v>
      </c>
      <c r="T4716" s="69"/>
      <c r="U4716" s="69"/>
    </row>
    <row r="4717" spans="19:21" ht="15" customHeight="1" x14ac:dyDescent="0.2">
      <c r="S4717" s="69">
        <f>_xlfn.XLOOKUP(Results!A4717,Geometry!$B$6:$B$10000,Geometry!$C$6:$C$10000)</f>
        <v>0</v>
      </c>
      <c r="T4717" s="69"/>
      <c r="U4717" s="69"/>
    </row>
    <row r="4718" spans="19:21" ht="15" customHeight="1" x14ac:dyDescent="0.2">
      <c r="S4718" s="69">
        <f>_xlfn.XLOOKUP(Results!A4718,Geometry!$B$6:$B$10000,Geometry!$C$6:$C$10000)</f>
        <v>0</v>
      </c>
      <c r="T4718" s="69"/>
      <c r="U4718" s="69"/>
    </row>
    <row r="4719" spans="19:21" ht="15" customHeight="1" x14ac:dyDescent="0.2">
      <c r="S4719" s="69">
        <f>_xlfn.XLOOKUP(Results!A4719,Geometry!$B$6:$B$10000,Geometry!$C$6:$C$10000)</f>
        <v>0</v>
      </c>
      <c r="T4719" s="69"/>
      <c r="U4719" s="69"/>
    </row>
    <row r="4720" spans="19:21" ht="15" customHeight="1" x14ac:dyDescent="0.2">
      <c r="S4720" s="69">
        <f>_xlfn.XLOOKUP(Results!A4720,Geometry!$B$6:$B$10000,Geometry!$C$6:$C$10000)</f>
        <v>0</v>
      </c>
      <c r="T4720" s="69"/>
      <c r="U4720" s="69"/>
    </row>
    <row r="4721" spans="19:21" ht="15" customHeight="1" x14ac:dyDescent="0.2">
      <c r="S4721" s="69">
        <f>_xlfn.XLOOKUP(Results!A4721,Geometry!$B$6:$B$10000,Geometry!$C$6:$C$10000)</f>
        <v>0</v>
      </c>
      <c r="T4721" s="69"/>
      <c r="U4721" s="69"/>
    </row>
    <row r="4722" spans="19:21" ht="15" customHeight="1" x14ac:dyDescent="0.2">
      <c r="S4722" s="69">
        <f>_xlfn.XLOOKUP(Results!A4722,Geometry!$B$6:$B$10000,Geometry!$C$6:$C$10000)</f>
        <v>0</v>
      </c>
      <c r="T4722" s="69"/>
      <c r="U4722" s="69"/>
    </row>
    <row r="4723" spans="19:21" ht="15" customHeight="1" x14ac:dyDescent="0.2">
      <c r="S4723" s="69">
        <f>_xlfn.XLOOKUP(Results!A4723,Geometry!$B$6:$B$10000,Geometry!$C$6:$C$10000)</f>
        <v>0</v>
      </c>
      <c r="T4723" s="69"/>
      <c r="U4723" s="69"/>
    </row>
    <row r="4724" spans="19:21" ht="15" customHeight="1" x14ac:dyDescent="0.2">
      <c r="S4724" s="69">
        <f>_xlfn.XLOOKUP(Results!A4724,Geometry!$B$6:$B$10000,Geometry!$C$6:$C$10000)</f>
        <v>0</v>
      </c>
      <c r="T4724" s="69"/>
      <c r="U4724" s="69"/>
    </row>
    <row r="4725" spans="19:21" ht="15" customHeight="1" x14ac:dyDescent="0.2">
      <c r="S4725" s="69">
        <f>_xlfn.XLOOKUP(Results!A4725,Geometry!$B$6:$B$10000,Geometry!$C$6:$C$10000)</f>
        <v>0</v>
      </c>
      <c r="T4725" s="69"/>
      <c r="U4725" s="69"/>
    </row>
    <row r="4726" spans="19:21" ht="15" customHeight="1" x14ac:dyDescent="0.2">
      <c r="S4726" s="69">
        <f>_xlfn.XLOOKUP(Results!A4726,Geometry!$B$6:$B$10000,Geometry!$C$6:$C$10000)</f>
        <v>0</v>
      </c>
      <c r="T4726" s="69"/>
      <c r="U4726" s="69"/>
    </row>
    <row r="4727" spans="19:21" ht="15" customHeight="1" x14ac:dyDescent="0.2">
      <c r="S4727" s="69">
        <f>_xlfn.XLOOKUP(Results!A4727,Geometry!$B$6:$B$10000,Geometry!$C$6:$C$10000)</f>
        <v>0</v>
      </c>
      <c r="T4727" s="69"/>
      <c r="U4727" s="69"/>
    </row>
    <row r="4728" spans="19:21" ht="15" customHeight="1" x14ac:dyDescent="0.2">
      <c r="S4728" s="69">
        <f>_xlfn.XLOOKUP(Results!A4728,Geometry!$B$6:$B$10000,Geometry!$C$6:$C$10000)</f>
        <v>0</v>
      </c>
      <c r="T4728" s="69"/>
      <c r="U4728" s="69"/>
    </row>
    <row r="4729" spans="19:21" ht="15" customHeight="1" x14ac:dyDescent="0.2">
      <c r="S4729" s="69">
        <f>_xlfn.XLOOKUP(Results!A4729,Geometry!$B$6:$B$10000,Geometry!$C$6:$C$10000)</f>
        <v>0</v>
      </c>
      <c r="T4729" s="69"/>
      <c r="U4729" s="69"/>
    </row>
    <row r="4730" spans="19:21" ht="15" customHeight="1" x14ac:dyDescent="0.2">
      <c r="S4730" s="69">
        <f>_xlfn.XLOOKUP(Results!A4730,Geometry!$B$6:$B$10000,Geometry!$C$6:$C$10000)</f>
        <v>0</v>
      </c>
      <c r="T4730" s="69"/>
      <c r="U4730" s="69"/>
    </row>
    <row r="4731" spans="19:21" ht="15" customHeight="1" x14ac:dyDescent="0.2">
      <c r="S4731" s="69">
        <f>_xlfn.XLOOKUP(Results!A4731,Geometry!$B$6:$B$10000,Geometry!$C$6:$C$10000)</f>
        <v>0</v>
      </c>
      <c r="T4731" s="69"/>
      <c r="U4731" s="69"/>
    </row>
    <row r="4732" spans="19:21" ht="15" customHeight="1" x14ac:dyDescent="0.2">
      <c r="S4732" s="69">
        <f>_xlfn.XLOOKUP(Results!A4732,Geometry!$B$6:$B$10000,Geometry!$C$6:$C$10000)</f>
        <v>0</v>
      </c>
      <c r="T4732" s="69"/>
      <c r="U4732" s="69"/>
    </row>
    <row r="4733" spans="19:21" ht="15" customHeight="1" x14ac:dyDescent="0.2">
      <c r="S4733" s="69">
        <f>_xlfn.XLOOKUP(Results!A4733,Geometry!$B$6:$B$10000,Geometry!$C$6:$C$10000)</f>
        <v>0</v>
      </c>
      <c r="T4733" s="69"/>
      <c r="U4733" s="69"/>
    </row>
    <row r="4734" spans="19:21" ht="15" customHeight="1" x14ac:dyDescent="0.2">
      <c r="S4734" s="69">
        <f>_xlfn.XLOOKUP(Results!A4734,Geometry!$B$6:$B$10000,Geometry!$C$6:$C$10000)</f>
        <v>0</v>
      </c>
      <c r="T4734" s="69"/>
      <c r="U4734" s="69"/>
    </row>
    <row r="4735" spans="19:21" ht="15" customHeight="1" x14ac:dyDescent="0.2">
      <c r="S4735" s="69">
        <f>_xlfn.XLOOKUP(Results!A4735,Geometry!$B$6:$B$10000,Geometry!$C$6:$C$10000)</f>
        <v>0</v>
      </c>
      <c r="T4735" s="69"/>
      <c r="U4735" s="69"/>
    </row>
    <row r="4736" spans="19:21" ht="15" customHeight="1" x14ac:dyDescent="0.2">
      <c r="S4736" s="69">
        <f>_xlfn.XLOOKUP(Results!A4736,Geometry!$B$6:$B$10000,Geometry!$C$6:$C$10000)</f>
        <v>0</v>
      </c>
      <c r="T4736" s="69"/>
      <c r="U4736" s="69"/>
    </row>
    <row r="4737" spans="19:21" ht="15" customHeight="1" x14ac:dyDescent="0.2">
      <c r="S4737" s="69">
        <f>_xlfn.XLOOKUP(Results!A4737,Geometry!$B$6:$B$10000,Geometry!$C$6:$C$10000)</f>
        <v>0</v>
      </c>
      <c r="T4737" s="69"/>
      <c r="U4737" s="69"/>
    </row>
    <row r="4738" spans="19:21" ht="15" customHeight="1" x14ac:dyDescent="0.2">
      <c r="S4738" s="69">
        <f>_xlfn.XLOOKUP(Results!A4738,Geometry!$B$6:$B$10000,Geometry!$C$6:$C$10000)</f>
        <v>0</v>
      </c>
      <c r="T4738" s="69"/>
      <c r="U4738" s="69"/>
    </row>
    <row r="4739" spans="19:21" ht="15" customHeight="1" x14ac:dyDescent="0.2">
      <c r="S4739" s="69">
        <f>_xlfn.XLOOKUP(Results!A4739,Geometry!$B$6:$B$10000,Geometry!$C$6:$C$10000)</f>
        <v>0</v>
      </c>
      <c r="T4739" s="69"/>
      <c r="U4739" s="69"/>
    </row>
    <row r="4740" spans="19:21" ht="15" customHeight="1" x14ac:dyDescent="0.2">
      <c r="S4740" s="69">
        <f>_xlfn.XLOOKUP(Results!A4740,Geometry!$B$6:$B$10000,Geometry!$C$6:$C$10000)</f>
        <v>0</v>
      </c>
      <c r="T4740" s="69"/>
      <c r="U4740" s="69"/>
    </row>
    <row r="4741" spans="19:21" ht="15" customHeight="1" x14ac:dyDescent="0.2">
      <c r="S4741" s="69">
        <f>_xlfn.XLOOKUP(Results!A4741,Geometry!$B$6:$B$10000,Geometry!$C$6:$C$10000)</f>
        <v>0</v>
      </c>
      <c r="T4741" s="69"/>
      <c r="U4741" s="69"/>
    </row>
    <row r="4742" spans="19:21" ht="15" customHeight="1" x14ac:dyDescent="0.2">
      <c r="S4742" s="69">
        <f>_xlfn.XLOOKUP(Results!A4742,Geometry!$B$6:$B$10000,Geometry!$C$6:$C$10000)</f>
        <v>0</v>
      </c>
      <c r="T4742" s="69"/>
      <c r="U4742" s="69"/>
    </row>
    <row r="4743" spans="19:21" ht="15" customHeight="1" x14ac:dyDescent="0.2">
      <c r="S4743" s="69">
        <f>_xlfn.XLOOKUP(Results!A4743,Geometry!$B$6:$B$10000,Geometry!$C$6:$C$10000)</f>
        <v>0</v>
      </c>
      <c r="T4743" s="69"/>
      <c r="U4743" s="69"/>
    </row>
    <row r="4744" spans="19:21" ht="15" customHeight="1" x14ac:dyDescent="0.2">
      <c r="S4744" s="69">
        <f>_xlfn.XLOOKUP(Results!A4744,Geometry!$B$6:$B$10000,Geometry!$C$6:$C$10000)</f>
        <v>0</v>
      </c>
      <c r="T4744" s="69"/>
      <c r="U4744" s="69"/>
    </row>
    <row r="4745" spans="19:21" ht="15" customHeight="1" x14ac:dyDescent="0.2">
      <c r="S4745" s="69">
        <f>_xlfn.XLOOKUP(Results!A4745,Geometry!$B$6:$B$10000,Geometry!$C$6:$C$10000)</f>
        <v>0</v>
      </c>
      <c r="T4745" s="69"/>
      <c r="U4745" s="69"/>
    </row>
    <row r="4746" spans="19:21" ht="15" customHeight="1" x14ac:dyDescent="0.2">
      <c r="S4746" s="69">
        <f>_xlfn.XLOOKUP(Results!A4746,Geometry!$B$6:$B$10000,Geometry!$C$6:$C$10000)</f>
        <v>0</v>
      </c>
      <c r="T4746" s="69"/>
      <c r="U4746" s="69"/>
    </row>
    <row r="4747" spans="19:21" ht="15" customHeight="1" x14ac:dyDescent="0.2">
      <c r="S4747" s="69">
        <f>_xlfn.XLOOKUP(Results!A4747,Geometry!$B$6:$B$10000,Geometry!$C$6:$C$10000)</f>
        <v>0</v>
      </c>
      <c r="T4747" s="69"/>
      <c r="U4747" s="69"/>
    </row>
    <row r="4748" spans="19:21" ht="15" customHeight="1" x14ac:dyDescent="0.2">
      <c r="S4748" s="69">
        <f>_xlfn.XLOOKUP(Results!A4748,Geometry!$B$6:$B$10000,Geometry!$C$6:$C$10000)</f>
        <v>0</v>
      </c>
      <c r="T4748" s="69"/>
      <c r="U4748" s="69"/>
    </row>
    <row r="4749" spans="19:21" ht="15" customHeight="1" x14ac:dyDescent="0.2">
      <c r="S4749" s="69">
        <f>_xlfn.XLOOKUP(Results!A4749,Geometry!$B$6:$B$10000,Geometry!$C$6:$C$10000)</f>
        <v>0</v>
      </c>
      <c r="T4749" s="69"/>
      <c r="U4749" s="69"/>
    </row>
    <row r="4750" spans="19:21" ht="15" customHeight="1" x14ac:dyDescent="0.2">
      <c r="S4750" s="69">
        <f>_xlfn.XLOOKUP(Results!A4750,Geometry!$B$6:$B$10000,Geometry!$C$6:$C$10000)</f>
        <v>0</v>
      </c>
      <c r="T4750" s="69"/>
      <c r="U4750" s="69"/>
    </row>
    <row r="4751" spans="19:21" ht="15" customHeight="1" x14ac:dyDescent="0.2">
      <c r="S4751" s="69">
        <f>_xlfn.XLOOKUP(Results!A4751,Geometry!$B$6:$B$10000,Geometry!$C$6:$C$10000)</f>
        <v>0</v>
      </c>
      <c r="T4751" s="69"/>
      <c r="U4751" s="69"/>
    </row>
    <row r="4752" spans="19:21" ht="15" customHeight="1" x14ac:dyDescent="0.2">
      <c r="S4752" s="69">
        <f>_xlfn.XLOOKUP(Results!A4752,Geometry!$B$6:$B$10000,Geometry!$C$6:$C$10000)</f>
        <v>0</v>
      </c>
      <c r="T4752" s="69"/>
      <c r="U4752" s="69"/>
    </row>
    <row r="4753" spans="19:21" ht="15" customHeight="1" x14ac:dyDescent="0.2">
      <c r="S4753" s="69">
        <f>_xlfn.XLOOKUP(Results!A4753,Geometry!$B$6:$B$10000,Geometry!$C$6:$C$10000)</f>
        <v>0</v>
      </c>
      <c r="T4753" s="69"/>
      <c r="U4753" s="69"/>
    </row>
    <row r="4754" spans="19:21" ht="15" customHeight="1" x14ac:dyDescent="0.2">
      <c r="S4754" s="69">
        <f>_xlfn.XLOOKUP(Results!A4754,Geometry!$B$6:$B$10000,Geometry!$C$6:$C$10000)</f>
        <v>0</v>
      </c>
      <c r="T4754" s="69"/>
      <c r="U4754" s="69"/>
    </row>
    <row r="4755" spans="19:21" ht="15" customHeight="1" x14ac:dyDescent="0.2">
      <c r="S4755" s="69">
        <f>_xlfn.XLOOKUP(Results!A4755,Geometry!$B$6:$B$10000,Geometry!$C$6:$C$10000)</f>
        <v>0</v>
      </c>
      <c r="T4755" s="69"/>
      <c r="U4755" s="69"/>
    </row>
    <row r="4756" spans="19:21" ht="15" customHeight="1" x14ac:dyDescent="0.2">
      <c r="S4756" s="69">
        <f>_xlfn.XLOOKUP(Results!A4756,Geometry!$B$6:$B$10000,Geometry!$C$6:$C$10000)</f>
        <v>0</v>
      </c>
      <c r="T4756" s="69"/>
      <c r="U4756" s="69"/>
    </row>
    <row r="4757" spans="19:21" ht="15" customHeight="1" x14ac:dyDescent="0.2">
      <c r="S4757" s="69">
        <f>_xlfn.XLOOKUP(Results!A4757,Geometry!$B$6:$B$10000,Geometry!$C$6:$C$10000)</f>
        <v>0</v>
      </c>
      <c r="T4757" s="69"/>
      <c r="U4757" s="69"/>
    </row>
    <row r="4758" spans="19:21" ht="15" customHeight="1" x14ac:dyDescent="0.2">
      <c r="S4758" s="69">
        <f>_xlfn.XLOOKUP(Results!A4758,Geometry!$B$6:$B$10000,Geometry!$C$6:$C$10000)</f>
        <v>0</v>
      </c>
      <c r="T4758" s="69"/>
      <c r="U4758" s="69"/>
    </row>
    <row r="4759" spans="19:21" ht="15" customHeight="1" x14ac:dyDescent="0.2">
      <c r="S4759" s="69">
        <f>_xlfn.XLOOKUP(Results!A4759,Geometry!$B$6:$B$10000,Geometry!$C$6:$C$10000)</f>
        <v>0</v>
      </c>
      <c r="T4759" s="69"/>
      <c r="U4759" s="69"/>
    </row>
    <row r="4760" spans="19:21" ht="15" customHeight="1" x14ac:dyDescent="0.2">
      <c r="S4760" s="69">
        <f>_xlfn.XLOOKUP(Results!A4760,Geometry!$B$6:$B$10000,Geometry!$C$6:$C$10000)</f>
        <v>0</v>
      </c>
      <c r="T4760" s="69"/>
      <c r="U4760" s="69"/>
    </row>
    <row r="4761" spans="19:21" ht="15" customHeight="1" x14ac:dyDescent="0.2">
      <c r="S4761" s="69">
        <f>_xlfn.XLOOKUP(Results!A4761,Geometry!$B$6:$B$10000,Geometry!$C$6:$C$10000)</f>
        <v>0</v>
      </c>
      <c r="T4761" s="69"/>
      <c r="U4761" s="69"/>
    </row>
    <row r="4762" spans="19:21" ht="15" customHeight="1" x14ac:dyDescent="0.2">
      <c r="S4762" s="69">
        <f>_xlfn.XLOOKUP(Results!A4762,Geometry!$B$6:$B$10000,Geometry!$C$6:$C$10000)</f>
        <v>0</v>
      </c>
      <c r="T4762" s="69"/>
      <c r="U4762" s="69"/>
    </row>
    <row r="4763" spans="19:21" ht="15" customHeight="1" x14ac:dyDescent="0.2">
      <c r="S4763" s="69">
        <f>_xlfn.XLOOKUP(Results!A4763,Geometry!$B$6:$B$10000,Geometry!$C$6:$C$10000)</f>
        <v>0</v>
      </c>
      <c r="T4763" s="69"/>
      <c r="U4763" s="69"/>
    </row>
    <row r="4764" spans="19:21" ht="15" customHeight="1" x14ac:dyDescent="0.2">
      <c r="S4764" s="69">
        <f>_xlfn.XLOOKUP(Results!A4764,Geometry!$B$6:$B$10000,Geometry!$C$6:$C$10000)</f>
        <v>0</v>
      </c>
      <c r="T4764" s="69"/>
      <c r="U4764" s="69"/>
    </row>
    <row r="4765" spans="19:21" ht="15" customHeight="1" x14ac:dyDescent="0.2">
      <c r="S4765" s="69">
        <f>_xlfn.XLOOKUP(Results!A4765,Geometry!$B$6:$B$10000,Geometry!$C$6:$C$10000)</f>
        <v>0</v>
      </c>
      <c r="T4765" s="69"/>
      <c r="U4765" s="69"/>
    </row>
    <row r="4766" spans="19:21" ht="15" customHeight="1" x14ac:dyDescent="0.2">
      <c r="S4766" s="69">
        <f>_xlfn.XLOOKUP(Results!A4766,Geometry!$B$6:$B$10000,Geometry!$C$6:$C$10000)</f>
        <v>0</v>
      </c>
      <c r="T4766" s="69"/>
      <c r="U4766" s="69"/>
    </row>
    <row r="4767" spans="19:21" ht="15" customHeight="1" x14ac:dyDescent="0.2">
      <c r="S4767" s="69">
        <f>_xlfn.XLOOKUP(Results!A4767,Geometry!$B$6:$B$10000,Geometry!$C$6:$C$10000)</f>
        <v>0</v>
      </c>
      <c r="T4767" s="69"/>
      <c r="U4767" s="69"/>
    </row>
    <row r="4768" spans="19:21" ht="15" customHeight="1" x14ac:dyDescent="0.2">
      <c r="S4768" s="69">
        <f>_xlfn.XLOOKUP(Results!A4768,Geometry!$B$6:$B$10000,Geometry!$C$6:$C$10000)</f>
        <v>0</v>
      </c>
      <c r="T4768" s="69"/>
      <c r="U4768" s="69"/>
    </row>
    <row r="4769" spans="19:21" ht="15" customHeight="1" x14ac:dyDescent="0.2">
      <c r="S4769" s="69">
        <f>_xlfn.XLOOKUP(Results!A4769,Geometry!$B$6:$B$10000,Geometry!$C$6:$C$10000)</f>
        <v>0</v>
      </c>
      <c r="T4769" s="69"/>
      <c r="U4769" s="69"/>
    </row>
    <row r="4770" spans="19:21" ht="15" customHeight="1" x14ac:dyDescent="0.2">
      <c r="S4770" s="69">
        <f>_xlfn.XLOOKUP(Results!A4770,Geometry!$B$6:$B$10000,Geometry!$C$6:$C$10000)</f>
        <v>0</v>
      </c>
      <c r="T4770" s="69"/>
      <c r="U4770" s="69"/>
    </row>
    <row r="4771" spans="19:21" ht="15" customHeight="1" x14ac:dyDescent="0.2">
      <c r="S4771" s="69">
        <f>_xlfn.XLOOKUP(Results!A4771,Geometry!$B$6:$B$10000,Geometry!$C$6:$C$10000)</f>
        <v>0</v>
      </c>
      <c r="T4771" s="69"/>
      <c r="U4771" s="69"/>
    </row>
    <row r="4772" spans="19:21" ht="15" customHeight="1" x14ac:dyDescent="0.2">
      <c r="S4772" s="69">
        <f>_xlfn.XLOOKUP(Results!A4772,Geometry!$B$6:$B$10000,Geometry!$C$6:$C$10000)</f>
        <v>0</v>
      </c>
      <c r="T4772" s="69"/>
      <c r="U4772" s="69"/>
    </row>
    <row r="4773" spans="19:21" ht="15" customHeight="1" x14ac:dyDescent="0.2">
      <c r="S4773" s="69">
        <f>_xlfn.XLOOKUP(Results!A4773,Geometry!$B$6:$B$10000,Geometry!$C$6:$C$10000)</f>
        <v>0</v>
      </c>
      <c r="T4773" s="69"/>
      <c r="U4773" s="69"/>
    </row>
    <row r="4774" spans="19:21" ht="15" customHeight="1" x14ac:dyDescent="0.2">
      <c r="S4774" s="69">
        <f>_xlfn.XLOOKUP(Results!A4774,Geometry!$B$6:$B$10000,Geometry!$C$6:$C$10000)</f>
        <v>0</v>
      </c>
      <c r="T4774" s="69"/>
      <c r="U4774" s="69"/>
    </row>
    <row r="4775" spans="19:21" ht="15" customHeight="1" x14ac:dyDescent="0.2">
      <c r="S4775" s="69">
        <f>_xlfn.XLOOKUP(Results!A4775,Geometry!$B$6:$B$10000,Geometry!$C$6:$C$10000)</f>
        <v>0</v>
      </c>
      <c r="T4775" s="69"/>
      <c r="U4775" s="69"/>
    </row>
    <row r="4776" spans="19:21" ht="15" customHeight="1" x14ac:dyDescent="0.2">
      <c r="S4776" s="69">
        <f>_xlfn.XLOOKUP(Results!A4776,Geometry!$B$6:$B$10000,Geometry!$C$6:$C$10000)</f>
        <v>0</v>
      </c>
      <c r="T4776" s="69"/>
      <c r="U4776" s="69"/>
    </row>
    <row r="4777" spans="19:21" ht="15" customHeight="1" x14ac:dyDescent="0.2">
      <c r="S4777" s="69">
        <f>_xlfn.XLOOKUP(Results!A4777,Geometry!$B$6:$B$10000,Geometry!$C$6:$C$10000)</f>
        <v>0</v>
      </c>
      <c r="T4777" s="69"/>
      <c r="U4777" s="69"/>
    </row>
    <row r="4778" spans="19:21" ht="15" customHeight="1" x14ac:dyDescent="0.2">
      <c r="S4778" s="69">
        <f>_xlfn.XLOOKUP(Results!A4778,Geometry!$B$6:$B$10000,Geometry!$C$6:$C$10000)</f>
        <v>0</v>
      </c>
      <c r="T4778" s="69"/>
      <c r="U4778" s="69"/>
    </row>
    <row r="4779" spans="19:21" ht="15" customHeight="1" x14ac:dyDescent="0.2">
      <c r="S4779" s="69">
        <f>_xlfn.XLOOKUP(Results!A4779,Geometry!$B$6:$B$10000,Geometry!$C$6:$C$10000)</f>
        <v>0</v>
      </c>
      <c r="T4779" s="69"/>
      <c r="U4779" s="69"/>
    </row>
    <row r="4780" spans="19:21" ht="15" customHeight="1" x14ac:dyDescent="0.2">
      <c r="S4780" s="69">
        <f>_xlfn.XLOOKUP(Results!A4780,Geometry!$B$6:$B$10000,Geometry!$C$6:$C$10000)</f>
        <v>0</v>
      </c>
      <c r="T4780" s="69"/>
      <c r="U4780" s="69"/>
    </row>
    <row r="4781" spans="19:21" ht="15" customHeight="1" x14ac:dyDescent="0.2">
      <c r="S4781" s="69">
        <f>_xlfn.XLOOKUP(Results!A4781,Geometry!$B$6:$B$10000,Geometry!$C$6:$C$10000)</f>
        <v>0</v>
      </c>
      <c r="T4781" s="69"/>
      <c r="U4781" s="69"/>
    </row>
    <row r="4782" spans="19:21" ht="15" customHeight="1" x14ac:dyDescent="0.2">
      <c r="S4782" s="69">
        <f>_xlfn.XLOOKUP(Results!A4782,Geometry!$B$6:$B$10000,Geometry!$C$6:$C$10000)</f>
        <v>0</v>
      </c>
      <c r="T4782" s="69"/>
      <c r="U4782" s="69"/>
    </row>
    <row r="4783" spans="19:21" ht="15" customHeight="1" x14ac:dyDescent="0.2">
      <c r="S4783" s="69">
        <f>_xlfn.XLOOKUP(Results!A4783,Geometry!$B$6:$B$10000,Geometry!$C$6:$C$10000)</f>
        <v>0</v>
      </c>
      <c r="T4783" s="69"/>
      <c r="U4783" s="69"/>
    </row>
    <row r="4784" spans="19:21" ht="15" customHeight="1" x14ac:dyDescent="0.2">
      <c r="S4784" s="69">
        <f>_xlfn.XLOOKUP(Results!A4784,Geometry!$B$6:$B$10000,Geometry!$C$6:$C$10000)</f>
        <v>0</v>
      </c>
      <c r="T4784" s="69"/>
      <c r="U4784" s="69"/>
    </row>
    <row r="4785" spans="19:21" ht="15" customHeight="1" x14ac:dyDescent="0.2">
      <c r="S4785" s="69">
        <f>_xlfn.XLOOKUP(Results!A4785,Geometry!$B$6:$B$10000,Geometry!$C$6:$C$10000)</f>
        <v>0</v>
      </c>
      <c r="T4785" s="69"/>
      <c r="U4785" s="69"/>
    </row>
    <row r="4786" spans="19:21" ht="15" customHeight="1" x14ac:dyDescent="0.2">
      <c r="S4786" s="69">
        <f>_xlfn.XLOOKUP(Results!A4786,Geometry!$B$6:$B$10000,Geometry!$C$6:$C$10000)</f>
        <v>0</v>
      </c>
      <c r="T4786" s="69"/>
      <c r="U4786" s="69"/>
    </row>
    <row r="4787" spans="19:21" ht="15" customHeight="1" x14ac:dyDescent="0.2">
      <c r="S4787" s="69">
        <f>_xlfn.XLOOKUP(Results!A4787,Geometry!$B$6:$B$10000,Geometry!$C$6:$C$10000)</f>
        <v>0</v>
      </c>
      <c r="T4787" s="69"/>
      <c r="U4787" s="69"/>
    </row>
    <row r="4788" spans="19:21" ht="15" customHeight="1" x14ac:dyDescent="0.2">
      <c r="S4788" s="69">
        <f>_xlfn.XLOOKUP(Results!A4788,Geometry!$B$6:$B$10000,Geometry!$C$6:$C$10000)</f>
        <v>0</v>
      </c>
      <c r="T4788" s="69"/>
      <c r="U4788" s="69"/>
    </row>
    <row r="4789" spans="19:21" ht="15" customHeight="1" x14ac:dyDescent="0.2">
      <c r="S4789" s="69">
        <f>_xlfn.XLOOKUP(Results!A4789,Geometry!$B$6:$B$10000,Geometry!$C$6:$C$10000)</f>
        <v>0</v>
      </c>
      <c r="T4789" s="69"/>
      <c r="U4789" s="69"/>
    </row>
    <row r="4790" spans="19:21" ht="15" customHeight="1" x14ac:dyDescent="0.2">
      <c r="S4790" s="69">
        <f>_xlfn.XLOOKUP(Results!A4790,Geometry!$B$6:$B$10000,Geometry!$C$6:$C$10000)</f>
        <v>0</v>
      </c>
      <c r="T4790" s="69"/>
      <c r="U4790" s="69"/>
    </row>
    <row r="4791" spans="19:21" ht="15" customHeight="1" x14ac:dyDescent="0.2">
      <c r="S4791" s="69">
        <f>_xlfn.XLOOKUP(Results!A4791,Geometry!$B$6:$B$10000,Geometry!$C$6:$C$10000)</f>
        <v>0</v>
      </c>
      <c r="T4791" s="69"/>
      <c r="U4791" s="69"/>
    </row>
    <row r="4792" spans="19:21" ht="15" customHeight="1" x14ac:dyDescent="0.2">
      <c r="S4792" s="69">
        <f>_xlfn.XLOOKUP(Results!A4792,Geometry!$B$6:$B$10000,Geometry!$C$6:$C$10000)</f>
        <v>0</v>
      </c>
      <c r="T4792" s="69"/>
      <c r="U4792" s="69"/>
    </row>
    <row r="4793" spans="19:21" ht="15" customHeight="1" x14ac:dyDescent="0.2">
      <c r="S4793" s="69">
        <f>_xlfn.XLOOKUP(Results!A4793,Geometry!$B$6:$B$10000,Geometry!$C$6:$C$10000)</f>
        <v>0</v>
      </c>
      <c r="T4793" s="69"/>
      <c r="U4793" s="69"/>
    </row>
    <row r="4794" spans="19:21" ht="15" customHeight="1" x14ac:dyDescent="0.2">
      <c r="S4794" s="69">
        <f>_xlfn.XLOOKUP(Results!A4794,Geometry!$B$6:$B$10000,Geometry!$C$6:$C$10000)</f>
        <v>0</v>
      </c>
      <c r="T4794" s="69"/>
      <c r="U4794" s="69"/>
    </row>
    <row r="4795" spans="19:21" ht="15" customHeight="1" x14ac:dyDescent="0.2">
      <c r="S4795" s="69">
        <f>_xlfn.XLOOKUP(Results!A4795,Geometry!$B$6:$B$10000,Geometry!$C$6:$C$10000)</f>
        <v>0</v>
      </c>
      <c r="T4795" s="69"/>
      <c r="U4795" s="69"/>
    </row>
    <row r="4796" spans="19:21" ht="15" customHeight="1" x14ac:dyDescent="0.2">
      <c r="S4796" s="69">
        <f>_xlfn.XLOOKUP(Results!A4796,Geometry!$B$6:$B$10000,Geometry!$C$6:$C$10000)</f>
        <v>0</v>
      </c>
      <c r="T4796" s="69"/>
      <c r="U4796" s="69"/>
    </row>
    <row r="4797" spans="19:21" ht="15" customHeight="1" x14ac:dyDescent="0.2">
      <c r="S4797" s="69">
        <f>_xlfn.XLOOKUP(Results!A4797,Geometry!$B$6:$B$10000,Geometry!$C$6:$C$10000)</f>
        <v>0</v>
      </c>
      <c r="T4797" s="69"/>
      <c r="U4797" s="69"/>
    </row>
    <row r="4798" spans="19:21" ht="15" customHeight="1" x14ac:dyDescent="0.2">
      <c r="S4798" s="69">
        <f>_xlfn.XLOOKUP(Results!A4798,Geometry!$B$6:$B$10000,Geometry!$C$6:$C$10000)</f>
        <v>0</v>
      </c>
      <c r="T4798" s="69"/>
      <c r="U4798" s="69"/>
    </row>
    <row r="4799" spans="19:21" ht="15" customHeight="1" x14ac:dyDescent="0.2">
      <c r="S4799" s="69">
        <f>_xlfn.XLOOKUP(Results!A4799,Geometry!$B$6:$B$10000,Geometry!$C$6:$C$10000)</f>
        <v>0</v>
      </c>
      <c r="T4799" s="69"/>
      <c r="U4799" s="69"/>
    </row>
    <row r="4800" spans="19:21" ht="15" customHeight="1" x14ac:dyDescent="0.2">
      <c r="S4800" s="69">
        <f>_xlfn.XLOOKUP(Results!A4800,Geometry!$B$6:$B$10000,Geometry!$C$6:$C$10000)</f>
        <v>0</v>
      </c>
      <c r="T4800" s="69"/>
      <c r="U4800" s="69"/>
    </row>
    <row r="4801" spans="19:21" ht="15" customHeight="1" x14ac:dyDescent="0.2">
      <c r="S4801" s="69">
        <f>_xlfn.XLOOKUP(Results!A4801,Geometry!$B$6:$B$10000,Geometry!$C$6:$C$10000)</f>
        <v>0</v>
      </c>
      <c r="T4801" s="69"/>
      <c r="U4801" s="69"/>
    </row>
    <row r="4802" spans="19:21" ht="15" customHeight="1" x14ac:dyDescent="0.2">
      <c r="S4802" s="69">
        <f>_xlfn.XLOOKUP(Results!A4802,Geometry!$B$6:$B$10000,Geometry!$C$6:$C$10000)</f>
        <v>0</v>
      </c>
      <c r="T4802" s="69"/>
      <c r="U4802" s="69"/>
    </row>
    <row r="4803" spans="19:21" ht="15" customHeight="1" x14ac:dyDescent="0.2">
      <c r="S4803" s="69">
        <f>_xlfn.XLOOKUP(Results!A4803,Geometry!$B$6:$B$10000,Geometry!$C$6:$C$10000)</f>
        <v>0</v>
      </c>
      <c r="T4803" s="69"/>
      <c r="U4803" s="69"/>
    </row>
    <row r="4804" spans="19:21" ht="15" customHeight="1" x14ac:dyDescent="0.2">
      <c r="S4804" s="69">
        <f>_xlfn.XLOOKUP(Results!A4804,Geometry!$B$6:$B$10000,Geometry!$C$6:$C$10000)</f>
        <v>0</v>
      </c>
      <c r="T4804" s="69"/>
      <c r="U4804" s="69"/>
    </row>
    <row r="4805" spans="19:21" ht="15" customHeight="1" x14ac:dyDescent="0.2">
      <c r="S4805" s="69">
        <f>_xlfn.XLOOKUP(Results!A4805,Geometry!$B$6:$B$10000,Geometry!$C$6:$C$10000)</f>
        <v>0</v>
      </c>
      <c r="T4805" s="69"/>
      <c r="U4805" s="69"/>
    </row>
    <row r="4806" spans="19:21" ht="15" customHeight="1" x14ac:dyDescent="0.2">
      <c r="S4806" s="69">
        <f>_xlfn.XLOOKUP(Results!A4806,Geometry!$B$6:$B$10000,Geometry!$C$6:$C$10000)</f>
        <v>0</v>
      </c>
      <c r="T4806" s="69"/>
      <c r="U4806" s="69"/>
    </row>
    <row r="4807" spans="19:21" ht="15" customHeight="1" x14ac:dyDescent="0.2">
      <c r="S4807" s="69">
        <f>_xlfn.XLOOKUP(Results!A4807,Geometry!$B$6:$B$10000,Geometry!$C$6:$C$10000)</f>
        <v>0</v>
      </c>
      <c r="T4807" s="69"/>
      <c r="U4807" s="69"/>
    </row>
    <row r="4808" spans="19:21" ht="15" customHeight="1" x14ac:dyDescent="0.2">
      <c r="S4808" s="69">
        <f>_xlfn.XLOOKUP(Results!A4808,Geometry!$B$6:$B$10000,Geometry!$C$6:$C$10000)</f>
        <v>0</v>
      </c>
      <c r="T4808" s="69"/>
      <c r="U4808" s="69"/>
    </row>
    <row r="4809" spans="19:21" ht="15" customHeight="1" x14ac:dyDescent="0.2">
      <c r="S4809" s="69">
        <f>_xlfn.XLOOKUP(Results!A4809,Geometry!$B$6:$B$10000,Geometry!$C$6:$C$10000)</f>
        <v>0</v>
      </c>
      <c r="T4809" s="69"/>
      <c r="U4809" s="69"/>
    </row>
    <row r="4810" spans="19:21" ht="15" customHeight="1" x14ac:dyDescent="0.2">
      <c r="S4810" s="69">
        <f>_xlfn.XLOOKUP(Results!A4810,Geometry!$B$6:$B$10000,Geometry!$C$6:$C$10000)</f>
        <v>0</v>
      </c>
      <c r="T4810" s="69"/>
      <c r="U4810" s="69"/>
    </row>
    <row r="4811" spans="19:21" ht="15" customHeight="1" x14ac:dyDescent="0.2">
      <c r="S4811" s="69">
        <f>_xlfn.XLOOKUP(Results!A4811,Geometry!$B$6:$B$10000,Geometry!$C$6:$C$10000)</f>
        <v>0</v>
      </c>
      <c r="T4811" s="69"/>
      <c r="U4811" s="69"/>
    </row>
    <row r="4812" spans="19:21" ht="15" customHeight="1" x14ac:dyDescent="0.2">
      <c r="S4812" s="69">
        <f>_xlfn.XLOOKUP(Results!A4812,Geometry!$B$6:$B$10000,Geometry!$C$6:$C$10000)</f>
        <v>0</v>
      </c>
      <c r="T4812" s="69"/>
      <c r="U4812" s="69"/>
    </row>
    <row r="4813" spans="19:21" ht="15" customHeight="1" x14ac:dyDescent="0.2">
      <c r="S4813" s="69">
        <f>_xlfn.XLOOKUP(Results!A4813,Geometry!$B$6:$B$10000,Geometry!$C$6:$C$10000)</f>
        <v>0</v>
      </c>
      <c r="T4813" s="69"/>
      <c r="U4813" s="69"/>
    </row>
    <row r="4814" spans="19:21" ht="15" customHeight="1" x14ac:dyDescent="0.2">
      <c r="S4814" s="69">
        <f>_xlfn.XLOOKUP(Results!A4814,Geometry!$B$6:$B$10000,Geometry!$C$6:$C$10000)</f>
        <v>0</v>
      </c>
      <c r="T4814" s="69"/>
      <c r="U4814" s="69"/>
    </row>
    <row r="4815" spans="19:21" ht="15" customHeight="1" x14ac:dyDescent="0.2">
      <c r="S4815" s="69">
        <f>_xlfn.XLOOKUP(Results!A4815,Geometry!$B$6:$B$10000,Geometry!$C$6:$C$10000)</f>
        <v>0</v>
      </c>
      <c r="T4815" s="69"/>
      <c r="U4815" s="69"/>
    </row>
    <row r="4816" spans="19:21" ht="15" customHeight="1" x14ac:dyDescent="0.2">
      <c r="S4816" s="69">
        <f>_xlfn.XLOOKUP(Results!A4816,Geometry!$B$6:$B$10000,Geometry!$C$6:$C$10000)</f>
        <v>0</v>
      </c>
      <c r="T4816" s="69"/>
      <c r="U4816" s="69"/>
    </row>
    <row r="4817" spans="19:21" ht="15" customHeight="1" x14ac:dyDescent="0.2">
      <c r="S4817" s="69">
        <f>_xlfn.XLOOKUP(Results!A4817,Geometry!$B$6:$B$10000,Geometry!$C$6:$C$10000)</f>
        <v>0</v>
      </c>
      <c r="T4817" s="69"/>
      <c r="U4817" s="69"/>
    </row>
    <row r="4818" spans="19:21" ht="15" customHeight="1" x14ac:dyDescent="0.2">
      <c r="S4818" s="69">
        <f>_xlfn.XLOOKUP(Results!A4818,Geometry!$B$6:$B$10000,Geometry!$C$6:$C$10000)</f>
        <v>0</v>
      </c>
      <c r="T4818" s="69"/>
      <c r="U4818" s="69"/>
    </row>
    <row r="4819" spans="19:21" ht="15" customHeight="1" x14ac:dyDescent="0.2">
      <c r="S4819" s="69">
        <f>_xlfn.XLOOKUP(Results!A4819,Geometry!$B$6:$B$10000,Geometry!$C$6:$C$10000)</f>
        <v>0</v>
      </c>
      <c r="T4819" s="69"/>
      <c r="U4819" s="69"/>
    </row>
    <row r="4820" spans="19:21" ht="15" customHeight="1" x14ac:dyDescent="0.2">
      <c r="S4820" s="69">
        <f>_xlfn.XLOOKUP(Results!A4820,Geometry!$B$6:$B$10000,Geometry!$C$6:$C$10000)</f>
        <v>0</v>
      </c>
      <c r="T4820" s="69"/>
      <c r="U4820" s="69"/>
    </row>
    <row r="4821" spans="19:21" ht="15" customHeight="1" x14ac:dyDescent="0.2">
      <c r="S4821" s="69">
        <f>_xlfn.XLOOKUP(Results!A4821,Geometry!$B$6:$B$10000,Geometry!$C$6:$C$10000)</f>
        <v>0</v>
      </c>
      <c r="T4821" s="69"/>
      <c r="U4821" s="69"/>
    </row>
    <row r="4822" spans="19:21" ht="15" customHeight="1" x14ac:dyDescent="0.2">
      <c r="S4822" s="69">
        <f>_xlfn.XLOOKUP(Results!A4822,Geometry!$B$6:$B$10000,Geometry!$C$6:$C$10000)</f>
        <v>0</v>
      </c>
      <c r="T4822" s="69"/>
      <c r="U4822" s="69"/>
    </row>
    <row r="4823" spans="19:21" ht="15" customHeight="1" x14ac:dyDescent="0.2">
      <c r="S4823" s="69">
        <f>_xlfn.XLOOKUP(Results!A4823,Geometry!$B$6:$B$10000,Geometry!$C$6:$C$10000)</f>
        <v>0</v>
      </c>
      <c r="T4823" s="69"/>
      <c r="U4823" s="69"/>
    </row>
    <row r="4824" spans="19:21" ht="15" customHeight="1" x14ac:dyDescent="0.2">
      <c r="S4824" s="69">
        <f>_xlfn.XLOOKUP(Results!A4824,Geometry!$B$6:$B$10000,Geometry!$C$6:$C$10000)</f>
        <v>0</v>
      </c>
      <c r="T4824" s="69"/>
      <c r="U4824" s="69"/>
    </row>
    <row r="4825" spans="19:21" ht="15" customHeight="1" x14ac:dyDescent="0.2">
      <c r="S4825" s="69">
        <f>_xlfn.XLOOKUP(Results!A4825,Geometry!$B$6:$B$10000,Geometry!$C$6:$C$10000)</f>
        <v>0</v>
      </c>
      <c r="T4825" s="69"/>
      <c r="U4825" s="69"/>
    </row>
    <row r="4826" spans="19:21" ht="15" customHeight="1" x14ac:dyDescent="0.2">
      <c r="S4826" s="69">
        <f>_xlfn.XLOOKUP(Results!A4826,Geometry!$B$6:$B$10000,Geometry!$C$6:$C$10000)</f>
        <v>0</v>
      </c>
      <c r="T4826" s="69"/>
      <c r="U4826" s="69"/>
    </row>
    <row r="4827" spans="19:21" ht="15" customHeight="1" x14ac:dyDescent="0.2">
      <c r="S4827" s="69">
        <f>_xlfn.XLOOKUP(Results!A4827,Geometry!$B$6:$B$10000,Geometry!$C$6:$C$10000)</f>
        <v>0</v>
      </c>
      <c r="T4827" s="69"/>
      <c r="U4827" s="69"/>
    </row>
    <row r="4828" spans="19:21" ht="15" customHeight="1" x14ac:dyDescent="0.2">
      <c r="S4828" s="69">
        <f>_xlfn.XLOOKUP(Results!A4828,Geometry!$B$6:$B$10000,Geometry!$C$6:$C$10000)</f>
        <v>0</v>
      </c>
      <c r="T4828" s="69"/>
      <c r="U4828" s="69"/>
    </row>
    <row r="4829" spans="19:21" ht="15" customHeight="1" x14ac:dyDescent="0.2">
      <c r="S4829" s="69">
        <f>_xlfn.XLOOKUP(Results!A4829,Geometry!$B$6:$B$10000,Geometry!$C$6:$C$10000)</f>
        <v>0</v>
      </c>
      <c r="T4829" s="69"/>
      <c r="U4829" s="69"/>
    </row>
    <row r="4830" spans="19:21" ht="15" customHeight="1" x14ac:dyDescent="0.2">
      <c r="S4830" s="69">
        <f>_xlfn.XLOOKUP(Results!A4830,Geometry!$B$6:$B$10000,Geometry!$C$6:$C$10000)</f>
        <v>0</v>
      </c>
      <c r="T4830" s="69"/>
      <c r="U4830" s="69"/>
    </row>
    <row r="4831" spans="19:21" ht="15" customHeight="1" x14ac:dyDescent="0.2">
      <c r="S4831" s="69">
        <f>_xlfn.XLOOKUP(Results!A4831,Geometry!$B$6:$B$10000,Geometry!$C$6:$C$10000)</f>
        <v>0</v>
      </c>
      <c r="T4831" s="69"/>
      <c r="U4831" s="69"/>
    </row>
    <row r="4832" spans="19:21" ht="15" customHeight="1" x14ac:dyDescent="0.2">
      <c r="S4832" s="69">
        <f>_xlfn.XLOOKUP(Results!A4832,Geometry!$B$6:$B$10000,Geometry!$C$6:$C$10000)</f>
        <v>0</v>
      </c>
      <c r="T4832" s="69"/>
      <c r="U4832" s="69"/>
    </row>
    <row r="4833" spans="19:21" ht="15" customHeight="1" x14ac:dyDescent="0.2">
      <c r="S4833" s="69">
        <f>_xlfn.XLOOKUP(Results!A4833,Geometry!$B$6:$B$10000,Geometry!$C$6:$C$10000)</f>
        <v>0</v>
      </c>
      <c r="T4833" s="69"/>
      <c r="U4833" s="69"/>
    </row>
    <row r="4834" spans="19:21" ht="15" customHeight="1" x14ac:dyDescent="0.2">
      <c r="S4834" s="69">
        <f>_xlfn.XLOOKUP(Results!A4834,Geometry!$B$6:$B$10000,Geometry!$C$6:$C$10000)</f>
        <v>0</v>
      </c>
      <c r="T4834" s="69"/>
      <c r="U4834" s="69"/>
    </row>
    <row r="4835" spans="19:21" ht="15" customHeight="1" x14ac:dyDescent="0.2">
      <c r="S4835" s="69">
        <f>_xlfn.XLOOKUP(Results!A4835,Geometry!$B$6:$B$10000,Geometry!$C$6:$C$10000)</f>
        <v>0</v>
      </c>
      <c r="T4835" s="69"/>
      <c r="U4835" s="69"/>
    </row>
    <row r="4836" spans="19:21" ht="15" customHeight="1" x14ac:dyDescent="0.2">
      <c r="S4836" s="69">
        <f>_xlfn.XLOOKUP(Results!A4836,Geometry!$B$6:$B$10000,Geometry!$C$6:$C$10000)</f>
        <v>0</v>
      </c>
      <c r="T4836" s="69"/>
      <c r="U4836" s="69"/>
    </row>
    <row r="4837" spans="19:21" ht="15" customHeight="1" x14ac:dyDescent="0.2">
      <c r="S4837" s="69">
        <f>_xlfn.XLOOKUP(Results!A4837,Geometry!$B$6:$B$10000,Geometry!$C$6:$C$10000)</f>
        <v>0</v>
      </c>
      <c r="T4837" s="69"/>
      <c r="U4837" s="69"/>
    </row>
    <row r="4838" spans="19:21" ht="15" customHeight="1" x14ac:dyDescent="0.2">
      <c r="S4838" s="69">
        <f>_xlfn.XLOOKUP(Results!A4838,Geometry!$B$6:$B$10000,Geometry!$C$6:$C$10000)</f>
        <v>0</v>
      </c>
      <c r="T4838" s="69"/>
      <c r="U4838" s="69"/>
    </row>
    <row r="4839" spans="19:21" ht="15" customHeight="1" x14ac:dyDescent="0.2">
      <c r="S4839" s="69">
        <f>_xlfn.XLOOKUP(Results!A4839,Geometry!$B$6:$B$10000,Geometry!$C$6:$C$10000)</f>
        <v>0</v>
      </c>
      <c r="T4839" s="69"/>
      <c r="U4839" s="69"/>
    </row>
    <row r="4840" spans="19:21" ht="15" customHeight="1" x14ac:dyDescent="0.2">
      <c r="S4840" s="69">
        <f>_xlfn.XLOOKUP(Results!A4840,Geometry!$B$6:$B$10000,Geometry!$C$6:$C$10000)</f>
        <v>0</v>
      </c>
      <c r="T4840" s="69"/>
      <c r="U4840" s="69"/>
    </row>
    <row r="4841" spans="19:21" ht="15" customHeight="1" x14ac:dyDescent="0.2">
      <c r="S4841" s="69">
        <f>_xlfn.XLOOKUP(Results!A4841,Geometry!$B$6:$B$10000,Geometry!$C$6:$C$10000)</f>
        <v>0</v>
      </c>
      <c r="T4841" s="69"/>
      <c r="U4841" s="69"/>
    </row>
    <row r="4842" spans="19:21" ht="15" customHeight="1" x14ac:dyDescent="0.2">
      <c r="S4842" s="69">
        <f>_xlfn.XLOOKUP(Results!A4842,Geometry!$B$6:$B$10000,Geometry!$C$6:$C$10000)</f>
        <v>0</v>
      </c>
      <c r="T4842" s="69"/>
      <c r="U4842" s="69"/>
    </row>
    <row r="4843" spans="19:21" ht="15" customHeight="1" x14ac:dyDescent="0.2">
      <c r="S4843" s="69">
        <f>_xlfn.XLOOKUP(Results!A4843,Geometry!$B$6:$B$10000,Geometry!$C$6:$C$10000)</f>
        <v>0</v>
      </c>
      <c r="T4843" s="69"/>
      <c r="U4843" s="69"/>
    </row>
    <row r="4844" spans="19:21" ht="15" customHeight="1" x14ac:dyDescent="0.2">
      <c r="S4844" s="69">
        <f>_xlfn.XLOOKUP(Results!A4844,Geometry!$B$6:$B$10000,Geometry!$C$6:$C$10000)</f>
        <v>0</v>
      </c>
      <c r="T4844" s="69"/>
      <c r="U4844" s="69"/>
    </row>
    <row r="4845" spans="19:21" ht="15" customHeight="1" x14ac:dyDescent="0.2">
      <c r="S4845" s="69">
        <f>_xlfn.XLOOKUP(Results!A4845,Geometry!$B$6:$B$10000,Geometry!$C$6:$C$10000)</f>
        <v>0</v>
      </c>
      <c r="T4845" s="69"/>
      <c r="U4845" s="69"/>
    </row>
    <row r="4846" spans="19:21" ht="15" customHeight="1" x14ac:dyDescent="0.2">
      <c r="S4846" s="69">
        <f>_xlfn.XLOOKUP(Results!A4846,Geometry!$B$6:$B$10000,Geometry!$C$6:$C$10000)</f>
        <v>0</v>
      </c>
      <c r="T4846" s="69"/>
      <c r="U4846" s="69"/>
    </row>
    <row r="4847" spans="19:21" ht="15" customHeight="1" x14ac:dyDescent="0.2">
      <c r="S4847" s="69">
        <f>_xlfn.XLOOKUP(Results!A4847,Geometry!$B$6:$B$10000,Geometry!$C$6:$C$10000)</f>
        <v>0</v>
      </c>
      <c r="T4847" s="69"/>
      <c r="U4847" s="69"/>
    </row>
    <row r="4848" spans="19:21" ht="15" customHeight="1" x14ac:dyDescent="0.2">
      <c r="S4848" s="69">
        <f>_xlfn.XLOOKUP(Results!A4848,Geometry!$B$6:$B$10000,Geometry!$C$6:$C$10000)</f>
        <v>0</v>
      </c>
      <c r="T4848" s="69"/>
      <c r="U4848" s="69"/>
    </row>
    <row r="4849" spans="19:21" ht="15" customHeight="1" x14ac:dyDescent="0.2">
      <c r="S4849" s="69">
        <f>_xlfn.XLOOKUP(Results!A4849,Geometry!$B$6:$B$10000,Geometry!$C$6:$C$10000)</f>
        <v>0</v>
      </c>
      <c r="T4849" s="69"/>
      <c r="U4849" s="69"/>
    </row>
    <row r="4850" spans="19:21" ht="15" customHeight="1" x14ac:dyDescent="0.2">
      <c r="S4850" s="69">
        <f>_xlfn.XLOOKUP(Results!A4850,Geometry!$B$6:$B$10000,Geometry!$C$6:$C$10000)</f>
        <v>0</v>
      </c>
      <c r="T4850" s="69"/>
      <c r="U4850" s="69"/>
    </row>
    <row r="4851" spans="19:21" ht="15" customHeight="1" x14ac:dyDescent="0.2">
      <c r="S4851" s="69">
        <f>_xlfn.XLOOKUP(Results!A4851,Geometry!$B$6:$B$10000,Geometry!$C$6:$C$10000)</f>
        <v>0</v>
      </c>
      <c r="T4851" s="69"/>
      <c r="U4851" s="69"/>
    </row>
    <row r="4852" spans="19:21" ht="15" customHeight="1" x14ac:dyDescent="0.2">
      <c r="S4852" s="69">
        <f>_xlfn.XLOOKUP(Results!A4852,Geometry!$B$6:$B$10000,Geometry!$C$6:$C$10000)</f>
        <v>0</v>
      </c>
      <c r="T4852" s="69"/>
      <c r="U4852" s="69"/>
    </row>
    <row r="4853" spans="19:21" ht="15" customHeight="1" x14ac:dyDescent="0.2">
      <c r="S4853" s="69">
        <f>_xlfn.XLOOKUP(Results!A4853,Geometry!$B$6:$B$10000,Geometry!$C$6:$C$10000)</f>
        <v>0</v>
      </c>
      <c r="T4853" s="69"/>
      <c r="U4853" s="69"/>
    </row>
    <row r="4854" spans="19:21" ht="15" customHeight="1" x14ac:dyDescent="0.2">
      <c r="S4854" s="69">
        <f>_xlfn.XLOOKUP(Results!A4854,Geometry!$B$6:$B$10000,Geometry!$C$6:$C$10000)</f>
        <v>0</v>
      </c>
      <c r="T4854" s="69"/>
      <c r="U4854" s="69"/>
    </row>
    <row r="4855" spans="19:21" ht="15" customHeight="1" x14ac:dyDescent="0.2">
      <c r="S4855" s="69">
        <f>_xlfn.XLOOKUP(Results!A4855,Geometry!$B$6:$B$10000,Geometry!$C$6:$C$10000)</f>
        <v>0</v>
      </c>
      <c r="T4855" s="69"/>
      <c r="U4855" s="69"/>
    </row>
    <row r="4856" spans="19:21" ht="15" customHeight="1" x14ac:dyDescent="0.2">
      <c r="S4856" s="69">
        <f>_xlfn.XLOOKUP(Results!A4856,Geometry!$B$6:$B$10000,Geometry!$C$6:$C$10000)</f>
        <v>0</v>
      </c>
      <c r="T4856" s="69"/>
      <c r="U4856" s="69"/>
    </row>
    <row r="4857" spans="19:21" ht="15" customHeight="1" x14ac:dyDescent="0.2">
      <c r="S4857" s="69">
        <f>_xlfn.XLOOKUP(Results!A4857,Geometry!$B$6:$B$10000,Geometry!$C$6:$C$10000)</f>
        <v>0</v>
      </c>
      <c r="T4857" s="69"/>
      <c r="U4857" s="69"/>
    </row>
    <row r="4858" spans="19:21" ht="15" customHeight="1" x14ac:dyDescent="0.2">
      <c r="S4858" s="69">
        <f>_xlfn.XLOOKUP(Results!A4858,Geometry!$B$6:$B$10000,Geometry!$C$6:$C$10000)</f>
        <v>0</v>
      </c>
      <c r="T4858" s="69"/>
      <c r="U4858" s="69"/>
    </row>
    <row r="4859" spans="19:21" ht="15" customHeight="1" x14ac:dyDescent="0.2">
      <c r="S4859" s="69">
        <f>_xlfn.XLOOKUP(Results!A4859,Geometry!$B$6:$B$10000,Geometry!$C$6:$C$10000)</f>
        <v>0</v>
      </c>
      <c r="T4859" s="69"/>
      <c r="U4859" s="69"/>
    </row>
    <row r="4860" spans="19:21" ht="15" customHeight="1" x14ac:dyDescent="0.2">
      <c r="S4860" s="69">
        <f>_xlfn.XLOOKUP(Results!A4860,Geometry!$B$6:$B$10000,Geometry!$C$6:$C$10000)</f>
        <v>0</v>
      </c>
      <c r="T4860" s="69"/>
      <c r="U4860" s="69"/>
    </row>
    <row r="4861" spans="19:21" ht="15" customHeight="1" x14ac:dyDescent="0.2">
      <c r="S4861" s="69">
        <f>_xlfn.XLOOKUP(Results!A4861,Geometry!$B$6:$B$10000,Geometry!$C$6:$C$10000)</f>
        <v>0</v>
      </c>
      <c r="T4861" s="69"/>
      <c r="U4861" s="69"/>
    </row>
    <row r="4862" spans="19:21" ht="15" customHeight="1" x14ac:dyDescent="0.2">
      <c r="S4862" s="69">
        <f>_xlfn.XLOOKUP(Results!A4862,Geometry!$B$6:$B$10000,Geometry!$C$6:$C$10000)</f>
        <v>0</v>
      </c>
      <c r="T4862" s="69"/>
      <c r="U4862" s="69"/>
    </row>
    <row r="4863" spans="19:21" ht="15" customHeight="1" x14ac:dyDescent="0.2">
      <c r="S4863" s="69">
        <f>_xlfn.XLOOKUP(Results!A4863,Geometry!$B$6:$B$10000,Geometry!$C$6:$C$10000)</f>
        <v>0</v>
      </c>
      <c r="T4863" s="69"/>
      <c r="U4863" s="69"/>
    </row>
    <row r="4864" spans="19:21" ht="15" customHeight="1" x14ac:dyDescent="0.2">
      <c r="S4864" s="69">
        <f>_xlfn.XLOOKUP(Results!A4864,Geometry!$B$6:$B$10000,Geometry!$C$6:$C$10000)</f>
        <v>0</v>
      </c>
      <c r="T4864" s="69"/>
      <c r="U4864" s="69"/>
    </row>
    <row r="4865" spans="19:21" ht="15" customHeight="1" x14ac:dyDescent="0.2">
      <c r="S4865" s="69">
        <f>_xlfn.XLOOKUP(Results!A4865,Geometry!$B$6:$B$10000,Geometry!$C$6:$C$10000)</f>
        <v>0</v>
      </c>
      <c r="T4865" s="69"/>
      <c r="U4865" s="69"/>
    </row>
    <row r="4866" spans="19:21" ht="15" customHeight="1" x14ac:dyDescent="0.2">
      <c r="S4866" s="69">
        <f>_xlfn.XLOOKUP(Results!A4866,Geometry!$B$6:$B$10000,Geometry!$C$6:$C$10000)</f>
        <v>0</v>
      </c>
      <c r="T4866" s="69"/>
      <c r="U4866" s="69"/>
    </row>
    <row r="4867" spans="19:21" ht="15" customHeight="1" x14ac:dyDescent="0.2">
      <c r="S4867" s="69">
        <f>_xlfn.XLOOKUP(Results!A4867,Geometry!$B$6:$B$10000,Geometry!$C$6:$C$10000)</f>
        <v>0</v>
      </c>
      <c r="T4867" s="69"/>
      <c r="U4867" s="69"/>
    </row>
    <row r="4868" spans="19:21" ht="15" customHeight="1" x14ac:dyDescent="0.2">
      <c r="S4868" s="69">
        <f>_xlfn.XLOOKUP(Results!A4868,Geometry!$B$6:$B$10000,Geometry!$C$6:$C$10000)</f>
        <v>0</v>
      </c>
      <c r="T4868" s="69"/>
      <c r="U4868" s="69"/>
    </row>
    <row r="4869" spans="19:21" ht="15" customHeight="1" x14ac:dyDescent="0.2">
      <c r="S4869" s="69">
        <f>_xlfn.XLOOKUP(Results!A4869,Geometry!$B$6:$B$10000,Geometry!$C$6:$C$10000)</f>
        <v>0</v>
      </c>
      <c r="T4869" s="69"/>
      <c r="U4869" s="69"/>
    </row>
    <row r="4870" spans="19:21" ht="15" customHeight="1" x14ac:dyDescent="0.2">
      <c r="S4870" s="69">
        <f>_xlfn.XLOOKUP(Results!A4870,Geometry!$B$6:$B$10000,Geometry!$C$6:$C$10000)</f>
        <v>0</v>
      </c>
      <c r="T4870" s="69"/>
      <c r="U4870" s="69"/>
    </row>
    <row r="4871" spans="19:21" ht="15" customHeight="1" x14ac:dyDescent="0.2">
      <c r="S4871" s="69">
        <f>_xlfn.XLOOKUP(Results!A4871,Geometry!$B$6:$B$10000,Geometry!$C$6:$C$10000)</f>
        <v>0</v>
      </c>
      <c r="T4871" s="69"/>
      <c r="U4871" s="69"/>
    </row>
    <row r="4872" spans="19:21" ht="15" customHeight="1" x14ac:dyDescent="0.2">
      <c r="S4872" s="69">
        <f>_xlfn.XLOOKUP(Results!A4872,Geometry!$B$6:$B$10000,Geometry!$C$6:$C$10000)</f>
        <v>0</v>
      </c>
      <c r="T4872" s="69"/>
      <c r="U4872" s="69"/>
    </row>
    <row r="4873" spans="19:21" ht="15" customHeight="1" x14ac:dyDescent="0.2">
      <c r="S4873" s="69">
        <f>_xlfn.XLOOKUP(Results!A4873,Geometry!$B$6:$B$10000,Geometry!$C$6:$C$10000)</f>
        <v>0</v>
      </c>
      <c r="T4873" s="69"/>
      <c r="U4873" s="69"/>
    </row>
    <row r="4874" spans="19:21" ht="15" customHeight="1" x14ac:dyDescent="0.2">
      <c r="S4874" s="69">
        <f>_xlfn.XLOOKUP(Results!A4874,Geometry!$B$6:$B$10000,Geometry!$C$6:$C$10000)</f>
        <v>0</v>
      </c>
      <c r="T4874" s="69"/>
      <c r="U4874" s="69"/>
    </row>
    <row r="4875" spans="19:21" ht="15" customHeight="1" x14ac:dyDescent="0.2">
      <c r="S4875" s="69">
        <f>_xlfn.XLOOKUP(Results!A4875,Geometry!$B$6:$B$10000,Geometry!$C$6:$C$10000)</f>
        <v>0</v>
      </c>
      <c r="T4875" s="69"/>
      <c r="U4875" s="69"/>
    </row>
    <row r="4876" spans="19:21" ht="15" customHeight="1" x14ac:dyDescent="0.2">
      <c r="S4876" s="69">
        <f>_xlfn.XLOOKUP(Results!A4876,Geometry!$B$6:$B$10000,Geometry!$C$6:$C$10000)</f>
        <v>0</v>
      </c>
      <c r="T4876" s="69"/>
      <c r="U4876" s="69"/>
    </row>
    <row r="4877" spans="19:21" ht="15" customHeight="1" x14ac:dyDescent="0.2">
      <c r="S4877" s="69">
        <f>_xlfn.XLOOKUP(Results!A4877,Geometry!$B$6:$B$10000,Geometry!$C$6:$C$10000)</f>
        <v>0</v>
      </c>
      <c r="T4877" s="69"/>
      <c r="U4877" s="69"/>
    </row>
    <row r="4878" spans="19:21" ht="15" customHeight="1" x14ac:dyDescent="0.2">
      <c r="S4878" s="69">
        <f>_xlfn.XLOOKUP(Results!A4878,Geometry!$B$6:$B$10000,Geometry!$C$6:$C$10000)</f>
        <v>0</v>
      </c>
      <c r="T4878" s="69"/>
      <c r="U4878" s="69"/>
    </row>
    <row r="4879" spans="19:21" ht="15" customHeight="1" x14ac:dyDescent="0.2">
      <c r="S4879" s="69">
        <f>_xlfn.XLOOKUP(Results!A4879,Geometry!$B$6:$B$10000,Geometry!$C$6:$C$10000)</f>
        <v>0</v>
      </c>
      <c r="T4879" s="69"/>
      <c r="U4879" s="69"/>
    </row>
    <row r="4880" spans="19:21" ht="15" customHeight="1" x14ac:dyDescent="0.2">
      <c r="S4880" s="69">
        <f>_xlfn.XLOOKUP(Results!A4880,Geometry!$B$6:$B$10000,Geometry!$C$6:$C$10000)</f>
        <v>0</v>
      </c>
      <c r="T4880" s="69"/>
      <c r="U4880" s="69"/>
    </row>
    <row r="4881" spans="19:21" ht="15" customHeight="1" x14ac:dyDescent="0.2">
      <c r="S4881" s="69">
        <f>_xlfn.XLOOKUP(Results!A4881,Geometry!$B$6:$B$10000,Geometry!$C$6:$C$10000)</f>
        <v>0</v>
      </c>
      <c r="T4881" s="69"/>
      <c r="U4881" s="69"/>
    </row>
    <row r="4882" spans="19:21" ht="15" customHeight="1" x14ac:dyDescent="0.2">
      <c r="S4882" s="69">
        <f>_xlfn.XLOOKUP(Results!A4882,Geometry!$B$6:$B$10000,Geometry!$C$6:$C$10000)</f>
        <v>0</v>
      </c>
      <c r="T4882" s="69"/>
      <c r="U4882" s="69"/>
    </row>
    <row r="4883" spans="19:21" ht="15" customHeight="1" x14ac:dyDescent="0.2">
      <c r="S4883" s="69">
        <f>_xlfn.XLOOKUP(Results!A4883,Geometry!$B$6:$B$10000,Geometry!$C$6:$C$10000)</f>
        <v>0</v>
      </c>
      <c r="T4883" s="69"/>
      <c r="U4883" s="69"/>
    </row>
    <row r="4884" spans="19:21" ht="15" customHeight="1" x14ac:dyDescent="0.2">
      <c r="S4884" s="69">
        <f>_xlfn.XLOOKUP(Results!A4884,Geometry!$B$6:$B$10000,Geometry!$C$6:$C$10000)</f>
        <v>0</v>
      </c>
      <c r="T4884" s="69"/>
      <c r="U4884" s="69"/>
    </row>
    <row r="4885" spans="19:21" ht="15" customHeight="1" x14ac:dyDescent="0.2">
      <c r="S4885" s="69">
        <f>_xlfn.XLOOKUP(Results!A4885,Geometry!$B$6:$B$10000,Geometry!$C$6:$C$10000)</f>
        <v>0</v>
      </c>
      <c r="T4885" s="69"/>
      <c r="U4885" s="69"/>
    </row>
    <row r="4886" spans="19:21" ht="15" customHeight="1" x14ac:dyDescent="0.2">
      <c r="S4886" s="69">
        <f>_xlfn.XLOOKUP(Results!A4886,Geometry!$B$6:$B$10000,Geometry!$C$6:$C$10000)</f>
        <v>0</v>
      </c>
      <c r="T4886" s="69"/>
      <c r="U4886" s="69"/>
    </row>
    <row r="4887" spans="19:21" ht="15" customHeight="1" x14ac:dyDescent="0.2">
      <c r="S4887" s="69">
        <f>_xlfn.XLOOKUP(Results!A4887,Geometry!$B$6:$B$10000,Geometry!$C$6:$C$10000)</f>
        <v>0</v>
      </c>
      <c r="T4887" s="69"/>
      <c r="U4887" s="69"/>
    </row>
    <row r="4888" spans="19:21" ht="15" customHeight="1" x14ac:dyDescent="0.2">
      <c r="S4888" s="69">
        <f>_xlfn.XLOOKUP(Results!A4888,Geometry!$B$6:$B$10000,Geometry!$C$6:$C$10000)</f>
        <v>0</v>
      </c>
      <c r="T4888" s="69"/>
      <c r="U4888" s="69"/>
    </row>
    <row r="4889" spans="19:21" ht="15" customHeight="1" x14ac:dyDescent="0.2">
      <c r="S4889" s="69">
        <f>_xlfn.XLOOKUP(Results!A4889,Geometry!$B$6:$B$10000,Geometry!$C$6:$C$10000)</f>
        <v>0</v>
      </c>
      <c r="T4889" s="69"/>
      <c r="U4889" s="69"/>
    </row>
    <row r="4890" spans="19:21" ht="15" customHeight="1" x14ac:dyDescent="0.2">
      <c r="S4890" s="69">
        <f>_xlfn.XLOOKUP(Results!A4890,Geometry!$B$6:$B$10000,Geometry!$C$6:$C$10000)</f>
        <v>0</v>
      </c>
      <c r="T4890" s="69"/>
      <c r="U4890" s="69"/>
    </row>
    <row r="4891" spans="19:21" ht="15" customHeight="1" x14ac:dyDescent="0.2">
      <c r="S4891" s="69">
        <f>_xlfn.XLOOKUP(Results!A4891,Geometry!$B$6:$B$10000,Geometry!$C$6:$C$10000)</f>
        <v>0</v>
      </c>
      <c r="T4891" s="69"/>
      <c r="U4891" s="69"/>
    </row>
    <row r="4892" spans="19:21" ht="15" customHeight="1" x14ac:dyDescent="0.2">
      <c r="S4892" s="69">
        <f>_xlfn.XLOOKUP(Results!A4892,Geometry!$B$6:$B$10000,Geometry!$C$6:$C$10000)</f>
        <v>0</v>
      </c>
      <c r="T4892" s="69"/>
      <c r="U4892" s="69"/>
    </row>
    <row r="4893" spans="19:21" ht="15" customHeight="1" x14ac:dyDescent="0.2">
      <c r="S4893" s="69">
        <f>_xlfn.XLOOKUP(Results!A4893,Geometry!$B$6:$B$10000,Geometry!$C$6:$C$10000)</f>
        <v>0</v>
      </c>
      <c r="T4893" s="69"/>
      <c r="U4893" s="69"/>
    </row>
    <row r="4894" spans="19:21" ht="15" customHeight="1" x14ac:dyDescent="0.2">
      <c r="S4894" s="69">
        <f>_xlfn.XLOOKUP(Results!A4894,Geometry!$B$6:$B$10000,Geometry!$C$6:$C$10000)</f>
        <v>0</v>
      </c>
      <c r="T4894" s="69"/>
      <c r="U4894" s="69"/>
    </row>
    <row r="4895" spans="19:21" ht="15" customHeight="1" x14ac:dyDescent="0.2">
      <c r="S4895" s="69">
        <f>_xlfn.XLOOKUP(Results!A4895,Geometry!$B$6:$B$10000,Geometry!$C$6:$C$10000)</f>
        <v>0</v>
      </c>
      <c r="T4895" s="69"/>
      <c r="U4895" s="69"/>
    </row>
    <row r="4896" spans="19:21" ht="15" customHeight="1" x14ac:dyDescent="0.2">
      <c r="S4896" s="69">
        <f>_xlfn.XLOOKUP(Results!A4896,Geometry!$B$6:$B$10000,Geometry!$C$6:$C$10000)</f>
        <v>0</v>
      </c>
      <c r="T4896" s="69"/>
      <c r="U4896" s="69"/>
    </row>
    <row r="4897" spans="19:21" ht="15" customHeight="1" x14ac:dyDescent="0.2">
      <c r="S4897" s="69">
        <f>_xlfn.XLOOKUP(Results!A4897,Geometry!$B$6:$B$10000,Geometry!$C$6:$C$10000)</f>
        <v>0</v>
      </c>
      <c r="T4897" s="69"/>
      <c r="U4897" s="69"/>
    </row>
    <row r="4898" spans="19:21" ht="15" customHeight="1" x14ac:dyDescent="0.2">
      <c r="S4898" s="69">
        <f>_xlfn.XLOOKUP(Results!A4898,Geometry!$B$6:$B$10000,Geometry!$C$6:$C$10000)</f>
        <v>0</v>
      </c>
      <c r="T4898" s="69"/>
      <c r="U4898" s="69"/>
    </row>
    <row r="4899" spans="19:21" ht="15" customHeight="1" x14ac:dyDescent="0.2">
      <c r="S4899" s="69">
        <f>_xlfn.XLOOKUP(Results!A4899,Geometry!$B$6:$B$10000,Geometry!$C$6:$C$10000)</f>
        <v>0</v>
      </c>
      <c r="T4899" s="69"/>
      <c r="U4899" s="69"/>
    </row>
    <row r="4900" spans="19:21" ht="15" customHeight="1" x14ac:dyDescent="0.2">
      <c r="S4900" s="69">
        <f>_xlfn.XLOOKUP(Results!A4900,Geometry!$B$6:$B$10000,Geometry!$C$6:$C$10000)</f>
        <v>0</v>
      </c>
      <c r="T4900" s="69"/>
      <c r="U4900" s="69"/>
    </row>
    <row r="4901" spans="19:21" ht="15" customHeight="1" x14ac:dyDescent="0.2">
      <c r="S4901" s="69">
        <f>_xlfn.XLOOKUP(Results!A4901,Geometry!$B$6:$B$10000,Geometry!$C$6:$C$10000)</f>
        <v>0</v>
      </c>
      <c r="T4901" s="69"/>
      <c r="U4901" s="69"/>
    </row>
    <row r="4902" spans="19:21" ht="15" customHeight="1" x14ac:dyDescent="0.2">
      <c r="S4902" s="69">
        <f>_xlfn.XLOOKUP(Results!A4902,Geometry!$B$6:$B$10000,Geometry!$C$6:$C$10000)</f>
        <v>0</v>
      </c>
      <c r="T4902" s="69"/>
      <c r="U4902" s="69"/>
    </row>
    <row r="4903" spans="19:21" ht="15" customHeight="1" x14ac:dyDescent="0.2">
      <c r="S4903" s="69">
        <f>_xlfn.XLOOKUP(Results!A4903,Geometry!$B$6:$B$10000,Geometry!$C$6:$C$10000)</f>
        <v>0</v>
      </c>
      <c r="T4903" s="69"/>
      <c r="U4903" s="69"/>
    </row>
    <row r="4904" spans="19:21" ht="15" customHeight="1" x14ac:dyDescent="0.2">
      <c r="S4904" s="69">
        <f>_xlfn.XLOOKUP(Results!A4904,Geometry!$B$6:$B$10000,Geometry!$C$6:$C$10000)</f>
        <v>0</v>
      </c>
      <c r="T4904" s="69"/>
      <c r="U4904" s="69"/>
    </row>
    <row r="4905" spans="19:21" ht="15" customHeight="1" x14ac:dyDescent="0.2">
      <c r="S4905" s="69">
        <f>_xlfn.XLOOKUP(Results!A4905,Geometry!$B$6:$B$10000,Geometry!$C$6:$C$10000)</f>
        <v>0</v>
      </c>
      <c r="T4905" s="69"/>
      <c r="U4905" s="69"/>
    </row>
    <row r="4906" spans="19:21" ht="15" customHeight="1" x14ac:dyDescent="0.2">
      <c r="S4906" s="69">
        <f>_xlfn.XLOOKUP(Results!A4906,Geometry!$B$6:$B$10000,Geometry!$C$6:$C$10000)</f>
        <v>0</v>
      </c>
      <c r="T4906" s="69"/>
      <c r="U4906" s="69"/>
    </row>
    <row r="4907" spans="19:21" ht="15" customHeight="1" x14ac:dyDescent="0.2">
      <c r="S4907" s="69">
        <f>_xlfn.XLOOKUP(Results!A4907,Geometry!$B$6:$B$10000,Geometry!$C$6:$C$10000)</f>
        <v>0</v>
      </c>
      <c r="T4907" s="69"/>
      <c r="U4907" s="69"/>
    </row>
    <row r="4908" spans="19:21" ht="15" customHeight="1" x14ac:dyDescent="0.2">
      <c r="S4908" s="69">
        <f>_xlfn.XLOOKUP(Results!A4908,Geometry!$B$6:$B$10000,Geometry!$C$6:$C$10000)</f>
        <v>0</v>
      </c>
      <c r="T4908" s="69"/>
      <c r="U4908" s="69"/>
    </row>
    <row r="4909" spans="19:21" ht="15" customHeight="1" x14ac:dyDescent="0.2">
      <c r="S4909" s="69">
        <f>_xlfn.XLOOKUP(Results!A4909,Geometry!$B$6:$B$10000,Geometry!$C$6:$C$10000)</f>
        <v>0</v>
      </c>
      <c r="T4909" s="69"/>
      <c r="U4909" s="69"/>
    </row>
    <row r="4910" spans="19:21" ht="15" customHeight="1" x14ac:dyDescent="0.2">
      <c r="S4910" s="69">
        <f>_xlfn.XLOOKUP(Results!A4910,Geometry!$B$6:$B$10000,Geometry!$C$6:$C$10000)</f>
        <v>0</v>
      </c>
      <c r="T4910" s="69"/>
      <c r="U4910" s="69"/>
    </row>
    <row r="4911" spans="19:21" ht="15" customHeight="1" x14ac:dyDescent="0.2">
      <c r="S4911" s="69">
        <f>_xlfn.XLOOKUP(Results!A4911,Geometry!$B$6:$B$10000,Geometry!$C$6:$C$10000)</f>
        <v>0</v>
      </c>
      <c r="T4911" s="69"/>
      <c r="U4911" s="69"/>
    </row>
    <row r="4912" spans="19:21" ht="15" customHeight="1" x14ac:dyDescent="0.2">
      <c r="S4912" s="69">
        <f>_xlfn.XLOOKUP(Results!A4912,Geometry!$B$6:$B$10000,Geometry!$C$6:$C$10000)</f>
        <v>0</v>
      </c>
      <c r="T4912" s="69"/>
      <c r="U4912" s="69"/>
    </row>
    <row r="4913" spans="19:21" ht="15" customHeight="1" x14ac:dyDescent="0.2">
      <c r="S4913" s="69">
        <f>_xlfn.XLOOKUP(Results!A4913,Geometry!$B$6:$B$10000,Geometry!$C$6:$C$10000)</f>
        <v>0</v>
      </c>
      <c r="T4913" s="69"/>
      <c r="U4913" s="69"/>
    </row>
    <row r="4914" spans="19:21" ht="15" customHeight="1" x14ac:dyDescent="0.2">
      <c r="S4914" s="69">
        <f>_xlfn.XLOOKUP(Results!A4914,Geometry!$B$6:$B$10000,Geometry!$C$6:$C$10000)</f>
        <v>0</v>
      </c>
      <c r="T4914" s="69"/>
      <c r="U4914" s="69"/>
    </row>
    <row r="4915" spans="19:21" ht="15" customHeight="1" x14ac:dyDescent="0.2">
      <c r="S4915" s="69">
        <f>_xlfn.XLOOKUP(Results!A4915,Geometry!$B$6:$B$10000,Geometry!$C$6:$C$10000)</f>
        <v>0</v>
      </c>
      <c r="T4915" s="69"/>
      <c r="U4915" s="69"/>
    </row>
    <row r="4916" spans="19:21" ht="15" customHeight="1" x14ac:dyDescent="0.2">
      <c r="S4916" s="69">
        <f>_xlfn.XLOOKUP(Results!A4916,Geometry!$B$6:$B$10000,Geometry!$C$6:$C$10000)</f>
        <v>0</v>
      </c>
      <c r="T4916" s="69"/>
      <c r="U4916" s="69"/>
    </row>
    <row r="4917" spans="19:21" ht="15" customHeight="1" x14ac:dyDescent="0.2">
      <c r="S4917" s="69">
        <f>_xlfn.XLOOKUP(Results!A4917,Geometry!$B$6:$B$10000,Geometry!$C$6:$C$10000)</f>
        <v>0</v>
      </c>
      <c r="T4917" s="69"/>
      <c r="U4917" s="69"/>
    </row>
    <row r="4918" spans="19:21" ht="15" customHeight="1" x14ac:dyDescent="0.2">
      <c r="S4918" s="69">
        <f>_xlfn.XLOOKUP(Results!A4918,Geometry!$B$6:$B$10000,Geometry!$C$6:$C$10000)</f>
        <v>0</v>
      </c>
      <c r="T4918" s="69"/>
      <c r="U4918" s="69"/>
    </row>
    <row r="4919" spans="19:21" ht="15" customHeight="1" x14ac:dyDescent="0.2">
      <c r="S4919" s="69">
        <f>_xlfn.XLOOKUP(Results!A4919,Geometry!$B$6:$B$10000,Geometry!$C$6:$C$10000)</f>
        <v>0</v>
      </c>
      <c r="T4919" s="69"/>
      <c r="U4919" s="69"/>
    </row>
    <row r="4920" spans="19:21" ht="15" customHeight="1" x14ac:dyDescent="0.2">
      <c r="S4920" s="69">
        <f>_xlfn.XLOOKUP(Results!A4920,Geometry!$B$6:$B$10000,Geometry!$C$6:$C$10000)</f>
        <v>0</v>
      </c>
      <c r="T4920" s="69"/>
      <c r="U4920" s="69"/>
    </row>
    <row r="4921" spans="19:21" ht="15" customHeight="1" x14ac:dyDescent="0.2">
      <c r="S4921" s="69">
        <f>_xlfn.XLOOKUP(Results!A4921,Geometry!$B$6:$B$10000,Geometry!$C$6:$C$10000)</f>
        <v>0</v>
      </c>
      <c r="T4921" s="69"/>
      <c r="U4921" s="69"/>
    </row>
    <row r="4922" spans="19:21" ht="15" customHeight="1" x14ac:dyDescent="0.2">
      <c r="S4922" s="69">
        <f>_xlfn.XLOOKUP(Results!A4922,Geometry!$B$6:$B$10000,Geometry!$C$6:$C$10000)</f>
        <v>0</v>
      </c>
      <c r="T4922" s="69"/>
      <c r="U4922" s="69"/>
    </row>
    <row r="4923" spans="19:21" ht="15" customHeight="1" x14ac:dyDescent="0.2">
      <c r="S4923" s="69">
        <f>_xlfn.XLOOKUP(Results!A4923,Geometry!$B$6:$B$10000,Geometry!$C$6:$C$10000)</f>
        <v>0</v>
      </c>
      <c r="T4923" s="69"/>
      <c r="U4923" s="69"/>
    </row>
    <row r="4924" spans="19:21" ht="15" customHeight="1" x14ac:dyDescent="0.2">
      <c r="S4924" s="69">
        <f>_xlfn.XLOOKUP(Results!A4924,Geometry!$B$6:$B$10000,Geometry!$C$6:$C$10000)</f>
        <v>0</v>
      </c>
      <c r="T4924" s="69"/>
      <c r="U4924" s="69"/>
    </row>
    <row r="4925" spans="19:21" ht="15" customHeight="1" x14ac:dyDescent="0.2">
      <c r="S4925" s="69">
        <f>_xlfn.XLOOKUP(Results!A4925,Geometry!$B$6:$B$10000,Geometry!$C$6:$C$10000)</f>
        <v>0</v>
      </c>
      <c r="T4925" s="69"/>
      <c r="U4925" s="69"/>
    </row>
    <row r="4926" spans="19:21" ht="15" customHeight="1" x14ac:dyDescent="0.2">
      <c r="S4926" s="69">
        <f>_xlfn.XLOOKUP(Results!A4926,Geometry!$B$6:$B$10000,Geometry!$C$6:$C$10000)</f>
        <v>0</v>
      </c>
      <c r="T4926" s="69"/>
      <c r="U4926" s="69"/>
    </row>
    <row r="4927" spans="19:21" ht="15" customHeight="1" x14ac:dyDescent="0.2">
      <c r="S4927" s="69">
        <f>_xlfn.XLOOKUP(Results!A4927,Geometry!$B$6:$B$10000,Geometry!$C$6:$C$10000)</f>
        <v>0</v>
      </c>
      <c r="T4927" s="69"/>
      <c r="U4927" s="69"/>
    </row>
    <row r="4928" spans="19:21" ht="15" customHeight="1" x14ac:dyDescent="0.2">
      <c r="S4928" s="69">
        <f>_xlfn.XLOOKUP(Results!A4928,Geometry!$B$6:$B$10000,Geometry!$C$6:$C$10000)</f>
        <v>0</v>
      </c>
      <c r="T4928" s="69"/>
      <c r="U4928" s="69"/>
    </row>
    <row r="4929" spans="19:21" ht="15" customHeight="1" x14ac:dyDescent="0.2">
      <c r="S4929" s="69">
        <f>_xlfn.XLOOKUP(Results!A4929,Geometry!$B$6:$B$10000,Geometry!$C$6:$C$10000)</f>
        <v>0</v>
      </c>
      <c r="T4929" s="69"/>
      <c r="U4929" s="69"/>
    </row>
    <row r="4930" spans="19:21" ht="15" customHeight="1" x14ac:dyDescent="0.2">
      <c r="S4930" s="69">
        <f>_xlfn.XLOOKUP(Results!A4930,Geometry!$B$6:$B$10000,Geometry!$C$6:$C$10000)</f>
        <v>0</v>
      </c>
      <c r="T4930" s="69"/>
      <c r="U4930" s="69"/>
    </row>
    <row r="4931" spans="19:21" ht="15" customHeight="1" x14ac:dyDescent="0.2">
      <c r="S4931" s="69">
        <f>_xlfn.XLOOKUP(Results!A4931,Geometry!$B$6:$B$10000,Geometry!$C$6:$C$10000)</f>
        <v>0</v>
      </c>
      <c r="T4931" s="69"/>
      <c r="U4931" s="69"/>
    </row>
    <row r="4932" spans="19:21" ht="15" customHeight="1" x14ac:dyDescent="0.2">
      <c r="S4932" s="69">
        <f>_xlfn.XLOOKUP(Results!A4932,Geometry!$B$6:$B$10000,Geometry!$C$6:$C$10000)</f>
        <v>0</v>
      </c>
      <c r="T4932" s="69"/>
      <c r="U4932" s="69"/>
    </row>
    <row r="4933" spans="19:21" ht="15" customHeight="1" x14ac:dyDescent="0.2">
      <c r="S4933" s="69">
        <f>_xlfn.XLOOKUP(Results!A4933,Geometry!$B$6:$B$10000,Geometry!$C$6:$C$10000)</f>
        <v>0</v>
      </c>
      <c r="T4933" s="69"/>
      <c r="U4933" s="69"/>
    </row>
    <row r="4934" spans="19:21" ht="15" customHeight="1" x14ac:dyDescent="0.2">
      <c r="S4934" s="69">
        <f>_xlfn.XLOOKUP(Results!A4934,Geometry!$B$6:$B$10000,Geometry!$C$6:$C$10000)</f>
        <v>0</v>
      </c>
      <c r="T4934" s="69"/>
      <c r="U4934" s="69"/>
    </row>
    <row r="4935" spans="19:21" ht="15" customHeight="1" x14ac:dyDescent="0.2">
      <c r="S4935" s="69">
        <f>_xlfn.XLOOKUP(Results!A4935,Geometry!$B$6:$B$10000,Geometry!$C$6:$C$10000)</f>
        <v>0</v>
      </c>
      <c r="T4935" s="69"/>
      <c r="U4935" s="69"/>
    </row>
    <row r="4936" spans="19:21" ht="15" customHeight="1" x14ac:dyDescent="0.2">
      <c r="S4936" s="69">
        <f>_xlfn.XLOOKUP(Results!A4936,Geometry!$B$6:$B$10000,Geometry!$C$6:$C$10000)</f>
        <v>0</v>
      </c>
      <c r="T4936" s="69"/>
      <c r="U4936" s="69"/>
    </row>
    <row r="4937" spans="19:21" ht="15" customHeight="1" x14ac:dyDescent="0.2">
      <c r="S4937" s="69">
        <f>_xlfn.XLOOKUP(Results!A4937,Geometry!$B$6:$B$10000,Geometry!$C$6:$C$10000)</f>
        <v>0</v>
      </c>
      <c r="T4937" s="69"/>
      <c r="U4937" s="69"/>
    </row>
    <row r="4938" spans="19:21" ht="15" customHeight="1" x14ac:dyDescent="0.2">
      <c r="S4938" s="69">
        <f>_xlfn.XLOOKUP(Results!A4938,Geometry!$B$6:$B$10000,Geometry!$C$6:$C$10000)</f>
        <v>0</v>
      </c>
      <c r="T4938" s="69"/>
      <c r="U4938" s="69"/>
    </row>
    <row r="4939" spans="19:21" ht="15" customHeight="1" x14ac:dyDescent="0.2">
      <c r="S4939" s="69">
        <f>_xlfn.XLOOKUP(Results!A4939,Geometry!$B$6:$B$10000,Geometry!$C$6:$C$10000)</f>
        <v>0</v>
      </c>
      <c r="T4939" s="69"/>
      <c r="U4939" s="69"/>
    </row>
    <row r="4940" spans="19:21" ht="15" customHeight="1" x14ac:dyDescent="0.2">
      <c r="S4940" s="69">
        <f>_xlfn.XLOOKUP(Results!A4940,Geometry!$B$6:$B$10000,Geometry!$C$6:$C$10000)</f>
        <v>0</v>
      </c>
      <c r="T4940" s="69"/>
      <c r="U4940" s="69"/>
    </row>
    <row r="4941" spans="19:21" ht="15" customHeight="1" x14ac:dyDescent="0.2">
      <c r="S4941" s="69">
        <f>_xlfn.XLOOKUP(Results!A4941,Geometry!$B$6:$B$10000,Geometry!$C$6:$C$10000)</f>
        <v>0</v>
      </c>
      <c r="T4941" s="69"/>
      <c r="U4941" s="69"/>
    </row>
    <row r="4942" spans="19:21" ht="15" customHeight="1" x14ac:dyDescent="0.2">
      <c r="S4942" s="69">
        <f>_xlfn.XLOOKUP(Results!A4942,Geometry!$B$6:$B$10000,Geometry!$C$6:$C$10000)</f>
        <v>0</v>
      </c>
      <c r="T4942" s="69"/>
      <c r="U4942" s="69"/>
    </row>
    <row r="4943" spans="19:21" ht="15" customHeight="1" x14ac:dyDescent="0.2">
      <c r="S4943" s="69">
        <f>_xlfn.XLOOKUP(Results!A4943,Geometry!$B$6:$B$10000,Geometry!$C$6:$C$10000)</f>
        <v>0</v>
      </c>
      <c r="T4943" s="69"/>
      <c r="U4943" s="69"/>
    </row>
    <row r="4944" spans="19:21" ht="15" customHeight="1" x14ac:dyDescent="0.2">
      <c r="S4944" s="69">
        <f>_xlfn.XLOOKUP(Results!A4944,Geometry!$B$6:$B$10000,Geometry!$C$6:$C$10000)</f>
        <v>0</v>
      </c>
      <c r="T4944" s="69"/>
      <c r="U4944" s="69"/>
    </row>
    <row r="4945" spans="19:21" ht="15" customHeight="1" x14ac:dyDescent="0.2">
      <c r="S4945" s="69">
        <f>_xlfn.XLOOKUP(Results!A4945,Geometry!$B$6:$B$10000,Geometry!$C$6:$C$10000)</f>
        <v>0</v>
      </c>
      <c r="T4945" s="69"/>
      <c r="U4945" s="69"/>
    </row>
    <row r="4946" spans="19:21" ht="15" customHeight="1" x14ac:dyDescent="0.2">
      <c r="S4946" s="69">
        <f>_xlfn.XLOOKUP(Results!A4946,Geometry!$B$6:$B$10000,Geometry!$C$6:$C$10000)</f>
        <v>0</v>
      </c>
      <c r="T4946" s="69"/>
      <c r="U4946" s="69"/>
    </row>
    <row r="4947" spans="19:21" ht="15" customHeight="1" x14ac:dyDescent="0.2">
      <c r="S4947" s="69">
        <f>_xlfn.XLOOKUP(Results!A4947,Geometry!$B$6:$B$10000,Geometry!$C$6:$C$10000)</f>
        <v>0</v>
      </c>
      <c r="T4947" s="69"/>
      <c r="U4947" s="69"/>
    </row>
    <row r="4948" spans="19:21" ht="15" customHeight="1" x14ac:dyDescent="0.2">
      <c r="S4948" s="69">
        <f>_xlfn.XLOOKUP(Results!A4948,Geometry!$B$6:$B$10000,Geometry!$C$6:$C$10000)</f>
        <v>0</v>
      </c>
      <c r="T4948" s="69"/>
      <c r="U4948" s="69"/>
    </row>
    <row r="4949" spans="19:21" ht="15" customHeight="1" x14ac:dyDescent="0.2">
      <c r="S4949" s="69">
        <f>_xlfn.XLOOKUP(Results!A4949,Geometry!$B$6:$B$10000,Geometry!$C$6:$C$10000)</f>
        <v>0</v>
      </c>
      <c r="T4949" s="69"/>
      <c r="U4949" s="69"/>
    </row>
    <row r="4950" spans="19:21" ht="15" customHeight="1" x14ac:dyDescent="0.2">
      <c r="S4950" s="69">
        <f>_xlfn.XLOOKUP(Results!A4950,Geometry!$B$6:$B$10000,Geometry!$C$6:$C$10000)</f>
        <v>0</v>
      </c>
      <c r="T4950" s="69"/>
      <c r="U4950" s="69"/>
    </row>
    <row r="4951" spans="19:21" ht="15" customHeight="1" x14ac:dyDescent="0.2">
      <c r="S4951" s="69">
        <f>_xlfn.XLOOKUP(Results!A4951,Geometry!$B$6:$B$10000,Geometry!$C$6:$C$10000)</f>
        <v>0</v>
      </c>
      <c r="T4951" s="69"/>
      <c r="U4951" s="69"/>
    </row>
    <row r="4952" spans="19:21" ht="15" customHeight="1" x14ac:dyDescent="0.2">
      <c r="S4952" s="69">
        <f>_xlfn.XLOOKUP(Results!A4952,Geometry!$B$6:$B$10000,Geometry!$C$6:$C$10000)</f>
        <v>0</v>
      </c>
      <c r="T4952" s="69"/>
      <c r="U4952" s="69"/>
    </row>
    <row r="4953" spans="19:21" ht="15" customHeight="1" x14ac:dyDescent="0.2">
      <c r="S4953" s="69">
        <f>_xlfn.XLOOKUP(Results!A4953,Geometry!$B$6:$B$10000,Geometry!$C$6:$C$10000)</f>
        <v>0</v>
      </c>
      <c r="T4953" s="69"/>
      <c r="U4953" s="69"/>
    </row>
    <row r="4954" spans="19:21" ht="15" customHeight="1" x14ac:dyDescent="0.2">
      <c r="S4954" s="69">
        <f>_xlfn.XLOOKUP(Results!A4954,Geometry!$B$6:$B$10000,Geometry!$C$6:$C$10000)</f>
        <v>0</v>
      </c>
      <c r="T4954" s="69"/>
      <c r="U4954" s="69"/>
    </row>
    <row r="4955" spans="19:21" ht="15" customHeight="1" x14ac:dyDescent="0.2">
      <c r="S4955" s="69">
        <f>_xlfn.XLOOKUP(Results!A4955,Geometry!$B$6:$B$10000,Geometry!$C$6:$C$10000)</f>
        <v>0</v>
      </c>
      <c r="T4955" s="69"/>
      <c r="U4955" s="69"/>
    </row>
    <row r="4956" spans="19:21" ht="15" customHeight="1" x14ac:dyDescent="0.2">
      <c r="S4956" s="69">
        <f>_xlfn.XLOOKUP(Results!A4956,Geometry!$B$6:$B$10000,Geometry!$C$6:$C$10000)</f>
        <v>0</v>
      </c>
      <c r="T4956" s="69"/>
      <c r="U4956" s="69"/>
    </row>
    <row r="4957" spans="19:21" ht="15" customHeight="1" x14ac:dyDescent="0.2">
      <c r="S4957" s="69">
        <f>_xlfn.XLOOKUP(Results!A4957,Geometry!$B$6:$B$10000,Geometry!$C$6:$C$10000)</f>
        <v>0</v>
      </c>
      <c r="T4957" s="69"/>
      <c r="U4957" s="69"/>
    </row>
    <row r="4958" spans="19:21" ht="15" customHeight="1" x14ac:dyDescent="0.2">
      <c r="S4958" s="69">
        <f>_xlfn.XLOOKUP(Results!A4958,Geometry!$B$6:$B$10000,Geometry!$C$6:$C$10000)</f>
        <v>0</v>
      </c>
      <c r="T4958" s="69"/>
      <c r="U4958" s="69"/>
    </row>
    <row r="4959" spans="19:21" ht="15" customHeight="1" x14ac:dyDescent="0.2">
      <c r="S4959" s="69">
        <f>_xlfn.XLOOKUP(Results!A4959,Geometry!$B$6:$B$10000,Geometry!$C$6:$C$10000)</f>
        <v>0</v>
      </c>
      <c r="T4959" s="69"/>
      <c r="U4959" s="69"/>
    </row>
    <row r="4960" spans="19:21" ht="15" customHeight="1" x14ac:dyDescent="0.2">
      <c r="S4960" s="69">
        <f>_xlfn.XLOOKUP(Results!A4960,Geometry!$B$6:$B$10000,Geometry!$C$6:$C$10000)</f>
        <v>0</v>
      </c>
      <c r="T4960" s="69"/>
      <c r="U4960" s="69"/>
    </row>
    <row r="4961" spans="19:21" ht="15" customHeight="1" x14ac:dyDescent="0.2">
      <c r="S4961" s="69">
        <f>_xlfn.XLOOKUP(Results!A4961,Geometry!$B$6:$B$10000,Geometry!$C$6:$C$10000)</f>
        <v>0</v>
      </c>
      <c r="T4961" s="69"/>
      <c r="U4961" s="69"/>
    </row>
    <row r="4962" spans="19:21" ht="15" customHeight="1" x14ac:dyDescent="0.2">
      <c r="S4962" s="69">
        <f>_xlfn.XLOOKUP(Results!A4962,Geometry!$B$6:$B$10000,Geometry!$C$6:$C$10000)</f>
        <v>0</v>
      </c>
      <c r="T4962" s="69"/>
      <c r="U4962" s="69"/>
    </row>
    <row r="4963" spans="19:21" ht="15" customHeight="1" x14ac:dyDescent="0.2">
      <c r="S4963" s="69">
        <f>_xlfn.XLOOKUP(Results!A4963,Geometry!$B$6:$B$10000,Geometry!$C$6:$C$10000)</f>
        <v>0</v>
      </c>
      <c r="T4963" s="69"/>
      <c r="U4963" s="69"/>
    </row>
    <row r="4964" spans="19:21" ht="15" customHeight="1" x14ac:dyDescent="0.2">
      <c r="S4964" s="69">
        <f>_xlfn.XLOOKUP(Results!A4964,Geometry!$B$6:$B$10000,Geometry!$C$6:$C$10000)</f>
        <v>0</v>
      </c>
      <c r="T4964" s="69"/>
      <c r="U4964" s="69"/>
    </row>
    <row r="4965" spans="19:21" ht="15" customHeight="1" x14ac:dyDescent="0.2">
      <c r="S4965" s="69">
        <f>_xlfn.XLOOKUP(Results!A4965,Geometry!$B$6:$B$10000,Geometry!$C$6:$C$10000)</f>
        <v>0</v>
      </c>
      <c r="T4965" s="69"/>
      <c r="U4965" s="69"/>
    </row>
    <row r="4966" spans="19:21" ht="15" customHeight="1" x14ac:dyDescent="0.2">
      <c r="S4966" s="69">
        <f>_xlfn.XLOOKUP(Results!A4966,Geometry!$B$6:$B$10000,Geometry!$C$6:$C$10000)</f>
        <v>0</v>
      </c>
      <c r="T4966" s="69"/>
      <c r="U4966" s="69"/>
    </row>
    <row r="4967" spans="19:21" ht="15" customHeight="1" x14ac:dyDescent="0.2">
      <c r="S4967" s="69">
        <f>_xlfn.XLOOKUP(Results!A4967,Geometry!$B$6:$B$10000,Geometry!$C$6:$C$10000)</f>
        <v>0</v>
      </c>
      <c r="T4967" s="69"/>
      <c r="U4967" s="69"/>
    </row>
    <row r="4968" spans="19:21" ht="15" customHeight="1" x14ac:dyDescent="0.2">
      <c r="S4968" s="69">
        <f>_xlfn.XLOOKUP(Results!A4968,Geometry!$B$6:$B$10000,Geometry!$C$6:$C$10000)</f>
        <v>0</v>
      </c>
      <c r="T4968" s="69"/>
      <c r="U4968" s="69"/>
    </row>
    <row r="4969" spans="19:21" ht="15" customHeight="1" x14ac:dyDescent="0.2">
      <c r="S4969" s="69">
        <f>_xlfn.XLOOKUP(Results!A4969,Geometry!$B$6:$B$10000,Geometry!$C$6:$C$10000)</f>
        <v>0</v>
      </c>
      <c r="T4969" s="69"/>
      <c r="U4969" s="69"/>
    </row>
    <row r="4970" spans="19:21" ht="15" customHeight="1" x14ac:dyDescent="0.2">
      <c r="S4970" s="69">
        <f>_xlfn.XLOOKUP(Results!A4970,Geometry!$B$6:$B$10000,Geometry!$C$6:$C$10000)</f>
        <v>0</v>
      </c>
      <c r="T4970" s="69"/>
      <c r="U4970" s="69"/>
    </row>
    <row r="4971" spans="19:21" ht="15" customHeight="1" x14ac:dyDescent="0.2">
      <c r="S4971" s="69">
        <f>_xlfn.XLOOKUP(Results!A4971,Geometry!$B$6:$B$10000,Geometry!$C$6:$C$10000)</f>
        <v>0</v>
      </c>
      <c r="T4971" s="69"/>
      <c r="U4971" s="69"/>
    </row>
    <row r="4972" spans="19:21" ht="15" customHeight="1" x14ac:dyDescent="0.2">
      <c r="S4972" s="69">
        <f>_xlfn.XLOOKUP(Results!A4972,Geometry!$B$6:$B$10000,Geometry!$C$6:$C$10000)</f>
        <v>0</v>
      </c>
      <c r="T4972" s="69"/>
      <c r="U4972" s="69"/>
    </row>
    <row r="4973" spans="19:21" ht="15" customHeight="1" x14ac:dyDescent="0.2">
      <c r="S4973" s="69">
        <f>_xlfn.XLOOKUP(Results!A4973,Geometry!$B$6:$B$10000,Geometry!$C$6:$C$10000)</f>
        <v>0</v>
      </c>
      <c r="T4973" s="69"/>
      <c r="U4973" s="69"/>
    </row>
    <row r="4974" spans="19:21" ht="15" customHeight="1" x14ac:dyDescent="0.2">
      <c r="S4974" s="69">
        <f>_xlfn.XLOOKUP(Results!A4974,Geometry!$B$6:$B$10000,Geometry!$C$6:$C$10000)</f>
        <v>0</v>
      </c>
      <c r="T4974" s="69"/>
      <c r="U4974" s="69"/>
    </row>
    <row r="4975" spans="19:21" ht="15" customHeight="1" x14ac:dyDescent="0.2">
      <c r="S4975" s="69">
        <f>_xlfn.XLOOKUP(Results!A4975,Geometry!$B$6:$B$10000,Geometry!$C$6:$C$10000)</f>
        <v>0</v>
      </c>
      <c r="T4975" s="69"/>
      <c r="U4975" s="69"/>
    </row>
    <row r="4976" spans="19:21" ht="15" customHeight="1" x14ac:dyDescent="0.2">
      <c r="S4976" s="69">
        <f>_xlfn.XLOOKUP(Results!A4976,Geometry!$B$6:$B$10000,Geometry!$C$6:$C$10000)</f>
        <v>0</v>
      </c>
      <c r="T4976" s="69"/>
      <c r="U4976" s="69"/>
    </row>
    <row r="4977" spans="19:21" ht="15" customHeight="1" x14ac:dyDescent="0.2">
      <c r="S4977" s="69">
        <f>_xlfn.XLOOKUP(Results!A4977,Geometry!$B$6:$B$10000,Geometry!$C$6:$C$10000)</f>
        <v>0</v>
      </c>
      <c r="T4977" s="69"/>
      <c r="U4977" s="69"/>
    </row>
    <row r="4978" spans="19:21" ht="15" customHeight="1" x14ac:dyDescent="0.2">
      <c r="S4978" s="69">
        <f>_xlfn.XLOOKUP(Results!A4978,Geometry!$B$6:$B$10000,Geometry!$C$6:$C$10000)</f>
        <v>0</v>
      </c>
      <c r="T4978" s="69"/>
      <c r="U4978" s="69"/>
    </row>
    <row r="4979" spans="19:21" ht="15" customHeight="1" x14ac:dyDescent="0.2">
      <c r="S4979" s="69">
        <f>_xlfn.XLOOKUP(Results!A4979,Geometry!$B$6:$B$10000,Geometry!$C$6:$C$10000)</f>
        <v>0</v>
      </c>
      <c r="T4979" s="69"/>
      <c r="U4979" s="69"/>
    </row>
    <row r="4980" spans="19:21" ht="15" customHeight="1" x14ac:dyDescent="0.2">
      <c r="S4980" s="69">
        <f>_xlfn.XLOOKUP(Results!A4980,Geometry!$B$6:$B$10000,Geometry!$C$6:$C$10000)</f>
        <v>0</v>
      </c>
      <c r="T4980" s="69"/>
      <c r="U4980" s="69"/>
    </row>
    <row r="4981" spans="19:21" ht="15" customHeight="1" x14ac:dyDescent="0.2">
      <c r="S4981" s="69">
        <f>_xlfn.XLOOKUP(Results!A4981,Geometry!$B$6:$B$10000,Geometry!$C$6:$C$10000)</f>
        <v>0</v>
      </c>
      <c r="T4981" s="69"/>
      <c r="U4981" s="69"/>
    </row>
    <row r="4982" spans="19:21" ht="15" customHeight="1" x14ac:dyDescent="0.2">
      <c r="S4982" s="69">
        <f>_xlfn.XLOOKUP(Results!A4982,Geometry!$B$6:$B$10000,Geometry!$C$6:$C$10000)</f>
        <v>0</v>
      </c>
      <c r="T4982" s="69"/>
      <c r="U4982" s="69"/>
    </row>
    <row r="4983" spans="19:21" ht="15" customHeight="1" x14ac:dyDescent="0.2">
      <c r="S4983" s="69">
        <f>_xlfn.XLOOKUP(Results!A4983,Geometry!$B$6:$B$10000,Geometry!$C$6:$C$10000)</f>
        <v>0</v>
      </c>
      <c r="T4983" s="69"/>
      <c r="U4983" s="69"/>
    </row>
    <row r="4984" spans="19:21" ht="15" customHeight="1" x14ac:dyDescent="0.2">
      <c r="S4984" s="69">
        <f>_xlfn.XLOOKUP(Results!A4984,Geometry!$B$6:$B$10000,Geometry!$C$6:$C$10000)</f>
        <v>0</v>
      </c>
      <c r="T4984" s="69"/>
      <c r="U4984" s="69"/>
    </row>
    <row r="4985" spans="19:21" ht="15" customHeight="1" x14ac:dyDescent="0.2">
      <c r="S4985" s="69">
        <f>_xlfn.XLOOKUP(Results!A4985,Geometry!$B$6:$B$10000,Geometry!$C$6:$C$10000)</f>
        <v>0</v>
      </c>
      <c r="T4985" s="69"/>
      <c r="U4985" s="69"/>
    </row>
    <row r="4986" spans="19:21" ht="15" customHeight="1" x14ac:dyDescent="0.2">
      <c r="S4986" s="69">
        <f>_xlfn.XLOOKUP(Results!A4986,Geometry!$B$6:$B$10000,Geometry!$C$6:$C$10000)</f>
        <v>0</v>
      </c>
      <c r="T4986" s="69"/>
      <c r="U4986" s="69"/>
    </row>
    <row r="4987" spans="19:21" ht="15" customHeight="1" x14ac:dyDescent="0.2">
      <c r="S4987" s="69">
        <f>_xlfn.XLOOKUP(Results!A4987,Geometry!$B$6:$B$10000,Geometry!$C$6:$C$10000)</f>
        <v>0</v>
      </c>
      <c r="T4987" s="69"/>
      <c r="U4987" s="69"/>
    </row>
    <row r="4988" spans="19:21" ht="15" customHeight="1" x14ac:dyDescent="0.2">
      <c r="S4988" s="69">
        <f>_xlfn.XLOOKUP(Results!A4988,Geometry!$B$6:$B$10000,Geometry!$C$6:$C$10000)</f>
        <v>0</v>
      </c>
      <c r="T4988" s="69"/>
      <c r="U4988" s="69"/>
    </row>
    <row r="4989" spans="19:21" ht="15" customHeight="1" x14ac:dyDescent="0.2">
      <c r="S4989" s="69">
        <f>_xlfn.XLOOKUP(Results!A4989,Geometry!$B$6:$B$10000,Geometry!$C$6:$C$10000)</f>
        <v>0</v>
      </c>
      <c r="T4989" s="69"/>
      <c r="U4989" s="69"/>
    </row>
    <row r="4990" spans="19:21" ht="15" customHeight="1" x14ac:dyDescent="0.2">
      <c r="S4990" s="69">
        <f>_xlfn.XLOOKUP(Results!A4990,Geometry!$B$6:$B$10000,Geometry!$C$6:$C$10000)</f>
        <v>0</v>
      </c>
      <c r="T4990" s="69"/>
      <c r="U4990" s="69"/>
    </row>
    <row r="4991" spans="19:21" ht="15" customHeight="1" x14ac:dyDescent="0.2">
      <c r="S4991" s="69">
        <f>_xlfn.XLOOKUP(Results!A4991,Geometry!$B$6:$B$10000,Geometry!$C$6:$C$10000)</f>
        <v>0</v>
      </c>
      <c r="T4991" s="69"/>
      <c r="U4991" s="69"/>
    </row>
    <row r="4992" spans="19:21" ht="15" customHeight="1" x14ac:dyDescent="0.2">
      <c r="S4992" s="69">
        <f>_xlfn.XLOOKUP(Results!A4992,Geometry!$B$6:$B$10000,Geometry!$C$6:$C$10000)</f>
        <v>0</v>
      </c>
      <c r="T4992" s="69"/>
      <c r="U4992" s="69"/>
    </row>
    <row r="4993" spans="19:21" ht="15" customHeight="1" x14ac:dyDescent="0.2">
      <c r="S4993" s="69">
        <f>_xlfn.XLOOKUP(Results!A4993,Geometry!$B$6:$B$10000,Geometry!$C$6:$C$10000)</f>
        <v>0</v>
      </c>
      <c r="T4993" s="69"/>
      <c r="U4993" s="69"/>
    </row>
    <row r="4994" spans="19:21" ht="15" customHeight="1" x14ac:dyDescent="0.2">
      <c r="S4994" s="69">
        <f>_xlfn.XLOOKUP(Results!A4994,Geometry!$B$6:$B$10000,Geometry!$C$6:$C$10000)</f>
        <v>0</v>
      </c>
      <c r="T4994" s="69"/>
      <c r="U4994" s="69"/>
    </row>
    <row r="4995" spans="19:21" ht="15" customHeight="1" x14ac:dyDescent="0.2">
      <c r="S4995" s="69">
        <f>_xlfn.XLOOKUP(Results!A4995,Geometry!$B$6:$B$10000,Geometry!$C$6:$C$10000)</f>
        <v>0</v>
      </c>
      <c r="T4995" s="69"/>
      <c r="U4995" s="69"/>
    </row>
    <row r="4996" spans="19:21" ht="15" customHeight="1" x14ac:dyDescent="0.2">
      <c r="S4996" s="69">
        <f>_xlfn.XLOOKUP(Results!A4996,Geometry!$B$6:$B$10000,Geometry!$C$6:$C$10000)</f>
        <v>0</v>
      </c>
      <c r="T4996" s="69"/>
      <c r="U4996" s="69"/>
    </row>
    <row r="4997" spans="19:21" ht="15" customHeight="1" x14ac:dyDescent="0.2">
      <c r="S4997" s="69">
        <f>_xlfn.XLOOKUP(Results!A4997,Geometry!$B$6:$B$10000,Geometry!$C$6:$C$10000)</f>
        <v>0</v>
      </c>
      <c r="T4997" s="69"/>
      <c r="U4997" s="69"/>
    </row>
    <row r="4998" spans="19:21" ht="15" customHeight="1" x14ac:dyDescent="0.2">
      <c r="S4998" s="69">
        <f>_xlfn.XLOOKUP(Results!A4998,Geometry!$B$6:$B$10000,Geometry!$C$6:$C$10000)</f>
        <v>0</v>
      </c>
      <c r="T4998" s="69"/>
      <c r="U4998" s="69"/>
    </row>
    <row r="4999" spans="19:21" ht="15" customHeight="1" x14ac:dyDescent="0.2">
      <c r="S4999" s="69">
        <f>_xlfn.XLOOKUP(Results!A4999,Geometry!$B$6:$B$10000,Geometry!$C$6:$C$10000)</f>
        <v>0</v>
      </c>
      <c r="T4999" s="69"/>
      <c r="U4999" s="69"/>
    </row>
    <row r="5000" spans="19:21" ht="15" customHeight="1" x14ac:dyDescent="0.2">
      <c r="S5000" s="69">
        <f>_xlfn.XLOOKUP(Results!A5000,Geometry!$B$6:$B$10000,Geometry!$C$6:$C$10000)</f>
        <v>0</v>
      </c>
      <c r="T5000" s="69"/>
      <c r="U5000" s="69"/>
    </row>
    <row r="5001" spans="19:21" ht="15" customHeight="1" x14ac:dyDescent="0.2">
      <c r="S5001" s="69">
        <f>_xlfn.XLOOKUP(Results!A5001,Geometry!$B$6:$B$10000,Geometry!$C$6:$C$10000)</f>
        <v>0</v>
      </c>
      <c r="T5001" s="69"/>
      <c r="U5001" s="69"/>
    </row>
    <row r="5002" spans="19:21" ht="15" customHeight="1" x14ac:dyDescent="0.2">
      <c r="S5002" s="69">
        <f>_xlfn.XLOOKUP(Results!A5002,Geometry!$B$6:$B$10000,Geometry!$C$6:$C$10000)</f>
        <v>0</v>
      </c>
      <c r="T5002" s="69"/>
      <c r="U5002" s="69"/>
    </row>
    <row r="5003" spans="19:21" ht="15" customHeight="1" x14ac:dyDescent="0.2">
      <c r="S5003" s="69">
        <f>_xlfn.XLOOKUP(Results!A5003,Geometry!$B$6:$B$10000,Geometry!$C$6:$C$10000)</f>
        <v>0</v>
      </c>
      <c r="T5003" s="69"/>
      <c r="U5003" s="69"/>
    </row>
    <row r="5004" spans="19:21" ht="15" customHeight="1" x14ac:dyDescent="0.2">
      <c r="S5004" s="69">
        <f>_xlfn.XLOOKUP(Results!A5004,Geometry!$B$6:$B$10000,Geometry!$C$6:$C$10000)</f>
        <v>0</v>
      </c>
      <c r="T5004" s="69"/>
      <c r="U5004" s="69"/>
    </row>
    <row r="5005" spans="19:21" ht="15" customHeight="1" x14ac:dyDescent="0.2">
      <c r="S5005" s="69">
        <f>_xlfn.XLOOKUP(Results!A5005,Geometry!$B$6:$B$10000,Geometry!$C$6:$C$10000)</f>
        <v>0</v>
      </c>
      <c r="T5005" s="69"/>
      <c r="U5005" s="69"/>
    </row>
    <row r="5006" spans="19:21" ht="15" customHeight="1" x14ac:dyDescent="0.2">
      <c r="S5006" s="69">
        <f>_xlfn.XLOOKUP(Results!A5006,Geometry!$B$6:$B$10000,Geometry!$C$6:$C$10000)</f>
        <v>0</v>
      </c>
      <c r="T5006" s="69"/>
      <c r="U5006" s="69"/>
    </row>
    <row r="5007" spans="19:21" ht="15" customHeight="1" x14ac:dyDescent="0.2">
      <c r="S5007" s="69">
        <f>_xlfn.XLOOKUP(Results!A5007,Geometry!$B$6:$B$10000,Geometry!$C$6:$C$10000)</f>
        <v>0</v>
      </c>
      <c r="T5007" s="69"/>
      <c r="U5007" s="69"/>
    </row>
    <row r="5008" spans="19:21" ht="15" customHeight="1" x14ac:dyDescent="0.2">
      <c r="S5008" s="69">
        <f>_xlfn.XLOOKUP(Results!A5008,Geometry!$B$6:$B$10000,Geometry!$C$6:$C$10000)</f>
        <v>0</v>
      </c>
      <c r="T5008" s="69"/>
      <c r="U5008" s="69"/>
    </row>
    <row r="5009" spans="19:21" ht="15" customHeight="1" x14ac:dyDescent="0.2">
      <c r="S5009" s="69">
        <f>_xlfn.XLOOKUP(Results!A5009,Geometry!$B$6:$B$10000,Geometry!$C$6:$C$10000)</f>
        <v>0</v>
      </c>
      <c r="T5009" s="69"/>
      <c r="U5009" s="69"/>
    </row>
    <row r="5010" spans="19:21" ht="15" customHeight="1" x14ac:dyDescent="0.2">
      <c r="S5010" s="69">
        <f>_xlfn.XLOOKUP(Results!A5010,Geometry!$B$6:$B$10000,Geometry!$C$6:$C$10000)</f>
        <v>0</v>
      </c>
      <c r="T5010" s="69"/>
      <c r="U5010" s="69"/>
    </row>
    <row r="5011" spans="19:21" ht="15" customHeight="1" x14ac:dyDescent="0.2">
      <c r="S5011" s="69">
        <f>_xlfn.XLOOKUP(Results!A5011,Geometry!$B$6:$B$10000,Geometry!$C$6:$C$10000)</f>
        <v>0</v>
      </c>
      <c r="T5011" s="69"/>
      <c r="U5011" s="69"/>
    </row>
    <row r="5012" spans="19:21" ht="15" customHeight="1" x14ac:dyDescent="0.2">
      <c r="S5012" s="69">
        <f>_xlfn.XLOOKUP(Results!A5012,Geometry!$B$6:$B$10000,Geometry!$C$6:$C$10000)</f>
        <v>0</v>
      </c>
      <c r="T5012" s="69"/>
      <c r="U5012" s="69"/>
    </row>
    <row r="5013" spans="19:21" ht="15" customHeight="1" x14ac:dyDescent="0.2">
      <c r="S5013" s="69">
        <f>_xlfn.XLOOKUP(Results!A5013,Geometry!$B$6:$B$10000,Geometry!$C$6:$C$10000)</f>
        <v>0</v>
      </c>
      <c r="T5013" s="69"/>
      <c r="U5013" s="69"/>
    </row>
    <row r="5014" spans="19:21" ht="15" customHeight="1" x14ac:dyDescent="0.2">
      <c r="S5014" s="69">
        <f>_xlfn.XLOOKUP(Results!A5014,Geometry!$B$6:$B$10000,Geometry!$C$6:$C$10000)</f>
        <v>0</v>
      </c>
      <c r="T5014" s="69"/>
      <c r="U5014" s="69"/>
    </row>
    <row r="5015" spans="19:21" ht="15" customHeight="1" x14ac:dyDescent="0.2">
      <c r="S5015" s="69">
        <f>_xlfn.XLOOKUP(Results!A5015,Geometry!$B$6:$B$10000,Geometry!$C$6:$C$10000)</f>
        <v>0</v>
      </c>
      <c r="T5015" s="69"/>
      <c r="U5015" s="69"/>
    </row>
    <row r="5016" spans="19:21" ht="15" customHeight="1" x14ac:dyDescent="0.2">
      <c r="S5016" s="69">
        <f>_xlfn.XLOOKUP(Results!A5016,Geometry!$B$6:$B$10000,Geometry!$C$6:$C$10000)</f>
        <v>0</v>
      </c>
      <c r="T5016" s="69"/>
      <c r="U5016" s="69"/>
    </row>
    <row r="5017" spans="19:21" ht="15" customHeight="1" x14ac:dyDescent="0.2">
      <c r="S5017" s="69">
        <f>_xlfn.XLOOKUP(Results!A5017,Geometry!$B$6:$B$10000,Geometry!$C$6:$C$10000)</f>
        <v>0</v>
      </c>
      <c r="T5017" s="69"/>
      <c r="U5017" s="69"/>
    </row>
    <row r="5018" spans="19:21" ht="15" customHeight="1" x14ac:dyDescent="0.2">
      <c r="S5018" s="69">
        <f>_xlfn.XLOOKUP(Results!A5018,Geometry!$B$6:$B$10000,Geometry!$C$6:$C$10000)</f>
        <v>0</v>
      </c>
      <c r="T5018" s="69"/>
      <c r="U5018" s="69"/>
    </row>
    <row r="5019" spans="19:21" ht="15" customHeight="1" x14ac:dyDescent="0.2">
      <c r="S5019" s="69">
        <f>_xlfn.XLOOKUP(Results!A5019,Geometry!$B$6:$B$10000,Geometry!$C$6:$C$10000)</f>
        <v>0</v>
      </c>
      <c r="T5019" s="69"/>
      <c r="U5019" s="69"/>
    </row>
    <row r="5020" spans="19:21" ht="15" customHeight="1" x14ac:dyDescent="0.2">
      <c r="S5020" s="69">
        <f>_xlfn.XLOOKUP(Results!A5020,Geometry!$B$6:$B$10000,Geometry!$C$6:$C$10000)</f>
        <v>0</v>
      </c>
      <c r="T5020" s="69"/>
      <c r="U5020" s="69"/>
    </row>
    <row r="5021" spans="19:21" ht="15" customHeight="1" x14ac:dyDescent="0.2">
      <c r="S5021" s="69">
        <f>_xlfn.XLOOKUP(Results!A5021,Geometry!$B$6:$B$10000,Geometry!$C$6:$C$10000)</f>
        <v>0</v>
      </c>
      <c r="T5021" s="69"/>
      <c r="U5021" s="69"/>
    </row>
    <row r="5022" spans="19:21" ht="15" customHeight="1" x14ac:dyDescent="0.2">
      <c r="S5022" s="69">
        <f>_xlfn.XLOOKUP(Results!A5022,Geometry!$B$6:$B$10000,Geometry!$C$6:$C$10000)</f>
        <v>0</v>
      </c>
      <c r="T5022" s="69"/>
      <c r="U5022" s="69"/>
    </row>
    <row r="5023" spans="19:21" ht="15" customHeight="1" x14ac:dyDescent="0.2">
      <c r="S5023" s="69">
        <f>_xlfn.XLOOKUP(Results!A5023,Geometry!$B$6:$B$10000,Geometry!$C$6:$C$10000)</f>
        <v>0</v>
      </c>
      <c r="T5023" s="69"/>
      <c r="U5023" s="69"/>
    </row>
    <row r="5024" spans="19:21" ht="15" customHeight="1" x14ac:dyDescent="0.2">
      <c r="S5024" s="69">
        <f>_xlfn.XLOOKUP(Results!A5024,Geometry!$B$6:$B$10000,Geometry!$C$6:$C$10000)</f>
        <v>0</v>
      </c>
      <c r="T5024" s="69"/>
      <c r="U5024" s="69"/>
    </row>
    <row r="5025" spans="19:21" ht="15" customHeight="1" x14ac:dyDescent="0.2">
      <c r="S5025" s="69">
        <f>_xlfn.XLOOKUP(Results!A5025,Geometry!$B$6:$B$10000,Geometry!$C$6:$C$10000)</f>
        <v>0</v>
      </c>
      <c r="T5025" s="69"/>
      <c r="U5025" s="69"/>
    </row>
    <row r="5026" spans="19:21" ht="15" customHeight="1" x14ac:dyDescent="0.2">
      <c r="S5026" s="69">
        <f>_xlfn.XLOOKUP(Results!A5026,Geometry!$B$6:$B$10000,Geometry!$C$6:$C$10000)</f>
        <v>0</v>
      </c>
      <c r="T5026" s="69"/>
      <c r="U5026" s="69"/>
    </row>
    <row r="5027" spans="19:21" ht="15" customHeight="1" x14ac:dyDescent="0.2">
      <c r="S5027" s="69">
        <f>_xlfn.XLOOKUP(Results!A5027,Geometry!$B$6:$B$10000,Geometry!$C$6:$C$10000)</f>
        <v>0</v>
      </c>
      <c r="T5027" s="69"/>
      <c r="U5027" s="69"/>
    </row>
    <row r="5028" spans="19:21" ht="15" customHeight="1" x14ac:dyDescent="0.2">
      <c r="S5028" s="69">
        <f>_xlfn.XLOOKUP(Results!A5028,Geometry!$B$6:$B$10000,Geometry!$C$6:$C$10000)</f>
        <v>0</v>
      </c>
      <c r="T5028" s="69"/>
      <c r="U5028" s="69"/>
    </row>
    <row r="5029" spans="19:21" ht="15" customHeight="1" x14ac:dyDescent="0.2">
      <c r="S5029" s="69">
        <f>_xlfn.XLOOKUP(Results!A5029,Geometry!$B$6:$B$10000,Geometry!$C$6:$C$10000)</f>
        <v>0</v>
      </c>
      <c r="T5029" s="69"/>
      <c r="U5029" s="69"/>
    </row>
    <row r="5030" spans="19:21" ht="15" customHeight="1" x14ac:dyDescent="0.2">
      <c r="S5030" s="69">
        <f>_xlfn.XLOOKUP(Results!A5030,Geometry!$B$6:$B$10000,Geometry!$C$6:$C$10000)</f>
        <v>0</v>
      </c>
      <c r="T5030" s="69"/>
      <c r="U5030" s="69"/>
    </row>
    <row r="5031" spans="19:21" ht="15" customHeight="1" x14ac:dyDescent="0.2">
      <c r="S5031" s="69">
        <f>_xlfn.XLOOKUP(Results!A5031,Geometry!$B$6:$B$10000,Geometry!$C$6:$C$10000)</f>
        <v>0</v>
      </c>
      <c r="T5031" s="69"/>
      <c r="U5031" s="69"/>
    </row>
    <row r="5032" spans="19:21" ht="15" customHeight="1" x14ac:dyDescent="0.2">
      <c r="S5032" s="69">
        <f>_xlfn.XLOOKUP(Results!A5032,Geometry!$B$6:$B$10000,Geometry!$C$6:$C$10000)</f>
        <v>0</v>
      </c>
      <c r="T5032" s="69"/>
      <c r="U5032" s="69"/>
    </row>
    <row r="5033" spans="19:21" ht="15" customHeight="1" x14ac:dyDescent="0.2">
      <c r="S5033" s="69">
        <f>_xlfn.XLOOKUP(Results!A5033,Geometry!$B$6:$B$10000,Geometry!$C$6:$C$10000)</f>
        <v>0</v>
      </c>
      <c r="T5033" s="69"/>
      <c r="U5033" s="69"/>
    </row>
    <row r="5034" spans="19:21" ht="15" customHeight="1" x14ac:dyDescent="0.2">
      <c r="S5034" s="69">
        <f>_xlfn.XLOOKUP(Results!A5034,Geometry!$B$6:$B$10000,Geometry!$C$6:$C$10000)</f>
        <v>0</v>
      </c>
      <c r="T5034" s="69"/>
      <c r="U5034" s="69"/>
    </row>
    <row r="5035" spans="19:21" ht="15" customHeight="1" x14ac:dyDescent="0.2">
      <c r="S5035" s="69">
        <f>_xlfn.XLOOKUP(Results!A5035,Geometry!$B$6:$B$10000,Geometry!$C$6:$C$10000)</f>
        <v>0</v>
      </c>
      <c r="T5035" s="69"/>
      <c r="U5035" s="69"/>
    </row>
    <row r="5036" spans="19:21" ht="15" customHeight="1" x14ac:dyDescent="0.2">
      <c r="S5036" s="69">
        <f>_xlfn.XLOOKUP(Results!A5036,Geometry!$B$6:$B$10000,Geometry!$C$6:$C$10000)</f>
        <v>0</v>
      </c>
      <c r="T5036" s="69"/>
      <c r="U5036" s="69"/>
    </row>
    <row r="5037" spans="19:21" ht="15" customHeight="1" x14ac:dyDescent="0.2">
      <c r="S5037" s="69">
        <f>_xlfn.XLOOKUP(Results!A5037,Geometry!$B$6:$B$10000,Geometry!$C$6:$C$10000)</f>
        <v>0</v>
      </c>
      <c r="T5037" s="69"/>
      <c r="U5037" s="69"/>
    </row>
    <row r="5038" spans="19:21" ht="15" customHeight="1" x14ac:dyDescent="0.2">
      <c r="S5038" s="69">
        <f>_xlfn.XLOOKUP(Results!A5038,Geometry!$B$6:$B$10000,Geometry!$C$6:$C$10000)</f>
        <v>0</v>
      </c>
      <c r="T5038" s="69"/>
      <c r="U5038" s="69"/>
    </row>
    <row r="5039" spans="19:21" ht="15" customHeight="1" x14ac:dyDescent="0.2">
      <c r="S5039" s="69">
        <f>_xlfn.XLOOKUP(Results!A5039,Geometry!$B$6:$B$10000,Geometry!$C$6:$C$10000)</f>
        <v>0</v>
      </c>
      <c r="T5039" s="69"/>
      <c r="U5039" s="69"/>
    </row>
    <row r="5040" spans="19:21" ht="15" customHeight="1" x14ac:dyDescent="0.2">
      <c r="S5040" s="69">
        <f>_xlfn.XLOOKUP(Results!A5040,Geometry!$B$6:$B$10000,Geometry!$C$6:$C$10000)</f>
        <v>0</v>
      </c>
      <c r="T5040" s="69"/>
      <c r="U5040" s="69"/>
    </row>
    <row r="5041" spans="19:21" ht="15" customHeight="1" x14ac:dyDescent="0.2">
      <c r="S5041" s="69">
        <f>_xlfn.XLOOKUP(Results!A5041,Geometry!$B$6:$B$10000,Geometry!$C$6:$C$10000)</f>
        <v>0</v>
      </c>
      <c r="T5041" s="69"/>
      <c r="U5041" s="69"/>
    </row>
    <row r="5042" spans="19:21" ht="15" customHeight="1" x14ac:dyDescent="0.2">
      <c r="S5042" s="69">
        <f>_xlfn.XLOOKUP(Results!A5042,Geometry!$B$6:$B$10000,Geometry!$C$6:$C$10000)</f>
        <v>0</v>
      </c>
      <c r="T5042" s="69"/>
      <c r="U5042" s="69"/>
    </row>
    <row r="5043" spans="19:21" ht="15" customHeight="1" x14ac:dyDescent="0.2">
      <c r="S5043" s="69">
        <f>_xlfn.XLOOKUP(Results!A5043,Geometry!$B$6:$B$10000,Geometry!$C$6:$C$10000)</f>
        <v>0</v>
      </c>
      <c r="T5043" s="69"/>
      <c r="U5043" s="69"/>
    </row>
    <row r="5044" spans="19:21" ht="15" customHeight="1" x14ac:dyDescent="0.2">
      <c r="S5044" s="69">
        <f>_xlfn.XLOOKUP(Results!A5044,Geometry!$B$6:$B$10000,Geometry!$C$6:$C$10000)</f>
        <v>0</v>
      </c>
      <c r="T5044" s="69"/>
      <c r="U5044" s="69"/>
    </row>
    <row r="5045" spans="19:21" ht="15" customHeight="1" x14ac:dyDescent="0.2">
      <c r="S5045" s="69">
        <f>_xlfn.XLOOKUP(Results!A5045,Geometry!$B$6:$B$10000,Geometry!$C$6:$C$10000)</f>
        <v>0</v>
      </c>
      <c r="T5045" s="69"/>
      <c r="U5045" s="69"/>
    </row>
    <row r="5046" spans="19:21" ht="15" customHeight="1" x14ac:dyDescent="0.2">
      <c r="S5046" s="69">
        <f>_xlfn.XLOOKUP(Results!A5046,Geometry!$B$6:$B$10000,Geometry!$C$6:$C$10000)</f>
        <v>0</v>
      </c>
      <c r="T5046" s="69"/>
      <c r="U5046" s="69"/>
    </row>
    <row r="5047" spans="19:21" ht="15" customHeight="1" x14ac:dyDescent="0.2">
      <c r="S5047" s="69">
        <f>_xlfn.XLOOKUP(Results!A5047,Geometry!$B$6:$B$10000,Geometry!$C$6:$C$10000)</f>
        <v>0</v>
      </c>
      <c r="T5047" s="69"/>
      <c r="U5047" s="69"/>
    </row>
    <row r="5048" spans="19:21" ht="15" customHeight="1" x14ac:dyDescent="0.2">
      <c r="S5048" s="69">
        <f>_xlfn.XLOOKUP(Results!A5048,Geometry!$B$6:$B$10000,Geometry!$C$6:$C$10000)</f>
        <v>0</v>
      </c>
      <c r="T5048" s="69"/>
      <c r="U5048" s="69"/>
    </row>
    <row r="5049" spans="19:21" ht="15" customHeight="1" x14ac:dyDescent="0.2">
      <c r="S5049" s="69">
        <f>_xlfn.XLOOKUP(Results!A5049,Geometry!$B$6:$B$10000,Geometry!$C$6:$C$10000)</f>
        <v>0</v>
      </c>
      <c r="T5049" s="69"/>
      <c r="U5049" s="69"/>
    </row>
    <row r="5050" spans="19:21" ht="15" customHeight="1" x14ac:dyDescent="0.2">
      <c r="S5050" s="69">
        <f>_xlfn.XLOOKUP(Results!A5050,Geometry!$B$6:$B$10000,Geometry!$C$6:$C$10000)</f>
        <v>0</v>
      </c>
      <c r="T5050" s="69"/>
      <c r="U5050" s="69"/>
    </row>
    <row r="5051" spans="19:21" ht="15" customHeight="1" x14ac:dyDescent="0.2">
      <c r="S5051" s="69">
        <f>_xlfn.XLOOKUP(Results!A5051,Geometry!$B$6:$B$10000,Geometry!$C$6:$C$10000)</f>
        <v>0</v>
      </c>
      <c r="T5051" s="69"/>
      <c r="U5051" s="69"/>
    </row>
    <row r="5052" spans="19:21" ht="15" customHeight="1" x14ac:dyDescent="0.2">
      <c r="S5052" s="69">
        <f>_xlfn.XLOOKUP(Results!A5052,Geometry!$B$6:$B$10000,Geometry!$C$6:$C$10000)</f>
        <v>0</v>
      </c>
      <c r="T5052" s="69"/>
      <c r="U5052" s="69"/>
    </row>
    <row r="5053" spans="19:21" ht="15" customHeight="1" x14ac:dyDescent="0.2">
      <c r="S5053" s="69">
        <f>_xlfn.XLOOKUP(Results!A5053,Geometry!$B$6:$B$10000,Geometry!$C$6:$C$10000)</f>
        <v>0</v>
      </c>
      <c r="T5053" s="69"/>
      <c r="U5053" s="69"/>
    </row>
    <row r="5054" spans="19:21" ht="15" customHeight="1" x14ac:dyDescent="0.2">
      <c r="S5054" s="69">
        <f>_xlfn.XLOOKUP(Results!A5054,Geometry!$B$6:$B$10000,Geometry!$C$6:$C$10000)</f>
        <v>0</v>
      </c>
      <c r="T5054" s="69"/>
      <c r="U5054" s="69"/>
    </row>
    <row r="5055" spans="19:21" ht="15" customHeight="1" x14ac:dyDescent="0.2">
      <c r="S5055" s="69">
        <f>_xlfn.XLOOKUP(Results!A5055,Geometry!$B$6:$B$10000,Geometry!$C$6:$C$10000)</f>
        <v>0</v>
      </c>
      <c r="T5055" s="69"/>
      <c r="U5055" s="69"/>
    </row>
    <row r="5056" spans="19:21" ht="15" customHeight="1" x14ac:dyDescent="0.2">
      <c r="S5056" s="69">
        <f>_xlfn.XLOOKUP(Results!A5056,Geometry!$B$6:$B$10000,Geometry!$C$6:$C$10000)</f>
        <v>0</v>
      </c>
      <c r="T5056" s="69"/>
      <c r="U5056" s="69"/>
    </row>
    <row r="5057" spans="19:21" ht="15" customHeight="1" x14ac:dyDescent="0.2">
      <c r="S5057" s="69">
        <f>_xlfn.XLOOKUP(Results!A5057,Geometry!$B$6:$B$10000,Geometry!$C$6:$C$10000)</f>
        <v>0</v>
      </c>
      <c r="T5057" s="69"/>
      <c r="U5057" s="69"/>
    </row>
    <row r="5058" spans="19:21" ht="15" customHeight="1" x14ac:dyDescent="0.2">
      <c r="S5058" s="69">
        <f>_xlfn.XLOOKUP(Results!A5058,Geometry!$B$6:$B$10000,Geometry!$C$6:$C$10000)</f>
        <v>0</v>
      </c>
      <c r="T5058" s="69"/>
      <c r="U5058" s="69"/>
    </row>
    <row r="5059" spans="19:21" ht="15" customHeight="1" x14ac:dyDescent="0.2">
      <c r="S5059" s="69">
        <f>_xlfn.XLOOKUP(Results!A5059,Geometry!$B$6:$B$10000,Geometry!$C$6:$C$10000)</f>
        <v>0</v>
      </c>
      <c r="T5059" s="69"/>
      <c r="U5059" s="69"/>
    </row>
    <row r="5060" spans="19:21" ht="15" customHeight="1" x14ac:dyDescent="0.2">
      <c r="S5060" s="69">
        <f>_xlfn.XLOOKUP(Results!A5060,Geometry!$B$6:$B$10000,Geometry!$C$6:$C$10000)</f>
        <v>0</v>
      </c>
      <c r="T5060" s="69"/>
      <c r="U5060" s="69"/>
    </row>
    <row r="5061" spans="19:21" ht="15" customHeight="1" x14ac:dyDescent="0.2">
      <c r="S5061" s="69">
        <f>_xlfn.XLOOKUP(Results!A5061,Geometry!$B$6:$B$10000,Geometry!$C$6:$C$10000)</f>
        <v>0</v>
      </c>
      <c r="T5061" s="69"/>
      <c r="U5061" s="69"/>
    </row>
    <row r="5062" spans="19:21" ht="15" customHeight="1" x14ac:dyDescent="0.2">
      <c r="S5062" s="69">
        <f>_xlfn.XLOOKUP(Results!A5062,Geometry!$B$6:$B$10000,Geometry!$C$6:$C$10000)</f>
        <v>0</v>
      </c>
      <c r="T5062" s="69"/>
      <c r="U5062" s="69"/>
    </row>
    <row r="5063" spans="19:21" ht="15" customHeight="1" x14ac:dyDescent="0.2">
      <c r="S5063" s="69">
        <f>_xlfn.XLOOKUP(Results!A5063,Geometry!$B$6:$B$10000,Geometry!$C$6:$C$10000)</f>
        <v>0</v>
      </c>
      <c r="T5063" s="69"/>
      <c r="U5063" s="69"/>
    </row>
    <row r="5064" spans="19:21" ht="15" customHeight="1" x14ac:dyDescent="0.2">
      <c r="S5064" s="69">
        <f>_xlfn.XLOOKUP(Results!A5064,Geometry!$B$6:$B$10000,Geometry!$C$6:$C$10000)</f>
        <v>0</v>
      </c>
      <c r="T5064" s="69"/>
      <c r="U5064" s="69"/>
    </row>
    <row r="5065" spans="19:21" ht="15" customHeight="1" x14ac:dyDescent="0.2">
      <c r="S5065" s="69">
        <f>_xlfn.XLOOKUP(Results!A5065,Geometry!$B$6:$B$10000,Geometry!$C$6:$C$10000)</f>
        <v>0</v>
      </c>
      <c r="T5065" s="69"/>
      <c r="U5065" s="69"/>
    </row>
    <row r="5066" spans="19:21" ht="15" customHeight="1" x14ac:dyDescent="0.2">
      <c r="S5066" s="69">
        <f>_xlfn.XLOOKUP(Results!A5066,Geometry!$B$6:$B$10000,Geometry!$C$6:$C$10000)</f>
        <v>0</v>
      </c>
      <c r="T5066" s="69"/>
      <c r="U5066" s="69"/>
    </row>
    <row r="5067" spans="19:21" ht="15" customHeight="1" x14ac:dyDescent="0.2">
      <c r="S5067" s="69">
        <f>_xlfn.XLOOKUP(Results!A5067,Geometry!$B$6:$B$10000,Geometry!$C$6:$C$10000)</f>
        <v>0</v>
      </c>
      <c r="T5067" s="69"/>
      <c r="U5067" s="69"/>
    </row>
    <row r="5068" spans="19:21" ht="15" customHeight="1" x14ac:dyDescent="0.2">
      <c r="S5068" s="69">
        <f>_xlfn.XLOOKUP(Results!A5068,Geometry!$B$6:$B$10000,Geometry!$C$6:$C$10000)</f>
        <v>0</v>
      </c>
      <c r="T5068" s="69"/>
      <c r="U5068" s="69"/>
    </row>
    <row r="5069" spans="19:21" ht="15" customHeight="1" x14ac:dyDescent="0.2">
      <c r="S5069" s="69">
        <f>_xlfn.XLOOKUP(Results!A5069,Geometry!$B$6:$B$10000,Geometry!$C$6:$C$10000)</f>
        <v>0</v>
      </c>
      <c r="T5069" s="69"/>
      <c r="U5069" s="69"/>
    </row>
    <row r="5070" spans="19:21" ht="15" customHeight="1" x14ac:dyDescent="0.2">
      <c r="S5070" s="69">
        <f>_xlfn.XLOOKUP(Results!A5070,Geometry!$B$6:$B$10000,Geometry!$C$6:$C$10000)</f>
        <v>0</v>
      </c>
      <c r="T5070" s="69"/>
      <c r="U5070" s="69"/>
    </row>
    <row r="5071" spans="19:21" ht="15" customHeight="1" x14ac:dyDescent="0.2">
      <c r="S5071" s="69">
        <f>_xlfn.XLOOKUP(Results!A5071,Geometry!$B$6:$B$10000,Geometry!$C$6:$C$10000)</f>
        <v>0</v>
      </c>
      <c r="T5071" s="69"/>
      <c r="U5071" s="69"/>
    </row>
    <row r="5072" spans="19:21" ht="15" customHeight="1" x14ac:dyDescent="0.2">
      <c r="S5072" s="69">
        <f>_xlfn.XLOOKUP(Results!A5072,Geometry!$B$6:$B$10000,Geometry!$C$6:$C$10000)</f>
        <v>0</v>
      </c>
      <c r="T5072" s="69"/>
      <c r="U5072" s="69"/>
    </row>
    <row r="5073" spans="19:21" ht="15" customHeight="1" x14ac:dyDescent="0.2">
      <c r="S5073" s="69">
        <f>_xlfn.XLOOKUP(Results!A5073,Geometry!$B$6:$B$10000,Geometry!$C$6:$C$10000)</f>
        <v>0</v>
      </c>
      <c r="T5073" s="69"/>
      <c r="U5073" s="69"/>
    </row>
    <row r="5074" spans="19:21" ht="15" customHeight="1" x14ac:dyDescent="0.2">
      <c r="S5074" s="69">
        <f>_xlfn.XLOOKUP(Results!A5074,Geometry!$B$6:$B$10000,Geometry!$C$6:$C$10000)</f>
        <v>0</v>
      </c>
      <c r="T5074" s="69"/>
      <c r="U5074" s="69"/>
    </row>
    <row r="5075" spans="19:21" ht="15" customHeight="1" x14ac:dyDescent="0.2">
      <c r="S5075" s="69">
        <f>_xlfn.XLOOKUP(Results!A5075,Geometry!$B$6:$B$10000,Geometry!$C$6:$C$10000)</f>
        <v>0</v>
      </c>
      <c r="T5075" s="69"/>
      <c r="U5075" s="69"/>
    </row>
    <row r="5076" spans="19:21" ht="15" customHeight="1" x14ac:dyDescent="0.2">
      <c r="S5076" s="69">
        <f>_xlfn.XLOOKUP(Results!A5076,Geometry!$B$6:$B$10000,Geometry!$C$6:$C$10000)</f>
        <v>0</v>
      </c>
      <c r="T5076" s="69"/>
      <c r="U5076" s="69"/>
    </row>
    <row r="5077" spans="19:21" ht="15" customHeight="1" x14ac:dyDescent="0.2">
      <c r="S5077" s="69">
        <f>_xlfn.XLOOKUP(Results!A5077,Geometry!$B$6:$B$10000,Geometry!$C$6:$C$10000)</f>
        <v>0</v>
      </c>
      <c r="T5077" s="69"/>
      <c r="U5077" s="69"/>
    </row>
    <row r="5078" spans="19:21" ht="15" customHeight="1" x14ac:dyDescent="0.2">
      <c r="S5078" s="69">
        <f>_xlfn.XLOOKUP(Results!A5078,Geometry!$B$6:$B$10000,Geometry!$C$6:$C$10000)</f>
        <v>0</v>
      </c>
      <c r="T5078" s="69"/>
      <c r="U5078" s="69"/>
    </row>
    <row r="5079" spans="19:21" ht="15" customHeight="1" x14ac:dyDescent="0.2">
      <c r="S5079" s="69">
        <f>_xlfn.XLOOKUP(Results!A5079,Geometry!$B$6:$B$10000,Geometry!$C$6:$C$10000)</f>
        <v>0</v>
      </c>
      <c r="T5079" s="69"/>
      <c r="U5079" s="69"/>
    </row>
    <row r="5080" spans="19:21" ht="15" customHeight="1" x14ac:dyDescent="0.2">
      <c r="S5080" s="69">
        <f>_xlfn.XLOOKUP(Results!A5080,Geometry!$B$6:$B$10000,Geometry!$C$6:$C$10000)</f>
        <v>0</v>
      </c>
      <c r="T5080" s="69"/>
      <c r="U5080" s="69"/>
    </row>
    <row r="5081" spans="19:21" ht="15" customHeight="1" x14ac:dyDescent="0.2">
      <c r="S5081" s="69">
        <f>_xlfn.XLOOKUP(Results!A5081,Geometry!$B$6:$B$10000,Geometry!$C$6:$C$10000)</f>
        <v>0</v>
      </c>
      <c r="T5081" s="69"/>
      <c r="U5081" s="69"/>
    </row>
    <row r="5082" spans="19:21" ht="15" customHeight="1" x14ac:dyDescent="0.2">
      <c r="S5082" s="69">
        <f>_xlfn.XLOOKUP(Results!A5082,Geometry!$B$6:$B$10000,Geometry!$C$6:$C$10000)</f>
        <v>0</v>
      </c>
      <c r="T5082" s="69"/>
      <c r="U5082" s="69"/>
    </row>
    <row r="5083" spans="19:21" ht="15" customHeight="1" x14ac:dyDescent="0.2">
      <c r="S5083" s="69">
        <f>_xlfn.XLOOKUP(Results!A5083,Geometry!$B$6:$B$10000,Geometry!$C$6:$C$10000)</f>
        <v>0</v>
      </c>
      <c r="T5083" s="69"/>
      <c r="U5083" s="69"/>
    </row>
    <row r="5084" spans="19:21" ht="15" customHeight="1" x14ac:dyDescent="0.2">
      <c r="S5084" s="69">
        <f>_xlfn.XLOOKUP(Results!A5084,Geometry!$B$6:$B$10000,Geometry!$C$6:$C$10000)</f>
        <v>0</v>
      </c>
      <c r="T5084" s="69"/>
      <c r="U5084" s="69"/>
    </row>
    <row r="5085" spans="19:21" ht="15" customHeight="1" x14ac:dyDescent="0.2">
      <c r="S5085" s="69">
        <f>_xlfn.XLOOKUP(Results!A5085,Geometry!$B$6:$B$10000,Geometry!$C$6:$C$10000)</f>
        <v>0</v>
      </c>
      <c r="T5085" s="69"/>
      <c r="U5085" s="69"/>
    </row>
    <row r="5086" spans="19:21" ht="15" customHeight="1" x14ac:dyDescent="0.2">
      <c r="S5086" s="69">
        <f>_xlfn.XLOOKUP(Results!A5086,Geometry!$B$6:$B$10000,Geometry!$C$6:$C$10000)</f>
        <v>0</v>
      </c>
      <c r="T5086" s="69"/>
      <c r="U5086" s="69"/>
    </row>
    <row r="5087" spans="19:21" ht="15" customHeight="1" x14ac:dyDescent="0.2">
      <c r="S5087" s="69">
        <f>_xlfn.XLOOKUP(Results!A5087,Geometry!$B$6:$B$10000,Geometry!$C$6:$C$10000)</f>
        <v>0</v>
      </c>
      <c r="T5087" s="69"/>
      <c r="U5087" s="69"/>
    </row>
    <row r="5088" spans="19:21" ht="15" customHeight="1" x14ac:dyDescent="0.2">
      <c r="S5088" s="69">
        <f>_xlfn.XLOOKUP(Results!A5088,Geometry!$B$6:$B$10000,Geometry!$C$6:$C$10000)</f>
        <v>0</v>
      </c>
      <c r="T5088" s="69"/>
      <c r="U5088" s="69"/>
    </row>
    <row r="5089" spans="19:21" ht="15" customHeight="1" x14ac:dyDescent="0.2">
      <c r="S5089" s="69">
        <f>_xlfn.XLOOKUP(Results!A5089,Geometry!$B$6:$B$10000,Geometry!$C$6:$C$10000)</f>
        <v>0</v>
      </c>
      <c r="T5089" s="69"/>
      <c r="U5089" s="69"/>
    </row>
    <row r="5090" spans="19:21" ht="15" customHeight="1" x14ac:dyDescent="0.2">
      <c r="S5090" s="69">
        <f>_xlfn.XLOOKUP(Results!A5090,Geometry!$B$6:$B$10000,Geometry!$C$6:$C$10000)</f>
        <v>0</v>
      </c>
      <c r="T5090" s="69"/>
      <c r="U5090" s="69"/>
    </row>
    <row r="5091" spans="19:21" ht="15" customHeight="1" x14ac:dyDescent="0.2">
      <c r="S5091" s="69">
        <f>_xlfn.XLOOKUP(Results!A5091,Geometry!$B$6:$B$10000,Geometry!$C$6:$C$10000)</f>
        <v>0</v>
      </c>
      <c r="T5091" s="69"/>
      <c r="U5091" s="69"/>
    </row>
    <row r="5092" spans="19:21" ht="15" customHeight="1" x14ac:dyDescent="0.2">
      <c r="S5092" s="69">
        <f>_xlfn.XLOOKUP(Results!A5092,Geometry!$B$6:$B$10000,Geometry!$C$6:$C$10000)</f>
        <v>0</v>
      </c>
      <c r="T5092" s="69"/>
      <c r="U5092" s="69"/>
    </row>
    <row r="5093" spans="19:21" ht="15" customHeight="1" x14ac:dyDescent="0.2">
      <c r="S5093" s="69">
        <f>_xlfn.XLOOKUP(Results!A5093,Geometry!$B$6:$B$10000,Geometry!$C$6:$C$10000)</f>
        <v>0</v>
      </c>
      <c r="T5093" s="69"/>
      <c r="U5093" s="69"/>
    </row>
    <row r="5094" spans="19:21" ht="15" customHeight="1" x14ac:dyDescent="0.2">
      <c r="S5094" s="69">
        <f>_xlfn.XLOOKUP(Results!A5094,Geometry!$B$6:$B$10000,Geometry!$C$6:$C$10000)</f>
        <v>0</v>
      </c>
      <c r="T5094" s="69"/>
      <c r="U5094" s="69"/>
    </row>
    <row r="5095" spans="19:21" ht="15" customHeight="1" x14ac:dyDescent="0.2">
      <c r="S5095" s="69">
        <f>_xlfn.XLOOKUP(Results!A5095,Geometry!$B$6:$B$10000,Geometry!$C$6:$C$10000)</f>
        <v>0</v>
      </c>
      <c r="T5095" s="69"/>
      <c r="U5095" s="69"/>
    </row>
    <row r="5096" spans="19:21" ht="15" customHeight="1" x14ac:dyDescent="0.2">
      <c r="S5096" s="69">
        <f>_xlfn.XLOOKUP(Results!A5096,Geometry!$B$6:$B$10000,Geometry!$C$6:$C$10000)</f>
        <v>0</v>
      </c>
      <c r="T5096" s="69"/>
      <c r="U5096" s="69"/>
    </row>
    <row r="5097" spans="19:21" ht="15" customHeight="1" x14ac:dyDescent="0.2">
      <c r="S5097" s="69">
        <f>_xlfn.XLOOKUP(Results!A5097,Geometry!$B$6:$B$10000,Geometry!$C$6:$C$10000)</f>
        <v>0</v>
      </c>
      <c r="T5097" s="69"/>
      <c r="U5097" s="69"/>
    </row>
    <row r="5098" spans="19:21" ht="15" customHeight="1" x14ac:dyDescent="0.2">
      <c r="S5098" s="69">
        <f>_xlfn.XLOOKUP(Results!A5098,Geometry!$B$6:$B$10000,Geometry!$C$6:$C$10000)</f>
        <v>0</v>
      </c>
      <c r="T5098" s="69"/>
      <c r="U5098" s="69"/>
    </row>
    <row r="5099" spans="19:21" ht="15" customHeight="1" x14ac:dyDescent="0.2">
      <c r="S5099" s="69">
        <f>_xlfn.XLOOKUP(Results!A5099,Geometry!$B$6:$B$10000,Geometry!$C$6:$C$10000)</f>
        <v>0</v>
      </c>
      <c r="T5099" s="69"/>
      <c r="U5099" s="69"/>
    </row>
    <row r="5100" spans="19:21" ht="15" customHeight="1" x14ac:dyDescent="0.2">
      <c r="S5100" s="69">
        <f>_xlfn.XLOOKUP(Results!A5100,Geometry!$B$6:$B$10000,Geometry!$C$6:$C$10000)</f>
        <v>0</v>
      </c>
      <c r="T5100" s="69"/>
      <c r="U5100" s="69"/>
    </row>
    <row r="5101" spans="19:21" ht="15" customHeight="1" x14ac:dyDescent="0.2">
      <c r="S5101" s="69">
        <f>_xlfn.XLOOKUP(Results!A5101,Geometry!$B$6:$B$10000,Geometry!$C$6:$C$10000)</f>
        <v>0</v>
      </c>
      <c r="T5101" s="69"/>
      <c r="U5101" s="69"/>
    </row>
    <row r="5102" spans="19:21" ht="15" customHeight="1" x14ac:dyDescent="0.2">
      <c r="S5102" s="69">
        <f>_xlfn.XLOOKUP(Results!A5102,Geometry!$B$6:$B$10000,Geometry!$C$6:$C$10000)</f>
        <v>0</v>
      </c>
      <c r="T5102" s="69"/>
      <c r="U5102" s="69"/>
    </row>
    <row r="5103" spans="19:21" ht="15" customHeight="1" x14ac:dyDescent="0.2">
      <c r="S5103" s="69">
        <f>_xlfn.XLOOKUP(Results!A5103,Geometry!$B$6:$B$10000,Geometry!$C$6:$C$10000)</f>
        <v>0</v>
      </c>
      <c r="T5103" s="69"/>
      <c r="U5103" s="69"/>
    </row>
    <row r="5104" spans="19:21" ht="15" customHeight="1" x14ac:dyDescent="0.2">
      <c r="S5104" s="69">
        <f>_xlfn.XLOOKUP(Results!A5104,Geometry!$B$6:$B$10000,Geometry!$C$6:$C$10000)</f>
        <v>0</v>
      </c>
      <c r="T5104" s="69"/>
      <c r="U5104" s="69"/>
    </row>
    <row r="5105" spans="19:21" ht="15" customHeight="1" x14ac:dyDescent="0.2">
      <c r="S5105" s="69">
        <f>_xlfn.XLOOKUP(Results!A5105,Geometry!$B$6:$B$10000,Geometry!$C$6:$C$10000)</f>
        <v>0</v>
      </c>
      <c r="T5105" s="69"/>
      <c r="U5105" s="69"/>
    </row>
    <row r="5106" spans="19:21" ht="15" customHeight="1" x14ac:dyDescent="0.2">
      <c r="S5106" s="69">
        <f>_xlfn.XLOOKUP(Results!A5106,Geometry!$B$6:$B$10000,Geometry!$C$6:$C$10000)</f>
        <v>0</v>
      </c>
      <c r="T5106" s="69"/>
      <c r="U5106" s="69"/>
    </row>
    <row r="5107" spans="19:21" ht="15" customHeight="1" x14ac:dyDescent="0.2">
      <c r="S5107" s="69">
        <f>_xlfn.XLOOKUP(Results!A5107,Geometry!$B$6:$B$10000,Geometry!$C$6:$C$10000)</f>
        <v>0</v>
      </c>
      <c r="T5107" s="69"/>
      <c r="U5107" s="69"/>
    </row>
    <row r="5108" spans="19:21" ht="15" customHeight="1" x14ac:dyDescent="0.2">
      <c r="S5108" s="69">
        <f>_xlfn.XLOOKUP(Results!A5108,Geometry!$B$6:$B$10000,Geometry!$C$6:$C$10000)</f>
        <v>0</v>
      </c>
      <c r="T5108" s="69"/>
      <c r="U5108" s="69"/>
    </row>
    <row r="5109" spans="19:21" ht="15" customHeight="1" x14ac:dyDescent="0.2">
      <c r="S5109" s="69">
        <f>_xlfn.XLOOKUP(Results!A5109,Geometry!$B$6:$B$10000,Geometry!$C$6:$C$10000)</f>
        <v>0</v>
      </c>
      <c r="T5109" s="69"/>
      <c r="U5109" s="69"/>
    </row>
    <row r="5110" spans="19:21" ht="15" customHeight="1" x14ac:dyDescent="0.2">
      <c r="S5110" s="69">
        <f>_xlfn.XLOOKUP(Results!A5110,Geometry!$B$6:$B$10000,Geometry!$C$6:$C$10000)</f>
        <v>0</v>
      </c>
      <c r="T5110" s="69"/>
      <c r="U5110" s="69"/>
    </row>
    <row r="5111" spans="19:21" ht="15" customHeight="1" x14ac:dyDescent="0.2">
      <c r="S5111" s="69">
        <f>_xlfn.XLOOKUP(Results!A5111,Geometry!$B$6:$B$10000,Geometry!$C$6:$C$10000)</f>
        <v>0</v>
      </c>
      <c r="T5111" s="69"/>
      <c r="U5111" s="69"/>
    </row>
    <row r="5112" spans="19:21" ht="15" customHeight="1" x14ac:dyDescent="0.2">
      <c r="S5112" s="69">
        <f>_xlfn.XLOOKUP(Results!A5112,Geometry!$B$6:$B$10000,Geometry!$C$6:$C$10000)</f>
        <v>0</v>
      </c>
      <c r="T5112" s="69"/>
      <c r="U5112" s="69"/>
    </row>
    <row r="5113" spans="19:21" ht="15" customHeight="1" x14ac:dyDescent="0.2">
      <c r="S5113" s="69">
        <f>_xlfn.XLOOKUP(Results!A5113,Geometry!$B$6:$B$10000,Geometry!$C$6:$C$10000)</f>
        <v>0</v>
      </c>
      <c r="T5113" s="69"/>
      <c r="U5113" s="69"/>
    </row>
    <row r="5114" spans="19:21" ht="15" customHeight="1" x14ac:dyDescent="0.2">
      <c r="S5114" s="69">
        <f>_xlfn.XLOOKUP(Results!A5114,Geometry!$B$6:$B$10000,Geometry!$C$6:$C$10000)</f>
        <v>0</v>
      </c>
      <c r="T5114" s="69"/>
      <c r="U5114" s="69"/>
    </row>
    <row r="5115" spans="19:21" ht="15" customHeight="1" x14ac:dyDescent="0.2">
      <c r="S5115" s="69">
        <f>_xlfn.XLOOKUP(Results!A5115,Geometry!$B$6:$B$10000,Geometry!$C$6:$C$10000)</f>
        <v>0</v>
      </c>
      <c r="T5115" s="69"/>
      <c r="U5115" s="69"/>
    </row>
    <row r="5116" spans="19:21" ht="15" customHeight="1" x14ac:dyDescent="0.2">
      <c r="S5116" s="69">
        <f>_xlfn.XLOOKUP(Results!A5116,Geometry!$B$6:$B$10000,Geometry!$C$6:$C$10000)</f>
        <v>0</v>
      </c>
      <c r="T5116" s="69"/>
      <c r="U5116" s="69"/>
    </row>
    <row r="5117" spans="19:21" ht="15" customHeight="1" x14ac:dyDescent="0.2">
      <c r="S5117" s="69">
        <f>_xlfn.XLOOKUP(Results!A5117,Geometry!$B$6:$B$10000,Geometry!$C$6:$C$10000)</f>
        <v>0</v>
      </c>
      <c r="T5117" s="69"/>
      <c r="U5117" s="69"/>
    </row>
    <row r="5118" spans="19:21" ht="15" customHeight="1" x14ac:dyDescent="0.2">
      <c r="S5118" s="69">
        <f>_xlfn.XLOOKUP(Results!A5118,Geometry!$B$6:$B$10000,Geometry!$C$6:$C$10000)</f>
        <v>0</v>
      </c>
      <c r="T5118" s="69"/>
      <c r="U5118" s="69"/>
    </row>
    <row r="5119" spans="19:21" ht="15" customHeight="1" x14ac:dyDescent="0.2">
      <c r="S5119" s="69">
        <f>_xlfn.XLOOKUP(Results!A5119,Geometry!$B$6:$B$10000,Geometry!$C$6:$C$10000)</f>
        <v>0</v>
      </c>
      <c r="T5119" s="69"/>
      <c r="U5119" s="69"/>
    </row>
    <row r="5120" spans="19:21" ht="15" customHeight="1" x14ac:dyDescent="0.2">
      <c r="S5120" s="69">
        <f>_xlfn.XLOOKUP(Results!A5120,Geometry!$B$6:$B$10000,Geometry!$C$6:$C$10000)</f>
        <v>0</v>
      </c>
      <c r="T5120" s="69"/>
      <c r="U5120" s="69"/>
    </row>
    <row r="5121" spans="19:21" ht="15" customHeight="1" x14ac:dyDescent="0.2">
      <c r="S5121" s="69">
        <f>_xlfn.XLOOKUP(Results!A5121,Geometry!$B$6:$B$10000,Geometry!$C$6:$C$10000)</f>
        <v>0</v>
      </c>
      <c r="T5121" s="69"/>
      <c r="U5121" s="69"/>
    </row>
    <row r="5122" spans="19:21" ht="15" customHeight="1" x14ac:dyDescent="0.2">
      <c r="S5122" s="69">
        <f>_xlfn.XLOOKUP(Results!A5122,Geometry!$B$6:$B$10000,Geometry!$C$6:$C$10000)</f>
        <v>0</v>
      </c>
      <c r="T5122" s="69"/>
      <c r="U5122" s="69"/>
    </row>
    <row r="5123" spans="19:21" ht="15" customHeight="1" x14ac:dyDescent="0.2">
      <c r="S5123" s="69">
        <f>_xlfn.XLOOKUP(Results!A5123,Geometry!$B$6:$B$10000,Geometry!$C$6:$C$10000)</f>
        <v>0</v>
      </c>
      <c r="T5123" s="69"/>
      <c r="U5123" s="69"/>
    </row>
    <row r="5124" spans="19:21" ht="15" customHeight="1" x14ac:dyDescent="0.2">
      <c r="S5124" s="69">
        <f>_xlfn.XLOOKUP(Results!A5124,Geometry!$B$6:$B$10000,Geometry!$C$6:$C$10000)</f>
        <v>0</v>
      </c>
      <c r="T5124" s="69"/>
      <c r="U5124" s="69"/>
    </row>
    <row r="5125" spans="19:21" ht="15" customHeight="1" x14ac:dyDescent="0.2">
      <c r="S5125" s="69">
        <f>_xlfn.XLOOKUP(Results!A5125,Geometry!$B$6:$B$10000,Geometry!$C$6:$C$10000)</f>
        <v>0</v>
      </c>
      <c r="T5125" s="69"/>
      <c r="U5125" s="69"/>
    </row>
    <row r="5126" spans="19:21" ht="15" customHeight="1" x14ac:dyDescent="0.2">
      <c r="S5126" s="69">
        <f>_xlfn.XLOOKUP(Results!A5126,Geometry!$B$6:$B$10000,Geometry!$C$6:$C$10000)</f>
        <v>0</v>
      </c>
      <c r="T5126" s="69"/>
      <c r="U5126" s="69"/>
    </row>
    <row r="5127" spans="19:21" ht="15" customHeight="1" x14ac:dyDescent="0.2">
      <c r="S5127" s="69">
        <f>_xlfn.XLOOKUP(Results!A5127,Geometry!$B$6:$B$10000,Geometry!$C$6:$C$10000)</f>
        <v>0</v>
      </c>
      <c r="T5127" s="69"/>
      <c r="U5127" s="69"/>
    </row>
    <row r="5128" spans="19:21" ht="15" customHeight="1" x14ac:dyDescent="0.2">
      <c r="S5128" s="69">
        <f>_xlfn.XLOOKUP(Results!A5128,Geometry!$B$6:$B$10000,Geometry!$C$6:$C$10000)</f>
        <v>0</v>
      </c>
      <c r="T5128" s="69"/>
      <c r="U5128" s="69"/>
    </row>
    <row r="5129" spans="19:21" ht="15" customHeight="1" x14ac:dyDescent="0.2">
      <c r="S5129" s="69">
        <f>_xlfn.XLOOKUP(Results!A5129,Geometry!$B$6:$B$10000,Geometry!$C$6:$C$10000)</f>
        <v>0</v>
      </c>
      <c r="T5129" s="69"/>
      <c r="U5129" s="69"/>
    </row>
    <row r="5130" spans="19:21" ht="15" customHeight="1" x14ac:dyDescent="0.2">
      <c r="S5130" s="69">
        <f>_xlfn.XLOOKUP(Results!A5130,Geometry!$B$6:$B$10000,Geometry!$C$6:$C$10000)</f>
        <v>0</v>
      </c>
      <c r="T5130" s="69"/>
      <c r="U5130" s="69"/>
    </row>
    <row r="5131" spans="19:21" ht="15" customHeight="1" x14ac:dyDescent="0.2">
      <c r="S5131" s="69">
        <f>_xlfn.XLOOKUP(Results!A5131,Geometry!$B$6:$B$10000,Geometry!$C$6:$C$10000)</f>
        <v>0</v>
      </c>
      <c r="T5131" s="69"/>
      <c r="U5131" s="69"/>
    </row>
    <row r="5132" spans="19:21" ht="15" customHeight="1" x14ac:dyDescent="0.2">
      <c r="S5132" s="69">
        <f>_xlfn.XLOOKUP(Results!A5132,Geometry!$B$6:$B$10000,Geometry!$C$6:$C$10000)</f>
        <v>0</v>
      </c>
      <c r="T5132" s="69"/>
      <c r="U5132" s="69"/>
    </row>
    <row r="5133" spans="19:21" ht="15" customHeight="1" x14ac:dyDescent="0.2">
      <c r="S5133" s="69">
        <f>_xlfn.XLOOKUP(Results!A5133,Geometry!$B$6:$B$10000,Geometry!$C$6:$C$10000)</f>
        <v>0</v>
      </c>
      <c r="T5133" s="69"/>
      <c r="U5133" s="69"/>
    </row>
    <row r="5134" spans="19:21" ht="15" customHeight="1" x14ac:dyDescent="0.2">
      <c r="S5134" s="69">
        <f>_xlfn.XLOOKUP(Results!A5134,Geometry!$B$6:$B$10000,Geometry!$C$6:$C$10000)</f>
        <v>0</v>
      </c>
      <c r="T5134" s="69"/>
      <c r="U5134" s="69"/>
    </row>
    <row r="5135" spans="19:21" ht="15" customHeight="1" x14ac:dyDescent="0.2">
      <c r="S5135" s="69">
        <f>_xlfn.XLOOKUP(Results!A5135,Geometry!$B$6:$B$10000,Geometry!$C$6:$C$10000)</f>
        <v>0</v>
      </c>
      <c r="T5135" s="69"/>
      <c r="U5135" s="69"/>
    </row>
    <row r="5136" spans="19:21" ht="15" customHeight="1" x14ac:dyDescent="0.2">
      <c r="S5136" s="69">
        <f>_xlfn.XLOOKUP(Results!A5136,Geometry!$B$6:$B$10000,Geometry!$C$6:$C$10000)</f>
        <v>0</v>
      </c>
      <c r="T5136" s="69"/>
      <c r="U5136" s="69"/>
    </row>
    <row r="5137" spans="19:21" ht="15" customHeight="1" x14ac:dyDescent="0.2">
      <c r="S5137" s="69">
        <f>_xlfn.XLOOKUP(Results!A5137,Geometry!$B$6:$B$10000,Geometry!$C$6:$C$10000)</f>
        <v>0</v>
      </c>
      <c r="T5137" s="69"/>
      <c r="U5137" s="69"/>
    </row>
    <row r="5138" spans="19:21" ht="15" customHeight="1" x14ac:dyDescent="0.2">
      <c r="S5138" s="69">
        <f>_xlfn.XLOOKUP(Results!A5138,Geometry!$B$6:$B$10000,Geometry!$C$6:$C$10000)</f>
        <v>0</v>
      </c>
      <c r="T5138" s="69"/>
      <c r="U5138" s="69"/>
    </row>
    <row r="5139" spans="19:21" ht="15" customHeight="1" x14ac:dyDescent="0.2">
      <c r="S5139" s="69">
        <f>_xlfn.XLOOKUP(Results!A5139,Geometry!$B$6:$B$10000,Geometry!$C$6:$C$10000)</f>
        <v>0</v>
      </c>
      <c r="T5139" s="69"/>
      <c r="U5139" s="69"/>
    </row>
    <row r="5140" spans="19:21" ht="15" customHeight="1" x14ac:dyDescent="0.2">
      <c r="S5140" s="69">
        <f>_xlfn.XLOOKUP(Results!A5140,Geometry!$B$6:$B$10000,Geometry!$C$6:$C$10000)</f>
        <v>0</v>
      </c>
      <c r="T5140" s="69"/>
      <c r="U5140" s="69"/>
    </row>
    <row r="5141" spans="19:21" ht="15" customHeight="1" x14ac:dyDescent="0.2">
      <c r="S5141" s="69">
        <f>_xlfn.XLOOKUP(Results!A5141,Geometry!$B$6:$B$10000,Geometry!$C$6:$C$10000)</f>
        <v>0</v>
      </c>
      <c r="T5141" s="69"/>
      <c r="U5141" s="69"/>
    </row>
    <row r="5142" spans="19:21" ht="15" customHeight="1" x14ac:dyDescent="0.2">
      <c r="S5142" s="69">
        <f>_xlfn.XLOOKUP(Results!A5142,Geometry!$B$6:$B$10000,Geometry!$C$6:$C$10000)</f>
        <v>0</v>
      </c>
      <c r="T5142" s="69"/>
      <c r="U5142" s="69"/>
    </row>
    <row r="5143" spans="19:21" ht="15" customHeight="1" x14ac:dyDescent="0.2">
      <c r="S5143" s="69">
        <f>_xlfn.XLOOKUP(Results!A5143,Geometry!$B$6:$B$10000,Geometry!$C$6:$C$10000)</f>
        <v>0</v>
      </c>
      <c r="T5143" s="69"/>
      <c r="U5143" s="69"/>
    </row>
    <row r="5144" spans="19:21" ht="15" customHeight="1" x14ac:dyDescent="0.2">
      <c r="S5144" s="69">
        <f>_xlfn.XLOOKUP(Results!A5144,Geometry!$B$6:$B$10000,Geometry!$C$6:$C$10000)</f>
        <v>0</v>
      </c>
      <c r="T5144" s="69"/>
      <c r="U5144" s="69"/>
    </row>
    <row r="5145" spans="19:21" ht="15" customHeight="1" x14ac:dyDescent="0.2">
      <c r="S5145" s="69">
        <f>_xlfn.XLOOKUP(Results!A5145,Geometry!$B$6:$B$10000,Geometry!$C$6:$C$10000)</f>
        <v>0</v>
      </c>
      <c r="T5145" s="69"/>
      <c r="U5145" s="69"/>
    </row>
    <row r="5146" spans="19:21" ht="15" customHeight="1" x14ac:dyDescent="0.2">
      <c r="S5146" s="69">
        <f>_xlfn.XLOOKUP(Results!A5146,Geometry!$B$6:$B$10000,Geometry!$C$6:$C$10000)</f>
        <v>0</v>
      </c>
      <c r="T5146" s="69"/>
      <c r="U5146" s="69"/>
    </row>
    <row r="5147" spans="19:21" ht="15" customHeight="1" x14ac:dyDescent="0.2">
      <c r="S5147" s="69">
        <f>_xlfn.XLOOKUP(Results!A5147,Geometry!$B$6:$B$10000,Geometry!$C$6:$C$10000)</f>
        <v>0</v>
      </c>
      <c r="T5147" s="69"/>
      <c r="U5147" s="69"/>
    </row>
    <row r="5148" spans="19:21" ht="15" customHeight="1" x14ac:dyDescent="0.2">
      <c r="S5148" s="69">
        <f>_xlfn.XLOOKUP(Results!A5148,Geometry!$B$6:$B$10000,Geometry!$C$6:$C$10000)</f>
        <v>0</v>
      </c>
      <c r="T5148" s="69"/>
      <c r="U5148" s="69"/>
    </row>
    <row r="5149" spans="19:21" ht="15" customHeight="1" x14ac:dyDescent="0.2">
      <c r="S5149" s="69">
        <f>_xlfn.XLOOKUP(Results!A5149,Geometry!$B$6:$B$10000,Geometry!$C$6:$C$10000)</f>
        <v>0</v>
      </c>
      <c r="T5149" s="69"/>
      <c r="U5149" s="69"/>
    </row>
    <row r="5150" spans="19:21" ht="15" customHeight="1" x14ac:dyDescent="0.2">
      <c r="S5150" s="69">
        <f>_xlfn.XLOOKUP(Results!A5150,Geometry!$B$6:$B$10000,Geometry!$C$6:$C$10000)</f>
        <v>0</v>
      </c>
      <c r="T5150" s="69"/>
      <c r="U5150" s="69"/>
    </row>
    <row r="5151" spans="19:21" ht="15" customHeight="1" x14ac:dyDescent="0.2">
      <c r="S5151" s="69">
        <f>_xlfn.XLOOKUP(Results!A5151,Geometry!$B$6:$B$10000,Geometry!$C$6:$C$10000)</f>
        <v>0</v>
      </c>
      <c r="T5151" s="69"/>
      <c r="U5151" s="69"/>
    </row>
    <row r="5152" spans="19:21" ht="15" customHeight="1" x14ac:dyDescent="0.2">
      <c r="S5152" s="69">
        <f>_xlfn.XLOOKUP(Results!A5152,Geometry!$B$6:$B$10000,Geometry!$C$6:$C$10000)</f>
        <v>0</v>
      </c>
      <c r="T5152" s="69"/>
      <c r="U5152" s="69"/>
    </row>
    <row r="5153" spans="19:21" ht="15" customHeight="1" x14ac:dyDescent="0.2">
      <c r="S5153" s="69">
        <f>_xlfn.XLOOKUP(Results!A5153,Geometry!$B$6:$B$10000,Geometry!$C$6:$C$10000)</f>
        <v>0</v>
      </c>
      <c r="T5153" s="69"/>
      <c r="U5153" s="69"/>
    </row>
    <row r="5154" spans="19:21" ht="15" customHeight="1" x14ac:dyDescent="0.2">
      <c r="S5154" s="69">
        <f>_xlfn.XLOOKUP(Results!A5154,Geometry!$B$6:$B$10000,Geometry!$C$6:$C$10000)</f>
        <v>0</v>
      </c>
      <c r="T5154" s="69"/>
      <c r="U5154" s="69"/>
    </row>
    <row r="5155" spans="19:21" ht="15" customHeight="1" x14ac:dyDescent="0.2">
      <c r="S5155" s="69">
        <f>_xlfn.XLOOKUP(Results!A5155,Geometry!$B$6:$B$10000,Geometry!$C$6:$C$10000)</f>
        <v>0</v>
      </c>
      <c r="T5155" s="69"/>
      <c r="U5155" s="69"/>
    </row>
    <row r="5156" spans="19:21" ht="15" customHeight="1" x14ac:dyDescent="0.2">
      <c r="S5156" s="69">
        <f>_xlfn.XLOOKUP(Results!A5156,Geometry!$B$6:$B$10000,Geometry!$C$6:$C$10000)</f>
        <v>0</v>
      </c>
      <c r="T5156" s="69"/>
      <c r="U5156" s="69"/>
    </row>
    <row r="5157" spans="19:21" ht="15" customHeight="1" x14ac:dyDescent="0.2">
      <c r="S5157" s="69">
        <f>_xlfn.XLOOKUP(Results!A5157,Geometry!$B$6:$B$10000,Geometry!$C$6:$C$10000)</f>
        <v>0</v>
      </c>
      <c r="T5157" s="69"/>
      <c r="U5157" s="69"/>
    </row>
    <row r="5158" spans="19:21" ht="15" customHeight="1" x14ac:dyDescent="0.2">
      <c r="S5158" s="69">
        <f>_xlfn.XLOOKUP(Results!A5158,Geometry!$B$6:$B$10000,Geometry!$C$6:$C$10000)</f>
        <v>0</v>
      </c>
      <c r="T5158" s="69"/>
      <c r="U5158" s="69"/>
    </row>
    <row r="5159" spans="19:21" ht="15" customHeight="1" x14ac:dyDescent="0.2">
      <c r="S5159" s="69">
        <f>_xlfn.XLOOKUP(Results!A5159,Geometry!$B$6:$B$10000,Geometry!$C$6:$C$10000)</f>
        <v>0</v>
      </c>
      <c r="T5159" s="69"/>
      <c r="U5159" s="69"/>
    </row>
    <row r="5160" spans="19:21" ht="15" customHeight="1" x14ac:dyDescent="0.2">
      <c r="S5160" s="69">
        <f>_xlfn.XLOOKUP(Results!A5160,Geometry!$B$6:$B$10000,Geometry!$C$6:$C$10000)</f>
        <v>0</v>
      </c>
      <c r="T5160" s="69"/>
      <c r="U5160" s="69"/>
    </row>
    <row r="5161" spans="19:21" ht="15" customHeight="1" x14ac:dyDescent="0.2">
      <c r="S5161" s="69">
        <f>_xlfn.XLOOKUP(Results!A5161,Geometry!$B$6:$B$10000,Geometry!$C$6:$C$10000)</f>
        <v>0</v>
      </c>
      <c r="T5161" s="69"/>
      <c r="U5161" s="69"/>
    </row>
    <row r="5162" spans="19:21" ht="15" customHeight="1" x14ac:dyDescent="0.2">
      <c r="S5162" s="69">
        <f>_xlfn.XLOOKUP(Results!A5162,Geometry!$B$6:$B$10000,Geometry!$C$6:$C$10000)</f>
        <v>0</v>
      </c>
      <c r="T5162" s="69"/>
      <c r="U5162" s="69"/>
    </row>
    <row r="5163" spans="19:21" ht="15" customHeight="1" x14ac:dyDescent="0.2">
      <c r="S5163" s="69">
        <f>_xlfn.XLOOKUP(Results!A5163,Geometry!$B$6:$B$10000,Geometry!$C$6:$C$10000)</f>
        <v>0</v>
      </c>
      <c r="T5163" s="69"/>
      <c r="U5163" s="69"/>
    </row>
    <row r="5164" spans="19:21" ht="15" customHeight="1" x14ac:dyDescent="0.2">
      <c r="S5164" s="69">
        <f>_xlfn.XLOOKUP(Results!A5164,Geometry!$B$6:$B$10000,Geometry!$C$6:$C$10000)</f>
        <v>0</v>
      </c>
      <c r="T5164" s="69"/>
      <c r="U5164" s="69"/>
    </row>
    <row r="5165" spans="19:21" ht="15" customHeight="1" x14ac:dyDescent="0.2">
      <c r="S5165" s="69">
        <f>_xlfn.XLOOKUP(Results!A5165,Geometry!$B$6:$B$10000,Geometry!$C$6:$C$10000)</f>
        <v>0</v>
      </c>
      <c r="T5165" s="69"/>
      <c r="U5165" s="69"/>
    </row>
    <row r="5166" spans="19:21" ht="15" customHeight="1" x14ac:dyDescent="0.2">
      <c r="S5166" s="69">
        <f>_xlfn.XLOOKUP(Results!A5166,Geometry!$B$6:$B$10000,Geometry!$C$6:$C$10000)</f>
        <v>0</v>
      </c>
      <c r="T5166" s="69"/>
      <c r="U5166" s="69"/>
    </row>
    <row r="5167" spans="19:21" ht="15" customHeight="1" x14ac:dyDescent="0.2">
      <c r="S5167" s="69">
        <f>_xlfn.XLOOKUP(Results!A5167,Geometry!$B$6:$B$10000,Geometry!$C$6:$C$10000)</f>
        <v>0</v>
      </c>
      <c r="T5167" s="69"/>
      <c r="U5167" s="69"/>
    </row>
    <row r="5168" spans="19:21" ht="15" customHeight="1" x14ac:dyDescent="0.2">
      <c r="S5168" s="69">
        <f>_xlfn.XLOOKUP(Results!A5168,Geometry!$B$6:$B$10000,Geometry!$C$6:$C$10000)</f>
        <v>0</v>
      </c>
      <c r="T5168" s="69"/>
      <c r="U5168" s="69"/>
    </row>
    <row r="5169" spans="19:21" ht="15" customHeight="1" x14ac:dyDescent="0.2">
      <c r="S5169" s="69">
        <f>_xlfn.XLOOKUP(Results!A5169,Geometry!$B$6:$B$10000,Geometry!$C$6:$C$10000)</f>
        <v>0</v>
      </c>
      <c r="T5169" s="69"/>
      <c r="U5169" s="69"/>
    </row>
    <row r="5170" spans="19:21" ht="15" customHeight="1" x14ac:dyDescent="0.2">
      <c r="S5170" s="69">
        <f>_xlfn.XLOOKUP(Results!A5170,Geometry!$B$6:$B$10000,Geometry!$C$6:$C$10000)</f>
        <v>0</v>
      </c>
      <c r="T5170" s="69"/>
      <c r="U5170" s="69"/>
    </row>
    <row r="5171" spans="19:21" ht="15" customHeight="1" x14ac:dyDescent="0.2">
      <c r="S5171" s="69">
        <f>_xlfn.XLOOKUP(Results!A5171,Geometry!$B$6:$B$10000,Geometry!$C$6:$C$10000)</f>
        <v>0</v>
      </c>
      <c r="T5171" s="69"/>
      <c r="U5171" s="69"/>
    </row>
    <row r="5172" spans="19:21" ht="15" customHeight="1" x14ac:dyDescent="0.2">
      <c r="S5172" s="69">
        <f>_xlfn.XLOOKUP(Results!A5172,Geometry!$B$6:$B$10000,Geometry!$C$6:$C$10000)</f>
        <v>0</v>
      </c>
      <c r="T5172" s="69"/>
      <c r="U5172" s="69"/>
    </row>
    <row r="5173" spans="19:21" ht="15" customHeight="1" x14ac:dyDescent="0.2">
      <c r="S5173" s="69">
        <f>_xlfn.XLOOKUP(Results!A5173,Geometry!$B$6:$B$10000,Geometry!$C$6:$C$10000)</f>
        <v>0</v>
      </c>
      <c r="T5173" s="69"/>
      <c r="U5173" s="69"/>
    </row>
    <row r="5174" spans="19:21" ht="15" customHeight="1" x14ac:dyDescent="0.2">
      <c r="S5174" s="69">
        <f>_xlfn.XLOOKUP(Results!A5174,Geometry!$B$6:$B$10000,Geometry!$C$6:$C$10000)</f>
        <v>0</v>
      </c>
      <c r="T5174" s="69"/>
      <c r="U5174" s="69"/>
    </row>
    <row r="5175" spans="19:21" ht="15" customHeight="1" x14ac:dyDescent="0.2">
      <c r="S5175" s="69">
        <f>_xlfn.XLOOKUP(Results!A5175,Geometry!$B$6:$B$10000,Geometry!$C$6:$C$10000)</f>
        <v>0</v>
      </c>
      <c r="T5175" s="69"/>
      <c r="U5175" s="69"/>
    </row>
    <row r="5176" spans="19:21" ht="15" customHeight="1" x14ac:dyDescent="0.2">
      <c r="S5176" s="69">
        <f>_xlfn.XLOOKUP(Results!A5176,Geometry!$B$6:$B$10000,Geometry!$C$6:$C$10000)</f>
        <v>0</v>
      </c>
      <c r="T5176" s="69"/>
      <c r="U5176" s="69"/>
    </row>
    <row r="5177" spans="19:21" ht="15" customHeight="1" x14ac:dyDescent="0.2">
      <c r="S5177" s="69">
        <f>_xlfn.XLOOKUP(Results!A5177,Geometry!$B$6:$B$10000,Geometry!$C$6:$C$10000)</f>
        <v>0</v>
      </c>
      <c r="T5177" s="69"/>
      <c r="U5177" s="69"/>
    </row>
    <row r="5178" spans="19:21" ht="15" customHeight="1" x14ac:dyDescent="0.2">
      <c r="S5178" s="69">
        <f>_xlfn.XLOOKUP(Results!A5178,Geometry!$B$6:$B$10000,Geometry!$C$6:$C$10000)</f>
        <v>0</v>
      </c>
      <c r="T5178" s="69"/>
      <c r="U5178" s="69"/>
    </row>
    <row r="5179" spans="19:21" ht="15" customHeight="1" x14ac:dyDescent="0.2">
      <c r="S5179" s="69">
        <f>_xlfn.XLOOKUP(Results!A5179,Geometry!$B$6:$B$10000,Geometry!$C$6:$C$10000)</f>
        <v>0</v>
      </c>
      <c r="T5179" s="69"/>
      <c r="U5179" s="69"/>
    </row>
    <row r="5180" spans="19:21" ht="15" customHeight="1" x14ac:dyDescent="0.2">
      <c r="S5180" s="69">
        <f>_xlfn.XLOOKUP(Results!A5180,Geometry!$B$6:$B$10000,Geometry!$C$6:$C$10000)</f>
        <v>0</v>
      </c>
      <c r="T5180" s="69"/>
      <c r="U5180" s="69"/>
    </row>
    <row r="5181" spans="19:21" ht="15" customHeight="1" x14ac:dyDescent="0.2">
      <c r="S5181" s="69">
        <f>_xlfn.XLOOKUP(Results!A5181,Geometry!$B$6:$B$10000,Geometry!$C$6:$C$10000)</f>
        <v>0</v>
      </c>
      <c r="T5181" s="69"/>
      <c r="U5181" s="69"/>
    </row>
    <row r="5182" spans="19:21" ht="15" customHeight="1" x14ac:dyDescent="0.2">
      <c r="S5182" s="69">
        <f>_xlfn.XLOOKUP(Results!A5182,Geometry!$B$6:$B$10000,Geometry!$C$6:$C$10000)</f>
        <v>0</v>
      </c>
      <c r="T5182" s="69"/>
      <c r="U5182" s="69"/>
    </row>
    <row r="5183" spans="19:21" ht="15" customHeight="1" x14ac:dyDescent="0.2">
      <c r="S5183" s="69">
        <f>_xlfn.XLOOKUP(Results!A5183,Geometry!$B$6:$B$10000,Geometry!$C$6:$C$10000)</f>
        <v>0</v>
      </c>
      <c r="T5183" s="69"/>
      <c r="U5183" s="69"/>
    </row>
    <row r="5184" spans="19:21" ht="15" customHeight="1" x14ac:dyDescent="0.2">
      <c r="S5184" s="69">
        <f>_xlfn.XLOOKUP(Results!A5184,Geometry!$B$6:$B$10000,Geometry!$C$6:$C$10000)</f>
        <v>0</v>
      </c>
      <c r="T5184" s="69"/>
      <c r="U5184" s="69"/>
    </row>
    <row r="5185" spans="19:21" ht="15" customHeight="1" x14ac:dyDescent="0.2">
      <c r="S5185" s="69">
        <f>_xlfn.XLOOKUP(Results!A5185,Geometry!$B$6:$B$10000,Geometry!$C$6:$C$10000)</f>
        <v>0</v>
      </c>
      <c r="T5185" s="69"/>
      <c r="U5185" s="69"/>
    </row>
    <row r="5186" spans="19:21" ht="15" customHeight="1" x14ac:dyDescent="0.2">
      <c r="S5186" s="69">
        <f>_xlfn.XLOOKUP(Results!A5186,Geometry!$B$6:$B$10000,Geometry!$C$6:$C$10000)</f>
        <v>0</v>
      </c>
      <c r="T5186" s="69"/>
      <c r="U5186" s="69"/>
    </row>
    <row r="5187" spans="19:21" ht="15" customHeight="1" x14ac:dyDescent="0.2">
      <c r="S5187" s="69">
        <f>_xlfn.XLOOKUP(Results!A5187,Geometry!$B$6:$B$10000,Geometry!$C$6:$C$10000)</f>
        <v>0</v>
      </c>
      <c r="T5187" s="69"/>
      <c r="U5187" s="69"/>
    </row>
    <row r="5188" spans="19:21" ht="15" customHeight="1" x14ac:dyDescent="0.2">
      <c r="S5188" s="69">
        <f>_xlfn.XLOOKUP(Results!A5188,Geometry!$B$6:$B$10000,Geometry!$C$6:$C$10000)</f>
        <v>0</v>
      </c>
      <c r="T5188" s="69"/>
      <c r="U5188" s="69"/>
    </row>
    <row r="5189" spans="19:21" ht="15" customHeight="1" x14ac:dyDescent="0.2">
      <c r="S5189" s="69">
        <f>_xlfn.XLOOKUP(Results!A5189,Geometry!$B$6:$B$10000,Geometry!$C$6:$C$10000)</f>
        <v>0</v>
      </c>
      <c r="T5189" s="69"/>
      <c r="U5189" s="69"/>
    </row>
    <row r="5190" spans="19:21" ht="15" customHeight="1" x14ac:dyDescent="0.2">
      <c r="S5190" s="69">
        <f>_xlfn.XLOOKUP(Results!A5190,Geometry!$B$6:$B$10000,Geometry!$C$6:$C$10000)</f>
        <v>0</v>
      </c>
      <c r="T5190" s="69"/>
      <c r="U5190" s="69"/>
    </row>
    <row r="5191" spans="19:21" ht="15" customHeight="1" x14ac:dyDescent="0.2">
      <c r="S5191" s="69">
        <f>_xlfn.XLOOKUP(Results!A5191,Geometry!$B$6:$B$10000,Geometry!$C$6:$C$10000)</f>
        <v>0</v>
      </c>
      <c r="T5191" s="69"/>
      <c r="U5191" s="69"/>
    </row>
    <row r="5192" spans="19:21" ht="15" customHeight="1" x14ac:dyDescent="0.2">
      <c r="S5192" s="69">
        <f>_xlfn.XLOOKUP(Results!A5192,Geometry!$B$6:$B$10000,Geometry!$C$6:$C$10000)</f>
        <v>0</v>
      </c>
      <c r="T5192" s="69"/>
      <c r="U5192" s="69"/>
    </row>
    <row r="5193" spans="19:21" ht="15" customHeight="1" x14ac:dyDescent="0.2">
      <c r="S5193" s="69">
        <f>_xlfn.XLOOKUP(Results!A5193,Geometry!$B$6:$B$10000,Geometry!$C$6:$C$10000)</f>
        <v>0</v>
      </c>
      <c r="T5193" s="69"/>
      <c r="U5193" s="69"/>
    </row>
    <row r="5194" spans="19:21" ht="15" customHeight="1" x14ac:dyDescent="0.2">
      <c r="S5194" s="69">
        <f>_xlfn.XLOOKUP(Results!A5194,Geometry!$B$6:$B$10000,Geometry!$C$6:$C$10000)</f>
        <v>0</v>
      </c>
      <c r="T5194" s="69"/>
      <c r="U5194" s="69"/>
    </row>
    <row r="5195" spans="19:21" ht="15" customHeight="1" x14ac:dyDescent="0.2">
      <c r="S5195" s="69">
        <f>_xlfn.XLOOKUP(Results!A5195,Geometry!$B$6:$B$10000,Geometry!$C$6:$C$10000)</f>
        <v>0</v>
      </c>
      <c r="T5195" s="69"/>
      <c r="U5195" s="69"/>
    </row>
    <row r="5196" spans="19:21" ht="15" customHeight="1" x14ac:dyDescent="0.2">
      <c r="S5196" s="69">
        <f>_xlfn.XLOOKUP(Results!A5196,Geometry!$B$6:$B$10000,Geometry!$C$6:$C$10000)</f>
        <v>0</v>
      </c>
      <c r="T5196" s="69"/>
      <c r="U5196" s="69"/>
    </row>
    <row r="5197" spans="19:21" ht="15" customHeight="1" x14ac:dyDescent="0.2">
      <c r="S5197" s="69">
        <f>_xlfn.XLOOKUP(Results!A5197,Geometry!$B$6:$B$10000,Geometry!$C$6:$C$10000)</f>
        <v>0</v>
      </c>
      <c r="T5197" s="69"/>
      <c r="U5197" s="69"/>
    </row>
    <row r="5198" spans="19:21" ht="15" customHeight="1" x14ac:dyDescent="0.2">
      <c r="S5198" s="69">
        <f>_xlfn.XLOOKUP(Results!A5198,Geometry!$B$6:$B$10000,Geometry!$C$6:$C$10000)</f>
        <v>0</v>
      </c>
      <c r="T5198" s="69"/>
      <c r="U5198" s="69"/>
    </row>
    <row r="5199" spans="19:21" ht="15" customHeight="1" x14ac:dyDescent="0.2">
      <c r="S5199" s="69">
        <f>_xlfn.XLOOKUP(Results!A5199,Geometry!$B$6:$B$10000,Geometry!$C$6:$C$10000)</f>
        <v>0</v>
      </c>
      <c r="T5199" s="69"/>
      <c r="U5199" s="69"/>
    </row>
    <row r="5200" spans="19:21" ht="15" customHeight="1" x14ac:dyDescent="0.2">
      <c r="S5200" s="69">
        <f>_xlfn.XLOOKUP(Results!A5200,Geometry!$B$6:$B$10000,Geometry!$C$6:$C$10000)</f>
        <v>0</v>
      </c>
      <c r="T5200" s="69"/>
      <c r="U5200" s="69"/>
    </row>
    <row r="5201" spans="19:21" ht="15" customHeight="1" x14ac:dyDescent="0.2">
      <c r="S5201" s="69">
        <f>_xlfn.XLOOKUP(Results!A5201,Geometry!$B$6:$B$10000,Geometry!$C$6:$C$10000)</f>
        <v>0</v>
      </c>
      <c r="T5201" s="69"/>
      <c r="U5201" s="69"/>
    </row>
    <row r="5202" spans="19:21" ht="15" customHeight="1" x14ac:dyDescent="0.2">
      <c r="S5202" s="69">
        <f>_xlfn.XLOOKUP(Results!A5202,Geometry!$B$6:$B$10000,Geometry!$C$6:$C$10000)</f>
        <v>0</v>
      </c>
      <c r="T5202" s="69"/>
      <c r="U5202" s="69"/>
    </row>
    <row r="5203" spans="19:21" ht="15" customHeight="1" x14ac:dyDescent="0.2">
      <c r="S5203" s="69">
        <f>_xlfn.XLOOKUP(Results!A5203,Geometry!$B$6:$B$10000,Geometry!$C$6:$C$10000)</f>
        <v>0</v>
      </c>
      <c r="T5203" s="69"/>
      <c r="U5203" s="69"/>
    </row>
    <row r="5204" spans="19:21" ht="15" customHeight="1" x14ac:dyDescent="0.2">
      <c r="S5204" s="69">
        <f>_xlfn.XLOOKUP(Results!A5204,Geometry!$B$6:$B$10000,Geometry!$C$6:$C$10000)</f>
        <v>0</v>
      </c>
      <c r="T5204" s="69"/>
      <c r="U5204" s="69"/>
    </row>
    <row r="5205" spans="19:21" ht="15" customHeight="1" x14ac:dyDescent="0.2">
      <c r="S5205" s="69">
        <f>_xlfn.XLOOKUP(Results!A5205,Geometry!$B$6:$B$10000,Geometry!$C$6:$C$10000)</f>
        <v>0</v>
      </c>
      <c r="T5205" s="69"/>
      <c r="U5205" s="69"/>
    </row>
    <row r="5206" spans="19:21" ht="15" customHeight="1" x14ac:dyDescent="0.2">
      <c r="S5206" s="69">
        <f>_xlfn.XLOOKUP(Results!A5206,Geometry!$B$6:$B$10000,Geometry!$C$6:$C$10000)</f>
        <v>0</v>
      </c>
      <c r="T5206" s="69"/>
      <c r="U5206" s="69"/>
    </row>
    <row r="5207" spans="19:21" ht="15" customHeight="1" x14ac:dyDescent="0.2">
      <c r="S5207" s="69">
        <f>_xlfn.XLOOKUP(Results!A5207,Geometry!$B$6:$B$10000,Geometry!$C$6:$C$10000)</f>
        <v>0</v>
      </c>
      <c r="T5207" s="69"/>
      <c r="U5207" s="69"/>
    </row>
    <row r="5208" spans="19:21" ht="15" customHeight="1" x14ac:dyDescent="0.2">
      <c r="S5208" s="69">
        <f>_xlfn.XLOOKUP(Results!A5208,Geometry!$B$6:$B$10000,Geometry!$C$6:$C$10000)</f>
        <v>0</v>
      </c>
      <c r="T5208" s="69"/>
      <c r="U5208" s="69"/>
    </row>
    <row r="5209" spans="19:21" ht="15" customHeight="1" x14ac:dyDescent="0.2">
      <c r="S5209" s="69">
        <f>_xlfn.XLOOKUP(Results!A5209,Geometry!$B$6:$B$10000,Geometry!$C$6:$C$10000)</f>
        <v>0</v>
      </c>
      <c r="T5209" s="69"/>
      <c r="U5209" s="69"/>
    </row>
    <row r="5210" spans="19:21" ht="15" customHeight="1" x14ac:dyDescent="0.2">
      <c r="S5210" s="69">
        <f>_xlfn.XLOOKUP(Results!A5210,Geometry!$B$6:$B$10000,Geometry!$C$6:$C$10000)</f>
        <v>0</v>
      </c>
      <c r="T5210" s="69"/>
      <c r="U5210" s="69"/>
    </row>
    <row r="5211" spans="19:21" ht="15" customHeight="1" x14ac:dyDescent="0.2">
      <c r="S5211" s="69">
        <f>_xlfn.XLOOKUP(Results!A5211,Geometry!$B$6:$B$10000,Geometry!$C$6:$C$10000)</f>
        <v>0</v>
      </c>
      <c r="T5211" s="69"/>
      <c r="U5211" s="69"/>
    </row>
    <row r="5212" spans="19:21" ht="15" customHeight="1" x14ac:dyDescent="0.2">
      <c r="S5212" s="69">
        <f>_xlfn.XLOOKUP(Results!A5212,Geometry!$B$6:$B$10000,Geometry!$C$6:$C$10000)</f>
        <v>0</v>
      </c>
      <c r="T5212" s="69"/>
      <c r="U5212" s="69"/>
    </row>
    <row r="5213" spans="19:21" ht="15" customHeight="1" x14ac:dyDescent="0.2">
      <c r="S5213" s="69">
        <f>_xlfn.XLOOKUP(Results!A5213,Geometry!$B$6:$B$10000,Geometry!$C$6:$C$10000)</f>
        <v>0</v>
      </c>
      <c r="T5213" s="69"/>
      <c r="U5213" s="69"/>
    </row>
    <row r="5214" spans="19:21" ht="15" customHeight="1" x14ac:dyDescent="0.2">
      <c r="S5214" s="69">
        <f>_xlfn.XLOOKUP(Results!A5214,Geometry!$B$6:$B$10000,Geometry!$C$6:$C$10000)</f>
        <v>0</v>
      </c>
      <c r="T5214" s="69"/>
      <c r="U5214" s="69"/>
    </row>
    <row r="5215" spans="19:21" ht="15" customHeight="1" x14ac:dyDescent="0.2">
      <c r="S5215" s="69">
        <f>_xlfn.XLOOKUP(Results!A5215,Geometry!$B$6:$B$10000,Geometry!$C$6:$C$10000)</f>
        <v>0</v>
      </c>
      <c r="T5215" s="69"/>
      <c r="U5215" s="69"/>
    </row>
    <row r="5216" spans="19:21" ht="15" customHeight="1" x14ac:dyDescent="0.2">
      <c r="S5216" s="69">
        <f>_xlfn.XLOOKUP(Results!A5216,Geometry!$B$6:$B$10000,Geometry!$C$6:$C$10000)</f>
        <v>0</v>
      </c>
      <c r="T5216" s="69"/>
      <c r="U5216" s="69"/>
    </row>
    <row r="5217" spans="19:21" ht="15" customHeight="1" x14ac:dyDescent="0.2">
      <c r="S5217" s="69">
        <f>_xlfn.XLOOKUP(Results!A5217,Geometry!$B$6:$B$10000,Geometry!$C$6:$C$10000)</f>
        <v>0</v>
      </c>
      <c r="T5217" s="69"/>
      <c r="U5217" s="69"/>
    </row>
    <row r="5218" spans="19:21" ht="15" customHeight="1" x14ac:dyDescent="0.2">
      <c r="S5218" s="69">
        <f>_xlfn.XLOOKUP(Results!A5218,Geometry!$B$6:$B$10000,Geometry!$C$6:$C$10000)</f>
        <v>0</v>
      </c>
      <c r="T5218" s="69"/>
      <c r="U5218" s="69"/>
    </row>
    <row r="5219" spans="19:21" ht="15" customHeight="1" x14ac:dyDescent="0.2">
      <c r="S5219" s="69">
        <f>_xlfn.XLOOKUP(Results!A5219,Geometry!$B$6:$B$10000,Geometry!$C$6:$C$10000)</f>
        <v>0</v>
      </c>
      <c r="T5219" s="69"/>
      <c r="U5219" s="69"/>
    </row>
    <row r="5220" spans="19:21" ht="15" customHeight="1" x14ac:dyDescent="0.2">
      <c r="S5220" s="69">
        <f>_xlfn.XLOOKUP(Results!A5220,Geometry!$B$6:$B$10000,Geometry!$C$6:$C$10000)</f>
        <v>0</v>
      </c>
      <c r="T5220" s="69"/>
      <c r="U5220" s="69"/>
    </row>
    <row r="5221" spans="19:21" ht="15" customHeight="1" x14ac:dyDescent="0.2">
      <c r="S5221" s="69">
        <f>_xlfn.XLOOKUP(Results!A5221,Geometry!$B$6:$B$10000,Geometry!$C$6:$C$10000)</f>
        <v>0</v>
      </c>
      <c r="T5221" s="69"/>
      <c r="U5221" s="69"/>
    </row>
    <row r="5222" spans="19:21" ht="15" customHeight="1" x14ac:dyDescent="0.2">
      <c r="S5222" s="69">
        <f>_xlfn.XLOOKUP(Results!A5222,Geometry!$B$6:$B$10000,Geometry!$C$6:$C$10000)</f>
        <v>0</v>
      </c>
      <c r="T5222" s="69"/>
      <c r="U5222" s="69"/>
    </row>
    <row r="5223" spans="19:21" ht="15" customHeight="1" x14ac:dyDescent="0.2">
      <c r="S5223" s="69">
        <f>_xlfn.XLOOKUP(Results!A5223,Geometry!$B$6:$B$10000,Geometry!$C$6:$C$10000)</f>
        <v>0</v>
      </c>
      <c r="T5223" s="69"/>
      <c r="U5223" s="69"/>
    </row>
    <row r="5224" spans="19:21" ht="15" customHeight="1" x14ac:dyDescent="0.2">
      <c r="S5224" s="69">
        <f>_xlfn.XLOOKUP(Results!A5224,Geometry!$B$6:$B$10000,Geometry!$C$6:$C$10000)</f>
        <v>0</v>
      </c>
      <c r="T5224" s="69"/>
      <c r="U5224" s="69"/>
    </row>
    <row r="5225" spans="19:21" ht="15" customHeight="1" x14ac:dyDescent="0.2">
      <c r="S5225" s="69">
        <f>_xlfn.XLOOKUP(Results!A5225,Geometry!$B$6:$B$10000,Geometry!$C$6:$C$10000)</f>
        <v>0</v>
      </c>
      <c r="T5225" s="69"/>
      <c r="U5225" s="69"/>
    </row>
    <row r="5226" spans="19:21" ht="15" customHeight="1" x14ac:dyDescent="0.2">
      <c r="S5226" s="69">
        <f>_xlfn.XLOOKUP(Results!A5226,Geometry!$B$6:$B$10000,Geometry!$C$6:$C$10000)</f>
        <v>0</v>
      </c>
      <c r="T5226" s="69"/>
      <c r="U5226" s="69"/>
    </row>
    <row r="5227" spans="19:21" ht="15" customHeight="1" x14ac:dyDescent="0.2">
      <c r="S5227" s="69">
        <f>_xlfn.XLOOKUP(Results!A5227,Geometry!$B$6:$B$10000,Geometry!$C$6:$C$10000)</f>
        <v>0</v>
      </c>
      <c r="T5227" s="69"/>
      <c r="U5227" s="69"/>
    </row>
    <row r="5228" spans="19:21" ht="15" customHeight="1" x14ac:dyDescent="0.2">
      <c r="S5228" s="69">
        <f>_xlfn.XLOOKUP(Results!A5228,Geometry!$B$6:$B$10000,Geometry!$C$6:$C$10000)</f>
        <v>0</v>
      </c>
      <c r="T5228" s="69"/>
      <c r="U5228" s="69"/>
    </row>
    <row r="5229" spans="19:21" ht="15" customHeight="1" x14ac:dyDescent="0.2">
      <c r="S5229" s="69">
        <f>_xlfn.XLOOKUP(Results!A5229,Geometry!$B$6:$B$10000,Geometry!$C$6:$C$10000)</f>
        <v>0</v>
      </c>
      <c r="T5229" s="69"/>
      <c r="U5229" s="69"/>
    </row>
    <row r="5230" spans="19:21" ht="15" customHeight="1" x14ac:dyDescent="0.2">
      <c r="S5230" s="69">
        <f>_xlfn.XLOOKUP(Results!A5230,Geometry!$B$6:$B$10000,Geometry!$C$6:$C$10000)</f>
        <v>0</v>
      </c>
      <c r="T5230" s="69"/>
      <c r="U5230" s="69"/>
    </row>
    <row r="5231" spans="19:21" ht="15" customHeight="1" x14ac:dyDescent="0.2">
      <c r="S5231" s="69">
        <f>_xlfn.XLOOKUP(Results!A5231,Geometry!$B$6:$B$10000,Geometry!$C$6:$C$10000)</f>
        <v>0</v>
      </c>
      <c r="T5231" s="69"/>
      <c r="U5231" s="69"/>
    </row>
    <row r="5232" spans="19:21" ht="15" customHeight="1" x14ac:dyDescent="0.2">
      <c r="S5232" s="69">
        <f>_xlfn.XLOOKUP(Results!A5232,Geometry!$B$6:$B$10000,Geometry!$C$6:$C$10000)</f>
        <v>0</v>
      </c>
      <c r="T5232" s="69"/>
      <c r="U5232" s="69"/>
    </row>
    <row r="5233" spans="19:21" ht="15" customHeight="1" x14ac:dyDescent="0.2">
      <c r="S5233" s="69">
        <f>_xlfn.XLOOKUP(Results!A5233,Geometry!$B$6:$B$10000,Geometry!$C$6:$C$10000)</f>
        <v>0</v>
      </c>
      <c r="T5233" s="69"/>
      <c r="U5233" s="69"/>
    </row>
    <row r="5234" spans="19:21" ht="15" customHeight="1" x14ac:dyDescent="0.2">
      <c r="S5234" s="69">
        <f>_xlfn.XLOOKUP(Results!A5234,Geometry!$B$6:$B$10000,Geometry!$C$6:$C$10000)</f>
        <v>0</v>
      </c>
      <c r="T5234" s="69"/>
      <c r="U5234" s="69"/>
    </row>
    <row r="5235" spans="19:21" ht="15" customHeight="1" x14ac:dyDescent="0.2">
      <c r="S5235" s="69">
        <f>_xlfn.XLOOKUP(Results!A5235,Geometry!$B$6:$B$10000,Geometry!$C$6:$C$10000)</f>
        <v>0</v>
      </c>
      <c r="T5235" s="69"/>
      <c r="U5235" s="69"/>
    </row>
    <row r="5236" spans="19:21" ht="15" customHeight="1" x14ac:dyDescent="0.2">
      <c r="S5236" s="69">
        <f>_xlfn.XLOOKUP(Results!A5236,Geometry!$B$6:$B$10000,Geometry!$C$6:$C$10000)</f>
        <v>0</v>
      </c>
      <c r="T5236" s="69"/>
      <c r="U5236" s="69"/>
    </row>
    <row r="5237" spans="19:21" ht="15" customHeight="1" x14ac:dyDescent="0.2">
      <c r="S5237" s="69">
        <f>_xlfn.XLOOKUP(Results!A5237,Geometry!$B$6:$B$10000,Geometry!$C$6:$C$10000)</f>
        <v>0</v>
      </c>
      <c r="T5237" s="69"/>
      <c r="U5237" s="69"/>
    </row>
    <row r="5238" spans="19:21" ht="15" customHeight="1" x14ac:dyDescent="0.2">
      <c r="S5238" s="69">
        <f>_xlfn.XLOOKUP(Results!A5238,Geometry!$B$6:$B$10000,Geometry!$C$6:$C$10000)</f>
        <v>0</v>
      </c>
      <c r="T5238" s="69"/>
      <c r="U5238" s="69"/>
    </row>
    <row r="5239" spans="19:21" ht="15" customHeight="1" x14ac:dyDescent="0.2">
      <c r="S5239" s="69">
        <f>_xlfn.XLOOKUP(Results!A5239,Geometry!$B$6:$B$10000,Geometry!$C$6:$C$10000)</f>
        <v>0</v>
      </c>
      <c r="T5239" s="69"/>
      <c r="U5239" s="69"/>
    </row>
    <row r="5240" spans="19:21" ht="15" customHeight="1" x14ac:dyDescent="0.2">
      <c r="S5240" s="69">
        <f>_xlfn.XLOOKUP(Results!A5240,Geometry!$B$6:$B$10000,Geometry!$C$6:$C$10000)</f>
        <v>0</v>
      </c>
      <c r="T5240" s="69"/>
      <c r="U5240" s="69"/>
    </row>
    <row r="5241" spans="19:21" ht="15" customHeight="1" x14ac:dyDescent="0.2">
      <c r="S5241" s="69">
        <f>_xlfn.XLOOKUP(Results!A5241,Geometry!$B$6:$B$10000,Geometry!$C$6:$C$10000)</f>
        <v>0</v>
      </c>
      <c r="T5241" s="69"/>
      <c r="U5241" s="69"/>
    </row>
    <row r="5242" spans="19:21" ht="15" customHeight="1" x14ac:dyDescent="0.2">
      <c r="S5242" s="69">
        <f>_xlfn.XLOOKUP(Results!A5242,Geometry!$B$6:$B$10000,Geometry!$C$6:$C$10000)</f>
        <v>0</v>
      </c>
      <c r="T5242" s="69"/>
      <c r="U5242" s="69"/>
    </row>
    <row r="5243" spans="19:21" ht="15" customHeight="1" x14ac:dyDescent="0.2">
      <c r="S5243" s="69">
        <f>_xlfn.XLOOKUP(Results!A5243,Geometry!$B$6:$B$10000,Geometry!$C$6:$C$10000)</f>
        <v>0</v>
      </c>
      <c r="T5243" s="69"/>
      <c r="U5243" s="69"/>
    </row>
    <row r="5244" spans="19:21" ht="15" customHeight="1" x14ac:dyDescent="0.2">
      <c r="S5244" s="69">
        <f>_xlfn.XLOOKUP(Results!A5244,Geometry!$B$6:$B$10000,Geometry!$C$6:$C$10000)</f>
        <v>0</v>
      </c>
      <c r="T5244" s="69"/>
      <c r="U5244" s="69"/>
    </row>
    <row r="5245" spans="19:21" ht="15" customHeight="1" x14ac:dyDescent="0.2">
      <c r="S5245" s="69">
        <f>_xlfn.XLOOKUP(Results!A5245,Geometry!$B$6:$B$10000,Geometry!$C$6:$C$10000)</f>
        <v>0</v>
      </c>
      <c r="T5245" s="69"/>
      <c r="U5245" s="69"/>
    </row>
    <row r="5246" spans="19:21" ht="15" customHeight="1" x14ac:dyDescent="0.2">
      <c r="S5246" s="69">
        <f>_xlfn.XLOOKUP(Results!A5246,Geometry!$B$6:$B$10000,Geometry!$C$6:$C$10000)</f>
        <v>0</v>
      </c>
      <c r="T5246" s="69"/>
      <c r="U5246" s="69"/>
    </row>
    <row r="5247" spans="19:21" ht="15" customHeight="1" x14ac:dyDescent="0.2">
      <c r="S5247" s="69">
        <f>_xlfn.XLOOKUP(Results!A5247,Geometry!$B$6:$B$10000,Geometry!$C$6:$C$10000)</f>
        <v>0</v>
      </c>
      <c r="T5247" s="69"/>
      <c r="U5247" s="69"/>
    </row>
    <row r="5248" spans="19:21" ht="15" customHeight="1" x14ac:dyDescent="0.2">
      <c r="S5248" s="69">
        <f>_xlfn.XLOOKUP(Results!A5248,Geometry!$B$6:$B$10000,Geometry!$C$6:$C$10000)</f>
        <v>0</v>
      </c>
      <c r="T5248" s="69"/>
      <c r="U5248" s="69"/>
    </row>
    <row r="5249" spans="19:21" ht="15" customHeight="1" x14ac:dyDescent="0.2">
      <c r="S5249" s="69">
        <f>_xlfn.XLOOKUP(Results!A5249,Geometry!$B$6:$B$10000,Geometry!$C$6:$C$10000)</f>
        <v>0</v>
      </c>
      <c r="T5249" s="69"/>
      <c r="U5249" s="69"/>
    </row>
    <row r="5250" spans="19:21" ht="15" customHeight="1" x14ac:dyDescent="0.2">
      <c r="S5250" s="69">
        <f>_xlfn.XLOOKUP(Results!A5250,Geometry!$B$6:$B$10000,Geometry!$C$6:$C$10000)</f>
        <v>0</v>
      </c>
      <c r="T5250" s="69"/>
      <c r="U5250" s="69"/>
    </row>
    <row r="5251" spans="19:21" ht="15" customHeight="1" x14ac:dyDescent="0.2">
      <c r="S5251" s="69">
        <f>_xlfn.XLOOKUP(Results!A5251,Geometry!$B$6:$B$10000,Geometry!$C$6:$C$10000)</f>
        <v>0</v>
      </c>
      <c r="T5251" s="69"/>
      <c r="U5251" s="69"/>
    </row>
    <row r="5252" spans="19:21" ht="15" customHeight="1" x14ac:dyDescent="0.2">
      <c r="S5252" s="69">
        <f>_xlfn.XLOOKUP(Results!A5252,Geometry!$B$6:$B$10000,Geometry!$C$6:$C$10000)</f>
        <v>0</v>
      </c>
      <c r="T5252" s="69"/>
      <c r="U5252" s="69"/>
    </row>
    <row r="5253" spans="19:21" ht="15" customHeight="1" x14ac:dyDescent="0.2">
      <c r="S5253" s="69">
        <f>_xlfn.XLOOKUP(Results!A5253,Geometry!$B$6:$B$10000,Geometry!$C$6:$C$10000)</f>
        <v>0</v>
      </c>
      <c r="T5253" s="69"/>
      <c r="U5253" s="69"/>
    </row>
    <row r="5254" spans="19:21" ht="15" customHeight="1" x14ac:dyDescent="0.2">
      <c r="S5254" s="69">
        <f>_xlfn.XLOOKUP(Results!A5254,Geometry!$B$6:$B$10000,Geometry!$C$6:$C$10000)</f>
        <v>0</v>
      </c>
      <c r="T5254" s="69"/>
      <c r="U5254" s="69"/>
    </row>
    <row r="5255" spans="19:21" ht="15" customHeight="1" x14ac:dyDescent="0.2">
      <c r="S5255" s="69">
        <f>_xlfn.XLOOKUP(Results!A5255,Geometry!$B$6:$B$10000,Geometry!$C$6:$C$10000)</f>
        <v>0</v>
      </c>
      <c r="T5255" s="69"/>
      <c r="U5255" s="69"/>
    </row>
    <row r="5256" spans="19:21" ht="15" customHeight="1" x14ac:dyDescent="0.2">
      <c r="S5256" s="69">
        <f>_xlfn.XLOOKUP(Results!A5256,Geometry!$B$6:$B$10000,Geometry!$C$6:$C$10000)</f>
        <v>0</v>
      </c>
      <c r="T5256" s="69"/>
      <c r="U5256" s="69"/>
    </row>
    <row r="5257" spans="19:21" ht="15" customHeight="1" x14ac:dyDescent="0.2">
      <c r="S5257" s="69">
        <f>_xlfn.XLOOKUP(Results!A5257,Geometry!$B$6:$B$10000,Geometry!$C$6:$C$10000)</f>
        <v>0</v>
      </c>
      <c r="T5257" s="69"/>
      <c r="U5257" s="69"/>
    </row>
    <row r="5258" spans="19:21" ht="15" customHeight="1" x14ac:dyDescent="0.2">
      <c r="S5258" s="69">
        <f>_xlfn.XLOOKUP(Results!A5258,Geometry!$B$6:$B$10000,Geometry!$C$6:$C$10000)</f>
        <v>0</v>
      </c>
      <c r="T5258" s="69"/>
      <c r="U5258" s="69"/>
    </row>
    <row r="5259" spans="19:21" ht="15" customHeight="1" x14ac:dyDescent="0.2">
      <c r="S5259" s="69">
        <f>_xlfn.XLOOKUP(Results!A5259,Geometry!$B$6:$B$10000,Geometry!$C$6:$C$10000)</f>
        <v>0</v>
      </c>
      <c r="T5259" s="69"/>
      <c r="U5259" s="69"/>
    </row>
    <row r="5260" spans="19:21" ht="15" customHeight="1" x14ac:dyDescent="0.2">
      <c r="S5260" s="69">
        <f>_xlfn.XLOOKUP(Results!A5260,Geometry!$B$6:$B$10000,Geometry!$C$6:$C$10000)</f>
        <v>0</v>
      </c>
      <c r="T5260" s="69"/>
      <c r="U5260" s="69"/>
    </row>
    <row r="5261" spans="19:21" ht="15" customHeight="1" x14ac:dyDescent="0.2">
      <c r="S5261" s="69">
        <f>_xlfn.XLOOKUP(Results!A5261,Geometry!$B$6:$B$10000,Geometry!$C$6:$C$10000)</f>
        <v>0</v>
      </c>
      <c r="T5261" s="69"/>
      <c r="U5261" s="69"/>
    </row>
    <row r="5262" spans="19:21" ht="15" customHeight="1" x14ac:dyDescent="0.2">
      <c r="S5262" s="69">
        <f>_xlfn.XLOOKUP(Results!A5262,Geometry!$B$6:$B$10000,Geometry!$C$6:$C$10000)</f>
        <v>0</v>
      </c>
      <c r="T5262" s="69"/>
      <c r="U5262" s="69"/>
    </row>
    <row r="5263" spans="19:21" ht="15" customHeight="1" x14ac:dyDescent="0.2">
      <c r="S5263" s="69">
        <f>_xlfn.XLOOKUP(Results!A5263,Geometry!$B$6:$B$10000,Geometry!$C$6:$C$10000)</f>
        <v>0</v>
      </c>
      <c r="T5263" s="69"/>
      <c r="U5263" s="69"/>
    </row>
    <row r="5264" spans="19:21" ht="15" customHeight="1" x14ac:dyDescent="0.2">
      <c r="S5264" s="69">
        <f>_xlfn.XLOOKUP(Results!A5264,Geometry!$B$6:$B$10000,Geometry!$C$6:$C$10000)</f>
        <v>0</v>
      </c>
      <c r="T5264" s="69"/>
      <c r="U5264" s="69"/>
    </row>
    <row r="5265" spans="19:21" ht="15" customHeight="1" x14ac:dyDescent="0.2">
      <c r="S5265" s="69">
        <f>_xlfn.XLOOKUP(Results!A5265,Geometry!$B$6:$B$10000,Geometry!$C$6:$C$10000)</f>
        <v>0</v>
      </c>
      <c r="T5265" s="69"/>
      <c r="U5265" s="69"/>
    </row>
    <row r="5266" spans="19:21" ht="15" customHeight="1" x14ac:dyDescent="0.2">
      <c r="S5266" s="69">
        <f>_xlfn.XLOOKUP(Results!A5266,Geometry!$B$6:$B$10000,Geometry!$C$6:$C$10000)</f>
        <v>0</v>
      </c>
      <c r="T5266" s="69"/>
      <c r="U5266" s="69"/>
    </row>
    <row r="5267" spans="19:21" ht="15" customHeight="1" x14ac:dyDescent="0.2">
      <c r="S5267" s="69">
        <f>_xlfn.XLOOKUP(Results!A5267,Geometry!$B$6:$B$10000,Geometry!$C$6:$C$10000)</f>
        <v>0</v>
      </c>
      <c r="T5267" s="69"/>
      <c r="U5267" s="69"/>
    </row>
    <row r="5268" spans="19:21" ht="15" customHeight="1" x14ac:dyDescent="0.2">
      <c r="S5268" s="69">
        <f>_xlfn.XLOOKUP(Results!A5268,Geometry!$B$6:$B$10000,Geometry!$C$6:$C$10000)</f>
        <v>0</v>
      </c>
      <c r="T5268" s="69"/>
      <c r="U5268" s="69"/>
    </row>
    <row r="5269" spans="19:21" ht="15" customHeight="1" x14ac:dyDescent="0.2">
      <c r="S5269" s="69">
        <f>_xlfn.XLOOKUP(Results!A5269,Geometry!$B$6:$B$10000,Geometry!$C$6:$C$10000)</f>
        <v>0</v>
      </c>
      <c r="T5269" s="69"/>
      <c r="U5269" s="69"/>
    </row>
    <row r="5270" spans="19:21" ht="15" customHeight="1" x14ac:dyDescent="0.2">
      <c r="S5270" s="69">
        <f>_xlfn.XLOOKUP(Results!A5270,Geometry!$B$6:$B$10000,Geometry!$C$6:$C$10000)</f>
        <v>0</v>
      </c>
      <c r="T5270" s="69"/>
      <c r="U5270" s="69"/>
    </row>
    <row r="5271" spans="19:21" ht="15" customHeight="1" x14ac:dyDescent="0.2">
      <c r="S5271" s="69">
        <f>_xlfn.XLOOKUP(Results!A5271,Geometry!$B$6:$B$10000,Geometry!$C$6:$C$10000)</f>
        <v>0</v>
      </c>
      <c r="T5271" s="69"/>
      <c r="U5271" s="69"/>
    </row>
    <row r="5272" spans="19:21" ht="15" customHeight="1" x14ac:dyDescent="0.2">
      <c r="S5272" s="69">
        <f>_xlfn.XLOOKUP(Results!A5272,Geometry!$B$6:$B$10000,Geometry!$C$6:$C$10000)</f>
        <v>0</v>
      </c>
      <c r="T5272" s="69"/>
      <c r="U5272" s="69"/>
    </row>
    <row r="5273" spans="19:21" ht="15" customHeight="1" x14ac:dyDescent="0.2">
      <c r="S5273" s="69">
        <f>_xlfn.XLOOKUP(Results!A5273,Geometry!$B$6:$B$10000,Geometry!$C$6:$C$10000)</f>
        <v>0</v>
      </c>
      <c r="T5273" s="69"/>
      <c r="U5273" s="69"/>
    </row>
    <row r="5274" spans="19:21" ht="15" customHeight="1" x14ac:dyDescent="0.2">
      <c r="S5274" s="69">
        <f>_xlfn.XLOOKUP(Results!A5274,Geometry!$B$6:$B$10000,Geometry!$C$6:$C$10000)</f>
        <v>0</v>
      </c>
      <c r="T5274" s="69"/>
      <c r="U5274" s="69"/>
    </row>
    <row r="5275" spans="19:21" ht="15" customHeight="1" x14ac:dyDescent="0.2">
      <c r="S5275" s="69">
        <f>_xlfn.XLOOKUP(Results!A5275,Geometry!$B$6:$B$10000,Geometry!$C$6:$C$10000)</f>
        <v>0</v>
      </c>
      <c r="T5275" s="69"/>
      <c r="U5275" s="69"/>
    </row>
    <row r="5276" spans="19:21" ht="15" customHeight="1" x14ac:dyDescent="0.2">
      <c r="S5276" s="69">
        <f>_xlfn.XLOOKUP(Results!A5276,Geometry!$B$6:$B$10000,Geometry!$C$6:$C$10000)</f>
        <v>0</v>
      </c>
      <c r="T5276" s="69"/>
      <c r="U5276" s="69"/>
    </row>
    <row r="5277" spans="19:21" ht="15" customHeight="1" x14ac:dyDescent="0.2">
      <c r="S5277" s="69">
        <f>_xlfn.XLOOKUP(Results!A5277,Geometry!$B$6:$B$10000,Geometry!$C$6:$C$10000)</f>
        <v>0</v>
      </c>
      <c r="T5277" s="69"/>
      <c r="U5277" s="69"/>
    </row>
    <row r="5278" spans="19:21" ht="15" customHeight="1" x14ac:dyDescent="0.2">
      <c r="S5278" s="69">
        <f>_xlfn.XLOOKUP(Results!A5278,Geometry!$B$6:$B$10000,Geometry!$C$6:$C$10000)</f>
        <v>0</v>
      </c>
      <c r="T5278" s="69"/>
      <c r="U5278" s="69"/>
    </row>
    <row r="5279" spans="19:21" ht="15" customHeight="1" x14ac:dyDescent="0.2">
      <c r="S5279" s="69">
        <f>_xlfn.XLOOKUP(Results!A5279,Geometry!$B$6:$B$10000,Geometry!$C$6:$C$10000)</f>
        <v>0</v>
      </c>
      <c r="T5279" s="69"/>
      <c r="U5279" s="69"/>
    </row>
    <row r="5280" spans="19:21" ht="15" customHeight="1" x14ac:dyDescent="0.2">
      <c r="S5280" s="69">
        <f>_xlfn.XLOOKUP(Results!A5280,Geometry!$B$6:$B$10000,Geometry!$C$6:$C$10000)</f>
        <v>0</v>
      </c>
      <c r="T5280" s="69"/>
      <c r="U5280" s="69"/>
    </row>
    <row r="5281" spans="19:21" ht="15" customHeight="1" x14ac:dyDescent="0.2">
      <c r="S5281" s="69">
        <f>_xlfn.XLOOKUP(Results!A5281,Geometry!$B$6:$B$10000,Geometry!$C$6:$C$10000)</f>
        <v>0</v>
      </c>
      <c r="T5281" s="69"/>
      <c r="U5281" s="69"/>
    </row>
    <row r="5282" spans="19:21" ht="15" customHeight="1" x14ac:dyDescent="0.2">
      <c r="S5282" s="69">
        <f>_xlfn.XLOOKUP(Results!A5282,Geometry!$B$6:$B$10000,Geometry!$C$6:$C$10000)</f>
        <v>0</v>
      </c>
      <c r="T5282" s="69"/>
      <c r="U5282" s="69"/>
    </row>
    <row r="5283" spans="19:21" ht="15" customHeight="1" x14ac:dyDescent="0.2">
      <c r="S5283" s="69">
        <f>_xlfn.XLOOKUP(Results!A5283,Geometry!$B$6:$B$10000,Geometry!$C$6:$C$10000)</f>
        <v>0</v>
      </c>
      <c r="T5283" s="69"/>
      <c r="U5283" s="69"/>
    </row>
    <row r="5284" spans="19:21" ht="15" customHeight="1" x14ac:dyDescent="0.2">
      <c r="S5284" s="69">
        <f>_xlfn.XLOOKUP(Results!A5284,Geometry!$B$6:$B$10000,Geometry!$C$6:$C$10000)</f>
        <v>0</v>
      </c>
      <c r="T5284" s="69"/>
      <c r="U5284" s="69"/>
    </row>
    <row r="5285" spans="19:21" ht="15" customHeight="1" x14ac:dyDescent="0.2">
      <c r="S5285" s="69">
        <f>_xlfn.XLOOKUP(Results!A5285,Geometry!$B$6:$B$10000,Geometry!$C$6:$C$10000)</f>
        <v>0</v>
      </c>
      <c r="T5285" s="69"/>
      <c r="U5285" s="69"/>
    </row>
    <row r="5286" spans="19:21" ht="15" customHeight="1" x14ac:dyDescent="0.2">
      <c r="S5286" s="69">
        <f>_xlfn.XLOOKUP(Results!A5286,Geometry!$B$6:$B$10000,Geometry!$C$6:$C$10000)</f>
        <v>0</v>
      </c>
      <c r="T5286" s="69"/>
      <c r="U5286" s="69"/>
    </row>
    <row r="5287" spans="19:21" ht="15" customHeight="1" x14ac:dyDescent="0.2">
      <c r="S5287" s="69">
        <f>_xlfn.XLOOKUP(Results!A5287,Geometry!$B$6:$B$10000,Geometry!$C$6:$C$10000)</f>
        <v>0</v>
      </c>
      <c r="T5287" s="69"/>
      <c r="U5287" s="69"/>
    </row>
    <row r="5288" spans="19:21" ht="15" customHeight="1" x14ac:dyDescent="0.2">
      <c r="S5288" s="69">
        <f>_xlfn.XLOOKUP(Results!A5288,Geometry!$B$6:$B$10000,Geometry!$C$6:$C$10000)</f>
        <v>0</v>
      </c>
      <c r="T5288" s="69"/>
      <c r="U5288" s="69"/>
    </row>
    <row r="5289" spans="19:21" ht="15" customHeight="1" x14ac:dyDescent="0.2">
      <c r="S5289" s="69">
        <f>_xlfn.XLOOKUP(Results!A5289,Geometry!$B$6:$B$10000,Geometry!$C$6:$C$10000)</f>
        <v>0</v>
      </c>
      <c r="T5289" s="69"/>
      <c r="U5289" s="69"/>
    </row>
    <row r="5290" spans="19:21" ht="15" customHeight="1" x14ac:dyDescent="0.2">
      <c r="S5290" s="69">
        <f>_xlfn.XLOOKUP(Results!A5290,Geometry!$B$6:$B$10000,Geometry!$C$6:$C$10000)</f>
        <v>0</v>
      </c>
      <c r="T5290" s="69"/>
      <c r="U5290" s="69"/>
    </row>
    <row r="5291" spans="19:21" ht="15" customHeight="1" x14ac:dyDescent="0.2">
      <c r="S5291" s="69">
        <f>_xlfn.XLOOKUP(Results!A5291,Geometry!$B$6:$B$10000,Geometry!$C$6:$C$10000)</f>
        <v>0</v>
      </c>
      <c r="T5291" s="69"/>
      <c r="U5291" s="69"/>
    </row>
    <row r="5292" spans="19:21" ht="15" customHeight="1" x14ac:dyDescent="0.2">
      <c r="S5292" s="69">
        <f>_xlfn.XLOOKUP(Results!A5292,Geometry!$B$6:$B$10000,Geometry!$C$6:$C$10000)</f>
        <v>0</v>
      </c>
      <c r="T5292" s="69"/>
      <c r="U5292" s="69"/>
    </row>
    <row r="5293" spans="19:21" ht="15" customHeight="1" x14ac:dyDescent="0.2">
      <c r="S5293" s="69">
        <f>_xlfn.XLOOKUP(Results!A5293,Geometry!$B$6:$B$10000,Geometry!$C$6:$C$10000)</f>
        <v>0</v>
      </c>
      <c r="T5293" s="69"/>
      <c r="U5293" s="69"/>
    </row>
    <row r="5294" spans="19:21" ht="15" customHeight="1" x14ac:dyDescent="0.2">
      <c r="S5294" s="69">
        <f>_xlfn.XLOOKUP(Results!A5294,Geometry!$B$6:$B$10000,Geometry!$C$6:$C$10000)</f>
        <v>0</v>
      </c>
      <c r="T5294" s="69"/>
      <c r="U5294" s="69"/>
    </row>
    <row r="5295" spans="19:21" ht="15" customHeight="1" x14ac:dyDescent="0.2">
      <c r="S5295" s="69">
        <f>_xlfn.XLOOKUP(Results!A5295,Geometry!$B$6:$B$10000,Geometry!$C$6:$C$10000)</f>
        <v>0</v>
      </c>
      <c r="T5295" s="69"/>
      <c r="U5295" s="69"/>
    </row>
    <row r="5296" spans="19:21" ht="15" customHeight="1" x14ac:dyDescent="0.2">
      <c r="S5296" s="69">
        <f>_xlfn.XLOOKUP(Results!A5296,Geometry!$B$6:$B$10000,Geometry!$C$6:$C$10000)</f>
        <v>0</v>
      </c>
      <c r="T5296" s="69"/>
      <c r="U5296" s="69"/>
    </row>
    <row r="5297" spans="19:21" ht="15" customHeight="1" x14ac:dyDescent="0.2">
      <c r="S5297" s="69">
        <f>_xlfn.XLOOKUP(Results!A5297,Geometry!$B$6:$B$10000,Geometry!$C$6:$C$10000)</f>
        <v>0</v>
      </c>
      <c r="T5297" s="69"/>
      <c r="U5297" s="69"/>
    </row>
    <row r="5298" spans="19:21" ht="15" customHeight="1" x14ac:dyDescent="0.2">
      <c r="S5298" s="69">
        <f>_xlfn.XLOOKUP(Results!A5298,Geometry!$B$6:$B$10000,Geometry!$C$6:$C$10000)</f>
        <v>0</v>
      </c>
      <c r="T5298" s="69"/>
      <c r="U5298" s="69"/>
    </row>
    <row r="5299" spans="19:21" ht="15" customHeight="1" x14ac:dyDescent="0.2">
      <c r="S5299" s="69">
        <f>_xlfn.XLOOKUP(Results!A5299,Geometry!$B$6:$B$10000,Geometry!$C$6:$C$10000)</f>
        <v>0</v>
      </c>
      <c r="T5299" s="69"/>
      <c r="U5299" s="69"/>
    </row>
    <row r="5300" spans="19:21" ht="15" customHeight="1" x14ac:dyDescent="0.2">
      <c r="S5300" s="69">
        <f>_xlfn.XLOOKUP(Results!A5300,Geometry!$B$6:$B$10000,Geometry!$C$6:$C$10000)</f>
        <v>0</v>
      </c>
      <c r="T5300" s="69"/>
      <c r="U5300" s="69"/>
    </row>
    <row r="5301" spans="19:21" ht="15" customHeight="1" x14ac:dyDescent="0.2">
      <c r="S5301" s="69">
        <f>_xlfn.XLOOKUP(Results!A5301,Geometry!$B$6:$B$10000,Geometry!$C$6:$C$10000)</f>
        <v>0</v>
      </c>
      <c r="T5301" s="69"/>
      <c r="U5301" s="69"/>
    </row>
    <row r="5302" spans="19:21" ht="15" customHeight="1" x14ac:dyDescent="0.2">
      <c r="S5302" s="69">
        <f>_xlfn.XLOOKUP(Results!A5302,Geometry!$B$6:$B$10000,Geometry!$C$6:$C$10000)</f>
        <v>0</v>
      </c>
      <c r="T5302" s="69"/>
      <c r="U5302" s="69"/>
    </row>
    <row r="5303" spans="19:21" ht="15" customHeight="1" x14ac:dyDescent="0.2">
      <c r="S5303" s="69">
        <f>_xlfn.XLOOKUP(Results!A5303,Geometry!$B$6:$B$10000,Geometry!$C$6:$C$10000)</f>
        <v>0</v>
      </c>
      <c r="T5303" s="69"/>
      <c r="U5303" s="69"/>
    </row>
    <row r="5304" spans="19:21" ht="15" customHeight="1" x14ac:dyDescent="0.2">
      <c r="S5304" s="69">
        <f>_xlfn.XLOOKUP(Results!A5304,Geometry!$B$6:$B$10000,Geometry!$C$6:$C$10000)</f>
        <v>0</v>
      </c>
      <c r="T5304" s="69"/>
      <c r="U5304" s="69"/>
    </row>
    <row r="5305" spans="19:21" ht="15" customHeight="1" x14ac:dyDescent="0.2">
      <c r="S5305" s="69">
        <f>_xlfn.XLOOKUP(Results!A5305,Geometry!$B$6:$B$10000,Geometry!$C$6:$C$10000)</f>
        <v>0</v>
      </c>
      <c r="T5305" s="69"/>
      <c r="U5305" s="69"/>
    </row>
    <row r="5306" spans="19:21" ht="15" customHeight="1" x14ac:dyDescent="0.2">
      <c r="S5306" s="69">
        <f>_xlfn.XLOOKUP(Results!A5306,Geometry!$B$6:$B$10000,Geometry!$C$6:$C$10000)</f>
        <v>0</v>
      </c>
      <c r="T5306" s="69"/>
      <c r="U5306" s="69"/>
    </row>
    <row r="5307" spans="19:21" ht="15" customHeight="1" x14ac:dyDescent="0.2">
      <c r="S5307" s="69">
        <f>_xlfn.XLOOKUP(Results!A5307,Geometry!$B$6:$B$10000,Geometry!$C$6:$C$10000)</f>
        <v>0</v>
      </c>
      <c r="T5307" s="69"/>
      <c r="U5307" s="69"/>
    </row>
    <row r="5308" spans="19:21" ht="15" customHeight="1" x14ac:dyDescent="0.2">
      <c r="S5308" s="69">
        <f>_xlfn.XLOOKUP(Results!A5308,Geometry!$B$6:$B$10000,Geometry!$C$6:$C$10000)</f>
        <v>0</v>
      </c>
      <c r="T5308" s="69"/>
      <c r="U5308" s="69"/>
    </row>
    <row r="5309" spans="19:21" ht="15" customHeight="1" x14ac:dyDescent="0.2">
      <c r="S5309" s="69">
        <f>_xlfn.XLOOKUP(Results!A5309,Geometry!$B$6:$B$10000,Geometry!$C$6:$C$10000)</f>
        <v>0</v>
      </c>
      <c r="T5309" s="69"/>
      <c r="U5309" s="69"/>
    </row>
    <row r="5310" spans="19:21" ht="15" customHeight="1" x14ac:dyDescent="0.2">
      <c r="S5310" s="69">
        <f>_xlfn.XLOOKUP(Results!A5310,Geometry!$B$6:$B$10000,Geometry!$C$6:$C$10000)</f>
        <v>0</v>
      </c>
      <c r="T5310" s="69"/>
      <c r="U5310" s="69"/>
    </row>
    <row r="5311" spans="19:21" ht="15" customHeight="1" x14ac:dyDescent="0.2">
      <c r="S5311" s="69">
        <f>_xlfn.XLOOKUP(Results!A5311,Geometry!$B$6:$B$10000,Geometry!$C$6:$C$10000)</f>
        <v>0</v>
      </c>
      <c r="T5311" s="69"/>
      <c r="U5311" s="69"/>
    </row>
    <row r="5312" spans="19:21" ht="15" customHeight="1" x14ac:dyDescent="0.2">
      <c r="S5312" s="69">
        <f>_xlfn.XLOOKUP(Results!A5312,Geometry!$B$6:$B$10000,Geometry!$C$6:$C$10000)</f>
        <v>0</v>
      </c>
      <c r="T5312" s="69"/>
      <c r="U5312" s="69"/>
    </row>
    <row r="5313" spans="19:21" ht="15" customHeight="1" x14ac:dyDescent="0.2">
      <c r="S5313" s="69">
        <f>_xlfn.XLOOKUP(Results!A5313,Geometry!$B$6:$B$10000,Geometry!$C$6:$C$10000)</f>
        <v>0</v>
      </c>
      <c r="T5313" s="69"/>
      <c r="U5313" s="69"/>
    </row>
    <row r="5314" spans="19:21" ht="15" customHeight="1" x14ac:dyDescent="0.2">
      <c r="S5314" s="69">
        <f>_xlfn.XLOOKUP(Results!A5314,Geometry!$B$6:$B$10000,Geometry!$C$6:$C$10000)</f>
        <v>0</v>
      </c>
      <c r="T5314" s="69"/>
      <c r="U5314" s="69"/>
    </row>
    <row r="5315" spans="19:21" ht="15" customHeight="1" x14ac:dyDescent="0.2">
      <c r="S5315" s="69">
        <f>_xlfn.XLOOKUP(Results!A5315,Geometry!$B$6:$B$10000,Geometry!$C$6:$C$10000)</f>
        <v>0</v>
      </c>
      <c r="T5315" s="69"/>
      <c r="U5315" s="69"/>
    </row>
    <row r="5316" spans="19:21" ht="15" customHeight="1" x14ac:dyDescent="0.2">
      <c r="S5316" s="69">
        <f>_xlfn.XLOOKUP(Results!A5316,Geometry!$B$6:$B$10000,Geometry!$C$6:$C$10000)</f>
        <v>0</v>
      </c>
      <c r="T5316" s="69"/>
      <c r="U5316" s="69"/>
    </row>
    <row r="5317" spans="19:21" ht="15" customHeight="1" x14ac:dyDescent="0.2">
      <c r="S5317" s="69">
        <f>_xlfn.XLOOKUP(Results!A5317,Geometry!$B$6:$B$10000,Geometry!$C$6:$C$10000)</f>
        <v>0</v>
      </c>
      <c r="T5317" s="69"/>
      <c r="U5317" s="69"/>
    </row>
    <row r="5318" spans="19:21" ht="15" customHeight="1" x14ac:dyDescent="0.2">
      <c r="S5318" s="69">
        <f>_xlfn.XLOOKUP(Results!A5318,Geometry!$B$6:$B$10000,Geometry!$C$6:$C$10000)</f>
        <v>0</v>
      </c>
      <c r="T5318" s="69"/>
      <c r="U5318" s="69"/>
    </row>
    <row r="5319" spans="19:21" ht="15" customHeight="1" x14ac:dyDescent="0.2">
      <c r="S5319" s="69">
        <f>_xlfn.XLOOKUP(Results!A5319,Geometry!$B$6:$B$10000,Geometry!$C$6:$C$10000)</f>
        <v>0</v>
      </c>
      <c r="T5319" s="69"/>
      <c r="U5319" s="69"/>
    </row>
    <row r="5320" spans="19:21" ht="15" customHeight="1" x14ac:dyDescent="0.2">
      <c r="S5320" s="69">
        <f>_xlfn.XLOOKUP(Results!A5320,Geometry!$B$6:$B$10000,Geometry!$C$6:$C$10000)</f>
        <v>0</v>
      </c>
      <c r="T5320" s="69"/>
      <c r="U5320" s="69"/>
    </row>
    <row r="5321" spans="19:21" ht="15" customHeight="1" x14ac:dyDescent="0.2">
      <c r="S5321" s="69">
        <f>_xlfn.XLOOKUP(Results!A5321,Geometry!$B$6:$B$10000,Geometry!$C$6:$C$10000)</f>
        <v>0</v>
      </c>
      <c r="T5321" s="69"/>
      <c r="U5321" s="69"/>
    </row>
    <row r="5322" spans="19:21" ht="15" customHeight="1" x14ac:dyDescent="0.2">
      <c r="S5322" s="69">
        <f>_xlfn.XLOOKUP(Results!A5322,Geometry!$B$6:$B$10000,Geometry!$C$6:$C$10000)</f>
        <v>0</v>
      </c>
      <c r="T5322" s="69"/>
      <c r="U5322" s="69"/>
    </row>
    <row r="5323" spans="19:21" ht="15" customHeight="1" x14ac:dyDescent="0.2">
      <c r="S5323" s="69">
        <f>_xlfn.XLOOKUP(Results!A5323,Geometry!$B$6:$B$10000,Geometry!$C$6:$C$10000)</f>
        <v>0</v>
      </c>
      <c r="T5323" s="69"/>
      <c r="U5323" s="69"/>
    </row>
    <row r="5324" spans="19:21" ht="15" customHeight="1" x14ac:dyDescent="0.2">
      <c r="S5324" s="69">
        <f>_xlfn.XLOOKUP(Results!A5324,Geometry!$B$6:$B$10000,Geometry!$C$6:$C$10000)</f>
        <v>0</v>
      </c>
      <c r="T5324" s="69"/>
      <c r="U5324" s="69"/>
    </row>
    <row r="5325" spans="19:21" ht="15" customHeight="1" x14ac:dyDescent="0.2">
      <c r="S5325" s="69">
        <f>_xlfn.XLOOKUP(Results!A5325,Geometry!$B$6:$B$10000,Geometry!$C$6:$C$10000)</f>
        <v>0</v>
      </c>
      <c r="T5325" s="69"/>
      <c r="U5325" s="69"/>
    </row>
    <row r="5326" spans="19:21" ht="15" customHeight="1" x14ac:dyDescent="0.2">
      <c r="S5326" s="69">
        <f>_xlfn.XLOOKUP(Results!A5326,Geometry!$B$6:$B$10000,Geometry!$C$6:$C$10000)</f>
        <v>0</v>
      </c>
      <c r="T5326" s="69"/>
      <c r="U5326" s="69"/>
    </row>
    <row r="5327" spans="19:21" ht="15" customHeight="1" x14ac:dyDescent="0.2">
      <c r="S5327" s="69">
        <f>_xlfn.XLOOKUP(Results!A5327,Geometry!$B$6:$B$10000,Geometry!$C$6:$C$10000)</f>
        <v>0</v>
      </c>
      <c r="T5327" s="69"/>
      <c r="U5327" s="69"/>
    </row>
    <row r="5328" spans="19:21" ht="15" customHeight="1" x14ac:dyDescent="0.2">
      <c r="S5328" s="69">
        <f>_xlfn.XLOOKUP(Results!A5328,Geometry!$B$6:$B$10000,Geometry!$C$6:$C$10000)</f>
        <v>0</v>
      </c>
      <c r="T5328" s="69"/>
      <c r="U5328" s="69"/>
    </row>
    <row r="5329" spans="19:21" ht="15" customHeight="1" x14ac:dyDescent="0.2">
      <c r="S5329" s="69">
        <f>_xlfn.XLOOKUP(Results!A5329,Geometry!$B$6:$B$10000,Geometry!$C$6:$C$10000)</f>
        <v>0</v>
      </c>
      <c r="T5329" s="69"/>
      <c r="U5329" s="69"/>
    </row>
    <row r="5330" spans="19:21" ht="15" customHeight="1" x14ac:dyDescent="0.2">
      <c r="S5330" s="69">
        <f>_xlfn.XLOOKUP(Results!A5330,Geometry!$B$6:$B$10000,Geometry!$C$6:$C$10000)</f>
        <v>0</v>
      </c>
      <c r="T5330" s="69"/>
      <c r="U5330" s="69"/>
    </row>
    <row r="5331" spans="19:21" ht="15" customHeight="1" x14ac:dyDescent="0.2">
      <c r="S5331" s="69">
        <f>_xlfn.XLOOKUP(Results!A5331,Geometry!$B$6:$B$10000,Geometry!$C$6:$C$10000)</f>
        <v>0</v>
      </c>
      <c r="T5331" s="69"/>
      <c r="U5331" s="69"/>
    </row>
    <row r="5332" spans="19:21" ht="15" customHeight="1" x14ac:dyDescent="0.2">
      <c r="S5332" s="69">
        <f>_xlfn.XLOOKUP(Results!A5332,Geometry!$B$6:$B$10000,Geometry!$C$6:$C$10000)</f>
        <v>0</v>
      </c>
      <c r="T5332" s="69"/>
      <c r="U5332" s="69"/>
    </row>
    <row r="5333" spans="19:21" ht="15" customHeight="1" x14ac:dyDescent="0.2">
      <c r="S5333" s="69">
        <f>_xlfn.XLOOKUP(Results!A5333,Geometry!$B$6:$B$10000,Geometry!$C$6:$C$10000)</f>
        <v>0</v>
      </c>
      <c r="T5333" s="69"/>
      <c r="U5333" s="69"/>
    </row>
    <row r="5334" spans="19:21" ht="15" customHeight="1" x14ac:dyDescent="0.2">
      <c r="S5334" s="69">
        <f>_xlfn.XLOOKUP(Results!A5334,Geometry!$B$6:$B$10000,Geometry!$C$6:$C$10000)</f>
        <v>0</v>
      </c>
      <c r="T5334" s="69"/>
      <c r="U5334" s="69"/>
    </row>
    <row r="5335" spans="19:21" ht="15" customHeight="1" x14ac:dyDescent="0.2">
      <c r="S5335" s="69">
        <f>_xlfn.XLOOKUP(Results!A5335,Geometry!$B$6:$B$10000,Geometry!$C$6:$C$10000)</f>
        <v>0</v>
      </c>
      <c r="T5335" s="69"/>
      <c r="U5335" s="69"/>
    </row>
    <row r="5336" spans="19:21" ht="15" customHeight="1" x14ac:dyDescent="0.2">
      <c r="S5336" s="69">
        <f>_xlfn.XLOOKUP(Results!A5336,Geometry!$B$6:$B$10000,Geometry!$C$6:$C$10000)</f>
        <v>0</v>
      </c>
      <c r="T5336" s="69"/>
      <c r="U5336" s="69"/>
    </row>
    <row r="5337" spans="19:21" ht="15" customHeight="1" x14ac:dyDescent="0.2">
      <c r="S5337" s="69">
        <f>_xlfn.XLOOKUP(Results!A5337,Geometry!$B$6:$B$10000,Geometry!$C$6:$C$10000)</f>
        <v>0</v>
      </c>
      <c r="T5337" s="69"/>
      <c r="U5337" s="69"/>
    </row>
    <row r="5338" spans="19:21" ht="15" customHeight="1" x14ac:dyDescent="0.2">
      <c r="S5338" s="69">
        <f>_xlfn.XLOOKUP(Results!A5338,Geometry!$B$6:$B$10000,Geometry!$C$6:$C$10000)</f>
        <v>0</v>
      </c>
      <c r="T5338" s="69"/>
      <c r="U5338" s="69"/>
    </row>
    <row r="5339" spans="19:21" ht="15" customHeight="1" x14ac:dyDescent="0.2">
      <c r="S5339" s="69">
        <f>_xlfn.XLOOKUP(Results!A5339,Geometry!$B$6:$B$10000,Geometry!$C$6:$C$10000)</f>
        <v>0</v>
      </c>
      <c r="T5339" s="69"/>
      <c r="U5339" s="69"/>
    </row>
    <row r="5340" spans="19:21" ht="15" customHeight="1" x14ac:dyDescent="0.2">
      <c r="S5340" s="69">
        <f>_xlfn.XLOOKUP(Results!A5340,Geometry!$B$6:$B$10000,Geometry!$C$6:$C$10000)</f>
        <v>0</v>
      </c>
      <c r="T5340" s="69"/>
      <c r="U5340" s="69"/>
    </row>
    <row r="5341" spans="19:21" ht="15" customHeight="1" x14ac:dyDescent="0.2">
      <c r="S5341" s="69">
        <f>_xlfn.XLOOKUP(Results!A5341,Geometry!$B$6:$B$10000,Geometry!$C$6:$C$10000)</f>
        <v>0</v>
      </c>
      <c r="T5341" s="69"/>
      <c r="U5341" s="69"/>
    </row>
    <row r="5342" spans="19:21" ht="15" customHeight="1" x14ac:dyDescent="0.2">
      <c r="S5342" s="69">
        <f>_xlfn.XLOOKUP(Results!A5342,Geometry!$B$6:$B$10000,Geometry!$C$6:$C$10000)</f>
        <v>0</v>
      </c>
      <c r="T5342" s="69"/>
      <c r="U5342" s="69"/>
    </row>
    <row r="5343" spans="19:21" ht="15" customHeight="1" x14ac:dyDescent="0.2">
      <c r="S5343" s="69">
        <f>_xlfn.XLOOKUP(Results!A5343,Geometry!$B$6:$B$10000,Geometry!$C$6:$C$10000)</f>
        <v>0</v>
      </c>
      <c r="T5343" s="69"/>
      <c r="U5343" s="69"/>
    </row>
    <row r="5344" spans="19:21" ht="15" customHeight="1" x14ac:dyDescent="0.2">
      <c r="S5344" s="69">
        <f>_xlfn.XLOOKUP(Results!A5344,Geometry!$B$6:$B$10000,Geometry!$C$6:$C$10000)</f>
        <v>0</v>
      </c>
      <c r="T5344" s="69"/>
      <c r="U5344" s="69"/>
    </row>
    <row r="5345" spans="19:21" ht="15" customHeight="1" x14ac:dyDescent="0.2">
      <c r="S5345" s="69">
        <f>_xlfn.XLOOKUP(Results!A5345,Geometry!$B$6:$B$10000,Geometry!$C$6:$C$10000)</f>
        <v>0</v>
      </c>
      <c r="T5345" s="69"/>
      <c r="U5345" s="69"/>
    </row>
    <row r="5346" spans="19:21" ht="15" customHeight="1" x14ac:dyDescent="0.2">
      <c r="S5346" s="69">
        <f>_xlfn.XLOOKUP(Results!A5346,Geometry!$B$6:$B$10000,Geometry!$C$6:$C$10000)</f>
        <v>0</v>
      </c>
      <c r="T5346" s="69"/>
      <c r="U5346" s="69"/>
    </row>
    <row r="5347" spans="19:21" ht="15" customHeight="1" x14ac:dyDescent="0.2">
      <c r="S5347" s="69">
        <f>_xlfn.XLOOKUP(Results!A5347,Geometry!$B$6:$B$10000,Geometry!$C$6:$C$10000)</f>
        <v>0</v>
      </c>
      <c r="T5347" s="69"/>
      <c r="U5347" s="69"/>
    </row>
    <row r="5348" spans="19:21" ht="15" customHeight="1" x14ac:dyDescent="0.2">
      <c r="S5348" s="69">
        <f>_xlfn.XLOOKUP(Results!A5348,Geometry!$B$6:$B$10000,Geometry!$C$6:$C$10000)</f>
        <v>0</v>
      </c>
      <c r="T5348" s="69"/>
      <c r="U5348" s="69"/>
    </row>
    <row r="5349" spans="19:21" ht="15" customHeight="1" x14ac:dyDescent="0.2">
      <c r="S5349" s="69">
        <f>_xlfn.XLOOKUP(Results!A5349,Geometry!$B$6:$B$10000,Geometry!$C$6:$C$10000)</f>
        <v>0</v>
      </c>
      <c r="T5349" s="69"/>
      <c r="U5349" s="69"/>
    </row>
    <row r="5350" spans="19:21" ht="15" customHeight="1" x14ac:dyDescent="0.2">
      <c r="S5350" s="69">
        <f>_xlfn.XLOOKUP(Results!A5350,Geometry!$B$6:$B$10000,Geometry!$C$6:$C$10000)</f>
        <v>0</v>
      </c>
      <c r="T5350" s="69"/>
      <c r="U5350" s="69"/>
    </row>
    <row r="5351" spans="19:21" ht="15" customHeight="1" x14ac:dyDescent="0.2">
      <c r="S5351" s="69">
        <f>_xlfn.XLOOKUP(Results!A5351,Geometry!$B$6:$B$10000,Geometry!$C$6:$C$10000)</f>
        <v>0</v>
      </c>
      <c r="T5351" s="69"/>
      <c r="U5351" s="69"/>
    </row>
    <row r="5352" spans="19:21" ht="15" customHeight="1" x14ac:dyDescent="0.2">
      <c r="S5352" s="69">
        <f>_xlfn.XLOOKUP(Results!A5352,Geometry!$B$6:$B$10000,Geometry!$C$6:$C$10000)</f>
        <v>0</v>
      </c>
      <c r="T5352" s="69"/>
      <c r="U5352" s="69"/>
    </row>
    <row r="5353" spans="19:21" ht="15" customHeight="1" x14ac:dyDescent="0.2">
      <c r="S5353" s="69">
        <f>_xlfn.XLOOKUP(Results!A5353,Geometry!$B$6:$B$10000,Geometry!$C$6:$C$10000)</f>
        <v>0</v>
      </c>
      <c r="T5353" s="69"/>
      <c r="U5353" s="69"/>
    </row>
    <row r="5354" spans="19:21" ht="15" customHeight="1" x14ac:dyDescent="0.2">
      <c r="S5354" s="69">
        <f>_xlfn.XLOOKUP(Results!A5354,Geometry!$B$6:$B$10000,Geometry!$C$6:$C$10000)</f>
        <v>0</v>
      </c>
      <c r="T5354" s="69"/>
      <c r="U5354" s="69"/>
    </row>
    <row r="5355" spans="19:21" ht="15" customHeight="1" x14ac:dyDescent="0.2">
      <c r="S5355" s="69">
        <f>_xlfn.XLOOKUP(Results!A5355,Geometry!$B$6:$B$10000,Geometry!$C$6:$C$10000)</f>
        <v>0</v>
      </c>
      <c r="T5355" s="69"/>
      <c r="U5355" s="69"/>
    </row>
    <row r="5356" spans="19:21" ht="15" customHeight="1" x14ac:dyDescent="0.2">
      <c r="S5356" s="69">
        <f>_xlfn.XLOOKUP(Results!A5356,Geometry!$B$6:$B$10000,Geometry!$C$6:$C$10000)</f>
        <v>0</v>
      </c>
      <c r="T5356" s="69"/>
      <c r="U5356" s="69"/>
    </row>
    <row r="5357" spans="19:21" ht="15" customHeight="1" x14ac:dyDescent="0.2">
      <c r="S5357" s="69">
        <f>_xlfn.XLOOKUP(Results!A5357,Geometry!$B$6:$B$10000,Geometry!$C$6:$C$10000)</f>
        <v>0</v>
      </c>
      <c r="T5357" s="69"/>
      <c r="U5357" s="69"/>
    </row>
    <row r="5358" spans="19:21" ht="15" customHeight="1" x14ac:dyDescent="0.2">
      <c r="S5358" s="69">
        <f>_xlfn.XLOOKUP(Results!A5358,Geometry!$B$6:$B$10000,Geometry!$C$6:$C$10000)</f>
        <v>0</v>
      </c>
      <c r="T5358" s="69"/>
      <c r="U5358" s="69"/>
    </row>
    <row r="5359" spans="19:21" ht="15" customHeight="1" x14ac:dyDescent="0.2">
      <c r="S5359" s="69">
        <f>_xlfn.XLOOKUP(Results!A5359,Geometry!$B$6:$B$10000,Geometry!$C$6:$C$10000)</f>
        <v>0</v>
      </c>
      <c r="T5359" s="69"/>
      <c r="U5359" s="69"/>
    </row>
    <row r="5360" spans="19:21" ht="15" customHeight="1" x14ac:dyDescent="0.2">
      <c r="S5360" s="69">
        <f>_xlfn.XLOOKUP(Results!A5360,Geometry!$B$6:$B$10000,Geometry!$C$6:$C$10000)</f>
        <v>0</v>
      </c>
      <c r="T5360" s="69"/>
      <c r="U5360" s="69"/>
    </row>
    <row r="5361" spans="19:21" ht="15" customHeight="1" x14ac:dyDescent="0.2">
      <c r="S5361" s="69">
        <f>_xlfn.XLOOKUP(Results!A5361,Geometry!$B$6:$B$10000,Geometry!$C$6:$C$10000)</f>
        <v>0</v>
      </c>
      <c r="T5361" s="69"/>
      <c r="U5361" s="69"/>
    </row>
    <row r="5362" spans="19:21" ht="15" customHeight="1" x14ac:dyDescent="0.2">
      <c r="S5362" s="69">
        <f>_xlfn.XLOOKUP(Results!A5362,Geometry!$B$6:$B$10000,Geometry!$C$6:$C$10000)</f>
        <v>0</v>
      </c>
      <c r="T5362" s="69"/>
      <c r="U5362" s="69"/>
    </row>
    <row r="5363" spans="19:21" ht="15" customHeight="1" x14ac:dyDescent="0.2">
      <c r="S5363" s="69">
        <f>_xlfn.XLOOKUP(Results!A5363,Geometry!$B$6:$B$10000,Geometry!$C$6:$C$10000)</f>
        <v>0</v>
      </c>
      <c r="T5363" s="69"/>
      <c r="U5363" s="69"/>
    </row>
    <row r="5364" spans="19:21" ht="15" customHeight="1" x14ac:dyDescent="0.2">
      <c r="S5364" s="69">
        <f>_xlfn.XLOOKUP(Results!A5364,Geometry!$B$6:$B$10000,Geometry!$C$6:$C$10000)</f>
        <v>0</v>
      </c>
      <c r="T5364" s="69"/>
      <c r="U5364" s="69"/>
    </row>
    <row r="5365" spans="19:21" ht="15" customHeight="1" x14ac:dyDescent="0.2">
      <c r="S5365" s="69">
        <f>_xlfn.XLOOKUP(Results!A5365,Geometry!$B$6:$B$10000,Geometry!$C$6:$C$10000)</f>
        <v>0</v>
      </c>
      <c r="T5365" s="69"/>
      <c r="U5365" s="69"/>
    </row>
    <row r="5366" spans="19:21" ht="15" customHeight="1" x14ac:dyDescent="0.2">
      <c r="S5366" s="69">
        <f>_xlfn.XLOOKUP(Results!A5366,Geometry!$B$6:$B$10000,Geometry!$C$6:$C$10000)</f>
        <v>0</v>
      </c>
      <c r="T5366" s="69"/>
      <c r="U5366" s="69"/>
    </row>
    <row r="5367" spans="19:21" ht="15" customHeight="1" x14ac:dyDescent="0.2">
      <c r="S5367" s="69">
        <f>_xlfn.XLOOKUP(Results!A5367,Geometry!$B$6:$B$10000,Geometry!$C$6:$C$10000)</f>
        <v>0</v>
      </c>
      <c r="T5367" s="69"/>
      <c r="U5367" s="69"/>
    </row>
    <row r="5368" spans="19:21" ht="15" customHeight="1" x14ac:dyDescent="0.2">
      <c r="S5368" s="69">
        <f>_xlfn.XLOOKUP(Results!A5368,Geometry!$B$6:$B$10000,Geometry!$C$6:$C$10000)</f>
        <v>0</v>
      </c>
      <c r="T5368" s="69"/>
      <c r="U5368" s="69"/>
    </row>
    <row r="5369" spans="19:21" ht="15" customHeight="1" x14ac:dyDescent="0.2">
      <c r="S5369" s="69">
        <f>_xlfn.XLOOKUP(Results!A5369,Geometry!$B$6:$B$10000,Geometry!$C$6:$C$10000)</f>
        <v>0</v>
      </c>
      <c r="T5369" s="69"/>
      <c r="U5369" s="69"/>
    </row>
    <row r="5370" spans="19:21" ht="15" customHeight="1" x14ac:dyDescent="0.2">
      <c r="S5370" s="69">
        <f>_xlfn.XLOOKUP(Results!A5370,Geometry!$B$6:$B$10000,Geometry!$C$6:$C$10000)</f>
        <v>0</v>
      </c>
      <c r="T5370" s="69"/>
      <c r="U5370" s="69"/>
    </row>
    <row r="5371" spans="19:21" ht="15" customHeight="1" x14ac:dyDescent="0.2">
      <c r="S5371" s="69">
        <f>_xlfn.XLOOKUP(Results!A5371,Geometry!$B$6:$B$10000,Geometry!$C$6:$C$10000)</f>
        <v>0</v>
      </c>
      <c r="T5371" s="69"/>
      <c r="U5371" s="69"/>
    </row>
    <row r="5372" spans="19:21" ht="15" customHeight="1" x14ac:dyDescent="0.2">
      <c r="S5372" s="69">
        <f>_xlfn.XLOOKUP(Results!A5372,Geometry!$B$6:$B$10000,Geometry!$C$6:$C$10000)</f>
        <v>0</v>
      </c>
      <c r="T5372" s="69"/>
      <c r="U5372" s="69"/>
    </row>
    <row r="5373" spans="19:21" ht="15" customHeight="1" x14ac:dyDescent="0.2">
      <c r="S5373" s="69">
        <f>_xlfn.XLOOKUP(Results!A5373,Geometry!$B$6:$B$10000,Geometry!$C$6:$C$10000)</f>
        <v>0</v>
      </c>
      <c r="T5373" s="69"/>
      <c r="U5373" s="69"/>
    </row>
    <row r="5374" spans="19:21" ht="15" customHeight="1" x14ac:dyDescent="0.2">
      <c r="S5374" s="69">
        <f>_xlfn.XLOOKUP(Results!A5374,Geometry!$B$6:$B$10000,Geometry!$C$6:$C$10000)</f>
        <v>0</v>
      </c>
      <c r="T5374" s="69"/>
      <c r="U5374" s="69"/>
    </row>
    <row r="5375" spans="19:21" ht="15" customHeight="1" x14ac:dyDescent="0.2">
      <c r="S5375" s="69">
        <f>_xlfn.XLOOKUP(Results!A5375,Geometry!$B$6:$B$10000,Geometry!$C$6:$C$10000)</f>
        <v>0</v>
      </c>
      <c r="T5375" s="69"/>
      <c r="U5375" s="69"/>
    </row>
    <row r="5376" spans="19:21" ht="15" customHeight="1" x14ac:dyDescent="0.2">
      <c r="S5376" s="69">
        <f>_xlfn.XLOOKUP(Results!A5376,Geometry!$B$6:$B$10000,Geometry!$C$6:$C$10000)</f>
        <v>0</v>
      </c>
      <c r="T5376" s="69"/>
      <c r="U5376" s="69"/>
    </row>
    <row r="5377" spans="19:21" ht="15" customHeight="1" x14ac:dyDescent="0.2">
      <c r="S5377" s="69">
        <f>_xlfn.XLOOKUP(Results!A5377,Geometry!$B$6:$B$10000,Geometry!$C$6:$C$10000)</f>
        <v>0</v>
      </c>
      <c r="T5377" s="69"/>
      <c r="U5377" s="69"/>
    </row>
    <row r="5378" spans="19:21" ht="15" customHeight="1" x14ac:dyDescent="0.2">
      <c r="S5378" s="69">
        <f>_xlfn.XLOOKUP(Results!A5378,Geometry!$B$6:$B$10000,Geometry!$C$6:$C$10000)</f>
        <v>0</v>
      </c>
      <c r="T5378" s="69"/>
      <c r="U5378" s="69"/>
    </row>
    <row r="5379" spans="19:21" ht="15" customHeight="1" x14ac:dyDescent="0.2">
      <c r="S5379" s="69">
        <f>_xlfn.XLOOKUP(Results!A5379,Geometry!$B$6:$B$10000,Geometry!$C$6:$C$10000)</f>
        <v>0</v>
      </c>
      <c r="T5379" s="69"/>
      <c r="U5379" s="69"/>
    </row>
    <row r="5380" spans="19:21" ht="15" customHeight="1" x14ac:dyDescent="0.2">
      <c r="S5380" s="69">
        <f>_xlfn.XLOOKUP(Results!A5380,Geometry!$B$6:$B$10000,Geometry!$C$6:$C$10000)</f>
        <v>0</v>
      </c>
      <c r="T5380" s="69"/>
      <c r="U5380" s="69"/>
    </row>
    <row r="5381" spans="19:21" ht="15" customHeight="1" x14ac:dyDescent="0.2">
      <c r="S5381" s="69">
        <f>_xlfn.XLOOKUP(Results!A5381,Geometry!$B$6:$B$10000,Geometry!$C$6:$C$10000)</f>
        <v>0</v>
      </c>
      <c r="T5381" s="69"/>
      <c r="U5381" s="69"/>
    </row>
    <row r="5382" spans="19:21" ht="15" customHeight="1" x14ac:dyDescent="0.2">
      <c r="S5382" s="69">
        <f>_xlfn.XLOOKUP(Results!A5382,Geometry!$B$6:$B$10000,Geometry!$C$6:$C$10000)</f>
        <v>0</v>
      </c>
      <c r="T5382" s="69"/>
      <c r="U5382" s="69"/>
    </row>
    <row r="5383" spans="19:21" ht="15" customHeight="1" x14ac:dyDescent="0.2">
      <c r="S5383" s="69">
        <f>_xlfn.XLOOKUP(Results!A5383,Geometry!$B$6:$B$10000,Geometry!$C$6:$C$10000)</f>
        <v>0</v>
      </c>
      <c r="T5383" s="69"/>
      <c r="U5383" s="69"/>
    </row>
    <row r="5384" spans="19:21" ht="15" customHeight="1" x14ac:dyDescent="0.2">
      <c r="S5384" s="69">
        <f>_xlfn.XLOOKUP(Results!A5384,Geometry!$B$6:$B$10000,Geometry!$C$6:$C$10000)</f>
        <v>0</v>
      </c>
      <c r="T5384" s="69"/>
      <c r="U5384" s="69"/>
    </row>
    <row r="5385" spans="19:21" ht="15" customHeight="1" x14ac:dyDescent="0.2">
      <c r="S5385" s="69">
        <f>_xlfn.XLOOKUP(Results!A5385,Geometry!$B$6:$B$10000,Geometry!$C$6:$C$10000)</f>
        <v>0</v>
      </c>
      <c r="T5385" s="69"/>
      <c r="U5385" s="69"/>
    </row>
    <row r="5386" spans="19:21" ht="15" customHeight="1" x14ac:dyDescent="0.2">
      <c r="S5386" s="69">
        <f>_xlfn.XLOOKUP(Results!A5386,Geometry!$B$6:$B$10000,Geometry!$C$6:$C$10000)</f>
        <v>0</v>
      </c>
      <c r="T5386" s="69"/>
      <c r="U5386" s="69"/>
    </row>
    <row r="5387" spans="19:21" ht="15" customHeight="1" x14ac:dyDescent="0.2">
      <c r="S5387" s="69">
        <f>_xlfn.XLOOKUP(Results!A5387,Geometry!$B$6:$B$10000,Geometry!$C$6:$C$10000)</f>
        <v>0</v>
      </c>
      <c r="T5387" s="69"/>
      <c r="U5387" s="69"/>
    </row>
    <row r="5388" spans="19:21" ht="15" customHeight="1" x14ac:dyDescent="0.2">
      <c r="S5388" s="69">
        <f>_xlfn.XLOOKUP(Results!A5388,Geometry!$B$6:$B$10000,Geometry!$C$6:$C$10000)</f>
        <v>0</v>
      </c>
      <c r="T5388" s="69"/>
      <c r="U5388" s="69"/>
    </row>
    <row r="5389" spans="19:21" ht="15" customHeight="1" x14ac:dyDescent="0.2">
      <c r="S5389" s="69">
        <f>_xlfn.XLOOKUP(Results!A5389,Geometry!$B$6:$B$10000,Geometry!$C$6:$C$10000)</f>
        <v>0</v>
      </c>
      <c r="T5389" s="69"/>
      <c r="U5389" s="69"/>
    </row>
    <row r="5390" spans="19:21" ht="15" customHeight="1" x14ac:dyDescent="0.2">
      <c r="S5390" s="69">
        <f>_xlfn.XLOOKUP(Results!A5390,Geometry!$B$6:$B$10000,Geometry!$C$6:$C$10000)</f>
        <v>0</v>
      </c>
      <c r="T5390" s="69"/>
      <c r="U5390" s="69"/>
    </row>
    <row r="5391" spans="19:21" ht="15" customHeight="1" x14ac:dyDescent="0.2">
      <c r="S5391" s="69">
        <f>_xlfn.XLOOKUP(Results!A5391,Geometry!$B$6:$B$10000,Geometry!$C$6:$C$10000)</f>
        <v>0</v>
      </c>
      <c r="T5391" s="69"/>
      <c r="U5391" s="69"/>
    </row>
    <row r="5392" spans="19:21" ht="15" customHeight="1" x14ac:dyDescent="0.2">
      <c r="S5392" s="69">
        <f>_xlfn.XLOOKUP(Results!A5392,Geometry!$B$6:$B$10000,Geometry!$C$6:$C$10000)</f>
        <v>0</v>
      </c>
      <c r="T5392" s="69"/>
      <c r="U5392" s="69"/>
    </row>
    <row r="5393" spans="19:21" ht="15" customHeight="1" x14ac:dyDescent="0.2">
      <c r="S5393" s="69">
        <f>_xlfn.XLOOKUP(Results!A5393,Geometry!$B$6:$B$10000,Geometry!$C$6:$C$10000)</f>
        <v>0</v>
      </c>
      <c r="T5393" s="69"/>
      <c r="U5393" s="69"/>
    </row>
    <row r="5394" spans="19:21" ht="15" customHeight="1" x14ac:dyDescent="0.2">
      <c r="S5394" s="69">
        <f>_xlfn.XLOOKUP(Results!A5394,Geometry!$B$6:$B$10000,Geometry!$C$6:$C$10000)</f>
        <v>0</v>
      </c>
      <c r="T5394" s="69"/>
      <c r="U5394" s="69"/>
    </row>
    <row r="5395" spans="19:21" ht="15" customHeight="1" x14ac:dyDescent="0.2">
      <c r="S5395" s="69">
        <f>_xlfn.XLOOKUP(Results!A5395,Geometry!$B$6:$B$10000,Geometry!$C$6:$C$10000)</f>
        <v>0</v>
      </c>
      <c r="T5395" s="69"/>
      <c r="U5395" s="69"/>
    </row>
    <row r="5396" spans="19:21" ht="15" customHeight="1" x14ac:dyDescent="0.2">
      <c r="S5396" s="69">
        <f>_xlfn.XLOOKUP(Results!A5396,Geometry!$B$6:$B$10000,Geometry!$C$6:$C$10000)</f>
        <v>0</v>
      </c>
      <c r="T5396" s="69"/>
      <c r="U5396" s="69"/>
    </row>
    <row r="5397" spans="19:21" ht="15" customHeight="1" x14ac:dyDescent="0.2">
      <c r="S5397" s="69">
        <f>_xlfn.XLOOKUP(Results!A5397,Geometry!$B$6:$B$10000,Geometry!$C$6:$C$10000)</f>
        <v>0</v>
      </c>
      <c r="T5397" s="69"/>
      <c r="U5397" s="69"/>
    </row>
    <row r="5398" spans="19:21" ht="15" customHeight="1" x14ac:dyDescent="0.2">
      <c r="S5398" s="69">
        <f>_xlfn.XLOOKUP(Results!A5398,Geometry!$B$6:$B$10000,Geometry!$C$6:$C$10000)</f>
        <v>0</v>
      </c>
      <c r="T5398" s="69"/>
      <c r="U5398" s="69"/>
    </row>
    <row r="5399" spans="19:21" ht="15" customHeight="1" x14ac:dyDescent="0.2">
      <c r="S5399" s="69">
        <f>_xlfn.XLOOKUP(Results!A5399,Geometry!$B$6:$B$10000,Geometry!$C$6:$C$10000)</f>
        <v>0</v>
      </c>
      <c r="T5399" s="69"/>
      <c r="U5399" s="69"/>
    </row>
    <row r="5400" spans="19:21" ht="15" customHeight="1" x14ac:dyDescent="0.2">
      <c r="S5400" s="69">
        <f>_xlfn.XLOOKUP(Results!A5400,Geometry!$B$6:$B$10000,Geometry!$C$6:$C$10000)</f>
        <v>0</v>
      </c>
      <c r="T5400" s="69"/>
      <c r="U5400" s="69"/>
    </row>
    <row r="5401" spans="19:21" ht="15" customHeight="1" x14ac:dyDescent="0.2">
      <c r="S5401" s="69">
        <f>_xlfn.XLOOKUP(Results!A5401,Geometry!$B$6:$B$10000,Geometry!$C$6:$C$10000)</f>
        <v>0</v>
      </c>
      <c r="T5401" s="69"/>
      <c r="U5401" s="69"/>
    </row>
    <row r="5402" spans="19:21" ht="15" customHeight="1" x14ac:dyDescent="0.2">
      <c r="S5402" s="69">
        <f>_xlfn.XLOOKUP(Results!A5402,Geometry!$B$6:$B$10000,Geometry!$C$6:$C$10000)</f>
        <v>0</v>
      </c>
      <c r="T5402" s="69"/>
      <c r="U5402" s="69"/>
    </row>
    <row r="5403" spans="19:21" ht="15" customHeight="1" x14ac:dyDescent="0.2">
      <c r="S5403" s="69">
        <f>_xlfn.XLOOKUP(Results!A5403,Geometry!$B$6:$B$10000,Geometry!$C$6:$C$10000)</f>
        <v>0</v>
      </c>
      <c r="T5403" s="69"/>
      <c r="U5403" s="69"/>
    </row>
    <row r="5404" spans="19:21" ht="15" customHeight="1" x14ac:dyDescent="0.2">
      <c r="S5404" s="69">
        <f>_xlfn.XLOOKUP(Results!A5404,Geometry!$B$6:$B$10000,Geometry!$C$6:$C$10000)</f>
        <v>0</v>
      </c>
      <c r="T5404" s="69"/>
      <c r="U5404" s="69"/>
    </row>
    <row r="5405" spans="19:21" ht="15" customHeight="1" x14ac:dyDescent="0.2">
      <c r="S5405" s="69">
        <f>_xlfn.XLOOKUP(Results!A5405,Geometry!$B$6:$B$10000,Geometry!$C$6:$C$10000)</f>
        <v>0</v>
      </c>
      <c r="T5405" s="69"/>
      <c r="U5405" s="69"/>
    </row>
    <row r="5406" spans="19:21" ht="15" customHeight="1" x14ac:dyDescent="0.2">
      <c r="S5406" s="69">
        <f>_xlfn.XLOOKUP(Results!A5406,Geometry!$B$6:$B$10000,Geometry!$C$6:$C$10000)</f>
        <v>0</v>
      </c>
      <c r="T5406" s="69"/>
      <c r="U5406" s="69"/>
    </row>
    <row r="5407" spans="19:21" ht="15" customHeight="1" x14ac:dyDescent="0.2">
      <c r="S5407" s="69">
        <f>_xlfn.XLOOKUP(Results!A5407,Geometry!$B$6:$B$10000,Geometry!$C$6:$C$10000)</f>
        <v>0</v>
      </c>
      <c r="T5407" s="69"/>
      <c r="U5407" s="69"/>
    </row>
    <row r="5408" spans="19:21" ht="15" customHeight="1" x14ac:dyDescent="0.2">
      <c r="S5408" s="69">
        <f>_xlfn.XLOOKUP(Results!A5408,Geometry!$B$6:$B$10000,Geometry!$C$6:$C$10000)</f>
        <v>0</v>
      </c>
      <c r="T5408" s="69"/>
      <c r="U5408" s="69"/>
    </row>
    <row r="5409" spans="19:21" ht="15" customHeight="1" x14ac:dyDescent="0.2">
      <c r="S5409" s="69">
        <f>_xlfn.XLOOKUP(Results!A5409,Geometry!$B$6:$B$10000,Geometry!$C$6:$C$10000)</f>
        <v>0</v>
      </c>
      <c r="T5409" s="69"/>
      <c r="U5409" s="69"/>
    </row>
    <row r="5410" spans="19:21" ht="15" customHeight="1" x14ac:dyDescent="0.2">
      <c r="S5410" s="69">
        <f>_xlfn.XLOOKUP(Results!A5410,Geometry!$B$6:$B$10000,Geometry!$C$6:$C$10000)</f>
        <v>0</v>
      </c>
      <c r="T5410" s="69"/>
      <c r="U5410" s="69"/>
    </row>
    <row r="5411" spans="19:21" ht="15" customHeight="1" x14ac:dyDescent="0.2">
      <c r="S5411" s="69">
        <f>_xlfn.XLOOKUP(Results!A5411,Geometry!$B$6:$B$10000,Geometry!$C$6:$C$10000)</f>
        <v>0</v>
      </c>
      <c r="T5411" s="69"/>
      <c r="U5411" s="69"/>
    </row>
    <row r="5412" spans="19:21" ht="15" customHeight="1" x14ac:dyDescent="0.2">
      <c r="S5412" s="69">
        <f>_xlfn.XLOOKUP(Results!A5412,Geometry!$B$6:$B$10000,Geometry!$C$6:$C$10000)</f>
        <v>0</v>
      </c>
      <c r="T5412" s="69"/>
      <c r="U5412" s="69"/>
    </row>
    <row r="5413" spans="19:21" ht="15" customHeight="1" x14ac:dyDescent="0.2">
      <c r="S5413" s="69">
        <f>_xlfn.XLOOKUP(Results!A5413,Geometry!$B$6:$B$10000,Geometry!$C$6:$C$10000)</f>
        <v>0</v>
      </c>
      <c r="T5413" s="69"/>
      <c r="U5413" s="69"/>
    </row>
    <row r="5414" spans="19:21" ht="15" customHeight="1" x14ac:dyDescent="0.2">
      <c r="S5414" s="69">
        <f>_xlfn.XLOOKUP(Results!A5414,Geometry!$B$6:$B$10000,Geometry!$C$6:$C$10000)</f>
        <v>0</v>
      </c>
      <c r="T5414" s="69"/>
      <c r="U5414" s="69"/>
    </row>
    <row r="5415" spans="19:21" ht="15" customHeight="1" x14ac:dyDescent="0.2">
      <c r="S5415" s="69">
        <f>_xlfn.XLOOKUP(Results!A5415,Geometry!$B$6:$B$10000,Geometry!$C$6:$C$10000)</f>
        <v>0</v>
      </c>
      <c r="T5415" s="69"/>
      <c r="U5415" s="69"/>
    </row>
    <row r="5416" spans="19:21" ht="15" customHeight="1" x14ac:dyDescent="0.2">
      <c r="S5416" s="69">
        <f>_xlfn.XLOOKUP(Results!A5416,Geometry!$B$6:$B$10000,Geometry!$C$6:$C$10000)</f>
        <v>0</v>
      </c>
      <c r="T5416" s="69"/>
      <c r="U5416" s="69"/>
    </row>
    <row r="5417" spans="19:21" ht="15" customHeight="1" x14ac:dyDescent="0.2">
      <c r="S5417" s="69">
        <f>_xlfn.XLOOKUP(Results!A5417,Geometry!$B$6:$B$10000,Geometry!$C$6:$C$10000)</f>
        <v>0</v>
      </c>
      <c r="T5417" s="69"/>
      <c r="U5417" s="69"/>
    </row>
    <row r="5418" spans="19:21" ht="15" customHeight="1" x14ac:dyDescent="0.2">
      <c r="S5418" s="69">
        <f>_xlfn.XLOOKUP(Results!A5418,Geometry!$B$6:$B$10000,Geometry!$C$6:$C$10000)</f>
        <v>0</v>
      </c>
      <c r="T5418" s="69"/>
      <c r="U5418" s="69"/>
    </row>
    <row r="5419" spans="19:21" ht="15" customHeight="1" x14ac:dyDescent="0.2">
      <c r="S5419" s="69">
        <f>_xlfn.XLOOKUP(Results!A5419,Geometry!$B$6:$B$10000,Geometry!$C$6:$C$10000)</f>
        <v>0</v>
      </c>
      <c r="T5419" s="69"/>
      <c r="U5419" s="69"/>
    </row>
    <row r="5420" spans="19:21" ht="15" customHeight="1" x14ac:dyDescent="0.2">
      <c r="S5420" s="69">
        <f>_xlfn.XLOOKUP(Results!A5420,Geometry!$B$6:$B$10000,Geometry!$C$6:$C$10000)</f>
        <v>0</v>
      </c>
      <c r="T5420" s="69"/>
      <c r="U5420" s="69"/>
    </row>
    <row r="5421" spans="19:21" ht="15" customHeight="1" x14ac:dyDescent="0.2">
      <c r="S5421" s="69">
        <f>_xlfn.XLOOKUP(Results!A5421,Geometry!$B$6:$B$10000,Geometry!$C$6:$C$10000)</f>
        <v>0</v>
      </c>
      <c r="T5421" s="69"/>
      <c r="U5421" s="69"/>
    </row>
    <row r="5422" spans="19:21" ht="15" customHeight="1" x14ac:dyDescent="0.2">
      <c r="S5422" s="69">
        <f>_xlfn.XLOOKUP(Results!A5422,Geometry!$B$6:$B$10000,Geometry!$C$6:$C$10000)</f>
        <v>0</v>
      </c>
      <c r="T5422" s="69"/>
      <c r="U5422" s="69"/>
    </row>
    <row r="5423" spans="19:21" ht="15" customHeight="1" x14ac:dyDescent="0.2">
      <c r="S5423" s="69">
        <f>_xlfn.XLOOKUP(Results!A5423,Geometry!$B$6:$B$10000,Geometry!$C$6:$C$10000)</f>
        <v>0</v>
      </c>
      <c r="T5423" s="69"/>
      <c r="U5423" s="69"/>
    </row>
    <row r="5424" spans="19:21" ht="15" customHeight="1" x14ac:dyDescent="0.2">
      <c r="S5424" s="69">
        <f>_xlfn.XLOOKUP(Results!A5424,Geometry!$B$6:$B$10000,Geometry!$C$6:$C$10000)</f>
        <v>0</v>
      </c>
      <c r="T5424" s="69"/>
      <c r="U5424" s="69"/>
    </row>
    <row r="5425" spans="19:21" ht="15" customHeight="1" x14ac:dyDescent="0.2">
      <c r="S5425" s="69">
        <f>_xlfn.XLOOKUP(Results!A5425,Geometry!$B$6:$B$10000,Geometry!$C$6:$C$10000)</f>
        <v>0</v>
      </c>
      <c r="T5425" s="69"/>
      <c r="U5425" s="69"/>
    </row>
    <row r="5426" spans="19:21" ht="15" customHeight="1" x14ac:dyDescent="0.2">
      <c r="S5426" s="69">
        <f>_xlfn.XLOOKUP(Results!A5426,Geometry!$B$6:$B$10000,Geometry!$C$6:$C$10000)</f>
        <v>0</v>
      </c>
      <c r="T5426" s="69"/>
      <c r="U5426" s="69"/>
    </row>
    <row r="5427" spans="19:21" ht="15" customHeight="1" x14ac:dyDescent="0.2">
      <c r="S5427" s="69">
        <f>_xlfn.XLOOKUP(Results!A5427,Geometry!$B$6:$B$10000,Geometry!$C$6:$C$10000)</f>
        <v>0</v>
      </c>
      <c r="T5427" s="69"/>
      <c r="U5427" s="69"/>
    </row>
    <row r="5428" spans="19:21" ht="15" customHeight="1" x14ac:dyDescent="0.2">
      <c r="S5428" s="69">
        <f>_xlfn.XLOOKUP(Results!A5428,Geometry!$B$6:$B$10000,Geometry!$C$6:$C$10000)</f>
        <v>0</v>
      </c>
      <c r="T5428" s="69"/>
      <c r="U5428" s="69"/>
    </row>
    <row r="5429" spans="19:21" ht="15" customHeight="1" x14ac:dyDescent="0.2">
      <c r="S5429" s="69">
        <f>_xlfn.XLOOKUP(Results!A5429,Geometry!$B$6:$B$10000,Geometry!$C$6:$C$10000)</f>
        <v>0</v>
      </c>
      <c r="T5429" s="69"/>
      <c r="U5429" s="69"/>
    </row>
    <row r="5430" spans="19:21" ht="15" customHeight="1" x14ac:dyDescent="0.2">
      <c r="S5430" s="69">
        <f>_xlfn.XLOOKUP(Results!A5430,Geometry!$B$6:$B$10000,Geometry!$C$6:$C$10000)</f>
        <v>0</v>
      </c>
      <c r="T5430" s="69"/>
      <c r="U5430" s="69"/>
    </row>
    <row r="5431" spans="19:21" ht="15" customHeight="1" x14ac:dyDescent="0.2">
      <c r="S5431" s="69">
        <f>_xlfn.XLOOKUP(Results!A5431,Geometry!$B$6:$B$10000,Geometry!$C$6:$C$10000)</f>
        <v>0</v>
      </c>
      <c r="T5431" s="69"/>
      <c r="U5431" s="69"/>
    </row>
    <row r="5432" spans="19:21" ht="15" customHeight="1" x14ac:dyDescent="0.2">
      <c r="S5432" s="69">
        <f>_xlfn.XLOOKUP(Results!A5432,Geometry!$B$6:$B$10000,Geometry!$C$6:$C$10000)</f>
        <v>0</v>
      </c>
      <c r="T5432" s="69"/>
      <c r="U5432" s="69"/>
    </row>
    <row r="5433" spans="19:21" ht="15" customHeight="1" x14ac:dyDescent="0.2">
      <c r="S5433" s="69">
        <f>_xlfn.XLOOKUP(Results!A5433,Geometry!$B$6:$B$10000,Geometry!$C$6:$C$10000)</f>
        <v>0</v>
      </c>
      <c r="T5433" s="69"/>
      <c r="U5433" s="69"/>
    </row>
    <row r="5434" spans="19:21" ht="15" customHeight="1" x14ac:dyDescent="0.2">
      <c r="S5434" s="69">
        <f>_xlfn.XLOOKUP(Results!A5434,Geometry!$B$6:$B$10000,Geometry!$C$6:$C$10000)</f>
        <v>0</v>
      </c>
      <c r="T5434" s="69"/>
      <c r="U5434" s="69"/>
    </row>
    <row r="5435" spans="19:21" ht="15" customHeight="1" x14ac:dyDescent="0.2">
      <c r="S5435" s="69">
        <f>_xlfn.XLOOKUP(Results!A5435,Geometry!$B$6:$B$10000,Geometry!$C$6:$C$10000)</f>
        <v>0</v>
      </c>
      <c r="T5435" s="69"/>
      <c r="U5435" s="69"/>
    </row>
    <row r="5436" spans="19:21" ht="15" customHeight="1" x14ac:dyDescent="0.2">
      <c r="S5436" s="69">
        <f>_xlfn.XLOOKUP(Results!A5436,Geometry!$B$6:$B$10000,Geometry!$C$6:$C$10000)</f>
        <v>0</v>
      </c>
      <c r="T5436" s="69"/>
      <c r="U5436" s="69"/>
    </row>
    <row r="5437" spans="19:21" ht="15" customHeight="1" x14ac:dyDescent="0.2">
      <c r="S5437" s="69">
        <f>_xlfn.XLOOKUP(Results!A5437,Geometry!$B$6:$B$10000,Geometry!$C$6:$C$10000)</f>
        <v>0</v>
      </c>
      <c r="T5437" s="69"/>
      <c r="U5437" s="69"/>
    </row>
    <row r="5438" spans="19:21" ht="15" customHeight="1" x14ac:dyDescent="0.2">
      <c r="S5438" s="69">
        <f>_xlfn.XLOOKUP(Results!A5438,Geometry!$B$6:$B$10000,Geometry!$C$6:$C$10000)</f>
        <v>0</v>
      </c>
      <c r="T5438" s="69"/>
      <c r="U5438" s="69"/>
    </row>
    <row r="5439" spans="19:21" ht="15" customHeight="1" x14ac:dyDescent="0.2">
      <c r="S5439" s="69">
        <f>_xlfn.XLOOKUP(Results!A5439,Geometry!$B$6:$B$10000,Geometry!$C$6:$C$10000)</f>
        <v>0</v>
      </c>
      <c r="T5439" s="69"/>
      <c r="U5439" s="69"/>
    </row>
    <row r="5440" spans="19:21" ht="15" customHeight="1" x14ac:dyDescent="0.2">
      <c r="S5440" s="69">
        <f>_xlfn.XLOOKUP(Results!A5440,Geometry!$B$6:$B$10000,Geometry!$C$6:$C$10000)</f>
        <v>0</v>
      </c>
      <c r="T5440" s="69"/>
      <c r="U5440" s="69"/>
    </row>
    <row r="5441" spans="19:21" ht="15" customHeight="1" x14ac:dyDescent="0.2">
      <c r="S5441" s="69">
        <f>_xlfn.XLOOKUP(Results!A5441,Geometry!$B$6:$B$10000,Geometry!$C$6:$C$10000)</f>
        <v>0</v>
      </c>
      <c r="T5441" s="69"/>
      <c r="U5441" s="69"/>
    </row>
    <row r="5442" spans="19:21" ht="15" customHeight="1" x14ac:dyDescent="0.2">
      <c r="S5442" s="69">
        <f>_xlfn.XLOOKUP(Results!A5442,Geometry!$B$6:$B$10000,Geometry!$C$6:$C$10000)</f>
        <v>0</v>
      </c>
      <c r="T5442" s="69"/>
      <c r="U5442" s="69"/>
    </row>
    <row r="5443" spans="19:21" ht="15" customHeight="1" x14ac:dyDescent="0.2">
      <c r="S5443" s="69">
        <f>_xlfn.XLOOKUP(Results!A5443,Geometry!$B$6:$B$10000,Geometry!$C$6:$C$10000)</f>
        <v>0</v>
      </c>
      <c r="T5443" s="69"/>
      <c r="U5443" s="69"/>
    </row>
    <row r="5444" spans="19:21" ht="15" customHeight="1" x14ac:dyDescent="0.2">
      <c r="S5444" s="69">
        <f>_xlfn.XLOOKUP(Results!A5444,Geometry!$B$6:$B$10000,Geometry!$C$6:$C$10000)</f>
        <v>0</v>
      </c>
      <c r="T5444" s="69"/>
      <c r="U5444" s="69"/>
    </row>
    <row r="5445" spans="19:21" ht="15" customHeight="1" x14ac:dyDescent="0.2">
      <c r="S5445" s="69">
        <f>_xlfn.XLOOKUP(Results!A5445,Geometry!$B$6:$B$10000,Geometry!$C$6:$C$10000)</f>
        <v>0</v>
      </c>
      <c r="T5445" s="69"/>
      <c r="U5445" s="69"/>
    </row>
    <row r="5446" spans="19:21" ht="15" customHeight="1" x14ac:dyDescent="0.2">
      <c r="S5446" s="69">
        <f>_xlfn.XLOOKUP(Results!A5446,Geometry!$B$6:$B$10000,Geometry!$C$6:$C$10000)</f>
        <v>0</v>
      </c>
      <c r="T5446" s="69"/>
      <c r="U5446" s="69"/>
    </row>
    <row r="5447" spans="19:21" ht="15" customHeight="1" x14ac:dyDescent="0.2">
      <c r="S5447" s="69">
        <f>_xlfn.XLOOKUP(Results!A5447,Geometry!$B$6:$B$10000,Geometry!$C$6:$C$10000)</f>
        <v>0</v>
      </c>
      <c r="T5447" s="69"/>
      <c r="U5447" s="69"/>
    </row>
    <row r="5448" spans="19:21" ht="15" customHeight="1" x14ac:dyDescent="0.2">
      <c r="S5448" s="69">
        <f>_xlfn.XLOOKUP(Results!A5448,Geometry!$B$6:$B$10000,Geometry!$C$6:$C$10000)</f>
        <v>0</v>
      </c>
      <c r="T5448" s="69"/>
      <c r="U5448" s="69"/>
    </row>
    <row r="5449" spans="19:21" ht="15" customHeight="1" x14ac:dyDescent="0.2">
      <c r="S5449" s="69">
        <f>_xlfn.XLOOKUP(Results!A5449,Geometry!$B$6:$B$10000,Geometry!$C$6:$C$10000)</f>
        <v>0</v>
      </c>
      <c r="T5449" s="69"/>
      <c r="U5449" s="69"/>
    </row>
    <row r="5450" spans="19:21" ht="15" customHeight="1" x14ac:dyDescent="0.2">
      <c r="S5450" s="69">
        <f>_xlfn.XLOOKUP(Results!A5450,Geometry!$B$6:$B$10000,Geometry!$C$6:$C$10000)</f>
        <v>0</v>
      </c>
      <c r="T5450" s="69"/>
      <c r="U5450" s="69"/>
    </row>
    <row r="5451" spans="19:21" ht="15" customHeight="1" x14ac:dyDescent="0.2">
      <c r="S5451" s="69">
        <f>_xlfn.XLOOKUP(Results!A5451,Geometry!$B$6:$B$10000,Geometry!$C$6:$C$10000)</f>
        <v>0</v>
      </c>
      <c r="T5451" s="69"/>
      <c r="U5451" s="69"/>
    </row>
    <row r="5452" spans="19:21" ht="15" customHeight="1" x14ac:dyDescent="0.2">
      <c r="S5452" s="69">
        <f>_xlfn.XLOOKUP(Results!A5452,Geometry!$B$6:$B$10000,Geometry!$C$6:$C$10000)</f>
        <v>0</v>
      </c>
      <c r="T5452" s="69"/>
      <c r="U5452" s="69"/>
    </row>
    <row r="5453" spans="19:21" ht="15" customHeight="1" x14ac:dyDescent="0.2">
      <c r="S5453" s="69">
        <f>_xlfn.XLOOKUP(Results!A5453,Geometry!$B$6:$B$10000,Geometry!$C$6:$C$10000)</f>
        <v>0</v>
      </c>
      <c r="T5453" s="69"/>
      <c r="U5453" s="69"/>
    </row>
    <row r="5454" spans="19:21" ht="15" customHeight="1" x14ac:dyDescent="0.2">
      <c r="S5454" s="69">
        <f>_xlfn.XLOOKUP(Results!A5454,Geometry!$B$6:$B$10000,Geometry!$C$6:$C$10000)</f>
        <v>0</v>
      </c>
      <c r="T5454" s="69"/>
      <c r="U5454" s="69"/>
    </row>
    <row r="5455" spans="19:21" ht="15" customHeight="1" x14ac:dyDescent="0.2">
      <c r="S5455" s="69">
        <f>_xlfn.XLOOKUP(Results!A5455,Geometry!$B$6:$B$10000,Geometry!$C$6:$C$10000)</f>
        <v>0</v>
      </c>
      <c r="T5455" s="69"/>
      <c r="U5455" s="69"/>
    </row>
    <row r="5456" spans="19:21" ht="15" customHeight="1" x14ac:dyDescent="0.2">
      <c r="S5456" s="69">
        <f>_xlfn.XLOOKUP(Results!A5456,Geometry!$B$6:$B$10000,Geometry!$C$6:$C$10000)</f>
        <v>0</v>
      </c>
      <c r="T5456" s="69"/>
      <c r="U5456" s="69"/>
    </row>
    <row r="5457" spans="19:21" ht="15" customHeight="1" x14ac:dyDescent="0.2">
      <c r="S5457" s="69">
        <f>_xlfn.XLOOKUP(Results!A5457,Geometry!$B$6:$B$10000,Geometry!$C$6:$C$10000)</f>
        <v>0</v>
      </c>
      <c r="T5457" s="69"/>
      <c r="U5457" s="69"/>
    </row>
    <row r="5458" spans="19:21" ht="15" customHeight="1" x14ac:dyDescent="0.2">
      <c r="S5458" s="69">
        <f>_xlfn.XLOOKUP(Results!A5458,Geometry!$B$6:$B$10000,Geometry!$C$6:$C$10000)</f>
        <v>0</v>
      </c>
      <c r="T5458" s="69"/>
      <c r="U5458" s="69"/>
    </row>
    <row r="5459" spans="19:21" ht="15" customHeight="1" x14ac:dyDescent="0.2">
      <c r="S5459" s="69">
        <f>_xlfn.XLOOKUP(Results!A5459,Geometry!$B$6:$B$10000,Geometry!$C$6:$C$10000)</f>
        <v>0</v>
      </c>
      <c r="T5459" s="69"/>
      <c r="U5459" s="69"/>
    </row>
    <row r="5460" spans="19:21" ht="15" customHeight="1" x14ac:dyDescent="0.2">
      <c r="S5460" s="69">
        <f>_xlfn.XLOOKUP(Results!A5460,Geometry!$B$6:$B$10000,Geometry!$C$6:$C$10000)</f>
        <v>0</v>
      </c>
      <c r="T5460" s="69"/>
      <c r="U5460" s="69"/>
    </row>
    <row r="5461" spans="19:21" ht="15" customHeight="1" x14ac:dyDescent="0.2">
      <c r="S5461" s="69">
        <f>_xlfn.XLOOKUP(Results!A5461,Geometry!$B$6:$B$10000,Geometry!$C$6:$C$10000)</f>
        <v>0</v>
      </c>
      <c r="T5461" s="69"/>
      <c r="U5461" s="69"/>
    </row>
    <row r="5462" spans="19:21" ht="15" customHeight="1" x14ac:dyDescent="0.2">
      <c r="S5462" s="69">
        <f>_xlfn.XLOOKUP(Results!A5462,Geometry!$B$6:$B$10000,Geometry!$C$6:$C$10000)</f>
        <v>0</v>
      </c>
      <c r="T5462" s="69"/>
      <c r="U5462" s="69"/>
    </row>
    <row r="5463" spans="19:21" ht="15" customHeight="1" x14ac:dyDescent="0.2">
      <c r="S5463" s="69">
        <f>_xlfn.XLOOKUP(Results!A5463,Geometry!$B$6:$B$10000,Geometry!$C$6:$C$10000)</f>
        <v>0</v>
      </c>
      <c r="T5463" s="69"/>
      <c r="U5463" s="69"/>
    </row>
    <row r="5464" spans="19:21" ht="15" customHeight="1" x14ac:dyDescent="0.2">
      <c r="S5464" s="69">
        <f>_xlfn.XLOOKUP(Results!A5464,Geometry!$B$6:$B$10000,Geometry!$C$6:$C$10000)</f>
        <v>0</v>
      </c>
      <c r="T5464" s="69"/>
      <c r="U5464" s="69"/>
    </row>
    <row r="5465" spans="19:21" ht="15" customHeight="1" x14ac:dyDescent="0.2">
      <c r="S5465" s="69">
        <f>_xlfn.XLOOKUP(Results!A5465,Geometry!$B$6:$B$10000,Geometry!$C$6:$C$10000)</f>
        <v>0</v>
      </c>
      <c r="T5465" s="69"/>
      <c r="U5465" s="69"/>
    </row>
    <row r="5466" spans="19:21" ht="15" customHeight="1" x14ac:dyDescent="0.2">
      <c r="S5466" s="69">
        <f>_xlfn.XLOOKUP(Results!A5466,Geometry!$B$6:$B$10000,Geometry!$C$6:$C$10000)</f>
        <v>0</v>
      </c>
      <c r="T5466" s="69"/>
      <c r="U5466" s="69"/>
    </row>
    <row r="5467" spans="19:21" ht="15" customHeight="1" x14ac:dyDescent="0.2">
      <c r="S5467" s="69">
        <f>_xlfn.XLOOKUP(Results!A5467,Geometry!$B$6:$B$10000,Geometry!$C$6:$C$10000)</f>
        <v>0</v>
      </c>
      <c r="T5467" s="69"/>
      <c r="U5467" s="69"/>
    </row>
    <row r="5468" spans="19:21" ht="15" customHeight="1" x14ac:dyDescent="0.2">
      <c r="S5468" s="69">
        <f>_xlfn.XLOOKUP(Results!A5468,Geometry!$B$6:$B$10000,Geometry!$C$6:$C$10000)</f>
        <v>0</v>
      </c>
      <c r="T5468" s="69"/>
      <c r="U5468" s="69"/>
    </row>
    <row r="5469" spans="19:21" ht="15" customHeight="1" x14ac:dyDescent="0.2">
      <c r="S5469" s="69">
        <f>_xlfn.XLOOKUP(Results!A5469,Geometry!$B$6:$B$10000,Geometry!$C$6:$C$10000)</f>
        <v>0</v>
      </c>
      <c r="T5469" s="69"/>
      <c r="U5469" s="69"/>
    </row>
    <row r="5470" spans="19:21" ht="15" customHeight="1" x14ac:dyDescent="0.2">
      <c r="S5470" s="69">
        <f>_xlfn.XLOOKUP(Results!A5470,Geometry!$B$6:$B$10000,Geometry!$C$6:$C$10000)</f>
        <v>0</v>
      </c>
      <c r="T5470" s="69"/>
      <c r="U5470" s="69"/>
    </row>
    <row r="5471" spans="19:21" ht="15" customHeight="1" x14ac:dyDescent="0.2">
      <c r="S5471" s="69">
        <f>_xlfn.XLOOKUP(Results!A5471,Geometry!$B$6:$B$10000,Geometry!$C$6:$C$10000)</f>
        <v>0</v>
      </c>
      <c r="T5471" s="69"/>
      <c r="U5471" s="69"/>
    </row>
    <row r="5472" spans="19:21" ht="15" customHeight="1" x14ac:dyDescent="0.2">
      <c r="S5472" s="69">
        <f>_xlfn.XLOOKUP(Results!A5472,Geometry!$B$6:$B$10000,Geometry!$C$6:$C$10000)</f>
        <v>0</v>
      </c>
      <c r="T5472" s="69"/>
      <c r="U5472" s="69"/>
    </row>
    <row r="5473" spans="19:21" ht="15" customHeight="1" x14ac:dyDescent="0.2">
      <c r="S5473" s="69">
        <f>_xlfn.XLOOKUP(Results!A5473,Geometry!$B$6:$B$10000,Geometry!$C$6:$C$10000)</f>
        <v>0</v>
      </c>
      <c r="T5473" s="69"/>
      <c r="U5473" s="69"/>
    </row>
    <row r="5474" spans="19:21" ht="15" customHeight="1" x14ac:dyDescent="0.2">
      <c r="S5474" s="69">
        <f>_xlfn.XLOOKUP(Results!A5474,Geometry!$B$6:$B$10000,Geometry!$C$6:$C$10000)</f>
        <v>0</v>
      </c>
      <c r="T5474" s="69"/>
      <c r="U5474" s="69"/>
    </row>
    <row r="5475" spans="19:21" ht="15" customHeight="1" x14ac:dyDescent="0.2">
      <c r="S5475" s="69">
        <f>_xlfn.XLOOKUP(Results!A5475,Geometry!$B$6:$B$10000,Geometry!$C$6:$C$10000)</f>
        <v>0</v>
      </c>
      <c r="T5475" s="69"/>
      <c r="U5475" s="69"/>
    </row>
    <row r="5476" spans="19:21" ht="15" customHeight="1" x14ac:dyDescent="0.2">
      <c r="S5476" s="69">
        <f>_xlfn.XLOOKUP(Results!A5476,Geometry!$B$6:$B$10000,Geometry!$C$6:$C$10000)</f>
        <v>0</v>
      </c>
      <c r="T5476" s="69"/>
      <c r="U5476" s="69"/>
    </row>
    <row r="5477" spans="19:21" ht="15" customHeight="1" x14ac:dyDescent="0.2">
      <c r="S5477" s="69">
        <f>_xlfn.XLOOKUP(Results!A5477,Geometry!$B$6:$B$10000,Geometry!$C$6:$C$10000)</f>
        <v>0</v>
      </c>
      <c r="T5477" s="69"/>
      <c r="U5477" s="69"/>
    </row>
    <row r="5478" spans="19:21" ht="15" customHeight="1" x14ac:dyDescent="0.2">
      <c r="S5478" s="69">
        <f>_xlfn.XLOOKUP(Results!A5478,Geometry!$B$6:$B$10000,Geometry!$C$6:$C$10000)</f>
        <v>0</v>
      </c>
      <c r="T5478" s="69"/>
      <c r="U5478" s="69"/>
    </row>
    <row r="5479" spans="19:21" ht="15" customHeight="1" x14ac:dyDescent="0.2">
      <c r="S5479" s="69">
        <f>_xlfn.XLOOKUP(Results!A5479,Geometry!$B$6:$B$10000,Geometry!$C$6:$C$10000)</f>
        <v>0</v>
      </c>
      <c r="T5479" s="69"/>
      <c r="U5479" s="69"/>
    </row>
    <row r="5480" spans="19:21" ht="15" customHeight="1" x14ac:dyDescent="0.2">
      <c r="S5480" s="69">
        <f>_xlfn.XLOOKUP(Results!A5480,Geometry!$B$6:$B$10000,Geometry!$C$6:$C$10000)</f>
        <v>0</v>
      </c>
      <c r="T5480" s="69"/>
      <c r="U5480" s="69"/>
    </row>
    <row r="5481" spans="19:21" ht="15" customHeight="1" x14ac:dyDescent="0.2">
      <c r="S5481" s="69">
        <f>_xlfn.XLOOKUP(Results!A5481,Geometry!$B$6:$B$10000,Geometry!$C$6:$C$10000)</f>
        <v>0</v>
      </c>
      <c r="T5481" s="69"/>
      <c r="U5481" s="69"/>
    </row>
    <row r="5482" spans="19:21" ht="15" customHeight="1" x14ac:dyDescent="0.2">
      <c r="S5482" s="69">
        <f>_xlfn.XLOOKUP(Results!A5482,Geometry!$B$6:$B$10000,Geometry!$C$6:$C$10000)</f>
        <v>0</v>
      </c>
      <c r="T5482" s="69"/>
      <c r="U5482" s="69"/>
    </row>
    <row r="5483" spans="19:21" ht="15" customHeight="1" x14ac:dyDescent="0.2">
      <c r="S5483" s="69">
        <f>_xlfn.XLOOKUP(Results!A5483,Geometry!$B$6:$B$10000,Geometry!$C$6:$C$10000)</f>
        <v>0</v>
      </c>
      <c r="T5483" s="69"/>
      <c r="U5483" s="69"/>
    </row>
    <row r="5484" spans="19:21" ht="15" customHeight="1" x14ac:dyDescent="0.2">
      <c r="S5484" s="69">
        <f>_xlfn.XLOOKUP(Results!A5484,Geometry!$B$6:$B$10000,Geometry!$C$6:$C$10000)</f>
        <v>0</v>
      </c>
      <c r="T5484" s="69"/>
      <c r="U5484" s="69"/>
    </row>
    <row r="5485" spans="19:21" ht="15" customHeight="1" x14ac:dyDescent="0.2">
      <c r="S5485" s="69">
        <f>_xlfn.XLOOKUP(Results!A5485,Geometry!$B$6:$B$10000,Geometry!$C$6:$C$10000)</f>
        <v>0</v>
      </c>
      <c r="T5485" s="69"/>
      <c r="U5485" s="69"/>
    </row>
    <row r="5486" spans="19:21" ht="15" customHeight="1" x14ac:dyDescent="0.2">
      <c r="S5486" s="69">
        <f>_xlfn.XLOOKUP(Results!A5486,Geometry!$B$6:$B$10000,Geometry!$C$6:$C$10000)</f>
        <v>0</v>
      </c>
      <c r="T5486" s="69"/>
      <c r="U5486" s="69"/>
    </row>
    <row r="5487" spans="19:21" ht="15" customHeight="1" x14ac:dyDescent="0.2">
      <c r="S5487" s="69">
        <f>_xlfn.XLOOKUP(Results!A5487,Geometry!$B$6:$B$10000,Geometry!$C$6:$C$10000)</f>
        <v>0</v>
      </c>
      <c r="T5487" s="69"/>
      <c r="U5487" s="69"/>
    </row>
    <row r="5488" spans="19:21" ht="15" customHeight="1" x14ac:dyDescent="0.2">
      <c r="S5488" s="69">
        <f>_xlfn.XLOOKUP(Results!A5488,Geometry!$B$6:$B$10000,Geometry!$C$6:$C$10000)</f>
        <v>0</v>
      </c>
      <c r="T5488" s="69"/>
      <c r="U5488" s="69"/>
    </row>
    <row r="5489" spans="19:21" ht="15" customHeight="1" x14ac:dyDescent="0.2">
      <c r="S5489" s="69">
        <f>_xlfn.XLOOKUP(Results!A5489,Geometry!$B$6:$B$10000,Geometry!$C$6:$C$10000)</f>
        <v>0</v>
      </c>
      <c r="T5489" s="69"/>
      <c r="U5489" s="69"/>
    </row>
    <row r="5490" spans="19:21" ht="15" customHeight="1" x14ac:dyDescent="0.2">
      <c r="S5490" s="69">
        <f>_xlfn.XLOOKUP(Results!A5490,Geometry!$B$6:$B$10000,Geometry!$C$6:$C$10000)</f>
        <v>0</v>
      </c>
      <c r="T5490" s="69"/>
      <c r="U5490" s="69"/>
    </row>
    <row r="5491" spans="19:21" ht="15" customHeight="1" x14ac:dyDescent="0.2">
      <c r="S5491" s="69">
        <f>_xlfn.XLOOKUP(Results!A5491,Geometry!$B$6:$B$10000,Geometry!$C$6:$C$10000)</f>
        <v>0</v>
      </c>
      <c r="T5491" s="69"/>
      <c r="U5491" s="69"/>
    </row>
    <row r="5492" spans="19:21" ht="15" customHeight="1" x14ac:dyDescent="0.2">
      <c r="S5492" s="69">
        <f>_xlfn.XLOOKUP(Results!A5492,Geometry!$B$6:$B$10000,Geometry!$C$6:$C$10000)</f>
        <v>0</v>
      </c>
      <c r="T5492" s="69"/>
      <c r="U5492" s="69"/>
    </row>
    <row r="5493" spans="19:21" ht="15" customHeight="1" x14ac:dyDescent="0.2">
      <c r="S5493" s="69">
        <f>_xlfn.XLOOKUP(Results!A5493,Geometry!$B$6:$B$10000,Geometry!$C$6:$C$10000)</f>
        <v>0</v>
      </c>
      <c r="T5493" s="69"/>
      <c r="U5493" s="69"/>
    </row>
    <row r="5494" spans="19:21" ht="15" customHeight="1" x14ac:dyDescent="0.2">
      <c r="S5494" s="69">
        <f>_xlfn.XLOOKUP(Results!A5494,Geometry!$B$6:$B$10000,Geometry!$C$6:$C$10000)</f>
        <v>0</v>
      </c>
      <c r="T5494" s="69"/>
      <c r="U5494" s="69"/>
    </row>
    <row r="5495" spans="19:21" ht="15" customHeight="1" x14ac:dyDescent="0.2">
      <c r="S5495" s="69">
        <f>_xlfn.XLOOKUP(Results!A5495,Geometry!$B$6:$B$10000,Geometry!$C$6:$C$10000)</f>
        <v>0</v>
      </c>
      <c r="T5495" s="69"/>
      <c r="U5495" s="69"/>
    </row>
    <row r="5496" spans="19:21" ht="15" customHeight="1" x14ac:dyDescent="0.2">
      <c r="S5496" s="69">
        <f>_xlfn.XLOOKUP(Results!A5496,Geometry!$B$6:$B$10000,Geometry!$C$6:$C$10000)</f>
        <v>0</v>
      </c>
      <c r="T5496" s="69"/>
      <c r="U5496" s="69"/>
    </row>
    <row r="5497" spans="19:21" ht="15" customHeight="1" x14ac:dyDescent="0.2">
      <c r="S5497" s="69">
        <f>_xlfn.XLOOKUP(Results!A5497,Geometry!$B$6:$B$10000,Geometry!$C$6:$C$10000)</f>
        <v>0</v>
      </c>
      <c r="T5497" s="69"/>
      <c r="U5497" s="69"/>
    </row>
    <row r="5498" spans="19:21" ht="15" customHeight="1" x14ac:dyDescent="0.2">
      <c r="S5498" s="69">
        <f>_xlfn.XLOOKUP(Results!A5498,Geometry!$B$6:$B$10000,Geometry!$C$6:$C$10000)</f>
        <v>0</v>
      </c>
      <c r="T5498" s="69"/>
      <c r="U5498" s="69"/>
    </row>
    <row r="5499" spans="19:21" ht="15" customHeight="1" x14ac:dyDescent="0.2">
      <c r="S5499" s="69">
        <f>_xlfn.XLOOKUP(Results!A5499,Geometry!$B$6:$B$10000,Geometry!$C$6:$C$10000)</f>
        <v>0</v>
      </c>
      <c r="T5499" s="69"/>
      <c r="U5499" s="69"/>
    </row>
    <row r="5500" spans="19:21" ht="15" customHeight="1" x14ac:dyDescent="0.2">
      <c r="S5500" s="69">
        <f>_xlfn.XLOOKUP(Results!A5500,Geometry!$B$6:$B$10000,Geometry!$C$6:$C$10000)</f>
        <v>0</v>
      </c>
      <c r="T5500" s="69"/>
      <c r="U5500" s="69"/>
    </row>
    <row r="5501" spans="19:21" ht="15" customHeight="1" x14ac:dyDescent="0.2">
      <c r="S5501" s="69">
        <f>_xlfn.XLOOKUP(Results!A5501,Geometry!$B$6:$B$10000,Geometry!$C$6:$C$10000)</f>
        <v>0</v>
      </c>
      <c r="T5501" s="69"/>
      <c r="U5501" s="69"/>
    </row>
    <row r="5502" spans="19:21" ht="15" customHeight="1" x14ac:dyDescent="0.2">
      <c r="S5502" s="69">
        <f>_xlfn.XLOOKUP(Results!A5502,Geometry!$B$6:$B$10000,Geometry!$C$6:$C$10000)</f>
        <v>0</v>
      </c>
      <c r="T5502" s="69"/>
      <c r="U5502" s="69"/>
    </row>
    <row r="5503" spans="19:21" ht="15" customHeight="1" x14ac:dyDescent="0.2">
      <c r="S5503" s="69">
        <f>_xlfn.XLOOKUP(Results!A5503,Geometry!$B$6:$B$10000,Geometry!$C$6:$C$10000)</f>
        <v>0</v>
      </c>
      <c r="T5503" s="69"/>
      <c r="U5503" s="69"/>
    </row>
    <row r="5504" spans="19:21" ht="15" customHeight="1" x14ac:dyDescent="0.2">
      <c r="S5504" s="69">
        <f>_xlfn.XLOOKUP(Results!A5504,Geometry!$B$6:$B$10000,Geometry!$C$6:$C$10000)</f>
        <v>0</v>
      </c>
      <c r="T5504" s="69"/>
      <c r="U5504" s="69"/>
    </row>
    <row r="5505" spans="19:21" ht="15" customHeight="1" x14ac:dyDescent="0.2">
      <c r="S5505" s="69">
        <f>_xlfn.XLOOKUP(Results!A5505,Geometry!$B$6:$B$10000,Geometry!$C$6:$C$10000)</f>
        <v>0</v>
      </c>
      <c r="T5505" s="69"/>
      <c r="U5505" s="69"/>
    </row>
    <row r="5506" spans="19:21" ht="15" customHeight="1" x14ac:dyDescent="0.2">
      <c r="S5506" s="69">
        <f>_xlfn.XLOOKUP(Results!A5506,Geometry!$B$6:$B$10000,Geometry!$C$6:$C$10000)</f>
        <v>0</v>
      </c>
      <c r="T5506" s="69"/>
      <c r="U5506" s="69"/>
    </row>
    <row r="5507" spans="19:21" ht="15" customHeight="1" x14ac:dyDescent="0.2">
      <c r="S5507" s="69">
        <f>_xlfn.XLOOKUP(Results!A5507,Geometry!$B$6:$B$10000,Geometry!$C$6:$C$10000)</f>
        <v>0</v>
      </c>
      <c r="T5507" s="69"/>
      <c r="U5507" s="69"/>
    </row>
    <row r="5508" spans="19:21" ht="15" customHeight="1" x14ac:dyDescent="0.2">
      <c r="S5508" s="69">
        <f>_xlfn.XLOOKUP(Results!A5508,Geometry!$B$6:$B$10000,Geometry!$C$6:$C$10000)</f>
        <v>0</v>
      </c>
      <c r="T5508" s="69"/>
      <c r="U5508" s="69"/>
    </row>
    <row r="5509" spans="19:21" ht="15" customHeight="1" x14ac:dyDescent="0.2">
      <c r="S5509" s="69">
        <f>_xlfn.XLOOKUP(Results!A5509,Geometry!$B$6:$B$10000,Geometry!$C$6:$C$10000)</f>
        <v>0</v>
      </c>
      <c r="T5509" s="69"/>
      <c r="U5509" s="69"/>
    </row>
    <row r="5510" spans="19:21" ht="15" customHeight="1" x14ac:dyDescent="0.2">
      <c r="S5510" s="69">
        <f>_xlfn.XLOOKUP(Results!A5510,Geometry!$B$6:$B$10000,Geometry!$C$6:$C$10000)</f>
        <v>0</v>
      </c>
      <c r="T5510" s="69"/>
      <c r="U5510" s="69"/>
    </row>
    <row r="5511" spans="19:21" ht="15" customHeight="1" x14ac:dyDescent="0.2">
      <c r="S5511" s="69">
        <f>_xlfn.XLOOKUP(Results!A5511,Geometry!$B$6:$B$10000,Geometry!$C$6:$C$10000)</f>
        <v>0</v>
      </c>
      <c r="T5511" s="69"/>
      <c r="U5511" s="69"/>
    </row>
    <row r="5512" spans="19:21" ht="15" customHeight="1" x14ac:dyDescent="0.2">
      <c r="S5512" s="69">
        <f>_xlfn.XLOOKUP(Results!A5512,Geometry!$B$6:$B$10000,Geometry!$C$6:$C$10000)</f>
        <v>0</v>
      </c>
      <c r="T5512" s="69"/>
      <c r="U5512" s="69"/>
    </row>
    <row r="5513" spans="19:21" ht="15" customHeight="1" x14ac:dyDescent="0.2">
      <c r="S5513" s="69">
        <f>_xlfn.XLOOKUP(Results!A5513,Geometry!$B$6:$B$10000,Geometry!$C$6:$C$10000)</f>
        <v>0</v>
      </c>
      <c r="T5513" s="69"/>
      <c r="U5513" s="69"/>
    </row>
    <row r="5514" spans="19:21" ht="15" customHeight="1" x14ac:dyDescent="0.2">
      <c r="S5514" s="69">
        <f>_xlfn.XLOOKUP(Results!A5514,Geometry!$B$6:$B$10000,Geometry!$C$6:$C$10000)</f>
        <v>0</v>
      </c>
      <c r="T5514" s="69"/>
      <c r="U5514" s="69"/>
    </row>
    <row r="5515" spans="19:21" ht="15" customHeight="1" x14ac:dyDescent="0.2">
      <c r="S5515" s="69">
        <f>_xlfn.XLOOKUP(Results!A5515,Geometry!$B$6:$B$10000,Geometry!$C$6:$C$10000)</f>
        <v>0</v>
      </c>
      <c r="T5515" s="69"/>
      <c r="U5515" s="69"/>
    </row>
    <row r="5516" spans="19:21" ht="15" customHeight="1" x14ac:dyDescent="0.2">
      <c r="S5516" s="69">
        <f>_xlfn.XLOOKUP(Results!A5516,Geometry!$B$6:$B$10000,Geometry!$C$6:$C$10000)</f>
        <v>0</v>
      </c>
      <c r="T5516" s="69"/>
      <c r="U5516" s="69"/>
    </row>
    <row r="5517" spans="19:21" ht="15" customHeight="1" x14ac:dyDescent="0.2">
      <c r="S5517" s="69">
        <f>_xlfn.XLOOKUP(Results!A5517,Geometry!$B$6:$B$10000,Geometry!$C$6:$C$10000)</f>
        <v>0</v>
      </c>
      <c r="T5517" s="69"/>
      <c r="U5517" s="69"/>
    </row>
    <row r="5518" spans="19:21" ht="15" customHeight="1" x14ac:dyDescent="0.2">
      <c r="S5518" s="69">
        <f>_xlfn.XLOOKUP(Results!A5518,Geometry!$B$6:$B$10000,Geometry!$C$6:$C$10000)</f>
        <v>0</v>
      </c>
      <c r="T5518" s="69"/>
      <c r="U5518" s="69"/>
    </row>
    <row r="5519" spans="19:21" ht="15" customHeight="1" x14ac:dyDescent="0.2">
      <c r="S5519" s="69">
        <f>_xlfn.XLOOKUP(Results!A5519,Geometry!$B$6:$B$10000,Geometry!$C$6:$C$10000)</f>
        <v>0</v>
      </c>
      <c r="T5519" s="69"/>
      <c r="U5519" s="69"/>
    </row>
    <row r="5520" spans="19:21" ht="15" customHeight="1" x14ac:dyDescent="0.2">
      <c r="S5520" s="69">
        <f>_xlfn.XLOOKUP(Results!A5520,Geometry!$B$6:$B$10000,Geometry!$C$6:$C$10000)</f>
        <v>0</v>
      </c>
      <c r="T5520" s="69"/>
      <c r="U5520" s="69"/>
    </row>
    <row r="5521" spans="19:21" ht="15" customHeight="1" x14ac:dyDescent="0.2">
      <c r="S5521" s="69">
        <f>_xlfn.XLOOKUP(Results!A5521,Geometry!$B$6:$B$10000,Geometry!$C$6:$C$10000)</f>
        <v>0</v>
      </c>
      <c r="T5521" s="69"/>
      <c r="U5521" s="69"/>
    </row>
    <row r="5522" spans="19:21" ht="15" customHeight="1" x14ac:dyDescent="0.2">
      <c r="S5522" s="69">
        <f>_xlfn.XLOOKUP(Results!A5522,Geometry!$B$6:$B$10000,Geometry!$C$6:$C$10000)</f>
        <v>0</v>
      </c>
      <c r="T5522" s="69"/>
      <c r="U5522" s="69"/>
    </row>
    <row r="5523" spans="19:21" ht="15" customHeight="1" x14ac:dyDescent="0.2">
      <c r="S5523" s="69">
        <f>_xlfn.XLOOKUP(Results!A5523,Geometry!$B$6:$B$10000,Geometry!$C$6:$C$10000)</f>
        <v>0</v>
      </c>
      <c r="T5523" s="69"/>
      <c r="U5523" s="69"/>
    </row>
    <row r="5524" spans="19:21" ht="15" customHeight="1" x14ac:dyDescent="0.2">
      <c r="S5524" s="69">
        <f>_xlfn.XLOOKUP(Results!A5524,Geometry!$B$6:$B$10000,Geometry!$C$6:$C$10000)</f>
        <v>0</v>
      </c>
      <c r="T5524" s="69"/>
      <c r="U5524" s="69"/>
    </row>
    <row r="5525" spans="19:21" ht="15" customHeight="1" x14ac:dyDescent="0.2">
      <c r="S5525" s="69">
        <f>_xlfn.XLOOKUP(Results!A5525,Geometry!$B$6:$B$10000,Geometry!$C$6:$C$10000)</f>
        <v>0</v>
      </c>
      <c r="T5525" s="69"/>
      <c r="U5525" s="69"/>
    </row>
    <row r="5526" spans="19:21" ht="15" customHeight="1" x14ac:dyDescent="0.2">
      <c r="S5526" s="69">
        <f>_xlfn.XLOOKUP(Results!A5526,Geometry!$B$6:$B$10000,Geometry!$C$6:$C$10000)</f>
        <v>0</v>
      </c>
      <c r="T5526" s="69"/>
      <c r="U5526" s="69"/>
    </row>
    <row r="5527" spans="19:21" ht="15" customHeight="1" x14ac:dyDescent="0.2">
      <c r="S5527" s="69">
        <f>_xlfn.XLOOKUP(Results!A5527,Geometry!$B$6:$B$10000,Geometry!$C$6:$C$10000)</f>
        <v>0</v>
      </c>
      <c r="T5527" s="69"/>
      <c r="U5527" s="69"/>
    </row>
    <row r="5528" spans="19:21" ht="15" customHeight="1" x14ac:dyDescent="0.2">
      <c r="S5528" s="69">
        <f>_xlfn.XLOOKUP(Results!A5528,Geometry!$B$6:$B$10000,Geometry!$C$6:$C$10000)</f>
        <v>0</v>
      </c>
      <c r="T5528" s="69"/>
      <c r="U5528" s="69"/>
    </row>
    <row r="5529" spans="19:21" ht="15" customHeight="1" x14ac:dyDescent="0.2">
      <c r="S5529" s="69">
        <f>_xlfn.XLOOKUP(Results!A5529,Geometry!$B$6:$B$10000,Geometry!$C$6:$C$10000)</f>
        <v>0</v>
      </c>
      <c r="T5529" s="69"/>
      <c r="U5529" s="69"/>
    </row>
    <row r="5530" spans="19:21" ht="15" customHeight="1" x14ac:dyDescent="0.2">
      <c r="S5530" s="69">
        <f>_xlfn.XLOOKUP(Results!A5530,Geometry!$B$6:$B$10000,Geometry!$C$6:$C$10000)</f>
        <v>0</v>
      </c>
      <c r="T5530" s="69"/>
      <c r="U5530" s="69"/>
    </row>
    <row r="5531" spans="19:21" ht="15" customHeight="1" x14ac:dyDescent="0.2">
      <c r="S5531" s="69">
        <f>_xlfn.XLOOKUP(Results!A5531,Geometry!$B$6:$B$10000,Geometry!$C$6:$C$10000)</f>
        <v>0</v>
      </c>
      <c r="T5531" s="69"/>
      <c r="U5531" s="69"/>
    </row>
    <row r="5532" spans="19:21" ht="15" customHeight="1" x14ac:dyDescent="0.2">
      <c r="S5532" s="69">
        <f>_xlfn.XLOOKUP(Results!A5532,Geometry!$B$6:$B$10000,Geometry!$C$6:$C$10000)</f>
        <v>0</v>
      </c>
      <c r="T5532" s="69"/>
      <c r="U5532" s="69"/>
    </row>
    <row r="5533" spans="19:21" ht="15" customHeight="1" x14ac:dyDescent="0.2">
      <c r="S5533" s="69">
        <f>_xlfn.XLOOKUP(Results!A5533,Geometry!$B$6:$B$10000,Geometry!$C$6:$C$10000)</f>
        <v>0</v>
      </c>
      <c r="T5533" s="69"/>
      <c r="U5533" s="69"/>
    </row>
    <row r="5534" spans="19:21" ht="15" customHeight="1" x14ac:dyDescent="0.2">
      <c r="S5534" s="69">
        <f>_xlfn.XLOOKUP(Results!A5534,Geometry!$B$6:$B$10000,Geometry!$C$6:$C$10000)</f>
        <v>0</v>
      </c>
      <c r="T5534" s="69"/>
      <c r="U5534" s="69"/>
    </row>
    <row r="5535" spans="19:21" ht="15" customHeight="1" x14ac:dyDescent="0.2">
      <c r="S5535" s="69">
        <f>_xlfn.XLOOKUP(Results!A5535,Geometry!$B$6:$B$10000,Geometry!$C$6:$C$10000)</f>
        <v>0</v>
      </c>
      <c r="T5535" s="69"/>
      <c r="U5535" s="69"/>
    </row>
    <row r="5536" spans="19:21" ht="15" customHeight="1" x14ac:dyDescent="0.2">
      <c r="S5536" s="69">
        <f>_xlfn.XLOOKUP(Results!A5536,Geometry!$B$6:$B$10000,Geometry!$C$6:$C$10000)</f>
        <v>0</v>
      </c>
      <c r="T5536" s="69"/>
      <c r="U5536" s="69"/>
    </row>
    <row r="5537" spans="19:21" ht="15" customHeight="1" x14ac:dyDescent="0.2">
      <c r="S5537" s="69">
        <f>_xlfn.XLOOKUP(Results!A5537,Geometry!$B$6:$B$10000,Geometry!$C$6:$C$10000)</f>
        <v>0</v>
      </c>
      <c r="T5537" s="69"/>
      <c r="U5537" s="69"/>
    </row>
    <row r="5538" spans="19:21" ht="15" customHeight="1" x14ac:dyDescent="0.2">
      <c r="S5538" s="69">
        <f>_xlfn.XLOOKUP(Results!A5538,Geometry!$B$6:$B$10000,Geometry!$C$6:$C$10000)</f>
        <v>0</v>
      </c>
      <c r="T5538" s="69"/>
      <c r="U5538" s="69"/>
    </row>
    <row r="5539" spans="19:21" ht="15" customHeight="1" x14ac:dyDescent="0.2">
      <c r="S5539" s="69">
        <f>_xlfn.XLOOKUP(Results!A5539,Geometry!$B$6:$B$10000,Geometry!$C$6:$C$10000)</f>
        <v>0</v>
      </c>
      <c r="T5539" s="69"/>
      <c r="U5539" s="69"/>
    </row>
    <row r="5540" spans="19:21" ht="15" customHeight="1" x14ac:dyDescent="0.2">
      <c r="S5540" s="69">
        <f>_xlfn.XLOOKUP(Results!A5540,Geometry!$B$6:$B$10000,Geometry!$C$6:$C$10000)</f>
        <v>0</v>
      </c>
      <c r="T5540" s="69"/>
      <c r="U5540" s="69"/>
    </row>
    <row r="5541" spans="19:21" ht="15" customHeight="1" x14ac:dyDescent="0.2">
      <c r="S5541" s="69">
        <f>_xlfn.XLOOKUP(Results!A5541,Geometry!$B$6:$B$10000,Geometry!$C$6:$C$10000)</f>
        <v>0</v>
      </c>
      <c r="T5541" s="69"/>
      <c r="U5541" s="69"/>
    </row>
    <row r="5542" spans="19:21" ht="15" customHeight="1" x14ac:dyDescent="0.2">
      <c r="S5542" s="69">
        <f>_xlfn.XLOOKUP(Results!A5542,Geometry!$B$6:$B$10000,Geometry!$C$6:$C$10000)</f>
        <v>0</v>
      </c>
      <c r="T5542" s="69"/>
      <c r="U5542" s="69"/>
    </row>
    <row r="5543" spans="19:21" ht="15" customHeight="1" x14ac:dyDescent="0.2">
      <c r="S5543" s="69">
        <f>_xlfn.XLOOKUP(Results!A5543,Geometry!$B$6:$B$10000,Geometry!$C$6:$C$10000)</f>
        <v>0</v>
      </c>
      <c r="T5543" s="69"/>
      <c r="U5543" s="69"/>
    </row>
    <row r="5544" spans="19:21" ht="15" customHeight="1" x14ac:dyDescent="0.2">
      <c r="S5544" s="69">
        <f>_xlfn.XLOOKUP(Results!A5544,Geometry!$B$6:$B$10000,Geometry!$C$6:$C$10000)</f>
        <v>0</v>
      </c>
      <c r="T5544" s="69"/>
      <c r="U5544" s="69"/>
    </row>
    <row r="5545" spans="19:21" ht="15" customHeight="1" x14ac:dyDescent="0.2">
      <c r="S5545" s="69">
        <f>_xlfn.XLOOKUP(Results!A5545,Geometry!$B$6:$B$10000,Geometry!$C$6:$C$10000)</f>
        <v>0</v>
      </c>
      <c r="T5545" s="69"/>
      <c r="U5545" s="69"/>
    </row>
    <row r="5546" spans="19:21" ht="15" customHeight="1" x14ac:dyDescent="0.2">
      <c r="S5546" s="69">
        <f>_xlfn.XLOOKUP(Results!A5546,Geometry!$B$6:$B$10000,Geometry!$C$6:$C$10000)</f>
        <v>0</v>
      </c>
      <c r="T5546" s="69"/>
      <c r="U5546" s="69"/>
    </row>
    <row r="5547" spans="19:21" ht="15" customHeight="1" x14ac:dyDescent="0.2">
      <c r="S5547" s="69">
        <f>_xlfn.XLOOKUP(Results!A5547,Geometry!$B$6:$B$10000,Geometry!$C$6:$C$10000)</f>
        <v>0</v>
      </c>
      <c r="T5547" s="69"/>
      <c r="U5547" s="69"/>
    </row>
    <row r="5548" spans="19:21" ht="15" customHeight="1" x14ac:dyDescent="0.2">
      <c r="S5548" s="69">
        <f>_xlfn.XLOOKUP(Results!A5548,Geometry!$B$6:$B$10000,Geometry!$C$6:$C$10000)</f>
        <v>0</v>
      </c>
      <c r="T5548" s="69"/>
      <c r="U5548" s="69"/>
    </row>
    <row r="5549" spans="19:21" ht="15" customHeight="1" x14ac:dyDescent="0.2">
      <c r="S5549" s="69">
        <f>_xlfn.XLOOKUP(Results!A5549,Geometry!$B$6:$B$10000,Geometry!$C$6:$C$10000)</f>
        <v>0</v>
      </c>
      <c r="T5549" s="69"/>
      <c r="U5549" s="69"/>
    </row>
    <row r="5550" spans="19:21" ht="15" customHeight="1" x14ac:dyDescent="0.2">
      <c r="S5550" s="69">
        <f>_xlfn.XLOOKUP(Results!A5550,Geometry!$B$6:$B$10000,Geometry!$C$6:$C$10000)</f>
        <v>0</v>
      </c>
      <c r="T5550" s="69"/>
      <c r="U5550" s="69"/>
    </row>
    <row r="5551" spans="19:21" ht="15" customHeight="1" x14ac:dyDescent="0.2">
      <c r="S5551" s="69">
        <f>_xlfn.XLOOKUP(Results!A5551,Geometry!$B$6:$B$10000,Geometry!$C$6:$C$10000)</f>
        <v>0</v>
      </c>
      <c r="T5551" s="69"/>
      <c r="U5551" s="69"/>
    </row>
    <row r="5552" spans="19:21" ht="15" customHeight="1" x14ac:dyDescent="0.2">
      <c r="S5552" s="69">
        <f>_xlfn.XLOOKUP(Results!A5552,Geometry!$B$6:$B$10000,Geometry!$C$6:$C$10000)</f>
        <v>0</v>
      </c>
      <c r="T5552" s="69"/>
      <c r="U5552" s="69"/>
    </row>
    <row r="5553" spans="19:21" ht="15" customHeight="1" x14ac:dyDescent="0.2">
      <c r="S5553" s="69">
        <f>_xlfn.XLOOKUP(Results!A5553,Geometry!$B$6:$B$10000,Geometry!$C$6:$C$10000)</f>
        <v>0</v>
      </c>
      <c r="T5553" s="69"/>
      <c r="U5553" s="69"/>
    </row>
    <row r="5554" spans="19:21" ht="15" customHeight="1" x14ac:dyDescent="0.2">
      <c r="S5554" s="69">
        <f>_xlfn.XLOOKUP(Results!A5554,Geometry!$B$6:$B$10000,Geometry!$C$6:$C$10000)</f>
        <v>0</v>
      </c>
      <c r="T5554" s="69"/>
      <c r="U5554" s="69"/>
    </row>
    <row r="5555" spans="19:21" ht="15" customHeight="1" x14ac:dyDescent="0.2">
      <c r="S5555" s="69">
        <f>_xlfn.XLOOKUP(Results!A5555,Geometry!$B$6:$B$10000,Geometry!$C$6:$C$10000)</f>
        <v>0</v>
      </c>
      <c r="T5555" s="69"/>
      <c r="U5555" s="69"/>
    </row>
    <row r="5556" spans="19:21" ht="15" customHeight="1" x14ac:dyDescent="0.2">
      <c r="S5556" s="69">
        <f>_xlfn.XLOOKUP(Results!A5556,Geometry!$B$6:$B$10000,Geometry!$C$6:$C$10000)</f>
        <v>0</v>
      </c>
      <c r="T5556" s="69"/>
      <c r="U5556" s="69"/>
    </row>
    <row r="5557" spans="19:21" ht="15" customHeight="1" x14ac:dyDescent="0.2">
      <c r="S5557" s="69">
        <f>_xlfn.XLOOKUP(Results!A5557,Geometry!$B$6:$B$10000,Geometry!$C$6:$C$10000)</f>
        <v>0</v>
      </c>
      <c r="T5557" s="69"/>
      <c r="U5557" s="69"/>
    </row>
    <row r="5558" spans="19:21" ht="15" customHeight="1" x14ac:dyDescent="0.2">
      <c r="S5558" s="69">
        <f>_xlfn.XLOOKUP(Results!A5558,Geometry!$B$6:$B$10000,Geometry!$C$6:$C$10000)</f>
        <v>0</v>
      </c>
      <c r="T5558" s="69"/>
      <c r="U5558" s="69"/>
    </row>
    <row r="5559" spans="19:21" ht="15" customHeight="1" x14ac:dyDescent="0.2">
      <c r="S5559" s="69">
        <f>_xlfn.XLOOKUP(Results!A5559,Geometry!$B$6:$B$10000,Geometry!$C$6:$C$10000)</f>
        <v>0</v>
      </c>
      <c r="T5559" s="69"/>
      <c r="U5559" s="69"/>
    </row>
    <row r="5560" spans="19:21" ht="15" customHeight="1" x14ac:dyDescent="0.2">
      <c r="S5560" s="69">
        <f>_xlfn.XLOOKUP(Results!A5560,Geometry!$B$6:$B$10000,Geometry!$C$6:$C$10000)</f>
        <v>0</v>
      </c>
      <c r="T5560" s="69"/>
      <c r="U5560" s="69"/>
    </row>
    <row r="5561" spans="19:21" ht="15" customHeight="1" x14ac:dyDescent="0.2">
      <c r="S5561" s="69">
        <f>_xlfn.XLOOKUP(Results!A5561,Geometry!$B$6:$B$10000,Geometry!$C$6:$C$10000)</f>
        <v>0</v>
      </c>
      <c r="T5561" s="69"/>
      <c r="U5561" s="69"/>
    </row>
    <row r="5562" spans="19:21" ht="15" customHeight="1" x14ac:dyDescent="0.2">
      <c r="S5562" s="69">
        <f>_xlfn.XLOOKUP(Results!A5562,Geometry!$B$6:$B$10000,Geometry!$C$6:$C$10000)</f>
        <v>0</v>
      </c>
      <c r="T5562" s="69"/>
      <c r="U5562" s="69"/>
    </row>
    <row r="5563" spans="19:21" ht="15" customHeight="1" x14ac:dyDescent="0.2">
      <c r="S5563" s="69">
        <f>_xlfn.XLOOKUP(Results!A5563,Geometry!$B$6:$B$10000,Geometry!$C$6:$C$10000)</f>
        <v>0</v>
      </c>
      <c r="T5563" s="69"/>
      <c r="U5563" s="69"/>
    </row>
    <row r="5564" spans="19:21" ht="15" customHeight="1" x14ac:dyDescent="0.2">
      <c r="S5564" s="69">
        <f>_xlfn.XLOOKUP(Results!A5564,Geometry!$B$6:$B$10000,Geometry!$C$6:$C$10000)</f>
        <v>0</v>
      </c>
      <c r="T5564" s="69"/>
      <c r="U5564" s="69"/>
    </row>
    <row r="5565" spans="19:21" ht="15" customHeight="1" x14ac:dyDescent="0.2">
      <c r="S5565" s="69">
        <f>_xlfn.XLOOKUP(Results!A5565,Geometry!$B$6:$B$10000,Geometry!$C$6:$C$10000)</f>
        <v>0</v>
      </c>
      <c r="T5565" s="69"/>
      <c r="U5565" s="69"/>
    </row>
    <row r="5566" spans="19:21" ht="15" customHeight="1" x14ac:dyDescent="0.2">
      <c r="S5566" s="69">
        <f>_xlfn.XLOOKUP(Results!A5566,Geometry!$B$6:$B$10000,Geometry!$C$6:$C$10000)</f>
        <v>0</v>
      </c>
      <c r="T5566" s="69"/>
      <c r="U5566" s="69"/>
    </row>
    <row r="5567" spans="19:21" ht="15" customHeight="1" x14ac:dyDescent="0.2">
      <c r="S5567" s="69">
        <f>_xlfn.XLOOKUP(Results!A5567,Geometry!$B$6:$B$10000,Geometry!$C$6:$C$10000)</f>
        <v>0</v>
      </c>
      <c r="T5567" s="69"/>
      <c r="U5567" s="69"/>
    </row>
    <row r="5568" spans="19:21" ht="15" customHeight="1" x14ac:dyDescent="0.2">
      <c r="S5568" s="69">
        <f>_xlfn.XLOOKUP(Results!A5568,Geometry!$B$6:$B$10000,Geometry!$C$6:$C$10000)</f>
        <v>0</v>
      </c>
      <c r="T5568" s="69"/>
      <c r="U5568" s="69"/>
    </row>
    <row r="5569" spans="19:21" ht="15" customHeight="1" x14ac:dyDescent="0.2">
      <c r="S5569" s="69">
        <f>_xlfn.XLOOKUP(Results!A5569,Geometry!$B$6:$B$10000,Geometry!$C$6:$C$10000)</f>
        <v>0</v>
      </c>
      <c r="T5569" s="69"/>
      <c r="U5569" s="69"/>
    </row>
    <row r="5570" spans="19:21" ht="15" customHeight="1" x14ac:dyDescent="0.2">
      <c r="S5570" s="69">
        <f>_xlfn.XLOOKUP(Results!A5570,Geometry!$B$6:$B$10000,Geometry!$C$6:$C$10000)</f>
        <v>0</v>
      </c>
      <c r="T5570" s="69"/>
      <c r="U5570" s="69"/>
    </row>
    <row r="5571" spans="19:21" ht="15" customHeight="1" x14ac:dyDescent="0.2">
      <c r="S5571" s="69">
        <f>_xlfn.XLOOKUP(Results!A5571,Geometry!$B$6:$B$10000,Geometry!$C$6:$C$10000)</f>
        <v>0</v>
      </c>
      <c r="T5571" s="69"/>
      <c r="U5571" s="69"/>
    </row>
    <row r="5572" spans="19:21" ht="15" customHeight="1" x14ac:dyDescent="0.2">
      <c r="S5572" s="69">
        <f>_xlfn.XLOOKUP(Results!A5572,Geometry!$B$6:$B$10000,Geometry!$C$6:$C$10000)</f>
        <v>0</v>
      </c>
      <c r="T5572" s="69"/>
      <c r="U5572" s="69"/>
    </row>
    <row r="5573" spans="19:21" ht="15" customHeight="1" x14ac:dyDescent="0.2">
      <c r="S5573" s="69">
        <f>_xlfn.XLOOKUP(Results!A5573,Geometry!$B$6:$B$10000,Geometry!$C$6:$C$10000)</f>
        <v>0</v>
      </c>
      <c r="T5573" s="69"/>
      <c r="U5573" s="69"/>
    </row>
    <row r="5574" spans="19:21" ht="15" customHeight="1" x14ac:dyDescent="0.2">
      <c r="S5574" s="69">
        <f>_xlfn.XLOOKUP(Results!A5574,Geometry!$B$6:$B$10000,Geometry!$C$6:$C$10000)</f>
        <v>0</v>
      </c>
      <c r="T5574" s="69"/>
      <c r="U5574" s="69"/>
    </row>
    <row r="5575" spans="19:21" ht="15" customHeight="1" x14ac:dyDescent="0.2">
      <c r="S5575" s="69">
        <f>_xlfn.XLOOKUP(Results!A5575,Geometry!$B$6:$B$10000,Geometry!$C$6:$C$10000)</f>
        <v>0</v>
      </c>
      <c r="T5575" s="69"/>
      <c r="U5575" s="69"/>
    </row>
    <row r="5576" spans="19:21" ht="15" customHeight="1" x14ac:dyDescent="0.2">
      <c r="S5576" s="69">
        <f>_xlfn.XLOOKUP(Results!A5576,Geometry!$B$6:$B$10000,Geometry!$C$6:$C$10000)</f>
        <v>0</v>
      </c>
      <c r="T5576" s="69"/>
      <c r="U5576" s="69"/>
    </row>
    <row r="5577" spans="19:21" ht="15" customHeight="1" x14ac:dyDescent="0.2">
      <c r="S5577" s="69">
        <f>_xlfn.XLOOKUP(Results!A5577,Geometry!$B$6:$B$10000,Geometry!$C$6:$C$10000)</f>
        <v>0</v>
      </c>
      <c r="T5577" s="69"/>
      <c r="U5577" s="69"/>
    </row>
    <row r="5578" spans="19:21" ht="15" customHeight="1" x14ac:dyDescent="0.2">
      <c r="S5578" s="69">
        <f>_xlfn.XLOOKUP(Results!A5578,Geometry!$B$6:$B$10000,Geometry!$C$6:$C$10000)</f>
        <v>0</v>
      </c>
      <c r="T5578" s="69"/>
      <c r="U5578" s="69"/>
    </row>
    <row r="5579" spans="19:21" ht="15" customHeight="1" x14ac:dyDescent="0.2">
      <c r="S5579" s="69">
        <f>_xlfn.XLOOKUP(Results!A5579,Geometry!$B$6:$B$10000,Geometry!$C$6:$C$10000)</f>
        <v>0</v>
      </c>
      <c r="T5579" s="69"/>
      <c r="U5579" s="69"/>
    </row>
    <row r="5580" spans="19:21" ht="15" customHeight="1" x14ac:dyDescent="0.2">
      <c r="S5580" s="69">
        <f>_xlfn.XLOOKUP(Results!A5580,Geometry!$B$6:$B$10000,Geometry!$C$6:$C$10000)</f>
        <v>0</v>
      </c>
      <c r="T5580" s="69"/>
      <c r="U5580" s="69"/>
    </row>
    <row r="5581" spans="19:21" ht="15" customHeight="1" x14ac:dyDescent="0.2">
      <c r="S5581" s="69">
        <f>_xlfn.XLOOKUP(Results!A5581,Geometry!$B$6:$B$10000,Geometry!$C$6:$C$10000)</f>
        <v>0</v>
      </c>
      <c r="T5581" s="69"/>
      <c r="U5581" s="69"/>
    </row>
    <row r="5582" spans="19:21" ht="15" customHeight="1" x14ac:dyDescent="0.2">
      <c r="S5582" s="69">
        <f>_xlfn.XLOOKUP(Results!A5582,Geometry!$B$6:$B$10000,Geometry!$C$6:$C$10000)</f>
        <v>0</v>
      </c>
      <c r="T5582" s="69"/>
      <c r="U5582" s="69"/>
    </row>
    <row r="5583" spans="19:21" ht="15" customHeight="1" x14ac:dyDescent="0.2">
      <c r="S5583" s="69">
        <f>_xlfn.XLOOKUP(Results!A5583,Geometry!$B$6:$B$10000,Geometry!$C$6:$C$10000)</f>
        <v>0</v>
      </c>
      <c r="T5583" s="69"/>
      <c r="U5583" s="69"/>
    </row>
    <row r="5584" spans="19:21" ht="15" customHeight="1" x14ac:dyDescent="0.2">
      <c r="S5584" s="69">
        <f>_xlfn.XLOOKUP(Results!A5584,Geometry!$B$6:$B$10000,Geometry!$C$6:$C$10000)</f>
        <v>0</v>
      </c>
      <c r="T5584" s="69"/>
      <c r="U5584" s="69"/>
    </row>
    <row r="5585" spans="19:21" ht="15" customHeight="1" x14ac:dyDescent="0.2">
      <c r="S5585" s="69">
        <f>_xlfn.XLOOKUP(Results!A5585,Geometry!$B$6:$B$10000,Geometry!$C$6:$C$10000)</f>
        <v>0</v>
      </c>
      <c r="T5585" s="69"/>
      <c r="U5585" s="69"/>
    </row>
    <row r="5586" spans="19:21" ht="15" customHeight="1" x14ac:dyDescent="0.2">
      <c r="S5586" s="69">
        <f>_xlfn.XLOOKUP(Results!A5586,Geometry!$B$6:$B$10000,Geometry!$C$6:$C$10000)</f>
        <v>0</v>
      </c>
      <c r="T5586" s="69"/>
      <c r="U5586" s="69"/>
    </row>
    <row r="5587" spans="19:21" ht="15" customHeight="1" x14ac:dyDescent="0.2">
      <c r="S5587" s="69">
        <f>_xlfn.XLOOKUP(Results!A5587,Geometry!$B$6:$B$10000,Geometry!$C$6:$C$10000)</f>
        <v>0</v>
      </c>
      <c r="T5587" s="69"/>
      <c r="U5587" s="69"/>
    </row>
    <row r="5588" spans="19:21" ht="15" customHeight="1" x14ac:dyDescent="0.2">
      <c r="S5588" s="69">
        <f>_xlfn.XLOOKUP(Results!A5588,Geometry!$B$6:$B$10000,Geometry!$C$6:$C$10000)</f>
        <v>0</v>
      </c>
      <c r="T5588" s="69"/>
      <c r="U5588" s="69"/>
    </row>
    <row r="5589" spans="19:21" ht="15" customHeight="1" x14ac:dyDescent="0.2">
      <c r="S5589" s="69">
        <f>_xlfn.XLOOKUP(Results!A5589,Geometry!$B$6:$B$10000,Geometry!$C$6:$C$10000)</f>
        <v>0</v>
      </c>
      <c r="T5589" s="69"/>
      <c r="U5589" s="69"/>
    </row>
    <row r="5590" spans="19:21" ht="15" customHeight="1" x14ac:dyDescent="0.2">
      <c r="S5590" s="69">
        <f>_xlfn.XLOOKUP(Results!A5590,Geometry!$B$6:$B$10000,Geometry!$C$6:$C$10000)</f>
        <v>0</v>
      </c>
      <c r="T5590" s="69"/>
      <c r="U5590" s="69"/>
    </row>
    <row r="5591" spans="19:21" ht="15" customHeight="1" x14ac:dyDescent="0.2">
      <c r="S5591" s="69">
        <f>_xlfn.XLOOKUP(Results!A5591,Geometry!$B$6:$B$10000,Geometry!$C$6:$C$10000)</f>
        <v>0</v>
      </c>
      <c r="T5591" s="69"/>
      <c r="U5591" s="69"/>
    </row>
    <row r="5592" spans="19:21" ht="15" customHeight="1" x14ac:dyDescent="0.2">
      <c r="S5592" s="69">
        <f>_xlfn.XLOOKUP(Results!A5592,Geometry!$B$6:$B$10000,Geometry!$C$6:$C$10000)</f>
        <v>0</v>
      </c>
      <c r="T5592" s="69"/>
      <c r="U5592" s="69"/>
    </row>
    <row r="5593" spans="19:21" ht="15" customHeight="1" x14ac:dyDescent="0.2">
      <c r="S5593" s="69">
        <f>_xlfn.XLOOKUP(Results!A5593,Geometry!$B$6:$B$10000,Geometry!$C$6:$C$10000)</f>
        <v>0</v>
      </c>
      <c r="T5593" s="69"/>
      <c r="U5593" s="69"/>
    </row>
    <row r="5594" spans="19:21" ht="15" customHeight="1" x14ac:dyDescent="0.2">
      <c r="S5594" s="69">
        <f>_xlfn.XLOOKUP(Results!A5594,Geometry!$B$6:$B$10000,Geometry!$C$6:$C$10000)</f>
        <v>0</v>
      </c>
      <c r="T5594" s="69"/>
      <c r="U5594" s="69"/>
    </row>
    <row r="5595" spans="19:21" ht="15" customHeight="1" x14ac:dyDescent="0.2">
      <c r="S5595" s="69">
        <f>_xlfn.XLOOKUP(Results!A5595,Geometry!$B$6:$B$10000,Geometry!$C$6:$C$10000)</f>
        <v>0</v>
      </c>
      <c r="T5595" s="69"/>
      <c r="U5595" s="69"/>
    </row>
    <row r="5596" spans="19:21" ht="15" customHeight="1" x14ac:dyDescent="0.2">
      <c r="S5596" s="69">
        <f>_xlfn.XLOOKUP(Results!A5596,Geometry!$B$6:$B$10000,Geometry!$C$6:$C$10000)</f>
        <v>0</v>
      </c>
      <c r="T5596" s="69"/>
      <c r="U5596" s="69"/>
    </row>
    <row r="5597" spans="19:21" ht="15" customHeight="1" x14ac:dyDescent="0.2">
      <c r="S5597" s="69">
        <f>_xlfn.XLOOKUP(Results!A5597,Geometry!$B$6:$B$10000,Geometry!$C$6:$C$10000)</f>
        <v>0</v>
      </c>
      <c r="T5597" s="69"/>
      <c r="U5597" s="69"/>
    </row>
    <row r="5598" spans="19:21" ht="15" customHeight="1" x14ac:dyDescent="0.2">
      <c r="S5598" s="69">
        <f>_xlfn.XLOOKUP(Results!A5598,Geometry!$B$6:$B$10000,Geometry!$C$6:$C$10000)</f>
        <v>0</v>
      </c>
      <c r="T5598" s="69"/>
      <c r="U5598" s="69"/>
    </row>
    <row r="5599" spans="19:21" ht="15" customHeight="1" x14ac:dyDescent="0.2">
      <c r="S5599" s="69">
        <f>_xlfn.XLOOKUP(Results!A5599,Geometry!$B$6:$B$10000,Geometry!$C$6:$C$10000)</f>
        <v>0</v>
      </c>
      <c r="T5599" s="69"/>
      <c r="U5599" s="69"/>
    </row>
    <row r="5600" spans="19:21" ht="15" customHeight="1" x14ac:dyDescent="0.2">
      <c r="S5600" s="69">
        <f>_xlfn.XLOOKUP(Results!A5600,Geometry!$B$6:$B$10000,Geometry!$C$6:$C$10000)</f>
        <v>0</v>
      </c>
      <c r="T5600" s="69"/>
      <c r="U5600" s="69"/>
    </row>
    <row r="5601" spans="19:21" ht="15" customHeight="1" x14ac:dyDescent="0.2">
      <c r="S5601" s="69">
        <f>_xlfn.XLOOKUP(Results!A5601,Geometry!$B$6:$B$10000,Geometry!$C$6:$C$10000)</f>
        <v>0</v>
      </c>
      <c r="T5601" s="69"/>
      <c r="U5601" s="69"/>
    </row>
    <row r="5602" spans="19:21" ht="15" customHeight="1" x14ac:dyDescent="0.2">
      <c r="S5602" s="69">
        <f>_xlfn.XLOOKUP(Results!A5602,Geometry!$B$6:$B$10000,Geometry!$C$6:$C$10000)</f>
        <v>0</v>
      </c>
      <c r="T5602" s="69"/>
      <c r="U5602" s="69"/>
    </row>
    <row r="5603" spans="19:21" ht="15" customHeight="1" x14ac:dyDescent="0.2">
      <c r="S5603" s="69">
        <f>_xlfn.XLOOKUP(Results!A5603,Geometry!$B$6:$B$10000,Geometry!$C$6:$C$10000)</f>
        <v>0</v>
      </c>
      <c r="T5603" s="69"/>
      <c r="U5603" s="69"/>
    </row>
    <row r="5604" spans="19:21" ht="15" customHeight="1" x14ac:dyDescent="0.2">
      <c r="S5604" s="69">
        <f>_xlfn.XLOOKUP(Results!A5604,Geometry!$B$6:$B$10000,Geometry!$C$6:$C$10000)</f>
        <v>0</v>
      </c>
      <c r="T5604" s="69"/>
      <c r="U5604" s="69"/>
    </row>
    <row r="5605" spans="19:21" ht="15" customHeight="1" x14ac:dyDescent="0.2">
      <c r="S5605" s="69">
        <f>_xlfn.XLOOKUP(Results!A5605,Geometry!$B$6:$B$10000,Geometry!$C$6:$C$10000)</f>
        <v>0</v>
      </c>
      <c r="T5605" s="69"/>
      <c r="U5605" s="69"/>
    </row>
    <row r="5606" spans="19:21" ht="15" customHeight="1" x14ac:dyDescent="0.2">
      <c r="S5606" s="69">
        <f>_xlfn.XLOOKUP(Results!A5606,Geometry!$B$6:$B$10000,Geometry!$C$6:$C$10000)</f>
        <v>0</v>
      </c>
      <c r="T5606" s="69"/>
      <c r="U5606" s="69"/>
    </row>
    <row r="5607" spans="19:21" ht="15" customHeight="1" x14ac:dyDescent="0.2">
      <c r="S5607" s="69">
        <f>_xlfn.XLOOKUP(Results!A5607,Geometry!$B$6:$B$10000,Geometry!$C$6:$C$10000)</f>
        <v>0</v>
      </c>
      <c r="T5607" s="69"/>
      <c r="U5607" s="69"/>
    </row>
    <row r="5608" spans="19:21" ht="15" customHeight="1" x14ac:dyDescent="0.2">
      <c r="S5608" s="69">
        <f>_xlfn.XLOOKUP(Results!A5608,Geometry!$B$6:$B$10000,Geometry!$C$6:$C$10000)</f>
        <v>0</v>
      </c>
      <c r="T5608" s="69"/>
      <c r="U5608" s="69"/>
    </row>
    <row r="5609" spans="19:21" ht="15" customHeight="1" x14ac:dyDescent="0.2">
      <c r="S5609" s="69">
        <f>_xlfn.XLOOKUP(Results!A5609,Geometry!$B$6:$B$10000,Geometry!$C$6:$C$10000)</f>
        <v>0</v>
      </c>
      <c r="T5609" s="69"/>
      <c r="U5609" s="69"/>
    </row>
    <row r="5610" spans="19:21" ht="15" customHeight="1" x14ac:dyDescent="0.2">
      <c r="S5610" s="69">
        <f>_xlfn.XLOOKUP(Results!A5610,Geometry!$B$6:$B$10000,Geometry!$C$6:$C$10000)</f>
        <v>0</v>
      </c>
      <c r="T5610" s="69"/>
      <c r="U5610" s="69"/>
    </row>
    <row r="5611" spans="19:21" ht="15" customHeight="1" x14ac:dyDescent="0.2">
      <c r="S5611" s="69">
        <f>_xlfn.XLOOKUP(Results!A5611,Geometry!$B$6:$B$10000,Geometry!$C$6:$C$10000)</f>
        <v>0</v>
      </c>
      <c r="T5611" s="69"/>
      <c r="U5611" s="69"/>
    </row>
    <row r="5612" spans="19:21" ht="15" customHeight="1" x14ac:dyDescent="0.2">
      <c r="S5612" s="69">
        <f>_xlfn.XLOOKUP(Results!A5612,Geometry!$B$6:$B$10000,Geometry!$C$6:$C$10000)</f>
        <v>0</v>
      </c>
      <c r="T5612" s="69"/>
      <c r="U5612" s="69"/>
    </row>
    <row r="5613" spans="19:21" ht="15" customHeight="1" x14ac:dyDescent="0.2">
      <c r="S5613" s="69">
        <f>_xlfn.XLOOKUP(Results!A5613,Geometry!$B$6:$B$10000,Geometry!$C$6:$C$10000)</f>
        <v>0</v>
      </c>
      <c r="T5613" s="69"/>
      <c r="U5613" s="69"/>
    </row>
    <row r="5614" spans="19:21" ht="15" customHeight="1" x14ac:dyDescent="0.2">
      <c r="S5614" s="69">
        <f>_xlfn.XLOOKUP(Results!A5614,Geometry!$B$6:$B$10000,Geometry!$C$6:$C$10000)</f>
        <v>0</v>
      </c>
      <c r="T5614" s="69"/>
      <c r="U5614" s="69"/>
    </row>
    <row r="5615" spans="19:21" ht="15" customHeight="1" x14ac:dyDescent="0.2">
      <c r="S5615" s="69">
        <f>_xlfn.XLOOKUP(Results!A5615,Geometry!$B$6:$B$10000,Geometry!$C$6:$C$10000)</f>
        <v>0</v>
      </c>
      <c r="T5615" s="69"/>
      <c r="U5615" s="69"/>
    </row>
    <row r="5616" spans="19:21" ht="15" customHeight="1" x14ac:dyDescent="0.2">
      <c r="S5616" s="69">
        <f>_xlfn.XLOOKUP(Results!A5616,Geometry!$B$6:$B$10000,Geometry!$C$6:$C$10000)</f>
        <v>0</v>
      </c>
      <c r="T5616" s="69"/>
      <c r="U5616" s="69"/>
    </row>
    <row r="5617" spans="19:21" ht="15" customHeight="1" x14ac:dyDescent="0.2">
      <c r="S5617" s="69">
        <f>_xlfn.XLOOKUP(Results!A5617,Geometry!$B$6:$B$10000,Geometry!$C$6:$C$10000)</f>
        <v>0</v>
      </c>
      <c r="T5617" s="69"/>
      <c r="U5617" s="69"/>
    </row>
    <row r="5618" spans="19:21" ht="15" customHeight="1" x14ac:dyDescent="0.2">
      <c r="S5618" s="69">
        <f>_xlfn.XLOOKUP(Results!A5618,Geometry!$B$6:$B$10000,Geometry!$C$6:$C$10000)</f>
        <v>0</v>
      </c>
      <c r="T5618" s="69"/>
      <c r="U5618" s="69"/>
    </row>
    <row r="5619" spans="19:21" ht="15" customHeight="1" x14ac:dyDescent="0.2">
      <c r="S5619" s="69">
        <f>_xlfn.XLOOKUP(Results!A5619,Geometry!$B$6:$B$10000,Geometry!$C$6:$C$10000)</f>
        <v>0</v>
      </c>
      <c r="T5619" s="69"/>
      <c r="U5619" s="69"/>
    </row>
    <row r="5620" spans="19:21" ht="15" customHeight="1" x14ac:dyDescent="0.2">
      <c r="S5620" s="69">
        <f>_xlfn.XLOOKUP(Results!A5620,Geometry!$B$6:$B$10000,Geometry!$C$6:$C$10000)</f>
        <v>0</v>
      </c>
      <c r="T5620" s="69"/>
      <c r="U5620" s="69"/>
    </row>
    <row r="5621" spans="19:21" ht="15" customHeight="1" x14ac:dyDescent="0.2">
      <c r="S5621" s="69">
        <f>_xlfn.XLOOKUP(Results!A5621,Geometry!$B$6:$B$10000,Geometry!$C$6:$C$10000)</f>
        <v>0</v>
      </c>
      <c r="T5621" s="69"/>
      <c r="U5621" s="69"/>
    </row>
    <row r="5622" spans="19:21" ht="15" customHeight="1" x14ac:dyDescent="0.2">
      <c r="S5622" s="69">
        <f>_xlfn.XLOOKUP(Results!A5622,Geometry!$B$6:$B$10000,Geometry!$C$6:$C$10000)</f>
        <v>0</v>
      </c>
      <c r="T5622" s="69"/>
      <c r="U5622" s="69"/>
    </row>
    <row r="5623" spans="19:21" ht="15" customHeight="1" x14ac:dyDescent="0.2">
      <c r="S5623" s="69">
        <f>_xlfn.XLOOKUP(Results!A5623,Geometry!$B$6:$B$10000,Geometry!$C$6:$C$10000)</f>
        <v>0</v>
      </c>
      <c r="T5623" s="69"/>
      <c r="U5623" s="69"/>
    </row>
    <row r="5624" spans="19:21" ht="15" customHeight="1" x14ac:dyDescent="0.2">
      <c r="S5624" s="69">
        <f>_xlfn.XLOOKUP(Results!A5624,Geometry!$B$6:$B$10000,Geometry!$C$6:$C$10000)</f>
        <v>0</v>
      </c>
      <c r="T5624" s="69"/>
      <c r="U5624" s="69"/>
    </row>
    <row r="5625" spans="19:21" ht="15" customHeight="1" x14ac:dyDescent="0.2">
      <c r="S5625" s="69">
        <f>_xlfn.XLOOKUP(Results!A5625,Geometry!$B$6:$B$10000,Geometry!$C$6:$C$10000)</f>
        <v>0</v>
      </c>
      <c r="T5625" s="69"/>
      <c r="U5625" s="69"/>
    </row>
    <row r="5626" spans="19:21" ht="15" customHeight="1" x14ac:dyDescent="0.2">
      <c r="S5626" s="69">
        <f>_xlfn.XLOOKUP(Results!A5626,Geometry!$B$6:$B$10000,Geometry!$C$6:$C$10000)</f>
        <v>0</v>
      </c>
      <c r="T5626" s="69"/>
      <c r="U5626" s="69"/>
    </row>
    <row r="5627" spans="19:21" ht="15" customHeight="1" x14ac:dyDescent="0.2">
      <c r="S5627" s="69">
        <f>_xlfn.XLOOKUP(Results!A5627,Geometry!$B$6:$B$10000,Geometry!$C$6:$C$10000)</f>
        <v>0</v>
      </c>
      <c r="T5627" s="69"/>
      <c r="U5627" s="69"/>
    </row>
    <row r="5628" spans="19:21" ht="15" customHeight="1" x14ac:dyDescent="0.2">
      <c r="S5628" s="69">
        <f>_xlfn.XLOOKUP(Results!A5628,Geometry!$B$6:$B$10000,Geometry!$C$6:$C$10000)</f>
        <v>0</v>
      </c>
      <c r="T5628" s="69"/>
      <c r="U5628" s="69"/>
    </row>
    <row r="5629" spans="19:21" ht="15" customHeight="1" x14ac:dyDescent="0.2">
      <c r="S5629" s="69">
        <f>_xlfn.XLOOKUP(Results!A5629,Geometry!$B$6:$B$10000,Geometry!$C$6:$C$10000)</f>
        <v>0</v>
      </c>
      <c r="T5629" s="69"/>
      <c r="U5629" s="69"/>
    </row>
    <row r="5630" spans="19:21" ht="15" customHeight="1" x14ac:dyDescent="0.2">
      <c r="S5630" s="69">
        <f>_xlfn.XLOOKUP(Results!A5630,Geometry!$B$6:$B$10000,Geometry!$C$6:$C$10000)</f>
        <v>0</v>
      </c>
      <c r="T5630" s="69"/>
      <c r="U5630" s="69"/>
    </row>
    <row r="5631" spans="19:21" ht="15" customHeight="1" x14ac:dyDescent="0.2">
      <c r="S5631" s="69">
        <f>_xlfn.XLOOKUP(Results!A5631,Geometry!$B$6:$B$10000,Geometry!$C$6:$C$10000)</f>
        <v>0</v>
      </c>
      <c r="T5631" s="69"/>
      <c r="U5631" s="69"/>
    </row>
    <row r="5632" spans="19:21" ht="15" customHeight="1" x14ac:dyDescent="0.2">
      <c r="S5632" s="69">
        <f>_xlfn.XLOOKUP(Results!A5632,Geometry!$B$6:$B$10000,Geometry!$C$6:$C$10000)</f>
        <v>0</v>
      </c>
      <c r="T5632" s="69"/>
      <c r="U5632" s="69"/>
    </row>
    <row r="5633" spans="19:21" ht="15" customHeight="1" x14ac:dyDescent="0.2">
      <c r="S5633" s="69">
        <f>_xlfn.XLOOKUP(Results!A5633,Geometry!$B$6:$B$10000,Geometry!$C$6:$C$10000)</f>
        <v>0</v>
      </c>
      <c r="T5633" s="69"/>
      <c r="U5633" s="69"/>
    </row>
    <row r="5634" spans="19:21" ht="15" customHeight="1" x14ac:dyDescent="0.2">
      <c r="S5634" s="69">
        <f>_xlfn.XLOOKUP(Results!A5634,Geometry!$B$6:$B$10000,Geometry!$C$6:$C$10000)</f>
        <v>0</v>
      </c>
      <c r="T5634" s="69"/>
      <c r="U5634" s="69"/>
    </row>
    <row r="5635" spans="19:21" ht="15" customHeight="1" x14ac:dyDescent="0.2">
      <c r="S5635" s="69">
        <f>_xlfn.XLOOKUP(Results!A5635,Geometry!$B$6:$B$10000,Geometry!$C$6:$C$10000)</f>
        <v>0</v>
      </c>
      <c r="T5635" s="69"/>
      <c r="U5635" s="69"/>
    </row>
    <row r="5636" spans="19:21" ht="15" customHeight="1" x14ac:dyDescent="0.2">
      <c r="S5636" s="69">
        <f>_xlfn.XLOOKUP(Results!A5636,Geometry!$B$6:$B$10000,Geometry!$C$6:$C$10000)</f>
        <v>0</v>
      </c>
      <c r="T5636" s="69"/>
      <c r="U5636" s="69"/>
    </row>
    <row r="5637" spans="19:21" ht="15" customHeight="1" x14ac:dyDescent="0.2">
      <c r="S5637" s="69">
        <f>_xlfn.XLOOKUP(Results!A5637,Geometry!$B$6:$B$10000,Geometry!$C$6:$C$10000)</f>
        <v>0</v>
      </c>
      <c r="T5637" s="69"/>
      <c r="U5637" s="69"/>
    </row>
    <row r="5638" spans="19:21" ht="15" customHeight="1" x14ac:dyDescent="0.2">
      <c r="S5638" s="69">
        <f>_xlfn.XLOOKUP(Results!A5638,Geometry!$B$6:$B$10000,Geometry!$C$6:$C$10000)</f>
        <v>0</v>
      </c>
      <c r="T5638" s="69"/>
      <c r="U5638" s="69"/>
    </row>
    <row r="5639" spans="19:21" ht="15" customHeight="1" x14ac:dyDescent="0.2">
      <c r="S5639" s="69">
        <f>_xlfn.XLOOKUP(Results!A5639,Geometry!$B$6:$B$10000,Geometry!$C$6:$C$10000)</f>
        <v>0</v>
      </c>
      <c r="T5639" s="69"/>
      <c r="U5639" s="69"/>
    </row>
    <row r="5640" spans="19:21" ht="15" customHeight="1" x14ac:dyDescent="0.2">
      <c r="S5640" s="69">
        <f>_xlfn.XLOOKUP(Results!A5640,Geometry!$B$6:$B$10000,Geometry!$C$6:$C$10000)</f>
        <v>0</v>
      </c>
      <c r="T5640" s="69"/>
      <c r="U5640" s="69"/>
    </row>
    <row r="5641" spans="19:21" ht="15" customHeight="1" x14ac:dyDescent="0.2">
      <c r="S5641" s="69">
        <f>_xlfn.XLOOKUP(Results!A5641,Geometry!$B$6:$B$10000,Geometry!$C$6:$C$10000)</f>
        <v>0</v>
      </c>
      <c r="T5641" s="69"/>
      <c r="U5641" s="69"/>
    </row>
    <row r="5642" spans="19:21" ht="15" customHeight="1" x14ac:dyDescent="0.2">
      <c r="S5642" s="69">
        <f>_xlfn.XLOOKUP(Results!A5642,Geometry!$B$6:$B$10000,Geometry!$C$6:$C$10000)</f>
        <v>0</v>
      </c>
      <c r="T5642" s="69"/>
      <c r="U5642" s="69"/>
    </row>
    <row r="5643" spans="19:21" ht="15" customHeight="1" x14ac:dyDescent="0.2">
      <c r="S5643" s="69">
        <f>_xlfn.XLOOKUP(Results!A5643,Geometry!$B$6:$B$10000,Geometry!$C$6:$C$10000)</f>
        <v>0</v>
      </c>
      <c r="T5643" s="69"/>
      <c r="U5643" s="69"/>
    </row>
    <row r="5644" spans="19:21" ht="15" customHeight="1" x14ac:dyDescent="0.2">
      <c r="S5644" s="69">
        <f>_xlfn.XLOOKUP(Results!A5644,Geometry!$B$6:$B$10000,Geometry!$C$6:$C$10000)</f>
        <v>0</v>
      </c>
      <c r="T5644" s="69"/>
      <c r="U5644" s="69"/>
    </row>
    <row r="5645" spans="19:21" ht="15" customHeight="1" x14ac:dyDescent="0.2">
      <c r="S5645" s="69">
        <f>_xlfn.XLOOKUP(Results!A5645,Geometry!$B$6:$B$10000,Geometry!$C$6:$C$10000)</f>
        <v>0</v>
      </c>
      <c r="T5645" s="69"/>
      <c r="U5645" s="69"/>
    </row>
    <row r="5646" spans="19:21" ht="15" customHeight="1" x14ac:dyDescent="0.2">
      <c r="S5646" s="69">
        <f>_xlfn.XLOOKUP(Results!A5646,Geometry!$B$6:$B$10000,Geometry!$C$6:$C$10000)</f>
        <v>0</v>
      </c>
      <c r="T5646" s="69"/>
      <c r="U5646" s="69"/>
    </row>
    <row r="5647" spans="19:21" ht="15" customHeight="1" x14ac:dyDescent="0.2">
      <c r="S5647" s="69">
        <f>_xlfn.XLOOKUP(Results!A5647,Geometry!$B$6:$B$10000,Geometry!$C$6:$C$10000)</f>
        <v>0</v>
      </c>
      <c r="T5647" s="69"/>
      <c r="U5647" s="69"/>
    </row>
    <row r="5648" spans="19:21" ht="15" customHeight="1" x14ac:dyDescent="0.2">
      <c r="S5648" s="69">
        <f>_xlfn.XLOOKUP(Results!A5648,Geometry!$B$6:$B$10000,Geometry!$C$6:$C$10000)</f>
        <v>0</v>
      </c>
      <c r="T5648" s="69"/>
      <c r="U5648" s="69"/>
    </row>
    <row r="5649" spans="19:21" ht="15" customHeight="1" x14ac:dyDescent="0.2">
      <c r="S5649" s="69">
        <f>_xlfn.XLOOKUP(Results!A5649,Geometry!$B$6:$B$10000,Geometry!$C$6:$C$10000)</f>
        <v>0</v>
      </c>
      <c r="T5649" s="69"/>
      <c r="U5649" s="69"/>
    </row>
    <row r="5650" spans="19:21" ht="15" customHeight="1" x14ac:dyDescent="0.2">
      <c r="S5650" s="69">
        <f>_xlfn.XLOOKUP(Results!A5650,Geometry!$B$6:$B$10000,Geometry!$C$6:$C$10000)</f>
        <v>0</v>
      </c>
      <c r="T5650" s="69"/>
      <c r="U5650" s="69"/>
    </row>
    <row r="5651" spans="19:21" ht="15" customHeight="1" x14ac:dyDescent="0.2">
      <c r="S5651" s="69">
        <f>_xlfn.XLOOKUP(Results!A5651,Geometry!$B$6:$B$10000,Geometry!$C$6:$C$10000)</f>
        <v>0</v>
      </c>
      <c r="T5651" s="69"/>
      <c r="U5651" s="69"/>
    </row>
    <row r="5652" spans="19:21" ht="15" customHeight="1" x14ac:dyDescent="0.2">
      <c r="S5652" s="69">
        <f>_xlfn.XLOOKUP(Results!A5652,Geometry!$B$6:$B$10000,Geometry!$C$6:$C$10000)</f>
        <v>0</v>
      </c>
      <c r="T5652" s="69"/>
      <c r="U5652" s="69"/>
    </row>
    <row r="5653" spans="19:21" ht="15" customHeight="1" x14ac:dyDescent="0.2">
      <c r="S5653" s="69">
        <f>_xlfn.XLOOKUP(Results!A5653,Geometry!$B$6:$B$10000,Geometry!$C$6:$C$10000)</f>
        <v>0</v>
      </c>
      <c r="T5653" s="69"/>
      <c r="U5653" s="69"/>
    </row>
    <row r="5654" spans="19:21" ht="15" customHeight="1" x14ac:dyDescent="0.2">
      <c r="S5654" s="69">
        <f>_xlfn.XLOOKUP(Results!A5654,Geometry!$B$6:$B$10000,Geometry!$C$6:$C$10000)</f>
        <v>0</v>
      </c>
      <c r="T5654" s="69"/>
      <c r="U5654" s="69"/>
    </row>
    <row r="5655" spans="19:21" ht="15" customHeight="1" x14ac:dyDescent="0.2">
      <c r="S5655" s="69">
        <f>_xlfn.XLOOKUP(Results!A5655,Geometry!$B$6:$B$10000,Geometry!$C$6:$C$10000)</f>
        <v>0</v>
      </c>
      <c r="T5655" s="69"/>
      <c r="U5655" s="69"/>
    </row>
    <row r="5656" spans="19:21" ht="15" customHeight="1" x14ac:dyDescent="0.2">
      <c r="S5656" s="69">
        <f>_xlfn.XLOOKUP(Results!A5656,Geometry!$B$6:$B$10000,Geometry!$C$6:$C$10000)</f>
        <v>0</v>
      </c>
      <c r="T5656" s="69"/>
      <c r="U5656" s="69"/>
    </row>
    <row r="5657" spans="19:21" ht="15" customHeight="1" x14ac:dyDescent="0.2">
      <c r="S5657" s="69">
        <f>_xlfn.XLOOKUP(Results!A5657,Geometry!$B$6:$B$10000,Geometry!$C$6:$C$10000)</f>
        <v>0</v>
      </c>
      <c r="T5657" s="69"/>
      <c r="U5657" s="69"/>
    </row>
    <row r="5658" spans="19:21" ht="15" customHeight="1" x14ac:dyDescent="0.2">
      <c r="S5658" s="69">
        <f>_xlfn.XLOOKUP(Results!A5658,Geometry!$B$6:$B$10000,Geometry!$C$6:$C$10000)</f>
        <v>0</v>
      </c>
      <c r="T5658" s="69"/>
      <c r="U5658" s="69"/>
    </row>
    <row r="5659" spans="19:21" ht="15" customHeight="1" x14ac:dyDescent="0.2">
      <c r="S5659" s="69">
        <f>_xlfn.XLOOKUP(Results!A5659,Geometry!$B$6:$B$10000,Geometry!$C$6:$C$10000)</f>
        <v>0</v>
      </c>
      <c r="T5659" s="69"/>
      <c r="U5659" s="69"/>
    </row>
    <row r="5660" spans="19:21" ht="15" customHeight="1" x14ac:dyDescent="0.2">
      <c r="S5660" s="69">
        <f>_xlfn.XLOOKUP(Results!A5660,Geometry!$B$6:$B$10000,Geometry!$C$6:$C$10000)</f>
        <v>0</v>
      </c>
      <c r="T5660" s="69"/>
      <c r="U5660" s="69"/>
    </row>
    <row r="5661" spans="19:21" ht="15" customHeight="1" x14ac:dyDescent="0.2">
      <c r="S5661" s="69">
        <f>_xlfn.XLOOKUP(Results!A5661,Geometry!$B$6:$B$10000,Geometry!$C$6:$C$10000)</f>
        <v>0</v>
      </c>
      <c r="T5661" s="69"/>
      <c r="U5661" s="69"/>
    </row>
    <row r="5662" spans="19:21" ht="15" customHeight="1" x14ac:dyDescent="0.2">
      <c r="S5662" s="69">
        <f>_xlfn.XLOOKUP(Results!A5662,Geometry!$B$6:$B$10000,Geometry!$C$6:$C$10000)</f>
        <v>0</v>
      </c>
      <c r="T5662" s="69"/>
      <c r="U5662" s="69"/>
    </row>
    <row r="5663" spans="19:21" ht="15" customHeight="1" x14ac:dyDescent="0.2">
      <c r="S5663" s="69">
        <f>_xlfn.XLOOKUP(Results!A5663,Geometry!$B$6:$B$10000,Geometry!$C$6:$C$10000)</f>
        <v>0</v>
      </c>
      <c r="T5663" s="69"/>
      <c r="U5663" s="69"/>
    </row>
    <row r="5664" spans="19:21" ht="15" customHeight="1" x14ac:dyDescent="0.2">
      <c r="S5664" s="69">
        <f>_xlfn.XLOOKUP(Results!A5664,Geometry!$B$6:$B$10000,Geometry!$C$6:$C$10000)</f>
        <v>0</v>
      </c>
      <c r="T5664" s="69"/>
      <c r="U5664" s="69"/>
    </row>
    <row r="5665" spans="19:21" ht="15" customHeight="1" x14ac:dyDescent="0.2">
      <c r="S5665" s="69">
        <f>_xlfn.XLOOKUP(Results!A5665,Geometry!$B$6:$B$10000,Geometry!$C$6:$C$10000)</f>
        <v>0</v>
      </c>
      <c r="T5665" s="69"/>
      <c r="U5665" s="69"/>
    </row>
    <row r="5666" spans="19:21" ht="15" customHeight="1" x14ac:dyDescent="0.2">
      <c r="S5666" s="69">
        <f>_xlfn.XLOOKUP(Results!A5666,Geometry!$B$6:$B$10000,Geometry!$C$6:$C$10000)</f>
        <v>0</v>
      </c>
      <c r="T5666" s="69"/>
      <c r="U5666" s="69"/>
    </row>
    <row r="5667" spans="19:21" ht="15" customHeight="1" x14ac:dyDescent="0.2">
      <c r="S5667" s="69">
        <f>_xlfn.XLOOKUP(Results!A5667,Geometry!$B$6:$B$10000,Geometry!$C$6:$C$10000)</f>
        <v>0</v>
      </c>
      <c r="T5667" s="69"/>
      <c r="U5667" s="69"/>
    </row>
    <row r="5668" spans="19:21" ht="15" customHeight="1" x14ac:dyDescent="0.2">
      <c r="S5668" s="69">
        <f>_xlfn.XLOOKUP(Results!A5668,Geometry!$B$6:$B$10000,Geometry!$C$6:$C$10000)</f>
        <v>0</v>
      </c>
      <c r="T5668" s="69"/>
      <c r="U5668" s="69"/>
    </row>
    <row r="5669" spans="19:21" ht="15" customHeight="1" x14ac:dyDescent="0.2">
      <c r="S5669" s="69">
        <f>_xlfn.XLOOKUP(Results!A5669,Geometry!$B$6:$B$10000,Geometry!$C$6:$C$10000)</f>
        <v>0</v>
      </c>
      <c r="T5669" s="69"/>
      <c r="U5669" s="69"/>
    </row>
    <row r="5670" spans="19:21" ht="15" customHeight="1" x14ac:dyDescent="0.2">
      <c r="S5670" s="69">
        <f>_xlfn.XLOOKUP(Results!A5670,Geometry!$B$6:$B$10000,Geometry!$C$6:$C$10000)</f>
        <v>0</v>
      </c>
      <c r="T5670" s="69"/>
      <c r="U5670" s="69"/>
    </row>
    <row r="5671" spans="19:21" ht="15" customHeight="1" x14ac:dyDescent="0.2">
      <c r="S5671" s="69">
        <f>_xlfn.XLOOKUP(Results!A5671,Geometry!$B$6:$B$10000,Geometry!$C$6:$C$10000)</f>
        <v>0</v>
      </c>
      <c r="T5671" s="69"/>
      <c r="U5671" s="69"/>
    </row>
    <row r="5672" spans="19:21" ht="15" customHeight="1" x14ac:dyDescent="0.2">
      <c r="S5672" s="69">
        <f>_xlfn.XLOOKUP(Results!A5672,Geometry!$B$6:$B$10000,Geometry!$C$6:$C$10000)</f>
        <v>0</v>
      </c>
      <c r="T5672" s="69"/>
      <c r="U5672" s="69"/>
    </row>
    <row r="5673" spans="19:21" ht="15" customHeight="1" x14ac:dyDescent="0.2">
      <c r="S5673" s="69">
        <f>_xlfn.XLOOKUP(Results!A5673,Geometry!$B$6:$B$10000,Geometry!$C$6:$C$10000)</f>
        <v>0</v>
      </c>
      <c r="T5673" s="69"/>
      <c r="U5673" s="69"/>
    </row>
    <row r="5674" spans="19:21" ht="15" customHeight="1" x14ac:dyDescent="0.2">
      <c r="S5674" s="69">
        <f>_xlfn.XLOOKUP(Results!A5674,Geometry!$B$6:$B$10000,Geometry!$C$6:$C$10000)</f>
        <v>0</v>
      </c>
      <c r="T5674" s="69"/>
      <c r="U5674" s="69"/>
    </row>
    <row r="5675" spans="19:21" ht="15" customHeight="1" x14ac:dyDescent="0.2">
      <c r="S5675" s="69">
        <f>_xlfn.XLOOKUP(Results!A5675,Geometry!$B$6:$B$10000,Geometry!$C$6:$C$10000)</f>
        <v>0</v>
      </c>
      <c r="T5675" s="69"/>
      <c r="U5675" s="69"/>
    </row>
    <row r="5676" spans="19:21" ht="15" customHeight="1" x14ac:dyDescent="0.2">
      <c r="S5676" s="69">
        <f>_xlfn.XLOOKUP(Results!A5676,Geometry!$B$6:$B$10000,Geometry!$C$6:$C$10000)</f>
        <v>0</v>
      </c>
      <c r="T5676" s="69"/>
      <c r="U5676" s="69"/>
    </row>
    <row r="5677" spans="19:21" ht="15" customHeight="1" x14ac:dyDescent="0.2">
      <c r="S5677" s="69">
        <f>_xlfn.XLOOKUP(Results!A5677,Geometry!$B$6:$B$10000,Geometry!$C$6:$C$10000)</f>
        <v>0</v>
      </c>
      <c r="T5677" s="69"/>
      <c r="U5677" s="69"/>
    </row>
    <row r="5678" spans="19:21" ht="15" customHeight="1" x14ac:dyDescent="0.2">
      <c r="S5678" s="69">
        <f>_xlfn.XLOOKUP(Results!A5678,Geometry!$B$6:$B$10000,Geometry!$C$6:$C$10000)</f>
        <v>0</v>
      </c>
      <c r="T5678" s="69"/>
      <c r="U5678" s="69"/>
    </row>
    <row r="5679" spans="19:21" ht="15" customHeight="1" x14ac:dyDescent="0.2">
      <c r="S5679" s="69">
        <f>_xlfn.XLOOKUP(Results!A5679,Geometry!$B$6:$B$10000,Geometry!$C$6:$C$10000)</f>
        <v>0</v>
      </c>
      <c r="T5679" s="69"/>
      <c r="U5679" s="69"/>
    </row>
    <row r="5680" spans="19:21" ht="15" customHeight="1" x14ac:dyDescent="0.2">
      <c r="S5680" s="69">
        <f>_xlfn.XLOOKUP(Results!A5680,Geometry!$B$6:$B$10000,Geometry!$C$6:$C$10000)</f>
        <v>0</v>
      </c>
      <c r="T5680" s="69"/>
      <c r="U5680" s="69"/>
    </row>
    <row r="5681" spans="19:21" ht="15" customHeight="1" x14ac:dyDescent="0.2">
      <c r="S5681" s="69">
        <f>_xlfn.XLOOKUP(Results!A5681,Geometry!$B$6:$B$10000,Geometry!$C$6:$C$10000)</f>
        <v>0</v>
      </c>
      <c r="T5681" s="69"/>
      <c r="U5681" s="69"/>
    </row>
    <row r="5682" spans="19:21" ht="15" customHeight="1" x14ac:dyDescent="0.2">
      <c r="S5682" s="69">
        <f>_xlfn.XLOOKUP(Results!A5682,Geometry!$B$6:$B$10000,Geometry!$C$6:$C$10000)</f>
        <v>0</v>
      </c>
      <c r="T5682" s="69"/>
      <c r="U5682" s="69"/>
    </row>
    <row r="5683" spans="19:21" ht="15" customHeight="1" x14ac:dyDescent="0.2">
      <c r="S5683" s="69">
        <f>_xlfn.XLOOKUP(Results!A5683,Geometry!$B$6:$B$10000,Geometry!$C$6:$C$10000)</f>
        <v>0</v>
      </c>
      <c r="T5683" s="69"/>
      <c r="U5683" s="69"/>
    </row>
    <row r="5684" spans="19:21" ht="15" customHeight="1" x14ac:dyDescent="0.2">
      <c r="S5684" s="69">
        <f>_xlfn.XLOOKUP(Results!A5684,Geometry!$B$6:$B$10000,Geometry!$C$6:$C$10000)</f>
        <v>0</v>
      </c>
      <c r="T5684" s="69"/>
      <c r="U5684" s="69"/>
    </row>
    <row r="5685" spans="19:21" ht="15" customHeight="1" x14ac:dyDescent="0.2">
      <c r="S5685" s="69">
        <f>_xlfn.XLOOKUP(Results!A5685,Geometry!$B$6:$B$10000,Geometry!$C$6:$C$10000)</f>
        <v>0</v>
      </c>
      <c r="T5685" s="69"/>
      <c r="U5685" s="69"/>
    </row>
    <row r="5686" spans="19:21" ht="15" customHeight="1" x14ac:dyDescent="0.2">
      <c r="S5686" s="69">
        <f>_xlfn.XLOOKUP(Results!A5686,Geometry!$B$6:$B$10000,Geometry!$C$6:$C$10000)</f>
        <v>0</v>
      </c>
      <c r="T5686" s="69"/>
      <c r="U5686" s="69"/>
    </row>
    <row r="5687" spans="19:21" ht="15" customHeight="1" x14ac:dyDescent="0.2">
      <c r="S5687" s="69">
        <f>_xlfn.XLOOKUP(Results!A5687,Geometry!$B$6:$B$10000,Geometry!$C$6:$C$10000)</f>
        <v>0</v>
      </c>
      <c r="T5687" s="69"/>
      <c r="U5687" s="69"/>
    </row>
    <row r="5688" spans="19:21" ht="15" customHeight="1" x14ac:dyDescent="0.2">
      <c r="S5688" s="69">
        <f>_xlfn.XLOOKUP(Results!A5688,Geometry!$B$6:$B$10000,Geometry!$C$6:$C$10000)</f>
        <v>0</v>
      </c>
      <c r="T5688" s="69"/>
      <c r="U5688" s="69"/>
    </row>
    <row r="5689" spans="19:21" ht="15" customHeight="1" x14ac:dyDescent="0.2">
      <c r="S5689" s="69">
        <f>_xlfn.XLOOKUP(Results!A5689,Geometry!$B$6:$B$10000,Geometry!$C$6:$C$10000)</f>
        <v>0</v>
      </c>
      <c r="T5689" s="69"/>
      <c r="U5689" s="69"/>
    </row>
    <row r="5690" spans="19:21" ht="15" customHeight="1" x14ac:dyDescent="0.2">
      <c r="S5690" s="69">
        <f>_xlfn.XLOOKUP(Results!A5690,Geometry!$B$6:$B$10000,Geometry!$C$6:$C$10000)</f>
        <v>0</v>
      </c>
      <c r="T5690" s="69"/>
      <c r="U5690" s="69"/>
    </row>
    <row r="5691" spans="19:21" ht="15" customHeight="1" x14ac:dyDescent="0.2">
      <c r="S5691" s="69">
        <f>_xlfn.XLOOKUP(Results!A5691,Geometry!$B$6:$B$10000,Geometry!$C$6:$C$10000)</f>
        <v>0</v>
      </c>
      <c r="T5691" s="69"/>
      <c r="U5691" s="69"/>
    </row>
    <row r="5692" spans="19:21" ht="15" customHeight="1" x14ac:dyDescent="0.2">
      <c r="S5692" s="69">
        <f>_xlfn.XLOOKUP(Results!A5692,Geometry!$B$6:$B$10000,Geometry!$C$6:$C$10000)</f>
        <v>0</v>
      </c>
      <c r="T5692" s="69"/>
      <c r="U5692" s="69"/>
    </row>
    <row r="5693" spans="19:21" ht="15" customHeight="1" x14ac:dyDescent="0.2">
      <c r="S5693" s="69">
        <f>_xlfn.XLOOKUP(Results!A5693,Geometry!$B$6:$B$10000,Geometry!$C$6:$C$10000)</f>
        <v>0</v>
      </c>
      <c r="T5693" s="69"/>
      <c r="U5693" s="69"/>
    </row>
    <row r="5694" spans="19:21" ht="15" customHeight="1" x14ac:dyDescent="0.2">
      <c r="S5694" s="69">
        <f>_xlfn.XLOOKUP(Results!A5694,Geometry!$B$6:$B$10000,Geometry!$C$6:$C$10000)</f>
        <v>0</v>
      </c>
      <c r="T5694" s="69"/>
      <c r="U5694" s="69"/>
    </row>
    <row r="5695" spans="19:21" ht="15" customHeight="1" x14ac:dyDescent="0.2">
      <c r="S5695" s="69">
        <f>_xlfn.XLOOKUP(Results!A5695,Geometry!$B$6:$B$10000,Geometry!$C$6:$C$10000)</f>
        <v>0</v>
      </c>
      <c r="T5695" s="69"/>
      <c r="U5695" s="69"/>
    </row>
    <row r="5696" spans="19:21" ht="15" customHeight="1" x14ac:dyDescent="0.2">
      <c r="S5696" s="69">
        <f>_xlfn.XLOOKUP(Results!A5696,Geometry!$B$6:$B$10000,Geometry!$C$6:$C$10000)</f>
        <v>0</v>
      </c>
      <c r="T5696" s="69"/>
      <c r="U5696" s="69"/>
    </row>
    <row r="5697" spans="19:21" ht="15" customHeight="1" x14ac:dyDescent="0.2">
      <c r="S5697" s="69">
        <f>_xlfn.XLOOKUP(Results!A5697,Geometry!$B$6:$B$10000,Geometry!$C$6:$C$10000)</f>
        <v>0</v>
      </c>
      <c r="T5697" s="69"/>
      <c r="U5697" s="69"/>
    </row>
    <row r="5698" spans="19:21" ht="15" customHeight="1" x14ac:dyDescent="0.2">
      <c r="S5698" s="69">
        <f>_xlfn.XLOOKUP(Results!A5698,Geometry!$B$6:$B$10000,Geometry!$C$6:$C$10000)</f>
        <v>0</v>
      </c>
      <c r="T5698" s="69"/>
      <c r="U5698" s="69"/>
    </row>
    <row r="5699" spans="19:21" ht="15" customHeight="1" x14ac:dyDescent="0.2">
      <c r="S5699" s="69">
        <f>_xlfn.XLOOKUP(Results!A5699,Geometry!$B$6:$B$10000,Geometry!$C$6:$C$10000)</f>
        <v>0</v>
      </c>
      <c r="T5699" s="69"/>
      <c r="U5699" s="69"/>
    </row>
    <row r="5700" spans="19:21" ht="15" customHeight="1" x14ac:dyDescent="0.2">
      <c r="S5700" s="69">
        <f>_xlfn.XLOOKUP(Results!A5700,Geometry!$B$6:$B$10000,Geometry!$C$6:$C$10000)</f>
        <v>0</v>
      </c>
      <c r="T5700" s="69"/>
      <c r="U5700" s="69"/>
    </row>
    <row r="5701" spans="19:21" ht="15" customHeight="1" x14ac:dyDescent="0.2">
      <c r="S5701" s="69">
        <f>_xlfn.XLOOKUP(Results!A5701,Geometry!$B$6:$B$10000,Geometry!$C$6:$C$10000)</f>
        <v>0</v>
      </c>
      <c r="T5701" s="69"/>
      <c r="U5701" s="69"/>
    </row>
    <row r="5702" spans="19:21" ht="15" customHeight="1" x14ac:dyDescent="0.2">
      <c r="S5702" s="69">
        <f>_xlfn.XLOOKUP(Results!A5702,Geometry!$B$6:$B$10000,Geometry!$C$6:$C$10000)</f>
        <v>0</v>
      </c>
      <c r="T5702" s="69"/>
      <c r="U5702" s="69"/>
    </row>
    <row r="5703" spans="19:21" ht="15" customHeight="1" x14ac:dyDescent="0.2">
      <c r="S5703" s="69">
        <f>_xlfn.XLOOKUP(Results!A5703,Geometry!$B$6:$B$10000,Geometry!$C$6:$C$10000)</f>
        <v>0</v>
      </c>
      <c r="T5703" s="69"/>
      <c r="U5703" s="69"/>
    </row>
    <row r="5704" spans="19:21" ht="15" customHeight="1" x14ac:dyDescent="0.2">
      <c r="S5704" s="69">
        <f>_xlfn.XLOOKUP(Results!A5704,Geometry!$B$6:$B$10000,Geometry!$C$6:$C$10000)</f>
        <v>0</v>
      </c>
      <c r="T5704" s="69"/>
      <c r="U5704" s="69"/>
    </row>
    <row r="5705" spans="19:21" ht="15" customHeight="1" x14ac:dyDescent="0.2">
      <c r="S5705" s="69">
        <f>_xlfn.XLOOKUP(Results!A5705,Geometry!$B$6:$B$10000,Geometry!$C$6:$C$10000)</f>
        <v>0</v>
      </c>
      <c r="T5705" s="69"/>
      <c r="U5705" s="69"/>
    </row>
    <row r="5706" spans="19:21" ht="15" customHeight="1" x14ac:dyDescent="0.2">
      <c r="S5706" s="69">
        <f>_xlfn.XLOOKUP(Results!A5706,Geometry!$B$6:$B$10000,Geometry!$C$6:$C$10000)</f>
        <v>0</v>
      </c>
      <c r="T5706" s="69"/>
      <c r="U5706" s="69"/>
    </row>
    <row r="5707" spans="19:21" ht="15" customHeight="1" x14ac:dyDescent="0.2">
      <c r="S5707" s="69">
        <f>_xlfn.XLOOKUP(Results!A5707,Geometry!$B$6:$B$10000,Geometry!$C$6:$C$10000)</f>
        <v>0</v>
      </c>
      <c r="T5707" s="69"/>
      <c r="U5707" s="69"/>
    </row>
    <row r="5708" spans="19:21" ht="15" customHeight="1" x14ac:dyDescent="0.2">
      <c r="S5708" s="69">
        <f>_xlfn.XLOOKUP(Results!A5708,Geometry!$B$6:$B$10000,Geometry!$C$6:$C$10000)</f>
        <v>0</v>
      </c>
      <c r="T5708" s="69"/>
      <c r="U5708" s="69"/>
    </row>
    <row r="5709" spans="19:21" ht="15" customHeight="1" x14ac:dyDescent="0.2">
      <c r="S5709" s="69">
        <f>_xlfn.XLOOKUP(Results!A5709,Geometry!$B$6:$B$10000,Geometry!$C$6:$C$10000)</f>
        <v>0</v>
      </c>
      <c r="T5709" s="69"/>
      <c r="U5709" s="69"/>
    </row>
    <row r="5710" spans="19:21" ht="15" customHeight="1" x14ac:dyDescent="0.2">
      <c r="S5710" s="69">
        <f>_xlfn.XLOOKUP(Results!A5710,Geometry!$B$6:$B$10000,Geometry!$C$6:$C$10000)</f>
        <v>0</v>
      </c>
      <c r="T5710" s="69"/>
      <c r="U5710" s="69"/>
    </row>
    <row r="5711" spans="19:21" ht="15" customHeight="1" x14ac:dyDescent="0.2">
      <c r="S5711" s="69">
        <f>_xlfn.XLOOKUP(Results!A5711,Geometry!$B$6:$B$10000,Geometry!$C$6:$C$10000)</f>
        <v>0</v>
      </c>
      <c r="T5711" s="69"/>
      <c r="U5711" s="69"/>
    </row>
    <row r="5712" spans="19:21" ht="15" customHeight="1" x14ac:dyDescent="0.2">
      <c r="S5712" s="69">
        <f>_xlfn.XLOOKUP(Results!A5712,Geometry!$B$6:$B$10000,Geometry!$C$6:$C$10000)</f>
        <v>0</v>
      </c>
      <c r="T5712" s="69"/>
      <c r="U5712" s="69"/>
    </row>
    <row r="5713" spans="19:21" ht="15" customHeight="1" x14ac:dyDescent="0.2">
      <c r="S5713" s="69">
        <f>_xlfn.XLOOKUP(Results!A5713,Geometry!$B$6:$B$10000,Geometry!$C$6:$C$10000)</f>
        <v>0</v>
      </c>
      <c r="T5713" s="69"/>
      <c r="U5713" s="69"/>
    </row>
    <row r="5714" spans="19:21" ht="15" customHeight="1" x14ac:dyDescent="0.2">
      <c r="S5714" s="69">
        <f>_xlfn.XLOOKUP(Results!A5714,Geometry!$B$6:$B$10000,Geometry!$C$6:$C$10000)</f>
        <v>0</v>
      </c>
      <c r="T5714" s="69"/>
      <c r="U5714" s="69"/>
    </row>
    <row r="5715" spans="19:21" ht="15" customHeight="1" x14ac:dyDescent="0.2">
      <c r="S5715" s="69">
        <f>_xlfn.XLOOKUP(Results!A5715,Geometry!$B$6:$B$10000,Geometry!$C$6:$C$10000)</f>
        <v>0</v>
      </c>
      <c r="T5715" s="69"/>
      <c r="U5715" s="69"/>
    </row>
    <row r="5716" spans="19:21" ht="15" customHeight="1" x14ac:dyDescent="0.2">
      <c r="S5716" s="69">
        <f>_xlfn.XLOOKUP(Results!A5716,Geometry!$B$6:$B$10000,Geometry!$C$6:$C$10000)</f>
        <v>0</v>
      </c>
      <c r="T5716" s="69"/>
      <c r="U5716" s="69"/>
    </row>
    <row r="5717" spans="19:21" ht="15" customHeight="1" x14ac:dyDescent="0.2">
      <c r="S5717" s="69">
        <f>_xlfn.XLOOKUP(Results!A5717,Geometry!$B$6:$B$10000,Geometry!$C$6:$C$10000)</f>
        <v>0</v>
      </c>
      <c r="T5717" s="69"/>
      <c r="U5717" s="69"/>
    </row>
    <row r="5718" spans="19:21" ht="15" customHeight="1" x14ac:dyDescent="0.2">
      <c r="S5718" s="69">
        <f>_xlfn.XLOOKUP(Results!A5718,Geometry!$B$6:$B$10000,Geometry!$C$6:$C$10000)</f>
        <v>0</v>
      </c>
      <c r="T5718" s="69"/>
      <c r="U5718" s="69"/>
    </row>
    <row r="5719" spans="19:21" ht="15" customHeight="1" x14ac:dyDescent="0.2">
      <c r="S5719" s="69">
        <f>_xlfn.XLOOKUP(Results!A5719,Geometry!$B$6:$B$10000,Geometry!$C$6:$C$10000)</f>
        <v>0</v>
      </c>
      <c r="T5719" s="69"/>
      <c r="U5719" s="69"/>
    </row>
    <row r="5720" spans="19:21" ht="15" customHeight="1" x14ac:dyDescent="0.2">
      <c r="S5720" s="69">
        <f>_xlfn.XLOOKUP(Results!A5720,Geometry!$B$6:$B$10000,Geometry!$C$6:$C$10000)</f>
        <v>0</v>
      </c>
      <c r="T5720" s="69"/>
      <c r="U5720" s="69"/>
    </row>
    <row r="5721" spans="19:21" ht="15" customHeight="1" x14ac:dyDescent="0.2">
      <c r="S5721" s="69">
        <f>_xlfn.XLOOKUP(Results!A5721,Geometry!$B$6:$B$10000,Geometry!$C$6:$C$10000)</f>
        <v>0</v>
      </c>
      <c r="T5721" s="69"/>
      <c r="U5721" s="69"/>
    </row>
    <row r="5722" spans="19:21" ht="15" customHeight="1" x14ac:dyDescent="0.2">
      <c r="S5722" s="69">
        <f>_xlfn.XLOOKUP(Results!A5722,Geometry!$B$6:$B$10000,Geometry!$C$6:$C$10000)</f>
        <v>0</v>
      </c>
      <c r="T5722" s="69"/>
      <c r="U5722" s="69"/>
    </row>
    <row r="5723" spans="19:21" ht="15" customHeight="1" x14ac:dyDescent="0.2">
      <c r="S5723" s="69">
        <f>_xlfn.XLOOKUP(Results!A5723,Geometry!$B$6:$B$10000,Geometry!$C$6:$C$10000)</f>
        <v>0</v>
      </c>
      <c r="T5723" s="69"/>
      <c r="U5723" s="69"/>
    </row>
    <row r="5724" spans="19:21" ht="15" customHeight="1" x14ac:dyDescent="0.2">
      <c r="S5724" s="69">
        <f>_xlfn.XLOOKUP(Results!A5724,Geometry!$B$6:$B$10000,Geometry!$C$6:$C$10000)</f>
        <v>0</v>
      </c>
      <c r="T5724" s="69"/>
      <c r="U5724" s="69"/>
    </row>
    <row r="5725" spans="19:21" ht="15" customHeight="1" x14ac:dyDescent="0.2">
      <c r="S5725" s="69">
        <f>_xlfn.XLOOKUP(Results!A5725,Geometry!$B$6:$B$10000,Geometry!$C$6:$C$10000)</f>
        <v>0</v>
      </c>
      <c r="T5725" s="69"/>
      <c r="U5725" s="69"/>
    </row>
    <row r="5726" spans="19:21" ht="15" customHeight="1" x14ac:dyDescent="0.2">
      <c r="S5726" s="69">
        <f>_xlfn.XLOOKUP(Results!A5726,Geometry!$B$6:$B$10000,Geometry!$C$6:$C$10000)</f>
        <v>0</v>
      </c>
      <c r="T5726" s="69"/>
      <c r="U5726" s="69"/>
    </row>
    <row r="5727" spans="19:21" ht="15" customHeight="1" x14ac:dyDescent="0.2">
      <c r="S5727" s="69">
        <f>_xlfn.XLOOKUP(Results!A5727,Geometry!$B$6:$B$10000,Geometry!$C$6:$C$10000)</f>
        <v>0</v>
      </c>
      <c r="T5727" s="69"/>
      <c r="U5727" s="69"/>
    </row>
    <row r="5728" spans="19:21" ht="15" customHeight="1" x14ac:dyDescent="0.2">
      <c r="S5728" s="69">
        <f>_xlfn.XLOOKUP(Results!A5728,Geometry!$B$6:$B$10000,Geometry!$C$6:$C$10000)</f>
        <v>0</v>
      </c>
      <c r="T5728" s="69"/>
      <c r="U5728" s="69"/>
    </row>
    <row r="5729" spans="19:21" ht="15" customHeight="1" x14ac:dyDescent="0.2">
      <c r="S5729" s="69">
        <f>_xlfn.XLOOKUP(Results!A5729,Geometry!$B$6:$B$10000,Geometry!$C$6:$C$10000)</f>
        <v>0</v>
      </c>
      <c r="T5729" s="69"/>
      <c r="U5729" s="69"/>
    </row>
    <row r="5730" spans="19:21" ht="15" customHeight="1" x14ac:dyDescent="0.2">
      <c r="S5730" s="69">
        <f>_xlfn.XLOOKUP(Results!A5730,Geometry!$B$6:$B$10000,Geometry!$C$6:$C$10000)</f>
        <v>0</v>
      </c>
      <c r="T5730" s="69"/>
      <c r="U5730" s="69"/>
    </row>
    <row r="5731" spans="19:21" ht="15" customHeight="1" x14ac:dyDescent="0.2">
      <c r="S5731" s="69">
        <f>_xlfn.XLOOKUP(Results!A5731,Geometry!$B$6:$B$10000,Geometry!$C$6:$C$10000)</f>
        <v>0</v>
      </c>
      <c r="T5731" s="69"/>
      <c r="U5731" s="69"/>
    </row>
    <row r="5732" spans="19:21" ht="15" customHeight="1" x14ac:dyDescent="0.2">
      <c r="S5732" s="69">
        <f>_xlfn.XLOOKUP(Results!A5732,Geometry!$B$6:$B$10000,Geometry!$C$6:$C$10000)</f>
        <v>0</v>
      </c>
      <c r="T5732" s="69"/>
      <c r="U5732" s="69"/>
    </row>
    <row r="5733" spans="19:21" ht="15" customHeight="1" x14ac:dyDescent="0.2">
      <c r="S5733" s="69">
        <f>_xlfn.XLOOKUP(Results!A5733,Geometry!$B$6:$B$10000,Geometry!$C$6:$C$10000)</f>
        <v>0</v>
      </c>
      <c r="T5733" s="69"/>
      <c r="U5733" s="69"/>
    </row>
    <row r="5734" spans="19:21" ht="15" customHeight="1" x14ac:dyDescent="0.2">
      <c r="S5734" s="69">
        <f>_xlfn.XLOOKUP(Results!A5734,Geometry!$B$6:$B$10000,Geometry!$C$6:$C$10000)</f>
        <v>0</v>
      </c>
      <c r="T5734" s="69"/>
      <c r="U5734" s="69"/>
    </row>
    <row r="5735" spans="19:21" ht="15" customHeight="1" x14ac:dyDescent="0.2">
      <c r="S5735" s="69">
        <f>_xlfn.XLOOKUP(Results!A5735,Geometry!$B$6:$B$10000,Geometry!$C$6:$C$10000)</f>
        <v>0</v>
      </c>
      <c r="T5735" s="69"/>
      <c r="U5735" s="69"/>
    </row>
    <row r="5736" spans="19:21" ht="15" customHeight="1" x14ac:dyDescent="0.2">
      <c r="S5736" s="69">
        <f>_xlfn.XLOOKUP(Results!A5736,Geometry!$B$6:$B$10000,Geometry!$C$6:$C$10000)</f>
        <v>0</v>
      </c>
      <c r="T5736" s="69"/>
      <c r="U5736" s="69"/>
    </row>
    <row r="5737" spans="19:21" ht="15" customHeight="1" x14ac:dyDescent="0.2">
      <c r="S5737" s="69">
        <f>_xlfn.XLOOKUP(Results!A5737,Geometry!$B$6:$B$10000,Geometry!$C$6:$C$10000)</f>
        <v>0</v>
      </c>
      <c r="T5737" s="69"/>
      <c r="U5737" s="69"/>
    </row>
    <row r="5738" spans="19:21" ht="15" customHeight="1" x14ac:dyDescent="0.2">
      <c r="S5738" s="69">
        <f>_xlfn.XLOOKUP(Results!A5738,Geometry!$B$6:$B$10000,Geometry!$C$6:$C$10000)</f>
        <v>0</v>
      </c>
      <c r="T5738" s="69"/>
      <c r="U5738" s="69"/>
    </row>
    <row r="5739" spans="19:21" ht="15" customHeight="1" x14ac:dyDescent="0.2">
      <c r="S5739" s="69">
        <f>_xlfn.XLOOKUP(Results!A5739,Geometry!$B$6:$B$10000,Geometry!$C$6:$C$10000)</f>
        <v>0</v>
      </c>
      <c r="T5739" s="69"/>
      <c r="U5739" s="69"/>
    </row>
    <row r="5740" spans="19:21" ht="15" customHeight="1" x14ac:dyDescent="0.2">
      <c r="S5740" s="69">
        <f>_xlfn.XLOOKUP(Results!A5740,Geometry!$B$6:$B$10000,Geometry!$C$6:$C$10000)</f>
        <v>0</v>
      </c>
      <c r="T5740" s="69"/>
      <c r="U5740" s="69"/>
    </row>
    <row r="5741" spans="19:21" ht="15" customHeight="1" x14ac:dyDescent="0.2">
      <c r="S5741" s="69">
        <f>_xlfn.XLOOKUP(Results!A5741,Geometry!$B$6:$B$10000,Geometry!$C$6:$C$10000)</f>
        <v>0</v>
      </c>
      <c r="T5741" s="69"/>
      <c r="U5741" s="69"/>
    </row>
    <row r="5742" spans="19:21" ht="15" customHeight="1" x14ac:dyDescent="0.2">
      <c r="S5742" s="69">
        <f>_xlfn.XLOOKUP(Results!A5742,Geometry!$B$6:$B$10000,Geometry!$C$6:$C$10000)</f>
        <v>0</v>
      </c>
      <c r="T5742" s="69"/>
      <c r="U5742" s="69"/>
    </row>
    <row r="5743" spans="19:21" ht="15" customHeight="1" x14ac:dyDescent="0.2">
      <c r="S5743" s="69">
        <f>_xlfn.XLOOKUP(Results!A5743,Geometry!$B$6:$B$10000,Geometry!$C$6:$C$10000)</f>
        <v>0</v>
      </c>
      <c r="T5743" s="69"/>
      <c r="U5743" s="69"/>
    </row>
    <row r="5744" spans="19:21" ht="15" customHeight="1" x14ac:dyDescent="0.2">
      <c r="S5744" s="69">
        <f>_xlfn.XLOOKUP(Results!A5744,Geometry!$B$6:$B$10000,Geometry!$C$6:$C$10000)</f>
        <v>0</v>
      </c>
      <c r="T5744" s="69"/>
      <c r="U5744" s="69"/>
    </row>
    <row r="5745" spans="19:21" ht="15" customHeight="1" x14ac:dyDescent="0.2">
      <c r="S5745" s="69">
        <f>_xlfn.XLOOKUP(Results!A5745,Geometry!$B$6:$B$10000,Geometry!$C$6:$C$10000)</f>
        <v>0</v>
      </c>
      <c r="T5745" s="69"/>
      <c r="U5745" s="69"/>
    </row>
    <row r="5746" spans="19:21" ht="15" customHeight="1" x14ac:dyDescent="0.2">
      <c r="S5746" s="69">
        <f>_xlfn.XLOOKUP(Results!A5746,Geometry!$B$6:$B$10000,Geometry!$C$6:$C$10000)</f>
        <v>0</v>
      </c>
      <c r="T5746" s="69"/>
      <c r="U5746" s="69"/>
    </row>
    <row r="5747" spans="19:21" ht="15" customHeight="1" x14ac:dyDescent="0.2">
      <c r="S5747" s="69">
        <f>_xlfn.XLOOKUP(Results!A5747,Geometry!$B$6:$B$10000,Geometry!$C$6:$C$10000)</f>
        <v>0</v>
      </c>
      <c r="T5747" s="69"/>
      <c r="U5747" s="69"/>
    </row>
    <row r="5748" spans="19:21" ht="15" customHeight="1" x14ac:dyDescent="0.2">
      <c r="S5748" s="69">
        <f>_xlfn.XLOOKUP(Results!A5748,Geometry!$B$6:$B$10000,Geometry!$C$6:$C$10000)</f>
        <v>0</v>
      </c>
      <c r="T5748" s="69"/>
      <c r="U5748" s="69"/>
    </row>
    <row r="5749" spans="19:21" ht="15" customHeight="1" x14ac:dyDescent="0.2">
      <c r="S5749" s="69">
        <f>_xlfn.XLOOKUP(Results!A5749,Geometry!$B$6:$B$10000,Geometry!$C$6:$C$10000)</f>
        <v>0</v>
      </c>
      <c r="T5749" s="69"/>
      <c r="U5749" s="69"/>
    </row>
    <row r="5750" spans="19:21" ht="15" customHeight="1" x14ac:dyDescent="0.2">
      <c r="S5750" s="69">
        <f>_xlfn.XLOOKUP(Results!A5750,Geometry!$B$6:$B$10000,Geometry!$C$6:$C$10000)</f>
        <v>0</v>
      </c>
      <c r="T5750" s="69"/>
      <c r="U5750" s="69"/>
    </row>
    <row r="5751" spans="19:21" ht="15" customHeight="1" x14ac:dyDescent="0.2">
      <c r="S5751" s="69">
        <f>_xlfn.XLOOKUP(Results!A5751,Geometry!$B$6:$B$10000,Geometry!$C$6:$C$10000)</f>
        <v>0</v>
      </c>
      <c r="T5751" s="69"/>
      <c r="U5751" s="69"/>
    </row>
    <row r="5752" spans="19:21" ht="15" customHeight="1" x14ac:dyDescent="0.2">
      <c r="S5752" s="69">
        <f>_xlfn.XLOOKUP(Results!A5752,Geometry!$B$6:$B$10000,Geometry!$C$6:$C$10000)</f>
        <v>0</v>
      </c>
      <c r="T5752" s="69"/>
      <c r="U5752" s="69"/>
    </row>
    <row r="5753" spans="19:21" ht="15" customHeight="1" x14ac:dyDescent="0.2">
      <c r="S5753" s="69">
        <f>_xlfn.XLOOKUP(Results!A5753,Geometry!$B$6:$B$10000,Geometry!$C$6:$C$10000)</f>
        <v>0</v>
      </c>
      <c r="T5753" s="69"/>
      <c r="U5753" s="69"/>
    </row>
    <row r="5754" spans="19:21" ht="15" customHeight="1" x14ac:dyDescent="0.2">
      <c r="S5754" s="69">
        <f>_xlfn.XLOOKUP(Results!A5754,Geometry!$B$6:$B$10000,Geometry!$C$6:$C$10000)</f>
        <v>0</v>
      </c>
      <c r="T5754" s="69"/>
      <c r="U5754" s="69"/>
    </row>
    <row r="5755" spans="19:21" ht="15" customHeight="1" x14ac:dyDescent="0.2">
      <c r="S5755" s="69">
        <f>_xlfn.XLOOKUP(Results!A5755,Geometry!$B$6:$B$10000,Geometry!$C$6:$C$10000)</f>
        <v>0</v>
      </c>
      <c r="T5755" s="69"/>
      <c r="U5755" s="69"/>
    </row>
    <row r="5756" spans="19:21" ht="15" customHeight="1" x14ac:dyDescent="0.2">
      <c r="S5756" s="69">
        <f>_xlfn.XLOOKUP(Results!A5756,Geometry!$B$6:$B$10000,Geometry!$C$6:$C$10000)</f>
        <v>0</v>
      </c>
      <c r="T5756" s="69"/>
      <c r="U5756" s="69"/>
    </row>
    <row r="5757" spans="19:21" ht="15" customHeight="1" x14ac:dyDescent="0.2">
      <c r="S5757" s="69">
        <f>_xlfn.XLOOKUP(Results!A5757,Geometry!$B$6:$B$10000,Geometry!$C$6:$C$10000)</f>
        <v>0</v>
      </c>
      <c r="T5757" s="69"/>
      <c r="U5757" s="69"/>
    </row>
    <row r="5758" spans="19:21" ht="15" customHeight="1" x14ac:dyDescent="0.2">
      <c r="S5758" s="69">
        <f>_xlfn.XLOOKUP(Results!A5758,Geometry!$B$6:$B$10000,Geometry!$C$6:$C$10000)</f>
        <v>0</v>
      </c>
      <c r="T5758" s="69"/>
      <c r="U5758" s="69"/>
    </row>
    <row r="5759" spans="19:21" ht="15" customHeight="1" x14ac:dyDescent="0.2">
      <c r="S5759" s="69">
        <f>_xlfn.XLOOKUP(Results!A5759,Geometry!$B$6:$B$10000,Geometry!$C$6:$C$10000)</f>
        <v>0</v>
      </c>
      <c r="T5759" s="69"/>
      <c r="U5759" s="69"/>
    </row>
    <row r="5760" spans="19:21" ht="15" customHeight="1" x14ac:dyDescent="0.2">
      <c r="S5760" s="69">
        <f>_xlfn.XLOOKUP(Results!A5760,Geometry!$B$6:$B$10000,Geometry!$C$6:$C$10000)</f>
        <v>0</v>
      </c>
      <c r="T5760" s="69"/>
      <c r="U5760" s="69"/>
    </row>
    <row r="5761" spans="19:21" ht="15" customHeight="1" x14ac:dyDescent="0.2">
      <c r="S5761" s="69">
        <f>_xlfn.XLOOKUP(Results!A5761,Geometry!$B$6:$B$10000,Geometry!$C$6:$C$10000)</f>
        <v>0</v>
      </c>
      <c r="T5761" s="69"/>
      <c r="U5761" s="69"/>
    </row>
    <row r="5762" spans="19:21" ht="15" customHeight="1" x14ac:dyDescent="0.2">
      <c r="S5762" s="69">
        <f>_xlfn.XLOOKUP(Results!A5762,Geometry!$B$6:$B$10000,Geometry!$C$6:$C$10000)</f>
        <v>0</v>
      </c>
      <c r="T5762" s="69"/>
      <c r="U5762" s="69"/>
    </row>
    <row r="5763" spans="19:21" ht="15" customHeight="1" x14ac:dyDescent="0.2">
      <c r="S5763" s="69">
        <f>_xlfn.XLOOKUP(Results!A5763,Geometry!$B$6:$B$10000,Geometry!$C$6:$C$10000)</f>
        <v>0</v>
      </c>
      <c r="T5763" s="69"/>
      <c r="U5763" s="69"/>
    </row>
    <row r="5764" spans="19:21" ht="15" customHeight="1" x14ac:dyDescent="0.2">
      <c r="S5764" s="69">
        <f>_xlfn.XLOOKUP(Results!A5764,Geometry!$B$6:$B$10000,Geometry!$C$6:$C$10000)</f>
        <v>0</v>
      </c>
      <c r="T5764" s="69"/>
      <c r="U5764" s="69"/>
    </row>
    <row r="5765" spans="19:21" ht="15" customHeight="1" x14ac:dyDescent="0.2">
      <c r="S5765" s="69">
        <f>_xlfn.XLOOKUP(Results!A5765,Geometry!$B$6:$B$10000,Geometry!$C$6:$C$10000)</f>
        <v>0</v>
      </c>
      <c r="T5765" s="69"/>
      <c r="U5765" s="69"/>
    </row>
    <row r="5766" spans="19:21" ht="15" customHeight="1" x14ac:dyDescent="0.2">
      <c r="S5766" s="69">
        <f>_xlfn.XLOOKUP(Results!A5766,Geometry!$B$6:$B$10000,Geometry!$C$6:$C$10000)</f>
        <v>0</v>
      </c>
      <c r="T5766" s="69"/>
      <c r="U5766" s="69"/>
    </row>
    <row r="5767" spans="19:21" ht="15" customHeight="1" x14ac:dyDescent="0.2">
      <c r="S5767" s="69">
        <f>_xlfn.XLOOKUP(Results!A5767,Geometry!$B$6:$B$10000,Geometry!$C$6:$C$10000)</f>
        <v>0</v>
      </c>
      <c r="T5767" s="69"/>
      <c r="U5767" s="69"/>
    </row>
    <row r="5768" spans="19:21" ht="15" customHeight="1" x14ac:dyDescent="0.2">
      <c r="S5768" s="69">
        <f>_xlfn.XLOOKUP(Results!A5768,Geometry!$B$6:$B$10000,Geometry!$C$6:$C$10000)</f>
        <v>0</v>
      </c>
      <c r="T5768" s="69"/>
      <c r="U5768" s="69"/>
    </row>
    <row r="5769" spans="19:21" ht="15" customHeight="1" x14ac:dyDescent="0.2">
      <c r="S5769" s="69">
        <f>_xlfn.XLOOKUP(Results!A5769,Geometry!$B$6:$B$10000,Geometry!$C$6:$C$10000)</f>
        <v>0</v>
      </c>
      <c r="T5769" s="69"/>
      <c r="U5769" s="69"/>
    </row>
    <row r="5770" spans="19:21" ht="15" customHeight="1" x14ac:dyDescent="0.2">
      <c r="S5770" s="69">
        <f>_xlfn.XLOOKUP(Results!A5770,Geometry!$B$6:$B$10000,Geometry!$C$6:$C$10000)</f>
        <v>0</v>
      </c>
      <c r="T5770" s="69"/>
      <c r="U5770" s="69"/>
    </row>
    <row r="5771" spans="19:21" ht="15" customHeight="1" x14ac:dyDescent="0.2">
      <c r="S5771" s="69">
        <f>_xlfn.XLOOKUP(Results!A5771,Geometry!$B$6:$B$10000,Geometry!$C$6:$C$10000)</f>
        <v>0</v>
      </c>
      <c r="T5771" s="69"/>
      <c r="U5771" s="69"/>
    </row>
    <row r="5772" spans="19:21" ht="15" customHeight="1" x14ac:dyDescent="0.2">
      <c r="S5772" s="69">
        <f>_xlfn.XLOOKUP(Results!A5772,Geometry!$B$6:$B$10000,Geometry!$C$6:$C$10000)</f>
        <v>0</v>
      </c>
      <c r="T5772" s="69"/>
      <c r="U5772" s="69"/>
    </row>
    <row r="5773" spans="19:21" ht="15" customHeight="1" x14ac:dyDescent="0.2">
      <c r="S5773" s="69">
        <f>_xlfn.XLOOKUP(Results!A5773,Geometry!$B$6:$B$10000,Geometry!$C$6:$C$10000)</f>
        <v>0</v>
      </c>
      <c r="T5773" s="69"/>
      <c r="U5773" s="69"/>
    </row>
    <row r="5774" spans="19:21" ht="15" customHeight="1" x14ac:dyDescent="0.2">
      <c r="S5774" s="69">
        <f>_xlfn.XLOOKUP(Results!A5774,Geometry!$B$6:$B$10000,Geometry!$C$6:$C$10000)</f>
        <v>0</v>
      </c>
      <c r="T5774" s="69"/>
      <c r="U5774" s="69"/>
    </row>
    <row r="5775" spans="19:21" ht="15" customHeight="1" x14ac:dyDescent="0.2">
      <c r="S5775" s="69">
        <f>_xlfn.XLOOKUP(Results!A5775,Geometry!$B$6:$B$10000,Geometry!$C$6:$C$10000)</f>
        <v>0</v>
      </c>
      <c r="T5775" s="69"/>
      <c r="U5775" s="69"/>
    </row>
    <row r="5776" spans="19:21" ht="15" customHeight="1" x14ac:dyDescent="0.2">
      <c r="S5776" s="69">
        <f>_xlfn.XLOOKUP(Results!A5776,Geometry!$B$6:$B$10000,Geometry!$C$6:$C$10000)</f>
        <v>0</v>
      </c>
      <c r="T5776" s="69"/>
      <c r="U5776" s="69"/>
    </row>
    <row r="5777" spans="19:21" ht="15" customHeight="1" x14ac:dyDescent="0.2">
      <c r="S5777" s="69">
        <f>_xlfn.XLOOKUP(Results!A5777,Geometry!$B$6:$B$10000,Geometry!$C$6:$C$10000)</f>
        <v>0</v>
      </c>
      <c r="T5777" s="69"/>
      <c r="U5777" s="69"/>
    </row>
    <row r="5778" spans="19:21" ht="15" customHeight="1" x14ac:dyDescent="0.2">
      <c r="S5778" s="69">
        <f>_xlfn.XLOOKUP(Results!A5778,Geometry!$B$6:$B$10000,Geometry!$C$6:$C$10000)</f>
        <v>0</v>
      </c>
      <c r="T5778" s="69"/>
      <c r="U5778" s="69"/>
    </row>
    <row r="5779" spans="19:21" ht="15" customHeight="1" x14ac:dyDescent="0.2">
      <c r="S5779" s="69">
        <f>_xlfn.XLOOKUP(Results!A5779,Geometry!$B$6:$B$10000,Geometry!$C$6:$C$10000)</f>
        <v>0</v>
      </c>
      <c r="T5779" s="69"/>
      <c r="U5779" s="69"/>
    </row>
    <row r="5780" spans="19:21" ht="15" customHeight="1" x14ac:dyDescent="0.2">
      <c r="S5780" s="69">
        <f>_xlfn.XLOOKUP(Results!A5780,Geometry!$B$6:$B$10000,Geometry!$C$6:$C$10000)</f>
        <v>0</v>
      </c>
      <c r="T5780" s="69"/>
      <c r="U5780" s="69"/>
    </row>
    <row r="5781" spans="19:21" ht="15" customHeight="1" x14ac:dyDescent="0.2">
      <c r="S5781" s="69">
        <f>_xlfn.XLOOKUP(Results!A5781,Geometry!$B$6:$B$10000,Geometry!$C$6:$C$10000)</f>
        <v>0</v>
      </c>
      <c r="T5781" s="69"/>
      <c r="U5781" s="69"/>
    </row>
    <row r="5782" spans="19:21" ht="15" customHeight="1" x14ac:dyDescent="0.2">
      <c r="S5782" s="69">
        <f>_xlfn.XLOOKUP(Results!A5782,Geometry!$B$6:$B$10000,Geometry!$C$6:$C$10000)</f>
        <v>0</v>
      </c>
      <c r="T5782" s="69"/>
      <c r="U5782" s="69"/>
    </row>
    <row r="5783" spans="19:21" ht="15" customHeight="1" x14ac:dyDescent="0.2">
      <c r="S5783" s="69">
        <f>_xlfn.XLOOKUP(Results!A5783,Geometry!$B$6:$B$10000,Geometry!$C$6:$C$10000)</f>
        <v>0</v>
      </c>
      <c r="T5783" s="69"/>
      <c r="U5783" s="69"/>
    </row>
    <row r="5784" spans="19:21" ht="15" customHeight="1" x14ac:dyDescent="0.2">
      <c r="S5784" s="69">
        <f>_xlfn.XLOOKUP(Results!A5784,Geometry!$B$6:$B$10000,Geometry!$C$6:$C$10000)</f>
        <v>0</v>
      </c>
      <c r="T5784" s="69"/>
      <c r="U5784" s="69"/>
    </row>
    <row r="5785" spans="19:21" ht="15" customHeight="1" x14ac:dyDescent="0.2">
      <c r="S5785" s="69">
        <f>_xlfn.XLOOKUP(Results!A5785,Geometry!$B$6:$B$10000,Geometry!$C$6:$C$10000)</f>
        <v>0</v>
      </c>
      <c r="T5785" s="69"/>
      <c r="U5785" s="69"/>
    </row>
    <row r="5786" spans="19:21" ht="15" customHeight="1" x14ac:dyDescent="0.2">
      <c r="S5786" s="69">
        <f>_xlfn.XLOOKUP(Results!A5786,Geometry!$B$6:$B$10000,Geometry!$C$6:$C$10000)</f>
        <v>0</v>
      </c>
      <c r="T5786" s="69"/>
      <c r="U5786" s="69"/>
    </row>
    <row r="5787" spans="19:21" ht="15" customHeight="1" x14ac:dyDescent="0.2">
      <c r="S5787" s="69">
        <f>_xlfn.XLOOKUP(Results!A5787,Geometry!$B$6:$B$10000,Geometry!$C$6:$C$10000)</f>
        <v>0</v>
      </c>
      <c r="T5787" s="69"/>
      <c r="U5787" s="69"/>
    </row>
    <row r="5788" spans="19:21" ht="15" customHeight="1" x14ac:dyDescent="0.2">
      <c r="S5788" s="69">
        <f>_xlfn.XLOOKUP(Results!A5788,Geometry!$B$6:$B$10000,Geometry!$C$6:$C$10000)</f>
        <v>0</v>
      </c>
      <c r="T5788" s="69"/>
      <c r="U5788" s="69"/>
    </row>
    <row r="5789" spans="19:21" ht="15" customHeight="1" x14ac:dyDescent="0.2">
      <c r="S5789" s="69">
        <f>_xlfn.XLOOKUP(Results!A5789,Geometry!$B$6:$B$10000,Geometry!$C$6:$C$10000)</f>
        <v>0</v>
      </c>
      <c r="T5789" s="69"/>
      <c r="U5789" s="69"/>
    </row>
    <row r="5790" spans="19:21" ht="15" customHeight="1" x14ac:dyDescent="0.2">
      <c r="S5790" s="69">
        <f>_xlfn.XLOOKUP(Results!A5790,Geometry!$B$6:$B$10000,Geometry!$C$6:$C$10000)</f>
        <v>0</v>
      </c>
      <c r="T5790" s="69"/>
      <c r="U5790" s="69"/>
    </row>
    <row r="5791" spans="19:21" ht="15" customHeight="1" x14ac:dyDescent="0.2">
      <c r="S5791" s="69">
        <f>_xlfn.XLOOKUP(Results!A5791,Geometry!$B$6:$B$10000,Geometry!$C$6:$C$10000)</f>
        <v>0</v>
      </c>
      <c r="T5791" s="69"/>
      <c r="U5791" s="69"/>
    </row>
    <row r="5792" spans="19:21" ht="15" customHeight="1" x14ac:dyDescent="0.2">
      <c r="S5792" s="69">
        <f>_xlfn.XLOOKUP(Results!A5792,Geometry!$B$6:$B$10000,Geometry!$C$6:$C$10000)</f>
        <v>0</v>
      </c>
      <c r="T5792" s="69"/>
      <c r="U5792" s="69"/>
    </row>
    <row r="5793" spans="19:21" ht="15" customHeight="1" x14ac:dyDescent="0.2">
      <c r="S5793" s="69">
        <f>_xlfn.XLOOKUP(Results!A5793,Geometry!$B$6:$B$10000,Geometry!$C$6:$C$10000)</f>
        <v>0</v>
      </c>
      <c r="T5793" s="69"/>
      <c r="U5793" s="69"/>
    </row>
    <row r="5794" spans="19:21" ht="15" customHeight="1" x14ac:dyDescent="0.2">
      <c r="S5794" s="69">
        <f>_xlfn.XLOOKUP(Results!A5794,Geometry!$B$6:$B$10000,Geometry!$C$6:$C$10000)</f>
        <v>0</v>
      </c>
      <c r="T5794" s="69"/>
      <c r="U5794" s="69"/>
    </row>
    <row r="5795" spans="19:21" ht="15" customHeight="1" x14ac:dyDescent="0.2">
      <c r="S5795" s="69">
        <f>_xlfn.XLOOKUP(Results!A5795,Geometry!$B$6:$B$10000,Geometry!$C$6:$C$10000)</f>
        <v>0</v>
      </c>
      <c r="T5795" s="69"/>
      <c r="U5795" s="69"/>
    </row>
    <row r="5796" spans="19:21" ht="15" customHeight="1" x14ac:dyDescent="0.2">
      <c r="S5796" s="69">
        <f>_xlfn.XLOOKUP(Results!A5796,Geometry!$B$6:$B$10000,Geometry!$C$6:$C$10000)</f>
        <v>0</v>
      </c>
      <c r="T5796" s="69"/>
      <c r="U5796" s="69"/>
    </row>
    <row r="5797" spans="19:21" ht="15" customHeight="1" x14ac:dyDescent="0.2">
      <c r="S5797" s="69">
        <f>_xlfn.XLOOKUP(Results!A5797,Geometry!$B$6:$B$10000,Geometry!$C$6:$C$10000)</f>
        <v>0</v>
      </c>
      <c r="T5797" s="69"/>
      <c r="U5797" s="69"/>
    </row>
    <row r="5798" spans="19:21" ht="15" customHeight="1" x14ac:dyDescent="0.2">
      <c r="S5798" s="69">
        <f>_xlfn.XLOOKUP(Results!A5798,Geometry!$B$6:$B$10000,Geometry!$C$6:$C$10000)</f>
        <v>0</v>
      </c>
      <c r="T5798" s="69"/>
      <c r="U5798" s="69"/>
    </row>
    <row r="5799" spans="19:21" ht="15" customHeight="1" x14ac:dyDescent="0.2">
      <c r="S5799" s="69">
        <f>_xlfn.XLOOKUP(Results!A5799,Geometry!$B$6:$B$10000,Geometry!$C$6:$C$10000)</f>
        <v>0</v>
      </c>
      <c r="T5799" s="69"/>
      <c r="U5799" s="69"/>
    </row>
    <row r="5800" spans="19:21" ht="15" customHeight="1" x14ac:dyDescent="0.2">
      <c r="S5800" s="69">
        <f>_xlfn.XLOOKUP(Results!A5800,Geometry!$B$6:$B$10000,Geometry!$C$6:$C$10000)</f>
        <v>0</v>
      </c>
      <c r="T5800" s="69"/>
      <c r="U5800" s="69"/>
    </row>
    <row r="5801" spans="19:21" ht="15" customHeight="1" x14ac:dyDescent="0.2">
      <c r="S5801" s="69">
        <f>_xlfn.XLOOKUP(Results!A5801,Geometry!$B$6:$B$10000,Geometry!$C$6:$C$10000)</f>
        <v>0</v>
      </c>
      <c r="T5801" s="69"/>
      <c r="U5801" s="69"/>
    </row>
    <row r="5802" spans="19:21" ht="15" customHeight="1" x14ac:dyDescent="0.2">
      <c r="S5802" s="69">
        <f>_xlfn.XLOOKUP(Results!A5802,Geometry!$B$6:$B$10000,Geometry!$C$6:$C$10000)</f>
        <v>0</v>
      </c>
      <c r="T5802" s="69"/>
      <c r="U5802" s="69"/>
    </row>
    <row r="5803" spans="19:21" ht="15" customHeight="1" x14ac:dyDescent="0.2">
      <c r="S5803" s="69">
        <f>_xlfn.XLOOKUP(Results!A5803,Geometry!$B$6:$B$10000,Geometry!$C$6:$C$10000)</f>
        <v>0</v>
      </c>
      <c r="T5803" s="69"/>
      <c r="U5803" s="69"/>
    </row>
    <row r="5804" spans="19:21" ht="15" customHeight="1" x14ac:dyDescent="0.2">
      <c r="S5804" s="69">
        <f>_xlfn.XLOOKUP(Results!A5804,Geometry!$B$6:$B$10000,Geometry!$C$6:$C$10000)</f>
        <v>0</v>
      </c>
      <c r="T5804" s="69"/>
      <c r="U5804" s="69"/>
    </row>
    <row r="5805" spans="19:21" ht="15" customHeight="1" x14ac:dyDescent="0.2">
      <c r="S5805" s="69">
        <f>_xlfn.XLOOKUP(Results!A5805,Geometry!$B$6:$B$10000,Geometry!$C$6:$C$10000)</f>
        <v>0</v>
      </c>
      <c r="T5805" s="69"/>
      <c r="U5805" s="69"/>
    </row>
    <row r="5806" spans="19:21" ht="15" customHeight="1" x14ac:dyDescent="0.2">
      <c r="S5806" s="69">
        <f>_xlfn.XLOOKUP(Results!A5806,Geometry!$B$6:$B$10000,Geometry!$C$6:$C$10000)</f>
        <v>0</v>
      </c>
      <c r="T5806" s="69"/>
      <c r="U5806" s="69"/>
    </row>
    <row r="5807" spans="19:21" ht="15" customHeight="1" x14ac:dyDescent="0.2">
      <c r="S5807" s="69">
        <f>_xlfn.XLOOKUP(Results!A5807,Geometry!$B$6:$B$10000,Geometry!$C$6:$C$10000)</f>
        <v>0</v>
      </c>
      <c r="T5807" s="69"/>
      <c r="U5807" s="69"/>
    </row>
    <row r="5808" spans="19:21" ht="15" customHeight="1" x14ac:dyDescent="0.2">
      <c r="S5808" s="69">
        <f>_xlfn.XLOOKUP(Results!A5808,Geometry!$B$6:$B$10000,Geometry!$C$6:$C$10000)</f>
        <v>0</v>
      </c>
      <c r="T5808" s="69"/>
      <c r="U5808" s="69"/>
    </row>
    <row r="5809" spans="19:21" ht="15" customHeight="1" x14ac:dyDescent="0.2">
      <c r="S5809" s="69">
        <f>_xlfn.XLOOKUP(Results!A5809,Geometry!$B$6:$B$10000,Geometry!$C$6:$C$10000)</f>
        <v>0</v>
      </c>
      <c r="T5809" s="69"/>
      <c r="U5809" s="69"/>
    </row>
    <row r="5810" spans="19:21" ht="15" customHeight="1" x14ac:dyDescent="0.2">
      <c r="S5810" s="69">
        <f>_xlfn.XLOOKUP(Results!A5810,Geometry!$B$6:$B$10000,Geometry!$C$6:$C$10000)</f>
        <v>0</v>
      </c>
      <c r="T5810" s="69"/>
      <c r="U5810" s="69"/>
    </row>
    <row r="5811" spans="19:21" ht="15" customHeight="1" x14ac:dyDescent="0.2">
      <c r="S5811" s="69">
        <f>_xlfn.XLOOKUP(Results!A5811,Geometry!$B$6:$B$10000,Geometry!$C$6:$C$10000)</f>
        <v>0</v>
      </c>
      <c r="T5811" s="69"/>
      <c r="U5811" s="69"/>
    </row>
    <row r="5812" spans="19:21" ht="15" customHeight="1" x14ac:dyDescent="0.2">
      <c r="S5812" s="69">
        <f>_xlfn.XLOOKUP(Results!A5812,Geometry!$B$6:$B$10000,Geometry!$C$6:$C$10000)</f>
        <v>0</v>
      </c>
      <c r="T5812" s="69"/>
      <c r="U5812" s="69"/>
    </row>
    <row r="5813" spans="19:21" ht="15" customHeight="1" x14ac:dyDescent="0.2">
      <c r="S5813" s="69">
        <f>_xlfn.XLOOKUP(Results!A5813,Geometry!$B$6:$B$10000,Geometry!$C$6:$C$10000)</f>
        <v>0</v>
      </c>
      <c r="T5813" s="69"/>
      <c r="U5813" s="69"/>
    </row>
    <row r="5814" spans="19:21" ht="15" customHeight="1" x14ac:dyDescent="0.2">
      <c r="S5814" s="69">
        <f>_xlfn.XLOOKUP(Results!A5814,Geometry!$B$6:$B$10000,Geometry!$C$6:$C$10000)</f>
        <v>0</v>
      </c>
      <c r="T5814" s="69"/>
      <c r="U5814" s="69"/>
    </row>
    <row r="5815" spans="19:21" ht="15" customHeight="1" x14ac:dyDescent="0.2">
      <c r="S5815" s="69">
        <f>_xlfn.XLOOKUP(Results!A5815,Geometry!$B$6:$B$10000,Geometry!$C$6:$C$10000)</f>
        <v>0</v>
      </c>
      <c r="T5815" s="69"/>
      <c r="U5815" s="69"/>
    </row>
    <row r="5816" spans="19:21" ht="15" customHeight="1" x14ac:dyDescent="0.2">
      <c r="S5816" s="69">
        <f>_xlfn.XLOOKUP(Results!A5816,Geometry!$B$6:$B$10000,Geometry!$C$6:$C$10000)</f>
        <v>0</v>
      </c>
      <c r="T5816" s="69"/>
      <c r="U5816" s="69"/>
    </row>
    <row r="5817" spans="19:21" ht="15" customHeight="1" x14ac:dyDescent="0.2">
      <c r="S5817" s="69">
        <f>_xlfn.XLOOKUP(Results!A5817,Geometry!$B$6:$B$10000,Geometry!$C$6:$C$10000)</f>
        <v>0</v>
      </c>
      <c r="T5817" s="69"/>
      <c r="U5817" s="69"/>
    </row>
    <row r="5818" spans="19:21" ht="15" customHeight="1" x14ac:dyDescent="0.2">
      <c r="S5818" s="69">
        <f>_xlfn.XLOOKUP(Results!A5818,Geometry!$B$6:$B$10000,Geometry!$C$6:$C$10000)</f>
        <v>0</v>
      </c>
      <c r="T5818" s="69"/>
      <c r="U5818" s="69"/>
    </row>
    <row r="5819" spans="19:21" ht="15" customHeight="1" x14ac:dyDescent="0.2">
      <c r="S5819" s="69">
        <f>_xlfn.XLOOKUP(Results!A5819,Geometry!$B$6:$B$10000,Geometry!$C$6:$C$10000)</f>
        <v>0</v>
      </c>
      <c r="T5819" s="69"/>
      <c r="U5819" s="69"/>
    </row>
    <row r="5820" spans="19:21" ht="15" customHeight="1" x14ac:dyDescent="0.2">
      <c r="S5820" s="69">
        <f>_xlfn.XLOOKUP(Results!A5820,Geometry!$B$6:$B$10000,Geometry!$C$6:$C$10000)</f>
        <v>0</v>
      </c>
      <c r="T5820" s="69"/>
      <c r="U5820" s="69"/>
    </row>
    <row r="5821" spans="19:21" ht="15" customHeight="1" x14ac:dyDescent="0.2">
      <c r="S5821" s="69">
        <f>_xlfn.XLOOKUP(Results!A5821,Geometry!$B$6:$B$10000,Geometry!$C$6:$C$10000)</f>
        <v>0</v>
      </c>
      <c r="T5821" s="69"/>
      <c r="U5821" s="69"/>
    </row>
    <row r="5822" spans="19:21" ht="15" customHeight="1" x14ac:dyDescent="0.2">
      <c r="S5822" s="69">
        <f>_xlfn.XLOOKUP(Results!A5822,Geometry!$B$6:$B$10000,Geometry!$C$6:$C$10000)</f>
        <v>0</v>
      </c>
      <c r="T5822" s="69"/>
      <c r="U5822" s="69"/>
    </row>
    <row r="5823" spans="19:21" ht="15" customHeight="1" x14ac:dyDescent="0.2">
      <c r="S5823" s="69">
        <f>_xlfn.XLOOKUP(Results!A5823,Geometry!$B$6:$B$10000,Geometry!$C$6:$C$10000)</f>
        <v>0</v>
      </c>
      <c r="T5823" s="69"/>
      <c r="U5823" s="69"/>
    </row>
    <row r="5824" spans="19:21" ht="15" customHeight="1" x14ac:dyDescent="0.2">
      <c r="S5824" s="69">
        <f>_xlfn.XLOOKUP(Results!A5824,Geometry!$B$6:$B$10000,Geometry!$C$6:$C$10000)</f>
        <v>0</v>
      </c>
      <c r="T5824" s="69"/>
      <c r="U5824" s="69"/>
    </row>
    <row r="5825" spans="19:21" ht="15" customHeight="1" x14ac:dyDescent="0.2">
      <c r="S5825" s="69">
        <f>_xlfn.XLOOKUP(Results!A5825,Geometry!$B$6:$B$10000,Geometry!$C$6:$C$10000)</f>
        <v>0</v>
      </c>
      <c r="T5825" s="69"/>
      <c r="U5825" s="69"/>
    </row>
    <row r="5826" spans="19:21" ht="15" customHeight="1" x14ac:dyDescent="0.2">
      <c r="S5826" s="69">
        <f>_xlfn.XLOOKUP(Results!A5826,Geometry!$B$6:$B$10000,Geometry!$C$6:$C$10000)</f>
        <v>0</v>
      </c>
      <c r="T5826" s="69"/>
      <c r="U5826" s="69"/>
    </row>
    <row r="5827" spans="19:21" ht="15" customHeight="1" x14ac:dyDescent="0.2">
      <c r="S5827" s="69">
        <f>_xlfn.XLOOKUP(Results!A5827,Geometry!$B$6:$B$10000,Geometry!$C$6:$C$10000)</f>
        <v>0</v>
      </c>
      <c r="T5827" s="69"/>
      <c r="U5827" s="69"/>
    </row>
    <row r="5828" spans="19:21" ht="15" customHeight="1" x14ac:dyDescent="0.2">
      <c r="S5828" s="69">
        <f>_xlfn.XLOOKUP(Results!A5828,Geometry!$B$6:$B$10000,Geometry!$C$6:$C$10000)</f>
        <v>0</v>
      </c>
      <c r="T5828" s="69"/>
      <c r="U5828" s="69"/>
    </row>
    <row r="5829" spans="19:21" ht="15" customHeight="1" x14ac:dyDescent="0.2">
      <c r="S5829" s="69">
        <f>_xlfn.XLOOKUP(Results!A5829,Geometry!$B$6:$B$10000,Geometry!$C$6:$C$10000)</f>
        <v>0</v>
      </c>
      <c r="T5829" s="69"/>
      <c r="U5829" s="69"/>
    </row>
    <row r="5830" spans="19:21" ht="15" customHeight="1" x14ac:dyDescent="0.2">
      <c r="S5830" s="69">
        <f>_xlfn.XLOOKUP(Results!A5830,Geometry!$B$6:$B$10000,Geometry!$C$6:$C$10000)</f>
        <v>0</v>
      </c>
      <c r="T5830" s="69"/>
      <c r="U5830" s="69"/>
    </row>
    <row r="5831" spans="19:21" ht="15" customHeight="1" x14ac:dyDescent="0.2">
      <c r="S5831" s="69">
        <f>_xlfn.XLOOKUP(Results!A5831,Geometry!$B$6:$B$10000,Geometry!$C$6:$C$10000)</f>
        <v>0</v>
      </c>
      <c r="T5831" s="69"/>
      <c r="U5831" s="69"/>
    </row>
    <row r="5832" spans="19:21" ht="15" customHeight="1" x14ac:dyDescent="0.2">
      <c r="S5832" s="69">
        <f>_xlfn.XLOOKUP(Results!A5832,Geometry!$B$6:$B$10000,Geometry!$C$6:$C$10000)</f>
        <v>0</v>
      </c>
      <c r="T5832" s="69"/>
      <c r="U5832" s="69"/>
    </row>
    <row r="5833" spans="19:21" ht="15" customHeight="1" x14ac:dyDescent="0.2">
      <c r="S5833" s="69">
        <f>_xlfn.XLOOKUP(Results!A5833,Geometry!$B$6:$B$10000,Geometry!$C$6:$C$10000)</f>
        <v>0</v>
      </c>
      <c r="T5833" s="69"/>
      <c r="U5833" s="69"/>
    </row>
    <row r="5834" spans="19:21" ht="15" customHeight="1" x14ac:dyDescent="0.2">
      <c r="S5834" s="69">
        <f>_xlfn.XLOOKUP(Results!A5834,Geometry!$B$6:$B$10000,Geometry!$C$6:$C$10000)</f>
        <v>0</v>
      </c>
      <c r="T5834" s="69"/>
      <c r="U5834" s="69"/>
    </row>
    <row r="5835" spans="19:21" ht="15" customHeight="1" x14ac:dyDescent="0.2">
      <c r="S5835" s="69">
        <f>_xlfn.XLOOKUP(Results!A5835,Geometry!$B$6:$B$10000,Geometry!$C$6:$C$10000)</f>
        <v>0</v>
      </c>
      <c r="T5835" s="69"/>
      <c r="U5835" s="69"/>
    </row>
    <row r="5836" spans="19:21" ht="15" customHeight="1" x14ac:dyDescent="0.2">
      <c r="S5836" s="69">
        <f>_xlfn.XLOOKUP(Results!A5836,Geometry!$B$6:$B$10000,Geometry!$C$6:$C$10000)</f>
        <v>0</v>
      </c>
      <c r="T5836" s="69"/>
      <c r="U5836" s="69"/>
    </row>
    <row r="5837" spans="19:21" ht="15" customHeight="1" x14ac:dyDescent="0.2">
      <c r="S5837" s="69">
        <f>_xlfn.XLOOKUP(Results!A5837,Geometry!$B$6:$B$10000,Geometry!$C$6:$C$10000)</f>
        <v>0</v>
      </c>
      <c r="T5837" s="69"/>
      <c r="U5837" s="69"/>
    </row>
    <row r="5838" spans="19:21" ht="15" customHeight="1" x14ac:dyDescent="0.2">
      <c r="S5838" s="69">
        <f>_xlfn.XLOOKUP(Results!A5838,Geometry!$B$6:$B$10000,Geometry!$C$6:$C$10000)</f>
        <v>0</v>
      </c>
      <c r="T5838" s="69"/>
      <c r="U5838" s="69"/>
    </row>
    <row r="5839" spans="19:21" ht="15" customHeight="1" x14ac:dyDescent="0.2">
      <c r="S5839" s="69">
        <f>_xlfn.XLOOKUP(Results!A5839,Geometry!$B$6:$B$10000,Geometry!$C$6:$C$10000)</f>
        <v>0</v>
      </c>
      <c r="T5839" s="69"/>
      <c r="U5839" s="69"/>
    </row>
    <row r="5840" spans="19:21" ht="15" customHeight="1" x14ac:dyDescent="0.2">
      <c r="S5840" s="69">
        <f>_xlfn.XLOOKUP(Results!A5840,Geometry!$B$6:$B$10000,Geometry!$C$6:$C$10000)</f>
        <v>0</v>
      </c>
      <c r="T5840" s="69"/>
      <c r="U5840" s="69"/>
    </row>
    <row r="5841" spans="19:21" ht="15" customHeight="1" x14ac:dyDescent="0.2">
      <c r="S5841" s="69">
        <f>_xlfn.XLOOKUP(Results!A5841,Geometry!$B$6:$B$10000,Geometry!$C$6:$C$10000)</f>
        <v>0</v>
      </c>
      <c r="T5841" s="69"/>
      <c r="U5841" s="69"/>
    </row>
    <row r="5842" spans="19:21" ht="15" customHeight="1" x14ac:dyDescent="0.2">
      <c r="S5842" s="69">
        <f>_xlfn.XLOOKUP(Results!A5842,Geometry!$B$6:$B$10000,Geometry!$C$6:$C$10000)</f>
        <v>0</v>
      </c>
      <c r="T5842" s="69"/>
      <c r="U5842" s="69"/>
    </row>
    <row r="5843" spans="19:21" ht="15" customHeight="1" x14ac:dyDescent="0.2">
      <c r="S5843" s="69">
        <f>_xlfn.XLOOKUP(Results!A5843,Geometry!$B$6:$B$10000,Geometry!$C$6:$C$10000)</f>
        <v>0</v>
      </c>
      <c r="T5843" s="69"/>
      <c r="U5843" s="69"/>
    </row>
    <row r="5844" spans="19:21" ht="15" customHeight="1" x14ac:dyDescent="0.2">
      <c r="S5844" s="69">
        <f>_xlfn.XLOOKUP(Results!A5844,Geometry!$B$6:$B$10000,Geometry!$C$6:$C$10000)</f>
        <v>0</v>
      </c>
      <c r="T5844" s="69"/>
      <c r="U5844" s="69"/>
    </row>
    <row r="5845" spans="19:21" ht="15" customHeight="1" x14ac:dyDescent="0.2">
      <c r="S5845" s="69">
        <f>_xlfn.XLOOKUP(Results!A5845,Geometry!$B$6:$B$10000,Geometry!$C$6:$C$10000)</f>
        <v>0</v>
      </c>
      <c r="T5845" s="69"/>
      <c r="U5845" s="69"/>
    </row>
    <row r="5846" spans="19:21" ht="15" customHeight="1" x14ac:dyDescent="0.2">
      <c r="S5846" s="69">
        <f>_xlfn.XLOOKUP(Results!A5846,Geometry!$B$6:$B$10000,Geometry!$C$6:$C$10000)</f>
        <v>0</v>
      </c>
      <c r="T5846" s="69"/>
      <c r="U5846" s="69"/>
    </row>
    <row r="5847" spans="19:21" ht="15" customHeight="1" x14ac:dyDescent="0.2">
      <c r="S5847" s="69">
        <f>_xlfn.XLOOKUP(Results!A5847,Geometry!$B$6:$B$10000,Geometry!$C$6:$C$10000)</f>
        <v>0</v>
      </c>
      <c r="T5847" s="69"/>
      <c r="U5847" s="69"/>
    </row>
    <row r="5848" spans="19:21" ht="15" customHeight="1" x14ac:dyDescent="0.2">
      <c r="S5848" s="69">
        <f>_xlfn.XLOOKUP(Results!A5848,Geometry!$B$6:$B$10000,Geometry!$C$6:$C$10000)</f>
        <v>0</v>
      </c>
      <c r="T5848" s="69"/>
      <c r="U5848" s="69"/>
    </row>
    <row r="5849" spans="19:21" ht="15" customHeight="1" x14ac:dyDescent="0.2">
      <c r="S5849" s="69">
        <f>_xlfn.XLOOKUP(Results!A5849,Geometry!$B$6:$B$10000,Geometry!$C$6:$C$10000)</f>
        <v>0</v>
      </c>
      <c r="T5849" s="69"/>
      <c r="U5849" s="69"/>
    </row>
    <row r="5850" spans="19:21" ht="15" customHeight="1" x14ac:dyDescent="0.2">
      <c r="S5850" s="69">
        <f>_xlfn.XLOOKUP(Results!A5850,Geometry!$B$6:$B$10000,Geometry!$C$6:$C$10000)</f>
        <v>0</v>
      </c>
      <c r="T5850" s="69"/>
      <c r="U5850" s="69"/>
    </row>
    <row r="5851" spans="19:21" ht="15" customHeight="1" x14ac:dyDescent="0.2">
      <c r="S5851" s="69">
        <f>_xlfn.XLOOKUP(Results!A5851,Geometry!$B$6:$B$10000,Geometry!$C$6:$C$10000)</f>
        <v>0</v>
      </c>
      <c r="T5851" s="69"/>
      <c r="U5851" s="69"/>
    </row>
    <row r="5852" spans="19:21" ht="15" customHeight="1" x14ac:dyDescent="0.2">
      <c r="S5852" s="69">
        <f>_xlfn.XLOOKUP(Results!A5852,Geometry!$B$6:$B$10000,Geometry!$C$6:$C$10000)</f>
        <v>0</v>
      </c>
      <c r="T5852" s="69"/>
      <c r="U5852" s="69"/>
    </row>
    <row r="5853" spans="19:21" ht="15" customHeight="1" x14ac:dyDescent="0.2">
      <c r="S5853" s="69">
        <f>_xlfn.XLOOKUP(Results!A5853,Geometry!$B$6:$B$10000,Geometry!$C$6:$C$10000)</f>
        <v>0</v>
      </c>
      <c r="T5853" s="69"/>
      <c r="U5853" s="69"/>
    </row>
    <row r="5854" spans="19:21" ht="15" customHeight="1" x14ac:dyDescent="0.2">
      <c r="S5854" s="69">
        <f>_xlfn.XLOOKUP(Results!A5854,Geometry!$B$6:$B$10000,Geometry!$C$6:$C$10000)</f>
        <v>0</v>
      </c>
      <c r="T5854" s="69"/>
      <c r="U5854" s="69"/>
    </row>
    <row r="5855" spans="19:21" ht="15" customHeight="1" x14ac:dyDescent="0.2">
      <c r="S5855" s="69">
        <f>_xlfn.XLOOKUP(Results!A5855,Geometry!$B$6:$B$10000,Geometry!$C$6:$C$10000)</f>
        <v>0</v>
      </c>
      <c r="T5855" s="69"/>
      <c r="U5855" s="69"/>
    </row>
    <row r="5856" spans="19:21" ht="15" customHeight="1" x14ac:dyDescent="0.2">
      <c r="S5856" s="69">
        <f>_xlfn.XLOOKUP(Results!A5856,Geometry!$B$6:$B$10000,Geometry!$C$6:$C$10000)</f>
        <v>0</v>
      </c>
      <c r="T5856" s="69"/>
      <c r="U5856" s="69"/>
    </row>
    <row r="5857" spans="19:21" ht="15" customHeight="1" x14ac:dyDescent="0.2">
      <c r="S5857" s="69">
        <f>_xlfn.XLOOKUP(Results!A5857,Geometry!$B$6:$B$10000,Geometry!$C$6:$C$10000)</f>
        <v>0</v>
      </c>
      <c r="T5857" s="69"/>
      <c r="U5857" s="69"/>
    </row>
    <row r="5858" spans="19:21" ht="15" customHeight="1" x14ac:dyDescent="0.2">
      <c r="S5858" s="69">
        <f>_xlfn.XLOOKUP(Results!A5858,Geometry!$B$6:$B$10000,Geometry!$C$6:$C$10000)</f>
        <v>0</v>
      </c>
      <c r="T5858" s="69"/>
      <c r="U5858" s="69"/>
    </row>
    <row r="5859" spans="19:21" ht="15" customHeight="1" x14ac:dyDescent="0.2">
      <c r="S5859" s="69">
        <f>_xlfn.XLOOKUP(Results!A5859,Geometry!$B$6:$B$10000,Geometry!$C$6:$C$10000)</f>
        <v>0</v>
      </c>
      <c r="T5859" s="69"/>
      <c r="U5859" s="69"/>
    </row>
    <row r="5860" spans="19:21" ht="15" customHeight="1" x14ac:dyDescent="0.2">
      <c r="S5860" s="69">
        <f>_xlfn.XLOOKUP(Results!A5860,Geometry!$B$6:$B$10000,Geometry!$C$6:$C$10000)</f>
        <v>0</v>
      </c>
      <c r="T5860" s="69"/>
      <c r="U5860" s="69"/>
    </row>
    <row r="5861" spans="19:21" ht="15" customHeight="1" x14ac:dyDescent="0.2">
      <c r="S5861" s="69">
        <f>_xlfn.XLOOKUP(Results!A5861,Geometry!$B$6:$B$10000,Geometry!$C$6:$C$10000)</f>
        <v>0</v>
      </c>
      <c r="T5861" s="69"/>
      <c r="U5861" s="69"/>
    </row>
    <row r="5862" spans="19:21" ht="15" customHeight="1" x14ac:dyDescent="0.2">
      <c r="S5862" s="69">
        <f>_xlfn.XLOOKUP(Results!A5862,Geometry!$B$6:$B$10000,Geometry!$C$6:$C$10000)</f>
        <v>0</v>
      </c>
      <c r="T5862" s="69"/>
      <c r="U5862" s="69"/>
    </row>
    <row r="5863" spans="19:21" ht="15" customHeight="1" x14ac:dyDescent="0.2">
      <c r="S5863" s="69">
        <f>_xlfn.XLOOKUP(Results!A5863,Geometry!$B$6:$B$10000,Geometry!$C$6:$C$10000)</f>
        <v>0</v>
      </c>
      <c r="T5863" s="69"/>
      <c r="U5863" s="69"/>
    </row>
    <row r="5864" spans="19:21" ht="15" customHeight="1" x14ac:dyDescent="0.2">
      <c r="S5864" s="69">
        <f>_xlfn.XLOOKUP(Results!A5864,Geometry!$B$6:$B$10000,Geometry!$C$6:$C$10000)</f>
        <v>0</v>
      </c>
      <c r="T5864" s="69"/>
      <c r="U5864" s="69"/>
    </row>
    <row r="5865" spans="19:21" ht="15" customHeight="1" x14ac:dyDescent="0.2">
      <c r="S5865" s="69">
        <f>_xlfn.XLOOKUP(Results!A5865,Geometry!$B$6:$B$10000,Geometry!$C$6:$C$10000)</f>
        <v>0</v>
      </c>
      <c r="T5865" s="69"/>
      <c r="U5865" s="69"/>
    </row>
    <row r="5866" spans="19:21" ht="15" customHeight="1" x14ac:dyDescent="0.2">
      <c r="S5866" s="69">
        <f>_xlfn.XLOOKUP(Results!A5866,Geometry!$B$6:$B$10000,Geometry!$C$6:$C$10000)</f>
        <v>0</v>
      </c>
      <c r="T5866" s="69"/>
      <c r="U5866" s="69"/>
    </row>
    <row r="5867" spans="19:21" ht="15" customHeight="1" x14ac:dyDescent="0.2">
      <c r="S5867" s="69">
        <f>_xlfn.XLOOKUP(Results!A5867,Geometry!$B$6:$B$10000,Geometry!$C$6:$C$10000)</f>
        <v>0</v>
      </c>
      <c r="T5867" s="69"/>
      <c r="U5867" s="69"/>
    </row>
    <row r="5868" spans="19:21" ht="15" customHeight="1" x14ac:dyDescent="0.2">
      <c r="S5868" s="69">
        <f>_xlfn.XLOOKUP(Results!A5868,Geometry!$B$6:$B$10000,Geometry!$C$6:$C$10000)</f>
        <v>0</v>
      </c>
      <c r="T5868" s="69"/>
      <c r="U5868" s="69"/>
    </row>
    <row r="5869" spans="19:21" ht="15" customHeight="1" x14ac:dyDescent="0.2">
      <c r="S5869" s="69">
        <f>_xlfn.XLOOKUP(Results!A5869,Geometry!$B$6:$B$10000,Geometry!$C$6:$C$10000)</f>
        <v>0</v>
      </c>
      <c r="T5869" s="69"/>
      <c r="U5869" s="69"/>
    </row>
    <row r="5870" spans="19:21" ht="15" customHeight="1" x14ac:dyDescent="0.2">
      <c r="S5870" s="69">
        <f>_xlfn.XLOOKUP(Results!A5870,Geometry!$B$6:$B$10000,Geometry!$C$6:$C$10000)</f>
        <v>0</v>
      </c>
      <c r="T5870" s="69"/>
      <c r="U5870" s="69"/>
    </row>
    <row r="5871" spans="19:21" ht="15" customHeight="1" x14ac:dyDescent="0.2">
      <c r="S5871" s="69">
        <f>_xlfn.XLOOKUP(Results!A5871,Geometry!$B$6:$B$10000,Geometry!$C$6:$C$10000)</f>
        <v>0</v>
      </c>
      <c r="T5871" s="69"/>
      <c r="U5871" s="69"/>
    </row>
    <row r="5872" spans="19:21" ht="15" customHeight="1" x14ac:dyDescent="0.2">
      <c r="S5872" s="69">
        <f>_xlfn.XLOOKUP(Results!A5872,Geometry!$B$6:$B$10000,Geometry!$C$6:$C$10000)</f>
        <v>0</v>
      </c>
      <c r="T5872" s="69"/>
      <c r="U5872" s="69"/>
    </row>
    <row r="5873" spans="19:21" ht="15" customHeight="1" x14ac:dyDescent="0.2">
      <c r="S5873" s="69">
        <f>_xlfn.XLOOKUP(Results!A5873,Geometry!$B$6:$B$10000,Geometry!$C$6:$C$10000)</f>
        <v>0</v>
      </c>
      <c r="T5873" s="69"/>
      <c r="U5873" s="69"/>
    </row>
    <row r="5874" spans="19:21" ht="15" customHeight="1" x14ac:dyDescent="0.2">
      <c r="S5874" s="69">
        <f>_xlfn.XLOOKUP(Results!A5874,Geometry!$B$6:$B$10000,Geometry!$C$6:$C$10000)</f>
        <v>0</v>
      </c>
      <c r="T5874" s="69"/>
      <c r="U5874" s="69"/>
    </row>
    <row r="5875" spans="19:21" ht="15" customHeight="1" x14ac:dyDescent="0.2">
      <c r="S5875" s="69">
        <f>_xlfn.XLOOKUP(Results!A5875,Geometry!$B$6:$B$10000,Geometry!$C$6:$C$10000)</f>
        <v>0</v>
      </c>
      <c r="T5875" s="69"/>
      <c r="U5875" s="69"/>
    </row>
    <row r="5876" spans="19:21" ht="15" customHeight="1" x14ac:dyDescent="0.2">
      <c r="S5876" s="69">
        <f>_xlfn.XLOOKUP(Results!A5876,Geometry!$B$6:$B$10000,Geometry!$C$6:$C$10000)</f>
        <v>0</v>
      </c>
      <c r="T5876" s="69"/>
      <c r="U5876" s="69"/>
    </row>
    <row r="5877" spans="19:21" ht="15" customHeight="1" x14ac:dyDescent="0.2">
      <c r="S5877" s="69">
        <f>_xlfn.XLOOKUP(Results!A5877,Geometry!$B$6:$B$10000,Geometry!$C$6:$C$10000)</f>
        <v>0</v>
      </c>
      <c r="T5877" s="69"/>
      <c r="U5877" s="69"/>
    </row>
    <row r="5878" spans="19:21" ht="15" customHeight="1" x14ac:dyDescent="0.2">
      <c r="S5878" s="69">
        <f>_xlfn.XLOOKUP(Results!A5878,Geometry!$B$6:$B$10000,Geometry!$C$6:$C$10000)</f>
        <v>0</v>
      </c>
      <c r="T5878" s="69"/>
      <c r="U5878" s="69"/>
    </row>
    <row r="5879" spans="19:21" ht="15" customHeight="1" x14ac:dyDescent="0.2">
      <c r="S5879" s="69">
        <f>_xlfn.XLOOKUP(Results!A5879,Geometry!$B$6:$B$10000,Geometry!$C$6:$C$10000)</f>
        <v>0</v>
      </c>
      <c r="T5879" s="69"/>
      <c r="U5879" s="69"/>
    </row>
    <row r="5880" spans="19:21" ht="15" customHeight="1" x14ac:dyDescent="0.2">
      <c r="S5880" s="69">
        <f>_xlfn.XLOOKUP(Results!A5880,Geometry!$B$6:$B$10000,Geometry!$C$6:$C$10000)</f>
        <v>0</v>
      </c>
      <c r="T5880" s="69"/>
      <c r="U5880" s="69"/>
    </row>
    <row r="5881" spans="19:21" ht="15" customHeight="1" x14ac:dyDescent="0.2">
      <c r="S5881" s="69">
        <f>_xlfn.XLOOKUP(Results!A5881,Geometry!$B$6:$B$10000,Geometry!$C$6:$C$10000)</f>
        <v>0</v>
      </c>
      <c r="T5881" s="69"/>
      <c r="U5881" s="69"/>
    </row>
    <row r="5882" spans="19:21" ht="15" customHeight="1" x14ac:dyDescent="0.2">
      <c r="S5882" s="69">
        <f>_xlfn.XLOOKUP(Results!A5882,Geometry!$B$6:$B$10000,Geometry!$C$6:$C$10000)</f>
        <v>0</v>
      </c>
      <c r="T5882" s="69"/>
      <c r="U5882" s="69"/>
    </row>
    <row r="5883" spans="19:21" ht="15" customHeight="1" x14ac:dyDescent="0.2">
      <c r="S5883" s="69">
        <f>_xlfn.XLOOKUP(Results!A5883,Geometry!$B$6:$B$10000,Geometry!$C$6:$C$10000)</f>
        <v>0</v>
      </c>
      <c r="T5883" s="69"/>
      <c r="U5883" s="69"/>
    </row>
    <row r="5884" spans="19:21" ht="15" customHeight="1" x14ac:dyDescent="0.2">
      <c r="S5884" s="69">
        <f>_xlfn.XLOOKUP(Results!A5884,Geometry!$B$6:$B$10000,Geometry!$C$6:$C$10000)</f>
        <v>0</v>
      </c>
      <c r="T5884" s="69"/>
      <c r="U5884" s="69"/>
    </row>
    <row r="5885" spans="19:21" ht="15" customHeight="1" x14ac:dyDescent="0.2">
      <c r="S5885" s="69">
        <f>_xlfn.XLOOKUP(Results!A5885,Geometry!$B$6:$B$10000,Geometry!$C$6:$C$10000)</f>
        <v>0</v>
      </c>
      <c r="T5885" s="69"/>
      <c r="U5885" s="69"/>
    </row>
    <row r="5886" spans="19:21" ht="15" customHeight="1" x14ac:dyDescent="0.2">
      <c r="S5886" s="69">
        <f>_xlfn.XLOOKUP(Results!A5886,Geometry!$B$6:$B$10000,Geometry!$C$6:$C$10000)</f>
        <v>0</v>
      </c>
      <c r="T5886" s="69"/>
      <c r="U5886" s="69"/>
    </row>
    <row r="5887" spans="19:21" ht="15" customHeight="1" x14ac:dyDescent="0.2">
      <c r="S5887" s="69">
        <f>_xlfn.XLOOKUP(Results!A5887,Geometry!$B$6:$B$10000,Geometry!$C$6:$C$10000)</f>
        <v>0</v>
      </c>
      <c r="T5887" s="69"/>
      <c r="U5887" s="69"/>
    </row>
    <row r="5888" spans="19:21" ht="15" customHeight="1" x14ac:dyDescent="0.2">
      <c r="S5888" s="69">
        <f>_xlfn.XLOOKUP(Results!A5888,Geometry!$B$6:$B$10000,Geometry!$C$6:$C$10000)</f>
        <v>0</v>
      </c>
      <c r="T5888" s="69"/>
      <c r="U5888" s="69"/>
    </row>
    <row r="5889" spans="19:21" ht="15" customHeight="1" x14ac:dyDescent="0.2">
      <c r="S5889" s="69">
        <f>_xlfn.XLOOKUP(Results!A5889,Geometry!$B$6:$B$10000,Geometry!$C$6:$C$10000)</f>
        <v>0</v>
      </c>
      <c r="T5889" s="69"/>
      <c r="U5889" s="69"/>
    </row>
    <row r="5890" spans="19:21" ht="15" customHeight="1" x14ac:dyDescent="0.2">
      <c r="S5890" s="69">
        <f>_xlfn.XLOOKUP(Results!A5890,Geometry!$B$6:$B$10000,Geometry!$C$6:$C$10000)</f>
        <v>0</v>
      </c>
      <c r="T5890" s="69"/>
      <c r="U5890" s="69"/>
    </row>
    <row r="5891" spans="19:21" ht="15" customHeight="1" x14ac:dyDescent="0.2">
      <c r="S5891" s="69">
        <f>_xlfn.XLOOKUP(Results!A5891,Geometry!$B$6:$B$10000,Geometry!$C$6:$C$10000)</f>
        <v>0</v>
      </c>
      <c r="T5891" s="69"/>
      <c r="U5891" s="69"/>
    </row>
    <row r="5892" spans="19:21" ht="15" customHeight="1" x14ac:dyDescent="0.2">
      <c r="S5892" s="69">
        <f>_xlfn.XLOOKUP(Results!A5892,Geometry!$B$6:$B$10000,Geometry!$C$6:$C$10000)</f>
        <v>0</v>
      </c>
      <c r="T5892" s="69"/>
      <c r="U5892" s="69"/>
    </row>
    <row r="5893" spans="19:21" ht="15" customHeight="1" x14ac:dyDescent="0.2">
      <c r="S5893" s="69">
        <f>_xlfn.XLOOKUP(Results!A5893,Geometry!$B$6:$B$10000,Geometry!$C$6:$C$10000)</f>
        <v>0</v>
      </c>
      <c r="T5893" s="69"/>
      <c r="U5893" s="69"/>
    </row>
    <row r="5894" spans="19:21" ht="15" customHeight="1" x14ac:dyDescent="0.2">
      <c r="S5894" s="69">
        <f>_xlfn.XLOOKUP(Results!A5894,Geometry!$B$6:$B$10000,Geometry!$C$6:$C$10000)</f>
        <v>0</v>
      </c>
      <c r="T5894" s="69"/>
      <c r="U5894" s="69"/>
    </row>
    <row r="5895" spans="19:21" ht="15" customHeight="1" x14ac:dyDescent="0.2">
      <c r="S5895" s="69">
        <f>_xlfn.XLOOKUP(Results!A5895,Geometry!$B$6:$B$10000,Geometry!$C$6:$C$10000)</f>
        <v>0</v>
      </c>
      <c r="T5895" s="69"/>
      <c r="U5895" s="69"/>
    </row>
    <row r="5896" spans="19:21" ht="15" customHeight="1" x14ac:dyDescent="0.2">
      <c r="S5896" s="69">
        <f>_xlfn.XLOOKUP(Results!A5896,Geometry!$B$6:$B$10000,Geometry!$C$6:$C$10000)</f>
        <v>0</v>
      </c>
      <c r="T5896" s="69"/>
      <c r="U5896" s="69"/>
    </row>
    <row r="5897" spans="19:21" ht="15" customHeight="1" x14ac:dyDescent="0.2">
      <c r="S5897" s="69">
        <f>_xlfn.XLOOKUP(Results!A5897,Geometry!$B$6:$B$10000,Geometry!$C$6:$C$10000)</f>
        <v>0</v>
      </c>
      <c r="T5897" s="69"/>
      <c r="U5897" s="69"/>
    </row>
    <row r="5898" spans="19:21" ht="15" customHeight="1" x14ac:dyDescent="0.2">
      <c r="S5898" s="69">
        <f>_xlfn.XLOOKUP(Results!A5898,Geometry!$B$6:$B$10000,Geometry!$C$6:$C$10000)</f>
        <v>0</v>
      </c>
      <c r="T5898" s="69"/>
      <c r="U5898" s="69"/>
    </row>
    <row r="5899" spans="19:21" ht="15" customHeight="1" x14ac:dyDescent="0.2">
      <c r="S5899" s="69">
        <f>_xlfn.XLOOKUP(Results!A5899,Geometry!$B$6:$B$10000,Geometry!$C$6:$C$10000)</f>
        <v>0</v>
      </c>
      <c r="T5899" s="69"/>
      <c r="U5899" s="69"/>
    </row>
    <row r="5900" spans="19:21" ht="15" customHeight="1" x14ac:dyDescent="0.2">
      <c r="S5900" s="69">
        <f>_xlfn.XLOOKUP(Results!A5900,Geometry!$B$6:$B$10000,Geometry!$C$6:$C$10000)</f>
        <v>0</v>
      </c>
      <c r="T5900" s="69"/>
      <c r="U5900" s="69"/>
    </row>
    <row r="5901" spans="19:21" ht="15" customHeight="1" x14ac:dyDescent="0.2">
      <c r="S5901" s="69">
        <f>_xlfn.XLOOKUP(Results!A5901,Geometry!$B$6:$B$10000,Geometry!$C$6:$C$10000)</f>
        <v>0</v>
      </c>
      <c r="T5901" s="69"/>
      <c r="U5901" s="69"/>
    </row>
    <row r="5902" spans="19:21" ht="15" customHeight="1" x14ac:dyDescent="0.2">
      <c r="S5902" s="69">
        <f>_xlfn.XLOOKUP(Results!A5902,Geometry!$B$6:$B$10000,Geometry!$C$6:$C$10000)</f>
        <v>0</v>
      </c>
      <c r="T5902" s="69"/>
      <c r="U5902" s="69"/>
    </row>
    <row r="5903" spans="19:21" ht="15" customHeight="1" x14ac:dyDescent="0.2">
      <c r="S5903" s="69">
        <f>_xlfn.XLOOKUP(Results!A5903,Geometry!$B$6:$B$10000,Geometry!$C$6:$C$10000)</f>
        <v>0</v>
      </c>
      <c r="T5903" s="69"/>
      <c r="U5903" s="69"/>
    </row>
    <row r="5904" spans="19:21" ht="15" customHeight="1" x14ac:dyDescent="0.2">
      <c r="S5904" s="69">
        <f>_xlfn.XLOOKUP(Results!A5904,Geometry!$B$6:$B$10000,Geometry!$C$6:$C$10000)</f>
        <v>0</v>
      </c>
      <c r="T5904" s="69"/>
      <c r="U5904" s="69"/>
    </row>
    <row r="5905" spans="19:21" ht="15" customHeight="1" x14ac:dyDescent="0.2">
      <c r="S5905" s="69">
        <f>_xlfn.XLOOKUP(Results!A5905,Geometry!$B$6:$B$10000,Geometry!$C$6:$C$10000)</f>
        <v>0</v>
      </c>
      <c r="T5905" s="69"/>
      <c r="U5905" s="69"/>
    </row>
    <row r="5906" spans="19:21" ht="15" customHeight="1" x14ac:dyDescent="0.2">
      <c r="S5906" s="69">
        <f>_xlfn.XLOOKUP(Results!A5906,Geometry!$B$6:$B$10000,Geometry!$C$6:$C$10000)</f>
        <v>0</v>
      </c>
      <c r="T5906" s="69"/>
      <c r="U5906" s="69"/>
    </row>
    <row r="5907" spans="19:21" ht="15" customHeight="1" x14ac:dyDescent="0.2">
      <c r="S5907" s="69">
        <f>_xlfn.XLOOKUP(Results!A5907,Geometry!$B$6:$B$10000,Geometry!$C$6:$C$10000)</f>
        <v>0</v>
      </c>
      <c r="T5907" s="69"/>
      <c r="U5907" s="69"/>
    </row>
    <row r="5908" spans="19:21" ht="15" customHeight="1" x14ac:dyDescent="0.2">
      <c r="S5908" s="69">
        <f>_xlfn.XLOOKUP(Results!A5908,Geometry!$B$6:$B$10000,Geometry!$C$6:$C$10000)</f>
        <v>0</v>
      </c>
      <c r="T5908" s="69"/>
      <c r="U5908" s="69"/>
    </row>
    <row r="5909" spans="19:21" ht="15" customHeight="1" x14ac:dyDescent="0.2">
      <c r="S5909" s="69">
        <f>_xlfn.XLOOKUP(Results!A5909,Geometry!$B$6:$B$10000,Geometry!$C$6:$C$10000)</f>
        <v>0</v>
      </c>
      <c r="T5909" s="69"/>
      <c r="U5909" s="69"/>
    </row>
    <row r="5910" spans="19:21" ht="15" customHeight="1" x14ac:dyDescent="0.2">
      <c r="S5910" s="69">
        <f>_xlfn.XLOOKUP(Results!A5910,Geometry!$B$6:$B$10000,Geometry!$C$6:$C$10000)</f>
        <v>0</v>
      </c>
      <c r="T5910" s="69"/>
      <c r="U5910" s="69"/>
    </row>
    <row r="5911" spans="19:21" ht="15" customHeight="1" x14ac:dyDescent="0.2">
      <c r="S5911" s="69">
        <f>_xlfn.XLOOKUP(Results!A5911,Geometry!$B$6:$B$10000,Geometry!$C$6:$C$10000)</f>
        <v>0</v>
      </c>
      <c r="T5911" s="69"/>
      <c r="U5911" s="69"/>
    </row>
    <row r="5912" spans="19:21" ht="15" customHeight="1" x14ac:dyDescent="0.2">
      <c r="S5912" s="69">
        <f>_xlfn.XLOOKUP(Results!A5912,Geometry!$B$6:$B$10000,Geometry!$C$6:$C$10000)</f>
        <v>0</v>
      </c>
      <c r="T5912" s="69"/>
      <c r="U5912" s="69"/>
    </row>
    <row r="5913" spans="19:21" ht="15" customHeight="1" x14ac:dyDescent="0.2">
      <c r="S5913" s="69">
        <f>_xlfn.XLOOKUP(Results!A5913,Geometry!$B$6:$B$10000,Geometry!$C$6:$C$10000)</f>
        <v>0</v>
      </c>
      <c r="T5913" s="69"/>
      <c r="U5913" s="69"/>
    </row>
    <row r="5914" spans="19:21" ht="15" customHeight="1" x14ac:dyDescent="0.2">
      <c r="S5914" s="69">
        <f>_xlfn.XLOOKUP(Results!A5914,Geometry!$B$6:$B$10000,Geometry!$C$6:$C$10000)</f>
        <v>0</v>
      </c>
      <c r="T5914" s="69"/>
      <c r="U5914" s="69"/>
    </row>
    <row r="5915" spans="19:21" ht="15" customHeight="1" x14ac:dyDescent="0.2">
      <c r="S5915" s="69">
        <f>_xlfn.XLOOKUP(Results!A5915,Geometry!$B$6:$B$10000,Geometry!$C$6:$C$10000)</f>
        <v>0</v>
      </c>
      <c r="T5915" s="69"/>
      <c r="U5915" s="69"/>
    </row>
    <row r="5916" spans="19:21" ht="15" customHeight="1" x14ac:dyDescent="0.2">
      <c r="S5916" s="69">
        <f>_xlfn.XLOOKUP(Results!A5916,Geometry!$B$6:$B$10000,Geometry!$C$6:$C$10000)</f>
        <v>0</v>
      </c>
      <c r="T5916" s="69"/>
      <c r="U5916" s="69"/>
    </row>
    <row r="5917" spans="19:21" ht="15" customHeight="1" x14ac:dyDescent="0.2">
      <c r="S5917" s="69">
        <f>_xlfn.XLOOKUP(Results!A5917,Geometry!$B$6:$B$10000,Geometry!$C$6:$C$10000)</f>
        <v>0</v>
      </c>
      <c r="T5917" s="69"/>
      <c r="U5917" s="69"/>
    </row>
    <row r="5918" spans="19:21" ht="15" customHeight="1" x14ac:dyDescent="0.2">
      <c r="S5918" s="69">
        <f>_xlfn.XLOOKUP(Results!A5918,Geometry!$B$6:$B$10000,Geometry!$C$6:$C$10000)</f>
        <v>0</v>
      </c>
      <c r="T5918" s="69"/>
      <c r="U5918" s="69"/>
    </row>
    <row r="5919" spans="19:21" ht="15" customHeight="1" x14ac:dyDescent="0.2">
      <c r="S5919" s="69">
        <f>_xlfn.XLOOKUP(Results!A5919,Geometry!$B$6:$B$10000,Geometry!$C$6:$C$10000)</f>
        <v>0</v>
      </c>
      <c r="T5919" s="69"/>
      <c r="U5919" s="69"/>
    </row>
    <row r="5920" spans="19:21" ht="15" customHeight="1" x14ac:dyDescent="0.2">
      <c r="S5920" s="69">
        <f>_xlfn.XLOOKUP(Results!A5920,Geometry!$B$6:$B$10000,Geometry!$C$6:$C$10000)</f>
        <v>0</v>
      </c>
      <c r="T5920" s="69"/>
      <c r="U5920" s="69"/>
    </row>
    <row r="5921" spans="19:21" ht="15" customHeight="1" x14ac:dyDescent="0.2">
      <c r="S5921" s="69">
        <f>_xlfn.XLOOKUP(Results!A5921,Geometry!$B$6:$B$10000,Geometry!$C$6:$C$10000)</f>
        <v>0</v>
      </c>
      <c r="T5921" s="69"/>
      <c r="U5921" s="69"/>
    </row>
    <row r="5922" spans="19:21" ht="15" customHeight="1" x14ac:dyDescent="0.2">
      <c r="S5922" s="69">
        <f>_xlfn.XLOOKUP(Results!A5922,Geometry!$B$6:$B$10000,Geometry!$C$6:$C$10000)</f>
        <v>0</v>
      </c>
      <c r="T5922" s="69"/>
      <c r="U5922" s="69"/>
    </row>
    <row r="5923" spans="19:21" ht="15" customHeight="1" x14ac:dyDescent="0.2">
      <c r="S5923" s="69">
        <f>_xlfn.XLOOKUP(Results!A5923,Geometry!$B$6:$B$10000,Geometry!$C$6:$C$10000)</f>
        <v>0</v>
      </c>
      <c r="T5923" s="69"/>
      <c r="U5923" s="69"/>
    </row>
    <row r="5924" spans="19:21" ht="15" customHeight="1" x14ac:dyDescent="0.2">
      <c r="S5924" s="69">
        <f>_xlfn.XLOOKUP(Results!A5924,Geometry!$B$6:$B$10000,Geometry!$C$6:$C$10000)</f>
        <v>0</v>
      </c>
      <c r="T5924" s="69"/>
      <c r="U5924" s="69"/>
    </row>
    <row r="5925" spans="19:21" ht="15" customHeight="1" x14ac:dyDescent="0.2">
      <c r="S5925" s="69">
        <f>_xlfn.XLOOKUP(Results!A5925,Geometry!$B$6:$B$10000,Geometry!$C$6:$C$10000)</f>
        <v>0</v>
      </c>
      <c r="T5925" s="69"/>
      <c r="U5925" s="69"/>
    </row>
    <row r="5926" spans="19:21" ht="15" customHeight="1" x14ac:dyDescent="0.2">
      <c r="S5926" s="69">
        <f>_xlfn.XLOOKUP(Results!A5926,Geometry!$B$6:$B$10000,Geometry!$C$6:$C$10000)</f>
        <v>0</v>
      </c>
      <c r="T5926" s="69"/>
      <c r="U5926" s="69"/>
    </row>
    <row r="5927" spans="19:21" ht="15" customHeight="1" x14ac:dyDescent="0.2">
      <c r="S5927" s="69">
        <f>_xlfn.XLOOKUP(Results!A5927,Geometry!$B$6:$B$10000,Geometry!$C$6:$C$10000)</f>
        <v>0</v>
      </c>
      <c r="T5927" s="69"/>
      <c r="U5927" s="69"/>
    </row>
    <row r="5928" spans="19:21" ht="15" customHeight="1" x14ac:dyDescent="0.2">
      <c r="S5928" s="69">
        <f>_xlfn.XLOOKUP(Results!A5928,Geometry!$B$6:$B$10000,Geometry!$C$6:$C$10000)</f>
        <v>0</v>
      </c>
      <c r="T5928" s="69"/>
      <c r="U5928" s="69"/>
    </row>
    <row r="5929" spans="19:21" ht="15" customHeight="1" x14ac:dyDescent="0.2">
      <c r="S5929" s="69">
        <f>_xlfn.XLOOKUP(Results!A5929,Geometry!$B$6:$B$10000,Geometry!$C$6:$C$10000)</f>
        <v>0</v>
      </c>
      <c r="T5929" s="69"/>
      <c r="U5929" s="69"/>
    </row>
    <row r="5930" spans="19:21" ht="15" customHeight="1" x14ac:dyDescent="0.2">
      <c r="S5930" s="69">
        <f>_xlfn.XLOOKUP(Results!A5930,Geometry!$B$6:$B$10000,Geometry!$C$6:$C$10000)</f>
        <v>0</v>
      </c>
      <c r="T5930" s="69"/>
      <c r="U5930" s="69"/>
    </row>
    <row r="5931" spans="19:21" ht="15" customHeight="1" x14ac:dyDescent="0.2">
      <c r="S5931" s="69">
        <f>_xlfn.XLOOKUP(Results!A5931,Geometry!$B$6:$B$10000,Geometry!$C$6:$C$10000)</f>
        <v>0</v>
      </c>
      <c r="T5931" s="69"/>
      <c r="U5931" s="69"/>
    </row>
    <row r="5932" spans="19:21" ht="15" customHeight="1" x14ac:dyDescent="0.2">
      <c r="S5932" s="69">
        <f>_xlfn.XLOOKUP(Results!A5932,Geometry!$B$6:$B$10000,Geometry!$C$6:$C$10000)</f>
        <v>0</v>
      </c>
      <c r="T5932" s="69"/>
      <c r="U5932" s="69"/>
    </row>
    <row r="5933" spans="19:21" ht="15" customHeight="1" x14ac:dyDescent="0.2">
      <c r="S5933" s="69">
        <f>_xlfn.XLOOKUP(Results!A5933,Geometry!$B$6:$B$10000,Geometry!$C$6:$C$10000)</f>
        <v>0</v>
      </c>
      <c r="T5933" s="69"/>
      <c r="U5933" s="69"/>
    </row>
    <row r="5934" spans="19:21" ht="15" customHeight="1" x14ac:dyDescent="0.2">
      <c r="S5934" s="69">
        <f>_xlfn.XLOOKUP(Results!A5934,Geometry!$B$6:$B$10000,Geometry!$C$6:$C$10000)</f>
        <v>0</v>
      </c>
      <c r="T5934" s="69"/>
      <c r="U5934" s="69"/>
    </row>
    <row r="5935" spans="19:21" ht="15" customHeight="1" x14ac:dyDescent="0.2">
      <c r="S5935" s="69">
        <f>_xlfn.XLOOKUP(Results!A5935,Geometry!$B$6:$B$10000,Geometry!$C$6:$C$10000)</f>
        <v>0</v>
      </c>
      <c r="T5935" s="69"/>
      <c r="U5935" s="69"/>
    </row>
    <row r="5936" spans="19:21" ht="15" customHeight="1" x14ac:dyDescent="0.2">
      <c r="S5936" s="69">
        <f>_xlfn.XLOOKUP(Results!A5936,Geometry!$B$6:$B$10000,Geometry!$C$6:$C$10000)</f>
        <v>0</v>
      </c>
      <c r="T5936" s="69"/>
      <c r="U5936" s="69"/>
    </row>
    <row r="5937" spans="19:21" ht="15" customHeight="1" x14ac:dyDescent="0.2">
      <c r="S5937" s="69">
        <f>_xlfn.XLOOKUP(Results!A5937,Geometry!$B$6:$B$10000,Geometry!$C$6:$C$10000)</f>
        <v>0</v>
      </c>
      <c r="T5937" s="69"/>
      <c r="U5937" s="69"/>
    </row>
    <row r="5938" spans="19:21" ht="15" customHeight="1" x14ac:dyDescent="0.2">
      <c r="S5938" s="69">
        <f>_xlfn.XLOOKUP(Results!A5938,Geometry!$B$6:$B$10000,Geometry!$C$6:$C$10000)</f>
        <v>0</v>
      </c>
      <c r="T5938" s="69"/>
      <c r="U5938" s="69"/>
    </row>
    <row r="5939" spans="19:21" ht="15" customHeight="1" x14ac:dyDescent="0.2">
      <c r="S5939" s="69">
        <f>_xlfn.XLOOKUP(Results!A5939,Geometry!$B$6:$B$10000,Geometry!$C$6:$C$10000)</f>
        <v>0</v>
      </c>
      <c r="T5939" s="69"/>
      <c r="U5939" s="69"/>
    </row>
    <row r="5940" spans="19:21" ht="15" customHeight="1" x14ac:dyDescent="0.2">
      <c r="S5940" s="69">
        <f>_xlfn.XLOOKUP(Results!A5940,Geometry!$B$6:$B$10000,Geometry!$C$6:$C$10000)</f>
        <v>0</v>
      </c>
      <c r="T5940" s="69"/>
      <c r="U5940" s="69"/>
    </row>
    <row r="5941" spans="19:21" ht="15" customHeight="1" x14ac:dyDescent="0.2">
      <c r="S5941" s="69">
        <f>_xlfn.XLOOKUP(Results!A5941,Geometry!$B$6:$B$10000,Geometry!$C$6:$C$10000)</f>
        <v>0</v>
      </c>
      <c r="T5941" s="69"/>
      <c r="U5941" s="69"/>
    </row>
    <row r="5942" spans="19:21" ht="15" customHeight="1" x14ac:dyDescent="0.2">
      <c r="S5942" s="69">
        <f>_xlfn.XLOOKUP(Results!A5942,Geometry!$B$6:$B$10000,Geometry!$C$6:$C$10000)</f>
        <v>0</v>
      </c>
      <c r="T5942" s="69"/>
      <c r="U5942" s="69"/>
    </row>
    <row r="5943" spans="19:21" ht="15" customHeight="1" x14ac:dyDescent="0.2">
      <c r="S5943" s="69">
        <f>_xlfn.XLOOKUP(Results!A5943,Geometry!$B$6:$B$10000,Geometry!$C$6:$C$10000)</f>
        <v>0</v>
      </c>
      <c r="T5943" s="69"/>
      <c r="U5943" s="69"/>
    </row>
    <row r="5944" spans="19:21" ht="15" customHeight="1" x14ac:dyDescent="0.2">
      <c r="S5944" s="69">
        <f>_xlfn.XLOOKUP(Results!A5944,Geometry!$B$6:$B$10000,Geometry!$C$6:$C$10000)</f>
        <v>0</v>
      </c>
      <c r="T5944" s="69"/>
      <c r="U5944" s="69"/>
    </row>
    <row r="5945" spans="19:21" ht="15" customHeight="1" x14ac:dyDescent="0.2">
      <c r="S5945" s="69">
        <f>_xlfn.XLOOKUP(Results!A5945,Geometry!$B$6:$B$10000,Geometry!$C$6:$C$10000)</f>
        <v>0</v>
      </c>
      <c r="T5945" s="69"/>
      <c r="U5945" s="69"/>
    </row>
    <row r="5946" spans="19:21" ht="15" customHeight="1" x14ac:dyDescent="0.2">
      <c r="S5946" s="69">
        <f>_xlfn.XLOOKUP(Results!A5946,Geometry!$B$6:$B$10000,Geometry!$C$6:$C$10000)</f>
        <v>0</v>
      </c>
      <c r="T5946" s="69"/>
      <c r="U5946" s="69"/>
    </row>
    <row r="5947" spans="19:21" ht="15" customHeight="1" x14ac:dyDescent="0.2">
      <c r="S5947" s="69">
        <f>_xlfn.XLOOKUP(Results!A5947,Geometry!$B$6:$B$10000,Geometry!$C$6:$C$10000)</f>
        <v>0</v>
      </c>
      <c r="T5947" s="69"/>
      <c r="U5947" s="69"/>
    </row>
    <row r="5948" spans="19:21" ht="15" customHeight="1" x14ac:dyDescent="0.2">
      <c r="S5948" s="69">
        <f>_xlfn.XLOOKUP(Results!A5948,Geometry!$B$6:$B$10000,Geometry!$C$6:$C$10000)</f>
        <v>0</v>
      </c>
      <c r="T5948" s="69"/>
      <c r="U5948" s="69"/>
    </row>
    <row r="5949" spans="19:21" ht="15" customHeight="1" x14ac:dyDescent="0.2">
      <c r="S5949" s="69">
        <f>_xlfn.XLOOKUP(Results!A5949,Geometry!$B$6:$B$10000,Geometry!$C$6:$C$10000)</f>
        <v>0</v>
      </c>
      <c r="T5949" s="69"/>
      <c r="U5949" s="69"/>
    </row>
    <row r="5950" spans="19:21" ht="15" customHeight="1" x14ac:dyDescent="0.2">
      <c r="S5950" s="69">
        <f>_xlfn.XLOOKUP(Results!A5950,Geometry!$B$6:$B$10000,Geometry!$C$6:$C$10000)</f>
        <v>0</v>
      </c>
      <c r="T5950" s="69"/>
      <c r="U5950" s="69"/>
    </row>
    <row r="5951" spans="19:21" ht="15" customHeight="1" x14ac:dyDescent="0.2">
      <c r="S5951" s="69">
        <f>_xlfn.XLOOKUP(Results!A5951,Geometry!$B$6:$B$10000,Geometry!$C$6:$C$10000)</f>
        <v>0</v>
      </c>
      <c r="T5951" s="69"/>
      <c r="U5951" s="69"/>
    </row>
    <row r="5952" spans="19:21" ht="15" customHeight="1" x14ac:dyDescent="0.2">
      <c r="S5952" s="69">
        <f>_xlfn.XLOOKUP(Results!A5952,Geometry!$B$6:$B$10000,Geometry!$C$6:$C$10000)</f>
        <v>0</v>
      </c>
      <c r="T5952" s="69"/>
      <c r="U5952" s="69"/>
    </row>
    <row r="5953" spans="19:21" ht="15" customHeight="1" x14ac:dyDescent="0.2">
      <c r="S5953" s="69">
        <f>_xlfn.XLOOKUP(Results!A5953,Geometry!$B$6:$B$10000,Geometry!$C$6:$C$10000)</f>
        <v>0</v>
      </c>
      <c r="T5953" s="69"/>
      <c r="U5953" s="69"/>
    </row>
    <row r="5954" spans="19:21" ht="15" customHeight="1" x14ac:dyDescent="0.2">
      <c r="S5954" s="69">
        <f>_xlfn.XLOOKUP(Results!A5954,Geometry!$B$6:$B$10000,Geometry!$C$6:$C$10000)</f>
        <v>0</v>
      </c>
      <c r="T5954" s="69"/>
      <c r="U5954" s="69"/>
    </row>
    <row r="5955" spans="19:21" ht="15" customHeight="1" x14ac:dyDescent="0.2">
      <c r="S5955" s="69">
        <f>_xlfn.XLOOKUP(Results!A5955,Geometry!$B$6:$B$10000,Geometry!$C$6:$C$10000)</f>
        <v>0</v>
      </c>
      <c r="T5955" s="69"/>
      <c r="U5955" s="69"/>
    </row>
    <row r="5956" spans="19:21" ht="15" customHeight="1" x14ac:dyDescent="0.2">
      <c r="S5956" s="69">
        <f>_xlfn.XLOOKUP(Results!A5956,Geometry!$B$6:$B$10000,Geometry!$C$6:$C$10000)</f>
        <v>0</v>
      </c>
      <c r="T5956" s="69"/>
      <c r="U5956" s="69"/>
    </row>
    <row r="5957" spans="19:21" ht="15" customHeight="1" x14ac:dyDescent="0.2">
      <c r="S5957" s="69">
        <f>_xlfn.XLOOKUP(Results!A5957,Geometry!$B$6:$B$10000,Geometry!$C$6:$C$10000)</f>
        <v>0</v>
      </c>
      <c r="T5957" s="69"/>
      <c r="U5957" s="69"/>
    </row>
    <row r="5958" spans="19:21" ht="15" customHeight="1" x14ac:dyDescent="0.2">
      <c r="S5958" s="69">
        <f>_xlfn.XLOOKUP(Results!A5958,Geometry!$B$6:$B$10000,Geometry!$C$6:$C$10000)</f>
        <v>0</v>
      </c>
      <c r="T5958" s="69"/>
      <c r="U5958" s="69"/>
    </row>
    <row r="5959" spans="19:21" ht="15" customHeight="1" x14ac:dyDescent="0.2">
      <c r="S5959" s="69">
        <f>_xlfn.XLOOKUP(Results!A5959,Geometry!$B$6:$B$10000,Geometry!$C$6:$C$10000)</f>
        <v>0</v>
      </c>
      <c r="T5959" s="69"/>
      <c r="U5959" s="69"/>
    </row>
    <row r="5960" spans="19:21" ht="15" customHeight="1" x14ac:dyDescent="0.2">
      <c r="S5960" s="69">
        <f>_xlfn.XLOOKUP(Results!A5960,Geometry!$B$6:$B$10000,Geometry!$C$6:$C$10000)</f>
        <v>0</v>
      </c>
      <c r="T5960" s="69"/>
      <c r="U5960" s="69"/>
    </row>
    <row r="5961" spans="19:21" ht="15" customHeight="1" x14ac:dyDescent="0.2">
      <c r="S5961" s="69">
        <f>_xlfn.XLOOKUP(Results!A5961,Geometry!$B$6:$B$10000,Geometry!$C$6:$C$10000)</f>
        <v>0</v>
      </c>
      <c r="T5961" s="69"/>
      <c r="U5961" s="69"/>
    </row>
    <row r="5962" spans="19:21" ht="15" customHeight="1" x14ac:dyDescent="0.2">
      <c r="S5962" s="69">
        <f>_xlfn.XLOOKUP(Results!A5962,Geometry!$B$6:$B$10000,Geometry!$C$6:$C$10000)</f>
        <v>0</v>
      </c>
      <c r="T5962" s="69"/>
      <c r="U5962" s="69"/>
    </row>
    <row r="5963" spans="19:21" ht="15" customHeight="1" x14ac:dyDescent="0.2">
      <c r="S5963" s="69">
        <f>_xlfn.XLOOKUP(Results!A5963,Geometry!$B$6:$B$10000,Geometry!$C$6:$C$10000)</f>
        <v>0</v>
      </c>
      <c r="T5963" s="69"/>
      <c r="U5963" s="69"/>
    </row>
    <row r="5964" spans="19:21" ht="15" customHeight="1" x14ac:dyDescent="0.2">
      <c r="S5964" s="69">
        <f>_xlfn.XLOOKUP(Results!A5964,Geometry!$B$6:$B$10000,Geometry!$C$6:$C$10000)</f>
        <v>0</v>
      </c>
      <c r="T5964" s="69"/>
      <c r="U5964" s="69"/>
    </row>
    <row r="5965" spans="19:21" ht="15" customHeight="1" x14ac:dyDescent="0.2">
      <c r="S5965" s="69">
        <f>_xlfn.XLOOKUP(Results!A5965,Geometry!$B$6:$B$10000,Geometry!$C$6:$C$10000)</f>
        <v>0</v>
      </c>
      <c r="T5965" s="69"/>
      <c r="U5965" s="69"/>
    </row>
    <row r="5966" spans="19:21" ht="15" customHeight="1" x14ac:dyDescent="0.2">
      <c r="S5966" s="69">
        <f>_xlfn.XLOOKUP(Results!A5966,Geometry!$B$6:$B$10000,Geometry!$C$6:$C$10000)</f>
        <v>0</v>
      </c>
      <c r="T5966" s="69"/>
      <c r="U5966" s="69"/>
    </row>
    <row r="5967" spans="19:21" ht="15" customHeight="1" x14ac:dyDescent="0.2">
      <c r="S5967" s="69">
        <f>_xlfn.XLOOKUP(Results!A5967,Geometry!$B$6:$B$10000,Geometry!$C$6:$C$10000)</f>
        <v>0</v>
      </c>
      <c r="T5967" s="69"/>
      <c r="U5967" s="69"/>
    </row>
    <row r="5968" spans="19:21" ht="15" customHeight="1" x14ac:dyDescent="0.2">
      <c r="S5968" s="69">
        <f>_xlfn.XLOOKUP(Results!A5968,Geometry!$B$6:$B$10000,Geometry!$C$6:$C$10000)</f>
        <v>0</v>
      </c>
      <c r="T5968" s="69"/>
      <c r="U5968" s="69"/>
    </row>
    <row r="5969" spans="19:21" ht="15" customHeight="1" x14ac:dyDescent="0.2">
      <c r="S5969" s="69">
        <f>_xlfn.XLOOKUP(Results!A5969,Geometry!$B$6:$B$10000,Geometry!$C$6:$C$10000)</f>
        <v>0</v>
      </c>
      <c r="T5969" s="69"/>
      <c r="U5969" s="69"/>
    </row>
    <row r="5970" spans="19:21" ht="15" customHeight="1" x14ac:dyDescent="0.2">
      <c r="S5970" s="69">
        <f>_xlfn.XLOOKUP(Results!A5970,Geometry!$B$6:$B$10000,Geometry!$C$6:$C$10000)</f>
        <v>0</v>
      </c>
      <c r="T5970" s="69"/>
      <c r="U5970" s="69"/>
    </row>
    <row r="5971" spans="19:21" ht="15" customHeight="1" x14ac:dyDescent="0.2">
      <c r="S5971" s="69">
        <f>_xlfn.XLOOKUP(Results!A5971,Geometry!$B$6:$B$10000,Geometry!$C$6:$C$10000)</f>
        <v>0</v>
      </c>
      <c r="T5971" s="69"/>
      <c r="U5971" s="69"/>
    </row>
    <row r="5972" spans="19:21" ht="15" customHeight="1" x14ac:dyDescent="0.2">
      <c r="S5972" s="69">
        <f>_xlfn.XLOOKUP(Results!A5972,Geometry!$B$6:$B$10000,Geometry!$C$6:$C$10000)</f>
        <v>0</v>
      </c>
      <c r="T5972" s="69"/>
      <c r="U5972" s="69"/>
    </row>
    <row r="5973" spans="19:21" ht="15" customHeight="1" x14ac:dyDescent="0.2">
      <c r="S5973" s="69">
        <f>_xlfn.XLOOKUP(Results!A5973,Geometry!$B$6:$B$10000,Geometry!$C$6:$C$10000)</f>
        <v>0</v>
      </c>
      <c r="T5973" s="69"/>
      <c r="U5973" s="69"/>
    </row>
    <row r="5974" spans="19:21" ht="15" customHeight="1" x14ac:dyDescent="0.2">
      <c r="S5974" s="69">
        <f>_xlfn.XLOOKUP(Results!A5974,Geometry!$B$6:$B$10000,Geometry!$C$6:$C$10000)</f>
        <v>0</v>
      </c>
      <c r="T5974" s="69"/>
      <c r="U5974" s="69"/>
    </row>
    <row r="5975" spans="19:21" ht="15" customHeight="1" x14ac:dyDescent="0.2">
      <c r="S5975" s="69">
        <f>_xlfn.XLOOKUP(Results!A5975,Geometry!$B$6:$B$10000,Geometry!$C$6:$C$10000)</f>
        <v>0</v>
      </c>
      <c r="T5975" s="69"/>
      <c r="U5975" s="69"/>
    </row>
    <row r="5976" spans="19:21" ht="15" customHeight="1" x14ac:dyDescent="0.2">
      <c r="S5976" s="69">
        <f>_xlfn.XLOOKUP(Results!A5976,Geometry!$B$6:$B$10000,Geometry!$C$6:$C$10000)</f>
        <v>0</v>
      </c>
      <c r="T5976" s="69"/>
      <c r="U5976" s="69"/>
    </row>
    <row r="5977" spans="19:21" ht="15" customHeight="1" x14ac:dyDescent="0.2">
      <c r="S5977" s="69">
        <f>_xlfn.XLOOKUP(Results!A5977,Geometry!$B$6:$B$10000,Geometry!$C$6:$C$10000)</f>
        <v>0</v>
      </c>
      <c r="T5977" s="69"/>
      <c r="U5977" s="69"/>
    </row>
    <row r="5978" spans="19:21" ht="15" customHeight="1" x14ac:dyDescent="0.2">
      <c r="S5978" s="69">
        <f>_xlfn.XLOOKUP(Results!A5978,Geometry!$B$6:$B$10000,Geometry!$C$6:$C$10000)</f>
        <v>0</v>
      </c>
      <c r="T5978" s="69"/>
      <c r="U5978" s="69"/>
    </row>
    <row r="5979" spans="19:21" ht="15" customHeight="1" x14ac:dyDescent="0.2">
      <c r="S5979" s="69">
        <f>_xlfn.XLOOKUP(Results!A5979,Geometry!$B$6:$B$10000,Geometry!$C$6:$C$10000)</f>
        <v>0</v>
      </c>
      <c r="T5979" s="69"/>
      <c r="U5979" s="69"/>
    </row>
    <row r="5980" spans="19:21" ht="15" customHeight="1" x14ac:dyDescent="0.2">
      <c r="S5980" s="69">
        <f>_xlfn.XLOOKUP(Results!A5980,Geometry!$B$6:$B$10000,Geometry!$C$6:$C$10000)</f>
        <v>0</v>
      </c>
      <c r="T5980" s="69"/>
      <c r="U5980" s="69"/>
    </row>
    <row r="5981" spans="19:21" ht="15" customHeight="1" x14ac:dyDescent="0.2">
      <c r="S5981" s="69">
        <f>_xlfn.XLOOKUP(Results!A5981,Geometry!$B$6:$B$10000,Geometry!$C$6:$C$10000)</f>
        <v>0</v>
      </c>
      <c r="T5981" s="69"/>
      <c r="U5981" s="69"/>
    </row>
    <row r="5982" spans="19:21" ht="15" customHeight="1" x14ac:dyDescent="0.2">
      <c r="S5982" s="69">
        <f>_xlfn.XLOOKUP(Results!A5982,Geometry!$B$6:$B$10000,Geometry!$C$6:$C$10000)</f>
        <v>0</v>
      </c>
      <c r="T5982" s="69"/>
      <c r="U5982" s="69"/>
    </row>
    <row r="5983" spans="19:21" ht="15" customHeight="1" x14ac:dyDescent="0.2">
      <c r="S5983" s="69">
        <f>_xlfn.XLOOKUP(Results!A5983,Geometry!$B$6:$B$10000,Geometry!$C$6:$C$10000)</f>
        <v>0</v>
      </c>
      <c r="T5983" s="69"/>
      <c r="U5983" s="69"/>
    </row>
    <row r="5984" spans="19:21" ht="15" customHeight="1" x14ac:dyDescent="0.2">
      <c r="S5984" s="69">
        <f>_xlfn.XLOOKUP(Results!A5984,Geometry!$B$6:$B$10000,Geometry!$C$6:$C$10000)</f>
        <v>0</v>
      </c>
      <c r="T5984" s="69"/>
      <c r="U5984" s="69"/>
    </row>
    <row r="5985" spans="19:21" ht="15" customHeight="1" x14ac:dyDescent="0.2">
      <c r="S5985" s="69">
        <f>_xlfn.XLOOKUP(Results!A5985,Geometry!$B$6:$B$10000,Geometry!$C$6:$C$10000)</f>
        <v>0</v>
      </c>
      <c r="T5985" s="69"/>
      <c r="U5985" s="69"/>
    </row>
    <row r="5986" spans="19:21" ht="15" customHeight="1" x14ac:dyDescent="0.2">
      <c r="S5986" s="69">
        <f>_xlfn.XLOOKUP(Results!A5986,Geometry!$B$6:$B$10000,Geometry!$C$6:$C$10000)</f>
        <v>0</v>
      </c>
      <c r="T5986" s="69"/>
      <c r="U5986" s="69"/>
    </row>
    <row r="5987" spans="19:21" ht="15" customHeight="1" x14ac:dyDescent="0.2">
      <c r="S5987" s="69">
        <f>_xlfn.XLOOKUP(Results!A5987,Geometry!$B$6:$B$10000,Geometry!$C$6:$C$10000)</f>
        <v>0</v>
      </c>
      <c r="T5987" s="69"/>
      <c r="U5987" s="69"/>
    </row>
    <row r="5988" spans="19:21" ht="15" customHeight="1" x14ac:dyDescent="0.2">
      <c r="S5988" s="69">
        <f>_xlfn.XLOOKUP(Results!A5988,Geometry!$B$6:$B$10000,Geometry!$C$6:$C$10000)</f>
        <v>0</v>
      </c>
      <c r="T5988" s="69"/>
      <c r="U5988" s="69"/>
    </row>
    <row r="5989" spans="19:21" ht="15" customHeight="1" x14ac:dyDescent="0.2">
      <c r="S5989" s="69">
        <f>_xlfn.XLOOKUP(Results!A5989,Geometry!$B$6:$B$10000,Geometry!$C$6:$C$10000)</f>
        <v>0</v>
      </c>
      <c r="T5989" s="69"/>
      <c r="U5989" s="69"/>
    </row>
    <row r="5990" spans="19:21" ht="15" customHeight="1" x14ac:dyDescent="0.2">
      <c r="S5990" s="69">
        <f>_xlfn.XLOOKUP(Results!A5990,Geometry!$B$6:$B$10000,Geometry!$C$6:$C$10000)</f>
        <v>0</v>
      </c>
      <c r="T5990" s="69"/>
      <c r="U5990" s="69"/>
    </row>
    <row r="5991" spans="19:21" ht="15" customHeight="1" x14ac:dyDescent="0.2">
      <c r="S5991" s="69">
        <f>_xlfn.XLOOKUP(Results!A5991,Geometry!$B$6:$B$10000,Geometry!$C$6:$C$10000)</f>
        <v>0</v>
      </c>
      <c r="T5991" s="69"/>
      <c r="U5991" s="69"/>
    </row>
    <row r="5992" spans="19:21" ht="15" customHeight="1" x14ac:dyDescent="0.2">
      <c r="S5992" s="69">
        <f>_xlfn.XLOOKUP(Results!A5992,Geometry!$B$6:$B$10000,Geometry!$C$6:$C$10000)</f>
        <v>0</v>
      </c>
      <c r="T5992" s="69"/>
      <c r="U5992" s="69"/>
    </row>
    <row r="5993" spans="19:21" ht="15" customHeight="1" x14ac:dyDescent="0.2">
      <c r="S5993" s="69">
        <f>_xlfn.XLOOKUP(Results!A5993,Geometry!$B$6:$B$10000,Geometry!$C$6:$C$10000)</f>
        <v>0</v>
      </c>
      <c r="T5993" s="69"/>
      <c r="U5993" s="69"/>
    </row>
    <row r="5994" spans="19:21" ht="15" customHeight="1" x14ac:dyDescent="0.2">
      <c r="S5994" s="69">
        <f>_xlfn.XLOOKUP(Results!A5994,Geometry!$B$6:$B$10000,Geometry!$C$6:$C$10000)</f>
        <v>0</v>
      </c>
      <c r="T5994" s="69"/>
      <c r="U5994" s="69"/>
    </row>
    <row r="5995" spans="19:21" ht="15" customHeight="1" x14ac:dyDescent="0.2">
      <c r="S5995" s="69">
        <f>_xlfn.XLOOKUP(Results!A5995,Geometry!$B$6:$B$10000,Geometry!$C$6:$C$10000)</f>
        <v>0</v>
      </c>
      <c r="T5995" s="69"/>
      <c r="U5995" s="69"/>
    </row>
    <row r="5996" spans="19:21" ht="15" customHeight="1" x14ac:dyDescent="0.2">
      <c r="S5996" s="69">
        <f>_xlfn.XLOOKUP(Results!A5996,Geometry!$B$6:$B$10000,Geometry!$C$6:$C$10000)</f>
        <v>0</v>
      </c>
      <c r="T5996" s="69"/>
      <c r="U5996" s="69"/>
    </row>
    <row r="5997" spans="19:21" ht="15" customHeight="1" x14ac:dyDescent="0.2">
      <c r="S5997" s="69">
        <f>_xlfn.XLOOKUP(Results!A5997,Geometry!$B$6:$B$10000,Geometry!$C$6:$C$10000)</f>
        <v>0</v>
      </c>
      <c r="T5997" s="69"/>
      <c r="U5997" s="69"/>
    </row>
    <row r="5998" spans="19:21" ht="15" customHeight="1" x14ac:dyDescent="0.2">
      <c r="S5998" s="69">
        <f>_xlfn.XLOOKUP(Results!A5998,Geometry!$B$6:$B$10000,Geometry!$C$6:$C$10000)</f>
        <v>0</v>
      </c>
      <c r="T5998" s="69"/>
      <c r="U5998" s="69"/>
    </row>
    <row r="5999" spans="19:21" ht="15" customHeight="1" x14ac:dyDescent="0.2">
      <c r="S5999" s="69">
        <f>_xlfn.XLOOKUP(Results!A5999,Geometry!$B$6:$B$10000,Geometry!$C$6:$C$10000)</f>
        <v>0</v>
      </c>
      <c r="T5999" s="69"/>
      <c r="U5999" s="69"/>
    </row>
    <row r="6000" spans="19:21" ht="15" customHeight="1" x14ac:dyDescent="0.2">
      <c r="S6000" s="69">
        <f>_xlfn.XLOOKUP(Results!A6000,Geometry!$B$6:$B$10000,Geometry!$C$6:$C$10000)</f>
        <v>0</v>
      </c>
      <c r="T6000" s="69"/>
      <c r="U6000" s="69"/>
    </row>
    <row r="6001" spans="19:21" ht="15" customHeight="1" x14ac:dyDescent="0.2">
      <c r="S6001" s="69">
        <f>_xlfn.XLOOKUP(Results!A6001,Geometry!$B$6:$B$10000,Geometry!$C$6:$C$10000)</f>
        <v>0</v>
      </c>
      <c r="T6001" s="69"/>
      <c r="U6001" s="69"/>
    </row>
    <row r="6002" spans="19:21" ht="15" customHeight="1" x14ac:dyDescent="0.2">
      <c r="S6002" s="69">
        <f>_xlfn.XLOOKUP(Results!A6002,Geometry!$B$6:$B$10000,Geometry!$C$6:$C$10000)</f>
        <v>0</v>
      </c>
      <c r="T6002" s="69"/>
      <c r="U6002" s="69"/>
    </row>
    <row r="6003" spans="19:21" ht="15" customHeight="1" x14ac:dyDescent="0.2">
      <c r="S6003" s="69">
        <f>_xlfn.XLOOKUP(Results!A6003,Geometry!$B$6:$B$10000,Geometry!$C$6:$C$10000)</f>
        <v>0</v>
      </c>
      <c r="T6003" s="69"/>
      <c r="U6003" s="69"/>
    </row>
    <row r="6004" spans="19:21" ht="15" customHeight="1" x14ac:dyDescent="0.2">
      <c r="S6004" s="69">
        <f>_xlfn.XLOOKUP(Results!A6004,Geometry!$B$6:$B$10000,Geometry!$C$6:$C$10000)</f>
        <v>0</v>
      </c>
      <c r="T6004" s="69"/>
      <c r="U6004" s="69"/>
    </row>
    <row r="6005" spans="19:21" ht="15" customHeight="1" x14ac:dyDescent="0.2">
      <c r="S6005" s="69">
        <f>_xlfn.XLOOKUP(Results!A6005,Geometry!$B$6:$B$10000,Geometry!$C$6:$C$10000)</f>
        <v>0</v>
      </c>
      <c r="T6005" s="69"/>
      <c r="U6005" s="69"/>
    </row>
    <row r="6006" spans="19:21" ht="15" customHeight="1" x14ac:dyDescent="0.2">
      <c r="S6006" s="69">
        <f>_xlfn.XLOOKUP(Results!A6006,Geometry!$B$6:$B$10000,Geometry!$C$6:$C$10000)</f>
        <v>0</v>
      </c>
      <c r="T6006" s="69"/>
      <c r="U6006" s="69"/>
    </row>
    <row r="6007" spans="19:21" ht="15" customHeight="1" x14ac:dyDescent="0.2">
      <c r="S6007" s="69">
        <f>_xlfn.XLOOKUP(Results!A6007,Geometry!$B$6:$B$10000,Geometry!$C$6:$C$10000)</f>
        <v>0</v>
      </c>
      <c r="T6007" s="69"/>
      <c r="U6007" s="69"/>
    </row>
    <row r="6008" spans="19:21" ht="15" customHeight="1" x14ac:dyDescent="0.2">
      <c r="S6008" s="69">
        <f>_xlfn.XLOOKUP(Results!A6008,Geometry!$B$6:$B$10000,Geometry!$C$6:$C$10000)</f>
        <v>0</v>
      </c>
      <c r="T6008" s="69"/>
      <c r="U6008" s="69"/>
    </row>
    <row r="6009" spans="19:21" ht="15" customHeight="1" x14ac:dyDescent="0.2">
      <c r="S6009" s="69">
        <f>_xlfn.XLOOKUP(Results!A6009,Geometry!$B$6:$B$10000,Geometry!$C$6:$C$10000)</f>
        <v>0</v>
      </c>
      <c r="T6009" s="69"/>
      <c r="U6009" s="69"/>
    </row>
    <row r="6010" spans="19:21" ht="15" customHeight="1" x14ac:dyDescent="0.2">
      <c r="S6010" s="69">
        <f>_xlfn.XLOOKUP(Results!A6010,Geometry!$B$6:$B$10000,Geometry!$C$6:$C$10000)</f>
        <v>0</v>
      </c>
      <c r="T6010" s="69"/>
      <c r="U6010" s="69"/>
    </row>
    <row r="6011" spans="19:21" ht="15" customHeight="1" x14ac:dyDescent="0.2">
      <c r="S6011" s="69">
        <f>_xlfn.XLOOKUP(Results!A6011,Geometry!$B$6:$B$10000,Geometry!$C$6:$C$10000)</f>
        <v>0</v>
      </c>
      <c r="T6011" s="69"/>
      <c r="U6011" s="69"/>
    </row>
    <row r="6012" spans="19:21" ht="15" customHeight="1" x14ac:dyDescent="0.2">
      <c r="S6012" s="69">
        <f>_xlfn.XLOOKUP(Results!A6012,Geometry!$B$6:$B$10000,Geometry!$C$6:$C$10000)</f>
        <v>0</v>
      </c>
      <c r="T6012" s="69"/>
      <c r="U6012" s="69"/>
    </row>
    <row r="6013" spans="19:21" ht="15" customHeight="1" x14ac:dyDescent="0.2">
      <c r="S6013" s="69">
        <f>_xlfn.XLOOKUP(Results!A6013,Geometry!$B$6:$B$10000,Geometry!$C$6:$C$10000)</f>
        <v>0</v>
      </c>
      <c r="T6013" s="69"/>
      <c r="U6013" s="69"/>
    </row>
    <row r="6014" spans="19:21" ht="15" customHeight="1" x14ac:dyDescent="0.2">
      <c r="S6014" s="69">
        <f>_xlfn.XLOOKUP(Results!A6014,Geometry!$B$6:$B$10000,Geometry!$C$6:$C$10000)</f>
        <v>0</v>
      </c>
      <c r="T6014" s="69"/>
      <c r="U6014" s="69"/>
    </row>
    <row r="6015" spans="19:21" ht="15" customHeight="1" x14ac:dyDescent="0.2">
      <c r="S6015" s="69">
        <f>_xlfn.XLOOKUP(Results!A6015,Geometry!$B$6:$B$10000,Geometry!$C$6:$C$10000)</f>
        <v>0</v>
      </c>
      <c r="T6015" s="69"/>
      <c r="U6015" s="69"/>
    </row>
    <row r="6016" spans="19:21" ht="15" customHeight="1" x14ac:dyDescent="0.2">
      <c r="S6016" s="69">
        <f>_xlfn.XLOOKUP(Results!A6016,Geometry!$B$6:$B$10000,Geometry!$C$6:$C$10000)</f>
        <v>0</v>
      </c>
      <c r="T6016" s="69"/>
      <c r="U6016" s="69"/>
    </row>
    <row r="6017" spans="19:21" ht="15" customHeight="1" x14ac:dyDescent="0.2">
      <c r="S6017" s="69">
        <f>_xlfn.XLOOKUP(Results!A6017,Geometry!$B$6:$B$10000,Geometry!$C$6:$C$10000)</f>
        <v>0</v>
      </c>
      <c r="T6017" s="69"/>
      <c r="U6017" s="69"/>
    </row>
    <row r="6018" spans="19:21" ht="15" customHeight="1" x14ac:dyDescent="0.2">
      <c r="S6018" s="69">
        <f>_xlfn.XLOOKUP(Results!A6018,Geometry!$B$6:$B$10000,Geometry!$C$6:$C$10000)</f>
        <v>0</v>
      </c>
      <c r="T6018" s="69"/>
      <c r="U6018" s="69"/>
    </row>
    <row r="6019" spans="19:21" ht="15" customHeight="1" x14ac:dyDescent="0.2">
      <c r="S6019" s="69">
        <f>_xlfn.XLOOKUP(Results!A6019,Geometry!$B$6:$B$10000,Geometry!$C$6:$C$10000)</f>
        <v>0</v>
      </c>
      <c r="T6019" s="69"/>
      <c r="U6019" s="69"/>
    </row>
    <row r="6020" spans="19:21" ht="15" customHeight="1" x14ac:dyDescent="0.2">
      <c r="S6020" s="69">
        <f>_xlfn.XLOOKUP(Results!A6020,Geometry!$B$6:$B$10000,Geometry!$C$6:$C$10000)</f>
        <v>0</v>
      </c>
      <c r="T6020" s="69"/>
      <c r="U6020" s="69"/>
    </row>
    <row r="6021" spans="19:21" ht="15" customHeight="1" x14ac:dyDescent="0.2">
      <c r="S6021" s="69">
        <f>_xlfn.XLOOKUP(Results!A6021,Geometry!$B$6:$B$10000,Geometry!$C$6:$C$10000)</f>
        <v>0</v>
      </c>
      <c r="T6021" s="69"/>
      <c r="U6021" s="69"/>
    </row>
    <row r="6022" spans="19:21" ht="15" customHeight="1" x14ac:dyDescent="0.2">
      <c r="S6022" s="69">
        <f>_xlfn.XLOOKUP(Results!A6022,Geometry!$B$6:$B$10000,Geometry!$C$6:$C$10000)</f>
        <v>0</v>
      </c>
      <c r="T6022" s="69"/>
      <c r="U6022" s="69"/>
    </row>
    <row r="6023" spans="19:21" ht="15" customHeight="1" x14ac:dyDescent="0.2">
      <c r="S6023" s="69">
        <f>_xlfn.XLOOKUP(Results!A6023,Geometry!$B$6:$B$10000,Geometry!$C$6:$C$10000)</f>
        <v>0</v>
      </c>
      <c r="T6023" s="69"/>
      <c r="U6023" s="69"/>
    </row>
    <row r="6024" spans="19:21" ht="15" customHeight="1" x14ac:dyDescent="0.2">
      <c r="S6024" s="69">
        <f>_xlfn.XLOOKUP(Results!A6024,Geometry!$B$6:$B$10000,Geometry!$C$6:$C$10000)</f>
        <v>0</v>
      </c>
      <c r="T6024" s="69"/>
      <c r="U6024" s="69"/>
    </row>
    <row r="6025" spans="19:21" ht="15" customHeight="1" x14ac:dyDescent="0.2">
      <c r="S6025" s="69">
        <f>_xlfn.XLOOKUP(Results!A6025,Geometry!$B$6:$B$10000,Geometry!$C$6:$C$10000)</f>
        <v>0</v>
      </c>
      <c r="T6025" s="69"/>
      <c r="U6025" s="69"/>
    </row>
    <row r="6026" spans="19:21" ht="15" customHeight="1" x14ac:dyDescent="0.2">
      <c r="S6026" s="69">
        <f>_xlfn.XLOOKUP(Results!A6026,Geometry!$B$6:$B$10000,Geometry!$C$6:$C$10000)</f>
        <v>0</v>
      </c>
      <c r="T6026" s="69"/>
      <c r="U6026" s="69"/>
    </row>
    <row r="6027" spans="19:21" ht="15" customHeight="1" x14ac:dyDescent="0.2">
      <c r="S6027" s="69">
        <f>_xlfn.XLOOKUP(Results!A6027,Geometry!$B$6:$B$10000,Geometry!$C$6:$C$10000)</f>
        <v>0</v>
      </c>
      <c r="T6027" s="69"/>
      <c r="U6027" s="69"/>
    </row>
    <row r="6028" spans="19:21" ht="15" customHeight="1" x14ac:dyDescent="0.2">
      <c r="S6028" s="69">
        <f>_xlfn.XLOOKUP(Results!A6028,Geometry!$B$6:$B$10000,Geometry!$C$6:$C$10000)</f>
        <v>0</v>
      </c>
      <c r="T6028" s="69"/>
      <c r="U6028" s="69"/>
    </row>
    <row r="6029" spans="19:21" ht="15" customHeight="1" x14ac:dyDescent="0.2">
      <c r="S6029" s="69">
        <f>_xlfn.XLOOKUP(Results!A6029,Geometry!$B$6:$B$10000,Geometry!$C$6:$C$10000)</f>
        <v>0</v>
      </c>
      <c r="T6029" s="69"/>
      <c r="U6029" s="69"/>
    </row>
    <row r="6030" spans="19:21" ht="15" customHeight="1" x14ac:dyDescent="0.2">
      <c r="S6030" s="69">
        <f>_xlfn.XLOOKUP(Results!A6030,Geometry!$B$6:$B$10000,Geometry!$C$6:$C$10000)</f>
        <v>0</v>
      </c>
      <c r="T6030" s="69"/>
      <c r="U6030" s="69"/>
    </row>
    <row r="6031" spans="19:21" ht="15" customHeight="1" x14ac:dyDescent="0.2">
      <c r="S6031" s="69">
        <f>_xlfn.XLOOKUP(Results!A6031,Geometry!$B$6:$B$10000,Geometry!$C$6:$C$10000)</f>
        <v>0</v>
      </c>
      <c r="T6031" s="69"/>
      <c r="U6031" s="69"/>
    </row>
    <row r="6032" spans="19:21" ht="15" customHeight="1" x14ac:dyDescent="0.2">
      <c r="S6032" s="69">
        <f>_xlfn.XLOOKUP(Results!A6032,Geometry!$B$6:$B$10000,Geometry!$C$6:$C$10000)</f>
        <v>0</v>
      </c>
      <c r="T6032" s="69"/>
      <c r="U6032" s="69"/>
    </row>
    <row r="6033" spans="19:21" ht="15" customHeight="1" x14ac:dyDescent="0.2">
      <c r="S6033" s="69">
        <f>_xlfn.XLOOKUP(Results!A6033,Geometry!$B$6:$B$10000,Geometry!$C$6:$C$10000)</f>
        <v>0</v>
      </c>
      <c r="T6033" s="69"/>
      <c r="U6033" s="69"/>
    </row>
    <row r="6034" spans="19:21" ht="15" customHeight="1" x14ac:dyDescent="0.2">
      <c r="S6034" s="69">
        <f>_xlfn.XLOOKUP(Results!A6034,Geometry!$B$6:$B$10000,Geometry!$C$6:$C$10000)</f>
        <v>0</v>
      </c>
      <c r="T6034" s="69"/>
      <c r="U6034" s="69"/>
    </row>
    <row r="6035" spans="19:21" ht="15" customHeight="1" x14ac:dyDescent="0.2">
      <c r="S6035" s="69">
        <f>_xlfn.XLOOKUP(Results!A6035,Geometry!$B$6:$B$10000,Geometry!$C$6:$C$10000)</f>
        <v>0</v>
      </c>
      <c r="T6035" s="69"/>
      <c r="U6035" s="69"/>
    </row>
    <row r="6036" spans="19:21" ht="15" customHeight="1" x14ac:dyDescent="0.2">
      <c r="S6036" s="69">
        <f>_xlfn.XLOOKUP(Results!A6036,Geometry!$B$6:$B$10000,Geometry!$C$6:$C$10000)</f>
        <v>0</v>
      </c>
      <c r="T6036" s="69"/>
      <c r="U6036" s="69"/>
    </row>
    <row r="6037" spans="19:21" ht="15" customHeight="1" x14ac:dyDescent="0.2">
      <c r="S6037" s="69">
        <f>_xlfn.XLOOKUP(Results!A6037,Geometry!$B$6:$B$10000,Geometry!$C$6:$C$10000)</f>
        <v>0</v>
      </c>
      <c r="T6037" s="69"/>
      <c r="U6037" s="69"/>
    </row>
    <row r="6038" spans="19:21" ht="15" customHeight="1" x14ac:dyDescent="0.2">
      <c r="S6038" s="69">
        <f>_xlfn.XLOOKUP(Results!A6038,Geometry!$B$6:$B$10000,Geometry!$C$6:$C$10000)</f>
        <v>0</v>
      </c>
      <c r="T6038" s="69"/>
      <c r="U6038" s="69"/>
    </row>
    <row r="6039" spans="19:21" ht="15" customHeight="1" x14ac:dyDescent="0.2">
      <c r="S6039" s="69">
        <f>_xlfn.XLOOKUP(Results!A6039,Geometry!$B$6:$B$10000,Geometry!$C$6:$C$10000)</f>
        <v>0</v>
      </c>
      <c r="T6039" s="69"/>
      <c r="U6039" s="69"/>
    </row>
    <row r="6040" spans="19:21" ht="15" customHeight="1" x14ac:dyDescent="0.2">
      <c r="S6040" s="69">
        <f>_xlfn.XLOOKUP(Results!A6040,Geometry!$B$6:$B$10000,Geometry!$C$6:$C$10000)</f>
        <v>0</v>
      </c>
      <c r="T6040" s="69"/>
      <c r="U6040" s="69"/>
    </row>
    <row r="6041" spans="19:21" ht="15" customHeight="1" x14ac:dyDescent="0.2">
      <c r="S6041" s="69">
        <f>_xlfn.XLOOKUP(Results!A6041,Geometry!$B$6:$B$10000,Geometry!$C$6:$C$10000)</f>
        <v>0</v>
      </c>
      <c r="T6041" s="69"/>
      <c r="U6041" s="69"/>
    </row>
    <row r="6042" spans="19:21" ht="15" customHeight="1" x14ac:dyDescent="0.2">
      <c r="S6042" s="69">
        <f>_xlfn.XLOOKUP(Results!A6042,Geometry!$B$6:$B$10000,Geometry!$C$6:$C$10000)</f>
        <v>0</v>
      </c>
      <c r="T6042" s="69"/>
      <c r="U6042" s="69"/>
    </row>
    <row r="6043" spans="19:21" ht="15" customHeight="1" x14ac:dyDescent="0.2">
      <c r="S6043" s="69">
        <f>_xlfn.XLOOKUP(Results!A6043,Geometry!$B$6:$B$10000,Geometry!$C$6:$C$10000)</f>
        <v>0</v>
      </c>
      <c r="T6043" s="69"/>
      <c r="U6043" s="69"/>
    </row>
    <row r="6044" spans="19:21" ht="15" customHeight="1" x14ac:dyDescent="0.2">
      <c r="S6044" s="69">
        <f>_xlfn.XLOOKUP(Results!A6044,Geometry!$B$6:$B$10000,Geometry!$C$6:$C$10000)</f>
        <v>0</v>
      </c>
      <c r="T6044" s="69"/>
      <c r="U6044" s="69"/>
    </row>
    <row r="6045" spans="19:21" ht="15" customHeight="1" x14ac:dyDescent="0.2">
      <c r="S6045" s="69">
        <f>_xlfn.XLOOKUP(Results!A6045,Geometry!$B$6:$B$10000,Geometry!$C$6:$C$10000)</f>
        <v>0</v>
      </c>
      <c r="T6045" s="69"/>
      <c r="U6045" s="69"/>
    </row>
    <row r="6046" spans="19:21" ht="15" customHeight="1" x14ac:dyDescent="0.2">
      <c r="S6046" s="69">
        <f>_xlfn.XLOOKUP(Results!A6046,Geometry!$B$6:$B$10000,Geometry!$C$6:$C$10000)</f>
        <v>0</v>
      </c>
      <c r="T6046" s="69"/>
      <c r="U6046" s="69"/>
    </row>
    <row r="6047" spans="19:21" ht="15" customHeight="1" x14ac:dyDescent="0.2">
      <c r="S6047" s="69">
        <f>_xlfn.XLOOKUP(Results!A6047,Geometry!$B$6:$B$10000,Geometry!$C$6:$C$10000)</f>
        <v>0</v>
      </c>
      <c r="T6047" s="69"/>
      <c r="U6047" s="69"/>
    </row>
    <row r="6048" spans="19:21" ht="15" customHeight="1" x14ac:dyDescent="0.2">
      <c r="S6048" s="69">
        <f>_xlfn.XLOOKUP(Results!A6048,Geometry!$B$6:$B$10000,Geometry!$C$6:$C$10000)</f>
        <v>0</v>
      </c>
      <c r="T6048" s="69"/>
      <c r="U6048" s="69"/>
    </row>
    <row r="6049" spans="19:21" ht="15" customHeight="1" x14ac:dyDescent="0.2">
      <c r="S6049" s="69">
        <f>_xlfn.XLOOKUP(Results!A6049,Geometry!$B$6:$B$10000,Geometry!$C$6:$C$10000)</f>
        <v>0</v>
      </c>
      <c r="T6049" s="69"/>
      <c r="U6049" s="69"/>
    </row>
    <row r="6050" spans="19:21" ht="15" customHeight="1" x14ac:dyDescent="0.2">
      <c r="S6050" s="69">
        <f>_xlfn.XLOOKUP(Results!A6050,Geometry!$B$6:$B$10000,Geometry!$C$6:$C$10000)</f>
        <v>0</v>
      </c>
      <c r="T6050" s="69"/>
      <c r="U6050" s="69"/>
    </row>
    <row r="6051" spans="19:21" ht="15" customHeight="1" x14ac:dyDescent="0.2">
      <c r="S6051" s="69">
        <f>_xlfn.XLOOKUP(Results!A6051,Geometry!$B$6:$B$10000,Geometry!$C$6:$C$10000)</f>
        <v>0</v>
      </c>
      <c r="T6051" s="69"/>
      <c r="U6051" s="69"/>
    </row>
    <row r="6052" spans="19:21" ht="15" customHeight="1" x14ac:dyDescent="0.2">
      <c r="S6052" s="69">
        <f>_xlfn.XLOOKUP(Results!A6052,Geometry!$B$6:$B$10000,Geometry!$C$6:$C$10000)</f>
        <v>0</v>
      </c>
      <c r="T6052" s="69"/>
      <c r="U6052" s="69"/>
    </row>
    <row r="6053" spans="19:21" ht="15" customHeight="1" x14ac:dyDescent="0.2">
      <c r="S6053" s="69">
        <f>_xlfn.XLOOKUP(Results!A6053,Geometry!$B$6:$B$10000,Geometry!$C$6:$C$10000)</f>
        <v>0</v>
      </c>
      <c r="T6053" s="69"/>
      <c r="U6053" s="69"/>
    </row>
    <row r="6054" spans="19:21" ht="15" customHeight="1" x14ac:dyDescent="0.2">
      <c r="S6054" s="69">
        <f>_xlfn.XLOOKUP(Results!A6054,Geometry!$B$6:$B$10000,Geometry!$C$6:$C$10000)</f>
        <v>0</v>
      </c>
      <c r="T6054" s="69"/>
      <c r="U6054" s="69"/>
    </row>
    <row r="6055" spans="19:21" ht="15" customHeight="1" x14ac:dyDescent="0.2">
      <c r="S6055" s="69">
        <f>_xlfn.XLOOKUP(Results!A6055,Geometry!$B$6:$B$10000,Geometry!$C$6:$C$10000)</f>
        <v>0</v>
      </c>
      <c r="T6055" s="69"/>
      <c r="U6055" s="69"/>
    </row>
    <row r="6056" spans="19:21" ht="15" customHeight="1" x14ac:dyDescent="0.2">
      <c r="S6056" s="69">
        <f>_xlfn.XLOOKUP(Results!A6056,Geometry!$B$6:$B$10000,Geometry!$C$6:$C$10000)</f>
        <v>0</v>
      </c>
      <c r="T6056" s="69"/>
      <c r="U6056" s="69"/>
    </row>
    <row r="6057" spans="19:21" ht="15" customHeight="1" x14ac:dyDescent="0.2">
      <c r="S6057" s="69">
        <f>_xlfn.XLOOKUP(Results!A6057,Geometry!$B$6:$B$10000,Geometry!$C$6:$C$10000)</f>
        <v>0</v>
      </c>
      <c r="T6057" s="69"/>
      <c r="U6057" s="69"/>
    </row>
    <row r="6058" spans="19:21" ht="15" customHeight="1" x14ac:dyDescent="0.2">
      <c r="S6058" s="69">
        <f>_xlfn.XLOOKUP(Results!A6058,Geometry!$B$6:$B$10000,Geometry!$C$6:$C$10000)</f>
        <v>0</v>
      </c>
      <c r="T6058" s="69"/>
      <c r="U6058" s="69"/>
    </row>
    <row r="6059" spans="19:21" ht="15" customHeight="1" x14ac:dyDescent="0.2">
      <c r="S6059" s="69">
        <f>_xlfn.XLOOKUP(Results!A6059,Geometry!$B$6:$B$10000,Geometry!$C$6:$C$10000)</f>
        <v>0</v>
      </c>
      <c r="T6059" s="69"/>
      <c r="U6059" s="69"/>
    </row>
    <row r="6060" spans="19:21" ht="15" customHeight="1" x14ac:dyDescent="0.2">
      <c r="S6060" s="69">
        <f>_xlfn.XLOOKUP(Results!A6060,Geometry!$B$6:$B$10000,Geometry!$C$6:$C$10000)</f>
        <v>0</v>
      </c>
      <c r="T6060" s="69"/>
      <c r="U6060" s="69"/>
    </row>
    <row r="6061" spans="19:21" ht="15" customHeight="1" x14ac:dyDescent="0.2">
      <c r="S6061" s="69">
        <f>_xlfn.XLOOKUP(Results!A6061,Geometry!$B$6:$B$10000,Geometry!$C$6:$C$10000)</f>
        <v>0</v>
      </c>
      <c r="T6061" s="69"/>
      <c r="U6061" s="69"/>
    </row>
    <row r="6062" spans="19:21" ht="15" customHeight="1" x14ac:dyDescent="0.2">
      <c r="S6062" s="69">
        <f>_xlfn.XLOOKUP(Results!A6062,Geometry!$B$6:$B$10000,Geometry!$C$6:$C$10000)</f>
        <v>0</v>
      </c>
      <c r="T6062" s="69"/>
      <c r="U6062" s="69"/>
    </row>
    <row r="6063" spans="19:21" ht="15" customHeight="1" x14ac:dyDescent="0.2">
      <c r="S6063" s="69">
        <f>_xlfn.XLOOKUP(Results!A6063,Geometry!$B$6:$B$10000,Geometry!$C$6:$C$10000)</f>
        <v>0</v>
      </c>
      <c r="T6063" s="69"/>
      <c r="U6063" s="69"/>
    </row>
    <row r="6064" spans="19:21" ht="15" customHeight="1" x14ac:dyDescent="0.2">
      <c r="S6064" s="69">
        <f>_xlfn.XLOOKUP(Results!A6064,Geometry!$B$6:$B$10000,Geometry!$C$6:$C$10000)</f>
        <v>0</v>
      </c>
      <c r="T6064" s="69"/>
      <c r="U6064" s="69"/>
    </row>
    <row r="6065" spans="19:21" ht="15" customHeight="1" x14ac:dyDescent="0.2">
      <c r="S6065" s="69">
        <f>_xlfn.XLOOKUP(Results!A6065,Geometry!$B$6:$B$10000,Geometry!$C$6:$C$10000)</f>
        <v>0</v>
      </c>
      <c r="T6065" s="69"/>
      <c r="U6065" s="69"/>
    </row>
    <row r="6066" spans="19:21" ht="15" customHeight="1" x14ac:dyDescent="0.2">
      <c r="S6066" s="69">
        <f>_xlfn.XLOOKUP(Results!A6066,Geometry!$B$6:$B$10000,Geometry!$C$6:$C$10000)</f>
        <v>0</v>
      </c>
      <c r="T6066" s="69"/>
      <c r="U6066" s="69"/>
    </row>
    <row r="6067" spans="19:21" ht="15" customHeight="1" x14ac:dyDescent="0.2">
      <c r="S6067" s="69">
        <f>_xlfn.XLOOKUP(Results!A6067,Geometry!$B$6:$B$10000,Geometry!$C$6:$C$10000)</f>
        <v>0</v>
      </c>
      <c r="T6067" s="69"/>
      <c r="U6067" s="69"/>
    </row>
    <row r="6068" spans="19:21" ht="15" customHeight="1" x14ac:dyDescent="0.2">
      <c r="S6068" s="69">
        <f>_xlfn.XLOOKUP(Results!A6068,Geometry!$B$6:$B$10000,Geometry!$C$6:$C$10000)</f>
        <v>0</v>
      </c>
      <c r="T6068" s="69"/>
      <c r="U6068" s="69"/>
    </row>
    <row r="6069" spans="19:21" ht="15" customHeight="1" x14ac:dyDescent="0.2">
      <c r="S6069" s="69">
        <f>_xlfn.XLOOKUP(Results!A6069,Geometry!$B$6:$B$10000,Geometry!$C$6:$C$10000)</f>
        <v>0</v>
      </c>
      <c r="T6069" s="69"/>
      <c r="U6069" s="69"/>
    </row>
    <row r="6070" spans="19:21" ht="15" customHeight="1" x14ac:dyDescent="0.2">
      <c r="S6070" s="69">
        <f>_xlfn.XLOOKUP(Results!A6070,Geometry!$B$6:$B$10000,Geometry!$C$6:$C$10000)</f>
        <v>0</v>
      </c>
      <c r="T6070" s="69"/>
      <c r="U6070" s="69"/>
    </row>
    <row r="6071" spans="19:21" ht="15" customHeight="1" x14ac:dyDescent="0.2">
      <c r="S6071" s="69">
        <f>_xlfn.XLOOKUP(Results!A6071,Geometry!$B$6:$B$10000,Geometry!$C$6:$C$10000)</f>
        <v>0</v>
      </c>
      <c r="T6071" s="69"/>
      <c r="U6071" s="69"/>
    </row>
    <row r="6072" spans="19:21" ht="15" customHeight="1" x14ac:dyDescent="0.2">
      <c r="S6072" s="69">
        <f>_xlfn.XLOOKUP(Results!A6072,Geometry!$B$6:$B$10000,Geometry!$C$6:$C$10000)</f>
        <v>0</v>
      </c>
      <c r="T6072" s="69"/>
      <c r="U6072" s="69"/>
    </row>
    <row r="6073" spans="19:21" ht="15" customHeight="1" x14ac:dyDescent="0.2">
      <c r="S6073" s="69">
        <f>_xlfn.XLOOKUP(Results!A6073,Geometry!$B$6:$B$10000,Geometry!$C$6:$C$10000)</f>
        <v>0</v>
      </c>
      <c r="T6073" s="69"/>
      <c r="U6073" s="69"/>
    </row>
    <row r="6074" spans="19:21" ht="15" customHeight="1" x14ac:dyDescent="0.2">
      <c r="S6074" s="69">
        <f>_xlfn.XLOOKUP(Results!A6074,Geometry!$B$6:$B$10000,Geometry!$C$6:$C$10000)</f>
        <v>0</v>
      </c>
      <c r="T6074" s="69"/>
      <c r="U6074" s="69"/>
    </row>
    <row r="6075" spans="19:21" ht="15" customHeight="1" x14ac:dyDescent="0.2">
      <c r="S6075" s="69">
        <f>_xlfn.XLOOKUP(Results!A6075,Geometry!$B$6:$B$10000,Geometry!$C$6:$C$10000)</f>
        <v>0</v>
      </c>
      <c r="T6075" s="69"/>
      <c r="U6075" s="69"/>
    </row>
    <row r="6076" spans="19:21" ht="15" customHeight="1" x14ac:dyDescent="0.2">
      <c r="S6076" s="69">
        <f>_xlfn.XLOOKUP(Results!A6076,Geometry!$B$6:$B$10000,Geometry!$C$6:$C$10000)</f>
        <v>0</v>
      </c>
      <c r="T6076" s="69"/>
      <c r="U6076" s="69"/>
    </row>
    <row r="6077" spans="19:21" ht="15" customHeight="1" x14ac:dyDescent="0.2">
      <c r="S6077" s="69">
        <f>_xlfn.XLOOKUP(Results!A6077,Geometry!$B$6:$B$10000,Geometry!$C$6:$C$10000)</f>
        <v>0</v>
      </c>
      <c r="T6077" s="69"/>
      <c r="U6077" s="69"/>
    </row>
    <row r="6078" spans="19:21" ht="15" customHeight="1" x14ac:dyDescent="0.2">
      <c r="S6078" s="69">
        <f>_xlfn.XLOOKUP(Results!A6078,Geometry!$B$6:$B$10000,Geometry!$C$6:$C$10000)</f>
        <v>0</v>
      </c>
      <c r="T6078" s="69"/>
      <c r="U6078" s="69"/>
    </row>
    <row r="6079" spans="19:21" ht="15" customHeight="1" x14ac:dyDescent="0.2">
      <c r="S6079" s="69">
        <f>_xlfn.XLOOKUP(Results!A6079,Geometry!$B$6:$B$10000,Geometry!$C$6:$C$10000)</f>
        <v>0</v>
      </c>
      <c r="T6079" s="69"/>
      <c r="U6079" s="69"/>
    </row>
    <row r="6080" spans="19:21" ht="15" customHeight="1" x14ac:dyDescent="0.2">
      <c r="S6080" s="69">
        <f>_xlfn.XLOOKUP(Results!A6080,Geometry!$B$6:$B$10000,Geometry!$C$6:$C$10000)</f>
        <v>0</v>
      </c>
      <c r="T6080" s="69"/>
      <c r="U6080" s="69"/>
    </row>
    <row r="6081" spans="19:21" ht="15" customHeight="1" x14ac:dyDescent="0.2">
      <c r="S6081" s="69">
        <f>_xlfn.XLOOKUP(Results!A6081,Geometry!$B$6:$B$10000,Geometry!$C$6:$C$10000)</f>
        <v>0</v>
      </c>
      <c r="T6081" s="69"/>
      <c r="U6081" s="69"/>
    </row>
    <row r="6082" spans="19:21" ht="15" customHeight="1" x14ac:dyDescent="0.2">
      <c r="S6082" s="69">
        <f>_xlfn.XLOOKUP(Results!A6082,Geometry!$B$6:$B$10000,Geometry!$C$6:$C$10000)</f>
        <v>0</v>
      </c>
      <c r="T6082" s="69"/>
      <c r="U6082" s="69"/>
    </row>
    <row r="6083" spans="19:21" ht="15" customHeight="1" x14ac:dyDescent="0.2">
      <c r="S6083" s="69">
        <f>_xlfn.XLOOKUP(Results!A6083,Geometry!$B$6:$B$10000,Geometry!$C$6:$C$10000)</f>
        <v>0</v>
      </c>
      <c r="T6083" s="69"/>
      <c r="U6083" s="69"/>
    </row>
    <row r="6084" spans="19:21" ht="15" customHeight="1" x14ac:dyDescent="0.2">
      <c r="S6084" s="69">
        <f>_xlfn.XLOOKUP(Results!A6084,Geometry!$B$6:$B$10000,Geometry!$C$6:$C$10000)</f>
        <v>0</v>
      </c>
      <c r="T6084" s="69"/>
      <c r="U6084" s="69"/>
    </row>
    <row r="6085" spans="19:21" ht="15" customHeight="1" x14ac:dyDescent="0.2">
      <c r="S6085" s="69">
        <f>_xlfn.XLOOKUP(Results!A6085,Geometry!$B$6:$B$10000,Geometry!$C$6:$C$10000)</f>
        <v>0</v>
      </c>
      <c r="T6085" s="69"/>
      <c r="U6085" s="69"/>
    </row>
    <row r="6086" spans="19:21" ht="15" customHeight="1" x14ac:dyDescent="0.2">
      <c r="S6086" s="69">
        <f>_xlfn.XLOOKUP(Results!A6086,Geometry!$B$6:$B$10000,Geometry!$C$6:$C$10000)</f>
        <v>0</v>
      </c>
      <c r="T6086" s="69"/>
      <c r="U6086" s="69"/>
    </row>
    <row r="6087" spans="19:21" ht="15" customHeight="1" x14ac:dyDescent="0.2">
      <c r="S6087" s="69">
        <f>_xlfn.XLOOKUP(Results!A6087,Geometry!$B$6:$B$10000,Geometry!$C$6:$C$10000)</f>
        <v>0</v>
      </c>
      <c r="T6087" s="69"/>
      <c r="U6087" s="69"/>
    </row>
    <row r="6088" spans="19:21" ht="15" customHeight="1" x14ac:dyDescent="0.2">
      <c r="S6088" s="69">
        <f>_xlfn.XLOOKUP(Results!A6088,Geometry!$B$6:$B$10000,Geometry!$C$6:$C$10000)</f>
        <v>0</v>
      </c>
      <c r="T6088" s="69"/>
      <c r="U6088" s="69"/>
    </row>
    <row r="6089" spans="19:21" ht="15" customHeight="1" x14ac:dyDescent="0.2">
      <c r="S6089" s="69">
        <f>_xlfn.XLOOKUP(Results!A6089,Geometry!$B$6:$B$10000,Geometry!$C$6:$C$10000)</f>
        <v>0</v>
      </c>
      <c r="T6089" s="69"/>
      <c r="U6089" s="69"/>
    </row>
    <row r="6090" spans="19:21" ht="15" customHeight="1" x14ac:dyDescent="0.2">
      <c r="S6090" s="69">
        <f>_xlfn.XLOOKUP(Results!A6090,Geometry!$B$6:$B$10000,Geometry!$C$6:$C$10000)</f>
        <v>0</v>
      </c>
      <c r="T6090" s="69"/>
      <c r="U6090" s="69"/>
    </row>
    <row r="6091" spans="19:21" ht="15" customHeight="1" x14ac:dyDescent="0.2">
      <c r="S6091" s="69">
        <f>_xlfn.XLOOKUP(Results!A6091,Geometry!$B$6:$B$10000,Geometry!$C$6:$C$10000)</f>
        <v>0</v>
      </c>
      <c r="T6091" s="69"/>
      <c r="U6091" s="69"/>
    </row>
    <row r="6092" spans="19:21" ht="15" customHeight="1" x14ac:dyDescent="0.2">
      <c r="S6092" s="69">
        <f>_xlfn.XLOOKUP(Results!A6092,Geometry!$B$6:$B$10000,Geometry!$C$6:$C$10000)</f>
        <v>0</v>
      </c>
      <c r="T6092" s="69"/>
      <c r="U6092" s="69"/>
    </row>
    <row r="6093" spans="19:21" ht="15" customHeight="1" x14ac:dyDescent="0.2">
      <c r="S6093" s="69">
        <f>_xlfn.XLOOKUP(Results!A6093,Geometry!$B$6:$B$10000,Geometry!$C$6:$C$10000)</f>
        <v>0</v>
      </c>
      <c r="T6093" s="69"/>
      <c r="U6093" s="69"/>
    </row>
    <row r="6094" spans="19:21" ht="15" customHeight="1" x14ac:dyDescent="0.2">
      <c r="S6094" s="69">
        <f>_xlfn.XLOOKUP(Results!A6094,Geometry!$B$6:$B$10000,Geometry!$C$6:$C$10000)</f>
        <v>0</v>
      </c>
      <c r="T6094" s="69"/>
      <c r="U6094" s="69"/>
    </row>
    <row r="6095" spans="19:21" ht="15" customHeight="1" x14ac:dyDescent="0.2">
      <c r="S6095" s="69">
        <f>_xlfn.XLOOKUP(Results!A6095,Geometry!$B$6:$B$10000,Geometry!$C$6:$C$10000)</f>
        <v>0</v>
      </c>
      <c r="T6095" s="69"/>
      <c r="U6095" s="69"/>
    </row>
    <row r="6096" spans="19:21" ht="15" customHeight="1" x14ac:dyDescent="0.2">
      <c r="S6096" s="69">
        <f>_xlfn.XLOOKUP(Results!A6096,Geometry!$B$6:$B$10000,Geometry!$C$6:$C$10000)</f>
        <v>0</v>
      </c>
      <c r="T6096" s="69"/>
      <c r="U6096" s="69"/>
    </row>
    <row r="6097" spans="19:21" ht="15" customHeight="1" x14ac:dyDescent="0.2">
      <c r="S6097" s="69">
        <f>_xlfn.XLOOKUP(Results!A6097,Geometry!$B$6:$B$10000,Geometry!$C$6:$C$10000)</f>
        <v>0</v>
      </c>
      <c r="T6097" s="69"/>
      <c r="U6097" s="69"/>
    </row>
    <row r="6098" spans="19:21" ht="15" customHeight="1" x14ac:dyDescent="0.2">
      <c r="S6098" s="69">
        <f>_xlfn.XLOOKUP(Results!A6098,Geometry!$B$6:$B$10000,Geometry!$C$6:$C$10000)</f>
        <v>0</v>
      </c>
      <c r="T6098" s="69"/>
      <c r="U6098" s="69"/>
    </row>
    <row r="6099" spans="19:21" ht="15" customHeight="1" x14ac:dyDescent="0.2">
      <c r="S6099" s="69">
        <f>_xlfn.XLOOKUP(Results!A6099,Geometry!$B$6:$B$10000,Geometry!$C$6:$C$10000)</f>
        <v>0</v>
      </c>
      <c r="T6099" s="69"/>
      <c r="U6099" s="69"/>
    </row>
    <row r="6100" spans="19:21" ht="15" customHeight="1" x14ac:dyDescent="0.2">
      <c r="S6100" s="69">
        <f>_xlfn.XLOOKUP(Results!A6100,Geometry!$B$6:$B$10000,Geometry!$C$6:$C$10000)</f>
        <v>0</v>
      </c>
      <c r="T6100" s="69"/>
      <c r="U6100" s="69"/>
    </row>
    <row r="6101" spans="19:21" ht="15" customHeight="1" x14ac:dyDescent="0.2">
      <c r="S6101" s="69">
        <f>_xlfn.XLOOKUP(Results!A6101,Geometry!$B$6:$B$10000,Geometry!$C$6:$C$10000)</f>
        <v>0</v>
      </c>
      <c r="T6101" s="69"/>
      <c r="U6101" s="69"/>
    </row>
    <row r="6102" spans="19:21" ht="15" customHeight="1" x14ac:dyDescent="0.2">
      <c r="S6102" s="69">
        <f>_xlfn.XLOOKUP(Results!A6102,Geometry!$B$6:$B$10000,Geometry!$C$6:$C$10000)</f>
        <v>0</v>
      </c>
      <c r="T6102" s="69"/>
      <c r="U6102" s="69"/>
    </row>
    <row r="6103" spans="19:21" ht="15" customHeight="1" x14ac:dyDescent="0.2">
      <c r="S6103" s="69">
        <f>_xlfn.XLOOKUP(Results!A6103,Geometry!$B$6:$B$10000,Geometry!$C$6:$C$10000)</f>
        <v>0</v>
      </c>
      <c r="T6103" s="69"/>
      <c r="U6103" s="69"/>
    </row>
    <row r="6104" spans="19:21" ht="15" customHeight="1" x14ac:dyDescent="0.2">
      <c r="S6104" s="69">
        <f>_xlfn.XLOOKUP(Results!A6104,Geometry!$B$6:$B$10000,Geometry!$C$6:$C$10000)</f>
        <v>0</v>
      </c>
      <c r="T6104" s="69"/>
      <c r="U6104" s="69"/>
    </row>
    <row r="6105" spans="19:21" ht="15" customHeight="1" x14ac:dyDescent="0.2">
      <c r="S6105" s="69">
        <f>_xlfn.XLOOKUP(Results!A6105,Geometry!$B$6:$B$10000,Geometry!$C$6:$C$10000)</f>
        <v>0</v>
      </c>
      <c r="T6105" s="69"/>
      <c r="U6105" s="69"/>
    </row>
    <row r="6106" spans="19:21" ht="15" customHeight="1" x14ac:dyDescent="0.2">
      <c r="S6106" s="69">
        <f>_xlfn.XLOOKUP(Results!A6106,Geometry!$B$6:$B$10000,Geometry!$C$6:$C$10000)</f>
        <v>0</v>
      </c>
      <c r="T6106" s="69"/>
      <c r="U6106" s="69"/>
    </row>
    <row r="6107" spans="19:21" ht="15" customHeight="1" x14ac:dyDescent="0.2">
      <c r="S6107" s="69">
        <f>_xlfn.XLOOKUP(Results!A6107,Geometry!$B$6:$B$10000,Geometry!$C$6:$C$10000)</f>
        <v>0</v>
      </c>
      <c r="T6107" s="69"/>
      <c r="U6107" s="69"/>
    </row>
    <row r="6108" spans="19:21" ht="15" customHeight="1" x14ac:dyDescent="0.2">
      <c r="S6108" s="69">
        <f>_xlfn.XLOOKUP(Results!A6108,Geometry!$B$6:$B$10000,Geometry!$C$6:$C$10000)</f>
        <v>0</v>
      </c>
      <c r="T6108" s="69"/>
      <c r="U6108" s="69"/>
    </row>
    <row r="6109" spans="19:21" ht="15" customHeight="1" x14ac:dyDescent="0.2">
      <c r="S6109" s="69">
        <f>_xlfn.XLOOKUP(Results!A6109,Geometry!$B$6:$B$10000,Geometry!$C$6:$C$10000)</f>
        <v>0</v>
      </c>
      <c r="T6109" s="69"/>
      <c r="U6109" s="69"/>
    </row>
    <row r="6110" spans="19:21" ht="15" customHeight="1" x14ac:dyDescent="0.2">
      <c r="S6110" s="69">
        <f>_xlfn.XLOOKUP(Results!A6110,Geometry!$B$6:$B$10000,Geometry!$C$6:$C$10000)</f>
        <v>0</v>
      </c>
      <c r="T6110" s="69"/>
      <c r="U6110" s="69"/>
    </row>
    <row r="6111" spans="19:21" ht="15" customHeight="1" x14ac:dyDescent="0.2">
      <c r="S6111" s="69">
        <f>_xlfn.XLOOKUP(Results!A6111,Geometry!$B$6:$B$10000,Geometry!$C$6:$C$10000)</f>
        <v>0</v>
      </c>
      <c r="T6111" s="69"/>
      <c r="U6111" s="69"/>
    </row>
    <row r="6112" spans="19:21" ht="15" customHeight="1" x14ac:dyDescent="0.2">
      <c r="S6112" s="69">
        <f>_xlfn.XLOOKUP(Results!A6112,Geometry!$B$6:$B$10000,Geometry!$C$6:$C$10000)</f>
        <v>0</v>
      </c>
      <c r="T6112" s="69"/>
      <c r="U6112" s="69"/>
    </row>
    <row r="6113" spans="19:21" ht="15" customHeight="1" x14ac:dyDescent="0.2">
      <c r="S6113" s="69">
        <f>_xlfn.XLOOKUP(Results!A6113,Geometry!$B$6:$B$10000,Geometry!$C$6:$C$10000)</f>
        <v>0</v>
      </c>
      <c r="T6113" s="69"/>
      <c r="U6113" s="69"/>
    </row>
    <row r="6114" spans="19:21" ht="15" customHeight="1" x14ac:dyDescent="0.2">
      <c r="S6114" s="69">
        <f>_xlfn.XLOOKUP(Results!A6114,Geometry!$B$6:$B$10000,Geometry!$C$6:$C$10000)</f>
        <v>0</v>
      </c>
      <c r="T6114" s="69"/>
      <c r="U6114" s="69"/>
    </row>
    <row r="6115" spans="19:21" ht="15" customHeight="1" x14ac:dyDescent="0.2">
      <c r="S6115" s="69">
        <f>_xlfn.XLOOKUP(Results!A6115,Geometry!$B$6:$B$10000,Geometry!$C$6:$C$10000)</f>
        <v>0</v>
      </c>
      <c r="T6115" s="69"/>
      <c r="U6115" s="69"/>
    </row>
    <row r="6116" spans="19:21" ht="15" customHeight="1" x14ac:dyDescent="0.2">
      <c r="S6116" s="69">
        <f>_xlfn.XLOOKUP(Results!A6116,Geometry!$B$6:$B$10000,Geometry!$C$6:$C$10000)</f>
        <v>0</v>
      </c>
      <c r="T6116" s="69"/>
      <c r="U6116" s="69"/>
    </row>
    <row r="6117" spans="19:21" ht="15" customHeight="1" x14ac:dyDescent="0.2">
      <c r="S6117" s="69">
        <f>_xlfn.XLOOKUP(Results!A6117,Geometry!$B$6:$B$10000,Geometry!$C$6:$C$10000)</f>
        <v>0</v>
      </c>
      <c r="T6117" s="69"/>
      <c r="U6117" s="69"/>
    </row>
    <row r="6118" spans="19:21" ht="15" customHeight="1" x14ac:dyDescent="0.2">
      <c r="S6118" s="69">
        <f>_xlfn.XLOOKUP(Results!A6118,Geometry!$B$6:$B$10000,Geometry!$C$6:$C$10000)</f>
        <v>0</v>
      </c>
      <c r="T6118" s="69"/>
      <c r="U6118" s="69"/>
    </row>
    <row r="6119" spans="19:21" ht="15" customHeight="1" x14ac:dyDescent="0.2">
      <c r="S6119" s="69">
        <f>_xlfn.XLOOKUP(Results!A6119,Geometry!$B$6:$B$10000,Geometry!$C$6:$C$10000)</f>
        <v>0</v>
      </c>
      <c r="T6119" s="69"/>
      <c r="U6119" s="69"/>
    </row>
    <row r="6120" spans="19:21" ht="15" customHeight="1" x14ac:dyDescent="0.2">
      <c r="S6120" s="69">
        <f>_xlfn.XLOOKUP(Results!A6120,Geometry!$B$6:$B$10000,Geometry!$C$6:$C$10000)</f>
        <v>0</v>
      </c>
      <c r="T6120" s="69"/>
      <c r="U6120" s="69"/>
    </row>
    <row r="6121" spans="19:21" ht="15" customHeight="1" x14ac:dyDescent="0.2">
      <c r="S6121" s="69">
        <f>_xlfn.XLOOKUP(Results!A6121,Geometry!$B$6:$B$10000,Geometry!$C$6:$C$10000)</f>
        <v>0</v>
      </c>
      <c r="T6121" s="69"/>
      <c r="U6121" s="69"/>
    </row>
    <row r="6122" spans="19:21" ht="15" customHeight="1" x14ac:dyDescent="0.2">
      <c r="S6122" s="69">
        <f>_xlfn.XLOOKUP(Results!A6122,Geometry!$B$6:$B$10000,Geometry!$C$6:$C$10000)</f>
        <v>0</v>
      </c>
      <c r="T6122" s="69"/>
      <c r="U6122" s="69"/>
    </row>
    <row r="6123" spans="19:21" ht="15" customHeight="1" x14ac:dyDescent="0.2">
      <c r="S6123" s="69">
        <f>_xlfn.XLOOKUP(Results!A6123,Geometry!$B$6:$B$10000,Geometry!$C$6:$C$10000)</f>
        <v>0</v>
      </c>
      <c r="T6123" s="69"/>
      <c r="U6123" s="69"/>
    </row>
    <row r="6124" spans="19:21" ht="15" customHeight="1" x14ac:dyDescent="0.2">
      <c r="S6124" s="69">
        <f>_xlfn.XLOOKUP(Results!A6124,Geometry!$B$6:$B$10000,Geometry!$C$6:$C$10000)</f>
        <v>0</v>
      </c>
      <c r="T6124" s="69"/>
      <c r="U6124" s="69"/>
    </row>
    <row r="6125" spans="19:21" ht="15" customHeight="1" x14ac:dyDescent="0.2">
      <c r="S6125" s="69">
        <f>_xlfn.XLOOKUP(Results!A6125,Geometry!$B$6:$B$10000,Geometry!$C$6:$C$10000)</f>
        <v>0</v>
      </c>
      <c r="T6125" s="69"/>
      <c r="U6125" s="69"/>
    </row>
    <row r="6126" spans="19:21" ht="15" customHeight="1" x14ac:dyDescent="0.2">
      <c r="S6126" s="69">
        <f>_xlfn.XLOOKUP(Results!A6126,Geometry!$B$6:$B$10000,Geometry!$C$6:$C$10000)</f>
        <v>0</v>
      </c>
      <c r="T6126" s="69"/>
      <c r="U6126" s="69"/>
    </row>
    <row r="6127" spans="19:21" ht="15" customHeight="1" x14ac:dyDescent="0.2">
      <c r="S6127" s="69">
        <f>_xlfn.XLOOKUP(Results!A6127,Geometry!$B$6:$B$10000,Geometry!$C$6:$C$10000)</f>
        <v>0</v>
      </c>
      <c r="T6127" s="69"/>
      <c r="U6127" s="69"/>
    </row>
    <row r="6128" spans="19:21" ht="15" customHeight="1" x14ac:dyDescent="0.2">
      <c r="S6128" s="69">
        <f>_xlfn.XLOOKUP(Results!A6128,Geometry!$B$6:$B$10000,Geometry!$C$6:$C$10000)</f>
        <v>0</v>
      </c>
      <c r="T6128" s="69"/>
      <c r="U6128" s="69"/>
    </row>
    <row r="6129" spans="19:21" ht="15" customHeight="1" x14ac:dyDescent="0.2">
      <c r="S6129" s="69">
        <f>_xlfn.XLOOKUP(Results!A6129,Geometry!$B$6:$B$10000,Geometry!$C$6:$C$10000)</f>
        <v>0</v>
      </c>
      <c r="T6129" s="69"/>
      <c r="U6129" s="69"/>
    </row>
    <row r="6130" spans="19:21" ht="15" customHeight="1" x14ac:dyDescent="0.2">
      <c r="S6130" s="69">
        <f>_xlfn.XLOOKUP(Results!A6130,Geometry!$B$6:$B$10000,Geometry!$C$6:$C$10000)</f>
        <v>0</v>
      </c>
      <c r="T6130" s="69"/>
      <c r="U6130" s="69"/>
    </row>
    <row r="6131" spans="19:21" ht="15" customHeight="1" x14ac:dyDescent="0.2">
      <c r="S6131" s="69">
        <f>_xlfn.XLOOKUP(Results!A6131,Geometry!$B$6:$B$10000,Geometry!$C$6:$C$10000)</f>
        <v>0</v>
      </c>
      <c r="T6131" s="69"/>
      <c r="U6131" s="69"/>
    </row>
    <row r="6132" spans="19:21" ht="15" customHeight="1" x14ac:dyDescent="0.2">
      <c r="S6132" s="69">
        <f>_xlfn.XLOOKUP(Results!A6132,Geometry!$B$6:$B$10000,Geometry!$C$6:$C$10000)</f>
        <v>0</v>
      </c>
      <c r="T6132" s="69"/>
      <c r="U6132" s="69"/>
    </row>
    <row r="6133" spans="19:21" ht="15" customHeight="1" x14ac:dyDescent="0.2">
      <c r="S6133" s="69">
        <f>_xlfn.XLOOKUP(Results!A6133,Geometry!$B$6:$B$10000,Geometry!$C$6:$C$10000)</f>
        <v>0</v>
      </c>
      <c r="T6133" s="69"/>
      <c r="U6133" s="69"/>
    </row>
    <row r="6134" spans="19:21" ht="15" customHeight="1" x14ac:dyDescent="0.2">
      <c r="S6134" s="69">
        <f>_xlfn.XLOOKUP(Results!A6134,Geometry!$B$6:$B$10000,Geometry!$C$6:$C$10000)</f>
        <v>0</v>
      </c>
      <c r="T6134" s="69"/>
      <c r="U6134" s="69"/>
    </row>
    <row r="6135" spans="19:21" ht="15" customHeight="1" x14ac:dyDescent="0.2">
      <c r="S6135" s="69">
        <f>_xlfn.XLOOKUP(Results!A6135,Geometry!$B$6:$B$10000,Geometry!$C$6:$C$10000)</f>
        <v>0</v>
      </c>
      <c r="T6135" s="69"/>
      <c r="U6135" s="69"/>
    </row>
    <row r="6136" spans="19:21" ht="15" customHeight="1" x14ac:dyDescent="0.2">
      <c r="S6136" s="69">
        <f>_xlfn.XLOOKUP(Results!A6136,Geometry!$B$6:$B$10000,Geometry!$C$6:$C$10000)</f>
        <v>0</v>
      </c>
      <c r="T6136" s="69"/>
      <c r="U6136" s="69"/>
    </row>
    <row r="6137" spans="19:21" ht="15" customHeight="1" x14ac:dyDescent="0.2">
      <c r="S6137" s="69">
        <f>_xlfn.XLOOKUP(Results!A6137,Geometry!$B$6:$B$10000,Geometry!$C$6:$C$10000)</f>
        <v>0</v>
      </c>
      <c r="T6137" s="69"/>
      <c r="U6137" s="69"/>
    </row>
    <row r="6138" spans="19:21" ht="15" customHeight="1" x14ac:dyDescent="0.2">
      <c r="S6138" s="69">
        <f>_xlfn.XLOOKUP(Results!A6138,Geometry!$B$6:$B$10000,Geometry!$C$6:$C$10000)</f>
        <v>0</v>
      </c>
      <c r="T6138" s="69"/>
      <c r="U6138" s="69"/>
    </row>
    <row r="6139" spans="19:21" ht="15" customHeight="1" x14ac:dyDescent="0.2">
      <c r="S6139" s="69">
        <f>_xlfn.XLOOKUP(Results!A6139,Geometry!$B$6:$B$10000,Geometry!$C$6:$C$10000)</f>
        <v>0</v>
      </c>
      <c r="T6139" s="69"/>
      <c r="U6139" s="69"/>
    </row>
    <row r="6140" spans="19:21" ht="15" customHeight="1" x14ac:dyDescent="0.2">
      <c r="S6140" s="69">
        <f>_xlfn.XLOOKUP(Results!A6140,Geometry!$B$6:$B$10000,Geometry!$C$6:$C$10000)</f>
        <v>0</v>
      </c>
      <c r="T6140" s="69"/>
      <c r="U6140" s="69"/>
    </row>
    <row r="6141" spans="19:21" ht="15" customHeight="1" x14ac:dyDescent="0.2">
      <c r="S6141" s="69">
        <f>_xlfn.XLOOKUP(Results!A6141,Geometry!$B$6:$B$10000,Geometry!$C$6:$C$10000)</f>
        <v>0</v>
      </c>
      <c r="T6141" s="69"/>
      <c r="U6141" s="69"/>
    </row>
    <row r="6142" spans="19:21" ht="15" customHeight="1" x14ac:dyDescent="0.2">
      <c r="S6142" s="69">
        <f>_xlfn.XLOOKUP(Results!A6142,Geometry!$B$6:$B$10000,Geometry!$C$6:$C$10000)</f>
        <v>0</v>
      </c>
      <c r="T6142" s="69"/>
      <c r="U6142" s="69"/>
    </row>
    <row r="6143" spans="19:21" ht="15" customHeight="1" x14ac:dyDescent="0.2">
      <c r="S6143" s="69">
        <f>_xlfn.XLOOKUP(Results!A6143,Geometry!$B$6:$B$10000,Geometry!$C$6:$C$10000)</f>
        <v>0</v>
      </c>
      <c r="T6143" s="69"/>
      <c r="U6143" s="69"/>
    </row>
    <row r="6144" spans="19:21" ht="15" customHeight="1" x14ac:dyDescent="0.2">
      <c r="S6144" s="69">
        <f>_xlfn.XLOOKUP(Results!A6144,Geometry!$B$6:$B$10000,Geometry!$C$6:$C$10000)</f>
        <v>0</v>
      </c>
      <c r="T6144" s="69"/>
      <c r="U6144" s="69"/>
    </row>
    <row r="6145" spans="19:21" ht="15" customHeight="1" x14ac:dyDescent="0.2">
      <c r="S6145" s="69">
        <f>_xlfn.XLOOKUP(Results!A6145,Geometry!$B$6:$B$10000,Geometry!$C$6:$C$10000)</f>
        <v>0</v>
      </c>
      <c r="T6145" s="69"/>
      <c r="U6145" s="69"/>
    </row>
    <row r="6146" spans="19:21" ht="15" customHeight="1" x14ac:dyDescent="0.2">
      <c r="S6146" s="69">
        <f>_xlfn.XLOOKUP(Results!A6146,Geometry!$B$6:$B$10000,Geometry!$C$6:$C$10000)</f>
        <v>0</v>
      </c>
      <c r="T6146" s="69"/>
      <c r="U6146" s="69"/>
    </row>
    <row r="6147" spans="19:21" ht="15" customHeight="1" x14ac:dyDescent="0.2">
      <c r="S6147" s="69">
        <f>_xlfn.XLOOKUP(Results!A6147,Geometry!$B$6:$B$10000,Geometry!$C$6:$C$10000)</f>
        <v>0</v>
      </c>
      <c r="T6147" s="69"/>
      <c r="U6147" s="69"/>
    </row>
    <row r="6148" spans="19:21" ht="15" customHeight="1" x14ac:dyDescent="0.2">
      <c r="S6148" s="69">
        <f>_xlfn.XLOOKUP(Results!A6148,Geometry!$B$6:$B$10000,Geometry!$C$6:$C$10000)</f>
        <v>0</v>
      </c>
      <c r="T6148" s="69"/>
      <c r="U6148" s="69"/>
    </row>
    <row r="6149" spans="19:21" ht="15" customHeight="1" x14ac:dyDescent="0.2">
      <c r="S6149" s="69">
        <f>_xlfn.XLOOKUP(Results!A6149,Geometry!$B$6:$B$10000,Geometry!$C$6:$C$10000)</f>
        <v>0</v>
      </c>
      <c r="T6149" s="69"/>
      <c r="U6149" s="69"/>
    </row>
    <row r="6150" spans="19:21" ht="15" customHeight="1" x14ac:dyDescent="0.2">
      <c r="S6150" s="69">
        <f>_xlfn.XLOOKUP(Results!A6150,Geometry!$B$6:$B$10000,Geometry!$C$6:$C$10000)</f>
        <v>0</v>
      </c>
      <c r="T6150" s="69"/>
      <c r="U6150" s="69"/>
    </row>
    <row r="6151" spans="19:21" ht="15" customHeight="1" x14ac:dyDescent="0.2">
      <c r="S6151" s="69">
        <f>_xlfn.XLOOKUP(Results!A6151,Geometry!$B$6:$B$10000,Geometry!$C$6:$C$10000)</f>
        <v>0</v>
      </c>
      <c r="T6151" s="69"/>
      <c r="U6151" s="69"/>
    </row>
    <row r="6152" spans="19:21" ht="15" customHeight="1" x14ac:dyDescent="0.2">
      <c r="S6152" s="69">
        <f>_xlfn.XLOOKUP(Results!A6152,Geometry!$B$6:$B$10000,Geometry!$C$6:$C$10000)</f>
        <v>0</v>
      </c>
      <c r="T6152" s="69"/>
      <c r="U6152" s="69"/>
    </row>
    <row r="6153" spans="19:21" ht="15" customHeight="1" x14ac:dyDescent="0.2">
      <c r="S6153" s="69">
        <f>_xlfn.XLOOKUP(Results!A6153,Geometry!$B$6:$B$10000,Geometry!$C$6:$C$10000)</f>
        <v>0</v>
      </c>
      <c r="T6153" s="69"/>
      <c r="U6153" s="69"/>
    </row>
    <row r="6154" spans="19:21" ht="15" customHeight="1" x14ac:dyDescent="0.2">
      <c r="S6154" s="69">
        <f>_xlfn.XLOOKUP(Results!A6154,Geometry!$B$6:$B$10000,Geometry!$C$6:$C$10000)</f>
        <v>0</v>
      </c>
      <c r="T6154" s="69"/>
      <c r="U6154" s="69"/>
    </row>
    <row r="6155" spans="19:21" ht="15" customHeight="1" x14ac:dyDescent="0.2">
      <c r="S6155" s="69">
        <f>_xlfn.XLOOKUP(Results!A6155,Geometry!$B$6:$B$10000,Geometry!$C$6:$C$10000)</f>
        <v>0</v>
      </c>
      <c r="T6155" s="69"/>
      <c r="U6155" s="69"/>
    </row>
    <row r="6156" spans="19:21" ht="15" customHeight="1" x14ac:dyDescent="0.2">
      <c r="S6156" s="69">
        <f>_xlfn.XLOOKUP(Results!A6156,Geometry!$B$6:$B$10000,Geometry!$C$6:$C$10000)</f>
        <v>0</v>
      </c>
      <c r="T6156" s="69"/>
      <c r="U6156" s="69"/>
    </row>
    <row r="6157" spans="19:21" ht="15" customHeight="1" x14ac:dyDescent="0.2">
      <c r="S6157" s="69">
        <f>_xlfn.XLOOKUP(Results!A6157,Geometry!$B$6:$B$10000,Geometry!$C$6:$C$10000)</f>
        <v>0</v>
      </c>
      <c r="T6157" s="69"/>
      <c r="U6157" s="69"/>
    </row>
    <row r="6158" spans="19:21" ht="15" customHeight="1" x14ac:dyDescent="0.2">
      <c r="S6158" s="69">
        <f>_xlfn.XLOOKUP(Results!A6158,Geometry!$B$6:$B$10000,Geometry!$C$6:$C$10000)</f>
        <v>0</v>
      </c>
      <c r="T6158" s="69"/>
      <c r="U6158" s="69"/>
    </row>
    <row r="6159" spans="19:21" ht="15" customHeight="1" x14ac:dyDescent="0.2">
      <c r="S6159" s="69">
        <f>_xlfn.XLOOKUP(Results!A6159,Geometry!$B$6:$B$10000,Geometry!$C$6:$C$10000)</f>
        <v>0</v>
      </c>
      <c r="T6159" s="69"/>
      <c r="U6159" s="69"/>
    </row>
    <row r="6160" spans="19:21" ht="15" customHeight="1" x14ac:dyDescent="0.2">
      <c r="S6160" s="69">
        <f>_xlfn.XLOOKUP(Results!A6160,Geometry!$B$6:$B$10000,Geometry!$C$6:$C$10000)</f>
        <v>0</v>
      </c>
      <c r="T6160" s="69"/>
      <c r="U6160" s="69"/>
    </row>
    <row r="6161" spans="19:21" ht="15" customHeight="1" x14ac:dyDescent="0.2">
      <c r="S6161" s="69">
        <f>_xlfn.XLOOKUP(Results!A6161,Geometry!$B$6:$B$10000,Geometry!$C$6:$C$10000)</f>
        <v>0</v>
      </c>
      <c r="T6161" s="69"/>
      <c r="U6161" s="69"/>
    </row>
    <row r="6162" spans="19:21" ht="15" customHeight="1" x14ac:dyDescent="0.2">
      <c r="S6162" s="69">
        <f>_xlfn.XLOOKUP(Results!A6162,Geometry!$B$6:$B$10000,Geometry!$C$6:$C$10000)</f>
        <v>0</v>
      </c>
      <c r="T6162" s="69"/>
      <c r="U6162" s="69"/>
    </row>
    <row r="6163" spans="19:21" ht="15" customHeight="1" x14ac:dyDescent="0.2">
      <c r="S6163" s="69">
        <f>_xlfn.XLOOKUP(Results!A6163,Geometry!$B$6:$B$10000,Geometry!$C$6:$C$10000)</f>
        <v>0</v>
      </c>
      <c r="T6163" s="69"/>
      <c r="U6163" s="69"/>
    </row>
    <row r="6164" spans="19:21" ht="15" customHeight="1" x14ac:dyDescent="0.2">
      <c r="S6164" s="69">
        <f>_xlfn.XLOOKUP(Results!A6164,Geometry!$B$6:$B$10000,Geometry!$C$6:$C$10000)</f>
        <v>0</v>
      </c>
      <c r="T6164" s="69"/>
      <c r="U6164" s="69"/>
    </row>
    <row r="6165" spans="19:21" ht="15" customHeight="1" x14ac:dyDescent="0.2">
      <c r="S6165" s="69">
        <f>_xlfn.XLOOKUP(Results!A6165,Geometry!$B$6:$B$10000,Geometry!$C$6:$C$10000)</f>
        <v>0</v>
      </c>
      <c r="T6165" s="69"/>
      <c r="U6165" s="69"/>
    </row>
    <row r="6166" spans="19:21" ht="15" customHeight="1" x14ac:dyDescent="0.2">
      <c r="S6166" s="69">
        <f>_xlfn.XLOOKUP(Results!A6166,Geometry!$B$6:$B$10000,Geometry!$C$6:$C$10000)</f>
        <v>0</v>
      </c>
      <c r="T6166" s="69"/>
      <c r="U6166" s="69"/>
    </row>
    <row r="6167" spans="19:21" ht="15" customHeight="1" x14ac:dyDescent="0.2">
      <c r="S6167" s="69">
        <f>_xlfn.XLOOKUP(Results!A6167,Geometry!$B$6:$B$10000,Geometry!$C$6:$C$10000)</f>
        <v>0</v>
      </c>
      <c r="T6167" s="69"/>
      <c r="U6167" s="69"/>
    </row>
    <row r="6168" spans="19:21" ht="15" customHeight="1" x14ac:dyDescent="0.2">
      <c r="S6168" s="69">
        <f>_xlfn.XLOOKUP(Results!A6168,Geometry!$B$6:$B$10000,Geometry!$C$6:$C$10000)</f>
        <v>0</v>
      </c>
      <c r="T6168" s="69"/>
      <c r="U6168" s="69"/>
    </row>
    <row r="6169" spans="19:21" ht="15" customHeight="1" x14ac:dyDescent="0.2">
      <c r="S6169" s="69">
        <f>_xlfn.XLOOKUP(Results!A6169,Geometry!$B$6:$B$10000,Geometry!$C$6:$C$10000)</f>
        <v>0</v>
      </c>
      <c r="T6169" s="69"/>
      <c r="U6169" s="69"/>
    </row>
    <row r="6170" spans="19:21" ht="15" customHeight="1" x14ac:dyDescent="0.2">
      <c r="S6170" s="69">
        <f>_xlfn.XLOOKUP(Results!A6170,Geometry!$B$6:$B$10000,Geometry!$C$6:$C$10000)</f>
        <v>0</v>
      </c>
      <c r="T6170" s="69"/>
      <c r="U6170" s="69"/>
    </row>
    <row r="6171" spans="19:21" ht="15" customHeight="1" x14ac:dyDescent="0.2">
      <c r="S6171" s="69">
        <f>_xlfn.XLOOKUP(Results!A6171,Geometry!$B$6:$B$10000,Geometry!$C$6:$C$10000)</f>
        <v>0</v>
      </c>
      <c r="T6171" s="69"/>
      <c r="U6171" s="69"/>
    </row>
    <row r="6172" spans="19:21" ht="15" customHeight="1" x14ac:dyDescent="0.2">
      <c r="S6172" s="69">
        <f>_xlfn.XLOOKUP(Results!A6172,Geometry!$B$6:$B$10000,Geometry!$C$6:$C$10000)</f>
        <v>0</v>
      </c>
      <c r="T6172" s="69"/>
      <c r="U6172" s="69"/>
    </row>
    <row r="6173" spans="19:21" ht="15" customHeight="1" x14ac:dyDescent="0.2">
      <c r="S6173" s="69">
        <f>_xlfn.XLOOKUP(Results!A6173,Geometry!$B$6:$B$10000,Geometry!$C$6:$C$10000)</f>
        <v>0</v>
      </c>
      <c r="T6173" s="69"/>
      <c r="U6173" s="69"/>
    </row>
    <row r="6174" spans="19:21" ht="15" customHeight="1" x14ac:dyDescent="0.2">
      <c r="S6174" s="69">
        <f>_xlfn.XLOOKUP(Results!A6174,Geometry!$B$6:$B$10000,Geometry!$C$6:$C$10000)</f>
        <v>0</v>
      </c>
      <c r="T6174" s="69"/>
      <c r="U6174" s="69"/>
    </row>
    <row r="6175" spans="19:21" ht="15" customHeight="1" x14ac:dyDescent="0.2">
      <c r="S6175" s="69">
        <f>_xlfn.XLOOKUP(Results!A6175,Geometry!$B$6:$B$10000,Geometry!$C$6:$C$10000)</f>
        <v>0</v>
      </c>
      <c r="T6175" s="69"/>
      <c r="U6175" s="69"/>
    </row>
    <row r="6176" spans="19:21" ht="15" customHeight="1" x14ac:dyDescent="0.2">
      <c r="S6176" s="69">
        <f>_xlfn.XLOOKUP(Results!A6176,Geometry!$B$6:$B$10000,Geometry!$C$6:$C$10000)</f>
        <v>0</v>
      </c>
      <c r="T6176" s="69"/>
      <c r="U6176" s="69"/>
    </row>
    <row r="6177" spans="19:21" ht="15" customHeight="1" x14ac:dyDescent="0.2">
      <c r="S6177" s="69">
        <f>_xlfn.XLOOKUP(Results!A6177,Geometry!$B$6:$B$10000,Geometry!$C$6:$C$10000)</f>
        <v>0</v>
      </c>
      <c r="T6177" s="69"/>
      <c r="U6177" s="69"/>
    </row>
    <row r="6178" spans="19:21" ht="15" customHeight="1" x14ac:dyDescent="0.2">
      <c r="S6178" s="69">
        <f>_xlfn.XLOOKUP(Results!A6178,Geometry!$B$6:$B$10000,Geometry!$C$6:$C$10000)</f>
        <v>0</v>
      </c>
      <c r="T6178" s="69"/>
      <c r="U6178" s="69"/>
    </row>
    <row r="6179" spans="19:21" ht="15" customHeight="1" x14ac:dyDescent="0.2">
      <c r="S6179" s="69">
        <f>_xlfn.XLOOKUP(Results!A6179,Geometry!$B$6:$B$10000,Geometry!$C$6:$C$10000)</f>
        <v>0</v>
      </c>
      <c r="T6179" s="69"/>
      <c r="U6179" s="69"/>
    </row>
    <row r="6180" spans="19:21" ht="15" customHeight="1" x14ac:dyDescent="0.2">
      <c r="S6180" s="69">
        <f>_xlfn.XLOOKUP(Results!A6180,Geometry!$B$6:$B$10000,Geometry!$C$6:$C$10000)</f>
        <v>0</v>
      </c>
      <c r="T6180" s="69"/>
      <c r="U6180" s="69"/>
    </row>
    <row r="6181" spans="19:21" ht="15" customHeight="1" x14ac:dyDescent="0.2">
      <c r="S6181" s="69">
        <f>_xlfn.XLOOKUP(Results!A6181,Geometry!$B$6:$B$10000,Geometry!$C$6:$C$10000)</f>
        <v>0</v>
      </c>
      <c r="T6181" s="69"/>
      <c r="U6181" s="69"/>
    </row>
    <row r="6182" spans="19:21" ht="15" customHeight="1" x14ac:dyDescent="0.2">
      <c r="S6182" s="69">
        <f>_xlfn.XLOOKUP(Results!A6182,Geometry!$B$6:$B$10000,Geometry!$C$6:$C$10000)</f>
        <v>0</v>
      </c>
      <c r="T6182" s="69"/>
      <c r="U6182" s="69"/>
    </row>
    <row r="6183" spans="19:21" ht="15" customHeight="1" x14ac:dyDescent="0.2">
      <c r="S6183" s="69">
        <f>_xlfn.XLOOKUP(Results!A6183,Geometry!$B$6:$B$10000,Geometry!$C$6:$C$10000)</f>
        <v>0</v>
      </c>
      <c r="T6183" s="69"/>
      <c r="U6183" s="69"/>
    </row>
    <row r="6184" spans="19:21" ht="15" customHeight="1" x14ac:dyDescent="0.2">
      <c r="S6184" s="69">
        <f>_xlfn.XLOOKUP(Results!A6184,Geometry!$B$6:$B$10000,Geometry!$C$6:$C$10000)</f>
        <v>0</v>
      </c>
      <c r="T6184" s="69"/>
      <c r="U6184" s="69"/>
    </row>
    <row r="6185" spans="19:21" ht="15" customHeight="1" x14ac:dyDescent="0.2">
      <c r="S6185" s="69">
        <f>_xlfn.XLOOKUP(Results!A6185,Geometry!$B$6:$B$10000,Geometry!$C$6:$C$10000)</f>
        <v>0</v>
      </c>
      <c r="T6185" s="69"/>
      <c r="U6185" s="69"/>
    </row>
    <row r="6186" spans="19:21" ht="15" customHeight="1" x14ac:dyDescent="0.2">
      <c r="S6186" s="69">
        <f>_xlfn.XLOOKUP(Results!A6186,Geometry!$B$6:$B$10000,Geometry!$C$6:$C$10000)</f>
        <v>0</v>
      </c>
      <c r="T6186" s="69"/>
      <c r="U6186" s="69"/>
    </row>
    <row r="6187" spans="19:21" ht="15" customHeight="1" x14ac:dyDescent="0.2">
      <c r="S6187" s="69">
        <f>_xlfn.XLOOKUP(Results!A6187,Geometry!$B$6:$B$10000,Geometry!$C$6:$C$10000)</f>
        <v>0</v>
      </c>
      <c r="T6187" s="69"/>
      <c r="U6187" s="69"/>
    </row>
    <row r="6188" spans="19:21" ht="15" customHeight="1" x14ac:dyDescent="0.2">
      <c r="S6188" s="69">
        <f>_xlfn.XLOOKUP(Results!A6188,Geometry!$B$6:$B$10000,Geometry!$C$6:$C$10000)</f>
        <v>0</v>
      </c>
      <c r="T6188" s="69"/>
      <c r="U6188" s="69"/>
    </row>
    <row r="6189" spans="19:21" ht="15" customHeight="1" x14ac:dyDescent="0.2">
      <c r="S6189" s="69">
        <f>_xlfn.XLOOKUP(Results!A6189,Geometry!$B$6:$B$10000,Geometry!$C$6:$C$10000)</f>
        <v>0</v>
      </c>
      <c r="T6189" s="69"/>
      <c r="U6189" s="69"/>
    </row>
    <row r="6190" spans="19:21" ht="15" customHeight="1" x14ac:dyDescent="0.2">
      <c r="S6190" s="69">
        <f>_xlfn.XLOOKUP(Results!A6190,Geometry!$B$6:$B$10000,Geometry!$C$6:$C$10000)</f>
        <v>0</v>
      </c>
      <c r="T6190" s="69"/>
      <c r="U6190" s="69"/>
    </row>
    <row r="6191" spans="19:21" ht="15" customHeight="1" x14ac:dyDescent="0.2">
      <c r="S6191" s="69">
        <f>_xlfn.XLOOKUP(Results!A6191,Geometry!$B$6:$B$10000,Geometry!$C$6:$C$10000)</f>
        <v>0</v>
      </c>
      <c r="T6191" s="69"/>
      <c r="U6191" s="69"/>
    </row>
    <row r="6192" spans="19:21" ht="15" customHeight="1" x14ac:dyDescent="0.2">
      <c r="S6192" s="69">
        <f>_xlfn.XLOOKUP(Results!A6192,Geometry!$B$6:$B$10000,Geometry!$C$6:$C$10000)</f>
        <v>0</v>
      </c>
      <c r="T6192" s="69"/>
      <c r="U6192" s="69"/>
    </row>
    <row r="6193" spans="19:21" ht="15" customHeight="1" x14ac:dyDescent="0.2">
      <c r="S6193" s="69">
        <f>_xlfn.XLOOKUP(Results!A6193,Geometry!$B$6:$B$10000,Geometry!$C$6:$C$10000)</f>
        <v>0</v>
      </c>
      <c r="T6193" s="69"/>
      <c r="U6193" s="69"/>
    </row>
    <row r="6194" spans="19:21" ht="15" customHeight="1" x14ac:dyDescent="0.2">
      <c r="S6194" s="69">
        <f>_xlfn.XLOOKUP(Results!A6194,Geometry!$B$6:$B$10000,Geometry!$C$6:$C$10000)</f>
        <v>0</v>
      </c>
      <c r="T6194" s="69"/>
      <c r="U6194" s="69"/>
    </row>
    <row r="6195" spans="19:21" ht="15" customHeight="1" x14ac:dyDescent="0.2">
      <c r="S6195" s="69">
        <f>_xlfn.XLOOKUP(Results!A6195,Geometry!$B$6:$B$10000,Geometry!$C$6:$C$10000)</f>
        <v>0</v>
      </c>
      <c r="T6195" s="69"/>
      <c r="U6195" s="69"/>
    </row>
    <row r="6196" spans="19:21" ht="15" customHeight="1" x14ac:dyDescent="0.2">
      <c r="S6196" s="69">
        <f>_xlfn.XLOOKUP(Results!A6196,Geometry!$B$6:$B$10000,Geometry!$C$6:$C$10000)</f>
        <v>0</v>
      </c>
      <c r="T6196" s="69"/>
      <c r="U6196" s="69"/>
    </row>
    <row r="6197" spans="19:21" ht="15" customHeight="1" x14ac:dyDescent="0.2">
      <c r="S6197" s="69">
        <f>_xlfn.XLOOKUP(Results!A6197,Geometry!$B$6:$B$10000,Geometry!$C$6:$C$10000)</f>
        <v>0</v>
      </c>
      <c r="T6197" s="69"/>
      <c r="U6197" s="69"/>
    </row>
    <row r="6198" spans="19:21" ht="15" customHeight="1" x14ac:dyDescent="0.2">
      <c r="S6198" s="69">
        <f>_xlfn.XLOOKUP(Results!A6198,Geometry!$B$6:$B$10000,Geometry!$C$6:$C$10000)</f>
        <v>0</v>
      </c>
      <c r="T6198" s="69"/>
      <c r="U6198" s="69"/>
    </row>
    <row r="6199" spans="19:21" ht="15" customHeight="1" x14ac:dyDescent="0.2">
      <c r="S6199" s="69">
        <f>_xlfn.XLOOKUP(Results!A6199,Geometry!$B$6:$B$10000,Geometry!$C$6:$C$10000)</f>
        <v>0</v>
      </c>
      <c r="T6199" s="69"/>
      <c r="U6199" s="69"/>
    </row>
    <row r="6200" spans="19:21" ht="15" customHeight="1" x14ac:dyDescent="0.2">
      <c r="S6200" s="69">
        <f>_xlfn.XLOOKUP(Results!A6200,Geometry!$B$6:$B$10000,Geometry!$C$6:$C$10000)</f>
        <v>0</v>
      </c>
      <c r="T6200" s="69"/>
      <c r="U6200" s="69"/>
    </row>
    <row r="6201" spans="19:21" ht="15" customHeight="1" x14ac:dyDescent="0.2">
      <c r="S6201" s="69">
        <f>_xlfn.XLOOKUP(Results!A6201,Geometry!$B$6:$B$10000,Geometry!$C$6:$C$10000)</f>
        <v>0</v>
      </c>
      <c r="T6201" s="69"/>
      <c r="U6201" s="69"/>
    </row>
    <row r="6202" spans="19:21" ht="15" customHeight="1" x14ac:dyDescent="0.2">
      <c r="S6202" s="69">
        <f>_xlfn.XLOOKUP(Results!A6202,Geometry!$B$6:$B$10000,Geometry!$C$6:$C$10000)</f>
        <v>0</v>
      </c>
      <c r="T6202" s="69"/>
      <c r="U6202" s="69"/>
    </row>
    <row r="6203" spans="19:21" ht="15" customHeight="1" x14ac:dyDescent="0.2">
      <c r="S6203" s="69">
        <f>_xlfn.XLOOKUP(Results!A6203,Geometry!$B$6:$B$10000,Geometry!$C$6:$C$10000)</f>
        <v>0</v>
      </c>
      <c r="T6203" s="69"/>
      <c r="U6203" s="69"/>
    </row>
    <row r="6204" spans="19:21" ht="15" customHeight="1" x14ac:dyDescent="0.2">
      <c r="S6204" s="69">
        <f>_xlfn.XLOOKUP(Results!A6204,Geometry!$B$6:$B$10000,Geometry!$C$6:$C$10000)</f>
        <v>0</v>
      </c>
      <c r="T6204" s="69"/>
      <c r="U6204" s="69"/>
    </row>
    <row r="6205" spans="19:21" ht="15" customHeight="1" x14ac:dyDescent="0.2">
      <c r="S6205" s="69">
        <f>_xlfn.XLOOKUP(Results!A6205,Geometry!$B$6:$B$10000,Geometry!$C$6:$C$10000)</f>
        <v>0</v>
      </c>
      <c r="T6205" s="69"/>
      <c r="U6205" s="69"/>
    </row>
    <row r="6206" spans="19:21" ht="15" customHeight="1" x14ac:dyDescent="0.2">
      <c r="S6206" s="69">
        <f>_xlfn.XLOOKUP(Results!A6206,Geometry!$B$6:$B$10000,Geometry!$C$6:$C$10000)</f>
        <v>0</v>
      </c>
      <c r="T6206" s="69"/>
      <c r="U6206" s="69"/>
    </row>
    <row r="6207" spans="19:21" ht="15" customHeight="1" x14ac:dyDescent="0.2">
      <c r="S6207" s="69">
        <f>_xlfn.XLOOKUP(Results!A6207,Geometry!$B$6:$B$10000,Geometry!$C$6:$C$10000)</f>
        <v>0</v>
      </c>
      <c r="T6207" s="69"/>
      <c r="U6207" s="69"/>
    </row>
    <row r="6208" spans="19:21" ht="15" customHeight="1" x14ac:dyDescent="0.2">
      <c r="S6208" s="69">
        <f>_xlfn.XLOOKUP(Results!A6208,Geometry!$B$6:$B$10000,Geometry!$C$6:$C$10000)</f>
        <v>0</v>
      </c>
      <c r="T6208" s="69"/>
      <c r="U6208" s="69"/>
    </row>
    <row r="6209" spans="19:21" ht="15" customHeight="1" x14ac:dyDescent="0.2">
      <c r="S6209" s="69">
        <f>_xlfn.XLOOKUP(Results!A6209,Geometry!$B$6:$B$10000,Geometry!$C$6:$C$10000)</f>
        <v>0</v>
      </c>
      <c r="T6209" s="69"/>
      <c r="U6209" s="69"/>
    </row>
    <row r="6210" spans="19:21" ht="15" customHeight="1" x14ac:dyDescent="0.2">
      <c r="S6210" s="69">
        <f>_xlfn.XLOOKUP(Results!A6210,Geometry!$B$6:$B$10000,Geometry!$C$6:$C$10000)</f>
        <v>0</v>
      </c>
      <c r="T6210" s="69"/>
      <c r="U6210" s="69"/>
    </row>
    <row r="6211" spans="19:21" ht="15" customHeight="1" x14ac:dyDescent="0.2">
      <c r="S6211" s="69">
        <f>_xlfn.XLOOKUP(Results!A6211,Geometry!$B$6:$B$10000,Geometry!$C$6:$C$10000)</f>
        <v>0</v>
      </c>
      <c r="T6211" s="69"/>
      <c r="U6211" s="69"/>
    </row>
    <row r="6212" spans="19:21" ht="15" customHeight="1" x14ac:dyDescent="0.2">
      <c r="S6212" s="69">
        <f>_xlfn.XLOOKUP(Results!A6212,Geometry!$B$6:$B$10000,Geometry!$C$6:$C$10000)</f>
        <v>0</v>
      </c>
      <c r="T6212" s="69"/>
      <c r="U6212" s="69"/>
    </row>
    <row r="6213" spans="19:21" ht="15" customHeight="1" x14ac:dyDescent="0.2">
      <c r="S6213" s="69">
        <f>_xlfn.XLOOKUP(Results!A6213,Geometry!$B$6:$B$10000,Geometry!$C$6:$C$10000)</f>
        <v>0</v>
      </c>
      <c r="T6213" s="69"/>
      <c r="U6213" s="69"/>
    </row>
    <row r="6214" spans="19:21" ht="15" customHeight="1" x14ac:dyDescent="0.2">
      <c r="S6214" s="69">
        <f>_xlfn.XLOOKUP(Results!A6214,Geometry!$B$6:$B$10000,Geometry!$C$6:$C$10000)</f>
        <v>0</v>
      </c>
      <c r="T6214" s="69"/>
      <c r="U6214" s="69"/>
    </row>
    <row r="6215" spans="19:21" ht="15" customHeight="1" x14ac:dyDescent="0.2">
      <c r="S6215" s="69">
        <f>_xlfn.XLOOKUP(Results!A6215,Geometry!$B$6:$B$10000,Geometry!$C$6:$C$10000)</f>
        <v>0</v>
      </c>
      <c r="T6215" s="69"/>
      <c r="U6215" s="69"/>
    </row>
    <row r="6216" spans="19:21" ht="15" customHeight="1" x14ac:dyDescent="0.2">
      <c r="S6216" s="69">
        <f>_xlfn.XLOOKUP(Results!A6216,Geometry!$B$6:$B$10000,Geometry!$C$6:$C$10000)</f>
        <v>0</v>
      </c>
      <c r="T6216" s="69"/>
      <c r="U6216" s="69"/>
    </row>
    <row r="6217" spans="19:21" ht="15" customHeight="1" x14ac:dyDescent="0.2">
      <c r="S6217" s="69">
        <f>_xlfn.XLOOKUP(Results!A6217,Geometry!$B$6:$B$10000,Geometry!$C$6:$C$10000)</f>
        <v>0</v>
      </c>
      <c r="T6217" s="69"/>
      <c r="U6217" s="69"/>
    </row>
    <row r="6218" spans="19:21" ht="15" customHeight="1" x14ac:dyDescent="0.2">
      <c r="S6218" s="69">
        <f>_xlfn.XLOOKUP(Results!A6218,Geometry!$B$6:$B$10000,Geometry!$C$6:$C$10000)</f>
        <v>0</v>
      </c>
      <c r="T6218" s="69"/>
      <c r="U6218" s="69"/>
    </row>
    <row r="6219" spans="19:21" ht="15" customHeight="1" x14ac:dyDescent="0.2">
      <c r="S6219" s="69">
        <f>_xlfn.XLOOKUP(Results!A6219,Geometry!$B$6:$B$10000,Geometry!$C$6:$C$10000)</f>
        <v>0</v>
      </c>
      <c r="T6219" s="69"/>
      <c r="U6219" s="69"/>
    </row>
    <row r="6220" spans="19:21" ht="15" customHeight="1" x14ac:dyDescent="0.2">
      <c r="S6220" s="69">
        <f>_xlfn.XLOOKUP(Results!A6220,Geometry!$B$6:$B$10000,Geometry!$C$6:$C$10000)</f>
        <v>0</v>
      </c>
      <c r="T6220" s="69"/>
      <c r="U6220" s="69"/>
    </row>
    <row r="6221" spans="19:21" ht="15" customHeight="1" x14ac:dyDescent="0.2">
      <c r="S6221" s="69">
        <f>_xlfn.XLOOKUP(Results!A6221,Geometry!$B$6:$B$10000,Geometry!$C$6:$C$10000)</f>
        <v>0</v>
      </c>
      <c r="T6221" s="69"/>
      <c r="U6221" s="69"/>
    </row>
    <row r="6222" spans="19:21" ht="15" customHeight="1" x14ac:dyDescent="0.2">
      <c r="S6222" s="69">
        <f>_xlfn.XLOOKUP(Results!A6222,Geometry!$B$6:$B$10000,Geometry!$C$6:$C$10000)</f>
        <v>0</v>
      </c>
      <c r="T6222" s="69"/>
      <c r="U6222" s="69"/>
    </row>
    <row r="6223" spans="19:21" ht="15" customHeight="1" x14ac:dyDescent="0.2">
      <c r="S6223" s="69">
        <f>_xlfn.XLOOKUP(Results!A6223,Geometry!$B$6:$B$10000,Geometry!$C$6:$C$10000)</f>
        <v>0</v>
      </c>
      <c r="T6223" s="69"/>
      <c r="U6223" s="69"/>
    </row>
    <row r="6224" spans="19:21" ht="15" customHeight="1" x14ac:dyDescent="0.2">
      <c r="S6224" s="69">
        <f>_xlfn.XLOOKUP(Results!A6224,Geometry!$B$6:$B$10000,Geometry!$C$6:$C$10000)</f>
        <v>0</v>
      </c>
      <c r="T6224" s="69"/>
      <c r="U6224" s="69"/>
    </row>
    <row r="6225" spans="19:21" ht="15" customHeight="1" x14ac:dyDescent="0.2">
      <c r="S6225" s="69">
        <f>_xlfn.XLOOKUP(Results!A6225,Geometry!$B$6:$B$10000,Geometry!$C$6:$C$10000)</f>
        <v>0</v>
      </c>
      <c r="T6225" s="69"/>
      <c r="U6225" s="69"/>
    </row>
    <row r="6226" spans="19:21" ht="15" customHeight="1" x14ac:dyDescent="0.2">
      <c r="S6226" s="69">
        <f>_xlfn.XLOOKUP(Results!A6226,Geometry!$B$6:$B$10000,Geometry!$C$6:$C$10000)</f>
        <v>0</v>
      </c>
      <c r="T6226" s="69"/>
      <c r="U6226" s="69"/>
    </row>
    <row r="6227" spans="19:21" ht="15" customHeight="1" x14ac:dyDescent="0.2">
      <c r="S6227" s="69">
        <f>_xlfn.XLOOKUP(Results!A6227,Geometry!$B$6:$B$10000,Geometry!$C$6:$C$10000)</f>
        <v>0</v>
      </c>
      <c r="T6227" s="69"/>
      <c r="U6227" s="69"/>
    </row>
    <row r="6228" spans="19:21" ht="15" customHeight="1" x14ac:dyDescent="0.2">
      <c r="S6228" s="69">
        <f>_xlfn.XLOOKUP(Results!A6228,Geometry!$B$6:$B$10000,Geometry!$C$6:$C$10000)</f>
        <v>0</v>
      </c>
      <c r="T6228" s="69"/>
      <c r="U6228" s="69"/>
    </row>
    <row r="6229" spans="19:21" ht="15" customHeight="1" x14ac:dyDescent="0.2">
      <c r="S6229" s="69">
        <f>_xlfn.XLOOKUP(Results!A6229,Geometry!$B$6:$B$10000,Geometry!$C$6:$C$10000)</f>
        <v>0</v>
      </c>
      <c r="T6229" s="69"/>
      <c r="U6229" s="69"/>
    </row>
    <row r="6230" spans="19:21" ht="15" customHeight="1" x14ac:dyDescent="0.2">
      <c r="S6230" s="69">
        <f>_xlfn.XLOOKUP(Results!A6230,Geometry!$B$6:$B$10000,Geometry!$C$6:$C$10000)</f>
        <v>0</v>
      </c>
      <c r="T6230" s="69"/>
      <c r="U6230" s="69"/>
    </row>
    <row r="6231" spans="19:21" ht="15" customHeight="1" x14ac:dyDescent="0.2">
      <c r="S6231" s="69">
        <f>_xlfn.XLOOKUP(Results!A6231,Geometry!$B$6:$B$10000,Geometry!$C$6:$C$10000)</f>
        <v>0</v>
      </c>
      <c r="T6231" s="69"/>
      <c r="U6231" s="69"/>
    </row>
    <row r="6232" spans="19:21" ht="15" customHeight="1" x14ac:dyDescent="0.2">
      <c r="S6232" s="69">
        <f>_xlfn.XLOOKUP(Results!A6232,Geometry!$B$6:$B$10000,Geometry!$C$6:$C$10000)</f>
        <v>0</v>
      </c>
      <c r="T6232" s="69"/>
      <c r="U6232" s="69"/>
    </row>
    <row r="6233" spans="19:21" ht="15" customHeight="1" x14ac:dyDescent="0.2">
      <c r="S6233" s="69">
        <f>_xlfn.XLOOKUP(Results!A6233,Geometry!$B$6:$B$10000,Geometry!$C$6:$C$10000)</f>
        <v>0</v>
      </c>
      <c r="T6233" s="69"/>
      <c r="U6233" s="69"/>
    </row>
    <row r="6234" spans="19:21" ht="15" customHeight="1" x14ac:dyDescent="0.2">
      <c r="S6234" s="69">
        <f>_xlfn.XLOOKUP(Results!A6234,Geometry!$B$6:$B$10000,Geometry!$C$6:$C$10000)</f>
        <v>0</v>
      </c>
      <c r="T6234" s="69"/>
      <c r="U6234" s="69"/>
    </row>
    <row r="6235" spans="19:21" ht="15" customHeight="1" x14ac:dyDescent="0.2">
      <c r="S6235" s="69">
        <f>_xlfn.XLOOKUP(Results!A6235,Geometry!$B$6:$B$10000,Geometry!$C$6:$C$10000)</f>
        <v>0</v>
      </c>
      <c r="T6235" s="69"/>
      <c r="U6235" s="69"/>
    </row>
    <row r="6236" spans="19:21" ht="15" customHeight="1" x14ac:dyDescent="0.2">
      <c r="S6236" s="69">
        <f>_xlfn.XLOOKUP(Results!A6236,Geometry!$B$6:$B$10000,Geometry!$C$6:$C$10000)</f>
        <v>0</v>
      </c>
      <c r="T6236" s="69"/>
      <c r="U6236" s="69"/>
    </row>
    <row r="6237" spans="19:21" ht="15" customHeight="1" x14ac:dyDescent="0.2">
      <c r="S6237" s="69">
        <f>_xlfn.XLOOKUP(Results!A6237,Geometry!$B$6:$B$10000,Geometry!$C$6:$C$10000)</f>
        <v>0</v>
      </c>
      <c r="T6237" s="69"/>
      <c r="U6237" s="69"/>
    </row>
    <row r="6238" spans="19:21" ht="15" customHeight="1" x14ac:dyDescent="0.2">
      <c r="S6238" s="69">
        <f>_xlfn.XLOOKUP(Results!A6238,Geometry!$B$6:$B$10000,Geometry!$C$6:$C$10000)</f>
        <v>0</v>
      </c>
      <c r="T6238" s="69"/>
      <c r="U6238" s="69"/>
    </row>
    <row r="6239" spans="19:21" ht="15" customHeight="1" x14ac:dyDescent="0.2">
      <c r="S6239" s="69">
        <f>_xlfn.XLOOKUP(Results!A6239,Geometry!$B$6:$B$10000,Geometry!$C$6:$C$10000)</f>
        <v>0</v>
      </c>
      <c r="T6239" s="69"/>
      <c r="U6239" s="69"/>
    </row>
    <row r="6240" spans="19:21" ht="15" customHeight="1" x14ac:dyDescent="0.2">
      <c r="S6240" s="69">
        <f>_xlfn.XLOOKUP(Results!A6240,Geometry!$B$6:$B$10000,Geometry!$C$6:$C$10000)</f>
        <v>0</v>
      </c>
      <c r="T6240" s="69"/>
      <c r="U6240" s="69"/>
    </row>
    <row r="6241" spans="19:21" ht="15" customHeight="1" x14ac:dyDescent="0.2">
      <c r="S6241" s="69">
        <f>_xlfn.XLOOKUP(Results!A6241,Geometry!$B$6:$B$10000,Geometry!$C$6:$C$10000)</f>
        <v>0</v>
      </c>
      <c r="T6241" s="69"/>
      <c r="U6241" s="69"/>
    </row>
    <row r="6242" spans="19:21" ht="15" customHeight="1" x14ac:dyDescent="0.2">
      <c r="S6242" s="69">
        <f>_xlfn.XLOOKUP(Results!A6242,Geometry!$B$6:$B$10000,Geometry!$C$6:$C$10000)</f>
        <v>0</v>
      </c>
      <c r="T6242" s="69"/>
      <c r="U6242" s="69"/>
    </row>
    <row r="6243" spans="19:21" ht="15" customHeight="1" x14ac:dyDescent="0.2">
      <c r="S6243" s="69">
        <f>_xlfn.XLOOKUP(Results!A6243,Geometry!$B$6:$B$10000,Geometry!$C$6:$C$10000)</f>
        <v>0</v>
      </c>
      <c r="T6243" s="69"/>
      <c r="U6243" s="69"/>
    </row>
    <row r="6244" spans="19:21" ht="15" customHeight="1" x14ac:dyDescent="0.2">
      <c r="S6244" s="69">
        <f>_xlfn.XLOOKUP(Results!A6244,Geometry!$B$6:$B$10000,Geometry!$C$6:$C$10000)</f>
        <v>0</v>
      </c>
      <c r="T6244" s="69"/>
      <c r="U6244" s="69"/>
    </row>
    <row r="6245" spans="19:21" ht="15" customHeight="1" x14ac:dyDescent="0.2">
      <c r="S6245" s="69">
        <f>_xlfn.XLOOKUP(Results!A6245,Geometry!$B$6:$B$10000,Geometry!$C$6:$C$10000)</f>
        <v>0</v>
      </c>
      <c r="T6245" s="69"/>
      <c r="U6245" s="69"/>
    </row>
    <row r="6246" spans="19:21" ht="15" customHeight="1" x14ac:dyDescent="0.2">
      <c r="S6246" s="69">
        <f>_xlfn.XLOOKUP(Results!A6246,Geometry!$B$6:$B$10000,Geometry!$C$6:$C$10000)</f>
        <v>0</v>
      </c>
      <c r="T6246" s="69"/>
      <c r="U6246" s="69"/>
    </row>
    <row r="6247" spans="19:21" ht="15" customHeight="1" x14ac:dyDescent="0.2">
      <c r="S6247" s="69">
        <f>_xlfn.XLOOKUP(Results!A6247,Geometry!$B$6:$B$10000,Geometry!$C$6:$C$10000)</f>
        <v>0</v>
      </c>
      <c r="T6247" s="69"/>
      <c r="U6247" s="69"/>
    </row>
    <row r="6248" spans="19:21" ht="15" customHeight="1" x14ac:dyDescent="0.2">
      <c r="S6248" s="69">
        <f>_xlfn.XLOOKUP(Results!A6248,Geometry!$B$6:$B$10000,Geometry!$C$6:$C$10000)</f>
        <v>0</v>
      </c>
      <c r="T6248" s="69"/>
      <c r="U6248" s="69"/>
    </row>
    <row r="6249" spans="19:21" ht="15" customHeight="1" x14ac:dyDescent="0.2">
      <c r="S6249" s="69">
        <f>_xlfn.XLOOKUP(Results!A6249,Geometry!$B$6:$B$10000,Geometry!$C$6:$C$10000)</f>
        <v>0</v>
      </c>
      <c r="T6249" s="69"/>
      <c r="U6249" s="69"/>
    </row>
    <row r="6250" spans="19:21" ht="15" customHeight="1" x14ac:dyDescent="0.2">
      <c r="S6250" s="69">
        <f>_xlfn.XLOOKUP(Results!A6250,Geometry!$B$6:$B$10000,Geometry!$C$6:$C$10000)</f>
        <v>0</v>
      </c>
      <c r="T6250" s="69"/>
      <c r="U6250" s="69"/>
    </row>
    <row r="6251" spans="19:21" ht="15" customHeight="1" x14ac:dyDescent="0.2">
      <c r="S6251" s="69">
        <f>_xlfn.XLOOKUP(Results!A6251,Geometry!$B$6:$B$10000,Geometry!$C$6:$C$10000)</f>
        <v>0</v>
      </c>
      <c r="T6251" s="69"/>
      <c r="U6251" s="69"/>
    </row>
    <row r="6252" spans="19:21" ht="15" customHeight="1" x14ac:dyDescent="0.2">
      <c r="S6252" s="69">
        <f>_xlfn.XLOOKUP(Results!A6252,Geometry!$B$6:$B$10000,Geometry!$C$6:$C$10000)</f>
        <v>0</v>
      </c>
      <c r="T6252" s="69"/>
      <c r="U6252" s="69"/>
    </row>
    <row r="6253" spans="19:21" ht="15" customHeight="1" x14ac:dyDescent="0.2">
      <c r="S6253" s="69">
        <f>_xlfn.XLOOKUP(Results!A6253,Geometry!$B$6:$B$10000,Geometry!$C$6:$C$10000)</f>
        <v>0</v>
      </c>
      <c r="T6253" s="69"/>
      <c r="U6253" s="69"/>
    </row>
    <row r="6254" spans="19:21" ht="15" customHeight="1" x14ac:dyDescent="0.2">
      <c r="S6254" s="69">
        <f>_xlfn.XLOOKUP(Results!A6254,Geometry!$B$6:$B$10000,Geometry!$C$6:$C$10000)</f>
        <v>0</v>
      </c>
      <c r="T6254" s="69"/>
      <c r="U6254" s="69"/>
    </row>
    <row r="6255" spans="19:21" ht="15" customHeight="1" x14ac:dyDescent="0.2">
      <c r="S6255" s="69">
        <f>_xlfn.XLOOKUP(Results!A6255,Geometry!$B$6:$B$10000,Geometry!$C$6:$C$10000)</f>
        <v>0</v>
      </c>
      <c r="T6255" s="69"/>
      <c r="U6255" s="69"/>
    </row>
    <row r="6256" spans="19:21" ht="15" customHeight="1" x14ac:dyDescent="0.2">
      <c r="S6256" s="69">
        <f>_xlfn.XLOOKUP(Results!A6256,Geometry!$B$6:$B$10000,Geometry!$C$6:$C$10000)</f>
        <v>0</v>
      </c>
      <c r="T6256" s="69"/>
      <c r="U6256" s="69"/>
    </row>
    <row r="6257" spans="19:21" ht="15" customHeight="1" x14ac:dyDescent="0.2">
      <c r="S6257" s="69">
        <f>_xlfn.XLOOKUP(Results!A6257,Geometry!$B$6:$B$10000,Geometry!$C$6:$C$10000)</f>
        <v>0</v>
      </c>
      <c r="T6257" s="69"/>
      <c r="U6257" s="69"/>
    </row>
    <row r="6258" spans="19:21" ht="15" customHeight="1" x14ac:dyDescent="0.2">
      <c r="S6258" s="69">
        <f>_xlfn.XLOOKUP(Results!A6258,Geometry!$B$6:$B$10000,Geometry!$C$6:$C$10000)</f>
        <v>0</v>
      </c>
      <c r="T6258" s="69"/>
      <c r="U6258" s="69"/>
    </row>
    <row r="6259" spans="19:21" ht="15" customHeight="1" x14ac:dyDescent="0.2">
      <c r="S6259" s="69">
        <f>_xlfn.XLOOKUP(Results!A6259,Geometry!$B$6:$B$10000,Geometry!$C$6:$C$10000)</f>
        <v>0</v>
      </c>
      <c r="T6259" s="69"/>
      <c r="U6259" s="69"/>
    </row>
    <row r="6260" spans="19:21" ht="15" customHeight="1" x14ac:dyDescent="0.2">
      <c r="S6260" s="69">
        <f>_xlfn.XLOOKUP(Results!A6260,Geometry!$B$6:$B$10000,Geometry!$C$6:$C$10000)</f>
        <v>0</v>
      </c>
      <c r="T6260" s="69"/>
      <c r="U6260" s="69"/>
    </row>
    <row r="6261" spans="19:21" ht="15" customHeight="1" x14ac:dyDescent="0.2">
      <c r="S6261" s="69">
        <f>_xlfn.XLOOKUP(Results!A6261,Geometry!$B$6:$B$10000,Geometry!$C$6:$C$10000)</f>
        <v>0</v>
      </c>
      <c r="T6261" s="69"/>
      <c r="U6261" s="69"/>
    </row>
    <row r="6262" spans="19:21" ht="15" customHeight="1" x14ac:dyDescent="0.2">
      <c r="S6262" s="69">
        <f>_xlfn.XLOOKUP(Results!A6262,Geometry!$B$6:$B$10000,Geometry!$C$6:$C$10000)</f>
        <v>0</v>
      </c>
      <c r="T6262" s="69"/>
      <c r="U6262" s="69"/>
    </row>
    <row r="6263" spans="19:21" ht="15" customHeight="1" x14ac:dyDescent="0.2">
      <c r="S6263" s="69">
        <f>_xlfn.XLOOKUP(Results!A6263,Geometry!$B$6:$B$10000,Geometry!$C$6:$C$10000)</f>
        <v>0</v>
      </c>
      <c r="T6263" s="69"/>
      <c r="U6263" s="69"/>
    </row>
    <row r="6264" spans="19:21" ht="15" customHeight="1" x14ac:dyDescent="0.2">
      <c r="S6264" s="69">
        <f>_xlfn.XLOOKUP(Results!A6264,Geometry!$B$6:$B$10000,Geometry!$C$6:$C$10000)</f>
        <v>0</v>
      </c>
      <c r="T6264" s="69"/>
      <c r="U6264" s="69"/>
    </row>
    <row r="6265" spans="19:21" ht="15" customHeight="1" x14ac:dyDescent="0.2">
      <c r="S6265" s="69">
        <f>_xlfn.XLOOKUP(Results!A6265,Geometry!$B$6:$B$10000,Geometry!$C$6:$C$10000)</f>
        <v>0</v>
      </c>
      <c r="T6265" s="69"/>
      <c r="U6265" s="69"/>
    </row>
    <row r="6266" spans="19:21" ht="15" customHeight="1" x14ac:dyDescent="0.2">
      <c r="S6266" s="69">
        <f>_xlfn.XLOOKUP(Results!A6266,Geometry!$B$6:$B$10000,Geometry!$C$6:$C$10000)</f>
        <v>0</v>
      </c>
      <c r="T6266" s="69"/>
      <c r="U6266" s="69"/>
    </row>
    <row r="6267" spans="19:21" ht="15" customHeight="1" x14ac:dyDescent="0.2">
      <c r="S6267" s="69">
        <f>_xlfn.XLOOKUP(Results!A6267,Geometry!$B$6:$B$10000,Geometry!$C$6:$C$10000)</f>
        <v>0</v>
      </c>
      <c r="T6267" s="69"/>
      <c r="U6267" s="69"/>
    </row>
    <row r="6268" spans="19:21" ht="15" customHeight="1" x14ac:dyDescent="0.2">
      <c r="S6268" s="69">
        <f>_xlfn.XLOOKUP(Results!A6268,Geometry!$B$6:$B$10000,Geometry!$C$6:$C$10000)</f>
        <v>0</v>
      </c>
      <c r="T6268" s="69"/>
      <c r="U6268" s="69"/>
    </row>
    <row r="6269" spans="19:21" ht="15" customHeight="1" x14ac:dyDescent="0.2">
      <c r="S6269" s="69">
        <f>_xlfn.XLOOKUP(Results!A6269,Geometry!$B$6:$B$10000,Geometry!$C$6:$C$10000)</f>
        <v>0</v>
      </c>
      <c r="T6269" s="69"/>
      <c r="U6269" s="69"/>
    </row>
    <row r="6270" spans="19:21" ht="15" customHeight="1" x14ac:dyDescent="0.2">
      <c r="S6270" s="69">
        <f>_xlfn.XLOOKUP(Results!A6270,Geometry!$B$6:$B$10000,Geometry!$C$6:$C$10000)</f>
        <v>0</v>
      </c>
      <c r="T6270" s="69"/>
      <c r="U6270" s="69"/>
    </row>
    <row r="6271" spans="19:21" ht="15" customHeight="1" x14ac:dyDescent="0.2">
      <c r="S6271" s="69">
        <f>_xlfn.XLOOKUP(Results!A6271,Geometry!$B$6:$B$10000,Geometry!$C$6:$C$10000)</f>
        <v>0</v>
      </c>
      <c r="T6271" s="69"/>
      <c r="U6271" s="69"/>
    </row>
    <row r="6272" spans="19:21" ht="15" customHeight="1" x14ac:dyDescent="0.2">
      <c r="S6272" s="69">
        <f>_xlfn.XLOOKUP(Results!A6272,Geometry!$B$6:$B$10000,Geometry!$C$6:$C$10000)</f>
        <v>0</v>
      </c>
      <c r="T6272" s="69"/>
      <c r="U6272" s="69"/>
    </row>
    <row r="6273" spans="19:21" ht="15" customHeight="1" x14ac:dyDescent="0.2">
      <c r="S6273" s="69">
        <f>_xlfn.XLOOKUP(Results!A6273,Geometry!$B$6:$B$10000,Geometry!$C$6:$C$10000)</f>
        <v>0</v>
      </c>
      <c r="T6273" s="69"/>
      <c r="U6273" s="69"/>
    </row>
    <row r="6274" spans="19:21" ht="15" customHeight="1" x14ac:dyDescent="0.2">
      <c r="S6274" s="69">
        <f>_xlfn.XLOOKUP(Results!A6274,Geometry!$B$6:$B$10000,Geometry!$C$6:$C$10000)</f>
        <v>0</v>
      </c>
      <c r="T6274" s="69"/>
      <c r="U6274" s="69"/>
    </row>
    <row r="6275" spans="19:21" ht="15" customHeight="1" x14ac:dyDescent="0.2">
      <c r="S6275" s="69">
        <f>_xlfn.XLOOKUP(Results!A6275,Geometry!$B$6:$B$10000,Geometry!$C$6:$C$10000)</f>
        <v>0</v>
      </c>
      <c r="T6275" s="69"/>
      <c r="U6275" s="69"/>
    </row>
    <row r="6276" spans="19:21" ht="15" customHeight="1" x14ac:dyDescent="0.2">
      <c r="S6276" s="69">
        <f>_xlfn.XLOOKUP(Results!A6276,Geometry!$B$6:$B$10000,Geometry!$C$6:$C$10000)</f>
        <v>0</v>
      </c>
      <c r="T6276" s="69"/>
      <c r="U6276" s="69"/>
    </row>
    <row r="6277" spans="19:21" ht="15" customHeight="1" x14ac:dyDescent="0.2">
      <c r="S6277" s="69">
        <f>_xlfn.XLOOKUP(Results!A6277,Geometry!$B$6:$B$10000,Geometry!$C$6:$C$10000)</f>
        <v>0</v>
      </c>
      <c r="T6277" s="69"/>
      <c r="U6277" s="69"/>
    </row>
    <row r="6278" spans="19:21" ht="15" customHeight="1" x14ac:dyDescent="0.2">
      <c r="S6278" s="69">
        <f>_xlfn.XLOOKUP(Results!A6278,Geometry!$B$6:$B$10000,Geometry!$C$6:$C$10000)</f>
        <v>0</v>
      </c>
      <c r="T6278" s="69"/>
      <c r="U6278" s="69"/>
    </row>
    <row r="6279" spans="19:21" ht="15" customHeight="1" x14ac:dyDescent="0.2">
      <c r="S6279" s="69">
        <f>_xlfn.XLOOKUP(Results!A6279,Geometry!$B$6:$B$10000,Geometry!$C$6:$C$10000)</f>
        <v>0</v>
      </c>
      <c r="T6279" s="69"/>
      <c r="U6279" s="69"/>
    </row>
    <row r="6280" spans="19:21" ht="15" customHeight="1" x14ac:dyDescent="0.2">
      <c r="S6280" s="69">
        <f>_xlfn.XLOOKUP(Results!A6280,Geometry!$B$6:$B$10000,Geometry!$C$6:$C$10000)</f>
        <v>0</v>
      </c>
      <c r="T6280" s="69"/>
      <c r="U6280" s="69"/>
    </row>
    <row r="6281" spans="19:21" ht="15" customHeight="1" x14ac:dyDescent="0.2">
      <c r="S6281" s="69">
        <f>_xlfn.XLOOKUP(Results!A6281,Geometry!$B$6:$B$10000,Geometry!$C$6:$C$10000)</f>
        <v>0</v>
      </c>
      <c r="T6281" s="69"/>
      <c r="U6281" s="69"/>
    </row>
    <row r="6282" spans="19:21" ht="15" customHeight="1" x14ac:dyDescent="0.2">
      <c r="S6282" s="69">
        <f>_xlfn.XLOOKUP(Results!A6282,Geometry!$B$6:$B$10000,Geometry!$C$6:$C$10000)</f>
        <v>0</v>
      </c>
      <c r="T6282" s="69"/>
      <c r="U6282" s="69"/>
    </row>
    <row r="6283" spans="19:21" ht="15" customHeight="1" x14ac:dyDescent="0.2">
      <c r="S6283" s="69">
        <f>_xlfn.XLOOKUP(Results!A6283,Geometry!$B$6:$B$10000,Geometry!$C$6:$C$10000)</f>
        <v>0</v>
      </c>
      <c r="T6283" s="69"/>
      <c r="U6283" s="69"/>
    </row>
    <row r="6284" spans="19:21" ht="15" customHeight="1" x14ac:dyDescent="0.2">
      <c r="S6284" s="69">
        <f>_xlfn.XLOOKUP(Results!A6284,Geometry!$B$6:$B$10000,Geometry!$C$6:$C$10000)</f>
        <v>0</v>
      </c>
      <c r="T6284" s="69"/>
      <c r="U6284" s="69"/>
    </row>
    <row r="6285" spans="19:21" ht="15" customHeight="1" x14ac:dyDescent="0.2">
      <c r="S6285" s="69">
        <f>_xlfn.XLOOKUP(Results!A6285,Geometry!$B$6:$B$10000,Geometry!$C$6:$C$10000)</f>
        <v>0</v>
      </c>
      <c r="T6285" s="69"/>
      <c r="U6285" s="69"/>
    </row>
    <row r="6286" spans="19:21" ht="15" customHeight="1" x14ac:dyDescent="0.2">
      <c r="S6286" s="69">
        <f>_xlfn.XLOOKUP(Results!A6286,Geometry!$B$6:$B$10000,Geometry!$C$6:$C$10000)</f>
        <v>0</v>
      </c>
      <c r="T6286" s="69"/>
      <c r="U6286" s="69"/>
    </row>
    <row r="6287" spans="19:21" ht="15" customHeight="1" x14ac:dyDescent="0.2">
      <c r="S6287" s="69">
        <f>_xlfn.XLOOKUP(Results!A6287,Geometry!$B$6:$B$10000,Geometry!$C$6:$C$10000)</f>
        <v>0</v>
      </c>
      <c r="T6287" s="69"/>
      <c r="U6287" s="69"/>
    </row>
    <row r="6288" spans="19:21" ht="15" customHeight="1" x14ac:dyDescent="0.2">
      <c r="S6288" s="69">
        <f>_xlfn.XLOOKUP(Results!A6288,Geometry!$B$6:$B$10000,Geometry!$C$6:$C$10000)</f>
        <v>0</v>
      </c>
      <c r="T6288" s="69"/>
      <c r="U6288" s="69"/>
    </row>
    <row r="6289" spans="19:21" ht="15" customHeight="1" x14ac:dyDescent="0.2">
      <c r="S6289" s="69">
        <f>_xlfn.XLOOKUP(Results!A6289,Geometry!$B$6:$B$10000,Geometry!$C$6:$C$10000)</f>
        <v>0</v>
      </c>
      <c r="T6289" s="69"/>
      <c r="U6289" s="69"/>
    </row>
    <row r="6290" spans="19:21" ht="15" customHeight="1" x14ac:dyDescent="0.2">
      <c r="S6290" s="69">
        <f>_xlfn.XLOOKUP(Results!A6290,Geometry!$B$6:$B$10000,Geometry!$C$6:$C$10000)</f>
        <v>0</v>
      </c>
      <c r="T6290" s="69"/>
      <c r="U6290" s="69"/>
    </row>
    <row r="6291" spans="19:21" ht="15" customHeight="1" x14ac:dyDescent="0.2">
      <c r="S6291" s="69">
        <f>_xlfn.XLOOKUP(Results!A6291,Geometry!$B$6:$B$10000,Geometry!$C$6:$C$10000)</f>
        <v>0</v>
      </c>
      <c r="T6291" s="69"/>
      <c r="U6291" s="69"/>
    </row>
    <row r="6292" spans="19:21" ht="15" customHeight="1" x14ac:dyDescent="0.2">
      <c r="S6292" s="69">
        <f>_xlfn.XLOOKUP(Results!A6292,Geometry!$B$6:$B$10000,Geometry!$C$6:$C$10000)</f>
        <v>0</v>
      </c>
      <c r="T6292" s="69"/>
      <c r="U6292" s="69"/>
    </row>
    <row r="6293" spans="19:21" ht="15" customHeight="1" x14ac:dyDescent="0.2">
      <c r="S6293" s="69">
        <f>_xlfn.XLOOKUP(Results!A6293,Geometry!$B$6:$B$10000,Geometry!$C$6:$C$10000)</f>
        <v>0</v>
      </c>
      <c r="T6293" s="69"/>
      <c r="U6293" s="69"/>
    </row>
    <row r="6294" spans="19:21" ht="15" customHeight="1" x14ac:dyDescent="0.2">
      <c r="S6294" s="69">
        <f>_xlfn.XLOOKUP(Results!A6294,Geometry!$B$6:$B$10000,Geometry!$C$6:$C$10000)</f>
        <v>0</v>
      </c>
      <c r="T6294" s="69"/>
      <c r="U6294" s="69"/>
    </row>
    <row r="6295" spans="19:21" ht="15" customHeight="1" x14ac:dyDescent="0.2">
      <c r="S6295" s="69">
        <f>_xlfn.XLOOKUP(Results!A6295,Geometry!$B$6:$B$10000,Geometry!$C$6:$C$10000)</f>
        <v>0</v>
      </c>
      <c r="T6295" s="69"/>
      <c r="U6295" s="69"/>
    </row>
    <row r="6296" spans="19:21" ht="15" customHeight="1" x14ac:dyDescent="0.2">
      <c r="S6296" s="69">
        <f>_xlfn.XLOOKUP(Results!A6296,Geometry!$B$6:$B$10000,Geometry!$C$6:$C$10000)</f>
        <v>0</v>
      </c>
      <c r="T6296" s="69"/>
      <c r="U6296" s="69"/>
    </row>
    <row r="6297" spans="19:21" ht="15" customHeight="1" x14ac:dyDescent="0.2">
      <c r="S6297" s="69">
        <f>_xlfn.XLOOKUP(Results!A6297,Geometry!$B$6:$B$10000,Geometry!$C$6:$C$10000)</f>
        <v>0</v>
      </c>
      <c r="T6297" s="69"/>
      <c r="U6297" s="69"/>
    </row>
    <row r="6298" spans="19:21" ht="15" customHeight="1" x14ac:dyDescent="0.2">
      <c r="S6298" s="69">
        <f>_xlfn.XLOOKUP(Results!A6298,Geometry!$B$6:$B$10000,Geometry!$C$6:$C$10000)</f>
        <v>0</v>
      </c>
      <c r="T6298" s="69"/>
      <c r="U6298" s="69"/>
    </row>
    <row r="6299" spans="19:21" ht="15" customHeight="1" x14ac:dyDescent="0.2">
      <c r="S6299" s="69">
        <f>_xlfn.XLOOKUP(Results!A6299,Geometry!$B$6:$B$10000,Geometry!$C$6:$C$10000)</f>
        <v>0</v>
      </c>
      <c r="T6299" s="69"/>
      <c r="U6299" s="69"/>
    </row>
    <row r="6300" spans="19:21" ht="15" customHeight="1" x14ac:dyDescent="0.2">
      <c r="S6300" s="69">
        <f>_xlfn.XLOOKUP(Results!A6300,Geometry!$B$6:$B$10000,Geometry!$C$6:$C$10000)</f>
        <v>0</v>
      </c>
      <c r="T6300" s="69"/>
      <c r="U6300" s="69"/>
    </row>
    <row r="6301" spans="19:21" ht="15" customHeight="1" x14ac:dyDescent="0.2">
      <c r="S6301" s="69">
        <f>_xlfn.XLOOKUP(Results!A6301,Geometry!$B$6:$B$10000,Geometry!$C$6:$C$10000)</f>
        <v>0</v>
      </c>
      <c r="T6301" s="69"/>
      <c r="U6301" s="69"/>
    </row>
    <row r="6302" spans="19:21" ht="15" customHeight="1" x14ac:dyDescent="0.2">
      <c r="S6302" s="69">
        <f>_xlfn.XLOOKUP(Results!A6302,Geometry!$B$6:$B$10000,Geometry!$C$6:$C$10000)</f>
        <v>0</v>
      </c>
      <c r="T6302" s="69"/>
      <c r="U6302" s="69"/>
    </row>
    <row r="6303" spans="19:21" ht="15" customHeight="1" x14ac:dyDescent="0.2">
      <c r="S6303" s="69">
        <f>_xlfn.XLOOKUP(Results!A6303,Geometry!$B$6:$B$10000,Geometry!$C$6:$C$10000)</f>
        <v>0</v>
      </c>
      <c r="T6303" s="69"/>
      <c r="U6303" s="69"/>
    </row>
    <row r="6304" spans="19:21" ht="15" customHeight="1" x14ac:dyDescent="0.2">
      <c r="S6304" s="69">
        <f>_xlfn.XLOOKUP(Results!A6304,Geometry!$B$6:$B$10000,Geometry!$C$6:$C$10000)</f>
        <v>0</v>
      </c>
      <c r="T6304" s="69"/>
      <c r="U6304" s="69"/>
    </row>
    <row r="6305" spans="19:21" ht="15" customHeight="1" x14ac:dyDescent="0.2">
      <c r="S6305" s="69">
        <f>_xlfn.XLOOKUP(Results!A6305,Geometry!$B$6:$B$10000,Geometry!$C$6:$C$10000)</f>
        <v>0</v>
      </c>
      <c r="T6305" s="69"/>
      <c r="U6305" s="69"/>
    </row>
    <row r="6306" spans="19:21" ht="15" customHeight="1" x14ac:dyDescent="0.2">
      <c r="S6306" s="69">
        <f>_xlfn.XLOOKUP(Results!A6306,Geometry!$B$6:$B$10000,Geometry!$C$6:$C$10000)</f>
        <v>0</v>
      </c>
      <c r="T6306" s="69"/>
      <c r="U6306" s="69"/>
    </row>
    <row r="6307" spans="19:21" ht="15" customHeight="1" x14ac:dyDescent="0.2">
      <c r="S6307" s="69">
        <f>_xlfn.XLOOKUP(Results!A6307,Geometry!$B$6:$B$10000,Geometry!$C$6:$C$10000)</f>
        <v>0</v>
      </c>
      <c r="T6307" s="69"/>
      <c r="U6307" s="69"/>
    </row>
    <row r="6308" spans="19:21" ht="15" customHeight="1" x14ac:dyDescent="0.2">
      <c r="S6308" s="69">
        <f>_xlfn.XLOOKUP(Results!A6308,Geometry!$B$6:$B$10000,Geometry!$C$6:$C$10000)</f>
        <v>0</v>
      </c>
      <c r="T6308" s="69"/>
      <c r="U6308" s="69"/>
    </row>
    <row r="6309" spans="19:21" ht="15" customHeight="1" x14ac:dyDescent="0.2">
      <c r="S6309" s="69">
        <f>_xlfn.XLOOKUP(Results!A6309,Geometry!$B$6:$B$10000,Geometry!$C$6:$C$10000)</f>
        <v>0</v>
      </c>
      <c r="T6309" s="69"/>
      <c r="U6309" s="69"/>
    </row>
    <row r="6310" spans="19:21" ht="15" customHeight="1" x14ac:dyDescent="0.2">
      <c r="S6310" s="69">
        <f>_xlfn.XLOOKUP(Results!A6310,Geometry!$B$6:$B$10000,Geometry!$C$6:$C$10000)</f>
        <v>0</v>
      </c>
      <c r="T6310" s="69"/>
      <c r="U6310" s="69"/>
    </row>
    <row r="6311" spans="19:21" ht="15" customHeight="1" x14ac:dyDescent="0.2">
      <c r="S6311" s="69">
        <f>_xlfn.XLOOKUP(Results!A6311,Geometry!$B$6:$B$10000,Geometry!$C$6:$C$10000)</f>
        <v>0</v>
      </c>
      <c r="T6311" s="69"/>
      <c r="U6311" s="69"/>
    </row>
    <row r="6312" spans="19:21" ht="15" customHeight="1" x14ac:dyDescent="0.2">
      <c r="S6312" s="69">
        <f>_xlfn.XLOOKUP(Results!A6312,Geometry!$B$6:$B$10000,Geometry!$C$6:$C$10000)</f>
        <v>0</v>
      </c>
      <c r="T6312" s="69"/>
      <c r="U6312" s="69"/>
    </row>
    <row r="6313" spans="19:21" ht="15" customHeight="1" x14ac:dyDescent="0.2">
      <c r="S6313" s="69">
        <f>_xlfn.XLOOKUP(Results!A6313,Geometry!$B$6:$B$10000,Geometry!$C$6:$C$10000)</f>
        <v>0</v>
      </c>
      <c r="T6313" s="69"/>
      <c r="U6313" s="69"/>
    </row>
    <row r="6314" spans="19:21" ht="15" customHeight="1" x14ac:dyDescent="0.2">
      <c r="S6314" s="69">
        <f>_xlfn.XLOOKUP(Results!A6314,Geometry!$B$6:$B$10000,Geometry!$C$6:$C$10000)</f>
        <v>0</v>
      </c>
      <c r="T6314" s="69"/>
      <c r="U6314" s="69"/>
    </row>
    <row r="6315" spans="19:21" ht="15" customHeight="1" x14ac:dyDescent="0.2">
      <c r="S6315" s="69">
        <f>_xlfn.XLOOKUP(Results!A6315,Geometry!$B$6:$B$10000,Geometry!$C$6:$C$10000)</f>
        <v>0</v>
      </c>
      <c r="T6315" s="69"/>
      <c r="U6315" s="69"/>
    </row>
    <row r="6316" spans="19:21" ht="15" customHeight="1" x14ac:dyDescent="0.2">
      <c r="S6316" s="69">
        <f>_xlfn.XLOOKUP(Results!A6316,Geometry!$B$6:$B$10000,Geometry!$C$6:$C$10000)</f>
        <v>0</v>
      </c>
      <c r="T6316" s="69"/>
      <c r="U6316" s="69"/>
    </row>
    <row r="6317" spans="19:21" ht="15" customHeight="1" x14ac:dyDescent="0.2">
      <c r="S6317" s="69">
        <f>_xlfn.XLOOKUP(Results!A6317,Geometry!$B$6:$B$10000,Geometry!$C$6:$C$10000)</f>
        <v>0</v>
      </c>
      <c r="T6317" s="69"/>
      <c r="U6317" s="69"/>
    </row>
    <row r="6318" spans="19:21" ht="15" customHeight="1" x14ac:dyDescent="0.2">
      <c r="S6318" s="69">
        <f>_xlfn.XLOOKUP(Results!A6318,Geometry!$B$6:$B$10000,Geometry!$C$6:$C$10000)</f>
        <v>0</v>
      </c>
      <c r="T6318" s="69"/>
      <c r="U6318" s="69"/>
    </row>
    <row r="6319" spans="19:21" ht="15" customHeight="1" x14ac:dyDescent="0.2">
      <c r="S6319" s="69">
        <f>_xlfn.XLOOKUP(Results!A6319,Geometry!$B$6:$B$10000,Geometry!$C$6:$C$10000)</f>
        <v>0</v>
      </c>
      <c r="T6319" s="69"/>
      <c r="U6319" s="69"/>
    </row>
    <row r="6320" spans="19:21" ht="15" customHeight="1" x14ac:dyDescent="0.2">
      <c r="S6320" s="69">
        <f>_xlfn.XLOOKUP(Results!A6320,Geometry!$B$6:$B$10000,Geometry!$C$6:$C$10000)</f>
        <v>0</v>
      </c>
      <c r="T6320" s="69"/>
      <c r="U6320" s="69"/>
    </row>
    <row r="6321" spans="19:21" ht="15" customHeight="1" x14ac:dyDescent="0.2">
      <c r="S6321" s="69">
        <f>_xlfn.XLOOKUP(Results!A6321,Geometry!$B$6:$B$10000,Geometry!$C$6:$C$10000)</f>
        <v>0</v>
      </c>
      <c r="T6321" s="69"/>
      <c r="U6321" s="69"/>
    </row>
    <row r="6322" spans="19:21" ht="15" customHeight="1" x14ac:dyDescent="0.2">
      <c r="S6322" s="69">
        <f>_xlfn.XLOOKUP(Results!A6322,Geometry!$B$6:$B$10000,Geometry!$C$6:$C$10000)</f>
        <v>0</v>
      </c>
      <c r="T6322" s="69"/>
      <c r="U6322" s="69"/>
    </row>
    <row r="6323" spans="19:21" ht="15" customHeight="1" x14ac:dyDescent="0.2">
      <c r="S6323" s="69">
        <f>_xlfn.XLOOKUP(Results!A6323,Geometry!$B$6:$B$10000,Geometry!$C$6:$C$10000)</f>
        <v>0</v>
      </c>
      <c r="T6323" s="69"/>
      <c r="U6323" s="69"/>
    </row>
    <row r="6324" spans="19:21" ht="15" customHeight="1" x14ac:dyDescent="0.2">
      <c r="S6324" s="69">
        <f>_xlfn.XLOOKUP(Results!A6324,Geometry!$B$6:$B$10000,Geometry!$C$6:$C$10000)</f>
        <v>0</v>
      </c>
      <c r="T6324" s="69"/>
      <c r="U6324" s="69"/>
    </row>
    <row r="6325" spans="19:21" ht="15" customHeight="1" x14ac:dyDescent="0.2">
      <c r="S6325" s="69">
        <f>_xlfn.XLOOKUP(Results!A6325,Geometry!$B$6:$B$10000,Geometry!$C$6:$C$10000)</f>
        <v>0</v>
      </c>
      <c r="T6325" s="69"/>
      <c r="U6325" s="69"/>
    </row>
    <row r="6326" spans="19:21" ht="15" customHeight="1" x14ac:dyDescent="0.2">
      <c r="S6326" s="69">
        <f>_xlfn.XLOOKUP(Results!A6326,Geometry!$B$6:$B$10000,Geometry!$C$6:$C$10000)</f>
        <v>0</v>
      </c>
      <c r="T6326" s="69"/>
      <c r="U6326" s="69"/>
    </row>
    <row r="6327" spans="19:21" ht="15" customHeight="1" x14ac:dyDescent="0.2">
      <c r="S6327" s="69">
        <f>_xlfn.XLOOKUP(Results!A6327,Geometry!$B$6:$B$10000,Geometry!$C$6:$C$10000)</f>
        <v>0</v>
      </c>
      <c r="T6327" s="69"/>
      <c r="U6327" s="69"/>
    </row>
    <row r="6328" spans="19:21" ht="15" customHeight="1" x14ac:dyDescent="0.2">
      <c r="S6328" s="69">
        <f>_xlfn.XLOOKUP(Results!A6328,Geometry!$B$6:$B$10000,Geometry!$C$6:$C$10000)</f>
        <v>0</v>
      </c>
      <c r="T6328" s="69"/>
      <c r="U6328" s="69"/>
    </row>
    <row r="6329" spans="19:21" ht="15" customHeight="1" x14ac:dyDescent="0.2">
      <c r="S6329" s="69">
        <f>_xlfn.XLOOKUP(Results!A6329,Geometry!$B$6:$B$10000,Geometry!$C$6:$C$10000)</f>
        <v>0</v>
      </c>
      <c r="T6329" s="69"/>
      <c r="U6329" s="69"/>
    </row>
    <row r="6330" spans="19:21" ht="15" customHeight="1" x14ac:dyDescent="0.2">
      <c r="S6330" s="69">
        <f>_xlfn.XLOOKUP(Results!A6330,Geometry!$B$6:$B$10000,Geometry!$C$6:$C$10000)</f>
        <v>0</v>
      </c>
      <c r="T6330" s="69"/>
      <c r="U6330" s="69"/>
    </row>
    <row r="6331" spans="19:21" ht="15" customHeight="1" x14ac:dyDescent="0.2">
      <c r="S6331" s="69">
        <f>_xlfn.XLOOKUP(Results!A6331,Geometry!$B$6:$B$10000,Geometry!$C$6:$C$10000)</f>
        <v>0</v>
      </c>
      <c r="T6331" s="69"/>
      <c r="U6331" s="69"/>
    </row>
    <row r="6332" spans="19:21" ht="15" customHeight="1" x14ac:dyDescent="0.2">
      <c r="S6332" s="69">
        <f>_xlfn.XLOOKUP(Results!A6332,Geometry!$B$6:$B$10000,Geometry!$C$6:$C$10000)</f>
        <v>0</v>
      </c>
      <c r="T6332" s="69"/>
      <c r="U6332" s="69"/>
    </row>
    <row r="6333" spans="19:21" ht="15" customHeight="1" x14ac:dyDescent="0.2">
      <c r="S6333" s="69">
        <f>_xlfn.XLOOKUP(Results!A6333,Geometry!$B$6:$B$10000,Geometry!$C$6:$C$10000)</f>
        <v>0</v>
      </c>
      <c r="T6333" s="69"/>
      <c r="U6333" s="69"/>
    </row>
    <row r="6334" spans="19:21" ht="15" customHeight="1" x14ac:dyDescent="0.2">
      <c r="S6334" s="69">
        <f>_xlfn.XLOOKUP(Results!A6334,Geometry!$B$6:$B$10000,Geometry!$C$6:$C$10000)</f>
        <v>0</v>
      </c>
      <c r="T6334" s="69"/>
      <c r="U6334" s="69"/>
    </row>
    <row r="6335" spans="19:21" ht="15" customHeight="1" x14ac:dyDescent="0.2">
      <c r="S6335" s="69">
        <f>_xlfn.XLOOKUP(Results!A6335,Geometry!$B$6:$B$10000,Geometry!$C$6:$C$10000)</f>
        <v>0</v>
      </c>
      <c r="T6335" s="69"/>
      <c r="U6335" s="69"/>
    </row>
    <row r="6336" spans="19:21" ht="15" customHeight="1" x14ac:dyDescent="0.2">
      <c r="S6336" s="69">
        <f>_xlfn.XLOOKUP(Results!A6336,Geometry!$B$6:$B$10000,Geometry!$C$6:$C$10000)</f>
        <v>0</v>
      </c>
      <c r="T6336" s="69"/>
      <c r="U6336" s="69"/>
    </row>
    <row r="6337" spans="19:21" ht="15" customHeight="1" x14ac:dyDescent="0.2">
      <c r="S6337" s="69">
        <f>_xlfn.XLOOKUP(Results!A6337,Geometry!$B$6:$B$10000,Geometry!$C$6:$C$10000)</f>
        <v>0</v>
      </c>
      <c r="T6337" s="69"/>
      <c r="U6337" s="69"/>
    </row>
    <row r="6338" spans="19:21" ht="15" customHeight="1" x14ac:dyDescent="0.2">
      <c r="S6338" s="69">
        <f>_xlfn.XLOOKUP(Results!A6338,Geometry!$B$6:$B$10000,Geometry!$C$6:$C$10000)</f>
        <v>0</v>
      </c>
      <c r="T6338" s="69"/>
      <c r="U6338" s="69"/>
    </row>
    <row r="6339" spans="19:21" ht="15" customHeight="1" x14ac:dyDescent="0.2">
      <c r="S6339" s="69">
        <f>_xlfn.XLOOKUP(Results!A6339,Geometry!$B$6:$B$10000,Geometry!$C$6:$C$10000)</f>
        <v>0</v>
      </c>
      <c r="T6339" s="69"/>
      <c r="U6339" s="69"/>
    </row>
    <row r="6340" spans="19:21" ht="15" customHeight="1" x14ac:dyDescent="0.2">
      <c r="S6340" s="69">
        <f>_xlfn.XLOOKUP(Results!A6340,Geometry!$B$6:$B$10000,Geometry!$C$6:$C$10000)</f>
        <v>0</v>
      </c>
      <c r="T6340" s="69"/>
      <c r="U6340" s="69"/>
    </row>
    <row r="6341" spans="19:21" ht="15" customHeight="1" x14ac:dyDescent="0.2">
      <c r="S6341" s="69">
        <f>_xlfn.XLOOKUP(Results!A6341,Geometry!$B$6:$B$10000,Geometry!$C$6:$C$10000)</f>
        <v>0</v>
      </c>
      <c r="T6341" s="69"/>
      <c r="U6341" s="69"/>
    </row>
    <row r="6342" spans="19:21" ht="15" customHeight="1" x14ac:dyDescent="0.2">
      <c r="S6342" s="69">
        <f>_xlfn.XLOOKUP(Results!A6342,Geometry!$B$6:$B$10000,Geometry!$C$6:$C$10000)</f>
        <v>0</v>
      </c>
      <c r="T6342" s="69"/>
      <c r="U6342" s="69"/>
    </row>
    <row r="6343" spans="19:21" ht="15" customHeight="1" x14ac:dyDescent="0.2">
      <c r="S6343" s="69">
        <f>_xlfn.XLOOKUP(Results!A6343,Geometry!$B$6:$B$10000,Geometry!$C$6:$C$10000)</f>
        <v>0</v>
      </c>
      <c r="T6343" s="69"/>
      <c r="U6343" s="69"/>
    </row>
    <row r="6344" spans="19:21" ht="15" customHeight="1" x14ac:dyDescent="0.2">
      <c r="S6344" s="69">
        <f>_xlfn.XLOOKUP(Results!A6344,Geometry!$B$6:$B$10000,Geometry!$C$6:$C$10000)</f>
        <v>0</v>
      </c>
      <c r="T6344" s="69"/>
      <c r="U6344" s="69"/>
    </row>
    <row r="6345" spans="19:21" ht="15" customHeight="1" x14ac:dyDescent="0.2">
      <c r="S6345" s="69">
        <f>_xlfn.XLOOKUP(Results!A6345,Geometry!$B$6:$B$10000,Geometry!$C$6:$C$10000)</f>
        <v>0</v>
      </c>
      <c r="T6345" s="69"/>
      <c r="U6345" s="69"/>
    </row>
    <row r="6346" spans="19:21" ht="15" customHeight="1" x14ac:dyDescent="0.2">
      <c r="S6346" s="69">
        <f>_xlfn.XLOOKUP(Results!A6346,Geometry!$B$6:$B$10000,Geometry!$C$6:$C$10000)</f>
        <v>0</v>
      </c>
      <c r="T6346" s="69"/>
      <c r="U6346" s="69"/>
    </row>
    <row r="6347" spans="19:21" ht="15" customHeight="1" x14ac:dyDescent="0.2">
      <c r="S6347" s="69">
        <f>_xlfn.XLOOKUP(Results!A6347,Geometry!$B$6:$B$10000,Geometry!$C$6:$C$10000)</f>
        <v>0</v>
      </c>
      <c r="T6347" s="69"/>
      <c r="U6347" s="69"/>
    </row>
    <row r="6348" spans="19:21" ht="15" customHeight="1" x14ac:dyDescent="0.2">
      <c r="S6348" s="69">
        <f>_xlfn.XLOOKUP(Results!A6348,Geometry!$B$6:$B$10000,Geometry!$C$6:$C$10000)</f>
        <v>0</v>
      </c>
      <c r="T6348" s="69"/>
      <c r="U6348" s="69"/>
    </row>
    <row r="6349" spans="19:21" ht="15" customHeight="1" x14ac:dyDescent="0.2">
      <c r="S6349" s="69">
        <f>_xlfn.XLOOKUP(Results!A6349,Geometry!$B$6:$B$10000,Geometry!$C$6:$C$10000)</f>
        <v>0</v>
      </c>
      <c r="T6349" s="69"/>
      <c r="U6349" s="69"/>
    </row>
    <row r="6350" spans="19:21" ht="15" customHeight="1" x14ac:dyDescent="0.2">
      <c r="S6350" s="69">
        <f>_xlfn.XLOOKUP(Results!A6350,Geometry!$B$6:$B$10000,Geometry!$C$6:$C$10000)</f>
        <v>0</v>
      </c>
      <c r="T6350" s="69"/>
      <c r="U6350" s="69"/>
    </row>
    <row r="6351" spans="19:21" ht="15" customHeight="1" x14ac:dyDescent="0.2">
      <c r="S6351" s="69">
        <f>_xlfn.XLOOKUP(Results!A6351,Geometry!$B$6:$B$10000,Geometry!$C$6:$C$10000)</f>
        <v>0</v>
      </c>
      <c r="T6351" s="69"/>
      <c r="U6351" s="69"/>
    </row>
    <row r="6352" spans="19:21" ht="15" customHeight="1" x14ac:dyDescent="0.2">
      <c r="S6352" s="69">
        <f>_xlfn.XLOOKUP(Results!A6352,Geometry!$B$6:$B$10000,Geometry!$C$6:$C$10000)</f>
        <v>0</v>
      </c>
      <c r="T6352" s="69"/>
      <c r="U6352" s="69"/>
    </row>
    <row r="6353" spans="19:21" ht="15" customHeight="1" x14ac:dyDescent="0.2">
      <c r="S6353" s="69">
        <f>_xlfn.XLOOKUP(Results!A6353,Geometry!$B$6:$B$10000,Geometry!$C$6:$C$10000)</f>
        <v>0</v>
      </c>
      <c r="T6353" s="69"/>
      <c r="U6353" s="69"/>
    </row>
    <row r="6354" spans="19:21" ht="15" customHeight="1" x14ac:dyDescent="0.2">
      <c r="S6354" s="69">
        <f>_xlfn.XLOOKUP(Results!A6354,Geometry!$B$6:$B$10000,Geometry!$C$6:$C$10000)</f>
        <v>0</v>
      </c>
      <c r="T6354" s="69"/>
      <c r="U6354" s="69"/>
    </row>
    <row r="6355" spans="19:21" ht="15" customHeight="1" x14ac:dyDescent="0.2">
      <c r="S6355" s="69">
        <f>_xlfn.XLOOKUP(Results!A6355,Geometry!$B$6:$B$10000,Geometry!$C$6:$C$10000)</f>
        <v>0</v>
      </c>
      <c r="T6355" s="69"/>
      <c r="U6355" s="69"/>
    </row>
    <row r="6356" spans="19:21" ht="15" customHeight="1" x14ac:dyDescent="0.2">
      <c r="S6356" s="69">
        <f>_xlfn.XLOOKUP(Results!A6356,Geometry!$B$6:$B$10000,Geometry!$C$6:$C$10000)</f>
        <v>0</v>
      </c>
      <c r="T6356" s="69"/>
      <c r="U6356" s="69"/>
    </row>
    <row r="6357" spans="19:21" ht="15" customHeight="1" x14ac:dyDescent="0.2">
      <c r="S6357" s="69">
        <f>_xlfn.XLOOKUP(Results!A6357,Geometry!$B$6:$B$10000,Geometry!$C$6:$C$10000)</f>
        <v>0</v>
      </c>
      <c r="T6357" s="69"/>
      <c r="U6357" s="69"/>
    </row>
    <row r="6358" spans="19:21" ht="15" customHeight="1" x14ac:dyDescent="0.2">
      <c r="S6358" s="69">
        <f>_xlfn.XLOOKUP(Results!A6358,Geometry!$B$6:$B$10000,Geometry!$C$6:$C$10000)</f>
        <v>0</v>
      </c>
      <c r="T6358" s="69"/>
      <c r="U6358" s="69"/>
    </row>
    <row r="6359" spans="19:21" ht="15" customHeight="1" x14ac:dyDescent="0.2">
      <c r="S6359" s="69">
        <f>_xlfn.XLOOKUP(Results!A6359,Geometry!$B$6:$B$10000,Geometry!$C$6:$C$10000)</f>
        <v>0</v>
      </c>
      <c r="T6359" s="69"/>
      <c r="U6359" s="69"/>
    </row>
    <row r="6360" spans="19:21" ht="15" customHeight="1" x14ac:dyDescent="0.2">
      <c r="S6360" s="69">
        <f>_xlfn.XLOOKUP(Results!A6360,Geometry!$B$6:$B$10000,Geometry!$C$6:$C$10000)</f>
        <v>0</v>
      </c>
      <c r="T6360" s="69"/>
      <c r="U6360" s="69"/>
    </row>
    <row r="6361" spans="19:21" ht="15" customHeight="1" x14ac:dyDescent="0.2">
      <c r="S6361" s="69">
        <f>_xlfn.XLOOKUP(Results!A6361,Geometry!$B$6:$B$10000,Geometry!$C$6:$C$10000)</f>
        <v>0</v>
      </c>
      <c r="T6361" s="69"/>
      <c r="U6361" s="69"/>
    </row>
    <row r="6362" spans="19:21" ht="15" customHeight="1" x14ac:dyDescent="0.2">
      <c r="S6362" s="69">
        <f>_xlfn.XLOOKUP(Results!A6362,Geometry!$B$6:$B$10000,Geometry!$C$6:$C$10000)</f>
        <v>0</v>
      </c>
      <c r="T6362" s="69"/>
      <c r="U6362" s="69"/>
    </row>
    <row r="6363" spans="19:21" ht="15" customHeight="1" x14ac:dyDescent="0.2">
      <c r="S6363" s="69">
        <f>_xlfn.XLOOKUP(Results!A6363,Geometry!$B$6:$B$10000,Geometry!$C$6:$C$10000)</f>
        <v>0</v>
      </c>
      <c r="T6363" s="69"/>
      <c r="U6363" s="69"/>
    </row>
    <row r="6364" spans="19:21" ht="15" customHeight="1" x14ac:dyDescent="0.2">
      <c r="S6364" s="69">
        <f>_xlfn.XLOOKUP(Results!A6364,Geometry!$B$6:$B$10000,Geometry!$C$6:$C$10000)</f>
        <v>0</v>
      </c>
      <c r="T6364" s="69"/>
      <c r="U6364" s="69"/>
    </row>
    <row r="6365" spans="19:21" ht="15" customHeight="1" x14ac:dyDescent="0.2">
      <c r="S6365" s="69">
        <f>_xlfn.XLOOKUP(Results!A6365,Geometry!$B$6:$B$10000,Geometry!$C$6:$C$10000)</f>
        <v>0</v>
      </c>
      <c r="T6365" s="69"/>
      <c r="U6365" s="69"/>
    </row>
    <row r="6366" spans="19:21" ht="15" customHeight="1" x14ac:dyDescent="0.2">
      <c r="S6366" s="69">
        <f>_xlfn.XLOOKUP(Results!A6366,Geometry!$B$6:$B$10000,Geometry!$C$6:$C$10000)</f>
        <v>0</v>
      </c>
      <c r="T6366" s="69"/>
      <c r="U6366" s="69"/>
    </row>
    <row r="6367" spans="19:21" ht="15" customHeight="1" x14ac:dyDescent="0.2">
      <c r="S6367" s="69">
        <f>_xlfn.XLOOKUP(Results!A6367,Geometry!$B$6:$B$10000,Geometry!$C$6:$C$10000)</f>
        <v>0</v>
      </c>
      <c r="T6367" s="69"/>
      <c r="U6367" s="69"/>
    </row>
    <row r="6368" spans="19:21" ht="15" customHeight="1" x14ac:dyDescent="0.2">
      <c r="S6368" s="69">
        <f>_xlfn.XLOOKUP(Results!A6368,Geometry!$B$6:$B$10000,Geometry!$C$6:$C$10000)</f>
        <v>0</v>
      </c>
      <c r="T6368" s="69"/>
      <c r="U6368" s="69"/>
    </row>
    <row r="6369" spans="19:21" ht="15" customHeight="1" x14ac:dyDescent="0.2">
      <c r="S6369" s="69">
        <f>_xlfn.XLOOKUP(Results!A6369,Geometry!$B$6:$B$10000,Geometry!$C$6:$C$10000)</f>
        <v>0</v>
      </c>
      <c r="T6369" s="69"/>
      <c r="U6369" s="69"/>
    </row>
    <row r="6370" spans="19:21" ht="15" customHeight="1" x14ac:dyDescent="0.2">
      <c r="S6370" s="69">
        <f>_xlfn.XLOOKUP(Results!A6370,Geometry!$B$6:$B$10000,Geometry!$C$6:$C$10000)</f>
        <v>0</v>
      </c>
      <c r="T6370" s="69"/>
      <c r="U6370" s="69"/>
    </row>
    <row r="6371" spans="19:21" ht="15" customHeight="1" x14ac:dyDescent="0.2">
      <c r="S6371" s="69">
        <f>_xlfn.XLOOKUP(Results!A6371,Geometry!$B$6:$B$10000,Geometry!$C$6:$C$10000)</f>
        <v>0</v>
      </c>
      <c r="T6371" s="69"/>
      <c r="U6371" s="69"/>
    </row>
    <row r="6372" spans="19:21" ht="15" customHeight="1" x14ac:dyDescent="0.2">
      <c r="S6372" s="69">
        <f>_xlfn.XLOOKUP(Results!A6372,Geometry!$B$6:$B$10000,Geometry!$C$6:$C$10000)</f>
        <v>0</v>
      </c>
      <c r="T6372" s="69"/>
      <c r="U6372" s="69"/>
    </row>
    <row r="6373" spans="19:21" ht="15" customHeight="1" x14ac:dyDescent="0.2">
      <c r="S6373" s="69">
        <f>_xlfn.XLOOKUP(Results!A6373,Geometry!$B$6:$B$10000,Geometry!$C$6:$C$10000)</f>
        <v>0</v>
      </c>
      <c r="T6373" s="69"/>
      <c r="U6373" s="69"/>
    </row>
    <row r="6374" spans="19:21" ht="15" customHeight="1" x14ac:dyDescent="0.2">
      <c r="S6374" s="69">
        <f>_xlfn.XLOOKUP(Results!A6374,Geometry!$B$6:$B$10000,Geometry!$C$6:$C$10000)</f>
        <v>0</v>
      </c>
      <c r="T6374" s="69"/>
      <c r="U6374" s="69"/>
    </row>
    <row r="6375" spans="19:21" ht="15" customHeight="1" x14ac:dyDescent="0.2">
      <c r="S6375" s="69">
        <f>_xlfn.XLOOKUP(Results!A6375,Geometry!$B$6:$B$10000,Geometry!$C$6:$C$10000)</f>
        <v>0</v>
      </c>
      <c r="T6375" s="69"/>
      <c r="U6375" s="69"/>
    </row>
    <row r="6376" spans="19:21" ht="15" customHeight="1" x14ac:dyDescent="0.2">
      <c r="S6376" s="69">
        <f>_xlfn.XLOOKUP(Results!A6376,Geometry!$B$6:$B$10000,Geometry!$C$6:$C$10000)</f>
        <v>0</v>
      </c>
      <c r="T6376" s="69"/>
      <c r="U6376" s="69"/>
    </row>
    <row r="6377" spans="19:21" ht="15" customHeight="1" x14ac:dyDescent="0.2">
      <c r="S6377" s="69">
        <f>_xlfn.XLOOKUP(Results!A6377,Geometry!$B$6:$B$10000,Geometry!$C$6:$C$10000)</f>
        <v>0</v>
      </c>
      <c r="T6377" s="69"/>
      <c r="U6377" s="69"/>
    </row>
    <row r="6378" spans="19:21" ht="15" customHeight="1" x14ac:dyDescent="0.2">
      <c r="S6378" s="69">
        <f>_xlfn.XLOOKUP(Results!A6378,Geometry!$B$6:$B$10000,Geometry!$C$6:$C$10000)</f>
        <v>0</v>
      </c>
      <c r="T6378" s="69"/>
      <c r="U6378" s="69"/>
    </row>
    <row r="6379" spans="19:21" ht="15" customHeight="1" x14ac:dyDescent="0.2">
      <c r="S6379" s="69">
        <f>_xlfn.XLOOKUP(Results!A6379,Geometry!$B$6:$B$10000,Geometry!$C$6:$C$10000)</f>
        <v>0</v>
      </c>
      <c r="T6379" s="69"/>
      <c r="U6379" s="69"/>
    </row>
    <row r="6380" spans="19:21" ht="15" customHeight="1" x14ac:dyDescent="0.2">
      <c r="S6380" s="69">
        <f>_xlfn.XLOOKUP(Results!A6380,Geometry!$B$6:$B$10000,Geometry!$C$6:$C$10000)</f>
        <v>0</v>
      </c>
      <c r="T6380" s="69"/>
      <c r="U6380" s="69"/>
    </row>
    <row r="6381" spans="19:21" ht="15" customHeight="1" x14ac:dyDescent="0.2">
      <c r="S6381" s="69">
        <f>_xlfn.XLOOKUP(Results!A6381,Geometry!$B$6:$B$10000,Geometry!$C$6:$C$10000)</f>
        <v>0</v>
      </c>
      <c r="T6381" s="69"/>
      <c r="U6381" s="69"/>
    </row>
    <row r="6382" spans="19:21" ht="15" customHeight="1" x14ac:dyDescent="0.2">
      <c r="S6382" s="69">
        <f>_xlfn.XLOOKUP(Results!A6382,Geometry!$B$6:$B$10000,Geometry!$C$6:$C$10000)</f>
        <v>0</v>
      </c>
      <c r="T6382" s="69"/>
      <c r="U6382" s="69"/>
    </row>
    <row r="6383" spans="19:21" ht="15" customHeight="1" x14ac:dyDescent="0.2">
      <c r="S6383" s="69">
        <f>_xlfn.XLOOKUP(Results!A6383,Geometry!$B$6:$B$10000,Geometry!$C$6:$C$10000)</f>
        <v>0</v>
      </c>
      <c r="T6383" s="69"/>
      <c r="U6383" s="69"/>
    </row>
    <row r="6384" spans="19:21" ht="15" customHeight="1" x14ac:dyDescent="0.2">
      <c r="S6384" s="69">
        <f>_xlfn.XLOOKUP(Results!A6384,Geometry!$B$6:$B$10000,Geometry!$C$6:$C$10000)</f>
        <v>0</v>
      </c>
      <c r="T6384" s="69"/>
      <c r="U6384" s="69"/>
    </row>
    <row r="6385" spans="19:21" ht="15" customHeight="1" x14ac:dyDescent="0.2">
      <c r="S6385" s="69">
        <f>_xlfn.XLOOKUP(Results!A6385,Geometry!$B$6:$B$10000,Geometry!$C$6:$C$10000)</f>
        <v>0</v>
      </c>
      <c r="T6385" s="69"/>
      <c r="U6385" s="69"/>
    </row>
    <row r="6386" spans="19:21" ht="15" customHeight="1" x14ac:dyDescent="0.2">
      <c r="S6386" s="69">
        <f>_xlfn.XLOOKUP(Results!A6386,Geometry!$B$6:$B$10000,Geometry!$C$6:$C$10000)</f>
        <v>0</v>
      </c>
      <c r="T6386" s="69"/>
      <c r="U6386" s="69"/>
    </row>
    <row r="6387" spans="19:21" ht="15" customHeight="1" x14ac:dyDescent="0.2">
      <c r="S6387" s="69">
        <f>_xlfn.XLOOKUP(Results!A6387,Geometry!$B$6:$B$10000,Geometry!$C$6:$C$10000)</f>
        <v>0</v>
      </c>
      <c r="T6387" s="69"/>
      <c r="U6387" s="69"/>
    </row>
    <row r="6388" spans="19:21" ht="15" customHeight="1" x14ac:dyDescent="0.2">
      <c r="S6388" s="69">
        <f>_xlfn.XLOOKUP(Results!A6388,Geometry!$B$6:$B$10000,Geometry!$C$6:$C$10000)</f>
        <v>0</v>
      </c>
      <c r="T6388" s="69"/>
      <c r="U6388" s="69"/>
    </row>
    <row r="6389" spans="19:21" ht="15" customHeight="1" x14ac:dyDescent="0.2">
      <c r="S6389" s="69">
        <f>_xlfn.XLOOKUP(Results!A6389,Geometry!$B$6:$B$10000,Geometry!$C$6:$C$10000)</f>
        <v>0</v>
      </c>
      <c r="T6389" s="69"/>
      <c r="U6389" s="69"/>
    </row>
    <row r="6390" spans="19:21" ht="15" customHeight="1" x14ac:dyDescent="0.2">
      <c r="S6390" s="69">
        <f>_xlfn.XLOOKUP(Results!A6390,Geometry!$B$6:$B$10000,Geometry!$C$6:$C$10000)</f>
        <v>0</v>
      </c>
      <c r="T6390" s="69"/>
      <c r="U6390" s="69"/>
    </row>
    <row r="6391" spans="19:21" ht="15" customHeight="1" x14ac:dyDescent="0.2">
      <c r="S6391" s="69">
        <f>_xlfn.XLOOKUP(Results!A6391,Geometry!$B$6:$B$10000,Geometry!$C$6:$C$10000)</f>
        <v>0</v>
      </c>
      <c r="T6391" s="69"/>
      <c r="U6391" s="69"/>
    </row>
    <row r="6392" spans="19:21" ht="15" customHeight="1" x14ac:dyDescent="0.2">
      <c r="S6392" s="69">
        <f>_xlfn.XLOOKUP(Results!A6392,Geometry!$B$6:$B$10000,Geometry!$C$6:$C$10000)</f>
        <v>0</v>
      </c>
      <c r="T6392" s="69"/>
      <c r="U6392" s="69"/>
    </row>
    <row r="6393" spans="19:21" ht="15" customHeight="1" x14ac:dyDescent="0.2">
      <c r="S6393" s="69">
        <f>_xlfn.XLOOKUP(Results!A6393,Geometry!$B$6:$B$10000,Geometry!$C$6:$C$10000)</f>
        <v>0</v>
      </c>
      <c r="T6393" s="69"/>
      <c r="U6393" s="69"/>
    </row>
    <row r="6394" spans="19:21" ht="15" customHeight="1" x14ac:dyDescent="0.2">
      <c r="S6394" s="69">
        <f>_xlfn.XLOOKUP(Results!A6394,Geometry!$B$6:$B$10000,Geometry!$C$6:$C$10000)</f>
        <v>0</v>
      </c>
      <c r="T6394" s="69"/>
      <c r="U6394" s="69"/>
    </row>
    <row r="6395" spans="19:21" ht="15" customHeight="1" x14ac:dyDescent="0.2">
      <c r="S6395" s="69">
        <f>_xlfn.XLOOKUP(Results!A6395,Geometry!$B$6:$B$10000,Geometry!$C$6:$C$10000)</f>
        <v>0</v>
      </c>
      <c r="T6395" s="69"/>
      <c r="U6395" s="69"/>
    </row>
    <row r="6396" spans="19:21" ht="15" customHeight="1" x14ac:dyDescent="0.2">
      <c r="S6396" s="69">
        <f>_xlfn.XLOOKUP(Results!A6396,Geometry!$B$6:$B$10000,Geometry!$C$6:$C$10000)</f>
        <v>0</v>
      </c>
      <c r="T6396" s="69"/>
      <c r="U6396" s="69"/>
    </row>
    <row r="6397" spans="19:21" ht="15" customHeight="1" x14ac:dyDescent="0.2">
      <c r="S6397" s="69">
        <f>_xlfn.XLOOKUP(Results!A6397,Geometry!$B$6:$B$10000,Geometry!$C$6:$C$10000)</f>
        <v>0</v>
      </c>
      <c r="T6397" s="69"/>
      <c r="U6397" s="69"/>
    </row>
    <row r="6398" spans="19:21" ht="15" customHeight="1" x14ac:dyDescent="0.2">
      <c r="S6398" s="69">
        <f>_xlfn.XLOOKUP(Results!A6398,Geometry!$B$6:$B$10000,Geometry!$C$6:$C$10000)</f>
        <v>0</v>
      </c>
      <c r="T6398" s="69"/>
      <c r="U6398" s="69"/>
    </row>
    <row r="6399" spans="19:21" ht="15" customHeight="1" x14ac:dyDescent="0.2">
      <c r="S6399" s="69">
        <f>_xlfn.XLOOKUP(Results!A6399,Geometry!$B$6:$B$10000,Geometry!$C$6:$C$10000)</f>
        <v>0</v>
      </c>
      <c r="T6399" s="69"/>
      <c r="U6399" s="69"/>
    </row>
    <row r="6400" spans="19:21" ht="15" customHeight="1" x14ac:dyDescent="0.2">
      <c r="S6400" s="69">
        <f>_xlfn.XLOOKUP(Results!A6400,Geometry!$B$6:$B$10000,Geometry!$C$6:$C$10000)</f>
        <v>0</v>
      </c>
      <c r="T6400" s="69"/>
      <c r="U6400" s="69"/>
    </row>
    <row r="6401" spans="19:21" ht="15" customHeight="1" x14ac:dyDescent="0.2">
      <c r="S6401" s="69">
        <f>_xlfn.XLOOKUP(Results!A6401,Geometry!$B$6:$B$10000,Geometry!$C$6:$C$10000)</f>
        <v>0</v>
      </c>
      <c r="T6401" s="69"/>
      <c r="U6401" s="69"/>
    </row>
    <row r="6402" spans="19:21" ht="15" customHeight="1" x14ac:dyDescent="0.2">
      <c r="S6402" s="69">
        <f>_xlfn.XLOOKUP(Results!A6402,Geometry!$B$6:$B$10000,Geometry!$C$6:$C$10000)</f>
        <v>0</v>
      </c>
      <c r="T6402" s="69"/>
      <c r="U6402" s="69"/>
    </row>
    <row r="6403" spans="19:21" ht="15" customHeight="1" x14ac:dyDescent="0.2">
      <c r="S6403" s="69">
        <f>_xlfn.XLOOKUP(Results!A6403,Geometry!$B$6:$B$10000,Geometry!$C$6:$C$10000)</f>
        <v>0</v>
      </c>
      <c r="T6403" s="69"/>
      <c r="U6403" s="69"/>
    </row>
    <row r="6404" spans="19:21" ht="15" customHeight="1" x14ac:dyDescent="0.2">
      <c r="S6404" s="69">
        <f>_xlfn.XLOOKUP(Results!A6404,Geometry!$B$6:$B$10000,Geometry!$C$6:$C$10000)</f>
        <v>0</v>
      </c>
      <c r="T6404" s="69"/>
      <c r="U6404" s="69"/>
    </row>
    <row r="6405" spans="19:21" ht="15" customHeight="1" x14ac:dyDescent="0.2">
      <c r="S6405" s="69">
        <f>_xlfn.XLOOKUP(Results!A6405,Geometry!$B$6:$B$10000,Geometry!$C$6:$C$10000)</f>
        <v>0</v>
      </c>
      <c r="T6405" s="69"/>
      <c r="U6405" s="69"/>
    </row>
    <row r="6406" spans="19:21" ht="15" customHeight="1" x14ac:dyDescent="0.2">
      <c r="S6406" s="69">
        <f>_xlfn.XLOOKUP(Results!A6406,Geometry!$B$6:$B$10000,Geometry!$C$6:$C$10000)</f>
        <v>0</v>
      </c>
      <c r="T6406" s="69"/>
      <c r="U6406" s="69"/>
    </row>
    <row r="6407" spans="19:21" ht="15" customHeight="1" x14ac:dyDescent="0.2">
      <c r="S6407" s="69">
        <f>_xlfn.XLOOKUP(Results!A6407,Geometry!$B$6:$B$10000,Geometry!$C$6:$C$10000)</f>
        <v>0</v>
      </c>
      <c r="T6407" s="69"/>
      <c r="U6407" s="69"/>
    </row>
    <row r="6408" spans="19:21" ht="15" customHeight="1" x14ac:dyDescent="0.2">
      <c r="S6408" s="69">
        <f>_xlfn.XLOOKUP(Results!A6408,Geometry!$B$6:$B$10000,Geometry!$C$6:$C$10000)</f>
        <v>0</v>
      </c>
      <c r="T6408" s="69"/>
      <c r="U6408" s="69"/>
    </row>
    <row r="6409" spans="19:21" ht="15" customHeight="1" x14ac:dyDescent="0.2">
      <c r="S6409" s="69">
        <f>_xlfn.XLOOKUP(Results!A6409,Geometry!$B$6:$B$10000,Geometry!$C$6:$C$10000)</f>
        <v>0</v>
      </c>
      <c r="T6409" s="69"/>
      <c r="U6409" s="69"/>
    </row>
    <row r="6410" spans="19:21" ht="15" customHeight="1" x14ac:dyDescent="0.2">
      <c r="S6410" s="69">
        <f>_xlfn.XLOOKUP(Results!A6410,Geometry!$B$6:$B$10000,Geometry!$C$6:$C$10000)</f>
        <v>0</v>
      </c>
      <c r="T6410" s="69"/>
      <c r="U6410" s="69"/>
    </row>
    <row r="6411" spans="19:21" ht="15" customHeight="1" x14ac:dyDescent="0.2">
      <c r="S6411" s="69">
        <f>_xlfn.XLOOKUP(Results!A6411,Geometry!$B$6:$B$10000,Geometry!$C$6:$C$10000)</f>
        <v>0</v>
      </c>
      <c r="T6411" s="69"/>
      <c r="U6411" s="69"/>
    </row>
    <row r="6412" spans="19:21" ht="15" customHeight="1" x14ac:dyDescent="0.2">
      <c r="S6412" s="69">
        <f>_xlfn.XLOOKUP(Results!A6412,Geometry!$B$6:$B$10000,Geometry!$C$6:$C$10000)</f>
        <v>0</v>
      </c>
      <c r="T6412" s="69"/>
      <c r="U6412" s="69"/>
    </row>
    <row r="6413" spans="19:21" ht="15" customHeight="1" x14ac:dyDescent="0.2">
      <c r="S6413" s="69">
        <f>_xlfn.XLOOKUP(Results!A6413,Geometry!$B$6:$B$10000,Geometry!$C$6:$C$10000)</f>
        <v>0</v>
      </c>
      <c r="T6413" s="69"/>
      <c r="U6413" s="69"/>
    </row>
    <row r="6414" spans="19:21" ht="15" customHeight="1" x14ac:dyDescent="0.2">
      <c r="S6414" s="69">
        <f>_xlfn.XLOOKUP(Results!A6414,Geometry!$B$6:$B$10000,Geometry!$C$6:$C$10000)</f>
        <v>0</v>
      </c>
      <c r="T6414" s="69"/>
      <c r="U6414" s="69"/>
    </row>
    <row r="6415" spans="19:21" ht="15" customHeight="1" x14ac:dyDescent="0.2">
      <c r="S6415" s="69">
        <f>_xlfn.XLOOKUP(Results!A6415,Geometry!$B$6:$B$10000,Geometry!$C$6:$C$10000)</f>
        <v>0</v>
      </c>
      <c r="T6415" s="69"/>
      <c r="U6415" s="69"/>
    </row>
    <row r="6416" spans="19:21" ht="15" customHeight="1" x14ac:dyDescent="0.2">
      <c r="S6416" s="69">
        <f>_xlfn.XLOOKUP(Results!A6416,Geometry!$B$6:$B$10000,Geometry!$C$6:$C$10000)</f>
        <v>0</v>
      </c>
      <c r="T6416" s="69"/>
      <c r="U6416" s="69"/>
    </row>
    <row r="6417" spans="19:21" ht="15" customHeight="1" x14ac:dyDescent="0.2">
      <c r="S6417" s="69">
        <f>_xlfn.XLOOKUP(Results!A6417,Geometry!$B$6:$B$10000,Geometry!$C$6:$C$10000)</f>
        <v>0</v>
      </c>
      <c r="T6417" s="69"/>
      <c r="U6417" s="69"/>
    </row>
    <row r="6418" spans="19:21" ht="15" customHeight="1" x14ac:dyDescent="0.2">
      <c r="S6418" s="69">
        <f>_xlfn.XLOOKUP(Results!A6418,Geometry!$B$6:$B$10000,Geometry!$C$6:$C$10000)</f>
        <v>0</v>
      </c>
      <c r="T6418" s="69"/>
      <c r="U6418" s="69"/>
    </row>
    <row r="6419" spans="19:21" ht="15" customHeight="1" x14ac:dyDescent="0.2">
      <c r="S6419" s="69">
        <f>_xlfn.XLOOKUP(Results!A6419,Geometry!$B$6:$B$10000,Geometry!$C$6:$C$10000)</f>
        <v>0</v>
      </c>
      <c r="T6419" s="69"/>
      <c r="U6419" s="69"/>
    </row>
    <row r="6420" spans="19:21" ht="15" customHeight="1" x14ac:dyDescent="0.2">
      <c r="S6420" s="69">
        <f>_xlfn.XLOOKUP(Results!A6420,Geometry!$B$6:$B$10000,Geometry!$C$6:$C$10000)</f>
        <v>0</v>
      </c>
      <c r="T6420" s="69"/>
      <c r="U6420" s="69"/>
    </row>
    <row r="6421" spans="19:21" ht="15" customHeight="1" x14ac:dyDescent="0.2">
      <c r="S6421" s="69">
        <f>_xlfn.XLOOKUP(Results!A6421,Geometry!$B$6:$B$10000,Geometry!$C$6:$C$10000)</f>
        <v>0</v>
      </c>
      <c r="T6421" s="69"/>
      <c r="U6421" s="69"/>
    </row>
    <row r="6422" spans="19:21" ht="15" customHeight="1" x14ac:dyDescent="0.2">
      <c r="S6422" s="69">
        <f>_xlfn.XLOOKUP(Results!A6422,Geometry!$B$6:$B$10000,Geometry!$C$6:$C$10000)</f>
        <v>0</v>
      </c>
      <c r="T6422" s="69"/>
      <c r="U6422" s="69"/>
    </row>
    <row r="6423" spans="19:21" ht="15" customHeight="1" x14ac:dyDescent="0.2">
      <c r="S6423" s="69">
        <f>_xlfn.XLOOKUP(Results!A6423,Geometry!$B$6:$B$10000,Geometry!$C$6:$C$10000)</f>
        <v>0</v>
      </c>
      <c r="T6423" s="69"/>
      <c r="U6423" s="69"/>
    </row>
    <row r="6424" spans="19:21" ht="15" customHeight="1" x14ac:dyDescent="0.2">
      <c r="S6424" s="69">
        <f>_xlfn.XLOOKUP(Results!A6424,Geometry!$B$6:$B$10000,Geometry!$C$6:$C$10000)</f>
        <v>0</v>
      </c>
      <c r="T6424" s="69"/>
      <c r="U6424" s="69"/>
    </row>
    <row r="6425" spans="19:21" ht="15" customHeight="1" x14ac:dyDescent="0.2">
      <c r="S6425" s="69">
        <f>_xlfn.XLOOKUP(Results!A6425,Geometry!$B$6:$B$10000,Geometry!$C$6:$C$10000)</f>
        <v>0</v>
      </c>
      <c r="T6425" s="69"/>
      <c r="U6425" s="69"/>
    </row>
    <row r="6426" spans="19:21" ht="15" customHeight="1" x14ac:dyDescent="0.2">
      <c r="S6426" s="69">
        <f>_xlfn.XLOOKUP(Results!A6426,Geometry!$B$6:$B$10000,Geometry!$C$6:$C$10000)</f>
        <v>0</v>
      </c>
      <c r="T6426" s="69"/>
      <c r="U6426" s="69"/>
    </row>
    <row r="6427" spans="19:21" ht="15" customHeight="1" x14ac:dyDescent="0.2">
      <c r="S6427" s="69">
        <f>_xlfn.XLOOKUP(Results!A6427,Geometry!$B$6:$B$10000,Geometry!$C$6:$C$10000)</f>
        <v>0</v>
      </c>
      <c r="T6427" s="69"/>
      <c r="U6427" s="69"/>
    </row>
    <row r="6428" spans="19:21" ht="15" customHeight="1" x14ac:dyDescent="0.2">
      <c r="S6428" s="69">
        <f>_xlfn.XLOOKUP(Results!A6428,Geometry!$B$6:$B$10000,Geometry!$C$6:$C$10000)</f>
        <v>0</v>
      </c>
      <c r="T6428" s="69"/>
      <c r="U6428" s="69"/>
    </row>
    <row r="6429" spans="19:21" ht="15" customHeight="1" x14ac:dyDescent="0.2">
      <c r="S6429" s="69">
        <f>_xlfn.XLOOKUP(Results!A6429,Geometry!$B$6:$B$10000,Geometry!$C$6:$C$10000)</f>
        <v>0</v>
      </c>
      <c r="T6429" s="69"/>
      <c r="U6429" s="69"/>
    </row>
    <row r="6430" spans="19:21" ht="15" customHeight="1" x14ac:dyDescent="0.2">
      <c r="S6430" s="69">
        <f>_xlfn.XLOOKUP(Results!A6430,Geometry!$B$6:$B$10000,Geometry!$C$6:$C$10000)</f>
        <v>0</v>
      </c>
      <c r="T6430" s="69"/>
      <c r="U6430" s="69"/>
    </row>
    <row r="6431" spans="19:21" ht="15" customHeight="1" x14ac:dyDescent="0.2">
      <c r="S6431" s="69">
        <f>_xlfn.XLOOKUP(Results!A6431,Geometry!$B$6:$B$10000,Geometry!$C$6:$C$10000)</f>
        <v>0</v>
      </c>
      <c r="T6431" s="69"/>
      <c r="U6431" s="69"/>
    </row>
    <row r="6432" spans="19:21" ht="15" customHeight="1" x14ac:dyDescent="0.2">
      <c r="S6432" s="69">
        <f>_xlfn.XLOOKUP(Results!A6432,Geometry!$B$6:$B$10000,Geometry!$C$6:$C$10000)</f>
        <v>0</v>
      </c>
      <c r="T6432" s="69"/>
      <c r="U6432" s="69"/>
    </row>
    <row r="6433" spans="19:21" ht="15" customHeight="1" x14ac:dyDescent="0.2">
      <c r="S6433" s="69">
        <f>_xlfn.XLOOKUP(Results!A6433,Geometry!$B$6:$B$10000,Geometry!$C$6:$C$10000)</f>
        <v>0</v>
      </c>
      <c r="T6433" s="69"/>
      <c r="U6433" s="69"/>
    </row>
    <row r="6434" spans="19:21" ht="15" customHeight="1" x14ac:dyDescent="0.2">
      <c r="S6434" s="69">
        <f>_xlfn.XLOOKUP(Results!A6434,Geometry!$B$6:$B$10000,Geometry!$C$6:$C$10000)</f>
        <v>0</v>
      </c>
      <c r="T6434" s="69"/>
      <c r="U6434" s="69"/>
    </row>
    <row r="6435" spans="19:21" ht="15" customHeight="1" x14ac:dyDescent="0.2">
      <c r="S6435" s="69">
        <f>_xlfn.XLOOKUP(Results!A6435,Geometry!$B$6:$B$10000,Geometry!$C$6:$C$10000)</f>
        <v>0</v>
      </c>
      <c r="T6435" s="69"/>
      <c r="U6435" s="69"/>
    </row>
    <row r="6436" spans="19:21" ht="15" customHeight="1" x14ac:dyDescent="0.2">
      <c r="S6436" s="69">
        <f>_xlfn.XLOOKUP(Results!A6436,Geometry!$B$6:$B$10000,Geometry!$C$6:$C$10000)</f>
        <v>0</v>
      </c>
      <c r="T6436" s="69"/>
      <c r="U6436" s="69"/>
    </row>
    <row r="6437" spans="19:21" ht="15" customHeight="1" x14ac:dyDescent="0.2">
      <c r="S6437" s="69">
        <f>_xlfn.XLOOKUP(Results!A6437,Geometry!$B$6:$B$10000,Geometry!$C$6:$C$10000)</f>
        <v>0</v>
      </c>
      <c r="T6437" s="69"/>
      <c r="U6437" s="69"/>
    </row>
    <row r="6438" spans="19:21" ht="15" customHeight="1" x14ac:dyDescent="0.2">
      <c r="S6438" s="69">
        <f>_xlfn.XLOOKUP(Results!A6438,Geometry!$B$6:$B$10000,Geometry!$C$6:$C$10000)</f>
        <v>0</v>
      </c>
      <c r="T6438" s="69"/>
      <c r="U6438" s="69"/>
    </row>
    <row r="6439" spans="19:21" ht="15" customHeight="1" x14ac:dyDescent="0.2">
      <c r="S6439" s="69">
        <f>_xlfn.XLOOKUP(Results!A6439,Geometry!$B$6:$B$10000,Geometry!$C$6:$C$10000)</f>
        <v>0</v>
      </c>
      <c r="T6439" s="69"/>
      <c r="U6439" s="69"/>
    </row>
    <row r="6440" spans="19:21" ht="15" customHeight="1" x14ac:dyDescent="0.2">
      <c r="S6440" s="69">
        <f>_xlfn.XLOOKUP(Results!A6440,Geometry!$B$6:$B$10000,Geometry!$C$6:$C$10000)</f>
        <v>0</v>
      </c>
      <c r="T6440" s="69"/>
      <c r="U6440" s="69"/>
    </row>
    <row r="6441" spans="19:21" ht="15" customHeight="1" x14ac:dyDescent="0.2">
      <c r="S6441" s="69">
        <f>_xlfn.XLOOKUP(Results!A6441,Geometry!$B$6:$B$10000,Geometry!$C$6:$C$10000)</f>
        <v>0</v>
      </c>
      <c r="T6441" s="69"/>
      <c r="U6441" s="69"/>
    </row>
    <row r="6442" spans="19:21" ht="15" customHeight="1" x14ac:dyDescent="0.2">
      <c r="S6442" s="69">
        <f>_xlfn.XLOOKUP(Results!A6442,Geometry!$B$6:$B$10000,Geometry!$C$6:$C$10000)</f>
        <v>0</v>
      </c>
      <c r="T6442" s="69"/>
      <c r="U6442" s="69"/>
    </row>
    <row r="6443" spans="19:21" ht="15" customHeight="1" x14ac:dyDescent="0.2">
      <c r="S6443" s="69">
        <f>_xlfn.XLOOKUP(Results!A6443,Geometry!$B$6:$B$10000,Geometry!$C$6:$C$10000)</f>
        <v>0</v>
      </c>
      <c r="T6443" s="69"/>
      <c r="U6443" s="69"/>
    </row>
    <row r="6444" spans="19:21" ht="15" customHeight="1" x14ac:dyDescent="0.2">
      <c r="S6444" s="69">
        <f>_xlfn.XLOOKUP(Results!A6444,Geometry!$B$6:$B$10000,Geometry!$C$6:$C$10000)</f>
        <v>0</v>
      </c>
      <c r="T6444" s="69"/>
      <c r="U6444" s="69"/>
    </row>
    <row r="6445" spans="19:21" ht="15" customHeight="1" x14ac:dyDescent="0.2">
      <c r="S6445" s="69">
        <f>_xlfn.XLOOKUP(Results!A6445,Geometry!$B$6:$B$10000,Geometry!$C$6:$C$10000)</f>
        <v>0</v>
      </c>
      <c r="T6445" s="69"/>
      <c r="U6445" s="69"/>
    </row>
    <row r="6446" spans="19:21" ht="15" customHeight="1" x14ac:dyDescent="0.2">
      <c r="S6446" s="69">
        <f>_xlfn.XLOOKUP(Results!A6446,Geometry!$B$6:$B$10000,Geometry!$C$6:$C$10000)</f>
        <v>0</v>
      </c>
      <c r="T6446" s="69"/>
      <c r="U6446" s="69"/>
    </row>
    <row r="6447" spans="19:21" ht="15" customHeight="1" x14ac:dyDescent="0.2">
      <c r="S6447" s="69">
        <f>_xlfn.XLOOKUP(Results!A6447,Geometry!$B$6:$B$10000,Geometry!$C$6:$C$10000)</f>
        <v>0</v>
      </c>
      <c r="T6447" s="69"/>
      <c r="U6447" s="69"/>
    </row>
    <row r="6448" spans="19:21" ht="15" customHeight="1" x14ac:dyDescent="0.2">
      <c r="S6448" s="69">
        <f>_xlfn.XLOOKUP(Results!A6448,Geometry!$B$6:$B$10000,Geometry!$C$6:$C$10000)</f>
        <v>0</v>
      </c>
      <c r="T6448" s="69"/>
      <c r="U6448" s="69"/>
    </row>
    <row r="6449" spans="19:21" ht="15" customHeight="1" x14ac:dyDescent="0.2">
      <c r="S6449" s="69">
        <f>_xlfn.XLOOKUP(Results!A6449,Geometry!$B$6:$B$10000,Geometry!$C$6:$C$10000)</f>
        <v>0</v>
      </c>
      <c r="T6449" s="69"/>
      <c r="U6449" s="69"/>
    </row>
    <row r="6450" spans="19:21" ht="15" customHeight="1" x14ac:dyDescent="0.2">
      <c r="S6450" s="69">
        <f>_xlfn.XLOOKUP(Results!A6450,Geometry!$B$6:$B$10000,Geometry!$C$6:$C$10000)</f>
        <v>0</v>
      </c>
      <c r="T6450" s="69"/>
      <c r="U6450" s="69"/>
    </row>
    <row r="6451" spans="19:21" ht="15" customHeight="1" x14ac:dyDescent="0.2">
      <c r="S6451" s="69">
        <f>_xlfn.XLOOKUP(Results!A6451,Geometry!$B$6:$B$10000,Geometry!$C$6:$C$10000)</f>
        <v>0</v>
      </c>
      <c r="T6451" s="69"/>
      <c r="U6451" s="69"/>
    </row>
    <row r="6452" spans="19:21" ht="15" customHeight="1" x14ac:dyDescent="0.2">
      <c r="S6452" s="69">
        <f>_xlfn.XLOOKUP(Results!A6452,Geometry!$B$6:$B$10000,Geometry!$C$6:$C$10000)</f>
        <v>0</v>
      </c>
      <c r="T6452" s="69"/>
      <c r="U6452" s="69"/>
    </row>
    <row r="6453" spans="19:21" ht="15" customHeight="1" x14ac:dyDescent="0.2">
      <c r="S6453" s="69">
        <f>_xlfn.XLOOKUP(Results!A6453,Geometry!$B$6:$B$10000,Geometry!$C$6:$C$10000)</f>
        <v>0</v>
      </c>
      <c r="T6453" s="69"/>
      <c r="U6453" s="69"/>
    </row>
    <row r="6454" spans="19:21" ht="15" customHeight="1" x14ac:dyDescent="0.2">
      <c r="S6454" s="69">
        <f>_xlfn.XLOOKUP(Results!A6454,Geometry!$B$6:$B$10000,Geometry!$C$6:$C$10000)</f>
        <v>0</v>
      </c>
      <c r="T6454" s="69"/>
      <c r="U6454" s="69"/>
    </row>
    <row r="6455" spans="19:21" ht="15" customHeight="1" x14ac:dyDescent="0.2">
      <c r="S6455" s="69">
        <f>_xlfn.XLOOKUP(Results!A6455,Geometry!$B$6:$B$10000,Geometry!$C$6:$C$10000)</f>
        <v>0</v>
      </c>
      <c r="T6455" s="69"/>
      <c r="U6455" s="69"/>
    </row>
    <row r="6456" spans="19:21" ht="15" customHeight="1" x14ac:dyDescent="0.2">
      <c r="S6456" s="69">
        <f>_xlfn.XLOOKUP(Results!A6456,Geometry!$B$6:$B$10000,Geometry!$C$6:$C$10000)</f>
        <v>0</v>
      </c>
      <c r="T6456" s="69"/>
      <c r="U6456" s="69"/>
    </row>
    <row r="6457" spans="19:21" ht="15" customHeight="1" x14ac:dyDescent="0.2">
      <c r="S6457" s="69">
        <f>_xlfn.XLOOKUP(Results!A6457,Geometry!$B$6:$B$10000,Geometry!$C$6:$C$10000)</f>
        <v>0</v>
      </c>
      <c r="T6457" s="69"/>
      <c r="U6457" s="69"/>
    </row>
    <row r="6458" spans="19:21" ht="15" customHeight="1" x14ac:dyDescent="0.2">
      <c r="S6458" s="69">
        <f>_xlfn.XLOOKUP(Results!A6458,Geometry!$B$6:$B$10000,Geometry!$C$6:$C$10000)</f>
        <v>0</v>
      </c>
      <c r="T6458" s="69"/>
      <c r="U6458" s="69"/>
    </row>
    <row r="6459" spans="19:21" ht="15" customHeight="1" x14ac:dyDescent="0.2">
      <c r="S6459" s="69">
        <f>_xlfn.XLOOKUP(Results!A6459,Geometry!$B$6:$B$10000,Geometry!$C$6:$C$10000)</f>
        <v>0</v>
      </c>
      <c r="T6459" s="69"/>
      <c r="U6459" s="69"/>
    </row>
    <row r="6460" spans="19:21" ht="15" customHeight="1" x14ac:dyDescent="0.2">
      <c r="S6460" s="69">
        <f>_xlfn.XLOOKUP(Results!A6460,Geometry!$B$6:$B$10000,Geometry!$C$6:$C$10000)</f>
        <v>0</v>
      </c>
      <c r="T6460" s="69"/>
      <c r="U6460" s="69"/>
    </row>
    <row r="6461" spans="19:21" ht="15" customHeight="1" x14ac:dyDescent="0.2">
      <c r="S6461" s="69">
        <f>_xlfn.XLOOKUP(Results!A6461,Geometry!$B$6:$B$10000,Geometry!$C$6:$C$10000)</f>
        <v>0</v>
      </c>
      <c r="T6461" s="69"/>
      <c r="U6461" s="69"/>
    </row>
    <row r="6462" spans="19:21" ht="15" customHeight="1" x14ac:dyDescent="0.2">
      <c r="S6462" s="69">
        <f>_xlfn.XLOOKUP(Results!A6462,Geometry!$B$6:$B$10000,Geometry!$C$6:$C$10000)</f>
        <v>0</v>
      </c>
      <c r="T6462" s="69"/>
      <c r="U6462" s="69"/>
    </row>
    <row r="6463" spans="19:21" ht="15" customHeight="1" x14ac:dyDescent="0.2">
      <c r="S6463" s="69">
        <f>_xlfn.XLOOKUP(Results!A6463,Geometry!$B$6:$B$10000,Geometry!$C$6:$C$10000)</f>
        <v>0</v>
      </c>
      <c r="T6463" s="69"/>
      <c r="U6463" s="69"/>
    </row>
    <row r="6464" spans="19:21" ht="15" customHeight="1" x14ac:dyDescent="0.2">
      <c r="S6464" s="69">
        <f>_xlfn.XLOOKUP(Results!A6464,Geometry!$B$6:$B$10000,Geometry!$C$6:$C$10000)</f>
        <v>0</v>
      </c>
      <c r="T6464" s="69"/>
      <c r="U6464" s="69"/>
    </row>
    <row r="6465" spans="19:21" ht="15" customHeight="1" x14ac:dyDescent="0.2">
      <c r="S6465" s="69">
        <f>_xlfn.XLOOKUP(Results!A6465,Geometry!$B$6:$B$10000,Geometry!$C$6:$C$10000)</f>
        <v>0</v>
      </c>
      <c r="T6465" s="69"/>
      <c r="U6465" s="69"/>
    </row>
    <row r="6466" spans="19:21" ht="15" customHeight="1" x14ac:dyDescent="0.2">
      <c r="S6466" s="69">
        <f>_xlfn.XLOOKUP(Results!A6466,Geometry!$B$6:$B$10000,Geometry!$C$6:$C$10000)</f>
        <v>0</v>
      </c>
      <c r="T6466" s="69"/>
      <c r="U6466" s="69"/>
    </row>
    <row r="6467" spans="19:21" ht="15" customHeight="1" x14ac:dyDescent="0.2">
      <c r="S6467" s="69">
        <f>_xlfn.XLOOKUP(Results!A6467,Geometry!$B$6:$B$10000,Geometry!$C$6:$C$10000)</f>
        <v>0</v>
      </c>
      <c r="T6467" s="69"/>
      <c r="U6467" s="69"/>
    </row>
    <row r="6468" spans="19:21" ht="15" customHeight="1" x14ac:dyDescent="0.2">
      <c r="S6468" s="69">
        <f>_xlfn.XLOOKUP(Results!A6468,Geometry!$B$6:$B$10000,Geometry!$C$6:$C$10000)</f>
        <v>0</v>
      </c>
      <c r="T6468" s="69"/>
      <c r="U6468" s="69"/>
    </row>
    <row r="6469" spans="19:21" ht="15" customHeight="1" x14ac:dyDescent="0.2">
      <c r="S6469" s="69">
        <f>_xlfn.XLOOKUP(Results!A6469,Geometry!$B$6:$B$10000,Geometry!$C$6:$C$10000)</f>
        <v>0</v>
      </c>
      <c r="T6469" s="69"/>
      <c r="U6469" s="69"/>
    </row>
    <row r="6470" spans="19:21" ht="15" customHeight="1" x14ac:dyDescent="0.2">
      <c r="S6470" s="69">
        <f>_xlfn.XLOOKUP(Results!A6470,Geometry!$B$6:$B$10000,Geometry!$C$6:$C$10000)</f>
        <v>0</v>
      </c>
      <c r="T6470" s="69"/>
      <c r="U6470" s="69"/>
    </row>
    <row r="6471" spans="19:21" ht="15" customHeight="1" x14ac:dyDescent="0.2">
      <c r="S6471" s="69">
        <f>_xlfn.XLOOKUP(Results!A6471,Geometry!$B$6:$B$10000,Geometry!$C$6:$C$10000)</f>
        <v>0</v>
      </c>
      <c r="T6471" s="69"/>
      <c r="U6471" s="69"/>
    </row>
    <row r="6472" spans="19:21" ht="15" customHeight="1" x14ac:dyDescent="0.2">
      <c r="S6472" s="69">
        <f>_xlfn.XLOOKUP(Results!A6472,Geometry!$B$6:$B$10000,Geometry!$C$6:$C$10000)</f>
        <v>0</v>
      </c>
      <c r="T6472" s="69"/>
      <c r="U6472" s="69"/>
    </row>
    <row r="6473" spans="19:21" ht="15" customHeight="1" x14ac:dyDescent="0.2">
      <c r="S6473" s="69">
        <f>_xlfn.XLOOKUP(Results!A6473,Geometry!$B$6:$B$10000,Geometry!$C$6:$C$10000)</f>
        <v>0</v>
      </c>
      <c r="T6473" s="69"/>
      <c r="U6473" s="69"/>
    </row>
    <row r="6474" spans="19:21" ht="15" customHeight="1" x14ac:dyDescent="0.2">
      <c r="S6474" s="69">
        <f>_xlfn.XLOOKUP(Results!A6474,Geometry!$B$6:$B$10000,Geometry!$C$6:$C$10000)</f>
        <v>0</v>
      </c>
      <c r="T6474" s="69"/>
      <c r="U6474" s="69"/>
    </row>
    <row r="6475" spans="19:21" ht="15" customHeight="1" x14ac:dyDescent="0.2">
      <c r="S6475" s="69">
        <f>_xlfn.XLOOKUP(Results!A6475,Geometry!$B$6:$B$10000,Geometry!$C$6:$C$10000)</f>
        <v>0</v>
      </c>
      <c r="T6475" s="69"/>
      <c r="U6475" s="69"/>
    </row>
    <row r="6476" spans="19:21" ht="15" customHeight="1" x14ac:dyDescent="0.2">
      <c r="S6476" s="69">
        <f>_xlfn.XLOOKUP(Results!A6476,Geometry!$B$6:$B$10000,Geometry!$C$6:$C$10000)</f>
        <v>0</v>
      </c>
      <c r="T6476" s="69"/>
      <c r="U6476" s="69"/>
    </row>
    <row r="6477" spans="19:21" ht="15" customHeight="1" x14ac:dyDescent="0.2">
      <c r="S6477" s="69">
        <f>_xlfn.XLOOKUP(Results!A6477,Geometry!$B$6:$B$10000,Geometry!$C$6:$C$10000)</f>
        <v>0</v>
      </c>
      <c r="T6477" s="69"/>
      <c r="U6477" s="69"/>
    </row>
    <row r="6478" spans="19:21" ht="15" customHeight="1" x14ac:dyDescent="0.2">
      <c r="S6478" s="69">
        <f>_xlfn.XLOOKUP(Results!A6478,Geometry!$B$6:$B$10000,Geometry!$C$6:$C$10000)</f>
        <v>0</v>
      </c>
      <c r="T6478" s="69"/>
      <c r="U6478" s="69"/>
    </row>
    <row r="6479" spans="19:21" ht="15" customHeight="1" x14ac:dyDescent="0.2">
      <c r="S6479" s="69">
        <f>_xlfn.XLOOKUP(Results!A6479,Geometry!$B$6:$B$10000,Geometry!$C$6:$C$10000)</f>
        <v>0</v>
      </c>
      <c r="T6479" s="69"/>
      <c r="U6479" s="69"/>
    </row>
    <row r="6480" spans="19:21" ht="15" customHeight="1" x14ac:dyDescent="0.2">
      <c r="S6480" s="69">
        <f>_xlfn.XLOOKUP(Results!A6480,Geometry!$B$6:$B$10000,Geometry!$C$6:$C$10000)</f>
        <v>0</v>
      </c>
      <c r="T6480" s="69"/>
      <c r="U6480" s="69"/>
    </row>
    <row r="6481" spans="19:21" ht="15" customHeight="1" x14ac:dyDescent="0.2">
      <c r="S6481" s="69">
        <f>_xlfn.XLOOKUP(Results!A6481,Geometry!$B$6:$B$10000,Geometry!$C$6:$C$10000)</f>
        <v>0</v>
      </c>
      <c r="T6481" s="69"/>
      <c r="U6481" s="69"/>
    </row>
    <row r="6482" spans="19:21" ht="15" customHeight="1" x14ac:dyDescent="0.2">
      <c r="S6482" s="69">
        <f>_xlfn.XLOOKUP(Results!A6482,Geometry!$B$6:$B$10000,Geometry!$C$6:$C$10000)</f>
        <v>0</v>
      </c>
      <c r="T6482" s="69"/>
      <c r="U6482" s="69"/>
    </row>
    <row r="6483" spans="19:21" ht="15" customHeight="1" x14ac:dyDescent="0.2">
      <c r="S6483" s="69">
        <f>_xlfn.XLOOKUP(Results!A6483,Geometry!$B$6:$B$10000,Geometry!$C$6:$C$10000)</f>
        <v>0</v>
      </c>
      <c r="T6483" s="69"/>
      <c r="U6483" s="69"/>
    </row>
    <row r="6484" spans="19:21" ht="15" customHeight="1" x14ac:dyDescent="0.2">
      <c r="S6484" s="69">
        <f>_xlfn.XLOOKUP(Results!A6484,Geometry!$B$6:$B$10000,Geometry!$C$6:$C$10000)</f>
        <v>0</v>
      </c>
      <c r="T6484" s="69"/>
      <c r="U6484" s="69"/>
    </row>
    <row r="6485" spans="19:21" ht="15" customHeight="1" x14ac:dyDescent="0.2">
      <c r="S6485" s="69">
        <f>_xlfn.XLOOKUP(Results!A6485,Geometry!$B$6:$B$10000,Geometry!$C$6:$C$10000)</f>
        <v>0</v>
      </c>
      <c r="T6485" s="69"/>
      <c r="U6485" s="69"/>
    </row>
    <row r="6486" spans="19:21" ht="15" customHeight="1" x14ac:dyDescent="0.2">
      <c r="S6486" s="69">
        <f>_xlfn.XLOOKUP(Results!A6486,Geometry!$B$6:$B$10000,Geometry!$C$6:$C$10000)</f>
        <v>0</v>
      </c>
      <c r="T6486" s="69"/>
      <c r="U6486" s="69"/>
    </row>
    <row r="6487" spans="19:21" ht="15" customHeight="1" x14ac:dyDescent="0.2">
      <c r="S6487" s="69">
        <f>_xlfn.XLOOKUP(Results!A6487,Geometry!$B$6:$B$10000,Geometry!$C$6:$C$10000)</f>
        <v>0</v>
      </c>
      <c r="T6487" s="69"/>
      <c r="U6487" s="69"/>
    </row>
    <row r="6488" spans="19:21" ht="15" customHeight="1" x14ac:dyDescent="0.2">
      <c r="S6488" s="69">
        <f>_xlfn.XLOOKUP(Results!A6488,Geometry!$B$6:$B$10000,Geometry!$C$6:$C$10000)</f>
        <v>0</v>
      </c>
      <c r="T6488" s="69"/>
      <c r="U6488" s="69"/>
    </row>
    <row r="6489" spans="19:21" ht="15" customHeight="1" x14ac:dyDescent="0.2">
      <c r="S6489" s="69">
        <f>_xlfn.XLOOKUP(Results!A6489,Geometry!$B$6:$B$10000,Geometry!$C$6:$C$10000)</f>
        <v>0</v>
      </c>
      <c r="T6489" s="69"/>
      <c r="U6489" s="69"/>
    </row>
    <row r="6490" spans="19:21" ht="15" customHeight="1" x14ac:dyDescent="0.2">
      <c r="S6490" s="69">
        <f>_xlfn.XLOOKUP(Results!A6490,Geometry!$B$6:$B$10000,Geometry!$C$6:$C$10000)</f>
        <v>0</v>
      </c>
      <c r="T6490" s="69"/>
      <c r="U6490" s="69"/>
    </row>
    <row r="6491" spans="19:21" ht="15" customHeight="1" x14ac:dyDescent="0.2">
      <c r="S6491" s="69">
        <f>_xlfn.XLOOKUP(Results!A6491,Geometry!$B$6:$B$10000,Geometry!$C$6:$C$10000)</f>
        <v>0</v>
      </c>
      <c r="T6491" s="69"/>
      <c r="U6491" s="69"/>
    </row>
    <row r="6492" spans="19:21" ht="15" customHeight="1" x14ac:dyDescent="0.2">
      <c r="S6492" s="69">
        <f>_xlfn.XLOOKUP(Results!A6492,Geometry!$B$6:$B$10000,Geometry!$C$6:$C$10000)</f>
        <v>0</v>
      </c>
      <c r="T6492" s="69"/>
      <c r="U6492" s="69"/>
    </row>
    <row r="6493" spans="19:21" ht="15" customHeight="1" x14ac:dyDescent="0.2">
      <c r="S6493" s="69">
        <f>_xlfn.XLOOKUP(Results!A6493,Geometry!$B$6:$B$10000,Geometry!$C$6:$C$10000)</f>
        <v>0</v>
      </c>
      <c r="T6493" s="69"/>
      <c r="U6493" s="69"/>
    </row>
    <row r="6494" spans="19:21" ht="15" customHeight="1" x14ac:dyDescent="0.2">
      <c r="S6494" s="69">
        <f>_xlfn.XLOOKUP(Results!A6494,Geometry!$B$6:$B$10000,Geometry!$C$6:$C$10000)</f>
        <v>0</v>
      </c>
      <c r="T6494" s="69"/>
      <c r="U6494" s="69"/>
    </row>
    <row r="6495" spans="19:21" ht="15" customHeight="1" x14ac:dyDescent="0.2">
      <c r="S6495" s="69">
        <f>_xlfn.XLOOKUP(Results!A6495,Geometry!$B$6:$B$10000,Geometry!$C$6:$C$10000)</f>
        <v>0</v>
      </c>
      <c r="T6495" s="69"/>
      <c r="U6495" s="69"/>
    </row>
    <row r="6496" spans="19:21" ht="15" customHeight="1" x14ac:dyDescent="0.2">
      <c r="S6496" s="69">
        <f>_xlfn.XLOOKUP(Results!A6496,Geometry!$B$6:$B$10000,Geometry!$C$6:$C$10000)</f>
        <v>0</v>
      </c>
      <c r="T6496" s="69"/>
      <c r="U6496" s="69"/>
    </row>
    <row r="6497" spans="19:21" ht="15" customHeight="1" x14ac:dyDescent="0.2">
      <c r="S6497" s="69">
        <f>_xlfn.XLOOKUP(Results!A6497,Geometry!$B$6:$B$10000,Geometry!$C$6:$C$10000)</f>
        <v>0</v>
      </c>
      <c r="T6497" s="69"/>
      <c r="U6497" s="69"/>
    </row>
    <row r="6498" spans="19:21" ht="15" customHeight="1" x14ac:dyDescent="0.2">
      <c r="S6498" s="69">
        <f>_xlfn.XLOOKUP(Results!A6498,Geometry!$B$6:$B$10000,Geometry!$C$6:$C$10000)</f>
        <v>0</v>
      </c>
      <c r="T6498" s="69"/>
      <c r="U6498" s="69"/>
    </row>
    <row r="6499" spans="19:21" ht="15" customHeight="1" x14ac:dyDescent="0.2">
      <c r="S6499" s="69">
        <f>_xlfn.XLOOKUP(Results!A6499,Geometry!$B$6:$B$10000,Geometry!$C$6:$C$10000)</f>
        <v>0</v>
      </c>
      <c r="T6499" s="69"/>
      <c r="U6499" s="69"/>
    </row>
    <row r="6500" spans="19:21" ht="15" customHeight="1" x14ac:dyDescent="0.2">
      <c r="S6500" s="69">
        <f>_xlfn.XLOOKUP(Results!A6500,Geometry!$B$6:$B$10000,Geometry!$C$6:$C$10000)</f>
        <v>0</v>
      </c>
      <c r="T6500" s="69"/>
      <c r="U6500" s="69"/>
    </row>
    <row r="6501" spans="19:21" ht="15" customHeight="1" x14ac:dyDescent="0.2">
      <c r="S6501" s="69">
        <f>_xlfn.XLOOKUP(Results!A6501,Geometry!$B$6:$B$10000,Geometry!$C$6:$C$10000)</f>
        <v>0</v>
      </c>
      <c r="T6501" s="69"/>
      <c r="U6501" s="69"/>
    </row>
    <row r="6502" spans="19:21" ht="15" customHeight="1" x14ac:dyDescent="0.2">
      <c r="S6502" s="69">
        <f>_xlfn.XLOOKUP(Results!A6502,Geometry!$B$6:$B$10000,Geometry!$C$6:$C$10000)</f>
        <v>0</v>
      </c>
      <c r="T6502" s="69"/>
      <c r="U6502" s="69"/>
    </row>
    <row r="6503" spans="19:21" ht="15" customHeight="1" x14ac:dyDescent="0.2">
      <c r="S6503" s="69">
        <f>_xlfn.XLOOKUP(Results!A6503,Geometry!$B$6:$B$10000,Geometry!$C$6:$C$10000)</f>
        <v>0</v>
      </c>
      <c r="T6503" s="69"/>
      <c r="U6503" s="69"/>
    </row>
    <row r="6504" spans="19:21" ht="15" customHeight="1" x14ac:dyDescent="0.2">
      <c r="S6504" s="69">
        <f>_xlfn.XLOOKUP(Results!A6504,Geometry!$B$6:$B$10000,Geometry!$C$6:$C$10000)</f>
        <v>0</v>
      </c>
      <c r="T6504" s="69"/>
      <c r="U6504" s="69"/>
    </row>
    <row r="6505" spans="19:21" ht="15" customHeight="1" x14ac:dyDescent="0.2">
      <c r="S6505" s="69">
        <f>_xlfn.XLOOKUP(Results!A6505,Geometry!$B$6:$B$10000,Geometry!$C$6:$C$10000)</f>
        <v>0</v>
      </c>
      <c r="T6505" s="69"/>
      <c r="U6505" s="69"/>
    </row>
    <row r="6506" spans="19:21" ht="15" customHeight="1" x14ac:dyDescent="0.2">
      <c r="S6506" s="69">
        <f>_xlfn.XLOOKUP(Results!A6506,Geometry!$B$6:$B$10000,Geometry!$C$6:$C$10000)</f>
        <v>0</v>
      </c>
      <c r="T6506" s="69"/>
      <c r="U6506" s="69"/>
    </row>
    <row r="6507" spans="19:21" ht="15" customHeight="1" x14ac:dyDescent="0.2">
      <c r="S6507" s="69">
        <f>_xlfn.XLOOKUP(Results!A6507,Geometry!$B$6:$B$10000,Geometry!$C$6:$C$10000)</f>
        <v>0</v>
      </c>
      <c r="T6507" s="69"/>
      <c r="U6507" s="69"/>
    </row>
    <row r="6508" spans="19:21" ht="15" customHeight="1" x14ac:dyDescent="0.2">
      <c r="S6508" s="69">
        <f>_xlfn.XLOOKUP(Results!A6508,Geometry!$B$6:$B$10000,Geometry!$C$6:$C$10000)</f>
        <v>0</v>
      </c>
      <c r="T6508" s="69"/>
      <c r="U6508" s="69"/>
    </row>
    <row r="6509" spans="19:21" ht="15" customHeight="1" x14ac:dyDescent="0.2">
      <c r="S6509" s="69">
        <f>_xlfn.XLOOKUP(Results!A6509,Geometry!$B$6:$B$10000,Geometry!$C$6:$C$10000)</f>
        <v>0</v>
      </c>
      <c r="T6509" s="69"/>
      <c r="U6509" s="69"/>
    </row>
    <row r="6510" spans="19:21" ht="15" customHeight="1" x14ac:dyDescent="0.2">
      <c r="S6510" s="69">
        <f>_xlfn.XLOOKUP(Results!A6510,Geometry!$B$6:$B$10000,Geometry!$C$6:$C$10000)</f>
        <v>0</v>
      </c>
      <c r="T6510" s="69"/>
      <c r="U6510" s="69"/>
    </row>
    <row r="6511" spans="19:21" ht="15" customHeight="1" x14ac:dyDescent="0.2">
      <c r="S6511" s="69">
        <f>_xlfn.XLOOKUP(Results!A6511,Geometry!$B$6:$B$10000,Geometry!$C$6:$C$10000)</f>
        <v>0</v>
      </c>
      <c r="T6511" s="69"/>
      <c r="U6511" s="69"/>
    </row>
    <row r="6512" spans="19:21" ht="15" customHeight="1" x14ac:dyDescent="0.2">
      <c r="S6512" s="69">
        <f>_xlfn.XLOOKUP(Results!A6512,Geometry!$B$6:$B$10000,Geometry!$C$6:$C$10000)</f>
        <v>0</v>
      </c>
      <c r="T6512" s="69"/>
      <c r="U6512" s="69"/>
    </row>
    <row r="6513" spans="19:21" ht="15" customHeight="1" x14ac:dyDescent="0.2">
      <c r="S6513" s="69">
        <f>_xlfn.XLOOKUP(Results!A6513,Geometry!$B$6:$B$10000,Geometry!$C$6:$C$10000)</f>
        <v>0</v>
      </c>
      <c r="T6513" s="69"/>
      <c r="U6513" s="69"/>
    </row>
    <row r="6514" spans="19:21" ht="15" customHeight="1" x14ac:dyDescent="0.2">
      <c r="S6514" s="69">
        <f>_xlfn.XLOOKUP(Results!A6514,Geometry!$B$6:$B$10000,Geometry!$C$6:$C$10000)</f>
        <v>0</v>
      </c>
      <c r="T6514" s="69"/>
      <c r="U6514" s="69"/>
    </row>
    <row r="6515" spans="19:21" ht="15" customHeight="1" x14ac:dyDescent="0.2">
      <c r="S6515" s="69">
        <f>_xlfn.XLOOKUP(Results!A6515,Geometry!$B$6:$B$10000,Geometry!$C$6:$C$10000)</f>
        <v>0</v>
      </c>
      <c r="T6515" s="69"/>
      <c r="U6515" s="69"/>
    </row>
    <row r="6516" spans="19:21" ht="15" customHeight="1" x14ac:dyDescent="0.2">
      <c r="S6516" s="69">
        <f>_xlfn.XLOOKUP(Results!A6516,Geometry!$B$6:$B$10000,Geometry!$C$6:$C$10000)</f>
        <v>0</v>
      </c>
      <c r="T6516" s="69"/>
      <c r="U6516" s="69"/>
    </row>
    <row r="6517" spans="19:21" ht="15" customHeight="1" x14ac:dyDescent="0.2">
      <c r="S6517" s="69">
        <f>_xlfn.XLOOKUP(Results!A6517,Geometry!$B$6:$B$10000,Geometry!$C$6:$C$10000)</f>
        <v>0</v>
      </c>
      <c r="T6517" s="69"/>
      <c r="U6517" s="69"/>
    </row>
    <row r="6518" spans="19:21" ht="15" customHeight="1" x14ac:dyDescent="0.2">
      <c r="S6518" s="69">
        <f>_xlfn.XLOOKUP(Results!A6518,Geometry!$B$6:$B$10000,Geometry!$C$6:$C$10000)</f>
        <v>0</v>
      </c>
      <c r="T6518" s="69"/>
      <c r="U6518" s="69"/>
    </row>
    <row r="6519" spans="19:21" ht="15" customHeight="1" x14ac:dyDescent="0.2">
      <c r="S6519" s="69">
        <f>_xlfn.XLOOKUP(Results!A6519,Geometry!$B$6:$B$10000,Geometry!$C$6:$C$10000)</f>
        <v>0</v>
      </c>
      <c r="T6519" s="69"/>
      <c r="U6519" s="69"/>
    </row>
    <row r="6520" spans="19:21" ht="15" customHeight="1" x14ac:dyDescent="0.2">
      <c r="S6520" s="69">
        <f>_xlfn.XLOOKUP(Results!A6520,Geometry!$B$6:$B$10000,Geometry!$C$6:$C$10000)</f>
        <v>0</v>
      </c>
      <c r="T6520" s="69"/>
      <c r="U6520" s="69"/>
    </row>
    <row r="6521" spans="19:21" ht="15" customHeight="1" x14ac:dyDescent="0.2">
      <c r="S6521" s="69">
        <f>_xlfn.XLOOKUP(Results!A6521,Geometry!$B$6:$B$10000,Geometry!$C$6:$C$10000)</f>
        <v>0</v>
      </c>
      <c r="T6521" s="69"/>
      <c r="U6521" s="69"/>
    </row>
    <row r="6522" spans="19:21" ht="15" customHeight="1" x14ac:dyDescent="0.2">
      <c r="S6522" s="69">
        <f>_xlfn.XLOOKUP(Results!A6522,Geometry!$B$6:$B$10000,Geometry!$C$6:$C$10000)</f>
        <v>0</v>
      </c>
      <c r="T6522" s="69"/>
      <c r="U6522" s="69"/>
    </row>
    <row r="6523" spans="19:21" ht="15" customHeight="1" x14ac:dyDescent="0.2">
      <c r="S6523" s="69">
        <f>_xlfn.XLOOKUP(Results!A6523,Geometry!$B$6:$B$10000,Geometry!$C$6:$C$10000)</f>
        <v>0</v>
      </c>
      <c r="T6523" s="69"/>
      <c r="U6523" s="69"/>
    </row>
    <row r="6524" spans="19:21" ht="15" customHeight="1" x14ac:dyDescent="0.2">
      <c r="S6524" s="69">
        <f>_xlfn.XLOOKUP(Results!A6524,Geometry!$B$6:$B$10000,Geometry!$C$6:$C$10000)</f>
        <v>0</v>
      </c>
      <c r="T6524" s="69"/>
      <c r="U6524" s="69"/>
    </row>
    <row r="6525" spans="19:21" ht="15" customHeight="1" x14ac:dyDescent="0.2">
      <c r="S6525" s="69">
        <f>_xlfn.XLOOKUP(Results!A6525,Geometry!$B$6:$B$10000,Geometry!$C$6:$C$10000)</f>
        <v>0</v>
      </c>
      <c r="T6525" s="69"/>
      <c r="U6525" s="69"/>
    </row>
    <row r="6526" spans="19:21" ht="15" customHeight="1" x14ac:dyDescent="0.2">
      <c r="S6526" s="69">
        <f>_xlfn.XLOOKUP(Results!A6526,Geometry!$B$6:$B$10000,Geometry!$C$6:$C$10000)</f>
        <v>0</v>
      </c>
      <c r="T6526" s="69"/>
      <c r="U6526" s="69"/>
    </row>
    <row r="6527" spans="19:21" ht="15" customHeight="1" x14ac:dyDescent="0.2">
      <c r="S6527" s="69">
        <f>_xlfn.XLOOKUP(Results!A6527,Geometry!$B$6:$B$10000,Geometry!$C$6:$C$10000)</f>
        <v>0</v>
      </c>
      <c r="T6527" s="69"/>
      <c r="U6527" s="69"/>
    </row>
    <row r="6528" spans="19:21" ht="15" customHeight="1" x14ac:dyDescent="0.2">
      <c r="S6528" s="69">
        <f>_xlfn.XLOOKUP(Results!A6528,Geometry!$B$6:$B$10000,Geometry!$C$6:$C$10000)</f>
        <v>0</v>
      </c>
      <c r="T6528" s="69"/>
      <c r="U6528" s="69"/>
    </row>
    <row r="6529" spans="19:21" ht="15" customHeight="1" x14ac:dyDescent="0.2">
      <c r="S6529" s="69">
        <f>_xlfn.XLOOKUP(Results!A6529,Geometry!$B$6:$B$10000,Geometry!$C$6:$C$10000)</f>
        <v>0</v>
      </c>
      <c r="T6529" s="69"/>
      <c r="U6529" s="69"/>
    </row>
    <row r="6530" spans="19:21" ht="15" customHeight="1" x14ac:dyDescent="0.2">
      <c r="S6530" s="69">
        <f>_xlfn.XLOOKUP(Results!A6530,Geometry!$B$6:$B$10000,Geometry!$C$6:$C$10000)</f>
        <v>0</v>
      </c>
      <c r="T6530" s="69"/>
      <c r="U6530" s="69"/>
    </row>
    <row r="6531" spans="19:21" ht="15" customHeight="1" x14ac:dyDescent="0.2">
      <c r="S6531" s="69">
        <f>_xlfn.XLOOKUP(Results!A6531,Geometry!$B$6:$B$10000,Geometry!$C$6:$C$10000)</f>
        <v>0</v>
      </c>
      <c r="T6531" s="69"/>
      <c r="U6531" s="69"/>
    </row>
    <row r="6532" spans="19:21" ht="15" customHeight="1" x14ac:dyDescent="0.2">
      <c r="S6532" s="69">
        <f>_xlfn.XLOOKUP(Results!A6532,Geometry!$B$6:$B$10000,Geometry!$C$6:$C$10000)</f>
        <v>0</v>
      </c>
      <c r="T6532" s="69"/>
      <c r="U6532" s="69"/>
    </row>
    <row r="6533" spans="19:21" ht="15" customHeight="1" x14ac:dyDescent="0.2">
      <c r="S6533" s="69">
        <f>_xlfn.XLOOKUP(Results!A6533,Geometry!$B$6:$B$10000,Geometry!$C$6:$C$10000)</f>
        <v>0</v>
      </c>
      <c r="T6533" s="69"/>
      <c r="U6533" s="69"/>
    </row>
    <row r="6534" spans="19:21" ht="15" customHeight="1" x14ac:dyDescent="0.2">
      <c r="S6534" s="69">
        <f>_xlfn.XLOOKUP(Results!A6534,Geometry!$B$6:$B$10000,Geometry!$C$6:$C$10000)</f>
        <v>0</v>
      </c>
      <c r="T6534" s="69"/>
      <c r="U6534" s="69"/>
    </row>
    <row r="6535" spans="19:21" ht="15" customHeight="1" x14ac:dyDescent="0.2">
      <c r="S6535" s="69">
        <f>_xlfn.XLOOKUP(Results!A6535,Geometry!$B$6:$B$10000,Geometry!$C$6:$C$10000)</f>
        <v>0</v>
      </c>
      <c r="T6535" s="69"/>
      <c r="U6535" s="69"/>
    </row>
    <row r="6536" spans="19:21" ht="15" customHeight="1" x14ac:dyDescent="0.2">
      <c r="S6536" s="69">
        <f>_xlfn.XLOOKUP(Results!A6536,Geometry!$B$6:$B$10000,Geometry!$C$6:$C$10000)</f>
        <v>0</v>
      </c>
      <c r="T6536" s="69"/>
      <c r="U6536" s="69"/>
    </row>
    <row r="6537" spans="19:21" ht="15" customHeight="1" x14ac:dyDescent="0.2">
      <c r="S6537" s="69">
        <f>_xlfn.XLOOKUP(Results!A6537,Geometry!$B$6:$B$10000,Geometry!$C$6:$C$10000)</f>
        <v>0</v>
      </c>
      <c r="T6537" s="69"/>
      <c r="U6537" s="69"/>
    </row>
    <row r="6538" spans="19:21" ht="15" customHeight="1" x14ac:dyDescent="0.2">
      <c r="S6538" s="69">
        <f>_xlfn.XLOOKUP(Results!A6538,Geometry!$B$6:$B$10000,Geometry!$C$6:$C$10000)</f>
        <v>0</v>
      </c>
      <c r="T6538" s="69"/>
      <c r="U6538" s="69"/>
    </row>
    <row r="6539" spans="19:21" ht="15" customHeight="1" x14ac:dyDescent="0.2">
      <c r="S6539" s="69">
        <f>_xlfn.XLOOKUP(Results!A6539,Geometry!$B$6:$B$10000,Geometry!$C$6:$C$10000)</f>
        <v>0</v>
      </c>
      <c r="T6539" s="69"/>
      <c r="U6539" s="69"/>
    </row>
    <row r="6540" spans="19:21" ht="15" customHeight="1" x14ac:dyDescent="0.2">
      <c r="S6540" s="69">
        <f>_xlfn.XLOOKUP(Results!A6540,Geometry!$B$6:$B$10000,Geometry!$C$6:$C$10000)</f>
        <v>0</v>
      </c>
      <c r="T6540" s="69"/>
      <c r="U6540" s="69"/>
    </row>
    <row r="6541" spans="19:21" ht="15" customHeight="1" x14ac:dyDescent="0.2">
      <c r="S6541" s="69">
        <f>_xlfn.XLOOKUP(Results!A6541,Geometry!$B$6:$B$10000,Geometry!$C$6:$C$10000)</f>
        <v>0</v>
      </c>
      <c r="T6541" s="69"/>
      <c r="U6541" s="69"/>
    </row>
    <row r="6542" spans="19:21" ht="15" customHeight="1" x14ac:dyDescent="0.2">
      <c r="S6542" s="69">
        <f>_xlfn.XLOOKUP(Results!A6542,Geometry!$B$6:$B$10000,Geometry!$C$6:$C$10000)</f>
        <v>0</v>
      </c>
      <c r="T6542" s="69"/>
      <c r="U6542" s="69"/>
    </row>
    <row r="6543" spans="19:21" ht="15" customHeight="1" x14ac:dyDescent="0.2">
      <c r="S6543" s="69">
        <f>_xlfn.XLOOKUP(Results!A6543,Geometry!$B$6:$B$10000,Geometry!$C$6:$C$10000)</f>
        <v>0</v>
      </c>
      <c r="T6543" s="69"/>
      <c r="U6543" s="69"/>
    </row>
    <row r="6544" spans="19:21" ht="15" customHeight="1" x14ac:dyDescent="0.2">
      <c r="S6544" s="69">
        <f>_xlfn.XLOOKUP(Results!A6544,Geometry!$B$6:$B$10000,Geometry!$C$6:$C$10000)</f>
        <v>0</v>
      </c>
      <c r="T6544" s="69"/>
      <c r="U6544" s="69"/>
    </row>
    <row r="6545" spans="19:21" ht="15" customHeight="1" x14ac:dyDescent="0.2">
      <c r="S6545" s="69">
        <f>_xlfn.XLOOKUP(Results!A6545,Geometry!$B$6:$B$10000,Geometry!$C$6:$C$10000)</f>
        <v>0</v>
      </c>
      <c r="T6545" s="69"/>
      <c r="U6545" s="69"/>
    </row>
    <row r="6546" spans="19:21" ht="15" customHeight="1" x14ac:dyDescent="0.2">
      <c r="S6546" s="69">
        <f>_xlfn.XLOOKUP(Results!A6546,Geometry!$B$6:$B$10000,Geometry!$C$6:$C$10000)</f>
        <v>0</v>
      </c>
      <c r="T6546" s="69"/>
      <c r="U6546" s="69"/>
    </row>
    <row r="6547" spans="19:21" ht="15" customHeight="1" x14ac:dyDescent="0.2">
      <c r="S6547" s="69">
        <f>_xlfn.XLOOKUP(Results!A6547,Geometry!$B$6:$B$10000,Geometry!$C$6:$C$10000)</f>
        <v>0</v>
      </c>
      <c r="T6547" s="69"/>
      <c r="U6547" s="69"/>
    </row>
    <row r="6548" spans="19:21" ht="15" customHeight="1" x14ac:dyDescent="0.2">
      <c r="S6548" s="69">
        <f>_xlfn.XLOOKUP(Results!A6548,Geometry!$B$6:$B$10000,Geometry!$C$6:$C$10000)</f>
        <v>0</v>
      </c>
      <c r="T6548" s="69"/>
      <c r="U6548" s="69"/>
    </row>
    <row r="6549" spans="19:21" ht="15" customHeight="1" x14ac:dyDescent="0.2">
      <c r="S6549" s="69">
        <f>_xlfn.XLOOKUP(Results!A6549,Geometry!$B$6:$B$10000,Geometry!$C$6:$C$10000)</f>
        <v>0</v>
      </c>
      <c r="T6549" s="69"/>
      <c r="U6549" s="69"/>
    </row>
    <row r="6550" spans="19:21" ht="15" customHeight="1" x14ac:dyDescent="0.2">
      <c r="S6550" s="69">
        <f>_xlfn.XLOOKUP(Results!A6550,Geometry!$B$6:$B$10000,Geometry!$C$6:$C$10000)</f>
        <v>0</v>
      </c>
      <c r="T6550" s="69"/>
      <c r="U6550" s="69"/>
    </row>
    <row r="6551" spans="19:21" ht="15" customHeight="1" x14ac:dyDescent="0.2">
      <c r="S6551" s="69">
        <f>_xlfn.XLOOKUP(Results!A6551,Geometry!$B$6:$B$10000,Geometry!$C$6:$C$10000)</f>
        <v>0</v>
      </c>
      <c r="T6551" s="69"/>
      <c r="U6551" s="69"/>
    </row>
    <row r="6552" spans="19:21" ht="15" customHeight="1" x14ac:dyDescent="0.2">
      <c r="S6552" s="69">
        <f>_xlfn.XLOOKUP(Results!A6552,Geometry!$B$6:$B$10000,Geometry!$C$6:$C$10000)</f>
        <v>0</v>
      </c>
      <c r="T6552" s="69"/>
      <c r="U6552" s="69"/>
    </row>
    <row r="6553" spans="19:21" ht="15" customHeight="1" x14ac:dyDescent="0.2">
      <c r="S6553" s="69">
        <f>_xlfn.XLOOKUP(Results!A6553,Geometry!$B$6:$B$10000,Geometry!$C$6:$C$10000)</f>
        <v>0</v>
      </c>
      <c r="T6553" s="69"/>
      <c r="U6553" s="69"/>
    </row>
    <row r="6554" spans="19:21" ht="15" customHeight="1" x14ac:dyDescent="0.2">
      <c r="S6554" s="69">
        <f>_xlfn.XLOOKUP(Results!A6554,Geometry!$B$6:$B$10000,Geometry!$C$6:$C$10000)</f>
        <v>0</v>
      </c>
      <c r="T6554" s="69"/>
      <c r="U6554" s="69"/>
    </row>
    <row r="6555" spans="19:21" ht="15" customHeight="1" x14ac:dyDescent="0.2">
      <c r="S6555" s="69">
        <f>_xlfn.XLOOKUP(Results!A6555,Geometry!$B$6:$B$10000,Geometry!$C$6:$C$10000)</f>
        <v>0</v>
      </c>
      <c r="T6555" s="69"/>
      <c r="U6555" s="69"/>
    </row>
    <row r="6556" spans="19:21" ht="15" customHeight="1" x14ac:dyDescent="0.2">
      <c r="S6556" s="69">
        <f>_xlfn.XLOOKUP(Results!A6556,Geometry!$B$6:$B$10000,Geometry!$C$6:$C$10000)</f>
        <v>0</v>
      </c>
      <c r="T6556" s="69"/>
      <c r="U6556" s="69"/>
    </row>
    <row r="6557" spans="19:21" ht="15" customHeight="1" x14ac:dyDescent="0.2">
      <c r="S6557" s="69">
        <f>_xlfn.XLOOKUP(Results!A6557,Geometry!$B$6:$B$10000,Geometry!$C$6:$C$10000)</f>
        <v>0</v>
      </c>
      <c r="T6557" s="69"/>
      <c r="U6557" s="69"/>
    </row>
    <row r="6558" spans="19:21" ht="15" customHeight="1" x14ac:dyDescent="0.2">
      <c r="S6558" s="69">
        <f>_xlfn.XLOOKUP(Results!A6558,Geometry!$B$6:$B$10000,Geometry!$C$6:$C$10000)</f>
        <v>0</v>
      </c>
      <c r="T6558" s="69"/>
      <c r="U6558" s="69"/>
    </row>
    <row r="6559" spans="19:21" ht="15" customHeight="1" x14ac:dyDescent="0.2">
      <c r="S6559" s="69">
        <f>_xlfn.XLOOKUP(Results!A6559,Geometry!$B$6:$B$10000,Geometry!$C$6:$C$10000)</f>
        <v>0</v>
      </c>
      <c r="T6559" s="69"/>
      <c r="U6559" s="69"/>
    </row>
    <row r="6560" spans="19:21" ht="15" customHeight="1" x14ac:dyDescent="0.2">
      <c r="S6560" s="69">
        <f>_xlfn.XLOOKUP(Results!A6560,Geometry!$B$6:$B$10000,Geometry!$C$6:$C$10000)</f>
        <v>0</v>
      </c>
      <c r="T6560" s="69"/>
      <c r="U6560" s="69"/>
    </row>
    <row r="6561" spans="19:21" ht="15" customHeight="1" x14ac:dyDescent="0.2">
      <c r="S6561" s="69">
        <f>_xlfn.XLOOKUP(Results!A6561,Geometry!$B$6:$B$10000,Geometry!$C$6:$C$10000)</f>
        <v>0</v>
      </c>
      <c r="T6561" s="69"/>
      <c r="U6561" s="69"/>
    </row>
    <row r="6562" spans="19:21" ht="15" customHeight="1" x14ac:dyDescent="0.2">
      <c r="S6562" s="69">
        <f>_xlfn.XLOOKUP(Results!A6562,Geometry!$B$6:$B$10000,Geometry!$C$6:$C$10000)</f>
        <v>0</v>
      </c>
      <c r="T6562" s="69"/>
      <c r="U6562" s="69"/>
    </row>
    <row r="6563" spans="19:21" ht="15" customHeight="1" x14ac:dyDescent="0.2">
      <c r="S6563" s="69">
        <f>_xlfn.XLOOKUP(Results!A6563,Geometry!$B$6:$B$10000,Geometry!$C$6:$C$10000)</f>
        <v>0</v>
      </c>
      <c r="T6563" s="69"/>
      <c r="U6563" s="69"/>
    </row>
    <row r="6564" spans="19:21" ht="15" customHeight="1" x14ac:dyDescent="0.2">
      <c r="S6564" s="69">
        <f>_xlfn.XLOOKUP(Results!A6564,Geometry!$B$6:$B$10000,Geometry!$C$6:$C$10000)</f>
        <v>0</v>
      </c>
      <c r="T6564" s="69"/>
      <c r="U6564" s="69"/>
    </row>
    <row r="6565" spans="19:21" ht="15" customHeight="1" x14ac:dyDescent="0.2">
      <c r="S6565" s="69">
        <f>_xlfn.XLOOKUP(Results!A6565,Geometry!$B$6:$B$10000,Geometry!$C$6:$C$10000)</f>
        <v>0</v>
      </c>
      <c r="T6565" s="69"/>
      <c r="U6565" s="69"/>
    </row>
    <row r="6566" spans="19:21" ht="15" customHeight="1" x14ac:dyDescent="0.2">
      <c r="S6566" s="69">
        <f>_xlfn.XLOOKUP(Results!A6566,Geometry!$B$6:$B$10000,Geometry!$C$6:$C$10000)</f>
        <v>0</v>
      </c>
      <c r="T6566" s="69"/>
      <c r="U6566" s="69"/>
    </row>
    <row r="6567" spans="19:21" ht="15" customHeight="1" x14ac:dyDescent="0.2">
      <c r="S6567" s="69">
        <f>_xlfn.XLOOKUP(Results!A6567,Geometry!$B$6:$B$10000,Geometry!$C$6:$C$10000)</f>
        <v>0</v>
      </c>
      <c r="T6567" s="69"/>
      <c r="U6567" s="69"/>
    </row>
    <row r="6568" spans="19:21" ht="15" customHeight="1" x14ac:dyDescent="0.2">
      <c r="S6568" s="69">
        <f>_xlfn.XLOOKUP(Results!A6568,Geometry!$B$6:$B$10000,Geometry!$C$6:$C$10000)</f>
        <v>0</v>
      </c>
      <c r="T6568" s="69"/>
      <c r="U6568" s="69"/>
    </row>
    <row r="6569" spans="19:21" ht="15" customHeight="1" x14ac:dyDescent="0.2">
      <c r="S6569" s="69">
        <f>_xlfn.XLOOKUP(Results!A6569,Geometry!$B$6:$B$10000,Geometry!$C$6:$C$10000)</f>
        <v>0</v>
      </c>
      <c r="T6569" s="69"/>
      <c r="U6569" s="69"/>
    </row>
    <row r="6570" spans="19:21" ht="15" customHeight="1" x14ac:dyDescent="0.2">
      <c r="S6570" s="69">
        <f>_xlfn.XLOOKUP(Results!A6570,Geometry!$B$6:$B$10000,Geometry!$C$6:$C$10000)</f>
        <v>0</v>
      </c>
      <c r="T6570" s="69"/>
      <c r="U6570" s="69"/>
    </row>
    <row r="6571" spans="19:21" ht="15" customHeight="1" x14ac:dyDescent="0.2">
      <c r="S6571" s="69">
        <f>_xlfn.XLOOKUP(Results!A6571,Geometry!$B$6:$B$10000,Geometry!$C$6:$C$10000)</f>
        <v>0</v>
      </c>
      <c r="T6571" s="69"/>
      <c r="U6571" s="69"/>
    </row>
    <row r="6572" spans="19:21" ht="15" customHeight="1" x14ac:dyDescent="0.2">
      <c r="S6572" s="69">
        <f>_xlfn.XLOOKUP(Results!A6572,Geometry!$B$6:$B$10000,Geometry!$C$6:$C$10000)</f>
        <v>0</v>
      </c>
      <c r="T6572" s="69"/>
      <c r="U6572" s="69"/>
    </row>
    <row r="6573" spans="19:21" ht="15" customHeight="1" x14ac:dyDescent="0.2">
      <c r="S6573" s="69">
        <f>_xlfn.XLOOKUP(Results!A6573,Geometry!$B$6:$B$10000,Geometry!$C$6:$C$10000)</f>
        <v>0</v>
      </c>
      <c r="T6573" s="69"/>
      <c r="U6573" s="69"/>
    </row>
    <row r="6574" spans="19:21" ht="15" customHeight="1" x14ac:dyDescent="0.2">
      <c r="S6574" s="69">
        <f>_xlfn.XLOOKUP(Results!A6574,Geometry!$B$6:$B$10000,Geometry!$C$6:$C$10000)</f>
        <v>0</v>
      </c>
      <c r="T6574" s="69"/>
      <c r="U6574" s="69"/>
    </row>
    <row r="6575" spans="19:21" ht="15" customHeight="1" x14ac:dyDescent="0.2">
      <c r="S6575" s="69">
        <f>_xlfn.XLOOKUP(Results!A6575,Geometry!$B$6:$B$10000,Geometry!$C$6:$C$10000)</f>
        <v>0</v>
      </c>
      <c r="T6575" s="69"/>
      <c r="U6575" s="69"/>
    </row>
    <row r="6576" spans="19:21" ht="15" customHeight="1" x14ac:dyDescent="0.2">
      <c r="S6576" s="69">
        <f>_xlfn.XLOOKUP(Results!A6576,Geometry!$B$6:$B$10000,Geometry!$C$6:$C$10000)</f>
        <v>0</v>
      </c>
      <c r="T6576" s="69"/>
      <c r="U6576" s="69"/>
    </row>
    <row r="6577" spans="19:21" ht="15" customHeight="1" x14ac:dyDescent="0.2">
      <c r="S6577" s="69">
        <f>_xlfn.XLOOKUP(Results!A6577,Geometry!$B$6:$B$10000,Geometry!$C$6:$C$10000)</f>
        <v>0</v>
      </c>
      <c r="T6577" s="69"/>
      <c r="U6577" s="69"/>
    </row>
    <row r="6578" spans="19:21" ht="15" customHeight="1" x14ac:dyDescent="0.2">
      <c r="S6578" s="69">
        <f>_xlfn.XLOOKUP(Results!A6578,Geometry!$B$6:$B$10000,Geometry!$C$6:$C$10000)</f>
        <v>0</v>
      </c>
      <c r="T6578" s="69"/>
      <c r="U6578" s="69"/>
    </row>
    <row r="6579" spans="19:21" ht="15" customHeight="1" x14ac:dyDescent="0.2">
      <c r="S6579" s="69">
        <f>_xlfn.XLOOKUP(Results!A6579,Geometry!$B$6:$B$10000,Geometry!$C$6:$C$10000)</f>
        <v>0</v>
      </c>
      <c r="T6579" s="69"/>
      <c r="U6579" s="69"/>
    </row>
    <row r="6580" spans="19:21" ht="15" customHeight="1" x14ac:dyDescent="0.2">
      <c r="S6580" s="69">
        <f>_xlfn.XLOOKUP(Results!A6580,Geometry!$B$6:$B$10000,Geometry!$C$6:$C$10000)</f>
        <v>0</v>
      </c>
      <c r="T6580" s="69"/>
      <c r="U6580" s="69"/>
    </row>
    <row r="6581" spans="19:21" ht="15" customHeight="1" x14ac:dyDescent="0.2">
      <c r="S6581" s="69">
        <f>_xlfn.XLOOKUP(Results!A6581,Geometry!$B$6:$B$10000,Geometry!$C$6:$C$10000)</f>
        <v>0</v>
      </c>
      <c r="T6581" s="69"/>
      <c r="U6581" s="69"/>
    </row>
    <row r="6582" spans="19:21" ht="15" customHeight="1" x14ac:dyDescent="0.2">
      <c r="S6582" s="69">
        <f>_xlfn.XLOOKUP(Results!A6582,Geometry!$B$6:$B$10000,Geometry!$C$6:$C$10000)</f>
        <v>0</v>
      </c>
      <c r="T6582" s="69"/>
      <c r="U6582" s="69"/>
    </row>
    <row r="6583" spans="19:21" ht="15" customHeight="1" x14ac:dyDescent="0.2">
      <c r="S6583" s="69">
        <f>_xlfn.XLOOKUP(Results!A6583,Geometry!$B$6:$B$10000,Geometry!$C$6:$C$10000)</f>
        <v>0</v>
      </c>
      <c r="T6583" s="69"/>
      <c r="U6583" s="69"/>
    </row>
    <row r="6584" spans="19:21" ht="15" customHeight="1" x14ac:dyDescent="0.2">
      <c r="S6584" s="69">
        <f>_xlfn.XLOOKUP(Results!A6584,Geometry!$B$6:$B$10000,Geometry!$C$6:$C$10000)</f>
        <v>0</v>
      </c>
      <c r="T6584" s="69"/>
      <c r="U6584" s="69"/>
    </row>
    <row r="6585" spans="19:21" ht="15" customHeight="1" x14ac:dyDescent="0.2">
      <c r="S6585" s="69">
        <f>_xlfn.XLOOKUP(Results!A6585,Geometry!$B$6:$B$10000,Geometry!$C$6:$C$10000)</f>
        <v>0</v>
      </c>
      <c r="T6585" s="69"/>
      <c r="U6585" s="69"/>
    </row>
    <row r="6586" spans="19:21" ht="15" customHeight="1" x14ac:dyDescent="0.2">
      <c r="S6586" s="69">
        <f>_xlfn.XLOOKUP(Results!A6586,Geometry!$B$6:$B$10000,Geometry!$C$6:$C$10000)</f>
        <v>0</v>
      </c>
      <c r="T6586" s="69"/>
      <c r="U6586" s="69"/>
    </row>
    <row r="6587" spans="19:21" ht="15" customHeight="1" x14ac:dyDescent="0.2">
      <c r="S6587" s="69">
        <f>_xlfn.XLOOKUP(Results!A6587,Geometry!$B$6:$B$10000,Geometry!$C$6:$C$10000)</f>
        <v>0</v>
      </c>
      <c r="T6587" s="69"/>
      <c r="U6587" s="69"/>
    </row>
    <row r="6588" spans="19:21" ht="15" customHeight="1" x14ac:dyDescent="0.2">
      <c r="S6588" s="69">
        <f>_xlfn.XLOOKUP(Results!A6588,Geometry!$B$6:$B$10000,Geometry!$C$6:$C$10000)</f>
        <v>0</v>
      </c>
      <c r="T6588" s="69"/>
      <c r="U6588" s="69"/>
    </row>
    <row r="6589" spans="19:21" ht="15" customHeight="1" x14ac:dyDescent="0.2">
      <c r="S6589" s="69">
        <f>_xlfn.XLOOKUP(Results!A6589,Geometry!$B$6:$B$10000,Geometry!$C$6:$C$10000)</f>
        <v>0</v>
      </c>
      <c r="T6589" s="69"/>
      <c r="U6589" s="69"/>
    </row>
    <row r="6590" spans="19:21" ht="15" customHeight="1" x14ac:dyDescent="0.2">
      <c r="S6590" s="69">
        <f>_xlfn.XLOOKUP(Results!A6590,Geometry!$B$6:$B$10000,Geometry!$C$6:$C$10000)</f>
        <v>0</v>
      </c>
      <c r="T6590" s="69"/>
      <c r="U6590" s="69"/>
    </row>
    <row r="6591" spans="19:21" ht="15" customHeight="1" x14ac:dyDescent="0.2">
      <c r="S6591" s="69">
        <f>_xlfn.XLOOKUP(Results!A6591,Geometry!$B$6:$B$10000,Geometry!$C$6:$C$10000)</f>
        <v>0</v>
      </c>
      <c r="T6591" s="69"/>
      <c r="U6591" s="69"/>
    </row>
    <row r="6592" spans="19:21" ht="15" customHeight="1" x14ac:dyDescent="0.2">
      <c r="S6592" s="69">
        <f>_xlfn.XLOOKUP(Results!A6592,Geometry!$B$6:$B$10000,Geometry!$C$6:$C$10000)</f>
        <v>0</v>
      </c>
      <c r="T6592" s="69"/>
      <c r="U6592" s="69"/>
    </row>
    <row r="6593" spans="19:21" ht="15" customHeight="1" x14ac:dyDescent="0.2">
      <c r="S6593" s="69">
        <f>_xlfn.XLOOKUP(Results!A6593,Geometry!$B$6:$B$10000,Geometry!$C$6:$C$10000)</f>
        <v>0</v>
      </c>
      <c r="T6593" s="69"/>
      <c r="U6593" s="69"/>
    </row>
    <row r="6594" spans="19:21" ht="15" customHeight="1" x14ac:dyDescent="0.2">
      <c r="S6594" s="69">
        <f>_xlfn.XLOOKUP(Results!A6594,Geometry!$B$6:$B$10000,Geometry!$C$6:$C$10000)</f>
        <v>0</v>
      </c>
      <c r="T6594" s="69"/>
      <c r="U6594" s="69"/>
    </row>
    <row r="6595" spans="19:21" ht="15" customHeight="1" x14ac:dyDescent="0.2">
      <c r="S6595" s="69">
        <f>_xlfn.XLOOKUP(Results!A6595,Geometry!$B$6:$B$10000,Geometry!$C$6:$C$10000)</f>
        <v>0</v>
      </c>
      <c r="T6595" s="69"/>
      <c r="U6595" s="69"/>
    </row>
    <row r="6596" spans="19:21" ht="15" customHeight="1" x14ac:dyDescent="0.2">
      <c r="S6596" s="69">
        <f>_xlfn.XLOOKUP(Results!A6596,Geometry!$B$6:$B$10000,Geometry!$C$6:$C$10000)</f>
        <v>0</v>
      </c>
      <c r="T6596" s="69"/>
      <c r="U6596" s="69"/>
    </row>
    <row r="6597" spans="19:21" ht="15" customHeight="1" x14ac:dyDescent="0.2">
      <c r="S6597" s="69">
        <f>_xlfn.XLOOKUP(Results!A6597,Geometry!$B$6:$B$10000,Geometry!$C$6:$C$10000)</f>
        <v>0</v>
      </c>
      <c r="T6597" s="69"/>
      <c r="U6597" s="69"/>
    </row>
    <row r="6598" spans="19:21" ht="15" customHeight="1" x14ac:dyDescent="0.2">
      <c r="S6598" s="69">
        <f>_xlfn.XLOOKUP(Results!A6598,Geometry!$B$6:$B$10000,Geometry!$C$6:$C$10000)</f>
        <v>0</v>
      </c>
      <c r="T6598" s="69"/>
      <c r="U6598" s="69"/>
    </row>
    <row r="6599" spans="19:21" ht="15" customHeight="1" x14ac:dyDescent="0.2">
      <c r="S6599" s="69">
        <f>_xlfn.XLOOKUP(Results!A6599,Geometry!$B$6:$B$10000,Geometry!$C$6:$C$10000)</f>
        <v>0</v>
      </c>
      <c r="T6599" s="69"/>
      <c r="U6599" s="69"/>
    </row>
    <row r="6600" spans="19:21" ht="15" customHeight="1" x14ac:dyDescent="0.2">
      <c r="S6600" s="69">
        <f>_xlfn.XLOOKUP(Results!A6600,Geometry!$B$6:$B$10000,Geometry!$C$6:$C$10000)</f>
        <v>0</v>
      </c>
      <c r="T6600" s="69"/>
      <c r="U6600" s="69"/>
    </row>
    <row r="6601" spans="19:21" ht="15" customHeight="1" x14ac:dyDescent="0.2">
      <c r="S6601" s="69">
        <f>_xlfn.XLOOKUP(Results!A6601,Geometry!$B$6:$B$10000,Geometry!$C$6:$C$10000)</f>
        <v>0</v>
      </c>
      <c r="T6601" s="69"/>
      <c r="U6601" s="69"/>
    </row>
    <row r="6602" spans="19:21" ht="15" customHeight="1" x14ac:dyDescent="0.2">
      <c r="S6602" s="69">
        <f>_xlfn.XLOOKUP(Results!A6602,Geometry!$B$6:$B$10000,Geometry!$C$6:$C$10000)</f>
        <v>0</v>
      </c>
      <c r="T6602" s="69"/>
      <c r="U6602" s="69"/>
    </row>
    <row r="6603" spans="19:21" ht="15" customHeight="1" x14ac:dyDescent="0.2">
      <c r="S6603" s="69">
        <f>_xlfn.XLOOKUP(Results!A6603,Geometry!$B$6:$B$10000,Geometry!$C$6:$C$10000)</f>
        <v>0</v>
      </c>
      <c r="T6603" s="69"/>
      <c r="U6603" s="69"/>
    </row>
    <row r="6604" spans="19:21" ht="15" customHeight="1" x14ac:dyDescent="0.2">
      <c r="S6604" s="69">
        <f>_xlfn.XLOOKUP(Results!A6604,Geometry!$B$6:$B$10000,Geometry!$C$6:$C$10000)</f>
        <v>0</v>
      </c>
      <c r="T6604" s="69"/>
      <c r="U6604" s="69"/>
    </row>
    <row r="6605" spans="19:21" ht="15" customHeight="1" x14ac:dyDescent="0.2">
      <c r="S6605" s="69">
        <f>_xlfn.XLOOKUP(Results!A6605,Geometry!$B$6:$B$10000,Geometry!$C$6:$C$10000)</f>
        <v>0</v>
      </c>
      <c r="T6605" s="69"/>
      <c r="U6605" s="69"/>
    </row>
    <row r="6606" spans="19:21" ht="15" customHeight="1" x14ac:dyDescent="0.2">
      <c r="S6606" s="69">
        <f>_xlfn.XLOOKUP(Results!A6606,Geometry!$B$6:$B$10000,Geometry!$C$6:$C$10000)</f>
        <v>0</v>
      </c>
      <c r="T6606" s="69"/>
      <c r="U6606" s="69"/>
    </row>
    <row r="6607" spans="19:21" ht="15" customHeight="1" x14ac:dyDescent="0.2">
      <c r="S6607" s="69">
        <f>_xlfn.XLOOKUP(Results!A6607,Geometry!$B$6:$B$10000,Geometry!$C$6:$C$10000)</f>
        <v>0</v>
      </c>
      <c r="T6607" s="69"/>
      <c r="U6607" s="69"/>
    </row>
    <row r="6608" spans="19:21" ht="15" customHeight="1" x14ac:dyDescent="0.2">
      <c r="S6608" s="69">
        <f>_xlfn.XLOOKUP(Results!A6608,Geometry!$B$6:$B$10000,Geometry!$C$6:$C$10000)</f>
        <v>0</v>
      </c>
      <c r="T6608" s="69"/>
      <c r="U6608" s="69"/>
    </row>
    <row r="6609" spans="19:21" ht="15" customHeight="1" x14ac:dyDescent="0.2">
      <c r="S6609" s="69">
        <f>_xlfn.XLOOKUP(Results!A6609,Geometry!$B$6:$B$10000,Geometry!$C$6:$C$10000)</f>
        <v>0</v>
      </c>
      <c r="T6609" s="69"/>
      <c r="U6609" s="69"/>
    </row>
    <row r="6610" spans="19:21" ht="15" customHeight="1" x14ac:dyDescent="0.2">
      <c r="S6610" s="69">
        <f>_xlfn.XLOOKUP(Results!A6610,Geometry!$B$6:$B$10000,Geometry!$C$6:$C$10000)</f>
        <v>0</v>
      </c>
      <c r="T6610" s="69"/>
      <c r="U6610" s="69"/>
    </row>
    <row r="6611" spans="19:21" ht="15" customHeight="1" x14ac:dyDescent="0.2">
      <c r="S6611" s="69">
        <f>_xlfn.XLOOKUP(Results!A6611,Geometry!$B$6:$B$10000,Geometry!$C$6:$C$10000)</f>
        <v>0</v>
      </c>
      <c r="T6611" s="69"/>
      <c r="U6611" s="69"/>
    </row>
    <row r="6612" spans="19:21" ht="15" customHeight="1" x14ac:dyDescent="0.2">
      <c r="S6612" s="69">
        <f>_xlfn.XLOOKUP(Results!A6612,Geometry!$B$6:$B$10000,Geometry!$C$6:$C$10000)</f>
        <v>0</v>
      </c>
      <c r="T6612" s="69"/>
      <c r="U6612" s="69"/>
    </row>
    <row r="6613" spans="19:21" ht="15" customHeight="1" x14ac:dyDescent="0.2">
      <c r="S6613" s="69">
        <f>_xlfn.XLOOKUP(Results!A6613,Geometry!$B$6:$B$10000,Geometry!$C$6:$C$10000)</f>
        <v>0</v>
      </c>
      <c r="T6613" s="69"/>
      <c r="U6613" s="69"/>
    </row>
    <row r="6614" spans="19:21" ht="15" customHeight="1" x14ac:dyDescent="0.2">
      <c r="S6614" s="69">
        <f>_xlfn.XLOOKUP(Results!A6614,Geometry!$B$6:$B$10000,Geometry!$C$6:$C$10000)</f>
        <v>0</v>
      </c>
      <c r="T6614" s="69"/>
      <c r="U6614" s="69"/>
    </row>
    <row r="6615" spans="19:21" ht="15" customHeight="1" x14ac:dyDescent="0.2">
      <c r="S6615" s="69">
        <f>_xlfn.XLOOKUP(Results!A6615,Geometry!$B$6:$B$10000,Geometry!$C$6:$C$10000)</f>
        <v>0</v>
      </c>
      <c r="T6615" s="69"/>
      <c r="U6615" s="69"/>
    </row>
    <row r="6616" spans="19:21" ht="15" customHeight="1" x14ac:dyDescent="0.2">
      <c r="S6616" s="69">
        <f>_xlfn.XLOOKUP(Results!A6616,Geometry!$B$6:$B$10000,Geometry!$C$6:$C$10000)</f>
        <v>0</v>
      </c>
      <c r="T6616" s="69"/>
      <c r="U6616" s="69"/>
    </row>
    <row r="6617" spans="19:21" ht="15" customHeight="1" x14ac:dyDescent="0.2">
      <c r="S6617" s="69">
        <f>_xlfn.XLOOKUP(Results!A6617,Geometry!$B$6:$B$10000,Geometry!$C$6:$C$10000)</f>
        <v>0</v>
      </c>
      <c r="T6617" s="69"/>
      <c r="U6617" s="69"/>
    </row>
    <row r="6618" spans="19:21" ht="15" customHeight="1" x14ac:dyDescent="0.2">
      <c r="S6618" s="69">
        <f>_xlfn.XLOOKUP(Results!A6618,Geometry!$B$6:$B$10000,Geometry!$C$6:$C$10000)</f>
        <v>0</v>
      </c>
      <c r="T6618" s="69"/>
      <c r="U6618" s="69"/>
    </row>
    <row r="6619" spans="19:21" ht="15" customHeight="1" x14ac:dyDescent="0.2">
      <c r="S6619" s="69">
        <f>_xlfn.XLOOKUP(Results!A6619,Geometry!$B$6:$B$10000,Geometry!$C$6:$C$10000)</f>
        <v>0</v>
      </c>
      <c r="T6619" s="69"/>
      <c r="U6619" s="69"/>
    </row>
    <row r="6620" spans="19:21" ht="15" customHeight="1" x14ac:dyDescent="0.2">
      <c r="S6620" s="69">
        <f>_xlfn.XLOOKUP(Results!A6620,Geometry!$B$6:$B$10000,Geometry!$C$6:$C$10000)</f>
        <v>0</v>
      </c>
      <c r="T6620" s="69"/>
      <c r="U6620" s="69"/>
    </row>
    <row r="6621" spans="19:21" ht="15" customHeight="1" x14ac:dyDescent="0.2">
      <c r="S6621" s="69">
        <f>_xlfn.XLOOKUP(Results!A6621,Geometry!$B$6:$B$10000,Geometry!$C$6:$C$10000)</f>
        <v>0</v>
      </c>
      <c r="T6621" s="69"/>
      <c r="U6621" s="69"/>
    </row>
    <row r="6622" spans="19:21" ht="15" customHeight="1" x14ac:dyDescent="0.2">
      <c r="S6622" s="69">
        <f>_xlfn.XLOOKUP(Results!A6622,Geometry!$B$6:$B$10000,Geometry!$C$6:$C$10000)</f>
        <v>0</v>
      </c>
      <c r="T6622" s="69"/>
      <c r="U6622" s="69"/>
    </row>
    <row r="6623" spans="19:21" ht="15" customHeight="1" x14ac:dyDescent="0.2">
      <c r="S6623" s="69">
        <f>_xlfn.XLOOKUP(Results!A6623,Geometry!$B$6:$B$10000,Geometry!$C$6:$C$10000)</f>
        <v>0</v>
      </c>
      <c r="T6623" s="69"/>
      <c r="U6623" s="69"/>
    </row>
    <row r="6624" spans="19:21" ht="15" customHeight="1" x14ac:dyDescent="0.2">
      <c r="S6624" s="69">
        <f>_xlfn.XLOOKUP(Results!A6624,Geometry!$B$6:$B$10000,Geometry!$C$6:$C$10000)</f>
        <v>0</v>
      </c>
      <c r="T6624" s="69"/>
      <c r="U6624" s="69"/>
    </row>
    <row r="6625" spans="19:21" ht="15" customHeight="1" x14ac:dyDescent="0.2">
      <c r="S6625" s="69">
        <f>_xlfn.XLOOKUP(Results!A6625,Geometry!$B$6:$B$10000,Geometry!$C$6:$C$10000)</f>
        <v>0</v>
      </c>
      <c r="T6625" s="69"/>
      <c r="U6625" s="69"/>
    </row>
    <row r="6626" spans="19:21" ht="15" customHeight="1" x14ac:dyDescent="0.2">
      <c r="S6626" s="69">
        <f>_xlfn.XLOOKUP(Results!A6626,Geometry!$B$6:$B$10000,Geometry!$C$6:$C$10000)</f>
        <v>0</v>
      </c>
      <c r="T6626" s="69"/>
      <c r="U6626" s="69"/>
    </row>
    <row r="6627" spans="19:21" ht="15" customHeight="1" x14ac:dyDescent="0.2">
      <c r="S6627" s="69">
        <f>_xlfn.XLOOKUP(Results!A6627,Geometry!$B$6:$B$10000,Geometry!$C$6:$C$10000)</f>
        <v>0</v>
      </c>
      <c r="T6627" s="69"/>
      <c r="U6627" s="69"/>
    </row>
    <row r="6628" spans="19:21" ht="15" customHeight="1" x14ac:dyDescent="0.2">
      <c r="S6628" s="69">
        <f>_xlfn.XLOOKUP(Results!A6628,Geometry!$B$6:$B$10000,Geometry!$C$6:$C$10000)</f>
        <v>0</v>
      </c>
      <c r="T6628" s="69"/>
      <c r="U6628" s="69"/>
    </row>
    <row r="6629" spans="19:21" ht="15" customHeight="1" x14ac:dyDescent="0.2">
      <c r="S6629" s="69">
        <f>_xlfn.XLOOKUP(Results!A6629,Geometry!$B$6:$B$10000,Geometry!$C$6:$C$10000)</f>
        <v>0</v>
      </c>
      <c r="T6629" s="69"/>
      <c r="U6629" s="69"/>
    </row>
    <row r="6630" spans="19:21" ht="15" customHeight="1" x14ac:dyDescent="0.2">
      <c r="S6630" s="69">
        <f>_xlfn.XLOOKUP(Results!A6630,Geometry!$B$6:$B$10000,Geometry!$C$6:$C$10000)</f>
        <v>0</v>
      </c>
      <c r="T6630" s="69"/>
      <c r="U6630" s="69"/>
    </row>
    <row r="6631" spans="19:21" ht="15" customHeight="1" x14ac:dyDescent="0.2">
      <c r="S6631" s="69">
        <f>_xlfn.XLOOKUP(Results!A6631,Geometry!$B$6:$B$10000,Geometry!$C$6:$C$10000)</f>
        <v>0</v>
      </c>
      <c r="T6631" s="69"/>
      <c r="U6631" s="69"/>
    </row>
    <row r="6632" spans="19:21" ht="15" customHeight="1" x14ac:dyDescent="0.2">
      <c r="S6632" s="69">
        <f>_xlfn.XLOOKUP(Results!A6632,Geometry!$B$6:$B$10000,Geometry!$C$6:$C$10000)</f>
        <v>0</v>
      </c>
      <c r="T6632" s="69"/>
      <c r="U6632" s="69"/>
    </row>
    <row r="6633" spans="19:21" ht="15" customHeight="1" x14ac:dyDescent="0.2">
      <c r="S6633" s="69">
        <f>_xlfn.XLOOKUP(Results!A6633,Geometry!$B$6:$B$10000,Geometry!$C$6:$C$10000)</f>
        <v>0</v>
      </c>
      <c r="T6633" s="69"/>
      <c r="U6633" s="69"/>
    </row>
    <row r="6634" spans="19:21" ht="15" customHeight="1" x14ac:dyDescent="0.2">
      <c r="S6634" s="69">
        <f>_xlfn.XLOOKUP(Results!A6634,Geometry!$B$6:$B$10000,Geometry!$C$6:$C$10000)</f>
        <v>0</v>
      </c>
      <c r="T6634" s="69"/>
      <c r="U6634" s="69"/>
    </row>
    <row r="6635" spans="19:21" ht="15" customHeight="1" x14ac:dyDescent="0.2">
      <c r="S6635" s="69">
        <f>_xlfn.XLOOKUP(Results!A6635,Geometry!$B$6:$B$10000,Geometry!$C$6:$C$10000)</f>
        <v>0</v>
      </c>
      <c r="T6635" s="69"/>
      <c r="U6635" s="69"/>
    </row>
    <row r="6636" spans="19:21" ht="15" customHeight="1" x14ac:dyDescent="0.2">
      <c r="S6636" s="69">
        <f>_xlfn.XLOOKUP(Results!A6636,Geometry!$B$6:$B$10000,Geometry!$C$6:$C$10000)</f>
        <v>0</v>
      </c>
      <c r="T6636" s="69"/>
      <c r="U6636" s="69"/>
    </row>
    <row r="6637" spans="19:21" ht="15" customHeight="1" x14ac:dyDescent="0.2">
      <c r="S6637" s="69">
        <f>_xlfn.XLOOKUP(Results!A6637,Geometry!$B$6:$B$10000,Geometry!$C$6:$C$10000)</f>
        <v>0</v>
      </c>
      <c r="T6637" s="69"/>
      <c r="U6637" s="69"/>
    </row>
    <row r="6638" spans="19:21" ht="15" customHeight="1" x14ac:dyDescent="0.2">
      <c r="S6638" s="69">
        <f>_xlfn.XLOOKUP(Results!A6638,Geometry!$B$6:$B$10000,Geometry!$C$6:$C$10000)</f>
        <v>0</v>
      </c>
      <c r="T6638" s="69"/>
      <c r="U6638" s="69"/>
    </row>
    <row r="6639" spans="19:21" ht="15" customHeight="1" x14ac:dyDescent="0.2">
      <c r="S6639" s="69">
        <f>_xlfn.XLOOKUP(Results!A6639,Geometry!$B$6:$B$10000,Geometry!$C$6:$C$10000)</f>
        <v>0</v>
      </c>
      <c r="T6639" s="69"/>
      <c r="U6639" s="69"/>
    </row>
    <row r="6640" spans="19:21" ht="15" customHeight="1" x14ac:dyDescent="0.2">
      <c r="S6640" s="69">
        <f>_xlfn.XLOOKUP(Results!A6640,Geometry!$B$6:$B$10000,Geometry!$C$6:$C$10000)</f>
        <v>0</v>
      </c>
      <c r="T6640" s="69"/>
      <c r="U6640" s="69"/>
    </row>
    <row r="6641" spans="19:21" ht="15" customHeight="1" x14ac:dyDescent="0.2">
      <c r="S6641" s="69">
        <f>_xlfn.XLOOKUP(Results!A6641,Geometry!$B$6:$B$10000,Geometry!$C$6:$C$10000)</f>
        <v>0</v>
      </c>
      <c r="T6641" s="69"/>
      <c r="U6641" s="69"/>
    </row>
    <row r="6642" spans="19:21" ht="15" customHeight="1" x14ac:dyDescent="0.2">
      <c r="S6642" s="69">
        <f>_xlfn.XLOOKUP(Results!A6642,Geometry!$B$6:$B$10000,Geometry!$C$6:$C$10000)</f>
        <v>0</v>
      </c>
      <c r="T6642" s="69"/>
      <c r="U6642" s="69"/>
    </row>
    <row r="6643" spans="19:21" ht="15" customHeight="1" x14ac:dyDescent="0.2">
      <c r="S6643" s="69">
        <f>_xlfn.XLOOKUP(Results!A6643,Geometry!$B$6:$B$10000,Geometry!$C$6:$C$10000)</f>
        <v>0</v>
      </c>
      <c r="T6643" s="69"/>
      <c r="U6643" s="69"/>
    </row>
    <row r="6644" spans="19:21" ht="15" customHeight="1" x14ac:dyDescent="0.2">
      <c r="S6644" s="69">
        <f>_xlfn.XLOOKUP(Results!A6644,Geometry!$B$6:$B$10000,Geometry!$C$6:$C$10000)</f>
        <v>0</v>
      </c>
      <c r="T6644" s="69"/>
      <c r="U6644" s="69"/>
    </row>
    <row r="6645" spans="19:21" ht="15" customHeight="1" x14ac:dyDescent="0.2">
      <c r="S6645" s="69">
        <f>_xlfn.XLOOKUP(Results!A6645,Geometry!$B$6:$B$10000,Geometry!$C$6:$C$10000)</f>
        <v>0</v>
      </c>
      <c r="T6645" s="69"/>
      <c r="U6645" s="69"/>
    </row>
    <row r="6646" spans="19:21" ht="15" customHeight="1" x14ac:dyDescent="0.2">
      <c r="S6646" s="69">
        <f>_xlfn.XLOOKUP(Results!A6646,Geometry!$B$6:$B$10000,Geometry!$C$6:$C$10000)</f>
        <v>0</v>
      </c>
      <c r="T6646" s="69"/>
      <c r="U6646" s="69"/>
    </row>
    <row r="6647" spans="19:21" ht="15" customHeight="1" x14ac:dyDescent="0.2">
      <c r="S6647" s="69">
        <f>_xlfn.XLOOKUP(Results!A6647,Geometry!$B$6:$B$10000,Geometry!$C$6:$C$10000)</f>
        <v>0</v>
      </c>
      <c r="T6647" s="69"/>
      <c r="U6647" s="69"/>
    </row>
    <row r="6648" spans="19:21" ht="15" customHeight="1" x14ac:dyDescent="0.2">
      <c r="S6648" s="69">
        <f>_xlfn.XLOOKUP(Results!A6648,Geometry!$B$6:$B$10000,Geometry!$C$6:$C$10000)</f>
        <v>0</v>
      </c>
      <c r="T6648" s="69"/>
      <c r="U6648" s="69"/>
    </row>
    <row r="6649" spans="19:21" ht="15" customHeight="1" x14ac:dyDescent="0.2">
      <c r="S6649" s="69">
        <f>_xlfn.XLOOKUP(Results!A6649,Geometry!$B$6:$B$10000,Geometry!$C$6:$C$10000)</f>
        <v>0</v>
      </c>
      <c r="T6649" s="69"/>
      <c r="U6649" s="69"/>
    </row>
    <row r="6650" spans="19:21" ht="15" customHeight="1" x14ac:dyDescent="0.2">
      <c r="S6650" s="69">
        <f>_xlfn.XLOOKUP(Results!A6650,Geometry!$B$6:$B$10000,Geometry!$C$6:$C$10000)</f>
        <v>0</v>
      </c>
      <c r="T6650" s="69"/>
      <c r="U6650" s="69"/>
    </row>
    <row r="6651" spans="19:21" ht="15" customHeight="1" x14ac:dyDescent="0.2">
      <c r="S6651" s="69">
        <f>_xlfn.XLOOKUP(Results!A6651,Geometry!$B$6:$B$10000,Geometry!$C$6:$C$10000)</f>
        <v>0</v>
      </c>
      <c r="T6651" s="69"/>
      <c r="U6651" s="69"/>
    </row>
    <row r="6652" spans="19:21" ht="15" customHeight="1" x14ac:dyDescent="0.2">
      <c r="S6652" s="69">
        <f>_xlfn.XLOOKUP(Results!A6652,Geometry!$B$6:$B$10000,Geometry!$C$6:$C$10000)</f>
        <v>0</v>
      </c>
      <c r="T6652" s="69"/>
      <c r="U6652" s="69"/>
    </row>
    <row r="6653" spans="19:21" ht="15" customHeight="1" x14ac:dyDescent="0.2">
      <c r="S6653" s="69">
        <f>_xlfn.XLOOKUP(Results!A6653,Geometry!$B$6:$B$10000,Geometry!$C$6:$C$10000)</f>
        <v>0</v>
      </c>
      <c r="T6653" s="69"/>
      <c r="U6653" s="69"/>
    </row>
    <row r="6654" spans="19:21" ht="15" customHeight="1" x14ac:dyDescent="0.2">
      <c r="S6654" s="69">
        <f>_xlfn.XLOOKUP(Results!A6654,Geometry!$B$6:$B$10000,Geometry!$C$6:$C$10000)</f>
        <v>0</v>
      </c>
      <c r="T6654" s="69"/>
      <c r="U6654" s="69"/>
    </row>
    <row r="6655" spans="19:21" ht="15" customHeight="1" x14ac:dyDescent="0.2">
      <c r="S6655" s="69">
        <f>_xlfn.XLOOKUP(Results!A6655,Geometry!$B$6:$B$10000,Geometry!$C$6:$C$10000)</f>
        <v>0</v>
      </c>
      <c r="T6655" s="69"/>
      <c r="U6655" s="69"/>
    </row>
    <row r="6656" spans="19:21" ht="15" customHeight="1" x14ac:dyDescent="0.2">
      <c r="S6656" s="69">
        <f>_xlfn.XLOOKUP(Results!A6656,Geometry!$B$6:$B$10000,Geometry!$C$6:$C$10000)</f>
        <v>0</v>
      </c>
      <c r="T6656" s="69"/>
      <c r="U6656" s="69"/>
    </row>
    <row r="6657" spans="19:21" ht="15" customHeight="1" x14ac:dyDescent="0.2">
      <c r="S6657" s="69">
        <f>_xlfn.XLOOKUP(Results!A6657,Geometry!$B$6:$B$10000,Geometry!$C$6:$C$10000)</f>
        <v>0</v>
      </c>
      <c r="T6657" s="69"/>
      <c r="U6657" s="69"/>
    </row>
    <row r="6658" spans="19:21" ht="15" customHeight="1" x14ac:dyDescent="0.2">
      <c r="S6658" s="69">
        <f>_xlfn.XLOOKUP(Results!A6658,Geometry!$B$6:$B$10000,Geometry!$C$6:$C$10000)</f>
        <v>0</v>
      </c>
      <c r="T6658" s="69"/>
      <c r="U6658" s="69"/>
    </row>
    <row r="6659" spans="19:21" ht="15" customHeight="1" x14ac:dyDescent="0.2">
      <c r="S6659" s="69">
        <f>_xlfn.XLOOKUP(Results!A6659,Geometry!$B$6:$B$10000,Geometry!$C$6:$C$10000)</f>
        <v>0</v>
      </c>
      <c r="T6659" s="69"/>
      <c r="U6659" s="69"/>
    </row>
    <row r="6660" spans="19:21" ht="15" customHeight="1" x14ac:dyDescent="0.2">
      <c r="S6660" s="69">
        <f>_xlfn.XLOOKUP(Results!A6660,Geometry!$B$6:$B$10000,Geometry!$C$6:$C$10000)</f>
        <v>0</v>
      </c>
      <c r="T6660" s="69"/>
      <c r="U6660" s="69"/>
    </row>
    <row r="6661" spans="19:21" ht="15" customHeight="1" x14ac:dyDescent="0.2">
      <c r="S6661" s="69">
        <f>_xlfn.XLOOKUP(Results!A6661,Geometry!$B$6:$B$10000,Geometry!$C$6:$C$10000)</f>
        <v>0</v>
      </c>
      <c r="T6661" s="69"/>
      <c r="U6661" s="69"/>
    </row>
    <row r="6662" spans="19:21" ht="15" customHeight="1" x14ac:dyDescent="0.2">
      <c r="S6662" s="69">
        <f>_xlfn.XLOOKUP(Results!A6662,Geometry!$B$6:$B$10000,Geometry!$C$6:$C$10000)</f>
        <v>0</v>
      </c>
      <c r="T6662" s="69"/>
      <c r="U6662" s="69"/>
    </row>
    <row r="6663" spans="19:21" ht="15" customHeight="1" x14ac:dyDescent="0.2">
      <c r="S6663" s="69">
        <f>_xlfn.XLOOKUP(Results!A6663,Geometry!$B$6:$B$10000,Geometry!$C$6:$C$10000)</f>
        <v>0</v>
      </c>
      <c r="T6663" s="69"/>
      <c r="U6663" s="69"/>
    </row>
    <row r="6664" spans="19:21" ht="15" customHeight="1" x14ac:dyDescent="0.2">
      <c r="S6664" s="69">
        <f>_xlfn.XLOOKUP(Results!A6664,Geometry!$B$6:$B$10000,Geometry!$C$6:$C$10000)</f>
        <v>0</v>
      </c>
      <c r="T6664" s="69"/>
      <c r="U6664" s="69"/>
    </row>
    <row r="6665" spans="19:21" ht="15" customHeight="1" x14ac:dyDescent="0.2">
      <c r="S6665" s="69">
        <f>_xlfn.XLOOKUP(Results!A6665,Geometry!$B$6:$B$10000,Geometry!$C$6:$C$10000)</f>
        <v>0</v>
      </c>
      <c r="T6665" s="69"/>
      <c r="U6665" s="69"/>
    </row>
    <row r="6666" spans="19:21" ht="15" customHeight="1" x14ac:dyDescent="0.2">
      <c r="S6666" s="69">
        <f>_xlfn.XLOOKUP(Results!A6666,Geometry!$B$6:$B$10000,Geometry!$C$6:$C$10000)</f>
        <v>0</v>
      </c>
      <c r="T6666" s="69"/>
      <c r="U6666" s="69"/>
    </row>
    <row r="6667" spans="19:21" ht="15" customHeight="1" x14ac:dyDescent="0.2">
      <c r="S6667" s="69">
        <f>_xlfn.XLOOKUP(Results!A6667,Geometry!$B$6:$B$10000,Geometry!$C$6:$C$10000)</f>
        <v>0</v>
      </c>
      <c r="T6667" s="69"/>
      <c r="U6667" s="69"/>
    </row>
    <row r="6668" spans="19:21" ht="15" customHeight="1" x14ac:dyDescent="0.2">
      <c r="S6668" s="69">
        <f>_xlfn.XLOOKUP(Results!A6668,Geometry!$B$6:$B$10000,Geometry!$C$6:$C$10000)</f>
        <v>0</v>
      </c>
      <c r="T6668" s="69"/>
      <c r="U6668" s="69"/>
    </row>
    <row r="6669" spans="19:21" ht="15" customHeight="1" x14ac:dyDescent="0.2">
      <c r="S6669" s="69">
        <f>_xlfn.XLOOKUP(Results!A6669,Geometry!$B$6:$B$10000,Geometry!$C$6:$C$10000)</f>
        <v>0</v>
      </c>
      <c r="T6669" s="69"/>
      <c r="U6669" s="69"/>
    </row>
    <row r="6670" spans="19:21" ht="15" customHeight="1" x14ac:dyDescent="0.2">
      <c r="S6670" s="69">
        <f>_xlfn.XLOOKUP(Results!A6670,Geometry!$B$6:$B$10000,Geometry!$C$6:$C$10000)</f>
        <v>0</v>
      </c>
      <c r="T6670" s="69"/>
      <c r="U6670" s="69"/>
    </row>
    <row r="6671" spans="19:21" ht="15" customHeight="1" x14ac:dyDescent="0.2">
      <c r="S6671" s="69">
        <f>_xlfn.XLOOKUP(Results!A6671,Geometry!$B$6:$B$10000,Geometry!$C$6:$C$10000)</f>
        <v>0</v>
      </c>
      <c r="T6671" s="69"/>
      <c r="U6671" s="69"/>
    </row>
    <row r="6672" spans="19:21" ht="15" customHeight="1" x14ac:dyDescent="0.2">
      <c r="S6672" s="69">
        <f>_xlfn.XLOOKUP(Results!A6672,Geometry!$B$6:$B$10000,Geometry!$C$6:$C$10000)</f>
        <v>0</v>
      </c>
      <c r="T6672" s="69"/>
      <c r="U6672" s="69"/>
    </row>
    <row r="6673" spans="19:21" ht="15" customHeight="1" x14ac:dyDescent="0.2">
      <c r="S6673" s="69">
        <f>_xlfn.XLOOKUP(Results!A6673,Geometry!$B$6:$B$10000,Geometry!$C$6:$C$10000)</f>
        <v>0</v>
      </c>
      <c r="T6673" s="69"/>
      <c r="U6673" s="69"/>
    </row>
    <row r="6674" spans="19:21" ht="15" customHeight="1" x14ac:dyDescent="0.2">
      <c r="S6674" s="69">
        <f>_xlfn.XLOOKUP(Results!A6674,Geometry!$B$6:$B$10000,Geometry!$C$6:$C$10000)</f>
        <v>0</v>
      </c>
      <c r="T6674" s="69"/>
      <c r="U6674" s="69"/>
    </row>
    <row r="6675" spans="19:21" ht="15" customHeight="1" x14ac:dyDescent="0.2">
      <c r="S6675" s="69">
        <f>_xlfn.XLOOKUP(Results!A6675,Geometry!$B$6:$B$10000,Geometry!$C$6:$C$10000)</f>
        <v>0</v>
      </c>
      <c r="T6675" s="69"/>
      <c r="U6675" s="69"/>
    </row>
    <row r="6676" spans="19:21" ht="15" customHeight="1" x14ac:dyDescent="0.2">
      <c r="S6676" s="69">
        <f>_xlfn.XLOOKUP(Results!A6676,Geometry!$B$6:$B$10000,Geometry!$C$6:$C$10000)</f>
        <v>0</v>
      </c>
      <c r="T6676" s="69"/>
      <c r="U6676" s="69"/>
    </row>
    <row r="6677" spans="19:21" ht="15" customHeight="1" x14ac:dyDescent="0.2">
      <c r="S6677" s="69">
        <f>_xlfn.XLOOKUP(Results!A6677,Geometry!$B$6:$B$10000,Geometry!$C$6:$C$10000)</f>
        <v>0</v>
      </c>
      <c r="T6677" s="69"/>
      <c r="U6677" s="69"/>
    </row>
    <row r="6678" spans="19:21" ht="15" customHeight="1" x14ac:dyDescent="0.2">
      <c r="S6678" s="69">
        <f>_xlfn.XLOOKUP(Results!A6678,Geometry!$B$6:$B$10000,Geometry!$C$6:$C$10000)</f>
        <v>0</v>
      </c>
      <c r="T6678" s="69"/>
      <c r="U6678" s="69"/>
    </row>
    <row r="6679" spans="19:21" ht="15" customHeight="1" x14ac:dyDescent="0.2">
      <c r="S6679" s="69">
        <f>_xlfn.XLOOKUP(Results!A6679,Geometry!$B$6:$B$10000,Geometry!$C$6:$C$10000)</f>
        <v>0</v>
      </c>
      <c r="T6679" s="69"/>
      <c r="U6679" s="69"/>
    </row>
    <row r="6680" spans="19:21" ht="15" customHeight="1" x14ac:dyDescent="0.2">
      <c r="S6680" s="69">
        <f>_xlfn.XLOOKUP(Results!A6680,Geometry!$B$6:$B$10000,Geometry!$C$6:$C$10000)</f>
        <v>0</v>
      </c>
      <c r="T6680" s="69"/>
      <c r="U6680" s="69"/>
    </row>
    <row r="6681" spans="19:21" ht="15" customHeight="1" x14ac:dyDescent="0.2">
      <c r="S6681" s="69">
        <f>_xlfn.XLOOKUP(Results!A6681,Geometry!$B$6:$B$10000,Geometry!$C$6:$C$10000)</f>
        <v>0</v>
      </c>
      <c r="T6681" s="69"/>
      <c r="U6681" s="69"/>
    </row>
    <row r="6682" spans="19:21" ht="15" customHeight="1" x14ac:dyDescent="0.2">
      <c r="S6682" s="69">
        <f>_xlfn.XLOOKUP(Results!A6682,Geometry!$B$6:$B$10000,Geometry!$C$6:$C$10000)</f>
        <v>0</v>
      </c>
      <c r="T6682" s="69"/>
      <c r="U6682" s="69"/>
    </row>
    <row r="6683" spans="19:21" ht="15" customHeight="1" x14ac:dyDescent="0.2">
      <c r="S6683" s="69">
        <f>_xlfn.XLOOKUP(Results!A6683,Geometry!$B$6:$B$10000,Geometry!$C$6:$C$10000)</f>
        <v>0</v>
      </c>
      <c r="T6683" s="69"/>
      <c r="U6683" s="69"/>
    </row>
    <row r="6684" spans="19:21" ht="15" customHeight="1" x14ac:dyDescent="0.2">
      <c r="S6684" s="69">
        <f>_xlfn.XLOOKUP(Results!A6684,Geometry!$B$6:$B$10000,Geometry!$C$6:$C$10000)</f>
        <v>0</v>
      </c>
      <c r="T6684" s="69"/>
      <c r="U6684" s="69"/>
    </row>
    <row r="6685" spans="19:21" ht="15" customHeight="1" x14ac:dyDescent="0.2">
      <c r="S6685" s="69">
        <f>_xlfn.XLOOKUP(Results!A6685,Geometry!$B$6:$B$10000,Geometry!$C$6:$C$10000)</f>
        <v>0</v>
      </c>
      <c r="T6685" s="69"/>
      <c r="U6685" s="69"/>
    </row>
    <row r="6686" spans="19:21" ht="15" customHeight="1" x14ac:dyDescent="0.2">
      <c r="S6686" s="69">
        <f>_xlfn.XLOOKUP(Results!A6686,Geometry!$B$6:$B$10000,Geometry!$C$6:$C$10000)</f>
        <v>0</v>
      </c>
      <c r="T6686" s="69"/>
      <c r="U6686" s="69"/>
    </row>
    <row r="6687" spans="19:21" ht="15" customHeight="1" x14ac:dyDescent="0.2">
      <c r="S6687" s="69">
        <f>_xlfn.XLOOKUP(Results!A6687,Geometry!$B$6:$B$10000,Geometry!$C$6:$C$10000)</f>
        <v>0</v>
      </c>
      <c r="T6687" s="69"/>
      <c r="U6687" s="69"/>
    </row>
    <row r="6688" spans="19:21" ht="15" customHeight="1" x14ac:dyDescent="0.2">
      <c r="S6688" s="69">
        <f>_xlfn.XLOOKUP(Results!A6688,Geometry!$B$6:$B$10000,Geometry!$C$6:$C$10000)</f>
        <v>0</v>
      </c>
      <c r="T6688" s="69"/>
      <c r="U6688" s="69"/>
    </row>
    <row r="6689" spans="19:21" ht="15" customHeight="1" x14ac:dyDescent="0.2">
      <c r="S6689" s="69">
        <f>_xlfn.XLOOKUP(Results!A6689,Geometry!$B$6:$B$10000,Geometry!$C$6:$C$10000)</f>
        <v>0</v>
      </c>
      <c r="T6689" s="69"/>
      <c r="U6689" s="69"/>
    </row>
    <row r="6690" spans="19:21" ht="15" customHeight="1" x14ac:dyDescent="0.2">
      <c r="S6690" s="69">
        <f>_xlfn.XLOOKUP(Results!A6690,Geometry!$B$6:$B$10000,Geometry!$C$6:$C$10000)</f>
        <v>0</v>
      </c>
      <c r="T6690" s="69"/>
      <c r="U6690" s="69"/>
    </row>
    <row r="6691" spans="19:21" ht="15" customHeight="1" x14ac:dyDescent="0.2">
      <c r="S6691" s="69">
        <f>_xlfn.XLOOKUP(Results!A6691,Geometry!$B$6:$B$10000,Geometry!$C$6:$C$10000)</f>
        <v>0</v>
      </c>
      <c r="T6691" s="69"/>
      <c r="U6691" s="69"/>
    </row>
    <row r="6692" spans="19:21" ht="15" customHeight="1" x14ac:dyDescent="0.2">
      <c r="S6692" s="69">
        <f>_xlfn.XLOOKUP(Results!A6692,Geometry!$B$6:$B$10000,Geometry!$C$6:$C$10000)</f>
        <v>0</v>
      </c>
      <c r="T6692" s="69"/>
      <c r="U6692" s="69"/>
    </row>
    <row r="6693" spans="19:21" ht="15" customHeight="1" x14ac:dyDescent="0.2">
      <c r="S6693" s="69">
        <f>_xlfn.XLOOKUP(Results!A6693,Geometry!$B$6:$B$10000,Geometry!$C$6:$C$10000)</f>
        <v>0</v>
      </c>
      <c r="T6693" s="69"/>
      <c r="U6693" s="69"/>
    </row>
    <row r="6694" spans="19:21" ht="15" customHeight="1" x14ac:dyDescent="0.2">
      <c r="S6694" s="69">
        <f>_xlfn.XLOOKUP(Results!A6694,Geometry!$B$6:$B$10000,Geometry!$C$6:$C$10000)</f>
        <v>0</v>
      </c>
      <c r="T6694" s="69"/>
      <c r="U6694" s="69"/>
    </row>
    <row r="6695" spans="19:21" ht="15" customHeight="1" x14ac:dyDescent="0.2">
      <c r="S6695" s="69">
        <f>_xlfn.XLOOKUP(Results!A6695,Geometry!$B$6:$B$10000,Geometry!$C$6:$C$10000)</f>
        <v>0</v>
      </c>
      <c r="T6695" s="69"/>
      <c r="U6695" s="69"/>
    </row>
    <row r="6696" spans="19:21" ht="15" customHeight="1" x14ac:dyDescent="0.2">
      <c r="S6696" s="69">
        <f>_xlfn.XLOOKUP(Results!A6696,Geometry!$B$6:$B$10000,Geometry!$C$6:$C$10000)</f>
        <v>0</v>
      </c>
      <c r="T6696" s="69"/>
      <c r="U6696" s="69"/>
    </row>
    <row r="6697" spans="19:21" ht="15" customHeight="1" x14ac:dyDescent="0.2">
      <c r="S6697" s="69">
        <f>_xlfn.XLOOKUP(Results!A6697,Geometry!$B$6:$B$10000,Geometry!$C$6:$C$10000)</f>
        <v>0</v>
      </c>
      <c r="T6697" s="69"/>
      <c r="U6697" s="69"/>
    </row>
    <row r="6698" spans="19:21" ht="15" customHeight="1" x14ac:dyDescent="0.2">
      <c r="S6698" s="69">
        <f>_xlfn.XLOOKUP(Results!A6698,Geometry!$B$6:$B$10000,Geometry!$C$6:$C$10000)</f>
        <v>0</v>
      </c>
      <c r="T6698" s="69"/>
      <c r="U6698" s="69"/>
    </row>
    <row r="6699" spans="19:21" ht="15" customHeight="1" x14ac:dyDescent="0.2">
      <c r="S6699" s="69">
        <f>_xlfn.XLOOKUP(Results!A6699,Geometry!$B$6:$B$10000,Geometry!$C$6:$C$10000)</f>
        <v>0</v>
      </c>
      <c r="T6699" s="69"/>
      <c r="U6699" s="69"/>
    </row>
    <row r="6700" spans="19:21" ht="15" customHeight="1" x14ac:dyDescent="0.2">
      <c r="S6700" s="69">
        <f>_xlfn.XLOOKUP(Results!A6700,Geometry!$B$6:$B$10000,Geometry!$C$6:$C$10000)</f>
        <v>0</v>
      </c>
      <c r="T6700" s="69"/>
      <c r="U6700" s="69"/>
    </row>
    <row r="6701" spans="19:21" ht="15" customHeight="1" x14ac:dyDescent="0.2">
      <c r="S6701" s="69">
        <f>_xlfn.XLOOKUP(Results!A6701,Geometry!$B$6:$B$10000,Geometry!$C$6:$C$10000)</f>
        <v>0</v>
      </c>
      <c r="T6701" s="69"/>
      <c r="U6701" s="69"/>
    </row>
    <row r="6702" spans="19:21" ht="15" customHeight="1" x14ac:dyDescent="0.2">
      <c r="S6702" s="69">
        <f>_xlfn.XLOOKUP(Results!A6702,Geometry!$B$6:$B$10000,Geometry!$C$6:$C$10000)</f>
        <v>0</v>
      </c>
      <c r="T6702" s="69"/>
      <c r="U6702" s="69"/>
    </row>
    <row r="6703" spans="19:21" ht="15" customHeight="1" x14ac:dyDescent="0.2">
      <c r="S6703" s="69">
        <f>_xlfn.XLOOKUP(Results!A6703,Geometry!$B$6:$B$10000,Geometry!$C$6:$C$10000)</f>
        <v>0</v>
      </c>
      <c r="T6703" s="69"/>
      <c r="U6703" s="69"/>
    </row>
    <row r="6704" spans="19:21" ht="15" customHeight="1" x14ac:dyDescent="0.2">
      <c r="S6704" s="69">
        <f>_xlfn.XLOOKUP(Results!A6704,Geometry!$B$6:$B$10000,Geometry!$C$6:$C$10000)</f>
        <v>0</v>
      </c>
      <c r="T6704" s="69"/>
      <c r="U6704" s="69"/>
    </row>
    <row r="6705" spans="19:21" ht="15" customHeight="1" x14ac:dyDescent="0.2">
      <c r="S6705" s="69">
        <f>_xlfn.XLOOKUP(Results!A6705,Geometry!$B$6:$B$10000,Geometry!$C$6:$C$10000)</f>
        <v>0</v>
      </c>
      <c r="T6705" s="69"/>
      <c r="U6705" s="69"/>
    </row>
    <row r="6706" spans="19:21" ht="15" customHeight="1" x14ac:dyDescent="0.2">
      <c r="S6706" s="69">
        <f>_xlfn.XLOOKUP(Results!A6706,Geometry!$B$6:$B$10000,Geometry!$C$6:$C$10000)</f>
        <v>0</v>
      </c>
      <c r="T6706" s="69"/>
      <c r="U6706" s="69"/>
    </row>
    <row r="6707" spans="19:21" ht="15" customHeight="1" x14ac:dyDescent="0.2">
      <c r="S6707" s="69">
        <f>_xlfn.XLOOKUP(Results!A6707,Geometry!$B$6:$B$10000,Geometry!$C$6:$C$10000)</f>
        <v>0</v>
      </c>
      <c r="T6707" s="69"/>
      <c r="U6707" s="69"/>
    </row>
    <row r="6708" spans="19:21" ht="15" customHeight="1" x14ac:dyDescent="0.2">
      <c r="S6708" s="69">
        <f>_xlfn.XLOOKUP(Results!A6708,Geometry!$B$6:$B$10000,Geometry!$C$6:$C$10000)</f>
        <v>0</v>
      </c>
      <c r="T6708" s="69"/>
      <c r="U6708" s="69"/>
    </row>
    <row r="6709" spans="19:21" ht="15" customHeight="1" x14ac:dyDescent="0.2">
      <c r="S6709" s="69">
        <f>_xlfn.XLOOKUP(Results!A6709,Geometry!$B$6:$B$10000,Geometry!$C$6:$C$10000)</f>
        <v>0</v>
      </c>
      <c r="T6709" s="69"/>
      <c r="U6709" s="69"/>
    </row>
    <row r="6710" spans="19:21" ht="15" customHeight="1" x14ac:dyDescent="0.2">
      <c r="S6710" s="69">
        <f>_xlfn.XLOOKUP(Results!A6710,Geometry!$B$6:$B$10000,Geometry!$C$6:$C$10000)</f>
        <v>0</v>
      </c>
      <c r="T6710" s="69"/>
      <c r="U6710" s="69"/>
    </row>
    <row r="6711" spans="19:21" ht="15" customHeight="1" x14ac:dyDescent="0.2">
      <c r="S6711" s="69">
        <f>_xlfn.XLOOKUP(Results!A6711,Geometry!$B$6:$B$10000,Geometry!$C$6:$C$10000)</f>
        <v>0</v>
      </c>
      <c r="T6711" s="69"/>
      <c r="U6711" s="69"/>
    </row>
    <row r="6712" spans="19:21" ht="15" customHeight="1" x14ac:dyDescent="0.2">
      <c r="S6712" s="69">
        <f>_xlfn.XLOOKUP(Results!A6712,Geometry!$B$6:$B$10000,Geometry!$C$6:$C$10000)</f>
        <v>0</v>
      </c>
      <c r="T6712" s="69"/>
      <c r="U6712" s="69"/>
    </row>
    <row r="6713" spans="19:21" ht="15" customHeight="1" x14ac:dyDescent="0.2">
      <c r="S6713" s="69">
        <f>_xlfn.XLOOKUP(Results!A6713,Geometry!$B$6:$B$10000,Geometry!$C$6:$C$10000)</f>
        <v>0</v>
      </c>
      <c r="T6713" s="69"/>
      <c r="U6713" s="69"/>
    </row>
    <row r="6714" spans="19:21" ht="15" customHeight="1" x14ac:dyDescent="0.2">
      <c r="S6714" s="69">
        <f>_xlfn.XLOOKUP(Results!A6714,Geometry!$B$6:$B$10000,Geometry!$C$6:$C$10000)</f>
        <v>0</v>
      </c>
      <c r="T6714" s="69"/>
      <c r="U6714" s="69"/>
    </row>
    <row r="6715" spans="19:21" ht="15" customHeight="1" x14ac:dyDescent="0.2">
      <c r="S6715" s="69">
        <f>_xlfn.XLOOKUP(Results!A6715,Geometry!$B$6:$B$10000,Geometry!$C$6:$C$10000)</f>
        <v>0</v>
      </c>
      <c r="T6715" s="69"/>
      <c r="U6715" s="69"/>
    </row>
    <row r="6716" spans="19:21" ht="15" customHeight="1" x14ac:dyDescent="0.2">
      <c r="S6716" s="69">
        <f>_xlfn.XLOOKUP(Results!A6716,Geometry!$B$6:$B$10000,Geometry!$C$6:$C$10000)</f>
        <v>0</v>
      </c>
      <c r="T6716" s="69"/>
      <c r="U6716" s="69"/>
    </row>
    <row r="6717" spans="19:21" ht="15" customHeight="1" x14ac:dyDescent="0.2">
      <c r="S6717" s="69">
        <f>_xlfn.XLOOKUP(Results!A6717,Geometry!$B$6:$B$10000,Geometry!$C$6:$C$10000)</f>
        <v>0</v>
      </c>
      <c r="T6717" s="69"/>
      <c r="U6717" s="69"/>
    </row>
    <row r="6718" spans="19:21" ht="15" customHeight="1" x14ac:dyDescent="0.2">
      <c r="S6718" s="69">
        <f>_xlfn.XLOOKUP(Results!A6718,Geometry!$B$6:$B$10000,Geometry!$C$6:$C$10000)</f>
        <v>0</v>
      </c>
      <c r="T6718" s="69"/>
      <c r="U6718" s="69"/>
    </row>
    <row r="6719" spans="19:21" ht="15" customHeight="1" x14ac:dyDescent="0.2">
      <c r="S6719" s="69">
        <f>_xlfn.XLOOKUP(Results!A6719,Geometry!$B$6:$B$10000,Geometry!$C$6:$C$10000)</f>
        <v>0</v>
      </c>
      <c r="T6719" s="69"/>
      <c r="U6719" s="69"/>
    </row>
    <row r="6720" spans="19:21" ht="15" customHeight="1" x14ac:dyDescent="0.2">
      <c r="S6720" s="69">
        <f>_xlfn.XLOOKUP(Results!A6720,Geometry!$B$6:$B$10000,Geometry!$C$6:$C$10000)</f>
        <v>0</v>
      </c>
      <c r="T6720" s="69"/>
      <c r="U6720" s="69"/>
    </row>
    <row r="6721" spans="19:21" ht="15" customHeight="1" x14ac:dyDescent="0.2">
      <c r="S6721" s="69">
        <f>_xlfn.XLOOKUP(Results!A6721,Geometry!$B$6:$B$10000,Geometry!$C$6:$C$10000)</f>
        <v>0</v>
      </c>
      <c r="T6721" s="69"/>
      <c r="U6721" s="69"/>
    </row>
    <row r="6722" spans="19:21" ht="15" customHeight="1" x14ac:dyDescent="0.2">
      <c r="S6722" s="69">
        <f>_xlfn.XLOOKUP(Results!A6722,Geometry!$B$6:$B$10000,Geometry!$C$6:$C$10000)</f>
        <v>0</v>
      </c>
      <c r="T6722" s="69"/>
      <c r="U6722" s="69"/>
    </row>
    <row r="6723" spans="19:21" ht="15" customHeight="1" x14ac:dyDescent="0.2">
      <c r="S6723" s="69">
        <f>_xlfn.XLOOKUP(Results!A6723,Geometry!$B$6:$B$10000,Geometry!$C$6:$C$10000)</f>
        <v>0</v>
      </c>
      <c r="T6723" s="69"/>
      <c r="U6723" s="69"/>
    </row>
    <row r="6724" spans="19:21" ht="15" customHeight="1" x14ac:dyDescent="0.2">
      <c r="S6724" s="69">
        <f>_xlfn.XLOOKUP(Results!A6724,Geometry!$B$6:$B$10000,Geometry!$C$6:$C$10000)</f>
        <v>0</v>
      </c>
      <c r="T6724" s="69"/>
      <c r="U6724" s="69"/>
    </row>
    <row r="6725" spans="19:21" ht="15" customHeight="1" x14ac:dyDescent="0.2">
      <c r="S6725" s="69">
        <f>_xlfn.XLOOKUP(Results!A6725,Geometry!$B$6:$B$10000,Geometry!$C$6:$C$10000)</f>
        <v>0</v>
      </c>
      <c r="T6725" s="69"/>
      <c r="U6725" s="69"/>
    </row>
    <row r="6726" spans="19:21" ht="15" customHeight="1" x14ac:dyDescent="0.2">
      <c r="S6726" s="69">
        <f>_xlfn.XLOOKUP(Results!A6726,Geometry!$B$6:$B$10000,Geometry!$C$6:$C$10000)</f>
        <v>0</v>
      </c>
      <c r="T6726" s="69"/>
      <c r="U6726" s="69"/>
    </row>
    <row r="6727" spans="19:21" ht="15" customHeight="1" x14ac:dyDescent="0.2">
      <c r="S6727" s="69">
        <f>_xlfn.XLOOKUP(Results!A6727,Geometry!$B$6:$B$10000,Geometry!$C$6:$C$10000)</f>
        <v>0</v>
      </c>
      <c r="T6727" s="69"/>
      <c r="U6727" s="69"/>
    </row>
    <row r="6728" spans="19:21" ht="15" customHeight="1" x14ac:dyDescent="0.2">
      <c r="S6728" s="69">
        <f>_xlfn.XLOOKUP(Results!A6728,Geometry!$B$6:$B$10000,Geometry!$C$6:$C$10000)</f>
        <v>0</v>
      </c>
      <c r="T6728" s="69"/>
      <c r="U6728" s="69"/>
    </row>
    <row r="6729" spans="19:21" ht="15" customHeight="1" x14ac:dyDescent="0.2">
      <c r="S6729" s="69">
        <f>_xlfn.XLOOKUP(Results!A6729,Geometry!$B$6:$B$10000,Geometry!$C$6:$C$10000)</f>
        <v>0</v>
      </c>
      <c r="T6729" s="69"/>
      <c r="U6729" s="69"/>
    </row>
    <row r="6730" spans="19:21" ht="15" customHeight="1" x14ac:dyDescent="0.2">
      <c r="S6730" s="69">
        <f>_xlfn.XLOOKUP(Results!A6730,Geometry!$B$6:$B$10000,Geometry!$C$6:$C$10000)</f>
        <v>0</v>
      </c>
      <c r="T6730" s="69"/>
      <c r="U6730" s="69"/>
    </row>
    <row r="6731" spans="19:21" ht="15" customHeight="1" x14ac:dyDescent="0.2">
      <c r="S6731" s="69">
        <f>_xlfn.XLOOKUP(Results!A6731,Geometry!$B$6:$B$10000,Geometry!$C$6:$C$10000)</f>
        <v>0</v>
      </c>
      <c r="T6731" s="69"/>
      <c r="U6731" s="69"/>
    </row>
    <row r="6732" spans="19:21" ht="15" customHeight="1" x14ac:dyDescent="0.2">
      <c r="S6732" s="69">
        <f>_xlfn.XLOOKUP(Results!A6732,Geometry!$B$6:$B$10000,Geometry!$C$6:$C$10000)</f>
        <v>0</v>
      </c>
      <c r="T6732" s="69"/>
      <c r="U6732" s="69"/>
    </row>
    <row r="6733" spans="19:21" ht="15" customHeight="1" x14ac:dyDescent="0.2">
      <c r="S6733" s="69">
        <f>_xlfn.XLOOKUP(Results!A6733,Geometry!$B$6:$B$10000,Geometry!$C$6:$C$10000)</f>
        <v>0</v>
      </c>
      <c r="T6733" s="69"/>
      <c r="U6733" s="69"/>
    </row>
    <row r="6734" spans="19:21" ht="15" customHeight="1" x14ac:dyDescent="0.2">
      <c r="S6734" s="69">
        <f>_xlfn.XLOOKUP(Results!A6734,Geometry!$B$6:$B$10000,Geometry!$C$6:$C$10000)</f>
        <v>0</v>
      </c>
      <c r="T6734" s="69"/>
      <c r="U6734" s="69"/>
    </row>
    <row r="6735" spans="19:21" ht="15" customHeight="1" x14ac:dyDescent="0.2">
      <c r="S6735" s="69">
        <f>_xlfn.XLOOKUP(Results!A6735,Geometry!$B$6:$B$10000,Geometry!$C$6:$C$10000)</f>
        <v>0</v>
      </c>
      <c r="T6735" s="69"/>
      <c r="U6735" s="69"/>
    </row>
    <row r="6736" spans="19:21" ht="15" customHeight="1" x14ac:dyDescent="0.2">
      <c r="S6736" s="69">
        <f>_xlfn.XLOOKUP(Results!A6736,Geometry!$B$6:$B$10000,Geometry!$C$6:$C$10000)</f>
        <v>0</v>
      </c>
      <c r="T6736" s="69"/>
      <c r="U6736" s="69"/>
    </row>
    <row r="6737" spans="19:21" ht="15" customHeight="1" x14ac:dyDescent="0.2">
      <c r="S6737" s="69">
        <f>_xlfn.XLOOKUP(Results!A6737,Geometry!$B$6:$B$10000,Geometry!$C$6:$C$10000)</f>
        <v>0</v>
      </c>
      <c r="T6737" s="69"/>
      <c r="U6737" s="69"/>
    </row>
    <row r="6738" spans="19:21" ht="15" customHeight="1" x14ac:dyDescent="0.2">
      <c r="S6738" s="69">
        <f>_xlfn.XLOOKUP(Results!A6738,Geometry!$B$6:$B$10000,Geometry!$C$6:$C$10000)</f>
        <v>0</v>
      </c>
      <c r="T6738" s="69"/>
      <c r="U6738" s="69"/>
    </row>
    <row r="6739" spans="19:21" ht="15" customHeight="1" x14ac:dyDescent="0.2">
      <c r="S6739" s="69">
        <f>_xlfn.XLOOKUP(Results!A6739,Geometry!$B$6:$B$10000,Geometry!$C$6:$C$10000)</f>
        <v>0</v>
      </c>
      <c r="T6739" s="69"/>
      <c r="U6739" s="69"/>
    </row>
    <row r="6740" spans="19:21" ht="15" customHeight="1" x14ac:dyDescent="0.2">
      <c r="S6740" s="69">
        <f>_xlfn.XLOOKUP(Results!A6740,Geometry!$B$6:$B$10000,Geometry!$C$6:$C$10000)</f>
        <v>0</v>
      </c>
      <c r="T6740" s="69"/>
      <c r="U6740" s="69"/>
    </row>
    <row r="6741" spans="19:21" ht="15" customHeight="1" x14ac:dyDescent="0.2">
      <c r="S6741" s="69">
        <f>_xlfn.XLOOKUP(Results!A6741,Geometry!$B$6:$B$10000,Geometry!$C$6:$C$10000)</f>
        <v>0</v>
      </c>
      <c r="T6741" s="69"/>
      <c r="U6741" s="69"/>
    </row>
    <row r="6742" spans="19:21" ht="15" customHeight="1" x14ac:dyDescent="0.2">
      <c r="S6742" s="69">
        <f>_xlfn.XLOOKUP(Results!A6742,Geometry!$B$6:$B$10000,Geometry!$C$6:$C$10000)</f>
        <v>0</v>
      </c>
      <c r="T6742" s="69"/>
      <c r="U6742" s="69"/>
    </row>
    <row r="6743" spans="19:21" ht="15" customHeight="1" x14ac:dyDescent="0.2">
      <c r="S6743" s="69">
        <f>_xlfn.XLOOKUP(Results!A6743,Geometry!$B$6:$B$10000,Geometry!$C$6:$C$10000)</f>
        <v>0</v>
      </c>
      <c r="T6743" s="69"/>
      <c r="U6743" s="69"/>
    </row>
    <row r="6744" spans="19:21" ht="15" customHeight="1" x14ac:dyDescent="0.2">
      <c r="S6744" s="69">
        <f>_xlfn.XLOOKUP(Results!A6744,Geometry!$B$6:$B$10000,Geometry!$C$6:$C$10000)</f>
        <v>0</v>
      </c>
      <c r="T6744" s="69"/>
      <c r="U6744" s="69"/>
    </row>
    <row r="6745" spans="19:21" ht="15" customHeight="1" x14ac:dyDescent="0.2">
      <c r="S6745" s="69">
        <f>_xlfn.XLOOKUP(Results!A6745,Geometry!$B$6:$B$10000,Geometry!$C$6:$C$10000)</f>
        <v>0</v>
      </c>
      <c r="T6745" s="69"/>
      <c r="U6745" s="69"/>
    </row>
    <row r="6746" spans="19:21" ht="15" customHeight="1" x14ac:dyDescent="0.2">
      <c r="S6746" s="69">
        <f>_xlfn.XLOOKUP(Results!A6746,Geometry!$B$6:$B$10000,Geometry!$C$6:$C$10000)</f>
        <v>0</v>
      </c>
      <c r="T6746" s="69"/>
      <c r="U6746" s="69"/>
    </row>
    <row r="6747" spans="19:21" ht="15" customHeight="1" x14ac:dyDescent="0.2">
      <c r="S6747" s="69">
        <f>_xlfn.XLOOKUP(Results!A6747,Geometry!$B$6:$B$10000,Geometry!$C$6:$C$10000)</f>
        <v>0</v>
      </c>
      <c r="T6747" s="69"/>
      <c r="U6747" s="69"/>
    </row>
    <row r="6748" spans="19:21" ht="15" customHeight="1" x14ac:dyDescent="0.2">
      <c r="S6748" s="69">
        <f>_xlfn.XLOOKUP(Results!A6748,Geometry!$B$6:$B$10000,Geometry!$C$6:$C$10000)</f>
        <v>0</v>
      </c>
      <c r="T6748" s="69"/>
      <c r="U6748" s="69"/>
    </row>
    <row r="6749" spans="19:21" ht="15" customHeight="1" x14ac:dyDescent="0.2">
      <c r="S6749" s="69">
        <f>_xlfn.XLOOKUP(Results!A6749,Geometry!$B$6:$B$10000,Geometry!$C$6:$C$10000)</f>
        <v>0</v>
      </c>
      <c r="T6749" s="69"/>
      <c r="U6749" s="69"/>
    </row>
    <row r="6750" spans="19:21" ht="15" customHeight="1" x14ac:dyDescent="0.2">
      <c r="S6750" s="69">
        <f>_xlfn.XLOOKUP(Results!A6750,Geometry!$B$6:$B$10000,Geometry!$C$6:$C$10000)</f>
        <v>0</v>
      </c>
      <c r="T6750" s="69"/>
      <c r="U6750" s="69"/>
    </row>
    <row r="6751" spans="19:21" ht="15" customHeight="1" x14ac:dyDescent="0.2">
      <c r="S6751" s="69">
        <f>_xlfn.XLOOKUP(Results!A6751,Geometry!$B$6:$B$10000,Geometry!$C$6:$C$10000)</f>
        <v>0</v>
      </c>
      <c r="T6751" s="69"/>
      <c r="U6751" s="69"/>
    </row>
    <row r="6752" spans="19:21" ht="15" customHeight="1" x14ac:dyDescent="0.2">
      <c r="S6752" s="69">
        <f>_xlfn.XLOOKUP(Results!A6752,Geometry!$B$6:$B$10000,Geometry!$C$6:$C$10000)</f>
        <v>0</v>
      </c>
      <c r="T6752" s="69"/>
      <c r="U6752" s="69"/>
    </row>
    <row r="6753" spans="19:21" ht="15" customHeight="1" x14ac:dyDescent="0.2">
      <c r="S6753" s="69">
        <f>_xlfn.XLOOKUP(Results!A6753,Geometry!$B$6:$B$10000,Geometry!$C$6:$C$10000)</f>
        <v>0</v>
      </c>
      <c r="T6753" s="69"/>
      <c r="U6753" s="69"/>
    </row>
    <row r="6754" spans="19:21" ht="15" customHeight="1" x14ac:dyDescent="0.2">
      <c r="S6754" s="69">
        <f>_xlfn.XLOOKUP(Results!A6754,Geometry!$B$6:$B$10000,Geometry!$C$6:$C$10000)</f>
        <v>0</v>
      </c>
      <c r="T6754" s="69"/>
      <c r="U6754" s="69"/>
    </row>
    <row r="6755" spans="19:21" ht="15" customHeight="1" x14ac:dyDescent="0.2">
      <c r="S6755" s="69">
        <f>_xlfn.XLOOKUP(Results!A6755,Geometry!$B$6:$B$10000,Geometry!$C$6:$C$10000)</f>
        <v>0</v>
      </c>
      <c r="T6755" s="69"/>
      <c r="U6755" s="69"/>
    </row>
    <row r="6756" spans="19:21" ht="15" customHeight="1" x14ac:dyDescent="0.2">
      <c r="S6756" s="69">
        <f>_xlfn.XLOOKUP(Results!A6756,Geometry!$B$6:$B$10000,Geometry!$C$6:$C$10000)</f>
        <v>0</v>
      </c>
      <c r="T6756" s="69"/>
      <c r="U6756" s="69"/>
    </row>
    <row r="6757" spans="19:21" ht="15" customHeight="1" x14ac:dyDescent="0.2">
      <c r="S6757" s="69">
        <f>_xlfn.XLOOKUP(Results!A6757,Geometry!$B$6:$B$10000,Geometry!$C$6:$C$10000)</f>
        <v>0</v>
      </c>
      <c r="T6757" s="69"/>
      <c r="U6757" s="69"/>
    </row>
    <row r="6758" spans="19:21" ht="15" customHeight="1" x14ac:dyDescent="0.2">
      <c r="S6758" s="69">
        <f>_xlfn.XLOOKUP(Results!A6758,Geometry!$B$6:$B$10000,Geometry!$C$6:$C$10000)</f>
        <v>0</v>
      </c>
      <c r="T6758" s="69"/>
      <c r="U6758" s="69"/>
    </row>
    <row r="6759" spans="19:21" ht="15" customHeight="1" x14ac:dyDescent="0.2">
      <c r="S6759" s="69">
        <f>_xlfn.XLOOKUP(Results!A6759,Geometry!$B$6:$B$10000,Geometry!$C$6:$C$10000)</f>
        <v>0</v>
      </c>
      <c r="T6759" s="69"/>
      <c r="U6759" s="69"/>
    </row>
    <row r="6760" spans="19:21" ht="15" customHeight="1" x14ac:dyDescent="0.2">
      <c r="S6760" s="69">
        <f>_xlfn.XLOOKUP(Results!A6760,Geometry!$B$6:$B$10000,Geometry!$C$6:$C$10000)</f>
        <v>0</v>
      </c>
      <c r="T6760" s="69"/>
      <c r="U6760" s="69"/>
    </row>
    <row r="6761" spans="19:21" ht="15" customHeight="1" x14ac:dyDescent="0.2">
      <c r="S6761" s="69">
        <f>_xlfn.XLOOKUP(Results!A6761,Geometry!$B$6:$B$10000,Geometry!$C$6:$C$10000)</f>
        <v>0</v>
      </c>
      <c r="T6761" s="69"/>
      <c r="U6761" s="69"/>
    </row>
    <row r="6762" spans="19:21" ht="15" customHeight="1" x14ac:dyDescent="0.2">
      <c r="S6762" s="69">
        <f>_xlfn.XLOOKUP(Results!A6762,Geometry!$B$6:$B$10000,Geometry!$C$6:$C$10000)</f>
        <v>0</v>
      </c>
      <c r="T6762" s="69"/>
      <c r="U6762" s="69"/>
    </row>
    <row r="6763" spans="19:21" ht="15" customHeight="1" x14ac:dyDescent="0.2">
      <c r="S6763" s="69">
        <f>_xlfn.XLOOKUP(Results!A6763,Geometry!$B$6:$B$10000,Geometry!$C$6:$C$10000)</f>
        <v>0</v>
      </c>
      <c r="T6763" s="69"/>
      <c r="U6763" s="69"/>
    </row>
    <row r="6764" spans="19:21" ht="15" customHeight="1" x14ac:dyDescent="0.2">
      <c r="S6764" s="69">
        <f>_xlfn.XLOOKUP(Results!A6764,Geometry!$B$6:$B$10000,Geometry!$C$6:$C$10000)</f>
        <v>0</v>
      </c>
      <c r="T6764" s="69"/>
      <c r="U6764" s="69"/>
    </row>
    <row r="6765" spans="19:21" ht="15" customHeight="1" x14ac:dyDescent="0.2">
      <c r="S6765" s="69">
        <f>_xlfn.XLOOKUP(Results!A6765,Geometry!$B$6:$B$10000,Geometry!$C$6:$C$10000)</f>
        <v>0</v>
      </c>
      <c r="T6765" s="69"/>
      <c r="U6765" s="69"/>
    </row>
    <row r="6766" spans="19:21" ht="15" customHeight="1" x14ac:dyDescent="0.2">
      <c r="S6766" s="69">
        <f>_xlfn.XLOOKUP(Results!A6766,Geometry!$B$6:$B$10000,Geometry!$C$6:$C$10000)</f>
        <v>0</v>
      </c>
      <c r="T6766" s="69"/>
      <c r="U6766" s="69"/>
    </row>
    <row r="6767" spans="19:21" ht="15" customHeight="1" x14ac:dyDescent="0.2">
      <c r="S6767" s="69">
        <f>_xlfn.XLOOKUP(Results!A6767,Geometry!$B$6:$B$10000,Geometry!$C$6:$C$10000)</f>
        <v>0</v>
      </c>
      <c r="T6767" s="69"/>
      <c r="U6767" s="69"/>
    </row>
    <row r="6768" spans="19:21" ht="15" customHeight="1" x14ac:dyDescent="0.2">
      <c r="S6768" s="69">
        <f>_xlfn.XLOOKUP(Results!A6768,Geometry!$B$6:$B$10000,Geometry!$C$6:$C$10000)</f>
        <v>0</v>
      </c>
      <c r="T6768" s="69"/>
      <c r="U6768" s="69"/>
    </row>
    <row r="6769" spans="19:21" ht="15" customHeight="1" x14ac:dyDescent="0.2">
      <c r="S6769" s="69">
        <f>_xlfn.XLOOKUP(Results!A6769,Geometry!$B$6:$B$10000,Geometry!$C$6:$C$10000)</f>
        <v>0</v>
      </c>
      <c r="T6769" s="69"/>
      <c r="U6769" s="69"/>
    </row>
    <row r="6770" spans="19:21" ht="15" customHeight="1" x14ac:dyDescent="0.2">
      <c r="S6770" s="69">
        <f>_xlfn.XLOOKUP(Results!A6770,Geometry!$B$6:$B$10000,Geometry!$C$6:$C$10000)</f>
        <v>0</v>
      </c>
      <c r="T6770" s="69"/>
      <c r="U6770" s="69"/>
    </row>
    <row r="6771" spans="19:21" ht="15" customHeight="1" x14ac:dyDescent="0.2">
      <c r="S6771" s="69">
        <f>_xlfn.XLOOKUP(Results!A6771,Geometry!$B$6:$B$10000,Geometry!$C$6:$C$10000)</f>
        <v>0</v>
      </c>
      <c r="T6771" s="69"/>
      <c r="U6771" s="69"/>
    </row>
    <row r="6772" spans="19:21" ht="15" customHeight="1" x14ac:dyDescent="0.2">
      <c r="S6772" s="69">
        <f>_xlfn.XLOOKUP(Results!A6772,Geometry!$B$6:$B$10000,Geometry!$C$6:$C$10000)</f>
        <v>0</v>
      </c>
      <c r="T6772" s="69"/>
      <c r="U6772" s="69"/>
    </row>
    <row r="6773" spans="19:21" ht="15" customHeight="1" x14ac:dyDescent="0.2">
      <c r="S6773" s="69">
        <f>_xlfn.XLOOKUP(Results!A6773,Geometry!$B$6:$B$10000,Geometry!$C$6:$C$10000)</f>
        <v>0</v>
      </c>
      <c r="T6773" s="69"/>
      <c r="U6773" s="69"/>
    </row>
    <row r="6774" spans="19:21" ht="15" customHeight="1" x14ac:dyDescent="0.2">
      <c r="S6774" s="69">
        <f>_xlfn.XLOOKUP(Results!A6774,Geometry!$B$6:$B$10000,Geometry!$C$6:$C$10000)</f>
        <v>0</v>
      </c>
      <c r="T6774" s="69"/>
      <c r="U6774" s="69"/>
    </row>
    <row r="6775" spans="19:21" ht="15" customHeight="1" x14ac:dyDescent="0.2">
      <c r="S6775" s="69">
        <f>_xlfn.XLOOKUP(Results!A6775,Geometry!$B$6:$B$10000,Geometry!$C$6:$C$10000)</f>
        <v>0</v>
      </c>
      <c r="T6775" s="69"/>
      <c r="U6775" s="69"/>
    </row>
    <row r="6776" spans="19:21" ht="15" customHeight="1" x14ac:dyDescent="0.2">
      <c r="S6776" s="69">
        <f>_xlfn.XLOOKUP(Results!A6776,Geometry!$B$6:$B$10000,Geometry!$C$6:$C$10000)</f>
        <v>0</v>
      </c>
      <c r="T6776" s="69"/>
      <c r="U6776" s="69"/>
    </row>
    <row r="6777" spans="19:21" ht="15" customHeight="1" x14ac:dyDescent="0.2">
      <c r="S6777" s="69">
        <f>_xlfn.XLOOKUP(Results!A6777,Geometry!$B$6:$B$10000,Geometry!$C$6:$C$10000)</f>
        <v>0</v>
      </c>
      <c r="T6777" s="69"/>
      <c r="U6777" s="69"/>
    </row>
    <row r="6778" spans="19:21" ht="15" customHeight="1" x14ac:dyDescent="0.2">
      <c r="S6778" s="69">
        <f>_xlfn.XLOOKUP(Results!A6778,Geometry!$B$6:$B$10000,Geometry!$C$6:$C$10000)</f>
        <v>0</v>
      </c>
      <c r="T6778" s="69"/>
      <c r="U6778" s="69"/>
    </row>
    <row r="6779" spans="19:21" ht="15" customHeight="1" x14ac:dyDescent="0.2">
      <c r="S6779" s="69">
        <f>_xlfn.XLOOKUP(Results!A6779,Geometry!$B$6:$B$10000,Geometry!$C$6:$C$10000)</f>
        <v>0</v>
      </c>
      <c r="T6779" s="69"/>
      <c r="U6779" s="69"/>
    </row>
    <row r="6780" spans="19:21" ht="15" customHeight="1" x14ac:dyDescent="0.2">
      <c r="S6780" s="69">
        <f>_xlfn.XLOOKUP(Results!A6780,Geometry!$B$6:$B$10000,Geometry!$C$6:$C$10000)</f>
        <v>0</v>
      </c>
      <c r="T6780" s="69"/>
      <c r="U6780" s="69"/>
    </row>
    <row r="6781" spans="19:21" ht="15" customHeight="1" x14ac:dyDescent="0.2">
      <c r="S6781" s="69">
        <f>_xlfn.XLOOKUP(Results!A6781,Geometry!$B$6:$B$10000,Geometry!$C$6:$C$10000)</f>
        <v>0</v>
      </c>
      <c r="T6781" s="69"/>
      <c r="U6781" s="69"/>
    </row>
    <row r="6782" spans="19:21" ht="15" customHeight="1" x14ac:dyDescent="0.2">
      <c r="S6782" s="69">
        <f>_xlfn.XLOOKUP(Results!A6782,Geometry!$B$6:$B$10000,Geometry!$C$6:$C$10000)</f>
        <v>0</v>
      </c>
      <c r="T6782" s="69"/>
      <c r="U6782" s="69"/>
    </row>
    <row r="6783" spans="19:21" ht="15" customHeight="1" x14ac:dyDescent="0.2">
      <c r="S6783" s="69">
        <f>_xlfn.XLOOKUP(Results!A6783,Geometry!$B$6:$B$10000,Geometry!$C$6:$C$10000)</f>
        <v>0</v>
      </c>
      <c r="T6783" s="69"/>
      <c r="U6783" s="69"/>
    </row>
    <row r="6784" spans="19:21" ht="15" customHeight="1" x14ac:dyDescent="0.2">
      <c r="S6784" s="69">
        <f>_xlfn.XLOOKUP(Results!A6784,Geometry!$B$6:$B$10000,Geometry!$C$6:$C$10000)</f>
        <v>0</v>
      </c>
      <c r="T6784" s="69"/>
      <c r="U6784" s="69"/>
    </row>
    <row r="6785" spans="19:21" ht="15" customHeight="1" x14ac:dyDescent="0.2">
      <c r="S6785" s="69">
        <f>_xlfn.XLOOKUP(Results!A6785,Geometry!$B$6:$B$10000,Geometry!$C$6:$C$10000)</f>
        <v>0</v>
      </c>
      <c r="T6785" s="69"/>
      <c r="U6785" s="69"/>
    </row>
    <row r="6786" spans="19:21" ht="15" customHeight="1" x14ac:dyDescent="0.2">
      <c r="S6786" s="69">
        <f>_xlfn.XLOOKUP(Results!A6786,Geometry!$B$6:$B$10000,Geometry!$C$6:$C$10000)</f>
        <v>0</v>
      </c>
      <c r="T6786" s="69"/>
      <c r="U6786" s="69"/>
    </row>
    <row r="6787" spans="19:21" ht="15" customHeight="1" x14ac:dyDescent="0.2">
      <c r="S6787" s="69">
        <f>_xlfn.XLOOKUP(Results!A6787,Geometry!$B$6:$B$10000,Geometry!$C$6:$C$10000)</f>
        <v>0</v>
      </c>
      <c r="T6787" s="69"/>
      <c r="U6787" s="69"/>
    </row>
    <row r="6788" spans="19:21" ht="15" customHeight="1" x14ac:dyDescent="0.2">
      <c r="S6788" s="69">
        <f>_xlfn.XLOOKUP(Results!A6788,Geometry!$B$6:$B$10000,Geometry!$C$6:$C$10000)</f>
        <v>0</v>
      </c>
      <c r="T6788" s="69"/>
      <c r="U6788" s="69"/>
    </row>
    <row r="6789" spans="19:21" ht="15" customHeight="1" x14ac:dyDescent="0.2">
      <c r="S6789" s="69">
        <f>_xlfn.XLOOKUP(Results!A6789,Geometry!$B$6:$B$10000,Geometry!$C$6:$C$10000)</f>
        <v>0</v>
      </c>
      <c r="T6789" s="69"/>
      <c r="U6789" s="69"/>
    </row>
    <row r="6790" spans="19:21" ht="15" customHeight="1" x14ac:dyDescent="0.2">
      <c r="S6790" s="69">
        <f>_xlfn.XLOOKUP(Results!A6790,Geometry!$B$6:$B$10000,Geometry!$C$6:$C$10000)</f>
        <v>0</v>
      </c>
      <c r="T6790" s="69"/>
      <c r="U6790" s="69"/>
    </row>
    <row r="6791" spans="19:21" ht="15" customHeight="1" x14ac:dyDescent="0.2">
      <c r="S6791" s="69">
        <f>_xlfn.XLOOKUP(Results!A6791,Geometry!$B$6:$B$10000,Geometry!$C$6:$C$10000)</f>
        <v>0</v>
      </c>
      <c r="T6791" s="69"/>
      <c r="U6791" s="69"/>
    </row>
    <row r="6792" spans="19:21" ht="15" customHeight="1" x14ac:dyDescent="0.2">
      <c r="S6792" s="69">
        <f>_xlfn.XLOOKUP(Results!A6792,Geometry!$B$6:$B$10000,Geometry!$C$6:$C$10000)</f>
        <v>0</v>
      </c>
      <c r="T6792" s="69"/>
      <c r="U6792" s="69"/>
    </row>
    <row r="6793" spans="19:21" ht="15" customHeight="1" x14ac:dyDescent="0.2">
      <c r="S6793" s="69">
        <f>_xlfn.XLOOKUP(Results!A6793,Geometry!$B$6:$B$10000,Geometry!$C$6:$C$10000)</f>
        <v>0</v>
      </c>
      <c r="T6793" s="69"/>
      <c r="U6793" s="69"/>
    </row>
    <row r="6794" spans="19:21" ht="15" customHeight="1" x14ac:dyDescent="0.2">
      <c r="S6794" s="69">
        <f>_xlfn.XLOOKUP(Results!A6794,Geometry!$B$6:$B$10000,Geometry!$C$6:$C$10000)</f>
        <v>0</v>
      </c>
      <c r="T6794" s="69"/>
      <c r="U6794" s="69"/>
    </row>
    <row r="6795" spans="19:21" ht="15" customHeight="1" x14ac:dyDescent="0.2">
      <c r="S6795" s="69">
        <f>_xlfn.XLOOKUP(Results!A6795,Geometry!$B$6:$B$10000,Geometry!$C$6:$C$10000)</f>
        <v>0</v>
      </c>
      <c r="T6795" s="69"/>
      <c r="U6795" s="69"/>
    </row>
    <row r="6796" spans="19:21" ht="15" customHeight="1" x14ac:dyDescent="0.2">
      <c r="S6796" s="69">
        <f>_xlfn.XLOOKUP(Results!A6796,Geometry!$B$6:$B$10000,Geometry!$C$6:$C$10000)</f>
        <v>0</v>
      </c>
      <c r="T6796" s="69"/>
      <c r="U6796" s="69"/>
    </row>
    <row r="6797" spans="19:21" ht="15" customHeight="1" x14ac:dyDescent="0.2">
      <c r="S6797" s="69">
        <f>_xlfn.XLOOKUP(Results!A6797,Geometry!$B$6:$B$10000,Geometry!$C$6:$C$10000)</f>
        <v>0</v>
      </c>
      <c r="T6797" s="69"/>
      <c r="U6797" s="69"/>
    </row>
    <row r="6798" spans="19:21" ht="15" customHeight="1" x14ac:dyDescent="0.2">
      <c r="S6798" s="69">
        <f>_xlfn.XLOOKUP(Results!A6798,Geometry!$B$6:$B$10000,Geometry!$C$6:$C$10000)</f>
        <v>0</v>
      </c>
      <c r="T6798" s="69"/>
      <c r="U6798" s="69"/>
    </row>
    <row r="6799" spans="19:21" ht="15" customHeight="1" x14ac:dyDescent="0.2">
      <c r="S6799" s="69">
        <f>_xlfn.XLOOKUP(Results!A6799,Geometry!$B$6:$B$10000,Geometry!$C$6:$C$10000)</f>
        <v>0</v>
      </c>
      <c r="T6799" s="69"/>
      <c r="U6799" s="69"/>
    </row>
    <row r="6800" spans="19:21" ht="15" customHeight="1" x14ac:dyDescent="0.2">
      <c r="S6800" s="69">
        <f>_xlfn.XLOOKUP(Results!A6800,Geometry!$B$6:$B$10000,Geometry!$C$6:$C$10000)</f>
        <v>0</v>
      </c>
      <c r="T6800" s="69"/>
      <c r="U6800" s="69"/>
    </row>
    <row r="6801" spans="19:21" ht="15" customHeight="1" x14ac:dyDescent="0.2">
      <c r="S6801" s="69">
        <f>_xlfn.XLOOKUP(Results!A6801,Geometry!$B$6:$B$10000,Geometry!$C$6:$C$10000)</f>
        <v>0</v>
      </c>
      <c r="T6801" s="69"/>
      <c r="U6801" s="69"/>
    </row>
    <row r="6802" spans="19:21" ht="15" customHeight="1" x14ac:dyDescent="0.2">
      <c r="S6802" s="69">
        <f>_xlfn.XLOOKUP(Results!A6802,Geometry!$B$6:$B$10000,Geometry!$C$6:$C$10000)</f>
        <v>0</v>
      </c>
      <c r="T6802" s="69"/>
      <c r="U6802" s="69"/>
    </row>
    <row r="6803" spans="19:21" ht="15" customHeight="1" x14ac:dyDescent="0.2">
      <c r="S6803" s="69">
        <f>_xlfn.XLOOKUP(Results!A6803,Geometry!$B$6:$B$10000,Geometry!$C$6:$C$10000)</f>
        <v>0</v>
      </c>
      <c r="T6803" s="69"/>
      <c r="U6803" s="69"/>
    </row>
    <row r="6804" spans="19:21" ht="15" customHeight="1" x14ac:dyDescent="0.2">
      <c r="S6804" s="69">
        <f>_xlfn.XLOOKUP(Results!A6804,Geometry!$B$6:$B$10000,Geometry!$C$6:$C$10000)</f>
        <v>0</v>
      </c>
      <c r="T6804" s="69"/>
      <c r="U6804" s="69"/>
    </row>
    <row r="6805" spans="19:21" ht="15" customHeight="1" x14ac:dyDescent="0.2">
      <c r="S6805" s="69">
        <f>_xlfn.XLOOKUP(Results!A6805,Geometry!$B$6:$B$10000,Geometry!$C$6:$C$10000)</f>
        <v>0</v>
      </c>
      <c r="T6805" s="69"/>
      <c r="U6805" s="69"/>
    </row>
    <row r="6806" spans="19:21" ht="15" customHeight="1" x14ac:dyDescent="0.2">
      <c r="S6806" s="69">
        <f>_xlfn.XLOOKUP(Results!A6806,Geometry!$B$6:$B$10000,Geometry!$C$6:$C$10000)</f>
        <v>0</v>
      </c>
      <c r="T6806" s="69"/>
      <c r="U6806" s="69"/>
    </row>
    <row r="6807" spans="19:21" ht="15" customHeight="1" x14ac:dyDescent="0.2">
      <c r="S6807" s="69">
        <f>_xlfn.XLOOKUP(Results!A6807,Geometry!$B$6:$B$10000,Geometry!$C$6:$C$10000)</f>
        <v>0</v>
      </c>
      <c r="T6807" s="69"/>
      <c r="U6807" s="69"/>
    </row>
    <row r="6808" spans="19:21" ht="15" customHeight="1" x14ac:dyDescent="0.2">
      <c r="S6808" s="69">
        <f>_xlfn.XLOOKUP(Results!A6808,Geometry!$B$6:$B$10000,Geometry!$C$6:$C$10000)</f>
        <v>0</v>
      </c>
      <c r="T6808" s="69"/>
      <c r="U6808" s="69"/>
    </row>
    <row r="6809" spans="19:21" ht="15" customHeight="1" x14ac:dyDescent="0.2">
      <c r="S6809" s="69">
        <f>_xlfn.XLOOKUP(Results!A6809,Geometry!$B$6:$B$10000,Geometry!$C$6:$C$10000)</f>
        <v>0</v>
      </c>
      <c r="T6809" s="69"/>
      <c r="U6809" s="69"/>
    </row>
    <row r="6810" spans="19:21" ht="15" customHeight="1" x14ac:dyDescent="0.2">
      <c r="S6810" s="69">
        <f>_xlfn.XLOOKUP(Results!A6810,Geometry!$B$6:$B$10000,Geometry!$C$6:$C$10000)</f>
        <v>0</v>
      </c>
      <c r="T6810" s="69"/>
      <c r="U6810" s="69"/>
    </row>
    <row r="6811" spans="19:21" ht="15" customHeight="1" x14ac:dyDescent="0.2">
      <c r="S6811" s="69">
        <f>_xlfn.XLOOKUP(Results!A6811,Geometry!$B$6:$B$10000,Geometry!$C$6:$C$10000)</f>
        <v>0</v>
      </c>
      <c r="T6811" s="69"/>
      <c r="U6811" s="69"/>
    </row>
    <row r="6812" spans="19:21" ht="15" customHeight="1" x14ac:dyDescent="0.2">
      <c r="S6812" s="69">
        <f>_xlfn.XLOOKUP(Results!A6812,Geometry!$B$6:$B$10000,Geometry!$C$6:$C$10000)</f>
        <v>0</v>
      </c>
      <c r="T6812" s="69"/>
      <c r="U6812" s="69"/>
    </row>
    <row r="6813" spans="19:21" ht="15" customHeight="1" x14ac:dyDescent="0.2">
      <c r="S6813" s="69">
        <f>_xlfn.XLOOKUP(Results!A6813,Geometry!$B$6:$B$10000,Geometry!$C$6:$C$10000)</f>
        <v>0</v>
      </c>
      <c r="T6813" s="69"/>
      <c r="U6813" s="69"/>
    </row>
    <row r="6814" spans="19:21" ht="15" customHeight="1" x14ac:dyDescent="0.2">
      <c r="S6814" s="69">
        <f>_xlfn.XLOOKUP(Results!A6814,Geometry!$B$6:$B$10000,Geometry!$C$6:$C$10000)</f>
        <v>0</v>
      </c>
      <c r="T6814" s="69"/>
      <c r="U6814" s="69"/>
    </row>
    <row r="6815" spans="19:21" ht="15" customHeight="1" x14ac:dyDescent="0.2">
      <c r="S6815" s="69">
        <f>_xlfn.XLOOKUP(Results!A6815,Geometry!$B$6:$B$10000,Geometry!$C$6:$C$10000)</f>
        <v>0</v>
      </c>
      <c r="T6815" s="69"/>
      <c r="U6815" s="69"/>
    </row>
    <row r="6816" spans="19:21" ht="15" customHeight="1" x14ac:dyDescent="0.2">
      <c r="S6816" s="69">
        <f>_xlfn.XLOOKUP(Results!A6816,Geometry!$B$6:$B$10000,Geometry!$C$6:$C$10000)</f>
        <v>0</v>
      </c>
      <c r="T6816" s="69"/>
      <c r="U6816" s="69"/>
    </row>
    <row r="6817" spans="19:21" ht="15" customHeight="1" x14ac:dyDescent="0.2">
      <c r="S6817" s="69">
        <f>_xlfn.XLOOKUP(Results!A6817,Geometry!$B$6:$B$10000,Geometry!$C$6:$C$10000)</f>
        <v>0</v>
      </c>
      <c r="T6817" s="69"/>
      <c r="U6817" s="69"/>
    </row>
    <row r="6818" spans="19:21" ht="15" customHeight="1" x14ac:dyDescent="0.2">
      <c r="S6818" s="69">
        <f>_xlfn.XLOOKUP(Results!A6818,Geometry!$B$6:$B$10000,Geometry!$C$6:$C$10000)</f>
        <v>0</v>
      </c>
      <c r="T6818" s="69"/>
      <c r="U6818" s="69"/>
    </row>
    <row r="6819" spans="19:21" ht="15" customHeight="1" x14ac:dyDescent="0.2">
      <c r="S6819" s="69">
        <f>_xlfn.XLOOKUP(Results!A6819,Geometry!$B$6:$B$10000,Geometry!$C$6:$C$10000)</f>
        <v>0</v>
      </c>
      <c r="T6819" s="69"/>
      <c r="U6819" s="69"/>
    </row>
    <row r="6820" spans="19:21" ht="15" customHeight="1" x14ac:dyDescent="0.2">
      <c r="S6820" s="69">
        <f>_xlfn.XLOOKUP(Results!A6820,Geometry!$B$6:$B$10000,Geometry!$C$6:$C$10000)</f>
        <v>0</v>
      </c>
      <c r="T6820" s="69"/>
      <c r="U6820" s="69"/>
    </row>
    <row r="6821" spans="19:21" ht="15" customHeight="1" x14ac:dyDescent="0.2">
      <c r="S6821" s="69">
        <f>_xlfn.XLOOKUP(Results!A6821,Geometry!$B$6:$B$10000,Geometry!$C$6:$C$10000)</f>
        <v>0</v>
      </c>
      <c r="T6821" s="69"/>
      <c r="U6821" s="69"/>
    </row>
    <row r="6822" spans="19:21" ht="15" customHeight="1" x14ac:dyDescent="0.2">
      <c r="S6822" s="69">
        <f>_xlfn.XLOOKUP(Results!A6822,Geometry!$B$6:$B$10000,Geometry!$C$6:$C$10000)</f>
        <v>0</v>
      </c>
      <c r="T6822" s="69"/>
      <c r="U6822" s="69"/>
    </row>
    <row r="6823" spans="19:21" ht="15" customHeight="1" x14ac:dyDescent="0.2">
      <c r="S6823" s="69">
        <f>_xlfn.XLOOKUP(Results!A6823,Geometry!$B$6:$B$10000,Geometry!$C$6:$C$10000)</f>
        <v>0</v>
      </c>
      <c r="T6823" s="69"/>
      <c r="U6823" s="69"/>
    </row>
    <row r="6824" spans="19:21" ht="15" customHeight="1" x14ac:dyDescent="0.2">
      <c r="S6824" s="69">
        <f>_xlfn.XLOOKUP(Results!A6824,Geometry!$B$6:$B$10000,Geometry!$C$6:$C$10000)</f>
        <v>0</v>
      </c>
      <c r="T6824" s="69"/>
      <c r="U6824" s="69"/>
    </row>
    <row r="6825" spans="19:21" ht="15" customHeight="1" x14ac:dyDescent="0.2">
      <c r="S6825" s="69">
        <f>_xlfn.XLOOKUP(Results!A6825,Geometry!$B$6:$B$10000,Geometry!$C$6:$C$10000)</f>
        <v>0</v>
      </c>
      <c r="T6825" s="69"/>
      <c r="U6825" s="69"/>
    </row>
    <row r="6826" spans="19:21" ht="15" customHeight="1" x14ac:dyDescent="0.2">
      <c r="S6826" s="69">
        <f>_xlfn.XLOOKUP(Results!A6826,Geometry!$B$6:$B$10000,Geometry!$C$6:$C$10000)</f>
        <v>0</v>
      </c>
      <c r="T6826" s="69"/>
      <c r="U6826" s="69"/>
    </row>
    <row r="6827" spans="19:21" ht="15" customHeight="1" x14ac:dyDescent="0.2">
      <c r="S6827" s="69">
        <f>_xlfn.XLOOKUP(Results!A6827,Geometry!$B$6:$B$10000,Geometry!$C$6:$C$10000)</f>
        <v>0</v>
      </c>
      <c r="T6827" s="69"/>
      <c r="U6827" s="69"/>
    </row>
    <row r="6828" spans="19:21" ht="15" customHeight="1" x14ac:dyDescent="0.2">
      <c r="S6828" s="69">
        <f>_xlfn.XLOOKUP(Results!A6828,Geometry!$B$6:$B$10000,Geometry!$C$6:$C$10000)</f>
        <v>0</v>
      </c>
      <c r="T6828" s="69"/>
      <c r="U6828" s="69"/>
    </row>
    <row r="6829" spans="19:21" ht="15" customHeight="1" x14ac:dyDescent="0.2">
      <c r="S6829" s="69">
        <f>_xlfn.XLOOKUP(Results!A6829,Geometry!$B$6:$B$10000,Geometry!$C$6:$C$10000)</f>
        <v>0</v>
      </c>
      <c r="T6829" s="69"/>
      <c r="U6829" s="69"/>
    </row>
    <row r="6830" spans="19:21" ht="15" customHeight="1" x14ac:dyDescent="0.2">
      <c r="S6830" s="69">
        <f>_xlfn.XLOOKUP(Results!A6830,Geometry!$B$6:$B$10000,Geometry!$C$6:$C$10000)</f>
        <v>0</v>
      </c>
      <c r="T6830" s="69"/>
      <c r="U6830" s="69"/>
    </row>
    <row r="6831" spans="19:21" ht="15" customHeight="1" x14ac:dyDescent="0.2">
      <c r="S6831" s="69">
        <f>_xlfn.XLOOKUP(Results!A6831,Geometry!$B$6:$B$10000,Geometry!$C$6:$C$10000)</f>
        <v>0</v>
      </c>
      <c r="T6831" s="69"/>
      <c r="U6831" s="69"/>
    </row>
    <row r="6832" spans="19:21" ht="15" customHeight="1" x14ac:dyDescent="0.2">
      <c r="S6832" s="69">
        <f>_xlfn.XLOOKUP(Results!A6832,Geometry!$B$6:$B$10000,Geometry!$C$6:$C$10000)</f>
        <v>0</v>
      </c>
      <c r="T6832" s="69"/>
      <c r="U6832" s="69"/>
    </row>
    <row r="6833" spans="19:21" ht="15" customHeight="1" x14ac:dyDescent="0.2">
      <c r="S6833" s="69">
        <f>_xlfn.XLOOKUP(Results!A6833,Geometry!$B$6:$B$10000,Geometry!$C$6:$C$10000)</f>
        <v>0</v>
      </c>
      <c r="T6833" s="69"/>
      <c r="U6833" s="69"/>
    </row>
    <row r="6834" spans="19:21" ht="15" customHeight="1" x14ac:dyDescent="0.2">
      <c r="S6834" s="69">
        <f>_xlfn.XLOOKUP(Results!A6834,Geometry!$B$6:$B$10000,Geometry!$C$6:$C$10000)</f>
        <v>0</v>
      </c>
      <c r="T6834" s="69"/>
      <c r="U6834" s="69"/>
    </row>
    <row r="6835" spans="19:21" ht="15" customHeight="1" x14ac:dyDescent="0.2">
      <c r="S6835" s="69">
        <f>_xlfn.XLOOKUP(Results!A6835,Geometry!$B$6:$B$10000,Geometry!$C$6:$C$10000)</f>
        <v>0</v>
      </c>
      <c r="T6835" s="69"/>
      <c r="U6835" s="69"/>
    </row>
    <row r="6836" spans="19:21" ht="15" customHeight="1" x14ac:dyDescent="0.2">
      <c r="S6836" s="69">
        <f>_xlfn.XLOOKUP(Results!A6836,Geometry!$B$6:$B$10000,Geometry!$C$6:$C$10000)</f>
        <v>0</v>
      </c>
      <c r="T6836" s="69"/>
      <c r="U6836" s="69"/>
    </row>
    <row r="6837" spans="19:21" ht="15" customHeight="1" x14ac:dyDescent="0.2">
      <c r="S6837" s="69">
        <f>_xlfn.XLOOKUP(Results!A6837,Geometry!$B$6:$B$10000,Geometry!$C$6:$C$10000)</f>
        <v>0</v>
      </c>
      <c r="T6837" s="69"/>
      <c r="U6837" s="69"/>
    </row>
    <row r="6838" spans="19:21" ht="15" customHeight="1" x14ac:dyDescent="0.2">
      <c r="S6838" s="69">
        <f>_xlfn.XLOOKUP(Results!A6838,Geometry!$B$6:$B$10000,Geometry!$C$6:$C$10000)</f>
        <v>0</v>
      </c>
      <c r="T6838" s="69"/>
      <c r="U6838" s="69"/>
    </row>
    <row r="6839" spans="19:21" ht="15" customHeight="1" x14ac:dyDescent="0.2">
      <c r="S6839" s="69">
        <f>_xlfn.XLOOKUP(Results!A6839,Geometry!$B$6:$B$10000,Geometry!$C$6:$C$10000)</f>
        <v>0</v>
      </c>
      <c r="T6839" s="69"/>
      <c r="U6839" s="69"/>
    </row>
    <row r="6840" spans="19:21" ht="15" customHeight="1" x14ac:dyDescent="0.2">
      <c r="S6840" s="69">
        <f>_xlfn.XLOOKUP(Results!A6840,Geometry!$B$6:$B$10000,Geometry!$C$6:$C$10000)</f>
        <v>0</v>
      </c>
      <c r="T6840" s="69"/>
      <c r="U6840" s="69"/>
    </row>
    <row r="6841" spans="19:21" ht="15" customHeight="1" x14ac:dyDescent="0.2">
      <c r="S6841" s="69">
        <f>_xlfn.XLOOKUP(Results!A6841,Geometry!$B$6:$B$10000,Geometry!$C$6:$C$10000)</f>
        <v>0</v>
      </c>
      <c r="T6841" s="69"/>
      <c r="U6841" s="69"/>
    </row>
    <row r="6842" spans="19:21" ht="15" customHeight="1" x14ac:dyDescent="0.2">
      <c r="S6842" s="69">
        <f>_xlfn.XLOOKUP(Results!A6842,Geometry!$B$6:$B$10000,Geometry!$C$6:$C$10000)</f>
        <v>0</v>
      </c>
      <c r="T6842" s="69"/>
      <c r="U6842" s="69"/>
    </row>
    <row r="6843" spans="19:21" ht="15" customHeight="1" x14ac:dyDescent="0.2">
      <c r="S6843" s="69">
        <f>_xlfn.XLOOKUP(Results!A6843,Geometry!$B$6:$B$10000,Geometry!$C$6:$C$10000)</f>
        <v>0</v>
      </c>
      <c r="T6843" s="69"/>
      <c r="U6843" s="69"/>
    </row>
    <row r="6844" spans="19:21" ht="15" customHeight="1" x14ac:dyDescent="0.2">
      <c r="S6844" s="69">
        <f>_xlfn.XLOOKUP(Results!A6844,Geometry!$B$6:$B$10000,Geometry!$C$6:$C$10000)</f>
        <v>0</v>
      </c>
      <c r="T6844" s="69"/>
      <c r="U6844" s="69"/>
    </row>
    <row r="6845" spans="19:21" ht="15" customHeight="1" x14ac:dyDescent="0.2">
      <c r="S6845" s="69">
        <f>_xlfn.XLOOKUP(Results!A6845,Geometry!$B$6:$B$10000,Geometry!$C$6:$C$10000)</f>
        <v>0</v>
      </c>
      <c r="T6845" s="69"/>
      <c r="U6845" s="69"/>
    </row>
    <row r="6846" spans="19:21" ht="15" customHeight="1" x14ac:dyDescent="0.2">
      <c r="S6846" s="69">
        <f>_xlfn.XLOOKUP(Results!A6846,Geometry!$B$6:$B$10000,Geometry!$C$6:$C$10000)</f>
        <v>0</v>
      </c>
      <c r="T6846" s="69"/>
      <c r="U6846" s="69"/>
    </row>
    <row r="6847" spans="19:21" ht="15" customHeight="1" x14ac:dyDescent="0.2">
      <c r="S6847" s="69">
        <f>_xlfn.XLOOKUP(Results!A6847,Geometry!$B$6:$B$10000,Geometry!$C$6:$C$10000)</f>
        <v>0</v>
      </c>
      <c r="T6847" s="69"/>
      <c r="U6847" s="69"/>
    </row>
    <row r="6848" spans="19:21" ht="15" customHeight="1" x14ac:dyDescent="0.2">
      <c r="S6848" s="69">
        <f>_xlfn.XLOOKUP(Results!A6848,Geometry!$B$6:$B$10000,Geometry!$C$6:$C$10000)</f>
        <v>0</v>
      </c>
      <c r="T6848" s="69"/>
      <c r="U6848" s="69"/>
    </row>
    <row r="6849" spans="19:21" ht="15" customHeight="1" x14ac:dyDescent="0.2">
      <c r="S6849" s="69">
        <f>_xlfn.XLOOKUP(Results!A6849,Geometry!$B$6:$B$10000,Geometry!$C$6:$C$10000)</f>
        <v>0</v>
      </c>
      <c r="T6849" s="69"/>
      <c r="U6849" s="69"/>
    </row>
    <row r="6850" spans="19:21" ht="15" customHeight="1" x14ac:dyDescent="0.2">
      <c r="S6850" s="69">
        <f>_xlfn.XLOOKUP(Results!A6850,Geometry!$B$6:$B$10000,Geometry!$C$6:$C$10000)</f>
        <v>0</v>
      </c>
      <c r="T6850" s="69"/>
      <c r="U6850" s="69"/>
    </row>
    <row r="6851" spans="19:21" ht="15" customHeight="1" x14ac:dyDescent="0.2">
      <c r="S6851" s="69">
        <f>_xlfn.XLOOKUP(Results!A6851,Geometry!$B$6:$B$10000,Geometry!$C$6:$C$10000)</f>
        <v>0</v>
      </c>
      <c r="T6851" s="69"/>
      <c r="U6851" s="69"/>
    </row>
    <row r="6852" spans="19:21" ht="15" customHeight="1" x14ac:dyDescent="0.2">
      <c r="S6852" s="69">
        <f>_xlfn.XLOOKUP(Results!A6852,Geometry!$B$6:$B$10000,Geometry!$C$6:$C$10000)</f>
        <v>0</v>
      </c>
      <c r="T6852" s="69"/>
      <c r="U6852" s="69"/>
    </row>
    <row r="6853" spans="19:21" ht="15" customHeight="1" x14ac:dyDescent="0.2">
      <c r="S6853" s="69">
        <f>_xlfn.XLOOKUP(Results!A6853,Geometry!$B$6:$B$10000,Geometry!$C$6:$C$10000)</f>
        <v>0</v>
      </c>
      <c r="T6853" s="69"/>
      <c r="U6853" s="69"/>
    </row>
    <row r="6854" spans="19:21" ht="15" customHeight="1" x14ac:dyDescent="0.2">
      <c r="S6854" s="69">
        <f>_xlfn.XLOOKUP(Results!A6854,Geometry!$B$6:$B$10000,Geometry!$C$6:$C$10000)</f>
        <v>0</v>
      </c>
      <c r="T6854" s="69"/>
      <c r="U6854" s="69"/>
    </row>
    <row r="6855" spans="19:21" ht="15" customHeight="1" x14ac:dyDescent="0.2">
      <c r="S6855" s="69">
        <f>_xlfn.XLOOKUP(Results!A6855,Geometry!$B$6:$B$10000,Geometry!$C$6:$C$10000)</f>
        <v>0</v>
      </c>
      <c r="T6855" s="69"/>
      <c r="U6855" s="69"/>
    </row>
    <row r="6856" spans="19:21" ht="15" customHeight="1" x14ac:dyDescent="0.2">
      <c r="S6856" s="69">
        <f>_xlfn.XLOOKUP(Results!A6856,Geometry!$B$6:$B$10000,Geometry!$C$6:$C$10000)</f>
        <v>0</v>
      </c>
      <c r="T6856" s="69"/>
      <c r="U6856" s="69"/>
    </row>
    <row r="6857" spans="19:21" ht="15" customHeight="1" x14ac:dyDescent="0.2">
      <c r="S6857" s="69">
        <f>_xlfn.XLOOKUP(Results!A6857,Geometry!$B$6:$B$10000,Geometry!$C$6:$C$10000)</f>
        <v>0</v>
      </c>
      <c r="T6857" s="69"/>
      <c r="U6857" s="69"/>
    </row>
    <row r="6858" spans="19:21" ht="15" customHeight="1" x14ac:dyDescent="0.2">
      <c r="S6858" s="69">
        <f>_xlfn.XLOOKUP(Results!A6858,Geometry!$B$6:$B$10000,Geometry!$C$6:$C$10000)</f>
        <v>0</v>
      </c>
      <c r="T6858" s="69"/>
      <c r="U6858" s="69"/>
    </row>
    <row r="6859" spans="19:21" ht="15" customHeight="1" x14ac:dyDescent="0.2">
      <c r="S6859" s="69">
        <f>_xlfn.XLOOKUP(Results!A6859,Geometry!$B$6:$B$10000,Geometry!$C$6:$C$10000)</f>
        <v>0</v>
      </c>
      <c r="T6859" s="69"/>
      <c r="U6859" s="69"/>
    </row>
    <row r="6860" spans="19:21" ht="15" customHeight="1" x14ac:dyDescent="0.2">
      <c r="S6860" s="69">
        <f>_xlfn.XLOOKUP(Results!A6860,Geometry!$B$6:$B$10000,Geometry!$C$6:$C$10000)</f>
        <v>0</v>
      </c>
      <c r="T6860" s="69"/>
      <c r="U6860" s="69"/>
    </row>
    <row r="6861" spans="19:21" ht="15" customHeight="1" x14ac:dyDescent="0.2">
      <c r="S6861" s="69">
        <f>_xlfn.XLOOKUP(Results!A6861,Geometry!$B$6:$B$10000,Geometry!$C$6:$C$10000)</f>
        <v>0</v>
      </c>
      <c r="T6861" s="69"/>
      <c r="U6861" s="69"/>
    </row>
    <row r="6862" spans="19:21" ht="15" customHeight="1" x14ac:dyDescent="0.2">
      <c r="S6862" s="69">
        <f>_xlfn.XLOOKUP(Results!A6862,Geometry!$B$6:$B$10000,Geometry!$C$6:$C$10000)</f>
        <v>0</v>
      </c>
      <c r="T6862" s="69"/>
      <c r="U6862" s="69"/>
    </row>
    <row r="6863" spans="19:21" ht="15" customHeight="1" x14ac:dyDescent="0.2">
      <c r="S6863" s="69">
        <f>_xlfn.XLOOKUP(Results!A6863,Geometry!$B$6:$B$10000,Geometry!$C$6:$C$10000)</f>
        <v>0</v>
      </c>
      <c r="T6863" s="69"/>
      <c r="U6863" s="69"/>
    </row>
    <row r="6864" spans="19:21" ht="15" customHeight="1" x14ac:dyDescent="0.2">
      <c r="S6864" s="69">
        <f>_xlfn.XLOOKUP(Results!A6864,Geometry!$B$6:$B$10000,Geometry!$C$6:$C$10000)</f>
        <v>0</v>
      </c>
      <c r="T6864" s="69"/>
      <c r="U6864" s="69"/>
    </row>
    <row r="6865" spans="19:21" ht="15" customHeight="1" x14ac:dyDescent="0.2">
      <c r="S6865" s="69">
        <f>_xlfn.XLOOKUP(Results!A6865,Geometry!$B$6:$B$10000,Geometry!$C$6:$C$10000)</f>
        <v>0</v>
      </c>
      <c r="T6865" s="69"/>
      <c r="U6865" s="69"/>
    </row>
    <row r="6866" spans="19:21" ht="15" customHeight="1" x14ac:dyDescent="0.2">
      <c r="S6866" s="69">
        <f>_xlfn.XLOOKUP(Results!A6866,Geometry!$B$6:$B$10000,Geometry!$C$6:$C$10000)</f>
        <v>0</v>
      </c>
      <c r="T6866" s="69"/>
      <c r="U6866" s="69"/>
    </row>
    <row r="6867" spans="19:21" ht="15" customHeight="1" x14ac:dyDescent="0.2">
      <c r="S6867" s="69">
        <f>_xlfn.XLOOKUP(Results!A6867,Geometry!$B$6:$B$10000,Geometry!$C$6:$C$10000)</f>
        <v>0</v>
      </c>
      <c r="T6867" s="69"/>
      <c r="U6867" s="69"/>
    </row>
    <row r="6868" spans="19:21" ht="15" customHeight="1" x14ac:dyDescent="0.2">
      <c r="S6868" s="69">
        <f>_xlfn.XLOOKUP(Results!A6868,Geometry!$B$6:$B$10000,Geometry!$C$6:$C$10000)</f>
        <v>0</v>
      </c>
      <c r="T6868" s="69"/>
      <c r="U6868" s="69"/>
    </row>
    <row r="6869" spans="19:21" ht="15" customHeight="1" x14ac:dyDescent="0.2">
      <c r="S6869" s="69">
        <f>_xlfn.XLOOKUP(Results!A6869,Geometry!$B$6:$B$10000,Geometry!$C$6:$C$10000)</f>
        <v>0</v>
      </c>
      <c r="T6869" s="69"/>
      <c r="U6869" s="69"/>
    </row>
    <row r="6870" spans="19:21" ht="15" customHeight="1" x14ac:dyDescent="0.2">
      <c r="S6870" s="69">
        <f>_xlfn.XLOOKUP(Results!A6870,Geometry!$B$6:$B$10000,Geometry!$C$6:$C$10000)</f>
        <v>0</v>
      </c>
      <c r="T6870" s="69"/>
      <c r="U6870" s="69"/>
    </row>
    <row r="6871" spans="19:21" ht="15" customHeight="1" x14ac:dyDescent="0.2">
      <c r="S6871" s="69">
        <f>_xlfn.XLOOKUP(Results!A6871,Geometry!$B$6:$B$10000,Geometry!$C$6:$C$10000)</f>
        <v>0</v>
      </c>
      <c r="T6871" s="69"/>
      <c r="U6871" s="69"/>
    </row>
    <row r="6872" spans="19:21" ht="15" customHeight="1" x14ac:dyDescent="0.2">
      <c r="S6872" s="69">
        <f>_xlfn.XLOOKUP(Results!A6872,Geometry!$B$6:$B$10000,Geometry!$C$6:$C$10000)</f>
        <v>0</v>
      </c>
      <c r="T6872" s="69"/>
      <c r="U6872" s="69"/>
    </row>
    <row r="6873" spans="19:21" ht="15" customHeight="1" x14ac:dyDescent="0.2">
      <c r="S6873" s="69">
        <f>_xlfn.XLOOKUP(Results!A6873,Geometry!$B$6:$B$10000,Geometry!$C$6:$C$10000)</f>
        <v>0</v>
      </c>
      <c r="T6873" s="69"/>
      <c r="U6873" s="69"/>
    </row>
    <row r="6874" spans="19:21" ht="15" customHeight="1" x14ac:dyDescent="0.2">
      <c r="S6874" s="69">
        <f>_xlfn.XLOOKUP(Results!A6874,Geometry!$B$6:$B$10000,Geometry!$C$6:$C$10000)</f>
        <v>0</v>
      </c>
      <c r="T6874" s="69"/>
      <c r="U6874" s="69"/>
    </row>
    <row r="6875" spans="19:21" ht="15" customHeight="1" x14ac:dyDescent="0.2">
      <c r="S6875" s="69">
        <f>_xlfn.XLOOKUP(Results!A6875,Geometry!$B$6:$B$10000,Geometry!$C$6:$C$10000)</f>
        <v>0</v>
      </c>
      <c r="T6875" s="69"/>
      <c r="U6875" s="69"/>
    </row>
    <row r="6876" spans="19:21" ht="15" customHeight="1" x14ac:dyDescent="0.2">
      <c r="S6876" s="69">
        <f>_xlfn.XLOOKUP(Results!A6876,Geometry!$B$6:$B$10000,Geometry!$C$6:$C$10000)</f>
        <v>0</v>
      </c>
      <c r="T6876" s="69"/>
      <c r="U6876" s="69"/>
    </row>
    <row r="6877" spans="19:21" ht="15" customHeight="1" x14ac:dyDescent="0.2">
      <c r="S6877" s="69">
        <f>_xlfn.XLOOKUP(Results!A6877,Geometry!$B$6:$B$10000,Geometry!$C$6:$C$10000)</f>
        <v>0</v>
      </c>
      <c r="T6877" s="69"/>
      <c r="U6877" s="69"/>
    </row>
    <row r="6878" spans="19:21" ht="15" customHeight="1" x14ac:dyDescent="0.2">
      <c r="S6878" s="69">
        <f>_xlfn.XLOOKUP(Results!A6878,Geometry!$B$6:$B$10000,Geometry!$C$6:$C$10000)</f>
        <v>0</v>
      </c>
      <c r="T6878" s="69"/>
      <c r="U6878" s="69"/>
    </row>
    <row r="6879" spans="19:21" ht="15" customHeight="1" x14ac:dyDescent="0.2">
      <c r="S6879" s="69">
        <f>_xlfn.XLOOKUP(Results!A6879,Geometry!$B$6:$B$10000,Geometry!$C$6:$C$10000)</f>
        <v>0</v>
      </c>
      <c r="T6879" s="69"/>
      <c r="U6879" s="69"/>
    </row>
    <row r="6880" spans="19:21" ht="15" customHeight="1" x14ac:dyDescent="0.2">
      <c r="S6880" s="69">
        <f>_xlfn.XLOOKUP(Results!A6880,Geometry!$B$6:$B$10000,Geometry!$C$6:$C$10000)</f>
        <v>0</v>
      </c>
      <c r="T6880" s="69"/>
      <c r="U6880" s="69"/>
    </row>
    <row r="6881" spans="19:21" ht="15" customHeight="1" x14ac:dyDescent="0.2">
      <c r="S6881" s="69">
        <f>_xlfn.XLOOKUP(Results!A6881,Geometry!$B$6:$B$10000,Geometry!$C$6:$C$10000)</f>
        <v>0</v>
      </c>
      <c r="T6881" s="69"/>
      <c r="U6881" s="69"/>
    </row>
    <row r="6882" spans="19:21" ht="15" customHeight="1" x14ac:dyDescent="0.2">
      <c r="S6882" s="69">
        <f>_xlfn.XLOOKUP(Results!A6882,Geometry!$B$6:$B$10000,Geometry!$C$6:$C$10000)</f>
        <v>0</v>
      </c>
      <c r="T6882" s="69"/>
      <c r="U6882" s="69"/>
    </row>
    <row r="6883" spans="19:21" ht="15" customHeight="1" x14ac:dyDescent="0.2">
      <c r="S6883" s="69">
        <f>_xlfn.XLOOKUP(Results!A6883,Geometry!$B$6:$B$10000,Geometry!$C$6:$C$10000)</f>
        <v>0</v>
      </c>
      <c r="T6883" s="69"/>
      <c r="U6883" s="69"/>
    </row>
    <row r="6884" spans="19:21" ht="15" customHeight="1" x14ac:dyDescent="0.2">
      <c r="S6884" s="69">
        <f>_xlfn.XLOOKUP(Results!A6884,Geometry!$B$6:$B$10000,Geometry!$C$6:$C$10000)</f>
        <v>0</v>
      </c>
      <c r="T6884" s="69"/>
      <c r="U6884" s="69"/>
    </row>
    <row r="6885" spans="19:21" ht="15" customHeight="1" x14ac:dyDescent="0.2">
      <c r="S6885" s="69">
        <f>_xlfn.XLOOKUP(Results!A6885,Geometry!$B$6:$B$10000,Geometry!$C$6:$C$10000)</f>
        <v>0</v>
      </c>
      <c r="T6885" s="69"/>
      <c r="U6885" s="69"/>
    </row>
    <row r="6886" spans="19:21" ht="15" customHeight="1" x14ac:dyDescent="0.2">
      <c r="S6886" s="69">
        <f>_xlfn.XLOOKUP(Results!A6886,Geometry!$B$6:$B$10000,Geometry!$C$6:$C$10000)</f>
        <v>0</v>
      </c>
      <c r="T6886" s="69"/>
      <c r="U6886" s="69"/>
    </row>
    <row r="6887" spans="19:21" ht="15" customHeight="1" x14ac:dyDescent="0.2">
      <c r="S6887" s="69">
        <f>_xlfn.XLOOKUP(Results!A6887,Geometry!$B$6:$B$10000,Geometry!$C$6:$C$10000)</f>
        <v>0</v>
      </c>
      <c r="T6887" s="69"/>
      <c r="U6887" s="69"/>
    </row>
    <row r="6888" spans="19:21" ht="15" customHeight="1" x14ac:dyDescent="0.2">
      <c r="S6888" s="69">
        <f>_xlfn.XLOOKUP(Results!A6888,Geometry!$B$6:$B$10000,Geometry!$C$6:$C$10000)</f>
        <v>0</v>
      </c>
      <c r="T6888" s="69"/>
      <c r="U6888" s="69"/>
    </row>
    <row r="6889" spans="19:21" ht="15" customHeight="1" x14ac:dyDescent="0.2">
      <c r="S6889" s="69">
        <f>_xlfn.XLOOKUP(Results!A6889,Geometry!$B$6:$B$10000,Geometry!$C$6:$C$10000)</f>
        <v>0</v>
      </c>
      <c r="T6889" s="69"/>
      <c r="U6889" s="69"/>
    </row>
    <row r="6890" spans="19:21" ht="15" customHeight="1" x14ac:dyDescent="0.2">
      <c r="S6890" s="69">
        <f>_xlfn.XLOOKUP(Results!A6890,Geometry!$B$6:$B$10000,Geometry!$C$6:$C$10000)</f>
        <v>0</v>
      </c>
      <c r="T6890" s="69"/>
      <c r="U6890" s="69"/>
    </row>
    <row r="6891" spans="19:21" ht="15" customHeight="1" x14ac:dyDescent="0.2">
      <c r="S6891" s="69">
        <f>_xlfn.XLOOKUP(Results!A6891,Geometry!$B$6:$B$10000,Geometry!$C$6:$C$10000)</f>
        <v>0</v>
      </c>
      <c r="T6891" s="69"/>
      <c r="U6891" s="69"/>
    </row>
    <row r="6892" spans="19:21" ht="15" customHeight="1" x14ac:dyDescent="0.2">
      <c r="S6892" s="69">
        <f>_xlfn.XLOOKUP(Results!A6892,Geometry!$B$6:$B$10000,Geometry!$C$6:$C$10000)</f>
        <v>0</v>
      </c>
      <c r="T6892" s="69"/>
      <c r="U6892" s="69"/>
    </row>
    <row r="6893" spans="19:21" ht="15" customHeight="1" x14ac:dyDescent="0.2">
      <c r="S6893" s="69">
        <f>_xlfn.XLOOKUP(Results!A6893,Geometry!$B$6:$B$10000,Geometry!$C$6:$C$10000)</f>
        <v>0</v>
      </c>
      <c r="T6893" s="69"/>
      <c r="U6893" s="69"/>
    </row>
    <row r="6894" spans="19:21" ht="15" customHeight="1" x14ac:dyDescent="0.2">
      <c r="S6894" s="69">
        <f>_xlfn.XLOOKUP(Results!A6894,Geometry!$B$6:$B$10000,Geometry!$C$6:$C$10000)</f>
        <v>0</v>
      </c>
      <c r="T6894" s="69"/>
      <c r="U6894" s="69"/>
    </row>
    <row r="6895" spans="19:21" ht="15" customHeight="1" x14ac:dyDescent="0.2">
      <c r="S6895" s="69">
        <f>_xlfn.XLOOKUP(Results!A6895,Geometry!$B$6:$B$10000,Geometry!$C$6:$C$10000)</f>
        <v>0</v>
      </c>
      <c r="T6895" s="69"/>
      <c r="U6895" s="69"/>
    </row>
    <row r="6896" spans="19:21" ht="15" customHeight="1" x14ac:dyDescent="0.2">
      <c r="S6896" s="69">
        <f>_xlfn.XLOOKUP(Results!A6896,Geometry!$B$6:$B$10000,Geometry!$C$6:$C$10000)</f>
        <v>0</v>
      </c>
      <c r="T6896" s="69"/>
      <c r="U6896" s="69"/>
    </row>
    <row r="6897" spans="19:21" ht="15" customHeight="1" x14ac:dyDescent="0.2">
      <c r="S6897" s="69">
        <f>_xlfn.XLOOKUP(Results!A6897,Geometry!$B$6:$B$10000,Geometry!$C$6:$C$10000)</f>
        <v>0</v>
      </c>
      <c r="T6897" s="69"/>
      <c r="U6897" s="69"/>
    </row>
    <row r="6898" spans="19:21" ht="15" customHeight="1" x14ac:dyDescent="0.2">
      <c r="S6898" s="69">
        <f>_xlfn.XLOOKUP(Results!A6898,Geometry!$B$6:$B$10000,Geometry!$C$6:$C$10000)</f>
        <v>0</v>
      </c>
      <c r="T6898" s="69"/>
      <c r="U6898" s="69"/>
    </row>
    <row r="6899" spans="19:21" ht="15" customHeight="1" x14ac:dyDescent="0.2">
      <c r="S6899" s="69">
        <f>_xlfn.XLOOKUP(Results!A6899,Geometry!$B$6:$B$10000,Geometry!$C$6:$C$10000)</f>
        <v>0</v>
      </c>
      <c r="T6899" s="69"/>
      <c r="U6899" s="69"/>
    </row>
    <row r="6900" spans="19:21" ht="15" customHeight="1" x14ac:dyDescent="0.2">
      <c r="S6900" s="69">
        <f>_xlfn.XLOOKUP(Results!A6900,Geometry!$B$6:$B$10000,Geometry!$C$6:$C$10000)</f>
        <v>0</v>
      </c>
      <c r="T6900" s="69"/>
      <c r="U6900" s="69"/>
    </row>
    <row r="6901" spans="19:21" ht="15" customHeight="1" x14ac:dyDescent="0.2">
      <c r="S6901" s="69">
        <f>_xlfn.XLOOKUP(Results!A6901,Geometry!$B$6:$B$10000,Geometry!$C$6:$C$10000)</f>
        <v>0</v>
      </c>
      <c r="T6901" s="69"/>
      <c r="U6901" s="69"/>
    </row>
    <row r="6902" spans="19:21" ht="15" customHeight="1" x14ac:dyDescent="0.2">
      <c r="S6902" s="69">
        <f>_xlfn.XLOOKUP(Results!A6902,Geometry!$B$6:$B$10000,Geometry!$C$6:$C$10000)</f>
        <v>0</v>
      </c>
      <c r="T6902" s="69"/>
      <c r="U6902" s="69"/>
    </row>
    <row r="6903" spans="19:21" ht="15" customHeight="1" x14ac:dyDescent="0.2">
      <c r="S6903" s="69">
        <f>_xlfn.XLOOKUP(Results!A6903,Geometry!$B$6:$B$10000,Geometry!$C$6:$C$10000)</f>
        <v>0</v>
      </c>
      <c r="T6903" s="69"/>
      <c r="U6903" s="69"/>
    </row>
    <row r="6904" spans="19:21" ht="15" customHeight="1" x14ac:dyDescent="0.2">
      <c r="S6904" s="69">
        <f>_xlfn.XLOOKUP(Results!A6904,Geometry!$B$6:$B$10000,Geometry!$C$6:$C$10000)</f>
        <v>0</v>
      </c>
      <c r="T6904" s="69"/>
      <c r="U6904" s="69"/>
    </row>
    <row r="6905" spans="19:21" ht="15" customHeight="1" x14ac:dyDescent="0.2">
      <c r="S6905" s="69">
        <f>_xlfn.XLOOKUP(Results!A6905,Geometry!$B$6:$B$10000,Geometry!$C$6:$C$10000)</f>
        <v>0</v>
      </c>
      <c r="T6905" s="69"/>
      <c r="U6905" s="69"/>
    </row>
    <row r="6906" spans="19:21" ht="15" customHeight="1" x14ac:dyDescent="0.2">
      <c r="S6906" s="69">
        <f>_xlfn.XLOOKUP(Results!A6906,Geometry!$B$6:$B$10000,Geometry!$C$6:$C$10000)</f>
        <v>0</v>
      </c>
      <c r="T6906" s="69"/>
      <c r="U6906" s="69"/>
    </row>
    <row r="6907" spans="19:21" ht="15" customHeight="1" x14ac:dyDescent="0.2">
      <c r="S6907" s="69">
        <f>_xlfn.XLOOKUP(Results!A6907,Geometry!$B$6:$B$10000,Geometry!$C$6:$C$10000)</f>
        <v>0</v>
      </c>
      <c r="T6907" s="69"/>
      <c r="U6907" s="69"/>
    </row>
    <row r="6908" spans="19:21" ht="15" customHeight="1" x14ac:dyDescent="0.2">
      <c r="S6908" s="69">
        <f>_xlfn.XLOOKUP(Results!A6908,Geometry!$B$6:$B$10000,Geometry!$C$6:$C$10000)</f>
        <v>0</v>
      </c>
      <c r="T6908" s="69"/>
      <c r="U6908" s="69"/>
    </row>
    <row r="6909" spans="19:21" ht="15" customHeight="1" x14ac:dyDescent="0.2">
      <c r="S6909" s="69">
        <f>_xlfn.XLOOKUP(Results!A6909,Geometry!$B$6:$B$10000,Geometry!$C$6:$C$10000)</f>
        <v>0</v>
      </c>
      <c r="T6909" s="69"/>
      <c r="U6909" s="69"/>
    </row>
    <row r="6910" spans="19:21" ht="15" customHeight="1" x14ac:dyDescent="0.2">
      <c r="S6910" s="69">
        <f>_xlfn.XLOOKUP(Results!A6910,Geometry!$B$6:$B$10000,Geometry!$C$6:$C$10000)</f>
        <v>0</v>
      </c>
      <c r="T6910" s="69"/>
      <c r="U6910" s="69"/>
    </row>
    <row r="6911" spans="19:21" ht="15" customHeight="1" x14ac:dyDescent="0.2">
      <c r="S6911" s="69">
        <f>_xlfn.XLOOKUP(Results!A6911,Geometry!$B$6:$B$10000,Geometry!$C$6:$C$10000)</f>
        <v>0</v>
      </c>
      <c r="T6911" s="69"/>
      <c r="U6911" s="69"/>
    </row>
    <row r="6912" spans="19:21" ht="15" customHeight="1" x14ac:dyDescent="0.2">
      <c r="S6912" s="69">
        <f>_xlfn.XLOOKUP(Results!A6912,Geometry!$B$6:$B$10000,Geometry!$C$6:$C$10000)</f>
        <v>0</v>
      </c>
      <c r="T6912" s="69"/>
      <c r="U6912" s="69"/>
    </row>
    <row r="6913" spans="19:21" ht="15" customHeight="1" x14ac:dyDescent="0.2">
      <c r="S6913" s="69">
        <f>_xlfn.XLOOKUP(Results!A6913,Geometry!$B$6:$B$10000,Geometry!$C$6:$C$10000)</f>
        <v>0</v>
      </c>
      <c r="T6913" s="69"/>
      <c r="U6913" s="69"/>
    </row>
    <row r="6914" spans="19:21" ht="15" customHeight="1" x14ac:dyDescent="0.2">
      <c r="S6914" s="69">
        <f>_xlfn.XLOOKUP(Results!A6914,Geometry!$B$6:$B$10000,Geometry!$C$6:$C$10000)</f>
        <v>0</v>
      </c>
      <c r="T6914" s="69"/>
      <c r="U6914" s="69"/>
    </row>
    <row r="6915" spans="19:21" ht="15" customHeight="1" x14ac:dyDescent="0.2">
      <c r="S6915" s="69">
        <f>_xlfn.XLOOKUP(Results!A6915,Geometry!$B$6:$B$10000,Geometry!$C$6:$C$10000)</f>
        <v>0</v>
      </c>
      <c r="T6915" s="69"/>
      <c r="U6915" s="69"/>
    </row>
    <row r="6916" spans="19:21" ht="15" customHeight="1" x14ac:dyDescent="0.2">
      <c r="S6916" s="69">
        <f>_xlfn.XLOOKUP(Results!A6916,Geometry!$B$6:$B$10000,Geometry!$C$6:$C$10000)</f>
        <v>0</v>
      </c>
      <c r="T6916" s="69"/>
      <c r="U6916" s="69"/>
    </row>
    <row r="6917" spans="19:21" ht="15" customHeight="1" x14ac:dyDescent="0.2">
      <c r="S6917" s="69">
        <f>_xlfn.XLOOKUP(Results!A6917,Geometry!$B$6:$B$10000,Geometry!$C$6:$C$10000)</f>
        <v>0</v>
      </c>
      <c r="T6917" s="69"/>
      <c r="U6917" s="69"/>
    </row>
    <row r="6918" spans="19:21" ht="15" customHeight="1" x14ac:dyDescent="0.2">
      <c r="S6918" s="69">
        <f>_xlfn.XLOOKUP(Results!A6918,Geometry!$B$6:$B$10000,Geometry!$C$6:$C$10000)</f>
        <v>0</v>
      </c>
      <c r="T6918" s="69"/>
      <c r="U6918" s="69"/>
    </row>
    <row r="6919" spans="19:21" ht="15" customHeight="1" x14ac:dyDescent="0.2">
      <c r="S6919" s="69">
        <f>_xlfn.XLOOKUP(Results!A6919,Geometry!$B$6:$B$10000,Geometry!$C$6:$C$10000)</f>
        <v>0</v>
      </c>
      <c r="T6919" s="69"/>
      <c r="U6919" s="69"/>
    </row>
    <row r="6920" spans="19:21" ht="15" customHeight="1" x14ac:dyDescent="0.2">
      <c r="S6920" s="69">
        <f>_xlfn.XLOOKUP(Results!A6920,Geometry!$B$6:$B$10000,Geometry!$C$6:$C$10000)</f>
        <v>0</v>
      </c>
      <c r="T6920" s="69"/>
      <c r="U6920" s="69"/>
    </row>
    <row r="6921" spans="19:21" ht="15" customHeight="1" x14ac:dyDescent="0.2">
      <c r="S6921" s="69">
        <f>_xlfn.XLOOKUP(Results!A6921,Geometry!$B$6:$B$10000,Geometry!$C$6:$C$10000)</f>
        <v>0</v>
      </c>
      <c r="T6921" s="69"/>
      <c r="U6921" s="69"/>
    </row>
    <row r="6922" spans="19:21" ht="15" customHeight="1" x14ac:dyDescent="0.2">
      <c r="S6922" s="69">
        <f>_xlfn.XLOOKUP(Results!A6922,Geometry!$B$6:$B$10000,Geometry!$C$6:$C$10000)</f>
        <v>0</v>
      </c>
      <c r="T6922" s="69"/>
      <c r="U6922" s="69"/>
    </row>
    <row r="6923" spans="19:21" ht="15" customHeight="1" x14ac:dyDescent="0.2">
      <c r="S6923" s="69">
        <f>_xlfn.XLOOKUP(Results!A6923,Geometry!$B$6:$B$10000,Geometry!$C$6:$C$10000)</f>
        <v>0</v>
      </c>
      <c r="T6923" s="69"/>
      <c r="U6923" s="69"/>
    </row>
    <row r="6924" spans="19:21" ht="15" customHeight="1" x14ac:dyDescent="0.2">
      <c r="S6924" s="69">
        <f>_xlfn.XLOOKUP(Results!A6924,Geometry!$B$6:$B$10000,Geometry!$C$6:$C$10000)</f>
        <v>0</v>
      </c>
      <c r="T6924" s="69"/>
      <c r="U6924" s="69"/>
    </row>
    <row r="6925" spans="19:21" ht="15" customHeight="1" x14ac:dyDescent="0.2">
      <c r="S6925" s="69">
        <f>_xlfn.XLOOKUP(Results!A6925,Geometry!$B$6:$B$10000,Geometry!$C$6:$C$10000)</f>
        <v>0</v>
      </c>
      <c r="T6925" s="69"/>
      <c r="U6925" s="69"/>
    </row>
    <row r="6926" spans="19:21" ht="15" customHeight="1" x14ac:dyDescent="0.2">
      <c r="S6926" s="69">
        <f>_xlfn.XLOOKUP(Results!A6926,Geometry!$B$6:$B$10000,Geometry!$C$6:$C$10000)</f>
        <v>0</v>
      </c>
      <c r="T6926" s="69"/>
      <c r="U6926" s="69"/>
    </row>
    <row r="6927" spans="19:21" ht="15" customHeight="1" x14ac:dyDescent="0.2">
      <c r="S6927" s="69">
        <f>_xlfn.XLOOKUP(Results!A6927,Geometry!$B$6:$B$10000,Geometry!$C$6:$C$10000)</f>
        <v>0</v>
      </c>
      <c r="T6927" s="69"/>
      <c r="U6927" s="69"/>
    </row>
    <row r="6928" spans="19:21" ht="15" customHeight="1" x14ac:dyDescent="0.2">
      <c r="S6928" s="69">
        <f>_xlfn.XLOOKUP(Results!A6928,Geometry!$B$6:$B$10000,Geometry!$C$6:$C$10000)</f>
        <v>0</v>
      </c>
      <c r="T6928" s="69"/>
      <c r="U6928" s="69"/>
    </row>
    <row r="6929" spans="19:21" ht="15" customHeight="1" x14ac:dyDescent="0.2">
      <c r="S6929" s="69">
        <f>_xlfn.XLOOKUP(Results!A6929,Geometry!$B$6:$B$10000,Geometry!$C$6:$C$10000)</f>
        <v>0</v>
      </c>
      <c r="T6929" s="69"/>
      <c r="U6929" s="69"/>
    </row>
    <row r="6930" spans="19:21" ht="15" customHeight="1" x14ac:dyDescent="0.2">
      <c r="S6930" s="69">
        <f>_xlfn.XLOOKUP(Results!A6930,Geometry!$B$6:$B$10000,Geometry!$C$6:$C$10000)</f>
        <v>0</v>
      </c>
      <c r="T6930" s="69"/>
      <c r="U6930" s="69"/>
    </row>
    <row r="6931" spans="19:21" ht="15" customHeight="1" x14ac:dyDescent="0.2">
      <c r="S6931" s="69">
        <f>_xlfn.XLOOKUP(Results!A6931,Geometry!$B$6:$B$10000,Geometry!$C$6:$C$10000)</f>
        <v>0</v>
      </c>
      <c r="T6931" s="69"/>
      <c r="U6931" s="69"/>
    </row>
    <row r="6932" spans="19:21" ht="15" customHeight="1" x14ac:dyDescent="0.2">
      <c r="S6932" s="69">
        <f>_xlfn.XLOOKUP(Results!A6932,Geometry!$B$6:$B$10000,Geometry!$C$6:$C$10000)</f>
        <v>0</v>
      </c>
      <c r="T6932" s="69"/>
      <c r="U6932" s="69"/>
    </row>
    <row r="6933" spans="19:21" ht="15" customHeight="1" x14ac:dyDescent="0.2">
      <c r="S6933" s="69">
        <f>_xlfn.XLOOKUP(Results!A6933,Geometry!$B$6:$B$10000,Geometry!$C$6:$C$10000)</f>
        <v>0</v>
      </c>
      <c r="T6933" s="69"/>
      <c r="U6933" s="69"/>
    </row>
    <row r="6934" spans="19:21" ht="15" customHeight="1" x14ac:dyDescent="0.2">
      <c r="S6934" s="69">
        <f>_xlfn.XLOOKUP(Results!A6934,Geometry!$B$6:$B$10000,Geometry!$C$6:$C$10000)</f>
        <v>0</v>
      </c>
      <c r="T6934" s="69"/>
      <c r="U6934" s="69"/>
    </row>
    <row r="6935" spans="19:21" ht="15" customHeight="1" x14ac:dyDescent="0.2">
      <c r="S6935" s="69">
        <f>_xlfn.XLOOKUP(Results!A6935,Geometry!$B$6:$B$10000,Geometry!$C$6:$C$10000)</f>
        <v>0</v>
      </c>
      <c r="T6935" s="69"/>
      <c r="U6935" s="69"/>
    </row>
    <row r="6936" spans="19:21" ht="15" customHeight="1" x14ac:dyDescent="0.2">
      <c r="S6936" s="69">
        <f>_xlfn.XLOOKUP(Results!A6936,Geometry!$B$6:$B$10000,Geometry!$C$6:$C$10000)</f>
        <v>0</v>
      </c>
      <c r="T6936" s="69"/>
      <c r="U6936" s="69"/>
    </row>
    <row r="6937" spans="19:21" ht="15" customHeight="1" x14ac:dyDescent="0.2">
      <c r="S6937" s="69">
        <f>_xlfn.XLOOKUP(Results!A6937,Geometry!$B$6:$B$10000,Geometry!$C$6:$C$10000)</f>
        <v>0</v>
      </c>
      <c r="T6937" s="69"/>
      <c r="U6937" s="69"/>
    </row>
    <row r="6938" spans="19:21" ht="15" customHeight="1" x14ac:dyDescent="0.2">
      <c r="S6938" s="69">
        <f>_xlfn.XLOOKUP(Results!A6938,Geometry!$B$6:$B$10000,Geometry!$C$6:$C$10000)</f>
        <v>0</v>
      </c>
      <c r="T6938" s="69"/>
      <c r="U6938" s="69"/>
    </row>
    <row r="6939" spans="19:21" ht="15" customHeight="1" x14ac:dyDescent="0.2">
      <c r="S6939" s="69">
        <f>_xlfn.XLOOKUP(Results!A6939,Geometry!$B$6:$B$10000,Geometry!$C$6:$C$10000)</f>
        <v>0</v>
      </c>
      <c r="T6939" s="69"/>
      <c r="U6939" s="69"/>
    </row>
    <row r="6940" spans="19:21" ht="15" customHeight="1" x14ac:dyDescent="0.2">
      <c r="S6940" s="69">
        <f>_xlfn.XLOOKUP(Results!A6940,Geometry!$B$6:$B$10000,Geometry!$C$6:$C$10000)</f>
        <v>0</v>
      </c>
      <c r="T6940" s="69"/>
      <c r="U6940" s="69"/>
    </row>
    <row r="6941" spans="19:21" ht="15" customHeight="1" x14ac:dyDescent="0.2">
      <c r="S6941" s="69">
        <f>_xlfn.XLOOKUP(Results!A6941,Geometry!$B$6:$B$10000,Geometry!$C$6:$C$10000)</f>
        <v>0</v>
      </c>
      <c r="T6941" s="69"/>
      <c r="U6941" s="69"/>
    </row>
    <row r="6942" spans="19:21" ht="15" customHeight="1" x14ac:dyDescent="0.2">
      <c r="S6942" s="69">
        <f>_xlfn.XLOOKUP(Results!A6942,Geometry!$B$6:$B$10000,Geometry!$C$6:$C$10000)</f>
        <v>0</v>
      </c>
      <c r="T6942" s="69"/>
      <c r="U6942" s="69"/>
    </row>
    <row r="6943" spans="19:21" ht="15" customHeight="1" x14ac:dyDescent="0.2">
      <c r="S6943" s="69">
        <f>_xlfn.XLOOKUP(Results!A6943,Geometry!$B$6:$B$10000,Geometry!$C$6:$C$10000)</f>
        <v>0</v>
      </c>
      <c r="T6943" s="69"/>
      <c r="U6943" s="69"/>
    </row>
    <row r="6944" spans="19:21" ht="15" customHeight="1" x14ac:dyDescent="0.2">
      <c r="S6944" s="69">
        <f>_xlfn.XLOOKUP(Results!A6944,Geometry!$B$6:$B$10000,Geometry!$C$6:$C$10000)</f>
        <v>0</v>
      </c>
      <c r="T6944" s="69"/>
      <c r="U6944" s="69"/>
    </row>
    <row r="6945" spans="19:21" ht="15" customHeight="1" x14ac:dyDescent="0.2">
      <c r="S6945" s="69">
        <f>_xlfn.XLOOKUP(Results!A6945,Geometry!$B$6:$B$10000,Geometry!$C$6:$C$10000)</f>
        <v>0</v>
      </c>
      <c r="T6945" s="69"/>
      <c r="U6945" s="69"/>
    </row>
    <row r="6946" spans="19:21" ht="15" customHeight="1" x14ac:dyDescent="0.2">
      <c r="S6946" s="69">
        <f>_xlfn.XLOOKUP(Results!A6946,Geometry!$B$6:$B$10000,Geometry!$C$6:$C$10000)</f>
        <v>0</v>
      </c>
      <c r="T6946" s="69"/>
      <c r="U6946" s="69"/>
    </row>
    <row r="6947" spans="19:21" ht="15" customHeight="1" x14ac:dyDescent="0.2">
      <c r="S6947" s="69">
        <f>_xlfn.XLOOKUP(Results!A6947,Geometry!$B$6:$B$10000,Geometry!$C$6:$C$10000)</f>
        <v>0</v>
      </c>
      <c r="T6947" s="69"/>
      <c r="U6947" s="69"/>
    </row>
    <row r="6948" spans="19:21" ht="15" customHeight="1" x14ac:dyDescent="0.2">
      <c r="S6948" s="69">
        <f>_xlfn.XLOOKUP(Results!A6948,Geometry!$B$6:$B$10000,Geometry!$C$6:$C$10000)</f>
        <v>0</v>
      </c>
      <c r="T6948" s="69"/>
      <c r="U6948" s="69"/>
    </row>
    <row r="6949" spans="19:21" ht="15" customHeight="1" x14ac:dyDescent="0.2">
      <c r="S6949" s="69">
        <f>_xlfn.XLOOKUP(Results!A6949,Geometry!$B$6:$B$10000,Geometry!$C$6:$C$10000)</f>
        <v>0</v>
      </c>
      <c r="T6949" s="69"/>
      <c r="U6949" s="69"/>
    </row>
    <row r="6950" spans="19:21" ht="15" customHeight="1" x14ac:dyDescent="0.2">
      <c r="S6950" s="69">
        <f>_xlfn.XLOOKUP(Results!A6950,Geometry!$B$6:$B$10000,Geometry!$C$6:$C$10000)</f>
        <v>0</v>
      </c>
      <c r="T6950" s="69"/>
      <c r="U6950" s="69"/>
    </row>
    <row r="6951" spans="19:21" ht="15" customHeight="1" x14ac:dyDescent="0.2">
      <c r="S6951" s="69">
        <f>_xlfn.XLOOKUP(Results!A6951,Geometry!$B$6:$B$10000,Geometry!$C$6:$C$10000)</f>
        <v>0</v>
      </c>
      <c r="T6951" s="69"/>
      <c r="U6951" s="69"/>
    </row>
    <row r="6952" spans="19:21" ht="15" customHeight="1" x14ac:dyDescent="0.2">
      <c r="S6952" s="69">
        <f>_xlfn.XLOOKUP(Results!A6952,Geometry!$B$6:$B$10000,Geometry!$C$6:$C$10000)</f>
        <v>0</v>
      </c>
      <c r="T6952" s="69"/>
      <c r="U6952" s="69"/>
    </row>
    <row r="6953" spans="19:21" ht="15" customHeight="1" x14ac:dyDescent="0.2">
      <c r="S6953" s="69">
        <f>_xlfn.XLOOKUP(Results!A6953,Geometry!$B$6:$B$10000,Geometry!$C$6:$C$10000)</f>
        <v>0</v>
      </c>
      <c r="T6953" s="69"/>
      <c r="U6953" s="69"/>
    </row>
    <row r="6954" spans="19:21" ht="15" customHeight="1" x14ac:dyDescent="0.2">
      <c r="S6954" s="69">
        <f>_xlfn.XLOOKUP(Results!A6954,Geometry!$B$6:$B$10000,Geometry!$C$6:$C$10000)</f>
        <v>0</v>
      </c>
      <c r="T6954" s="69"/>
      <c r="U6954" s="69"/>
    </row>
    <row r="6955" spans="19:21" ht="15" customHeight="1" x14ac:dyDescent="0.2">
      <c r="S6955" s="69">
        <f>_xlfn.XLOOKUP(Results!A6955,Geometry!$B$6:$B$10000,Geometry!$C$6:$C$10000)</f>
        <v>0</v>
      </c>
      <c r="T6955" s="69"/>
      <c r="U6955" s="69"/>
    </row>
    <row r="6956" spans="19:21" ht="15" customHeight="1" x14ac:dyDescent="0.2">
      <c r="S6956" s="69">
        <f>_xlfn.XLOOKUP(Results!A6956,Geometry!$B$6:$B$10000,Geometry!$C$6:$C$10000)</f>
        <v>0</v>
      </c>
      <c r="T6956" s="69"/>
      <c r="U6956" s="69"/>
    </row>
    <row r="6957" spans="19:21" ht="15" customHeight="1" x14ac:dyDescent="0.2">
      <c r="S6957" s="69">
        <f>_xlfn.XLOOKUP(Results!A6957,Geometry!$B$6:$B$10000,Geometry!$C$6:$C$10000)</f>
        <v>0</v>
      </c>
      <c r="T6957" s="69"/>
      <c r="U6957" s="69"/>
    </row>
    <row r="6958" spans="19:21" ht="15" customHeight="1" x14ac:dyDescent="0.2">
      <c r="S6958" s="69">
        <f>_xlfn.XLOOKUP(Results!A6958,Geometry!$B$6:$B$10000,Geometry!$C$6:$C$10000)</f>
        <v>0</v>
      </c>
      <c r="T6958" s="69"/>
      <c r="U6958" s="69"/>
    </row>
    <row r="6959" spans="19:21" ht="15" customHeight="1" x14ac:dyDescent="0.2">
      <c r="S6959" s="69">
        <f>_xlfn.XLOOKUP(Results!A6959,Geometry!$B$6:$B$10000,Geometry!$C$6:$C$10000)</f>
        <v>0</v>
      </c>
      <c r="T6959" s="69"/>
      <c r="U6959" s="69"/>
    </row>
    <row r="6960" spans="19:21" ht="15" customHeight="1" x14ac:dyDescent="0.2">
      <c r="S6960" s="69">
        <f>_xlfn.XLOOKUP(Results!A6960,Geometry!$B$6:$B$10000,Geometry!$C$6:$C$10000)</f>
        <v>0</v>
      </c>
      <c r="T6960" s="69"/>
      <c r="U6960" s="69"/>
    </row>
    <row r="6961" spans="19:21" ht="15" customHeight="1" x14ac:dyDescent="0.2">
      <c r="S6961" s="69">
        <f>_xlfn.XLOOKUP(Results!A6961,Geometry!$B$6:$B$10000,Geometry!$C$6:$C$10000)</f>
        <v>0</v>
      </c>
      <c r="T6961" s="69"/>
      <c r="U6961" s="69"/>
    </row>
    <row r="6962" spans="19:21" ht="15" customHeight="1" x14ac:dyDescent="0.2">
      <c r="S6962" s="69">
        <f>_xlfn.XLOOKUP(Results!A6962,Geometry!$B$6:$B$10000,Geometry!$C$6:$C$10000)</f>
        <v>0</v>
      </c>
      <c r="T6962" s="69"/>
      <c r="U6962" s="69"/>
    </row>
    <row r="6963" spans="19:21" ht="15" customHeight="1" x14ac:dyDescent="0.2">
      <c r="S6963" s="69">
        <f>_xlfn.XLOOKUP(Results!A6963,Geometry!$B$6:$B$10000,Geometry!$C$6:$C$10000)</f>
        <v>0</v>
      </c>
      <c r="T6963" s="69"/>
      <c r="U6963" s="69"/>
    </row>
    <row r="6964" spans="19:21" ht="15" customHeight="1" x14ac:dyDescent="0.2">
      <c r="S6964" s="69">
        <f>_xlfn.XLOOKUP(Results!A6964,Geometry!$B$6:$B$10000,Geometry!$C$6:$C$10000)</f>
        <v>0</v>
      </c>
      <c r="T6964" s="69"/>
      <c r="U6964" s="69"/>
    </row>
    <row r="6965" spans="19:21" ht="15" customHeight="1" x14ac:dyDescent="0.2">
      <c r="S6965" s="69">
        <f>_xlfn.XLOOKUP(Results!A6965,Geometry!$B$6:$B$10000,Geometry!$C$6:$C$10000)</f>
        <v>0</v>
      </c>
      <c r="T6965" s="69"/>
      <c r="U6965" s="69"/>
    </row>
    <row r="6966" spans="19:21" ht="15" customHeight="1" x14ac:dyDescent="0.2">
      <c r="S6966" s="69">
        <f>_xlfn.XLOOKUP(Results!A6966,Geometry!$B$6:$B$10000,Geometry!$C$6:$C$10000)</f>
        <v>0</v>
      </c>
      <c r="T6966" s="69"/>
      <c r="U6966" s="69"/>
    </row>
    <row r="6967" spans="19:21" ht="15" customHeight="1" x14ac:dyDescent="0.2">
      <c r="S6967" s="69">
        <f>_xlfn.XLOOKUP(Results!A6967,Geometry!$B$6:$B$10000,Geometry!$C$6:$C$10000)</f>
        <v>0</v>
      </c>
      <c r="T6967" s="69"/>
      <c r="U6967" s="69"/>
    </row>
    <row r="6968" spans="19:21" ht="15" customHeight="1" x14ac:dyDescent="0.2">
      <c r="S6968" s="69">
        <f>_xlfn.XLOOKUP(Results!A6968,Geometry!$B$6:$B$10000,Geometry!$C$6:$C$10000)</f>
        <v>0</v>
      </c>
      <c r="T6968" s="69"/>
      <c r="U6968" s="69"/>
    </row>
    <row r="6969" spans="19:21" ht="15" customHeight="1" x14ac:dyDescent="0.2">
      <c r="S6969" s="69">
        <f>_xlfn.XLOOKUP(Results!A6969,Geometry!$B$6:$B$10000,Geometry!$C$6:$C$10000)</f>
        <v>0</v>
      </c>
      <c r="T6969" s="69"/>
      <c r="U6969" s="69"/>
    </row>
    <row r="6970" spans="19:21" ht="15" customHeight="1" x14ac:dyDescent="0.2">
      <c r="S6970" s="69">
        <f>_xlfn.XLOOKUP(Results!A6970,Geometry!$B$6:$B$10000,Geometry!$C$6:$C$10000)</f>
        <v>0</v>
      </c>
      <c r="T6970" s="69"/>
      <c r="U6970" s="69"/>
    </row>
    <row r="6971" spans="19:21" ht="15" customHeight="1" x14ac:dyDescent="0.2">
      <c r="S6971" s="69">
        <f>_xlfn.XLOOKUP(Results!A6971,Geometry!$B$6:$B$10000,Geometry!$C$6:$C$10000)</f>
        <v>0</v>
      </c>
      <c r="T6971" s="69"/>
      <c r="U6971" s="69"/>
    </row>
    <row r="6972" spans="19:21" ht="15" customHeight="1" x14ac:dyDescent="0.2">
      <c r="S6972" s="69">
        <f>_xlfn.XLOOKUP(Results!A6972,Geometry!$B$6:$B$10000,Geometry!$C$6:$C$10000)</f>
        <v>0</v>
      </c>
      <c r="T6972" s="69"/>
      <c r="U6972" s="69"/>
    </row>
    <row r="6973" spans="19:21" ht="15" customHeight="1" x14ac:dyDescent="0.2">
      <c r="S6973" s="69">
        <f>_xlfn.XLOOKUP(Results!A6973,Geometry!$B$6:$B$10000,Geometry!$C$6:$C$10000)</f>
        <v>0</v>
      </c>
      <c r="T6973" s="69"/>
      <c r="U6973" s="69"/>
    </row>
    <row r="6974" spans="19:21" ht="15" customHeight="1" x14ac:dyDescent="0.2">
      <c r="S6974" s="69">
        <f>_xlfn.XLOOKUP(Results!A6974,Geometry!$B$6:$B$10000,Geometry!$C$6:$C$10000)</f>
        <v>0</v>
      </c>
      <c r="T6974" s="69"/>
      <c r="U6974" s="69"/>
    </row>
    <row r="6975" spans="19:21" ht="15" customHeight="1" x14ac:dyDescent="0.2">
      <c r="S6975" s="69">
        <f>_xlfn.XLOOKUP(Results!A6975,Geometry!$B$6:$B$10000,Geometry!$C$6:$C$10000)</f>
        <v>0</v>
      </c>
      <c r="T6975" s="69"/>
      <c r="U6975" s="69"/>
    </row>
    <row r="6976" spans="19:21" ht="15" customHeight="1" x14ac:dyDescent="0.2">
      <c r="S6976" s="69">
        <f>_xlfn.XLOOKUP(Results!A6976,Geometry!$B$6:$B$10000,Geometry!$C$6:$C$10000)</f>
        <v>0</v>
      </c>
      <c r="T6976" s="69"/>
      <c r="U6976" s="69"/>
    </row>
    <row r="6977" spans="19:21" ht="15" customHeight="1" x14ac:dyDescent="0.2">
      <c r="S6977" s="69">
        <f>_xlfn.XLOOKUP(Results!A6977,Geometry!$B$6:$B$10000,Geometry!$C$6:$C$10000)</f>
        <v>0</v>
      </c>
      <c r="T6977" s="69"/>
      <c r="U6977" s="69"/>
    </row>
    <row r="6978" spans="19:21" ht="15" customHeight="1" x14ac:dyDescent="0.2">
      <c r="S6978" s="69">
        <f>_xlfn.XLOOKUP(Results!A6978,Geometry!$B$6:$B$10000,Geometry!$C$6:$C$10000)</f>
        <v>0</v>
      </c>
      <c r="T6978" s="69"/>
      <c r="U6978" s="69"/>
    </row>
    <row r="6979" spans="19:21" ht="15" customHeight="1" x14ac:dyDescent="0.2">
      <c r="S6979" s="69">
        <f>_xlfn.XLOOKUP(Results!A6979,Geometry!$B$6:$B$10000,Geometry!$C$6:$C$10000)</f>
        <v>0</v>
      </c>
      <c r="T6979" s="69"/>
      <c r="U6979" s="69"/>
    </row>
    <row r="6980" spans="19:21" ht="15" customHeight="1" x14ac:dyDescent="0.2">
      <c r="S6980" s="69">
        <f>_xlfn.XLOOKUP(Results!A6980,Geometry!$B$6:$B$10000,Geometry!$C$6:$C$10000)</f>
        <v>0</v>
      </c>
      <c r="T6980" s="69"/>
      <c r="U6980" s="69"/>
    </row>
    <row r="6981" spans="19:21" ht="15" customHeight="1" x14ac:dyDescent="0.2">
      <c r="S6981" s="69">
        <f>_xlfn.XLOOKUP(Results!A6981,Geometry!$B$6:$B$10000,Geometry!$C$6:$C$10000)</f>
        <v>0</v>
      </c>
      <c r="T6981" s="69"/>
      <c r="U6981" s="69"/>
    </row>
    <row r="6982" spans="19:21" ht="15" customHeight="1" x14ac:dyDescent="0.2">
      <c r="S6982" s="69">
        <f>_xlfn.XLOOKUP(Results!A6982,Geometry!$B$6:$B$10000,Geometry!$C$6:$C$10000)</f>
        <v>0</v>
      </c>
      <c r="T6982" s="69"/>
      <c r="U6982" s="69"/>
    </row>
    <row r="6983" spans="19:21" ht="15" customHeight="1" x14ac:dyDescent="0.2">
      <c r="S6983" s="69">
        <f>_xlfn.XLOOKUP(Results!A6983,Geometry!$B$6:$B$10000,Geometry!$C$6:$C$10000)</f>
        <v>0</v>
      </c>
      <c r="T6983" s="69"/>
      <c r="U6983" s="69"/>
    </row>
    <row r="6984" spans="19:21" ht="15" customHeight="1" x14ac:dyDescent="0.2">
      <c r="S6984" s="69">
        <f>_xlfn.XLOOKUP(Results!A6984,Geometry!$B$6:$B$10000,Geometry!$C$6:$C$10000)</f>
        <v>0</v>
      </c>
      <c r="T6984" s="69"/>
      <c r="U6984" s="69"/>
    </row>
    <row r="6985" spans="19:21" ht="15" customHeight="1" x14ac:dyDescent="0.2">
      <c r="S6985" s="69">
        <f>_xlfn.XLOOKUP(Results!A6985,Geometry!$B$6:$B$10000,Geometry!$C$6:$C$10000)</f>
        <v>0</v>
      </c>
      <c r="T6985" s="69"/>
      <c r="U6985" s="69"/>
    </row>
    <row r="6986" spans="19:21" ht="15" customHeight="1" x14ac:dyDescent="0.2">
      <c r="S6986" s="69">
        <f>_xlfn.XLOOKUP(Results!A6986,Geometry!$B$6:$B$10000,Geometry!$C$6:$C$10000)</f>
        <v>0</v>
      </c>
      <c r="T6986" s="69"/>
      <c r="U6986" s="69"/>
    </row>
    <row r="6987" spans="19:21" ht="15" customHeight="1" x14ac:dyDescent="0.2">
      <c r="S6987" s="69">
        <f>_xlfn.XLOOKUP(Results!A6987,Geometry!$B$6:$B$10000,Geometry!$C$6:$C$10000)</f>
        <v>0</v>
      </c>
      <c r="T6987" s="69"/>
      <c r="U6987" s="69"/>
    </row>
    <row r="6988" spans="19:21" ht="15" customHeight="1" x14ac:dyDescent="0.2">
      <c r="S6988" s="69">
        <f>_xlfn.XLOOKUP(Results!A6988,Geometry!$B$6:$B$10000,Geometry!$C$6:$C$10000)</f>
        <v>0</v>
      </c>
      <c r="T6988" s="69"/>
      <c r="U6988" s="69"/>
    </row>
    <row r="6989" spans="19:21" ht="15" customHeight="1" x14ac:dyDescent="0.2">
      <c r="S6989" s="69">
        <f>_xlfn.XLOOKUP(Results!A6989,Geometry!$B$6:$B$10000,Geometry!$C$6:$C$10000)</f>
        <v>0</v>
      </c>
      <c r="T6989" s="69"/>
      <c r="U6989" s="69"/>
    </row>
    <row r="6990" spans="19:21" ht="15" customHeight="1" x14ac:dyDescent="0.2">
      <c r="S6990" s="69">
        <f>_xlfn.XLOOKUP(Results!A6990,Geometry!$B$6:$B$10000,Geometry!$C$6:$C$10000)</f>
        <v>0</v>
      </c>
      <c r="T6990" s="69"/>
      <c r="U6990" s="69"/>
    </row>
    <row r="6991" spans="19:21" ht="15" customHeight="1" x14ac:dyDescent="0.2">
      <c r="S6991" s="69">
        <f>_xlfn.XLOOKUP(Results!A6991,Geometry!$B$6:$B$10000,Geometry!$C$6:$C$10000)</f>
        <v>0</v>
      </c>
      <c r="T6991" s="69"/>
      <c r="U6991" s="69"/>
    </row>
    <row r="6992" spans="19:21" ht="15" customHeight="1" x14ac:dyDescent="0.2">
      <c r="S6992" s="69">
        <f>_xlfn.XLOOKUP(Results!A6992,Geometry!$B$6:$B$10000,Geometry!$C$6:$C$10000)</f>
        <v>0</v>
      </c>
      <c r="T6992" s="69"/>
      <c r="U6992" s="69"/>
    </row>
    <row r="6993" spans="19:21" ht="15" customHeight="1" x14ac:dyDescent="0.2">
      <c r="S6993" s="69">
        <f>_xlfn.XLOOKUP(Results!A6993,Geometry!$B$6:$B$10000,Geometry!$C$6:$C$10000)</f>
        <v>0</v>
      </c>
      <c r="T6993" s="69"/>
      <c r="U6993" s="69"/>
    </row>
    <row r="6994" spans="19:21" ht="15" customHeight="1" x14ac:dyDescent="0.2">
      <c r="S6994" s="69">
        <f>_xlfn.XLOOKUP(Results!A6994,Geometry!$B$6:$B$10000,Geometry!$C$6:$C$10000)</f>
        <v>0</v>
      </c>
      <c r="T6994" s="69"/>
      <c r="U6994" s="69"/>
    </row>
    <row r="6995" spans="19:21" ht="15" customHeight="1" x14ac:dyDescent="0.2">
      <c r="S6995" s="69">
        <f>_xlfn.XLOOKUP(Results!A6995,Geometry!$B$6:$B$10000,Geometry!$C$6:$C$10000)</f>
        <v>0</v>
      </c>
      <c r="T6995" s="69"/>
      <c r="U6995" s="69"/>
    </row>
    <row r="6996" spans="19:21" ht="15" customHeight="1" x14ac:dyDescent="0.2">
      <c r="S6996" s="69">
        <f>_xlfn.XLOOKUP(Results!A6996,Geometry!$B$6:$B$10000,Geometry!$C$6:$C$10000)</f>
        <v>0</v>
      </c>
      <c r="T6996" s="69"/>
      <c r="U6996" s="69"/>
    </row>
    <row r="6997" spans="19:21" ht="15" customHeight="1" x14ac:dyDescent="0.2">
      <c r="S6997" s="69">
        <f>_xlfn.XLOOKUP(Results!A6997,Geometry!$B$6:$B$10000,Geometry!$C$6:$C$10000)</f>
        <v>0</v>
      </c>
      <c r="T6997" s="69"/>
      <c r="U6997" s="69"/>
    </row>
    <row r="6998" spans="19:21" ht="15" customHeight="1" x14ac:dyDescent="0.2">
      <c r="S6998" s="69">
        <f>_xlfn.XLOOKUP(Results!A6998,Geometry!$B$6:$B$10000,Geometry!$C$6:$C$10000)</f>
        <v>0</v>
      </c>
      <c r="T6998" s="69"/>
      <c r="U6998" s="69"/>
    </row>
    <row r="6999" spans="19:21" ht="15" customHeight="1" x14ac:dyDescent="0.2">
      <c r="S6999" s="69">
        <f>_xlfn.XLOOKUP(Results!A6999,Geometry!$B$6:$B$10000,Geometry!$C$6:$C$10000)</f>
        <v>0</v>
      </c>
      <c r="T6999" s="69"/>
      <c r="U6999" s="69"/>
    </row>
    <row r="7000" spans="19:21" ht="15" customHeight="1" x14ac:dyDescent="0.2">
      <c r="S7000" s="69">
        <f>_xlfn.XLOOKUP(Results!A7000,Geometry!$B$6:$B$10000,Geometry!$C$6:$C$10000)</f>
        <v>0</v>
      </c>
      <c r="T7000" s="69"/>
      <c r="U7000" s="69"/>
    </row>
    <row r="7001" spans="19:21" ht="15" customHeight="1" x14ac:dyDescent="0.2">
      <c r="S7001" s="69">
        <f>_xlfn.XLOOKUP(Results!A7001,Geometry!$B$6:$B$10000,Geometry!$C$6:$C$10000)</f>
        <v>0</v>
      </c>
      <c r="T7001" s="69"/>
      <c r="U7001" s="69"/>
    </row>
    <row r="7002" spans="19:21" ht="15" customHeight="1" x14ac:dyDescent="0.2">
      <c r="S7002" s="69">
        <f>_xlfn.XLOOKUP(Results!A7002,Geometry!$B$6:$B$10000,Geometry!$C$6:$C$10000)</f>
        <v>0</v>
      </c>
      <c r="T7002" s="69"/>
      <c r="U7002" s="69"/>
    </row>
    <row r="7003" spans="19:21" ht="15" customHeight="1" x14ac:dyDescent="0.2">
      <c r="S7003" s="69">
        <f>_xlfn.XLOOKUP(Results!A7003,Geometry!$B$6:$B$10000,Geometry!$C$6:$C$10000)</f>
        <v>0</v>
      </c>
      <c r="T7003" s="69"/>
      <c r="U7003" s="69"/>
    </row>
    <row r="7004" spans="19:21" ht="15" customHeight="1" x14ac:dyDescent="0.2">
      <c r="S7004" s="69">
        <f>_xlfn.XLOOKUP(Results!A7004,Geometry!$B$6:$B$10000,Geometry!$C$6:$C$10000)</f>
        <v>0</v>
      </c>
      <c r="T7004" s="69"/>
      <c r="U7004" s="69"/>
    </row>
    <row r="7005" spans="19:21" ht="15" customHeight="1" x14ac:dyDescent="0.2">
      <c r="S7005" s="69">
        <f>_xlfn.XLOOKUP(Results!A7005,Geometry!$B$6:$B$10000,Geometry!$C$6:$C$10000)</f>
        <v>0</v>
      </c>
      <c r="T7005" s="69"/>
      <c r="U7005" s="69"/>
    </row>
    <row r="7006" spans="19:21" ht="15" customHeight="1" x14ac:dyDescent="0.2">
      <c r="S7006" s="69">
        <f>_xlfn.XLOOKUP(Results!A7006,Geometry!$B$6:$B$10000,Geometry!$C$6:$C$10000)</f>
        <v>0</v>
      </c>
      <c r="T7006" s="69"/>
      <c r="U7006" s="69"/>
    </row>
    <row r="7007" spans="19:21" ht="15" customHeight="1" x14ac:dyDescent="0.2">
      <c r="S7007" s="69">
        <f>_xlfn.XLOOKUP(Results!A7007,Geometry!$B$6:$B$10000,Geometry!$C$6:$C$10000)</f>
        <v>0</v>
      </c>
      <c r="T7007" s="69"/>
      <c r="U7007" s="69"/>
    </row>
    <row r="7008" spans="19:21" ht="15" customHeight="1" x14ac:dyDescent="0.2">
      <c r="S7008" s="69">
        <f>_xlfn.XLOOKUP(Results!A7008,Geometry!$B$6:$B$10000,Geometry!$C$6:$C$10000)</f>
        <v>0</v>
      </c>
      <c r="T7008" s="69"/>
      <c r="U7008" s="69"/>
    </row>
    <row r="7009" spans="19:21" ht="15" customHeight="1" x14ac:dyDescent="0.2">
      <c r="S7009" s="69">
        <f>_xlfn.XLOOKUP(Results!A7009,Geometry!$B$6:$B$10000,Geometry!$C$6:$C$10000)</f>
        <v>0</v>
      </c>
      <c r="T7009" s="69"/>
      <c r="U7009" s="69"/>
    </row>
    <row r="7010" spans="19:21" ht="15" customHeight="1" x14ac:dyDescent="0.2">
      <c r="S7010" s="69">
        <f>_xlfn.XLOOKUP(Results!A7010,Geometry!$B$6:$B$10000,Geometry!$C$6:$C$10000)</f>
        <v>0</v>
      </c>
      <c r="T7010" s="69"/>
      <c r="U7010" s="69"/>
    </row>
    <row r="7011" spans="19:21" ht="15" customHeight="1" x14ac:dyDescent="0.2">
      <c r="S7011" s="69">
        <f>_xlfn.XLOOKUP(Results!A7011,Geometry!$B$6:$B$10000,Geometry!$C$6:$C$10000)</f>
        <v>0</v>
      </c>
      <c r="T7011" s="69"/>
      <c r="U7011" s="69"/>
    </row>
    <row r="7012" spans="19:21" ht="15" customHeight="1" x14ac:dyDescent="0.2">
      <c r="S7012" s="69">
        <f>_xlfn.XLOOKUP(Results!A7012,Geometry!$B$6:$B$10000,Geometry!$C$6:$C$10000)</f>
        <v>0</v>
      </c>
      <c r="T7012" s="69"/>
      <c r="U7012" s="69"/>
    </row>
    <row r="7013" spans="19:21" ht="15" customHeight="1" x14ac:dyDescent="0.2">
      <c r="S7013" s="69">
        <f>_xlfn.XLOOKUP(Results!A7013,Geometry!$B$6:$B$10000,Geometry!$C$6:$C$10000)</f>
        <v>0</v>
      </c>
      <c r="T7013" s="69"/>
      <c r="U7013" s="69"/>
    </row>
    <row r="7014" spans="19:21" ht="15" customHeight="1" x14ac:dyDescent="0.2">
      <c r="S7014" s="69">
        <f>_xlfn.XLOOKUP(Results!A7014,Geometry!$B$6:$B$10000,Geometry!$C$6:$C$10000)</f>
        <v>0</v>
      </c>
      <c r="T7014" s="69"/>
      <c r="U7014" s="69"/>
    </row>
    <row r="7015" spans="19:21" ht="15" customHeight="1" x14ac:dyDescent="0.2">
      <c r="S7015" s="69">
        <f>_xlfn.XLOOKUP(Results!A7015,Geometry!$B$6:$B$10000,Geometry!$C$6:$C$10000)</f>
        <v>0</v>
      </c>
      <c r="T7015" s="69"/>
      <c r="U7015" s="69"/>
    </row>
    <row r="7016" spans="19:21" ht="15" customHeight="1" x14ac:dyDescent="0.2">
      <c r="S7016" s="69">
        <f>_xlfn.XLOOKUP(Results!A7016,Geometry!$B$6:$B$10000,Geometry!$C$6:$C$10000)</f>
        <v>0</v>
      </c>
      <c r="T7016" s="69"/>
      <c r="U7016" s="69"/>
    </row>
    <row r="7017" spans="19:21" ht="15" customHeight="1" x14ac:dyDescent="0.2">
      <c r="S7017" s="69">
        <f>_xlfn.XLOOKUP(Results!A7017,Geometry!$B$6:$B$10000,Geometry!$C$6:$C$10000)</f>
        <v>0</v>
      </c>
      <c r="T7017" s="69"/>
      <c r="U7017" s="69"/>
    </row>
    <row r="7018" spans="19:21" ht="15" customHeight="1" x14ac:dyDescent="0.2">
      <c r="S7018" s="69">
        <f>_xlfn.XLOOKUP(Results!A7018,Geometry!$B$6:$B$10000,Geometry!$C$6:$C$10000)</f>
        <v>0</v>
      </c>
      <c r="T7018" s="69"/>
      <c r="U7018" s="69"/>
    </row>
    <row r="7019" spans="19:21" ht="15" customHeight="1" x14ac:dyDescent="0.2">
      <c r="S7019" s="69">
        <f>_xlfn.XLOOKUP(Results!A7019,Geometry!$B$6:$B$10000,Geometry!$C$6:$C$10000)</f>
        <v>0</v>
      </c>
      <c r="T7019" s="69"/>
      <c r="U7019" s="69"/>
    </row>
    <row r="7020" spans="19:21" ht="15" customHeight="1" x14ac:dyDescent="0.2">
      <c r="S7020" s="69">
        <f>_xlfn.XLOOKUP(Results!A7020,Geometry!$B$6:$B$10000,Geometry!$C$6:$C$10000)</f>
        <v>0</v>
      </c>
      <c r="T7020" s="69"/>
      <c r="U7020" s="69"/>
    </row>
    <row r="7021" spans="19:21" ht="15" customHeight="1" x14ac:dyDescent="0.2">
      <c r="S7021" s="69">
        <f>_xlfn.XLOOKUP(Results!A7021,Geometry!$B$6:$B$10000,Geometry!$C$6:$C$10000)</f>
        <v>0</v>
      </c>
      <c r="T7021" s="69"/>
      <c r="U7021" s="69"/>
    </row>
    <row r="7022" spans="19:21" ht="15" customHeight="1" x14ac:dyDescent="0.2">
      <c r="S7022" s="69">
        <f>_xlfn.XLOOKUP(Results!A7022,Geometry!$B$6:$B$10000,Geometry!$C$6:$C$10000)</f>
        <v>0</v>
      </c>
      <c r="T7022" s="69"/>
      <c r="U7022" s="69"/>
    </row>
    <row r="7023" spans="19:21" ht="15" customHeight="1" x14ac:dyDescent="0.2">
      <c r="S7023" s="69">
        <f>_xlfn.XLOOKUP(Results!A7023,Geometry!$B$6:$B$10000,Geometry!$C$6:$C$10000)</f>
        <v>0</v>
      </c>
      <c r="T7023" s="69"/>
      <c r="U7023" s="69"/>
    </row>
    <row r="7024" spans="19:21" ht="15" customHeight="1" x14ac:dyDescent="0.2">
      <c r="S7024" s="69">
        <f>_xlfn.XLOOKUP(Results!A7024,Geometry!$B$6:$B$10000,Geometry!$C$6:$C$10000)</f>
        <v>0</v>
      </c>
      <c r="T7024" s="69"/>
      <c r="U7024" s="69"/>
    </row>
    <row r="7025" spans="19:21" ht="15" customHeight="1" x14ac:dyDescent="0.2">
      <c r="S7025" s="69">
        <f>_xlfn.XLOOKUP(Results!A7025,Geometry!$B$6:$B$10000,Geometry!$C$6:$C$10000)</f>
        <v>0</v>
      </c>
      <c r="T7025" s="69"/>
      <c r="U7025" s="69"/>
    </row>
    <row r="7026" spans="19:21" ht="15" customHeight="1" x14ac:dyDescent="0.2">
      <c r="S7026" s="69">
        <f>_xlfn.XLOOKUP(Results!A7026,Geometry!$B$6:$B$10000,Geometry!$C$6:$C$10000)</f>
        <v>0</v>
      </c>
      <c r="T7026" s="69"/>
      <c r="U7026" s="69"/>
    </row>
    <row r="7027" spans="19:21" ht="15" customHeight="1" x14ac:dyDescent="0.2">
      <c r="S7027" s="69">
        <f>_xlfn.XLOOKUP(Results!A7027,Geometry!$B$6:$B$10000,Geometry!$C$6:$C$10000)</f>
        <v>0</v>
      </c>
      <c r="T7027" s="69"/>
      <c r="U7027" s="69"/>
    </row>
    <row r="7028" spans="19:21" ht="15" customHeight="1" x14ac:dyDescent="0.2">
      <c r="S7028" s="69">
        <f>_xlfn.XLOOKUP(Results!A7028,Geometry!$B$6:$B$10000,Geometry!$C$6:$C$10000)</f>
        <v>0</v>
      </c>
      <c r="T7028" s="69"/>
      <c r="U7028" s="69"/>
    </row>
    <row r="7029" spans="19:21" ht="15" customHeight="1" x14ac:dyDescent="0.2">
      <c r="S7029" s="69">
        <f>_xlfn.XLOOKUP(Results!A7029,Geometry!$B$6:$B$10000,Geometry!$C$6:$C$10000)</f>
        <v>0</v>
      </c>
      <c r="T7029" s="69"/>
      <c r="U7029" s="69"/>
    </row>
    <row r="7030" spans="19:21" ht="15" customHeight="1" x14ac:dyDescent="0.2">
      <c r="S7030" s="69">
        <f>_xlfn.XLOOKUP(Results!A7030,Geometry!$B$6:$B$10000,Geometry!$C$6:$C$10000)</f>
        <v>0</v>
      </c>
      <c r="T7030" s="69"/>
      <c r="U7030" s="69"/>
    </row>
    <row r="7031" spans="19:21" ht="15" customHeight="1" x14ac:dyDescent="0.2">
      <c r="S7031" s="69">
        <f>_xlfn.XLOOKUP(Results!A7031,Geometry!$B$6:$B$10000,Geometry!$C$6:$C$10000)</f>
        <v>0</v>
      </c>
      <c r="T7031" s="69"/>
      <c r="U7031" s="69"/>
    </row>
    <row r="7032" spans="19:21" ht="15" customHeight="1" x14ac:dyDescent="0.2">
      <c r="S7032" s="69">
        <f>_xlfn.XLOOKUP(Results!A7032,Geometry!$B$6:$B$10000,Geometry!$C$6:$C$10000)</f>
        <v>0</v>
      </c>
      <c r="T7032" s="69"/>
      <c r="U7032" s="69"/>
    </row>
    <row r="7033" spans="19:21" ht="15" customHeight="1" x14ac:dyDescent="0.2">
      <c r="S7033" s="69">
        <f>_xlfn.XLOOKUP(Results!A7033,Geometry!$B$6:$B$10000,Geometry!$C$6:$C$10000)</f>
        <v>0</v>
      </c>
      <c r="T7033" s="69"/>
      <c r="U7033" s="69"/>
    </row>
    <row r="7034" spans="19:21" ht="15" customHeight="1" x14ac:dyDescent="0.2">
      <c r="S7034" s="69">
        <f>_xlfn.XLOOKUP(Results!A7034,Geometry!$B$6:$B$10000,Geometry!$C$6:$C$10000)</f>
        <v>0</v>
      </c>
      <c r="T7034" s="69"/>
      <c r="U7034" s="69"/>
    </row>
    <row r="7035" spans="19:21" ht="15" customHeight="1" x14ac:dyDescent="0.2">
      <c r="S7035" s="69">
        <f>_xlfn.XLOOKUP(Results!A7035,Geometry!$B$6:$B$10000,Geometry!$C$6:$C$10000)</f>
        <v>0</v>
      </c>
      <c r="T7035" s="69"/>
      <c r="U7035" s="69"/>
    </row>
    <row r="7036" spans="19:21" ht="15" customHeight="1" x14ac:dyDescent="0.2">
      <c r="S7036" s="69">
        <f>_xlfn.XLOOKUP(Results!A7036,Geometry!$B$6:$B$10000,Geometry!$C$6:$C$10000)</f>
        <v>0</v>
      </c>
      <c r="T7036" s="69"/>
      <c r="U7036" s="69"/>
    </row>
    <row r="7037" spans="19:21" ht="15" customHeight="1" x14ac:dyDescent="0.2">
      <c r="S7037" s="69">
        <f>_xlfn.XLOOKUP(Results!A7037,Geometry!$B$6:$B$10000,Geometry!$C$6:$C$10000)</f>
        <v>0</v>
      </c>
      <c r="T7037" s="69"/>
      <c r="U7037" s="69"/>
    </row>
    <row r="7038" spans="19:21" ht="15" customHeight="1" x14ac:dyDescent="0.2">
      <c r="S7038" s="69">
        <f>_xlfn.XLOOKUP(Results!A7038,Geometry!$B$6:$B$10000,Geometry!$C$6:$C$10000)</f>
        <v>0</v>
      </c>
      <c r="T7038" s="69"/>
      <c r="U7038" s="69"/>
    </row>
    <row r="7039" spans="19:21" ht="15" customHeight="1" x14ac:dyDescent="0.2">
      <c r="S7039" s="69">
        <f>_xlfn.XLOOKUP(Results!A7039,Geometry!$B$6:$B$10000,Geometry!$C$6:$C$10000)</f>
        <v>0</v>
      </c>
      <c r="T7039" s="69"/>
      <c r="U7039" s="69"/>
    </row>
    <row r="7040" spans="19:21" ht="15" customHeight="1" x14ac:dyDescent="0.2">
      <c r="S7040" s="69">
        <f>_xlfn.XLOOKUP(Results!A7040,Geometry!$B$6:$B$10000,Geometry!$C$6:$C$10000)</f>
        <v>0</v>
      </c>
      <c r="T7040" s="69"/>
      <c r="U7040" s="69"/>
    </row>
    <row r="7041" spans="19:21" ht="15" customHeight="1" x14ac:dyDescent="0.2">
      <c r="S7041" s="69">
        <f>_xlfn.XLOOKUP(Results!A7041,Geometry!$B$6:$B$10000,Geometry!$C$6:$C$10000)</f>
        <v>0</v>
      </c>
      <c r="T7041" s="69"/>
      <c r="U7041" s="69"/>
    </row>
    <row r="7042" spans="19:21" ht="15" customHeight="1" x14ac:dyDescent="0.2">
      <c r="S7042" s="69">
        <f>_xlfn.XLOOKUP(Results!A7042,Geometry!$B$6:$B$10000,Geometry!$C$6:$C$10000)</f>
        <v>0</v>
      </c>
      <c r="T7042" s="69"/>
      <c r="U7042" s="69"/>
    </row>
    <row r="7043" spans="19:21" ht="15" customHeight="1" x14ac:dyDescent="0.2">
      <c r="S7043" s="69">
        <f>_xlfn.XLOOKUP(Results!A7043,Geometry!$B$6:$B$10000,Geometry!$C$6:$C$10000)</f>
        <v>0</v>
      </c>
      <c r="T7043" s="69"/>
      <c r="U7043" s="69"/>
    </row>
    <row r="7044" spans="19:21" ht="15" customHeight="1" x14ac:dyDescent="0.2">
      <c r="S7044" s="69">
        <f>_xlfn.XLOOKUP(Results!A7044,Geometry!$B$6:$B$10000,Geometry!$C$6:$C$10000)</f>
        <v>0</v>
      </c>
      <c r="T7044" s="69"/>
      <c r="U7044" s="69"/>
    </row>
    <row r="7045" spans="19:21" ht="15" customHeight="1" x14ac:dyDescent="0.2">
      <c r="S7045" s="69">
        <f>_xlfn.XLOOKUP(Results!A7045,Geometry!$B$6:$B$10000,Geometry!$C$6:$C$10000)</f>
        <v>0</v>
      </c>
      <c r="T7045" s="69"/>
      <c r="U7045" s="69"/>
    </row>
    <row r="7046" spans="19:21" ht="15" customHeight="1" x14ac:dyDescent="0.2">
      <c r="S7046" s="69">
        <f>_xlfn.XLOOKUP(Results!A7046,Geometry!$B$6:$B$10000,Geometry!$C$6:$C$10000)</f>
        <v>0</v>
      </c>
      <c r="T7046" s="69"/>
      <c r="U7046" s="69"/>
    </row>
    <row r="7047" spans="19:21" ht="15" customHeight="1" x14ac:dyDescent="0.2">
      <c r="S7047" s="69">
        <f>_xlfn.XLOOKUP(Results!A7047,Geometry!$B$6:$B$10000,Geometry!$C$6:$C$10000)</f>
        <v>0</v>
      </c>
      <c r="T7047" s="69"/>
      <c r="U7047" s="69"/>
    </row>
    <row r="7048" spans="19:21" ht="15" customHeight="1" x14ac:dyDescent="0.2">
      <c r="S7048" s="69">
        <f>_xlfn.XLOOKUP(Results!A7048,Geometry!$B$6:$B$10000,Geometry!$C$6:$C$10000)</f>
        <v>0</v>
      </c>
      <c r="T7048" s="69"/>
      <c r="U7048" s="69"/>
    </row>
    <row r="7049" spans="19:21" ht="15" customHeight="1" x14ac:dyDescent="0.2">
      <c r="S7049" s="69">
        <f>_xlfn.XLOOKUP(Results!A7049,Geometry!$B$6:$B$10000,Geometry!$C$6:$C$10000)</f>
        <v>0</v>
      </c>
      <c r="T7049" s="69"/>
      <c r="U7049" s="69"/>
    </row>
    <row r="7050" spans="19:21" ht="15" customHeight="1" x14ac:dyDescent="0.2">
      <c r="S7050" s="69">
        <f>_xlfn.XLOOKUP(Results!A7050,Geometry!$B$6:$B$10000,Geometry!$C$6:$C$10000)</f>
        <v>0</v>
      </c>
      <c r="T7050" s="69"/>
      <c r="U7050" s="69"/>
    </row>
    <row r="7051" spans="19:21" ht="15" customHeight="1" x14ac:dyDescent="0.2">
      <c r="S7051" s="69">
        <f>_xlfn.XLOOKUP(Results!A7051,Geometry!$B$6:$B$10000,Geometry!$C$6:$C$10000)</f>
        <v>0</v>
      </c>
      <c r="T7051" s="69"/>
      <c r="U7051" s="69"/>
    </row>
    <row r="7052" spans="19:21" ht="15" customHeight="1" x14ac:dyDescent="0.2">
      <c r="S7052" s="69">
        <f>_xlfn.XLOOKUP(Results!A7052,Geometry!$B$6:$B$10000,Geometry!$C$6:$C$10000)</f>
        <v>0</v>
      </c>
      <c r="T7052" s="69"/>
      <c r="U7052" s="69"/>
    </row>
    <row r="7053" spans="19:21" ht="15" customHeight="1" x14ac:dyDescent="0.2">
      <c r="S7053" s="69">
        <f>_xlfn.XLOOKUP(Results!A7053,Geometry!$B$6:$B$10000,Geometry!$C$6:$C$10000)</f>
        <v>0</v>
      </c>
      <c r="T7053" s="69"/>
      <c r="U7053" s="69"/>
    </row>
    <row r="7054" spans="19:21" ht="15" customHeight="1" x14ac:dyDescent="0.2">
      <c r="S7054" s="69">
        <f>_xlfn.XLOOKUP(Results!A7054,Geometry!$B$6:$B$10000,Geometry!$C$6:$C$10000)</f>
        <v>0</v>
      </c>
      <c r="T7054" s="69"/>
      <c r="U7054" s="69"/>
    </row>
    <row r="7055" spans="19:21" ht="15" customHeight="1" x14ac:dyDescent="0.2">
      <c r="S7055" s="69">
        <f>_xlfn.XLOOKUP(Results!A7055,Geometry!$B$6:$B$10000,Geometry!$C$6:$C$10000)</f>
        <v>0</v>
      </c>
      <c r="T7055" s="69"/>
      <c r="U7055" s="69"/>
    </row>
    <row r="7056" spans="19:21" ht="15" customHeight="1" x14ac:dyDescent="0.2">
      <c r="S7056" s="69">
        <f>_xlfn.XLOOKUP(Results!A7056,Geometry!$B$6:$B$10000,Geometry!$C$6:$C$10000)</f>
        <v>0</v>
      </c>
      <c r="T7056" s="69"/>
      <c r="U7056" s="69"/>
    </row>
    <row r="7057" spans="19:21" ht="15" customHeight="1" x14ac:dyDescent="0.2">
      <c r="S7057" s="69">
        <f>_xlfn.XLOOKUP(Results!A7057,Geometry!$B$6:$B$10000,Geometry!$C$6:$C$10000)</f>
        <v>0</v>
      </c>
      <c r="T7057" s="69"/>
      <c r="U7057" s="69"/>
    </row>
    <row r="7058" spans="19:21" ht="15" customHeight="1" x14ac:dyDescent="0.2">
      <c r="S7058" s="69">
        <f>_xlfn.XLOOKUP(Results!A7058,Geometry!$B$6:$B$10000,Geometry!$C$6:$C$10000)</f>
        <v>0</v>
      </c>
      <c r="T7058" s="69"/>
      <c r="U7058" s="69"/>
    </row>
    <row r="7059" spans="19:21" ht="15" customHeight="1" x14ac:dyDescent="0.2">
      <c r="S7059" s="69">
        <f>_xlfn.XLOOKUP(Results!A7059,Geometry!$B$6:$B$10000,Geometry!$C$6:$C$10000)</f>
        <v>0</v>
      </c>
      <c r="T7059" s="69"/>
      <c r="U7059" s="69"/>
    </row>
    <row r="7060" spans="19:21" ht="15" customHeight="1" x14ac:dyDescent="0.2">
      <c r="S7060" s="69">
        <f>_xlfn.XLOOKUP(Results!A7060,Geometry!$B$6:$B$10000,Geometry!$C$6:$C$10000)</f>
        <v>0</v>
      </c>
      <c r="T7060" s="69"/>
      <c r="U7060" s="69"/>
    </row>
    <row r="7061" spans="19:21" ht="15" customHeight="1" x14ac:dyDescent="0.2">
      <c r="S7061" s="69">
        <f>_xlfn.XLOOKUP(Results!A7061,Geometry!$B$6:$B$10000,Geometry!$C$6:$C$10000)</f>
        <v>0</v>
      </c>
      <c r="T7061" s="69"/>
      <c r="U7061" s="69"/>
    </row>
    <row r="7062" spans="19:21" ht="15" customHeight="1" x14ac:dyDescent="0.2">
      <c r="S7062" s="69">
        <f>_xlfn.XLOOKUP(Results!A7062,Geometry!$B$6:$B$10000,Geometry!$C$6:$C$10000)</f>
        <v>0</v>
      </c>
      <c r="T7062" s="69"/>
      <c r="U7062" s="69"/>
    </row>
    <row r="7063" spans="19:21" ht="15" customHeight="1" x14ac:dyDescent="0.2">
      <c r="S7063" s="69">
        <f>_xlfn.XLOOKUP(Results!A7063,Geometry!$B$6:$B$10000,Geometry!$C$6:$C$10000)</f>
        <v>0</v>
      </c>
      <c r="T7063" s="69"/>
      <c r="U7063" s="69"/>
    </row>
    <row r="7064" spans="19:21" ht="15" customHeight="1" x14ac:dyDescent="0.2">
      <c r="S7064" s="69">
        <f>_xlfn.XLOOKUP(Results!A7064,Geometry!$B$6:$B$10000,Geometry!$C$6:$C$10000)</f>
        <v>0</v>
      </c>
      <c r="T7064" s="69"/>
      <c r="U7064" s="69"/>
    </row>
    <row r="7065" spans="19:21" ht="15" customHeight="1" x14ac:dyDescent="0.2">
      <c r="S7065" s="69">
        <f>_xlfn.XLOOKUP(Results!A7065,Geometry!$B$6:$B$10000,Geometry!$C$6:$C$10000)</f>
        <v>0</v>
      </c>
      <c r="T7065" s="69"/>
      <c r="U7065" s="69"/>
    </row>
    <row r="7066" spans="19:21" ht="15" customHeight="1" x14ac:dyDescent="0.2">
      <c r="S7066" s="69">
        <f>_xlfn.XLOOKUP(Results!A7066,Geometry!$B$6:$B$10000,Geometry!$C$6:$C$10000)</f>
        <v>0</v>
      </c>
      <c r="T7066" s="69"/>
      <c r="U7066" s="69"/>
    </row>
    <row r="7067" spans="19:21" ht="15" customHeight="1" x14ac:dyDescent="0.2">
      <c r="S7067" s="69">
        <f>_xlfn.XLOOKUP(Results!A7067,Geometry!$B$6:$B$10000,Geometry!$C$6:$C$10000)</f>
        <v>0</v>
      </c>
      <c r="T7067" s="69"/>
      <c r="U7067" s="69"/>
    </row>
    <row r="7068" spans="19:21" ht="15" customHeight="1" x14ac:dyDescent="0.2">
      <c r="S7068" s="69">
        <f>_xlfn.XLOOKUP(Results!A7068,Geometry!$B$6:$B$10000,Geometry!$C$6:$C$10000)</f>
        <v>0</v>
      </c>
      <c r="T7068" s="69"/>
      <c r="U7068" s="69"/>
    </row>
    <row r="7069" spans="19:21" ht="15" customHeight="1" x14ac:dyDescent="0.2">
      <c r="S7069" s="69">
        <f>_xlfn.XLOOKUP(Results!A7069,Geometry!$B$6:$B$10000,Geometry!$C$6:$C$10000)</f>
        <v>0</v>
      </c>
      <c r="T7069" s="69"/>
      <c r="U7069" s="69"/>
    </row>
    <row r="7070" spans="19:21" ht="15" customHeight="1" x14ac:dyDescent="0.2">
      <c r="S7070" s="69">
        <f>_xlfn.XLOOKUP(Results!A7070,Geometry!$B$6:$B$10000,Geometry!$C$6:$C$10000)</f>
        <v>0</v>
      </c>
      <c r="T7070" s="69"/>
      <c r="U7070" s="69"/>
    </row>
    <row r="7071" spans="19:21" ht="15" customHeight="1" x14ac:dyDescent="0.2">
      <c r="S7071" s="69">
        <f>_xlfn.XLOOKUP(Results!A7071,Geometry!$B$6:$B$10000,Geometry!$C$6:$C$10000)</f>
        <v>0</v>
      </c>
      <c r="T7071" s="69"/>
      <c r="U7071" s="69"/>
    </row>
    <row r="7072" spans="19:21" ht="15" customHeight="1" x14ac:dyDescent="0.2">
      <c r="S7072" s="69">
        <f>_xlfn.XLOOKUP(Results!A7072,Geometry!$B$6:$B$10000,Geometry!$C$6:$C$10000)</f>
        <v>0</v>
      </c>
      <c r="T7072" s="69"/>
      <c r="U7072" s="69"/>
    </row>
    <row r="7073" spans="19:21" ht="15" customHeight="1" x14ac:dyDescent="0.2">
      <c r="S7073" s="69">
        <f>_xlfn.XLOOKUP(Results!A7073,Geometry!$B$6:$B$10000,Geometry!$C$6:$C$10000)</f>
        <v>0</v>
      </c>
      <c r="T7073" s="69"/>
      <c r="U7073" s="69"/>
    </row>
    <row r="7074" spans="19:21" ht="15" customHeight="1" x14ac:dyDescent="0.2">
      <c r="S7074" s="69">
        <f>_xlfn.XLOOKUP(Results!A7074,Geometry!$B$6:$B$10000,Geometry!$C$6:$C$10000)</f>
        <v>0</v>
      </c>
      <c r="T7074" s="69"/>
      <c r="U7074" s="69"/>
    </row>
    <row r="7075" spans="19:21" ht="15" customHeight="1" x14ac:dyDescent="0.2">
      <c r="S7075" s="69">
        <f>_xlfn.XLOOKUP(Results!A7075,Geometry!$B$6:$B$10000,Geometry!$C$6:$C$10000)</f>
        <v>0</v>
      </c>
      <c r="T7075" s="69"/>
      <c r="U7075" s="69"/>
    </row>
    <row r="7076" spans="19:21" ht="15" customHeight="1" x14ac:dyDescent="0.2">
      <c r="S7076" s="69">
        <f>_xlfn.XLOOKUP(Results!A7076,Geometry!$B$6:$B$10000,Geometry!$C$6:$C$10000)</f>
        <v>0</v>
      </c>
      <c r="T7076" s="69"/>
      <c r="U7076" s="69"/>
    </row>
    <row r="7077" spans="19:21" ht="15" customHeight="1" x14ac:dyDescent="0.2">
      <c r="S7077" s="69">
        <f>_xlfn.XLOOKUP(Results!A7077,Geometry!$B$6:$B$10000,Geometry!$C$6:$C$10000)</f>
        <v>0</v>
      </c>
      <c r="T7077" s="69"/>
      <c r="U7077" s="69"/>
    </row>
    <row r="7078" spans="19:21" ht="15" customHeight="1" x14ac:dyDescent="0.2">
      <c r="S7078" s="69">
        <f>_xlfn.XLOOKUP(Results!A7078,Geometry!$B$6:$B$10000,Geometry!$C$6:$C$10000)</f>
        <v>0</v>
      </c>
      <c r="T7078" s="69"/>
      <c r="U7078" s="69"/>
    </row>
    <row r="7079" spans="19:21" ht="15" customHeight="1" x14ac:dyDescent="0.2">
      <c r="S7079" s="69">
        <f>_xlfn.XLOOKUP(Results!A7079,Geometry!$B$6:$B$10000,Geometry!$C$6:$C$10000)</f>
        <v>0</v>
      </c>
      <c r="T7079" s="69"/>
      <c r="U7079" s="69"/>
    </row>
    <row r="7080" spans="19:21" ht="15" customHeight="1" x14ac:dyDescent="0.2">
      <c r="S7080" s="69">
        <f>_xlfn.XLOOKUP(Results!A7080,Geometry!$B$6:$B$10000,Geometry!$C$6:$C$10000)</f>
        <v>0</v>
      </c>
      <c r="T7080" s="69"/>
      <c r="U7080" s="69"/>
    </row>
    <row r="7081" spans="19:21" ht="15" customHeight="1" x14ac:dyDescent="0.2">
      <c r="S7081" s="69">
        <f>_xlfn.XLOOKUP(Results!A7081,Geometry!$B$6:$B$10000,Geometry!$C$6:$C$10000)</f>
        <v>0</v>
      </c>
      <c r="T7081" s="69"/>
      <c r="U7081" s="69"/>
    </row>
    <row r="7082" spans="19:21" ht="15" customHeight="1" x14ac:dyDescent="0.2">
      <c r="S7082" s="69">
        <f>_xlfn.XLOOKUP(Results!A7082,Geometry!$B$6:$B$10000,Geometry!$C$6:$C$10000)</f>
        <v>0</v>
      </c>
      <c r="T7082" s="69"/>
      <c r="U7082" s="69"/>
    </row>
    <row r="7083" spans="19:21" ht="15" customHeight="1" x14ac:dyDescent="0.2">
      <c r="S7083" s="69">
        <f>_xlfn.XLOOKUP(Results!A7083,Geometry!$B$6:$B$10000,Geometry!$C$6:$C$10000)</f>
        <v>0</v>
      </c>
      <c r="T7083" s="69"/>
      <c r="U7083" s="69"/>
    </row>
    <row r="7084" spans="19:21" ht="15" customHeight="1" x14ac:dyDescent="0.2">
      <c r="S7084" s="69">
        <f>_xlfn.XLOOKUP(Results!A7084,Geometry!$B$6:$B$10000,Geometry!$C$6:$C$10000)</f>
        <v>0</v>
      </c>
      <c r="T7084" s="69"/>
      <c r="U7084" s="69"/>
    </row>
    <row r="7085" spans="19:21" ht="15" customHeight="1" x14ac:dyDescent="0.2">
      <c r="S7085" s="69">
        <f>_xlfn.XLOOKUP(Results!A7085,Geometry!$B$6:$B$10000,Geometry!$C$6:$C$10000)</f>
        <v>0</v>
      </c>
      <c r="T7085" s="69"/>
      <c r="U7085" s="69"/>
    </row>
    <row r="7086" spans="19:21" ht="15" customHeight="1" x14ac:dyDescent="0.2">
      <c r="S7086" s="69">
        <f>_xlfn.XLOOKUP(Results!A7086,Geometry!$B$6:$B$10000,Geometry!$C$6:$C$10000)</f>
        <v>0</v>
      </c>
      <c r="T7086" s="69"/>
      <c r="U7086" s="69"/>
    </row>
    <row r="7087" spans="19:21" ht="15" customHeight="1" x14ac:dyDescent="0.2">
      <c r="S7087" s="69">
        <f>_xlfn.XLOOKUP(Results!A7087,Geometry!$B$6:$B$10000,Geometry!$C$6:$C$10000)</f>
        <v>0</v>
      </c>
      <c r="T7087" s="69"/>
      <c r="U7087" s="69"/>
    </row>
    <row r="7088" spans="19:21" ht="15" customHeight="1" x14ac:dyDescent="0.2">
      <c r="S7088" s="69">
        <f>_xlfn.XLOOKUP(Results!A7088,Geometry!$B$6:$B$10000,Geometry!$C$6:$C$10000)</f>
        <v>0</v>
      </c>
      <c r="T7088" s="69"/>
      <c r="U7088" s="69"/>
    </row>
    <row r="7089" spans="19:21" ht="15" customHeight="1" x14ac:dyDescent="0.2">
      <c r="S7089" s="69">
        <f>_xlfn.XLOOKUP(Results!A7089,Geometry!$B$6:$B$10000,Geometry!$C$6:$C$10000)</f>
        <v>0</v>
      </c>
      <c r="T7089" s="69"/>
      <c r="U7089" s="69"/>
    </row>
    <row r="7090" spans="19:21" ht="15" customHeight="1" x14ac:dyDescent="0.2">
      <c r="S7090" s="69">
        <f>_xlfn.XLOOKUP(Results!A7090,Geometry!$B$6:$B$10000,Geometry!$C$6:$C$10000)</f>
        <v>0</v>
      </c>
      <c r="T7090" s="69"/>
      <c r="U7090" s="69"/>
    </row>
    <row r="7091" spans="19:21" ht="15" customHeight="1" x14ac:dyDescent="0.2">
      <c r="S7091" s="69">
        <f>_xlfn.XLOOKUP(Results!A7091,Geometry!$B$6:$B$10000,Geometry!$C$6:$C$10000)</f>
        <v>0</v>
      </c>
      <c r="T7091" s="69"/>
      <c r="U7091" s="69"/>
    </row>
    <row r="7092" spans="19:21" ht="15" customHeight="1" x14ac:dyDescent="0.2">
      <c r="S7092" s="69">
        <f>_xlfn.XLOOKUP(Results!A7092,Geometry!$B$6:$B$10000,Geometry!$C$6:$C$10000)</f>
        <v>0</v>
      </c>
      <c r="T7092" s="69"/>
      <c r="U7092" s="69"/>
    </row>
    <row r="7093" spans="19:21" ht="15" customHeight="1" x14ac:dyDescent="0.2">
      <c r="S7093" s="69">
        <f>_xlfn.XLOOKUP(Results!A7093,Geometry!$B$6:$B$10000,Geometry!$C$6:$C$10000)</f>
        <v>0</v>
      </c>
      <c r="T7093" s="69"/>
      <c r="U7093" s="69"/>
    </row>
    <row r="7094" spans="19:21" ht="15" customHeight="1" x14ac:dyDescent="0.2">
      <c r="S7094" s="69">
        <f>_xlfn.XLOOKUP(Results!A7094,Geometry!$B$6:$B$10000,Geometry!$C$6:$C$10000)</f>
        <v>0</v>
      </c>
      <c r="T7094" s="69"/>
      <c r="U7094" s="69"/>
    </row>
    <row r="7095" spans="19:21" ht="15" customHeight="1" x14ac:dyDescent="0.2">
      <c r="S7095" s="69">
        <f>_xlfn.XLOOKUP(Results!A7095,Geometry!$B$6:$B$10000,Geometry!$C$6:$C$10000)</f>
        <v>0</v>
      </c>
      <c r="T7095" s="69"/>
      <c r="U7095" s="69"/>
    </row>
    <row r="7096" spans="19:21" ht="15" customHeight="1" x14ac:dyDescent="0.2">
      <c r="S7096" s="69">
        <f>_xlfn.XLOOKUP(Results!A7096,Geometry!$B$6:$B$10000,Geometry!$C$6:$C$10000)</f>
        <v>0</v>
      </c>
      <c r="T7096" s="69"/>
      <c r="U7096" s="69"/>
    </row>
    <row r="7097" spans="19:21" ht="15" customHeight="1" x14ac:dyDescent="0.2">
      <c r="S7097" s="69">
        <f>_xlfn.XLOOKUP(Results!A7097,Geometry!$B$6:$B$10000,Geometry!$C$6:$C$10000)</f>
        <v>0</v>
      </c>
      <c r="T7097" s="69"/>
      <c r="U7097" s="69"/>
    </row>
    <row r="7098" spans="19:21" ht="15" customHeight="1" x14ac:dyDescent="0.2">
      <c r="S7098" s="69">
        <f>_xlfn.XLOOKUP(Results!A7098,Geometry!$B$6:$B$10000,Geometry!$C$6:$C$10000)</f>
        <v>0</v>
      </c>
      <c r="T7098" s="69"/>
      <c r="U7098" s="69"/>
    </row>
    <row r="7099" spans="19:21" ht="15" customHeight="1" x14ac:dyDescent="0.2">
      <c r="S7099" s="69">
        <f>_xlfn.XLOOKUP(Results!A7099,Geometry!$B$6:$B$10000,Geometry!$C$6:$C$10000)</f>
        <v>0</v>
      </c>
      <c r="T7099" s="69"/>
      <c r="U7099" s="69"/>
    </row>
    <row r="7100" spans="19:21" ht="15" customHeight="1" x14ac:dyDescent="0.2">
      <c r="S7100" s="69">
        <f>_xlfn.XLOOKUP(Results!A7100,Geometry!$B$6:$B$10000,Geometry!$C$6:$C$10000)</f>
        <v>0</v>
      </c>
      <c r="T7100" s="69"/>
      <c r="U7100" s="69"/>
    </row>
    <row r="7101" spans="19:21" ht="15" customHeight="1" x14ac:dyDescent="0.2">
      <c r="S7101" s="69">
        <f>_xlfn.XLOOKUP(Results!A7101,Geometry!$B$6:$B$10000,Geometry!$C$6:$C$10000)</f>
        <v>0</v>
      </c>
      <c r="T7101" s="69"/>
      <c r="U7101" s="69"/>
    </row>
    <row r="7102" spans="19:21" ht="15" customHeight="1" x14ac:dyDescent="0.2">
      <c r="S7102" s="69">
        <f>_xlfn.XLOOKUP(Results!A7102,Geometry!$B$6:$B$10000,Geometry!$C$6:$C$10000)</f>
        <v>0</v>
      </c>
      <c r="T7102" s="69"/>
      <c r="U7102" s="69"/>
    </row>
    <row r="7103" spans="19:21" ht="15" customHeight="1" x14ac:dyDescent="0.2">
      <c r="S7103" s="69">
        <f>_xlfn.XLOOKUP(Results!A7103,Geometry!$B$6:$B$10000,Geometry!$C$6:$C$10000)</f>
        <v>0</v>
      </c>
      <c r="T7103" s="69"/>
      <c r="U7103" s="69"/>
    </row>
    <row r="7104" spans="19:21" ht="15" customHeight="1" x14ac:dyDescent="0.2">
      <c r="S7104" s="69">
        <f>_xlfn.XLOOKUP(Results!A7104,Geometry!$B$6:$B$10000,Geometry!$C$6:$C$10000)</f>
        <v>0</v>
      </c>
      <c r="T7104" s="69"/>
      <c r="U7104" s="69"/>
    </row>
    <row r="7105" spans="19:21" ht="15" customHeight="1" x14ac:dyDescent="0.2">
      <c r="S7105" s="69">
        <f>_xlfn.XLOOKUP(Results!A7105,Geometry!$B$6:$B$10000,Geometry!$C$6:$C$10000)</f>
        <v>0</v>
      </c>
      <c r="T7105" s="69"/>
      <c r="U7105" s="69"/>
    </row>
    <row r="7106" spans="19:21" ht="15" customHeight="1" x14ac:dyDescent="0.2">
      <c r="S7106" s="69">
        <f>_xlfn.XLOOKUP(Results!A7106,Geometry!$B$6:$B$10000,Geometry!$C$6:$C$10000)</f>
        <v>0</v>
      </c>
      <c r="T7106" s="69"/>
      <c r="U7106" s="69"/>
    </row>
    <row r="7107" spans="19:21" ht="15" customHeight="1" x14ac:dyDescent="0.2">
      <c r="S7107" s="69">
        <f>_xlfn.XLOOKUP(Results!A7107,Geometry!$B$6:$B$10000,Geometry!$C$6:$C$10000)</f>
        <v>0</v>
      </c>
      <c r="T7107" s="69"/>
      <c r="U7107" s="69"/>
    </row>
    <row r="7108" spans="19:21" ht="15" customHeight="1" x14ac:dyDescent="0.2">
      <c r="S7108" s="69">
        <f>_xlfn.XLOOKUP(Results!A7108,Geometry!$B$6:$B$10000,Geometry!$C$6:$C$10000)</f>
        <v>0</v>
      </c>
      <c r="T7108" s="69"/>
      <c r="U7108" s="69"/>
    </row>
    <row r="7109" spans="19:21" ht="15" customHeight="1" x14ac:dyDescent="0.2">
      <c r="S7109" s="69">
        <f>_xlfn.XLOOKUP(Results!A7109,Geometry!$B$6:$B$10000,Geometry!$C$6:$C$10000)</f>
        <v>0</v>
      </c>
      <c r="T7109" s="69"/>
      <c r="U7109" s="69"/>
    </row>
    <row r="7110" spans="19:21" ht="15" customHeight="1" x14ac:dyDescent="0.2">
      <c r="S7110" s="69">
        <f>_xlfn.XLOOKUP(Results!A7110,Geometry!$B$6:$B$10000,Geometry!$C$6:$C$10000)</f>
        <v>0</v>
      </c>
      <c r="T7110" s="69"/>
      <c r="U7110" s="69"/>
    </row>
    <row r="7111" spans="19:21" ht="15" customHeight="1" x14ac:dyDescent="0.2">
      <c r="S7111" s="69">
        <f>_xlfn.XLOOKUP(Results!A7111,Geometry!$B$6:$B$10000,Geometry!$C$6:$C$10000)</f>
        <v>0</v>
      </c>
      <c r="T7111" s="69"/>
      <c r="U7111" s="69"/>
    </row>
    <row r="7112" spans="19:21" ht="15" customHeight="1" x14ac:dyDescent="0.2">
      <c r="S7112" s="69">
        <f>_xlfn.XLOOKUP(Results!A7112,Geometry!$B$6:$B$10000,Geometry!$C$6:$C$10000)</f>
        <v>0</v>
      </c>
      <c r="T7112" s="69"/>
      <c r="U7112" s="69"/>
    </row>
    <row r="7113" spans="19:21" ht="15" customHeight="1" x14ac:dyDescent="0.2">
      <c r="S7113" s="69">
        <f>_xlfn.XLOOKUP(Results!A7113,Geometry!$B$6:$B$10000,Geometry!$C$6:$C$10000)</f>
        <v>0</v>
      </c>
      <c r="T7113" s="69"/>
      <c r="U7113" s="69"/>
    </row>
    <row r="7114" spans="19:21" ht="15" customHeight="1" x14ac:dyDescent="0.2">
      <c r="S7114" s="69">
        <f>_xlfn.XLOOKUP(Results!A7114,Geometry!$B$6:$B$10000,Geometry!$C$6:$C$10000)</f>
        <v>0</v>
      </c>
      <c r="T7114" s="69"/>
      <c r="U7114" s="69"/>
    </row>
    <row r="7115" spans="19:21" ht="15" customHeight="1" x14ac:dyDescent="0.2">
      <c r="S7115" s="69">
        <f>_xlfn.XLOOKUP(Results!A7115,Geometry!$B$6:$B$10000,Geometry!$C$6:$C$10000)</f>
        <v>0</v>
      </c>
      <c r="T7115" s="69"/>
      <c r="U7115" s="69"/>
    </row>
    <row r="7116" spans="19:21" ht="15" customHeight="1" x14ac:dyDescent="0.2">
      <c r="S7116" s="69">
        <f>_xlfn.XLOOKUP(Results!A7116,Geometry!$B$6:$B$10000,Geometry!$C$6:$C$10000)</f>
        <v>0</v>
      </c>
      <c r="T7116" s="69"/>
      <c r="U7116" s="69"/>
    </row>
    <row r="7117" spans="19:21" ht="15" customHeight="1" x14ac:dyDescent="0.2">
      <c r="S7117" s="69">
        <f>_xlfn.XLOOKUP(Results!A7117,Geometry!$B$6:$B$10000,Geometry!$C$6:$C$10000)</f>
        <v>0</v>
      </c>
      <c r="T7117" s="69"/>
      <c r="U7117" s="69"/>
    </row>
    <row r="7118" spans="19:21" ht="15" customHeight="1" x14ac:dyDescent="0.2">
      <c r="S7118" s="69">
        <f>_xlfn.XLOOKUP(Results!A7118,Geometry!$B$6:$B$10000,Geometry!$C$6:$C$10000)</f>
        <v>0</v>
      </c>
      <c r="T7118" s="69"/>
      <c r="U7118" s="69"/>
    </row>
    <row r="7119" spans="19:21" ht="15" customHeight="1" x14ac:dyDescent="0.2">
      <c r="S7119" s="69">
        <f>_xlfn.XLOOKUP(Results!A7119,Geometry!$B$6:$B$10000,Geometry!$C$6:$C$10000)</f>
        <v>0</v>
      </c>
      <c r="T7119" s="69"/>
      <c r="U7119" s="69"/>
    </row>
    <row r="7120" spans="19:21" ht="15" customHeight="1" x14ac:dyDescent="0.2">
      <c r="S7120" s="69">
        <f>_xlfn.XLOOKUP(Results!A7120,Geometry!$B$6:$B$10000,Geometry!$C$6:$C$10000)</f>
        <v>0</v>
      </c>
      <c r="T7120" s="69"/>
      <c r="U7120" s="69"/>
    </row>
    <row r="7121" spans="19:21" ht="15" customHeight="1" x14ac:dyDescent="0.2">
      <c r="S7121" s="69">
        <f>_xlfn.XLOOKUP(Results!A7121,Geometry!$B$6:$B$10000,Geometry!$C$6:$C$10000)</f>
        <v>0</v>
      </c>
      <c r="T7121" s="69"/>
      <c r="U7121" s="69"/>
    </row>
    <row r="7122" spans="19:21" ht="15" customHeight="1" x14ac:dyDescent="0.2">
      <c r="S7122" s="69">
        <f>_xlfn.XLOOKUP(Results!A7122,Geometry!$B$6:$B$10000,Geometry!$C$6:$C$10000)</f>
        <v>0</v>
      </c>
      <c r="T7122" s="69"/>
      <c r="U7122" s="69"/>
    </row>
    <row r="7123" spans="19:21" ht="15" customHeight="1" x14ac:dyDescent="0.2">
      <c r="S7123" s="69">
        <f>_xlfn.XLOOKUP(Results!A7123,Geometry!$B$6:$B$10000,Geometry!$C$6:$C$10000)</f>
        <v>0</v>
      </c>
      <c r="T7123" s="69"/>
      <c r="U7123" s="69"/>
    </row>
    <row r="7124" spans="19:21" ht="15" customHeight="1" x14ac:dyDescent="0.2">
      <c r="S7124" s="69">
        <f>_xlfn.XLOOKUP(Results!A7124,Geometry!$B$6:$B$10000,Geometry!$C$6:$C$10000)</f>
        <v>0</v>
      </c>
      <c r="T7124" s="69"/>
      <c r="U7124" s="69"/>
    </row>
    <row r="7125" spans="19:21" ht="15" customHeight="1" x14ac:dyDescent="0.2">
      <c r="S7125" s="69">
        <f>_xlfn.XLOOKUP(Results!A7125,Geometry!$B$6:$B$10000,Geometry!$C$6:$C$10000)</f>
        <v>0</v>
      </c>
      <c r="T7125" s="69"/>
      <c r="U7125" s="69"/>
    </row>
    <row r="7126" spans="19:21" ht="15" customHeight="1" x14ac:dyDescent="0.2">
      <c r="S7126" s="69">
        <f>_xlfn.XLOOKUP(Results!A7126,Geometry!$B$6:$B$10000,Geometry!$C$6:$C$10000)</f>
        <v>0</v>
      </c>
      <c r="T7126" s="69"/>
      <c r="U7126" s="69"/>
    </row>
    <row r="7127" spans="19:21" ht="15" customHeight="1" x14ac:dyDescent="0.2">
      <c r="S7127" s="69">
        <f>_xlfn.XLOOKUP(Results!A7127,Geometry!$B$6:$B$10000,Geometry!$C$6:$C$10000)</f>
        <v>0</v>
      </c>
      <c r="T7127" s="69"/>
      <c r="U7127" s="69"/>
    </row>
    <row r="7128" spans="19:21" ht="15" customHeight="1" x14ac:dyDescent="0.2">
      <c r="S7128" s="69">
        <f>_xlfn.XLOOKUP(Results!A7128,Geometry!$B$6:$B$10000,Geometry!$C$6:$C$10000)</f>
        <v>0</v>
      </c>
      <c r="T7128" s="69"/>
      <c r="U7128" s="69"/>
    </row>
    <row r="7129" spans="19:21" ht="15" customHeight="1" x14ac:dyDescent="0.2">
      <c r="S7129" s="69">
        <f>_xlfn.XLOOKUP(Results!A7129,Geometry!$B$6:$B$10000,Geometry!$C$6:$C$10000)</f>
        <v>0</v>
      </c>
      <c r="T7129" s="69"/>
      <c r="U7129" s="69"/>
    </row>
    <row r="7130" spans="19:21" ht="15" customHeight="1" x14ac:dyDescent="0.2">
      <c r="S7130" s="69">
        <f>_xlfn.XLOOKUP(Results!A7130,Geometry!$B$6:$B$10000,Geometry!$C$6:$C$10000)</f>
        <v>0</v>
      </c>
      <c r="T7130" s="69"/>
      <c r="U7130" s="69"/>
    </row>
    <row r="7131" spans="19:21" ht="15" customHeight="1" x14ac:dyDescent="0.2">
      <c r="S7131" s="69">
        <f>_xlfn.XLOOKUP(Results!A7131,Geometry!$B$6:$B$10000,Geometry!$C$6:$C$10000)</f>
        <v>0</v>
      </c>
      <c r="T7131" s="69"/>
      <c r="U7131" s="69"/>
    </row>
    <row r="7132" spans="19:21" ht="15" customHeight="1" x14ac:dyDescent="0.2">
      <c r="S7132" s="69">
        <f>_xlfn.XLOOKUP(Results!A7132,Geometry!$B$6:$B$10000,Geometry!$C$6:$C$10000)</f>
        <v>0</v>
      </c>
      <c r="T7132" s="69"/>
      <c r="U7132" s="69"/>
    </row>
    <row r="7133" spans="19:21" ht="15" customHeight="1" x14ac:dyDescent="0.2">
      <c r="S7133" s="69">
        <f>_xlfn.XLOOKUP(Results!A7133,Geometry!$B$6:$B$10000,Geometry!$C$6:$C$10000)</f>
        <v>0</v>
      </c>
      <c r="T7133" s="69"/>
      <c r="U7133" s="69"/>
    </row>
    <row r="7134" spans="19:21" ht="15" customHeight="1" x14ac:dyDescent="0.2">
      <c r="S7134" s="69">
        <f>_xlfn.XLOOKUP(Results!A7134,Geometry!$B$6:$B$10000,Geometry!$C$6:$C$10000)</f>
        <v>0</v>
      </c>
      <c r="T7134" s="69"/>
      <c r="U7134" s="69"/>
    </row>
    <row r="7135" spans="19:21" ht="15" customHeight="1" x14ac:dyDescent="0.2">
      <c r="S7135" s="69">
        <f>_xlfn.XLOOKUP(Results!A7135,Geometry!$B$6:$B$10000,Geometry!$C$6:$C$10000)</f>
        <v>0</v>
      </c>
      <c r="T7135" s="69"/>
      <c r="U7135" s="69"/>
    </row>
    <row r="7136" spans="19:21" ht="15" customHeight="1" x14ac:dyDescent="0.2">
      <c r="S7136" s="69">
        <f>_xlfn.XLOOKUP(Results!A7136,Geometry!$B$6:$B$10000,Geometry!$C$6:$C$10000)</f>
        <v>0</v>
      </c>
      <c r="T7136" s="69"/>
      <c r="U7136" s="69"/>
    </row>
    <row r="7137" spans="19:21" ht="15" customHeight="1" x14ac:dyDescent="0.2">
      <c r="S7137" s="69">
        <f>_xlfn.XLOOKUP(Results!A7137,Geometry!$B$6:$B$10000,Geometry!$C$6:$C$10000)</f>
        <v>0</v>
      </c>
      <c r="T7137" s="69"/>
      <c r="U7137" s="69"/>
    </row>
    <row r="7138" spans="19:21" ht="15" customHeight="1" x14ac:dyDescent="0.2">
      <c r="S7138" s="69">
        <f>_xlfn.XLOOKUP(Results!A7138,Geometry!$B$6:$B$10000,Geometry!$C$6:$C$10000)</f>
        <v>0</v>
      </c>
      <c r="T7138" s="69"/>
      <c r="U7138" s="69"/>
    </row>
    <row r="7139" spans="19:21" ht="15" customHeight="1" x14ac:dyDescent="0.2">
      <c r="S7139" s="69">
        <f>_xlfn.XLOOKUP(Results!A7139,Geometry!$B$6:$B$10000,Geometry!$C$6:$C$10000)</f>
        <v>0</v>
      </c>
      <c r="T7139" s="69"/>
      <c r="U7139" s="69"/>
    </row>
    <row r="7140" spans="19:21" ht="15" customHeight="1" x14ac:dyDescent="0.2">
      <c r="S7140" s="69">
        <f>_xlfn.XLOOKUP(Results!A7140,Geometry!$B$6:$B$10000,Geometry!$C$6:$C$10000)</f>
        <v>0</v>
      </c>
      <c r="T7140" s="69"/>
      <c r="U7140" s="69"/>
    </row>
    <row r="7141" spans="19:21" ht="15" customHeight="1" x14ac:dyDescent="0.2">
      <c r="S7141" s="69">
        <f>_xlfn.XLOOKUP(Results!A7141,Geometry!$B$6:$B$10000,Geometry!$C$6:$C$10000)</f>
        <v>0</v>
      </c>
      <c r="T7141" s="69"/>
      <c r="U7141" s="69"/>
    </row>
    <row r="7142" spans="19:21" ht="15" customHeight="1" x14ac:dyDescent="0.2">
      <c r="S7142" s="69">
        <f>_xlfn.XLOOKUP(Results!A7142,Geometry!$B$6:$B$10000,Geometry!$C$6:$C$10000)</f>
        <v>0</v>
      </c>
      <c r="T7142" s="69"/>
      <c r="U7142" s="69"/>
    </row>
    <row r="7143" spans="19:21" ht="15" customHeight="1" x14ac:dyDescent="0.2">
      <c r="S7143" s="69">
        <f>_xlfn.XLOOKUP(Results!A7143,Geometry!$B$6:$B$10000,Geometry!$C$6:$C$10000)</f>
        <v>0</v>
      </c>
      <c r="T7143" s="69"/>
      <c r="U7143" s="69"/>
    </row>
    <row r="7144" spans="19:21" ht="15" customHeight="1" x14ac:dyDescent="0.2">
      <c r="S7144" s="69">
        <f>_xlfn.XLOOKUP(Results!A7144,Geometry!$B$6:$B$10000,Geometry!$C$6:$C$10000)</f>
        <v>0</v>
      </c>
      <c r="T7144" s="69"/>
      <c r="U7144" s="69"/>
    </row>
    <row r="7145" spans="19:21" ht="15" customHeight="1" x14ac:dyDescent="0.2">
      <c r="S7145" s="69">
        <f>_xlfn.XLOOKUP(Results!A7145,Geometry!$B$6:$B$10000,Geometry!$C$6:$C$10000)</f>
        <v>0</v>
      </c>
      <c r="T7145" s="69"/>
      <c r="U7145" s="69"/>
    </row>
    <row r="7146" spans="19:21" ht="15" customHeight="1" x14ac:dyDescent="0.2">
      <c r="S7146" s="69">
        <f>_xlfn.XLOOKUP(Results!A7146,Geometry!$B$6:$B$10000,Geometry!$C$6:$C$10000)</f>
        <v>0</v>
      </c>
      <c r="T7146" s="69"/>
      <c r="U7146" s="69"/>
    </row>
    <row r="7147" spans="19:21" ht="15" customHeight="1" x14ac:dyDescent="0.2">
      <c r="S7147" s="69">
        <f>_xlfn.XLOOKUP(Results!A7147,Geometry!$B$6:$B$10000,Geometry!$C$6:$C$10000)</f>
        <v>0</v>
      </c>
      <c r="T7147" s="69"/>
      <c r="U7147" s="69"/>
    </row>
    <row r="7148" spans="19:21" ht="15" customHeight="1" x14ac:dyDescent="0.2">
      <c r="S7148" s="69">
        <f>_xlfn.XLOOKUP(Results!A7148,Geometry!$B$6:$B$10000,Geometry!$C$6:$C$10000)</f>
        <v>0</v>
      </c>
      <c r="T7148" s="69"/>
      <c r="U7148" s="69"/>
    </row>
    <row r="7149" spans="19:21" ht="15" customHeight="1" x14ac:dyDescent="0.2">
      <c r="S7149" s="69">
        <f>_xlfn.XLOOKUP(Results!A7149,Geometry!$B$6:$B$10000,Geometry!$C$6:$C$10000)</f>
        <v>0</v>
      </c>
      <c r="T7149" s="69"/>
      <c r="U7149" s="69"/>
    </row>
    <row r="7150" spans="19:21" ht="15" customHeight="1" x14ac:dyDescent="0.2">
      <c r="S7150" s="69">
        <f>_xlfn.XLOOKUP(Results!A7150,Geometry!$B$6:$B$10000,Geometry!$C$6:$C$10000)</f>
        <v>0</v>
      </c>
      <c r="T7150" s="69"/>
      <c r="U7150" s="69"/>
    </row>
    <row r="7151" spans="19:21" ht="15" customHeight="1" x14ac:dyDescent="0.2">
      <c r="S7151" s="69">
        <f>_xlfn.XLOOKUP(Results!A7151,Geometry!$B$6:$B$10000,Geometry!$C$6:$C$10000)</f>
        <v>0</v>
      </c>
      <c r="T7151" s="69"/>
      <c r="U7151" s="69"/>
    </row>
    <row r="7152" spans="19:21" ht="15" customHeight="1" x14ac:dyDescent="0.2">
      <c r="S7152" s="69">
        <f>_xlfn.XLOOKUP(Results!A7152,Geometry!$B$6:$B$10000,Geometry!$C$6:$C$10000)</f>
        <v>0</v>
      </c>
      <c r="T7152" s="69"/>
      <c r="U7152" s="69"/>
    </row>
    <row r="7153" spans="19:21" ht="15" customHeight="1" x14ac:dyDescent="0.2">
      <c r="S7153" s="69">
        <f>_xlfn.XLOOKUP(Results!A7153,Geometry!$B$6:$B$10000,Geometry!$C$6:$C$10000)</f>
        <v>0</v>
      </c>
      <c r="T7153" s="69"/>
      <c r="U7153" s="69"/>
    </row>
    <row r="7154" spans="19:21" ht="15" customHeight="1" x14ac:dyDescent="0.2">
      <c r="S7154" s="69">
        <f>_xlfn.XLOOKUP(Results!A7154,Geometry!$B$6:$B$10000,Geometry!$C$6:$C$10000)</f>
        <v>0</v>
      </c>
      <c r="T7154" s="69"/>
      <c r="U7154" s="69"/>
    </row>
    <row r="7155" spans="19:21" ht="15" customHeight="1" x14ac:dyDescent="0.2">
      <c r="S7155" s="69">
        <f>_xlfn.XLOOKUP(Results!A7155,Geometry!$B$6:$B$10000,Geometry!$C$6:$C$10000)</f>
        <v>0</v>
      </c>
      <c r="T7155" s="69"/>
      <c r="U7155" s="69"/>
    </row>
    <row r="7156" spans="19:21" ht="15" customHeight="1" x14ac:dyDescent="0.2">
      <c r="S7156" s="69">
        <f>_xlfn.XLOOKUP(Results!A7156,Geometry!$B$6:$B$10000,Geometry!$C$6:$C$10000)</f>
        <v>0</v>
      </c>
      <c r="T7156" s="69"/>
      <c r="U7156" s="69"/>
    </row>
    <row r="7157" spans="19:21" ht="15" customHeight="1" x14ac:dyDescent="0.2">
      <c r="S7157" s="69">
        <f>_xlfn.XLOOKUP(Results!A7157,Geometry!$B$6:$B$10000,Geometry!$C$6:$C$10000)</f>
        <v>0</v>
      </c>
      <c r="T7157" s="69"/>
      <c r="U7157" s="69"/>
    </row>
    <row r="7158" spans="19:21" ht="15" customHeight="1" x14ac:dyDescent="0.2">
      <c r="S7158" s="69">
        <f>_xlfn.XLOOKUP(Results!A7158,Geometry!$B$6:$B$10000,Geometry!$C$6:$C$10000)</f>
        <v>0</v>
      </c>
      <c r="T7158" s="69"/>
      <c r="U7158" s="69"/>
    </row>
    <row r="7159" spans="19:21" ht="15" customHeight="1" x14ac:dyDescent="0.2">
      <c r="S7159" s="69">
        <f>_xlfn.XLOOKUP(Results!A7159,Geometry!$B$6:$B$10000,Geometry!$C$6:$C$10000)</f>
        <v>0</v>
      </c>
      <c r="T7159" s="69"/>
      <c r="U7159" s="69"/>
    </row>
    <row r="7160" spans="19:21" ht="15" customHeight="1" x14ac:dyDescent="0.2">
      <c r="S7160" s="69">
        <f>_xlfn.XLOOKUP(Results!A7160,Geometry!$B$6:$B$10000,Geometry!$C$6:$C$10000)</f>
        <v>0</v>
      </c>
      <c r="T7160" s="69"/>
      <c r="U7160" s="69"/>
    </row>
    <row r="7161" spans="19:21" ht="15" customHeight="1" x14ac:dyDescent="0.2">
      <c r="S7161" s="69">
        <f>_xlfn.XLOOKUP(Results!A7161,Geometry!$B$6:$B$10000,Geometry!$C$6:$C$10000)</f>
        <v>0</v>
      </c>
      <c r="T7161" s="69"/>
      <c r="U7161" s="69"/>
    </row>
    <row r="7162" spans="19:21" ht="15" customHeight="1" x14ac:dyDescent="0.2">
      <c r="S7162" s="69">
        <f>_xlfn.XLOOKUP(Results!A7162,Geometry!$B$6:$B$10000,Geometry!$C$6:$C$10000)</f>
        <v>0</v>
      </c>
      <c r="T7162" s="69"/>
      <c r="U7162" s="69"/>
    </row>
    <row r="7163" spans="19:21" ht="15" customHeight="1" x14ac:dyDescent="0.2">
      <c r="S7163" s="69">
        <f>_xlfn.XLOOKUP(Results!A7163,Geometry!$B$6:$B$10000,Geometry!$C$6:$C$10000)</f>
        <v>0</v>
      </c>
      <c r="T7163" s="69"/>
      <c r="U7163" s="69"/>
    </row>
    <row r="7164" spans="19:21" ht="15" customHeight="1" x14ac:dyDescent="0.2">
      <c r="S7164" s="69">
        <f>_xlfn.XLOOKUP(Results!A7164,Geometry!$B$6:$B$10000,Geometry!$C$6:$C$10000)</f>
        <v>0</v>
      </c>
      <c r="T7164" s="69"/>
      <c r="U7164" s="69"/>
    </row>
    <row r="7165" spans="19:21" ht="15" customHeight="1" x14ac:dyDescent="0.2">
      <c r="S7165" s="69">
        <f>_xlfn.XLOOKUP(Results!A7165,Geometry!$B$6:$B$10000,Geometry!$C$6:$C$10000)</f>
        <v>0</v>
      </c>
      <c r="T7165" s="69"/>
      <c r="U7165" s="69"/>
    </row>
    <row r="7166" spans="19:21" ht="15" customHeight="1" x14ac:dyDescent="0.2">
      <c r="S7166" s="69">
        <f>_xlfn.XLOOKUP(Results!A7166,Geometry!$B$6:$B$10000,Geometry!$C$6:$C$10000)</f>
        <v>0</v>
      </c>
      <c r="T7166" s="69"/>
      <c r="U7166" s="69"/>
    </row>
    <row r="7167" spans="19:21" ht="15" customHeight="1" x14ac:dyDescent="0.2">
      <c r="S7167" s="69">
        <f>_xlfn.XLOOKUP(Results!A7167,Geometry!$B$6:$B$10000,Geometry!$C$6:$C$10000)</f>
        <v>0</v>
      </c>
      <c r="T7167" s="69"/>
      <c r="U7167" s="69"/>
    </row>
    <row r="7168" spans="19:21" ht="15" customHeight="1" x14ac:dyDescent="0.2">
      <c r="S7168" s="69">
        <f>_xlfn.XLOOKUP(Results!A7168,Geometry!$B$6:$B$10000,Geometry!$C$6:$C$10000)</f>
        <v>0</v>
      </c>
      <c r="T7168" s="69"/>
      <c r="U7168" s="69"/>
    </row>
    <row r="7169" spans="19:21" ht="15" customHeight="1" x14ac:dyDescent="0.2">
      <c r="S7169" s="69">
        <f>_xlfn.XLOOKUP(Results!A7169,Geometry!$B$6:$B$10000,Geometry!$C$6:$C$10000)</f>
        <v>0</v>
      </c>
      <c r="T7169" s="69"/>
      <c r="U7169" s="69"/>
    </row>
    <row r="7170" spans="19:21" ht="15" customHeight="1" x14ac:dyDescent="0.2">
      <c r="S7170" s="69">
        <f>_xlfn.XLOOKUP(Results!A7170,Geometry!$B$6:$B$10000,Geometry!$C$6:$C$10000)</f>
        <v>0</v>
      </c>
      <c r="T7170" s="69"/>
      <c r="U7170" s="69"/>
    </row>
    <row r="7171" spans="19:21" ht="15" customHeight="1" x14ac:dyDescent="0.2">
      <c r="S7171" s="69">
        <f>_xlfn.XLOOKUP(Results!A7171,Geometry!$B$6:$B$10000,Geometry!$C$6:$C$10000)</f>
        <v>0</v>
      </c>
      <c r="T7171" s="69"/>
      <c r="U7171" s="69"/>
    </row>
    <row r="7172" spans="19:21" ht="15" customHeight="1" x14ac:dyDescent="0.2">
      <c r="S7172" s="69">
        <f>_xlfn.XLOOKUP(Results!A7172,Geometry!$B$6:$B$10000,Geometry!$C$6:$C$10000)</f>
        <v>0</v>
      </c>
      <c r="T7172" s="69"/>
      <c r="U7172" s="69"/>
    </row>
    <row r="7173" spans="19:21" ht="15" customHeight="1" x14ac:dyDescent="0.2">
      <c r="S7173" s="69">
        <f>_xlfn.XLOOKUP(Results!A7173,Geometry!$B$6:$B$10000,Geometry!$C$6:$C$10000)</f>
        <v>0</v>
      </c>
      <c r="T7173" s="69"/>
      <c r="U7173" s="69"/>
    </row>
    <row r="7174" spans="19:21" ht="15" customHeight="1" x14ac:dyDescent="0.2">
      <c r="S7174" s="69">
        <f>_xlfn.XLOOKUP(Results!A7174,Geometry!$B$6:$B$10000,Geometry!$C$6:$C$10000)</f>
        <v>0</v>
      </c>
      <c r="T7174" s="69"/>
      <c r="U7174" s="69"/>
    </row>
    <row r="7175" spans="19:21" ht="15" customHeight="1" x14ac:dyDescent="0.2">
      <c r="S7175" s="69">
        <f>_xlfn.XLOOKUP(Results!A7175,Geometry!$B$6:$B$10000,Geometry!$C$6:$C$10000)</f>
        <v>0</v>
      </c>
      <c r="T7175" s="69"/>
      <c r="U7175" s="69"/>
    </row>
    <row r="7176" spans="19:21" ht="15" customHeight="1" x14ac:dyDescent="0.2">
      <c r="S7176" s="69">
        <f>_xlfn.XLOOKUP(Results!A7176,Geometry!$B$6:$B$10000,Geometry!$C$6:$C$10000)</f>
        <v>0</v>
      </c>
      <c r="T7176" s="69"/>
      <c r="U7176" s="69"/>
    </row>
    <row r="7177" spans="19:21" ht="15" customHeight="1" x14ac:dyDescent="0.2">
      <c r="S7177" s="69">
        <f>_xlfn.XLOOKUP(Results!A7177,Geometry!$B$6:$B$10000,Geometry!$C$6:$C$10000)</f>
        <v>0</v>
      </c>
      <c r="T7177" s="69"/>
      <c r="U7177" s="69"/>
    </row>
    <row r="7178" spans="19:21" ht="15" customHeight="1" x14ac:dyDescent="0.2">
      <c r="S7178" s="69">
        <f>_xlfn.XLOOKUP(Results!A7178,Geometry!$B$6:$B$10000,Geometry!$C$6:$C$10000)</f>
        <v>0</v>
      </c>
      <c r="T7178" s="69"/>
      <c r="U7178" s="69"/>
    </row>
    <row r="7179" spans="19:21" ht="15" customHeight="1" x14ac:dyDescent="0.2">
      <c r="S7179" s="69">
        <f>_xlfn.XLOOKUP(Results!A7179,Geometry!$B$6:$B$10000,Geometry!$C$6:$C$10000)</f>
        <v>0</v>
      </c>
      <c r="T7179" s="69"/>
      <c r="U7179" s="69"/>
    </row>
    <row r="7180" spans="19:21" ht="15" customHeight="1" x14ac:dyDescent="0.2">
      <c r="S7180" s="69">
        <f>_xlfn.XLOOKUP(Results!A7180,Geometry!$B$6:$B$10000,Geometry!$C$6:$C$10000)</f>
        <v>0</v>
      </c>
      <c r="T7180" s="69"/>
      <c r="U7180" s="69"/>
    </row>
    <row r="7181" spans="19:21" ht="15" customHeight="1" x14ac:dyDescent="0.2">
      <c r="S7181" s="69">
        <f>_xlfn.XLOOKUP(Results!A7181,Geometry!$B$6:$B$10000,Geometry!$C$6:$C$10000)</f>
        <v>0</v>
      </c>
      <c r="T7181" s="69"/>
      <c r="U7181" s="69"/>
    </row>
    <row r="7182" spans="19:21" ht="15" customHeight="1" x14ac:dyDescent="0.2">
      <c r="S7182" s="69">
        <f>_xlfn.XLOOKUP(Results!A7182,Geometry!$B$6:$B$10000,Geometry!$C$6:$C$10000)</f>
        <v>0</v>
      </c>
      <c r="T7182" s="69"/>
      <c r="U7182" s="69"/>
    </row>
    <row r="7183" spans="19:21" ht="15" customHeight="1" x14ac:dyDescent="0.2">
      <c r="S7183" s="69">
        <f>_xlfn.XLOOKUP(Results!A7183,Geometry!$B$6:$B$10000,Geometry!$C$6:$C$10000)</f>
        <v>0</v>
      </c>
      <c r="T7183" s="69"/>
      <c r="U7183" s="69"/>
    </row>
    <row r="7184" spans="19:21" ht="15" customHeight="1" x14ac:dyDescent="0.2">
      <c r="S7184" s="69">
        <f>_xlfn.XLOOKUP(Results!A7184,Geometry!$B$6:$B$10000,Geometry!$C$6:$C$10000)</f>
        <v>0</v>
      </c>
      <c r="T7184" s="69"/>
      <c r="U7184" s="69"/>
    </row>
    <row r="7185" spans="19:21" ht="15" customHeight="1" x14ac:dyDescent="0.2">
      <c r="S7185" s="69">
        <f>_xlfn.XLOOKUP(Results!A7185,Geometry!$B$6:$B$10000,Geometry!$C$6:$C$10000)</f>
        <v>0</v>
      </c>
      <c r="T7185" s="69"/>
      <c r="U7185" s="69"/>
    </row>
    <row r="7186" spans="19:21" ht="15" customHeight="1" x14ac:dyDescent="0.2">
      <c r="S7186" s="69">
        <f>_xlfn.XLOOKUP(Results!A7186,Geometry!$B$6:$B$10000,Geometry!$C$6:$C$10000)</f>
        <v>0</v>
      </c>
      <c r="T7186" s="69"/>
      <c r="U7186" s="69"/>
    </row>
    <row r="7187" spans="19:21" ht="15" customHeight="1" x14ac:dyDescent="0.2">
      <c r="S7187" s="69">
        <f>_xlfn.XLOOKUP(Results!A7187,Geometry!$B$6:$B$10000,Geometry!$C$6:$C$10000)</f>
        <v>0</v>
      </c>
      <c r="T7187" s="69"/>
      <c r="U7187" s="69"/>
    </row>
    <row r="7188" spans="19:21" ht="15" customHeight="1" x14ac:dyDescent="0.2">
      <c r="S7188" s="69">
        <f>_xlfn.XLOOKUP(Results!A7188,Geometry!$B$6:$B$10000,Geometry!$C$6:$C$10000)</f>
        <v>0</v>
      </c>
      <c r="T7188" s="69"/>
      <c r="U7188" s="69"/>
    </row>
    <row r="7189" spans="19:21" ht="15" customHeight="1" x14ac:dyDescent="0.2">
      <c r="S7189" s="69">
        <f>_xlfn.XLOOKUP(Results!A7189,Geometry!$B$6:$B$10000,Geometry!$C$6:$C$10000)</f>
        <v>0</v>
      </c>
      <c r="T7189" s="69"/>
      <c r="U7189" s="69"/>
    </row>
    <row r="7190" spans="19:21" ht="15" customHeight="1" x14ac:dyDescent="0.2">
      <c r="S7190" s="69">
        <f>_xlfn.XLOOKUP(Results!A7190,Geometry!$B$6:$B$10000,Geometry!$C$6:$C$10000)</f>
        <v>0</v>
      </c>
      <c r="T7190" s="69"/>
      <c r="U7190" s="69"/>
    </row>
    <row r="7191" spans="19:21" ht="15" customHeight="1" x14ac:dyDescent="0.2">
      <c r="S7191" s="69">
        <f>_xlfn.XLOOKUP(Results!A7191,Geometry!$B$6:$B$10000,Geometry!$C$6:$C$10000)</f>
        <v>0</v>
      </c>
      <c r="T7191" s="69"/>
      <c r="U7191" s="69"/>
    </row>
    <row r="7192" spans="19:21" ht="15" customHeight="1" x14ac:dyDescent="0.2">
      <c r="S7192" s="69">
        <f>_xlfn.XLOOKUP(Results!A7192,Geometry!$B$6:$B$10000,Geometry!$C$6:$C$10000)</f>
        <v>0</v>
      </c>
      <c r="T7192" s="69"/>
      <c r="U7192" s="69"/>
    </row>
    <row r="7193" spans="19:21" ht="15" customHeight="1" x14ac:dyDescent="0.2">
      <c r="S7193" s="69">
        <f>_xlfn.XLOOKUP(Results!A7193,Geometry!$B$6:$B$10000,Geometry!$C$6:$C$10000)</f>
        <v>0</v>
      </c>
      <c r="T7193" s="69"/>
      <c r="U7193" s="69"/>
    </row>
    <row r="7194" spans="19:21" ht="15" customHeight="1" x14ac:dyDescent="0.2">
      <c r="S7194" s="69">
        <f>_xlfn.XLOOKUP(Results!A7194,Geometry!$B$6:$B$10000,Geometry!$C$6:$C$10000)</f>
        <v>0</v>
      </c>
      <c r="T7194" s="69"/>
      <c r="U7194" s="69"/>
    </row>
    <row r="7195" spans="19:21" ht="15" customHeight="1" x14ac:dyDescent="0.2">
      <c r="S7195" s="69">
        <f>_xlfn.XLOOKUP(Results!A7195,Geometry!$B$6:$B$10000,Geometry!$C$6:$C$10000)</f>
        <v>0</v>
      </c>
      <c r="T7195" s="69"/>
      <c r="U7195" s="69"/>
    </row>
    <row r="7196" spans="19:21" ht="15" customHeight="1" x14ac:dyDescent="0.2">
      <c r="S7196" s="69">
        <f>_xlfn.XLOOKUP(Results!A7196,Geometry!$B$6:$B$10000,Geometry!$C$6:$C$10000)</f>
        <v>0</v>
      </c>
      <c r="T7196" s="69"/>
      <c r="U7196" s="69"/>
    </row>
    <row r="7197" spans="19:21" ht="15" customHeight="1" x14ac:dyDescent="0.2">
      <c r="S7197" s="69">
        <f>_xlfn.XLOOKUP(Results!A7197,Geometry!$B$6:$B$10000,Geometry!$C$6:$C$10000)</f>
        <v>0</v>
      </c>
      <c r="T7197" s="69"/>
      <c r="U7197" s="69"/>
    </row>
    <row r="7198" spans="19:21" ht="15" customHeight="1" x14ac:dyDescent="0.2">
      <c r="S7198" s="69">
        <f>_xlfn.XLOOKUP(Results!A7198,Geometry!$B$6:$B$10000,Geometry!$C$6:$C$10000)</f>
        <v>0</v>
      </c>
      <c r="T7198" s="69"/>
      <c r="U7198" s="69"/>
    </row>
    <row r="7199" spans="19:21" ht="15" customHeight="1" x14ac:dyDescent="0.2">
      <c r="S7199" s="69">
        <f>_xlfn.XLOOKUP(Results!A7199,Geometry!$B$6:$B$10000,Geometry!$C$6:$C$10000)</f>
        <v>0</v>
      </c>
      <c r="T7199" s="69"/>
      <c r="U7199" s="69"/>
    </row>
    <row r="7200" spans="19:21" ht="15" customHeight="1" x14ac:dyDescent="0.2">
      <c r="S7200" s="69">
        <f>_xlfn.XLOOKUP(Results!A7200,Geometry!$B$6:$B$10000,Geometry!$C$6:$C$10000)</f>
        <v>0</v>
      </c>
      <c r="T7200" s="69"/>
      <c r="U7200" s="69"/>
    </row>
    <row r="7201" spans="19:21" ht="15" customHeight="1" x14ac:dyDescent="0.2">
      <c r="S7201" s="69">
        <f>_xlfn.XLOOKUP(Results!A7201,Geometry!$B$6:$B$10000,Geometry!$C$6:$C$10000)</f>
        <v>0</v>
      </c>
      <c r="T7201" s="69"/>
      <c r="U7201" s="69"/>
    </row>
    <row r="7202" spans="19:21" ht="15" customHeight="1" x14ac:dyDescent="0.2">
      <c r="S7202" s="69">
        <f>_xlfn.XLOOKUP(Results!A7202,Geometry!$B$6:$B$10000,Geometry!$C$6:$C$10000)</f>
        <v>0</v>
      </c>
      <c r="T7202" s="69"/>
      <c r="U7202" s="69"/>
    </row>
    <row r="7203" spans="19:21" ht="15" customHeight="1" x14ac:dyDescent="0.2">
      <c r="S7203" s="69">
        <f>_xlfn.XLOOKUP(Results!A7203,Geometry!$B$6:$B$10000,Geometry!$C$6:$C$10000)</f>
        <v>0</v>
      </c>
      <c r="T7203" s="69"/>
      <c r="U7203" s="69"/>
    </row>
    <row r="7204" spans="19:21" ht="15" customHeight="1" x14ac:dyDescent="0.2">
      <c r="S7204" s="69">
        <f>_xlfn.XLOOKUP(Results!A7204,Geometry!$B$6:$B$10000,Geometry!$C$6:$C$10000)</f>
        <v>0</v>
      </c>
      <c r="T7204" s="69"/>
      <c r="U7204" s="69"/>
    </row>
    <row r="7205" spans="19:21" ht="15" customHeight="1" x14ac:dyDescent="0.2">
      <c r="S7205" s="69">
        <f>_xlfn.XLOOKUP(Results!A7205,Geometry!$B$6:$B$10000,Geometry!$C$6:$C$10000)</f>
        <v>0</v>
      </c>
      <c r="T7205" s="69"/>
      <c r="U7205" s="69"/>
    </row>
    <row r="7206" spans="19:21" ht="15" customHeight="1" x14ac:dyDescent="0.2">
      <c r="S7206" s="69">
        <f>_xlfn.XLOOKUP(Results!A7206,Geometry!$B$6:$B$10000,Geometry!$C$6:$C$10000)</f>
        <v>0</v>
      </c>
      <c r="T7206" s="69"/>
      <c r="U7206" s="69"/>
    </row>
    <row r="7207" spans="19:21" ht="15" customHeight="1" x14ac:dyDescent="0.2">
      <c r="S7207" s="69">
        <f>_xlfn.XLOOKUP(Results!A7207,Geometry!$B$6:$B$10000,Geometry!$C$6:$C$10000)</f>
        <v>0</v>
      </c>
      <c r="T7207" s="69"/>
      <c r="U7207" s="69"/>
    </row>
    <row r="7208" spans="19:21" ht="15" customHeight="1" x14ac:dyDescent="0.2">
      <c r="S7208" s="69">
        <f>_xlfn.XLOOKUP(Results!A7208,Geometry!$B$6:$B$10000,Geometry!$C$6:$C$10000)</f>
        <v>0</v>
      </c>
      <c r="T7208" s="69"/>
      <c r="U7208" s="69"/>
    </row>
    <row r="7209" spans="19:21" ht="15" customHeight="1" x14ac:dyDescent="0.2">
      <c r="S7209" s="69">
        <f>_xlfn.XLOOKUP(Results!A7209,Geometry!$B$6:$B$10000,Geometry!$C$6:$C$10000)</f>
        <v>0</v>
      </c>
      <c r="T7209" s="69"/>
      <c r="U7209" s="69"/>
    </row>
    <row r="7210" spans="19:21" ht="15" customHeight="1" x14ac:dyDescent="0.2">
      <c r="S7210" s="69">
        <f>_xlfn.XLOOKUP(Results!A7210,Geometry!$B$6:$B$10000,Geometry!$C$6:$C$10000)</f>
        <v>0</v>
      </c>
      <c r="T7210" s="69"/>
      <c r="U7210" s="69"/>
    </row>
    <row r="7211" spans="19:21" ht="15" customHeight="1" x14ac:dyDescent="0.2">
      <c r="S7211" s="69">
        <f>_xlfn.XLOOKUP(Results!A7211,Geometry!$B$6:$B$10000,Geometry!$C$6:$C$10000)</f>
        <v>0</v>
      </c>
      <c r="T7211" s="69"/>
      <c r="U7211" s="69"/>
    </row>
    <row r="7212" spans="19:21" ht="15" customHeight="1" x14ac:dyDescent="0.2">
      <c r="S7212" s="69">
        <f>_xlfn.XLOOKUP(Results!A7212,Geometry!$B$6:$B$10000,Geometry!$C$6:$C$10000)</f>
        <v>0</v>
      </c>
      <c r="T7212" s="69"/>
      <c r="U7212" s="69"/>
    </row>
    <row r="7213" spans="19:21" ht="15" customHeight="1" x14ac:dyDescent="0.2">
      <c r="S7213" s="69">
        <f>_xlfn.XLOOKUP(Results!A7213,Geometry!$B$6:$B$10000,Geometry!$C$6:$C$10000)</f>
        <v>0</v>
      </c>
      <c r="T7213" s="69"/>
      <c r="U7213" s="69"/>
    </row>
    <row r="7214" spans="19:21" ht="15" customHeight="1" x14ac:dyDescent="0.2">
      <c r="S7214" s="69">
        <f>_xlfn.XLOOKUP(Results!A7214,Geometry!$B$6:$B$10000,Geometry!$C$6:$C$10000)</f>
        <v>0</v>
      </c>
      <c r="T7214" s="69"/>
      <c r="U7214" s="69"/>
    </row>
    <row r="7215" spans="19:21" ht="15" customHeight="1" x14ac:dyDescent="0.2">
      <c r="S7215" s="69">
        <f>_xlfn.XLOOKUP(Results!A7215,Geometry!$B$6:$B$10000,Geometry!$C$6:$C$10000)</f>
        <v>0</v>
      </c>
      <c r="T7215" s="69"/>
      <c r="U7215" s="69"/>
    </row>
    <row r="7216" spans="19:21" ht="15" customHeight="1" x14ac:dyDescent="0.2">
      <c r="S7216" s="69">
        <f>_xlfn.XLOOKUP(Results!A7216,Geometry!$B$6:$B$10000,Geometry!$C$6:$C$10000)</f>
        <v>0</v>
      </c>
      <c r="T7216" s="69"/>
      <c r="U7216" s="69"/>
    </row>
    <row r="7217" spans="19:21" ht="15" customHeight="1" x14ac:dyDescent="0.2">
      <c r="S7217" s="69">
        <f>_xlfn.XLOOKUP(Results!A7217,Geometry!$B$6:$B$10000,Geometry!$C$6:$C$10000)</f>
        <v>0</v>
      </c>
      <c r="T7217" s="69"/>
      <c r="U7217" s="69"/>
    </row>
    <row r="7218" spans="19:21" ht="15" customHeight="1" x14ac:dyDescent="0.2">
      <c r="S7218" s="69">
        <f>_xlfn.XLOOKUP(Results!A7218,Geometry!$B$6:$B$10000,Geometry!$C$6:$C$10000)</f>
        <v>0</v>
      </c>
      <c r="T7218" s="69"/>
      <c r="U7218" s="69"/>
    </row>
    <row r="7219" spans="19:21" ht="15" customHeight="1" x14ac:dyDescent="0.2">
      <c r="S7219" s="69">
        <f>_xlfn.XLOOKUP(Results!A7219,Geometry!$B$6:$B$10000,Geometry!$C$6:$C$10000)</f>
        <v>0</v>
      </c>
      <c r="T7219" s="69"/>
      <c r="U7219" s="69"/>
    </row>
    <row r="7220" spans="19:21" ht="15" customHeight="1" x14ac:dyDescent="0.2">
      <c r="S7220" s="69">
        <f>_xlfn.XLOOKUP(Results!A7220,Geometry!$B$6:$B$10000,Geometry!$C$6:$C$10000)</f>
        <v>0</v>
      </c>
      <c r="T7220" s="69"/>
      <c r="U7220" s="69"/>
    </row>
    <row r="7221" spans="19:21" ht="15" customHeight="1" x14ac:dyDescent="0.2">
      <c r="S7221" s="69">
        <f>_xlfn.XLOOKUP(Results!A7221,Geometry!$B$6:$B$10000,Geometry!$C$6:$C$10000)</f>
        <v>0</v>
      </c>
      <c r="T7221" s="69"/>
      <c r="U7221" s="69"/>
    </row>
    <row r="7222" spans="19:21" ht="15" customHeight="1" x14ac:dyDescent="0.2">
      <c r="S7222" s="69">
        <f>_xlfn.XLOOKUP(Results!A7222,Geometry!$B$6:$B$10000,Geometry!$C$6:$C$10000)</f>
        <v>0</v>
      </c>
      <c r="T7222" s="69"/>
      <c r="U7222" s="69"/>
    </row>
    <row r="7223" spans="19:21" ht="15" customHeight="1" x14ac:dyDescent="0.2">
      <c r="S7223" s="69">
        <f>_xlfn.XLOOKUP(Results!A7223,Geometry!$B$6:$B$10000,Geometry!$C$6:$C$10000)</f>
        <v>0</v>
      </c>
      <c r="T7223" s="69"/>
      <c r="U7223" s="69"/>
    </row>
    <row r="7224" spans="19:21" ht="15" customHeight="1" x14ac:dyDescent="0.2">
      <c r="S7224" s="69">
        <f>_xlfn.XLOOKUP(Results!A7224,Geometry!$B$6:$B$10000,Geometry!$C$6:$C$10000)</f>
        <v>0</v>
      </c>
      <c r="T7224" s="69"/>
      <c r="U7224" s="69"/>
    </row>
    <row r="7225" spans="19:21" ht="15" customHeight="1" x14ac:dyDescent="0.2">
      <c r="S7225" s="69">
        <f>_xlfn.XLOOKUP(Results!A7225,Geometry!$B$6:$B$10000,Geometry!$C$6:$C$10000)</f>
        <v>0</v>
      </c>
      <c r="T7225" s="69"/>
      <c r="U7225" s="69"/>
    </row>
    <row r="7226" spans="19:21" ht="15" customHeight="1" x14ac:dyDescent="0.2">
      <c r="S7226" s="69">
        <f>_xlfn.XLOOKUP(Results!A7226,Geometry!$B$6:$B$10000,Geometry!$C$6:$C$10000)</f>
        <v>0</v>
      </c>
      <c r="T7226" s="69"/>
      <c r="U7226" s="69"/>
    </row>
    <row r="7227" spans="19:21" ht="15" customHeight="1" x14ac:dyDescent="0.2">
      <c r="S7227" s="69">
        <f>_xlfn.XLOOKUP(Results!A7227,Geometry!$B$6:$B$10000,Geometry!$C$6:$C$10000)</f>
        <v>0</v>
      </c>
      <c r="T7227" s="69"/>
      <c r="U7227" s="69"/>
    </row>
    <row r="7228" spans="19:21" ht="15" customHeight="1" x14ac:dyDescent="0.2">
      <c r="S7228" s="69">
        <f>_xlfn.XLOOKUP(Results!A7228,Geometry!$B$6:$B$10000,Geometry!$C$6:$C$10000)</f>
        <v>0</v>
      </c>
      <c r="T7228" s="69"/>
      <c r="U7228" s="69"/>
    </row>
    <row r="7229" spans="19:21" ht="15" customHeight="1" x14ac:dyDescent="0.2">
      <c r="S7229" s="69">
        <f>_xlfn.XLOOKUP(Results!A7229,Geometry!$B$6:$B$10000,Geometry!$C$6:$C$10000)</f>
        <v>0</v>
      </c>
      <c r="T7229" s="69"/>
      <c r="U7229" s="69"/>
    </row>
    <row r="7230" spans="19:21" ht="15" customHeight="1" x14ac:dyDescent="0.2">
      <c r="S7230" s="69">
        <f>_xlfn.XLOOKUP(Results!A7230,Geometry!$B$6:$B$10000,Geometry!$C$6:$C$10000)</f>
        <v>0</v>
      </c>
      <c r="T7230" s="69"/>
      <c r="U7230" s="69"/>
    </row>
    <row r="7231" spans="19:21" ht="15" customHeight="1" x14ac:dyDescent="0.2">
      <c r="S7231" s="69">
        <f>_xlfn.XLOOKUP(Results!A7231,Geometry!$B$6:$B$10000,Geometry!$C$6:$C$10000)</f>
        <v>0</v>
      </c>
      <c r="T7231" s="69"/>
      <c r="U7231" s="69"/>
    </row>
    <row r="7232" spans="19:21" ht="15" customHeight="1" x14ac:dyDescent="0.2">
      <c r="S7232" s="69">
        <f>_xlfn.XLOOKUP(Results!A7232,Geometry!$B$6:$B$10000,Geometry!$C$6:$C$10000)</f>
        <v>0</v>
      </c>
      <c r="T7232" s="69"/>
      <c r="U7232" s="69"/>
    </row>
    <row r="7233" spans="19:21" ht="15" customHeight="1" x14ac:dyDescent="0.2">
      <c r="S7233" s="69">
        <f>_xlfn.XLOOKUP(Results!A7233,Geometry!$B$6:$B$10000,Geometry!$C$6:$C$10000)</f>
        <v>0</v>
      </c>
      <c r="T7233" s="69"/>
      <c r="U7233" s="69"/>
    </row>
    <row r="7234" spans="19:21" ht="15" customHeight="1" x14ac:dyDescent="0.2">
      <c r="S7234" s="69">
        <f>_xlfn.XLOOKUP(Results!A7234,Geometry!$B$6:$B$10000,Geometry!$C$6:$C$10000)</f>
        <v>0</v>
      </c>
      <c r="T7234" s="69"/>
      <c r="U7234" s="69"/>
    </row>
    <row r="7235" spans="19:21" ht="15" customHeight="1" x14ac:dyDescent="0.2">
      <c r="S7235" s="69">
        <f>_xlfn.XLOOKUP(Results!A7235,Geometry!$B$6:$B$10000,Geometry!$C$6:$C$10000)</f>
        <v>0</v>
      </c>
      <c r="T7235" s="69"/>
      <c r="U7235" s="69"/>
    </row>
    <row r="7236" spans="19:21" ht="15" customHeight="1" x14ac:dyDescent="0.2">
      <c r="S7236" s="69">
        <f>_xlfn.XLOOKUP(Results!A7236,Geometry!$B$6:$B$10000,Geometry!$C$6:$C$10000)</f>
        <v>0</v>
      </c>
      <c r="T7236" s="69"/>
      <c r="U7236" s="69"/>
    </row>
    <row r="7237" spans="19:21" ht="15" customHeight="1" x14ac:dyDescent="0.2">
      <c r="S7237" s="69">
        <f>_xlfn.XLOOKUP(Results!A7237,Geometry!$B$6:$B$10000,Geometry!$C$6:$C$10000)</f>
        <v>0</v>
      </c>
      <c r="T7237" s="69"/>
      <c r="U7237" s="69"/>
    </row>
    <row r="7238" spans="19:21" ht="15" customHeight="1" x14ac:dyDescent="0.2">
      <c r="S7238" s="69">
        <f>_xlfn.XLOOKUP(Results!A7238,Geometry!$B$6:$B$10000,Geometry!$C$6:$C$10000)</f>
        <v>0</v>
      </c>
      <c r="T7238" s="69"/>
      <c r="U7238" s="69"/>
    </row>
    <row r="7239" spans="19:21" ht="15" customHeight="1" x14ac:dyDescent="0.2">
      <c r="S7239" s="69">
        <f>_xlfn.XLOOKUP(Results!A7239,Geometry!$B$6:$B$10000,Geometry!$C$6:$C$10000)</f>
        <v>0</v>
      </c>
      <c r="T7239" s="69"/>
      <c r="U7239" s="69"/>
    </row>
    <row r="7240" spans="19:21" ht="15" customHeight="1" x14ac:dyDescent="0.2">
      <c r="S7240" s="69">
        <f>_xlfn.XLOOKUP(Results!A7240,Geometry!$B$6:$B$10000,Geometry!$C$6:$C$10000)</f>
        <v>0</v>
      </c>
      <c r="T7240" s="69"/>
      <c r="U7240" s="69"/>
    </row>
    <row r="7241" spans="19:21" ht="15" customHeight="1" x14ac:dyDescent="0.2">
      <c r="S7241" s="69">
        <f>_xlfn.XLOOKUP(Results!A7241,Geometry!$B$6:$B$10000,Geometry!$C$6:$C$10000)</f>
        <v>0</v>
      </c>
      <c r="T7241" s="69"/>
      <c r="U7241" s="69"/>
    </row>
    <row r="7242" spans="19:21" ht="15" customHeight="1" x14ac:dyDescent="0.2">
      <c r="S7242" s="69">
        <f>_xlfn.XLOOKUP(Results!A7242,Geometry!$B$6:$B$10000,Geometry!$C$6:$C$10000)</f>
        <v>0</v>
      </c>
      <c r="T7242" s="69"/>
      <c r="U7242" s="69"/>
    </row>
    <row r="7243" spans="19:21" ht="15" customHeight="1" x14ac:dyDescent="0.2">
      <c r="S7243" s="69">
        <f>_xlfn.XLOOKUP(Results!A7243,Geometry!$B$6:$B$10000,Geometry!$C$6:$C$10000)</f>
        <v>0</v>
      </c>
      <c r="T7243" s="69"/>
      <c r="U7243" s="69"/>
    </row>
    <row r="7244" spans="19:21" ht="15" customHeight="1" x14ac:dyDescent="0.2">
      <c r="S7244" s="69">
        <f>_xlfn.XLOOKUP(Results!A7244,Geometry!$B$6:$B$10000,Geometry!$C$6:$C$10000)</f>
        <v>0</v>
      </c>
      <c r="T7244" s="69"/>
      <c r="U7244" s="69"/>
    </row>
    <row r="7245" spans="19:21" ht="15" customHeight="1" x14ac:dyDescent="0.2">
      <c r="S7245" s="69">
        <f>_xlfn.XLOOKUP(Results!A7245,Geometry!$B$6:$B$10000,Geometry!$C$6:$C$10000)</f>
        <v>0</v>
      </c>
      <c r="T7245" s="69"/>
      <c r="U7245" s="69"/>
    </row>
    <row r="7246" spans="19:21" ht="15" customHeight="1" x14ac:dyDescent="0.2">
      <c r="S7246" s="69">
        <f>_xlfn.XLOOKUP(Results!A7246,Geometry!$B$6:$B$10000,Geometry!$C$6:$C$10000)</f>
        <v>0</v>
      </c>
      <c r="T7246" s="69"/>
      <c r="U7246" s="69"/>
    </row>
    <row r="7247" spans="19:21" ht="15" customHeight="1" x14ac:dyDescent="0.2">
      <c r="S7247" s="69">
        <f>_xlfn.XLOOKUP(Results!A7247,Geometry!$B$6:$B$10000,Geometry!$C$6:$C$10000)</f>
        <v>0</v>
      </c>
      <c r="T7247" s="69"/>
      <c r="U7247" s="69"/>
    </row>
    <row r="7248" spans="19:21" ht="15" customHeight="1" x14ac:dyDescent="0.2">
      <c r="S7248" s="69">
        <f>_xlfn.XLOOKUP(Results!A7248,Geometry!$B$6:$B$10000,Geometry!$C$6:$C$10000)</f>
        <v>0</v>
      </c>
      <c r="T7248" s="69"/>
      <c r="U7248" s="69"/>
    </row>
    <row r="7249" spans="19:21" ht="15" customHeight="1" x14ac:dyDescent="0.2">
      <c r="S7249" s="69">
        <f>_xlfn.XLOOKUP(Results!A7249,Geometry!$B$6:$B$10000,Geometry!$C$6:$C$10000)</f>
        <v>0</v>
      </c>
      <c r="T7249" s="69"/>
      <c r="U7249" s="69"/>
    </row>
    <row r="7250" spans="19:21" ht="15" customHeight="1" x14ac:dyDescent="0.2">
      <c r="S7250" s="69">
        <f>_xlfn.XLOOKUP(Results!A7250,Geometry!$B$6:$B$10000,Geometry!$C$6:$C$10000)</f>
        <v>0</v>
      </c>
      <c r="T7250" s="69"/>
      <c r="U7250" s="69"/>
    </row>
    <row r="7251" spans="19:21" ht="15" customHeight="1" x14ac:dyDescent="0.2">
      <c r="S7251" s="69">
        <f>_xlfn.XLOOKUP(Results!A7251,Geometry!$B$6:$B$10000,Geometry!$C$6:$C$10000)</f>
        <v>0</v>
      </c>
      <c r="T7251" s="69"/>
      <c r="U7251" s="69"/>
    </row>
    <row r="7252" spans="19:21" ht="15" customHeight="1" x14ac:dyDescent="0.2">
      <c r="S7252" s="69">
        <f>_xlfn.XLOOKUP(Results!A7252,Geometry!$B$6:$B$10000,Geometry!$C$6:$C$10000)</f>
        <v>0</v>
      </c>
      <c r="T7252" s="69"/>
      <c r="U7252" s="69"/>
    </row>
    <row r="7253" spans="19:21" ht="15" customHeight="1" x14ac:dyDescent="0.2">
      <c r="S7253" s="69">
        <f>_xlfn.XLOOKUP(Results!A7253,Geometry!$B$6:$B$10000,Geometry!$C$6:$C$10000)</f>
        <v>0</v>
      </c>
      <c r="T7253" s="69"/>
      <c r="U7253" s="69"/>
    </row>
    <row r="7254" spans="19:21" ht="15" customHeight="1" x14ac:dyDescent="0.2">
      <c r="S7254" s="69">
        <f>_xlfn.XLOOKUP(Results!A7254,Geometry!$B$6:$B$10000,Geometry!$C$6:$C$10000)</f>
        <v>0</v>
      </c>
      <c r="T7254" s="69"/>
      <c r="U7254" s="69"/>
    </row>
    <row r="7255" spans="19:21" ht="15" customHeight="1" x14ac:dyDescent="0.2">
      <c r="S7255" s="69">
        <f>_xlfn.XLOOKUP(Results!A7255,Geometry!$B$6:$B$10000,Geometry!$C$6:$C$10000)</f>
        <v>0</v>
      </c>
      <c r="T7255" s="69"/>
      <c r="U7255" s="69"/>
    </row>
    <row r="7256" spans="19:21" ht="15" customHeight="1" x14ac:dyDescent="0.2">
      <c r="S7256" s="69">
        <f>_xlfn.XLOOKUP(Results!A7256,Geometry!$B$6:$B$10000,Geometry!$C$6:$C$10000)</f>
        <v>0</v>
      </c>
      <c r="T7256" s="69"/>
      <c r="U7256" s="69"/>
    </row>
    <row r="7257" spans="19:21" ht="15" customHeight="1" x14ac:dyDescent="0.2">
      <c r="S7257" s="69">
        <f>_xlfn.XLOOKUP(Results!A7257,Geometry!$B$6:$B$10000,Geometry!$C$6:$C$10000)</f>
        <v>0</v>
      </c>
      <c r="T7257" s="69"/>
      <c r="U7257" s="69"/>
    </row>
    <row r="7258" spans="19:21" ht="15" customHeight="1" x14ac:dyDescent="0.2">
      <c r="S7258" s="69">
        <f>_xlfn.XLOOKUP(Results!A7258,Geometry!$B$6:$B$10000,Geometry!$C$6:$C$10000)</f>
        <v>0</v>
      </c>
      <c r="T7258" s="69"/>
      <c r="U7258" s="69"/>
    </row>
    <row r="7259" spans="19:21" ht="15" customHeight="1" x14ac:dyDescent="0.2">
      <c r="S7259" s="69">
        <f>_xlfn.XLOOKUP(Results!A7259,Geometry!$B$6:$B$10000,Geometry!$C$6:$C$10000)</f>
        <v>0</v>
      </c>
      <c r="T7259" s="69"/>
      <c r="U7259" s="69"/>
    </row>
    <row r="7260" spans="19:21" ht="15" customHeight="1" x14ac:dyDescent="0.2">
      <c r="S7260" s="69">
        <f>_xlfn.XLOOKUP(Results!A7260,Geometry!$B$6:$B$10000,Geometry!$C$6:$C$10000)</f>
        <v>0</v>
      </c>
      <c r="T7260" s="69"/>
      <c r="U7260" s="69"/>
    </row>
    <row r="7261" spans="19:21" ht="15" customHeight="1" x14ac:dyDescent="0.2">
      <c r="S7261" s="69">
        <f>_xlfn.XLOOKUP(Results!A7261,Geometry!$B$6:$B$10000,Geometry!$C$6:$C$10000)</f>
        <v>0</v>
      </c>
      <c r="T7261" s="69"/>
      <c r="U7261" s="69"/>
    </row>
    <row r="7262" spans="19:21" ht="15" customHeight="1" x14ac:dyDescent="0.2">
      <c r="S7262" s="69">
        <f>_xlfn.XLOOKUP(Results!A7262,Geometry!$B$6:$B$10000,Geometry!$C$6:$C$10000)</f>
        <v>0</v>
      </c>
      <c r="T7262" s="69"/>
      <c r="U7262" s="69"/>
    </row>
    <row r="7263" spans="19:21" ht="15" customHeight="1" x14ac:dyDescent="0.2">
      <c r="S7263" s="69">
        <f>_xlfn.XLOOKUP(Results!A7263,Geometry!$B$6:$B$10000,Geometry!$C$6:$C$10000)</f>
        <v>0</v>
      </c>
      <c r="T7263" s="69"/>
      <c r="U7263" s="69"/>
    </row>
    <row r="7264" spans="19:21" ht="15" customHeight="1" x14ac:dyDescent="0.2">
      <c r="S7264" s="69">
        <f>_xlfn.XLOOKUP(Results!A7264,Geometry!$B$6:$B$10000,Geometry!$C$6:$C$10000)</f>
        <v>0</v>
      </c>
      <c r="T7264" s="69"/>
      <c r="U7264" s="69"/>
    </row>
    <row r="7265" spans="19:21" ht="15" customHeight="1" x14ac:dyDescent="0.2">
      <c r="S7265" s="69">
        <f>_xlfn.XLOOKUP(Results!A7265,Geometry!$B$6:$B$10000,Geometry!$C$6:$C$10000)</f>
        <v>0</v>
      </c>
      <c r="T7265" s="69"/>
      <c r="U7265" s="69"/>
    </row>
    <row r="7266" spans="19:21" ht="15" customHeight="1" x14ac:dyDescent="0.2">
      <c r="S7266" s="69">
        <f>_xlfn.XLOOKUP(Results!A7266,Geometry!$B$6:$B$10000,Geometry!$C$6:$C$10000)</f>
        <v>0</v>
      </c>
      <c r="T7266" s="69"/>
      <c r="U7266" s="69"/>
    </row>
    <row r="7267" spans="19:21" ht="15" customHeight="1" x14ac:dyDescent="0.2">
      <c r="S7267" s="69">
        <f>_xlfn.XLOOKUP(Results!A7267,Geometry!$B$6:$B$10000,Geometry!$C$6:$C$10000)</f>
        <v>0</v>
      </c>
      <c r="T7267" s="69"/>
      <c r="U7267" s="69"/>
    </row>
    <row r="7268" spans="19:21" ht="15" customHeight="1" x14ac:dyDescent="0.2">
      <c r="S7268" s="69">
        <f>_xlfn.XLOOKUP(Results!A7268,Geometry!$B$6:$B$10000,Geometry!$C$6:$C$10000)</f>
        <v>0</v>
      </c>
      <c r="T7268" s="69"/>
      <c r="U7268" s="69"/>
    </row>
    <row r="7269" spans="19:21" ht="15" customHeight="1" x14ac:dyDescent="0.2">
      <c r="S7269" s="69">
        <f>_xlfn.XLOOKUP(Results!A7269,Geometry!$B$6:$B$10000,Geometry!$C$6:$C$10000)</f>
        <v>0</v>
      </c>
      <c r="T7269" s="69"/>
      <c r="U7269" s="69"/>
    </row>
    <row r="7270" spans="19:21" ht="15" customHeight="1" x14ac:dyDescent="0.2">
      <c r="S7270" s="69">
        <f>_xlfn.XLOOKUP(Results!A7270,Geometry!$B$6:$B$10000,Geometry!$C$6:$C$10000)</f>
        <v>0</v>
      </c>
      <c r="T7270" s="69"/>
      <c r="U7270" s="69"/>
    </row>
    <row r="7271" spans="19:21" ht="15" customHeight="1" x14ac:dyDescent="0.2">
      <c r="S7271" s="69">
        <f>_xlfn.XLOOKUP(Results!A7271,Geometry!$B$6:$B$10000,Geometry!$C$6:$C$10000)</f>
        <v>0</v>
      </c>
      <c r="T7271" s="69"/>
      <c r="U7271" s="69"/>
    </row>
    <row r="7272" spans="19:21" ht="15" customHeight="1" x14ac:dyDescent="0.2">
      <c r="S7272" s="69">
        <f>_xlfn.XLOOKUP(Results!A7272,Geometry!$B$6:$B$10000,Geometry!$C$6:$C$10000)</f>
        <v>0</v>
      </c>
      <c r="T7272" s="69"/>
      <c r="U7272" s="69"/>
    </row>
    <row r="7273" spans="19:21" ht="15" customHeight="1" x14ac:dyDescent="0.2">
      <c r="S7273" s="69">
        <f>_xlfn.XLOOKUP(Results!A7273,Geometry!$B$6:$B$10000,Geometry!$C$6:$C$10000)</f>
        <v>0</v>
      </c>
      <c r="T7273" s="69"/>
      <c r="U7273" s="69"/>
    </row>
    <row r="7274" spans="19:21" ht="15" customHeight="1" x14ac:dyDescent="0.2">
      <c r="S7274" s="69">
        <f>_xlfn.XLOOKUP(Results!A7274,Geometry!$B$6:$B$10000,Geometry!$C$6:$C$10000)</f>
        <v>0</v>
      </c>
      <c r="T7274" s="69"/>
      <c r="U7274" s="69"/>
    </row>
    <row r="7275" spans="19:21" ht="15" customHeight="1" x14ac:dyDescent="0.2">
      <c r="S7275" s="69">
        <f>_xlfn.XLOOKUP(Results!A7275,Geometry!$B$6:$B$10000,Geometry!$C$6:$C$10000)</f>
        <v>0</v>
      </c>
      <c r="T7275" s="69"/>
      <c r="U7275" s="69"/>
    </row>
    <row r="7276" spans="19:21" ht="15" customHeight="1" x14ac:dyDescent="0.2">
      <c r="S7276" s="69">
        <f>_xlfn.XLOOKUP(Results!A7276,Geometry!$B$6:$B$10000,Geometry!$C$6:$C$10000)</f>
        <v>0</v>
      </c>
      <c r="T7276" s="69"/>
      <c r="U7276" s="69"/>
    </row>
    <row r="7277" spans="19:21" ht="15" customHeight="1" x14ac:dyDescent="0.2">
      <c r="S7277" s="69">
        <f>_xlfn.XLOOKUP(Results!A7277,Geometry!$B$6:$B$10000,Geometry!$C$6:$C$10000)</f>
        <v>0</v>
      </c>
      <c r="T7277" s="69"/>
      <c r="U7277" s="69"/>
    </row>
    <row r="7278" spans="19:21" ht="15" customHeight="1" x14ac:dyDescent="0.2">
      <c r="S7278" s="69">
        <f>_xlfn.XLOOKUP(Results!A7278,Geometry!$B$6:$B$10000,Geometry!$C$6:$C$10000)</f>
        <v>0</v>
      </c>
      <c r="T7278" s="69"/>
      <c r="U7278" s="69"/>
    </row>
    <row r="7279" spans="19:21" ht="15" customHeight="1" x14ac:dyDescent="0.2">
      <c r="S7279" s="69">
        <f>_xlfn.XLOOKUP(Results!A7279,Geometry!$B$6:$B$10000,Geometry!$C$6:$C$10000)</f>
        <v>0</v>
      </c>
      <c r="T7279" s="69"/>
      <c r="U7279" s="69"/>
    </row>
    <row r="7280" spans="19:21" ht="15" customHeight="1" x14ac:dyDescent="0.2">
      <c r="S7280" s="69">
        <f>_xlfn.XLOOKUP(Results!A7280,Geometry!$B$6:$B$10000,Geometry!$C$6:$C$10000)</f>
        <v>0</v>
      </c>
      <c r="T7280" s="69"/>
      <c r="U7280" s="69"/>
    </row>
    <row r="7281" spans="19:21" ht="15" customHeight="1" x14ac:dyDescent="0.2">
      <c r="S7281" s="69">
        <f>_xlfn.XLOOKUP(Results!A7281,Geometry!$B$6:$B$10000,Geometry!$C$6:$C$10000)</f>
        <v>0</v>
      </c>
      <c r="T7281" s="69"/>
      <c r="U7281" s="69"/>
    </row>
    <row r="7282" spans="19:21" ht="15" customHeight="1" x14ac:dyDescent="0.2">
      <c r="S7282" s="69">
        <f>_xlfn.XLOOKUP(Results!A7282,Geometry!$B$6:$B$10000,Geometry!$C$6:$C$10000)</f>
        <v>0</v>
      </c>
      <c r="T7282" s="69"/>
      <c r="U7282" s="69"/>
    </row>
    <row r="7283" spans="19:21" ht="15" customHeight="1" x14ac:dyDescent="0.2">
      <c r="S7283" s="69">
        <f>_xlfn.XLOOKUP(Results!A7283,Geometry!$B$6:$B$10000,Geometry!$C$6:$C$10000)</f>
        <v>0</v>
      </c>
      <c r="T7283" s="69"/>
      <c r="U7283" s="69"/>
    </row>
    <row r="7284" spans="19:21" ht="15" customHeight="1" x14ac:dyDescent="0.2">
      <c r="S7284" s="69">
        <f>_xlfn.XLOOKUP(Results!A7284,Geometry!$B$6:$B$10000,Geometry!$C$6:$C$10000)</f>
        <v>0</v>
      </c>
      <c r="T7284" s="69"/>
      <c r="U7284" s="69"/>
    </row>
    <row r="7285" spans="19:21" ht="15" customHeight="1" x14ac:dyDescent="0.2">
      <c r="S7285" s="69">
        <f>_xlfn.XLOOKUP(Results!A7285,Geometry!$B$6:$B$10000,Geometry!$C$6:$C$10000)</f>
        <v>0</v>
      </c>
      <c r="T7285" s="69"/>
      <c r="U7285" s="69"/>
    </row>
    <row r="7286" spans="19:21" ht="15" customHeight="1" x14ac:dyDescent="0.2">
      <c r="S7286" s="69">
        <f>_xlfn.XLOOKUP(Results!A7286,Geometry!$B$6:$B$10000,Geometry!$C$6:$C$10000)</f>
        <v>0</v>
      </c>
      <c r="T7286" s="69"/>
      <c r="U7286" s="69"/>
    </row>
    <row r="7287" spans="19:21" ht="15" customHeight="1" x14ac:dyDescent="0.2">
      <c r="S7287" s="69">
        <f>_xlfn.XLOOKUP(Results!A7287,Geometry!$B$6:$B$10000,Geometry!$C$6:$C$10000)</f>
        <v>0</v>
      </c>
      <c r="T7287" s="69"/>
      <c r="U7287" s="69"/>
    </row>
    <row r="7288" spans="19:21" ht="15" customHeight="1" x14ac:dyDescent="0.2">
      <c r="S7288" s="69">
        <f>_xlfn.XLOOKUP(Results!A7288,Geometry!$B$6:$B$10000,Geometry!$C$6:$C$10000)</f>
        <v>0</v>
      </c>
      <c r="T7288" s="69"/>
      <c r="U7288" s="69"/>
    </row>
    <row r="7289" spans="19:21" ht="15" customHeight="1" x14ac:dyDescent="0.2">
      <c r="S7289" s="69">
        <f>_xlfn.XLOOKUP(Results!A7289,Geometry!$B$6:$B$10000,Geometry!$C$6:$C$10000)</f>
        <v>0</v>
      </c>
      <c r="T7289" s="69"/>
      <c r="U7289" s="69"/>
    </row>
    <row r="7290" spans="19:21" ht="15" customHeight="1" x14ac:dyDescent="0.2">
      <c r="S7290" s="69">
        <f>_xlfn.XLOOKUP(Results!A7290,Geometry!$B$6:$B$10000,Geometry!$C$6:$C$10000)</f>
        <v>0</v>
      </c>
      <c r="T7290" s="69"/>
      <c r="U7290" s="69"/>
    </row>
    <row r="7291" spans="19:21" ht="15" customHeight="1" x14ac:dyDescent="0.2">
      <c r="S7291" s="69">
        <f>_xlfn.XLOOKUP(Results!A7291,Geometry!$B$6:$B$10000,Geometry!$C$6:$C$10000)</f>
        <v>0</v>
      </c>
      <c r="T7291" s="69"/>
      <c r="U7291" s="69"/>
    </row>
    <row r="7292" spans="19:21" ht="15" customHeight="1" x14ac:dyDescent="0.2">
      <c r="S7292" s="69">
        <f>_xlfn.XLOOKUP(Results!A7292,Geometry!$B$6:$B$10000,Geometry!$C$6:$C$10000)</f>
        <v>0</v>
      </c>
      <c r="T7292" s="69"/>
      <c r="U7292" s="69"/>
    </row>
    <row r="7293" spans="19:21" ht="15" customHeight="1" x14ac:dyDescent="0.2">
      <c r="S7293" s="69">
        <f>_xlfn.XLOOKUP(Results!A7293,Geometry!$B$6:$B$10000,Geometry!$C$6:$C$10000)</f>
        <v>0</v>
      </c>
      <c r="T7293" s="69"/>
      <c r="U7293" s="69"/>
    </row>
    <row r="7294" spans="19:21" ht="15" customHeight="1" x14ac:dyDescent="0.2">
      <c r="S7294" s="69">
        <f>_xlfn.XLOOKUP(Results!A7294,Geometry!$B$6:$B$10000,Geometry!$C$6:$C$10000)</f>
        <v>0</v>
      </c>
      <c r="T7294" s="69"/>
      <c r="U7294" s="69"/>
    </row>
    <row r="7295" spans="19:21" ht="15" customHeight="1" x14ac:dyDescent="0.2">
      <c r="S7295" s="69">
        <f>_xlfn.XLOOKUP(Results!A7295,Geometry!$B$6:$B$10000,Geometry!$C$6:$C$10000)</f>
        <v>0</v>
      </c>
      <c r="T7295" s="69"/>
      <c r="U7295" s="69"/>
    </row>
    <row r="7296" spans="19:21" ht="15" customHeight="1" x14ac:dyDescent="0.2">
      <c r="S7296" s="69">
        <f>_xlfn.XLOOKUP(Results!A7296,Geometry!$B$6:$B$10000,Geometry!$C$6:$C$10000)</f>
        <v>0</v>
      </c>
      <c r="T7296" s="69"/>
      <c r="U7296" s="69"/>
    </row>
    <row r="7297" spans="19:21" ht="15" customHeight="1" x14ac:dyDescent="0.2">
      <c r="S7297" s="69">
        <f>_xlfn.XLOOKUP(Results!A7297,Geometry!$B$6:$B$10000,Geometry!$C$6:$C$10000)</f>
        <v>0</v>
      </c>
      <c r="T7297" s="69"/>
      <c r="U7297" s="69"/>
    </row>
    <row r="7298" spans="19:21" ht="15" customHeight="1" x14ac:dyDescent="0.2">
      <c r="S7298" s="69">
        <f>_xlfn.XLOOKUP(Results!A7298,Geometry!$B$6:$B$10000,Geometry!$C$6:$C$10000)</f>
        <v>0</v>
      </c>
      <c r="T7298" s="69"/>
      <c r="U7298" s="69"/>
    </row>
    <row r="7299" spans="19:21" ht="15" customHeight="1" x14ac:dyDescent="0.2">
      <c r="S7299" s="69">
        <f>_xlfn.XLOOKUP(Results!A7299,Geometry!$B$6:$B$10000,Geometry!$C$6:$C$10000)</f>
        <v>0</v>
      </c>
      <c r="T7299" s="69"/>
      <c r="U7299" s="69"/>
    </row>
    <row r="7300" spans="19:21" ht="15" customHeight="1" x14ac:dyDescent="0.2">
      <c r="S7300" s="69">
        <f>_xlfn.XLOOKUP(Results!A7300,Geometry!$B$6:$B$10000,Geometry!$C$6:$C$10000)</f>
        <v>0</v>
      </c>
      <c r="T7300" s="69"/>
      <c r="U7300" s="69"/>
    </row>
    <row r="7301" spans="19:21" ht="15" customHeight="1" x14ac:dyDescent="0.2">
      <c r="S7301" s="69">
        <f>_xlfn.XLOOKUP(Results!A7301,Geometry!$B$6:$B$10000,Geometry!$C$6:$C$10000)</f>
        <v>0</v>
      </c>
      <c r="T7301" s="69"/>
      <c r="U7301" s="69"/>
    </row>
    <row r="7302" spans="19:21" ht="15" customHeight="1" x14ac:dyDescent="0.2">
      <c r="S7302" s="69">
        <f>_xlfn.XLOOKUP(Results!A7302,Geometry!$B$6:$B$10000,Geometry!$C$6:$C$10000)</f>
        <v>0</v>
      </c>
      <c r="T7302" s="69"/>
      <c r="U7302" s="69"/>
    </row>
    <row r="7303" spans="19:21" ht="15" customHeight="1" x14ac:dyDescent="0.2">
      <c r="S7303" s="69">
        <f>_xlfn.XLOOKUP(Results!A7303,Geometry!$B$6:$B$10000,Geometry!$C$6:$C$10000)</f>
        <v>0</v>
      </c>
      <c r="T7303" s="69"/>
      <c r="U7303" s="69"/>
    </row>
    <row r="7304" spans="19:21" ht="15" customHeight="1" x14ac:dyDescent="0.2">
      <c r="S7304" s="69">
        <f>_xlfn.XLOOKUP(Results!A7304,Geometry!$B$6:$B$10000,Geometry!$C$6:$C$10000)</f>
        <v>0</v>
      </c>
      <c r="T7304" s="69"/>
      <c r="U7304" s="69"/>
    </row>
    <row r="7305" spans="19:21" ht="15" customHeight="1" x14ac:dyDescent="0.2">
      <c r="S7305" s="69">
        <f>_xlfn.XLOOKUP(Results!A7305,Geometry!$B$6:$B$10000,Geometry!$C$6:$C$10000)</f>
        <v>0</v>
      </c>
      <c r="T7305" s="69"/>
      <c r="U7305" s="69"/>
    </row>
    <row r="7306" spans="19:21" ht="15" customHeight="1" x14ac:dyDescent="0.2">
      <c r="S7306" s="69">
        <f>_xlfn.XLOOKUP(Results!A7306,Geometry!$B$6:$B$10000,Geometry!$C$6:$C$10000)</f>
        <v>0</v>
      </c>
      <c r="T7306" s="69"/>
      <c r="U7306" s="69"/>
    </row>
    <row r="7307" spans="19:21" ht="15" customHeight="1" x14ac:dyDescent="0.2">
      <c r="S7307" s="69">
        <f>_xlfn.XLOOKUP(Results!A7307,Geometry!$B$6:$B$10000,Geometry!$C$6:$C$10000)</f>
        <v>0</v>
      </c>
      <c r="T7307" s="69"/>
      <c r="U7307" s="69"/>
    </row>
    <row r="7308" spans="19:21" ht="15" customHeight="1" x14ac:dyDescent="0.2">
      <c r="S7308" s="69">
        <f>_xlfn.XLOOKUP(Results!A7308,Geometry!$B$6:$B$10000,Geometry!$C$6:$C$10000)</f>
        <v>0</v>
      </c>
      <c r="T7308" s="69"/>
      <c r="U7308" s="69"/>
    </row>
    <row r="7309" spans="19:21" ht="15" customHeight="1" x14ac:dyDescent="0.2">
      <c r="S7309" s="69">
        <f>_xlfn.XLOOKUP(Results!A7309,Geometry!$B$6:$B$10000,Geometry!$C$6:$C$10000)</f>
        <v>0</v>
      </c>
      <c r="T7309" s="69"/>
      <c r="U7309" s="69"/>
    </row>
    <row r="7310" spans="19:21" ht="15" customHeight="1" x14ac:dyDescent="0.2">
      <c r="S7310" s="69">
        <f>_xlfn.XLOOKUP(Results!A7310,Geometry!$B$6:$B$10000,Geometry!$C$6:$C$10000)</f>
        <v>0</v>
      </c>
      <c r="T7310" s="69"/>
      <c r="U7310" s="69"/>
    </row>
    <row r="7311" spans="19:21" ht="15" customHeight="1" x14ac:dyDescent="0.2">
      <c r="S7311" s="69">
        <f>_xlfn.XLOOKUP(Results!A7311,Geometry!$B$6:$B$10000,Geometry!$C$6:$C$10000)</f>
        <v>0</v>
      </c>
      <c r="T7311" s="69"/>
      <c r="U7311" s="69"/>
    </row>
    <row r="7312" spans="19:21" ht="15" customHeight="1" x14ac:dyDescent="0.2">
      <c r="S7312" s="69">
        <f>_xlfn.XLOOKUP(Results!A7312,Geometry!$B$6:$B$10000,Geometry!$C$6:$C$10000)</f>
        <v>0</v>
      </c>
      <c r="T7312" s="69"/>
      <c r="U7312" s="69"/>
    </row>
    <row r="7313" spans="19:21" ht="15" customHeight="1" x14ac:dyDescent="0.2">
      <c r="S7313" s="69">
        <f>_xlfn.XLOOKUP(Results!A7313,Geometry!$B$6:$B$10000,Geometry!$C$6:$C$10000)</f>
        <v>0</v>
      </c>
      <c r="T7313" s="69"/>
      <c r="U7313" s="69"/>
    </row>
    <row r="7314" spans="19:21" ht="15" customHeight="1" x14ac:dyDescent="0.2">
      <c r="S7314" s="69">
        <f>_xlfn.XLOOKUP(Results!A7314,Geometry!$B$6:$B$10000,Geometry!$C$6:$C$10000)</f>
        <v>0</v>
      </c>
      <c r="T7314" s="69"/>
      <c r="U7314" s="69"/>
    </row>
    <row r="7315" spans="19:21" ht="15" customHeight="1" x14ac:dyDescent="0.2">
      <c r="S7315" s="69">
        <f>_xlfn.XLOOKUP(Results!A7315,Geometry!$B$6:$B$10000,Geometry!$C$6:$C$10000)</f>
        <v>0</v>
      </c>
      <c r="T7315" s="69"/>
      <c r="U7315" s="69"/>
    </row>
    <row r="7316" spans="19:21" ht="15" customHeight="1" x14ac:dyDescent="0.2">
      <c r="S7316" s="69">
        <f>_xlfn.XLOOKUP(Results!A7316,Geometry!$B$6:$B$10000,Geometry!$C$6:$C$10000)</f>
        <v>0</v>
      </c>
      <c r="T7316" s="69"/>
      <c r="U7316" s="69"/>
    </row>
    <row r="7317" spans="19:21" ht="15" customHeight="1" x14ac:dyDescent="0.2">
      <c r="S7317" s="69">
        <f>_xlfn.XLOOKUP(Results!A7317,Geometry!$B$6:$B$10000,Geometry!$C$6:$C$10000)</f>
        <v>0</v>
      </c>
      <c r="T7317" s="69"/>
      <c r="U7317" s="69"/>
    </row>
    <row r="7318" spans="19:21" ht="15" customHeight="1" x14ac:dyDescent="0.2">
      <c r="S7318" s="69">
        <f>_xlfn.XLOOKUP(Results!A7318,Geometry!$B$6:$B$10000,Geometry!$C$6:$C$10000)</f>
        <v>0</v>
      </c>
      <c r="T7318" s="69"/>
      <c r="U7318" s="69"/>
    </row>
    <row r="7319" spans="19:21" ht="15" customHeight="1" x14ac:dyDescent="0.2">
      <c r="S7319" s="69">
        <f>_xlfn.XLOOKUP(Results!A7319,Geometry!$B$6:$B$10000,Geometry!$C$6:$C$10000)</f>
        <v>0</v>
      </c>
      <c r="T7319" s="69"/>
      <c r="U7319" s="69"/>
    </row>
    <row r="7320" spans="19:21" ht="15" customHeight="1" x14ac:dyDescent="0.2">
      <c r="S7320" s="69">
        <f>_xlfn.XLOOKUP(Results!A7320,Geometry!$B$6:$B$10000,Geometry!$C$6:$C$10000)</f>
        <v>0</v>
      </c>
      <c r="T7320" s="69"/>
      <c r="U7320" s="69"/>
    </row>
    <row r="7321" spans="19:21" ht="15" customHeight="1" x14ac:dyDescent="0.2">
      <c r="S7321" s="69">
        <f>_xlfn.XLOOKUP(Results!A7321,Geometry!$B$6:$B$10000,Geometry!$C$6:$C$10000)</f>
        <v>0</v>
      </c>
      <c r="T7321" s="69"/>
      <c r="U7321" s="69"/>
    </row>
    <row r="7322" spans="19:21" ht="15" customHeight="1" x14ac:dyDescent="0.2">
      <c r="S7322" s="69">
        <f>_xlfn.XLOOKUP(Results!A7322,Geometry!$B$6:$B$10000,Geometry!$C$6:$C$10000)</f>
        <v>0</v>
      </c>
      <c r="T7322" s="69"/>
      <c r="U7322" s="69"/>
    </row>
    <row r="7323" spans="19:21" ht="15" customHeight="1" x14ac:dyDescent="0.2">
      <c r="S7323" s="69">
        <f>_xlfn.XLOOKUP(Results!A7323,Geometry!$B$6:$B$10000,Geometry!$C$6:$C$10000)</f>
        <v>0</v>
      </c>
      <c r="T7323" s="69"/>
      <c r="U7323" s="69"/>
    </row>
    <row r="7324" spans="19:21" ht="15" customHeight="1" x14ac:dyDescent="0.2">
      <c r="S7324" s="69">
        <f>_xlfn.XLOOKUP(Results!A7324,Geometry!$B$6:$B$10000,Geometry!$C$6:$C$10000)</f>
        <v>0</v>
      </c>
      <c r="T7324" s="69"/>
      <c r="U7324" s="69"/>
    </row>
    <row r="7325" spans="19:21" ht="15" customHeight="1" x14ac:dyDescent="0.2">
      <c r="S7325" s="69">
        <f>_xlfn.XLOOKUP(Results!A7325,Geometry!$B$6:$B$10000,Geometry!$C$6:$C$10000)</f>
        <v>0</v>
      </c>
      <c r="T7325" s="69"/>
      <c r="U7325" s="69"/>
    </row>
    <row r="7326" spans="19:21" ht="15" customHeight="1" x14ac:dyDescent="0.2">
      <c r="S7326" s="69">
        <f>_xlfn.XLOOKUP(Results!A7326,Geometry!$B$6:$B$10000,Geometry!$C$6:$C$10000)</f>
        <v>0</v>
      </c>
      <c r="T7326" s="69"/>
      <c r="U7326" s="69"/>
    </row>
    <row r="7327" spans="19:21" ht="15" customHeight="1" x14ac:dyDescent="0.2">
      <c r="S7327" s="69">
        <f>_xlfn.XLOOKUP(Results!A7327,Geometry!$B$6:$B$10000,Geometry!$C$6:$C$10000)</f>
        <v>0</v>
      </c>
      <c r="T7327" s="69"/>
      <c r="U7327" s="69"/>
    </row>
    <row r="7328" spans="19:21" ht="15" customHeight="1" x14ac:dyDescent="0.2">
      <c r="S7328" s="69">
        <f>_xlfn.XLOOKUP(Results!A7328,Geometry!$B$6:$B$10000,Geometry!$C$6:$C$10000)</f>
        <v>0</v>
      </c>
      <c r="T7328" s="69"/>
      <c r="U7328" s="69"/>
    </row>
    <row r="7329" spans="19:21" ht="15" customHeight="1" x14ac:dyDescent="0.2">
      <c r="S7329" s="69">
        <f>_xlfn.XLOOKUP(Results!A7329,Geometry!$B$6:$B$10000,Geometry!$C$6:$C$10000)</f>
        <v>0</v>
      </c>
      <c r="T7329" s="69"/>
      <c r="U7329" s="69"/>
    </row>
    <row r="7330" spans="19:21" ht="15" customHeight="1" x14ac:dyDescent="0.2">
      <c r="S7330" s="69">
        <f>_xlfn.XLOOKUP(Results!A7330,Geometry!$B$6:$B$10000,Geometry!$C$6:$C$10000)</f>
        <v>0</v>
      </c>
      <c r="T7330" s="69"/>
      <c r="U7330" s="69"/>
    </row>
    <row r="7331" spans="19:21" ht="15" customHeight="1" x14ac:dyDescent="0.2">
      <c r="S7331" s="69">
        <f>_xlfn.XLOOKUP(Results!A7331,Geometry!$B$6:$B$10000,Geometry!$C$6:$C$10000)</f>
        <v>0</v>
      </c>
      <c r="T7331" s="69"/>
      <c r="U7331" s="69"/>
    </row>
    <row r="7332" spans="19:21" ht="15" customHeight="1" x14ac:dyDescent="0.2">
      <c r="S7332" s="69">
        <f>_xlfn.XLOOKUP(Results!A7332,Geometry!$B$6:$B$10000,Geometry!$C$6:$C$10000)</f>
        <v>0</v>
      </c>
      <c r="T7332" s="69"/>
      <c r="U7332" s="69"/>
    </row>
    <row r="7333" spans="19:21" ht="15" customHeight="1" x14ac:dyDescent="0.2">
      <c r="S7333" s="69">
        <f>_xlfn.XLOOKUP(Results!A7333,Geometry!$B$6:$B$10000,Geometry!$C$6:$C$10000)</f>
        <v>0</v>
      </c>
      <c r="T7333" s="69"/>
      <c r="U7333" s="69"/>
    </row>
    <row r="7334" spans="19:21" ht="15" customHeight="1" x14ac:dyDescent="0.2">
      <c r="S7334" s="69">
        <f>_xlfn.XLOOKUP(Results!A7334,Geometry!$B$6:$B$10000,Geometry!$C$6:$C$10000)</f>
        <v>0</v>
      </c>
      <c r="T7334" s="69"/>
      <c r="U7334" s="69"/>
    </row>
    <row r="7335" spans="19:21" ht="15" customHeight="1" x14ac:dyDescent="0.2">
      <c r="S7335" s="69">
        <f>_xlfn.XLOOKUP(Results!A7335,Geometry!$B$6:$B$10000,Geometry!$C$6:$C$10000)</f>
        <v>0</v>
      </c>
      <c r="T7335" s="69"/>
      <c r="U7335" s="69"/>
    </row>
    <row r="7336" spans="19:21" ht="15" customHeight="1" x14ac:dyDescent="0.2">
      <c r="S7336" s="69">
        <f>_xlfn.XLOOKUP(Results!A7336,Geometry!$B$6:$B$10000,Geometry!$C$6:$C$10000)</f>
        <v>0</v>
      </c>
      <c r="T7336" s="69"/>
      <c r="U7336" s="69"/>
    </row>
    <row r="7337" spans="19:21" ht="15" customHeight="1" x14ac:dyDescent="0.2">
      <c r="S7337" s="69">
        <f>_xlfn.XLOOKUP(Results!A7337,Geometry!$B$6:$B$10000,Geometry!$C$6:$C$10000)</f>
        <v>0</v>
      </c>
      <c r="T7337" s="69"/>
      <c r="U7337" s="69"/>
    </row>
    <row r="7338" spans="19:21" ht="15" customHeight="1" x14ac:dyDescent="0.2">
      <c r="S7338" s="69">
        <f>_xlfn.XLOOKUP(Results!A7338,Geometry!$B$6:$B$10000,Geometry!$C$6:$C$10000)</f>
        <v>0</v>
      </c>
      <c r="T7338" s="69"/>
      <c r="U7338" s="69"/>
    </row>
    <row r="7339" spans="19:21" ht="15" customHeight="1" x14ac:dyDescent="0.2">
      <c r="S7339" s="69">
        <f>_xlfn.XLOOKUP(Results!A7339,Geometry!$B$6:$B$10000,Geometry!$C$6:$C$10000)</f>
        <v>0</v>
      </c>
      <c r="T7339" s="69"/>
      <c r="U7339" s="69"/>
    </row>
    <row r="7340" spans="19:21" ht="15" customHeight="1" x14ac:dyDescent="0.2">
      <c r="S7340" s="69">
        <f>_xlfn.XLOOKUP(Results!A7340,Geometry!$B$6:$B$10000,Geometry!$C$6:$C$10000)</f>
        <v>0</v>
      </c>
      <c r="T7340" s="69"/>
      <c r="U7340" s="69"/>
    </row>
    <row r="7341" spans="19:21" ht="15" customHeight="1" x14ac:dyDescent="0.2">
      <c r="S7341" s="69">
        <f>_xlfn.XLOOKUP(Results!A7341,Geometry!$B$6:$B$10000,Geometry!$C$6:$C$10000)</f>
        <v>0</v>
      </c>
      <c r="T7341" s="69"/>
      <c r="U7341" s="69"/>
    </row>
    <row r="7342" spans="19:21" ht="15" customHeight="1" x14ac:dyDescent="0.2">
      <c r="S7342" s="69">
        <f>_xlfn.XLOOKUP(Results!A7342,Geometry!$B$6:$B$10000,Geometry!$C$6:$C$10000)</f>
        <v>0</v>
      </c>
      <c r="T7342" s="69"/>
      <c r="U7342" s="69"/>
    </row>
    <row r="7343" spans="19:21" ht="15" customHeight="1" x14ac:dyDescent="0.2">
      <c r="S7343" s="69">
        <f>_xlfn.XLOOKUP(Results!A7343,Geometry!$B$6:$B$10000,Geometry!$C$6:$C$10000)</f>
        <v>0</v>
      </c>
      <c r="T7343" s="69"/>
      <c r="U7343" s="69"/>
    </row>
    <row r="7344" spans="19:21" ht="15" customHeight="1" x14ac:dyDescent="0.2">
      <c r="S7344" s="69">
        <f>_xlfn.XLOOKUP(Results!A7344,Geometry!$B$6:$B$10000,Geometry!$C$6:$C$10000)</f>
        <v>0</v>
      </c>
      <c r="T7344" s="69"/>
      <c r="U7344" s="69"/>
    </row>
    <row r="7345" spans="19:21" ht="15" customHeight="1" x14ac:dyDescent="0.2">
      <c r="S7345" s="69">
        <f>_xlfn.XLOOKUP(Results!A7345,Geometry!$B$6:$B$10000,Geometry!$C$6:$C$10000)</f>
        <v>0</v>
      </c>
      <c r="T7345" s="69"/>
      <c r="U7345" s="69"/>
    </row>
    <row r="7346" spans="19:21" ht="15" customHeight="1" x14ac:dyDescent="0.2">
      <c r="S7346" s="69">
        <f>_xlfn.XLOOKUP(Results!A7346,Geometry!$B$6:$B$10000,Geometry!$C$6:$C$10000)</f>
        <v>0</v>
      </c>
      <c r="T7346" s="69"/>
      <c r="U7346" s="69"/>
    </row>
    <row r="7347" spans="19:21" ht="15" customHeight="1" x14ac:dyDescent="0.2">
      <c r="S7347" s="69">
        <f>_xlfn.XLOOKUP(Results!A7347,Geometry!$B$6:$B$10000,Geometry!$C$6:$C$10000)</f>
        <v>0</v>
      </c>
      <c r="T7347" s="69"/>
      <c r="U7347" s="69"/>
    </row>
    <row r="7348" spans="19:21" ht="15" customHeight="1" x14ac:dyDescent="0.2">
      <c r="S7348" s="69">
        <f>_xlfn.XLOOKUP(Results!A7348,Geometry!$B$6:$B$10000,Geometry!$C$6:$C$10000)</f>
        <v>0</v>
      </c>
      <c r="T7348" s="69"/>
      <c r="U7348" s="69"/>
    </row>
    <row r="7349" spans="19:21" ht="15" customHeight="1" x14ac:dyDescent="0.2">
      <c r="S7349" s="69">
        <f>_xlfn.XLOOKUP(Results!A7349,Geometry!$B$6:$B$10000,Geometry!$C$6:$C$10000)</f>
        <v>0</v>
      </c>
      <c r="T7349" s="69"/>
      <c r="U7349" s="69"/>
    </row>
    <row r="7350" spans="19:21" ht="15" customHeight="1" x14ac:dyDescent="0.2">
      <c r="S7350" s="69">
        <f>_xlfn.XLOOKUP(Results!A7350,Geometry!$B$6:$B$10000,Geometry!$C$6:$C$10000)</f>
        <v>0</v>
      </c>
      <c r="T7350" s="69"/>
      <c r="U7350" s="69"/>
    </row>
    <row r="7351" spans="19:21" ht="15" customHeight="1" x14ac:dyDescent="0.2">
      <c r="S7351" s="69">
        <f>_xlfn.XLOOKUP(Results!A7351,Geometry!$B$6:$B$10000,Geometry!$C$6:$C$10000)</f>
        <v>0</v>
      </c>
      <c r="T7351" s="69"/>
      <c r="U7351" s="69"/>
    </row>
    <row r="7352" spans="19:21" ht="15" customHeight="1" x14ac:dyDescent="0.2">
      <c r="S7352" s="69">
        <f>_xlfn.XLOOKUP(Results!A7352,Geometry!$B$6:$B$10000,Geometry!$C$6:$C$10000)</f>
        <v>0</v>
      </c>
      <c r="T7352" s="69"/>
      <c r="U7352" s="69"/>
    </row>
    <row r="7353" spans="19:21" ht="15" customHeight="1" x14ac:dyDescent="0.2">
      <c r="S7353" s="69">
        <f>_xlfn.XLOOKUP(Results!A7353,Geometry!$B$6:$B$10000,Geometry!$C$6:$C$10000)</f>
        <v>0</v>
      </c>
      <c r="T7353" s="69"/>
      <c r="U7353" s="69"/>
    </row>
    <row r="7354" spans="19:21" ht="15" customHeight="1" x14ac:dyDescent="0.2">
      <c r="S7354" s="69">
        <f>_xlfn.XLOOKUP(Results!A7354,Geometry!$B$6:$B$10000,Geometry!$C$6:$C$10000)</f>
        <v>0</v>
      </c>
      <c r="T7354" s="69"/>
      <c r="U7354" s="69"/>
    </row>
    <row r="7355" spans="19:21" ht="15" customHeight="1" x14ac:dyDescent="0.2">
      <c r="S7355" s="69">
        <f>_xlfn.XLOOKUP(Results!A7355,Geometry!$B$6:$B$10000,Geometry!$C$6:$C$10000)</f>
        <v>0</v>
      </c>
      <c r="T7355" s="69"/>
      <c r="U7355" s="69"/>
    </row>
    <row r="7356" spans="19:21" ht="15" customHeight="1" x14ac:dyDescent="0.2">
      <c r="S7356" s="69">
        <f>_xlfn.XLOOKUP(Results!A7356,Geometry!$B$6:$B$10000,Geometry!$C$6:$C$10000)</f>
        <v>0</v>
      </c>
      <c r="T7356" s="69"/>
      <c r="U7356" s="69"/>
    </row>
    <row r="7357" spans="19:21" ht="15" customHeight="1" x14ac:dyDescent="0.2">
      <c r="S7357" s="69">
        <f>_xlfn.XLOOKUP(Results!A7357,Geometry!$B$6:$B$10000,Geometry!$C$6:$C$10000)</f>
        <v>0</v>
      </c>
      <c r="T7357" s="69"/>
      <c r="U7357" s="69"/>
    </row>
    <row r="7358" spans="19:21" ht="15" customHeight="1" x14ac:dyDescent="0.2">
      <c r="S7358" s="69">
        <f>_xlfn.XLOOKUP(Results!A7358,Geometry!$B$6:$B$10000,Geometry!$C$6:$C$10000)</f>
        <v>0</v>
      </c>
      <c r="T7358" s="69"/>
      <c r="U7358" s="69"/>
    </row>
    <row r="7359" spans="19:21" ht="15" customHeight="1" x14ac:dyDescent="0.2">
      <c r="S7359" s="69">
        <f>_xlfn.XLOOKUP(Results!A7359,Geometry!$B$6:$B$10000,Geometry!$C$6:$C$10000)</f>
        <v>0</v>
      </c>
      <c r="T7359" s="69"/>
      <c r="U7359" s="69"/>
    </row>
    <row r="7360" spans="19:21" ht="15" customHeight="1" x14ac:dyDescent="0.2">
      <c r="S7360" s="69">
        <f>_xlfn.XLOOKUP(Results!A7360,Geometry!$B$6:$B$10000,Geometry!$C$6:$C$10000)</f>
        <v>0</v>
      </c>
      <c r="T7360" s="69"/>
      <c r="U7360" s="69"/>
    </row>
    <row r="7361" spans="19:21" ht="15" customHeight="1" x14ac:dyDescent="0.2">
      <c r="S7361" s="69">
        <f>_xlfn.XLOOKUP(Results!A7361,Geometry!$B$6:$B$10000,Geometry!$C$6:$C$10000)</f>
        <v>0</v>
      </c>
      <c r="T7361" s="69"/>
      <c r="U7361" s="69"/>
    </row>
    <row r="7362" spans="19:21" ht="15" customHeight="1" x14ac:dyDescent="0.2">
      <c r="S7362" s="69">
        <f>_xlfn.XLOOKUP(Results!A7362,Geometry!$B$6:$B$10000,Geometry!$C$6:$C$10000)</f>
        <v>0</v>
      </c>
      <c r="T7362" s="69"/>
      <c r="U7362" s="69"/>
    </row>
    <row r="7363" spans="19:21" ht="15" customHeight="1" x14ac:dyDescent="0.2">
      <c r="S7363" s="69">
        <f>_xlfn.XLOOKUP(Results!A7363,Geometry!$B$6:$B$10000,Geometry!$C$6:$C$10000)</f>
        <v>0</v>
      </c>
      <c r="T7363" s="69"/>
      <c r="U7363" s="69"/>
    </row>
    <row r="7364" spans="19:21" ht="15" customHeight="1" x14ac:dyDescent="0.2">
      <c r="S7364" s="69">
        <f>_xlfn.XLOOKUP(Results!A7364,Geometry!$B$6:$B$10000,Geometry!$C$6:$C$10000)</f>
        <v>0</v>
      </c>
      <c r="T7364" s="69"/>
      <c r="U7364" s="69"/>
    </row>
    <row r="7365" spans="19:21" ht="15" customHeight="1" x14ac:dyDescent="0.2">
      <c r="S7365" s="69">
        <f>_xlfn.XLOOKUP(Results!A7365,Geometry!$B$6:$B$10000,Geometry!$C$6:$C$10000)</f>
        <v>0</v>
      </c>
      <c r="T7365" s="69"/>
      <c r="U7365" s="69"/>
    </row>
    <row r="7366" spans="19:21" ht="15" customHeight="1" x14ac:dyDescent="0.2">
      <c r="S7366" s="69">
        <f>_xlfn.XLOOKUP(Results!A7366,Geometry!$B$6:$B$10000,Geometry!$C$6:$C$10000)</f>
        <v>0</v>
      </c>
      <c r="T7366" s="69"/>
      <c r="U7366" s="69"/>
    </row>
    <row r="7367" spans="19:21" ht="15" customHeight="1" x14ac:dyDescent="0.2">
      <c r="S7367" s="69">
        <f>_xlfn.XLOOKUP(Results!A7367,Geometry!$B$6:$B$10000,Geometry!$C$6:$C$10000)</f>
        <v>0</v>
      </c>
      <c r="T7367" s="69"/>
      <c r="U7367" s="69"/>
    </row>
    <row r="7368" spans="19:21" ht="15" customHeight="1" x14ac:dyDescent="0.2">
      <c r="S7368" s="69">
        <f>_xlfn.XLOOKUP(Results!A7368,Geometry!$B$6:$B$10000,Geometry!$C$6:$C$10000)</f>
        <v>0</v>
      </c>
      <c r="T7368" s="69"/>
      <c r="U7368" s="69"/>
    </row>
    <row r="7369" spans="19:21" ht="15" customHeight="1" x14ac:dyDescent="0.2">
      <c r="S7369" s="69">
        <f>_xlfn.XLOOKUP(Results!A7369,Geometry!$B$6:$B$10000,Geometry!$C$6:$C$10000)</f>
        <v>0</v>
      </c>
      <c r="T7369" s="69"/>
      <c r="U7369" s="69"/>
    </row>
    <row r="7370" spans="19:21" ht="15" customHeight="1" x14ac:dyDescent="0.2">
      <c r="S7370" s="69">
        <f>_xlfn.XLOOKUP(Results!A7370,Geometry!$B$6:$B$10000,Geometry!$C$6:$C$10000)</f>
        <v>0</v>
      </c>
      <c r="T7370" s="69"/>
      <c r="U7370" s="69"/>
    </row>
    <row r="7371" spans="19:21" ht="15" customHeight="1" x14ac:dyDescent="0.2">
      <c r="S7371" s="69">
        <f>_xlfn.XLOOKUP(Results!A7371,Geometry!$B$6:$B$10000,Geometry!$C$6:$C$10000)</f>
        <v>0</v>
      </c>
      <c r="T7371" s="69"/>
      <c r="U7371" s="69"/>
    </row>
    <row r="7372" spans="19:21" ht="15" customHeight="1" x14ac:dyDescent="0.2">
      <c r="S7372" s="69">
        <f>_xlfn.XLOOKUP(Results!A7372,Geometry!$B$6:$B$10000,Geometry!$C$6:$C$10000)</f>
        <v>0</v>
      </c>
      <c r="T7372" s="69"/>
      <c r="U7372" s="69"/>
    </row>
    <row r="7373" spans="19:21" ht="15" customHeight="1" x14ac:dyDescent="0.2">
      <c r="S7373" s="69">
        <f>_xlfn.XLOOKUP(Results!A7373,Geometry!$B$6:$B$10000,Geometry!$C$6:$C$10000)</f>
        <v>0</v>
      </c>
      <c r="T7373" s="69"/>
      <c r="U7373" s="69"/>
    </row>
    <row r="7374" spans="19:21" ht="15" customHeight="1" x14ac:dyDescent="0.2">
      <c r="S7374" s="69">
        <f>_xlfn.XLOOKUP(Results!A7374,Geometry!$B$6:$B$10000,Geometry!$C$6:$C$10000)</f>
        <v>0</v>
      </c>
      <c r="T7374" s="69"/>
      <c r="U7374" s="69"/>
    </row>
    <row r="7375" spans="19:21" ht="15" customHeight="1" x14ac:dyDescent="0.2">
      <c r="S7375" s="69">
        <f>_xlfn.XLOOKUP(Results!A7375,Geometry!$B$6:$B$10000,Geometry!$C$6:$C$10000)</f>
        <v>0</v>
      </c>
      <c r="T7375" s="69"/>
      <c r="U7375" s="69"/>
    </row>
    <row r="7376" spans="19:21" ht="15" customHeight="1" x14ac:dyDescent="0.2">
      <c r="S7376" s="69">
        <f>_xlfn.XLOOKUP(Results!A7376,Geometry!$B$6:$B$10000,Geometry!$C$6:$C$10000)</f>
        <v>0</v>
      </c>
      <c r="T7376" s="69"/>
      <c r="U7376" s="69"/>
    </row>
    <row r="7377" spans="19:21" ht="15" customHeight="1" x14ac:dyDescent="0.2">
      <c r="S7377" s="69">
        <f>_xlfn.XLOOKUP(Results!A7377,Geometry!$B$6:$B$10000,Geometry!$C$6:$C$10000)</f>
        <v>0</v>
      </c>
      <c r="T7377" s="69"/>
      <c r="U7377" s="69"/>
    </row>
    <row r="7378" spans="19:21" ht="15" customHeight="1" x14ac:dyDescent="0.2">
      <c r="S7378" s="69">
        <f>_xlfn.XLOOKUP(Results!A7378,Geometry!$B$6:$B$10000,Geometry!$C$6:$C$10000)</f>
        <v>0</v>
      </c>
      <c r="T7378" s="69"/>
      <c r="U7378" s="69"/>
    </row>
    <row r="7379" spans="19:21" ht="15" customHeight="1" x14ac:dyDescent="0.2">
      <c r="S7379" s="69">
        <f>_xlfn.XLOOKUP(Results!A7379,Geometry!$B$6:$B$10000,Geometry!$C$6:$C$10000)</f>
        <v>0</v>
      </c>
      <c r="T7379" s="69"/>
      <c r="U7379" s="69"/>
    </row>
    <row r="7380" spans="19:21" ht="15" customHeight="1" x14ac:dyDescent="0.2">
      <c r="S7380" s="69">
        <f>_xlfn.XLOOKUP(Results!A7380,Geometry!$B$6:$B$10000,Geometry!$C$6:$C$10000)</f>
        <v>0</v>
      </c>
      <c r="T7380" s="69"/>
      <c r="U7380" s="69"/>
    </row>
    <row r="7381" spans="19:21" ht="15" customHeight="1" x14ac:dyDescent="0.2">
      <c r="S7381" s="69">
        <f>_xlfn.XLOOKUP(Results!A7381,Geometry!$B$6:$B$10000,Geometry!$C$6:$C$10000)</f>
        <v>0</v>
      </c>
      <c r="T7381" s="69"/>
      <c r="U7381" s="69"/>
    </row>
    <row r="7382" spans="19:21" ht="15" customHeight="1" x14ac:dyDescent="0.2">
      <c r="S7382" s="69">
        <f>_xlfn.XLOOKUP(Results!A7382,Geometry!$B$6:$B$10000,Geometry!$C$6:$C$10000)</f>
        <v>0</v>
      </c>
      <c r="T7382" s="69"/>
      <c r="U7382" s="69"/>
    </row>
    <row r="7383" spans="19:21" ht="15" customHeight="1" x14ac:dyDescent="0.2">
      <c r="S7383" s="69">
        <f>_xlfn.XLOOKUP(Results!A7383,Geometry!$B$6:$B$10000,Geometry!$C$6:$C$10000)</f>
        <v>0</v>
      </c>
      <c r="T7383" s="69"/>
      <c r="U7383" s="69"/>
    </row>
    <row r="7384" spans="19:21" ht="15" customHeight="1" x14ac:dyDescent="0.2">
      <c r="S7384" s="69">
        <f>_xlfn.XLOOKUP(Results!A7384,Geometry!$B$6:$B$10000,Geometry!$C$6:$C$10000)</f>
        <v>0</v>
      </c>
      <c r="T7384" s="69"/>
      <c r="U7384" s="69"/>
    </row>
    <row r="7385" spans="19:21" ht="15" customHeight="1" x14ac:dyDescent="0.2">
      <c r="S7385" s="69">
        <f>_xlfn.XLOOKUP(Results!A7385,Geometry!$B$6:$B$10000,Geometry!$C$6:$C$10000)</f>
        <v>0</v>
      </c>
      <c r="T7385" s="69"/>
      <c r="U7385" s="69"/>
    </row>
    <row r="7386" spans="19:21" ht="15" customHeight="1" x14ac:dyDescent="0.2">
      <c r="S7386" s="69">
        <f>_xlfn.XLOOKUP(Results!A7386,Geometry!$B$6:$B$10000,Geometry!$C$6:$C$10000)</f>
        <v>0</v>
      </c>
      <c r="T7386" s="69"/>
      <c r="U7386" s="69"/>
    </row>
    <row r="7387" spans="19:21" ht="15" customHeight="1" x14ac:dyDescent="0.2">
      <c r="S7387" s="69">
        <f>_xlfn.XLOOKUP(Results!A7387,Geometry!$B$6:$B$10000,Geometry!$C$6:$C$10000)</f>
        <v>0</v>
      </c>
      <c r="T7387" s="69"/>
      <c r="U7387" s="69"/>
    </row>
    <row r="7388" spans="19:21" ht="15" customHeight="1" x14ac:dyDescent="0.2">
      <c r="S7388" s="69">
        <f>_xlfn.XLOOKUP(Results!A7388,Geometry!$B$6:$B$10000,Geometry!$C$6:$C$10000)</f>
        <v>0</v>
      </c>
      <c r="T7388" s="69"/>
      <c r="U7388" s="69"/>
    </row>
    <row r="7389" spans="19:21" ht="15" customHeight="1" x14ac:dyDescent="0.2">
      <c r="S7389" s="69">
        <f>_xlfn.XLOOKUP(Results!A7389,Geometry!$B$6:$B$10000,Geometry!$C$6:$C$10000)</f>
        <v>0</v>
      </c>
      <c r="T7389" s="69"/>
      <c r="U7389" s="69"/>
    </row>
    <row r="7390" spans="19:21" ht="15" customHeight="1" x14ac:dyDescent="0.2">
      <c r="S7390" s="69">
        <f>_xlfn.XLOOKUP(Results!A7390,Geometry!$B$6:$B$10000,Geometry!$C$6:$C$10000)</f>
        <v>0</v>
      </c>
      <c r="T7390" s="69"/>
      <c r="U7390" s="69"/>
    </row>
    <row r="7391" spans="19:21" ht="15" customHeight="1" x14ac:dyDescent="0.2">
      <c r="S7391" s="69">
        <f>_xlfn.XLOOKUP(Results!A7391,Geometry!$B$6:$B$10000,Geometry!$C$6:$C$10000)</f>
        <v>0</v>
      </c>
      <c r="T7391" s="69"/>
      <c r="U7391" s="69"/>
    </row>
    <row r="7392" spans="19:21" ht="15" customHeight="1" x14ac:dyDescent="0.2">
      <c r="S7392" s="69">
        <f>_xlfn.XLOOKUP(Results!A7392,Geometry!$B$6:$B$10000,Geometry!$C$6:$C$10000)</f>
        <v>0</v>
      </c>
      <c r="T7392" s="69"/>
      <c r="U7392" s="69"/>
    </row>
    <row r="7393" spans="19:21" ht="15" customHeight="1" x14ac:dyDescent="0.2">
      <c r="S7393" s="69">
        <f>_xlfn.XLOOKUP(Results!A7393,Geometry!$B$6:$B$10000,Geometry!$C$6:$C$10000)</f>
        <v>0</v>
      </c>
      <c r="T7393" s="69"/>
      <c r="U7393" s="69"/>
    </row>
    <row r="7394" spans="19:21" ht="15" customHeight="1" x14ac:dyDescent="0.2">
      <c r="S7394" s="69">
        <f>_xlfn.XLOOKUP(Results!A7394,Geometry!$B$6:$B$10000,Geometry!$C$6:$C$10000)</f>
        <v>0</v>
      </c>
      <c r="T7394" s="69"/>
      <c r="U7394" s="69"/>
    </row>
    <row r="7395" spans="19:21" ht="15" customHeight="1" x14ac:dyDescent="0.2">
      <c r="S7395" s="69">
        <f>_xlfn.XLOOKUP(Results!A7395,Geometry!$B$6:$B$10000,Geometry!$C$6:$C$10000)</f>
        <v>0</v>
      </c>
      <c r="T7395" s="69"/>
      <c r="U7395" s="69"/>
    </row>
    <row r="7396" spans="19:21" ht="15" customHeight="1" x14ac:dyDescent="0.2">
      <c r="S7396" s="69">
        <f>_xlfn.XLOOKUP(Results!A7396,Geometry!$B$6:$B$10000,Geometry!$C$6:$C$10000)</f>
        <v>0</v>
      </c>
      <c r="T7396" s="69"/>
      <c r="U7396" s="69"/>
    </row>
    <row r="7397" spans="19:21" ht="15" customHeight="1" x14ac:dyDescent="0.2">
      <c r="S7397" s="69">
        <f>_xlfn.XLOOKUP(Results!A7397,Geometry!$B$6:$B$10000,Geometry!$C$6:$C$10000)</f>
        <v>0</v>
      </c>
      <c r="T7397" s="69"/>
      <c r="U7397" s="69"/>
    </row>
    <row r="7398" spans="19:21" ht="15" customHeight="1" x14ac:dyDescent="0.2">
      <c r="S7398" s="69">
        <f>_xlfn.XLOOKUP(Results!A7398,Geometry!$B$6:$B$10000,Geometry!$C$6:$C$10000)</f>
        <v>0</v>
      </c>
      <c r="T7398" s="69"/>
      <c r="U7398" s="69"/>
    </row>
    <row r="7399" spans="19:21" ht="15" customHeight="1" x14ac:dyDescent="0.2">
      <c r="S7399" s="69">
        <f>_xlfn.XLOOKUP(Results!A7399,Geometry!$B$6:$B$10000,Geometry!$C$6:$C$10000)</f>
        <v>0</v>
      </c>
      <c r="T7399" s="69"/>
      <c r="U7399" s="69"/>
    </row>
    <row r="7400" spans="19:21" ht="15" customHeight="1" x14ac:dyDescent="0.2">
      <c r="S7400" s="69">
        <f>_xlfn.XLOOKUP(Results!A7400,Geometry!$B$6:$B$10000,Geometry!$C$6:$C$10000)</f>
        <v>0</v>
      </c>
      <c r="T7400" s="69"/>
      <c r="U7400" s="69"/>
    </row>
    <row r="7401" spans="19:21" ht="15" customHeight="1" x14ac:dyDescent="0.2">
      <c r="S7401" s="69">
        <f>_xlfn.XLOOKUP(Results!A7401,Geometry!$B$6:$B$10000,Geometry!$C$6:$C$10000)</f>
        <v>0</v>
      </c>
      <c r="T7401" s="69"/>
      <c r="U7401" s="69"/>
    </row>
    <row r="7402" spans="19:21" ht="15" customHeight="1" x14ac:dyDescent="0.2">
      <c r="S7402" s="69">
        <f>_xlfn.XLOOKUP(Results!A7402,Geometry!$B$6:$B$10000,Geometry!$C$6:$C$10000)</f>
        <v>0</v>
      </c>
      <c r="T7402" s="69"/>
      <c r="U7402" s="69"/>
    </row>
    <row r="7403" spans="19:21" ht="15" customHeight="1" x14ac:dyDescent="0.2">
      <c r="S7403" s="69">
        <f>_xlfn.XLOOKUP(Results!A7403,Geometry!$B$6:$B$10000,Geometry!$C$6:$C$10000)</f>
        <v>0</v>
      </c>
      <c r="T7403" s="69"/>
      <c r="U7403" s="69"/>
    </row>
    <row r="7404" spans="19:21" ht="15" customHeight="1" x14ac:dyDescent="0.2">
      <c r="S7404" s="69">
        <f>_xlfn.XLOOKUP(Results!A7404,Geometry!$B$6:$B$10000,Geometry!$C$6:$C$10000)</f>
        <v>0</v>
      </c>
      <c r="T7404" s="69"/>
      <c r="U7404" s="69"/>
    </row>
    <row r="7405" spans="19:21" ht="15" customHeight="1" x14ac:dyDescent="0.2">
      <c r="S7405" s="69">
        <f>_xlfn.XLOOKUP(Results!A7405,Geometry!$B$6:$B$10000,Geometry!$C$6:$C$10000)</f>
        <v>0</v>
      </c>
      <c r="T7405" s="69"/>
      <c r="U7405" s="69"/>
    </row>
    <row r="7406" spans="19:21" ht="15" customHeight="1" x14ac:dyDescent="0.2">
      <c r="S7406" s="69">
        <f>_xlfn.XLOOKUP(Results!A7406,Geometry!$B$6:$B$10000,Geometry!$C$6:$C$10000)</f>
        <v>0</v>
      </c>
      <c r="T7406" s="69"/>
      <c r="U7406" s="69"/>
    </row>
    <row r="7407" spans="19:21" ht="15" customHeight="1" x14ac:dyDescent="0.2">
      <c r="S7407" s="69">
        <f>_xlfn.XLOOKUP(Results!A7407,Geometry!$B$6:$B$10000,Geometry!$C$6:$C$10000)</f>
        <v>0</v>
      </c>
      <c r="T7407" s="69"/>
      <c r="U7407" s="69"/>
    </row>
    <row r="7408" spans="19:21" ht="15" customHeight="1" x14ac:dyDescent="0.2">
      <c r="S7408" s="69">
        <f>_xlfn.XLOOKUP(Results!A7408,Geometry!$B$6:$B$10000,Geometry!$C$6:$C$10000)</f>
        <v>0</v>
      </c>
      <c r="T7408" s="69"/>
      <c r="U7408" s="69"/>
    </row>
    <row r="7409" spans="19:21" ht="15" customHeight="1" x14ac:dyDescent="0.2">
      <c r="S7409" s="69">
        <f>_xlfn.XLOOKUP(Results!A7409,Geometry!$B$6:$B$10000,Geometry!$C$6:$C$10000)</f>
        <v>0</v>
      </c>
      <c r="T7409" s="69"/>
      <c r="U7409" s="69"/>
    </row>
    <row r="7410" spans="19:21" ht="15" customHeight="1" x14ac:dyDescent="0.2">
      <c r="S7410" s="69">
        <f>_xlfn.XLOOKUP(Results!A7410,Geometry!$B$6:$B$10000,Geometry!$C$6:$C$10000)</f>
        <v>0</v>
      </c>
      <c r="T7410" s="69"/>
      <c r="U7410" s="69"/>
    </row>
    <row r="7411" spans="19:21" ht="15" customHeight="1" x14ac:dyDescent="0.2">
      <c r="S7411" s="69">
        <f>_xlfn.XLOOKUP(Results!A7411,Geometry!$B$6:$B$10000,Geometry!$C$6:$C$10000)</f>
        <v>0</v>
      </c>
      <c r="T7411" s="69"/>
      <c r="U7411" s="69"/>
    </row>
    <row r="7412" spans="19:21" ht="15" customHeight="1" x14ac:dyDescent="0.2">
      <c r="S7412" s="69">
        <f>_xlfn.XLOOKUP(Results!A7412,Geometry!$B$6:$B$10000,Geometry!$C$6:$C$10000)</f>
        <v>0</v>
      </c>
      <c r="T7412" s="69"/>
      <c r="U7412" s="69"/>
    </row>
    <row r="7413" spans="19:21" ht="15" customHeight="1" x14ac:dyDescent="0.2">
      <c r="S7413" s="69">
        <f>_xlfn.XLOOKUP(Results!A7413,Geometry!$B$6:$B$10000,Geometry!$C$6:$C$10000)</f>
        <v>0</v>
      </c>
      <c r="T7413" s="69"/>
      <c r="U7413" s="69"/>
    </row>
    <row r="7414" spans="19:21" ht="15" customHeight="1" x14ac:dyDescent="0.2">
      <c r="S7414" s="69">
        <f>_xlfn.XLOOKUP(Results!A7414,Geometry!$B$6:$B$10000,Geometry!$C$6:$C$10000)</f>
        <v>0</v>
      </c>
      <c r="T7414" s="69"/>
      <c r="U7414" s="69"/>
    </row>
    <row r="7415" spans="19:21" ht="15" customHeight="1" x14ac:dyDescent="0.2">
      <c r="S7415" s="69">
        <f>_xlfn.XLOOKUP(Results!A7415,Geometry!$B$6:$B$10000,Geometry!$C$6:$C$10000)</f>
        <v>0</v>
      </c>
      <c r="T7415" s="69"/>
      <c r="U7415" s="69"/>
    </row>
    <row r="7416" spans="19:21" ht="15" customHeight="1" x14ac:dyDescent="0.2">
      <c r="S7416" s="69">
        <f>_xlfn.XLOOKUP(Results!A7416,Geometry!$B$6:$B$10000,Geometry!$C$6:$C$10000)</f>
        <v>0</v>
      </c>
      <c r="T7416" s="69"/>
      <c r="U7416" s="69"/>
    </row>
    <row r="7417" spans="19:21" ht="15" customHeight="1" x14ac:dyDescent="0.2">
      <c r="S7417" s="69">
        <f>_xlfn.XLOOKUP(Results!A7417,Geometry!$B$6:$B$10000,Geometry!$C$6:$C$10000)</f>
        <v>0</v>
      </c>
      <c r="T7417" s="69"/>
      <c r="U7417" s="69"/>
    </row>
    <row r="7418" spans="19:21" ht="15" customHeight="1" x14ac:dyDescent="0.2">
      <c r="S7418" s="69">
        <f>_xlfn.XLOOKUP(Results!A7418,Geometry!$B$6:$B$10000,Geometry!$C$6:$C$10000)</f>
        <v>0</v>
      </c>
      <c r="T7418" s="69"/>
      <c r="U7418" s="69"/>
    </row>
    <row r="7419" spans="19:21" ht="15" customHeight="1" x14ac:dyDescent="0.2">
      <c r="S7419" s="69">
        <f>_xlfn.XLOOKUP(Results!A7419,Geometry!$B$6:$B$10000,Geometry!$C$6:$C$10000)</f>
        <v>0</v>
      </c>
      <c r="T7419" s="69"/>
      <c r="U7419" s="69"/>
    </row>
    <row r="7420" spans="19:21" ht="15" customHeight="1" x14ac:dyDescent="0.2">
      <c r="S7420" s="69">
        <f>_xlfn.XLOOKUP(Results!A7420,Geometry!$B$6:$B$10000,Geometry!$C$6:$C$10000)</f>
        <v>0</v>
      </c>
      <c r="T7420" s="69"/>
      <c r="U7420" s="69"/>
    </row>
    <row r="7421" spans="19:21" ht="15" customHeight="1" x14ac:dyDescent="0.2">
      <c r="S7421" s="69">
        <f>_xlfn.XLOOKUP(Results!A7421,Geometry!$B$6:$B$10000,Geometry!$C$6:$C$10000)</f>
        <v>0</v>
      </c>
      <c r="T7421" s="69"/>
      <c r="U7421" s="69"/>
    </row>
    <row r="7422" spans="19:21" ht="15" customHeight="1" x14ac:dyDescent="0.2">
      <c r="S7422" s="69">
        <f>_xlfn.XLOOKUP(Results!A7422,Geometry!$B$6:$B$10000,Geometry!$C$6:$C$10000)</f>
        <v>0</v>
      </c>
      <c r="T7422" s="69"/>
      <c r="U7422" s="69"/>
    </row>
    <row r="7423" spans="19:21" ht="15" customHeight="1" x14ac:dyDescent="0.2">
      <c r="S7423" s="69">
        <f>_xlfn.XLOOKUP(Results!A7423,Geometry!$B$6:$B$10000,Geometry!$C$6:$C$10000)</f>
        <v>0</v>
      </c>
      <c r="T7423" s="69"/>
      <c r="U7423" s="69"/>
    </row>
    <row r="7424" spans="19:21" ht="15" customHeight="1" x14ac:dyDescent="0.2">
      <c r="S7424" s="69">
        <f>_xlfn.XLOOKUP(Results!A7424,Geometry!$B$6:$B$10000,Geometry!$C$6:$C$10000)</f>
        <v>0</v>
      </c>
      <c r="T7424" s="69"/>
      <c r="U7424" s="69"/>
    </row>
    <row r="7425" spans="19:21" ht="15" customHeight="1" x14ac:dyDescent="0.2">
      <c r="S7425" s="69">
        <f>_xlfn.XLOOKUP(Results!A7425,Geometry!$B$6:$B$10000,Geometry!$C$6:$C$10000)</f>
        <v>0</v>
      </c>
      <c r="T7425" s="69"/>
      <c r="U7425" s="69"/>
    </row>
    <row r="7426" spans="19:21" ht="15" customHeight="1" x14ac:dyDescent="0.2">
      <c r="S7426" s="69">
        <f>_xlfn.XLOOKUP(Results!A7426,Geometry!$B$6:$B$10000,Geometry!$C$6:$C$10000)</f>
        <v>0</v>
      </c>
      <c r="T7426" s="69"/>
      <c r="U7426" s="69"/>
    </row>
    <row r="7427" spans="19:21" ht="15" customHeight="1" x14ac:dyDescent="0.2">
      <c r="S7427" s="69">
        <f>_xlfn.XLOOKUP(Results!A7427,Geometry!$B$6:$B$10000,Geometry!$C$6:$C$10000)</f>
        <v>0</v>
      </c>
      <c r="T7427" s="69"/>
      <c r="U7427" s="69"/>
    </row>
    <row r="7428" spans="19:21" ht="15" customHeight="1" x14ac:dyDescent="0.2">
      <c r="S7428" s="69">
        <f>_xlfn.XLOOKUP(Results!A7428,Geometry!$B$6:$B$10000,Geometry!$C$6:$C$10000)</f>
        <v>0</v>
      </c>
      <c r="T7428" s="69"/>
      <c r="U7428" s="69"/>
    </row>
    <row r="7429" spans="19:21" ht="15" customHeight="1" x14ac:dyDescent="0.2">
      <c r="S7429" s="69">
        <f>_xlfn.XLOOKUP(Results!A7429,Geometry!$B$6:$B$10000,Geometry!$C$6:$C$10000)</f>
        <v>0</v>
      </c>
      <c r="T7429" s="69"/>
      <c r="U7429" s="69"/>
    </row>
    <row r="7430" spans="19:21" ht="15" customHeight="1" x14ac:dyDescent="0.2">
      <c r="S7430" s="69">
        <f>_xlfn.XLOOKUP(Results!A7430,Geometry!$B$6:$B$10000,Geometry!$C$6:$C$10000)</f>
        <v>0</v>
      </c>
      <c r="T7430" s="69"/>
      <c r="U7430" s="69"/>
    </row>
    <row r="7431" spans="19:21" ht="15" customHeight="1" x14ac:dyDescent="0.2">
      <c r="S7431" s="69">
        <f>_xlfn.XLOOKUP(Results!A7431,Geometry!$B$6:$B$10000,Geometry!$C$6:$C$10000)</f>
        <v>0</v>
      </c>
      <c r="T7431" s="69"/>
      <c r="U7431" s="69"/>
    </row>
    <row r="7432" spans="19:21" ht="15" customHeight="1" x14ac:dyDescent="0.2">
      <c r="S7432" s="69">
        <f>_xlfn.XLOOKUP(Results!A7432,Geometry!$B$6:$B$10000,Geometry!$C$6:$C$10000)</f>
        <v>0</v>
      </c>
      <c r="T7432" s="69"/>
      <c r="U7432" s="69"/>
    </row>
    <row r="7433" spans="19:21" ht="15" customHeight="1" x14ac:dyDescent="0.2">
      <c r="S7433" s="69">
        <f>_xlfn.XLOOKUP(Results!A7433,Geometry!$B$6:$B$10000,Geometry!$C$6:$C$10000)</f>
        <v>0</v>
      </c>
      <c r="T7433" s="69"/>
      <c r="U7433" s="69"/>
    </row>
    <row r="7434" spans="19:21" ht="15" customHeight="1" x14ac:dyDescent="0.2">
      <c r="S7434" s="69">
        <f>_xlfn.XLOOKUP(Results!A7434,Geometry!$B$6:$B$10000,Geometry!$C$6:$C$10000)</f>
        <v>0</v>
      </c>
      <c r="T7434" s="69"/>
      <c r="U7434" s="69"/>
    </row>
    <row r="7435" spans="19:21" ht="15" customHeight="1" x14ac:dyDescent="0.2">
      <c r="S7435" s="69">
        <f>_xlfn.XLOOKUP(Results!A7435,Geometry!$B$6:$B$10000,Geometry!$C$6:$C$10000)</f>
        <v>0</v>
      </c>
      <c r="T7435" s="69"/>
      <c r="U7435" s="69"/>
    </row>
    <row r="7436" spans="19:21" ht="15" customHeight="1" x14ac:dyDescent="0.2">
      <c r="S7436" s="69">
        <f>_xlfn.XLOOKUP(Results!A7436,Geometry!$B$6:$B$10000,Geometry!$C$6:$C$10000)</f>
        <v>0</v>
      </c>
      <c r="T7436" s="69"/>
      <c r="U7436" s="69"/>
    </row>
    <row r="7437" spans="19:21" ht="15" customHeight="1" x14ac:dyDescent="0.2">
      <c r="S7437" s="69">
        <f>_xlfn.XLOOKUP(Results!A7437,Geometry!$B$6:$B$10000,Geometry!$C$6:$C$10000)</f>
        <v>0</v>
      </c>
      <c r="T7437" s="69"/>
      <c r="U7437" s="69"/>
    </row>
    <row r="7438" spans="19:21" ht="15" customHeight="1" x14ac:dyDescent="0.2">
      <c r="S7438" s="69">
        <f>_xlfn.XLOOKUP(Results!A7438,Geometry!$B$6:$B$10000,Geometry!$C$6:$C$10000)</f>
        <v>0</v>
      </c>
      <c r="T7438" s="69"/>
      <c r="U7438" s="69"/>
    </row>
    <row r="7439" spans="19:21" ht="15" customHeight="1" x14ac:dyDescent="0.2">
      <c r="S7439" s="69">
        <f>_xlfn.XLOOKUP(Results!A7439,Geometry!$B$6:$B$10000,Geometry!$C$6:$C$10000)</f>
        <v>0</v>
      </c>
      <c r="T7439" s="69"/>
      <c r="U7439" s="69"/>
    </row>
    <row r="7440" spans="19:21" ht="15" customHeight="1" x14ac:dyDescent="0.2">
      <c r="S7440" s="69">
        <f>_xlfn.XLOOKUP(Results!A7440,Geometry!$B$6:$B$10000,Geometry!$C$6:$C$10000)</f>
        <v>0</v>
      </c>
      <c r="T7440" s="69"/>
      <c r="U7440" s="69"/>
    </row>
    <row r="7441" spans="19:21" ht="15" customHeight="1" x14ac:dyDescent="0.2">
      <c r="S7441" s="69">
        <f>_xlfn.XLOOKUP(Results!A7441,Geometry!$B$6:$B$10000,Geometry!$C$6:$C$10000)</f>
        <v>0</v>
      </c>
      <c r="T7441" s="69"/>
      <c r="U7441" s="69"/>
    </row>
    <row r="7442" spans="19:21" ht="15" customHeight="1" x14ac:dyDescent="0.2">
      <c r="S7442" s="69">
        <f>_xlfn.XLOOKUP(Results!A7442,Geometry!$B$6:$B$10000,Geometry!$C$6:$C$10000)</f>
        <v>0</v>
      </c>
      <c r="T7442" s="69"/>
      <c r="U7442" s="69"/>
    </row>
    <row r="7443" spans="19:21" ht="15" customHeight="1" x14ac:dyDescent="0.2">
      <c r="S7443" s="69">
        <f>_xlfn.XLOOKUP(Results!A7443,Geometry!$B$6:$B$10000,Geometry!$C$6:$C$10000)</f>
        <v>0</v>
      </c>
      <c r="T7443" s="69"/>
      <c r="U7443" s="69"/>
    </row>
    <row r="7444" spans="19:21" ht="15" customHeight="1" x14ac:dyDescent="0.2">
      <c r="S7444" s="69">
        <f>_xlfn.XLOOKUP(Results!A7444,Geometry!$B$6:$B$10000,Geometry!$C$6:$C$10000)</f>
        <v>0</v>
      </c>
      <c r="T7444" s="69"/>
      <c r="U7444" s="69"/>
    </row>
    <row r="7445" spans="19:21" ht="15" customHeight="1" x14ac:dyDescent="0.2">
      <c r="S7445" s="69">
        <f>_xlfn.XLOOKUP(Results!A7445,Geometry!$B$6:$B$10000,Geometry!$C$6:$C$10000)</f>
        <v>0</v>
      </c>
      <c r="T7445" s="69"/>
      <c r="U7445" s="69"/>
    </row>
    <row r="7446" spans="19:21" ht="15" customHeight="1" x14ac:dyDescent="0.2">
      <c r="S7446" s="69">
        <f>_xlfn.XLOOKUP(Results!A7446,Geometry!$B$6:$B$10000,Geometry!$C$6:$C$10000)</f>
        <v>0</v>
      </c>
      <c r="T7446" s="69"/>
      <c r="U7446" s="69"/>
    </row>
    <row r="7447" spans="19:21" ht="15" customHeight="1" x14ac:dyDescent="0.2">
      <c r="S7447" s="69">
        <f>_xlfn.XLOOKUP(Results!A7447,Geometry!$B$6:$B$10000,Geometry!$C$6:$C$10000)</f>
        <v>0</v>
      </c>
      <c r="T7447" s="69"/>
      <c r="U7447" s="69"/>
    </row>
    <row r="7448" spans="19:21" ht="15" customHeight="1" x14ac:dyDescent="0.2">
      <c r="S7448" s="69">
        <f>_xlfn.XLOOKUP(Results!A7448,Geometry!$B$6:$B$10000,Geometry!$C$6:$C$10000)</f>
        <v>0</v>
      </c>
      <c r="T7448" s="69"/>
      <c r="U7448" s="69"/>
    </row>
    <row r="7449" spans="19:21" ht="15" customHeight="1" x14ac:dyDescent="0.2">
      <c r="S7449" s="69">
        <f>_xlfn.XLOOKUP(Results!A7449,Geometry!$B$6:$B$10000,Geometry!$C$6:$C$10000)</f>
        <v>0</v>
      </c>
      <c r="T7449" s="69"/>
      <c r="U7449" s="69"/>
    </row>
    <row r="7450" spans="19:21" ht="15" customHeight="1" x14ac:dyDescent="0.2">
      <c r="S7450" s="69">
        <f>_xlfn.XLOOKUP(Results!A7450,Geometry!$B$6:$B$10000,Geometry!$C$6:$C$10000)</f>
        <v>0</v>
      </c>
      <c r="T7450" s="69"/>
      <c r="U7450" s="69"/>
    </row>
    <row r="7451" spans="19:21" ht="15" customHeight="1" x14ac:dyDescent="0.2">
      <c r="S7451" s="69">
        <f>_xlfn.XLOOKUP(Results!A7451,Geometry!$B$6:$B$10000,Geometry!$C$6:$C$10000)</f>
        <v>0</v>
      </c>
      <c r="T7451" s="69"/>
      <c r="U7451" s="69"/>
    </row>
    <row r="7452" spans="19:21" ht="15" customHeight="1" x14ac:dyDescent="0.2">
      <c r="S7452" s="69">
        <f>_xlfn.XLOOKUP(Results!A7452,Geometry!$B$6:$B$10000,Geometry!$C$6:$C$10000)</f>
        <v>0</v>
      </c>
      <c r="T7452" s="69"/>
      <c r="U7452" s="69"/>
    </row>
    <row r="7453" spans="19:21" ht="15" customHeight="1" x14ac:dyDescent="0.2">
      <c r="S7453" s="69">
        <f>_xlfn.XLOOKUP(Results!A7453,Geometry!$B$6:$B$10000,Geometry!$C$6:$C$10000)</f>
        <v>0</v>
      </c>
      <c r="T7453" s="69"/>
      <c r="U7453" s="69"/>
    </row>
    <row r="7454" spans="19:21" ht="15" customHeight="1" x14ac:dyDescent="0.2">
      <c r="S7454" s="69">
        <f>_xlfn.XLOOKUP(Results!A7454,Geometry!$B$6:$B$10000,Geometry!$C$6:$C$10000)</f>
        <v>0</v>
      </c>
      <c r="T7454" s="69"/>
      <c r="U7454" s="69"/>
    </row>
    <row r="7455" spans="19:21" ht="15" customHeight="1" x14ac:dyDescent="0.2">
      <c r="S7455" s="69">
        <f>_xlfn.XLOOKUP(Results!A7455,Geometry!$B$6:$B$10000,Geometry!$C$6:$C$10000)</f>
        <v>0</v>
      </c>
      <c r="T7455" s="69"/>
      <c r="U7455" s="69"/>
    </row>
    <row r="7456" spans="19:21" ht="15" customHeight="1" x14ac:dyDescent="0.2">
      <c r="S7456" s="69">
        <f>_xlfn.XLOOKUP(Results!A7456,Geometry!$B$6:$B$10000,Geometry!$C$6:$C$10000)</f>
        <v>0</v>
      </c>
      <c r="T7456" s="69"/>
      <c r="U7456" s="69"/>
    </row>
    <row r="7457" spans="19:21" ht="15" customHeight="1" x14ac:dyDescent="0.2">
      <c r="S7457" s="69">
        <f>_xlfn.XLOOKUP(Results!A7457,Geometry!$B$6:$B$10000,Geometry!$C$6:$C$10000)</f>
        <v>0</v>
      </c>
      <c r="T7457" s="69"/>
      <c r="U7457" s="69"/>
    </row>
    <row r="7458" spans="19:21" ht="15" customHeight="1" x14ac:dyDescent="0.2">
      <c r="S7458" s="69">
        <f>_xlfn.XLOOKUP(Results!A7458,Geometry!$B$6:$B$10000,Geometry!$C$6:$C$10000)</f>
        <v>0</v>
      </c>
      <c r="T7458" s="69"/>
      <c r="U7458" s="69"/>
    </row>
    <row r="7459" spans="19:21" ht="15" customHeight="1" x14ac:dyDescent="0.2">
      <c r="S7459" s="69">
        <f>_xlfn.XLOOKUP(Results!A7459,Geometry!$B$6:$B$10000,Geometry!$C$6:$C$10000)</f>
        <v>0</v>
      </c>
      <c r="T7459" s="69"/>
      <c r="U7459" s="69"/>
    </row>
    <row r="7460" spans="19:21" ht="15" customHeight="1" x14ac:dyDescent="0.2">
      <c r="S7460" s="69">
        <f>_xlfn.XLOOKUP(Results!A7460,Geometry!$B$6:$B$10000,Geometry!$C$6:$C$10000)</f>
        <v>0</v>
      </c>
      <c r="T7460" s="69"/>
      <c r="U7460" s="69"/>
    </row>
    <row r="7461" spans="19:21" ht="15" customHeight="1" x14ac:dyDescent="0.2">
      <c r="S7461" s="69">
        <f>_xlfn.XLOOKUP(Results!A7461,Geometry!$B$6:$B$10000,Geometry!$C$6:$C$10000)</f>
        <v>0</v>
      </c>
      <c r="T7461" s="69"/>
      <c r="U7461" s="69"/>
    </row>
    <row r="7462" spans="19:21" ht="15" customHeight="1" x14ac:dyDescent="0.2">
      <c r="S7462" s="69">
        <f>_xlfn.XLOOKUP(Results!A7462,Geometry!$B$6:$B$10000,Geometry!$C$6:$C$10000)</f>
        <v>0</v>
      </c>
      <c r="T7462" s="69"/>
      <c r="U7462" s="69"/>
    </row>
    <row r="7463" spans="19:21" ht="15" customHeight="1" x14ac:dyDescent="0.2">
      <c r="S7463" s="69">
        <f>_xlfn.XLOOKUP(Results!A7463,Geometry!$B$6:$B$10000,Geometry!$C$6:$C$10000)</f>
        <v>0</v>
      </c>
      <c r="T7463" s="69"/>
      <c r="U7463" s="69"/>
    </row>
    <row r="7464" spans="19:21" ht="15" customHeight="1" x14ac:dyDescent="0.2">
      <c r="S7464" s="69">
        <f>_xlfn.XLOOKUP(Results!A7464,Geometry!$B$6:$B$10000,Geometry!$C$6:$C$10000)</f>
        <v>0</v>
      </c>
      <c r="T7464" s="69"/>
      <c r="U7464" s="69"/>
    </row>
    <row r="7465" spans="19:21" ht="15" customHeight="1" x14ac:dyDescent="0.2">
      <c r="S7465" s="69">
        <f>_xlfn.XLOOKUP(Results!A7465,Geometry!$B$6:$B$10000,Geometry!$C$6:$C$10000)</f>
        <v>0</v>
      </c>
      <c r="T7465" s="69"/>
      <c r="U7465" s="69"/>
    </row>
    <row r="7466" spans="19:21" ht="15" customHeight="1" x14ac:dyDescent="0.2">
      <c r="S7466" s="69">
        <f>_xlfn.XLOOKUP(Results!A7466,Geometry!$B$6:$B$10000,Geometry!$C$6:$C$10000)</f>
        <v>0</v>
      </c>
      <c r="T7466" s="69"/>
      <c r="U7466" s="69"/>
    </row>
    <row r="7467" spans="19:21" ht="15" customHeight="1" x14ac:dyDescent="0.2">
      <c r="S7467" s="69">
        <f>_xlfn.XLOOKUP(Results!A7467,Geometry!$B$6:$B$10000,Geometry!$C$6:$C$10000)</f>
        <v>0</v>
      </c>
      <c r="T7467" s="69"/>
      <c r="U7467" s="69"/>
    </row>
    <row r="7468" spans="19:21" ht="15" customHeight="1" x14ac:dyDescent="0.2">
      <c r="S7468" s="69">
        <f>_xlfn.XLOOKUP(Results!A7468,Geometry!$B$6:$B$10000,Geometry!$C$6:$C$10000)</f>
        <v>0</v>
      </c>
      <c r="T7468" s="69"/>
      <c r="U7468" s="69"/>
    </row>
    <row r="7469" spans="19:21" ht="15" customHeight="1" x14ac:dyDescent="0.2">
      <c r="S7469" s="69">
        <f>_xlfn.XLOOKUP(Results!A7469,Geometry!$B$6:$B$10000,Geometry!$C$6:$C$10000)</f>
        <v>0</v>
      </c>
      <c r="T7469" s="69"/>
      <c r="U7469" s="69"/>
    </row>
    <row r="7470" spans="19:21" ht="15" customHeight="1" x14ac:dyDescent="0.2">
      <c r="S7470" s="69">
        <f>_xlfn.XLOOKUP(Results!A7470,Geometry!$B$6:$B$10000,Geometry!$C$6:$C$10000)</f>
        <v>0</v>
      </c>
      <c r="T7470" s="69"/>
      <c r="U7470" s="69"/>
    </row>
    <row r="7471" spans="19:21" ht="15" customHeight="1" x14ac:dyDescent="0.2">
      <c r="S7471" s="69">
        <f>_xlfn.XLOOKUP(Results!A7471,Geometry!$B$6:$B$10000,Geometry!$C$6:$C$10000)</f>
        <v>0</v>
      </c>
      <c r="T7471" s="69"/>
      <c r="U7471" s="69"/>
    </row>
    <row r="7472" spans="19:21" ht="15" customHeight="1" x14ac:dyDescent="0.2">
      <c r="S7472" s="69">
        <f>_xlfn.XLOOKUP(Results!A7472,Geometry!$B$6:$B$10000,Geometry!$C$6:$C$10000)</f>
        <v>0</v>
      </c>
      <c r="T7472" s="69"/>
      <c r="U7472" s="69"/>
    </row>
    <row r="7473" spans="19:21" ht="15" customHeight="1" x14ac:dyDescent="0.2">
      <c r="S7473" s="69">
        <f>_xlfn.XLOOKUP(Results!A7473,Geometry!$B$6:$B$10000,Geometry!$C$6:$C$10000)</f>
        <v>0</v>
      </c>
      <c r="T7473" s="69"/>
      <c r="U7473" s="69"/>
    </row>
    <row r="7474" spans="19:21" ht="15" customHeight="1" x14ac:dyDescent="0.2">
      <c r="S7474" s="69">
        <f>_xlfn.XLOOKUP(Results!A7474,Geometry!$B$6:$B$10000,Geometry!$C$6:$C$10000)</f>
        <v>0</v>
      </c>
      <c r="T7474" s="69"/>
      <c r="U7474" s="69"/>
    </row>
    <row r="7475" spans="19:21" ht="15" customHeight="1" x14ac:dyDescent="0.2">
      <c r="S7475" s="69">
        <f>_xlfn.XLOOKUP(Results!A7475,Geometry!$B$6:$B$10000,Geometry!$C$6:$C$10000)</f>
        <v>0</v>
      </c>
      <c r="T7475" s="69"/>
      <c r="U7475" s="69"/>
    </row>
    <row r="7476" spans="19:21" ht="15" customHeight="1" x14ac:dyDescent="0.2">
      <c r="S7476" s="69">
        <f>_xlfn.XLOOKUP(Results!A7476,Geometry!$B$6:$B$10000,Geometry!$C$6:$C$10000)</f>
        <v>0</v>
      </c>
      <c r="T7476" s="69"/>
      <c r="U7476" s="69"/>
    </row>
    <row r="7477" spans="19:21" ht="15" customHeight="1" x14ac:dyDescent="0.2">
      <c r="S7477" s="69">
        <f>_xlfn.XLOOKUP(Results!A7477,Geometry!$B$6:$B$10000,Geometry!$C$6:$C$10000)</f>
        <v>0</v>
      </c>
      <c r="T7477" s="69"/>
      <c r="U7477" s="69"/>
    </row>
    <row r="7478" spans="19:21" ht="15" customHeight="1" x14ac:dyDescent="0.2">
      <c r="S7478" s="69">
        <f>_xlfn.XLOOKUP(Results!A7478,Geometry!$B$6:$B$10000,Geometry!$C$6:$C$10000)</f>
        <v>0</v>
      </c>
      <c r="T7478" s="69"/>
      <c r="U7478" s="69"/>
    </row>
    <row r="7479" spans="19:21" ht="15" customHeight="1" x14ac:dyDescent="0.2">
      <c r="S7479" s="69">
        <f>_xlfn.XLOOKUP(Results!A7479,Geometry!$B$6:$B$10000,Geometry!$C$6:$C$10000)</f>
        <v>0</v>
      </c>
      <c r="T7479" s="69"/>
      <c r="U7479" s="69"/>
    </row>
    <row r="7480" spans="19:21" ht="15" customHeight="1" x14ac:dyDescent="0.2">
      <c r="S7480" s="69">
        <f>_xlfn.XLOOKUP(Results!A7480,Geometry!$B$6:$B$10000,Geometry!$C$6:$C$10000)</f>
        <v>0</v>
      </c>
      <c r="T7480" s="69"/>
      <c r="U7480" s="69"/>
    </row>
    <row r="7481" spans="19:21" ht="15" customHeight="1" x14ac:dyDescent="0.2">
      <c r="S7481" s="69">
        <f>_xlfn.XLOOKUP(Results!A7481,Geometry!$B$6:$B$10000,Geometry!$C$6:$C$10000)</f>
        <v>0</v>
      </c>
      <c r="T7481" s="69"/>
      <c r="U7481" s="69"/>
    </row>
    <row r="7482" spans="19:21" ht="15" customHeight="1" x14ac:dyDescent="0.2">
      <c r="S7482" s="69">
        <f>_xlfn.XLOOKUP(Results!A7482,Geometry!$B$6:$B$10000,Geometry!$C$6:$C$10000)</f>
        <v>0</v>
      </c>
      <c r="T7482" s="69"/>
      <c r="U7482" s="69"/>
    </row>
    <row r="7483" spans="19:21" ht="15" customHeight="1" x14ac:dyDescent="0.2">
      <c r="S7483" s="69">
        <f>_xlfn.XLOOKUP(Results!A7483,Geometry!$B$6:$B$10000,Geometry!$C$6:$C$10000)</f>
        <v>0</v>
      </c>
      <c r="T7483" s="69"/>
      <c r="U7483" s="69"/>
    </row>
    <row r="7484" spans="19:21" ht="15" customHeight="1" x14ac:dyDescent="0.2">
      <c r="S7484" s="69">
        <f>_xlfn.XLOOKUP(Results!A7484,Geometry!$B$6:$B$10000,Geometry!$C$6:$C$10000)</f>
        <v>0</v>
      </c>
      <c r="T7484" s="69"/>
      <c r="U7484" s="69"/>
    </row>
    <row r="7485" spans="19:21" ht="15" customHeight="1" x14ac:dyDescent="0.2">
      <c r="S7485" s="69">
        <f>_xlfn.XLOOKUP(Results!A7485,Geometry!$B$6:$B$10000,Geometry!$C$6:$C$10000)</f>
        <v>0</v>
      </c>
      <c r="T7485" s="69"/>
      <c r="U7485" s="69"/>
    </row>
    <row r="7486" spans="19:21" ht="15" customHeight="1" x14ac:dyDescent="0.2">
      <c r="S7486" s="69">
        <f>_xlfn.XLOOKUP(Results!A7486,Geometry!$B$6:$B$10000,Geometry!$C$6:$C$10000)</f>
        <v>0</v>
      </c>
      <c r="T7486" s="69"/>
      <c r="U7486" s="69"/>
    </row>
    <row r="7487" spans="19:21" ht="15" customHeight="1" x14ac:dyDescent="0.2">
      <c r="S7487" s="69">
        <f>_xlfn.XLOOKUP(Results!A7487,Geometry!$B$6:$B$10000,Geometry!$C$6:$C$10000)</f>
        <v>0</v>
      </c>
      <c r="T7487" s="69"/>
      <c r="U7487" s="69"/>
    </row>
    <row r="7488" spans="19:21" ht="15" customHeight="1" x14ac:dyDescent="0.2">
      <c r="S7488" s="69">
        <f>_xlfn.XLOOKUP(Results!A7488,Geometry!$B$6:$B$10000,Geometry!$C$6:$C$10000)</f>
        <v>0</v>
      </c>
      <c r="T7488" s="69"/>
      <c r="U7488" s="69"/>
    </row>
    <row r="7489" spans="19:21" ht="15" customHeight="1" x14ac:dyDescent="0.2">
      <c r="S7489" s="69">
        <f>_xlfn.XLOOKUP(Results!A7489,Geometry!$B$6:$B$10000,Geometry!$C$6:$C$10000)</f>
        <v>0</v>
      </c>
      <c r="T7489" s="69"/>
      <c r="U7489" s="69"/>
    </row>
    <row r="7490" spans="19:21" ht="15" customHeight="1" x14ac:dyDescent="0.2">
      <c r="S7490" s="69">
        <f>_xlfn.XLOOKUP(Results!A7490,Geometry!$B$6:$B$10000,Geometry!$C$6:$C$10000)</f>
        <v>0</v>
      </c>
      <c r="T7490" s="69"/>
      <c r="U7490" s="69"/>
    </row>
    <row r="7491" spans="19:21" ht="15" customHeight="1" x14ac:dyDescent="0.2">
      <c r="S7491" s="69">
        <f>_xlfn.XLOOKUP(Results!A7491,Geometry!$B$6:$B$10000,Geometry!$C$6:$C$10000)</f>
        <v>0</v>
      </c>
      <c r="T7491" s="69"/>
      <c r="U7491" s="69"/>
    </row>
    <row r="7492" spans="19:21" ht="15" customHeight="1" x14ac:dyDescent="0.2">
      <c r="S7492" s="69">
        <f>_xlfn.XLOOKUP(Results!A7492,Geometry!$B$6:$B$10000,Geometry!$C$6:$C$10000)</f>
        <v>0</v>
      </c>
      <c r="T7492" s="69"/>
      <c r="U7492" s="69"/>
    </row>
    <row r="7493" spans="19:21" ht="15" customHeight="1" x14ac:dyDescent="0.2">
      <c r="S7493" s="69">
        <f>_xlfn.XLOOKUP(Results!A7493,Geometry!$B$6:$B$10000,Geometry!$C$6:$C$10000)</f>
        <v>0</v>
      </c>
      <c r="T7493" s="69"/>
      <c r="U7493" s="69"/>
    </row>
    <row r="7494" spans="19:21" ht="15" customHeight="1" x14ac:dyDescent="0.2">
      <c r="S7494" s="69">
        <f>_xlfn.XLOOKUP(Results!A7494,Geometry!$B$6:$B$10000,Geometry!$C$6:$C$10000)</f>
        <v>0</v>
      </c>
      <c r="T7494" s="69"/>
      <c r="U7494" s="69"/>
    </row>
    <row r="7495" spans="19:21" ht="15" customHeight="1" x14ac:dyDescent="0.2">
      <c r="S7495" s="69">
        <f>_xlfn.XLOOKUP(Results!A7495,Geometry!$B$6:$B$10000,Geometry!$C$6:$C$10000)</f>
        <v>0</v>
      </c>
      <c r="T7495" s="69"/>
      <c r="U7495" s="69"/>
    </row>
    <row r="7496" spans="19:21" ht="15" customHeight="1" x14ac:dyDescent="0.2">
      <c r="S7496" s="69">
        <f>_xlfn.XLOOKUP(Results!A7496,Geometry!$B$6:$B$10000,Geometry!$C$6:$C$10000)</f>
        <v>0</v>
      </c>
      <c r="T7496" s="69"/>
      <c r="U7496" s="69"/>
    </row>
    <row r="7497" spans="19:21" ht="15" customHeight="1" x14ac:dyDescent="0.2">
      <c r="S7497" s="69">
        <f>_xlfn.XLOOKUP(Results!A7497,Geometry!$B$6:$B$10000,Geometry!$C$6:$C$10000)</f>
        <v>0</v>
      </c>
      <c r="T7497" s="69"/>
      <c r="U7497" s="69"/>
    </row>
    <row r="7498" spans="19:21" ht="15" customHeight="1" x14ac:dyDescent="0.2">
      <c r="S7498" s="69">
        <f>_xlfn.XLOOKUP(Results!A7498,Geometry!$B$6:$B$10000,Geometry!$C$6:$C$10000)</f>
        <v>0</v>
      </c>
      <c r="T7498" s="69"/>
      <c r="U7498" s="69"/>
    </row>
    <row r="7499" spans="19:21" ht="15" customHeight="1" x14ac:dyDescent="0.2">
      <c r="S7499" s="69">
        <f>_xlfn.XLOOKUP(Results!A7499,Geometry!$B$6:$B$10000,Geometry!$C$6:$C$10000)</f>
        <v>0</v>
      </c>
      <c r="T7499" s="69"/>
      <c r="U7499" s="69"/>
    </row>
    <row r="7500" spans="19:21" ht="15" customHeight="1" x14ac:dyDescent="0.2">
      <c r="S7500" s="69">
        <f>_xlfn.XLOOKUP(Results!A7500,Geometry!$B$6:$B$10000,Geometry!$C$6:$C$10000)</f>
        <v>0</v>
      </c>
      <c r="T7500" s="69"/>
      <c r="U7500" s="69"/>
    </row>
    <row r="7501" spans="19:21" ht="15" customHeight="1" x14ac:dyDescent="0.2">
      <c r="S7501" s="69">
        <f>_xlfn.XLOOKUP(Results!A7501,Geometry!$B$6:$B$10000,Geometry!$C$6:$C$10000)</f>
        <v>0</v>
      </c>
      <c r="T7501" s="69"/>
      <c r="U7501" s="69"/>
    </row>
    <row r="7502" spans="19:21" ht="15" customHeight="1" x14ac:dyDescent="0.2">
      <c r="S7502" s="69">
        <f>_xlfn.XLOOKUP(Results!A7502,Geometry!$B$6:$B$10000,Geometry!$C$6:$C$10000)</f>
        <v>0</v>
      </c>
      <c r="T7502" s="69"/>
      <c r="U7502" s="69"/>
    </row>
    <row r="7503" spans="19:21" ht="15" customHeight="1" x14ac:dyDescent="0.2">
      <c r="S7503" s="69">
        <f>_xlfn.XLOOKUP(Results!A7503,Geometry!$B$6:$B$10000,Geometry!$C$6:$C$10000)</f>
        <v>0</v>
      </c>
      <c r="T7503" s="69"/>
      <c r="U7503" s="69"/>
    </row>
    <row r="7504" spans="19:21" ht="15" customHeight="1" x14ac:dyDescent="0.2">
      <c r="S7504" s="69">
        <f>_xlfn.XLOOKUP(Results!A7504,Geometry!$B$6:$B$10000,Geometry!$C$6:$C$10000)</f>
        <v>0</v>
      </c>
      <c r="T7504" s="69"/>
      <c r="U7504" s="69"/>
    </row>
    <row r="7505" spans="19:21" ht="15" customHeight="1" x14ac:dyDescent="0.2">
      <c r="S7505" s="69">
        <f>_xlfn.XLOOKUP(Results!A7505,Geometry!$B$6:$B$10000,Geometry!$C$6:$C$10000)</f>
        <v>0</v>
      </c>
      <c r="T7505" s="69"/>
      <c r="U7505" s="69"/>
    </row>
    <row r="7506" spans="19:21" ht="15" customHeight="1" x14ac:dyDescent="0.2">
      <c r="S7506" s="69">
        <f>_xlfn.XLOOKUP(Results!A7506,Geometry!$B$6:$B$10000,Geometry!$C$6:$C$10000)</f>
        <v>0</v>
      </c>
      <c r="T7506" s="69"/>
      <c r="U7506" s="69"/>
    </row>
    <row r="7507" spans="19:21" ht="15" customHeight="1" x14ac:dyDescent="0.2">
      <c r="S7507" s="69">
        <f>_xlfn.XLOOKUP(Results!A7507,Geometry!$B$6:$B$10000,Geometry!$C$6:$C$10000)</f>
        <v>0</v>
      </c>
      <c r="T7507" s="69"/>
      <c r="U7507" s="69"/>
    </row>
    <row r="7508" spans="19:21" ht="15" customHeight="1" x14ac:dyDescent="0.2">
      <c r="S7508" s="69">
        <f>_xlfn.XLOOKUP(Results!A7508,Geometry!$B$6:$B$10000,Geometry!$C$6:$C$10000)</f>
        <v>0</v>
      </c>
      <c r="T7508" s="69"/>
      <c r="U7508" s="69"/>
    </row>
    <row r="7509" spans="19:21" ht="15" customHeight="1" x14ac:dyDescent="0.2">
      <c r="S7509" s="69">
        <f>_xlfn.XLOOKUP(Results!A7509,Geometry!$B$6:$B$10000,Geometry!$C$6:$C$10000)</f>
        <v>0</v>
      </c>
      <c r="T7509" s="69"/>
      <c r="U7509" s="69"/>
    </row>
    <row r="7510" spans="19:21" ht="15" customHeight="1" x14ac:dyDescent="0.2">
      <c r="S7510" s="69">
        <f>_xlfn.XLOOKUP(Results!A7510,Geometry!$B$6:$B$10000,Geometry!$C$6:$C$10000)</f>
        <v>0</v>
      </c>
      <c r="T7510" s="69"/>
      <c r="U7510" s="69"/>
    </row>
    <row r="7511" spans="19:21" ht="15" customHeight="1" x14ac:dyDescent="0.2">
      <c r="S7511" s="69">
        <f>_xlfn.XLOOKUP(Results!A7511,Geometry!$B$6:$B$10000,Geometry!$C$6:$C$10000)</f>
        <v>0</v>
      </c>
      <c r="T7511" s="69"/>
      <c r="U7511" s="69"/>
    </row>
    <row r="7512" spans="19:21" ht="15" customHeight="1" x14ac:dyDescent="0.2">
      <c r="S7512" s="69">
        <f>_xlfn.XLOOKUP(Results!A7512,Geometry!$B$6:$B$10000,Geometry!$C$6:$C$10000)</f>
        <v>0</v>
      </c>
      <c r="T7512" s="69"/>
      <c r="U7512" s="69"/>
    </row>
    <row r="7513" spans="19:21" ht="15" customHeight="1" x14ac:dyDescent="0.2">
      <c r="S7513" s="69">
        <f>_xlfn.XLOOKUP(Results!A7513,Geometry!$B$6:$B$10000,Geometry!$C$6:$C$10000)</f>
        <v>0</v>
      </c>
      <c r="T7513" s="69"/>
      <c r="U7513" s="69"/>
    </row>
    <row r="7514" spans="19:21" ht="15" customHeight="1" x14ac:dyDescent="0.2">
      <c r="S7514" s="69">
        <f>_xlfn.XLOOKUP(Results!A7514,Geometry!$B$6:$B$10000,Geometry!$C$6:$C$10000)</f>
        <v>0</v>
      </c>
      <c r="T7514" s="69"/>
      <c r="U7514" s="69"/>
    </row>
    <row r="7515" spans="19:21" ht="15" customHeight="1" x14ac:dyDescent="0.2">
      <c r="S7515" s="69">
        <f>_xlfn.XLOOKUP(Results!A7515,Geometry!$B$6:$B$10000,Geometry!$C$6:$C$10000)</f>
        <v>0</v>
      </c>
      <c r="T7515" s="69"/>
      <c r="U7515" s="69"/>
    </row>
    <row r="7516" spans="19:21" ht="15" customHeight="1" x14ac:dyDescent="0.2">
      <c r="S7516" s="69">
        <f>_xlfn.XLOOKUP(Results!A7516,Geometry!$B$6:$B$10000,Geometry!$C$6:$C$10000)</f>
        <v>0</v>
      </c>
      <c r="T7516" s="69"/>
      <c r="U7516" s="69"/>
    </row>
    <row r="7517" spans="19:21" ht="15" customHeight="1" x14ac:dyDescent="0.2">
      <c r="S7517" s="69">
        <f>_xlfn.XLOOKUP(Results!A7517,Geometry!$B$6:$B$10000,Geometry!$C$6:$C$10000)</f>
        <v>0</v>
      </c>
      <c r="T7517" s="69"/>
      <c r="U7517" s="69"/>
    </row>
    <row r="7518" spans="19:21" ht="15" customHeight="1" x14ac:dyDescent="0.2">
      <c r="S7518" s="69">
        <f>_xlfn.XLOOKUP(Results!A7518,Geometry!$B$6:$B$10000,Geometry!$C$6:$C$10000)</f>
        <v>0</v>
      </c>
      <c r="T7518" s="69"/>
      <c r="U7518" s="69"/>
    </row>
    <row r="7519" spans="19:21" ht="15" customHeight="1" x14ac:dyDescent="0.2">
      <c r="S7519" s="69">
        <f>_xlfn.XLOOKUP(Results!A7519,Geometry!$B$6:$B$10000,Geometry!$C$6:$C$10000)</f>
        <v>0</v>
      </c>
      <c r="T7519" s="69"/>
      <c r="U7519" s="69"/>
    </row>
    <row r="7520" spans="19:21" ht="15" customHeight="1" x14ac:dyDescent="0.2">
      <c r="S7520" s="69">
        <f>_xlfn.XLOOKUP(Results!A7520,Geometry!$B$6:$B$10000,Geometry!$C$6:$C$10000)</f>
        <v>0</v>
      </c>
      <c r="T7520" s="69"/>
      <c r="U7520" s="69"/>
    </row>
    <row r="7521" spans="19:21" ht="15" customHeight="1" x14ac:dyDescent="0.2">
      <c r="S7521" s="69">
        <f>_xlfn.XLOOKUP(Results!A7521,Geometry!$B$6:$B$10000,Geometry!$C$6:$C$10000)</f>
        <v>0</v>
      </c>
      <c r="T7521" s="69"/>
      <c r="U7521" s="69"/>
    </row>
    <row r="7522" spans="19:21" ht="15" customHeight="1" x14ac:dyDescent="0.2">
      <c r="S7522" s="69">
        <f>_xlfn.XLOOKUP(Results!A7522,Geometry!$B$6:$B$10000,Geometry!$C$6:$C$10000)</f>
        <v>0</v>
      </c>
      <c r="T7522" s="69"/>
      <c r="U7522" s="69"/>
    </row>
    <row r="7523" spans="19:21" ht="15" customHeight="1" x14ac:dyDescent="0.2">
      <c r="S7523" s="69">
        <f>_xlfn.XLOOKUP(Results!A7523,Geometry!$B$6:$B$10000,Geometry!$C$6:$C$10000)</f>
        <v>0</v>
      </c>
      <c r="T7523" s="69"/>
      <c r="U7523" s="69"/>
    </row>
    <row r="7524" spans="19:21" ht="15" customHeight="1" x14ac:dyDescent="0.2">
      <c r="S7524" s="69">
        <f>_xlfn.XLOOKUP(Results!A7524,Geometry!$B$6:$B$10000,Geometry!$C$6:$C$10000)</f>
        <v>0</v>
      </c>
      <c r="T7524" s="69"/>
      <c r="U7524" s="69"/>
    </row>
    <row r="7525" spans="19:21" ht="15" customHeight="1" x14ac:dyDescent="0.2">
      <c r="S7525" s="69">
        <f>_xlfn.XLOOKUP(Results!A7525,Geometry!$B$6:$B$10000,Geometry!$C$6:$C$10000)</f>
        <v>0</v>
      </c>
      <c r="T7525" s="69"/>
      <c r="U7525" s="69"/>
    </row>
    <row r="7526" spans="19:21" ht="15" customHeight="1" x14ac:dyDescent="0.2">
      <c r="S7526" s="69">
        <f>_xlfn.XLOOKUP(Results!A7526,Geometry!$B$6:$B$10000,Geometry!$C$6:$C$10000)</f>
        <v>0</v>
      </c>
      <c r="T7526" s="69"/>
      <c r="U7526" s="69"/>
    </row>
    <row r="7527" spans="19:21" ht="15" customHeight="1" x14ac:dyDescent="0.2">
      <c r="S7527" s="69">
        <f>_xlfn.XLOOKUP(Results!A7527,Geometry!$B$6:$B$10000,Geometry!$C$6:$C$10000)</f>
        <v>0</v>
      </c>
      <c r="T7527" s="69"/>
      <c r="U7527" s="69"/>
    </row>
    <row r="7528" spans="19:21" ht="15" customHeight="1" x14ac:dyDescent="0.2">
      <c r="S7528" s="69">
        <f>_xlfn.XLOOKUP(Results!A7528,Geometry!$B$6:$B$10000,Geometry!$C$6:$C$10000)</f>
        <v>0</v>
      </c>
      <c r="T7528" s="69"/>
      <c r="U7528" s="69"/>
    </row>
    <row r="7529" spans="19:21" ht="15" customHeight="1" x14ac:dyDescent="0.2">
      <c r="S7529" s="69">
        <f>_xlfn.XLOOKUP(Results!A7529,Geometry!$B$6:$B$10000,Geometry!$C$6:$C$10000)</f>
        <v>0</v>
      </c>
      <c r="T7529" s="69"/>
      <c r="U7529" s="69"/>
    </row>
    <row r="7530" spans="19:21" ht="15" customHeight="1" x14ac:dyDescent="0.2">
      <c r="S7530" s="69">
        <f>_xlfn.XLOOKUP(Results!A7530,Geometry!$B$6:$B$10000,Geometry!$C$6:$C$10000)</f>
        <v>0</v>
      </c>
      <c r="T7530" s="69"/>
      <c r="U7530" s="69"/>
    </row>
    <row r="7531" spans="19:21" ht="15" customHeight="1" x14ac:dyDescent="0.2">
      <c r="S7531" s="69">
        <f>_xlfn.XLOOKUP(Results!A7531,Geometry!$B$6:$B$10000,Geometry!$C$6:$C$10000)</f>
        <v>0</v>
      </c>
      <c r="T7531" s="69"/>
      <c r="U7531" s="69"/>
    </row>
    <row r="7532" spans="19:21" ht="15" customHeight="1" x14ac:dyDescent="0.2">
      <c r="S7532" s="69">
        <f>_xlfn.XLOOKUP(Results!A7532,Geometry!$B$6:$B$10000,Geometry!$C$6:$C$10000)</f>
        <v>0</v>
      </c>
      <c r="T7532" s="69"/>
      <c r="U7532" s="69"/>
    </row>
    <row r="7533" spans="19:21" ht="15" customHeight="1" x14ac:dyDescent="0.2">
      <c r="S7533" s="69">
        <f>_xlfn.XLOOKUP(Results!A7533,Geometry!$B$6:$B$10000,Geometry!$C$6:$C$10000)</f>
        <v>0</v>
      </c>
      <c r="T7533" s="69"/>
      <c r="U7533" s="69"/>
    </row>
    <row r="7534" spans="19:21" ht="15" customHeight="1" x14ac:dyDescent="0.2">
      <c r="S7534" s="69">
        <f>_xlfn.XLOOKUP(Results!A7534,Geometry!$B$6:$B$10000,Geometry!$C$6:$C$10000)</f>
        <v>0</v>
      </c>
      <c r="T7534" s="69"/>
      <c r="U7534" s="69"/>
    </row>
    <row r="7535" spans="19:21" ht="15" customHeight="1" x14ac:dyDescent="0.2">
      <c r="S7535" s="69">
        <f>_xlfn.XLOOKUP(Results!A7535,Geometry!$B$6:$B$10000,Geometry!$C$6:$C$10000)</f>
        <v>0</v>
      </c>
      <c r="T7535" s="69"/>
      <c r="U7535" s="69"/>
    </row>
    <row r="7536" spans="19:21" ht="15" customHeight="1" x14ac:dyDescent="0.2">
      <c r="S7536" s="69">
        <f>_xlfn.XLOOKUP(Results!A7536,Geometry!$B$6:$B$10000,Geometry!$C$6:$C$10000)</f>
        <v>0</v>
      </c>
      <c r="T7536" s="69"/>
      <c r="U7536" s="69"/>
    </row>
    <row r="7537" spans="19:21" ht="15" customHeight="1" x14ac:dyDescent="0.2">
      <c r="S7537" s="69">
        <f>_xlfn.XLOOKUP(Results!A7537,Geometry!$B$6:$B$10000,Geometry!$C$6:$C$10000)</f>
        <v>0</v>
      </c>
      <c r="T7537" s="69"/>
      <c r="U7537" s="69"/>
    </row>
    <row r="7538" spans="19:21" ht="15" customHeight="1" x14ac:dyDescent="0.2">
      <c r="S7538" s="69">
        <f>_xlfn.XLOOKUP(Results!A7538,Geometry!$B$6:$B$10000,Geometry!$C$6:$C$10000)</f>
        <v>0</v>
      </c>
      <c r="T7538" s="69"/>
      <c r="U7538" s="69"/>
    </row>
    <row r="7539" spans="19:21" ht="15" customHeight="1" x14ac:dyDescent="0.2">
      <c r="S7539" s="69">
        <f>_xlfn.XLOOKUP(Results!A7539,Geometry!$B$6:$B$10000,Geometry!$C$6:$C$10000)</f>
        <v>0</v>
      </c>
      <c r="T7539" s="69"/>
      <c r="U7539" s="69"/>
    </row>
    <row r="7540" spans="19:21" ht="15" customHeight="1" x14ac:dyDescent="0.2">
      <c r="S7540" s="69">
        <f>_xlfn.XLOOKUP(Results!A7540,Geometry!$B$6:$B$10000,Geometry!$C$6:$C$10000)</f>
        <v>0</v>
      </c>
      <c r="T7540" s="69"/>
      <c r="U7540" s="69"/>
    </row>
    <row r="7541" spans="19:21" ht="15" customHeight="1" x14ac:dyDescent="0.2">
      <c r="S7541" s="69">
        <f>_xlfn.XLOOKUP(Results!A7541,Geometry!$B$6:$B$10000,Geometry!$C$6:$C$10000)</f>
        <v>0</v>
      </c>
      <c r="T7541" s="69"/>
      <c r="U7541" s="69"/>
    </row>
    <row r="7542" spans="19:21" ht="15" customHeight="1" x14ac:dyDescent="0.2">
      <c r="S7542" s="69">
        <f>_xlfn.XLOOKUP(Results!A7542,Geometry!$B$6:$B$10000,Geometry!$C$6:$C$10000)</f>
        <v>0</v>
      </c>
      <c r="T7542" s="69"/>
      <c r="U7542" s="69"/>
    </row>
    <row r="7543" spans="19:21" ht="15" customHeight="1" x14ac:dyDescent="0.2">
      <c r="S7543" s="69">
        <f>_xlfn.XLOOKUP(Results!A7543,Geometry!$B$6:$B$10000,Geometry!$C$6:$C$10000)</f>
        <v>0</v>
      </c>
      <c r="T7543" s="69"/>
      <c r="U7543" s="69"/>
    </row>
    <row r="7544" spans="19:21" ht="15" customHeight="1" x14ac:dyDescent="0.2">
      <c r="S7544" s="69">
        <f>_xlfn.XLOOKUP(Results!A7544,Geometry!$B$6:$B$10000,Geometry!$C$6:$C$10000)</f>
        <v>0</v>
      </c>
      <c r="T7544" s="69"/>
      <c r="U7544" s="69"/>
    </row>
    <row r="7545" spans="19:21" ht="15" customHeight="1" x14ac:dyDescent="0.2">
      <c r="S7545" s="69">
        <f>_xlfn.XLOOKUP(Results!A7545,Geometry!$B$6:$B$10000,Geometry!$C$6:$C$10000)</f>
        <v>0</v>
      </c>
      <c r="T7545" s="69"/>
      <c r="U7545" s="69"/>
    </row>
    <row r="7546" spans="19:21" ht="15" customHeight="1" x14ac:dyDescent="0.2">
      <c r="S7546" s="69">
        <f>_xlfn.XLOOKUP(Results!A7546,Geometry!$B$6:$B$10000,Geometry!$C$6:$C$10000)</f>
        <v>0</v>
      </c>
      <c r="T7546" s="69"/>
      <c r="U7546" s="69"/>
    </row>
    <row r="7547" spans="19:21" ht="15" customHeight="1" x14ac:dyDescent="0.2">
      <c r="S7547" s="69">
        <f>_xlfn.XLOOKUP(Results!A7547,Geometry!$B$6:$B$10000,Geometry!$C$6:$C$10000)</f>
        <v>0</v>
      </c>
      <c r="T7547" s="69"/>
      <c r="U7547" s="69"/>
    </row>
    <row r="7548" spans="19:21" ht="15" customHeight="1" x14ac:dyDescent="0.2">
      <c r="S7548" s="69">
        <f>_xlfn.XLOOKUP(Results!A7548,Geometry!$B$6:$B$10000,Geometry!$C$6:$C$10000)</f>
        <v>0</v>
      </c>
      <c r="T7548" s="69"/>
      <c r="U7548" s="69"/>
    </row>
    <row r="7549" spans="19:21" ht="15" customHeight="1" x14ac:dyDescent="0.2">
      <c r="S7549" s="69">
        <f>_xlfn.XLOOKUP(Results!A7549,Geometry!$B$6:$B$10000,Geometry!$C$6:$C$10000)</f>
        <v>0</v>
      </c>
      <c r="T7549" s="69"/>
      <c r="U7549" s="69"/>
    </row>
    <row r="7550" spans="19:21" ht="15" customHeight="1" x14ac:dyDescent="0.2">
      <c r="S7550" s="69">
        <f>_xlfn.XLOOKUP(Results!A7550,Geometry!$B$6:$B$10000,Geometry!$C$6:$C$10000)</f>
        <v>0</v>
      </c>
      <c r="T7550" s="69"/>
      <c r="U7550" s="69"/>
    </row>
    <row r="7551" spans="19:21" ht="15" customHeight="1" x14ac:dyDescent="0.2">
      <c r="S7551" s="69">
        <f>_xlfn.XLOOKUP(Results!A7551,Geometry!$B$6:$B$10000,Geometry!$C$6:$C$10000)</f>
        <v>0</v>
      </c>
      <c r="T7551" s="69"/>
      <c r="U7551" s="69"/>
    </row>
    <row r="7552" spans="19:21" ht="15" customHeight="1" x14ac:dyDescent="0.2">
      <c r="S7552" s="69">
        <f>_xlfn.XLOOKUP(Results!A7552,Geometry!$B$6:$B$10000,Geometry!$C$6:$C$10000)</f>
        <v>0</v>
      </c>
      <c r="T7552" s="69"/>
      <c r="U7552" s="69"/>
    </row>
    <row r="7553" spans="19:21" ht="15" customHeight="1" x14ac:dyDescent="0.2">
      <c r="S7553" s="69">
        <f>_xlfn.XLOOKUP(Results!A7553,Geometry!$B$6:$B$10000,Geometry!$C$6:$C$10000)</f>
        <v>0</v>
      </c>
      <c r="T7553" s="69"/>
      <c r="U7553" s="69"/>
    </row>
    <row r="7554" spans="19:21" ht="15" customHeight="1" x14ac:dyDescent="0.2">
      <c r="S7554" s="69">
        <f>_xlfn.XLOOKUP(Results!A7554,Geometry!$B$6:$B$10000,Geometry!$C$6:$C$10000)</f>
        <v>0</v>
      </c>
      <c r="T7554" s="69"/>
      <c r="U7554" s="69"/>
    </row>
    <row r="7555" spans="19:21" ht="15" customHeight="1" x14ac:dyDescent="0.2">
      <c r="S7555" s="69">
        <f>_xlfn.XLOOKUP(Results!A7555,Geometry!$B$6:$B$10000,Geometry!$C$6:$C$10000)</f>
        <v>0</v>
      </c>
      <c r="T7555" s="69"/>
      <c r="U7555" s="69"/>
    </row>
    <row r="7556" spans="19:21" ht="15" customHeight="1" x14ac:dyDescent="0.2">
      <c r="S7556" s="69">
        <f>_xlfn.XLOOKUP(Results!A7556,Geometry!$B$6:$B$10000,Geometry!$C$6:$C$10000)</f>
        <v>0</v>
      </c>
      <c r="T7556" s="69"/>
      <c r="U7556" s="69"/>
    </row>
    <row r="7557" spans="19:21" ht="15" customHeight="1" x14ac:dyDescent="0.2">
      <c r="S7557" s="69">
        <f>_xlfn.XLOOKUP(Results!A7557,Geometry!$B$6:$B$10000,Geometry!$C$6:$C$10000)</f>
        <v>0</v>
      </c>
      <c r="T7557" s="69"/>
      <c r="U7557" s="69"/>
    </row>
    <row r="7558" spans="19:21" ht="15" customHeight="1" x14ac:dyDescent="0.2">
      <c r="S7558" s="69">
        <f>_xlfn.XLOOKUP(Results!A7558,Geometry!$B$6:$B$10000,Geometry!$C$6:$C$10000)</f>
        <v>0</v>
      </c>
      <c r="T7558" s="69"/>
      <c r="U7558" s="69"/>
    </row>
    <row r="7559" spans="19:21" ht="15" customHeight="1" x14ac:dyDescent="0.2">
      <c r="S7559" s="69">
        <f>_xlfn.XLOOKUP(Results!A7559,Geometry!$B$6:$B$10000,Geometry!$C$6:$C$10000)</f>
        <v>0</v>
      </c>
      <c r="T7559" s="69"/>
      <c r="U7559" s="69"/>
    </row>
    <row r="7560" spans="19:21" ht="15" customHeight="1" x14ac:dyDescent="0.2">
      <c r="S7560" s="69">
        <f>_xlfn.XLOOKUP(Results!A7560,Geometry!$B$6:$B$10000,Geometry!$C$6:$C$10000)</f>
        <v>0</v>
      </c>
      <c r="T7560" s="69"/>
      <c r="U7560" s="69"/>
    </row>
    <row r="7561" spans="19:21" ht="15" customHeight="1" x14ac:dyDescent="0.2">
      <c r="S7561" s="69">
        <f>_xlfn.XLOOKUP(Results!A7561,Geometry!$B$6:$B$10000,Geometry!$C$6:$C$10000)</f>
        <v>0</v>
      </c>
      <c r="T7561" s="69"/>
      <c r="U7561" s="69"/>
    </row>
    <row r="7562" spans="19:21" ht="15" customHeight="1" x14ac:dyDescent="0.2">
      <c r="S7562" s="69">
        <f>_xlfn.XLOOKUP(Results!A7562,Geometry!$B$6:$B$10000,Geometry!$C$6:$C$10000)</f>
        <v>0</v>
      </c>
      <c r="T7562" s="69"/>
      <c r="U7562" s="69"/>
    </row>
    <row r="7563" spans="19:21" ht="15" customHeight="1" x14ac:dyDescent="0.2">
      <c r="S7563" s="69">
        <f>_xlfn.XLOOKUP(Results!A7563,Geometry!$B$6:$B$10000,Geometry!$C$6:$C$10000)</f>
        <v>0</v>
      </c>
      <c r="T7563" s="69"/>
      <c r="U7563" s="69"/>
    </row>
    <row r="7564" spans="19:21" ht="15" customHeight="1" x14ac:dyDescent="0.2">
      <c r="S7564" s="69">
        <f>_xlfn.XLOOKUP(Results!A7564,Geometry!$B$6:$B$10000,Geometry!$C$6:$C$10000)</f>
        <v>0</v>
      </c>
      <c r="T7564" s="69"/>
      <c r="U7564" s="69"/>
    </row>
    <row r="7565" spans="19:21" ht="15" customHeight="1" x14ac:dyDescent="0.2">
      <c r="S7565" s="69">
        <f>_xlfn.XLOOKUP(Results!A7565,Geometry!$B$6:$B$10000,Geometry!$C$6:$C$10000)</f>
        <v>0</v>
      </c>
      <c r="T7565" s="69"/>
      <c r="U7565" s="69"/>
    </row>
    <row r="7566" spans="19:21" ht="15" customHeight="1" x14ac:dyDescent="0.2">
      <c r="S7566" s="69">
        <f>_xlfn.XLOOKUP(Results!A7566,Geometry!$B$6:$B$10000,Geometry!$C$6:$C$10000)</f>
        <v>0</v>
      </c>
      <c r="T7566" s="69"/>
      <c r="U7566" s="69"/>
    </row>
    <row r="7567" spans="19:21" ht="15" customHeight="1" x14ac:dyDescent="0.2">
      <c r="S7567" s="69">
        <f>_xlfn.XLOOKUP(Results!A7567,Geometry!$B$6:$B$10000,Geometry!$C$6:$C$10000)</f>
        <v>0</v>
      </c>
      <c r="T7567" s="69"/>
      <c r="U7567" s="69"/>
    </row>
    <row r="7568" spans="19:21" ht="15" customHeight="1" x14ac:dyDescent="0.2">
      <c r="S7568" s="69">
        <f>_xlfn.XLOOKUP(Results!A7568,Geometry!$B$6:$B$10000,Geometry!$C$6:$C$10000)</f>
        <v>0</v>
      </c>
      <c r="T7568" s="69"/>
      <c r="U7568" s="69"/>
    </row>
    <row r="7569" spans="19:21" ht="15" customHeight="1" x14ac:dyDescent="0.2">
      <c r="S7569" s="69">
        <f>_xlfn.XLOOKUP(Results!A7569,Geometry!$B$6:$B$10000,Geometry!$C$6:$C$10000)</f>
        <v>0</v>
      </c>
      <c r="T7569" s="69"/>
      <c r="U7569" s="69"/>
    </row>
    <row r="7570" spans="19:21" ht="15" customHeight="1" x14ac:dyDescent="0.2">
      <c r="S7570" s="69">
        <f>_xlfn.XLOOKUP(Results!A7570,Geometry!$B$6:$B$10000,Geometry!$C$6:$C$10000)</f>
        <v>0</v>
      </c>
      <c r="T7570" s="69"/>
      <c r="U7570" s="69"/>
    </row>
    <row r="7571" spans="19:21" ht="15" customHeight="1" x14ac:dyDescent="0.2">
      <c r="S7571" s="69">
        <f>_xlfn.XLOOKUP(Results!A7571,Geometry!$B$6:$B$10000,Geometry!$C$6:$C$10000)</f>
        <v>0</v>
      </c>
      <c r="T7571" s="69"/>
      <c r="U7571" s="69"/>
    </row>
    <row r="7572" spans="19:21" ht="15" customHeight="1" x14ac:dyDescent="0.2">
      <c r="S7572" s="69">
        <f>_xlfn.XLOOKUP(Results!A7572,Geometry!$B$6:$B$10000,Geometry!$C$6:$C$10000)</f>
        <v>0</v>
      </c>
      <c r="T7572" s="69"/>
      <c r="U7572" s="69"/>
    </row>
    <row r="7573" spans="19:21" ht="15" customHeight="1" x14ac:dyDescent="0.2">
      <c r="S7573" s="69">
        <f>_xlfn.XLOOKUP(Results!A7573,Geometry!$B$6:$B$10000,Geometry!$C$6:$C$10000)</f>
        <v>0</v>
      </c>
      <c r="T7573" s="69"/>
      <c r="U7573" s="69"/>
    </row>
    <row r="7574" spans="19:21" ht="15" customHeight="1" x14ac:dyDescent="0.2">
      <c r="S7574" s="69">
        <f>_xlfn.XLOOKUP(Results!A7574,Geometry!$B$6:$B$10000,Geometry!$C$6:$C$10000)</f>
        <v>0</v>
      </c>
      <c r="T7574" s="69"/>
      <c r="U7574" s="69"/>
    </row>
    <row r="7575" spans="19:21" ht="15" customHeight="1" x14ac:dyDescent="0.2">
      <c r="S7575" s="69">
        <f>_xlfn.XLOOKUP(Results!A7575,Geometry!$B$6:$B$10000,Geometry!$C$6:$C$10000)</f>
        <v>0</v>
      </c>
      <c r="T7575" s="69"/>
      <c r="U7575" s="69"/>
    </row>
    <row r="7576" spans="19:21" ht="15" customHeight="1" x14ac:dyDescent="0.2">
      <c r="S7576" s="69">
        <f>_xlfn.XLOOKUP(Results!A7576,Geometry!$B$6:$B$10000,Geometry!$C$6:$C$10000)</f>
        <v>0</v>
      </c>
      <c r="T7576" s="69"/>
      <c r="U7576" s="69"/>
    </row>
    <row r="7577" spans="19:21" ht="15" customHeight="1" x14ac:dyDescent="0.2">
      <c r="S7577" s="69">
        <f>_xlfn.XLOOKUP(Results!A7577,Geometry!$B$6:$B$10000,Geometry!$C$6:$C$10000)</f>
        <v>0</v>
      </c>
      <c r="T7577" s="69"/>
      <c r="U7577" s="69"/>
    </row>
    <row r="7578" spans="19:21" ht="15" customHeight="1" x14ac:dyDescent="0.2">
      <c r="S7578" s="69">
        <f>_xlfn.XLOOKUP(Results!A7578,Geometry!$B$6:$B$10000,Geometry!$C$6:$C$10000)</f>
        <v>0</v>
      </c>
      <c r="T7578" s="69"/>
      <c r="U7578" s="69"/>
    </row>
    <row r="7579" spans="19:21" ht="15" customHeight="1" x14ac:dyDescent="0.2">
      <c r="S7579" s="69">
        <f>_xlfn.XLOOKUP(Results!A7579,Geometry!$B$6:$B$10000,Geometry!$C$6:$C$10000)</f>
        <v>0</v>
      </c>
      <c r="T7579" s="69"/>
      <c r="U7579" s="69"/>
    </row>
    <row r="7580" spans="19:21" ht="15" customHeight="1" x14ac:dyDescent="0.2">
      <c r="S7580" s="69">
        <f>_xlfn.XLOOKUP(Results!A7580,Geometry!$B$6:$B$10000,Geometry!$C$6:$C$10000)</f>
        <v>0</v>
      </c>
      <c r="T7580" s="69"/>
      <c r="U7580" s="69"/>
    </row>
    <row r="7581" spans="19:21" ht="15" customHeight="1" x14ac:dyDescent="0.2">
      <c r="S7581" s="69">
        <f>_xlfn.XLOOKUP(Results!A7581,Geometry!$B$6:$B$10000,Geometry!$C$6:$C$10000)</f>
        <v>0</v>
      </c>
      <c r="T7581" s="69"/>
      <c r="U7581" s="69"/>
    </row>
    <row r="7582" spans="19:21" ht="15" customHeight="1" x14ac:dyDescent="0.2">
      <c r="S7582" s="69">
        <f>_xlfn.XLOOKUP(Results!A7582,Geometry!$B$6:$B$10000,Geometry!$C$6:$C$10000)</f>
        <v>0</v>
      </c>
      <c r="T7582" s="69"/>
      <c r="U7582" s="69"/>
    </row>
    <row r="7583" spans="19:21" ht="15" customHeight="1" x14ac:dyDescent="0.2">
      <c r="S7583" s="69">
        <f>_xlfn.XLOOKUP(Results!A7583,Geometry!$B$6:$B$10000,Geometry!$C$6:$C$10000)</f>
        <v>0</v>
      </c>
      <c r="T7583" s="69"/>
      <c r="U7583" s="69"/>
    </row>
    <row r="7584" spans="19:21" ht="15" customHeight="1" x14ac:dyDescent="0.2">
      <c r="S7584" s="69">
        <f>_xlfn.XLOOKUP(Results!A7584,Geometry!$B$6:$B$10000,Geometry!$C$6:$C$10000)</f>
        <v>0</v>
      </c>
      <c r="T7584" s="69"/>
      <c r="U7584" s="69"/>
    </row>
    <row r="7585" spans="19:21" ht="15" customHeight="1" x14ac:dyDescent="0.2">
      <c r="S7585" s="69">
        <f>_xlfn.XLOOKUP(Results!A7585,Geometry!$B$6:$B$10000,Geometry!$C$6:$C$10000)</f>
        <v>0</v>
      </c>
      <c r="T7585" s="69"/>
      <c r="U7585" s="69"/>
    </row>
    <row r="7586" spans="19:21" ht="15" customHeight="1" x14ac:dyDescent="0.2">
      <c r="S7586" s="69">
        <f>_xlfn.XLOOKUP(Results!A7586,Geometry!$B$6:$B$10000,Geometry!$C$6:$C$10000)</f>
        <v>0</v>
      </c>
      <c r="T7586" s="69"/>
      <c r="U7586" s="69"/>
    </row>
    <row r="7587" spans="19:21" ht="15" customHeight="1" x14ac:dyDescent="0.2">
      <c r="S7587" s="69">
        <f>_xlfn.XLOOKUP(Results!A7587,Geometry!$B$6:$B$10000,Geometry!$C$6:$C$10000)</f>
        <v>0</v>
      </c>
      <c r="T7587" s="69"/>
      <c r="U7587" s="69"/>
    </row>
    <row r="7588" spans="19:21" ht="15" customHeight="1" x14ac:dyDescent="0.2">
      <c r="S7588" s="69">
        <f>_xlfn.XLOOKUP(Results!A7588,Geometry!$B$6:$B$10000,Geometry!$C$6:$C$10000)</f>
        <v>0</v>
      </c>
      <c r="T7588" s="69"/>
      <c r="U7588" s="69"/>
    </row>
    <row r="7589" spans="19:21" ht="15" customHeight="1" x14ac:dyDescent="0.2">
      <c r="S7589" s="69">
        <f>_xlfn.XLOOKUP(Results!A7589,Geometry!$B$6:$B$10000,Geometry!$C$6:$C$10000)</f>
        <v>0</v>
      </c>
      <c r="T7589" s="69"/>
      <c r="U7589" s="69"/>
    </row>
    <row r="7590" spans="19:21" ht="15" customHeight="1" x14ac:dyDescent="0.2">
      <c r="S7590" s="69">
        <f>_xlfn.XLOOKUP(Results!A7590,Geometry!$B$6:$B$10000,Geometry!$C$6:$C$10000)</f>
        <v>0</v>
      </c>
      <c r="T7590" s="69"/>
      <c r="U7590" s="69"/>
    </row>
    <row r="7591" spans="19:21" ht="15" customHeight="1" x14ac:dyDescent="0.2">
      <c r="S7591" s="69">
        <f>_xlfn.XLOOKUP(Results!A7591,Geometry!$B$6:$B$10000,Geometry!$C$6:$C$10000)</f>
        <v>0</v>
      </c>
      <c r="T7591" s="69"/>
      <c r="U7591" s="69"/>
    </row>
    <row r="7592" spans="19:21" ht="15" customHeight="1" x14ac:dyDescent="0.2">
      <c r="S7592" s="69">
        <f>_xlfn.XLOOKUP(Results!A7592,Geometry!$B$6:$B$10000,Geometry!$C$6:$C$10000)</f>
        <v>0</v>
      </c>
      <c r="T7592" s="69"/>
      <c r="U7592" s="69"/>
    </row>
    <row r="7593" spans="19:21" ht="15" customHeight="1" x14ac:dyDescent="0.2">
      <c r="S7593" s="69">
        <f>_xlfn.XLOOKUP(Results!A7593,Geometry!$B$6:$B$10000,Geometry!$C$6:$C$10000)</f>
        <v>0</v>
      </c>
      <c r="T7593" s="69"/>
      <c r="U7593" s="69"/>
    </row>
    <row r="7594" spans="19:21" ht="15" customHeight="1" x14ac:dyDescent="0.2">
      <c r="S7594" s="69">
        <f>_xlfn.XLOOKUP(Results!A7594,Geometry!$B$6:$B$10000,Geometry!$C$6:$C$10000)</f>
        <v>0</v>
      </c>
      <c r="T7594" s="69"/>
      <c r="U7594" s="69"/>
    </row>
    <row r="7595" spans="19:21" ht="15" customHeight="1" x14ac:dyDescent="0.2">
      <c r="S7595" s="69">
        <f>_xlfn.XLOOKUP(Results!A7595,Geometry!$B$6:$B$10000,Geometry!$C$6:$C$10000)</f>
        <v>0</v>
      </c>
      <c r="T7595" s="69"/>
      <c r="U7595" s="69"/>
    </row>
    <row r="7596" spans="19:21" ht="15" customHeight="1" x14ac:dyDescent="0.2">
      <c r="S7596" s="69">
        <f>_xlfn.XLOOKUP(Results!A7596,Geometry!$B$6:$B$10000,Geometry!$C$6:$C$10000)</f>
        <v>0</v>
      </c>
      <c r="T7596" s="69"/>
      <c r="U7596" s="69"/>
    </row>
    <row r="7597" spans="19:21" ht="15" customHeight="1" x14ac:dyDescent="0.2">
      <c r="S7597" s="69">
        <f>_xlfn.XLOOKUP(Results!A7597,Geometry!$B$6:$B$10000,Geometry!$C$6:$C$10000)</f>
        <v>0</v>
      </c>
      <c r="T7597" s="69"/>
      <c r="U7597" s="69"/>
    </row>
    <row r="7598" spans="19:21" ht="15" customHeight="1" x14ac:dyDescent="0.2">
      <c r="S7598" s="69">
        <f>_xlfn.XLOOKUP(Results!A7598,Geometry!$B$6:$B$10000,Geometry!$C$6:$C$10000)</f>
        <v>0</v>
      </c>
      <c r="T7598" s="69"/>
      <c r="U7598" s="69"/>
    </row>
    <row r="7599" spans="19:21" ht="15" customHeight="1" x14ac:dyDescent="0.2">
      <c r="S7599" s="69">
        <f>_xlfn.XLOOKUP(Results!A7599,Geometry!$B$6:$B$10000,Geometry!$C$6:$C$10000)</f>
        <v>0</v>
      </c>
      <c r="T7599" s="69"/>
      <c r="U7599" s="69"/>
    </row>
    <row r="7600" spans="19:21" ht="15" customHeight="1" x14ac:dyDescent="0.2">
      <c r="S7600" s="69">
        <f>_xlfn.XLOOKUP(Results!A7600,Geometry!$B$6:$B$10000,Geometry!$C$6:$C$10000)</f>
        <v>0</v>
      </c>
      <c r="T7600" s="69"/>
      <c r="U7600" s="69"/>
    </row>
    <row r="7601" spans="19:21" ht="15" customHeight="1" x14ac:dyDescent="0.2">
      <c r="S7601" s="69">
        <f>_xlfn.XLOOKUP(Results!A7601,Geometry!$B$6:$B$10000,Geometry!$C$6:$C$10000)</f>
        <v>0</v>
      </c>
      <c r="T7601" s="69"/>
      <c r="U7601" s="69"/>
    </row>
    <row r="7602" spans="19:21" ht="15" customHeight="1" x14ac:dyDescent="0.2">
      <c r="S7602" s="69">
        <f>_xlfn.XLOOKUP(Results!A7602,Geometry!$B$6:$B$10000,Geometry!$C$6:$C$10000)</f>
        <v>0</v>
      </c>
      <c r="T7602" s="69"/>
      <c r="U7602" s="69"/>
    </row>
    <row r="7603" spans="19:21" ht="15" customHeight="1" x14ac:dyDescent="0.2">
      <c r="S7603" s="69">
        <f>_xlfn.XLOOKUP(Results!A7603,Geometry!$B$6:$B$10000,Geometry!$C$6:$C$10000)</f>
        <v>0</v>
      </c>
      <c r="T7603" s="69"/>
      <c r="U7603" s="69"/>
    </row>
    <row r="7604" spans="19:21" ht="15" customHeight="1" x14ac:dyDescent="0.2">
      <c r="S7604" s="69">
        <f>_xlfn.XLOOKUP(Results!A7604,Geometry!$B$6:$B$10000,Geometry!$C$6:$C$10000)</f>
        <v>0</v>
      </c>
      <c r="T7604" s="69"/>
      <c r="U7604" s="69"/>
    </row>
    <row r="7605" spans="19:21" ht="15" customHeight="1" x14ac:dyDescent="0.2">
      <c r="S7605" s="69">
        <f>_xlfn.XLOOKUP(Results!A7605,Geometry!$B$6:$B$10000,Geometry!$C$6:$C$10000)</f>
        <v>0</v>
      </c>
      <c r="T7605" s="69"/>
      <c r="U7605" s="69"/>
    </row>
    <row r="7606" spans="19:21" ht="15" customHeight="1" x14ac:dyDescent="0.2">
      <c r="S7606" s="69">
        <f>_xlfn.XLOOKUP(Results!A7606,Geometry!$B$6:$B$10000,Geometry!$C$6:$C$10000)</f>
        <v>0</v>
      </c>
      <c r="T7606" s="69"/>
      <c r="U7606" s="69"/>
    </row>
    <row r="7607" spans="19:21" ht="15" customHeight="1" x14ac:dyDescent="0.2">
      <c r="S7607" s="69">
        <f>_xlfn.XLOOKUP(Results!A7607,Geometry!$B$6:$B$10000,Geometry!$C$6:$C$10000)</f>
        <v>0</v>
      </c>
      <c r="T7607" s="69"/>
      <c r="U7607" s="69"/>
    </row>
    <row r="7608" spans="19:21" ht="15" customHeight="1" x14ac:dyDescent="0.2">
      <c r="S7608" s="69">
        <f>_xlfn.XLOOKUP(Results!A7608,Geometry!$B$6:$B$10000,Geometry!$C$6:$C$10000)</f>
        <v>0</v>
      </c>
      <c r="T7608" s="69"/>
      <c r="U7608" s="69"/>
    </row>
    <row r="7609" spans="19:21" ht="15" customHeight="1" x14ac:dyDescent="0.2">
      <c r="S7609" s="69">
        <f>_xlfn.XLOOKUP(Results!A7609,Geometry!$B$6:$B$10000,Geometry!$C$6:$C$10000)</f>
        <v>0</v>
      </c>
      <c r="T7609" s="69"/>
      <c r="U7609" s="69"/>
    </row>
    <row r="7610" spans="19:21" ht="15" customHeight="1" x14ac:dyDescent="0.2">
      <c r="S7610" s="69">
        <f>_xlfn.XLOOKUP(Results!A7610,Geometry!$B$6:$B$10000,Geometry!$C$6:$C$10000)</f>
        <v>0</v>
      </c>
      <c r="T7610" s="69"/>
      <c r="U7610" s="69"/>
    </row>
    <row r="7611" spans="19:21" ht="15" customHeight="1" x14ac:dyDescent="0.2">
      <c r="S7611" s="69">
        <f>_xlfn.XLOOKUP(Results!A7611,Geometry!$B$6:$B$10000,Geometry!$C$6:$C$10000)</f>
        <v>0</v>
      </c>
      <c r="T7611" s="69"/>
      <c r="U7611" s="69"/>
    </row>
    <row r="7612" spans="19:21" ht="15" customHeight="1" x14ac:dyDescent="0.2">
      <c r="S7612" s="69">
        <f>_xlfn.XLOOKUP(Results!A7612,Geometry!$B$6:$B$10000,Geometry!$C$6:$C$10000)</f>
        <v>0</v>
      </c>
      <c r="T7612" s="69"/>
      <c r="U7612" s="69"/>
    </row>
    <row r="7613" spans="19:21" ht="15" customHeight="1" x14ac:dyDescent="0.2">
      <c r="S7613" s="69">
        <f>_xlfn.XLOOKUP(Results!A7613,Geometry!$B$6:$B$10000,Geometry!$C$6:$C$10000)</f>
        <v>0</v>
      </c>
      <c r="T7613" s="69"/>
      <c r="U7613" s="69"/>
    </row>
    <row r="7614" spans="19:21" ht="15" customHeight="1" x14ac:dyDescent="0.2">
      <c r="S7614" s="69">
        <f>_xlfn.XLOOKUP(Results!A7614,Geometry!$B$6:$B$10000,Geometry!$C$6:$C$10000)</f>
        <v>0</v>
      </c>
      <c r="T7614" s="69"/>
      <c r="U7614" s="69"/>
    </row>
    <row r="7615" spans="19:21" ht="15" customHeight="1" x14ac:dyDescent="0.2">
      <c r="S7615" s="69">
        <f>_xlfn.XLOOKUP(Results!A7615,Geometry!$B$6:$B$10000,Geometry!$C$6:$C$10000)</f>
        <v>0</v>
      </c>
      <c r="T7615" s="69"/>
      <c r="U7615" s="69"/>
    </row>
    <row r="7616" spans="19:21" ht="15" customHeight="1" x14ac:dyDescent="0.2">
      <c r="S7616" s="69">
        <f>_xlfn.XLOOKUP(Results!A7616,Geometry!$B$6:$B$10000,Geometry!$C$6:$C$10000)</f>
        <v>0</v>
      </c>
      <c r="T7616" s="69"/>
      <c r="U7616" s="69"/>
    </row>
    <row r="7617" spans="19:21" ht="15" customHeight="1" x14ac:dyDescent="0.2">
      <c r="S7617" s="69">
        <f>_xlfn.XLOOKUP(Results!A7617,Geometry!$B$6:$B$10000,Geometry!$C$6:$C$10000)</f>
        <v>0</v>
      </c>
      <c r="T7617" s="69"/>
      <c r="U7617" s="69"/>
    </row>
    <row r="7618" spans="19:21" ht="15" customHeight="1" x14ac:dyDescent="0.2">
      <c r="S7618" s="69">
        <f>_xlfn.XLOOKUP(Results!A7618,Geometry!$B$6:$B$10000,Geometry!$C$6:$C$10000)</f>
        <v>0</v>
      </c>
      <c r="T7618" s="69"/>
      <c r="U7618" s="69"/>
    </row>
    <row r="7619" spans="19:21" ht="15" customHeight="1" x14ac:dyDescent="0.2">
      <c r="S7619" s="69">
        <f>_xlfn.XLOOKUP(Results!A7619,Geometry!$B$6:$B$10000,Geometry!$C$6:$C$10000)</f>
        <v>0</v>
      </c>
      <c r="T7619" s="69"/>
      <c r="U7619" s="69"/>
    </row>
    <row r="7620" spans="19:21" ht="15" customHeight="1" x14ac:dyDescent="0.2">
      <c r="S7620" s="69">
        <f>_xlfn.XLOOKUP(Results!A7620,Geometry!$B$6:$B$10000,Geometry!$C$6:$C$10000)</f>
        <v>0</v>
      </c>
      <c r="T7620" s="69"/>
      <c r="U7620" s="69"/>
    </row>
    <row r="7621" spans="19:21" ht="15" customHeight="1" x14ac:dyDescent="0.2">
      <c r="S7621" s="69">
        <f>_xlfn.XLOOKUP(Results!A7621,Geometry!$B$6:$B$10000,Geometry!$C$6:$C$10000)</f>
        <v>0</v>
      </c>
      <c r="T7621" s="69"/>
      <c r="U7621" s="69"/>
    </row>
    <row r="7622" spans="19:21" ht="15" customHeight="1" x14ac:dyDescent="0.2">
      <c r="S7622" s="69">
        <f>_xlfn.XLOOKUP(Results!A7622,Geometry!$B$6:$B$10000,Geometry!$C$6:$C$10000)</f>
        <v>0</v>
      </c>
      <c r="T7622" s="69"/>
      <c r="U7622" s="69"/>
    </row>
    <row r="7623" spans="19:21" ht="15" customHeight="1" x14ac:dyDescent="0.2">
      <c r="S7623" s="69">
        <f>_xlfn.XLOOKUP(Results!A7623,Geometry!$B$6:$B$10000,Geometry!$C$6:$C$10000)</f>
        <v>0</v>
      </c>
      <c r="T7623" s="69"/>
      <c r="U7623" s="69"/>
    </row>
    <row r="7624" spans="19:21" ht="15" customHeight="1" x14ac:dyDescent="0.2">
      <c r="S7624" s="69">
        <f>_xlfn.XLOOKUP(Results!A7624,Geometry!$B$6:$B$10000,Geometry!$C$6:$C$10000)</f>
        <v>0</v>
      </c>
      <c r="T7624" s="69"/>
      <c r="U7624" s="69"/>
    </row>
    <row r="7625" spans="19:21" ht="15" customHeight="1" x14ac:dyDescent="0.2">
      <c r="S7625" s="69">
        <f>_xlfn.XLOOKUP(Results!A7625,Geometry!$B$6:$B$10000,Geometry!$C$6:$C$10000)</f>
        <v>0</v>
      </c>
      <c r="T7625" s="69"/>
      <c r="U7625" s="69"/>
    </row>
    <row r="7626" spans="19:21" ht="15" customHeight="1" x14ac:dyDescent="0.2">
      <c r="S7626" s="69">
        <f>_xlfn.XLOOKUP(Results!A7626,Geometry!$B$6:$B$10000,Geometry!$C$6:$C$10000)</f>
        <v>0</v>
      </c>
      <c r="T7626" s="69"/>
      <c r="U7626" s="69"/>
    </row>
    <row r="7627" spans="19:21" ht="15" customHeight="1" x14ac:dyDescent="0.2">
      <c r="S7627" s="69">
        <f>_xlfn.XLOOKUP(Results!A7627,Geometry!$B$6:$B$10000,Geometry!$C$6:$C$10000)</f>
        <v>0</v>
      </c>
      <c r="T7627" s="69"/>
      <c r="U7627" s="69"/>
    </row>
    <row r="7628" spans="19:21" ht="15" customHeight="1" x14ac:dyDescent="0.2">
      <c r="S7628" s="69">
        <f>_xlfn.XLOOKUP(Results!A7628,Geometry!$B$6:$B$10000,Geometry!$C$6:$C$10000)</f>
        <v>0</v>
      </c>
      <c r="T7628" s="69"/>
      <c r="U7628" s="69"/>
    </row>
    <row r="7629" spans="19:21" ht="15" customHeight="1" x14ac:dyDescent="0.2">
      <c r="S7629" s="69">
        <f>_xlfn.XLOOKUP(Results!A7629,Geometry!$B$6:$B$10000,Geometry!$C$6:$C$10000)</f>
        <v>0</v>
      </c>
      <c r="T7629" s="69"/>
      <c r="U7629" s="69"/>
    </row>
    <row r="7630" spans="19:21" ht="15" customHeight="1" x14ac:dyDescent="0.2">
      <c r="S7630" s="69">
        <f>_xlfn.XLOOKUP(Results!A7630,Geometry!$B$6:$B$10000,Geometry!$C$6:$C$10000)</f>
        <v>0</v>
      </c>
      <c r="T7630" s="69"/>
      <c r="U7630" s="69"/>
    </row>
    <row r="7631" spans="19:21" ht="15" customHeight="1" x14ac:dyDescent="0.2">
      <c r="S7631" s="69">
        <f>_xlfn.XLOOKUP(Results!A7631,Geometry!$B$6:$B$10000,Geometry!$C$6:$C$10000)</f>
        <v>0</v>
      </c>
      <c r="T7631" s="69"/>
      <c r="U7631" s="69"/>
    </row>
    <row r="7632" spans="19:21" ht="15" customHeight="1" x14ac:dyDescent="0.2">
      <c r="S7632" s="69">
        <f>_xlfn.XLOOKUP(Results!A7632,Geometry!$B$6:$B$10000,Geometry!$C$6:$C$10000)</f>
        <v>0</v>
      </c>
      <c r="T7632" s="69"/>
      <c r="U7632" s="69"/>
    </row>
    <row r="7633" spans="19:21" ht="15" customHeight="1" x14ac:dyDescent="0.2">
      <c r="S7633" s="69">
        <f>_xlfn.XLOOKUP(Results!A7633,Geometry!$B$6:$B$10000,Geometry!$C$6:$C$10000)</f>
        <v>0</v>
      </c>
      <c r="T7633" s="69"/>
      <c r="U7633" s="69"/>
    </row>
    <row r="7634" spans="19:21" ht="15" customHeight="1" x14ac:dyDescent="0.2">
      <c r="S7634" s="69">
        <f>_xlfn.XLOOKUP(Results!A7634,Geometry!$B$6:$B$10000,Geometry!$C$6:$C$10000)</f>
        <v>0</v>
      </c>
      <c r="T7634" s="69"/>
      <c r="U7634" s="69"/>
    </row>
    <row r="7635" spans="19:21" ht="15" customHeight="1" x14ac:dyDescent="0.2">
      <c r="S7635" s="69">
        <f>_xlfn.XLOOKUP(Results!A7635,Geometry!$B$6:$B$10000,Geometry!$C$6:$C$10000)</f>
        <v>0</v>
      </c>
      <c r="T7635" s="69"/>
      <c r="U7635" s="69"/>
    </row>
    <row r="7636" spans="19:21" ht="15" customHeight="1" x14ac:dyDescent="0.2">
      <c r="S7636" s="69">
        <f>_xlfn.XLOOKUP(Results!A7636,Geometry!$B$6:$B$10000,Geometry!$C$6:$C$10000)</f>
        <v>0</v>
      </c>
      <c r="T7636" s="69"/>
      <c r="U7636" s="69"/>
    </row>
    <row r="7637" spans="19:21" ht="15" customHeight="1" x14ac:dyDescent="0.2">
      <c r="S7637" s="69">
        <f>_xlfn.XLOOKUP(Results!A7637,Geometry!$B$6:$B$10000,Geometry!$C$6:$C$10000)</f>
        <v>0</v>
      </c>
      <c r="T7637" s="69"/>
      <c r="U7637" s="69"/>
    </row>
    <row r="7638" spans="19:21" ht="15" customHeight="1" x14ac:dyDescent="0.2">
      <c r="S7638" s="69">
        <f>_xlfn.XLOOKUP(Results!A7638,Geometry!$B$6:$B$10000,Geometry!$C$6:$C$10000)</f>
        <v>0</v>
      </c>
      <c r="T7638" s="69"/>
      <c r="U7638" s="69"/>
    </row>
    <row r="7639" spans="19:21" ht="15" customHeight="1" x14ac:dyDescent="0.2">
      <c r="S7639" s="69">
        <f>_xlfn.XLOOKUP(Results!A7639,Geometry!$B$6:$B$10000,Geometry!$C$6:$C$10000)</f>
        <v>0</v>
      </c>
      <c r="T7639" s="69"/>
      <c r="U7639" s="69"/>
    </row>
    <row r="7640" spans="19:21" ht="15" customHeight="1" x14ac:dyDescent="0.2">
      <c r="S7640" s="69">
        <f>_xlfn.XLOOKUP(Results!A7640,Geometry!$B$6:$B$10000,Geometry!$C$6:$C$10000)</f>
        <v>0</v>
      </c>
      <c r="T7640" s="69"/>
      <c r="U7640" s="69"/>
    </row>
    <row r="7641" spans="19:21" ht="15" customHeight="1" x14ac:dyDescent="0.2">
      <c r="S7641" s="69">
        <f>_xlfn.XLOOKUP(Results!A7641,Geometry!$B$6:$B$10000,Geometry!$C$6:$C$10000)</f>
        <v>0</v>
      </c>
      <c r="T7641" s="69"/>
      <c r="U7641" s="69"/>
    </row>
    <row r="7642" spans="19:21" ht="15" customHeight="1" x14ac:dyDescent="0.2">
      <c r="S7642" s="69">
        <f>_xlfn.XLOOKUP(Results!A7642,Geometry!$B$6:$B$10000,Geometry!$C$6:$C$10000)</f>
        <v>0</v>
      </c>
      <c r="T7642" s="69"/>
      <c r="U7642" s="69"/>
    </row>
    <row r="7643" spans="19:21" ht="15" customHeight="1" x14ac:dyDescent="0.2">
      <c r="S7643" s="69">
        <f>_xlfn.XLOOKUP(Results!A7643,Geometry!$B$6:$B$10000,Geometry!$C$6:$C$10000)</f>
        <v>0</v>
      </c>
      <c r="T7643" s="69"/>
      <c r="U7643" s="69"/>
    </row>
    <row r="7644" spans="19:21" ht="15" customHeight="1" x14ac:dyDescent="0.2">
      <c r="S7644" s="69">
        <f>_xlfn.XLOOKUP(Results!A7644,Geometry!$B$6:$B$10000,Geometry!$C$6:$C$10000)</f>
        <v>0</v>
      </c>
      <c r="T7644" s="69"/>
      <c r="U7644" s="69"/>
    </row>
    <row r="7645" spans="19:21" ht="15" customHeight="1" x14ac:dyDescent="0.2">
      <c r="S7645" s="69">
        <f>_xlfn.XLOOKUP(Results!A7645,Geometry!$B$6:$B$10000,Geometry!$C$6:$C$10000)</f>
        <v>0</v>
      </c>
      <c r="T7645" s="69"/>
      <c r="U7645" s="69"/>
    </row>
    <row r="7646" spans="19:21" ht="15" customHeight="1" x14ac:dyDescent="0.2">
      <c r="S7646" s="69">
        <f>_xlfn.XLOOKUP(Results!A7646,Geometry!$B$6:$B$10000,Geometry!$C$6:$C$10000)</f>
        <v>0</v>
      </c>
      <c r="T7646" s="69"/>
      <c r="U7646" s="69"/>
    </row>
    <row r="7647" spans="19:21" ht="15" customHeight="1" x14ac:dyDescent="0.2">
      <c r="S7647" s="69">
        <f>_xlfn.XLOOKUP(Results!A7647,Geometry!$B$6:$B$10000,Geometry!$C$6:$C$10000)</f>
        <v>0</v>
      </c>
      <c r="T7647" s="69"/>
      <c r="U7647" s="69"/>
    </row>
    <row r="7648" spans="19:21" ht="15" customHeight="1" x14ac:dyDescent="0.2">
      <c r="S7648" s="69">
        <f>_xlfn.XLOOKUP(Results!A7648,Geometry!$B$6:$B$10000,Geometry!$C$6:$C$10000)</f>
        <v>0</v>
      </c>
      <c r="T7648" s="69"/>
      <c r="U7648" s="69"/>
    </row>
    <row r="7649" spans="19:21" ht="15" customHeight="1" x14ac:dyDescent="0.2">
      <c r="S7649" s="69">
        <f>_xlfn.XLOOKUP(Results!A7649,Geometry!$B$6:$B$10000,Geometry!$C$6:$C$10000)</f>
        <v>0</v>
      </c>
      <c r="T7649" s="69"/>
      <c r="U7649" s="69"/>
    </row>
    <row r="7650" spans="19:21" ht="15" customHeight="1" x14ac:dyDescent="0.2">
      <c r="S7650" s="69">
        <f>_xlfn.XLOOKUP(Results!A7650,Geometry!$B$6:$B$10000,Geometry!$C$6:$C$10000)</f>
        <v>0</v>
      </c>
      <c r="T7650" s="69"/>
      <c r="U7650" s="69"/>
    </row>
    <row r="7651" spans="19:21" ht="15" customHeight="1" x14ac:dyDescent="0.2">
      <c r="S7651" s="69">
        <f>_xlfn.XLOOKUP(Results!A7651,Geometry!$B$6:$B$10000,Geometry!$C$6:$C$10000)</f>
        <v>0</v>
      </c>
      <c r="T7651" s="69"/>
      <c r="U7651" s="69"/>
    </row>
    <row r="7652" spans="19:21" ht="15" customHeight="1" x14ac:dyDescent="0.2">
      <c r="S7652" s="69">
        <f>_xlfn.XLOOKUP(Results!A7652,Geometry!$B$6:$B$10000,Geometry!$C$6:$C$10000)</f>
        <v>0</v>
      </c>
      <c r="T7652" s="69"/>
      <c r="U7652" s="69"/>
    </row>
    <row r="7653" spans="19:21" ht="15" customHeight="1" x14ac:dyDescent="0.2">
      <c r="S7653" s="69">
        <f>_xlfn.XLOOKUP(Results!A7653,Geometry!$B$6:$B$10000,Geometry!$C$6:$C$10000)</f>
        <v>0</v>
      </c>
      <c r="T7653" s="69"/>
      <c r="U7653" s="69"/>
    </row>
    <row r="7654" spans="19:21" ht="15" customHeight="1" x14ac:dyDescent="0.2">
      <c r="S7654" s="69">
        <f>_xlfn.XLOOKUP(Results!A7654,Geometry!$B$6:$B$10000,Geometry!$C$6:$C$10000)</f>
        <v>0</v>
      </c>
      <c r="T7654" s="69"/>
      <c r="U7654" s="69"/>
    </row>
    <row r="7655" spans="19:21" ht="15" customHeight="1" x14ac:dyDescent="0.2">
      <c r="S7655" s="69">
        <f>_xlfn.XLOOKUP(Results!A7655,Geometry!$B$6:$B$10000,Geometry!$C$6:$C$10000)</f>
        <v>0</v>
      </c>
      <c r="T7655" s="69"/>
      <c r="U7655" s="69"/>
    </row>
    <row r="7656" spans="19:21" ht="15" customHeight="1" x14ac:dyDescent="0.2">
      <c r="S7656" s="69">
        <f>_xlfn.XLOOKUP(Results!A7656,Geometry!$B$6:$B$10000,Geometry!$C$6:$C$10000)</f>
        <v>0</v>
      </c>
      <c r="T7656" s="69"/>
      <c r="U7656" s="69"/>
    </row>
    <row r="7657" spans="19:21" ht="15" customHeight="1" x14ac:dyDescent="0.2">
      <c r="S7657" s="69">
        <f>_xlfn.XLOOKUP(Results!A7657,Geometry!$B$6:$B$10000,Geometry!$C$6:$C$10000)</f>
        <v>0</v>
      </c>
      <c r="T7657" s="69"/>
      <c r="U7657" s="69"/>
    </row>
    <row r="7658" spans="19:21" ht="15" customHeight="1" x14ac:dyDescent="0.2">
      <c r="S7658" s="69">
        <f>_xlfn.XLOOKUP(Results!A7658,Geometry!$B$6:$B$10000,Geometry!$C$6:$C$10000)</f>
        <v>0</v>
      </c>
      <c r="T7658" s="69"/>
      <c r="U7658" s="69"/>
    </row>
    <row r="7659" spans="19:21" ht="15" customHeight="1" x14ac:dyDescent="0.2">
      <c r="S7659" s="69">
        <f>_xlfn.XLOOKUP(Results!A7659,Geometry!$B$6:$B$10000,Geometry!$C$6:$C$10000)</f>
        <v>0</v>
      </c>
      <c r="T7659" s="69"/>
      <c r="U7659" s="69"/>
    </row>
    <row r="7660" spans="19:21" ht="15" customHeight="1" x14ac:dyDescent="0.2">
      <c r="S7660" s="69">
        <f>_xlfn.XLOOKUP(Results!A7660,Geometry!$B$6:$B$10000,Geometry!$C$6:$C$10000)</f>
        <v>0</v>
      </c>
      <c r="T7660" s="69"/>
      <c r="U7660" s="69"/>
    </row>
    <row r="7661" spans="19:21" ht="15" customHeight="1" x14ac:dyDescent="0.2">
      <c r="S7661" s="69">
        <f>_xlfn.XLOOKUP(Results!A7661,Geometry!$B$6:$B$10000,Geometry!$C$6:$C$10000)</f>
        <v>0</v>
      </c>
      <c r="T7661" s="69"/>
      <c r="U7661" s="69"/>
    </row>
    <row r="7662" spans="19:21" ht="15" customHeight="1" x14ac:dyDescent="0.2">
      <c r="S7662" s="69">
        <f>_xlfn.XLOOKUP(Results!A7662,Geometry!$B$6:$B$10000,Geometry!$C$6:$C$10000)</f>
        <v>0</v>
      </c>
      <c r="T7662" s="69"/>
      <c r="U7662" s="69"/>
    </row>
    <row r="7663" spans="19:21" ht="15" customHeight="1" x14ac:dyDescent="0.2">
      <c r="S7663" s="69">
        <f>_xlfn.XLOOKUP(Results!A7663,Geometry!$B$6:$B$10000,Geometry!$C$6:$C$10000)</f>
        <v>0</v>
      </c>
      <c r="T7663" s="69"/>
      <c r="U7663" s="69"/>
    </row>
    <row r="7664" spans="19:21" ht="15" customHeight="1" x14ac:dyDescent="0.2">
      <c r="S7664" s="69">
        <f>_xlfn.XLOOKUP(Results!A7664,Geometry!$B$6:$B$10000,Geometry!$C$6:$C$10000)</f>
        <v>0</v>
      </c>
      <c r="T7664" s="69"/>
      <c r="U7664" s="69"/>
    </row>
    <row r="7665" spans="19:21" ht="15" customHeight="1" x14ac:dyDescent="0.2">
      <c r="S7665" s="69">
        <f>_xlfn.XLOOKUP(Results!A7665,Geometry!$B$6:$B$10000,Geometry!$C$6:$C$10000)</f>
        <v>0</v>
      </c>
      <c r="T7665" s="69"/>
      <c r="U7665" s="69"/>
    </row>
    <row r="7666" spans="19:21" ht="15" customHeight="1" x14ac:dyDescent="0.2">
      <c r="S7666" s="69">
        <f>_xlfn.XLOOKUP(Results!A7666,Geometry!$B$6:$B$10000,Geometry!$C$6:$C$10000)</f>
        <v>0</v>
      </c>
      <c r="T7666" s="69"/>
      <c r="U7666" s="69"/>
    </row>
    <row r="7667" spans="19:21" ht="15" customHeight="1" x14ac:dyDescent="0.2">
      <c r="S7667" s="69">
        <f>_xlfn.XLOOKUP(Results!A7667,Geometry!$B$6:$B$10000,Geometry!$C$6:$C$10000)</f>
        <v>0</v>
      </c>
      <c r="T7667" s="69"/>
      <c r="U7667" s="69"/>
    </row>
    <row r="7668" spans="19:21" ht="15" customHeight="1" x14ac:dyDescent="0.2">
      <c r="S7668" s="69">
        <f>_xlfn.XLOOKUP(Results!A7668,Geometry!$B$6:$B$10000,Geometry!$C$6:$C$10000)</f>
        <v>0</v>
      </c>
      <c r="T7668" s="69"/>
      <c r="U7668" s="69"/>
    </row>
    <row r="7669" spans="19:21" ht="15" customHeight="1" x14ac:dyDescent="0.2">
      <c r="S7669" s="69">
        <f>_xlfn.XLOOKUP(Results!A7669,Geometry!$B$6:$B$10000,Geometry!$C$6:$C$10000)</f>
        <v>0</v>
      </c>
      <c r="T7669" s="69"/>
      <c r="U7669" s="69"/>
    </row>
    <row r="7670" spans="19:21" ht="15" customHeight="1" x14ac:dyDescent="0.2">
      <c r="S7670" s="69">
        <f>_xlfn.XLOOKUP(Results!A7670,Geometry!$B$6:$B$10000,Geometry!$C$6:$C$10000)</f>
        <v>0</v>
      </c>
      <c r="T7670" s="69"/>
      <c r="U7670" s="69"/>
    </row>
    <row r="7671" spans="19:21" ht="15" customHeight="1" x14ac:dyDescent="0.2">
      <c r="S7671" s="69">
        <f>_xlfn.XLOOKUP(Results!A7671,Geometry!$B$6:$B$10000,Geometry!$C$6:$C$10000)</f>
        <v>0</v>
      </c>
      <c r="T7671" s="69"/>
      <c r="U7671" s="69"/>
    </row>
    <row r="7672" spans="19:21" ht="15" customHeight="1" x14ac:dyDescent="0.2">
      <c r="S7672" s="69">
        <f>_xlfn.XLOOKUP(Results!A7672,Geometry!$B$6:$B$10000,Geometry!$C$6:$C$10000)</f>
        <v>0</v>
      </c>
      <c r="T7672" s="69"/>
      <c r="U7672" s="69"/>
    </row>
    <row r="7673" spans="19:21" ht="15" customHeight="1" x14ac:dyDescent="0.2">
      <c r="S7673" s="69">
        <f>_xlfn.XLOOKUP(Results!A7673,Geometry!$B$6:$B$10000,Geometry!$C$6:$C$10000)</f>
        <v>0</v>
      </c>
      <c r="T7673" s="69"/>
      <c r="U7673" s="69"/>
    </row>
    <row r="7674" spans="19:21" ht="15" customHeight="1" x14ac:dyDescent="0.2">
      <c r="S7674" s="69">
        <f>_xlfn.XLOOKUP(Results!A7674,Geometry!$B$6:$B$10000,Geometry!$C$6:$C$10000)</f>
        <v>0</v>
      </c>
      <c r="T7674" s="69"/>
      <c r="U7674" s="69"/>
    </row>
    <row r="7675" spans="19:21" ht="15" customHeight="1" x14ac:dyDescent="0.2">
      <c r="S7675" s="69">
        <f>_xlfn.XLOOKUP(Results!A7675,Geometry!$B$6:$B$10000,Geometry!$C$6:$C$10000)</f>
        <v>0</v>
      </c>
      <c r="T7675" s="69"/>
      <c r="U7675" s="69"/>
    </row>
    <row r="7676" spans="19:21" ht="15" customHeight="1" x14ac:dyDescent="0.2">
      <c r="S7676" s="69">
        <f>_xlfn.XLOOKUP(Results!A7676,Geometry!$B$6:$B$10000,Geometry!$C$6:$C$10000)</f>
        <v>0</v>
      </c>
      <c r="T7676" s="69"/>
      <c r="U7676" s="69"/>
    </row>
    <row r="7677" spans="19:21" ht="15" customHeight="1" x14ac:dyDescent="0.2">
      <c r="S7677" s="69">
        <f>_xlfn.XLOOKUP(Results!A7677,Geometry!$B$6:$B$10000,Geometry!$C$6:$C$10000)</f>
        <v>0</v>
      </c>
      <c r="T7677" s="69"/>
      <c r="U7677" s="69"/>
    </row>
    <row r="7678" spans="19:21" ht="15" customHeight="1" x14ac:dyDescent="0.2">
      <c r="S7678" s="69">
        <f>_xlfn.XLOOKUP(Results!A7678,Geometry!$B$6:$B$10000,Geometry!$C$6:$C$10000)</f>
        <v>0</v>
      </c>
      <c r="T7678" s="69"/>
      <c r="U7678" s="69"/>
    </row>
    <row r="7679" spans="19:21" ht="15" customHeight="1" x14ac:dyDescent="0.2">
      <c r="S7679" s="69">
        <f>_xlfn.XLOOKUP(Results!A7679,Geometry!$B$6:$B$10000,Geometry!$C$6:$C$10000)</f>
        <v>0</v>
      </c>
      <c r="T7679" s="69"/>
      <c r="U7679" s="69"/>
    </row>
    <row r="7680" spans="19:21" ht="15" customHeight="1" x14ac:dyDescent="0.2">
      <c r="S7680" s="69">
        <f>_xlfn.XLOOKUP(Results!A7680,Geometry!$B$6:$B$10000,Geometry!$C$6:$C$10000)</f>
        <v>0</v>
      </c>
      <c r="T7680" s="69"/>
      <c r="U7680" s="69"/>
    </row>
    <row r="7681" spans="19:21" ht="15" customHeight="1" x14ac:dyDescent="0.2">
      <c r="S7681" s="69">
        <f>_xlfn.XLOOKUP(Results!A7681,Geometry!$B$6:$B$10000,Geometry!$C$6:$C$10000)</f>
        <v>0</v>
      </c>
      <c r="T7681" s="69"/>
      <c r="U7681" s="69"/>
    </row>
    <row r="7682" spans="19:21" ht="15" customHeight="1" x14ac:dyDescent="0.2">
      <c r="S7682" s="69">
        <f>_xlfn.XLOOKUP(Results!A7682,Geometry!$B$6:$B$10000,Geometry!$C$6:$C$10000)</f>
        <v>0</v>
      </c>
      <c r="T7682" s="69"/>
      <c r="U7682" s="69"/>
    </row>
    <row r="7683" spans="19:21" ht="15" customHeight="1" x14ac:dyDescent="0.2">
      <c r="S7683" s="69">
        <f>_xlfn.XLOOKUP(Results!A7683,Geometry!$B$6:$B$10000,Geometry!$C$6:$C$10000)</f>
        <v>0</v>
      </c>
      <c r="T7683" s="69"/>
      <c r="U7683" s="69"/>
    </row>
    <row r="7684" spans="19:21" ht="15" customHeight="1" x14ac:dyDescent="0.2">
      <c r="S7684" s="69">
        <f>_xlfn.XLOOKUP(Results!A7684,Geometry!$B$6:$B$10000,Geometry!$C$6:$C$10000)</f>
        <v>0</v>
      </c>
      <c r="T7684" s="69"/>
      <c r="U7684" s="69"/>
    </row>
    <row r="7685" spans="19:21" ht="15" customHeight="1" x14ac:dyDescent="0.2">
      <c r="S7685" s="69">
        <f>_xlfn.XLOOKUP(Results!A7685,Geometry!$B$6:$B$10000,Geometry!$C$6:$C$10000)</f>
        <v>0</v>
      </c>
      <c r="T7685" s="69"/>
      <c r="U7685" s="69"/>
    </row>
    <row r="7686" spans="19:21" ht="15" customHeight="1" x14ac:dyDescent="0.2">
      <c r="S7686" s="69">
        <f>_xlfn.XLOOKUP(Results!A7686,Geometry!$B$6:$B$10000,Geometry!$C$6:$C$10000)</f>
        <v>0</v>
      </c>
      <c r="T7686" s="69"/>
      <c r="U7686" s="69"/>
    </row>
    <row r="7687" spans="19:21" ht="15" customHeight="1" x14ac:dyDescent="0.2">
      <c r="S7687" s="69">
        <f>_xlfn.XLOOKUP(Results!A7687,Geometry!$B$6:$B$10000,Geometry!$C$6:$C$10000)</f>
        <v>0</v>
      </c>
      <c r="T7687" s="69"/>
      <c r="U7687" s="69"/>
    </row>
    <row r="7688" spans="19:21" ht="15" customHeight="1" x14ac:dyDescent="0.2">
      <c r="S7688" s="69">
        <f>_xlfn.XLOOKUP(Results!A7688,Geometry!$B$6:$B$10000,Geometry!$C$6:$C$10000)</f>
        <v>0</v>
      </c>
      <c r="T7688" s="69"/>
      <c r="U7688" s="69"/>
    </row>
    <row r="7689" spans="19:21" ht="15" customHeight="1" x14ac:dyDescent="0.2">
      <c r="S7689" s="69">
        <f>_xlfn.XLOOKUP(Results!A7689,Geometry!$B$6:$B$10000,Geometry!$C$6:$C$10000)</f>
        <v>0</v>
      </c>
      <c r="T7689" s="69"/>
      <c r="U7689" s="69"/>
    </row>
    <row r="7690" spans="19:21" ht="15" customHeight="1" x14ac:dyDescent="0.2">
      <c r="S7690" s="69">
        <f>_xlfn.XLOOKUP(Results!A7690,Geometry!$B$6:$B$10000,Geometry!$C$6:$C$10000)</f>
        <v>0</v>
      </c>
      <c r="T7690" s="69"/>
      <c r="U7690" s="69"/>
    </row>
    <row r="7691" spans="19:21" ht="15" customHeight="1" x14ac:dyDescent="0.2">
      <c r="S7691" s="69">
        <f>_xlfn.XLOOKUP(Results!A7691,Geometry!$B$6:$B$10000,Geometry!$C$6:$C$10000)</f>
        <v>0</v>
      </c>
      <c r="T7691" s="69"/>
      <c r="U7691" s="69"/>
    </row>
    <row r="7692" spans="19:21" ht="15" customHeight="1" x14ac:dyDescent="0.2">
      <c r="S7692" s="69">
        <f>_xlfn.XLOOKUP(Results!A7692,Geometry!$B$6:$B$10000,Geometry!$C$6:$C$10000)</f>
        <v>0</v>
      </c>
      <c r="T7692" s="69"/>
      <c r="U7692" s="69"/>
    </row>
    <row r="7693" spans="19:21" ht="15" customHeight="1" x14ac:dyDescent="0.2">
      <c r="S7693" s="69">
        <f>_xlfn.XLOOKUP(Results!A7693,Geometry!$B$6:$B$10000,Geometry!$C$6:$C$10000)</f>
        <v>0</v>
      </c>
      <c r="T7693" s="69"/>
      <c r="U7693" s="69"/>
    </row>
    <row r="7694" spans="19:21" ht="15" customHeight="1" x14ac:dyDescent="0.2">
      <c r="S7694" s="69">
        <f>_xlfn.XLOOKUP(Results!A7694,Geometry!$B$6:$B$10000,Geometry!$C$6:$C$10000)</f>
        <v>0</v>
      </c>
      <c r="T7694" s="69"/>
      <c r="U7694" s="69"/>
    </row>
    <row r="7695" spans="19:21" ht="15" customHeight="1" x14ac:dyDescent="0.2">
      <c r="S7695" s="69">
        <f>_xlfn.XLOOKUP(Results!A7695,Geometry!$B$6:$B$10000,Geometry!$C$6:$C$10000)</f>
        <v>0</v>
      </c>
      <c r="T7695" s="69"/>
      <c r="U7695" s="69"/>
    </row>
    <row r="7696" spans="19:21" ht="15" customHeight="1" x14ac:dyDescent="0.2">
      <c r="S7696" s="69">
        <f>_xlfn.XLOOKUP(Results!A7696,Geometry!$B$6:$B$10000,Geometry!$C$6:$C$10000)</f>
        <v>0</v>
      </c>
      <c r="T7696" s="69"/>
      <c r="U7696" s="69"/>
    </row>
    <row r="7697" spans="19:21" ht="15" customHeight="1" x14ac:dyDescent="0.2">
      <c r="S7697" s="69">
        <f>_xlfn.XLOOKUP(Results!A7697,Geometry!$B$6:$B$10000,Geometry!$C$6:$C$10000)</f>
        <v>0</v>
      </c>
      <c r="T7697" s="69"/>
      <c r="U7697" s="69"/>
    </row>
    <row r="7698" spans="19:21" ht="15" customHeight="1" x14ac:dyDescent="0.2">
      <c r="S7698" s="69">
        <f>_xlfn.XLOOKUP(Results!A7698,Geometry!$B$6:$B$10000,Geometry!$C$6:$C$10000)</f>
        <v>0</v>
      </c>
      <c r="T7698" s="69"/>
      <c r="U7698" s="69"/>
    </row>
    <row r="7699" spans="19:21" ht="15" customHeight="1" x14ac:dyDescent="0.2">
      <c r="S7699" s="69">
        <f>_xlfn.XLOOKUP(Results!A7699,Geometry!$B$6:$B$10000,Geometry!$C$6:$C$10000)</f>
        <v>0</v>
      </c>
      <c r="T7699" s="69"/>
      <c r="U7699" s="69"/>
    </row>
    <row r="7700" spans="19:21" ht="15" customHeight="1" x14ac:dyDescent="0.2">
      <c r="S7700" s="69">
        <f>_xlfn.XLOOKUP(Results!A7700,Geometry!$B$6:$B$10000,Geometry!$C$6:$C$10000)</f>
        <v>0</v>
      </c>
      <c r="T7700" s="69"/>
      <c r="U7700" s="69"/>
    </row>
    <row r="7701" spans="19:21" ht="15" customHeight="1" x14ac:dyDescent="0.2">
      <c r="S7701" s="69">
        <f>_xlfn.XLOOKUP(Results!A7701,Geometry!$B$6:$B$10000,Geometry!$C$6:$C$10000)</f>
        <v>0</v>
      </c>
      <c r="T7701" s="69"/>
      <c r="U7701" s="69"/>
    </row>
    <row r="7702" spans="19:21" ht="15" customHeight="1" x14ac:dyDescent="0.2">
      <c r="S7702" s="69">
        <f>_xlfn.XLOOKUP(Results!A7702,Geometry!$B$6:$B$10000,Geometry!$C$6:$C$10000)</f>
        <v>0</v>
      </c>
      <c r="T7702" s="69"/>
      <c r="U7702" s="69"/>
    </row>
    <row r="7703" spans="19:21" ht="15" customHeight="1" x14ac:dyDescent="0.2">
      <c r="S7703" s="69">
        <f>_xlfn.XLOOKUP(Results!A7703,Geometry!$B$6:$B$10000,Geometry!$C$6:$C$10000)</f>
        <v>0</v>
      </c>
      <c r="T7703" s="69"/>
      <c r="U7703" s="69"/>
    </row>
    <row r="7704" spans="19:21" ht="15" customHeight="1" x14ac:dyDescent="0.2">
      <c r="S7704" s="69">
        <f>_xlfn.XLOOKUP(Results!A7704,Geometry!$B$6:$B$10000,Geometry!$C$6:$C$10000)</f>
        <v>0</v>
      </c>
      <c r="T7704" s="69"/>
      <c r="U7704" s="69"/>
    </row>
    <row r="7705" spans="19:21" ht="15" customHeight="1" x14ac:dyDescent="0.2">
      <c r="S7705" s="69">
        <f>_xlfn.XLOOKUP(Results!A7705,Geometry!$B$6:$B$10000,Geometry!$C$6:$C$10000)</f>
        <v>0</v>
      </c>
      <c r="T7705" s="69"/>
      <c r="U7705" s="69"/>
    </row>
    <row r="7706" spans="19:21" ht="15" customHeight="1" x14ac:dyDescent="0.2">
      <c r="S7706" s="69">
        <f>_xlfn.XLOOKUP(Results!A7706,Geometry!$B$6:$B$10000,Geometry!$C$6:$C$10000)</f>
        <v>0</v>
      </c>
      <c r="T7706" s="69"/>
      <c r="U7706" s="69"/>
    </row>
    <row r="7707" spans="19:21" ht="15" customHeight="1" x14ac:dyDescent="0.2">
      <c r="S7707" s="69">
        <f>_xlfn.XLOOKUP(Results!A7707,Geometry!$B$6:$B$10000,Geometry!$C$6:$C$10000)</f>
        <v>0</v>
      </c>
      <c r="T7707" s="69"/>
      <c r="U7707" s="69"/>
    </row>
    <row r="7708" spans="19:21" ht="15" customHeight="1" x14ac:dyDescent="0.2">
      <c r="S7708" s="69">
        <f>_xlfn.XLOOKUP(Results!A7708,Geometry!$B$6:$B$10000,Geometry!$C$6:$C$10000)</f>
        <v>0</v>
      </c>
      <c r="T7708" s="69"/>
      <c r="U7708" s="69"/>
    </row>
    <row r="7709" spans="19:21" ht="15" customHeight="1" x14ac:dyDescent="0.2">
      <c r="S7709" s="69">
        <f>_xlfn.XLOOKUP(Results!A7709,Geometry!$B$6:$B$10000,Geometry!$C$6:$C$10000)</f>
        <v>0</v>
      </c>
      <c r="T7709" s="69"/>
      <c r="U7709" s="69"/>
    </row>
    <row r="7710" spans="19:21" ht="15" customHeight="1" x14ac:dyDescent="0.2">
      <c r="S7710" s="69">
        <f>_xlfn.XLOOKUP(Results!A7710,Geometry!$B$6:$B$10000,Geometry!$C$6:$C$10000)</f>
        <v>0</v>
      </c>
      <c r="T7710" s="69"/>
      <c r="U7710" s="69"/>
    </row>
    <row r="7711" spans="19:21" ht="15" customHeight="1" x14ac:dyDescent="0.2">
      <c r="S7711" s="69">
        <f>_xlfn.XLOOKUP(Results!A7711,Geometry!$B$6:$B$10000,Geometry!$C$6:$C$10000)</f>
        <v>0</v>
      </c>
      <c r="T7711" s="69"/>
      <c r="U7711" s="69"/>
    </row>
    <row r="7712" spans="19:21" ht="15" customHeight="1" x14ac:dyDescent="0.2">
      <c r="S7712" s="69">
        <f>_xlfn.XLOOKUP(Results!A7712,Geometry!$B$6:$B$10000,Geometry!$C$6:$C$10000)</f>
        <v>0</v>
      </c>
      <c r="T7712" s="69"/>
      <c r="U7712" s="69"/>
    </row>
    <row r="7713" spans="19:21" ht="15" customHeight="1" x14ac:dyDescent="0.2">
      <c r="S7713" s="69">
        <f>_xlfn.XLOOKUP(Results!A7713,Geometry!$B$6:$B$10000,Geometry!$C$6:$C$10000)</f>
        <v>0</v>
      </c>
      <c r="T7713" s="69"/>
      <c r="U7713" s="69"/>
    </row>
    <row r="7714" spans="19:21" ht="15" customHeight="1" x14ac:dyDescent="0.2">
      <c r="S7714" s="69">
        <f>_xlfn.XLOOKUP(Results!A7714,Geometry!$B$6:$B$10000,Geometry!$C$6:$C$10000)</f>
        <v>0</v>
      </c>
      <c r="T7714" s="69"/>
      <c r="U7714" s="69"/>
    </row>
    <row r="7715" spans="19:21" ht="15" customHeight="1" x14ac:dyDescent="0.2">
      <c r="S7715" s="69">
        <f>_xlfn.XLOOKUP(Results!A7715,Geometry!$B$6:$B$10000,Geometry!$C$6:$C$10000)</f>
        <v>0</v>
      </c>
      <c r="T7715" s="69"/>
      <c r="U7715" s="69"/>
    </row>
    <row r="7716" spans="19:21" ht="15" customHeight="1" x14ac:dyDescent="0.2">
      <c r="S7716" s="69">
        <f>_xlfn.XLOOKUP(Results!A7716,Geometry!$B$6:$B$10000,Geometry!$C$6:$C$10000)</f>
        <v>0</v>
      </c>
      <c r="T7716" s="69"/>
      <c r="U7716" s="69"/>
    </row>
    <row r="7717" spans="19:21" ht="15" customHeight="1" x14ac:dyDescent="0.2">
      <c r="S7717" s="69">
        <f>_xlfn.XLOOKUP(Results!A7717,Geometry!$B$6:$B$10000,Geometry!$C$6:$C$10000)</f>
        <v>0</v>
      </c>
      <c r="T7717" s="69"/>
      <c r="U7717" s="69"/>
    </row>
    <row r="7718" spans="19:21" ht="15" customHeight="1" x14ac:dyDescent="0.2">
      <c r="S7718" s="69">
        <f>_xlfn.XLOOKUP(Results!A7718,Geometry!$B$6:$B$10000,Geometry!$C$6:$C$10000)</f>
        <v>0</v>
      </c>
      <c r="T7718" s="69"/>
      <c r="U7718" s="69"/>
    </row>
    <row r="7719" spans="19:21" ht="15" customHeight="1" x14ac:dyDescent="0.2">
      <c r="S7719" s="69">
        <f>_xlfn.XLOOKUP(Results!A7719,Geometry!$B$6:$B$10000,Geometry!$C$6:$C$10000)</f>
        <v>0</v>
      </c>
      <c r="T7719" s="69"/>
      <c r="U7719" s="69"/>
    </row>
    <row r="7720" spans="19:21" ht="15" customHeight="1" x14ac:dyDescent="0.2">
      <c r="S7720" s="69">
        <f>_xlfn.XLOOKUP(Results!A7720,Geometry!$B$6:$B$10000,Geometry!$C$6:$C$10000)</f>
        <v>0</v>
      </c>
      <c r="T7720" s="69"/>
      <c r="U7720" s="69"/>
    </row>
    <row r="7721" spans="19:21" ht="15" customHeight="1" x14ac:dyDescent="0.2">
      <c r="S7721" s="69">
        <f>_xlfn.XLOOKUP(Results!A7721,Geometry!$B$6:$B$10000,Geometry!$C$6:$C$10000)</f>
        <v>0</v>
      </c>
      <c r="T7721" s="69"/>
      <c r="U7721" s="69"/>
    </row>
    <row r="7722" spans="19:21" ht="15" customHeight="1" x14ac:dyDescent="0.2">
      <c r="S7722" s="69">
        <f>_xlfn.XLOOKUP(Results!A7722,Geometry!$B$6:$B$10000,Geometry!$C$6:$C$10000)</f>
        <v>0</v>
      </c>
      <c r="T7722" s="69"/>
      <c r="U7722" s="69"/>
    </row>
    <row r="7723" spans="19:21" ht="15" customHeight="1" x14ac:dyDescent="0.2">
      <c r="S7723" s="69">
        <f>_xlfn.XLOOKUP(Results!A7723,Geometry!$B$6:$B$10000,Geometry!$C$6:$C$10000)</f>
        <v>0</v>
      </c>
      <c r="T7723" s="69"/>
      <c r="U7723" s="69"/>
    </row>
    <row r="7724" spans="19:21" ht="15" customHeight="1" x14ac:dyDescent="0.2">
      <c r="S7724" s="69">
        <f>_xlfn.XLOOKUP(Results!A7724,Geometry!$B$6:$B$10000,Geometry!$C$6:$C$10000)</f>
        <v>0</v>
      </c>
      <c r="T7724" s="69"/>
      <c r="U7724" s="69"/>
    </row>
    <row r="7725" spans="19:21" ht="15" customHeight="1" x14ac:dyDescent="0.2">
      <c r="S7725" s="69">
        <f>_xlfn.XLOOKUP(Results!A7725,Geometry!$B$6:$B$10000,Geometry!$C$6:$C$10000)</f>
        <v>0</v>
      </c>
      <c r="T7725" s="69"/>
      <c r="U7725" s="69"/>
    </row>
    <row r="7726" spans="19:21" ht="15" customHeight="1" x14ac:dyDescent="0.2">
      <c r="S7726" s="69">
        <f>_xlfn.XLOOKUP(Results!A7726,Geometry!$B$6:$B$10000,Geometry!$C$6:$C$10000)</f>
        <v>0</v>
      </c>
      <c r="T7726" s="69"/>
      <c r="U7726" s="69"/>
    </row>
    <row r="7727" spans="19:21" ht="15" customHeight="1" x14ac:dyDescent="0.2">
      <c r="S7727" s="69">
        <f>_xlfn.XLOOKUP(Results!A7727,Geometry!$B$6:$B$10000,Geometry!$C$6:$C$10000)</f>
        <v>0</v>
      </c>
      <c r="T7727" s="69"/>
      <c r="U7727" s="69"/>
    </row>
    <row r="7728" spans="19:21" ht="15" customHeight="1" x14ac:dyDescent="0.2">
      <c r="S7728" s="69">
        <f>_xlfn.XLOOKUP(Results!A7728,Geometry!$B$6:$B$10000,Geometry!$C$6:$C$10000)</f>
        <v>0</v>
      </c>
      <c r="T7728" s="69"/>
      <c r="U7728" s="69"/>
    </row>
    <row r="7729" spans="19:21" ht="15" customHeight="1" x14ac:dyDescent="0.2">
      <c r="S7729" s="69">
        <f>_xlfn.XLOOKUP(Results!A7729,Geometry!$B$6:$B$10000,Geometry!$C$6:$C$10000)</f>
        <v>0</v>
      </c>
      <c r="T7729" s="69"/>
      <c r="U7729" s="69"/>
    </row>
    <row r="7730" spans="19:21" ht="15" customHeight="1" x14ac:dyDescent="0.2">
      <c r="S7730" s="69">
        <f>_xlfn.XLOOKUP(Results!A7730,Geometry!$B$6:$B$10000,Geometry!$C$6:$C$10000)</f>
        <v>0</v>
      </c>
      <c r="T7730" s="69"/>
      <c r="U7730" s="69"/>
    </row>
    <row r="7731" spans="19:21" ht="15" customHeight="1" x14ac:dyDescent="0.2">
      <c r="S7731" s="69">
        <f>_xlfn.XLOOKUP(Results!A7731,Geometry!$B$6:$B$10000,Geometry!$C$6:$C$10000)</f>
        <v>0</v>
      </c>
      <c r="T7731" s="69"/>
      <c r="U7731" s="69"/>
    </row>
    <row r="7732" spans="19:21" ht="15" customHeight="1" x14ac:dyDescent="0.2">
      <c r="S7732" s="69">
        <f>_xlfn.XLOOKUP(Results!A7732,Geometry!$B$6:$B$10000,Geometry!$C$6:$C$10000)</f>
        <v>0</v>
      </c>
      <c r="T7732" s="69"/>
      <c r="U7732" s="69"/>
    </row>
    <row r="7733" spans="19:21" ht="15" customHeight="1" x14ac:dyDescent="0.2">
      <c r="S7733" s="69">
        <f>_xlfn.XLOOKUP(Results!A7733,Geometry!$B$6:$B$10000,Geometry!$C$6:$C$10000)</f>
        <v>0</v>
      </c>
      <c r="T7733" s="69"/>
      <c r="U7733" s="69"/>
    </row>
    <row r="7734" spans="19:21" ht="15" customHeight="1" x14ac:dyDescent="0.2">
      <c r="S7734" s="69">
        <f>_xlfn.XLOOKUP(Results!A7734,Geometry!$B$6:$B$10000,Geometry!$C$6:$C$10000)</f>
        <v>0</v>
      </c>
      <c r="T7734" s="69"/>
      <c r="U7734" s="69"/>
    </row>
    <row r="7735" spans="19:21" ht="15" customHeight="1" x14ac:dyDescent="0.2">
      <c r="S7735" s="69">
        <f>_xlfn.XLOOKUP(Results!A7735,Geometry!$B$6:$B$10000,Geometry!$C$6:$C$10000)</f>
        <v>0</v>
      </c>
      <c r="T7735" s="69"/>
      <c r="U7735" s="69"/>
    </row>
    <row r="7736" spans="19:21" ht="15" customHeight="1" x14ac:dyDescent="0.2">
      <c r="S7736" s="69">
        <f>_xlfn.XLOOKUP(Results!A7736,Geometry!$B$6:$B$10000,Geometry!$C$6:$C$10000)</f>
        <v>0</v>
      </c>
      <c r="T7736" s="69"/>
      <c r="U7736" s="69"/>
    </row>
    <row r="7737" spans="19:21" ht="15" customHeight="1" x14ac:dyDescent="0.2">
      <c r="S7737" s="69">
        <f>_xlfn.XLOOKUP(Results!A7737,Geometry!$B$6:$B$10000,Geometry!$C$6:$C$10000)</f>
        <v>0</v>
      </c>
      <c r="T7737" s="69"/>
      <c r="U7737" s="69"/>
    </row>
    <row r="7738" spans="19:21" ht="15" customHeight="1" x14ac:dyDescent="0.2">
      <c r="S7738" s="69">
        <f>_xlfn.XLOOKUP(Results!A7738,Geometry!$B$6:$B$10000,Geometry!$C$6:$C$10000)</f>
        <v>0</v>
      </c>
      <c r="T7738" s="69"/>
      <c r="U7738" s="69"/>
    </row>
    <row r="7739" spans="19:21" ht="15" customHeight="1" x14ac:dyDescent="0.2">
      <c r="S7739" s="69">
        <f>_xlfn.XLOOKUP(Results!A7739,Geometry!$B$6:$B$10000,Geometry!$C$6:$C$10000)</f>
        <v>0</v>
      </c>
      <c r="T7739" s="69"/>
      <c r="U7739" s="69"/>
    </row>
    <row r="7740" spans="19:21" ht="15" customHeight="1" x14ac:dyDescent="0.2">
      <c r="S7740" s="69">
        <f>_xlfn.XLOOKUP(Results!A7740,Geometry!$B$6:$B$10000,Geometry!$C$6:$C$10000)</f>
        <v>0</v>
      </c>
      <c r="T7740" s="69"/>
      <c r="U7740" s="69"/>
    </row>
    <row r="7741" spans="19:21" ht="15" customHeight="1" x14ac:dyDescent="0.2">
      <c r="S7741" s="69">
        <f>_xlfn.XLOOKUP(Results!A7741,Geometry!$B$6:$B$10000,Geometry!$C$6:$C$10000)</f>
        <v>0</v>
      </c>
      <c r="T7741" s="69"/>
      <c r="U7741" s="69"/>
    </row>
    <row r="7742" spans="19:21" ht="15" customHeight="1" x14ac:dyDescent="0.2">
      <c r="S7742" s="69">
        <f>_xlfn.XLOOKUP(Results!A7742,Geometry!$B$6:$B$10000,Geometry!$C$6:$C$10000)</f>
        <v>0</v>
      </c>
      <c r="T7742" s="69"/>
      <c r="U7742" s="69"/>
    </row>
    <row r="7743" spans="19:21" ht="15" customHeight="1" x14ac:dyDescent="0.2">
      <c r="S7743" s="69">
        <f>_xlfn.XLOOKUP(Results!A7743,Geometry!$B$6:$B$10000,Geometry!$C$6:$C$10000)</f>
        <v>0</v>
      </c>
      <c r="T7743" s="69"/>
      <c r="U7743" s="69"/>
    </row>
    <row r="7744" spans="19:21" ht="15" customHeight="1" x14ac:dyDescent="0.2">
      <c r="S7744" s="69">
        <f>_xlfn.XLOOKUP(Results!A7744,Geometry!$B$6:$B$10000,Geometry!$C$6:$C$10000)</f>
        <v>0</v>
      </c>
      <c r="T7744" s="69"/>
      <c r="U7744" s="69"/>
    </row>
    <row r="7745" spans="19:21" ht="15" customHeight="1" x14ac:dyDescent="0.2">
      <c r="S7745" s="69">
        <f>_xlfn.XLOOKUP(Results!A7745,Geometry!$B$6:$B$10000,Geometry!$C$6:$C$10000)</f>
        <v>0</v>
      </c>
      <c r="T7745" s="69"/>
      <c r="U7745" s="69"/>
    </row>
    <row r="7746" spans="19:21" ht="15" customHeight="1" x14ac:dyDescent="0.2">
      <c r="S7746" s="69">
        <f>_xlfn.XLOOKUP(Results!A7746,Geometry!$B$6:$B$10000,Geometry!$C$6:$C$10000)</f>
        <v>0</v>
      </c>
      <c r="T7746" s="69"/>
      <c r="U7746" s="69"/>
    </row>
    <row r="7747" spans="19:21" ht="15" customHeight="1" x14ac:dyDescent="0.2">
      <c r="S7747" s="69">
        <f>_xlfn.XLOOKUP(Results!A7747,Geometry!$B$6:$B$10000,Geometry!$C$6:$C$10000)</f>
        <v>0</v>
      </c>
      <c r="T7747" s="69"/>
      <c r="U7747" s="69"/>
    </row>
    <row r="7748" spans="19:21" ht="15" customHeight="1" x14ac:dyDescent="0.2">
      <c r="S7748" s="69">
        <f>_xlfn.XLOOKUP(Results!A7748,Geometry!$B$6:$B$10000,Geometry!$C$6:$C$10000)</f>
        <v>0</v>
      </c>
      <c r="T7748" s="69"/>
      <c r="U7748" s="69"/>
    </row>
    <row r="7749" spans="19:21" ht="15" customHeight="1" x14ac:dyDescent="0.2">
      <c r="S7749" s="69">
        <f>_xlfn.XLOOKUP(Results!A7749,Geometry!$B$6:$B$10000,Geometry!$C$6:$C$10000)</f>
        <v>0</v>
      </c>
      <c r="T7749" s="69"/>
      <c r="U7749" s="69"/>
    </row>
    <row r="7750" spans="19:21" ht="15" customHeight="1" x14ac:dyDescent="0.2">
      <c r="S7750" s="69">
        <f>_xlfn.XLOOKUP(Results!A7750,Geometry!$B$6:$B$10000,Geometry!$C$6:$C$10000)</f>
        <v>0</v>
      </c>
      <c r="T7750" s="69"/>
      <c r="U7750" s="69"/>
    </row>
    <row r="7751" spans="19:21" ht="15" customHeight="1" x14ac:dyDescent="0.2">
      <c r="S7751" s="69">
        <f>_xlfn.XLOOKUP(Results!A7751,Geometry!$B$6:$B$10000,Geometry!$C$6:$C$10000)</f>
        <v>0</v>
      </c>
      <c r="T7751" s="69"/>
      <c r="U7751" s="69"/>
    </row>
    <row r="7752" spans="19:21" ht="15" customHeight="1" x14ac:dyDescent="0.2">
      <c r="S7752" s="69">
        <f>_xlfn.XLOOKUP(Results!A7752,Geometry!$B$6:$B$10000,Geometry!$C$6:$C$10000)</f>
        <v>0</v>
      </c>
      <c r="T7752" s="69"/>
      <c r="U7752" s="69"/>
    </row>
    <row r="7753" spans="19:21" ht="15" customHeight="1" x14ac:dyDescent="0.2">
      <c r="S7753" s="69">
        <f>_xlfn.XLOOKUP(Results!A7753,Geometry!$B$6:$B$10000,Geometry!$C$6:$C$10000)</f>
        <v>0</v>
      </c>
      <c r="T7753" s="69"/>
      <c r="U7753" s="69"/>
    </row>
    <row r="7754" spans="19:21" ht="15" customHeight="1" x14ac:dyDescent="0.2">
      <c r="S7754" s="69">
        <f>_xlfn.XLOOKUP(Results!A7754,Geometry!$B$6:$B$10000,Geometry!$C$6:$C$10000)</f>
        <v>0</v>
      </c>
      <c r="T7754" s="69"/>
      <c r="U7754" s="69"/>
    </row>
    <row r="7755" spans="19:21" ht="15" customHeight="1" x14ac:dyDescent="0.2">
      <c r="S7755" s="69">
        <f>_xlfn.XLOOKUP(Results!A7755,Geometry!$B$6:$B$10000,Geometry!$C$6:$C$10000)</f>
        <v>0</v>
      </c>
      <c r="T7755" s="69"/>
      <c r="U7755" s="69"/>
    </row>
    <row r="7756" spans="19:21" ht="15" customHeight="1" x14ac:dyDescent="0.2">
      <c r="S7756" s="69">
        <f>_xlfn.XLOOKUP(Results!A7756,Geometry!$B$6:$B$10000,Geometry!$C$6:$C$10000)</f>
        <v>0</v>
      </c>
      <c r="T7756" s="69"/>
      <c r="U7756" s="69"/>
    </row>
    <row r="7757" spans="19:21" ht="15" customHeight="1" x14ac:dyDescent="0.2">
      <c r="S7757" s="69">
        <f>_xlfn.XLOOKUP(Results!A7757,Geometry!$B$6:$B$10000,Geometry!$C$6:$C$10000)</f>
        <v>0</v>
      </c>
      <c r="T7757" s="69"/>
      <c r="U7757" s="69"/>
    </row>
    <row r="7758" spans="19:21" ht="15" customHeight="1" x14ac:dyDescent="0.2">
      <c r="S7758" s="69">
        <f>_xlfn.XLOOKUP(Results!A7758,Geometry!$B$6:$B$10000,Geometry!$C$6:$C$10000)</f>
        <v>0</v>
      </c>
      <c r="T7758" s="69"/>
      <c r="U7758" s="69"/>
    </row>
    <row r="7759" spans="19:21" ht="15" customHeight="1" x14ac:dyDescent="0.2">
      <c r="S7759" s="69">
        <f>_xlfn.XLOOKUP(Results!A7759,Geometry!$B$6:$B$10000,Geometry!$C$6:$C$10000)</f>
        <v>0</v>
      </c>
      <c r="T7759" s="69"/>
      <c r="U7759" s="69"/>
    </row>
    <row r="7760" spans="19:21" ht="15" customHeight="1" x14ac:dyDescent="0.2">
      <c r="S7760" s="69">
        <f>_xlfn.XLOOKUP(Results!A7760,Geometry!$B$6:$B$10000,Geometry!$C$6:$C$10000)</f>
        <v>0</v>
      </c>
      <c r="T7760" s="69"/>
      <c r="U7760" s="69"/>
    </row>
    <row r="7761" spans="19:21" ht="15" customHeight="1" x14ac:dyDescent="0.2">
      <c r="S7761" s="69">
        <f>_xlfn.XLOOKUP(Results!A7761,Geometry!$B$6:$B$10000,Geometry!$C$6:$C$10000)</f>
        <v>0</v>
      </c>
      <c r="T7761" s="69"/>
      <c r="U7761" s="69"/>
    </row>
    <row r="7762" spans="19:21" ht="15" customHeight="1" x14ac:dyDescent="0.2">
      <c r="S7762" s="69">
        <f>_xlfn.XLOOKUP(Results!A7762,Geometry!$B$6:$B$10000,Geometry!$C$6:$C$10000)</f>
        <v>0</v>
      </c>
      <c r="T7762" s="69"/>
      <c r="U7762" s="69"/>
    </row>
    <row r="7763" spans="19:21" ht="15" customHeight="1" x14ac:dyDescent="0.2">
      <c r="S7763" s="69">
        <f>_xlfn.XLOOKUP(Results!A7763,Geometry!$B$6:$B$10000,Geometry!$C$6:$C$10000)</f>
        <v>0</v>
      </c>
      <c r="T7763" s="69"/>
      <c r="U7763" s="69"/>
    </row>
    <row r="7764" spans="19:21" ht="15" customHeight="1" x14ac:dyDescent="0.2">
      <c r="S7764" s="69">
        <f>_xlfn.XLOOKUP(Results!A7764,Geometry!$B$6:$B$10000,Geometry!$C$6:$C$10000)</f>
        <v>0</v>
      </c>
      <c r="T7764" s="69"/>
      <c r="U7764" s="69"/>
    </row>
    <row r="7765" spans="19:21" ht="15" customHeight="1" x14ac:dyDescent="0.2">
      <c r="S7765" s="69">
        <f>_xlfn.XLOOKUP(Results!A7765,Geometry!$B$6:$B$10000,Geometry!$C$6:$C$10000)</f>
        <v>0</v>
      </c>
      <c r="T7765" s="69"/>
      <c r="U7765" s="69"/>
    </row>
    <row r="7766" spans="19:21" ht="15" customHeight="1" x14ac:dyDescent="0.2">
      <c r="S7766" s="69">
        <f>_xlfn.XLOOKUP(Results!A7766,Geometry!$B$6:$B$10000,Geometry!$C$6:$C$10000)</f>
        <v>0</v>
      </c>
      <c r="T7766" s="69"/>
      <c r="U7766" s="69"/>
    </row>
    <row r="7767" spans="19:21" ht="15" customHeight="1" x14ac:dyDescent="0.2">
      <c r="S7767" s="69">
        <f>_xlfn.XLOOKUP(Results!A7767,Geometry!$B$6:$B$10000,Geometry!$C$6:$C$10000)</f>
        <v>0</v>
      </c>
      <c r="T7767" s="69"/>
      <c r="U7767" s="69"/>
    </row>
    <row r="7768" spans="19:21" ht="15" customHeight="1" x14ac:dyDescent="0.2">
      <c r="S7768" s="69">
        <f>_xlfn.XLOOKUP(Results!A7768,Geometry!$B$6:$B$10000,Geometry!$C$6:$C$10000)</f>
        <v>0</v>
      </c>
      <c r="T7768" s="69"/>
      <c r="U7768" s="69"/>
    </row>
    <row r="7769" spans="19:21" ht="15" customHeight="1" x14ac:dyDescent="0.2">
      <c r="S7769" s="69">
        <f>_xlfn.XLOOKUP(Results!A7769,Geometry!$B$6:$B$10000,Geometry!$C$6:$C$10000)</f>
        <v>0</v>
      </c>
      <c r="T7769" s="69"/>
      <c r="U7769" s="69"/>
    </row>
    <row r="7770" spans="19:21" ht="15" customHeight="1" x14ac:dyDescent="0.2">
      <c r="S7770" s="69">
        <f>_xlfn.XLOOKUP(Results!A7770,Geometry!$B$6:$B$10000,Geometry!$C$6:$C$10000)</f>
        <v>0</v>
      </c>
      <c r="T7770" s="69"/>
      <c r="U7770" s="69"/>
    </row>
    <row r="7771" spans="19:21" ht="15" customHeight="1" x14ac:dyDescent="0.2">
      <c r="S7771" s="69">
        <f>_xlfn.XLOOKUP(Results!A7771,Geometry!$B$6:$B$10000,Geometry!$C$6:$C$10000)</f>
        <v>0</v>
      </c>
      <c r="T7771" s="69"/>
      <c r="U7771" s="69"/>
    </row>
    <row r="7772" spans="19:21" ht="15" customHeight="1" x14ac:dyDescent="0.2">
      <c r="S7772" s="69">
        <f>_xlfn.XLOOKUP(Results!A7772,Geometry!$B$6:$B$10000,Geometry!$C$6:$C$10000)</f>
        <v>0</v>
      </c>
      <c r="T7772" s="69"/>
      <c r="U7772" s="69"/>
    </row>
    <row r="7773" spans="19:21" ht="15" customHeight="1" x14ac:dyDescent="0.2">
      <c r="S7773" s="69">
        <f>_xlfn.XLOOKUP(Results!A7773,Geometry!$B$6:$B$10000,Geometry!$C$6:$C$10000)</f>
        <v>0</v>
      </c>
      <c r="T7773" s="69"/>
      <c r="U7773" s="69"/>
    </row>
    <row r="7774" spans="19:21" ht="15" customHeight="1" x14ac:dyDescent="0.2">
      <c r="S7774" s="69">
        <f>_xlfn.XLOOKUP(Results!A7774,Geometry!$B$6:$B$10000,Geometry!$C$6:$C$10000)</f>
        <v>0</v>
      </c>
      <c r="T7774" s="69"/>
      <c r="U7774" s="69"/>
    </row>
    <row r="7775" spans="19:21" ht="15" customHeight="1" x14ac:dyDescent="0.2">
      <c r="S7775" s="69">
        <f>_xlfn.XLOOKUP(Results!A7775,Geometry!$B$6:$B$10000,Geometry!$C$6:$C$10000)</f>
        <v>0</v>
      </c>
      <c r="T7775" s="69"/>
      <c r="U7775" s="69"/>
    </row>
    <row r="7776" spans="19:21" ht="15" customHeight="1" x14ac:dyDescent="0.2">
      <c r="S7776" s="69">
        <f>_xlfn.XLOOKUP(Results!A7776,Geometry!$B$6:$B$10000,Geometry!$C$6:$C$10000)</f>
        <v>0</v>
      </c>
      <c r="T7776" s="69"/>
      <c r="U7776" s="69"/>
    </row>
    <row r="7777" spans="19:21" ht="15" customHeight="1" x14ac:dyDescent="0.2">
      <c r="S7777" s="69">
        <f>_xlfn.XLOOKUP(Results!A7777,Geometry!$B$6:$B$10000,Geometry!$C$6:$C$10000)</f>
        <v>0</v>
      </c>
      <c r="T7777" s="69"/>
      <c r="U7777" s="69"/>
    </row>
    <row r="7778" spans="19:21" ht="15" customHeight="1" x14ac:dyDescent="0.2">
      <c r="S7778" s="69">
        <f>_xlfn.XLOOKUP(Results!A7778,Geometry!$B$6:$B$10000,Geometry!$C$6:$C$10000)</f>
        <v>0</v>
      </c>
      <c r="T7778" s="69"/>
      <c r="U7778" s="69"/>
    </row>
    <row r="7779" spans="19:21" ht="15" customHeight="1" x14ac:dyDescent="0.2">
      <c r="S7779" s="69">
        <f>_xlfn.XLOOKUP(Results!A7779,Geometry!$B$6:$B$10000,Geometry!$C$6:$C$10000)</f>
        <v>0</v>
      </c>
      <c r="T7779" s="69"/>
      <c r="U7779" s="69"/>
    </row>
    <row r="7780" spans="19:21" ht="15" customHeight="1" x14ac:dyDescent="0.2">
      <c r="S7780" s="69">
        <f>_xlfn.XLOOKUP(Results!A7780,Geometry!$B$6:$B$10000,Geometry!$C$6:$C$10000)</f>
        <v>0</v>
      </c>
      <c r="T7780" s="69"/>
      <c r="U7780" s="69"/>
    </row>
    <row r="7781" spans="19:21" ht="15" customHeight="1" x14ac:dyDescent="0.2">
      <c r="S7781" s="69">
        <f>_xlfn.XLOOKUP(Results!A7781,Geometry!$B$6:$B$10000,Geometry!$C$6:$C$10000)</f>
        <v>0</v>
      </c>
      <c r="T7781" s="69"/>
      <c r="U7781" s="69"/>
    </row>
    <row r="7782" spans="19:21" ht="15" customHeight="1" x14ac:dyDescent="0.2">
      <c r="S7782" s="69">
        <f>_xlfn.XLOOKUP(Results!A7782,Geometry!$B$6:$B$10000,Geometry!$C$6:$C$10000)</f>
        <v>0</v>
      </c>
      <c r="T7782" s="69"/>
      <c r="U7782" s="69"/>
    </row>
    <row r="7783" spans="19:21" ht="15" customHeight="1" x14ac:dyDescent="0.2">
      <c r="S7783" s="69">
        <f>_xlfn.XLOOKUP(Results!A7783,Geometry!$B$6:$B$10000,Geometry!$C$6:$C$10000)</f>
        <v>0</v>
      </c>
      <c r="T7783" s="69"/>
      <c r="U7783" s="69"/>
    </row>
    <row r="7784" spans="19:21" ht="15" customHeight="1" x14ac:dyDescent="0.2">
      <c r="S7784" s="69">
        <f>_xlfn.XLOOKUP(Results!A7784,Geometry!$B$6:$B$10000,Geometry!$C$6:$C$10000)</f>
        <v>0</v>
      </c>
      <c r="T7784" s="69"/>
      <c r="U7784" s="69"/>
    </row>
    <row r="7785" spans="19:21" ht="15" customHeight="1" x14ac:dyDescent="0.2">
      <c r="S7785" s="69">
        <f>_xlfn.XLOOKUP(Results!A7785,Geometry!$B$6:$B$10000,Geometry!$C$6:$C$10000)</f>
        <v>0</v>
      </c>
      <c r="T7785" s="69"/>
      <c r="U7785" s="69"/>
    </row>
    <row r="7786" spans="19:21" ht="15" customHeight="1" x14ac:dyDescent="0.2">
      <c r="S7786" s="69">
        <f>_xlfn.XLOOKUP(Results!A7786,Geometry!$B$6:$B$10000,Geometry!$C$6:$C$10000)</f>
        <v>0</v>
      </c>
      <c r="T7786" s="69"/>
      <c r="U7786" s="69"/>
    </row>
    <row r="7787" spans="19:21" ht="15" customHeight="1" x14ac:dyDescent="0.2">
      <c r="S7787" s="69">
        <f>_xlfn.XLOOKUP(Results!A7787,Geometry!$B$6:$B$10000,Geometry!$C$6:$C$10000)</f>
        <v>0</v>
      </c>
      <c r="T7787" s="69"/>
      <c r="U7787" s="69"/>
    </row>
    <row r="7788" spans="19:21" ht="15" customHeight="1" x14ac:dyDescent="0.2">
      <c r="S7788" s="69">
        <f>_xlfn.XLOOKUP(Results!A7788,Geometry!$B$6:$B$10000,Geometry!$C$6:$C$10000)</f>
        <v>0</v>
      </c>
      <c r="T7788" s="69"/>
      <c r="U7788" s="69"/>
    </row>
    <row r="7789" spans="19:21" ht="15" customHeight="1" x14ac:dyDescent="0.2">
      <c r="S7789" s="69">
        <f>_xlfn.XLOOKUP(Results!A7789,Geometry!$B$6:$B$10000,Geometry!$C$6:$C$10000)</f>
        <v>0</v>
      </c>
      <c r="T7789" s="69"/>
      <c r="U7789" s="69"/>
    </row>
    <row r="7790" spans="19:21" ht="15" customHeight="1" x14ac:dyDescent="0.2">
      <c r="S7790" s="69">
        <f>_xlfn.XLOOKUP(Results!A7790,Geometry!$B$6:$B$10000,Geometry!$C$6:$C$10000)</f>
        <v>0</v>
      </c>
      <c r="T7790" s="69"/>
      <c r="U7790" s="69"/>
    </row>
    <row r="7791" spans="19:21" ht="15" customHeight="1" x14ac:dyDescent="0.2">
      <c r="S7791" s="69">
        <f>_xlfn.XLOOKUP(Results!A7791,Geometry!$B$6:$B$10000,Geometry!$C$6:$C$10000)</f>
        <v>0</v>
      </c>
      <c r="T7791" s="69"/>
      <c r="U7791" s="69"/>
    </row>
    <row r="7792" spans="19:21" ht="15" customHeight="1" x14ac:dyDescent="0.2">
      <c r="S7792" s="69">
        <f>_xlfn.XLOOKUP(Results!A7792,Geometry!$B$6:$B$10000,Geometry!$C$6:$C$10000)</f>
        <v>0</v>
      </c>
      <c r="T7792" s="69"/>
      <c r="U7792" s="69"/>
    </row>
    <row r="7793" spans="19:21" ht="15" customHeight="1" x14ac:dyDescent="0.2">
      <c r="S7793" s="69">
        <f>_xlfn.XLOOKUP(Results!A7793,Geometry!$B$6:$B$10000,Geometry!$C$6:$C$10000)</f>
        <v>0</v>
      </c>
      <c r="T7793" s="69"/>
      <c r="U7793" s="69"/>
    </row>
    <row r="7794" spans="19:21" ht="15" customHeight="1" x14ac:dyDescent="0.2">
      <c r="S7794" s="69">
        <f>_xlfn.XLOOKUP(Results!A7794,Geometry!$B$6:$B$10000,Geometry!$C$6:$C$10000)</f>
        <v>0</v>
      </c>
      <c r="T7794" s="69"/>
      <c r="U7794" s="69"/>
    </row>
    <row r="7795" spans="19:21" ht="15" customHeight="1" x14ac:dyDescent="0.2">
      <c r="S7795" s="69">
        <f>_xlfn.XLOOKUP(Results!A7795,Geometry!$B$6:$B$10000,Geometry!$C$6:$C$10000)</f>
        <v>0</v>
      </c>
      <c r="T7795" s="69"/>
      <c r="U7795" s="69"/>
    </row>
    <row r="7796" spans="19:21" ht="15" customHeight="1" x14ac:dyDescent="0.2">
      <c r="S7796" s="69">
        <f>_xlfn.XLOOKUP(Results!A7796,Geometry!$B$6:$B$10000,Geometry!$C$6:$C$10000)</f>
        <v>0</v>
      </c>
      <c r="T7796" s="69"/>
      <c r="U7796" s="69"/>
    </row>
    <row r="7797" spans="19:21" ht="15" customHeight="1" x14ac:dyDescent="0.2">
      <c r="S7797" s="69">
        <f>_xlfn.XLOOKUP(Results!A7797,Geometry!$B$6:$B$10000,Geometry!$C$6:$C$10000)</f>
        <v>0</v>
      </c>
      <c r="T7797" s="69"/>
      <c r="U7797" s="69"/>
    </row>
    <row r="7798" spans="19:21" ht="15" customHeight="1" x14ac:dyDescent="0.2">
      <c r="S7798" s="69">
        <f>_xlfn.XLOOKUP(Results!A7798,Geometry!$B$6:$B$10000,Geometry!$C$6:$C$10000)</f>
        <v>0</v>
      </c>
      <c r="T7798" s="69"/>
      <c r="U7798" s="69"/>
    </row>
    <row r="7799" spans="19:21" ht="15" customHeight="1" x14ac:dyDescent="0.2">
      <c r="S7799" s="69">
        <f>_xlfn.XLOOKUP(Results!A7799,Geometry!$B$6:$B$10000,Geometry!$C$6:$C$10000)</f>
        <v>0</v>
      </c>
      <c r="T7799" s="69"/>
      <c r="U7799" s="69"/>
    </row>
    <row r="7800" spans="19:21" ht="15" customHeight="1" x14ac:dyDescent="0.2">
      <c r="S7800" s="69">
        <f>_xlfn.XLOOKUP(Results!A7800,Geometry!$B$6:$B$10000,Geometry!$C$6:$C$10000)</f>
        <v>0</v>
      </c>
      <c r="T7800" s="69"/>
      <c r="U7800" s="69"/>
    </row>
    <row r="7801" spans="19:21" ht="15" customHeight="1" x14ac:dyDescent="0.2">
      <c r="S7801" s="69">
        <f>_xlfn.XLOOKUP(Results!A7801,Geometry!$B$6:$B$10000,Geometry!$C$6:$C$10000)</f>
        <v>0</v>
      </c>
      <c r="T7801" s="69"/>
      <c r="U7801" s="69"/>
    </row>
    <row r="7802" spans="19:21" ht="15" customHeight="1" x14ac:dyDescent="0.2">
      <c r="S7802" s="69">
        <f>_xlfn.XLOOKUP(Results!A7802,Geometry!$B$6:$B$10000,Geometry!$C$6:$C$10000)</f>
        <v>0</v>
      </c>
      <c r="T7802" s="69"/>
      <c r="U7802" s="69"/>
    </row>
    <row r="7803" spans="19:21" ht="15" customHeight="1" x14ac:dyDescent="0.2">
      <c r="S7803" s="69">
        <f>_xlfn.XLOOKUP(Results!A7803,Geometry!$B$6:$B$10000,Geometry!$C$6:$C$10000)</f>
        <v>0</v>
      </c>
      <c r="T7803" s="69"/>
      <c r="U7803" s="69"/>
    </row>
    <row r="7804" spans="19:21" ht="15" customHeight="1" x14ac:dyDescent="0.2">
      <c r="S7804" s="69">
        <f>_xlfn.XLOOKUP(Results!A7804,Geometry!$B$6:$B$10000,Geometry!$C$6:$C$10000)</f>
        <v>0</v>
      </c>
      <c r="T7804" s="69"/>
      <c r="U7804" s="69"/>
    </row>
    <row r="7805" spans="19:21" ht="15" customHeight="1" x14ac:dyDescent="0.2">
      <c r="S7805" s="69">
        <f>_xlfn.XLOOKUP(Results!A7805,Geometry!$B$6:$B$10000,Geometry!$C$6:$C$10000)</f>
        <v>0</v>
      </c>
      <c r="T7805" s="69"/>
      <c r="U7805" s="69"/>
    </row>
    <row r="7806" spans="19:21" ht="15" customHeight="1" x14ac:dyDescent="0.2">
      <c r="S7806" s="69">
        <f>_xlfn.XLOOKUP(Results!A7806,Geometry!$B$6:$B$10000,Geometry!$C$6:$C$10000)</f>
        <v>0</v>
      </c>
      <c r="T7806" s="69"/>
      <c r="U7806" s="69"/>
    </row>
    <row r="7807" spans="19:21" ht="15" customHeight="1" x14ac:dyDescent="0.2">
      <c r="S7807" s="69">
        <f>_xlfn.XLOOKUP(Results!A7807,Geometry!$B$6:$B$10000,Geometry!$C$6:$C$10000)</f>
        <v>0</v>
      </c>
      <c r="T7807" s="69"/>
      <c r="U7807" s="69"/>
    </row>
    <row r="7808" spans="19:21" ht="15" customHeight="1" x14ac:dyDescent="0.2">
      <c r="S7808" s="69">
        <f>_xlfn.XLOOKUP(Results!A7808,Geometry!$B$6:$B$10000,Geometry!$C$6:$C$10000)</f>
        <v>0</v>
      </c>
      <c r="T7808" s="69"/>
      <c r="U7808" s="69"/>
    </row>
    <row r="7809" spans="19:21" ht="15" customHeight="1" x14ac:dyDescent="0.2">
      <c r="S7809" s="69">
        <f>_xlfn.XLOOKUP(Results!A7809,Geometry!$B$6:$B$10000,Geometry!$C$6:$C$10000)</f>
        <v>0</v>
      </c>
      <c r="T7809" s="69"/>
      <c r="U7809" s="69"/>
    </row>
    <row r="7810" spans="19:21" ht="15" customHeight="1" x14ac:dyDescent="0.2">
      <c r="S7810" s="69">
        <f>_xlfn.XLOOKUP(Results!A7810,Geometry!$B$6:$B$10000,Geometry!$C$6:$C$10000)</f>
        <v>0</v>
      </c>
      <c r="T7810" s="69"/>
      <c r="U7810" s="69"/>
    </row>
    <row r="7811" spans="19:21" ht="15" customHeight="1" x14ac:dyDescent="0.2">
      <c r="S7811" s="69">
        <f>_xlfn.XLOOKUP(Results!A7811,Geometry!$B$6:$B$10000,Geometry!$C$6:$C$10000)</f>
        <v>0</v>
      </c>
      <c r="T7811" s="69"/>
      <c r="U7811" s="69"/>
    </row>
    <row r="7812" spans="19:21" ht="15" customHeight="1" x14ac:dyDescent="0.2">
      <c r="S7812" s="69">
        <f>_xlfn.XLOOKUP(Results!A7812,Geometry!$B$6:$B$10000,Geometry!$C$6:$C$10000)</f>
        <v>0</v>
      </c>
      <c r="T7812" s="69"/>
      <c r="U7812" s="69"/>
    </row>
    <row r="7813" spans="19:21" ht="15" customHeight="1" x14ac:dyDescent="0.2">
      <c r="S7813" s="69">
        <f>_xlfn.XLOOKUP(Results!A7813,Geometry!$B$6:$B$10000,Geometry!$C$6:$C$10000)</f>
        <v>0</v>
      </c>
      <c r="T7813" s="69"/>
      <c r="U7813" s="69"/>
    </row>
    <row r="7814" spans="19:21" ht="15" customHeight="1" x14ac:dyDescent="0.2">
      <c r="S7814" s="69">
        <f>_xlfn.XLOOKUP(Results!A7814,Geometry!$B$6:$B$10000,Geometry!$C$6:$C$10000)</f>
        <v>0</v>
      </c>
      <c r="T7814" s="69"/>
      <c r="U7814" s="69"/>
    </row>
    <row r="7815" spans="19:21" ht="15" customHeight="1" x14ac:dyDescent="0.2">
      <c r="S7815" s="69">
        <f>_xlfn.XLOOKUP(Results!A7815,Geometry!$B$6:$B$10000,Geometry!$C$6:$C$10000)</f>
        <v>0</v>
      </c>
      <c r="T7815" s="69"/>
      <c r="U7815" s="69"/>
    </row>
    <row r="7816" spans="19:21" ht="15" customHeight="1" x14ac:dyDescent="0.2">
      <c r="S7816" s="69">
        <f>_xlfn.XLOOKUP(Results!A7816,Geometry!$B$6:$B$10000,Geometry!$C$6:$C$10000)</f>
        <v>0</v>
      </c>
      <c r="T7816" s="69"/>
      <c r="U7816" s="69"/>
    </row>
    <row r="7817" spans="19:21" ht="15" customHeight="1" x14ac:dyDescent="0.2">
      <c r="S7817" s="69">
        <f>_xlfn.XLOOKUP(Results!A7817,Geometry!$B$6:$B$10000,Geometry!$C$6:$C$10000)</f>
        <v>0</v>
      </c>
      <c r="T7817" s="69"/>
      <c r="U7817" s="69"/>
    </row>
    <row r="7818" spans="19:21" ht="15" customHeight="1" x14ac:dyDescent="0.2">
      <c r="S7818" s="69">
        <f>_xlfn.XLOOKUP(Results!A7818,Geometry!$B$6:$B$10000,Geometry!$C$6:$C$10000)</f>
        <v>0</v>
      </c>
      <c r="T7818" s="69"/>
      <c r="U7818" s="69"/>
    </row>
    <row r="7819" spans="19:21" ht="15" customHeight="1" x14ac:dyDescent="0.2">
      <c r="S7819" s="69">
        <f>_xlfn.XLOOKUP(Results!A7819,Geometry!$B$6:$B$10000,Geometry!$C$6:$C$10000)</f>
        <v>0</v>
      </c>
      <c r="T7819" s="69"/>
      <c r="U7819" s="69"/>
    </row>
    <row r="7820" spans="19:21" ht="15" customHeight="1" x14ac:dyDescent="0.2">
      <c r="S7820" s="69">
        <f>_xlfn.XLOOKUP(Results!A7820,Geometry!$B$6:$B$10000,Geometry!$C$6:$C$10000)</f>
        <v>0</v>
      </c>
      <c r="T7820" s="69"/>
      <c r="U7820" s="69"/>
    </row>
    <row r="7821" spans="19:21" ht="15" customHeight="1" x14ac:dyDescent="0.2">
      <c r="S7821" s="69">
        <f>_xlfn.XLOOKUP(Results!A7821,Geometry!$B$6:$B$10000,Geometry!$C$6:$C$10000)</f>
        <v>0</v>
      </c>
      <c r="T7821" s="69"/>
      <c r="U7821" s="69"/>
    </row>
    <row r="7822" spans="19:21" ht="15" customHeight="1" x14ac:dyDescent="0.2">
      <c r="S7822" s="69">
        <f>_xlfn.XLOOKUP(Results!A7822,Geometry!$B$6:$B$10000,Geometry!$C$6:$C$10000)</f>
        <v>0</v>
      </c>
      <c r="T7822" s="69"/>
      <c r="U7822" s="69"/>
    </row>
    <row r="7823" spans="19:21" ht="15" customHeight="1" x14ac:dyDescent="0.2">
      <c r="S7823" s="69">
        <f>_xlfn.XLOOKUP(Results!A7823,Geometry!$B$6:$B$10000,Geometry!$C$6:$C$10000)</f>
        <v>0</v>
      </c>
      <c r="T7823" s="69"/>
      <c r="U7823" s="69"/>
    </row>
    <row r="7824" spans="19:21" ht="15" customHeight="1" x14ac:dyDescent="0.2">
      <c r="S7824" s="69">
        <f>_xlfn.XLOOKUP(Results!A7824,Geometry!$B$6:$B$10000,Geometry!$C$6:$C$10000)</f>
        <v>0</v>
      </c>
      <c r="T7824" s="69"/>
      <c r="U7824" s="69"/>
    </row>
    <row r="7825" spans="19:21" ht="15" customHeight="1" x14ac:dyDescent="0.2">
      <c r="S7825" s="69">
        <f>_xlfn.XLOOKUP(Results!A7825,Geometry!$B$6:$B$10000,Geometry!$C$6:$C$10000)</f>
        <v>0</v>
      </c>
      <c r="T7825" s="69"/>
      <c r="U7825" s="69"/>
    </row>
    <row r="7826" spans="19:21" ht="15" customHeight="1" x14ac:dyDescent="0.2">
      <c r="S7826" s="69">
        <f>_xlfn.XLOOKUP(Results!A7826,Geometry!$B$6:$B$10000,Geometry!$C$6:$C$10000)</f>
        <v>0</v>
      </c>
      <c r="T7826" s="69"/>
      <c r="U7826" s="69"/>
    </row>
    <row r="7827" spans="19:21" ht="15" customHeight="1" x14ac:dyDescent="0.2">
      <c r="S7827" s="69">
        <f>_xlfn.XLOOKUP(Results!A7827,Geometry!$B$6:$B$10000,Geometry!$C$6:$C$10000)</f>
        <v>0</v>
      </c>
      <c r="T7827" s="69"/>
      <c r="U7827" s="69"/>
    </row>
    <row r="7828" spans="19:21" ht="15" customHeight="1" x14ac:dyDescent="0.2">
      <c r="S7828" s="69">
        <f>_xlfn.XLOOKUP(Results!A7828,Geometry!$B$6:$B$10000,Geometry!$C$6:$C$10000)</f>
        <v>0</v>
      </c>
      <c r="T7828" s="69"/>
      <c r="U7828" s="69"/>
    </row>
    <row r="7829" spans="19:21" ht="15" customHeight="1" x14ac:dyDescent="0.2">
      <c r="S7829" s="69">
        <f>_xlfn.XLOOKUP(Results!A7829,Geometry!$B$6:$B$10000,Geometry!$C$6:$C$10000)</f>
        <v>0</v>
      </c>
      <c r="T7829" s="69"/>
      <c r="U7829" s="69"/>
    </row>
    <row r="7830" spans="19:21" ht="15" customHeight="1" x14ac:dyDescent="0.2">
      <c r="S7830" s="69">
        <f>_xlfn.XLOOKUP(Results!A7830,Geometry!$B$6:$B$10000,Geometry!$C$6:$C$10000)</f>
        <v>0</v>
      </c>
      <c r="T7830" s="69"/>
      <c r="U7830" s="69"/>
    </row>
    <row r="7831" spans="19:21" ht="15" customHeight="1" x14ac:dyDescent="0.2">
      <c r="S7831" s="69">
        <f>_xlfn.XLOOKUP(Results!A7831,Geometry!$B$6:$B$10000,Geometry!$C$6:$C$10000)</f>
        <v>0</v>
      </c>
      <c r="T7831" s="69"/>
      <c r="U7831" s="69"/>
    </row>
    <row r="7832" spans="19:21" ht="15" customHeight="1" x14ac:dyDescent="0.2">
      <c r="S7832" s="69">
        <f>_xlfn.XLOOKUP(Results!A7832,Geometry!$B$6:$B$10000,Geometry!$C$6:$C$10000)</f>
        <v>0</v>
      </c>
      <c r="T7832" s="69"/>
      <c r="U7832" s="69"/>
    </row>
    <row r="7833" spans="19:21" ht="15" customHeight="1" x14ac:dyDescent="0.2">
      <c r="S7833" s="69">
        <f>_xlfn.XLOOKUP(Results!A7833,Geometry!$B$6:$B$10000,Geometry!$C$6:$C$10000)</f>
        <v>0</v>
      </c>
      <c r="T7833" s="69"/>
      <c r="U7833" s="69"/>
    </row>
    <row r="7834" spans="19:21" ht="15" customHeight="1" x14ac:dyDescent="0.2">
      <c r="S7834" s="69">
        <f>_xlfn.XLOOKUP(Results!A7834,Geometry!$B$6:$B$10000,Geometry!$C$6:$C$10000)</f>
        <v>0</v>
      </c>
      <c r="T7834" s="69"/>
      <c r="U7834" s="69"/>
    </row>
    <row r="7835" spans="19:21" ht="15" customHeight="1" x14ac:dyDescent="0.2">
      <c r="S7835" s="69">
        <f>_xlfn.XLOOKUP(Results!A7835,Geometry!$B$6:$B$10000,Geometry!$C$6:$C$10000)</f>
        <v>0</v>
      </c>
      <c r="T7835" s="69"/>
      <c r="U7835" s="69"/>
    </row>
    <row r="7836" spans="19:21" ht="15" customHeight="1" x14ac:dyDescent="0.2">
      <c r="S7836" s="69">
        <f>_xlfn.XLOOKUP(Results!A7836,Geometry!$B$6:$B$10000,Geometry!$C$6:$C$10000)</f>
        <v>0</v>
      </c>
      <c r="T7836" s="69"/>
      <c r="U7836" s="69"/>
    </row>
    <row r="7837" spans="19:21" ht="15" customHeight="1" x14ac:dyDescent="0.2">
      <c r="S7837" s="69">
        <f>_xlfn.XLOOKUP(Results!A7837,Geometry!$B$6:$B$10000,Geometry!$C$6:$C$10000)</f>
        <v>0</v>
      </c>
      <c r="T7837" s="69"/>
      <c r="U7837" s="69"/>
    </row>
    <row r="7838" spans="19:21" ht="15" customHeight="1" x14ac:dyDescent="0.2">
      <c r="S7838" s="69">
        <f>_xlfn.XLOOKUP(Results!A7838,Geometry!$B$6:$B$10000,Geometry!$C$6:$C$10000)</f>
        <v>0</v>
      </c>
      <c r="T7838" s="69"/>
      <c r="U7838" s="69"/>
    </row>
    <row r="7839" spans="19:21" ht="15" customHeight="1" x14ac:dyDescent="0.2">
      <c r="S7839" s="69">
        <f>_xlfn.XLOOKUP(Results!A7839,Geometry!$B$6:$B$10000,Geometry!$C$6:$C$10000)</f>
        <v>0</v>
      </c>
      <c r="T7839" s="69"/>
      <c r="U7839" s="69"/>
    </row>
    <row r="7840" spans="19:21" ht="15" customHeight="1" x14ac:dyDescent="0.2">
      <c r="S7840" s="69">
        <f>_xlfn.XLOOKUP(Results!A7840,Geometry!$B$6:$B$10000,Geometry!$C$6:$C$10000)</f>
        <v>0</v>
      </c>
      <c r="T7840" s="69"/>
      <c r="U7840" s="69"/>
    </row>
    <row r="7841" spans="19:21" ht="15" customHeight="1" x14ac:dyDescent="0.2">
      <c r="S7841" s="69">
        <f>_xlfn.XLOOKUP(Results!A7841,Geometry!$B$6:$B$10000,Geometry!$C$6:$C$10000)</f>
        <v>0</v>
      </c>
      <c r="T7841" s="69"/>
      <c r="U7841" s="69"/>
    </row>
    <row r="7842" spans="19:21" ht="15" customHeight="1" x14ac:dyDescent="0.2">
      <c r="S7842" s="69">
        <f>_xlfn.XLOOKUP(Results!A7842,Geometry!$B$6:$B$10000,Geometry!$C$6:$C$10000)</f>
        <v>0</v>
      </c>
      <c r="T7842" s="69"/>
      <c r="U7842" s="69"/>
    </row>
    <row r="7843" spans="19:21" ht="15" customHeight="1" x14ac:dyDescent="0.2">
      <c r="S7843" s="69">
        <f>_xlfn.XLOOKUP(Results!A7843,Geometry!$B$6:$B$10000,Geometry!$C$6:$C$10000)</f>
        <v>0</v>
      </c>
      <c r="T7843" s="69"/>
      <c r="U7843" s="69"/>
    </row>
    <row r="7844" spans="19:21" ht="15" customHeight="1" x14ac:dyDescent="0.2">
      <c r="S7844" s="69">
        <f>_xlfn.XLOOKUP(Results!A7844,Geometry!$B$6:$B$10000,Geometry!$C$6:$C$10000)</f>
        <v>0</v>
      </c>
      <c r="T7844" s="69"/>
      <c r="U7844" s="69"/>
    </row>
    <row r="7845" spans="19:21" ht="15" customHeight="1" x14ac:dyDescent="0.2">
      <c r="S7845" s="69">
        <f>_xlfn.XLOOKUP(Results!A7845,Geometry!$B$6:$B$10000,Geometry!$C$6:$C$10000)</f>
        <v>0</v>
      </c>
      <c r="T7845" s="69"/>
      <c r="U7845" s="69"/>
    </row>
    <row r="7846" spans="19:21" ht="15" customHeight="1" x14ac:dyDescent="0.2">
      <c r="S7846" s="69">
        <f>_xlfn.XLOOKUP(Results!A7846,Geometry!$B$6:$B$10000,Geometry!$C$6:$C$10000)</f>
        <v>0</v>
      </c>
      <c r="T7846" s="69"/>
      <c r="U7846" s="69"/>
    </row>
    <row r="7847" spans="19:21" ht="15" customHeight="1" x14ac:dyDescent="0.2">
      <c r="S7847" s="69">
        <f>_xlfn.XLOOKUP(Results!A7847,Geometry!$B$6:$B$10000,Geometry!$C$6:$C$10000)</f>
        <v>0</v>
      </c>
      <c r="T7847" s="69"/>
      <c r="U7847" s="69"/>
    </row>
    <row r="7848" spans="19:21" ht="15" customHeight="1" x14ac:dyDescent="0.2">
      <c r="S7848" s="69">
        <f>_xlfn.XLOOKUP(Results!A7848,Geometry!$B$6:$B$10000,Geometry!$C$6:$C$10000)</f>
        <v>0</v>
      </c>
      <c r="T7848" s="69"/>
      <c r="U7848" s="69"/>
    </row>
    <row r="7849" spans="19:21" ht="15" customHeight="1" x14ac:dyDescent="0.2">
      <c r="S7849" s="69">
        <f>_xlfn.XLOOKUP(Results!A7849,Geometry!$B$6:$B$10000,Geometry!$C$6:$C$10000)</f>
        <v>0</v>
      </c>
      <c r="T7849" s="69"/>
      <c r="U7849" s="69"/>
    </row>
    <row r="7850" spans="19:21" ht="15" customHeight="1" x14ac:dyDescent="0.2">
      <c r="S7850" s="69">
        <f>_xlfn.XLOOKUP(Results!A7850,Geometry!$B$6:$B$10000,Geometry!$C$6:$C$10000)</f>
        <v>0</v>
      </c>
      <c r="T7850" s="69"/>
      <c r="U7850" s="69"/>
    </row>
    <row r="7851" spans="19:21" ht="15" customHeight="1" x14ac:dyDescent="0.2">
      <c r="S7851" s="69">
        <f>_xlfn.XLOOKUP(Results!A7851,Geometry!$B$6:$B$10000,Geometry!$C$6:$C$10000)</f>
        <v>0</v>
      </c>
      <c r="T7851" s="69"/>
      <c r="U7851" s="69"/>
    </row>
    <row r="7852" spans="19:21" ht="15" customHeight="1" x14ac:dyDescent="0.2">
      <c r="S7852" s="69">
        <f>_xlfn.XLOOKUP(Results!A7852,Geometry!$B$6:$B$10000,Geometry!$C$6:$C$10000)</f>
        <v>0</v>
      </c>
      <c r="T7852" s="69"/>
      <c r="U7852" s="69"/>
    </row>
    <row r="7853" spans="19:21" ht="15" customHeight="1" x14ac:dyDescent="0.2">
      <c r="S7853" s="69">
        <f>_xlfn.XLOOKUP(Results!A7853,Geometry!$B$6:$B$10000,Geometry!$C$6:$C$10000)</f>
        <v>0</v>
      </c>
      <c r="T7853" s="69"/>
      <c r="U7853" s="69"/>
    </row>
    <row r="7854" spans="19:21" ht="15" customHeight="1" x14ac:dyDescent="0.2">
      <c r="S7854" s="69">
        <f>_xlfn.XLOOKUP(Results!A7854,Geometry!$B$6:$B$10000,Geometry!$C$6:$C$10000)</f>
        <v>0</v>
      </c>
      <c r="T7854" s="69"/>
      <c r="U7854" s="69"/>
    </row>
    <row r="7855" spans="19:21" ht="15" customHeight="1" x14ac:dyDescent="0.2">
      <c r="S7855" s="69">
        <f>_xlfn.XLOOKUP(Results!A7855,Geometry!$B$6:$B$10000,Geometry!$C$6:$C$10000)</f>
        <v>0</v>
      </c>
      <c r="T7855" s="69"/>
      <c r="U7855" s="69"/>
    </row>
    <row r="7856" spans="19:21" ht="15" customHeight="1" x14ac:dyDescent="0.2">
      <c r="S7856" s="69">
        <f>_xlfn.XLOOKUP(Results!A7856,Geometry!$B$6:$B$10000,Geometry!$C$6:$C$10000)</f>
        <v>0</v>
      </c>
      <c r="T7856" s="69"/>
      <c r="U7856" s="69"/>
    </row>
    <row r="7857" spans="19:21" ht="15" customHeight="1" x14ac:dyDescent="0.2">
      <c r="S7857" s="69">
        <f>_xlfn.XLOOKUP(Results!A7857,Geometry!$B$6:$B$10000,Geometry!$C$6:$C$10000)</f>
        <v>0</v>
      </c>
      <c r="T7857" s="69"/>
      <c r="U7857" s="69"/>
    </row>
    <row r="7858" spans="19:21" ht="15" customHeight="1" x14ac:dyDescent="0.2">
      <c r="S7858" s="69">
        <f>_xlfn.XLOOKUP(Results!A7858,Geometry!$B$6:$B$10000,Geometry!$C$6:$C$10000)</f>
        <v>0</v>
      </c>
      <c r="T7858" s="69"/>
      <c r="U7858" s="69"/>
    </row>
    <row r="7859" spans="19:21" ht="15" customHeight="1" x14ac:dyDescent="0.2">
      <c r="S7859" s="69">
        <f>_xlfn.XLOOKUP(Results!A7859,Geometry!$B$6:$B$10000,Geometry!$C$6:$C$10000)</f>
        <v>0</v>
      </c>
      <c r="T7859" s="69"/>
      <c r="U7859" s="69"/>
    </row>
    <row r="7860" spans="19:21" ht="15" customHeight="1" x14ac:dyDescent="0.2">
      <c r="S7860" s="69">
        <f>_xlfn.XLOOKUP(Results!A7860,Geometry!$B$6:$B$10000,Geometry!$C$6:$C$10000)</f>
        <v>0</v>
      </c>
      <c r="T7860" s="69"/>
      <c r="U7860" s="69"/>
    </row>
    <row r="7861" spans="19:21" ht="15" customHeight="1" x14ac:dyDescent="0.2">
      <c r="S7861" s="69">
        <f>_xlfn.XLOOKUP(Results!A7861,Geometry!$B$6:$B$10000,Geometry!$C$6:$C$10000)</f>
        <v>0</v>
      </c>
      <c r="T7861" s="69"/>
      <c r="U7861" s="69"/>
    </row>
    <row r="7862" spans="19:21" ht="15" customHeight="1" x14ac:dyDescent="0.2">
      <c r="S7862" s="69">
        <f>_xlfn.XLOOKUP(Results!A7862,Geometry!$B$6:$B$10000,Geometry!$C$6:$C$10000)</f>
        <v>0</v>
      </c>
      <c r="T7862" s="69"/>
      <c r="U7862" s="69"/>
    </row>
    <row r="7863" spans="19:21" ht="15" customHeight="1" x14ac:dyDescent="0.2">
      <c r="S7863" s="69">
        <f>_xlfn.XLOOKUP(Results!A7863,Geometry!$B$6:$B$10000,Geometry!$C$6:$C$10000)</f>
        <v>0</v>
      </c>
      <c r="T7863" s="69"/>
      <c r="U7863" s="69"/>
    </row>
    <row r="7864" spans="19:21" ht="15" customHeight="1" x14ac:dyDescent="0.2">
      <c r="S7864" s="69">
        <f>_xlfn.XLOOKUP(Results!A7864,Geometry!$B$6:$B$10000,Geometry!$C$6:$C$10000)</f>
        <v>0</v>
      </c>
      <c r="T7864" s="69"/>
      <c r="U7864" s="69"/>
    </row>
    <row r="7865" spans="19:21" ht="15" customHeight="1" x14ac:dyDescent="0.2">
      <c r="S7865" s="69">
        <f>_xlfn.XLOOKUP(Results!A7865,Geometry!$B$6:$B$10000,Geometry!$C$6:$C$10000)</f>
        <v>0</v>
      </c>
      <c r="T7865" s="69"/>
      <c r="U7865" s="69"/>
    </row>
    <row r="7866" spans="19:21" ht="15" customHeight="1" x14ac:dyDescent="0.2">
      <c r="S7866" s="69">
        <f>_xlfn.XLOOKUP(Results!A7866,Geometry!$B$6:$B$10000,Geometry!$C$6:$C$10000)</f>
        <v>0</v>
      </c>
      <c r="T7866" s="69"/>
      <c r="U7866" s="69"/>
    </row>
    <row r="7867" spans="19:21" ht="15" customHeight="1" x14ac:dyDescent="0.2">
      <c r="S7867" s="69">
        <f>_xlfn.XLOOKUP(Results!A7867,Geometry!$B$6:$B$10000,Geometry!$C$6:$C$10000)</f>
        <v>0</v>
      </c>
      <c r="T7867" s="69"/>
      <c r="U7867" s="69"/>
    </row>
    <row r="7868" spans="19:21" ht="15" customHeight="1" x14ac:dyDescent="0.2">
      <c r="S7868" s="69">
        <f>_xlfn.XLOOKUP(Results!A7868,Geometry!$B$6:$B$10000,Geometry!$C$6:$C$10000)</f>
        <v>0</v>
      </c>
      <c r="T7868" s="69"/>
      <c r="U7868" s="69"/>
    </row>
    <row r="7869" spans="19:21" ht="15" customHeight="1" x14ac:dyDescent="0.2">
      <c r="S7869" s="69">
        <f>_xlfn.XLOOKUP(Results!A7869,Geometry!$B$6:$B$10000,Geometry!$C$6:$C$10000)</f>
        <v>0</v>
      </c>
      <c r="T7869" s="69"/>
      <c r="U7869" s="69"/>
    </row>
    <row r="7870" spans="19:21" ht="15" customHeight="1" x14ac:dyDescent="0.2">
      <c r="S7870" s="69">
        <f>_xlfn.XLOOKUP(Results!A7870,Geometry!$B$6:$B$10000,Geometry!$C$6:$C$10000)</f>
        <v>0</v>
      </c>
      <c r="T7870" s="69"/>
      <c r="U7870" s="69"/>
    </row>
    <row r="7871" spans="19:21" ht="15" customHeight="1" x14ac:dyDescent="0.2">
      <c r="S7871" s="69">
        <f>_xlfn.XLOOKUP(Results!A7871,Geometry!$B$6:$B$10000,Geometry!$C$6:$C$10000)</f>
        <v>0</v>
      </c>
      <c r="T7871" s="69"/>
      <c r="U7871" s="69"/>
    </row>
    <row r="7872" spans="19:21" ht="15" customHeight="1" x14ac:dyDescent="0.2">
      <c r="S7872" s="69">
        <f>_xlfn.XLOOKUP(Results!A7872,Geometry!$B$6:$B$10000,Geometry!$C$6:$C$10000)</f>
        <v>0</v>
      </c>
      <c r="T7872" s="69"/>
      <c r="U7872" s="69"/>
    </row>
    <row r="7873" spans="19:21" ht="15" customHeight="1" x14ac:dyDescent="0.2">
      <c r="S7873" s="69">
        <f>_xlfn.XLOOKUP(Results!A7873,Geometry!$B$6:$B$10000,Geometry!$C$6:$C$10000)</f>
        <v>0</v>
      </c>
      <c r="T7873" s="69"/>
      <c r="U7873" s="69"/>
    </row>
    <row r="7874" spans="19:21" ht="15" customHeight="1" x14ac:dyDescent="0.2">
      <c r="S7874" s="69">
        <f>_xlfn.XLOOKUP(Results!A7874,Geometry!$B$6:$B$10000,Geometry!$C$6:$C$10000)</f>
        <v>0</v>
      </c>
      <c r="T7874" s="69"/>
      <c r="U7874" s="69"/>
    </row>
    <row r="7875" spans="19:21" ht="15" customHeight="1" x14ac:dyDescent="0.2">
      <c r="S7875" s="69">
        <f>_xlfn.XLOOKUP(Results!A7875,Geometry!$B$6:$B$10000,Geometry!$C$6:$C$10000)</f>
        <v>0</v>
      </c>
      <c r="T7875" s="69"/>
      <c r="U7875" s="69"/>
    </row>
    <row r="7876" spans="19:21" ht="15" customHeight="1" x14ac:dyDescent="0.2">
      <c r="S7876" s="69">
        <f>_xlfn.XLOOKUP(Results!A7876,Geometry!$B$6:$B$10000,Geometry!$C$6:$C$10000)</f>
        <v>0</v>
      </c>
      <c r="T7876" s="69"/>
      <c r="U7876" s="69"/>
    </row>
    <row r="7877" spans="19:21" ht="15" customHeight="1" x14ac:dyDescent="0.2">
      <c r="S7877" s="69">
        <f>_xlfn.XLOOKUP(Results!A7877,Geometry!$B$6:$B$10000,Geometry!$C$6:$C$10000)</f>
        <v>0</v>
      </c>
      <c r="T7877" s="69"/>
      <c r="U7877" s="69"/>
    </row>
    <row r="7878" spans="19:21" ht="15" customHeight="1" x14ac:dyDescent="0.2">
      <c r="S7878" s="69">
        <f>_xlfn.XLOOKUP(Results!A7878,Geometry!$B$6:$B$10000,Geometry!$C$6:$C$10000)</f>
        <v>0</v>
      </c>
      <c r="T7878" s="69"/>
      <c r="U7878" s="69"/>
    </row>
    <row r="7879" spans="19:21" ht="15" customHeight="1" x14ac:dyDescent="0.2">
      <c r="S7879" s="69">
        <f>_xlfn.XLOOKUP(Results!A7879,Geometry!$B$6:$B$10000,Geometry!$C$6:$C$10000)</f>
        <v>0</v>
      </c>
      <c r="T7879" s="69"/>
      <c r="U7879" s="69"/>
    </row>
    <row r="7880" spans="19:21" ht="15" customHeight="1" x14ac:dyDescent="0.2">
      <c r="S7880" s="69">
        <f>_xlfn.XLOOKUP(Results!A7880,Geometry!$B$6:$B$10000,Geometry!$C$6:$C$10000)</f>
        <v>0</v>
      </c>
      <c r="T7880" s="69"/>
      <c r="U7880" s="69"/>
    </row>
    <row r="7881" spans="19:21" ht="15" customHeight="1" x14ac:dyDescent="0.2">
      <c r="S7881" s="69">
        <f>_xlfn.XLOOKUP(Results!A7881,Geometry!$B$6:$B$10000,Geometry!$C$6:$C$10000)</f>
        <v>0</v>
      </c>
      <c r="T7881" s="69"/>
      <c r="U7881" s="69"/>
    </row>
    <row r="7882" spans="19:21" ht="15" customHeight="1" x14ac:dyDescent="0.2">
      <c r="S7882" s="69">
        <f>_xlfn.XLOOKUP(Results!A7882,Geometry!$B$6:$B$10000,Geometry!$C$6:$C$10000)</f>
        <v>0</v>
      </c>
      <c r="T7882" s="69"/>
      <c r="U7882" s="69"/>
    </row>
    <row r="7883" spans="19:21" ht="15" customHeight="1" x14ac:dyDescent="0.2">
      <c r="S7883" s="69">
        <f>_xlfn.XLOOKUP(Results!A7883,Geometry!$B$6:$B$10000,Geometry!$C$6:$C$10000)</f>
        <v>0</v>
      </c>
      <c r="T7883" s="69"/>
      <c r="U7883" s="69"/>
    </row>
    <row r="7884" spans="19:21" ht="15" customHeight="1" x14ac:dyDescent="0.2">
      <c r="S7884" s="69">
        <f>_xlfn.XLOOKUP(Results!A7884,Geometry!$B$6:$B$10000,Geometry!$C$6:$C$10000)</f>
        <v>0</v>
      </c>
      <c r="T7884" s="69"/>
      <c r="U7884" s="69"/>
    </row>
    <row r="7885" spans="19:21" ht="15" customHeight="1" x14ac:dyDescent="0.2">
      <c r="S7885" s="69">
        <f>_xlfn.XLOOKUP(Results!A7885,Geometry!$B$6:$B$10000,Geometry!$C$6:$C$10000)</f>
        <v>0</v>
      </c>
      <c r="T7885" s="69"/>
      <c r="U7885" s="69"/>
    </row>
    <row r="7886" spans="19:21" ht="15" customHeight="1" x14ac:dyDescent="0.2">
      <c r="S7886" s="69">
        <f>_xlfn.XLOOKUP(Results!A7886,Geometry!$B$6:$B$10000,Geometry!$C$6:$C$10000)</f>
        <v>0</v>
      </c>
      <c r="T7886" s="69"/>
      <c r="U7886" s="69"/>
    </row>
    <row r="7887" spans="19:21" ht="15" customHeight="1" x14ac:dyDescent="0.2">
      <c r="S7887" s="69">
        <f>_xlfn.XLOOKUP(Results!A7887,Geometry!$B$6:$B$10000,Geometry!$C$6:$C$10000)</f>
        <v>0</v>
      </c>
      <c r="T7887" s="69"/>
      <c r="U7887" s="69"/>
    </row>
    <row r="7888" spans="19:21" ht="15" customHeight="1" x14ac:dyDescent="0.2">
      <c r="S7888" s="69">
        <f>_xlfn.XLOOKUP(Results!A7888,Geometry!$B$6:$B$10000,Geometry!$C$6:$C$10000)</f>
        <v>0</v>
      </c>
      <c r="T7888" s="69"/>
      <c r="U7888" s="69"/>
    </row>
    <row r="7889" spans="19:21" ht="15" customHeight="1" x14ac:dyDescent="0.2">
      <c r="S7889" s="69">
        <f>_xlfn.XLOOKUP(Results!A7889,Geometry!$B$6:$B$10000,Geometry!$C$6:$C$10000)</f>
        <v>0</v>
      </c>
      <c r="T7889" s="69"/>
      <c r="U7889" s="69"/>
    </row>
    <row r="7890" spans="19:21" ht="15" customHeight="1" x14ac:dyDescent="0.2">
      <c r="S7890" s="69">
        <f>_xlfn.XLOOKUP(Results!A7890,Geometry!$B$6:$B$10000,Geometry!$C$6:$C$10000)</f>
        <v>0</v>
      </c>
      <c r="T7890" s="69"/>
      <c r="U7890" s="69"/>
    </row>
    <row r="7891" spans="19:21" ht="15" customHeight="1" x14ac:dyDescent="0.2">
      <c r="S7891" s="69">
        <f>_xlfn.XLOOKUP(Results!A7891,Geometry!$B$6:$B$10000,Geometry!$C$6:$C$10000)</f>
        <v>0</v>
      </c>
      <c r="T7891" s="69"/>
      <c r="U7891" s="69"/>
    </row>
    <row r="7892" spans="19:21" ht="15" customHeight="1" x14ac:dyDescent="0.2">
      <c r="S7892" s="69">
        <f>_xlfn.XLOOKUP(Results!A7892,Geometry!$B$6:$B$10000,Geometry!$C$6:$C$10000)</f>
        <v>0</v>
      </c>
      <c r="T7892" s="69"/>
      <c r="U7892" s="69"/>
    </row>
    <row r="7893" spans="19:21" ht="15" customHeight="1" x14ac:dyDescent="0.2">
      <c r="S7893" s="69">
        <f>_xlfn.XLOOKUP(Results!A7893,Geometry!$B$6:$B$10000,Geometry!$C$6:$C$10000)</f>
        <v>0</v>
      </c>
      <c r="T7893" s="69"/>
      <c r="U7893" s="69"/>
    </row>
    <row r="7894" spans="19:21" ht="15" customHeight="1" x14ac:dyDescent="0.2">
      <c r="S7894" s="69">
        <f>_xlfn.XLOOKUP(Results!A7894,Geometry!$B$6:$B$10000,Geometry!$C$6:$C$10000)</f>
        <v>0</v>
      </c>
      <c r="T7894" s="69"/>
      <c r="U7894" s="69"/>
    </row>
    <row r="7895" spans="19:21" ht="15" customHeight="1" x14ac:dyDescent="0.2">
      <c r="S7895" s="69">
        <f>_xlfn.XLOOKUP(Results!A7895,Geometry!$B$6:$B$10000,Geometry!$C$6:$C$10000)</f>
        <v>0</v>
      </c>
      <c r="T7895" s="69"/>
      <c r="U7895" s="69"/>
    </row>
    <row r="7896" spans="19:21" ht="15" customHeight="1" x14ac:dyDescent="0.2">
      <c r="S7896" s="69">
        <f>_xlfn.XLOOKUP(Results!A7896,Geometry!$B$6:$B$10000,Geometry!$C$6:$C$10000)</f>
        <v>0</v>
      </c>
      <c r="T7896" s="69"/>
      <c r="U7896" s="69"/>
    </row>
    <row r="7897" spans="19:21" ht="15" customHeight="1" x14ac:dyDescent="0.2">
      <c r="S7897" s="69">
        <f>_xlfn.XLOOKUP(Results!A7897,Geometry!$B$6:$B$10000,Geometry!$C$6:$C$10000)</f>
        <v>0</v>
      </c>
      <c r="T7897" s="69"/>
      <c r="U7897" s="69"/>
    </row>
    <row r="7898" spans="19:21" ht="15" customHeight="1" x14ac:dyDescent="0.2">
      <c r="S7898" s="69">
        <f>_xlfn.XLOOKUP(Results!A7898,Geometry!$B$6:$B$10000,Geometry!$C$6:$C$10000)</f>
        <v>0</v>
      </c>
      <c r="T7898" s="69"/>
      <c r="U7898" s="69"/>
    </row>
    <row r="7899" spans="19:21" ht="15" customHeight="1" x14ac:dyDescent="0.2">
      <c r="S7899" s="69">
        <f>_xlfn.XLOOKUP(Results!A7899,Geometry!$B$6:$B$10000,Geometry!$C$6:$C$10000)</f>
        <v>0</v>
      </c>
      <c r="T7899" s="69"/>
      <c r="U7899" s="69"/>
    </row>
    <row r="7900" spans="19:21" ht="15" customHeight="1" x14ac:dyDescent="0.2">
      <c r="S7900" s="69">
        <f>_xlfn.XLOOKUP(Results!A7900,Geometry!$B$6:$B$10000,Geometry!$C$6:$C$10000)</f>
        <v>0</v>
      </c>
      <c r="T7900" s="69"/>
      <c r="U7900" s="69"/>
    </row>
    <row r="7901" spans="19:21" ht="15" customHeight="1" x14ac:dyDescent="0.2">
      <c r="S7901" s="69">
        <f>_xlfn.XLOOKUP(Results!A7901,Geometry!$B$6:$B$10000,Geometry!$C$6:$C$10000)</f>
        <v>0</v>
      </c>
      <c r="T7901" s="69"/>
      <c r="U7901" s="69"/>
    </row>
    <row r="7902" spans="19:21" ht="15" customHeight="1" x14ac:dyDescent="0.2">
      <c r="S7902" s="69">
        <f>_xlfn.XLOOKUP(Results!A7902,Geometry!$B$6:$B$10000,Geometry!$C$6:$C$10000)</f>
        <v>0</v>
      </c>
      <c r="T7902" s="69"/>
      <c r="U7902" s="69"/>
    </row>
    <row r="7903" spans="19:21" ht="15" customHeight="1" x14ac:dyDescent="0.2">
      <c r="S7903" s="69">
        <f>_xlfn.XLOOKUP(Results!A7903,Geometry!$B$6:$B$10000,Geometry!$C$6:$C$10000)</f>
        <v>0</v>
      </c>
      <c r="T7903" s="69"/>
      <c r="U7903" s="69"/>
    </row>
    <row r="7904" spans="19:21" ht="15" customHeight="1" x14ac:dyDescent="0.2">
      <c r="S7904" s="69">
        <f>_xlfn.XLOOKUP(Results!A7904,Geometry!$B$6:$B$10000,Geometry!$C$6:$C$10000)</f>
        <v>0</v>
      </c>
      <c r="T7904" s="69"/>
      <c r="U7904" s="69"/>
    </row>
    <row r="7905" spans="19:21" ht="15" customHeight="1" x14ac:dyDescent="0.2">
      <c r="S7905" s="69">
        <f>_xlfn.XLOOKUP(Results!A7905,Geometry!$B$6:$B$10000,Geometry!$C$6:$C$10000)</f>
        <v>0</v>
      </c>
      <c r="T7905" s="69"/>
      <c r="U7905" s="69"/>
    </row>
    <row r="7906" spans="19:21" ht="15" customHeight="1" x14ac:dyDescent="0.2">
      <c r="S7906" s="69">
        <f>_xlfn.XLOOKUP(Results!A7906,Geometry!$B$6:$B$10000,Geometry!$C$6:$C$10000)</f>
        <v>0</v>
      </c>
      <c r="T7906" s="69"/>
      <c r="U7906" s="69"/>
    </row>
    <row r="7907" spans="19:21" ht="15" customHeight="1" x14ac:dyDescent="0.2">
      <c r="S7907" s="69">
        <f>_xlfn.XLOOKUP(Results!A7907,Geometry!$B$6:$B$10000,Geometry!$C$6:$C$10000)</f>
        <v>0</v>
      </c>
      <c r="T7907" s="69"/>
      <c r="U7907" s="69"/>
    </row>
    <row r="7908" spans="19:21" ht="15" customHeight="1" x14ac:dyDescent="0.2">
      <c r="S7908" s="69">
        <f>_xlfn.XLOOKUP(Results!A7908,Geometry!$B$6:$B$10000,Geometry!$C$6:$C$10000)</f>
        <v>0</v>
      </c>
      <c r="T7908" s="69"/>
      <c r="U7908" s="69"/>
    </row>
    <row r="7909" spans="19:21" ht="15" customHeight="1" x14ac:dyDescent="0.2">
      <c r="S7909" s="69">
        <f>_xlfn.XLOOKUP(Results!A7909,Geometry!$B$6:$B$10000,Geometry!$C$6:$C$10000)</f>
        <v>0</v>
      </c>
      <c r="T7909" s="69"/>
      <c r="U7909" s="69"/>
    </row>
    <row r="7910" spans="19:21" ht="15" customHeight="1" x14ac:dyDescent="0.2">
      <c r="S7910" s="69">
        <f>_xlfn.XLOOKUP(Results!A7910,Geometry!$B$6:$B$10000,Geometry!$C$6:$C$10000)</f>
        <v>0</v>
      </c>
      <c r="T7910" s="69"/>
      <c r="U7910" s="69"/>
    </row>
    <row r="7911" spans="19:21" ht="15" customHeight="1" x14ac:dyDescent="0.2">
      <c r="S7911" s="69">
        <f>_xlfn.XLOOKUP(Results!A7911,Geometry!$B$6:$B$10000,Geometry!$C$6:$C$10000)</f>
        <v>0</v>
      </c>
      <c r="T7911" s="69"/>
      <c r="U7911" s="69"/>
    </row>
    <row r="7912" spans="19:21" ht="15" customHeight="1" x14ac:dyDescent="0.2">
      <c r="S7912" s="69">
        <f>_xlfn.XLOOKUP(Results!A7912,Geometry!$B$6:$B$10000,Geometry!$C$6:$C$10000)</f>
        <v>0</v>
      </c>
      <c r="T7912" s="69"/>
      <c r="U7912" s="69"/>
    </row>
    <row r="7913" spans="19:21" ht="15" customHeight="1" x14ac:dyDescent="0.2">
      <c r="S7913" s="69">
        <f>_xlfn.XLOOKUP(Results!A7913,Geometry!$B$6:$B$10000,Geometry!$C$6:$C$10000)</f>
        <v>0</v>
      </c>
      <c r="T7913" s="69"/>
      <c r="U7913" s="69"/>
    </row>
    <row r="7914" spans="19:21" ht="15" customHeight="1" x14ac:dyDescent="0.2">
      <c r="S7914" s="69">
        <f>_xlfn.XLOOKUP(Results!A7914,Geometry!$B$6:$B$10000,Geometry!$C$6:$C$10000)</f>
        <v>0</v>
      </c>
      <c r="T7914" s="69"/>
      <c r="U7914" s="69"/>
    </row>
    <row r="7915" spans="19:21" ht="15" customHeight="1" x14ac:dyDescent="0.2">
      <c r="S7915" s="69">
        <f>_xlfn.XLOOKUP(Results!A7915,Geometry!$B$6:$B$10000,Geometry!$C$6:$C$10000)</f>
        <v>0</v>
      </c>
      <c r="T7915" s="69"/>
      <c r="U7915" s="69"/>
    </row>
    <row r="7916" spans="19:21" ht="15" customHeight="1" x14ac:dyDescent="0.2">
      <c r="S7916" s="69">
        <f>_xlfn.XLOOKUP(Results!A7916,Geometry!$B$6:$B$10000,Geometry!$C$6:$C$10000)</f>
        <v>0</v>
      </c>
      <c r="T7916" s="69"/>
      <c r="U7916" s="69"/>
    </row>
    <row r="7917" spans="19:21" ht="15" customHeight="1" x14ac:dyDescent="0.2">
      <c r="S7917" s="69">
        <f>_xlfn.XLOOKUP(Results!A7917,Geometry!$B$6:$B$10000,Geometry!$C$6:$C$10000)</f>
        <v>0</v>
      </c>
      <c r="T7917" s="69"/>
      <c r="U7917" s="69"/>
    </row>
    <row r="7918" spans="19:21" ht="15" customHeight="1" x14ac:dyDescent="0.2">
      <c r="S7918" s="69">
        <f>_xlfn.XLOOKUP(Results!A7918,Geometry!$B$6:$B$10000,Geometry!$C$6:$C$10000)</f>
        <v>0</v>
      </c>
      <c r="T7918" s="69"/>
      <c r="U7918" s="69"/>
    </row>
    <row r="7919" spans="19:21" ht="15" customHeight="1" x14ac:dyDescent="0.2">
      <c r="S7919" s="69">
        <f>_xlfn.XLOOKUP(Results!A7919,Geometry!$B$6:$B$10000,Geometry!$C$6:$C$10000)</f>
        <v>0</v>
      </c>
      <c r="T7919" s="69"/>
      <c r="U7919" s="69"/>
    </row>
    <row r="7920" spans="19:21" ht="15" customHeight="1" x14ac:dyDescent="0.2">
      <c r="S7920" s="69">
        <f>_xlfn.XLOOKUP(Results!A7920,Geometry!$B$6:$B$10000,Geometry!$C$6:$C$10000)</f>
        <v>0</v>
      </c>
      <c r="T7920" s="69"/>
      <c r="U7920" s="69"/>
    </row>
    <row r="7921" spans="19:21" ht="15" customHeight="1" x14ac:dyDescent="0.2">
      <c r="S7921" s="69">
        <f>_xlfn.XLOOKUP(Results!A7921,Geometry!$B$6:$B$10000,Geometry!$C$6:$C$10000)</f>
        <v>0</v>
      </c>
      <c r="T7921" s="69"/>
      <c r="U7921" s="69"/>
    </row>
    <row r="7922" spans="19:21" ht="15" customHeight="1" x14ac:dyDescent="0.2">
      <c r="S7922" s="69">
        <f>_xlfn.XLOOKUP(Results!A7922,Geometry!$B$6:$B$10000,Geometry!$C$6:$C$10000)</f>
        <v>0</v>
      </c>
      <c r="T7922" s="69"/>
      <c r="U7922" s="69"/>
    </row>
    <row r="7923" spans="19:21" ht="15" customHeight="1" x14ac:dyDescent="0.2">
      <c r="S7923" s="69">
        <f>_xlfn.XLOOKUP(Results!A7923,Geometry!$B$6:$B$10000,Geometry!$C$6:$C$10000)</f>
        <v>0</v>
      </c>
      <c r="T7923" s="69"/>
      <c r="U7923" s="69"/>
    </row>
    <row r="7924" spans="19:21" ht="15" customHeight="1" x14ac:dyDescent="0.2">
      <c r="S7924" s="69">
        <f>_xlfn.XLOOKUP(Results!A7924,Geometry!$B$6:$B$10000,Geometry!$C$6:$C$10000)</f>
        <v>0</v>
      </c>
      <c r="T7924" s="69"/>
      <c r="U7924" s="69"/>
    </row>
    <row r="7925" spans="19:21" ht="15" customHeight="1" x14ac:dyDescent="0.2">
      <c r="S7925" s="69">
        <f>_xlfn.XLOOKUP(Results!A7925,Geometry!$B$6:$B$10000,Geometry!$C$6:$C$10000)</f>
        <v>0</v>
      </c>
      <c r="T7925" s="69"/>
      <c r="U7925" s="69"/>
    </row>
    <row r="7926" spans="19:21" ht="15" customHeight="1" x14ac:dyDescent="0.2">
      <c r="S7926" s="69">
        <f>_xlfn.XLOOKUP(Results!A7926,Geometry!$B$6:$B$10000,Geometry!$C$6:$C$10000)</f>
        <v>0</v>
      </c>
      <c r="T7926" s="69"/>
      <c r="U7926" s="69"/>
    </row>
    <row r="7927" spans="19:21" ht="15" customHeight="1" x14ac:dyDescent="0.2">
      <c r="S7927" s="69">
        <f>_xlfn.XLOOKUP(Results!A7927,Geometry!$B$6:$B$10000,Geometry!$C$6:$C$10000)</f>
        <v>0</v>
      </c>
      <c r="T7927" s="69"/>
      <c r="U7927" s="69"/>
    </row>
    <row r="7928" spans="19:21" ht="15" customHeight="1" x14ac:dyDescent="0.2">
      <c r="S7928" s="69">
        <f>_xlfn.XLOOKUP(Results!A7928,Geometry!$B$6:$B$10000,Geometry!$C$6:$C$10000)</f>
        <v>0</v>
      </c>
      <c r="T7928" s="69"/>
      <c r="U7928" s="69"/>
    </row>
    <row r="7929" spans="19:21" ht="15" customHeight="1" x14ac:dyDescent="0.2">
      <c r="S7929" s="69">
        <f>_xlfn.XLOOKUP(Results!A7929,Geometry!$B$6:$B$10000,Geometry!$C$6:$C$10000)</f>
        <v>0</v>
      </c>
      <c r="T7929" s="69"/>
      <c r="U7929" s="69"/>
    </row>
    <row r="7930" spans="19:21" ht="15" customHeight="1" x14ac:dyDescent="0.2">
      <c r="S7930" s="69">
        <f>_xlfn.XLOOKUP(Results!A7930,Geometry!$B$6:$B$10000,Geometry!$C$6:$C$10000)</f>
        <v>0</v>
      </c>
      <c r="T7930" s="69"/>
      <c r="U7930" s="69"/>
    </row>
    <row r="7931" spans="19:21" ht="15" customHeight="1" x14ac:dyDescent="0.2">
      <c r="S7931" s="69">
        <f>_xlfn.XLOOKUP(Results!A7931,Geometry!$B$6:$B$10000,Geometry!$C$6:$C$10000)</f>
        <v>0</v>
      </c>
      <c r="T7931" s="69"/>
      <c r="U7931" s="69"/>
    </row>
    <row r="7932" spans="19:21" ht="15" customHeight="1" x14ac:dyDescent="0.2">
      <c r="S7932" s="69">
        <f>_xlfn.XLOOKUP(Results!A7932,Geometry!$B$6:$B$10000,Geometry!$C$6:$C$10000)</f>
        <v>0</v>
      </c>
      <c r="T7932" s="69"/>
      <c r="U7932" s="69"/>
    </row>
    <row r="7933" spans="19:21" ht="15" customHeight="1" x14ac:dyDescent="0.2">
      <c r="S7933" s="69">
        <f>_xlfn.XLOOKUP(Results!A7933,Geometry!$B$6:$B$10000,Geometry!$C$6:$C$10000)</f>
        <v>0</v>
      </c>
      <c r="T7933" s="69"/>
      <c r="U7933" s="69"/>
    </row>
    <row r="7934" spans="19:21" ht="15" customHeight="1" x14ac:dyDescent="0.2">
      <c r="S7934" s="69">
        <f>_xlfn.XLOOKUP(Results!A7934,Geometry!$B$6:$B$10000,Geometry!$C$6:$C$10000)</f>
        <v>0</v>
      </c>
      <c r="T7934" s="69"/>
      <c r="U7934" s="69"/>
    </row>
    <row r="7935" spans="19:21" ht="15" customHeight="1" x14ac:dyDescent="0.2">
      <c r="S7935" s="69">
        <f>_xlfn.XLOOKUP(Results!A7935,Geometry!$B$6:$B$10000,Geometry!$C$6:$C$10000)</f>
        <v>0</v>
      </c>
      <c r="T7935" s="69"/>
      <c r="U7935" s="69"/>
    </row>
    <row r="7936" spans="19:21" ht="15" customHeight="1" x14ac:dyDescent="0.2">
      <c r="S7936" s="69">
        <f>_xlfn.XLOOKUP(Results!A7936,Geometry!$B$6:$B$10000,Geometry!$C$6:$C$10000)</f>
        <v>0</v>
      </c>
      <c r="T7936" s="69"/>
      <c r="U7936" s="69"/>
    </row>
    <row r="7937" spans="19:21" ht="15" customHeight="1" x14ac:dyDescent="0.2">
      <c r="S7937" s="69">
        <f>_xlfn.XLOOKUP(Results!A7937,Geometry!$B$6:$B$10000,Geometry!$C$6:$C$10000)</f>
        <v>0</v>
      </c>
      <c r="T7937" s="69"/>
      <c r="U7937" s="69"/>
    </row>
    <row r="7938" spans="19:21" ht="15" customHeight="1" x14ac:dyDescent="0.2">
      <c r="S7938" s="69">
        <f>_xlfn.XLOOKUP(Results!A7938,Geometry!$B$6:$B$10000,Geometry!$C$6:$C$10000)</f>
        <v>0</v>
      </c>
      <c r="T7938" s="69"/>
      <c r="U7938" s="69"/>
    </row>
    <row r="7939" spans="19:21" ht="15" customHeight="1" x14ac:dyDescent="0.2">
      <c r="S7939" s="69">
        <f>_xlfn.XLOOKUP(Results!A7939,Geometry!$B$6:$B$10000,Geometry!$C$6:$C$10000)</f>
        <v>0</v>
      </c>
      <c r="T7939" s="69"/>
      <c r="U7939" s="69"/>
    </row>
    <row r="7940" spans="19:21" ht="15" customHeight="1" x14ac:dyDescent="0.2">
      <c r="S7940" s="69">
        <f>_xlfn.XLOOKUP(Results!A7940,Geometry!$B$6:$B$10000,Geometry!$C$6:$C$10000)</f>
        <v>0</v>
      </c>
      <c r="T7940" s="69"/>
      <c r="U7940" s="69"/>
    </row>
    <row r="7941" spans="19:21" ht="15" customHeight="1" x14ac:dyDescent="0.2">
      <c r="S7941" s="69">
        <f>_xlfn.XLOOKUP(Results!A7941,Geometry!$B$6:$B$10000,Geometry!$C$6:$C$10000)</f>
        <v>0</v>
      </c>
      <c r="T7941" s="69"/>
      <c r="U7941" s="69"/>
    </row>
    <row r="7942" spans="19:21" ht="15" customHeight="1" x14ac:dyDescent="0.2">
      <c r="S7942" s="69">
        <f>_xlfn.XLOOKUP(Results!A7942,Geometry!$B$6:$B$10000,Geometry!$C$6:$C$10000)</f>
        <v>0</v>
      </c>
      <c r="T7942" s="69"/>
      <c r="U7942" s="69"/>
    </row>
    <row r="7943" spans="19:21" ht="15" customHeight="1" x14ac:dyDescent="0.2">
      <c r="S7943" s="69">
        <f>_xlfn.XLOOKUP(Results!A7943,Geometry!$B$6:$B$10000,Geometry!$C$6:$C$10000)</f>
        <v>0</v>
      </c>
      <c r="T7943" s="69"/>
      <c r="U7943" s="69"/>
    </row>
    <row r="7944" spans="19:21" ht="15" customHeight="1" x14ac:dyDescent="0.2">
      <c r="S7944" s="69">
        <f>_xlfn.XLOOKUP(Results!A7944,Geometry!$B$6:$B$10000,Geometry!$C$6:$C$10000)</f>
        <v>0</v>
      </c>
      <c r="T7944" s="69"/>
      <c r="U7944" s="69"/>
    </row>
    <row r="7945" spans="19:21" ht="15" customHeight="1" x14ac:dyDescent="0.2">
      <c r="S7945" s="69">
        <f>_xlfn.XLOOKUP(Results!A7945,Geometry!$B$6:$B$10000,Geometry!$C$6:$C$10000)</f>
        <v>0</v>
      </c>
      <c r="T7945" s="69"/>
      <c r="U7945" s="69"/>
    </row>
    <row r="7946" spans="19:21" ht="15" customHeight="1" x14ac:dyDescent="0.2">
      <c r="S7946" s="69">
        <f>_xlfn.XLOOKUP(Results!A7946,Geometry!$B$6:$B$10000,Geometry!$C$6:$C$10000)</f>
        <v>0</v>
      </c>
      <c r="T7946" s="69"/>
      <c r="U7946" s="69"/>
    </row>
    <row r="7947" spans="19:21" ht="15" customHeight="1" x14ac:dyDescent="0.2">
      <c r="S7947" s="69">
        <f>_xlfn.XLOOKUP(Results!A7947,Geometry!$B$6:$B$10000,Geometry!$C$6:$C$10000)</f>
        <v>0</v>
      </c>
      <c r="T7947" s="69"/>
      <c r="U7947" s="69"/>
    </row>
    <row r="7948" spans="19:21" ht="15" customHeight="1" x14ac:dyDescent="0.2">
      <c r="S7948" s="69">
        <f>_xlfn.XLOOKUP(Results!A7948,Geometry!$B$6:$B$10000,Geometry!$C$6:$C$10000)</f>
        <v>0</v>
      </c>
      <c r="T7948" s="69"/>
      <c r="U7948" s="69"/>
    </row>
    <row r="7949" spans="19:21" ht="15" customHeight="1" x14ac:dyDescent="0.2">
      <c r="S7949" s="69">
        <f>_xlfn.XLOOKUP(Results!A7949,Geometry!$B$6:$B$10000,Geometry!$C$6:$C$10000)</f>
        <v>0</v>
      </c>
      <c r="T7949" s="69"/>
      <c r="U7949" s="69"/>
    </row>
    <row r="7950" spans="19:21" ht="15" customHeight="1" x14ac:dyDescent="0.2">
      <c r="S7950" s="69">
        <f>_xlfn.XLOOKUP(Results!A7950,Geometry!$B$6:$B$10000,Geometry!$C$6:$C$10000)</f>
        <v>0</v>
      </c>
      <c r="T7950" s="69"/>
      <c r="U7950" s="69"/>
    </row>
    <row r="7951" spans="19:21" ht="15" customHeight="1" x14ac:dyDescent="0.2">
      <c r="S7951" s="69">
        <f>_xlfn.XLOOKUP(Results!A7951,Geometry!$B$6:$B$10000,Geometry!$C$6:$C$10000)</f>
        <v>0</v>
      </c>
      <c r="T7951" s="69"/>
      <c r="U7951" s="69"/>
    </row>
    <row r="7952" spans="19:21" ht="15" customHeight="1" x14ac:dyDescent="0.2">
      <c r="S7952" s="69">
        <f>_xlfn.XLOOKUP(Results!A7952,Geometry!$B$6:$B$10000,Geometry!$C$6:$C$10000)</f>
        <v>0</v>
      </c>
      <c r="T7952" s="69"/>
      <c r="U7952" s="69"/>
    </row>
    <row r="7953" spans="19:21" ht="15" customHeight="1" x14ac:dyDescent="0.2">
      <c r="S7953" s="69">
        <f>_xlfn.XLOOKUP(Results!A7953,Geometry!$B$6:$B$10000,Geometry!$C$6:$C$10000)</f>
        <v>0</v>
      </c>
      <c r="T7953" s="69"/>
      <c r="U7953" s="69"/>
    </row>
    <row r="7954" spans="19:21" ht="15" customHeight="1" x14ac:dyDescent="0.2">
      <c r="S7954" s="69">
        <f>_xlfn.XLOOKUP(Results!A7954,Geometry!$B$6:$B$10000,Geometry!$C$6:$C$10000)</f>
        <v>0</v>
      </c>
      <c r="T7954" s="69"/>
      <c r="U7954" s="69"/>
    </row>
    <row r="7955" spans="19:21" ht="15" customHeight="1" x14ac:dyDescent="0.2">
      <c r="S7955" s="69">
        <f>_xlfn.XLOOKUP(Results!A7955,Geometry!$B$6:$B$10000,Geometry!$C$6:$C$10000)</f>
        <v>0</v>
      </c>
      <c r="T7955" s="69"/>
      <c r="U7955" s="69"/>
    </row>
    <row r="7956" spans="19:21" ht="15" customHeight="1" x14ac:dyDescent="0.2">
      <c r="S7956" s="69">
        <f>_xlfn.XLOOKUP(Results!A7956,Geometry!$B$6:$B$10000,Geometry!$C$6:$C$10000)</f>
        <v>0</v>
      </c>
      <c r="T7956" s="69"/>
      <c r="U7956" s="69"/>
    </row>
    <row r="7957" spans="19:21" ht="15" customHeight="1" x14ac:dyDescent="0.2">
      <c r="S7957" s="69">
        <f>_xlfn.XLOOKUP(Results!A7957,Geometry!$B$6:$B$10000,Geometry!$C$6:$C$10000)</f>
        <v>0</v>
      </c>
      <c r="T7957" s="69"/>
      <c r="U7957" s="69"/>
    </row>
    <row r="7958" spans="19:21" ht="15" customHeight="1" x14ac:dyDescent="0.2">
      <c r="S7958" s="69">
        <f>_xlfn.XLOOKUP(Results!A7958,Geometry!$B$6:$B$10000,Geometry!$C$6:$C$10000)</f>
        <v>0</v>
      </c>
      <c r="T7958" s="69"/>
      <c r="U7958" s="69"/>
    </row>
    <row r="7959" spans="19:21" ht="15" customHeight="1" x14ac:dyDescent="0.2">
      <c r="S7959" s="69">
        <f>_xlfn.XLOOKUP(Results!A7959,Geometry!$B$6:$B$10000,Geometry!$C$6:$C$10000)</f>
        <v>0</v>
      </c>
      <c r="T7959" s="69"/>
      <c r="U7959" s="69"/>
    </row>
    <row r="7960" spans="19:21" ht="15" customHeight="1" x14ac:dyDescent="0.2">
      <c r="S7960" s="69">
        <f>_xlfn.XLOOKUP(Results!A7960,Geometry!$B$6:$B$10000,Geometry!$C$6:$C$10000)</f>
        <v>0</v>
      </c>
      <c r="T7960" s="69"/>
      <c r="U7960" s="69"/>
    </row>
    <row r="7961" spans="19:21" ht="15" customHeight="1" x14ac:dyDescent="0.2">
      <c r="S7961" s="69">
        <f>_xlfn.XLOOKUP(Results!A7961,Geometry!$B$6:$B$10000,Geometry!$C$6:$C$10000)</f>
        <v>0</v>
      </c>
      <c r="T7961" s="69"/>
      <c r="U7961" s="69"/>
    </row>
    <row r="7962" spans="19:21" ht="15" customHeight="1" x14ac:dyDescent="0.2">
      <c r="S7962" s="69">
        <f>_xlfn.XLOOKUP(Results!A7962,Geometry!$B$6:$B$10000,Geometry!$C$6:$C$10000)</f>
        <v>0</v>
      </c>
      <c r="T7962" s="69"/>
      <c r="U7962" s="69"/>
    </row>
    <row r="7963" spans="19:21" ht="15" customHeight="1" x14ac:dyDescent="0.2">
      <c r="S7963" s="69">
        <f>_xlfn.XLOOKUP(Results!A7963,Geometry!$B$6:$B$10000,Geometry!$C$6:$C$10000)</f>
        <v>0</v>
      </c>
      <c r="T7963" s="69"/>
      <c r="U7963" s="69"/>
    </row>
    <row r="7964" spans="19:21" ht="15" customHeight="1" x14ac:dyDescent="0.2">
      <c r="S7964" s="69">
        <f>_xlfn.XLOOKUP(Results!A7964,Geometry!$B$6:$B$10000,Geometry!$C$6:$C$10000)</f>
        <v>0</v>
      </c>
      <c r="T7964" s="69"/>
      <c r="U7964" s="69"/>
    </row>
    <row r="7965" spans="19:21" ht="15" customHeight="1" x14ac:dyDescent="0.2">
      <c r="S7965" s="69">
        <f>_xlfn.XLOOKUP(Results!A7965,Geometry!$B$6:$B$10000,Geometry!$C$6:$C$10000)</f>
        <v>0</v>
      </c>
      <c r="T7965" s="69"/>
      <c r="U7965" s="69"/>
    </row>
    <row r="7966" spans="19:21" ht="15" customHeight="1" x14ac:dyDescent="0.2">
      <c r="S7966" s="69">
        <f>_xlfn.XLOOKUP(Results!A7966,Geometry!$B$6:$B$10000,Geometry!$C$6:$C$10000)</f>
        <v>0</v>
      </c>
      <c r="T7966" s="69"/>
      <c r="U7966" s="69"/>
    </row>
    <row r="7967" spans="19:21" ht="15" customHeight="1" x14ac:dyDescent="0.2">
      <c r="S7967" s="69">
        <f>_xlfn.XLOOKUP(Results!A7967,Geometry!$B$6:$B$10000,Geometry!$C$6:$C$10000)</f>
        <v>0</v>
      </c>
      <c r="T7967" s="69"/>
      <c r="U7967" s="69"/>
    </row>
    <row r="7968" spans="19:21" ht="15" customHeight="1" x14ac:dyDescent="0.2">
      <c r="S7968" s="69">
        <f>_xlfn.XLOOKUP(Results!A7968,Geometry!$B$6:$B$10000,Geometry!$C$6:$C$10000)</f>
        <v>0</v>
      </c>
      <c r="T7968" s="69"/>
      <c r="U7968" s="69"/>
    </row>
    <row r="7969" spans="19:21" ht="15" customHeight="1" x14ac:dyDescent="0.2">
      <c r="S7969" s="69">
        <f>_xlfn.XLOOKUP(Results!A7969,Geometry!$B$6:$B$10000,Geometry!$C$6:$C$10000)</f>
        <v>0</v>
      </c>
      <c r="T7969" s="69"/>
      <c r="U7969" s="69"/>
    </row>
    <row r="7970" spans="19:21" ht="15" customHeight="1" x14ac:dyDescent="0.2">
      <c r="S7970" s="69">
        <f>_xlfn.XLOOKUP(Results!A7970,Geometry!$B$6:$B$10000,Geometry!$C$6:$C$10000)</f>
        <v>0</v>
      </c>
      <c r="T7970" s="69"/>
      <c r="U7970" s="69"/>
    </row>
    <row r="7971" spans="19:21" ht="15" customHeight="1" x14ac:dyDescent="0.2">
      <c r="S7971" s="69">
        <f>_xlfn.XLOOKUP(Results!A7971,Geometry!$B$6:$B$10000,Geometry!$C$6:$C$10000)</f>
        <v>0</v>
      </c>
      <c r="T7971" s="69"/>
      <c r="U7971" s="69"/>
    </row>
    <row r="7972" spans="19:21" ht="15" customHeight="1" x14ac:dyDescent="0.2">
      <c r="S7972" s="69">
        <f>_xlfn.XLOOKUP(Results!A7972,Geometry!$B$6:$B$10000,Geometry!$C$6:$C$10000)</f>
        <v>0</v>
      </c>
      <c r="T7972" s="69"/>
      <c r="U7972" s="69"/>
    </row>
    <row r="7973" spans="19:21" ht="15" customHeight="1" x14ac:dyDescent="0.2">
      <c r="S7973" s="69">
        <f>_xlfn.XLOOKUP(Results!A7973,Geometry!$B$6:$B$10000,Geometry!$C$6:$C$10000)</f>
        <v>0</v>
      </c>
      <c r="T7973" s="69"/>
      <c r="U7973" s="69"/>
    </row>
    <row r="7974" spans="19:21" ht="15" customHeight="1" x14ac:dyDescent="0.2">
      <c r="S7974" s="69">
        <f>_xlfn.XLOOKUP(Results!A7974,Geometry!$B$6:$B$10000,Geometry!$C$6:$C$10000)</f>
        <v>0</v>
      </c>
      <c r="T7974" s="69"/>
      <c r="U7974" s="69"/>
    </row>
    <row r="7975" spans="19:21" ht="15" customHeight="1" x14ac:dyDescent="0.2">
      <c r="S7975" s="69">
        <f>_xlfn.XLOOKUP(Results!A7975,Geometry!$B$6:$B$10000,Geometry!$C$6:$C$10000)</f>
        <v>0</v>
      </c>
      <c r="T7975" s="69"/>
      <c r="U7975" s="69"/>
    </row>
    <row r="7976" spans="19:21" ht="15" customHeight="1" x14ac:dyDescent="0.2">
      <c r="S7976" s="69">
        <f>_xlfn.XLOOKUP(Results!A7976,Geometry!$B$6:$B$10000,Geometry!$C$6:$C$10000)</f>
        <v>0</v>
      </c>
      <c r="T7976" s="69"/>
      <c r="U7976" s="69"/>
    </row>
    <row r="7977" spans="19:21" ht="15" customHeight="1" x14ac:dyDescent="0.2">
      <c r="S7977" s="69">
        <f>_xlfn.XLOOKUP(Results!A7977,Geometry!$B$6:$B$10000,Geometry!$C$6:$C$10000)</f>
        <v>0</v>
      </c>
      <c r="T7977" s="69"/>
      <c r="U7977" s="69"/>
    </row>
    <row r="7978" spans="19:21" ht="15" customHeight="1" x14ac:dyDescent="0.2">
      <c r="S7978" s="69">
        <f>_xlfn.XLOOKUP(Results!A7978,Geometry!$B$6:$B$10000,Geometry!$C$6:$C$10000)</f>
        <v>0</v>
      </c>
      <c r="T7978" s="69"/>
      <c r="U7978" s="69"/>
    </row>
    <row r="7979" spans="19:21" ht="15" customHeight="1" x14ac:dyDescent="0.2">
      <c r="S7979" s="69">
        <f>_xlfn.XLOOKUP(Results!A7979,Geometry!$B$6:$B$10000,Geometry!$C$6:$C$10000)</f>
        <v>0</v>
      </c>
      <c r="T7979" s="69"/>
      <c r="U7979" s="69"/>
    </row>
    <row r="7980" spans="19:21" ht="15" customHeight="1" x14ac:dyDescent="0.2">
      <c r="S7980" s="69">
        <f>_xlfn.XLOOKUP(Results!A7980,Geometry!$B$6:$B$10000,Geometry!$C$6:$C$10000)</f>
        <v>0</v>
      </c>
      <c r="T7980" s="69"/>
      <c r="U7980" s="69"/>
    </row>
    <row r="7981" spans="19:21" ht="15" customHeight="1" x14ac:dyDescent="0.2">
      <c r="S7981" s="69">
        <f>_xlfn.XLOOKUP(Results!A7981,Geometry!$B$6:$B$10000,Geometry!$C$6:$C$10000)</f>
        <v>0</v>
      </c>
      <c r="T7981" s="69"/>
      <c r="U7981" s="69"/>
    </row>
    <row r="7982" spans="19:21" ht="15" customHeight="1" x14ac:dyDescent="0.2">
      <c r="S7982" s="69">
        <f>_xlfn.XLOOKUP(Results!A7982,Geometry!$B$6:$B$10000,Geometry!$C$6:$C$10000)</f>
        <v>0</v>
      </c>
      <c r="T7982" s="69"/>
      <c r="U7982" s="69"/>
    </row>
    <row r="7983" spans="19:21" ht="15" customHeight="1" x14ac:dyDescent="0.2">
      <c r="S7983" s="69">
        <f>_xlfn.XLOOKUP(Results!A7983,Geometry!$B$6:$B$10000,Geometry!$C$6:$C$10000)</f>
        <v>0</v>
      </c>
      <c r="T7983" s="69"/>
      <c r="U7983" s="69"/>
    </row>
    <row r="7984" spans="19:21" ht="15" customHeight="1" x14ac:dyDescent="0.2">
      <c r="S7984" s="69">
        <f>_xlfn.XLOOKUP(Results!A7984,Geometry!$B$6:$B$10000,Geometry!$C$6:$C$10000)</f>
        <v>0</v>
      </c>
      <c r="T7984" s="69"/>
      <c r="U7984" s="69"/>
    </row>
    <row r="7985" spans="19:21" ht="15" customHeight="1" x14ac:dyDescent="0.2">
      <c r="S7985" s="69">
        <f>_xlfn.XLOOKUP(Results!A7985,Geometry!$B$6:$B$10000,Geometry!$C$6:$C$10000)</f>
        <v>0</v>
      </c>
      <c r="T7985" s="69"/>
      <c r="U7985" s="69"/>
    </row>
    <row r="7986" spans="19:21" ht="15" customHeight="1" x14ac:dyDescent="0.2">
      <c r="S7986" s="69">
        <f>_xlfn.XLOOKUP(Results!A7986,Geometry!$B$6:$B$10000,Geometry!$C$6:$C$10000)</f>
        <v>0</v>
      </c>
      <c r="T7986" s="69"/>
      <c r="U7986" s="69"/>
    </row>
    <row r="7987" spans="19:21" ht="15" customHeight="1" x14ac:dyDescent="0.2">
      <c r="S7987" s="69">
        <f>_xlfn.XLOOKUP(Results!A7987,Geometry!$B$6:$B$10000,Geometry!$C$6:$C$10000)</f>
        <v>0</v>
      </c>
      <c r="T7987" s="69"/>
      <c r="U7987" s="69"/>
    </row>
    <row r="7988" spans="19:21" ht="15" customHeight="1" x14ac:dyDescent="0.2">
      <c r="S7988" s="69">
        <f>_xlfn.XLOOKUP(Results!A7988,Geometry!$B$6:$B$10000,Geometry!$C$6:$C$10000)</f>
        <v>0</v>
      </c>
      <c r="T7988" s="69"/>
      <c r="U7988" s="69"/>
    </row>
    <row r="7989" spans="19:21" ht="15" customHeight="1" x14ac:dyDescent="0.2">
      <c r="S7989" s="69">
        <f>_xlfn.XLOOKUP(Results!A7989,Geometry!$B$6:$B$10000,Geometry!$C$6:$C$10000)</f>
        <v>0</v>
      </c>
      <c r="T7989" s="69"/>
      <c r="U7989" s="69"/>
    </row>
    <row r="7990" spans="19:21" ht="15" customHeight="1" x14ac:dyDescent="0.2">
      <c r="S7990" s="69">
        <f>_xlfn.XLOOKUP(Results!A7990,Geometry!$B$6:$B$10000,Geometry!$C$6:$C$10000)</f>
        <v>0</v>
      </c>
      <c r="T7990" s="69"/>
      <c r="U7990" s="69"/>
    </row>
    <row r="7991" spans="19:21" ht="15" customHeight="1" x14ac:dyDescent="0.2">
      <c r="S7991" s="69">
        <f>_xlfn.XLOOKUP(Results!A7991,Geometry!$B$6:$B$10000,Geometry!$C$6:$C$10000)</f>
        <v>0</v>
      </c>
      <c r="T7991" s="69"/>
      <c r="U7991" s="69"/>
    </row>
    <row r="7992" spans="19:21" ht="15" customHeight="1" x14ac:dyDescent="0.2">
      <c r="S7992" s="69">
        <f>_xlfn.XLOOKUP(Results!A7992,Geometry!$B$6:$B$10000,Geometry!$C$6:$C$10000)</f>
        <v>0</v>
      </c>
      <c r="T7992" s="69"/>
      <c r="U7992" s="69"/>
    </row>
    <row r="7993" spans="19:21" ht="15" customHeight="1" x14ac:dyDescent="0.2">
      <c r="S7993" s="69">
        <f>_xlfn.XLOOKUP(Results!A7993,Geometry!$B$6:$B$10000,Geometry!$C$6:$C$10000)</f>
        <v>0</v>
      </c>
      <c r="T7993" s="69"/>
      <c r="U7993" s="69"/>
    </row>
    <row r="7994" spans="19:21" ht="15" customHeight="1" x14ac:dyDescent="0.2">
      <c r="S7994" s="69">
        <f>_xlfn.XLOOKUP(Results!A7994,Geometry!$B$6:$B$10000,Geometry!$C$6:$C$10000)</f>
        <v>0</v>
      </c>
      <c r="T7994" s="69"/>
      <c r="U7994" s="69"/>
    </row>
    <row r="7995" spans="19:21" ht="15" customHeight="1" x14ac:dyDescent="0.2">
      <c r="S7995" s="69">
        <f>_xlfn.XLOOKUP(Results!A7995,Geometry!$B$6:$B$10000,Geometry!$C$6:$C$10000)</f>
        <v>0</v>
      </c>
      <c r="T7995" s="69"/>
      <c r="U7995" s="69"/>
    </row>
    <row r="7996" spans="19:21" ht="15" customHeight="1" x14ac:dyDescent="0.2">
      <c r="S7996" s="69">
        <f>_xlfn.XLOOKUP(Results!A7996,Geometry!$B$6:$B$10000,Geometry!$C$6:$C$10000)</f>
        <v>0</v>
      </c>
      <c r="T7996" s="69"/>
      <c r="U7996" s="69"/>
    </row>
    <row r="7997" spans="19:21" ht="15" customHeight="1" x14ac:dyDescent="0.2">
      <c r="S7997" s="69">
        <f>_xlfn.XLOOKUP(Results!A7997,Geometry!$B$6:$B$10000,Geometry!$C$6:$C$10000)</f>
        <v>0</v>
      </c>
      <c r="T7997" s="69"/>
      <c r="U7997" s="69"/>
    </row>
    <row r="7998" spans="19:21" ht="15" customHeight="1" x14ac:dyDescent="0.2">
      <c r="S7998" s="69">
        <f>_xlfn.XLOOKUP(Results!A7998,Geometry!$B$6:$B$10000,Geometry!$C$6:$C$10000)</f>
        <v>0</v>
      </c>
      <c r="T7998" s="69"/>
      <c r="U7998" s="69"/>
    </row>
    <row r="7999" spans="19:21" ht="15" customHeight="1" x14ac:dyDescent="0.2">
      <c r="S7999" s="69">
        <f>_xlfn.XLOOKUP(Results!A7999,Geometry!$B$6:$B$10000,Geometry!$C$6:$C$10000)</f>
        <v>0</v>
      </c>
      <c r="T7999" s="69"/>
      <c r="U7999" s="69"/>
    </row>
    <row r="8000" spans="19:21" ht="15" customHeight="1" x14ac:dyDescent="0.2">
      <c r="S8000" s="69">
        <f>_xlfn.XLOOKUP(Results!A8000,Geometry!$B$6:$B$10000,Geometry!$C$6:$C$10000)</f>
        <v>0</v>
      </c>
      <c r="T8000" s="69"/>
      <c r="U8000" s="69"/>
    </row>
    <row r="8001" spans="19:21" ht="15" customHeight="1" x14ac:dyDescent="0.2">
      <c r="S8001" s="69">
        <f>_xlfn.XLOOKUP(Results!A8001,Geometry!$B$6:$B$10000,Geometry!$C$6:$C$10000)</f>
        <v>0</v>
      </c>
      <c r="T8001" s="69"/>
      <c r="U8001" s="69"/>
    </row>
    <row r="8002" spans="19:21" ht="15" customHeight="1" x14ac:dyDescent="0.2">
      <c r="S8002" s="69">
        <f>_xlfn.XLOOKUP(Results!A8002,Geometry!$B$6:$B$10000,Geometry!$C$6:$C$10000)</f>
        <v>0</v>
      </c>
      <c r="T8002" s="69"/>
      <c r="U8002" s="69"/>
    </row>
    <row r="8003" spans="19:21" ht="15" customHeight="1" x14ac:dyDescent="0.2">
      <c r="S8003" s="69">
        <f>_xlfn.XLOOKUP(Results!A8003,Geometry!$B$6:$B$10000,Geometry!$C$6:$C$10000)</f>
        <v>0</v>
      </c>
      <c r="T8003" s="69"/>
      <c r="U8003" s="69"/>
    </row>
    <row r="8004" spans="19:21" ht="15" customHeight="1" x14ac:dyDescent="0.2">
      <c r="S8004" s="69">
        <f>_xlfn.XLOOKUP(Results!A8004,Geometry!$B$6:$B$10000,Geometry!$C$6:$C$10000)</f>
        <v>0</v>
      </c>
      <c r="T8004" s="69"/>
      <c r="U8004" s="69"/>
    </row>
    <row r="8005" spans="19:21" ht="15" customHeight="1" x14ac:dyDescent="0.2">
      <c r="S8005" s="69">
        <f>_xlfn.XLOOKUP(Results!A8005,Geometry!$B$6:$B$10000,Geometry!$C$6:$C$10000)</f>
        <v>0</v>
      </c>
      <c r="T8005" s="69"/>
      <c r="U8005" s="69"/>
    </row>
    <row r="8006" spans="19:21" ht="15" customHeight="1" x14ac:dyDescent="0.2">
      <c r="S8006" s="69">
        <f>_xlfn.XLOOKUP(Results!A8006,Geometry!$B$6:$B$10000,Geometry!$C$6:$C$10000)</f>
        <v>0</v>
      </c>
      <c r="T8006" s="69"/>
      <c r="U8006" s="69"/>
    </row>
    <row r="8007" spans="19:21" ht="15" customHeight="1" x14ac:dyDescent="0.2">
      <c r="S8007" s="69">
        <f>_xlfn.XLOOKUP(Results!A8007,Geometry!$B$6:$B$10000,Geometry!$C$6:$C$10000)</f>
        <v>0</v>
      </c>
      <c r="T8007" s="69"/>
      <c r="U8007" s="69"/>
    </row>
    <row r="8008" spans="19:21" ht="15" customHeight="1" x14ac:dyDescent="0.2">
      <c r="S8008" s="69">
        <f>_xlfn.XLOOKUP(Results!A8008,Geometry!$B$6:$B$10000,Geometry!$C$6:$C$10000)</f>
        <v>0</v>
      </c>
      <c r="T8008" s="69"/>
      <c r="U8008" s="69"/>
    </row>
    <row r="8009" spans="19:21" ht="15" customHeight="1" x14ac:dyDescent="0.2">
      <c r="S8009" s="69">
        <f>_xlfn.XLOOKUP(Results!A8009,Geometry!$B$6:$B$10000,Geometry!$C$6:$C$10000)</f>
        <v>0</v>
      </c>
      <c r="T8009" s="69"/>
      <c r="U8009" s="69"/>
    </row>
    <row r="8010" spans="19:21" ht="15" customHeight="1" x14ac:dyDescent="0.2">
      <c r="S8010" s="69">
        <f>_xlfn.XLOOKUP(Results!A8010,Geometry!$B$6:$B$10000,Geometry!$C$6:$C$10000)</f>
        <v>0</v>
      </c>
      <c r="T8010" s="69"/>
      <c r="U8010" s="69"/>
    </row>
    <row r="8011" spans="19:21" ht="15" customHeight="1" x14ac:dyDescent="0.2">
      <c r="S8011" s="69">
        <f>_xlfn.XLOOKUP(Results!A8011,Geometry!$B$6:$B$10000,Geometry!$C$6:$C$10000)</f>
        <v>0</v>
      </c>
      <c r="T8011" s="69"/>
      <c r="U8011" s="69"/>
    </row>
    <row r="8012" spans="19:21" ht="15" customHeight="1" x14ac:dyDescent="0.2">
      <c r="S8012" s="69">
        <f>_xlfn.XLOOKUP(Results!A8012,Geometry!$B$6:$B$10000,Geometry!$C$6:$C$10000)</f>
        <v>0</v>
      </c>
      <c r="T8012" s="69"/>
      <c r="U8012" s="69"/>
    </row>
    <row r="8013" spans="19:21" ht="15" customHeight="1" x14ac:dyDescent="0.2">
      <c r="S8013" s="69">
        <f>_xlfn.XLOOKUP(Results!A8013,Geometry!$B$6:$B$10000,Geometry!$C$6:$C$10000)</f>
        <v>0</v>
      </c>
      <c r="T8013" s="69"/>
      <c r="U8013" s="69"/>
    </row>
    <row r="8014" spans="19:21" ht="15" customHeight="1" x14ac:dyDescent="0.2">
      <c r="S8014" s="69">
        <f>_xlfn.XLOOKUP(Results!A8014,Geometry!$B$6:$B$10000,Geometry!$C$6:$C$10000)</f>
        <v>0</v>
      </c>
      <c r="T8014" s="69"/>
      <c r="U8014" s="69"/>
    </row>
    <row r="8015" spans="19:21" ht="15" customHeight="1" x14ac:dyDescent="0.2">
      <c r="S8015" s="69">
        <f>_xlfn.XLOOKUP(Results!A8015,Geometry!$B$6:$B$10000,Geometry!$C$6:$C$10000)</f>
        <v>0</v>
      </c>
      <c r="T8015" s="69"/>
      <c r="U8015" s="69"/>
    </row>
    <row r="8016" spans="19:21" ht="15" customHeight="1" x14ac:dyDescent="0.2">
      <c r="S8016" s="69">
        <f>_xlfn.XLOOKUP(Results!A8016,Geometry!$B$6:$B$10000,Geometry!$C$6:$C$10000)</f>
        <v>0</v>
      </c>
      <c r="T8016" s="69"/>
      <c r="U8016" s="69"/>
    </row>
    <row r="8017" spans="19:21" ht="15" customHeight="1" x14ac:dyDescent="0.2">
      <c r="S8017" s="69">
        <f>_xlfn.XLOOKUP(Results!A8017,Geometry!$B$6:$B$10000,Geometry!$C$6:$C$10000)</f>
        <v>0</v>
      </c>
      <c r="T8017" s="69"/>
      <c r="U8017" s="69"/>
    </row>
    <row r="8018" spans="19:21" ht="15" customHeight="1" x14ac:dyDescent="0.2">
      <c r="S8018" s="69">
        <f>_xlfn.XLOOKUP(Results!A8018,Geometry!$B$6:$B$10000,Geometry!$C$6:$C$10000)</f>
        <v>0</v>
      </c>
      <c r="T8018" s="69"/>
      <c r="U8018" s="69"/>
    </row>
    <row r="8019" spans="19:21" ht="15" customHeight="1" x14ac:dyDescent="0.2">
      <c r="S8019" s="69">
        <f>_xlfn.XLOOKUP(Results!A8019,Geometry!$B$6:$B$10000,Geometry!$C$6:$C$10000)</f>
        <v>0</v>
      </c>
      <c r="T8019" s="69"/>
      <c r="U8019" s="69"/>
    </row>
    <row r="8020" spans="19:21" ht="15" customHeight="1" x14ac:dyDescent="0.2">
      <c r="S8020" s="69">
        <f>_xlfn.XLOOKUP(Results!A8020,Geometry!$B$6:$B$10000,Geometry!$C$6:$C$10000)</f>
        <v>0</v>
      </c>
      <c r="T8020" s="69"/>
      <c r="U8020" s="69"/>
    </row>
    <row r="8021" spans="19:21" ht="15" customHeight="1" x14ac:dyDescent="0.2">
      <c r="S8021" s="69">
        <f>_xlfn.XLOOKUP(Results!A8021,Geometry!$B$6:$B$10000,Geometry!$C$6:$C$10000)</f>
        <v>0</v>
      </c>
      <c r="T8021" s="69"/>
      <c r="U8021" s="69"/>
    </row>
    <row r="8022" spans="19:21" ht="15" customHeight="1" x14ac:dyDescent="0.2">
      <c r="S8022" s="69">
        <f>_xlfn.XLOOKUP(Results!A8022,Geometry!$B$6:$B$10000,Geometry!$C$6:$C$10000)</f>
        <v>0</v>
      </c>
      <c r="T8022" s="69"/>
      <c r="U8022" s="69"/>
    </row>
    <row r="8023" spans="19:21" ht="15" customHeight="1" x14ac:dyDescent="0.2">
      <c r="S8023" s="69">
        <f>_xlfn.XLOOKUP(Results!A8023,Geometry!$B$6:$B$10000,Geometry!$C$6:$C$10000)</f>
        <v>0</v>
      </c>
      <c r="T8023" s="69"/>
      <c r="U8023" s="69"/>
    </row>
    <row r="8024" spans="19:21" ht="15" customHeight="1" x14ac:dyDescent="0.2">
      <c r="S8024" s="69">
        <f>_xlfn.XLOOKUP(Results!A8024,Geometry!$B$6:$B$10000,Geometry!$C$6:$C$10000)</f>
        <v>0</v>
      </c>
      <c r="T8024" s="69"/>
      <c r="U8024" s="69"/>
    </row>
    <row r="8025" spans="19:21" ht="15" customHeight="1" x14ac:dyDescent="0.2">
      <c r="S8025" s="69">
        <f>_xlfn.XLOOKUP(Results!A8025,Geometry!$B$6:$B$10000,Geometry!$C$6:$C$10000)</f>
        <v>0</v>
      </c>
      <c r="T8025" s="69"/>
      <c r="U8025" s="69"/>
    </row>
    <row r="8026" spans="19:21" ht="15" customHeight="1" x14ac:dyDescent="0.2">
      <c r="S8026" s="69">
        <f>_xlfn.XLOOKUP(Results!A8026,Geometry!$B$6:$B$10000,Geometry!$C$6:$C$10000)</f>
        <v>0</v>
      </c>
      <c r="T8026" s="69"/>
      <c r="U8026" s="69"/>
    </row>
    <row r="8027" spans="19:21" ht="15" customHeight="1" x14ac:dyDescent="0.2">
      <c r="S8027" s="69">
        <f>_xlfn.XLOOKUP(Results!A8027,Geometry!$B$6:$B$10000,Geometry!$C$6:$C$10000)</f>
        <v>0</v>
      </c>
      <c r="T8027" s="69"/>
      <c r="U8027" s="69"/>
    </row>
    <row r="8028" spans="19:21" ht="15" customHeight="1" x14ac:dyDescent="0.2">
      <c r="S8028" s="69">
        <f>_xlfn.XLOOKUP(Results!A8028,Geometry!$B$6:$B$10000,Geometry!$C$6:$C$10000)</f>
        <v>0</v>
      </c>
      <c r="T8028" s="69"/>
      <c r="U8028" s="69"/>
    </row>
    <row r="8029" spans="19:21" ht="15" customHeight="1" x14ac:dyDescent="0.2">
      <c r="S8029" s="69">
        <f>_xlfn.XLOOKUP(Results!A8029,Geometry!$B$6:$B$10000,Geometry!$C$6:$C$10000)</f>
        <v>0</v>
      </c>
      <c r="T8029" s="69"/>
      <c r="U8029" s="69"/>
    </row>
    <row r="8030" spans="19:21" ht="15" customHeight="1" x14ac:dyDescent="0.2">
      <c r="S8030" s="69">
        <f>_xlfn.XLOOKUP(Results!A8030,Geometry!$B$6:$B$10000,Geometry!$C$6:$C$10000)</f>
        <v>0</v>
      </c>
      <c r="T8030" s="69"/>
      <c r="U8030" s="69"/>
    </row>
    <row r="8031" spans="19:21" ht="15" customHeight="1" x14ac:dyDescent="0.2">
      <c r="S8031" s="69">
        <f>_xlfn.XLOOKUP(Results!A8031,Geometry!$B$6:$B$10000,Geometry!$C$6:$C$10000)</f>
        <v>0</v>
      </c>
      <c r="T8031" s="69"/>
      <c r="U8031" s="69"/>
    </row>
    <row r="8032" spans="19:21" ht="15" customHeight="1" x14ac:dyDescent="0.2">
      <c r="S8032" s="69">
        <f>_xlfn.XLOOKUP(Results!A8032,Geometry!$B$6:$B$10000,Geometry!$C$6:$C$10000)</f>
        <v>0</v>
      </c>
      <c r="T8032" s="69"/>
      <c r="U8032" s="69"/>
    </row>
    <row r="8033" spans="19:21" ht="15" customHeight="1" x14ac:dyDescent="0.2">
      <c r="S8033" s="69">
        <f>_xlfn.XLOOKUP(Results!A8033,Geometry!$B$6:$B$10000,Geometry!$C$6:$C$10000)</f>
        <v>0</v>
      </c>
      <c r="T8033" s="69"/>
      <c r="U8033" s="69"/>
    </row>
    <row r="8034" spans="19:21" ht="15" customHeight="1" x14ac:dyDescent="0.2">
      <c r="S8034" s="69">
        <f>_xlfn.XLOOKUP(Results!A8034,Geometry!$B$6:$B$10000,Geometry!$C$6:$C$10000)</f>
        <v>0</v>
      </c>
      <c r="T8034" s="69"/>
      <c r="U8034" s="69"/>
    </row>
    <row r="8035" spans="19:21" ht="15" customHeight="1" x14ac:dyDescent="0.2">
      <c r="S8035" s="69">
        <f>_xlfn.XLOOKUP(Results!A8035,Geometry!$B$6:$B$10000,Geometry!$C$6:$C$10000)</f>
        <v>0</v>
      </c>
      <c r="T8035" s="69"/>
      <c r="U8035" s="69"/>
    </row>
    <row r="8036" spans="19:21" ht="15" customHeight="1" x14ac:dyDescent="0.2">
      <c r="S8036" s="69">
        <f>_xlfn.XLOOKUP(Results!A8036,Geometry!$B$6:$B$10000,Geometry!$C$6:$C$10000)</f>
        <v>0</v>
      </c>
      <c r="T8036" s="69"/>
      <c r="U8036" s="69"/>
    </row>
    <row r="8037" spans="19:21" ht="15" customHeight="1" x14ac:dyDescent="0.2">
      <c r="S8037" s="69">
        <f>_xlfn.XLOOKUP(Results!A8037,Geometry!$B$6:$B$10000,Geometry!$C$6:$C$10000)</f>
        <v>0</v>
      </c>
      <c r="T8037" s="69"/>
      <c r="U8037" s="69"/>
    </row>
    <row r="8038" spans="19:21" ht="15" customHeight="1" x14ac:dyDescent="0.2">
      <c r="S8038" s="69">
        <f>_xlfn.XLOOKUP(Results!A8038,Geometry!$B$6:$B$10000,Geometry!$C$6:$C$10000)</f>
        <v>0</v>
      </c>
      <c r="T8038" s="69"/>
      <c r="U8038" s="69"/>
    </row>
    <row r="8039" spans="19:21" ht="15" customHeight="1" x14ac:dyDescent="0.2">
      <c r="S8039" s="69">
        <f>_xlfn.XLOOKUP(Results!A8039,Geometry!$B$6:$B$10000,Geometry!$C$6:$C$10000)</f>
        <v>0</v>
      </c>
      <c r="T8039" s="69"/>
      <c r="U8039" s="69"/>
    </row>
    <row r="8040" spans="19:21" ht="15" customHeight="1" x14ac:dyDescent="0.2">
      <c r="S8040" s="69">
        <f>_xlfn.XLOOKUP(Results!A8040,Geometry!$B$6:$B$10000,Geometry!$C$6:$C$10000)</f>
        <v>0</v>
      </c>
      <c r="T8040" s="69"/>
      <c r="U8040" s="69"/>
    </row>
    <row r="8041" spans="19:21" ht="15" customHeight="1" x14ac:dyDescent="0.2">
      <c r="S8041" s="69">
        <f>_xlfn.XLOOKUP(Results!A8041,Geometry!$B$6:$B$10000,Geometry!$C$6:$C$10000)</f>
        <v>0</v>
      </c>
      <c r="T8041" s="69"/>
      <c r="U8041" s="69"/>
    </row>
    <row r="8042" spans="19:21" ht="15" customHeight="1" x14ac:dyDescent="0.2">
      <c r="S8042" s="69">
        <f>_xlfn.XLOOKUP(Results!A8042,Geometry!$B$6:$B$10000,Geometry!$C$6:$C$10000)</f>
        <v>0</v>
      </c>
      <c r="T8042" s="69"/>
      <c r="U8042" s="69"/>
    </row>
    <row r="8043" spans="19:21" ht="15" customHeight="1" x14ac:dyDescent="0.2">
      <c r="S8043" s="69">
        <f>_xlfn.XLOOKUP(Results!A8043,Geometry!$B$6:$B$10000,Geometry!$C$6:$C$10000)</f>
        <v>0</v>
      </c>
      <c r="T8043" s="69"/>
      <c r="U8043" s="69"/>
    </row>
    <row r="8044" spans="19:21" ht="15" customHeight="1" x14ac:dyDescent="0.2">
      <c r="S8044" s="69">
        <f>_xlfn.XLOOKUP(Results!A8044,Geometry!$B$6:$B$10000,Geometry!$C$6:$C$10000)</f>
        <v>0</v>
      </c>
      <c r="T8044" s="69"/>
      <c r="U8044" s="69"/>
    </row>
    <row r="8045" spans="19:21" ht="15" customHeight="1" x14ac:dyDescent="0.2">
      <c r="S8045" s="69">
        <f>_xlfn.XLOOKUP(Results!A8045,Geometry!$B$6:$B$10000,Geometry!$C$6:$C$10000)</f>
        <v>0</v>
      </c>
      <c r="T8045" s="69"/>
      <c r="U8045" s="69"/>
    </row>
    <row r="8046" spans="19:21" ht="15" customHeight="1" x14ac:dyDescent="0.2">
      <c r="S8046" s="69">
        <f>_xlfn.XLOOKUP(Results!A8046,Geometry!$B$6:$B$10000,Geometry!$C$6:$C$10000)</f>
        <v>0</v>
      </c>
      <c r="T8046" s="69"/>
      <c r="U8046" s="69"/>
    </row>
    <row r="8047" spans="19:21" ht="15" customHeight="1" x14ac:dyDescent="0.2">
      <c r="S8047" s="69">
        <f>_xlfn.XLOOKUP(Results!A8047,Geometry!$B$6:$B$10000,Geometry!$C$6:$C$10000)</f>
        <v>0</v>
      </c>
      <c r="T8047" s="69"/>
      <c r="U8047" s="69"/>
    </row>
    <row r="8048" spans="19:21" ht="15" customHeight="1" x14ac:dyDescent="0.2">
      <c r="S8048" s="69">
        <f>_xlfn.XLOOKUP(Results!A8048,Geometry!$B$6:$B$10000,Geometry!$C$6:$C$10000)</f>
        <v>0</v>
      </c>
      <c r="T8048" s="69"/>
      <c r="U8048" s="69"/>
    </row>
    <row r="8049" spans="19:21" ht="15" customHeight="1" x14ac:dyDescent="0.2">
      <c r="S8049" s="69">
        <f>_xlfn.XLOOKUP(Results!A8049,Geometry!$B$6:$B$10000,Geometry!$C$6:$C$10000)</f>
        <v>0</v>
      </c>
      <c r="T8049" s="69"/>
      <c r="U8049" s="69"/>
    </row>
    <row r="8050" spans="19:21" ht="15" customHeight="1" x14ac:dyDescent="0.2">
      <c r="S8050" s="69">
        <f>_xlfn.XLOOKUP(Results!A8050,Geometry!$B$6:$B$10000,Geometry!$C$6:$C$10000)</f>
        <v>0</v>
      </c>
      <c r="T8050" s="69"/>
      <c r="U8050" s="69"/>
    </row>
    <row r="8051" spans="19:21" ht="15" customHeight="1" x14ac:dyDescent="0.2">
      <c r="S8051" s="69">
        <f>_xlfn.XLOOKUP(Results!A8051,Geometry!$B$6:$B$10000,Geometry!$C$6:$C$10000)</f>
        <v>0</v>
      </c>
      <c r="T8051" s="69"/>
      <c r="U8051" s="69"/>
    </row>
    <row r="8052" spans="19:21" ht="15" customHeight="1" x14ac:dyDescent="0.2">
      <c r="S8052" s="69">
        <f>_xlfn.XLOOKUP(Results!A8052,Geometry!$B$6:$B$10000,Geometry!$C$6:$C$10000)</f>
        <v>0</v>
      </c>
      <c r="T8052" s="69"/>
      <c r="U8052" s="69"/>
    </row>
    <row r="8053" spans="19:21" ht="15" customHeight="1" x14ac:dyDescent="0.2">
      <c r="S8053" s="69">
        <f>_xlfn.XLOOKUP(Results!A8053,Geometry!$B$6:$B$10000,Geometry!$C$6:$C$10000)</f>
        <v>0</v>
      </c>
      <c r="T8053" s="69"/>
      <c r="U8053" s="69"/>
    </row>
    <row r="8054" spans="19:21" ht="15" customHeight="1" x14ac:dyDescent="0.2">
      <c r="S8054" s="69">
        <f>_xlfn.XLOOKUP(Results!A8054,Geometry!$B$6:$B$10000,Geometry!$C$6:$C$10000)</f>
        <v>0</v>
      </c>
      <c r="T8054" s="69"/>
      <c r="U8054" s="69"/>
    </row>
    <row r="8055" spans="19:21" ht="15" customHeight="1" x14ac:dyDescent="0.2">
      <c r="S8055" s="69">
        <f>_xlfn.XLOOKUP(Results!A8055,Geometry!$B$6:$B$10000,Geometry!$C$6:$C$10000)</f>
        <v>0</v>
      </c>
      <c r="T8055" s="69"/>
      <c r="U8055" s="69"/>
    </row>
    <row r="8056" spans="19:21" ht="15" customHeight="1" x14ac:dyDescent="0.2">
      <c r="S8056" s="69">
        <f>_xlfn.XLOOKUP(Results!A8056,Geometry!$B$6:$B$10000,Geometry!$C$6:$C$10000)</f>
        <v>0</v>
      </c>
      <c r="T8056" s="69"/>
      <c r="U8056" s="69"/>
    </row>
    <row r="8057" spans="19:21" ht="15" customHeight="1" x14ac:dyDescent="0.2">
      <c r="S8057" s="69">
        <f>_xlfn.XLOOKUP(Results!A8057,Geometry!$B$6:$B$10000,Geometry!$C$6:$C$10000)</f>
        <v>0</v>
      </c>
      <c r="T8057" s="69"/>
      <c r="U8057" s="69"/>
    </row>
    <row r="8058" spans="19:21" ht="15" customHeight="1" x14ac:dyDescent="0.2">
      <c r="S8058" s="69">
        <f>_xlfn.XLOOKUP(Results!A8058,Geometry!$B$6:$B$10000,Geometry!$C$6:$C$10000)</f>
        <v>0</v>
      </c>
      <c r="T8058" s="69"/>
      <c r="U8058" s="69"/>
    </row>
    <row r="8059" spans="19:21" ht="15" customHeight="1" x14ac:dyDescent="0.2">
      <c r="S8059" s="69">
        <f>_xlfn.XLOOKUP(Results!A8059,Geometry!$B$6:$B$10000,Geometry!$C$6:$C$10000)</f>
        <v>0</v>
      </c>
      <c r="T8059" s="69"/>
      <c r="U8059" s="69"/>
    </row>
    <row r="8060" spans="19:21" ht="15" customHeight="1" x14ac:dyDescent="0.2">
      <c r="S8060" s="69">
        <f>_xlfn.XLOOKUP(Results!A8060,Geometry!$B$6:$B$10000,Geometry!$C$6:$C$10000)</f>
        <v>0</v>
      </c>
      <c r="T8060" s="69"/>
      <c r="U8060" s="69"/>
    </row>
    <row r="8061" spans="19:21" ht="15" customHeight="1" x14ac:dyDescent="0.2">
      <c r="S8061" s="69">
        <f>_xlfn.XLOOKUP(Results!A8061,Geometry!$B$6:$B$10000,Geometry!$C$6:$C$10000)</f>
        <v>0</v>
      </c>
      <c r="T8061" s="69"/>
      <c r="U8061" s="69"/>
    </row>
    <row r="8062" spans="19:21" ht="15" customHeight="1" x14ac:dyDescent="0.2">
      <c r="S8062" s="69">
        <f>_xlfn.XLOOKUP(Results!A8062,Geometry!$B$6:$B$10000,Geometry!$C$6:$C$10000)</f>
        <v>0</v>
      </c>
      <c r="T8062" s="69"/>
      <c r="U8062" s="69"/>
    </row>
    <row r="8063" spans="19:21" ht="15" customHeight="1" x14ac:dyDescent="0.2">
      <c r="S8063" s="69">
        <f>_xlfn.XLOOKUP(Results!A8063,Geometry!$B$6:$B$10000,Geometry!$C$6:$C$10000)</f>
        <v>0</v>
      </c>
      <c r="T8063" s="69"/>
      <c r="U8063" s="69"/>
    </row>
    <row r="8064" spans="19:21" ht="15" customHeight="1" x14ac:dyDescent="0.2">
      <c r="S8064" s="69">
        <f>_xlfn.XLOOKUP(Results!A8064,Geometry!$B$6:$B$10000,Geometry!$C$6:$C$10000)</f>
        <v>0</v>
      </c>
      <c r="T8064" s="69"/>
      <c r="U8064" s="69"/>
    </row>
    <row r="8065" spans="19:21" ht="15" customHeight="1" x14ac:dyDescent="0.2">
      <c r="S8065" s="69">
        <f>_xlfn.XLOOKUP(Results!A8065,Geometry!$B$6:$B$10000,Geometry!$C$6:$C$10000)</f>
        <v>0</v>
      </c>
      <c r="T8065" s="69"/>
      <c r="U8065" s="69"/>
    </row>
    <row r="8066" spans="19:21" ht="15" customHeight="1" x14ac:dyDescent="0.2">
      <c r="S8066" s="69">
        <f>_xlfn.XLOOKUP(Results!A8066,Geometry!$B$6:$B$10000,Geometry!$C$6:$C$10000)</f>
        <v>0</v>
      </c>
      <c r="T8066" s="69"/>
      <c r="U8066" s="69"/>
    </row>
    <row r="8067" spans="19:21" ht="15" customHeight="1" x14ac:dyDescent="0.2">
      <c r="S8067" s="69">
        <f>_xlfn.XLOOKUP(Results!A8067,Geometry!$B$6:$B$10000,Geometry!$C$6:$C$10000)</f>
        <v>0</v>
      </c>
      <c r="T8067" s="69"/>
      <c r="U8067" s="69"/>
    </row>
    <row r="8068" spans="19:21" ht="15" customHeight="1" x14ac:dyDescent="0.2">
      <c r="S8068" s="69">
        <f>_xlfn.XLOOKUP(Results!A8068,Geometry!$B$6:$B$10000,Geometry!$C$6:$C$10000)</f>
        <v>0</v>
      </c>
      <c r="T8068" s="69"/>
      <c r="U8068" s="69"/>
    </row>
    <row r="8069" spans="19:21" ht="15" customHeight="1" x14ac:dyDescent="0.2">
      <c r="S8069" s="69">
        <f>_xlfn.XLOOKUP(Results!A8069,Geometry!$B$6:$B$10000,Geometry!$C$6:$C$10000)</f>
        <v>0</v>
      </c>
      <c r="T8069" s="69"/>
      <c r="U8069" s="69"/>
    </row>
    <row r="8070" spans="19:21" ht="15" customHeight="1" x14ac:dyDescent="0.2">
      <c r="S8070" s="69">
        <f>_xlfn.XLOOKUP(Results!A8070,Geometry!$B$6:$B$10000,Geometry!$C$6:$C$10000)</f>
        <v>0</v>
      </c>
      <c r="T8070" s="69"/>
      <c r="U8070" s="69"/>
    </row>
    <row r="8071" spans="19:21" ht="15" customHeight="1" x14ac:dyDescent="0.2">
      <c r="S8071" s="69">
        <f>_xlfn.XLOOKUP(Results!A8071,Geometry!$B$6:$B$10000,Geometry!$C$6:$C$10000)</f>
        <v>0</v>
      </c>
      <c r="T8071" s="69"/>
      <c r="U8071" s="69"/>
    </row>
    <row r="8072" spans="19:21" ht="15" customHeight="1" x14ac:dyDescent="0.2">
      <c r="S8072" s="69">
        <f>_xlfn.XLOOKUP(Results!A8072,Geometry!$B$6:$B$10000,Geometry!$C$6:$C$10000)</f>
        <v>0</v>
      </c>
      <c r="T8072" s="69"/>
      <c r="U8072" s="69"/>
    </row>
    <row r="8073" spans="19:21" ht="15" customHeight="1" x14ac:dyDescent="0.2">
      <c r="S8073" s="69">
        <f>_xlfn.XLOOKUP(Results!A8073,Geometry!$B$6:$B$10000,Geometry!$C$6:$C$10000)</f>
        <v>0</v>
      </c>
      <c r="T8073" s="69"/>
      <c r="U8073" s="69"/>
    </row>
    <row r="8074" spans="19:21" ht="15" customHeight="1" x14ac:dyDescent="0.2">
      <c r="S8074" s="69">
        <f>_xlfn.XLOOKUP(Results!A8074,Geometry!$B$6:$B$10000,Geometry!$C$6:$C$10000)</f>
        <v>0</v>
      </c>
      <c r="T8074" s="69"/>
      <c r="U8074" s="69"/>
    </row>
    <row r="8075" spans="19:21" ht="15" customHeight="1" x14ac:dyDescent="0.2">
      <c r="S8075" s="69">
        <f>_xlfn.XLOOKUP(Results!A8075,Geometry!$B$6:$B$10000,Geometry!$C$6:$C$10000)</f>
        <v>0</v>
      </c>
      <c r="T8075" s="69"/>
      <c r="U8075" s="69"/>
    </row>
    <row r="8076" spans="19:21" ht="15" customHeight="1" x14ac:dyDescent="0.2">
      <c r="S8076" s="69">
        <f>_xlfn.XLOOKUP(Results!A8076,Geometry!$B$6:$B$10000,Geometry!$C$6:$C$10000)</f>
        <v>0</v>
      </c>
      <c r="T8076" s="69"/>
      <c r="U8076" s="69"/>
    </row>
    <row r="8077" spans="19:21" ht="15" customHeight="1" x14ac:dyDescent="0.2">
      <c r="S8077" s="69">
        <f>_xlfn.XLOOKUP(Results!A8077,Geometry!$B$6:$B$10000,Geometry!$C$6:$C$10000)</f>
        <v>0</v>
      </c>
      <c r="T8077" s="69"/>
      <c r="U8077" s="69"/>
    </row>
    <row r="8078" spans="19:21" ht="15" customHeight="1" x14ac:dyDescent="0.2">
      <c r="S8078" s="69">
        <f>_xlfn.XLOOKUP(Results!A8078,Geometry!$B$6:$B$10000,Geometry!$C$6:$C$10000)</f>
        <v>0</v>
      </c>
      <c r="T8078" s="69"/>
      <c r="U8078" s="69"/>
    </row>
    <row r="8079" spans="19:21" ht="15" customHeight="1" x14ac:dyDescent="0.2">
      <c r="S8079" s="69">
        <f>_xlfn.XLOOKUP(Results!A8079,Geometry!$B$6:$B$10000,Geometry!$C$6:$C$10000)</f>
        <v>0</v>
      </c>
      <c r="T8079" s="69"/>
      <c r="U8079" s="69"/>
    </row>
    <row r="8080" spans="19:21" ht="15" customHeight="1" x14ac:dyDescent="0.2">
      <c r="S8080" s="69">
        <f>_xlfn.XLOOKUP(Results!A8080,Geometry!$B$6:$B$10000,Geometry!$C$6:$C$10000)</f>
        <v>0</v>
      </c>
      <c r="T8080" s="69"/>
      <c r="U8080" s="69"/>
    </row>
    <row r="8081" spans="19:21" ht="15" customHeight="1" x14ac:dyDescent="0.2">
      <c r="S8081" s="69">
        <f>_xlfn.XLOOKUP(Results!A8081,Geometry!$B$6:$B$10000,Geometry!$C$6:$C$10000)</f>
        <v>0</v>
      </c>
      <c r="T8081" s="69"/>
      <c r="U8081" s="69"/>
    </row>
    <row r="8082" spans="19:21" ht="15" customHeight="1" x14ac:dyDescent="0.2">
      <c r="S8082" s="69">
        <f>_xlfn.XLOOKUP(Results!A8082,Geometry!$B$6:$B$10000,Geometry!$C$6:$C$10000)</f>
        <v>0</v>
      </c>
      <c r="T8082" s="69"/>
      <c r="U8082" s="69"/>
    </row>
    <row r="8083" spans="19:21" ht="15" customHeight="1" x14ac:dyDescent="0.2">
      <c r="S8083" s="69">
        <f>_xlfn.XLOOKUP(Results!A8083,Geometry!$B$6:$B$10000,Geometry!$C$6:$C$10000)</f>
        <v>0</v>
      </c>
      <c r="T8083" s="69"/>
      <c r="U8083" s="69"/>
    </row>
    <row r="8084" spans="19:21" ht="15" customHeight="1" x14ac:dyDescent="0.2">
      <c r="S8084" s="69">
        <f>_xlfn.XLOOKUP(Results!A8084,Geometry!$B$6:$B$10000,Geometry!$C$6:$C$10000)</f>
        <v>0</v>
      </c>
      <c r="T8084" s="69"/>
      <c r="U8084" s="69"/>
    </row>
    <row r="8085" spans="19:21" ht="15" customHeight="1" x14ac:dyDescent="0.2">
      <c r="S8085" s="69">
        <f>_xlfn.XLOOKUP(Results!A8085,Geometry!$B$6:$B$10000,Geometry!$C$6:$C$10000)</f>
        <v>0</v>
      </c>
      <c r="T8085" s="69"/>
      <c r="U8085" s="69"/>
    </row>
    <row r="8086" spans="19:21" ht="15" customHeight="1" x14ac:dyDescent="0.2">
      <c r="S8086" s="69">
        <f>_xlfn.XLOOKUP(Results!A8086,Geometry!$B$6:$B$10000,Geometry!$C$6:$C$10000)</f>
        <v>0</v>
      </c>
      <c r="T8086" s="69"/>
      <c r="U8086" s="69"/>
    </row>
    <row r="8087" spans="19:21" ht="15" customHeight="1" x14ac:dyDescent="0.2">
      <c r="S8087" s="69">
        <f>_xlfn.XLOOKUP(Results!A8087,Geometry!$B$6:$B$10000,Geometry!$C$6:$C$10000)</f>
        <v>0</v>
      </c>
      <c r="T8087" s="69"/>
      <c r="U8087" s="69"/>
    </row>
    <row r="8088" spans="19:21" ht="15" customHeight="1" x14ac:dyDescent="0.2">
      <c r="S8088" s="69">
        <f>_xlfn.XLOOKUP(Results!A8088,Geometry!$B$6:$B$10000,Geometry!$C$6:$C$10000)</f>
        <v>0</v>
      </c>
      <c r="T8088" s="69"/>
      <c r="U8088" s="69"/>
    </row>
    <row r="8089" spans="19:21" ht="15" customHeight="1" x14ac:dyDescent="0.2">
      <c r="S8089" s="69">
        <f>_xlfn.XLOOKUP(Results!A8089,Geometry!$B$6:$B$10000,Geometry!$C$6:$C$10000)</f>
        <v>0</v>
      </c>
      <c r="T8089" s="69"/>
      <c r="U8089" s="69"/>
    </row>
    <row r="8090" spans="19:21" ht="15" customHeight="1" x14ac:dyDescent="0.2">
      <c r="S8090" s="69">
        <f>_xlfn.XLOOKUP(Results!A8090,Geometry!$B$6:$B$10000,Geometry!$C$6:$C$10000)</f>
        <v>0</v>
      </c>
      <c r="T8090" s="69"/>
      <c r="U8090" s="69"/>
    </row>
    <row r="8091" spans="19:21" ht="15" customHeight="1" x14ac:dyDescent="0.2">
      <c r="S8091" s="69">
        <f>_xlfn.XLOOKUP(Results!A8091,Geometry!$B$6:$B$10000,Geometry!$C$6:$C$10000)</f>
        <v>0</v>
      </c>
      <c r="T8091" s="69"/>
      <c r="U8091" s="69"/>
    </row>
    <row r="8092" spans="19:21" ht="15" customHeight="1" x14ac:dyDescent="0.2">
      <c r="S8092" s="69">
        <f>_xlfn.XLOOKUP(Results!A8092,Geometry!$B$6:$B$10000,Geometry!$C$6:$C$10000)</f>
        <v>0</v>
      </c>
      <c r="T8092" s="69"/>
      <c r="U8092" s="69"/>
    </row>
    <row r="8093" spans="19:21" ht="15" customHeight="1" x14ac:dyDescent="0.2">
      <c r="S8093" s="69">
        <f>_xlfn.XLOOKUP(Results!A8093,Geometry!$B$6:$B$10000,Geometry!$C$6:$C$10000)</f>
        <v>0</v>
      </c>
      <c r="T8093" s="69"/>
      <c r="U8093" s="69"/>
    </row>
    <row r="8094" spans="19:21" ht="15" customHeight="1" x14ac:dyDescent="0.2">
      <c r="S8094" s="69">
        <f>_xlfn.XLOOKUP(Results!A8094,Geometry!$B$6:$B$10000,Geometry!$C$6:$C$10000)</f>
        <v>0</v>
      </c>
      <c r="T8094" s="69"/>
      <c r="U8094" s="69"/>
    </row>
    <row r="8095" spans="19:21" ht="15" customHeight="1" x14ac:dyDescent="0.2">
      <c r="S8095" s="69">
        <f>_xlfn.XLOOKUP(Results!A8095,Geometry!$B$6:$B$10000,Geometry!$C$6:$C$10000)</f>
        <v>0</v>
      </c>
      <c r="T8095" s="69"/>
      <c r="U8095" s="69"/>
    </row>
    <row r="8096" spans="19:21" ht="15" customHeight="1" x14ac:dyDescent="0.2">
      <c r="S8096" s="69">
        <f>_xlfn.XLOOKUP(Results!A8096,Geometry!$B$6:$B$10000,Geometry!$C$6:$C$10000)</f>
        <v>0</v>
      </c>
      <c r="T8096" s="69"/>
      <c r="U8096" s="69"/>
    </row>
    <row r="8097" spans="19:21" ht="15" customHeight="1" x14ac:dyDescent="0.2">
      <c r="S8097" s="69">
        <f>_xlfn.XLOOKUP(Results!A8097,Geometry!$B$6:$B$10000,Geometry!$C$6:$C$10000)</f>
        <v>0</v>
      </c>
      <c r="T8097" s="69"/>
      <c r="U8097" s="69"/>
    </row>
    <row r="8098" spans="19:21" ht="15" customHeight="1" x14ac:dyDescent="0.2">
      <c r="S8098" s="69">
        <f>_xlfn.XLOOKUP(Results!A8098,Geometry!$B$6:$B$10000,Geometry!$C$6:$C$10000)</f>
        <v>0</v>
      </c>
      <c r="T8098" s="69"/>
      <c r="U8098" s="69"/>
    </row>
    <row r="8099" spans="19:21" ht="15" customHeight="1" x14ac:dyDescent="0.2">
      <c r="S8099" s="69">
        <f>_xlfn.XLOOKUP(Results!A8099,Geometry!$B$6:$B$10000,Geometry!$C$6:$C$10000)</f>
        <v>0</v>
      </c>
      <c r="T8099" s="69"/>
      <c r="U8099" s="69"/>
    </row>
    <row r="8100" spans="19:21" ht="15" customHeight="1" x14ac:dyDescent="0.2">
      <c r="S8100" s="69">
        <f>_xlfn.XLOOKUP(Results!A8100,Geometry!$B$6:$B$10000,Geometry!$C$6:$C$10000)</f>
        <v>0</v>
      </c>
      <c r="T8100" s="69"/>
      <c r="U8100" s="69"/>
    </row>
    <row r="8101" spans="19:21" ht="15" customHeight="1" x14ac:dyDescent="0.2">
      <c r="S8101" s="69">
        <f>_xlfn.XLOOKUP(Results!A8101,Geometry!$B$6:$B$10000,Geometry!$C$6:$C$10000)</f>
        <v>0</v>
      </c>
      <c r="T8101" s="69"/>
      <c r="U8101" s="69"/>
    </row>
    <row r="8102" spans="19:21" ht="15" customHeight="1" x14ac:dyDescent="0.2">
      <c r="S8102" s="69">
        <f>_xlfn.XLOOKUP(Results!A8102,Geometry!$B$6:$B$10000,Geometry!$C$6:$C$10000)</f>
        <v>0</v>
      </c>
      <c r="T8102" s="69"/>
      <c r="U8102" s="69"/>
    </row>
    <row r="8103" spans="19:21" ht="15" customHeight="1" x14ac:dyDescent="0.2">
      <c r="S8103" s="69">
        <f>_xlfn.XLOOKUP(Results!A8103,Geometry!$B$6:$B$10000,Geometry!$C$6:$C$10000)</f>
        <v>0</v>
      </c>
      <c r="T8103" s="69"/>
      <c r="U8103" s="69"/>
    </row>
    <row r="8104" spans="19:21" ht="15" customHeight="1" x14ac:dyDescent="0.2">
      <c r="S8104" s="69">
        <f>_xlfn.XLOOKUP(Results!A8104,Geometry!$B$6:$B$10000,Geometry!$C$6:$C$10000)</f>
        <v>0</v>
      </c>
      <c r="T8104" s="69"/>
      <c r="U8104" s="69"/>
    </row>
    <row r="8105" spans="19:21" ht="15" customHeight="1" x14ac:dyDescent="0.2">
      <c r="S8105" s="69">
        <f>_xlfn.XLOOKUP(Results!A8105,Geometry!$B$6:$B$10000,Geometry!$C$6:$C$10000)</f>
        <v>0</v>
      </c>
      <c r="T8105" s="69"/>
      <c r="U8105" s="69"/>
    </row>
    <row r="8106" spans="19:21" ht="15" customHeight="1" x14ac:dyDescent="0.2">
      <c r="S8106" s="69">
        <f>_xlfn.XLOOKUP(Results!A8106,Geometry!$B$6:$B$10000,Geometry!$C$6:$C$10000)</f>
        <v>0</v>
      </c>
      <c r="T8106" s="69"/>
      <c r="U8106" s="69"/>
    </row>
    <row r="8107" spans="19:21" ht="15" customHeight="1" x14ac:dyDescent="0.2">
      <c r="S8107" s="69">
        <f>_xlfn.XLOOKUP(Results!A8107,Geometry!$B$6:$B$10000,Geometry!$C$6:$C$10000)</f>
        <v>0</v>
      </c>
      <c r="T8107" s="69"/>
      <c r="U8107" s="69"/>
    </row>
    <row r="8108" spans="19:21" ht="15" customHeight="1" x14ac:dyDescent="0.2">
      <c r="S8108" s="69">
        <f>_xlfn.XLOOKUP(Results!A8108,Geometry!$B$6:$B$10000,Geometry!$C$6:$C$10000)</f>
        <v>0</v>
      </c>
      <c r="T8108" s="69"/>
      <c r="U8108" s="69"/>
    </row>
    <row r="8109" spans="19:21" ht="15" customHeight="1" x14ac:dyDescent="0.2">
      <c r="S8109" s="69">
        <f>_xlfn.XLOOKUP(Results!A8109,Geometry!$B$6:$B$10000,Geometry!$C$6:$C$10000)</f>
        <v>0</v>
      </c>
      <c r="T8109" s="69"/>
      <c r="U8109" s="69"/>
    </row>
    <row r="8110" spans="19:21" ht="15" customHeight="1" x14ac:dyDescent="0.2">
      <c r="S8110" s="69">
        <f>_xlfn.XLOOKUP(Results!A8110,Geometry!$B$6:$B$10000,Geometry!$C$6:$C$10000)</f>
        <v>0</v>
      </c>
      <c r="T8110" s="69"/>
      <c r="U8110" s="69"/>
    </row>
    <row r="8111" spans="19:21" ht="15" customHeight="1" x14ac:dyDescent="0.2">
      <c r="S8111" s="69">
        <f>_xlfn.XLOOKUP(Results!A8111,Geometry!$B$6:$B$10000,Geometry!$C$6:$C$10000)</f>
        <v>0</v>
      </c>
      <c r="T8111" s="69"/>
      <c r="U8111" s="69"/>
    </row>
    <row r="8112" spans="19:21" ht="15" customHeight="1" x14ac:dyDescent="0.2">
      <c r="S8112" s="69">
        <f>_xlfn.XLOOKUP(Results!A8112,Geometry!$B$6:$B$10000,Geometry!$C$6:$C$10000)</f>
        <v>0</v>
      </c>
      <c r="T8112" s="69"/>
      <c r="U8112" s="69"/>
    </row>
    <row r="8113" spans="19:21" ht="15" customHeight="1" x14ac:dyDescent="0.2">
      <c r="S8113" s="69">
        <f>_xlfn.XLOOKUP(Results!A8113,Geometry!$B$6:$B$10000,Geometry!$C$6:$C$10000)</f>
        <v>0</v>
      </c>
      <c r="T8113" s="69"/>
      <c r="U8113" s="69"/>
    </row>
    <row r="8114" spans="19:21" ht="15" customHeight="1" x14ac:dyDescent="0.2">
      <c r="S8114" s="69">
        <f>_xlfn.XLOOKUP(Results!A8114,Geometry!$B$6:$B$10000,Geometry!$C$6:$C$10000)</f>
        <v>0</v>
      </c>
      <c r="T8114" s="69"/>
      <c r="U8114" s="69"/>
    </row>
    <row r="8115" spans="19:21" ht="15" customHeight="1" x14ac:dyDescent="0.2">
      <c r="S8115" s="69">
        <f>_xlfn.XLOOKUP(Results!A8115,Geometry!$B$6:$B$10000,Geometry!$C$6:$C$10000)</f>
        <v>0</v>
      </c>
      <c r="T8115" s="69"/>
      <c r="U8115" s="69"/>
    </row>
    <row r="8116" spans="19:21" ht="15" customHeight="1" x14ac:dyDescent="0.2">
      <c r="S8116" s="69">
        <f>_xlfn.XLOOKUP(Results!A8116,Geometry!$B$6:$B$10000,Geometry!$C$6:$C$10000)</f>
        <v>0</v>
      </c>
      <c r="T8116" s="69"/>
      <c r="U8116" s="69"/>
    </row>
    <row r="8117" spans="19:21" ht="15" customHeight="1" x14ac:dyDescent="0.2">
      <c r="S8117" s="69">
        <f>_xlfn.XLOOKUP(Results!A8117,Geometry!$B$6:$B$10000,Geometry!$C$6:$C$10000)</f>
        <v>0</v>
      </c>
      <c r="T8117" s="69"/>
      <c r="U8117" s="69"/>
    </row>
    <row r="8118" spans="19:21" ht="15" customHeight="1" x14ac:dyDescent="0.2">
      <c r="S8118" s="69">
        <f>_xlfn.XLOOKUP(Results!A8118,Geometry!$B$6:$B$10000,Geometry!$C$6:$C$10000)</f>
        <v>0</v>
      </c>
      <c r="T8118" s="69"/>
      <c r="U8118" s="69"/>
    </row>
    <row r="8119" spans="19:21" ht="15" customHeight="1" x14ac:dyDescent="0.2">
      <c r="S8119" s="69">
        <f>_xlfn.XLOOKUP(Results!A8119,Geometry!$B$6:$B$10000,Geometry!$C$6:$C$10000)</f>
        <v>0</v>
      </c>
      <c r="T8119" s="69"/>
      <c r="U8119" s="69"/>
    </row>
    <row r="8120" spans="19:21" ht="15" customHeight="1" x14ac:dyDescent="0.2">
      <c r="S8120" s="69">
        <f>_xlfn.XLOOKUP(Results!A8120,Geometry!$B$6:$B$10000,Geometry!$C$6:$C$10000)</f>
        <v>0</v>
      </c>
      <c r="T8120" s="69"/>
      <c r="U8120" s="69"/>
    </row>
    <row r="8121" spans="19:21" ht="15" customHeight="1" x14ac:dyDescent="0.2">
      <c r="S8121" s="69">
        <f>_xlfn.XLOOKUP(Results!A8121,Geometry!$B$6:$B$10000,Geometry!$C$6:$C$10000)</f>
        <v>0</v>
      </c>
      <c r="T8121" s="69"/>
      <c r="U8121" s="69"/>
    </row>
    <row r="8122" spans="19:21" ht="15" customHeight="1" x14ac:dyDescent="0.2">
      <c r="S8122" s="69">
        <f>_xlfn.XLOOKUP(Results!A8122,Geometry!$B$6:$B$10000,Geometry!$C$6:$C$10000)</f>
        <v>0</v>
      </c>
      <c r="T8122" s="69"/>
      <c r="U8122" s="69"/>
    </row>
    <row r="8123" spans="19:21" ht="15" customHeight="1" x14ac:dyDescent="0.2">
      <c r="S8123" s="69">
        <f>_xlfn.XLOOKUP(Results!A8123,Geometry!$B$6:$B$10000,Geometry!$C$6:$C$10000)</f>
        <v>0</v>
      </c>
      <c r="T8123" s="69"/>
      <c r="U8123" s="69"/>
    </row>
    <row r="8124" spans="19:21" ht="15" customHeight="1" x14ac:dyDescent="0.2">
      <c r="S8124" s="69">
        <f>_xlfn.XLOOKUP(Results!A8124,Geometry!$B$6:$B$10000,Geometry!$C$6:$C$10000)</f>
        <v>0</v>
      </c>
      <c r="T8124" s="69"/>
      <c r="U8124" s="69"/>
    </row>
    <row r="8125" spans="19:21" ht="15" customHeight="1" x14ac:dyDescent="0.2">
      <c r="S8125" s="69">
        <f>_xlfn.XLOOKUP(Results!A8125,Geometry!$B$6:$B$10000,Geometry!$C$6:$C$10000)</f>
        <v>0</v>
      </c>
      <c r="T8125" s="69"/>
      <c r="U8125" s="69"/>
    </row>
    <row r="8126" spans="19:21" ht="15" customHeight="1" x14ac:dyDescent="0.2">
      <c r="S8126" s="69">
        <f>_xlfn.XLOOKUP(Results!A8126,Geometry!$B$6:$B$10000,Geometry!$C$6:$C$10000)</f>
        <v>0</v>
      </c>
      <c r="T8126" s="69"/>
      <c r="U8126" s="69"/>
    </row>
    <row r="8127" spans="19:21" ht="15" customHeight="1" x14ac:dyDescent="0.2">
      <c r="S8127" s="69">
        <f>_xlfn.XLOOKUP(Results!A8127,Geometry!$B$6:$B$10000,Geometry!$C$6:$C$10000)</f>
        <v>0</v>
      </c>
      <c r="T8127" s="69"/>
      <c r="U8127" s="69"/>
    </row>
    <row r="8128" spans="19:21" ht="15" customHeight="1" x14ac:dyDescent="0.2">
      <c r="S8128" s="69">
        <f>_xlfn.XLOOKUP(Results!A8128,Geometry!$B$6:$B$10000,Geometry!$C$6:$C$10000)</f>
        <v>0</v>
      </c>
      <c r="T8128" s="69"/>
      <c r="U8128" s="69"/>
    </row>
    <row r="8129" spans="19:21" ht="15" customHeight="1" x14ac:dyDescent="0.2">
      <c r="S8129" s="69">
        <f>_xlfn.XLOOKUP(Results!A8129,Geometry!$B$6:$B$10000,Geometry!$C$6:$C$10000)</f>
        <v>0</v>
      </c>
      <c r="T8129" s="69"/>
      <c r="U8129" s="69"/>
    </row>
    <row r="8130" spans="19:21" ht="15" customHeight="1" x14ac:dyDescent="0.2">
      <c r="S8130" s="69">
        <f>_xlfn.XLOOKUP(Results!A8130,Geometry!$B$6:$B$10000,Geometry!$C$6:$C$10000)</f>
        <v>0</v>
      </c>
      <c r="T8130" s="69"/>
      <c r="U8130" s="69"/>
    </row>
    <row r="8131" spans="19:21" ht="15" customHeight="1" x14ac:dyDescent="0.2">
      <c r="S8131" s="69">
        <f>_xlfn.XLOOKUP(Results!A8131,Geometry!$B$6:$B$10000,Geometry!$C$6:$C$10000)</f>
        <v>0</v>
      </c>
      <c r="T8131" s="69"/>
      <c r="U8131" s="69"/>
    </row>
    <row r="8132" spans="19:21" ht="15" customHeight="1" x14ac:dyDescent="0.2">
      <c r="S8132" s="69">
        <f>_xlfn.XLOOKUP(Results!A8132,Geometry!$B$6:$B$10000,Geometry!$C$6:$C$10000)</f>
        <v>0</v>
      </c>
      <c r="T8132" s="69"/>
      <c r="U8132" s="69"/>
    </row>
    <row r="8133" spans="19:21" ht="15" customHeight="1" x14ac:dyDescent="0.2">
      <c r="S8133" s="69">
        <f>_xlfn.XLOOKUP(Results!A8133,Geometry!$B$6:$B$10000,Geometry!$C$6:$C$10000)</f>
        <v>0</v>
      </c>
      <c r="T8133" s="69"/>
      <c r="U8133" s="69"/>
    </row>
    <row r="8134" spans="19:21" ht="15" customHeight="1" x14ac:dyDescent="0.2">
      <c r="S8134" s="69">
        <f>_xlfn.XLOOKUP(Results!A8134,Geometry!$B$6:$B$10000,Geometry!$C$6:$C$10000)</f>
        <v>0</v>
      </c>
      <c r="T8134" s="69"/>
      <c r="U8134" s="69"/>
    </row>
    <row r="8135" spans="19:21" ht="15" customHeight="1" x14ac:dyDescent="0.2">
      <c r="S8135" s="69">
        <f>_xlfn.XLOOKUP(Results!A8135,Geometry!$B$6:$B$10000,Geometry!$C$6:$C$10000)</f>
        <v>0</v>
      </c>
      <c r="T8135" s="69"/>
      <c r="U8135" s="69"/>
    </row>
    <row r="8136" spans="19:21" ht="15" customHeight="1" x14ac:dyDescent="0.2">
      <c r="S8136" s="69">
        <f>_xlfn.XLOOKUP(Results!A8136,Geometry!$B$6:$B$10000,Geometry!$C$6:$C$10000)</f>
        <v>0</v>
      </c>
      <c r="T8136" s="69"/>
      <c r="U8136" s="69"/>
    </row>
    <row r="8137" spans="19:21" ht="15" customHeight="1" x14ac:dyDescent="0.2">
      <c r="S8137" s="69">
        <f>_xlfn.XLOOKUP(Results!A8137,Geometry!$B$6:$B$10000,Geometry!$C$6:$C$10000)</f>
        <v>0</v>
      </c>
      <c r="T8137" s="69"/>
      <c r="U8137" s="69"/>
    </row>
    <row r="8138" spans="19:21" ht="15" customHeight="1" x14ac:dyDescent="0.2">
      <c r="S8138" s="69">
        <f>_xlfn.XLOOKUP(Results!A8138,Geometry!$B$6:$B$10000,Geometry!$C$6:$C$10000)</f>
        <v>0</v>
      </c>
      <c r="T8138" s="69"/>
      <c r="U8138" s="69"/>
    </row>
    <row r="8139" spans="19:21" ht="15" customHeight="1" x14ac:dyDescent="0.2">
      <c r="S8139" s="69">
        <f>_xlfn.XLOOKUP(Results!A8139,Geometry!$B$6:$B$10000,Geometry!$C$6:$C$10000)</f>
        <v>0</v>
      </c>
      <c r="T8139" s="69"/>
      <c r="U8139" s="69"/>
    </row>
    <row r="8140" spans="19:21" ht="15" customHeight="1" x14ac:dyDescent="0.2">
      <c r="S8140" s="69">
        <f>_xlfn.XLOOKUP(Results!A8140,Geometry!$B$6:$B$10000,Geometry!$C$6:$C$10000)</f>
        <v>0</v>
      </c>
      <c r="T8140" s="69"/>
      <c r="U8140" s="69"/>
    </row>
    <row r="8141" spans="19:21" ht="15" customHeight="1" x14ac:dyDescent="0.2">
      <c r="S8141" s="69">
        <f>_xlfn.XLOOKUP(Results!A8141,Geometry!$B$6:$B$10000,Geometry!$C$6:$C$10000)</f>
        <v>0</v>
      </c>
      <c r="T8141" s="69"/>
      <c r="U8141" s="69"/>
    </row>
    <row r="8142" spans="19:21" ht="15" customHeight="1" x14ac:dyDescent="0.2">
      <c r="S8142" s="69">
        <f>_xlfn.XLOOKUP(Results!A8142,Geometry!$B$6:$B$10000,Geometry!$C$6:$C$10000)</f>
        <v>0</v>
      </c>
      <c r="T8142" s="69"/>
      <c r="U8142" s="69"/>
    </row>
    <row r="8143" spans="19:21" ht="15" customHeight="1" x14ac:dyDescent="0.2">
      <c r="S8143" s="69">
        <f>_xlfn.XLOOKUP(Results!A8143,Geometry!$B$6:$B$10000,Geometry!$C$6:$C$10000)</f>
        <v>0</v>
      </c>
      <c r="T8143" s="69"/>
      <c r="U8143" s="69"/>
    </row>
    <row r="8144" spans="19:21" ht="15" customHeight="1" x14ac:dyDescent="0.2">
      <c r="S8144" s="69">
        <f>_xlfn.XLOOKUP(Results!A8144,Geometry!$B$6:$B$10000,Geometry!$C$6:$C$10000)</f>
        <v>0</v>
      </c>
      <c r="T8144" s="69"/>
      <c r="U8144" s="69"/>
    </row>
    <row r="8145" spans="19:21" ht="15" customHeight="1" x14ac:dyDescent="0.2">
      <c r="S8145" s="69">
        <f>_xlfn.XLOOKUP(Results!A8145,Geometry!$B$6:$B$10000,Geometry!$C$6:$C$10000)</f>
        <v>0</v>
      </c>
      <c r="T8145" s="69"/>
      <c r="U8145" s="69"/>
    </row>
    <row r="8146" spans="19:21" ht="15" customHeight="1" x14ac:dyDescent="0.2">
      <c r="S8146" s="69">
        <f>_xlfn.XLOOKUP(Results!A8146,Geometry!$B$6:$B$10000,Geometry!$C$6:$C$10000)</f>
        <v>0</v>
      </c>
      <c r="T8146" s="69"/>
      <c r="U8146" s="69"/>
    </row>
    <row r="8147" spans="19:21" ht="15" customHeight="1" x14ac:dyDescent="0.2">
      <c r="S8147" s="69">
        <f>_xlfn.XLOOKUP(Results!A8147,Geometry!$B$6:$B$10000,Geometry!$C$6:$C$10000)</f>
        <v>0</v>
      </c>
      <c r="T8147" s="69"/>
      <c r="U8147" s="69"/>
    </row>
    <row r="8148" spans="19:21" ht="15" customHeight="1" x14ac:dyDescent="0.2">
      <c r="S8148" s="69">
        <f>_xlfn.XLOOKUP(Results!A8148,Geometry!$B$6:$B$10000,Geometry!$C$6:$C$10000)</f>
        <v>0</v>
      </c>
      <c r="T8148" s="69"/>
      <c r="U8148" s="69"/>
    </row>
    <row r="8149" spans="19:21" ht="15" customHeight="1" x14ac:dyDescent="0.2">
      <c r="S8149" s="69">
        <f>_xlfn.XLOOKUP(Results!A8149,Geometry!$B$6:$B$10000,Geometry!$C$6:$C$10000)</f>
        <v>0</v>
      </c>
      <c r="T8149" s="69"/>
      <c r="U8149" s="69"/>
    </row>
    <row r="8150" spans="19:21" ht="15" customHeight="1" x14ac:dyDescent="0.2">
      <c r="S8150" s="69">
        <f>_xlfn.XLOOKUP(Results!A8150,Geometry!$B$6:$B$10000,Geometry!$C$6:$C$10000)</f>
        <v>0</v>
      </c>
      <c r="T8150" s="69"/>
      <c r="U8150" s="69"/>
    </row>
    <row r="8151" spans="19:21" ht="15" customHeight="1" x14ac:dyDescent="0.2">
      <c r="S8151" s="69">
        <f>_xlfn.XLOOKUP(Results!A8151,Geometry!$B$6:$B$10000,Geometry!$C$6:$C$10000)</f>
        <v>0</v>
      </c>
      <c r="T8151" s="69"/>
      <c r="U8151" s="69"/>
    </row>
    <row r="8152" spans="19:21" ht="15" customHeight="1" x14ac:dyDescent="0.2">
      <c r="S8152" s="69">
        <f>_xlfn.XLOOKUP(Results!A8152,Geometry!$B$6:$B$10000,Geometry!$C$6:$C$10000)</f>
        <v>0</v>
      </c>
      <c r="T8152" s="69"/>
      <c r="U8152" s="69"/>
    </row>
    <row r="8153" spans="19:21" ht="15" customHeight="1" x14ac:dyDescent="0.2">
      <c r="S8153" s="69">
        <f>_xlfn.XLOOKUP(Results!A8153,Geometry!$B$6:$B$10000,Geometry!$C$6:$C$10000)</f>
        <v>0</v>
      </c>
      <c r="T8153" s="69"/>
      <c r="U8153" s="69"/>
    </row>
    <row r="8154" spans="19:21" ht="15" customHeight="1" x14ac:dyDescent="0.2">
      <c r="S8154" s="69">
        <f>_xlfn.XLOOKUP(Results!A8154,Geometry!$B$6:$B$10000,Geometry!$C$6:$C$10000)</f>
        <v>0</v>
      </c>
      <c r="T8154" s="69"/>
      <c r="U8154" s="69"/>
    </row>
    <row r="8155" spans="19:21" ht="15" customHeight="1" x14ac:dyDescent="0.2">
      <c r="S8155" s="69">
        <f>_xlfn.XLOOKUP(Results!A8155,Geometry!$B$6:$B$10000,Geometry!$C$6:$C$10000)</f>
        <v>0</v>
      </c>
      <c r="T8155" s="69"/>
      <c r="U8155" s="69"/>
    </row>
    <row r="8156" spans="19:21" ht="15" customHeight="1" x14ac:dyDescent="0.2">
      <c r="S8156" s="69">
        <f>_xlfn.XLOOKUP(Results!A8156,Geometry!$B$6:$B$10000,Geometry!$C$6:$C$10000)</f>
        <v>0</v>
      </c>
      <c r="T8156" s="69"/>
      <c r="U8156" s="69"/>
    </row>
    <row r="8157" spans="19:21" ht="15" customHeight="1" x14ac:dyDescent="0.2">
      <c r="S8157" s="69">
        <f>_xlfn.XLOOKUP(Results!A8157,Geometry!$B$6:$B$10000,Geometry!$C$6:$C$10000)</f>
        <v>0</v>
      </c>
      <c r="T8157" s="69"/>
      <c r="U8157" s="69"/>
    </row>
    <row r="8158" spans="19:21" ht="15" customHeight="1" x14ac:dyDescent="0.2">
      <c r="S8158" s="69">
        <f>_xlfn.XLOOKUP(Results!A8158,Geometry!$B$6:$B$10000,Geometry!$C$6:$C$10000)</f>
        <v>0</v>
      </c>
      <c r="T8158" s="69"/>
      <c r="U8158" s="69"/>
    </row>
    <row r="8159" spans="19:21" ht="15" customHeight="1" x14ac:dyDescent="0.2">
      <c r="S8159" s="69">
        <f>_xlfn.XLOOKUP(Results!A8159,Geometry!$B$6:$B$10000,Geometry!$C$6:$C$10000)</f>
        <v>0</v>
      </c>
      <c r="T8159" s="69"/>
      <c r="U8159" s="69"/>
    </row>
    <row r="8160" spans="19:21" ht="15" customHeight="1" x14ac:dyDescent="0.2">
      <c r="S8160" s="69">
        <f>_xlfn.XLOOKUP(Results!A8160,Geometry!$B$6:$B$10000,Geometry!$C$6:$C$10000)</f>
        <v>0</v>
      </c>
      <c r="T8160" s="69"/>
      <c r="U8160" s="69"/>
    </row>
    <row r="8161" spans="19:21" ht="15" customHeight="1" x14ac:dyDescent="0.2">
      <c r="S8161" s="69">
        <f>_xlfn.XLOOKUP(Results!A8161,Geometry!$B$6:$B$10000,Geometry!$C$6:$C$10000)</f>
        <v>0</v>
      </c>
      <c r="T8161" s="69"/>
      <c r="U8161" s="69"/>
    </row>
    <row r="8162" spans="19:21" ht="15" customHeight="1" x14ac:dyDescent="0.2">
      <c r="S8162" s="69">
        <f>_xlfn.XLOOKUP(Results!A8162,Geometry!$B$6:$B$10000,Geometry!$C$6:$C$10000)</f>
        <v>0</v>
      </c>
      <c r="T8162" s="69"/>
      <c r="U8162" s="69"/>
    </row>
    <row r="8163" spans="19:21" ht="15" customHeight="1" x14ac:dyDescent="0.2">
      <c r="S8163" s="69">
        <f>_xlfn.XLOOKUP(Results!A8163,Geometry!$B$6:$B$10000,Geometry!$C$6:$C$10000)</f>
        <v>0</v>
      </c>
      <c r="T8163" s="69"/>
      <c r="U8163" s="69"/>
    </row>
    <row r="8164" spans="19:21" ht="15" customHeight="1" x14ac:dyDescent="0.2">
      <c r="S8164" s="69">
        <f>_xlfn.XLOOKUP(Results!A8164,Geometry!$B$6:$B$10000,Geometry!$C$6:$C$10000)</f>
        <v>0</v>
      </c>
      <c r="T8164" s="69"/>
      <c r="U8164" s="69"/>
    </row>
    <row r="8165" spans="19:21" ht="15" customHeight="1" x14ac:dyDescent="0.2">
      <c r="S8165" s="69">
        <f>_xlfn.XLOOKUP(Results!A8165,Geometry!$B$6:$B$10000,Geometry!$C$6:$C$10000)</f>
        <v>0</v>
      </c>
      <c r="T8165" s="69"/>
      <c r="U8165" s="69"/>
    </row>
    <row r="8166" spans="19:21" ht="15" customHeight="1" x14ac:dyDescent="0.2">
      <c r="S8166" s="69">
        <f>_xlfn.XLOOKUP(Results!A8166,Geometry!$B$6:$B$10000,Geometry!$C$6:$C$10000)</f>
        <v>0</v>
      </c>
      <c r="T8166" s="69"/>
      <c r="U8166" s="69"/>
    </row>
    <row r="8167" spans="19:21" ht="15" customHeight="1" x14ac:dyDescent="0.2">
      <c r="S8167" s="69">
        <f>_xlfn.XLOOKUP(Results!A8167,Geometry!$B$6:$B$10000,Geometry!$C$6:$C$10000)</f>
        <v>0</v>
      </c>
      <c r="T8167" s="69"/>
      <c r="U8167" s="69"/>
    </row>
    <row r="8168" spans="19:21" ht="15" customHeight="1" x14ac:dyDescent="0.2">
      <c r="S8168" s="69">
        <f>_xlfn.XLOOKUP(Results!A8168,Geometry!$B$6:$B$10000,Geometry!$C$6:$C$10000)</f>
        <v>0</v>
      </c>
      <c r="T8168" s="69"/>
      <c r="U8168" s="69"/>
    </row>
    <row r="8169" spans="19:21" ht="15" customHeight="1" x14ac:dyDescent="0.2">
      <c r="S8169" s="69">
        <f>_xlfn.XLOOKUP(Results!A8169,Geometry!$B$6:$B$10000,Geometry!$C$6:$C$10000)</f>
        <v>0</v>
      </c>
      <c r="T8169" s="69"/>
      <c r="U8169" s="69"/>
    </row>
    <row r="8170" spans="19:21" ht="15" customHeight="1" x14ac:dyDescent="0.2">
      <c r="S8170" s="69">
        <f>_xlfn.XLOOKUP(Results!A8170,Geometry!$B$6:$B$10000,Geometry!$C$6:$C$10000)</f>
        <v>0</v>
      </c>
      <c r="T8170" s="69"/>
      <c r="U8170" s="69"/>
    </row>
    <row r="8171" spans="19:21" ht="15" customHeight="1" x14ac:dyDescent="0.2">
      <c r="S8171" s="69">
        <f>_xlfn.XLOOKUP(Results!A8171,Geometry!$B$6:$B$10000,Geometry!$C$6:$C$10000)</f>
        <v>0</v>
      </c>
      <c r="T8171" s="69"/>
      <c r="U8171" s="69"/>
    </row>
    <row r="8172" spans="19:21" ht="15" customHeight="1" x14ac:dyDescent="0.2">
      <c r="S8172" s="69">
        <f>_xlfn.XLOOKUP(Results!A8172,Geometry!$B$6:$B$10000,Geometry!$C$6:$C$10000)</f>
        <v>0</v>
      </c>
      <c r="T8172" s="69"/>
      <c r="U8172" s="69"/>
    </row>
    <row r="8173" spans="19:21" ht="15" customHeight="1" x14ac:dyDescent="0.2">
      <c r="S8173" s="69">
        <f>_xlfn.XLOOKUP(Results!A8173,Geometry!$B$6:$B$10000,Geometry!$C$6:$C$10000)</f>
        <v>0</v>
      </c>
      <c r="T8173" s="69"/>
      <c r="U8173" s="69"/>
    </row>
    <row r="8174" spans="19:21" ht="15" customHeight="1" x14ac:dyDescent="0.2">
      <c r="S8174" s="69">
        <f>_xlfn.XLOOKUP(Results!A8174,Geometry!$B$6:$B$10000,Geometry!$C$6:$C$10000)</f>
        <v>0</v>
      </c>
      <c r="T8174" s="69"/>
      <c r="U8174" s="69"/>
    </row>
    <row r="8175" spans="19:21" ht="15" customHeight="1" x14ac:dyDescent="0.2">
      <c r="S8175" s="69">
        <f>_xlfn.XLOOKUP(Results!A8175,Geometry!$B$6:$B$10000,Geometry!$C$6:$C$10000)</f>
        <v>0</v>
      </c>
      <c r="T8175" s="69"/>
      <c r="U8175" s="69"/>
    </row>
    <row r="8176" spans="19:21" ht="15" customHeight="1" x14ac:dyDescent="0.2">
      <c r="S8176" s="69">
        <f>_xlfn.XLOOKUP(Results!A8176,Geometry!$B$6:$B$10000,Geometry!$C$6:$C$10000)</f>
        <v>0</v>
      </c>
      <c r="T8176" s="69"/>
      <c r="U8176" s="69"/>
    </row>
    <row r="8177" spans="19:21" ht="15" customHeight="1" x14ac:dyDescent="0.2">
      <c r="S8177" s="69">
        <f>_xlfn.XLOOKUP(Results!A8177,Geometry!$B$6:$B$10000,Geometry!$C$6:$C$10000)</f>
        <v>0</v>
      </c>
      <c r="T8177" s="69"/>
      <c r="U8177" s="69"/>
    </row>
    <row r="8178" spans="19:21" ht="15" customHeight="1" x14ac:dyDescent="0.2">
      <c r="S8178" s="69">
        <f>_xlfn.XLOOKUP(Results!A8178,Geometry!$B$6:$B$10000,Geometry!$C$6:$C$10000)</f>
        <v>0</v>
      </c>
      <c r="T8178" s="69"/>
      <c r="U8178" s="69"/>
    </row>
    <row r="8179" spans="19:21" ht="15" customHeight="1" x14ac:dyDescent="0.2">
      <c r="S8179" s="69">
        <f>_xlfn.XLOOKUP(Results!A8179,Geometry!$B$6:$B$10000,Geometry!$C$6:$C$10000)</f>
        <v>0</v>
      </c>
      <c r="T8179" s="69"/>
      <c r="U8179" s="69"/>
    </row>
    <row r="8180" spans="19:21" ht="15" customHeight="1" x14ac:dyDescent="0.2">
      <c r="S8180" s="69">
        <f>_xlfn.XLOOKUP(Results!A8180,Geometry!$B$6:$B$10000,Geometry!$C$6:$C$10000)</f>
        <v>0</v>
      </c>
      <c r="T8180" s="69"/>
      <c r="U8180" s="69"/>
    </row>
    <row r="8181" spans="19:21" ht="15" customHeight="1" x14ac:dyDescent="0.2">
      <c r="S8181" s="69">
        <f>_xlfn.XLOOKUP(Results!A8181,Geometry!$B$6:$B$10000,Geometry!$C$6:$C$10000)</f>
        <v>0</v>
      </c>
      <c r="T8181" s="69"/>
      <c r="U8181" s="69"/>
    </row>
    <row r="8182" spans="19:21" ht="15" customHeight="1" x14ac:dyDescent="0.2">
      <c r="S8182" s="69">
        <f>_xlfn.XLOOKUP(Results!A8182,Geometry!$B$6:$B$10000,Geometry!$C$6:$C$10000)</f>
        <v>0</v>
      </c>
      <c r="T8182" s="69"/>
      <c r="U8182" s="69"/>
    </row>
    <row r="8183" spans="19:21" ht="15" customHeight="1" x14ac:dyDescent="0.2">
      <c r="S8183" s="69">
        <f>_xlfn.XLOOKUP(Results!A8183,Geometry!$B$6:$B$10000,Geometry!$C$6:$C$10000)</f>
        <v>0</v>
      </c>
      <c r="T8183" s="69"/>
      <c r="U8183" s="69"/>
    </row>
    <row r="8184" spans="19:21" ht="15" customHeight="1" x14ac:dyDescent="0.2">
      <c r="S8184" s="69">
        <f>_xlfn.XLOOKUP(Results!A8184,Geometry!$B$6:$B$10000,Geometry!$C$6:$C$10000)</f>
        <v>0</v>
      </c>
      <c r="T8184" s="69"/>
      <c r="U8184" s="69"/>
    </row>
    <row r="8185" spans="19:21" ht="15" customHeight="1" x14ac:dyDescent="0.2">
      <c r="S8185" s="69">
        <f>_xlfn.XLOOKUP(Results!A8185,Geometry!$B$6:$B$10000,Geometry!$C$6:$C$10000)</f>
        <v>0</v>
      </c>
      <c r="T8185" s="69"/>
      <c r="U8185" s="69"/>
    </row>
    <row r="8186" spans="19:21" ht="15" customHeight="1" x14ac:dyDescent="0.2">
      <c r="S8186" s="69">
        <f>_xlfn.XLOOKUP(Results!A8186,Geometry!$B$6:$B$10000,Geometry!$C$6:$C$10000)</f>
        <v>0</v>
      </c>
      <c r="T8186" s="69"/>
      <c r="U8186" s="69"/>
    </row>
    <row r="8187" spans="19:21" ht="15" customHeight="1" x14ac:dyDescent="0.2">
      <c r="S8187" s="69">
        <f>_xlfn.XLOOKUP(Results!A8187,Geometry!$B$6:$B$10000,Geometry!$C$6:$C$10000)</f>
        <v>0</v>
      </c>
      <c r="T8187" s="69"/>
      <c r="U8187" s="69"/>
    </row>
    <row r="8188" spans="19:21" ht="15" customHeight="1" x14ac:dyDescent="0.2">
      <c r="S8188" s="69">
        <f>_xlfn.XLOOKUP(Results!A8188,Geometry!$B$6:$B$10000,Geometry!$C$6:$C$10000)</f>
        <v>0</v>
      </c>
      <c r="T8188" s="69"/>
      <c r="U8188" s="69"/>
    </row>
    <row r="8189" spans="19:21" ht="15" customHeight="1" x14ac:dyDescent="0.2">
      <c r="S8189" s="69">
        <f>_xlfn.XLOOKUP(Results!A8189,Geometry!$B$6:$B$10000,Geometry!$C$6:$C$10000)</f>
        <v>0</v>
      </c>
      <c r="T8189" s="69"/>
      <c r="U8189" s="69"/>
    </row>
    <row r="8190" spans="19:21" ht="15" customHeight="1" x14ac:dyDescent="0.2">
      <c r="S8190" s="69">
        <f>_xlfn.XLOOKUP(Results!A8190,Geometry!$B$6:$B$10000,Geometry!$C$6:$C$10000)</f>
        <v>0</v>
      </c>
      <c r="T8190" s="69"/>
      <c r="U8190" s="69"/>
    </row>
    <row r="8191" spans="19:21" ht="15" customHeight="1" x14ac:dyDescent="0.2">
      <c r="S8191" s="69">
        <f>_xlfn.XLOOKUP(Results!A8191,Geometry!$B$6:$B$10000,Geometry!$C$6:$C$10000)</f>
        <v>0</v>
      </c>
      <c r="T8191" s="69"/>
      <c r="U8191" s="69"/>
    </row>
    <row r="8192" spans="19:21" ht="15" customHeight="1" x14ac:dyDescent="0.2">
      <c r="S8192" s="69">
        <f>_xlfn.XLOOKUP(Results!A8192,Geometry!$B$6:$B$10000,Geometry!$C$6:$C$10000)</f>
        <v>0</v>
      </c>
      <c r="T8192" s="69"/>
      <c r="U8192" s="69"/>
    </row>
    <row r="8193" spans="19:21" ht="15" customHeight="1" x14ac:dyDescent="0.2">
      <c r="S8193" s="69">
        <f>_xlfn.XLOOKUP(Results!A8193,Geometry!$B$6:$B$10000,Geometry!$C$6:$C$10000)</f>
        <v>0</v>
      </c>
      <c r="T8193" s="69"/>
      <c r="U8193" s="69"/>
    </row>
    <row r="8194" spans="19:21" ht="15" customHeight="1" x14ac:dyDescent="0.2">
      <c r="S8194" s="69">
        <f>_xlfn.XLOOKUP(Results!A8194,Geometry!$B$6:$B$10000,Geometry!$C$6:$C$10000)</f>
        <v>0</v>
      </c>
      <c r="T8194" s="69"/>
      <c r="U8194" s="69"/>
    </row>
    <row r="8195" spans="19:21" ht="15" customHeight="1" x14ac:dyDescent="0.2">
      <c r="S8195" s="69">
        <f>_xlfn.XLOOKUP(Results!A8195,Geometry!$B$6:$B$10000,Geometry!$C$6:$C$10000)</f>
        <v>0</v>
      </c>
      <c r="T8195" s="69"/>
      <c r="U8195" s="69"/>
    </row>
    <row r="8196" spans="19:21" ht="15" customHeight="1" x14ac:dyDescent="0.2">
      <c r="S8196" s="69">
        <f>_xlfn.XLOOKUP(Results!A8196,Geometry!$B$6:$B$10000,Geometry!$C$6:$C$10000)</f>
        <v>0</v>
      </c>
      <c r="T8196" s="69"/>
      <c r="U8196" s="69"/>
    </row>
    <row r="8197" spans="19:21" ht="15" customHeight="1" x14ac:dyDescent="0.2">
      <c r="S8197" s="69">
        <f>_xlfn.XLOOKUP(Results!A8197,Geometry!$B$6:$B$10000,Geometry!$C$6:$C$10000)</f>
        <v>0</v>
      </c>
      <c r="T8197" s="69"/>
      <c r="U8197" s="69"/>
    </row>
    <row r="8198" spans="19:21" ht="15" customHeight="1" x14ac:dyDescent="0.2">
      <c r="S8198" s="69">
        <f>_xlfn.XLOOKUP(Results!A8198,Geometry!$B$6:$B$10000,Geometry!$C$6:$C$10000)</f>
        <v>0</v>
      </c>
      <c r="T8198" s="69"/>
      <c r="U8198" s="69"/>
    </row>
    <row r="8199" spans="19:21" ht="15" customHeight="1" x14ac:dyDescent="0.2">
      <c r="S8199" s="69">
        <f>_xlfn.XLOOKUP(Results!A8199,Geometry!$B$6:$B$10000,Geometry!$C$6:$C$10000)</f>
        <v>0</v>
      </c>
      <c r="T8199" s="69"/>
      <c r="U8199" s="69"/>
    </row>
    <row r="8200" spans="19:21" ht="15" customHeight="1" x14ac:dyDescent="0.2">
      <c r="S8200" s="69">
        <f>_xlfn.XLOOKUP(Results!A8200,Geometry!$B$6:$B$10000,Geometry!$C$6:$C$10000)</f>
        <v>0</v>
      </c>
      <c r="T8200" s="69"/>
      <c r="U8200" s="69"/>
    </row>
    <row r="8201" spans="19:21" ht="15" customHeight="1" x14ac:dyDescent="0.2">
      <c r="S8201" s="69">
        <f>_xlfn.XLOOKUP(Results!A8201,Geometry!$B$6:$B$10000,Geometry!$C$6:$C$10000)</f>
        <v>0</v>
      </c>
      <c r="T8201" s="69"/>
      <c r="U8201" s="69"/>
    </row>
    <row r="8202" spans="19:21" ht="15" customHeight="1" x14ac:dyDescent="0.2">
      <c r="S8202" s="69">
        <f>_xlfn.XLOOKUP(Results!A8202,Geometry!$B$6:$B$10000,Geometry!$C$6:$C$10000)</f>
        <v>0</v>
      </c>
      <c r="T8202" s="69"/>
      <c r="U8202" s="69"/>
    </row>
    <row r="8203" spans="19:21" ht="15" customHeight="1" x14ac:dyDescent="0.2">
      <c r="S8203" s="69">
        <f>_xlfn.XLOOKUP(Results!A8203,Geometry!$B$6:$B$10000,Geometry!$C$6:$C$10000)</f>
        <v>0</v>
      </c>
      <c r="T8203" s="69"/>
      <c r="U8203" s="69"/>
    </row>
    <row r="8204" spans="19:21" ht="15" customHeight="1" x14ac:dyDescent="0.2">
      <c r="S8204" s="69">
        <f>_xlfn.XLOOKUP(Results!A8204,Geometry!$B$6:$B$10000,Geometry!$C$6:$C$10000)</f>
        <v>0</v>
      </c>
      <c r="T8204" s="69"/>
      <c r="U8204" s="69"/>
    </row>
    <row r="8205" spans="19:21" ht="15" customHeight="1" x14ac:dyDescent="0.2">
      <c r="S8205" s="69">
        <f>_xlfn.XLOOKUP(Results!A8205,Geometry!$B$6:$B$10000,Geometry!$C$6:$C$10000)</f>
        <v>0</v>
      </c>
      <c r="T8205" s="69"/>
      <c r="U8205" s="69"/>
    </row>
    <row r="8206" spans="19:21" ht="15" customHeight="1" x14ac:dyDescent="0.2">
      <c r="S8206" s="69">
        <f>_xlfn.XLOOKUP(Results!A8206,Geometry!$B$6:$B$10000,Geometry!$C$6:$C$10000)</f>
        <v>0</v>
      </c>
      <c r="T8206" s="69"/>
      <c r="U8206" s="69"/>
    </row>
    <row r="8207" spans="19:21" ht="15" customHeight="1" x14ac:dyDescent="0.2">
      <c r="S8207" s="69">
        <f>_xlfn.XLOOKUP(Results!A8207,Geometry!$B$6:$B$10000,Geometry!$C$6:$C$10000)</f>
        <v>0</v>
      </c>
      <c r="T8207" s="69"/>
      <c r="U8207" s="69"/>
    </row>
    <row r="8208" spans="19:21" ht="15" customHeight="1" x14ac:dyDescent="0.2">
      <c r="S8208" s="69">
        <f>_xlfn.XLOOKUP(Results!A8208,Geometry!$B$6:$B$10000,Geometry!$C$6:$C$10000)</f>
        <v>0</v>
      </c>
      <c r="T8208" s="69"/>
      <c r="U8208" s="69"/>
    </row>
    <row r="8209" spans="19:21" ht="15" customHeight="1" x14ac:dyDescent="0.2">
      <c r="S8209" s="69">
        <f>_xlfn.XLOOKUP(Results!A8209,Geometry!$B$6:$B$10000,Geometry!$C$6:$C$10000)</f>
        <v>0</v>
      </c>
      <c r="T8209" s="69"/>
      <c r="U8209" s="69"/>
    </row>
    <row r="8210" spans="19:21" ht="15" customHeight="1" x14ac:dyDescent="0.2">
      <c r="S8210" s="69">
        <f>_xlfn.XLOOKUP(Results!A8210,Geometry!$B$6:$B$10000,Geometry!$C$6:$C$10000)</f>
        <v>0</v>
      </c>
      <c r="T8210" s="69"/>
      <c r="U8210" s="69"/>
    </row>
    <row r="8211" spans="19:21" ht="15" customHeight="1" x14ac:dyDescent="0.2">
      <c r="S8211" s="69">
        <f>_xlfn.XLOOKUP(Results!A8211,Geometry!$B$6:$B$10000,Geometry!$C$6:$C$10000)</f>
        <v>0</v>
      </c>
      <c r="T8211" s="69"/>
      <c r="U8211" s="69"/>
    </row>
    <row r="8212" spans="19:21" ht="15" customHeight="1" x14ac:dyDescent="0.2">
      <c r="S8212" s="69">
        <f>_xlfn.XLOOKUP(Results!A8212,Geometry!$B$6:$B$10000,Geometry!$C$6:$C$10000)</f>
        <v>0</v>
      </c>
      <c r="T8212" s="69"/>
      <c r="U8212" s="69"/>
    </row>
    <row r="8213" spans="19:21" ht="15" customHeight="1" x14ac:dyDescent="0.2">
      <c r="S8213" s="69">
        <f>_xlfn.XLOOKUP(Results!A8213,Geometry!$B$6:$B$10000,Geometry!$C$6:$C$10000)</f>
        <v>0</v>
      </c>
      <c r="T8213" s="69"/>
      <c r="U8213" s="69"/>
    </row>
    <row r="8214" spans="19:21" ht="15" customHeight="1" x14ac:dyDescent="0.2">
      <c r="S8214" s="69">
        <f>_xlfn.XLOOKUP(Results!A8214,Geometry!$B$6:$B$10000,Geometry!$C$6:$C$10000)</f>
        <v>0</v>
      </c>
      <c r="T8214" s="69"/>
      <c r="U8214" s="69"/>
    </row>
    <row r="8215" spans="19:21" ht="15" customHeight="1" x14ac:dyDescent="0.2">
      <c r="S8215" s="69">
        <f>_xlfn.XLOOKUP(Results!A8215,Geometry!$B$6:$B$10000,Geometry!$C$6:$C$10000)</f>
        <v>0</v>
      </c>
      <c r="T8215" s="69"/>
      <c r="U8215" s="69"/>
    </row>
    <row r="8216" spans="19:21" ht="15" customHeight="1" x14ac:dyDescent="0.2">
      <c r="S8216" s="69">
        <f>_xlfn.XLOOKUP(Results!A8216,Geometry!$B$6:$B$10000,Geometry!$C$6:$C$10000)</f>
        <v>0</v>
      </c>
      <c r="T8216" s="69"/>
      <c r="U8216" s="69"/>
    </row>
    <row r="8217" spans="19:21" ht="15" customHeight="1" x14ac:dyDescent="0.2">
      <c r="S8217" s="69">
        <f>_xlfn.XLOOKUP(Results!A8217,Geometry!$B$6:$B$10000,Geometry!$C$6:$C$10000)</f>
        <v>0</v>
      </c>
      <c r="T8217" s="69"/>
      <c r="U8217" s="69"/>
    </row>
    <row r="8218" spans="19:21" ht="15" customHeight="1" x14ac:dyDescent="0.2">
      <c r="S8218" s="69">
        <f>_xlfn.XLOOKUP(Results!A8218,Geometry!$B$6:$B$10000,Geometry!$C$6:$C$10000)</f>
        <v>0</v>
      </c>
      <c r="T8218" s="69"/>
      <c r="U8218" s="69"/>
    </row>
    <row r="8219" spans="19:21" ht="15" customHeight="1" x14ac:dyDescent="0.2">
      <c r="S8219" s="69">
        <f>_xlfn.XLOOKUP(Results!A8219,Geometry!$B$6:$B$10000,Geometry!$C$6:$C$10000)</f>
        <v>0</v>
      </c>
      <c r="T8219" s="69"/>
      <c r="U8219" s="69"/>
    </row>
    <row r="8220" spans="19:21" ht="15" customHeight="1" x14ac:dyDescent="0.2">
      <c r="S8220" s="69">
        <f>_xlfn.XLOOKUP(Results!A8220,Geometry!$B$6:$B$10000,Geometry!$C$6:$C$10000)</f>
        <v>0</v>
      </c>
      <c r="T8220" s="69"/>
      <c r="U8220" s="69"/>
    </row>
    <row r="8221" spans="19:21" ht="15" customHeight="1" x14ac:dyDescent="0.2">
      <c r="S8221" s="69">
        <f>_xlfn.XLOOKUP(Results!A8221,Geometry!$B$6:$B$10000,Geometry!$C$6:$C$10000)</f>
        <v>0</v>
      </c>
      <c r="T8221" s="69"/>
      <c r="U8221" s="69"/>
    </row>
    <row r="8222" spans="19:21" ht="15" customHeight="1" x14ac:dyDescent="0.2">
      <c r="S8222" s="69">
        <f>_xlfn.XLOOKUP(Results!A8222,Geometry!$B$6:$B$10000,Geometry!$C$6:$C$10000)</f>
        <v>0</v>
      </c>
      <c r="T8222" s="69"/>
      <c r="U8222" s="69"/>
    </row>
    <row r="8223" spans="19:21" ht="15" customHeight="1" x14ac:dyDescent="0.2">
      <c r="S8223" s="69">
        <f>_xlfn.XLOOKUP(Results!A8223,Geometry!$B$6:$B$10000,Geometry!$C$6:$C$10000)</f>
        <v>0</v>
      </c>
      <c r="T8223" s="69"/>
      <c r="U8223" s="69"/>
    </row>
    <row r="8224" spans="19:21" ht="15" customHeight="1" x14ac:dyDescent="0.2">
      <c r="S8224" s="69">
        <f>_xlfn.XLOOKUP(Results!A8224,Geometry!$B$6:$B$10000,Geometry!$C$6:$C$10000)</f>
        <v>0</v>
      </c>
      <c r="T8224" s="69"/>
      <c r="U8224" s="69"/>
    </row>
    <row r="8225" spans="19:21" ht="15" customHeight="1" x14ac:dyDescent="0.2">
      <c r="S8225" s="69">
        <f>_xlfn.XLOOKUP(Results!A8225,Geometry!$B$6:$B$10000,Geometry!$C$6:$C$10000)</f>
        <v>0</v>
      </c>
      <c r="T8225" s="69"/>
      <c r="U8225" s="69"/>
    </row>
    <row r="8226" spans="19:21" ht="15" customHeight="1" x14ac:dyDescent="0.2">
      <c r="S8226" s="69">
        <f>_xlfn.XLOOKUP(Results!A8226,Geometry!$B$6:$B$10000,Geometry!$C$6:$C$10000)</f>
        <v>0</v>
      </c>
      <c r="T8226" s="69"/>
      <c r="U8226" s="69"/>
    </row>
    <row r="8227" spans="19:21" ht="15" customHeight="1" x14ac:dyDescent="0.2">
      <c r="S8227" s="69">
        <f>_xlfn.XLOOKUP(Results!A8227,Geometry!$B$6:$B$10000,Geometry!$C$6:$C$10000)</f>
        <v>0</v>
      </c>
      <c r="T8227" s="69"/>
      <c r="U8227" s="69"/>
    </row>
    <row r="8228" spans="19:21" ht="15" customHeight="1" x14ac:dyDescent="0.2">
      <c r="S8228" s="69">
        <f>_xlfn.XLOOKUP(Results!A8228,Geometry!$B$6:$B$10000,Geometry!$C$6:$C$10000)</f>
        <v>0</v>
      </c>
      <c r="T8228" s="69"/>
      <c r="U8228" s="69"/>
    </row>
    <row r="8229" spans="19:21" ht="15" customHeight="1" x14ac:dyDescent="0.2">
      <c r="S8229" s="69">
        <f>_xlfn.XLOOKUP(Results!A8229,Geometry!$B$6:$B$10000,Geometry!$C$6:$C$10000)</f>
        <v>0</v>
      </c>
      <c r="T8229" s="69"/>
      <c r="U8229" s="69"/>
    </row>
    <row r="8230" spans="19:21" ht="15" customHeight="1" x14ac:dyDescent="0.2">
      <c r="S8230" s="69">
        <f>_xlfn.XLOOKUP(Results!A8230,Geometry!$B$6:$B$10000,Geometry!$C$6:$C$10000)</f>
        <v>0</v>
      </c>
      <c r="T8230" s="69"/>
      <c r="U8230" s="69"/>
    </row>
    <row r="8231" spans="19:21" ht="15" customHeight="1" x14ac:dyDescent="0.2">
      <c r="S8231" s="69">
        <f>_xlfn.XLOOKUP(Results!A8231,Geometry!$B$6:$B$10000,Geometry!$C$6:$C$10000)</f>
        <v>0</v>
      </c>
      <c r="T8231" s="69"/>
      <c r="U8231" s="69"/>
    </row>
    <row r="8232" spans="19:21" ht="15" customHeight="1" x14ac:dyDescent="0.2">
      <c r="S8232" s="69">
        <f>_xlfn.XLOOKUP(Results!A8232,Geometry!$B$6:$B$10000,Geometry!$C$6:$C$10000)</f>
        <v>0</v>
      </c>
      <c r="T8232" s="69"/>
      <c r="U8232" s="69"/>
    </row>
    <row r="8233" spans="19:21" ht="15" customHeight="1" x14ac:dyDescent="0.2">
      <c r="S8233" s="69">
        <f>_xlfn.XLOOKUP(Results!A8233,Geometry!$B$6:$B$10000,Geometry!$C$6:$C$10000)</f>
        <v>0</v>
      </c>
      <c r="T8233" s="69"/>
      <c r="U8233" s="69"/>
    </row>
    <row r="8234" spans="19:21" ht="15" customHeight="1" x14ac:dyDescent="0.2">
      <c r="S8234" s="69">
        <f>_xlfn.XLOOKUP(Results!A8234,Geometry!$B$6:$B$10000,Geometry!$C$6:$C$10000)</f>
        <v>0</v>
      </c>
      <c r="T8234" s="69"/>
      <c r="U8234" s="69"/>
    </row>
    <row r="8235" spans="19:21" ht="15" customHeight="1" x14ac:dyDescent="0.2">
      <c r="S8235" s="69">
        <f>_xlfn.XLOOKUP(Results!A8235,Geometry!$B$6:$B$10000,Geometry!$C$6:$C$10000)</f>
        <v>0</v>
      </c>
      <c r="T8235" s="69"/>
      <c r="U8235" s="69"/>
    </row>
    <row r="8236" spans="19:21" ht="15" customHeight="1" x14ac:dyDescent="0.2">
      <c r="S8236" s="69">
        <f>_xlfn.XLOOKUP(Results!A8236,Geometry!$B$6:$B$10000,Geometry!$C$6:$C$10000)</f>
        <v>0</v>
      </c>
      <c r="T8236" s="69"/>
      <c r="U8236" s="69"/>
    </row>
    <row r="8237" spans="19:21" ht="15" customHeight="1" x14ac:dyDescent="0.2">
      <c r="S8237" s="69">
        <f>_xlfn.XLOOKUP(Results!A8237,Geometry!$B$6:$B$10000,Geometry!$C$6:$C$10000)</f>
        <v>0</v>
      </c>
      <c r="T8237" s="69"/>
      <c r="U8237" s="69"/>
    </row>
    <row r="8238" spans="19:21" ht="15" customHeight="1" x14ac:dyDescent="0.2">
      <c r="S8238" s="69">
        <f>_xlfn.XLOOKUP(Results!A8238,Geometry!$B$6:$B$10000,Geometry!$C$6:$C$10000)</f>
        <v>0</v>
      </c>
      <c r="T8238" s="69"/>
      <c r="U8238" s="69"/>
    </row>
    <row r="8239" spans="19:21" ht="15" customHeight="1" x14ac:dyDescent="0.2">
      <c r="S8239" s="69">
        <f>_xlfn.XLOOKUP(Results!A8239,Geometry!$B$6:$B$10000,Geometry!$C$6:$C$10000)</f>
        <v>0</v>
      </c>
      <c r="T8239" s="69"/>
      <c r="U8239" s="69"/>
    </row>
    <row r="8240" spans="19:21" ht="15" customHeight="1" x14ac:dyDescent="0.2">
      <c r="S8240" s="69">
        <f>_xlfn.XLOOKUP(Results!A8240,Geometry!$B$6:$B$10000,Geometry!$C$6:$C$10000)</f>
        <v>0</v>
      </c>
      <c r="T8240" s="69"/>
      <c r="U8240" s="69"/>
    </row>
    <row r="8241" spans="19:21" ht="15" customHeight="1" x14ac:dyDescent="0.2">
      <c r="S8241" s="69">
        <f>_xlfn.XLOOKUP(Results!A8241,Geometry!$B$6:$B$10000,Geometry!$C$6:$C$10000)</f>
        <v>0</v>
      </c>
      <c r="T8241" s="69"/>
      <c r="U8241" s="69"/>
    </row>
    <row r="8242" spans="19:21" ht="15" customHeight="1" x14ac:dyDescent="0.2">
      <c r="S8242" s="69">
        <f>_xlfn.XLOOKUP(Results!A8242,Geometry!$B$6:$B$10000,Geometry!$C$6:$C$10000)</f>
        <v>0</v>
      </c>
      <c r="T8242" s="69"/>
      <c r="U8242" s="69"/>
    </row>
    <row r="8243" spans="19:21" ht="15" customHeight="1" x14ac:dyDescent="0.2">
      <c r="S8243" s="69">
        <f>_xlfn.XLOOKUP(Results!A8243,Geometry!$B$6:$B$10000,Geometry!$C$6:$C$10000)</f>
        <v>0</v>
      </c>
      <c r="T8243" s="69"/>
      <c r="U8243" s="69"/>
    </row>
    <row r="8244" spans="19:21" ht="15" customHeight="1" x14ac:dyDescent="0.2">
      <c r="S8244" s="69">
        <f>_xlfn.XLOOKUP(Results!A8244,Geometry!$B$6:$B$10000,Geometry!$C$6:$C$10000)</f>
        <v>0</v>
      </c>
      <c r="T8244" s="69"/>
      <c r="U8244" s="69"/>
    </row>
    <row r="8245" spans="19:21" ht="15" customHeight="1" x14ac:dyDescent="0.2">
      <c r="S8245" s="69">
        <f>_xlfn.XLOOKUP(Results!A8245,Geometry!$B$6:$B$10000,Geometry!$C$6:$C$10000)</f>
        <v>0</v>
      </c>
      <c r="T8245" s="69"/>
      <c r="U8245" s="69"/>
    </row>
    <row r="8246" spans="19:21" ht="15" customHeight="1" x14ac:dyDescent="0.2">
      <c r="S8246" s="69">
        <f>_xlfn.XLOOKUP(Results!A8246,Geometry!$B$6:$B$10000,Geometry!$C$6:$C$10000)</f>
        <v>0</v>
      </c>
      <c r="T8246" s="69"/>
      <c r="U8246" s="69"/>
    </row>
    <row r="8247" spans="19:21" ht="15" customHeight="1" x14ac:dyDescent="0.2">
      <c r="S8247" s="69">
        <f>_xlfn.XLOOKUP(Results!A8247,Geometry!$B$6:$B$10000,Geometry!$C$6:$C$10000)</f>
        <v>0</v>
      </c>
      <c r="T8247" s="69"/>
      <c r="U8247" s="69"/>
    </row>
    <row r="8248" spans="19:21" ht="15" customHeight="1" x14ac:dyDescent="0.2">
      <c r="S8248" s="69">
        <f>_xlfn.XLOOKUP(Results!A8248,Geometry!$B$6:$B$10000,Geometry!$C$6:$C$10000)</f>
        <v>0</v>
      </c>
      <c r="T8248" s="69"/>
      <c r="U8248" s="69"/>
    </row>
    <row r="8249" spans="19:21" ht="15" customHeight="1" x14ac:dyDescent="0.2">
      <c r="S8249" s="69">
        <f>_xlfn.XLOOKUP(Results!A8249,Geometry!$B$6:$B$10000,Geometry!$C$6:$C$10000)</f>
        <v>0</v>
      </c>
      <c r="T8249" s="69"/>
      <c r="U8249" s="69"/>
    </row>
    <row r="8250" spans="19:21" ht="15" customHeight="1" x14ac:dyDescent="0.2">
      <c r="S8250" s="69">
        <f>_xlfn.XLOOKUP(Results!A8250,Geometry!$B$6:$B$10000,Geometry!$C$6:$C$10000)</f>
        <v>0</v>
      </c>
      <c r="T8250" s="69"/>
      <c r="U8250" s="69"/>
    </row>
    <row r="8251" spans="19:21" ht="15" customHeight="1" x14ac:dyDescent="0.2">
      <c r="S8251" s="69">
        <f>_xlfn.XLOOKUP(Results!A8251,Geometry!$B$6:$B$10000,Geometry!$C$6:$C$10000)</f>
        <v>0</v>
      </c>
      <c r="T8251" s="69"/>
      <c r="U8251" s="69"/>
    </row>
    <row r="8252" spans="19:21" ht="15" customHeight="1" x14ac:dyDescent="0.2">
      <c r="S8252" s="69">
        <f>_xlfn.XLOOKUP(Results!A8252,Geometry!$B$6:$B$10000,Geometry!$C$6:$C$10000)</f>
        <v>0</v>
      </c>
      <c r="T8252" s="69"/>
      <c r="U8252" s="69"/>
    </row>
    <row r="8253" spans="19:21" ht="15" customHeight="1" x14ac:dyDescent="0.2">
      <c r="S8253" s="69">
        <f>_xlfn.XLOOKUP(Results!A8253,Geometry!$B$6:$B$10000,Geometry!$C$6:$C$10000)</f>
        <v>0</v>
      </c>
      <c r="T8253" s="69"/>
      <c r="U8253" s="69"/>
    </row>
    <row r="8254" spans="19:21" ht="15" customHeight="1" x14ac:dyDescent="0.2">
      <c r="S8254" s="69">
        <f>_xlfn.XLOOKUP(Results!A8254,Geometry!$B$6:$B$10000,Geometry!$C$6:$C$10000)</f>
        <v>0</v>
      </c>
      <c r="T8254" s="69"/>
      <c r="U8254" s="69"/>
    </row>
    <row r="8255" spans="19:21" ht="15" customHeight="1" x14ac:dyDescent="0.2">
      <c r="S8255" s="69">
        <f>_xlfn.XLOOKUP(Results!A8255,Geometry!$B$6:$B$10000,Geometry!$C$6:$C$10000)</f>
        <v>0</v>
      </c>
      <c r="T8255" s="69"/>
      <c r="U8255" s="69"/>
    </row>
    <row r="8256" spans="19:21" ht="15" customHeight="1" x14ac:dyDescent="0.2">
      <c r="S8256" s="69">
        <f>_xlfn.XLOOKUP(Results!A8256,Geometry!$B$6:$B$10000,Geometry!$C$6:$C$10000)</f>
        <v>0</v>
      </c>
      <c r="T8256" s="69"/>
      <c r="U8256" s="69"/>
    </row>
    <row r="8257" spans="19:21" ht="15" customHeight="1" x14ac:dyDescent="0.2">
      <c r="S8257" s="69">
        <f>_xlfn.XLOOKUP(Results!A8257,Geometry!$B$6:$B$10000,Geometry!$C$6:$C$10000)</f>
        <v>0</v>
      </c>
      <c r="T8257" s="69"/>
      <c r="U8257" s="69"/>
    </row>
    <row r="8258" spans="19:21" ht="15" customHeight="1" x14ac:dyDescent="0.2">
      <c r="S8258" s="69">
        <f>_xlfn.XLOOKUP(Results!A8258,Geometry!$B$6:$B$10000,Geometry!$C$6:$C$10000)</f>
        <v>0</v>
      </c>
      <c r="T8258" s="69"/>
      <c r="U8258" s="69"/>
    </row>
    <row r="8259" spans="19:21" ht="15" customHeight="1" x14ac:dyDescent="0.2">
      <c r="S8259" s="69">
        <f>_xlfn.XLOOKUP(Results!A8259,Geometry!$B$6:$B$10000,Geometry!$C$6:$C$10000)</f>
        <v>0</v>
      </c>
      <c r="T8259" s="69"/>
      <c r="U8259" s="69"/>
    </row>
    <row r="8260" spans="19:21" ht="15" customHeight="1" x14ac:dyDescent="0.2">
      <c r="S8260" s="69">
        <f>_xlfn.XLOOKUP(Results!A8260,Geometry!$B$6:$B$10000,Geometry!$C$6:$C$10000)</f>
        <v>0</v>
      </c>
      <c r="T8260" s="69"/>
      <c r="U8260" s="69"/>
    </row>
    <row r="8261" spans="19:21" ht="15" customHeight="1" x14ac:dyDescent="0.2">
      <c r="S8261" s="69">
        <f>_xlfn.XLOOKUP(Results!A8261,Geometry!$B$6:$B$10000,Geometry!$C$6:$C$10000)</f>
        <v>0</v>
      </c>
      <c r="T8261" s="69"/>
      <c r="U8261" s="69"/>
    </row>
    <row r="8262" spans="19:21" ht="15" customHeight="1" x14ac:dyDescent="0.2">
      <c r="S8262" s="69">
        <f>_xlfn.XLOOKUP(Results!A8262,Geometry!$B$6:$B$10000,Geometry!$C$6:$C$10000)</f>
        <v>0</v>
      </c>
      <c r="T8262" s="69"/>
      <c r="U8262" s="69"/>
    </row>
    <row r="8263" spans="19:21" ht="15" customHeight="1" x14ac:dyDescent="0.2">
      <c r="S8263" s="69">
        <f>_xlfn.XLOOKUP(Results!A8263,Geometry!$B$6:$B$10000,Geometry!$C$6:$C$10000)</f>
        <v>0</v>
      </c>
      <c r="T8263" s="69"/>
      <c r="U8263" s="69"/>
    </row>
    <row r="8264" spans="19:21" ht="15" customHeight="1" x14ac:dyDescent="0.2">
      <c r="S8264" s="69">
        <f>_xlfn.XLOOKUP(Results!A8264,Geometry!$B$6:$B$10000,Geometry!$C$6:$C$10000)</f>
        <v>0</v>
      </c>
      <c r="T8264" s="69"/>
      <c r="U8264" s="69"/>
    </row>
    <row r="8265" spans="19:21" ht="15" customHeight="1" x14ac:dyDescent="0.2">
      <c r="S8265" s="69">
        <f>_xlfn.XLOOKUP(Results!A8265,Geometry!$B$6:$B$10000,Geometry!$C$6:$C$10000)</f>
        <v>0</v>
      </c>
      <c r="T8265" s="69"/>
      <c r="U8265" s="69"/>
    </row>
    <row r="8266" spans="19:21" ht="15" customHeight="1" x14ac:dyDescent="0.2">
      <c r="S8266" s="69">
        <f>_xlfn.XLOOKUP(Results!A8266,Geometry!$B$6:$B$10000,Geometry!$C$6:$C$10000)</f>
        <v>0</v>
      </c>
      <c r="T8266" s="69"/>
      <c r="U8266" s="69"/>
    </row>
    <row r="8267" spans="19:21" ht="15" customHeight="1" x14ac:dyDescent="0.2">
      <c r="S8267" s="69">
        <f>_xlfn.XLOOKUP(Results!A8267,Geometry!$B$6:$B$10000,Geometry!$C$6:$C$10000)</f>
        <v>0</v>
      </c>
      <c r="T8267" s="69"/>
      <c r="U8267" s="69"/>
    </row>
    <row r="8268" spans="19:21" ht="15" customHeight="1" x14ac:dyDescent="0.2">
      <c r="S8268" s="69">
        <f>_xlfn.XLOOKUP(Results!A8268,Geometry!$B$6:$B$10000,Geometry!$C$6:$C$10000)</f>
        <v>0</v>
      </c>
      <c r="T8268" s="69"/>
      <c r="U8268" s="69"/>
    </row>
    <row r="8269" spans="19:21" ht="15" customHeight="1" x14ac:dyDescent="0.2">
      <c r="S8269" s="69">
        <f>_xlfn.XLOOKUP(Results!A8269,Geometry!$B$6:$B$10000,Geometry!$C$6:$C$10000)</f>
        <v>0</v>
      </c>
      <c r="T8269" s="69"/>
      <c r="U8269" s="69"/>
    </row>
    <row r="8270" spans="19:21" ht="15" customHeight="1" x14ac:dyDescent="0.2">
      <c r="S8270" s="69">
        <f>_xlfn.XLOOKUP(Results!A8270,Geometry!$B$6:$B$10000,Geometry!$C$6:$C$10000)</f>
        <v>0</v>
      </c>
      <c r="T8270" s="69"/>
      <c r="U8270" s="69"/>
    </row>
    <row r="8271" spans="19:21" ht="15" customHeight="1" x14ac:dyDescent="0.2">
      <c r="S8271" s="69">
        <f>_xlfn.XLOOKUP(Results!A8271,Geometry!$B$6:$B$10000,Geometry!$C$6:$C$10000)</f>
        <v>0</v>
      </c>
      <c r="T8271" s="69"/>
      <c r="U8271" s="69"/>
    </row>
    <row r="8272" spans="19:21" ht="15" customHeight="1" x14ac:dyDescent="0.2">
      <c r="S8272" s="69">
        <f>_xlfn.XLOOKUP(Results!A8272,Geometry!$B$6:$B$10000,Geometry!$C$6:$C$10000)</f>
        <v>0</v>
      </c>
      <c r="T8272" s="69"/>
      <c r="U8272" s="69"/>
    </row>
    <row r="8273" spans="19:21" ht="15" customHeight="1" x14ac:dyDescent="0.2">
      <c r="S8273" s="69">
        <f>_xlfn.XLOOKUP(Results!A8273,Geometry!$B$6:$B$10000,Geometry!$C$6:$C$10000)</f>
        <v>0</v>
      </c>
      <c r="T8273" s="69"/>
      <c r="U8273" s="69"/>
    </row>
    <row r="8274" spans="19:21" ht="15" customHeight="1" x14ac:dyDescent="0.2">
      <c r="S8274" s="69">
        <f>_xlfn.XLOOKUP(Results!A8274,Geometry!$B$6:$B$10000,Geometry!$C$6:$C$10000)</f>
        <v>0</v>
      </c>
      <c r="T8274" s="69"/>
      <c r="U8274" s="69"/>
    </row>
    <row r="8275" spans="19:21" ht="15" customHeight="1" x14ac:dyDescent="0.2">
      <c r="S8275" s="69">
        <f>_xlfn.XLOOKUP(Results!A8275,Geometry!$B$6:$B$10000,Geometry!$C$6:$C$10000)</f>
        <v>0</v>
      </c>
      <c r="T8275" s="69"/>
      <c r="U8275" s="69"/>
    </row>
    <row r="8276" spans="19:21" ht="15" customHeight="1" x14ac:dyDescent="0.2">
      <c r="S8276" s="69">
        <f>_xlfn.XLOOKUP(Results!A8276,Geometry!$B$6:$B$10000,Geometry!$C$6:$C$10000)</f>
        <v>0</v>
      </c>
      <c r="T8276" s="69"/>
      <c r="U8276" s="69"/>
    </row>
    <row r="8277" spans="19:21" ht="15" customHeight="1" x14ac:dyDescent="0.2">
      <c r="S8277" s="69">
        <f>_xlfn.XLOOKUP(Results!A8277,Geometry!$B$6:$B$10000,Geometry!$C$6:$C$10000)</f>
        <v>0</v>
      </c>
      <c r="T8277" s="69"/>
      <c r="U8277" s="69"/>
    </row>
    <row r="8278" spans="19:21" ht="15" customHeight="1" x14ac:dyDescent="0.2">
      <c r="S8278" s="69">
        <f>_xlfn.XLOOKUP(Results!A8278,Geometry!$B$6:$B$10000,Geometry!$C$6:$C$10000)</f>
        <v>0</v>
      </c>
      <c r="T8278" s="69"/>
      <c r="U8278" s="69"/>
    </row>
    <row r="8279" spans="19:21" ht="15" customHeight="1" x14ac:dyDescent="0.2">
      <c r="S8279" s="69">
        <f>_xlfn.XLOOKUP(Results!A8279,Geometry!$B$6:$B$10000,Geometry!$C$6:$C$10000)</f>
        <v>0</v>
      </c>
      <c r="T8279" s="69"/>
      <c r="U8279" s="69"/>
    </row>
    <row r="8280" spans="19:21" ht="15" customHeight="1" x14ac:dyDescent="0.2">
      <c r="S8280" s="69">
        <f>_xlfn.XLOOKUP(Results!A8280,Geometry!$B$6:$B$10000,Geometry!$C$6:$C$10000)</f>
        <v>0</v>
      </c>
      <c r="T8280" s="69"/>
      <c r="U8280" s="69"/>
    </row>
    <row r="8281" spans="19:21" ht="15" customHeight="1" x14ac:dyDescent="0.2">
      <c r="S8281" s="69">
        <f>_xlfn.XLOOKUP(Results!A8281,Geometry!$B$6:$B$10000,Geometry!$C$6:$C$10000)</f>
        <v>0</v>
      </c>
      <c r="T8281" s="69"/>
      <c r="U8281" s="69"/>
    </row>
    <row r="8282" spans="19:21" ht="15" customHeight="1" x14ac:dyDescent="0.2">
      <c r="S8282" s="69">
        <f>_xlfn.XLOOKUP(Results!A8282,Geometry!$B$6:$B$10000,Geometry!$C$6:$C$10000)</f>
        <v>0</v>
      </c>
      <c r="T8282" s="69"/>
      <c r="U8282" s="69"/>
    </row>
    <row r="8283" spans="19:21" ht="15" customHeight="1" x14ac:dyDescent="0.2">
      <c r="S8283" s="69">
        <f>_xlfn.XLOOKUP(Results!A8283,Geometry!$B$6:$B$10000,Geometry!$C$6:$C$10000)</f>
        <v>0</v>
      </c>
      <c r="T8283" s="69"/>
      <c r="U8283" s="69"/>
    </row>
    <row r="8284" spans="19:21" ht="15" customHeight="1" x14ac:dyDescent="0.2">
      <c r="S8284" s="69">
        <f>_xlfn.XLOOKUP(Results!A8284,Geometry!$B$6:$B$10000,Geometry!$C$6:$C$10000)</f>
        <v>0</v>
      </c>
      <c r="T8284" s="69"/>
      <c r="U8284" s="69"/>
    </row>
    <row r="8285" spans="19:21" ht="15" customHeight="1" x14ac:dyDescent="0.2">
      <c r="S8285" s="69">
        <f>_xlfn.XLOOKUP(Results!A8285,Geometry!$B$6:$B$10000,Geometry!$C$6:$C$10000)</f>
        <v>0</v>
      </c>
      <c r="T8285" s="69"/>
      <c r="U8285" s="69"/>
    </row>
    <row r="8286" spans="19:21" ht="15" customHeight="1" x14ac:dyDescent="0.2">
      <c r="S8286" s="69">
        <f>_xlfn.XLOOKUP(Results!A8286,Geometry!$B$6:$B$10000,Geometry!$C$6:$C$10000)</f>
        <v>0</v>
      </c>
      <c r="T8286" s="69"/>
      <c r="U8286" s="69"/>
    </row>
    <row r="8287" spans="19:21" ht="15" customHeight="1" x14ac:dyDescent="0.2">
      <c r="S8287" s="69">
        <f>_xlfn.XLOOKUP(Results!A8287,Geometry!$B$6:$B$10000,Geometry!$C$6:$C$10000)</f>
        <v>0</v>
      </c>
      <c r="T8287" s="69"/>
      <c r="U8287" s="69"/>
    </row>
    <row r="8288" spans="19:21" ht="15" customHeight="1" x14ac:dyDescent="0.2">
      <c r="S8288" s="69">
        <f>_xlfn.XLOOKUP(Results!A8288,Geometry!$B$6:$B$10000,Geometry!$C$6:$C$10000)</f>
        <v>0</v>
      </c>
      <c r="T8288" s="69"/>
      <c r="U8288" s="69"/>
    </row>
    <row r="8289" spans="19:21" ht="15" customHeight="1" x14ac:dyDescent="0.2">
      <c r="S8289" s="69">
        <f>_xlfn.XLOOKUP(Results!A8289,Geometry!$B$6:$B$10000,Geometry!$C$6:$C$10000)</f>
        <v>0</v>
      </c>
      <c r="T8289" s="69"/>
      <c r="U8289" s="69"/>
    </row>
    <row r="8290" spans="19:21" ht="15" customHeight="1" x14ac:dyDescent="0.2">
      <c r="S8290" s="69">
        <f>_xlfn.XLOOKUP(Results!A8290,Geometry!$B$6:$B$10000,Geometry!$C$6:$C$10000)</f>
        <v>0</v>
      </c>
      <c r="T8290" s="69"/>
      <c r="U8290" s="69"/>
    </row>
    <row r="8291" spans="19:21" ht="15" customHeight="1" x14ac:dyDescent="0.2">
      <c r="S8291" s="69">
        <f>_xlfn.XLOOKUP(Results!A8291,Geometry!$B$6:$B$10000,Geometry!$C$6:$C$10000)</f>
        <v>0</v>
      </c>
      <c r="T8291" s="69"/>
      <c r="U8291" s="69"/>
    </row>
    <row r="8292" spans="19:21" ht="15" customHeight="1" x14ac:dyDescent="0.2">
      <c r="S8292" s="69">
        <f>_xlfn.XLOOKUP(Results!A8292,Geometry!$B$6:$B$10000,Geometry!$C$6:$C$10000)</f>
        <v>0</v>
      </c>
      <c r="T8292" s="69"/>
      <c r="U8292" s="69"/>
    </row>
    <row r="8293" spans="19:21" ht="15" customHeight="1" x14ac:dyDescent="0.2">
      <c r="S8293" s="69">
        <f>_xlfn.XLOOKUP(Results!A8293,Geometry!$B$6:$B$10000,Geometry!$C$6:$C$10000)</f>
        <v>0</v>
      </c>
      <c r="T8293" s="69"/>
      <c r="U8293" s="69"/>
    </row>
    <row r="8294" spans="19:21" ht="15" customHeight="1" x14ac:dyDescent="0.2">
      <c r="S8294" s="69">
        <f>_xlfn.XLOOKUP(Results!A8294,Geometry!$B$6:$B$10000,Geometry!$C$6:$C$10000)</f>
        <v>0</v>
      </c>
      <c r="T8294" s="69"/>
      <c r="U8294" s="69"/>
    </row>
    <row r="8295" spans="19:21" ht="15" customHeight="1" x14ac:dyDescent="0.2">
      <c r="S8295" s="69">
        <f>_xlfn.XLOOKUP(Results!A8295,Geometry!$B$6:$B$10000,Geometry!$C$6:$C$10000)</f>
        <v>0</v>
      </c>
      <c r="T8295" s="69"/>
      <c r="U8295" s="69"/>
    </row>
    <row r="8296" spans="19:21" ht="15" customHeight="1" x14ac:dyDescent="0.2">
      <c r="S8296" s="69">
        <f>_xlfn.XLOOKUP(Results!A8296,Geometry!$B$6:$B$10000,Geometry!$C$6:$C$10000)</f>
        <v>0</v>
      </c>
      <c r="T8296" s="69"/>
      <c r="U8296" s="69"/>
    </row>
    <row r="8297" spans="19:21" ht="15" customHeight="1" x14ac:dyDescent="0.2">
      <c r="S8297" s="69">
        <f>_xlfn.XLOOKUP(Results!A8297,Geometry!$B$6:$B$10000,Geometry!$C$6:$C$10000)</f>
        <v>0</v>
      </c>
      <c r="T8297" s="69"/>
      <c r="U8297" s="69"/>
    </row>
    <row r="8298" spans="19:21" ht="15" customHeight="1" x14ac:dyDescent="0.2">
      <c r="S8298" s="69">
        <f>_xlfn.XLOOKUP(Results!A8298,Geometry!$B$6:$B$10000,Geometry!$C$6:$C$10000)</f>
        <v>0</v>
      </c>
      <c r="T8298" s="69"/>
      <c r="U8298" s="69"/>
    </row>
    <row r="8299" spans="19:21" ht="15" customHeight="1" x14ac:dyDescent="0.2">
      <c r="S8299" s="69">
        <f>_xlfn.XLOOKUP(Results!A8299,Geometry!$B$6:$B$10000,Geometry!$C$6:$C$10000)</f>
        <v>0</v>
      </c>
      <c r="T8299" s="69"/>
      <c r="U8299" s="69"/>
    </row>
    <row r="8300" spans="19:21" ht="15" customHeight="1" x14ac:dyDescent="0.2">
      <c r="S8300" s="69">
        <f>_xlfn.XLOOKUP(Results!A8300,Geometry!$B$6:$B$10000,Geometry!$C$6:$C$10000)</f>
        <v>0</v>
      </c>
      <c r="T8300" s="69"/>
      <c r="U8300" s="69"/>
    </row>
    <row r="8301" spans="19:21" ht="15" customHeight="1" x14ac:dyDescent="0.2">
      <c r="S8301" s="69">
        <f>_xlfn.XLOOKUP(Results!A8301,Geometry!$B$6:$B$10000,Geometry!$C$6:$C$10000)</f>
        <v>0</v>
      </c>
      <c r="T8301" s="69"/>
      <c r="U8301" s="69"/>
    </row>
    <row r="8302" spans="19:21" ht="15" customHeight="1" x14ac:dyDescent="0.2">
      <c r="S8302" s="69">
        <f>_xlfn.XLOOKUP(Results!A8302,Geometry!$B$6:$B$10000,Geometry!$C$6:$C$10000)</f>
        <v>0</v>
      </c>
      <c r="T8302" s="69"/>
      <c r="U8302" s="69"/>
    </row>
    <row r="8303" spans="19:21" ht="15" customHeight="1" x14ac:dyDescent="0.2">
      <c r="S8303" s="69">
        <f>_xlfn.XLOOKUP(Results!A8303,Geometry!$B$6:$B$10000,Geometry!$C$6:$C$10000)</f>
        <v>0</v>
      </c>
      <c r="T8303" s="69"/>
      <c r="U8303" s="69"/>
    </row>
    <row r="8304" spans="19:21" ht="15" customHeight="1" x14ac:dyDescent="0.2">
      <c r="S8304" s="69">
        <f>_xlfn.XLOOKUP(Results!A8304,Geometry!$B$6:$B$10000,Geometry!$C$6:$C$10000)</f>
        <v>0</v>
      </c>
      <c r="T8304" s="69"/>
      <c r="U8304" s="69"/>
    </row>
    <row r="8305" spans="19:21" ht="15" customHeight="1" x14ac:dyDescent="0.2">
      <c r="S8305" s="69">
        <f>_xlfn.XLOOKUP(Results!A8305,Geometry!$B$6:$B$10000,Geometry!$C$6:$C$10000)</f>
        <v>0</v>
      </c>
      <c r="T8305" s="69"/>
      <c r="U8305" s="69"/>
    </row>
    <row r="8306" spans="19:21" ht="15" customHeight="1" x14ac:dyDescent="0.2">
      <c r="S8306" s="69">
        <f>_xlfn.XLOOKUP(Results!A8306,Geometry!$B$6:$B$10000,Geometry!$C$6:$C$10000)</f>
        <v>0</v>
      </c>
      <c r="T8306" s="69"/>
      <c r="U8306" s="69"/>
    </row>
    <row r="8307" spans="19:21" ht="15" customHeight="1" x14ac:dyDescent="0.2">
      <c r="S8307" s="69">
        <f>_xlfn.XLOOKUP(Results!A8307,Geometry!$B$6:$B$10000,Geometry!$C$6:$C$10000)</f>
        <v>0</v>
      </c>
      <c r="T8307" s="69"/>
      <c r="U8307" s="69"/>
    </row>
    <row r="8308" spans="19:21" ht="15" customHeight="1" x14ac:dyDescent="0.2">
      <c r="S8308" s="69">
        <f>_xlfn.XLOOKUP(Results!A8308,Geometry!$B$6:$B$10000,Geometry!$C$6:$C$10000)</f>
        <v>0</v>
      </c>
      <c r="T8308" s="69"/>
      <c r="U8308" s="69"/>
    </row>
    <row r="8309" spans="19:21" ht="15" customHeight="1" x14ac:dyDescent="0.2">
      <c r="S8309" s="69">
        <f>_xlfn.XLOOKUP(Results!A8309,Geometry!$B$6:$B$10000,Geometry!$C$6:$C$10000)</f>
        <v>0</v>
      </c>
      <c r="T8309" s="69"/>
      <c r="U8309" s="69"/>
    </row>
    <row r="8310" spans="19:21" ht="15" customHeight="1" x14ac:dyDescent="0.2">
      <c r="S8310" s="69">
        <f>_xlfn.XLOOKUP(Results!A8310,Geometry!$B$6:$B$10000,Geometry!$C$6:$C$10000)</f>
        <v>0</v>
      </c>
      <c r="T8310" s="69"/>
      <c r="U8310" s="69"/>
    </row>
    <row r="8311" spans="19:21" ht="15" customHeight="1" x14ac:dyDescent="0.2">
      <c r="S8311" s="69">
        <f>_xlfn.XLOOKUP(Results!A8311,Geometry!$B$6:$B$10000,Geometry!$C$6:$C$10000)</f>
        <v>0</v>
      </c>
      <c r="T8311" s="69"/>
      <c r="U8311" s="69"/>
    </row>
    <row r="8312" spans="19:21" ht="15" customHeight="1" x14ac:dyDescent="0.2">
      <c r="S8312" s="69">
        <f>_xlfn.XLOOKUP(Results!A8312,Geometry!$B$6:$B$10000,Geometry!$C$6:$C$10000)</f>
        <v>0</v>
      </c>
      <c r="T8312" s="69"/>
      <c r="U8312" s="69"/>
    </row>
    <row r="8313" spans="19:21" ht="15" customHeight="1" x14ac:dyDescent="0.2">
      <c r="S8313" s="69">
        <f>_xlfn.XLOOKUP(Results!A8313,Geometry!$B$6:$B$10000,Geometry!$C$6:$C$10000)</f>
        <v>0</v>
      </c>
      <c r="T8313" s="69"/>
      <c r="U8313" s="69"/>
    </row>
    <row r="8314" spans="19:21" ht="15" customHeight="1" x14ac:dyDescent="0.2">
      <c r="S8314" s="69">
        <f>_xlfn.XLOOKUP(Results!A8314,Geometry!$B$6:$B$10000,Geometry!$C$6:$C$10000)</f>
        <v>0</v>
      </c>
      <c r="T8314" s="69"/>
      <c r="U8314" s="69"/>
    </row>
    <row r="8315" spans="19:21" ht="15" customHeight="1" x14ac:dyDescent="0.2">
      <c r="S8315" s="69">
        <f>_xlfn.XLOOKUP(Results!A8315,Geometry!$B$6:$B$10000,Geometry!$C$6:$C$10000)</f>
        <v>0</v>
      </c>
      <c r="T8315" s="69"/>
      <c r="U8315" s="69"/>
    </row>
    <row r="8316" spans="19:21" ht="15" customHeight="1" x14ac:dyDescent="0.2">
      <c r="S8316" s="69">
        <f>_xlfn.XLOOKUP(Results!A8316,Geometry!$B$6:$B$10000,Geometry!$C$6:$C$10000)</f>
        <v>0</v>
      </c>
      <c r="T8316" s="69"/>
      <c r="U8316" s="69"/>
    </row>
    <row r="8317" spans="19:21" ht="15" customHeight="1" x14ac:dyDescent="0.2">
      <c r="S8317" s="69">
        <f>_xlfn.XLOOKUP(Results!A8317,Geometry!$B$6:$B$10000,Geometry!$C$6:$C$10000)</f>
        <v>0</v>
      </c>
      <c r="T8317" s="69"/>
      <c r="U8317" s="69"/>
    </row>
    <row r="8318" spans="19:21" ht="15" customHeight="1" x14ac:dyDescent="0.2">
      <c r="S8318" s="69">
        <f>_xlfn.XLOOKUP(Results!A8318,Geometry!$B$6:$B$10000,Geometry!$C$6:$C$10000)</f>
        <v>0</v>
      </c>
      <c r="T8318" s="69"/>
      <c r="U8318" s="69"/>
    </row>
    <row r="8319" spans="19:21" ht="15" customHeight="1" x14ac:dyDescent="0.2">
      <c r="S8319" s="69">
        <f>_xlfn.XLOOKUP(Results!A8319,Geometry!$B$6:$B$10000,Geometry!$C$6:$C$10000)</f>
        <v>0</v>
      </c>
      <c r="T8319" s="69"/>
      <c r="U8319" s="69"/>
    </row>
    <row r="8320" spans="19:21" ht="15" customHeight="1" x14ac:dyDescent="0.2">
      <c r="S8320" s="69">
        <f>_xlfn.XLOOKUP(Results!A8320,Geometry!$B$6:$B$10000,Geometry!$C$6:$C$10000)</f>
        <v>0</v>
      </c>
      <c r="T8320" s="69"/>
      <c r="U8320" s="69"/>
    </row>
    <row r="8321" spans="19:21" ht="15" customHeight="1" x14ac:dyDescent="0.2">
      <c r="S8321" s="69">
        <f>_xlfn.XLOOKUP(Results!A8321,Geometry!$B$6:$B$10000,Geometry!$C$6:$C$10000)</f>
        <v>0</v>
      </c>
      <c r="T8321" s="69"/>
      <c r="U8321" s="69"/>
    </row>
    <row r="8322" spans="19:21" ht="15" customHeight="1" x14ac:dyDescent="0.2">
      <c r="S8322" s="69">
        <f>_xlfn.XLOOKUP(Results!A8322,Geometry!$B$6:$B$10000,Geometry!$C$6:$C$10000)</f>
        <v>0</v>
      </c>
      <c r="T8322" s="69"/>
      <c r="U8322" s="69"/>
    </row>
    <row r="8323" spans="19:21" ht="15" customHeight="1" x14ac:dyDescent="0.2">
      <c r="S8323" s="69">
        <f>_xlfn.XLOOKUP(Results!A8323,Geometry!$B$6:$B$10000,Geometry!$C$6:$C$10000)</f>
        <v>0</v>
      </c>
      <c r="T8323" s="69"/>
      <c r="U8323" s="69"/>
    </row>
    <row r="8324" spans="19:21" ht="15" customHeight="1" x14ac:dyDescent="0.2">
      <c r="S8324" s="69">
        <f>_xlfn.XLOOKUP(Results!A8324,Geometry!$B$6:$B$10000,Geometry!$C$6:$C$10000)</f>
        <v>0</v>
      </c>
      <c r="T8324" s="69"/>
      <c r="U8324" s="69"/>
    </row>
    <row r="8325" spans="19:21" ht="15" customHeight="1" x14ac:dyDescent="0.2">
      <c r="S8325" s="69">
        <f>_xlfn.XLOOKUP(Results!A8325,Geometry!$B$6:$B$10000,Geometry!$C$6:$C$10000)</f>
        <v>0</v>
      </c>
      <c r="T8325" s="69"/>
      <c r="U8325" s="69"/>
    </row>
    <row r="8326" spans="19:21" ht="15" customHeight="1" x14ac:dyDescent="0.2">
      <c r="S8326" s="69">
        <f>_xlfn.XLOOKUP(Results!A8326,Geometry!$B$6:$B$10000,Geometry!$C$6:$C$10000)</f>
        <v>0</v>
      </c>
      <c r="T8326" s="69"/>
      <c r="U8326" s="69"/>
    </row>
    <row r="8327" spans="19:21" ht="15" customHeight="1" x14ac:dyDescent="0.2">
      <c r="S8327" s="69">
        <f>_xlfn.XLOOKUP(Results!A8327,Geometry!$B$6:$B$10000,Geometry!$C$6:$C$10000)</f>
        <v>0</v>
      </c>
      <c r="T8327" s="69"/>
      <c r="U8327" s="69"/>
    </row>
    <row r="8328" spans="19:21" ht="15" customHeight="1" x14ac:dyDescent="0.2">
      <c r="S8328" s="69">
        <f>_xlfn.XLOOKUP(Results!A8328,Geometry!$B$6:$B$10000,Geometry!$C$6:$C$10000)</f>
        <v>0</v>
      </c>
      <c r="T8328" s="69"/>
      <c r="U8328" s="69"/>
    </row>
    <row r="8329" spans="19:21" ht="15" customHeight="1" x14ac:dyDescent="0.2">
      <c r="S8329" s="69">
        <f>_xlfn.XLOOKUP(Results!A8329,Geometry!$B$6:$B$10000,Geometry!$C$6:$C$10000)</f>
        <v>0</v>
      </c>
      <c r="T8329" s="69"/>
      <c r="U8329" s="69"/>
    </row>
    <row r="8330" spans="19:21" ht="15" customHeight="1" x14ac:dyDescent="0.2">
      <c r="S8330" s="69">
        <f>_xlfn.XLOOKUP(Results!A8330,Geometry!$B$6:$B$10000,Geometry!$C$6:$C$10000)</f>
        <v>0</v>
      </c>
      <c r="T8330" s="69"/>
      <c r="U8330" s="69"/>
    </row>
    <row r="8331" spans="19:21" ht="15" customHeight="1" x14ac:dyDescent="0.2">
      <c r="S8331" s="69">
        <f>_xlfn.XLOOKUP(Results!A8331,Geometry!$B$6:$B$10000,Geometry!$C$6:$C$10000)</f>
        <v>0</v>
      </c>
      <c r="T8331" s="69"/>
      <c r="U8331" s="69"/>
    </row>
    <row r="8332" spans="19:21" ht="15" customHeight="1" x14ac:dyDescent="0.2">
      <c r="S8332" s="69">
        <f>_xlfn.XLOOKUP(Results!A8332,Geometry!$B$6:$B$10000,Geometry!$C$6:$C$10000)</f>
        <v>0</v>
      </c>
      <c r="T8332" s="69"/>
      <c r="U8332" s="69"/>
    </row>
    <row r="8333" spans="19:21" ht="15" customHeight="1" x14ac:dyDescent="0.2">
      <c r="S8333" s="69">
        <f>_xlfn.XLOOKUP(Results!A8333,Geometry!$B$6:$B$10000,Geometry!$C$6:$C$10000)</f>
        <v>0</v>
      </c>
      <c r="T8333" s="69"/>
      <c r="U8333" s="69"/>
    </row>
    <row r="8334" spans="19:21" ht="15" customHeight="1" x14ac:dyDescent="0.2">
      <c r="S8334" s="69">
        <f>_xlfn.XLOOKUP(Results!A8334,Geometry!$B$6:$B$10000,Geometry!$C$6:$C$10000)</f>
        <v>0</v>
      </c>
      <c r="T8334" s="69"/>
      <c r="U8334" s="69"/>
    </row>
    <row r="8335" spans="19:21" ht="15" customHeight="1" x14ac:dyDescent="0.2">
      <c r="S8335" s="69">
        <f>_xlfn.XLOOKUP(Results!A8335,Geometry!$B$6:$B$10000,Geometry!$C$6:$C$10000)</f>
        <v>0</v>
      </c>
      <c r="T8335" s="69"/>
      <c r="U8335" s="69"/>
    </row>
    <row r="8336" spans="19:21" ht="15" customHeight="1" x14ac:dyDescent="0.2">
      <c r="S8336" s="69">
        <f>_xlfn.XLOOKUP(Results!A8336,Geometry!$B$6:$B$10000,Geometry!$C$6:$C$10000)</f>
        <v>0</v>
      </c>
      <c r="T8336" s="69"/>
      <c r="U8336" s="69"/>
    </row>
    <row r="8337" spans="19:21" ht="15" customHeight="1" x14ac:dyDescent="0.2">
      <c r="S8337" s="69">
        <f>_xlfn.XLOOKUP(Results!A8337,Geometry!$B$6:$B$10000,Geometry!$C$6:$C$10000)</f>
        <v>0</v>
      </c>
      <c r="T8337" s="69"/>
      <c r="U8337" s="69"/>
    </row>
    <row r="8338" spans="19:21" ht="15" customHeight="1" x14ac:dyDescent="0.2">
      <c r="S8338" s="69">
        <f>_xlfn.XLOOKUP(Results!A8338,Geometry!$B$6:$B$10000,Geometry!$C$6:$C$10000)</f>
        <v>0</v>
      </c>
      <c r="T8338" s="69"/>
      <c r="U8338" s="69"/>
    </row>
    <row r="8339" spans="19:21" ht="15" customHeight="1" x14ac:dyDescent="0.2">
      <c r="S8339" s="69">
        <f>_xlfn.XLOOKUP(Results!A8339,Geometry!$B$6:$B$10000,Geometry!$C$6:$C$10000)</f>
        <v>0</v>
      </c>
      <c r="T8339" s="69"/>
      <c r="U8339" s="69"/>
    </row>
    <row r="8340" spans="19:21" ht="15" customHeight="1" x14ac:dyDescent="0.2">
      <c r="S8340" s="69">
        <f>_xlfn.XLOOKUP(Results!A8340,Geometry!$B$6:$B$10000,Geometry!$C$6:$C$10000)</f>
        <v>0</v>
      </c>
      <c r="T8340" s="69"/>
      <c r="U8340" s="69"/>
    </row>
    <row r="8341" spans="19:21" ht="15" customHeight="1" x14ac:dyDescent="0.2">
      <c r="S8341" s="69">
        <f>_xlfn.XLOOKUP(Results!A8341,Geometry!$B$6:$B$10000,Geometry!$C$6:$C$10000)</f>
        <v>0</v>
      </c>
      <c r="T8341" s="69"/>
      <c r="U8341" s="69"/>
    </row>
    <row r="8342" spans="19:21" ht="15" customHeight="1" x14ac:dyDescent="0.2">
      <c r="S8342" s="69">
        <f>_xlfn.XLOOKUP(Results!A8342,Geometry!$B$6:$B$10000,Geometry!$C$6:$C$10000)</f>
        <v>0</v>
      </c>
      <c r="T8342" s="69"/>
      <c r="U8342" s="69"/>
    </row>
    <row r="8343" spans="19:21" ht="15" customHeight="1" x14ac:dyDescent="0.2">
      <c r="S8343" s="69">
        <f>_xlfn.XLOOKUP(Results!A8343,Geometry!$B$6:$B$10000,Geometry!$C$6:$C$10000)</f>
        <v>0</v>
      </c>
      <c r="T8343" s="69"/>
      <c r="U8343" s="69"/>
    </row>
    <row r="8344" spans="19:21" ht="15" customHeight="1" x14ac:dyDescent="0.2">
      <c r="S8344" s="69">
        <f>_xlfn.XLOOKUP(Results!A8344,Geometry!$B$6:$B$10000,Geometry!$C$6:$C$10000)</f>
        <v>0</v>
      </c>
      <c r="T8344" s="69"/>
      <c r="U8344" s="69"/>
    </row>
    <row r="8345" spans="19:21" ht="15" customHeight="1" x14ac:dyDescent="0.2">
      <c r="S8345" s="69">
        <f>_xlfn.XLOOKUP(Results!A8345,Geometry!$B$6:$B$10000,Geometry!$C$6:$C$10000)</f>
        <v>0</v>
      </c>
      <c r="T8345" s="69"/>
      <c r="U8345" s="69"/>
    </row>
    <row r="8346" spans="19:21" ht="15" customHeight="1" x14ac:dyDescent="0.2">
      <c r="S8346" s="69">
        <f>_xlfn.XLOOKUP(Results!A8346,Geometry!$B$6:$B$10000,Geometry!$C$6:$C$10000)</f>
        <v>0</v>
      </c>
      <c r="T8346" s="69"/>
      <c r="U8346" s="69"/>
    </row>
    <row r="8347" spans="19:21" ht="15" customHeight="1" x14ac:dyDescent="0.2">
      <c r="S8347" s="69">
        <f>_xlfn.XLOOKUP(Results!A8347,Geometry!$B$6:$B$10000,Geometry!$C$6:$C$10000)</f>
        <v>0</v>
      </c>
      <c r="T8347" s="69"/>
      <c r="U8347" s="69"/>
    </row>
    <row r="8348" spans="19:21" ht="15" customHeight="1" x14ac:dyDescent="0.2">
      <c r="S8348" s="69">
        <f>_xlfn.XLOOKUP(Results!A8348,Geometry!$B$6:$B$10000,Geometry!$C$6:$C$10000)</f>
        <v>0</v>
      </c>
      <c r="T8348" s="69"/>
      <c r="U8348" s="69"/>
    </row>
    <row r="8349" spans="19:21" ht="15" customHeight="1" x14ac:dyDescent="0.2">
      <c r="S8349" s="69">
        <f>_xlfn.XLOOKUP(Results!A8349,Geometry!$B$6:$B$10000,Geometry!$C$6:$C$10000)</f>
        <v>0</v>
      </c>
      <c r="T8349" s="69"/>
      <c r="U8349" s="69"/>
    </row>
    <row r="8350" spans="19:21" ht="15" customHeight="1" x14ac:dyDescent="0.2">
      <c r="S8350" s="69">
        <f>_xlfn.XLOOKUP(Results!A8350,Geometry!$B$6:$B$10000,Geometry!$C$6:$C$10000)</f>
        <v>0</v>
      </c>
      <c r="T8350" s="69"/>
      <c r="U8350" s="69"/>
    </row>
    <row r="8351" spans="19:21" ht="15" customHeight="1" x14ac:dyDescent="0.2">
      <c r="S8351" s="69">
        <f>_xlfn.XLOOKUP(Results!A8351,Geometry!$B$6:$B$10000,Geometry!$C$6:$C$10000)</f>
        <v>0</v>
      </c>
      <c r="T8351" s="69"/>
      <c r="U8351" s="69"/>
    </row>
    <row r="8352" spans="19:21" ht="15" customHeight="1" x14ac:dyDescent="0.2">
      <c r="S8352" s="69">
        <f>_xlfn.XLOOKUP(Results!A8352,Geometry!$B$6:$B$10000,Geometry!$C$6:$C$10000)</f>
        <v>0</v>
      </c>
      <c r="T8352" s="69"/>
      <c r="U8352" s="69"/>
    </row>
    <row r="8353" spans="19:21" ht="15" customHeight="1" x14ac:dyDescent="0.2">
      <c r="S8353" s="69">
        <f>_xlfn.XLOOKUP(Results!A8353,Geometry!$B$6:$B$10000,Geometry!$C$6:$C$10000)</f>
        <v>0</v>
      </c>
      <c r="T8353" s="69"/>
      <c r="U8353" s="69"/>
    </row>
    <row r="8354" spans="19:21" ht="15" customHeight="1" x14ac:dyDescent="0.2">
      <c r="S8354" s="69">
        <f>_xlfn.XLOOKUP(Results!A8354,Geometry!$B$6:$B$10000,Geometry!$C$6:$C$10000)</f>
        <v>0</v>
      </c>
      <c r="T8354" s="69"/>
      <c r="U8354" s="69"/>
    </row>
    <row r="8355" spans="19:21" ht="15" customHeight="1" x14ac:dyDescent="0.2">
      <c r="S8355" s="69">
        <f>_xlfn.XLOOKUP(Results!A8355,Geometry!$B$6:$B$10000,Geometry!$C$6:$C$10000)</f>
        <v>0</v>
      </c>
      <c r="T8355" s="69"/>
      <c r="U8355" s="69"/>
    </row>
    <row r="8356" spans="19:21" ht="15" customHeight="1" x14ac:dyDescent="0.2">
      <c r="S8356" s="69">
        <f>_xlfn.XLOOKUP(Results!A8356,Geometry!$B$6:$B$10000,Geometry!$C$6:$C$10000)</f>
        <v>0</v>
      </c>
      <c r="T8356" s="69"/>
      <c r="U8356" s="69"/>
    </row>
    <row r="8357" spans="19:21" ht="15" customHeight="1" x14ac:dyDescent="0.2">
      <c r="S8357" s="69">
        <f>_xlfn.XLOOKUP(Results!A8357,Geometry!$B$6:$B$10000,Geometry!$C$6:$C$10000)</f>
        <v>0</v>
      </c>
      <c r="T8357" s="69"/>
      <c r="U8357" s="69"/>
    </row>
    <row r="8358" spans="19:21" ht="15" customHeight="1" x14ac:dyDescent="0.2">
      <c r="S8358" s="69">
        <f>_xlfn.XLOOKUP(Results!A8358,Geometry!$B$6:$B$10000,Geometry!$C$6:$C$10000)</f>
        <v>0</v>
      </c>
      <c r="T8358" s="69"/>
      <c r="U8358" s="69"/>
    </row>
    <row r="8359" spans="19:21" ht="15" customHeight="1" x14ac:dyDescent="0.2">
      <c r="S8359" s="69">
        <f>_xlfn.XLOOKUP(Results!A8359,Geometry!$B$6:$B$10000,Geometry!$C$6:$C$10000)</f>
        <v>0</v>
      </c>
      <c r="T8359" s="69"/>
      <c r="U8359" s="69"/>
    </row>
    <row r="8360" spans="19:21" ht="15" customHeight="1" x14ac:dyDescent="0.2">
      <c r="S8360" s="69">
        <f>_xlfn.XLOOKUP(Results!A8360,Geometry!$B$6:$B$10000,Geometry!$C$6:$C$10000)</f>
        <v>0</v>
      </c>
      <c r="T8360" s="69"/>
      <c r="U8360" s="69"/>
    </row>
    <row r="8361" spans="19:21" ht="15" customHeight="1" x14ac:dyDescent="0.2">
      <c r="S8361" s="69">
        <f>_xlfn.XLOOKUP(Results!A8361,Geometry!$B$6:$B$10000,Geometry!$C$6:$C$10000)</f>
        <v>0</v>
      </c>
      <c r="T8361" s="69"/>
      <c r="U8361" s="69"/>
    </row>
    <row r="8362" spans="19:21" ht="15" customHeight="1" x14ac:dyDescent="0.2">
      <c r="S8362" s="69">
        <f>_xlfn.XLOOKUP(Results!A8362,Geometry!$B$6:$B$10000,Geometry!$C$6:$C$10000)</f>
        <v>0</v>
      </c>
      <c r="T8362" s="69"/>
      <c r="U8362" s="69"/>
    </row>
    <row r="8363" spans="19:21" ht="15" customHeight="1" x14ac:dyDescent="0.2">
      <c r="S8363" s="69">
        <f>_xlfn.XLOOKUP(Results!A8363,Geometry!$B$6:$B$10000,Geometry!$C$6:$C$10000)</f>
        <v>0</v>
      </c>
      <c r="T8363" s="69"/>
      <c r="U8363" s="69"/>
    </row>
    <row r="8364" spans="19:21" ht="15" customHeight="1" x14ac:dyDescent="0.2">
      <c r="S8364" s="69">
        <f>_xlfn.XLOOKUP(Results!A8364,Geometry!$B$6:$B$10000,Geometry!$C$6:$C$10000)</f>
        <v>0</v>
      </c>
      <c r="T8364" s="69"/>
      <c r="U8364" s="69"/>
    </row>
    <row r="8365" spans="19:21" ht="15" customHeight="1" x14ac:dyDescent="0.2">
      <c r="S8365" s="69">
        <f>_xlfn.XLOOKUP(Results!A8365,Geometry!$B$6:$B$10000,Geometry!$C$6:$C$10000)</f>
        <v>0</v>
      </c>
      <c r="T8365" s="69"/>
      <c r="U8365" s="69"/>
    </row>
    <row r="8366" spans="19:21" ht="15" customHeight="1" x14ac:dyDescent="0.2">
      <c r="S8366" s="69">
        <f>_xlfn.XLOOKUP(Results!A8366,Geometry!$B$6:$B$10000,Geometry!$C$6:$C$10000)</f>
        <v>0</v>
      </c>
      <c r="T8366" s="69"/>
      <c r="U8366" s="69"/>
    </row>
    <row r="8367" spans="19:21" ht="15" customHeight="1" x14ac:dyDescent="0.2">
      <c r="S8367" s="69">
        <f>_xlfn.XLOOKUP(Results!A8367,Geometry!$B$6:$B$10000,Geometry!$C$6:$C$10000)</f>
        <v>0</v>
      </c>
      <c r="T8367" s="69"/>
      <c r="U8367" s="69"/>
    </row>
    <row r="8368" spans="19:21" ht="15" customHeight="1" x14ac:dyDescent="0.2">
      <c r="S8368" s="69">
        <f>_xlfn.XLOOKUP(Results!A8368,Geometry!$B$6:$B$10000,Geometry!$C$6:$C$10000)</f>
        <v>0</v>
      </c>
      <c r="T8368" s="69"/>
      <c r="U8368" s="69"/>
    </row>
    <row r="8369" spans="19:21" ht="15" customHeight="1" x14ac:dyDescent="0.2">
      <c r="S8369" s="69">
        <f>_xlfn.XLOOKUP(Results!A8369,Geometry!$B$6:$B$10000,Geometry!$C$6:$C$10000)</f>
        <v>0</v>
      </c>
      <c r="T8369" s="69"/>
      <c r="U8369" s="69"/>
    </row>
    <row r="8370" spans="19:21" ht="15" customHeight="1" x14ac:dyDescent="0.2">
      <c r="S8370" s="69">
        <f>_xlfn.XLOOKUP(Results!A8370,Geometry!$B$6:$B$10000,Geometry!$C$6:$C$10000)</f>
        <v>0</v>
      </c>
      <c r="T8370" s="69"/>
      <c r="U8370" s="69"/>
    </row>
    <row r="8371" spans="19:21" ht="15" customHeight="1" x14ac:dyDescent="0.2">
      <c r="S8371" s="69">
        <f>_xlfn.XLOOKUP(Results!A8371,Geometry!$B$6:$B$10000,Geometry!$C$6:$C$10000)</f>
        <v>0</v>
      </c>
      <c r="T8371" s="69"/>
      <c r="U8371" s="69"/>
    </row>
    <row r="8372" spans="19:21" ht="15" customHeight="1" x14ac:dyDescent="0.2">
      <c r="S8372" s="69">
        <f>_xlfn.XLOOKUP(Results!A8372,Geometry!$B$6:$B$10000,Geometry!$C$6:$C$10000)</f>
        <v>0</v>
      </c>
      <c r="T8372" s="69"/>
      <c r="U8372" s="69"/>
    </row>
    <row r="8373" spans="19:21" ht="15" customHeight="1" x14ac:dyDescent="0.2">
      <c r="S8373" s="69">
        <f>_xlfn.XLOOKUP(Results!A8373,Geometry!$B$6:$B$10000,Geometry!$C$6:$C$10000)</f>
        <v>0</v>
      </c>
      <c r="T8373" s="69"/>
      <c r="U8373" s="69"/>
    </row>
    <row r="8374" spans="19:21" ht="15" customHeight="1" x14ac:dyDescent="0.2">
      <c r="S8374" s="69">
        <f>_xlfn.XLOOKUP(Results!A8374,Geometry!$B$6:$B$10000,Geometry!$C$6:$C$10000)</f>
        <v>0</v>
      </c>
      <c r="T8374" s="69"/>
      <c r="U8374" s="69"/>
    </row>
    <row r="8375" spans="19:21" ht="15" customHeight="1" x14ac:dyDescent="0.2">
      <c r="S8375" s="69">
        <f>_xlfn.XLOOKUP(Results!A8375,Geometry!$B$6:$B$10000,Geometry!$C$6:$C$10000)</f>
        <v>0</v>
      </c>
      <c r="T8375" s="69"/>
      <c r="U8375" s="69"/>
    </row>
    <row r="8376" spans="19:21" ht="15" customHeight="1" x14ac:dyDescent="0.2">
      <c r="S8376" s="69">
        <f>_xlfn.XLOOKUP(Results!A8376,Geometry!$B$6:$B$10000,Geometry!$C$6:$C$10000)</f>
        <v>0</v>
      </c>
      <c r="T8376" s="69"/>
      <c r="U8376" s="69"/>
    </row>
    <row r="8377" spans="19:21" ht="15" customHeight="1" x14ac:dyDescent="0.2">
      <c r="S8377" s="69">
        <f>_xlfn.XLOOKUP(Results!A8377,Geometry!$B$6:$B$10000,Geometry!$C$6:$C$10000)</f>
        <v>0</v>
      </c>
      <c r="T8377" s="69"/>
      <c r="U8377" s="69"/>
    </row>
    <row r="8378" spans="19:21" ht="15" customHeight="1" x14ac:dyDescent="0.2">
      <c r="S8378" s="69">
        <f>_xlfn.XLOOKUP(Results!A8378,Geometry!$B$6:$B$10000,Geometry!$C$6:$C$10000)</f>
        <v>0</v>
      </c>
      <c r="T8378" s="69"/>
      <c r="U8378" s="69"/>
    </row>
    <row r="8379" spans="19:21" ht="15" customHeight="1" x14ac:dyDescent="0.2">
      <c r="S8379" s="69">
        <f>_xlfn.XLOOKUP(Results!A8379,Geometry!$B$6:$B$10000,Geometry!$C$6:$C$10000)</f>
        <v>0</v>
      </c>
      <c r="T8379" s="69"/>
      <c r="U8379" s="69"/>
    </row>
    <row r="8380" spans="19:21" ht="15" customHeight="1" x14ac:dyDescent="0.2">
      <c r="S8380" s="69">
        <f>_xlfn.XLOOKUP(Results!A8380,Geometry!$B$6:$B$10000,Geometry!$C$6:$C$10000)</f>
        <v>0</v>
      </c>
      <c r="T8380" s="69"/>
      <c r="U8380" s="69"/>
    </row>
    <row r="8381" spans="19:21" ht="15" customHeight="1" x14ac:dyDescent="0.2">
      <c r="S8381" s="69">
        <f>_xlfn.XLOOKUP(Results!A8381,Geometry!$B$6:$B$10000,Geometry!$C$6:$C$10000)</f>
        <v>0</v>
      </c>
      <c r="T8381" s="69"/>
      <c r="U8381" s="69"/>
    </row>
    <row r="8382" spans="19:21" ht="15" customHeight="1" x14ac:dyDescent="0.2">
      <c r="S8382" s="69">
        <f>_xlfn.XLOOKUP(Results!A8382,Geometry!$B$6:$B$10000,Geometry!$C$6:$C$10000)</f>
        <v>0</v>
      </c>
      <c r="T8382" s="69"/>
      <c r="U8382" s="69"/>
    </row>
    <row r="8383" spans="19:21" ht="15" customHeight="1" x14ac:dyDescent="0.2">
      <c r="S8383" s="69">
        <f>_xlfn.XLOOKUP(Results!A8383,Geometry!$B$6:$B$10000,Geometry!$C$6:$C$10000)</f>
        <v>0</v>
      </c>
      <c r="T8383" s="69"/>
      <c r="U8383" s="69"/>
    </row>
    <row r="8384" spans="19:21" ht="15" customHeight="1" x14ac:dyDescent="0.2">
      <c r="S8384" s="69">
        <f>_xlfn.XLOOKUP(Results!A8384,Geometry!$B$6:$B$10000,Geometry!$C$6:$C$10000)</f>
        <v>0</v>
      </c>
      <c r="T8384" s="69"/>
      <c r="U8384" s="69"/>
    </row>
    <row r="8385" spans="19:21" ht="15" customHeight="1" x14ac:dyDescent="0.2">
      <c r="S8385" s="69">
        <f>_xlfn.XLOOKUP(Results!A8385,Geometry!$B$6:$B$10000,Geometry!$C$6:$C$10000)</f>
        <v>0</v>
      </c>
      <c r="T8385" s="69"/>
      <c r="U8385" s="69"/>
    </row>
    <row r="8386" spans="19:21" ht="15" customHeight="1" x14ac:dyDescent="0.2">
      <c r="S8386" s="69">
        <f>_xlfn.XLOOKUP(Results!A8386,Geometry!$B$6:$B$10000,Geometry!$C$6:$C$10000)</f>
        <v>0</v>
      </c>
      <c r="T8386" s="69"/>
      <c r="U8386" s="69"/>
    </row>
    <row r="8387" spans="19:21" ht="15" customHeight="1" x14ac:dyDescent="0.2">
      <c r="S8387" s="69">
        <f>_xlfn.XLOOKUP(Results!A8387,Geometry!$B$6:$B$10000,Geometry!$C$6:$C$10000)</f>
        <v>0</v>
      </c>
      <c r="T8387" s="69"/>
      <c r="U8387" s="69"/>
    </row>
    <row r="8388" spans="19:21" ht="15" customHeight="1" x14ac:dyDescent="0.2">
      <c r="S8388" s="69">
        <f>_xlfn.XLOOKUP(Results!A8388,Geometry!$B$6:$B$10000,Geometry!$C$6:$C$10000)</f>
        <v>0</v>
      </c>
      <c r="T8388" s="69"/>
      <c r="U8388" s="69"/>
    </row>
    <row r="8389" spans="19:21" ht="15" customHeight="1" x14ac:dyDescent="0.2">
      <c r="S8389" s="69">
        <f>_xlfn.XLOOKUP(Results!A8389,Geometry!$B$6:$B$10000,Geometry!$C$6:$C$10000)</f>
        <v>0</v>
      </c>
      <c r="T8389" s="69"/>
      <c r="U8389" s="69"/>
    </row>
    <row r="8390" spans="19:21" ht="15" customHeight="1" x14ac:dyDescent="0.2">
      <c r="S8390" s="69">
        <f>_xlfn.XLOOKUP(Results!A8390,Geometry!$B$6:$B$10000,Geometry!$C$6:$C$10000)</f>
        <v>0</v>
      </c>
      <c r="T8390" s="69"/>
      <c r="U8390" s="69"/>
    </row>
    <row r="8391" spans="19:21" ht="15" customHeight="1" x14ac:dyDescent="0.2">
      <c r="S8391" s="69">
        <f>_xlfn.XLOOKUP(Results!A8391,Geometry!$B$6:$B$10000,Geometry!$C$6:$C$10000)</f>
        <v>0</v>
      </c>
      <c r="T8391" s="69"/>
      <c r="U8391" s="69"/>
    </row>
    <row r="8392" spans="19:21" ht="15" customHeight="1" x14ac:dyDescent="0.2">
      <c r="S8392" s="69">
        <f>_xlfn.XLOOKUP(Results!A8392,Geometry!$B$6:$B$10000,Geometry!$C$6:$C$10000)</f>
        <v>0</v>
      </c>
      <c r="T8392" s="69"/>
      <c r="U8392" s="69"/>
    </row>
    <row r="8393" spans="19:21" ht="15" customHeight="1" x14ac:dyDescent="0.2">
      <c r="S8393" s="69">
        <f>_xlfn.XLOOKUP(Results!A8393,Geometry!$B$6:$B$10000,Geometry!$C$6:$C$10000)</f>
        <v>0</v>
      </c>
      <c r="T8393" s="69"/>
      <c r="U8393" s="69"/>
    </row>
    <row r="8394" spans="19:21" ht="15" customHeight="1" x14ac:dyDescent="0.2">
      <c r="S8394" s="69">
        <f>_xlfn.XLOOKUP(Results!A8394,Geometry!$B$6:$B$10000,Geometry!$C$6:$C$10000)</f>
        <v>0</v>
      </c>
      <c r="T8394" s="69"/>
      <c r="U8394" s="69"/>
    </row>
    <row r="8395" spans="19:21" ht="15" customHeight="1" x14ac:dyDescent="0.2">
      <c r="S8395" s="69">
        <f>_xlfn.XLOOKUP(Results!A8395,Geometry!$B$6:$B$10000,Geometry!$C$6:$C$10000)</f>
        <v>0</v>
      </c>
      <c r="T8395" s="69"/>
      <c r="U8395" s="69"/>
    </row>
    <row r="8396" spans="19:21" ht="15" customHeight="1" x14ac:dyDescent="0.2">
      <c r="S8396" s="69">
        <f>_xlfn.XLOOKUP(Results!A8396,Geometry!$B$6:$B$10000,Geometry!$C$6:$C$10000)</f>
        <v>0</v>
      </c>
      <c r="T8396" s="69"/>
      <c r="U8396" s="69"/>
    </row>
    <row r="8397" spans="19:21" ht="15" customHeight="1" x14ac:dyDescent="0.2">
      <c r="S8397" s="69">
        <f>_xlfn.XLOOKUP(Results!A8397,Geometry!$B$6:$B$10000,Geometry!$C$6:$C$10000)</f>
        <v>0</v>
      </c>
      <c r="T8397" s="69"/>
      <c r="U8397" s="69"/>
    </row>
    <row r="8398" spans="19:21" ht="15" customHeight="1" x14ac:dyDescent="0.2">
      <c r="S8398" s="69">
        <f>_xlfn.XLOOKUP(Results!A8398,Geometry!$B$6:$B$10000,Geometry!$C$6:$C$10000)</f>
        <v>0</v>
      </c>
      <c r="T8398" s="69"/>
      <c r="U8398" s="69"/>
    </row>
    <row r="8399" spans="19:21" ht="15" customHeight="1" x14ac:dyDescent="0.2">
      <c r="S8399" s="69">
        <f>_xlfn.XLOOKUP(Results!A8399,Geometry!$B$6:$B$10000,Geometry!$C$6:$C$10000)</f>
        <v>0</v>
      </c>
      <c r="T8399" s="69"/>
      <c r="U8399" s="69"/>
    </row>
    <row r="8400" spans="19:21" ht="15" customHeight="1" x14ac:dyDescent="0.2">
      <c r="S8400" s="69">
        <f>_xlfn.XLOOKUP(Results!A8400,Geometry!$B$6:$B$10000,Geometry!$C$6:$C$10000)</f>
        <v>0</v>
      </c>
      <c r="T8400" s="69"/>
      <c r="U8400" s="69"/>
    </row>
    <row r="8401" spans="19:21" ht="15" customHeight="1" x14ac:dyDescent="0.2">
      <c r="S8401" s="69">
        <f>_xlfn.XLOOKUP(Results!A8401,Geometry!$B$6:$B$10000,Geometry!$C$6:$C$10000)</f>
        <v>0</v>
      </c>
      <c r="T8401" s="69"/>
      <c r="U8401" s="69"/>
    </row>
    <row r="8402" spans="19:21" ht="15" customHeight="1" x14ac:dyDescent="0.2">
      <c r="S8402" s="69">
        <f>_xlfn.XLOOKUP(Results!A8402,Geometry!$B$6:$B$10000,Geometry!$C$6:$C$10000)</f>
        <v>0</v>
      </c>
      <c r="T8402" s="69"/>
      <c r="U8402" s="69"/>
    </row>
    <row r="8403" spans="19:21" ht="15" customHeight="1" x14ac:dyDescent="0.2">
      <c r="S8403" s="69">
        <f>_xlfn.XLOOKUP(Results!A8403,Geometry!$B$6:$B$10000,Geometry!$C$6:$C$10000)</f>
        <v>0</v>
      </c>
      <c r="T8403" s="69"/>
      <c r="U8403" s="69"/>
    </row>
    <row r="8404" spans="19:21" ht="15" customHeight="1" x14ac:dyDescent="0.2">
      <c r="S8404" s="69">
        <f>_xlfn.XLOOKUP(Results!A8404,Geometry!$B$6:$B$10000,Geometry!$C$6:$C$10000)</f>
        <v>0</v>
      </c>
      <c r="T8404" s="69"/>
      <c r="U8404" s="69"/>
    </row>
    <row r="8405" spans="19:21" ht="15" customHeight="1" x14ac:dyDescent="0.2">
      <c r="S8405" s="69">
        <f>_xlfn.XLOOKUP(Results!A8405,Geometry!$B$6:$B$10000,Geometry!$C$6:$C$10000)</f>
        <v>0</v>
      </c>
      <c r="T8405" s="69"/>
      <c r="U8405" s="69"/>
    </row>
    <row r="8406" spans="19:21" ht="15" customHeight="1" x14ac:dyDescent="0.2">
      <c r="S8406" s="69">
        <f>_xlfn.XLOOKUP(Results!A8406,Geometry!$B$6:$B$10000,Geometry!$C$6:$C$10000)</f>
        <v>0</v>
      </c>
      <c r="T8406" s="69"/>
      <c r="U8406" s="69"/>
    </row>
    <row r="8407" spans="19:21" ht="15" customHeight="1" x14ac:dyDescent="0.2">
      <c r="S8407" s="69">
        <f>_xlfn.XLOOKUP(Results!A8407,Geometry!$B$6:$B$10000,Geometry!$C$6:$C$10000)</f>
        <v>0</v>
      </c>
      <c r="T8407" s="69"/>
      <c r="U8407" s="69"/>
    </row>
    <row r="8408" spans="19:21" ht="15" customHeight="1" x14ac:dyDescent="0.2">
      <c r="S8408" s="69">
        <f>_xlfn.XLOOKUP(Results!A8408,Geometry!$B$6:$B$10000,Geometry!$C$6:$C$10000)</f>
        <v>0</v>
      </c>
      <c r="T8408" s="69"/>
      <c r="U8408" s="69"/>
    </row>
    <row r="8409" spans="19:21" ht="15" customHeight="1" x14ac:dyDescent="0.2">
      <c r="S8409" s="69">
        <f>_xlfn.XLOOKUP(Results!A8409,Geometry!$B$6:$B$10000,Geometry!$C$6:$C$10000)</f>
        <v>0</v>
      </c>
      <c r="T8409" s="69"/>
      <c r="U8409" s="69"/>
    </row>
    <row r="8410" spans="19:21" ht="15" customHeight="1" x14ac:dyDescent="0.2">
      <c r="S8410" s="69">
        <f>_xlfn.XLOOKUP(Results!A8410,Geometry!$B$6:$B$10000,Geometry!$C$6:$C$10000)</f>
        <v>0</v>
      </c>
      <c r="T8410" s="69"/>
      <c r="U8410" s="69"/>
    </row>
    <row r="8411" spans="19:21" ht="15" customHeight="1" x14ac:dyDescent="0.2">
      <c r="S8411" s="69">
        <f>_xlfn.XLOOKUP(Results!A8411,Geometry!$B$6:$B$10000,Geometry!$C$6:$C$10000)</f>
        <v>0</v>
      </c>
      <c r="T8411" s="69"/>
      <c r="U8411" s="69"/>
    </row>
    <row r="8412" spans="19:21" ht="15" customHeight="1" x14ac:dyDescent="0.2">
      <c r="S8412" s="69">
        <f>_xlfn.XLOOKUP(Results!A8412,Geometry!$B$6:$B$10000,Geometry!$C$6:$C$10000)</f>
        <v>0</v>
      </c>
      <c r="T8412" s="69"/>
      <c r="U8412" s="69"/>
    </row>
    <row r="8413" spans="19:21" ht="15" customHeight="1" x14ac:dyDescent="0.2">
      <c r="S8413" s="69">
        <f>_xlfn.XLOOKUP(Results!A8413,Geometry!$B$6:$B$10000,Geometry!$C$6:$C$10000)</f>
        <v>0</v>
      </c>
      <c r="T8413" s="69"/>
      <c r="U8413" s="69"/>
    </row>
    <row r="8414" spans="19:21" ht="15" customHeight="1" x14ac:dyDescent="0.2">
      <c r="S8414" s="69">
        <f>_xlfn.XLOOKUP(Results!A8414,Geometry!$B$6:$B$10000,Geometry!$C$6:$C$10000)</f>
        <v>0</v>
      </c>
      <c r="T8414" s="69"/>
      <c r="U8414" s="69"/>
    </row>
    <row r="8415" spans="19:21" ht="15" customHeight="1" x14ac:dyDescent="0.2">
      <c r="S8415" s="69">
        <f>_xlfn.XLOOKUP(Results!A8415,Geometry!$B$6:$B$10000,Geometry!$C$6:$C$10000)</f>
        <v>0</v>
      </c>
      <c r="T8415" s="69"/>
      <c r="U8415" s="69"/>
    </row>
    <row r="8416" spans="19:21" ht="15" customHeight="1" x14ac:dyDescent="0.2">
      <c r="S8416" s="69">
        <f>_xlfn.XLOOKUP(Results!A8416,Geometry!$B$6:$B$10000,Geometry!$C$6:$C$10000)</f>
        <v>0</v>
      </c>
      <c r="T8416" s="69"/>
      <c r="U8416" s="69"/>
    </row>
    <row r="8417" spans="19:21" ht="15" customHeight="1" x14ac:dyDescent="0.2">
      <c r="S8417" s="69">
        <f>_xlfn.XLOOKUP(Results!A8417,Geometry!$B$6:$B$10000,Geometry!$C$6:$C$10000)</f>
        <v>0</v>
      </c>
      <c r="T8417" s="69"/>
      <c r="U8417" s="69"/>
    </row>
    <row r="8418" spans="19:21" ht="15" customHeight="1" x14ac:dyDescent="0.2">
      <c r="S8418" s="69">
        <f>_xlfn.XLOOKUP(Results!A8418,Geometry!$B$6:$B$10000,Geometry!$C$6:$C$10000)</f>
        <v>0</v>
      </c>
      <c r="T8418" s="69"/>
      <c r="U8418" s="69"/>
    </row>
    <row r="8419" spans="19:21" ht="15" customHeight="1" x14ac:dyDescent="0.2">
      <c r="S8419" s="69">
        <f>_xlfn.XLOOKUP(Results!A8419,Geometry!$B$6:$B$10000,Geometry!$C$6:$C$10000)</f>
        <v>0</v>
      </c>
      <c r="T8419" s="69"/>
      <c r="U8419" s="69"/>
    </row>
    <row r="8420" spans="19:21" ht="15" customHeight="1" x14ac:dyDescent="0.2">
      <c r="S8420" s="69">
        <f>_xlfn.XLOOKUP(Results!A8420,Geometry!$B$6:$B$10000,Geometry!$C$6:$C$10000)</f>
        <v>0</v>
      </c>
      <c r="T8420" s="69"/>
      <c r="U8420" s="69"/>
    </row>
    <row r="8421" spans="19:21" ht="15" customHeight="1" x14ac:dyDescent="0.2">
      <c r="S8421" s="69">
        <f>_xlfn.XLOOKUP(Results!A8421,Geometry!$B$6:$B$10000,Geometry!$C$6:$C$10000)</f>
        <v>0</v>
      </c>
      <c r="T8421" s="69"/>
      <c r="U8421" s="69"/>
    </row>
    <row r="8422" spans="19:21" ht="15" customHeight="1" x14ac:dyDescent="0.2">
      <c r="S8422" s="69">
        <f>_xlfn.XLOOKUP(Results!A8422,Geometry!$B$6:$B$10000,Geometry!$C$6:$C$10000)</f>
        <v>0</v>
      </c>
      <c r="T8422" s="69"/>
      <c r="U8422" s="69"/>
    </row>
    <row r="8423" spans="19:21" ht="15" customHeight="1" x14ac:dyDescent="0.2">
      <c r="S8423" s="69">
        <f>_xlfn.XLOOKUP(Results!A8423,Geometry!$B$6:$B$10000,Geometry!$C$6:$C$10000)</f>
        <v>0</v>
      </c>
      <c r="T8423" s="69"/>
      <c r="U8423" s="69"/>
    </row>
    <row r="8424" spans="19:21" ht="15" customHeight="1" x14ac:dyDescent="0.2">
      <c r="S8424" s="69">
        <f>_xlfn.XLOOKUP(Results!A8424,Geometry!$B$6:$B$10000,Geometry!$C$6:$C$10000)</f>
        <v>0</v>
      </c>
      <c r="T8424" s="69"/>
      <c r="U8424" s="69"/>
    </row>
    <row r="8425" spans="19:21" ht="15" customHeight="1" x14ac:dyDescent="0.2">
      <c r="S8425" s="69">
        <f>_xlfn.XLOOKUP(Results!A8425,Geometry!$B$6:$B$10000,Geometry!$C$6:$C$10000)</f>
        <v>0</v>
      </c>
      <c r="T8425" s="69"/>
      <c r="U8425" s="69"/>
    </row>
    <row r="8426" spans="19:21" ht="15" customHeight="1" x14ac:dyDescent="0.2">
      <c r="S8426" s="69">
        <f>_xlfn.XLOOKUP(Results!A8426,Geometry!$B$6:$B$10000,Geometry!$C$6:$C$10000)</f>
        <v>0</v>
      </c>
      <c r="T8426" s="69"/>
      <c r="U8426" s="69"/>
    </row>
    <row r="8427" spans="19:21" ht="15" customHeight="1" x14ac:dyDescent="0.2">
      <c r="S8427" s="69">
        <f>_xlfn.XLOOKUP(Results!A8427,Geometry!$B$6:$B$10000,Geometry!$C$6:$C$10000)</f>
        <v>0</v>
      </c>
      <c r="T8427" s="69"/>
      <c r="U8427" s="69"/>
    </row>
    <row r="8428" spans="19:21" ht="15" customHeight="1" x14ac:dyDescent="0.2">
      <c r="S8428" s="69">
        <f>_xlfn.XLOOKUP(Results!A8428,Geometry!$B$6:$B$10000,Geometry!$C$6:$C$10000)</f>
        <v>0</v>
      </c>
      <c r="T8428" s="69"/>
      <c r="U8428" s="69"/>
    </row>
    <row r="8429" spans="19:21" ht="15" customHeight="1" x14ac:dyDescent="0.2">
      <c r="S8429" s="69">
        <f>_xlfn.XLOOKUP(Results!A8429,Geometry!$B$6:$B$10000,Geometry!$C$6:$C$10000)</f>
        <v>0</v>
      </c>
      <c r="T8429" s="69"/>
      <c r="U8429" s="69"/>
    </row>
    <row r="8430" spans="19:21" ht="15" customHeight="1" x14ac:dyDescent="0.2">
      <c r="S8430" s="69">
        <f>_xlfn.XLOOKUP(Results!A8430,Geometry!$B$6:$B$10000,Geometry!$C$6:$C$10000)</f>
        <v>0</v>
      </c>
      <c r="T8430" s="69"/>
      <c r="U8430" s="69"/>
    </row>
    <row r="8431" spans="19:21" ht="15" customHeight="1" x14ac:dyDescent="0.2">
      <c r="S8431" s="69">
        <f>_xlfn.XLOOKUP(Results!A8431,Geometry!$B$6:$B$10000,Geometry!$C$6:$C$10000)</f>
        <v>0</v>
      </c>
      <c r="T8431" s="69"/>
      <c r="U8431" s="69"/>
    </row>
    <row r="8432" spans="19:21" ht="15" customHeight="1" x14ac:dyDescent="0.2">
      <c r="S8432" s="69">
        <f>_xlfn.XLOOKUP(Results!A8432,Geometry!$B$6:$B$10000,Geometry!$C$6:$C$10000)</f>
        <v>0</v>
      </c>
      <c r="T8432" s="69"/>
      <c r="U8432" s="69"/>
    </row>
    <row r="8433" spans="19:21" ht="15" customHeight="1" x14ac:dyDescent="0.2">
      <c r="S8433" s="69">
        <f>_xlfn.XLOOKUP(Results!A8433,Geometry!$B$6:$B$10000,Geometry!$C$6:$C$10000)</f>
        <v>0</v>
      </c>
      <c r="T8433" s="69"/>
      <c r="U8433" s="69"/>
    </row>
    <row r="8434" spans="19:21" ht="15" customHeight="1" x14ac:dyDescent="0.2">
      <c r="S8434" s="69">
        <f>_xlfn.XLOOKUP(Results!A8434,Geometry!$B$6:$B$10000,Geometry!$C$6:$C$10000)</f>
        <v>0</v>
      </c>
      <c r="T8434" s="69"/>
      <c r="U8434" s="69"/>
    </row>
    <row r="8435" spans="19:21" ht="15" customHeight="1" x14ac:dyDescent="0.2">
      <c r="S8435" s="69">
        <f>_xlfn.XLOOKUP(Results!A8435,Geometry!$B$6:$B$10000,Geometry!$C$6:$C$10000)</f>
        <v>0</v>
      </c>
      <c r="T8435" s="69"/>
      <c r="U8435" s="69"/>
    </row>
    <row r="8436" spans="19:21" ht="15" customHeight="1" x14ac:dyDescent="0.2">
      <c r="S8436" s="69">
        <f>_xlfn.XLOOKUP(Results!A8436,Geometry!$B$6:$B$10000,Geometry!$C$6:$C$10000)</f>
        <v>0</v>
      </c>
      <c r="T8436" s="69"/>
      <c r="U8436" s="69"/>
    </row>
    <row r="8437" spans="19:21" ht="15" customHeight="1" x14ac:dyDescent="0.2">
      <c r="S8437" s="69">
        <f>_xlfn.XLOOKUP(Results!A8437,Geometry!$B$6:$B$10000,Geometry!$C$6:$C$10000)</f>
        <v>0</v>
      </c>
      <c r="T8437" s="69"/>
      <c r="U8437" s="69"/>
    </row>
    <row r="8438" spans="19:21" ht="15" customHeight="1" x14ac:dyDescent="0.2">
      <c r="S8438" s="69">
        <f>_xlfn.XLOOKUP(Results!A8438,Geometry!$B$6:$B$10000,Geometry!$C$6:$C$10000)</f>
        <v>0</v>
      </c>
      <c r="T8438" s="69"/>
      <c r="U8438" s="69"/>
    </row>
    <row r="8439" spans="19:21" ht="15" customHeight="1" x14ac:dyDescent="0.2">
      <c r="S8439" s="69">
        <f>_xlfn.XLOOKUP(Results!A8439,Geometry!$B$6:$B$10000,Geometry!$C$6:$C$10000)</f>
        <v>0</v>
      </c>
      <c r="T8439" s="69"/>
      <c r="U8439" s="69"/>
    </row>
    <row r="8440" spans="19:21" ht="15" customHeight="1" x14ac:dyDescent="0.2">
      <c r="S8440" s="69">
        <f>_xlfn.XLOOKUP(Results!A8440,Geometry!$B$6:$B$10000,Geometry!$C$6:$C$10000)</f>
        <v>0</v>
      </c>
      <c r="T8440" s="69"/>
      <c r="U8440" s="69"/>
    </row>
    <row r="8441" spans="19:21" ht="15" customHeight="1" x14ac:dyDescent="0.2">
      <c r="S8441" s="69">
        <f>_xlfn.XLOOKUP(Results!A8441,Geometry!$B$6:$B$10000,Geometry!$C$6:$C$10000)</f>
        <v>0</v>
      </c>
      <c r="T8441" s="69"/>
      <c r="U8441" s="69"/>
    </row>
    <row r="8442" spans="19:21" ht="15" customHeight="1" x14ac:dyDescent="0.2">
      <c r="S8442" s="69">
        <f>_xlfn.XLOOKUP(Results!A8442,Geometry!$B$6:$B$10000,Geometry!$C$6:$C$10000)</f>
        <v>0</v>
      </c>
      <c r="T8442" s="69"/>
      <c r="U8442" s="69"/>
    </row>
    <row r="8443" spans="19:21" ht="15" customHeight="1" x14ac:dyDescent="0.2">
      <c r="S8443" s="69">
        <f>_xlfn.XLOOKUP(Results!A8443,Geometry!$B$6:$B$10000,Geometry!$C$6:$C$10000)</f>
        <v>0</v>
      </c>
      <c r="T8443" s="69"/>
      <c r="U8443" s="69"/>
    </row>
    <row r="8444" spans="19:21" ht="15" customHeight="1" x14ac:dyDescent="0.2">
      <c r="S8444" s="69">
        <f>_xlfn.XLOOKUP(Results!A8444,Geometry!$B$6:$B$10000,Geometry!$C$6:$C$10000)</f>
        <v>0</v>
      </c>
      <c r="T8444" s="69"/>
      <c r="U8444" s="69"/>
    </row>
    <row r="8445" spans="19:21" ht="15" customHeight="1" x14ac:dyDescent="0.2">
      <c r="S8445" s="69">
        <f>_xlfn.XLOOKUP(Results!A8445,Geometry!$B$6:$B$10000,Geometry!$C$6:$C$10000)</f>
        <v>0</v>
      </c>
      <c r="T8445" s="69"/>
      <c r="U8445" s="69"/>
    </row>
    <row r="8446" spans="19:21" ht="15" customHeight="1" x14ac:dyDescent="0.2">
      <c r="S8446" s="69">
        <f>_xlfn.XLOOKUP(Results!A8446,Geometry!$B$6:$B$10000,Geometry!$C$6:$C$10000)</f>
        <v>0</v>
      </c>
      <c r="T8446" s="69"/>
      <c r="U8446" s="69"/>
    </row>
    <row r="8447" spans="19:21" ht="15" customHeight="1" x14ac:dyDescent="0.2">
      <c r="S8447" s="69">
        <f>_xlfn.XLOOKUP(Results!A8447,Geometry!$B$6:$B$10000,Geometry!$C$6:$C$10000)</f>
        <v>0</v>
      </c>
      <c r="T8447" s="69"/>
      <c r="U8447" s="69"/>
    </row>
    <row r="8448" spans="19:21" ht="15" customHeight="1" x14ac:dyDescent="0.2">
      <c r="S8448" s="69">
        <f>_xlfn.XLOOKUP(Results!A8448,Geometry!$B$6:$B$10000,Geometry!$C$6:$C$10000)</f>
        <v>0</v>
      </c>
      <c r="T8448" s="69"/>
      <c r="U8448" s="69"/>
    </row>
    <row r="8449" spans="19:21" ht="15" customHeight="1" x14ac:dyDescent="0.2">
      <c r="S8449" s="69">
        <f>_xlfn.XLOOKUP(Results!A8449,Geometry!$B$6:$B$10000,Geometry!$C$6:$C$10000)</f>
        <v>0</v>
      </c>
      <c r="T8449" s="69"/>
      <c r="U8449" s="69"/>
    </row>
    <row r="8450" spans="19:21" ht="15" customHeight="1" x14ac:dyDescent="0.2">
      <c r="S8450" s="69">
        <f>_xlfn.XLOOKUP(Results!A8450,Geometry!$B$6:$B$10000,Geometry!$C$6:$C$10000)</f>
        <v>0</v>
      </c>
      <c r="T8450" s="69"/>
      <c r="U8450" s="69"/>
    </row>
    <row r="8451" spans="19:21" ht="15" customHeight="1" x14ac:dyDescent="0.2">
      <c r="S8451" s="69">
        <f>_xlfn.XLOOKUP(Results!A8451,Geometry!$B$6:$B$10000,Geometry!$C$6:$C$10000)</f>
        <v>0</v>
      </c>
      <c r="T8451" s="69"/>
      <c r="U8451" s="69"/>
    </row>
    <row r="8452" spans="19:21" ht="15" customHeight="1" x14ac:dyDescent="0.2">
      <c r="S8452" s="69">
        <f>_xlfn.XLOOKUP(Results!A8452,Geometry!$B$6:$B$10000,Geometry!$C$6:$C$10000)</f>
        <v>0</v>
      </c>
      <c r="T8452" s="69"/>
      <c r="U8452" s="69"/>
    </row>
    <row r="8453" spans="19:21" ht="15" customHeight="1" x14ac:dyDescent="0.2">
      <c r="S8453" s="69">
        <f>_xlfn.XLOOKUP(Results!A8453,Geometry!$B$6:$B$10000,Geometry!$C$6:$C$10000)</f>
        <v>0</v>
      </c>
      <c r="T8453" s="69"/>
      <c r="U8453" s="69"/>
    </row>
    <row r="8454" spans="19:21" ht="15" customHeight="1" x14ac:dyDescent="0.2">
      <c r="S8454" s="69">
        <f>_xlfn.XLOOKUP(Results!A8454,Geometry!$B$6:$B$10000,Geometry!$C$6:$C$10000)</f>
        <v>0</v>
      </c>
      <c r="T8454" s="69"/>
      <c r="U8454" s="69"/>
    </row>
    <row r="8455" spans="19:21" ht="15" customHeight="1" x14ac:dyDescent="0.2">
      <c r="S8455" s="69">
        <f>_xlfn.XLOOKUP(Results!A8455,Geometry!$B$6:$B$10000,Geometry!$C$6:$C$10000)</f>
        <v>0</v>
      </c>
      <c r="T8455" s="69"/>
      <c r="U8455" s="69"/>
    </row>
    <row r="8456" spans="19:21" ht="15" customHeight="1" x14ac:dyDescent="0.2">
      <c r="S8456" s="69">
        <f>_xlfn.XLOOKUP(Results!A8456,Geometry!$B$6:$B$10000,Geometry!$C$6:$C$10000)</f>
        <v>0</v>
      </c>
      <c r="T8456" s="69"/>
      <c r="U8456" s="69"/>
    </row>
    <row r="8457" spans="19:21" ht="15" customHeight="1" x14ac:dyDescent="0.2">
      <c r="S8457" s="69">
        <f>_xlfn.XLOOKUP(Results!A8457,Geometry!$B$6:$B$10000,Geometry!$C$6:$C$10000)</f>
        <v>0</v>
      </c>
      <c r="T8457" s="69"/>
      <c r="U8457" s="69"/>
    </row>
    <row r="8458" spans="19:21" ht="15" customHeight="1" x14ac:dyDescent="0.2">
      <c r="S8458" s="69">
        <f>_xlfn.XLOOKUP(Results!A8458,Geometry!$B$6:$B$10000,Geometry!$C$6:$C$10000)</f>
        <v>0</v>
      </c>
      <c r="T8458" s="69"/>
      <c r="U8458" s="69"/>
    </row>
    <row r="8459" spans="19:21" ht="15" customHeight="1" x14ac:dyDescent="0.2">
      <c r="S8459" s="69">
        <f>_xlfn.XLOOKUP(Results!A8459,Geometry!$B$6:$B$10000,Geometry!$C$6:$C$10000)</f>
        <v>0</v>
      </c>
      <c r="T8459" s="69"/>
      <c r="U8459" s="69"/>
    </row>
    <row r="8460" spans="19:21" ht="15" customHeight="1" x14ac:dyDescent="0.2">
      <c r="S8460" s="69">
        <f>_xlfn.XLOOKUP(Results!A8460,Geometry!$B$6:$B$10000,Geometry!$C$6:$C$10000)</f>
        <v>0</v>
      </c>
      <c r="T8460" s="69"/>
      <c r="U8460" s="69"/>
    </row>
    <row r="8461" spans="19:21" ht="15" customHeight="1" x14ac:dyDescent="0.2">
      <c r="S8461" s="69">
        <f>_xlfn.XLOOKUP(Results!A8461,Geometry!$B$6:$B$10000,Geometry!$C$6:$C$10000)</f>
        <v>0</v>
      </c>
      <c r="T8461" s="69"/>
      <c r="U8461" s="69"/>
    </row>
    <row r="8462" spans="19:21" ht="15" customHeight="1" x14ac:dyDescent="0.2">
      <c r="S8462" s="69">
        <f>_xlfn.XLOOKUP(Results!A8462,Geometry!$B$6:$B$10000,Geometry!$C$6:$C$10000)</f>
        <v>0</v>
      </c>
      <c r="T8462" s="69"/>
      <c r="U8462" s="69"/>
    </row>
    <row r="8463" spans="19:21" ht="15" customHeight="1" x14ac:dyDescent="0.2">
      <c r="S8463" s="69">
        <f>_xlfn.XLOOKUP(Results!A8463,Geometry!$B$6:$B$10000,Geometry!$C$6:$C$10000)</f>
        <v>0</v>
      </c>
      <c r="T8463" s="69"/>
      <c r="U8463" s="69"/>
    </row>
    <row r="8464" spans="19:21" ht="15" customHeight="1" x14ac:dyDescent="0.2">
      <c r="S8464" s="69">
        <f>_xlfn.XLOOKUP(Results!A8464,Geometry!$B$6:$B$10000,Geometry!$C$6:$C$10000)</f>
        <v>0</v>
      </c>
      <c r="T8464" s="69"/>
      <c r="U8464" s="69"/>
    </row>
    <row r="8465" spans="19:21" ht="15" customHeight="1" x14ac:dyDescent="0.2">
      <c r="S8465" s="69">
        <f>_xlfn.XLOOKUP(Results!A8465,Geometry!$B$6:$B$10000,Geometry!$C$6:$C$10000)</f>
        <v>0</v>
      </c>
      <c r="T8465" s="69"/>
      <c r="U8465" s="69"/>
    </row>
    <row r="8466" spans="19:21" ht="15" customHeight="1" x14ac:dyDescent="0.2">
      <c r="S8466" s="69">
        <f>_xlfn.XLOOKUP(Results!A8466,Geometry!$B$6:$B$10000,Geometry!$C$6:$C$10000)</f>
        <v>0</v>
      </c>
      <c r="T8466" s="69"/>
      <c r="U8466" s="69"/>
    </row>
    <row r="8467" spans="19:21" ht="15" customHeight="1" x14ac:dyDescent="0.2">
      <c r="S8467" s="69">
        <f>_xlfn.XLOOKUP(Results!A8467,Geometry!$B$6:$B$10000,Geometry!$C$6:$C$10000)</f>
        <v>0</v>
      </c>
      <c r="T8467" s="69"/>
      <c r="U8467" s="69"/>
    </row>
    <row r="8468" spans="19:21" ht="15" customHeight="1" x14ac:dyDescent="0.2">
      <c r="S8468" s="69">
        <f>_xlfn.XLOOKUP(Results!A8468,Geometry!$B$6:$B$10000,Geometry!$C$6:$C$10000)</f>
        <v>0</v>
      </c>
      <c r="T8468" s="69"/>
      <c r="U8468" s="69"/>
    </row>
    <row r="8469" spans="19:21" ht="15" customHeight="1" x14ac:dyDescent="0.2">
      <c r="S8469" s="69">
        <f>_xlfn.XLOOKUP(Results!A8469,Geometry!$B$6:$B$10000,Geometry!$C$6:$C$10000)</f>
        <v>0</v>
      </c>
      <c r="T8469" s="69"/>
      <c r="U8469" s="69"/>
    </row>
    <row r="8470" spans="19:21" ht="15" customHeight="1" x14ac:dyDescent="0.2">
      <c r="S8470" s="69">
        <f>_xlfn.XLOOKUP(Results!A8470,Geometry!$B$6:$B$10000,Geometry!$C$6:$C$10000)</f>
        <v>0</v>
      </c>
      <c r="T8470" s="69"/>
      <c r="U8470" s="69"/>
    </row>
    <row r="8471" spans="19:21" ht="15" customHeight="1" x14ac:dyDescent="0.2">
      <c r="S8471" s="69">
        <f>_xlfn.XLOOKUP(Results!A8471,Geometry!$B$6:$B$10000,Geometry!$C$6:$C$10000)</f>
        <v>0</v>
      </c>
      <c r="T8471" s="69"/>
      <c r="U8471" s="69"/>
    </row>
    <row r="8472" spans="19:21" ht="15" customHeight="1" x14ac:dyDescent="0.2">
      <c r="S8472" s="69">
        <f>_xlfn.XLOOKUP(Results!A8472,Geometry!$B$6:$B$10000,Geometry!$C$6:$C$10000)</f>
        <v>0</v>
      </c>
      <c r="T8472" s="69"/>
      <c r="U8472" s="69"/>
    </row>
    <row r="8473" spans="19:21" ht="15" customHeight="1" x14ac:dyDescent="0.2">
      <c r="S8473" s="69">
        <f>_xlfn.XLOOKUP(Results!A8473,Geometry!$B$6:$B$10000,Geometry!$C$6:$C$10000)</f>
        <v>0</v>
      </c>
      <c r="T8473" s="69"/>
      <c r="U8473" s="69"/>
    </row>
    <row r="8474" spans="19:21" ht="15" customHeight="1" x14ac:dyDescent="0.2">
      <c r="S8474" s="69">
        <f>_xlfn.XLOOKUP(Results!A8474,Geometry!$B$6:$B$10000,Geometry!$C$6:$C$10000)</f>
        <v>0</v>
      </c>
      <c r="T8474" s="69"/>
      <c r="U8474" s="69"/>
    </row>
    <row r="8475" spans="19:21" ht="15" customHeight="1" x14ac:dyDescent="0.2">
      <c r="S8475" s="69">
        <f>_xlfn.XLOOKUP(Results!A8475,Geometry!$B$6:$B$10000,Geometry!$C$6:$C$10000)</f>
        <v>0</v>
      </c>
      <c r="T8475" s="69"/>
      <c r="U8475" s="69"/>
    </row>
    <row r="8476" spans="19:21" ht="15" customHeight="1" x14ac:dyDescent="0.2">
      <c r="S8476" s="69">
        <f>_xlfn.XLOOKUP(Results!A8476,Geometry!$B$6:$B$10000,Geometry!$C$6:$C$10000)</f>
        <v>0</v>
      </c>
      <c r="T8476" s="69"/>
      <c r="U8476" s="69"/>
    </row>
    <row r="8477" spans="19:21" ht="15" customHeight="1" x14ac:dyDescent="0.2">
      <c r="S8477" s="69">
        <f>_xlfn.XLOOKUP(Results!A8477,Geometry!$B$6:$B$10000,Geometry!$C$6:$C$10000)</f>
        <v>0</v>
      </c>
      <c r="T8477" s="69"/>
      <c r="U8477" s="69"/>
    </row>
    <row r="8478" spans="19:21" ht="15" customHeight="1" x14ac:dyDescent="0.2">
      <c r="S8478" s="69">
        <f>_xlfn.XLOOKUP(Results!A8478,Geometry!$B$6:$B$10000,Geometry!$C$6:$C$10000)</f>
        <v>0</v>
      </c>
      <c r="T8478" s="69"/>
      <c r="U8478" s="69"/>
    </row>
    <row r="8479" spans="19:21" ht="15" customHeight="1" x14ac:dyDescent="0.2">
      <c r="S8479" s="69">
        <f>_xlfn.XLOOKUP(Results!A8479,Geometry!$B$6:$B$10000,Geometry!$C$6:$C$10000)</f>
        <v>0</v>
      </c>
      <c r="T8479" s="69"/>
      <c r="U8479" s="69"/>
    </row>
    <row r="8480" spans="19:21" ht="15" customHeight="1" x14ac:dyDescent="0.2">
      <c r="S8480" s="69">
        <f>_xlfn.XLOOKUP(Results!A8480,Geometry!$B$6:$B$10000,Geometry!$C$6:$C$10000)</f>
        <v>0</v>
      </c>
      <c r="T8480" s="69"/>
      <c r="U8480" s="69"/>
    </row>
    <row r="8481" spans="19:21" ht="15" customHeight="1" x14ac:dyDescent="0.2">
      <c r="S8481" s="69">
        <f>_xlfn.XLOOKUP(Results!A8481,Geometry!$B$6:$B$10000,Geometry!$C$6:$C$10000)</f>
        <v>0</v>
      </c>
      <c r="T8481" s="69"/>
      <c r="U8481" s="69"/>
    </row>
    <row r="8482" spans="19:21" ht="15" customHeight="1" x14ac:dyDescent="0.2">
      <c r="S8482" s="69">
        <f>_xlfn.XLOOKUP(Results!A8482,Geometry!$B$6:$B$10000,Geometry!$C$6:$C$10000)</f>
        <v>0</v>
      </c>
      <c r="T8482" s="69"/>
      <c r="U8482" s="69"/>
    </row>
    <row r="8483" spans="19:21" ht="15" customHeight="1" x14ac:dyDescent="0.2">
      <c r="S8483" s="69">
        <f>_xlfn.XLOOKUP(Results!A8483,Geometry!$B$6:$B$10000,Geometry!$C$6:$C$10000)</f>
        <v>0</v>
      </c>
      <c r="T8483" s="69"/>
      <c r="U8483" s="69"/>
    </row>
    <row r="8484" spans="19:21" ht="15" customHeight="1" x14ac:dyDescent="0.2">
      <c r="S8484" s="69">
        <f>_xlfn.XLOOKUP(Results!A8484,Geometry!$B$6:$B$10000,Geometry!$C$6:$C$10000)</f>
        <v>0</v>
      </c>
      <c r="T8484" s="69"/>
      <c r="U8484" s="69"/>
    </row>
    <row r="8485" spans="19:21" ht="15" customHeight="1" x14ac:dyDescent="0.2">
      <c r="S8485" s="69">
        <f>_xlfn.XLOOKUP(Results!A8485,Geometry!$B$6:$B$10000,Geometry!$C$6:$C$10000)</f>
        <v>0</v>
      </c>
      <c r="T8485" s="69"/>
      <c r="U8485" s="69"/>
    </row>
    <row r="8486" spans="19:21" ht="15" customHeight="1" x14ac:dyDescent="0.2">
      <c r="S8486" s="69">
        <f>_xlfn.XLOOKUP(Results!A8486,Geometry!$B$6:$B$10000,Geometry!$C$6:$C$10000)</f>
        <v>0</v>
      </c>
      <c r="T8486" s="69"/>
      <c r="U8486" s="69"/>
    </row>
    <row r="8487" spans="19:21" ht="15" customHeight="1" x14ac:dyDescent="0.2">
      <c r="S8487" s="69">
        <f>_xlfn.XLOOKUP(Results!A8487,Geometry!$B$6:$B$10000,Geometry!$C$6:$C$10000)</f>
        <v>0</v>
      </c>
      <c r="T8487" s="69"/>
      <c r="U8487" s="69"/>
    </row>
    <row r="8488" spans="19:21" ht="15" customHeight="1" x14ac:dyDescent="0.2">
      <c r="S8488" s="69">
        <f>_xlfn.XLOOKUP(Results!A8488,Geometry!$B$6:$B$10000,Geometry!$C$6:$C$10000)</f>
        <v>0</v>
      </c>
      <c r="T8488" s="69"/>
      <c r="U8488" s="69"/>
    </row>
    <row r="8489" spans="19:21" ht="15" customHeight="1" x14ac:dyDescent="0.2">
      <c r="S8489" s="69">
        <f>_xlfn.XLOOKUP(Results!A8489,Geometry!$B$6:$B$10000,Geometry!$C$6:$C$10000)</f>
        <v>0</v>
      </c>
      <c r="T8489" s="69"/>
      <c r="U8489" s="69"/>
    </row>
    <row r="8490" spans="19:21" ht="15" customHeight="1" x14ac:dyDescent="0.2">
      <c r="S8490" s="69">
        <f>_xlfn.XLOOKUP(Results!A8490,Geometry!$B$6:$B$10000,Geometry!$C$6:$C$10000)</f>
        <v>0</v>
      </c>
      <c r="T8490" s="69"/>
      <c r="U8490" s="69"/>
    </row>
    <row r="8491" spans="19:21" ht="15" customHeight="1" x14ac:dyDescent="0.2">
      <c r="S8491" s="69">
        <f>_xlfn.XLOOKUP(Results!A8491,Geometry!$B$6:$B$10000,Geometry!$C$6:$C$10000)</f>
        <v>0</v>
      </c>
      <c r="T8491" s="69"/>
      <c r="U8491" s="69"/>
    </row>
    <row r="8492" spans="19:21" ht="15" customHeight="1" x14ac:dyDescent="0.2">
      <c r="S8492" s="69">
        <f>_xlfn.XLOOKUP(Results!A8492,Geometry!$B$6:$B$10000,Geometry!$C$6:$C$10000)</f>
        <v>0</v>
      </c>
      <c r="T8492" s="69"/>
      <c r="U8492" s="69"/>
    </row>
    <row r="8493" spans="19:21" ht="15" customHeight="1" x14ac:dyDescent="0.2">
      <c r="S8493" s="69">
        <f>_xlfn.XLOOKUP(Results!A8493,Geometry!$B$6:$B$10000,Geometry!$C$6:$C$10000)</f>
        <v>0</v>
      </c>
      <c r="T8493" s="69"/>
      <c r="U8493" s="69"/>
    </row>
    <row r="8494" spans="19:21" ht="15" customHeight="1" x14ac:dyDescent="0.2">
      <c r="S8494" s="69">
        <f>_xlfn.XLOOKUP(Results!A8494,Geometry!$B$6:$B$10000,Geometry!$C$6:$C$10000)</f>
        <v>0</v>
      </c>
      <c r="T8494" s="69"/>
      <c r="U8494" s="69"/>
    </row>
    <row r="8495" spans="19:21" ht="15" customHeight="1" x14ac:dyDescent="0.2">
      <c r="S8495" s="69">
        <f>_xlfn.XLOOKUP(Results!A8495,Geometry!$B$6:$B$10000,Geometry!$C$6:$C$10000)</f>
        <v>0</v>
      </c>
      <c r="T8495" s="69"/>
      <c r="U8495" s="69"/>
    </row>
    <row r="8496" spans="19:21" ht="15" customHeight="1" x14ac:dyDescent="0.2">
      <c r="S8496" s="69">
        <f>_xlfn.XLOOKUP(Results!A8496,Geometry!$B$6:$B$10000,Geometry!$C$6:$C$10000)</f>
        <v>0</v>
      </c>
      <c r="T8496" s="69"/>
      <c r="U8496" s="69"/>
    </row>
    <row r="8497" spans="19:21" ht="15" customHeight="1" x14ac:dyDescent="0.2">
      <c r="S8497" s="69">
        <f>_xlfn.XLOOKUP(Results!A8497,Geometry!$B$6:$B$10000,Geometry!$C$6:$C$10000)</f>
        <v>0</v>
      </c>
      <c r="T8497" s="69"/>
      <c r="U8497" s="69"/>
    </row>
    <row r="8498" spans="19:21" ht="15" customHeight="1" x14ac:dyDescent="0.2">
      <c r="S8498" s="69">
        <f>_xlfn.XLOOKUP(Results!A8498,Geometry!$B$6:$B$10000,Geometry!$C$6:$C$10000)</f>
        <v>0</v>
      </c>
      <c r="T8498" s="69"/>
      <c r="U8498" s="69"/>
    </row>
    <row r="8499" spans="19:21" ht="15" customHeight="1" x14ac:dyDescent="0.2">
      <c r="S8499" s="69">
        <f>_xlfn.XLOOKUP(Results!A8499,Geometry!$B$6:$B$10000,Geometry!$C$6:$C$10000)</f>
        <v>0</v>
      </c>
      <c r="T8499" s="69"/>
      <c r="U8499" s="69"/>
    </row>
    <row r="8500" spans="19:21" ht="15" customHeight="1" x14ac:dyDescent="0.2">
      <c r="S8500" s="69">
        <f>_xlfn.XLOOKUP(Results!A8500,Geometry!$B$6:$B$10000,Geometry!$C$6:$C$10000)</f>
        <v>0</v>
      </c>
      <c r="T8500" s="69"/>
      <c r="U8500" s="69"/>
    </row>
    <row r="8501" spans="19:21" ht="15" customHeight="1" x14ac:dyDescent="0.2">
      <c r="S8501" s="69">
        <f>_xlfn.XLOOKUP(Results!A8501,Geometry!$B$6:$B$10000,Geometry!$C$6:$C$10000)</f>
        <v>0</v>
      </c>
      <c r="T8501" s="69"/>
      <c r="U8501" s="69"/>
    </row>
    <row r="8502" spans="19:21" ht="15" customHeight="1" x14ac:dyDescent="0.2">
      <c r="S8502" s="69">
        <f>_xlfn.XLOOKUP(Results!A8502,Geometry!$B$6:$B$10000,Geometry!$C$6:$C$10000)</f>
        <v>0</v>
      </c>
      <c r="T8502" s="69"/>
      <c r="U8502" s="69"/>
    </row>
    <row r="8503" spans="19:21" ht="15" customHeight="1" x14ac:dyDescent="0.2">
      <c r="S8503" s="69">
        <f>_xlfn.XLOOKUP(Results!A8503,Geometry!$B$6:$B$10000,Geometry!$C$6:$C$10000)</f>
        <v>0</v>
      </c>
      <c r="T8503" s="69"/>
      <c r="U8503" s="69"/>
    </row>
    <row r="8504" spans="19:21" ht="15" customHeight="1" x14ac:dyDescent="0.2">
      <c r="S8504" s="69">
        <f>_xlfn.XLOOKUP(Results!A8504,Geometry!$B$6:$B$10000,Geometry!$C$6:$C$10000)</f>
        <v>0</v>
      </c>
      <c r="T8504" s="69"/>
      <c r="U8504" s="69"/>
    </row>
    <row r="8505" spans="19:21" ht="15" customHeight="1" x14ac:dyDescent="0.2">
      <c r="S8505" s="69">
        <f>_xlfn.XLOOKUP(Results!A8505,Geometry!$B$6:$B$10000,Geometry!$C$6:$C$10000)</f>
        <v>0</v>
      </c>
      <c r="T8505" s="69"/>
      <c r="U8505" s="69"/>
    </row>
    <row r="8506" spans="19:21" ht="15" customHeight="1" x14ac:dyDescent="0.2">
      <c r="S8506" s="69">
        <f>_xlfn.XLOOKUP(Results!A8506,Geometry!$B$6:$B$10000,Geometry!$C$6:$C$10000)</f>
        <v>0</v>
      </c>
      <c r="T8506" s="69"/>
      <c r="U8506" s="69"/>
    </row>
    <row r="8507" spans="19:21" ht="15" customHeight="1" x14ac:dyDescent="0.2">
      <c r="S8507" s="69">
        <f>_xlfn.XLOOKUP(Results!A8507,Geometry!$B$6:$B$10000,Geometry!$C$6:$C$10000)</f>
        <v>0</v>
      </c>
      <c r="T8507" s="69"/>
      <c r="U8507" s="69"/>
    </row>
    <row r="8508" spans="19:21" ht="15" customHeight="1" x14ac:dyDescent="0.2">
      <c r="S8508" s="69">
        <f>_xlfn.XLOOKUP(Results!A8508,Geometry!$B$6:$B$10000,Geometry!$C$6:$C$10000)</f>
        <v>0</v>
      </c>
      <c r="T8508" s="69"/>
      <c r="U8508" s="69"/>
    </row>
    <row r="8509" spans="19:21" ht="15" customHeight="1" x14ac:dyDescent="0.2">
      <c r="S8509" s="69">
        <f>_xlfn.XLOOKUP(Results!A8509,Geometry!$B$6:$B$10000,Geometry!$C$6:$C$10000)</f>
        <v>0</v>
      </c>
      <c r="T8509" s="69"/>
      <c r="U8509" s="69"/>
    </row>
    <row r="8510" spans="19:21" ht="15" customHeight="1" x14ac:dyDescent="0.2">
      <c r="S8510" s="69">
        <f>_xlfn.XLOOKUP(Results!A8510,Geometry!$B$6:$B$10000,Geometry!$C$6:$C$10000)</f>
        <v>0</v>
      </c>
      <c r="T8510" s="69"/>
      <c r="U8510" s="69"/>
    </row>
    <row r="8511" spans="19:21" ht="15" customHeight="1" x14ac:dyDescent="0.2">
      <c r="S8511" s="69">
        <f>_xlfn.XLOOKUP(Results!A8511,Geometry!$B$6:$B$10000,Geometry!$C$6:$C$10000)</f>
        <v>0</v>
      </c>
      <c r="T8511" s="69"/>
      <c r="U8511" s="69"/>
    </row>
    <row r="8512" spans="19:21" ht="15" customHeight="1" x14ac:dyDescent="0.2">
      <c r="S8512" s="69">
        <f>_xlfn.XLOOKUP(Results!A8512,Geometry!$B$6:$B$10000,Geometry!$C$6:$C$10000)</f>
        <v>0</v>
      </c>
      <c r="T8512" s="69"/>
      <c r="U8512" s="69"/>
    </row>
    <row r="8513" spans="19:21" ht="15" customHeight="1" x14ac:dyDescent="0.2">
      <c r="S8513" s="69">
        <f>_xlfn.XLOOKUP(Results!A8513,Geometry!$B$6:$B$10000,Geometry!$C$6:$C$10000)</f>
        <v>0</v>
      </c>
      <c r="T8513" s="69"/>
      <c r="U8513" s="69"/>
    </row>
    <row r="8514" spans="19:21" ht="15" customHeight="1" x14ac:dyDescent="0.2">
      <c r="S8514" s="69">
        <f>_xlfn.XLOOKUP(Results!A8514,Geometry!$B$6:$B$10000,Geometry!$C$6:$C$10000)</f>
        <v>0</v>
      </c>
      <c r="T8514" s="69"/>
      <c r="U8514" s="69"/>
    </row>
    <row r="8515" spans="19:21" ht="15" customHeight="1" x14ac:dyDescent="0.2">
      <c r="S8515" s="69">
        <f>_xlfn.XLOOKUP(Results!A8515,Geometry!$B$6:$B$10000,Geometry!$C$6:$C$10000)</f>
        <v>0</v>
      </c>
      <c r="T8515" s="69"/>
      <c r="U8515" s="69"/>
    </row>
    <row r="8516" spans="19:21" ht="15" customHeight="1" x14ac:dyDescent="0.2">
      <c r="S8516" s="69">
        <f>_xlfn.XLOOKUP(Results!A8516,Geometry!$B$6:$B$10000,Geometry!$C$6:$C$10000)</f>
        <v>0</v>
      </c>
      <c r="T8516" s="69"/>
      <c r="U8516" s="69"/>
    </row>
    <row r="8517" spans="19:21" ht="15" customHeight="1" x14ac:dyDescent="0.2">
      <c r="S8517" s="69">
        <f>_xlfn.XLOOKUP(Results!A8517,Geometry!$B$6:$B$10000,Geometry!$C$6:$C$10000)</f>
        <v>0</v>
      </c>
      <c r="T8517" s="69"/>
      <c r="U8517" s="69"/>
    </row>
    <row r="8518" spans="19:21" ht="15" customHeight="1" x14ac:dyDescent="0.2">
      <c r="S8518" s="69">
        <f>_xlfn.XLOOKUP(Results!A8518,Geometry!$B$6:$B$10000,Geometry!$C$6:$C$10000)</f>
        <v>0</v>
      </c>
      <c r="T8518" s="69"/>
      <c r="U8518" s="69"/>
    </row>
    <row r="8519" spans="19:21" ht="15" customHeight="1" x14ac:dyDescent="0.2">
      <c r="S8519" s="69">
        <f>_xlfn.XLOOKUP(Results!A8519,Geometry!$B$6:$B$10000,Geometry!$C$6:$C$10000)</f>
        <v>0</v>
      </c>
      <c r="T8519" s="69"/>
      <c r="U8519" s="69"/>
    </row>
    <row r="8520" spans="19:21" ht="15" customHeight="1" x14ac:dyDescent="0.2">
      <c r="S8520" s="69">
        <f>_xlfn.XLOOKUP(Results!A8520,Geometry!$B$6:$B$10000,Geometry!$C$6:$C$10000)</f>
        <v>0</v>
      </c>
      <c r="T8520" s="69"/>
      <c r="U8520" s="69"/>
    </row>
    <row r="8521" spans="19:21" ht="15" customHeight="1" x14ac:dyDescent="0.2">
      <c r="S8521" s="69">
        <f>_xlfn.XLOOKUP(Results!A8521,Geometry!$B$6:$B$10000,Geometry!$C$6:$C$10000)</f>
        <v>0</v>
      </c>
      <c r="T8521" s="69"/>
      <c r="U8521" s="69"/>
    </row>
    <row r="8522" spans="19:21" ht="15" customHeight="1" x14ac:dyDescent="0.2">
      <c r="S8522" s="69">
        <f>_xlfn.XLOOKUP(Results!A8522,Geometry!$B$6:$B$10000,Geometry!$C$6:$C$10000)</f>
        <v>0</v>
      </c>
      <c r="T8522" s="69"/>
      <c r="U8522" s="69"/>
    </row>
    <row r="8523" spans="19:21" ht="15" customHeight="1" x14ac:dyDescent="0.2">
      <c r="S8523" s="69">
        <f>_xlfn.XLOOKUP(Results!A8523,Geometry!$B$6:$B$10000,Geometry!$C$6:$C$10000)</f>
        <v>0</v>
      </c>
      <c r="T8523" s="69"/>
      <c r="U8523" s="69"/>
    </row>
    <row r="8524" spans="19:21" ht="15" customHeight="1" x14ac:dyDescent="0.2">
      <c r="S8524" s="69">
        <f>_xlfn.XLOOKUP(Results!A8524,Geometry!$B$6:$B$10000,Geometry!$C$6:$C$10000)</f>
        <v>0</v>
      </c>
      <c r="T8524" s="69"/>
      <c r="U8524" s="69"/>
    </row>
    <row r="8525" spans="19:21" ht="15" customHeight="1" x14ac:dyDescent="0.2">
      <c r="S8525" s="69">
        <f>_xlfn.XLOOKUP(Results!A8525,Geometry!$B$6:$B$10000,Geometry!$C$6:$C$10000)</f>
        <v>0</v>
      </c>
      <c r="T8525" s="69"/>
      <c r="U8525" s="69"/>
    </row>
    <row r="8526" spans="19:21" ht="15" customHeight="1" x14ac:dyDescent="0.2">
      <c r="S8526" s="69">
        <f>_xlfn.XLOOKUP(Results!A8526,Geometry!$B$6:$B$10000,Geometry!$C$6:$C$10000)</f>
        <v>0</v>
      </c>
      <c r="T8526" s="69"/>
      <c r="U8526" s="69"/>
    </row>
    <row r="8527" spans="19:21" ht="15" customHeight="1" x14ac:dyDescent="0.2">
      <c r="S8527" s="69">
        <f>_xlfn.XLOOKUP(Results!A8527,Geometry!$B$6:$B$10000,Geometry!$C$6:$C$10000)</f>
        <v>0</v>
      </c>
      <c r="T8527" s="69"/>
      <c r="U8527" s="69"/>
    </row>
    <row r="8528" spans="19:21" ht="15" customHeight="1" x14ac:dyDescent="0.2">
      <c r="S8528" s="69">
        <f>_xlfn.XLOOKUP(Results!A8528,Geometry!$B$6:$B$10000,Geometry!$C$6:$C$10000)</f>
        <v>0</v>
      </c>
      <c r="T8528" s="69"/>
      <c r="U8528" s="69"/>
    </row>
    <row r="8529" spans="19:21" ht="15" customHeight="1" x14ac:dyDescent="0.2">
      <c r="S8529" s="69">
        <f>_xlfn.XLOOKUP(Results!A8529,Geometry!$B$6:$B$10000,Geometry!$C$6:$C$10000)</f>
        <v>0</v>
      </c>
      <c r="T8529" s="69"/>
      <c r="U8529" s="69"/>
    </row>
    <row r="8530" spans="19:21" ht="15" customHeight="1" x14ac:dyDescent="0.2">
      <c r="S8530" s="69">
        <f>_xlfn.XLOOKUP(Results!A8530,Geometry!$B$6:$B$10000,Geometry!$C$6:$C$10000)</f>
        <v>0</v>
      </c>
      <c r="T8530" s="69"/>
      <c r="U8530" s="69"/>
    </row>
    <row r="8531" spans="19:21" ht="15" customHeight="1" x14ac:dyDescent="0.2">
      <c r="S8531" s="69">
        <f>_xlfn.XLOOKUP(Results!A8531,Geometry!$B$6:$B$10000,Geometry!$C$6:$C$10000)</f>
        <v>0</v>
      </c>
      <c r="T8531" s="69"/>
      <c r="U8531" s="69"/>
    </row>
    <row r="8532" spans="19:21" ht="15" customHeight="1" x14ac:dyDescent="0.2">
      <c r="S8532" s="69">
        <f>_xlfn.XLOOKUP(Results!A8532,Geometry!$B$6:$B$10000,Geometry!$C$6:$C$10000)</f>
        <v>0</v>
      </c>
      <c r="T8532" s="69"/>
      <c r="U8532" s="69"/>
    </row>
    <row r="8533" spans="19:21" ht="15" customHeight="1" x14ac:dyDescent="0.2">
      <c r="S8533" s="69">
        <f>_xlfn.XLOOKUP(Results!A8533,Geometry!$B$6:$B$10000,Geometry!$C$6:$C$10000)</f>
        <v>0</v>
      </c>
      <c r="T8533" s="69"/>
      <c r="U8533" s="69"/>
    </row>
    <row r="8534" spans="19:21" ht="15" customHeight="1" x14ac:dyDescent="0.2">
      <c r="S8534" s="69">
        <f>_xlfn.XLOOKUP(Results!A8534,Geometry!$B$6:$B$10000,Geometry!$C$6:$C$10000)</f>
        <v>0</v>
      </c>
      <c r="T8534" s="69"/>
      <c r="U8534" s="69"/>
    </row>
    <row r="8535" spans="19:21" ht="15" customHeight="1" x14ac:dyDescent="0.2">
      <c r="S8535" s="69">
        <f>_xlfn.XLOOKUP(Results!A8535,Geometry!$B$6:$B$10000,Geometry!$C$6:$C$10000)</f>
        <v>0</v>
      </c>
      <c r="T8535" s="69"/>
      <c r="U8535" s="69"/>
    </row>
    <row r="8536" spans="19:21" ht="15" customHeight="1" x14ac:dyDescent="0.2">
      <c r="S8536" s="69">
        <f>_xlfn.XLOOKUP(Results!A8536,Geometry!$B$6:$B$10000,Geometry!$C$6:$C$10000)</f>
        <v>0</v>
      </c>
      <c r="T8536" s="69"/>
      <c r="U8536" s="69"/>
    </row>
    <row r="8537" spans="19:21" ht="15" customHeight="1" x14ac:dyDescent="0.2">
      <c r="S8537" s="69">
        <f>_xlfn.XLOOKUP(Results!A8537,Geometry!$B$6:$B$10000,Geometry!$C$6:$C$10000)</f>
        <v>0</v>
      </c>
      <c r="T8537" s="69"/>
      <c r="U8537" s="69"/>
    </row>
    <row r="8538" spans="19:21" ht="15" customHeight="1" x14ac:dyDescent="0.2">
      <c r="S8538" s="69">
        <f>_xlfn.XLOOKUP(Results!A8538,Geometry!$B$6:$B$10000,Geometry!$C$6:$C$10000)</f>
        <v>0</v>
      </c>
      <c r="T8538" s="69"/>
      <c r="U8538" s="69"/>
    </row>
    <row r="8539" spans="19:21" ht="15" customHeight="1" x14ac:dyDescent="0.2">
      <c r="S8539" s="69">
        <f>_xlfn.XLOOKUP(Results!A8539,Geometry!$B$6:$B$10000,Geometry!$C$6:$C$10000)</f>
        <v>0</v>
      </c>
      <c r="T8539" s="69"/>
      <c r="U8539" s="69"/>
    </row>
    <row r="8540" spans="19:21" ht="15" customHeight="1" x14ac:dyDescent="0.2">
      <c r="S8540" s="69">
        <f>_xlfn.XLOOKUP(Results!A8540,Geometry!$B$6:$B$10000,Geometry!$C$6:$C$10000)</f>
        <v>0</v>
      </c>
      <c r="T8540" s="69"/>
      <c r="U8540" s="69"/>
    </row>
    <row r="8541" spans="19:21" ht="15" customHeight="1" x14ac:dyDescent="0.2">
      <c r="S8541" s="69">
        <f>_xlfn.XLOOKUP(Results!A8541,Geometry!$B$6:$B$10000,Geometry!$C$6:$C$10000)</f>
        <v>0</v>
      </c>
      <c r="T8541" s="69"/>
      <c r="U8541" s="69"/>
    </row>
    <row r="8542" spans="19:21" ht="15" customHeight="1" x14ac:dyDescent="0.2">
      <c r="S8542" s="69">
        <f>_xlfn.XLOOKUP(Results!A8542,Geometry!$B$6:$B$10000,Geometry!$C$6:$C$10000)</f>
        <v>0</v>
      </c>
      <c r="T8542" s="69"/>
      <c r="U8542" s="69"/>
    </row>
    <row r="8543" spans="19:21" ht="15" customHeight="1" x14ac:dyDescent="0.2">
      <c r="S8543" s="69">
        <f>_xlfn.XLOOKUP(Results!A8543,Geometry!$B$6:$B$10000,Geometry!$C$6:$C$10000)</f>
        <v>0</v>
      </c>
      <c r="T8543" s="69"/>
      <c r="U8543" s="69"/>
    </row>
    <row r="8544" spans="19:21" ht="15" customHeight="1" x14ac:dyDescent="0.2">
      <c r="S8544" s="69">
        <f>_xlfn.XLOOKUP(Results!A8544,Geometry!$B$6:$B$10000,Geometry!$C$6:$C$10000)</f>
        <v>0</v>
      </c>
      <c r="T8544" s="69"/>
      <c r="U8544" s="69"/>
    </row>
    <row r="8545" spans="19:21" ht="15" customHeight="1" x14ac:dyDescent="0.2">
      <c r="S8545" s="69">
        <f>_xlfn.XLOOKUP(Results!A8545,Geometry!$B$6:$B$10000,Geometry!$C$6:$C$10000)</f>
        <v>0</v>
      </c>
      <c r="T8545" s="69"/>
      <c r="U8545" s="69"/>
    </row>
    <row r="8546" spans="19:21" ht="15" customHeight="1" x14ac:dyDescent="0.2">
      <c r="S8546" s="69">
        <f>_xlfn.XLOOKUP(Results!A8546,Geometry!$B$6:$B$10000,Geometry!$C$6:$C$10000)</f>
        <v>0</v>
      </c>
      <c r="T8546" s="69"/>
      <c r="U8546" s="69"/>
    </row>
    <row r="8547" spans="19:21" ht="15" customHeight="1" x14ac:dyDescent="0.2">
      <c r="S8547" s="69">
        <f>_xlfn.XLOOKUP(Results!A8547,Geometry!$B$6:$B$10000,Geometry!$C$6:$C$10000)</f>
        <v>0</v>
      </c>
      <c r="T8547" s="69"/>
      <c r="U8547" s="69"/>
    </row>
    <row r="8548" spans="19:21" ht="15" customHeight="1" x14ac:dyDescent="0.2">
      <c r="S8548" s="69">
        <f>_xlfn.XLOOKUP(Results!A8548,Geometry!$B$6:$B$10000,Geometry!$C$6:$C$10000)</f>
        <v>0</v>
      </c>
      <c r="T8548" s="69"/>
      <c r="U8548" s="69"/>
    </row>
    <row r="8549" spans="19:21" ht="15" customHeight="1" x14ac:dyDescent="0.2">
      <c r="S8549" s="69">
        <f>_xlfn.XLOOKUP(Results!A8549,Geometry!$B$6:$B$10000,Geometry!$C$6:$C$10000)</f>
        <v>0</v>
      </c>
      <c r="T8549" s="69"/>
      <c r="U8549" s="69"/>
    </row>
    <row r="8550" spans="19:21" ht="15" customHeight="1" x14ac:dyDescent="0.2">
      <c r="S8550" s="69">
        <f>_xlfn.XLOOKUP(Results!A8550,Geometry!$B$6:$B$10000,Geometry!$C$6:$C$10000)</f>
        <v>0</v>
      </c>
      <c r="T8550" s="69"/>
      <c r="U8550" s="69"/>
    </row>
    <row r="8551" spans="19:21" ht="15" customHeight="1" x14ac:dyDescent="0.2">
      <c r="S8551" s="69">
        <f>_xlfn.XLOOKUP(Results!A8551,Geometry!$B$6:$B$10000,Geometry!$C$6:$C$10000)</f>
        <v>0</v>
      </c>
      <c r="T8551" s="69"/>
      <c r="U8551" s="69"/>
    </row>
    <row r="8552" spans="19:21" ht="15" customHeight="1" x14ac:dyDescent="0.2">
      <c r="S8552" s="69">
        <f>_xlfn.XLOOKUP(Results!A8552,Geometry!$B$6:$B$10000,Geometry!$C$6:$C$10000)</f>
        <v>0</v>
      </c>
      <c r="T8552" s="69"/>
      <c r="U8552" s="69"/>
    </row>
    <row r="8553" spans="19:21" ht="15" customHeight="1" x14ac:dyDescent="0.2">
      <c r="S8553" s="69">
        <f>_xlfn.XLOOKUP(Results!A8553,Geometry!$B$6:$B$10000,Geometry!$C$6:$C$10000)</f>
        <v>0</v>
      </c>
      <c r="T8553" s="69"/>
      <c r="U8553" s="69"/>
    </row>
    <row r="8554" spans="19:21" ht="15" customHeight="1" x14ac:dyDescent="0.2">
      <c r="S8554" s="69">
        <f>_xlfn.XLOOKUP(Results!A8554,Geometry!$B$6:$B$10000,Geometry!$C$6:$C$10000)</f>
        <v>0</v>
      </c>
      <c r="T8554" s="69"/>
      <c r="U8554" s="69"/>
    </row>
    <row r="8555" spans="19:21" ht="15" customHeight="1" x14ac:dyDescent="0.2">
      <c r="S8555" s="69">
        <f>_xlfn.XLOOKUP(Results!A8555,Geometry!$B$6:$B$10000,Geometry!$C$6:$C$10000)</f>
        <v>0</v>
      </c>
      <c r="T8555" s="69"/>
      <c r="U8555" s="69"/>
    </row>
    <row r="8556" spans="19:21" ht="15" customHeight="1" x14ac:dyDescent="0.2">
      <c r="S8556" s="69">
        <f>_xlfn.XLOOKUP(Results!A8556,Geometry!$B$6:$B$10000,Geometry!$C$6:$C$10000)</f>
        <v>0</v>
      </c>
      <c r="T8556" s="69"/>
      <c r="U8556" s="69"/>
    </row>
    <row r="8557" spans="19:21" ht="15" customHeight="1" x14ac:dyDescent="0.2">
      <c r="S8557" s="69">
        <f>_xlfn.XLOOKUP(Results!A8557,Geometry!$B$6:$B$10000,Geometry!$C$6:$C$10000)</f>
        <v>0</v>
      </c>
      <c r="T8557" s="69"/>
      <c r="U8557" s="69"/>
    </row>
    <row r="8558" spans="19:21" ht="15" customHeight="1" x14ac:dyDescent="0.2">
      <c r="S8558" s="69">
        <f>_xlfn.XLOOKUP(Results!A8558,Geometry!$B$6:$B$10000,Geometry!$C$6:$C$10000)</f>
        <v>0</v>
      </c>
      <c r="T8558" s="69"/>
      <c r="U8558" s="69"/>
    </row>
    <row r="8559" spans="19:21" ht="15" customHeight="1" x14ac:dyDescent="0.2">
      <c r="S8559" s="69">
        <f>_xlfn.XLOOKUP(Results!A8559,Geometry!$B$6:$B$10000,Geometry!$C$6:$C$10000)</f>
        <v>0</v>
      </c>
      <c r="T8559" s="69"/>
      <c r="U8559" s="69"/>
    </row>
    <row r="8560" spans="19:21" ht="15" customHeight="1" x14ac:dyDescent="0.2">
      <c r="S8560" s="69">
        <f>_xlfn.XLOOKUP(Results!A8560,Geometry!$B$6:$B$10000,Geometry!$C$6:$C$10000)</f>
        <v>0</v>
      </c>
      <c r="T8560" s="69"/>
      <c r="U8560" s="69"/>
    </row>
    <row r="8561" spans="19:21" ht="15" customHeight="1" x14ac:dyDescent="0.2">
      <c r="S8561" s="69">
        <f>_xlfn.XLOOKUP(Results!A8561,Geometry!$B$6:$B$10000,Geometry!$C$6:$C$10000)</f>
        <v>0</v>
      </c>
      <c r="T8561" s="69"/>
      <c r="U8561" s="69"/>
    </row>
    <row r="8562" spans="19:21" ht="15" customHeight="1" x14ac:dyDescent="0.2">
      <c r="S8562" s="69">
        <f>_xlfn.XLOOKUP(Results!A8562,Geometry!$B$6:$B$10000,Geometry!$C$6:$C$10000)</f>
        <v>0</v>
      </c>
      <c r="T8562" s="69"/>
      <c r="U8562" s="69"/>
    </row>
    <row r="8563" spans="19:21" ht="15" customHeight="1" x14ac:dyDescent="0.2">
      <c r="S8563" s="69">
        <f>_xlfn.XLOOKUP(Results!A8563,Geometry!$B$6:$B$10000,Geometry!$C$6:$C$10000)</f>
        <v>0</v>
      </c>
      <c r="T8563" s="69"/>
      <c r="U8563" s="69"/>
    </row>
    <row r="8564" spans="19:21" ht="15" customHeight="1" x14ac:dyDescent="0.2">
      <c r="S8564" s="69">
        <f>_xlfn.XLOOKUP(Results!A8564,Geometry!$B$6:$B$10000,Geometry!$C$6:$C$10000)</f>
        <v>0</v>
      </c>
      <c r="T8564" s="69"/>
      <c r="U8564" s="69"/>
    </row>
    <row r="8565" spans="19:21" ht="15" customHeight="1" x14ac:dyDescent="0.2">
      <c r="S8565" s="69">
        <f>_xlfn.XLOOKUP(Results!A8565,Geometry!$B$6:$B$10000,Geometry!$C$6:$C$10000)</f>
        <v>0</v>
      </c>
      <c r="T8565" s="69"/>
      <c r="U8565" s="69"/>
    </row>
    <row r="8566" spans="19:21" ht="15" customHeight="1" x14ac:dyDescent="0.2">
      <c r="S8566" s="69">
        <f>_xlfn.XLOOKUP(Results!A8566,Geometry!$B$6:$B$10000,Geometry!$C$6:$C$10000)</f>
        <v>0</v>
      </c>
      <c r="T8566" s="69"/>
      <c r="U8566" s="69"/>
    </row>
    <row r="8567" spans="19:21" ht="15" customHeight="1" x14ac:dyDescent="0.2">
      <c r="S8567" s="69">
        <f>_xlfn.XLOOKUP(Results!A8567,Geometry!$B$6:$B$10000,Geometry!$C$6:$C$10000)</f>
        <v>0</v>
      </c>
      <c r="T8567" s="69"/>
      <c r="U8567" s="69"/>
    </row>
    <row r="8568" spans="19:21" ht="15" customHeight="1" x14ac:dyDescent="0.2">
      <c r="S8568" s="69">
        <f>_xlfn.XLOOKUP(Results!A8568,Geometry!$B$6:$B$10000,Geometry!$C$6:$C$10000)</f>
        <v>0</v>
      </c>
      <c r="T8568" s="69"/>
      <c r="U8568" s="69"/>
    </row>
    <row r="8569" spans="19:21" ht="15" customHeight="1" x14ac:dyDescent="0.2">
      <c r="S8569" s="69">
        <f>_xlfn.XLOOKUP(Results!A8569,Geometry!$B$6:$B$10000,Geometry!$C$6:$C$10000)</f>
        <v>0</v>
      </c>
      <c r="T8569" s="69"/>
      <c r="U8569" s="69"/>
    </row>
    <row r="8570" spans="19:21" ht="15" customHeight="1" x14ac:dyDescent="0.2">
      <c r="S8570" s="69">
        <f>_xlfn.XLOOKUP(Results!A8570,Geometry!$B$6:$B$10000,Geometry!$C$6:$C$10000)</f>
        <v>0</v>
      </c>
      <c r="T8570" s="69"/>
      <c r="U8570" s="69"/>
    </row>
    <row r="8571" spans="19:21" ht="15" customHeight="1" x14ac:dyDescent="0.2">
      <c r="S8571" s="69">
        <f>_xlfn.XLOOKUP(Results!A8571,Geometry!$B$6:$B$10000,Geometry!$C$6:$C$10000)</f>
        <v>0</v>
      </c>
      <c r="T8571" s="69"/>
      <c r="U8571" s="69"/>
    </row>
    <row r="8572" spans="19:21" ht="15" customHeight="1" x14ac:dyDescent="0.2">
      <c r="S8572" s="69">
        <f>_xlfn.XLOOKUP(Results!A8572,Geometry!$B$6:$B$10000,Geometry!$C$6:$C$10000)</f>
        <v>0</v>
      </c>
      <c r="T8572" s="69"/>
      <c r="U8572" s="69"/>
    </row>
    <row r="8573" spans="19:21" ht="15" customHeight="1" x14ac:dyDescent="0.2">
      <c r="S8573" s="69">
        <f>_xlfn.XLOOKUP(Results!A8573,Geometry!$B$6:$B$10000,Geometry!$C$6:$C$10000)</f>
        <v>0</v>
      </c>
      <c r="T8573" s="69"/>
      <c r="U8573" s="69"/>
    </row>
    <row r="8574" spans="19:21" ht="15" customHeight="1" x14ac:dyDescent="0.2">
      <c r="S8574" s="69">
        <f>_xlfn.XLOOKUP(Results!A8574,Geometry!$B$6:$B$10000,Geometry!$C$6:$C$10000)</f>
        <v>0</v>
      </c>
      <c r="T8574" s="69"/>
      <c r="U8574" s="69"/>
    </row>
    <row r="8575" spans="19:21" ht="15" customHeight="1" x14ac:dyDescent="0.2">
      <c r="S8575" s="69">
        <f>_xlfn.XLOOKUP(Results!A8575,Geometry!$B$6:$B$10000,Geometry!$C$6:$C$10000)</f>
        <v>0</v>
      </c>
      <c r="T8575" s="69"/>
      <c r="U8575" s="69"/>
    </row>
    <row r="8576" spans="19:21" ht="15" customHeight="1" x14ac:dyDescent="0.2">
      <c r="S8576" s="69">
        <f>_xlfn.XLOOKUP(Results!A8576,Geometry!$B$6:$B$10000,Geometry!$C$6:$C$10000)</f>
        <v>0</v>
      </c>
      <c r="T8576" s="69"/>
      <c r="U8576" s="69"/>
    </row>
    <row r="8577" spans="19:21" ht="15" customHeight="1" x14ac:dyDescent="0.2">
      <c r="S8577" s="69">
        <f>_xlfn.XLOOKUP(Results!A8577,Geometry!$B$6:$B$10000,Geometry!$C$6:$C$10000)</f>
        <v>0</v>
      </c>
      <c r="T8577" s="69"/>
      <c r="U8577" s="69"/>
    </row>
    <row r="8578" spans="19:21" ht="15" customHeight="1" x14ac:dyDescent="0.2">
      <c r="S8578" s="69">
        <f>_xlfn.XLOOKUP(Results!A8578,Geometry!$B$6:$B$10000,Geometry!$C$6:$C$10000)</f>
        <v>0</v>
      </c>
      <c r="T8578" s="69"/>
      <c r="U8578" s="69"/>
    </row>
    <row r="8579" spans="19:21" ht="15" customHeight="1" x14ac:dyDescent="0.2">
      <c r="S8579" s="69">
        <f>_xlfn.XLOOKUP(Results!A8579,Geometry!$B$6:$B$10000,Geometry!$C$6:$C$10000)</f>
        <v>0</v>
      </c>
      <c r="T8579" s="69"/>
      <c r="U8579" s="69"/>
    </row>
    <row r="8580" spans="19:21" ht="15" customHeight="1" x14ac:dyDescent="0.2">
      <c r="S8580" s="69">
        <f>_xlfn.XLOOKUP(Results!A8580,Geometry!$B$6:$B$10000,Geometry!$C$6:$C$10000)</f>
        <v>0</v>
      </c>
      <c r="T8580" s="69"/>
      <c r="U8580" s="69"/>
    </row>
    <row r="8581" spans="19:21" ht="15" customHeight="1" x14ac:dyDescent="0.2">
      <c r="S8581" s="69">
        <f>_xlfn.XLOOKUP(Results!A8581,Geometry!$B$6:$B$10000,Geometry!$C$6:$C$10000)</f>
        <v>0</v>
      </c>
      <c r="T8581" s="69"/>
      <c r="U8581" s="69"/>
    </row>
    <row r="8582" spans="19:21" ht="15" customHeight="1" x14ac:dyDescent="0.2">
      <c r="S8582" s="69">
        <f>_xlfn.XLOOKUP(Results!A8582,Geometry!$B$6:$B$10000,Geometry!$C$6:$C$10000)</f>
        <v>0</v>
      </c>
      <c r="T8582" s="69"/>
      <c r="U8582" s="69"/>
    </row>
    <row r="8583" spans="19:21" ht="15" customHeight="1" x14ac:dyDescent="0.2">
      <c r="S8583" s="69">
        <f>_xlfn.XLOOKUP(Results!A8583,Geometry!$B$6:$B$10000,Geometry!$C$6:$C$10000)</f>
        <v>0</v>
      </c>
      <c r="T8583" s="69"/>
      <c r="U8583" s="69"/>
    </row>
    <row r="8584" spans="19:21" ht="15" customHeight="1" x14ac:dyDescent="0.2">
      <c r="S8584" s="69">
        <f>_xlfn.XLOOKUP(Results!A8584,Geometry!$B$6:$B$10000,Geometry!$C$6:$C$10000)</f>
        <v>0</v>
      </c>
      <c r="T8584" s="69"/>
      <c r="U8584" s="69"/>
    </row>
    <row r="8585" spans="19:21" ht="15" customHeight="1" x14ac:dyDescent="0.2">
      <c r="S8585" s="69">
        <f>_xlfn.XLOOKUP(Results!A8585,Geometry!$B$6:$B$10000,Geometry!$C$6:$C$10000)</f>
        <v>0</v>
      </c>
      <c r="T8585" s="69"/>
      <c r="U8585" s="69"/>
    </row>
    <row r="8586" spans="19:21" ht="15" customHeight="1" x14ac:dyDescent="0.2">
      <c r="S8586" s="69">
        <f>_xlfn.XLOOKUP(Results!A8586,Geometry!$B$6:$B$10000,Geometry!$C$6:$C$10000)</f>
        <v>0</v>
      </c>
      <c r="T8586" s="69"/>
      <c r="U8586" s="69"/>
    </row>
    <row r="8587" spans="19:21" ht="15" customHeight="1" x14ac:dyDescent="0.2">
      <c r="S8587" s="69">
        <f>_xlfn.XLOOKUP(Results!A8587,Geometry!$B$6:$B$10000,Geometry!$C$6:$C$10000)</f>
        <v>0</v>
      </c>
      <c r="T8587" s="69"/>
      <c r="U8587" s="69"/>
    </row>
    <row r="8588" spans="19:21" ht="15" customHeight="1" x14ac:dyDescent="0.2">
      <c r="S8588" s="69">
        <f>_xlfn.XLOOKUP(Results!A8588,Geometry!$B$6:$B$10000,Geometry!$C$6:$C$10000)</f>
        <v>0</v>
      </c>
      <c r="T8588" s="69"/>
      <c r="U8588" s="69"/>
    </row>
    <row r="8589" spans="19:21" ht="15" customHeight="1" x14ac:dyDescent="0.2">
      <c r="S8589" s="69">
        <f>_xlfn.XLOOKUP(Results!A8589,Geometry!$B$6:$B$10000,Geometry!$C$6:$C$10000)</f>
        <v>0</v>
      </c>
      <c r="T8589" s="69"/>
      <c r="U8589" s="69"/>
    </row>
    <row r="8590" spans="19:21" ht="15" customHeight="1" x14ac:dyDescent="0.2">
      <c r="S8590" s="69">
        <f>_xlfn.XLOOKUP(Results!A8590,Geometry!$B$6:$B$10000,Geometry!$C$6:$C$10000)</f>
        <v>0</v>
      </c>
      <c r="T8590" s="69"/>
      <c r="U8590" s="69"/>
    </row>
    <row r="8591" spans="19:21" ht="15" customHeight="1" x14ac:dyDescent="0.2">
      <c r="S8591" s="69">
        <f>_xlfn.XLOOKUP(Results!A8591,Geometry!$B$6:$B$10000,Geometry!$C$6:$C$10000)</f>
        <v>0</v>
      </c>
      <c r="T8591" s="69"/>
      <c r="U8591" s="69"/>
    </row>
    <row r="8592" spans="19:21" ht="15" customHeight="1" x14ac:dyDescent="0.2">
      <c r="S8592" s="69">
        <f>_xlfn.XLOOKUP(Results!A8592,Geometry!$B$6:$B$10000,Geometry!$C$6:$C$10000)</f>
        <v>0</v>
      </c>
      <c r="T8592" s="69"/>
      <c r="U8592" s="69"/>
    </row>
    <row r="8593" spans="19:21" ht="15" customHeight="1" x14ac:dyDescent="0.2">
      <c r="S8593" s="69">
        <f>_xlfn.XLOOKUP(Results!A8593,Geometry!$B$6:$B$10000,Geometry!$C$6:$C$10000)</f>
        <v>0</v>
      </c>
      <c r="T8593" s="69"/>
      <c r="U8593" s="69"/>
    </row>
    <row r="8594" spans="19:21" ht="15" customHeight="1" x14ac:dyDescent="0.2">
      <c r="S8594" s="69">
        <f>_xlfn.XLOOKUP(Results!A8594,Geometry!$B$6:$B$10000,Geometry!$C$6:$C$10000)</f>
        <v>0</v>
      </c>
      <c r="T8594" s="69"/>
      <c r="U8594" s="69"/>
    </row>
    <row r="8595" spans="19:21" ht="15" customHeight="1" x14ac:dyDescent="0.2">
      <c r="S8595" s="69">
        <f>_xlfn.XLOOKUP(Results!A8595,Geometry!$B$6:$B$10000,Geometry!$C$6:$C$10000)</f>
        <v>0</v>
      </c>
      <c r="T8595" s="69"/>
      <c r="U8595" s="69"/>
    </row>
    <row r="8596" spans="19:21" ht="15" customHeight="1" x14ac:dyDescent="0.2">
      <c r="S8596" s="69">
        <f>_xlfn.XLOOKUP(Results!A8596,Geometry!$B$6:$B$10000,Geometry!$C$6:$C$10000)</f>
        <v>0</v>
      </c>
      <c r="T8596" s="69"/>
      <c r="U8596" s="69"/>
    </row>
    <row r="8597" spans="19:21" ht="15" customHeight="1" x14ac:dyDescent="0.2">
      <c r="S8597" s="69">
        <f>_xlfn.XLOOKUP(Results!A8597,Geometry!$B$6:$B$10000,Geometry!$C$6:$C$10000)</f>
        <v>0</v>
      </c>
      <c r="T8597" s="69"/>
      <c r="U8597" s="69"/>
    </row>
    <row r="8598" spans="19:21" ht="15" customHeight="1" x14ac:dyDescent="0.2">
      <c r="S8598" s="69">
        <f>_xlfn.XLOOKUP(Results!A8598,Geometry!$B$6:$B$10000,Geometry!$C$6:$C$10000)</f>
        <v>0</v>
      </c>
      <c r="T8598" s="69"/>
      <c r="U8598" s="69"/>
    </row>
    <row r="8599" spans="19:21" ht="15" customHeight="1" x14ac:dyDescent="0.2">
      <c r="S8599" s="69">
        <f>_xlfn.XLOOKUP(Results!A8599,Geometry!$B$6:$B$10000,Geometry!$C$6:$C$10000)</f>
        <v>0</v>
      </c>
      <c r="T8599" s="69"/>
      <c r="U8599" s="69"/>
    </row>
    <row r="8600" spans="19:21" ht="15" customHeight="1" x14ac:dyDescent="0.2">
      <c r="S8600" s="69">
        <f>_xlfn.XLOOKUP(Results!A8600,Geometry!$B$6:$B$10000,Geometry!$C$6:$C$10000)</f>
        <v>0</v>
      </c>
      <c r="T8600" s="69"/>
      <c r="U8600" s="69"/>
    </row>
    <row r="8601" spans="19:21" ht="15" customHeight="1" x14ac:dyDescent="0.2">
      <c r="S8601" s="69">
        <f>_xlfn.XLOOKUP(Results!A8601,Geometry!$B$6:$B$10000,Geometry!$C$6:$C$10000)</f>
        <v>0</v>
      </c>
      <c r="T8601" s="69"/>
      <c r="U8601" s="69"/>
    </row>
    <row r="8602" spans="19:21" ht="15" customHeight="1" x14ac:dyDescent="0.2">
      <c r="S8602" s="69">
        <f>_xlfn.XLOOKUP(Results!A8602,Geometry!$B$6:$B$10000,Geometry!$C$6:$C$10000)</f>
        <v>0</v>
      </c>
      <c r="T8602" s="69"/>
      <c r="U8602" s="69"/>
    </row>
    <row r="8603" spans="19:21" ht="15" customHeight="1" x14ac:dyDescent="0.2">
      <c r="S8603" s="69">
        <f>_xlfn.XLOOKUP(Results!A8603,Geometry!$B$6:$B$10000,Geometry!$C$6:$C$10000)</f>
        <v>0</v>
      </c>
      <c r="T8603" s="69"/>
      <c r="U8603" s="69"/>
    </row>
    <row r="8604" spans="19:21" ht="15" customHeight="1" x14ac:dyDescent="0.2">
      <c r="S8604" s="69">
        <f>_xlfn.XLOOKUP(Results!A8604,Geometry!$B$6:$B$10000,Geometry!$C$6:$C$10000)</f>
        <v>0</v>
      </c>
      <c r="T8604" s="69"/>
      <c r="U8604" s="69"/>
    </row>
    <row r="8605" spans="19:21" ht="15" customHeight="1" x14ac:dyDescent="0.2">
      <c r="S8605" s="69">
        <f>_xlfn.XLOOKUP(Results!A8605,Geometry!$B$6:$B$10000,Geometry!$C$6:$C$10000)</f>
        <v>0</v>
      </c>
      <c r="T8605" s="69"/>
      <c r="U8605" s="69"/>
    </row>
    <row r="8606" spans="19:21" ht="15" customHeight="1" x14ac:dyDescent="0.2">
      <c r="S8606" s="69">
        <f>_xlfn.XLOOKUP(Results!A8606,Geometry!$B$6:$B$10000,Geometry!$C$6:$C$10000)</f>
        <v>0</v>
      </c>
      <c r="T8606" s="69"/>
      <c r="U8606" s="69"/>
    </row>
    <row r="8607" spans="19:21" ht="15" customHeight="1" x14ac:dyDescent="0.2">
      <c r="S8607" s="69">
        <f>_xlfn.XLOOKUP(Results!A8607,Geometry!$B$6:$B$10000,Geometry!$C$6:$C$10000)</f>
        <v>0</v>
      </c>
      <c r="T8607" s="69"/>
      <c r="U8607" s="69"/>
    </row>
    <row r="8608" spans="19:21" ht="15" customHeight="1" x14ac:dyDescent="0.2">
      <c r="S8608" s="69">
        <f>_xlfn.XLOOKUP(Results!A8608,Geometry!$B$6:$B$10000,Geometry!$C$6:$C$10000)</f>
        <v>0</v>
      </c>
      <c r="T8608" s="69"/>
      <c r="U8608" s="69"/>
    </row>
    <row r="8609" spans="19:21" ht="15" customHeight="1" x14ac:dyDescent="0.2">
      <c r="S8609" s="69">
        <f>_xlfn.XLOOKUP(Results!A8609,Geometry!$B$6:$B$10000,Geometry!$C$6:$C$10000)</f>
        <v>0</v>
      </c>
      <c r="T8609" s="69"/>
      <c r="U8609" s="69"/>
    </row>
    <row r="8610" spans="19:21" ht="15" customHeight="1" x14ac:dyDescent="0.2">
      <c r="S8610" s="69">
        <f>_xlfn.XLOOKUP(Results!A8610,Geometry!$B$6:$B$10000,Geometry!$C$6:$C$10000)</f>
        <v>0</v>
      </c>
      <c r="T8610" s="69"/>
      <c r="U8610" s="69"/>
    </row>
    <row r="8611" spans="19:21" ht="15" customHeight="1" x14ac:dyDescent="0.2">
      <c r="S8611" s="69">
        <f>_xlfn.XLOOKUP(Results!A8611,Geometry!$B$6:$B$10000,Geometry!$C$6:$C$10000)</f>
        <v>0</v>
      </c>
      <c r="T8611" s="69"/>
      <c r="U8611" s="69"/>
    </row>
    <row r="8612" spans="19:21" ht="15" customHeight="1" x14ac:dyDescent="0.2">
      <c r="S8612" s="69">
        <f>_xlfn.XLOOKUP(Results!A8612,Geometry!$B$6:$B$10000,Geometry!$C$6:$C$10000)</f>
        <v>0</v>
      </c>
      <c r="T8612" s="69"/>
      <c r="U8612" s="69"/>
    </row>
    <row r="8613" spans="19:21" ht="15" customHeight="1" x14ac:dyDescent="0.2">
      <c r="S8613" s="69">
        <f>_xlfn.XLOOKUP(Results!A8613,Geometry!$B$6:$B$10000,Geometry!$C$6:$C$10000)</f>
        <v>0</v>
      </c>
      <c r="T8613" s="69"/>
      <c r="U8613" s="69"/>
    </row>
    <row r="8614" spans="19:21" ht="15" customHeight="1" x14ac:dyDescent="0.2">
      <c r="S8614" s="69">
        <f>_xlfn.XLOOKUP(Results!A8614,Geometry!$B$6:$B$10000,Geometry!$C$6:$C$10000)</f>
        <v>0</v>
      </c>
      <c r="T8614" s="69"/>
      <c r="U8614" s="69"/>
    </row>
    <row r="8615" spans="19:21" ht="15" customHeight="1" x14ac:dyDescent="0.2">
      <c r="S8615" s="69">
        <f>_xlfn.XLOOKUP(Results!A8615,Geometry!$B$6:$B$10000,Geometry!$C$6:$C$10000)</f>
        <v>0</v>
      </c>
      <c r="T8615" s="69"/>
      <c r="U8615" s="69"/>
    </row>
    <row r="8616" spans="19:21" ht="15" customHeight="1" x14ac:dyDescent="0.2">
      <c r="S8616" s="69">
        <f>_xlfn.XLOOKUP(Results!A8616,Geometry!$B$6:$B$10000,Geometry!$C$6:$C$10000)</f>
        <v>0</v>
      </c>
      <c r="T8616" s="69"/>
      <c r="U8616" s="69"/>
    </row>
    <row r="8617" spans="19:21" ht="15" customHeight="1" x14ac:dyDescent="0.2">
      <c r="S8617" s="69">
        <f>_xlfn.XLOOKUP(Results!A8617,Geometry!$B$6:$B$10000,Geometry!$C$6:$C$10000)</f>
        <v>0</v>
      </c>
      <c r="T8617" s="69"/>
      <c r="U8617" s="69"/>
    </row>
    <row r="8618" spans="19:21" ht="15" customHeight="1" x14ac:dyDescent="0.2">
      <c r="S8618" s="69">
        <f>_xlfn.XLOOKUP(Results!A8618,Geometry!$B$6:$B$10000,Geometry!$C$6:$C$10000)</f>
        <v>0</v>
      </c>
      <c r="T8618" s="69"/>
      <c r="U8618" s="69"/>
    </row>
    <row r="8619" spans="19:21" ht="15" customHeight="1" x14ac:dyDescent="0.2">
      <c r="S8619" s="69">
        <f>_xlfn.XLOOKUP(Results!A8619,Geometry!$B$6:$B$10000,Geometry!$C$6:$C$10000)</f>
        <v>0</v>
      </c>
      <c r="T8619" s="69"/>
      <c r="U8619" s="69"/>
    </row>
    <row r="8620" spans="19:21" ht="15" customHeight="1" x14ac:dyDescent="0.2">
      <c r="S8620" s="69">
        <f>_xlfn.XLOOKUP(Results!A8620,Geometry!$B$6:$B$10000,Geometry!$C$6:$C$10000)</f>
        <v>0</v>
      </c>
      <c r="T8620" s="69"/>
      <c r="U8620" s="69"/>
    </row>
    <row r="8621" spans="19:21" ht="15" customHeight="1" x14ac:dyDescent="0.2">
      <c r="S8621" s="69">
        <f>_xlfn.XLOOKUP(Results!A8621,Geometry!$B$6:$B$10000,Geometry!$C$6:$C$10000)</f>
        <v>0</v>
      </c>
      <c r="T8621" s="69"/>
      <c r="U8621" s="69"/>
    </row>
    <row r="8622" spans="19:21" ht="15" customHeight="1" x14ac:dyDescent="0.2">
      <c r="S8622" s="69">
        <f>_xlfn.XLOOKUP(Results!A8622,Geometry!$B$6:$B$10000,Geometry!$C$6:$C$10000)</f>
        <v>0</v>
      </c>
      <c r="T8622" s="69"/>
      <c r="U8622" s="69"/>
    </row>
    <row r="8623" spans="19:21" ht="15" customHeight="1" x14ac:dyDescent="0.2">
      <c r="S8623" s="69">
        <f>_xlfn.XLOOKUP(Results!A8623,Geometry!$B$6:$B$10000,Geometry!$C$6:$C$10000)</f>
        <v>0</v>
      </c>
      <c r="T8623" s="69"/>
      <c r="U8623" s="69"/>
    </row>
    <row r="8624" spans="19:21" ht="15" customHeight="1" x14ac:dyDescent="0.2">
      <c r="S8624" s="69">
        <f>_xlfn.XLOOKUP(Results!A8624,Geometry!$B$6:$B$10000,Geometry!$C$6:$C$10000)</f>
        <v>0</v>
      </c>
      <c r="T8624" s="69"/>
      <c r="U8624" s="69"/>
    </row>
    <row r="8625" spans="19:21" ht="15" customHeight="1" x14ac:dyDescent="0.2">
      <c r="S8625" s="69">
        <f>_xlfn.XLOOKUP(Results!A8625,Geometry!$B$6:$B$10000,Geometry!$C$6:$C$10000)</f>
        <v>0</v>
      </c>
      <c r="T8625" s="69"/>
      <c r="U8625" s="69"/>
    </row>
    <row r="8626" spans="19:21" ht="15" customHeight="1" x14ac:dyDescent="0.2">
      <c r="S8626" s="69">
        <f>_xlfn.XLOOKUP(Results!A8626,Geometry!$B$6:$B$10000,Geometry!$C$6:$C$10000)</f>
        <v>0</v>
      </c>
      <c r="T8626" s="69"/>
      <c r="U8626" s="69"/>
    </row>
    <row r="8627" spans="19:21" ht="15" customHeight="1" x14ac:dyDescent="0.2">
      <c r="S8627" s="69">
        <f>_xlfn.XLOOKUP(Results!A8627,Geometry!$B$6:$B$10000,Geometry!$C$6:$C$10000)</f>
        <v>0</v>
      </c>
      <c r="T8627" s="69"/>
      <c r="U8627" s="69"/>
    </row>
    <row r="8628" spans="19:21" ht="15" customHeight="1" x14ac:dyDescent="0.2">
      <c r="S8628" s="69">
        <f>_xlfn.XLOOKUP(Results!A8628,Geometry!$B$6:$B$10000,Geometry!$C$6:$C$10000)</f>
        <v>0</v>
      </c>
      <c r="T8628" s="69"/>
      <c r="U8628" s="69"/>
    </row>
    <row r="8629" spans="19:21" ht="15" customHeight="1" x14ac:dyDescent="0.2">
      <c r="S8629" s="69">
        <f>_xlfn.XLOOKUP(Results!A8629,Geometry!$B$6:$B$10000,Geometry!$C$6:$C$10000)</f>
        <v>0</v>
      </c>
      <c r="T8629" s="69"/>
      <c r="U8629" s="69"/>
    </row>
    <row r="8630" spans="19:21" ht="15" customHeight="1" x14ac:dyDescent="0.2">
      <c r="S8630" s="69">
        <f>_xlfn.XLOOKUP(Results!A8630,Geometry!$B$6:$B$10000,Geometry!$C$6:$C$10000)</f>
        <v>0</v>
      </c>
      <c r="T8630" s="69"/>
      <c r="U8630" s="69"/>
    </row>
    <row r="8631" spans="19:21" ht="15" customHeight="1" x14ac:dyDescent="0.2">
      <c r="S8631" s="69">
        <f>_xlfn.XLOOKUP(Results!A8631,Geometry!$B$6:$B$10000,Geometry!$C$6:$C$10000)</f>
        <v>0</v>
      </c>
      <c r="T8631" s="69"/>
      <c r="U8631" s="69"/>
    </row>
    <row r="8632" spans="19:21" ht="15" customHeight="1" x14ac:dyDescent="0.2">
      <c r="S8632" s="69">
        <f>_xlfn.XLOOKUP(Results!A8632,Geometry!$B$6:$B$10000,Geometry!$C$6:$C$10000)</f>
        <v>0</v>
      </c>
      <c r="T8632" s="69"/>
      <c r="U8632" s="69"/>
    </row>
    <row r="8633" spans="19:21" ht="15" customHeight="1" x14ac:dyDescent="0.2">
      <c r="S8633" s="69">
        <f>_xlfn.XLOOKUP(Results!A8633,Geometry!$B$6:$B$10000,Geometry!$C$6:$C$10000)</f>
        <v>0</v>
      </c>
      <c r="T8633" s="69"/>
      <c r="U8633" s="69"/>
    </row>
    <row r="8634" spans="19:21" ht="15" customHeight="1" x14ac:dyDescent="0.2">
      <c r="S8634" s="69">
        <f>_xlfn.XLOOKUP(Results!A8634,Geometry!$B$6:$B$10000,Geometry!$C$6:$C$10000)</f>
        <v>0</v>
      </c>
      <c r="T8634" s="69"/>
      <c r="U8634" s="69"/>
    </row>
    <row r="8635" spans="19:21" ht="15" customHeight="1" x14ac:dyDescent="0.2">
      <c r="S8635" s="69">
        <f>_xlfn.XLOOKUP(Results!A8635,Geometry!$B$6:$B$10000,Geometry!$C$6:$C$10000)</f>
        <v>0</v>
      </c>
      <c r="T8635" s="69"/>
      <c r="U8635" s="69"/>
    </row>
    <row r="8636" spans="19:21" ht="15" customHeight="1" x14ac:dyDescent="0.2">
      <c r="S8636" s="69">
        <f>_xlfn.XLOOKUP(Results!A8636,Geometry!$B$6:$B$10000,Geometry!$C$6:$C$10000)</f>
        <v>0</v>
      </c>
      <c r="T8636" s="69"/>
      <c r="U8636" s="69"/>
    </row>
    <row r="8637" spans="19:21" ht="15" customHeight="1" x14ac:dyDescent="0.2">
      <c r="S8637" s="69">
        <f>_xlfn.XLOOKUP(Results!A8637,Geometry!$B$6:$B$10000,Geometry!$C$6:$C$10000)</f>
        <v>0</v>
      </c>
      <c r="T8637" s="69"/>
      <c r="U8637" s="69"/>
    </row>
    <row r="8638" spans="19:21" ht="15" customHeight="1" x14ac:dyDescent="0.2">
      <c r="S8638" s="69">
        <f>_xlfn.XLOOKUP(Results!A8638,Geometry!$B$6:$B$10000,Geometry!$C$6:$C$10000)</f>
        <v>0</v>
      </c>
      <c r="T8638" s="69"/>
      <c r="U8638" s="69"/>
    </row>
    <row r="8639" spans="19:21" ht="15" customHeight="1" x14ac:dyDescent="0.2">
      <c r="S8639" s="69">
        <f>_xlfn.XLOOKUP(Results!A8639,Geometry!$B$6:$B$10000,Geometry!$C$6:$C$10000)</f>
        <v>0</v>
      </c>
      <c r="T8639" s="69"/>
      <c r="U8639" s="69"/>
    </row>
    <row r="8640" spans="19:21" ht="15" customHeight="1" x14ac:dyDescent="0.2">
      <c r="S8640" s="69">
        <f>_xlfn.XLOOKUP(Results!A8640,Geometry!$B$6:$B$10000,Geometry!$C$6:$C$10000)</f>
        <v>0</v>
      </c>
      <c r="T8640" s="69"/>
      <c r="U8640" s="69"/>
    </row>
    <row r="8641" spans="19:21" ht="15" customHeight="1" x14ac:dyDescent="0.2">
      <c r="S8641" s="69">
        <f>_xlfn.XLOOKUP(Results!A8641,Geometry!$B$6:$B$10000,Geometry!$C$6:$C$10000)</f>
        <v>0</v>
      </c>
      <c r="T8641" s="69"/>
      <c r="U8641" s="69"/>
    </row>
    <row r="8642" spans="19:21" ht="15" customHeight="1" x14ac:dyDescent="0.2">
      <c r="S8642" s="69">
        <f>_xlfn.XLOOKUP(Results!A8642,Geometry!$B$6:$B$10000,Geometry!$C$6:$C$10000)</f>
        <v>0</v>
      </c>
      <c r="T8642" s="69"/>
      <c r="U8642" s="69"/>
    </row>
    <row r="8643" spans="19:21" ht="15" customHeight="1" x14ac:dyDescent="0.2">
      <c r="S8643" s="69">
        <f>_xlfn.XLOOKUP(Results!A8643,Geometry!$B$6:$B$10000,Geometry!$C$6:$C$10000)</f>
        <v>0</v>
      </c>
      <c r="T8643" s="69"/>
      <c r="U8643" s="69"/>
    </row>
    <row r="8644" spans="19:21" ht="15" customHeight="1" x14ac:dyDescent="0.2">
      <c r="S8644" s="69">
        <f>_xlfn.XLOOKUP(Results!A8644,Geometry!$B$6:$B$10000,Geometry!$C$6:$C$10000)</f>
        <v>0</v>
      </c>
      <c r="T8644" s="69"/>
      <c r="U8644" s="69"/>
    </row>
    <row r="8645" spans="19:21" ht="15" customHeight="1" x14ac:dyDescent="0.2">
      <c r="S8645" s="69">
        <f>_xlfn.XLOOKUP(Results!A8645,Geometry!$B$6:$B$10000,Geometry!$C$6:$C$10000)</f>
        <v>0</v>
      </c>
      <c r="T8645" s="69"/>
      <c r="U8645" s="69"/>
    </row>
    <row r="8646" spans="19:21" ht="15" customHeight="1" x14ac:dyDescent="0.2">
      <c r="S8646" s="69">
        <f>_xlfn.XLOOKUP(Results!A8646,Geometry!$B$6:$B$10000,Geometry!$C$6:$C$10000)</f>
        <v>0</v>
      </c>
      <c r="T8646" s="69"/>
      <c r="U8646" s="69"/>
    </row>
    <row r="8647" spans="19:21" ht="15" customHeight="1" x14ac:dyDescent="0.2">
      <c r="S8647" s="69">
        <f>_xlfn.XLOOKUP(Results!A8647,Geometry!$B$6:$B$10000,Geometry!$C$6:$C$10000)</f>
        <v>0</v>
      </c>
      <c r="T8647" s="69"/>
      <c r="U8647" s="69"/>
    </row>
    <row r="8648" spans="19:21" ht="15" customHeight="1" x14ac:dyDescent="0.2">
      <c r="S8648" s="69">
        <f>_xlfn.XLOOKUP(Results!A8648,Geometry!$B$6:$B$10000,Geometry!$C$6:$C$10000)</f>
        <v>0</v>
      </c>
      <c r="T8648" s="69"/>
      <c r="U8648" s="69"/>
    </row>
    <row r="8649" spans="19:21" ht="15" customHeight="1" x14ac:dyDescent="0.2">
      <c r="S8649" s="69">
        <f>_xlfn.XLOOKUP(Results!A8649,Geometry!$B$6:$B$10000,Geometry!$C$6:$C$10000)</f>
        <v>0</v>
      </c>
      <c r="T8649" s="69"/>
      <c r="U8649" s="69"/>
    </row>
    <row r="8650" spans="19:21" ht="15" customHeight="1" x14ac:dyDescent="0.2">
      <c r="S8650" s="69">
        <f>_xlfn.XLOOKUP(Results!A8650,Geometry!$B$6:$B$10000,Geometry!$C$6:$C$10000)</f>
        <v>0</v>
      </c>
      <c r="T8650" s="69"/>
      <c r="U8650" s="69"/>
    </row>
    <row r="8651" spans="19:21" ht="15" customHeight="1" x14ac:dyDescent="0.2">
      <c r="S8651" s="69">
        <f>_xlfn.XLOOKUP(Results!A8651,Geometry!$B$6:$B$10000,Geometry!$C$6:$C$10000)</f>
        <v>0</v>
      </c>
      <c r="T8651" s="69"/>
      <c r="U8651" s="69"/>
    </row>
    <row r="8652" spans="19:21" ht="15" customHeight="1" x14ac:dyDescent="0.2">
      <c r="S8652" s="69">
        <f>_xlfn.XLOOKUP(Results!A8652,Geometry!$B$6:$B$10000,Geometry!$C$6:$C$10000)</f>
        <v>0</v>
      </c>
      <c r="T8652" s="69"/>
      <c r="U8652" s="69"/>
    </row>
    <row r="8653" spans="19:21" ht="15" customHeight="1" x14ac:dyDescent="0.2">
      <c r="S8653" s="69">
        <f>_xlfn.XLOOKUP(Results!A8653,Geometry!$B$6:$B$10000,Geometry!$C$6:$C$10000)</f>
        <v>0</v>
      </c>
      <c r="T8653" s="69"/>
      <c r="U8653" s="69"/>
    </row>
    <row r="8654" spans="19:21" ht="15" customHeight="1" x14ac:dyDescent="0.2">
      <c r="S8654" s="69">
        <f>_xlfn.XLOOKUP(Results!A8654,Geometry!$B$6:$B$10000,Geometry!$C$6:$C$10000)</f>
        <v>0</v>
      </c>
      <c r="T8654" s="69"/>
      <c r="U8654" s="69"/>
    </row>
    <row r="8655" spans="19:21" ht="15" customHeight="1" x14ac:dyDescent="0.2">
      <c r="S8655" s="69">
        <f>_xlfn.XLOOKUP(Results!A8655,Geometry!$B$6:$B$10000,Geometry!$C$6:$C$10000)</f>
        <v>0</v>
      </c>
      <c r="T8655" s="69"/>
      <c r="U8655" s="69"/>
    </row>
    <row r="8656" spans="19:21" ht="15" customHeight="1" x14ac:dyDescent="0.2">
      <c r="S8656" s="69">
        <f>_xlfn.XLOOKUP(Results!A8656,Geometry!$B$6:$B$10000,Geometry!$C$6:$C$10000)</f>
        <v>0</v>
      </c>
      <c r="T8656" s="69"/>
      <c r="U8656" s="69"/>
    </row>
    <row r="8657" spans="19:21" ht="15" customHeight="1" x14ac:dyDescent="0.2">
      <c r="S8657" s="69">
        <f>_xlfn.XLOOKUP(Results!A8657,Geometry!$B$6:$B$10000,Geometry!$C$6:$C$10000)</f>
        <v>0</v>
      </c>
      <c r="T8657" s="69"/>
      <c r="U8657" s="69"/>
    </row>
    <row r="8658" spans="19:21" ht="15" customHeight="1" x14ac:dyDescent="0.2">
      <c r="S8658" s="69">
        <f>_xlfn.XLOOKUP(Results!A8658,Geometry!$B$6:$B$10000,Geometry!$C$6:$C$10000)</f>
        <v>0</v>
      </c>
      <c r="T8658" s="69"/>
      <c r="U8658" s="69"/>
    </row>
    <row r="8659" spans="19:21" ht="15" customHeight="1" x14ac:dyDescent="0.2">
      <c r="S8659" s="69">
        <f>_xlfn.XLOOKUP(Results!A8659,Geometry!$B$6:$B$10000,Geometry!$C$6:$C$10000)</f>
        <v>0</v>
      </c>
      <c r="T8659" s="69"/>
      <c r="U8659" s="69"/>
    </row>
    <row r="8660" spans="19:21" ht="15" customHeight="1" x14ac:dyDescent="0.2">
      <c r="S8660" s="69">
        <f>_xlfn.XLOOKUP(Results!A8660,Geometry!$B$6:$B$10000,Geometry!$C$6:$C$10000)</f>
        <v>0</v>
      </c>
      <c r="T8660" s="69"/>
      <c r="U8660" s="69"/>
    </row>
    <row r="8661" spans="19:21" ht="15" customHeight="1" x14ac:dyDescent="0.2">
      <c r="S8661" s="69">
        <f>_xlfn.XLOOKUP(Results!A8661,Geometry!$B$6:$B$10000,Geometry!$C$6:$C$10000)</f>
        <v>0</v>
      </c>
      <c r="T8661" s="69"/>
      <c r="U8661" s="69"/>
    </row>
    <row r="8662" spans="19:21" ht="15" customHeight="1" x14ac:dyDescent="0.2">
      <c r="S8662" s="69">
        <f>_xlfn.XLOOKUP(Results!A8662,Geometry!$B$6:$B$10000,Geometry!$C$6:$C$10000)</f>
        <v>0</v>
      </c>
      <c r="T8662" s="69"/>
      <c r="U8662" s="69"/>
    </row>
    <row r="8663" spans="19:21" ht="15" customHeight="1" x14ac:dyDescent="0.2">
      <c r="S8663" s="69">
        <f>_xlfn.XLOOKUP(Results!A8663,Geometry!$B$6:$B$10000,Geometry!$C$6:$C$10000)</f>
        <v>0</v>
      </c>
      <c r="T8663" s="69"/>
      <c r="U8663" s="69"/>
    </row>
    <row r="8664" spans="19:21" ht="15" customHeight="1" x14ac:dyDescent="0.2">
      <c r="S8664" s="69">
        <f>_xlfn.XLOOKUP(Results!A8664,Geometry!$B$6:$B$10000,Geometry!$C$6:$C$10000)</f>
        <v>0</v>
      </c>
      <c r="T8664" s="69"/>
      <c r="U8664" s="69"/>
    </row>
    <row r="8665" spans="19:21" ht="15" customHeight="1" x14ac:dyDescent="0.2">
      <c r="S8665" s="69">
        <f>_xlfn.XLOOKUP(Results!A8665,Geometry!$B$6:$B$10000,Geometry!$C$6:$C$10000)</f>
        <v>0</v>
      </c>
      <c r="T8665" s="69"/>
      <c r="U8665" s="69"/>
    </row>
    <row r="8666" spans="19:21" ht="15" customHeight="1" x14ac:dyDescent="0.2">
      <c r="S8666" s="69">
        <f>_xlfn.XLOOKUP(Results!A8666,Geometry!$B$6:$B$10000,Geometry!$C$6:$C$10000)</f>
        <v>0</v>
      </c>
      <c r="T8666" s="69"/>
      <c r="U8666" s="69"/>
    </row>
    <row r="8667" spans="19:21" ht="15" customHeight="1" x14ac:dyDescent="0.2">
      <c r="S8667" s="69">
        <f>_xlfn.XLOOKUP(Results!A8667,Geometry!$B$6:$B$10000,Geometry!$C$6:$C$10000)</f>
        <v>0</v>
      </c>
      <c r="T8667" s="69"/>
      <c r="U8667" s="69"/>
    </row>
    <row r="8668" spans="19:21" ht="15" customHeight="1" x14ac:dyDescent="0.2">
      <c r="S8668" s="69">
        <f>_xlfn.XLOOKUP(Results!A8668,Geometry!$B$6:$B$10000,Geometry!$C$6:$C$10000)</f>
        <v>0</v>
      </c>
      <c r="T8668" s="69"/>
      <c r="U8668" s="69"/>
    </row>
    <row r="8669" spans="19:21" ht="15" customHeight="1" x14ac:dyDescent="0.2">
      <c r="S8669" s="69">
        <f>_xlfn.XLOOKUP(Results!A8669,Geometry!$B$6:$B$10000,Geometry!$C$6:$C$10000)</f>
        <v>0</v>
      </c>
      <c r="T8669" s="69"/>
      <c r="U8669" s="69"/>
    </row>
    <row r="8670" spans="19:21" ht="15" customHeight="1" x14ac:dyDescent="0.2">
      <c r="S8670" s="69">
        <f>_xlfn.XLOOKUP(Results!A8670,Geometry!$B$6:$B$10000,Geometry!$C$6:$C$10000)</f>
        <v>0</v>
      </c>
      <c r="T8670" s="69"/>
      <c r="U8670" s="69"/>
    </row>
    <row r="8671" spans="19:21" ht="15" customHeight="1" x14ac:dyDescent="0.2">
      <c r="S8671" s="69">
        <f>_xlfn.XLOOKUP(Results!A8671,Geometry!$B$6:$B$10000,Geometry!$C$6:$C$10000)</f>
        <v>0</v>
      </c>
      <c r="T8671" s="69"/>
      <c r="U8671" s="69"/>
    </row>
    <row r="8672" spans="19:21" ht="15" customHeight="1" x14ac:dyDescent="0.2">
      <c r="S8672" s="69">
        <f>_xlfn.XLOOKUP(Results!A8672,Geometry!$B$6:$B$10000,Geometry!$C$6:$C$10000)</f>
        <v>0</v>
      </c>
      <c r="T8672" s="69"/>
      <c r="U8672" s="69"/>
    </row>
    <row r="8673" spans="19:21" ht="15" customHeight="1" x14ac:dyDescent="0.2">
      <c r="S8673" s="69">
        <f>_xlfn.XLOOKUP(Results!A8673,Geometry!$B$6:$B$10000,Geometry!$C$6:$C$10000)</f>
        <v>0</v>
      </c>
      <c r="T8673" s="69"/>
      <c r="U8673" s="69"/>
    </row>
    <row r="8674" spans="19:21" ht="15" customHeight="1" x14ac:dyDescent="0.2">
      <c r="S8674" s="69">
        <f>_xlfn.XLOOKUP(Results!A8674,Geometry!$B$6:$B$10000,Geometry!$C$6:$C$10000)</f>
        <v>0</v>
      </c>
      <c r="T8674" s="69"/>
      <c r="U8674" s="69"/>
    </row>
    <row r="8675" spans="19:21" ht="15" customHeight="1" x14ac:dyDescent="0.2">
      <c r="S8675" s="69">
        <f>_xlfn.XLOOKUP(Results!A8675,Geometry!$B$6:$B$10000,Geometry!$C$6:$C$10000)</f>
        <v>0</v>
      </c>
      <c r="T8675" s="69"/>
      <c r="U8675" s="69"/>
    </row>
    <row r="8676" spans="19:21" ht="15" customHeight="1" x14ac:dyDescent="0.2">
      <c r="S8676" s="69">
        <f>_xlfn.XLOOKUP(Results!A8676,Geometry!$B$6:$B$10000,Geometry!$C$6:$C$10000)</f>
        <v>0</v>
      </c>
      <c r="T8676" s="69"/>
      <c r="U8676" s="69"/>
    </row>
    <row r="8677" spans="19:21" ht="15" customHeight="1" x14ac:dyDescent="0.2">
      <c r="S8677" s="69">
        <f>_xlfn.XLOOKUP(Results!A8677,Geometry!$B$6:$B$10000,Geometry!$C$6:$C$10000)</f>
        <v>0</v>
      </c>
      <c r="T8677" s="69"/>
      <c r="U8677" s="69"/>
    </row>
    <row r="8678" spans="19:21" ht="15" customHeight="1" x14ac:dyDescent="0.2">
      <c r="S8678" s="69">
        <f>_xlfn.XLOOKUP(Results!A8678,Geometry!$B$6:$B$10000,Geometry!$C$6:$C$10000)</f>
        <v>0</v>
      </c>
      <c r="T8678" s="69"/>
      <c r="U8678" s="69"/>
    </row>
    <row r="8679" spans="19:21" ht="15" customHeight="1" x14ac:dyDescent="0.2">
      <c r="S8679" s="69">
        <f>_xlfn.XLOOKUP(Results!A8679,Geometry!$B$6:$B$10000,Geometry!$C$6:$C$10000)</f>
        <v>0</v>
      </c>
      <c r="T8679" s="69"/>
      <c r="U8679" s="69"/>
    </row>
    <row r="8680" spans="19:21" ht="15" customHeight="1" x14ac:dyDescent="0.2">
      <c r="S8680" s="69">
        <f>_xlfn.XLOOKUP(Results!A8680,Geometry!$B$6:$B$10000,Geometry!$C$6:$C$10000)</f>
        <v>0</v>
      </c>
      <c r="T8680" s="69"/>
      <c r="U8680" s="69"/>
    </row>
    <row r="8681" spans="19:21" ht="15" customHeight="1" x14ac:dyDescent="0.2">
      <c r="S8681" s="69">
        <f>_xlfn.XLOOKUP(Results!A8681,Geometry!$B$6:$B$10000,Geometry!$C$6:$C$10000)</f>
        <v>0</v>
      </c>
      <c r="T8681" s="69"/>
      <c r="U8681" s="69"/>
    </row>
    <row r="8682" spans="19:21" ht="15" customHeight="1" x14ac:dyDescent="0.2">
      <c r="S8682" s="69">
        <f>_xlfn.XLOOKUP(Results!A8682,Geometry!$B$6:$B$10000,Geometry!$C$6:$C$10000)</f>
        <v>0</v>
      </c>
      <c r="T8682" s="69"/>
      <c r="U8682" s="69"/>
    </row>
    <row r="8683" spans="19:21" ht="15" customHeight="1" x14ac:dyDescent="0.2">
      <c r="S8683" s="69">
        <f>_xlfn.XLOOKUP(Results!A8683,Geometry!$B$6:$B$10000,Geometry!$C$6:$C$10000)</f>
        <v>0</v>
      </c>
      <c r="T8683" s="69"/>
      <c r="U8683" s="69"/>
    </row>
    <row r="8684" spans="19:21" ht="15" customHeight="1" x14ac:dyDescent="0.2">
      <c r="S8684" s="69">
        <f>_xlfn.XLOOKUP(Results!A8684,Geometry!$B$6:$B$10000,Geometry!$C$6:$C$10000)</f>
        <v>0</v>
      </c>
      <c r="T8684" s="69"/>
      <c r="U8684" s="69"/>
    </row>
    <row r="8685" spans="19:21" ht="15" customHeight="1" x14ac:dyDescent="0.2">
      <c r="S8685" s="69">
        <f>_xlfn.XLOOKUP(Results!A8685,Geometry!$B$6:$B$10000,Geometry!$C$6:$C$10000)</f>
        <v>0</v>
      </c>
      <c r="T8685" s="69"/>
      <c r="U8685" s="69"/>
    </row>
    <row r="8686" spans="19:21" ht="15" customHeight="1" x14ac:dyDescent="0.2">
      <c r="S8686" s="69">
        <f>_xlfn.XLOOKUP(Results!A8686,Geometry!$B$6:$B$10000,Geometry!$C$6:$C$10000)</f>
        <v>0</v>
      </c>
      <c r="T8686" s="69"/>
      <c r="U8686" s="69"/>
    </row>
    <row r="8687" spans="19:21" ht="15" customHeight="1" x14ac:dyDescent="0.2">
      <c r="S8687" s="69">
        <f>_xlfn.XLOOKUP(Results!A8687,Geometry!$B$6:$B$10000,Geometry!$C$6:$C$10000)</f>
        <v>0</v>
      </c>
      <c r="T8687" s="69"/>
      <c r="U8687" s="69"/>
    </row>
    <row r="8688" spans="19:21" ht="15" customHeight="1" x14ac:dyDescent="0.2">
      <c r="S8688" s="69">
        <f>_xlfn.XLOOKUP(Results!A8688,Geometry!$B$6:$B$10000,Geometry!$C$6:$C$10000)</f>
        <v>0</v>
      </c>
      <c r="T8688" s="69"/>
      <c r="U8688" s="69"/>
    </row>
    <row r="8689" spans="19:21" ht="15" customHeight="1" x14ac:dyDescent="0.2">
      <c r="S8689" s="69">
        <f>_xlfn.XLOOKUP(Results!A8689,Geometry!$B$6:$B$10000,Geometry!$C$6:$C$10000)</f>
        <v>0</v>
      </c>
      <c r="T8689" s="69"/>
      <c r="U8689" s="69"/>
    </row>
    <row r="8690" spans="19:21" ht="15" customHeight="1" x14ac:dyDescent="0.2">
      <c r="S8690" s="69">
        <f>_xlfn.XLOOKUP(Results!A8690,Geometry!$B$6:$B$10000,Geometry!$C$6:$C$10000)</f>
        <v>0</v>
      </c>
      <c r="T8690" s="69"/>
      <c r="U8690" s="69"/>
    </row>
    <row r="8691" spans="19:21" ht="15" customHeight="1" x14ac:dyDescent="0.2">
      <c r="S8691" s="69">
        <f>_xlfn.XLOOKUP(Results!A8691,Geometry!$B$6:$B$10000,Geometry!$C$6:$C$10000)</f>
        <v>0</v>
      </c>
      <c r="T8691" s="69"/>
      <c r="U8691" s="69"/>
    </row>
    <row r="8692" spans="19:21" ht="15" customHeight="1" x14ac:dyDescent="0.2">
      <c r="S8692" s="69">
        <f>_xlfn.XLOOKUP(Results!A8692,Geometry!$B$6:$B$10000,Geometry!$C$6:$C$10000)</f>
        <v>0</v>
      </c>
      <c r="T8692" s="69"/>
      <c r="U8692" s="69"/>
    </row>
    <row r="8693" spans="19:21" ht="15" customHeight="1" x14ac:dyDescent="0.2">
      <c r="S8693" s="69">
        <f>_xlfn.XLOOKUP(Results!A8693,Geometry!$B$6:$B$10000,Geometry!$C$6:$C$10000)</f>
        <v>0</v>
      </c>
      <c r="T8693" s="69"/>
      <c r="U8693" s="69"/>
    </row>
    <row r="8694" spans="19:21" ht="15" customHeight="1" x14ac:dyDescent="0.2">
      <c r="S8694" s="69">
        <f>_xlfn.XLOOKUP(Results!A8694,Geometry!$B$6:$B$10000,Geometry!$C$6:$C$10000)</f>
        <v>0</v>
      </c>
      <c r="T8694" s="69"/>
      <c r="U8694" s="69"/>
    </row>
    <row r="8695" spans="19:21" ht="15" customHeight="1" x14ac:dyDescent="0.2">
      <c r="S8695" s="69">
        <f>_xlfn.XLOOKUP(Results!A8695,Geometry!$B$6:$B$10000,Geometry!$C$6:$C$10000)</f>
        <v>0</v>
      </c>
      <c r="T8695" s="69"/>
      <c r="U8695" s="69"/>
    </row>
    <row r="8696" spans="19:21" ht="15" customHeight="1" x14ac:dyDescent="0.2">
      <c r="S8696" s="69">
        <f>_xlfn.XLOOKUP(Results!A8696,Geometry!$B$6:$B$10000,Geometry!$C$6:$C$10000)</f>
        <v>0</v>
      </c>
      <c r="T8696" s="69"/>
      <c r="U8696" s="69"/>
    </row>
    <row r="8697" spans="19:21" ht="15" customHeight="1" x14ac:dyDescent="0.2">
      <c r="S8697" s="69">
        <f>_xlfn.XLOOKUP(Results!A8697,Geometry!$B$6:$B$10000,Geometry!$C$6:$C$10000)</f>
        <v>0</v>
      </c>
      <c r="T8697" s="69"/>
      <c r="U8697" s="69"/>
    </row>
    <row r="8698" spans="19:21" ht="15" customHeight="1" x14ac:dyDescent="0.2">
      <c r="S8698" s="69">
        <f>_xlfn.XLOOKUP(Results!A8698,Geometry!$B$6:$B$10000,Geometry!$C$6:$C$10000)</f>
        <v>0</v>
      </c>
      <c r="T8698" s="69"/>
      <c r="U8698" s="69"/>
    </row>
    <row r="8699" spans="19:21" ht="15" customHeight="1" x14ac:dyDescent="0.2">
      <c r="S8699" s="69">
        <f>_xlfn.XLOOKUP(Results!A8699,Geometry!$B$6:$B$10000,Geometry!$C$6:$C$10000)</f>
        <v>0</v>
      </c>
      <c r="T8699" s="69"/>
      <c r="U8699" s="69"/>
    </row>
    <row r="8700" spans="19:21" ht="15" customHeight="1" x14ac:dyDescent="0.2">
      <c r="S8700" s="69">
        <f>_xlfn.XLOOKUP(Results!A8700,Geometry!$B$6:$B$10000,Geometry!$C$6:$C$10000)</f>
        <v>0</v>
      </c>
      <c r="T8700" s="69"/>
      <c r="U8700" s="69"/>
    </row>
    <row r="8701" spans="19:21" ht="15" customHeight="1" x14ac:dyDescent="0.2">
      <c r="S8701" s="69">
        <f>_xlfn.XLOOKUP(Results!A8701,Geometry!$B$6:$B$10000,Geometry!$C$6:$C$10000)</f>
        <v>0</v>
      </c>
      <c r="T8701" s="69"/>
      <c r="U8701" s="69"/>
    </row>
    <row r="8702" spans="19:21" ht="15" customHeight="1" x14ac:dyDescent="0.2">
      <c r="S8702" s="69">
        <f>_xlfn.XLOOKUP(Results!A8702,Geometry!$B$6:$B$10000,Geometry!$C$6:$C$10000)</f>
        <v>0</v>
      </c>
      <c r="T8702" s="69"/>
      <c r="U8702" s="69"/>
    </row>
    <row r="8703" spans="19:21" ht="15" customHeight="1" x14ac:dyDescent="0.2">
      <c r="S8703" s="69">
        <f>_xlfn.XLOOKUP(Results!A8703,Geometry!$B$6:$B$10000,Geometry!$C$6:$C$10000)</f>
        <v>0</v>
      </c>
      <c r="T8703" s="69"/>
      <c r="U8703" s="69"/>
    </row>
    <row r="8704" spans="19:21" ht="15" customHeight="1" x14ac:dyDescent="0.2">
      <c r="S8704" s="69">
        <f>_xlfn.XLOOKUP(Results!A8704,Geometry!$B$6:$B$10000,Geometry!$C$6:$C$10000)</f>
        <v>0</v>
      </c>
      <c r="T8704" s="69"/>
      <c r="U8704" s="69"/>
    </row>
    <row r="8705" spans="19:21" ht="15" customHeight="1" x14ac:dyDescent="0.2">
      <c r="S8705" s="69">
        <f>_xlfn.XLOOKUP(Results!A8705,Geometry!$B$6:$B$10000,Geometry!$C$6:$C$10000)</f>
        <v>0</v>
      </c>
      <c r="T8705" s="69"/>
      <c r="U8705" s="69"/>
    </row>
    <row r="8706" spans="19:21" ht="15" customHeight="1" x14ac:dyDescent="0.2">
      <c r="S8706" s="69">
        <f>_xlfn.XLOOKUP(Results!A8706,Geometry!$B$6:$B$10000,Geometry!$C$6:$C$10000)</f>
        <v>0</v>
      </c>
      <c r="T8706" s="69"/>
      <c r="U8706" s="69"/>
    </row>
    <row r="8707" spans="19:21" ht="15" customHeight="1" x14ac:dyDescent="0.2">
      <c r="S8707" s="69">
        <f>_xlfn.XLOOKUP(Results!A8707,Geometry!$B$6:$B$10000,Geometry!$C$6:$C$10000)</f>
        <v>0</v>
      </c>
      <c r="T8707" s="69"/>
      <c r="U8707" s="69"/>
    </row>
    <row r="8708" spans="19:21" ht="15" customHeight="1" x14ac:dyDescent="0.2">
      <c r="S8708" s="69">
        <f>_xlfn.XLOOKUP(Results!A8708,Geometry!$B$6:$B$10000,Geometry!$C$6:$C$10000)</f>
        <v>0</v>
      </c>
      <c r="T8708" s="69"/>
      <c r="U8708" s="69"/>
    </row>
    <row r="8709" spans="19:21" ht="15" customHeight="1" x14ac:dyDescent="0.2">
      <c r="S8709" s="69">
        <f>_xlfn.XLOOKUP(Results!A8709,Geometry!$B$6:$B$10000,Geometry!$C$6:$C$10000)</f>
        <v>0</v>
      </c>
      <c r="T8709" s="69"/>
      <c r="U8709" s="69"/>
    </row>
    <row r="8710" spans="19:21" ht="15" customHeight="1" x14ac:dyDescent="0.2">
      <c r="S8710" s="69">
        <f>_xlfn.XLOOKUP(Results!A8710,Geometry!$B$6:$B$10000,Geometry!$C$6:$C$10000)</f>
        <v>0</v>
      </c>
      <c r="T8710" s="69"/>
      <c r="U8710" s="69"/>
    </row>
    <row r="8711" spans="19:21" ht="15" customHeight="1" x14ac:dyDescent="0.2">
      <c r="S8711" s="69">
        <f>_xlfn.XLOOKUP(Results!A8711,Geometry!$B$6:$B$10000,Geometry!$C$6:$C$10000)</f>
        <v>0</v>
      </c>
      <c r="T8711" s="69"/>
      <c r="U8711" s="69"/>
    </row>
    <row r="8712" spans="19:21" ht="15" customHeight="1" x14ac:dyDescent="0.2">
      <c r="S8712" s="69">
        <f>_xlfn.XLOOKUP(Results!A8712,Geometry!$B$6:$B$10000,Geometry!$C$6:$C$10000)</f>
        <v>0</v>
      </c>
      <c r="T8712" s="69"/>
      <c r="U8712" s="69"/>
    </row>
    <row r="8713" spans="19:21" ht="15" customHeight="1" x14ac:dyDescent="0.2">
      <c r="S8713" s="69">
        <f>_xlfn.XLOOKUP(Results!A8713,Geometry!$B$6:$B$10000,Geometry!$C$6:$C$10000)</f>
        <v>0</v>
      </c>
      <c r="T8713" s="69"/>
      <c r="U8713" s="69"/>
    </row>
    <row r="8714" spans="19:21" ht="15" customHeight="1" x14ac:dyDescent="0.2">
      <c r="S8714" s="69">
        <f>_xlfn.XLOOKUP(Results!A8714,Geometry!$B$6:$B$10000,Geometry!$C$6:$C$10000)</f>
        <v>0</v>
      </c>
      <c r="T8714" s="69"/>
      <c r="U8714" s="69"/>
    </row>
    <row r="8715" spans="19:21" ht="15" customHeight="1" x14ac:dyDescent="0.2">
      <c r="S8715" s="69">
        <f>_xlfn.XLOOKUP(Results!A8715,Geometry!$B$6:$B$10000,Geometry!$C$6:$C$10000)</f>
        <v>0</v>
      </c>
      <c r="T8715" s="69"/>
      <c r="U8715" s="69"/>
    </row>
    <row r="8716" spans="19:21" ht="15" customHeight="1" x14ac:dyDescent="0.2">
      <c r="S8716" s="69">
        <f>_xlfn.XLOOKUP(Results!A8716,Geometry!$B$6:$B$10000,Geometry!$C$6:$C$10000)</f>
        <v>0</v>
      </c>
      <c r="T8716" s="69"/>
      <c r="U8716" s="69"/>
    </row>
    <row r="8717" spans="19:21" ht="15" customHeight="1" x14ac:dyDescent="0.2">
      <c r="S8717" s="69">
        <f>_xlfn.XLOOKUP(Results!A8717,Geometry!$B$6:$B$10000,Geometry!$C$6:$C$10000)</f>
        <v>0</v>
      </c>
      <c r="T8717" s="69"/>
      <c r="U8717" s="69"/>
    </row>
    <row r="8718" spans="19:21" ht="15" customHeight="1" x14ac:dyDescent="0.2">
      <c r="S8718" s="69">
        <f>_xlfn.XLOOKUP(Results!A8718,Geometry!$B$6:$B$10000,Geometry!$C$6:$C$10000)</f>
        <v>0</v>
      </c>
      <c r="T8718" s="69"/>
      <c r="U8718" s="69"/>
    </row>
    <row r="8719" spans="19:21" ht="15" customHeight="1" x14ac:dyDescent="0.2">
      <c r="S8719" s="69">
        <f>_xlfn.XLOOKUP(Results!A8719,Geometry!$B$6:$B$10000,Geometry!$C$6:$C$10000)</f>
        <v>0</v>
      </c>
      <c r="T8719" s="69"/>
      <c r="U8719" s="69"/>
    </row>
    <row r="8720" spans="19:21" ht="15" customHeight="1" x14ac:dyDescent="0.2">
      <c r="S8720" s="69">
        <f>_xlfn.XLOOKUP(Results!A8720,Geometry!$B$6:$B$10000,Geometry!$C$6:$C$10000)</f>
        <v>0</v>
      </c>
      <c r="T8720" s="69"/>
      <c r="U8720" s="69"/>
    </row>
    <row r="8721" spans="19:21" ht="15" customHeight="1" x14ac:dyDescent="0.2">
      <c r="S8721" s="69">
        <f>_xlfn.XLOOKUP(Results!A8721,Geometry!$B$6:$B$10000,Geometry!$C$6:$C$10000)</f>
        <v>0</v>
      </c>
      <c r="T8721" s="69"/>
      <c r="U8721" s="69"/>
    </row>
    <row r="8722" spans="19:21" ht="15" customHeight="1" x14ac:dyDescent="0.2">
      <c r="S8722" s="69">
        <f>_xlfn.XLOOKUP(Results!A8722,Geometry!$B$6:$B$10000,Geometry!$C$6:$C$10000)</f>
        <v>0</v>
      </c>
      <c r="T8722" s="69"/>
      <c r="U8722" s="69"/>
    </row>
    <row r="8723" spans="19:21" ht="15" customHeight="1" x14ac:dyDescent="0.2">
      <c r="S8723" s="69">
        <f>_xlfn.XLOOKUP(Results!A8723,Geometry!$B$6:$B$10000,Geometry!$C$6:$C$10000)</f>
        <v>0</v>
      </c>
      <c r="T8723" s="69"/>
      <c r="U8723" s="69"/>
    </row>
    <row r="8724" spans="19:21" ht="15" customHeight="1" x14ac:dyDescent="0.2">
      <c r="S8724" s="69">
        <f>_xlfn.XLOOKUP(Results!A8724,Geometry!$B$6:$B$10000,Geometry!$C$6:$C$10000)</f>
        <v>0</v>
      </c>
      <c r="T8724" s="69"/>
      <c r="U8724" s="69"/>
    </row>
    <row r="8725" spans="19:21" ht="15" customHeight="1" x14ac:dyDescent="0.2">
      <c r="S8725" s="69">
        <f>_xlfn.XLOOKUP(Results!A8725,Geometry!$B$6:$B$10000,Geometry!$C$6:$C$10000)</f>
        <v>0</v>
      </c>
      <c r="T8725" s="69"/>
      <c r="U8725" s="69"/>
    </row>
    <row r="8726" spans="19:21" ht="15" customHeight="1" x14ac:dyDescent="0.2">
      <c r="S8726" s="69">
        <f>_xlfn.XLOOKUP(Results!A8726,Geometry!$B$6:$B$10000,Geometry!$C$6:$C$10000)</f>
        <v>0</v>
      </c>
      <c r="T8726" s="69"/>
      <c r="U8726" s="69"/>
    </row>
    <row r="8727" spans="19:21" ht="15" customHeight="1" x14ac:dyDescent="0.2">
      <c r="S8727" s="69">
        <f>_xlfn.XLOOKUP(Results!A8727,Geometry!$B$6:$B$10000,Geometry!$C$6:$C$10000)</f>
        <v>0</v>
      </c>
      <c r="T8727" s="69"/>
      <c r="U8727" s="69"/>
    </row>
    <row r="8728" spans="19:21" ht="15" customHeight="1" x14ac:dyDescent="0.2">
      <c r="S8728" s="69">
        <f>_xlfn.XLOOKUP(Results!A8728,Geometry!$B$6:$B$10000,Geometry!$C$6:$C$10000)</f>
        <v>0</v>
      </c>
      <c r="T8728" s="69"/>
      <c r="U8728" s="69"/>
    </row>
    <row r="8729" spans="19:21" ht="15" customHeight="1" x14ac:dyDescent="0.2">
      <c r="S8729" s="69">
        <f>_xlfn.XLOOKUP(Results!A8729,Geometry!$B$6:$B$10000,Geometry!$C$6:$C$10000)</f>
        <v>0</v>
      </c>
      <c r="T8729" s="69"/>
      <c r="U8729" s="69"/>
    </row>
    <row r="8730" spans="19:21" ht="15" customHeight="1" x14ac:dyDescent="0.2">
      <c r="S8730" s="69">
        <f>_xlfn.XLOOKUP(Results!A8730,Geometry!$B$6:$B$10000,Geometry!$C$6:$C$10000)</f>
        <v>0</v>
      </c>
      <c r="T8730" s="69"/>
      <c r="U8730" s="69"/>
    </row>
    <row r="8731" spans="19:21" ht="15" customHeight="1" x14ac:dyDescent="0.2">
      <c r="S8731" s="69">
        <f>_xlfn.XLOOKUP(Results!A8731,Geometry!$B$6:$B$10000,Geometry!$C$6:$C$10000)</f>
        <v>0</v>
      </c>
      <c r="T8731" s="69"/>
      <c r="U8731" s="69"/>
    </row>
    <row r="8732" spans="19:21" ht="15" customHeight="1" x14ac:dyDescent="0.2">
      <c r="S8732" s="69">
        <f>_xlfn.XLOOKUP(Results!A8732,Geometry!$B$6:$B$10000,Geometry!$C$6:$C$10000)</f>
        <v>0</v>
      </c>
      <c r="T8732" s="69"/>
      <c r="U8732" s="69"/>
    </row>
    <row r="8733" spans="19:21" ht="15" customHeight="1" x14ac:dyDescent="0.2">
      <c r="S8733" s="69">
        <f>_xlfn.XLOOKUP(Results!A8733,Geometry!$B$6:$B$10000,Geometry!$C$6:$C$10000)</f>
        <v>0</v>
      </c>
      <c r="T8733" s="69"/>
      <c r="U8733" s="69"/>
    </row>
    <row r="8734" spans="19:21" ht="15" customHeight="1" x14ac:dyDescent="0.2">
      <c r="S8734" s="69">
        <f>_xlfn.XLOOKUP(Results!A8734,Geometry!$B$6:$B$10000,Geometry!$C$6:$C$10000)</f>
        <v>0</v>
      </c>
      <c r="T8734" s="69"/>
      <c r="U8734" s="69"/>
    </row>
    <row r="8735" spans="19:21" ht="15" customHeight="1" x14ac:dyDescent="0.2">
      <c r="S8735" s="69">
        <f>_xlfn.XLOOKUP(Results!A8735,Geometry!$B$6:$B$10000,Geometry!$C$6:$C$10000)</f>
        <v>0</v>
      </c>
      <c r="T8735" s="69"/>
      <c r="U8735" s="69"/>
    </row>
    <row r="8736" spans="19:21" ht="15" customHeight="1" x14ac:dyDescent="0.2">
      <c r="S8736" s="69">
        <f>_xlfn.XLOOKUP(Results!A8736,Geometry!$B$6:$B$10000,Geometry!$C$6:$C$10000)</f>
        <v>0</v>
      </c>
      <c r="T8736" s="69"/>
      <c r="U8736" s="69"/>
    </row>
    <row r="8737" spans="19:21" ht="15" customHeight="1" x14ac:dyDescent="0.2">
      <c r="S8737" s="69">
        <f>_xlfn.XLOOKUP(Results!A8737,Geometry!$B$6:$B$10000,Geometry!$C$6:$C$10000)</f>
        <v>0</v>
      </c>
      <c r="T8737" s="69"/>
      <c r="U8737" s="69"/>
    </row>
    <row r="8738" spans="19:21" ht="15" customHeight="1" x14ac:dyDescent="0.2">
      <c r="S8738" s="69">
        <f>_xlfn.XLOOKUP(Results!A8738,Geometry!$B$6:$B$10000,Geometry!$C$6:$C$10000)</f>
        <v>0</v>
      </c>
      <c r="T8738" s="69"/>
      <c r="U8738" s="69"/>
    </row>
    <row r="8739" spans="19:21" ht="15" customHeight="1" x14ac:dyDescent="0.2">
      <c r="S8739" s="69">
        <f>_xlfn.XLOOKUP(Results!A8739,Geometry!$B$6:$B$10000,Geometry!$C$6:$C$10000)</f>
        <v>0</v>
      </c>
      <c r="T8739" s="69"/>
      <c r="U8739" s="69"/>
    </row>
    <row r="8740" spans="19:21" ht="15" customHeight="1" x14ac:dyDescent="0.2">
      <c r="S8740" s="69">
        <f>_xlfn.XLOOKUP(Results!A8740,Geometry!$B$6:$B$10000,Geometry!$C$6:$C$10000)</f>
        <v>0</v>
      </c>
      <c r="T8740" s="69"/>
      <c r="U8740" s="69"/>
    </row>
    <row r="8741" spans="19:21" ht="15" customHeight="1" x14ac:dyDescent="0.2">
      <c r="S8741" s="69">
        <f>_xlfn.XLOOKUP(Results!A8741,Geometry!$B$6:$B$10000,Geometry!$C$6:$C$10000)</f>
        <v>0</v>
      </c>
      <c r="T8741" s="69"/>
      <c r="U8741" s="69"/>
    </row>
    <row r="8742" spans="19:21" ht="15" customHeight="1" x14ac:dyDescent="0.2">
      <c r="S8742" s="69">
        <f>_xlfn.XLOOKUP(Results!A8742,Geometry!$B$6:$B$10000,Geometry!$C$6:$C$10000)</f>
        <v>0</v>
      </c>
      <c r="T8742" s="69"/>
      <c r="U8742" s="69"/>
    </row>
    <row r="8743" spans="19:21" ht="15" customHeight="1" x14ac:dyDescent="0.2">
      <c r="S8743" s="69">
        <f>_xlfn.XLOOKUP(Results!A8743,Geometry!$B$6:$B$10000,Geometry!$C$6:$C$10000)</f>
        <v>0</v>
      </c>
      <c r="T8743" s="69"/>
      <c r="U8743" s="69"/>
    </row>
    <row r="8744" spans="19:21" ht="15" customHeight="1" x14ac:dyDescent="0.2">
      <c r="S8744" s="69">
        <f>_xlfn.XLOOKUP(Results!A8744,Geometry!$B$6:$B$10000,Geometry!$C$6:$C$10000)</f>
        <v>0</v>
      </c>
      <c r="T8744" s="69"/>
      <c r="U8744" s="69"/>
    </row>
    <row r="8745" spans="19:21" ht="15" customHeight="1" x14ac:dyDescent="0.2">
      <c r="S8745" s="69">
        <f>_xlfn.XLOOKUP(Results!A8745,Geometry!$B$6:$B$10000,Geometry!$C$6:$C$10000)</f>
        <v>0</v>
      </c>
      <c r="T8745" s="69"/>
      <c r="U8745" s="69"/>
    </row>
    <row r="8746" spans="19:21" ht="15" customHeight="1" x14ac:dyDescent="0.2">
      <c r="S8746" s="69">
        <f>_xlfn.XLOOKUP(Results!A8746,Geometry!$B$6:$B$10000,Geometry!$C$6:$C$10000)</f>
        <v>0</v>
      </c>
      <c r="T8746" s="69"/>
      <c r="U8746" s="69"/>
    </row>
    <row r="8747" spans="19:21" ht="15" customHeight="1" x14ac:dyDescent="0.2">
      <c r="S8747" s="69">
        <f>_xlfn.XLOOKUP(Results!A8747,Geometry!$B$6:$B$10000,Geometry!$C$6:$C$10000)</f>
        <v>0</v>
      </c>
      <c r="T8747" s="69"/>
      <c r="U8747" s="69"/>
    </row>
    <row r="8748" spans="19:21" ht="15" customHeight="1" x14ac:dyDescent="0.2">
      <c r="S8748" s="69">
        <f>_xlfn.XLOOKUP(Results!A8748,Geometry!$B$6:$B$10000,Geometry!$C$6:$C$10000)</f>
        <v>0</v>
      </c>
      <c r="T8748" s="69"/>
      <c r="U8748" s="69"/>
    </row>
    <row r="8749" spans="19:21" ht="15" customHeight="1" x14ac:dyDescent="0.2">
      <c r="S8749" s="69">
        <f>_xlfn.XLOOKUP(Results!A8749,Geometry!$B$6:$B$10000,Geometry!$C$6:$C$10000)</f>
        <v>0</v>
      </c>
      <c r="T8749" s="69"/>
      <c r="U8749" s="69"/>
    </row>
    <row r="8750" spans="19:21" ht="15" customHeight="1" x14ac:dyDescent="0.2">
      <c r="S8750" s="69">
        <f>_xlfn.XLOOKUP(Results!A8750,Geometry!$B$6:$B$10000,Geometry!$C$6:$C$10000)</f>
        <v>0</v>
      </c>
      <c r="T8750" s="69"/>
      <c r="U8750" s="69"/>
    </row>
    <row r="8751" spans="19:21" ht="15" customHeight="1" x14ac:dyDescent="0.2">
      <c r="S8751" s="69">
        <f>_xlfn.XLOOKUP(Results!A8751,Geometry!$B$6:$B$10000,Geometry!$C$6:$C$10000)</f>
        <v>0</v>
      </c>
      <c r="T8751" s="69"/>
      <c r="U8751" s="69"/>
    </row>
    <row r="8752" spans="19:21" ht="15" customHeight="1" x14ac:dyDescent="0.2">
      <c r="S8752" s="69">
        <f>_xlfn.XLOOKUP(Results!A8752,Geometry!$B$6:$B$10000,Geometry!$C$6:$C$10000)</f>
        <v>0</v>
      </c>
      <c r="T8752" s="69"/>
      <c r="U8752" s="69"/>
    </row>
    <row r="8753" spans="19:21" ht="15" customHeight="1" x14ac:dyDescent="0.2">
      <c r="S8753" s="69">
        <f>_xlfn.XLOOKUP(Results!A8753,Geometry!$B$6:$B$10000,Geometry!$C$6:$C$10000)</f>
        <v>0</v>
      </c>
      <c r="T8753" s="69"/>
      <c r="U8753" s="69"/>
    </row>
    <row r="8754" spans="19:21" ht="15" customHeight="1" x14ac:dyDescent="0.2">
      <c r="S8754" s="69">
        <f>_xlfn.XLOOKUP(Results!A8754,Geometry!$B$6:$B$10000,Geometry!$C$6:$C$10000)</f>
        <v>0</v>
      </c>
      <c r="T8754" s="69"/>
      <c r="U8754" s="69"/>
    </row>
    <row r="8755" spans="19:21" ht="15" customHeight="1" x14ac:dyDescent="0.2">
      <c r="S8755" s="69">
        <f>_xlfn.XLOOKUP(Results!A8755,Geometry!$B$6:$B$10000,Geometry!$C$6:$C$10000)</f>
        <v>0</v>
      </c>
      <c r="T8755" s="69"/>
      <c r="U8755" s="69"/>
    </row>
    <row r="8756" spans="19:21" ht="15" customHeight="1" x14ac:dyDescent="0.2">
      <c r="S8756" s="69">
        <f>_xlfn.XLOOKUP(Results!A8756,Geometry!$B$6:$B$10000,Geometry!$C$6:$C$10000)</f>
        <v>0</v>
      </c>
      <c r="T8756" s="69"/>
      <c r="U8756" s="69"/>
    </row>
    <row r="8757" spans="19:21" ht="15" customHeight="1" x14ac:dyDescent="0.2">
      <c r="S8757" s="69">
        <f>_xlfn.XLOOKUP(Results!A8757,Geometry!$B$6:$B$10000,Geometry!$C$6:$C$10000)</f>
        <v>0</v>
      </c>
      <c r="T8757" s="69"/>
      <c r="U8757" s="69"/>
    </row>
    <row r="8758" spans="19:21" ht="15" customHeight="1" x14ac:dyDescent="0.2">
      <c r="S8758" s="69">
        <f>_xlfn.XLOOKUP(Results!A8758,Geometry!$B$6:$B$10000,Geometry!$C$6:$C$10000)</f>
        <v>0</v>
      </c>
      <c r="T8758" s="69"/>
      <c r="U8758" s="69"/>
    </row>
    <row r="8759" spans="19:21" ht="15" customHeight="1" x14ac:dyDescent="0.2">
      <c r="S8759" s="69">
        <f>_xlfn.XLOOKUP(Results!A8759,Geometry!$B$6:$B$10000,Geometry!$C$6:$C$10000)</f>
        <v>0</v>
      </c>
      <c r="T8759" s="69"/>
      <c r="U8759" s="69"/>
    </row>
    <row r="8760" spans="19:21" ht="15" customHeight="1" x14ac:dyDescent="0.2">
      <c r="S8760" s="69">
        <f>_xlfn.XLOOKUP(Results!A8760,Geometry!$B$6:$B$10000,Geometry!$C$6:$C$10000)</f>
        <v>0</v>
      </c>
      <c r="T8760" s="69"/>
      <c r="U8760" s="69"/>
    </row>
    <row r="8761" spans="19:21" ht="15" customHeight="1" x14ac:dyDescent="0.2">
      <c r="S8761" s="69">
        <f>_xlfn.XLOOKUP(Results!A8761,Geometry!$B$6:$B$10000,Geometry!$C$6:$C$10000)</f>
        <v>0</v>
      </c>
      <c r="T8761" s="69"/>
      <c r="U8761" s="69"/>
    </row>
    <row r="8762" spans="19:21" ht="15" customHeight="1" x14ac:dyDescent="0.2">
      <c r="S8762" s="69">
        <f>_xlfn.XLOOKUP(Results!A8762,Geometry!$B$6:$B$10000,Geometry!$C$6:$C$10000)</f>
        <v>0</v>
      </c>
      <c r="T8762" s="69"/>
      <c r="U8762" s="69"/>
    </row>
    <row r="8763" spans="19:21" ht="15" customHeight="1" x14ac:dyDescent="0.2">
      <c r="S8763" s="69">
        <f>_xlfn.XLOOKUP(Results!A8763,Geometry!$B$6:$B$10000,Geometry!$C$6:$C$10000)</f>
        <v>0</v>
      </c>
      <c r="T8763" s="69"/>
      <c r="U8763" s="69"/>
    </row>
    <row r="8764" spans="19:21" ht="15" customHeight="1" x14ac:dyDescent="0.2">
      <c r="S8764" s="69">
        <f>_xlfn.XLOOKUP(Results!A8764,Geometry!$B$6:$B$10000,Geometry!$C$6:$C$10000)</f>
        <v>0</v>
      </c>
      <c r="T8764" s="69"/>
      <c r="U8764" s="69"/>
    </row>
    <row r="8765" spans="19:21" ht="15" customHeight="1" x14ac:dyDescent="0.2">
      <c r="S8765" s="69">
        <f>_xlfn.XLOOKUP(Results!A8765,Geometry!$B$6:$B$10000,Geometry!$C$6:$C$10000)</f>
        <v>0</v>
      </c>
      <c r="T8765" s="69"/>
      <c r="U8765" s="69"/>
    </row>
    <row r="8766" spans="19:21" ht="15" customHeight="1" x14ac:dyDescent="0.2">
      <c r="S8766" s="69">
        <f>_xlfn.XLOOKUP(Results!A8766,Geometry!$B$6:$B$10000,Geometry!$C$6:$C$10000)</f>
        <v>0</v>
      </c>
      <c r="T8766" s="69"/>
      <c r="U8766" s="69"/>
    </row>
    <row r="8767" spans="19:21" ht="15" customHeight="1" x14ac:dyDescent="0.2">
      <c r="S8767" s="69">
        <f>_xlfn.XLOOKUP(Results!A8767,Geometry!$B$6:$B$10000,Geometry!$C$6:$C$10000)</f>
        <v>0</v>
      </c>
      <c r="T8767" s="69"/>
      <c r="U8767" s="69"/>
    </row>
    <row r="8768" spans="19:21" ht="15" customHeight="1" x14ac:dyDescent="0.2">
      <c r="S8768" s="69">
        <f>_xlfn.XLOOKUP(Results!A8768,Geometry!$B$6:$B$10000,Geometry!$C$6:$C$10000)</f>
        <v>0</v>
      </c>
      <c r="T8768" s="69"/>
      <c r="U8768" s="69"/>
    </row>
    <row r="8769" spans="19:21" ht="15" customHeight="1" x14ac:dyDescent="0.2">
      <c r="S8769" s="69">
        <f>_xlfn.XLOOKUP(Results!A8769,Geometry!$B$6:$B$10000,Geometry!$C$6:$C$10000)</f>
        <v>0</v>
      </c>
      <c r="T8769" s="69"/>
      <c r="U8769" s="69"/>
    </row>
    <row r="8770" spans="19:21" ht="15" customHeight="1" x14ac:dyDescent="0.2">
      <c r="S8770" s="69">
        <f>_xlfn.XLOOKUP(Results!A8770,Geometry!$B$6:$B$10000,Geometry!$C$6:$C$10000)</f>
        <v>0</v>
      </c>
      <c r="T8770" s="69"/>
      <c r="U8770" s="69"/>
    </row>
    <row r="8771" spans="19:21" ht="15" customHeight="1" x14ac:dyDescent="0.2">
      <c r="S8771" s="69">
        <f>_xlfn.XLOOKUP(Results!A8771,Geometry!$B$6:$B$10000,Geometry!$C$6:$C$10000)</f>
        <v>0</v>
      </c>
      <c r="T8771" s="69"/>
      <c r="U8771" s="69"/>
    </row>
    <row r="8772" spans="19:21" ht="15" customHeight="1" x14ac:dyDescent="0.2">
      <c r="S8772" s="69">
        <f>_xlfn.XLOOKUP(Results!A8772,Geometry!$B$6:$B$10000,Geometry!$C$6:$C$10000)</f>
        <v>0</v>
      </c>
      <c r="T8772" s="69"/>
      <c r="U8772" s="69"/>
    </row>
    <row r="8773" spans="19:21" ht="15" customHeight="1" x14ac:dyDescent="0.2">
      <c r="S8773" s="69">
        <f>_xlfn.XLOOKUP(Results!A8773,Geometry!$B$6:$B$10000,Geometry!$C$6:$C$10000)</f>
        <v>0</v>
      </c>
      <c r="T8773" s="69"/>
      <c r="U8773" s="69"/>
    </row>
    <row r="8774" spans="19:21" ht="15" customHeight="1" x14ac:dyDescent="0.2">
      <c r="S8774" s="69">
        <f>_xlfn.XLOOKUP(Results!A8774,Geometry!$B$6:$B$10000,Geometry!$C$6:$C$10000)</f>
        <v>0</v>
      </c>
      <c r="T8774" s="69"/>
      <c r="U8774" s="69"/>
    </row>
    <row r="8775" spans="19:21" ht="15" customHeight="1" x14ac:dyDescent="0.2">
      <c r="S8775" s="69">
        <f>_xlfn.XLOOKUP(Results!A8775,Geometry!$B$6:$B$10000,Geometry!$C$6:$C$10000)</f>
        <v>0</v>
      </c>
      <c r="T8775" s="69"/>
      <c r="U8775" s="69"/>
    </row>
    <row r="8776" spans="19:21" ht="15" customHeight="1" x14ac:dyDescent="0.2">
      <c r="S8776" s="69">
        <f>_xlfn.XLOOKUP(Results!A8776,Geometry!$B$6:$B$10000,Geometry!$C$6:$C$10000)</f>
        <v>0</v>
      </c>
      <c r="T8776" s="69"/>
      <c r="U8776" s="69"/>
    </row>
    <row r="8777" spans="19:21" ht="15" customHeight="1" x14ac:dyDescent="0.2">
      <c r="S8777" s="69">
        <f>_xlfn.XLOOKUP(Results!A8777,Geometry!$B$6:$B$10000,Geometry!$C$6:$C$10000)</f>
        <v>0</v>
      </c>
      <c r="T8777" s="69"/>
      <c r="U8777" s="69"/>
    </row>
    <row r="8778" spans="19:21" ht="15" customHeight="1" x14ac:dyDescent="0.2">
      <c r="S8778" s="69">
        <f>_xlfn.XLOOKUP(Results!A8778,Geometry!$B$6:$B$10000,Geometry!$C$6:$C$10000)</f>
        <v>0</v>
      </c>
      <c r="T8778" s="69"/>
      <c r="U8778" s="69"/>
    </row>
    <row r="8779" spans="19:21" ht="15" customHeight="1" x14ac:dyDescent="0.2">
      <c r="S8779" s="69">
        <f>_xlfn.XLOOKUP(Results!A8779,Geometry!$B$6:$B$10000,Geometry!$C$6:$C$10000)</f>
        <v>0</v>
      </c>
      <c r="T8779" s="69"/>
      <c r="U8779" s="69"/>
    </row>
    <row r="8780" spans="19:21" ht="15" customHeight="1" x14ac:dyDescent="0.2">
      <c r="S8780" s="69">
        <f>_xlfn.XLOOKUP(Results!A8780,Geometry!$B$6:$B$10000,Geometry!$C$6:$C$10000)</f>
        <v>0</v>
      </c>
      <c r="T8780" s="69"/>
      <c r="U8780" s="69"/>
    </row>
    <row r="8781" spans="19:21" ht="15" customHeight="1" x14ac:dyDescent="0.2">
      <c r="S8781" s="69">
        <f>_xlfn.XLOOKUP(Results!A8781,Geometry!$B$6:$B$10000,Geometry!$C$6:$C$10000)</f>
        <v>0</v>
      </c>
      <c r="T8781" s="69"/>
      <c r="U8781" s="69"/>
    </row>
    <row r="8782" spans="19:21" ht="15" customHeight="1" x14ac:dyDescent="0.2">
      <c r="S8782" s="69">
        <f>_xlfn.XLOOKUP(Results!A8782,Geometry!$B$6:$B$10000,Geometry!$C$6:$C$10000)</f>
        <v>0</v>
      </c>
      <c r="T8782" s="69"/>
      <c r="U8782" s="69"/>
    </row>
    <row r="8783" spans="19:21" ht="15" customHeight="1" x14ac:dyDescent="0.2">
      <c r="S8783" s="69">
        <f>_xlfn.XLOOKUP(Results!A8783,Geometry!$B$6:$B$10000,Geometry!$C$6:$C$10000)</f>
        <v>0</v>
      </c>
      <c r="T8783" s="69"/>
      <c r="U8783" s="69"/>
    </row>
    <row r="8784" spans="19:21" ht="15" customHeight="1" x14ac:dyDescent="0.2">
      <c r="S8784" s="69">
        <f>_xlfn.XLOOKUP(Results!A8784,Geometry!$B$6:$B$10000,Geometry!$C$6:$C$10000)</f>
        <v>0</v>
      </c>
      <c r="T8784" s="69"/>
      <c r="U8784" s="69"/>
    </row>
    <row r="8785" spans="19:21" ht="15" customHeight="1" x14ac:dyDescent="0.2">
      <c r="S8785" s="69">
        <f>_xlfn.XLOOKUP(Results!A8785,Geometry!$B$6:$B$10000,Geometry!$C$6:$C$10000)</f>
        <v>0</v>
      </c>
      <c r="T8785" s="69"/>
      <c r="U8785" s="69"/>
    </row>
    <row r="8786" spans="19:21" ht="15" customHeight="1" x14ac:dyDescent="0.2">
      <c r="S8786" s="69">
        <f>_xlfn.XLOOKUP(Results!A8786,Geometry!$B$6:$B$10000,Geometry!$C$6:$C$10000)</f>
        <v>0</v>
      </c>
      <c r="T8786" s="69"/>
      <c r="U8786" s="69"/>
    </row>
    <row r="8787" spans="19:21" ht="15" customHeight="1" x14ac:dyDescent="0.2">
      <c r="S8787" s="69">
        <f>_xlfn.XLOOKUP(Results!A8787,Geometry!$B$6:$B$10000,Geometry!$C$6:$C$10000)</f>
        <v>0</v>
      </c>
      <c r="T8787" s="69"/>
      <c r="U8787" s="69"/>
    </row>
    <row r="8788" spans="19:21" ht="15" customHeight="1" x14ac:dyDescent="0.2">
      <c r="S8788" s="69">
        <f>_xlfn.XLOOKUP(Results!A8788,Geometry!$B$6:$B$10000,Geometry!$C$6:$C$10000)</f>
        <v>0</v>
      </c>
      <c r="T8788" s="69"/>
      <c r="U8788" s="69"/>
    </row>
    <row r="8789" spans="19:21" ht="15" customHeight="1" x14ac:dyDescent="0.2">
      <c r="S8789" s="69">
        <f>_xlfn.XLOOKUP(Results!A8789,Geometry!$B$6:$B$10000,Geometry!$C$6:$C$10000)</f>
        <v>0</v>
      </c>
      <c r="T8789" s="69"/>
      <c r="U8789" s="69"/>
    </row>
    <row r="8790" spans="19:21" ht="15" customHeight="1" x14ac:dyDescent="0.2">
      <c r="S8790" s="69">
        <f>_xlfn.XLOOKUP(Results!A8790,Geometry!$B$6:$B$10000,Geometry!$C$6:$C$10000)</f>
        <v>0</v>
      </c>
      <c r="T8790" s="69"/>
      <c r="U8790" s="69"/>
    </row>
    <row r="8791" spans="19:21" ht="15" customHeight="1" x14ac:dyDescent="0.2">
      <c r="S8791" s="69">
        <f>_xlfn.XLOOKUP(Results!A8791,Geometry!$B$6:$B$10000,Geometry!$C$6:$C$10000)</f>
        <v>0</v>
      </c>
      <c r="T8791" s="69"/>
      <c r="U8791" s="69"/>
    </row>
    <row r="8792" spans="19:21" ht="15" customHeight="1" x14ac:dyDescent="0.2">
      <c r="S8792" s="69">
        <f>_xlfn.XLOOKUP(Results!A8792,Geometry!$B$6:$B$10000,Geometry!$C$6:$C$10000)</f>
        <v>0</v>
      </c>
      <c r="T8792" s="69"/>
      <c r="U8792" s="69"/>
    </row>
    <row r="8793" spans="19:21" ht="15" customHeight="1" x14ac:dyDescent="0.2">
      <c r="S8793" s="69">
        <f>_xlfn.XLOOKUP(Results!A8793,Geometry!$B$6:$B$10000,Geometry!$C$6:$C$10000)</f>
        <v>0</v>
      </c>
      <c r="T8793" s="69"/>
      <c r="U8793" s="69"/>
    </row>
    <row r="8794" spans="19:21" ht="15" customHeight="1" x14ac:dyDescent="0.2">
      <c r="S8794" s="69">
        <f>_xlfn.XLOOKUP(Results!A8794,Geometry!$B$6:$B$10000,Geometry!$C$6:$C$10000)</f>
        <v>0</v>
      </c>
      <c r="T8794" s="69"/>
      <c r="U8794" s="69"/>
    </row>
    <row r="8795" spans="19:21" ht="15" customHeight="1" x14ac:dyDescent="0.2">
      <c r="S8795" s="69">
        <f>_xlfn.XLOOKUP(Results!A8795,Geometry!$B$6:$B$10000,Geometry!$C$6:$C$10000)</f>
        <v>0</v>
      </c>
      <c r="T8795" s="69"/>
      <c r="U8795" s="69"/>
    </row>
    <row r="8796" spans="19:21" ht="15" customHeight="1" x14ac:dyDescent="0.2">
      <c r="S8796" s="69">
        <f>_xlfn.XLOOKUP(Results!A8796,Geometry!$B$6:$B$10000,Geometry!$C$6:$C$10000)</f>
        <v>0</v>
      </c>
      <c r="T8796" s="69"/>
      <c r="U8796" s="69"/>
    </row>
    <row r="8797" spans="19:21" ht="15" customHeight="1" x14ac:dyDescent="0.2">
      <c r="S8797" s="69">
        <f>_xlfn.XLOOKUP(Results!A8797,Geometry!$B$6:$B$10000,Geometry!$C$6:$C$10000)</f>
        <v>0</v>
      </c>
      <c r="T8797" s="69"/>
      <c r="U8797" s="69"/>
    </row>
    <row r="8798" spans="19:21" ht="15" customHeight="1" x14ac:dyDescent="0.2">
      <c r="S8798" s="69">
        <f>_xlfn.XLOOKUP(Results!A8798,Geometry!$B$6:$B$10000,Geometry!$C$6:$C$10000)</f>
        <v>0</v>
      </c>
      <c r="T8798" s="69"/>
      <c r="U8798" s="69"/>
    </row>
    <row r="8799" spans="19:21" ht="15" customHeight="1" x14ac:dyDescent="0.2">
      <c r="S8799" s="69">
        <f>_xlfn.XLOOKUP(Results!A8799,Geometry!$B$6:$B$10000,Geometry!$C$6:$C$10000)</f>
        <v>0</v>
      </c>
      <c r="T8799" s="69"/>
      <c r="U8799" s="69"/>
    </row>
    <row r="8800" spans="19:21" ht="15" customHeight="1" x14ac:dyDescent="0.2">
      <c r="S8800" s="69">
        <f>_xlfn.XLOOKUP(Results!A8800,Geometry!$B$6:$B$10000,Geometry!$C$6:$C$10000)</f>
        <v>0</v>
      </c>
      <c r="T8800" s="69"/>
      <c r="U8800" s="69"/>
    </row>
    <row r="8801" spans="19:21" ht="15" customHeight="1" x14ac:dyDescent="0.2">
      <c r="S8801" s="69">
        <f>_xlfn.XLOOKUP(Results!A8801,Geometry!$B$6:$B$10000,Geometry!$C$6:$C$10000)</f>
        <v>0</v>
      </c>
      <c r="T8801" s="69"/>
      <c r="U8801" s="69"/>
    </row>
    <row r="8802" spans="19:21" ht="15" customHeight="1" x14ac:dyDescent="0.2">
      <c r="S8802" s="69">
        <f>_xlfn.XLOOKUP(Results!A8802,Geometry!$B$6:$B$10000,Geometry!$C$6:$C$10000)</f>
        <v>0</v>
      </c>
      <c r="T8802" s="69"/>
      <c r="U8802" s="69"/>
    </row>
    <row r="8803" spans="19:21" ht="15" customHeight="1" x14ac:dyDescent="0.2">
      <c r="S8803" s="69">
        <f>_xlfn.XLOOKUP(Results!A8803,Geometry!$B$6:$B$10000,Geometry!$C$6:$C$10000)</f>
        <v>0</v>
      </c>
      <c r="T8803" s="69"/>
      <c r="U8803" s="69"/>
    </row>
    <row r="8804" spans="19:21" ht="15" customHeight="1" x14ac:dyDescent="0.2">
      <c r="S8804" s="69">
        <f>_xlfn.XLOOKUP(Results!A8804,Geometry!$B$6:$B$10000,Geometry!$C$6:$C$10000)</f>
        <v>0</v>
      </c>
      <c r="T8804" s="69"/>
      <c r="U8804" s="69"/>
    </row>
    <row r="8805" spans="19:21" ht="15" customHeight="1" x14ac:dyDescent="0.2">
      <c r="S8805" s="69">
        <f>_xlfn.XLOOKUP(Results!A8805,Geometry!$B$6:$B$10000,Geometry!$C$6:$C$10000)</f>
        <v>0</v>
      </c>
      <c r="T8805" s="69"/>
      <c r="U8805" s="69"/>
    </row>
    <row r="8806" spans="19:21" ht="15" customHeight="1" x14ac:dyDescent="0.2">
      <c r="S8806" s="69">
        <f>_xlfn.XLOOKUP(Results!A8806,Geometry!$B$6:$B$10000,Geometry!$C$6:$C$10000)</f>
        <v>0</v>
      </c>
      <c r="T8806" s="69"/>
      <c r="U8806" s="69"/>
    </row>
    <row r="8807" spans="19:21" ht="15" customHeight="1" x14ac:dyDescent="0.2">
      <c r="S8807" s="69">
        <f>_xlfn.XLOOKUP(Results!A8807,Geometry!$B$6:$B$10000,Geometry!$C$6:$C$10000)</f>
        <v>0</v>
      </c>
      <c r="T8807" s="69"/>
      <c r="U8807" s="69"/>
    </row>
    <row r="8808" spans="19:21" ht="15" customHeight="1" x14ac:dyDescent="0.2">
      <c r="S8808" s="69">
        <f>_xlfn.XLOOKUP(Results!A8808,Geometry!$B$6:$B$10000,Geometry!$C$6:$C$10000)</f>
        <v>0</v>
      </c>
      <c r="T8808" s="69"/>
      <c r="U8808" s="69"/>
    </row>
    <row r="8809" spans="19:21" ht="15" customHeight="1" x14ac:dyDescent="0.2">
      <c r="S8809" s="69">
        <f>_xlfn.XLOOKUP(Results!A8809,Geometry!$B$6:$B$10000,Geometry!$C$6:$C$10000)</f>
        <v>0</v>
      </c>
      <c r="T8809" s="69"/>
      <c r="U8809" s="69"/>
    </row>
    <row r="8810" spans="19:21" ht="15" customHeight="1" x14ac:dyDescent="0.2">
      <c r="S8810" s="69">
        <f>_xlfn.XLOOKUP(Results!A8810,Geometry!$B$6:$B$10000,Geometry!$C$6:$C$10000)</f>
        <v>0</v>
      </c>
      <c r="T8810" s="69"/>
      <c r="U8810" s="69"/>
    </row>
    <row r="8811" spans="19:21" ht="15" customHeight="1" x14ac:dyDescent="0.2">
      <c r="S8811" s="69">
        <f>_xlfn.XLOOKUP(Results!A8811,Geometry!$B$6:$B$10000,Geometry!$C$6:$C$10000)</f>
        <v>0</v>
      </c>
      <c r="T8811" s="69"/>
      <c r="U8811" s="69"/>
    </row>
    <row r="8812" spans="19:21" ht="15" customHeight="1" x14ac:dyDescent="0.2">
      <c r="S8812" s="69">
        <f>_xlfn.XLOOKUP(Results!A8812,Geometry!$B$6:$B$10000,Geometry!$C$6:$C$10000)</f>
        <v>0</v>
      </c>
      <c r="T8812" s="69"/>
      <c r="U8812" s="69"/>
    </row>
    <row r="8813" spans="19:21" ht="15" customHeight="1" x14ac:dyDescent="0.2">
      <c r="S8813" s="69">
        <f>_xlfn.XLOOKUP(Results!A8813,Geometry!$B$6:$B$10000,Geometry!$C$6:$C$10000)</f>
        <v>0</v>
      </c>
      <c r="T8813" s="69"/>
      <c r="U8813" s="69"/>
    </row>
    <row r="8814" spans="19:21" ht="15" customHeight="1" x14ac:dyDescent="0.2">
      <c r="S8814" s="69">
        <f>_xlfn.XLOOKUP(Results!A8814,Geometry!$B$6:$B$10000,Geometry!$C$6:$C$10000)</f>
        <v>0</v>
      </c>
      <c r="T8814" s="69"/>
      <c r="U8814" s="69"/>
    </row>
    <row r="8815" spans="19:21" ht="15" customHeight="1" x14ac:dyDescent="0.2">
      <c r="S8815" s="69">
        <f>_xlfn.XLOOKUP(Results!A8815,Geometry!$B$6:$B$10000,Geometry!$C$6:$C$10000)</f>
        <v>0</v>
      </c>
      <c r="T8815" s="69"/>
      <c r="U8815" s="69"/>
    </row>
    <row r="8816" spans="19:21" ht="15" customHeight="1" x14ac:dyDescent="0.2">
      <c r="S8816" s="69">
        <f>_xlfn.XLOOKUP(Results!A8816,Geometry!$B$6:$B$10000,Geometry!$C$6:$C$10000)</f>
        <v>0</v>
      </c>
      <c r="T8816" s="69"/>
      <c r="U8816" s="69"/>
    </row>
    <row r="8817" spans="19:21" ht="15" customHeight="1" x14ac:dyDescent="0.2">
      <c r="S8817" s="69">
        <f>_xlfn.XLOOKUP(Results!A8817,Geometry!$B$6:$B$10000,Geometry!$C$6:$C$10000)</f>
        <v>0</v>
      </c>
      <c r="T8817" s="69"/>
      <c r="U8817" s="69"/>
    </row>
    <row r="8818" spans="19:21" ht="15" customHeight="1" x14ac:dyDescent="0.2">
      <c r="S8818" s="69">
        <f>_xlfn.XLOOKUP(Results!A8818,Geometry!$B$6:$B$10000,Geometry!$C$6:$C$10000)</f>
        <v>0</v>
      </c>
      <c r="T8818" s="69"/>
      <c r="U8818" s="69"/>
    </row>
    <row r="8819" spans="19:21" ht="15" customHeight="1" x14ac:dyDescent="0.2">
      <c r="S8819" s="69">
        <f>_xlfn.XLOOKUP(Results!A8819,Geometry!$B$6:$B$10000,Geometry!$C$6:$C$10000)</f>
        <v>0</v>
      </c>
      <c r="T8819" s="69"/>
      <c r="U8819" s="69"/>
    </row>
    <row r="8820" spans="19:21" ht="15" customHeight="1" x14ac:dyDescent="0.2">
      <c r="S8820" s="69">
        <f>_xlfn.XLOOKUP(Results!A8820,Geometry!$B$6:$B$10000,Geometry!$C$6:$C$10000)</f>
        <v>0</v>
      </c>
      <c r="T8820" s="69"/>
      <c r="U8820" s="69"/>
    </row>
    <row r="8821" spans="19:21" ht="15" customHeight="1" x14ac:dyDescent="0.2">
      <c r="S8821" s="69">
        <f>_xlfn.XLOOKUP(Results!A8821,Geometry!$B$6:$B$10000,Geometry!$C$6:$C$10000)</f>
        <v>0</v>
      </c>
      <c r="T8821" s="69"/>
      <c r="U8821" s="69"/>
    </row>
    <row r="8822" spans="19:21" ht="15" customHeight="1" x14ac:dyDescent="0.2">
      <c r="S8822" s="69">
        <f>_xlfn.XLOOKUP(Results!A8822,Geometry!$B$6:$B$10000,Geometry!$C$6:$C$10000)</f>
        <v>0</v>
      </c>
      <c r="T8822" s="69"/>
      <c r="U8822" s="69"/>
    </row>
    <row r="8823" spans="19:21" ht="15" customHeight="1" x14ac:dyDescent="0.2">
      <c r="S8823" s="69">
        <f>_xlfn.XLOOKUP(Results!A8823,Geometry!$B$6:$B$10000,Geometry!$C$6:$C$10000)</f>
        <v>0</v>
      </c>
      <c r="T8823" s="69"/>
      <c r="U8823" s="69"/>
    </row>
    <row r="8824" spans="19:21" ht="15" customHeight="1" x14ac:dyDescent="0.2">
      <c r="S8824" s="69">
        <f>_xlfn.XLOOKUP(Results!A8824,Geometry!$B$6:$B$10000,Geometry!$C$6:$C$10000)</f>
        <v>0</v>
      </c>
      <c r="T8824" s="69"/>
      <c r="U8824" s="69"/>
    </row>
    <row r="8825" spans="19:21" ht="15" customHeight="1" x14ac:dyDescent="0.2">
      <c r="S8825" s="69">
        <f>_xlfn.XLOOKUP(Results!A8825,Geometry!$B$6:$B$10000,Geometry!$C$6:$C$10000)</f>
        <v>0</v>
      </c>
      <c r="T8825" s="69"/>
      <c r="U8825" s="69"/>
    </row>
    <row r="8826" spans="19:21" ht="15" customHeight="1" x14ac:dyDescent="0.2">
      <c r="S8826" s="69">
        <f>_xlfn.XLOOKUP(Results!A8826,Geometry!$B$6:$B$10000,Geometry!$C$6:$C$10000)</f>
        <v>0</v>
      </c>
      <c r="T8826" s="69"/>
      <c r="U8826" s="69"/>
    </row>
    <row r="8827" spans="19:21" ht="15" customHeight="1" x14ac:dyDescent="0.2">
      <c r="S8827" s="69">
        <f>_xlfn.XLOOKUP(Results!A8827,Geometry!$B$6:$B$10000,Geometry!$C$6:$C$10000)</f>
        <v>0</v>
      </c>
      <c r="T8827" s="69"/>
      <c r="U8827" s="69"/>
    </row>
    <row r="8828" spans="19:21" ht="15" customHeight="1" x14ac:dyDescent="0.2">
      <c r="S8828" s="69">
        <f>_xlfn.XLOOKUP(Results!A8828,Geometry!$B$6:$B$10000,Geometry!$C$6:$C$10000)</f>
        <v>0</v>
      </c>
      <c r="T8828" s="69"/>
      <c r="U8828" s="69"/>
    </row>
    <row r="8829" spans="19:21" ht="15" customHeight="1" x14ac:dyDescent="0.2">
      <c r="S8829" s="69">
        <f>_xlfn.XLOOKUP(Results!A8829,Geometry!$B$6:$B$10000,Geometry!$C$6:$C$10000)</f>
        <v>0</v>
      </c>
      <c r="T8829" s="69"/>
      <c r="U8829" s="69"/>
    </row>
    <row r="8830" spans="19:21" ht="15" customHeight="1" x14ac:dyDescent="0.2">
      <c r="S8830" s="69">
        <f>_xlfn.XLOOKUP(Results!A8830,Geometry!$B$6:$B$10000,Geometry!$C$6:$C$10000)</f>
        <v>0</v>
      </c>
      <c r="T8830" s="69"/>
      <c r="U8830" s="69"/>
    </row>
    <row r="8831" spans="19:21" ht="15" customHeight="1" x14ac:dyDescent="0.2">
      <c r="S8831" s="69">
        <f>_xlfn.XLOOKUP(Results!A8831,Geometry!$B$6:$B$10000,Geometry!$C$6:$C$10000)</f>
        <v>0</v>
      </c>
      <c r="T8831" s="69"/>
      <c r="U8831" s="69"/>
    </row>
    <row r="8832" spans="19:21" ht="15" customHeight="1" x14ac:dyDescent="0.2">
      <c r="S8832" s="69">
        <f>_xlfn.XLOOKUP(Results!A8832,Geometry!$B$6:$B$10000,Geometry!$C$6:$C$10000)</f>
        <v>0</v>
      </c>
      <c r="T8832" s="69"/>
      <c r="U8832" s="69"/>
    </row>
    <row r="8833" spans="19:21" ht="15" customHeight="1" x14ac:dyDescent="0.2">
      <c r="S8833" s="69">
        <f>_xlfn.XLOOKUP(Results!A8833,Geometry!$B$6:$B$10000,Geometry!$C$6:$C$10000)</f>
        <v>0</v>
      </c>
      <c r="T8833" s="69"/>
      <c r="U8833" s="69"/>
    </row>
    <row r="8834" spans="19:21" ht="15" customHeight="1" x14ac:dyDescent="0.2">
      <c r="S8834" s="69">
        <f>_xlfn.XLOOKUP(Results!A8834,Geometry!$B$6:$B$10000,Geometry!$C$6:$C$10000)</f>
        <v>0</v>
      </c>
      <c r="T8834" s="69"/>
      <c r="U8834" s="69"/>
    </row>
    <row r="8835" spans="19:21" ht="15" customHeight="1" x14ac:dyDescent="0.2">
      <c r="S8835" s="69">
        <f>_xlfn.XLOOKUP(Results!A8835,Geometry!$B$6:$B$10000,Geometry!$C$6:$C$10000)</f>
        <v>0</v>
      </c>
      <c r="T8835" s="69"/>
      <c r="U8835" s="69"/>
    </row>
    <row r="8836" spans="19:21" ht="15" customHeight="1" x14ac:dyDescent="0.2">
      <c r="S8836" s="69">
        <f>_xlfn.XLOOKUP(Results!A8836,Geometry!$B$6:$B$10000,Geometry!$C$6:$C$10000)</f>
        <v>0</v>
      </c>
      <c r="T8836" s="69"/>
      <c r="U8836" s="69"/>
    </row>
    <row r="8837" spans="19:21" ht="15" customHeight="1" x14ac:dyDescent="0.2">
      <c r="S8837" s="69">
        <f>_xlfn.XLOOKUP(Results!A8837,Geometry!$B$6:$B$10000,Geometry!$C$6:$C$10000)</f>
        <v>0</v>
      </c>
      <c r="T8837" s="69"/>
      <c r="U8837" s="69"/>
    </row>
    <row r="8838" spans="19:21" ht="15" customHeight="1" x14ac:dyDescent="0.2">
      <c r="S8838" s="69">
        <f>_xlfn.XLOOKUP(Results!A8838,Geometry!$B$6:$B$10000,Geometry!$C$6:$C$10000)</f>
        <v>0</v>
      </c>
      <c r="T8838" s="69"/>
      <c r="U8838" s="69"/>
    </row>
    <row r="8839" spans="19:21" ht="15" customHeight="1" x14ac:dyDescent="0.2">
      <c r="S8839" s="69">
        <f>_xlfn.XLOOKUP(Results!A8839,Geometry!$B$6:$B$10000,Geometry!$C$6:$C$10000)</f>
        <v>0</v>
      </c>
      <c r="T8839" s="69"/>
      <c r="U8839" s="69"/>
    </row>
    <row r="8840" spans="19:21" ht="15" customHeight="1" x14ac:dyDescent="0.2">
      <c r="S8840" s="69">
        <f>_xlfn.XLOOKUP(Results!A8840,Geometry!$B$6:$B$10000,Geometry!$C$6:$C$10000)</f>
        <v>0</v>
      </c>
      <c r="T8840" s="69"/>
      <c r="U8840" s="69"/>
    </row>
    <row r="8841" spans="19:21" ht="15" customHeight="1" x14ac:dyDescent="0.2">
      <c r="S8841" s="69">
        <f>_xlfn.XLOOKUP(Results!A8841,Geometry!$B$6:$B$10000,Geometry!$C$6:$C$10000)</f>
        <v>0</v>
      </c>
      <c r="T8841" s="69"/>
      <c r="U8841" s="69"/>
    </row>
    <row r="8842" spans="19:21" ht="15" customHeight="1" x14ac:dyDescent="0.2">
      <c r="S8842" s="69">
        <f>_xlfn.XLOOKUP(Results!A8842,Geometry!$B$6:$B$10000,Geometry!$C$6:$C$10000)</f>
        <v>0</v>
      </c>
      <c r="T8842" s="69"/>
      <c r="U8842" s="69"/>
    </row>
    <row r="8843" spans="19:21" ht="15" customHeight="1" x14ac:dyDescent="0.2">
      <c r="S8843" s="69">
        <f>_xlfn.XLOOKUP(Results!A8843,Geometry!$B$6:$B$10000,Geometry!$C$6:$C$10000)</f>
        <v>0</v>
      </c>
      <c r="T8843" s="69"/>
      <c r="U8843" s="69"/>
    </row>
    <row r="8844" spans="19:21" ht="15" customHeight="1" x14ac:dyDescent="0.2">
      <c r="S8844" s="69">
        <f>_xlfn.XLOOKUP(Results!A8844,Geometry!$B$6:$B$10000,Geometry!$C$6:$C$10000)</f>
        <v>0</v>
      </c>
      <c r="T8844" s="69"/>
      <c r="U8844" s="69"/>
    </row>
    <row r="8845" spans="19:21" ht="15" customHeight="1" x14ac:dyDescent="0.2">
      <c r="S8845" s="69">
        <f>_xlfn.XLOOKUP(Results!A8845,Geometry!$B$6:$B$10000,Geometry!$C$6:$C$10000)</f>
        <v>0</v>
      </c>
      <c r="T8845" s="69"/>
      <c r="U8845" s="69"/>
    </row>
    <row r="8846" spans="19:21" ht="15" customHeight="1" x14ac:dyDescent="0.2">
      <c r="S8846" s="69">
        <f>_xlfn.XLOOKUP(Results!A8846,Geometry!$B$6:$B$10000,Geometry!$C$6:$C$10000)</f>
        <v>0</v>
      </c>
      <c r="T8846" s="69"/>
      <c r="U8846" s="69"/>
    </row>
    <row r="8847" spans="19:21" ht="15" customHeight="1" x14ac:dyDescent="0.2">
      <c r="S8847" s="69">
        <f>_xlfn.XLOOKUP(Results!A8847,Geometry!$B$6:$B$10000,Geometry!$C$6:$C$10000)</f>
        <v>0</v>
      </c>
      <c r="T8847" s="69"/>
      <c r="U8847" s="69"/>
    </row>
    <row r="8848" spans="19:21" ht="15" customHeight="1" x14ac:dyDescent="0.2">
      <c r="S8848" s="69">
        <f>_xlfn.XLOOKUP(Results!A8848,Geometry!$B$6:$B$10000,Geometry!$C$6:$C$10000)</f>
        <v>0</v>
      </c>
      <c r="T8848" s="69"/>
      <c r="U8848" s="69"/>
    </row>
    <row r="8849" spans="19:21" ht="15" customHeight="1" x14ac:dyDescent="0.2">
      <c r="S8849" s="69">
        <f>_xlfn.XLOOKUP(Results!A8849,Geometry!$B$6:$B$10000,Geometry!$C$6:$C$10000)</f>
        <v>0</v>
      </c>
      <c r="T8849" s="69"/>
      <c r="U8849" s="69"/>
    </row>
    <row r="8850" spans="19:21" ht="15" customHeight="1" x14ac:dyDescent="0.2">
      <c r="S8850" s="69">
        <f>_xlfn.XLOOKUP(Results!A8850,Geometry!$B$6:$B$10000,Geometry!$C$6:$C$10000)</f>
        <v>0</v>
      </c>
      <c r="T8850" s="69"/>
      <c r="U8850" s="69"/>
    </row>
    <row r="8851" spans="19:21" ht="15" customHeight="1" x14ac:dyDescent="0.2">
      <c r="S8851" s="69">
        <f>_xlfn.XLOOKUP(Results!A8851,Geometry!$B$6:$B$10000,Geometry!$C$6:$C$10000)</f>
        <v>0</v>
      </c>
      <c r="T8851" s="69"/>
      <c r="U8851" s="69"/>
    </row>
    <row r="8852" spans="19:21" ht="15" customHeight="1" x14ac:dyDescent="0.2">
      <c r="S8852" s="69">
        <f>_xlfn.XLOOKUP(Results!A8852,Geometry!$B$6:$B$10000,Geometry!$C$6:$C$10000)</f>
        <v>0</v>
      </c>
      <c r="T8852" s="69"/>
      <c r="U8852" s="69"/>
    </row>
    <row r="8853" spans="19:21" ht="15" customHeight="1" x14ac:dyDescent="0.2">
      <c r="S8853" s="69">
        <f>_xlfn.XLOOKUP(Results!A8853,Geometry!$B$6:$B$10000,Geometry!$C$6:$C$10000)</f>
        <v>0</v>
      </c>
      <c r="T8853" s="69"/>
      <c r="U8853" s="69"/>
    </row>
    <row r="8854" spans="19:21" ht="15" customHeight="1" x14ac:dyDescent="0.2">
      <c r="S8854" s="69">
        <f>_xlfn.XLOOKUP(Results!A8854,Geometry!$B$6:$B$10000,Geometry!$C$6:$C$10000)</f>
        <v>0</v>
      </c>
      <c r="T8854" s="69"/>
      <c r="U8854" s="69"/>
    </row>
    <row r="8855" spans="19:21" ht="15" customHeight="1" x14ac:dyDescent="0.2">
      <c r="S8855" s="69">
        <f>_xlfn.XLOOKUP(Results!A8855,Geometry!$B$6:$B$10000,Geometry!$C$6:$C$10000)</f>
        <v>0</v>
      </c>
      <c r="T8855" s="69"/>
      <c r="U8855" s="69"/>
    </row>
    <row r="8856" spans="19:21" ht="15" customHeight="1" x14ac:dyDescent="0.2">
      <c r="S8856" s="69">
        <f>_xlfn.XLOOKUP(Results!A8856,Geometry!$B$6:$B$10000,Geometry!$C$6:$C$10000)</f>
        <v>0</v>
      </c>
      <c r="T8856" s="69"/>
      <c r="U8856" s="69"/>
    </row>
    <row r="8857" spans="19:21" ht="15" customHeight="1" x14ac:dyDescent="0.2">
      <c r="S8857" s="69">
        <f>_xlfn.XLOOKUP(Results!A8857,Geometry!$B$6:$B$10000,Geometry!$C$6:$C$10000)</f>
        <v>0</v>
      </c>
      <c r="T8857" s="69"/>
      <c r="U8857" s="69"/>
    </row>
    <row r="8858" spans="19:21" ht="15" customHeight="1" x14ac:dyDescent="0.2">
      <c r="S8858" s="69">
        <f>_xlfn.XLOOKUP(Results!A8858,Geometry!$B$6:$B$10000,Geometry!$C$6:$C$10000)</f>
        <v>0</v>
      </c>
      <c r="T8858" s="69"/>
      <c r="U8858" s="69"/>
    </row>
    <row r="8859" spans="19:21" ht="15" customHeight="1" x14ac:dyDescent="0.2">
      <c r="S8859" s="69">
        <f>_xlfn.XLOOKUP(Results!A8859,Geometry!$B$6:$B$10000,Geometry!$C$6:$C$10000)</f>
        <v>0</v>
      </c>
      <c r="T8859" s="69"/>
      <c r="U8859" s="69"/>
    </row>
    <row r="8860" spans="19:21" ht="15" customHeight="1" x14ac:dyDescent="0.2">
      <c r="S8860" s="69">
        <f>_xlfn.XLOOKUP(Results!A8860,Geometry!$B$6:$B$10000,Geometry!$C$6:$C$10000)</f>
        <v>0</v>
      </c>
      <c r="T8860" s="69"/>
      <c r="U8860" s="69"/>
    </row>
    <row r="8861" spans="19:21" ht="15" customHeight="1" x14ac:dyDescent="0.2">
      <c r="S8861" s="69">
        <f>_xlfn.XLOOKUP(Results!A8861,Geometry!$B$6:$B$10000,Geometry!$C$6:$C$10000)</f>
        <v>0</v>
      </c>
      <c r="T8861" s="69"/>
      <c r="U8861" s="69"/>
    </row>
    <row r="8862" spans="19:21" ht="15" customHeight="1" x14ac:dyDescent="0.2">
      <c r="S8862" s="69">
        <f>_xlfn.XLOOKUP(Results!A8862,Geometry!$B$6:$B$10000,Geometry!$C$6:$C$10000)</f>
        <v>0</v>
      </c>
      <c r="T8862" s="69"/>
      <c r="U8862" s="69"/>
    </row>
    <row r="8863" spans="19:21" ht="15" customHeight="1" x14ac:dyDescent="0.2">
      <c r="S8863" s="69">
        <f>_xlfn.XLOOKUP(Results!A8863,Geometry!$B$6:$B$10000,Geometry!$C$6:$C$10000)</f>
        <v>0</v>
      </c>
      <c r="T8863" s="69"/>
      <c r="U8863" s="69"/>
    </row>
    <row r="8864" spans="19:21" ht="15" customHeight="1" x14ac:dyDescent="0.2">
      <c r="S8864" s="69">
        <f>_xlfn.XLOOKUP(Results!A8864,Geometry!$B$6:$B$10000,Geometry!$C$6:$C$10000)</f>
        <v>0</v>
      </c>
      <c r="T8864" s="69"/>
      <c r="U8864" s="69"/>
    </row>
    <row r="8865" spans="19:21" ht="15" customHeight="1" x14ac:dyDescent="0.2">
      <c r="S8865" s="69">
        <f>_xlfn.XLOOKUP(Results!A8865,Geometry!$B$6:$B$10000,Geometry!$C$6:$C$10000)</f>
        <v>0</v>
      </c>
      <c r="T8865" s="69"/>
      <c r="U8865" s="69"/>
    </row>
    <row r="8866" spans="19:21" ht="15" customHeight="1" x14ac:dyDescent="0.2">
      <c r="S8866" s="69">
        <f>_xlfn.XLOOKUP(Results!A8866,Geometry!$B$6:$B$10000,Geometry!$C$6:$C$10000)</f>
        <v>0</v>
      </c>
      <c r="T8866" s="69"/>
      <c r="U8866" s="69"/>
    </row>
    <row r="8867" spans="19:21" ht="15" customHeight="1" x14ac:dyDescent="0.2">
      <c r="S8867" s="69">
        <f>_xlfn.XLOOKUP(Results!A8867,Geometry!$B$6:$B$10000,Geometry!$C$6:$C$10000)</f>
        <v>0</v>
      </c>
      <c r="T8867" s="69"/>
      <c r="U8867" s="69"/>
    </row>
    <row r="8868" spans="19:21" ht="15" customHeight="1" x14ac:dyDescent="0.2">
      <c r="S8868" s="69">
        <f>_xlfn.XLOOKUP(Results!A8868,Geometry!$B$6:$B$10000,Geometry!$C$6:$C$10000)</f>
        <v>0</v>
      </c>
      <c r="T8868" s="69"/>
      <c r="U8868" s="69"/>
    </row>
    <row r="8869" spans="19:21" ht="15" customHeight="1" x14ac:dyDescent="0.2">
      <c r="S8869" s="69">
        <f>_xlfn.XLOOKUP(Results!A8869,Geometry!$B$6:$B$10000,Geometry!$C$6:$C$10000)</f>
        <v>0</v>
      </c>
      <c r="T8869" s="69"/>
      <c r="U8869" s="69"/>
    </row>
    <row r="8870" spans="19:21" ht="15" customHeight="1" x14ac:dyDescent="0.2">
      <c r="S8870" s="69">
        <f>_xlfn.XLOOKUP(Results!A8870,Geometry!$B$6:$B$10000,Geometry!$C$6:$C$10000)</f>
        <v>0</v>
      </c>
      <c r="T8870" s="69"/>
      <c r="U8870" s="69"/>
    </row>
    <row r="8871" spans="19:21" ht="15" customHeight="1" x14ac:dyDescent="0.2">
      <c r="S8871" s="69">
        <f>_xlfn.XLOOKUP(Results!A8871,Geometry!$B$6:$B$10000,Geometry!$C$6:$C$10000)</f>
        <v>0</v>
      </c>
      <c r="T8871" s="69"/>
      <c r="U8871" s="69"/>
    </row>
    <row r="8872" spans="19:21" ht="15" customHeight="1" x14ac:dyDescent="0.2">
      <c r="S8872" s="69">
        <f>_xlfn.XLOOKUP(Results!A8872,Geometry!$B$6:$B$10000,Geometry!$C$6:$C$10000)</f>
        <v>0</v>
      </c>
      <c r="T8872" s="69"/>
      <c r="U8872" s="69"/>
    </row>
    <row r="8873" spans="19:21" ht="15" customHeight="1" x14ac:dyDescent="0.2">
      <c r="S8873" s="69">
        <f>_xlfn.XLOOKUP(Results!A8873,Geometry!$B$6:$B$10000,Geometry!$C$6:$C$10000)</f>
        <v>0</v>
      </c>
      <c r="T8873" s="69"/>
      <c r="U8873" s="69"/>
    </row>
    <row r="8874" spans="19:21" ht="15" customHeight="1" x14ac:dyDescent="0.2">
      <c r="S8874" s="69">
        <f>_xlfn.XLOOKUP(Results!A8874,Geometry!$B$6:$B$10000,Geometry!$C$6:$C$10000)</f>
        <v>0</v>
      </c>
      <c r="T8874" s="69"/>
      <c r="U8874" s="69"/>
    </row>
    <row r="8875" spans="19:21" ht="15" customHeight="1" x14ac:dyDescent="0.2">
      <c r="S8875" s="69">
        <f>_xlfn.XLOOKUP(Results!A8875,Geometry!$B$6:$B$10000,Geometry!$C$6:$C$10000)</f>
        <v>0</v>
      </c>
      <c r="T8875" s="69"/>
      <c r="U8875" s="69"/>
    </row>
    <row r="8876" spans="19:21" ht="15" customHeight="1" x14ac:dyDescent="0.2">
      <c r="S8876" s="69">
        <f>_xlfn.XLOOKUP(Results!A8876,Geometry!$B$6:$B$10000,Geometry!$C$6:$C$10000)</f>
        <v>0</v>
      </c>
      <c r="T8876" s="69"/>
      <c r="U8876" s="69"/>
    </row>
    <row r="8877" spans="19:21" ht="15" customHeight="1" x14ac:dyDescent="0.2">
      <c r="S8877" s="69">
        <f>_xlfn.XLOOKUP(Results!A8877,Geometry!$B$6:$B$10000,Geometry!$C$6:$C$10000)</f>
        <v>0</v>
      </c>
      <c r="T8877" s="69"/>
      <c r="U8877" s="69"/>
    </row>
    <row r="8878" spans="19:21" ht="15" customHeight="1" x14ac:dyDescent="0.2">
      <c r="S8878" s="69">
        <f>_xlfn.XLOOKUP(Results!A8878,Geometry!$B$6:$B$10000,Geometry!$C$6:$C$10000)</f>
        <v>0</v>
      </c>
      <c r="T8878" s="69"/>
      <c r="U8878" s="69"/>
    </row>
    <row r="8879" spans="19:21" ht="15" customHeight="1" x14ac:dyDescent="0.2">
      <c r="S8879" s="69">
        <f>_xlfn.XLOOKUP(Results!A8879,Geometry!$B$6:$B$10000,Geometry!$C$6:$C$10000)</f>
        <v>0</v>
      </c>
      <c r="T8879" s="69"/>
      <c r="U8879" s="69"/>
    </row>
    <row r="8880" spans="19:21" ht="15" customHeight="1" x14ac:dyDescent="0.2">
      <c r="S8880" s="69">
        <f>_xlfn.XLOOKUP(Results!A8880,Geometry!$B$6:$B$10000,Geometry!$C$6:$C$10000)</f>
        <v>0</v>
      </c>
      <c r="T8880" s="69"/>
      <c r="U8880" s="69"/>
    </row>
    <row r="8881" spans="19:21" ht="15" customHeight="1" x14ac:dyDescent="0.2">
      <c r="S8881" s="69">
        <f>_xlfn.XLOOKUP(Results!A8881,Geometry!$B$6:$B$10000,Geometry!$C$6:$C$10000)</f>
        <v>0</v>
      </c>
      <c r="T8881" s="69"/>
      <c r="U8881" s="69"/>
    </row>
    <row r="8882" spans="19:21" ht="15" customHeight="1" x14ac:dyDescent="0.2">
      <c r="S8882" s="69">
        <f>_xlfn.XLOOKUP(Results!A8882,Geometry!$B$6:$B$10000,Geometry!$C$6:$C$10000)</f>
        <v>0</v>
      </c>
      <c r="T8882" s="69"/>
      <c r="U8882" s="69"/>
    </row>
    <row r="8883" spans="19:21" ht="15" customHeight="1" x14ac:dyDescent="0.2">
      <c r="S8883" s="69">
        <f>_xlfn.XLOOKUP(Results!A8883,Geometry!$B$6:$B$10000,Geometry!$C$6:$C$10000)</f>
        <v>0</v>
      </c>
      <c r="T8883" s="69"/>
      <c r="U8883" s="69"/>
    </row>
    <row r="8884" spans="19:21" ht="15" customHeight="1" x14ac:dyDescent="0.2">
      <c r="S8884" s="69">
        <f>_xlfn.XLOOKUP(Results!A8884,Geometry!$B$6:$B$10000,Geometry!$C$6:$C$10000)</f>
        <v>0</v>
      </c>
      <c r="T8884" s="69"/>
      <c r="U8884" s="69"/>
    </row>
    <row r="8885" spans="19:21" ht="15" customHeight="1" x14ac:dyDescent="0.2">
      <c r="S8885" s="69">
        <f>_xlfn.XLOOKUP(Results!A8885,Geometry!$B$6:$B$10000,Geometry!$C$6:$C$10000)</f>
        <v>0</v>
      </c>
      <c r="T8885" s="69"/>
      <c r="U8885" s="69"/>
    </row>
    <row r="8886" spans="19:21" ht="15" customHeight="1" x14ac:dyDescent="0.2">
      <c r="S8886" s="69">
        <f>_xlfn.XLOOKUP(Results!A8886,Geometry!$B$6:$B$10000,Geometry!$C$6:$C$10000)</f>
        <v>0</v>
      </c>
      <c r="T8886" s="69"/>
      <c r="U8886" s="69"/>
    </row>
    <row r="8887" spans="19:21" ht="15" customHeight="1" x14ac:dyDescent="0.2">
      <c r="S8887" s="69">
        <f>_xlfn.XLOOKUP(Results!A8887,Geometry!$B$6:$B$10000,Geometry!$C$6:$C$10000)</f>
        <v>0</v>
      </c>
      <c r="T8887" s="69"/>
      <c r="U8887" s="69"/>
    </row>
    <row r="8888" spans="19:21" ht="15" customHeight="1" x14ac:dyDescent="0.2">
      <c r="S8888" s="69">
        <f>_xlfn.XLOOKUP(Results!A8888,Geometry!$B$6:$B$10000,Geometry!$C$6:$C$10000)</f>
        <v>0</v>
      </c>
      <c r="T8888" s="69"/>
      <c r="U8888" s="69"/>
    </row>
    <row r="8889" spans="19:21" ht="15" customHeight="1" x14ac:dyDescent="0.2">
      <c r="S8889" s="69">
        <f>_xlfn.XLOOKUP(Results!A8889,Geometry!$B$6:$B$10000,Geometry!$C$6:$C$10000)</f>
        <v>0</v>
      </c>
      <c r="T8889" s="69"/>
      <c r="U8889" s="69"/>
    </row>
    <row r="8890" spans="19:21" ht="15" customHeight="1" x14ac:dyDescent="0.2">
      <c r="S8890" s="69">
        <f>_xlfn.XLOOKUP(Results!A8890,Geometry!$B$6:$B$10000,Geometry!$C$6:$C$10000)</f>
        <v>0</v>
      </c>
      <c r="T8890" s="69"/>
      <c r="U8890" s="69"/>
    </row>
    <row r="8891" spans="19:21" ht="15" customHeight="1" x14ac:dyDescent="0.2">
      <c r="S8891" s="69">
        <f>_xlfn.XLOOKUP(Results!A8891,Geometry!$B$6:$B$10000,Geometry!$C$6:$C$10000)</f>
        <v>0</v>
      </c>
      <c r="T8891" s="69"/>
      <c r="U8891" s="69"/>
    </row>
    <row r="8892" spans="19:21" ht="15" customHeight="1" x14ac:dyDescent="0.2">
      <c r="S8892" s="69">
        <f>_xlfn.XLOOKUP(Results!A8892,Geometry!$B$6:$B$10000,Geometry!$C$6:$C$10000)</f>
        <v>0</v>
      </c>
      <c r="T8892" s="69"/>
      <c r="U8892" s="69"/>
    </row>
    <row r="8893" spans="19:21" ht="15" customHeight="1" x14ac:dyDescent="0.2">
      <c r="S8893" s="69">
        <f>_xlfn.XLOOKUP(Results!A8893,Geometry!$B$6:$B$10000,Geometry!$C$6:$C$10000)</f>
        <v>0</v>
      </c>
      <c r="T8893" s="69"/>
      <c r="U8893" s="69"/>
    </row>
    <row r="8894" spans="19:21" ht="15" customHeight="1" x14ac:dyDescent="0.2">
      <c r="S8894" s="69">
        <f>_xlfn.XLOOKUP(Results!A8894,Geometry!$B$6:$B$10000,Geometry!$C$6:$C$10000)</f>
        <v>0</v>
      </c>
      <c r="T8894" s="69"/>
      <c r="U8894" s="69"/>
    </row>
    <row r="8895" spans="19:21" ht="15" customHeight="1" x14ac:dyDescent="0.2">
      <c r="S8895" s="69">
        <f>_xlfn.XLOOKUP(Results!A8895,Geometry!$B$6:$B$10000,Geometry!$C$6:$C$10000)</f>
        <v>0</v>
      </c>
      <c r="T8895" s="69"/>
      <c r="U8895" s="69"/>
    </row>
    <row r="8896" spans="19:21" ht="15" customHeight="1" x14ac:dyDescent="0.2">
      <c r="S8896" s="69">
        <f>_xlfn.XLOOKUP(Results!A8896,Geometry!$B$6:$B$10000,Geometry!$C$6:$C$10000)</f>
        <v>0</v>
      </c>
      <c r="T8896" s="69"/>
      <c r="U8896" s="69"/>
    </row>
    <row r="8897" spans="19:21" ht="15" customHeight="1" x14ac:dyDescent="0.2">
      <c r="S8897" s="69">
        <f>_xlfn.XLOOKUP(Results!A8897,Geometry!$B$6:$B$10000,Geometry!$C$6:$C$10000)</f>
        <v>0</v>
      </c>
      <c r="T8897" s="69"/>
      <c r="U8897" s="69"/>
    </row>
    <row r="8898" spans="19:21" ht="15" customHeight="1" x14ac:dyDescent="0.2">
      <c r="S8898" s="69">
        <f>_xlfn.XLOOKUP(Results!A8898,Geometry!$B$6:$B$10000,Geometry!$C$6:$C$10000)</f>
        <v>0</v>
      </c>
      <c r="T8898" s="69"/>
      <c r="U8898" s="69"/>
    </row>
    <row r="8899" spans="19:21" ht="15" customHeight="1" x14ac:dyDescent="0.2">
      <c r="S8899" s="69">
        <f>_xlfn.XLOOKUP(Results!A8899,Geometry!$B$6:$B$10000,Geometry!$C$6:$C$10000)</f>
        <v>0</v>
      </c>
      <c r="T8899" s="69"/>
      <c r="U8899" s="69"/>
    </row>
    <row r="8900" spans="19:21" ht="15" customHeight="1" x14ac:dyDescent="0.2">
      <c r="S8900" s="69">
        <f>_xlfn.XLOOKUP(Results!A8900,Geometry!$B$6:$B$10000,Geometry!$C$6:$C$10000)</f>
        <v>0</v>
      </c>
      <c r="T8900" s="69"/>
      <c r="U8900" s="69"/>
    </row>
    <row r="8901" spans="19:21" ht="15" customHeight="1" x14ac:dyDescent="0.2">
      <c r="S8901" s="69">
        <f>_xlfn.XLOOKUP(Results!A8901,Geometry!$B$6:$B$10000,Geometry!$C$6:$C$10000)</f>
        <v>0</v>
      </c>
      <c r="T8901" s="69"/>
      <c r="U8901" s="69"/>
    </row>
    <row r="8902" spans="19:21" ht="15" customHeight="1" x14ac:dyDescent="0.2">
      <c r="S8902" s="69">
        <f>_xlfn.XLOOKUP(Results!A8902,Geometry!$B$6:$B$10000,Geometry!$C$6:$C$10000)</f>
        <v>0</v>
      </c>
      <c r="T8902" s="69"/>
      <c r="U8902" s="69"/>
    </row>
    <row r="8903" spans="19:21" ht="15" customHeight="1" x14ac:dyDescent="0.2">
      <c r="S8903" s="69">
        <f>_xlfn.XLOOKUP(Results!A8903,Geometry!$B$6:$B$10000,Geometry!$C$6:$C$10000)</f>
        <v>0</v>
      </c>
      <c r="T8903" s="69"/>
      <c r="U8903" s="69"/>
    </row>
    <row r="8904" spans="19:21" ht="15" customHeight="1" x14ac:dyDescent="0.2">
      <c r="S8904" s="69">
        <f>_xlfn.XLOOKUP(Results!A8904,Geometry!$B$6:$B$10000,Geometry!$C$6:$C$10000)</f>
        <v>0</v>
      </c>
      <c r="T8904" s="69"/>
      <c r="U8904" s="69"/>
    </row>
    <row r="8905" spans="19:21" ht="15" customHeight="1" x14ac:dyDescent="0.2">
      <c r="S8905" s="69">
        <f>_xlfn.XLOOKUP(Results!A8905,Geometry!$B$6:$B$10000,Geometry!$C$6:$C$10000)</f>
        <v>0</v>
      </c>
      <c r="T8905" s="69"/>
      <c r="U8905" s="69"/>
    </row>
    <row r="8906" spans="19:21" ht="15" customHeight="1" x14ac:dyDescent="0.2">
      <c r="S8906" s="69">
        <f>_xlfn.XLOOKUP(Results!A8906,Geometry!$B$6:$B$10000,Geometry!$C$6:$C$10000)</f>
        <v>0</v>
      </c>
      <c r="T8906" s="69"/>
      <c r="U8906" s="69"/>
    </row>
    <row r="8907" spans="19:21" ht="15" customHeight="1" x14ac:dyDescent="0.2">
      <c r="S8907" s="69">
        <f>_xlfn.XLOOKUP(Results!A8907,Geometry!$B$6:$B$10000,Geometry!$C$6:$C$10000)</f>
        <v>0</v>
      </c>
      <c r="T8907" s="69"/>
      <c r="U8907" s="69"/>
    </row>
    <row r="8908" spans="19:21" ht="15" customHeight="1" x14ac:dyDescent="0.2">
      <c r="S8908" s="69">
        <f>_xlfn.XLOOKUP(Results!A8908,Geometry!$B$6:$B$10000,Geometry!$C$6:$C$10000)</f>
        <v>0</v>
      </c>
      <c r="T8908" s="69"/>
      <c r="U8908" s="69"/>
    </row>
    <row r="8909" spans="19:21" ht="15" customHeight="1" x14ac:dyDescent="0.2">
      <c r="S8909" s="69">
        <f>_xlfn.XLOOKUP(Results!A8909,Geometry!$B$6:$B$10000,Geometry!$C$6:$C$10000)</f>
        <v>0</v>
      </c>
      <c r="T8909" s="69"/>
      <c r="U8909" s="69"/>
    </row>
    <row r="8910" spans="19:21" ht="15" customHeight="1" x14ac:dyDescent="0.2">
      <c r="S8910" s="69">
        <f>_xlfn.XLOOKUP(Results!A8910,Geometry!$B$6:$B$10000,Geometry!$C$6:$C$10000)</f>
        <v>0</v>
      </c>
      <c r="T8910" s="69"/>
      <c r="U8910" s="69"/>
    </row>
    <row r="8911" spans="19:21" ht="15" customHeight="1" x14ac:dyDescent="0.2">
      <c r="S8911" s="69">
        <f>_xlfn.XLOOKUP(Results!A8911,Geometry!$B$6:$B$10000,Geometry!$C$6:$C$10000)</f>
        <v>0</v>
      </c>
      <c r="T8911" s="69"/>
      <c r="U8911" s="69"/>
    </row>
    <row r="8912" spans="19:21" ht="15" customHeight="1" x14ac:dyDescent="0.2">
      <c r="S8912" s="69">
        <f>_xlfn.XLOOKUP(Results!A8912,Geometry!$B$6:$B$10000,Geometry!$C$6:$C$10000)</f>
        <v>0</v>
      </c>
      <c r="T8912" s="69"/>
      <c r="U8912" s="69"/>
    </row>
    <row r="8913" spans="19:21" ht="15" customHeight="1" x14ac:dyDescent="0.2">
      <c r="S8913" s="69">
        <f>_xlfn.XLOOKUP(Results!A8913,Geometry!$B$6:$B$10000,Geometry!$C$6:$C$10000)</f>
        <v>0</v>
      </c>
      <c r="T8913" s="69"/>
      <c r="U8913" s="69"/>
    </row>
    <row r="8914" spans="19:21" ht="15" customHeight="1" x14ac:dyDescent="0.2">
      <c r="S8914" s="69">
        <f>_xlfn.XLOOKUP(Results!A8914,Geometry!$B$6:$B$10000,Geometry!$C$6:$C$10000)</f>
        <v>0</v>
      </c>
      <c r="T8914" s="69"/>
      <c r="U8914" s="69"/>
    </row>
    <row r="8915" spans="19:21" ht="15" customHeight="1" x14ac:dyDescent="0.2">
      <c r="S8915" s="69">
        <f>_xlfn.XLOOKUP(Results!A8915,Geometry!$B$6:$B$10000,Geometry!$C$6:$C$10000)</f>
        <v>0</v>
      </c>
      <c r="T8915" s="69"/>
      <c r="U8915" s="69"/>
    </row>
    <row r="8916" spans="19:21" ht="15" customHeight="1" x14ac:dyDescent="0.2">
      <c r="S8916" s="69">
        <f>_xlfn.XLOOKUP(Results!A8916,Geometry!$B$6:$B$10000,Geometry!$C$6:$C$10000)</f>
        <v>0</v>
      </c>
      <c r="T8916" s="69"/>
      <c r="U8916" s="69"/>
    </row>
    <row r="8917" spans="19:21" ht="15" customHeight="1" x14ac:dyDescent="0.2">
      <c r="S8917" s="69">
        <f>_xlfn.XLOOKUP(Results!A8917,Geometry!$B$6:$B$10000,Geometry!$C$6:$C$10000)</f>
        <v>0</v>
      </c>
      <c r="T8917" s="69"/>
      <c r="U8917" s="69"/>
    </row>
    <row r="8918" spans="19:21" ht="15" customHeight="1" x14ac:dyDescent="0.2">
      <c r="S8918" s="69">
        <f>_xlfn.XLOOKUP(Results!A8918,Geometry!$B$6:$B$10000,Geometry!$C$6:$C$10000)</f>
        <v>0</v>
      </c>
      <c r="T8918" s="69"/>
      <c r="U8918" s="69"/>
    </row>
    <row r="8919" spans="19:21" ht="15" customHeight="1" x14ac:dyDescent="0.2">
      <c r="S8919" s="69">
        <f>_xlfn.XLOOKUP(Results!A8919,Geometry!$B$6:$B$10000,Geometry!$C$6:$C$10000)</f>
        <v>0</v>
      </c>
      <c r="T8919" s="69"/>
      <c r="U8919" s="69"/>
    </row>
    <row r="8920" spans="19:21" ht="15" customHeight="1" x14ac:dyDescent="0.2">
      <c r="S8920" s="69">
        <f>_xlfn.XLOOKUP(Results!A8920,Geometry!$B$6:$B$10000,Geometry!$C$6:$C$10000)</f>
        <v>0</v>
      </c>
      <c r="T8920" s="69"/>
      <c r="U8920" s="69"/>
    </row>
    <row r="8921" spans="19:21" ht="15" customHeight="1" x14ac:dyDescent="0.2">
      <c r="S8921" s="69">
        <f>_xlfn.XLOOKUP(Results!A8921,Geometry!$B$6:$B$10000,Geometry!$C$6:$C$10000)</f>
        <v>0</v>
      </c>
      <c r="T8921" s="69"/>
      <c r="U8921" s="69"/>
    </row>
    <row r="8922" spans="19:21" ht="15" customHeight="1" x14ac:dyDescent="0.2">
      <c r="S8922" s="69">
        <f>_xlfn.XLOOKUP(Results!A8922,Geometry!$B$6:$B$10000,Geometry!$C$6:$C$10000)</f>
        <v>0</v>
      </c>
      <c r="T8922" s="69"/>
      <c r="U8922" s="69"/>
    </row>
    <row r="8923" spans="19:21" ht="15" customHeight="1" x14ac:dyDescent="0.2">
      <c r="S8923" s="69">
        <f>_xlfn.XLOOKUP(Results!A8923,Geometry!$B$6:$B$10000,Geometry!$C$6:$C$10000)</f>
        <v>0</v>
      </c>
      <c r="T8923" s="69"/>
      <c r="U8923" s="69"/>
    </row>
    <row r="8924" spans="19:21" ht="15" customHeight="1" x14ac:dyDescent="0.2">
      <c r="S8924" s="69">
        <f>_xlfn.XLOOKUP(Results!A8924,Geometry!$B$6:$B$10000,Geometry!$C$6:$C$10000)</f>
        <v>0</v>
      </c>
      <c r="T8924" s="69"/>
      <c r="U8924" s="69"/>
    </row>
    <row r="8925" spans="19:21" ht="15" customHeight="1" x14ac:dyDescent="0.2">
      <c r="S8925" s="69">
        <f>_xlfn.XLOOKUP(Results!A8925,Geometry!$B$6:$B$10000,Geometry!$C$6:$C$10000)</f>
        <v>0</v>
      </c>
      <c r="T8925" s="69"/>
      <c r="U8925" s="69"/>
    </row>
    <row r="8926" spans="19:21" ht="15" customHeight="1" x14ac:dyDescent="0.2">
      <c r="S8926" s="69">
        <f>_xlfn.XLOOKUP(Results!A8926,Geometry!$B$6:$B$10000,Geometry!$C$6:$C$10000)</f>
        <v>0</v>
      </c>
      <c r="T8926" s="69"/>
      <c r="U8926" s="69"/>
    </row>
    <row r="8927" spans="19:21" ht="15" customHeight="1" x14ac:dyDescent="0.2">
      <c r="S8927" s="69">
        <f>_xlfn.XLOOKUP(Results!A8927,Geometry!$B$6:$B$10000,Geometry!$C$6:$C$10000)</f>
        <v>0</v>
      </c>
      <c r="T8927" s="69"/>
      <c r="U8927" s="69"/>
    </row>
    <row r="8928" spans="19:21" ht="15" customHeight="1" x14ac:dyDescent="0.2">
      <c r="S8928" s="69">
        <f>_xlfn.XLOOKUP(Results!A8928,Geometry!$B$6:$B$10000,Geometry!$C$6:$C$10000)</f>
        <v>0</v>
      </c>
      <c r="T8928" s="69"/>
      <c r="U8928" s="69"/>
    </row>
    <row r="8929" spans="19:21" ht="15" customHeight="1" x14ac:dyDescent="0.2">
      <c r="S8929" s="69">
        <f>_xlfn.XLOOKUP(Results!A8929,Geometry!$B$6:$B$10000,Geometry!$C$6:$C$10000)</f>
        <v>0</v>
      </c>
      <c r="T8929" s="69"/>
      <c r="U8929" s="69"/>
    </row>
    <row r="8930" spans="19:21" ht="15" customHeight="1" x14ac:dyDescent="0.2">
      <c r="S8930" s="69">
        <f>_xlfn.XLOOKUP(Results!A8930,Geometry!$B$6:$B$10000,Geometry!$C$6:$C$10000)</f>
        <v>0</v>
      </c>
      <c r="T8930" s="69"/>
      <c r="U8930" s="69"/>
    </row>
    <row r="8931" spans="19:21" ht="15" customHeight="1" x14ac:dyDescent="0.2">
      <c r="S8931" s="69">
        <f>_xlfn.XLOOKUP(Results!A8931,Geometry!$B$6:$B$10000,Geometry!$C$6:$C$10000)</f>
        <v>0</v>
      </c>
      <c r="T8931" s="69"/>
      <c r="U8931" s="69"/>
    </row>
    <row r="8932" spans="19:21" ht="15" customHeight="1" x14ac:dyDescent="0.2">
      <c r="S8932" s="69">
        <f>_xlfn.XLOOKUP(Results!A8932,Geometry!$B$6:$B$10000,Geometry!$C$6:$C$10000)</f>
        <v>0</v>
      </c>
      <c r="T8932" s="69"/>
      <c r="U8932" s="69"/>
    </row>
    <row r="8933" spans="19:21" ht="15" customHeight="1" x14ac:dyDescent="0.2">
      <c r="S8933" s="69">
        <f>_xlfn.XLOOKUP(Results!A8933,Geometry!$B$6:$B$10000,Geometry!$C$6:$C$10000)</f>
        <v>0</v>
      </c>
      <c r="T8933" s="69"/>
      <c r="U8933" s="69"/>
    </row>
    <row r="8934" spans="19:21" ht="15" customHeight="1" x14ac:dyDescent="0.2">
      <c r="S8934" s="69">
        <f>_xlfn.XLOOKUP(Results!A8934,Geometry!$B$6:$B$10000,Geometry!$C$6:$C$10000)</f>
        <v>0</v>
      </c>
      <c r="T8934" s="69"/>
      <c r="U8934" s="69"/>
    </row>
    <row r="8935" spans="19:21" ht="15" customHeight="1" x14ac:dyDescent="0.2">
      <c r="S8935" s="69">
        <f>_xlfn.XLOOKUP(Results!A8935,Geometry!$B$6:$B$10000,Geometry!$C$6:$C$10000)</f>
        <v>0</v>
      </c>
      <c r="T8935" s="69"/>
      <c r="U8935" s="69"/>
    </row>
    <row r="8936" spans="19:21" ht="15" customHeight="1" x14ac:dyDescent="0.2">
      <c r="S8936" s="69">
        <f>_xlfn.XLOOKUP(Results!A8936,Geometry!$B$6:$B$10000,Geometry!$C$6:$C$10000)</f>
        <v>0</v>
      </c>
      <c r="T8936" s="69"/>
      <c r="U8936" s="69"/>
    </row>
    <row r="8937" spans="19:21" ht="15" customHeight="1" x14ac:dyDescent="0.2">
      <c r="S8937" s="69">
        <f>_xlfn.XLOOKUP(Results!A8937,Geometry!$B$6:$B$10000,Geometry!$C$6:$C$10000)</f>
        <v>0</v>
      </c>
      <c r="T8937" s="69"/>
      <c r="U8937" s="69"/>
    </row>
    <row r="8938" spans="19:21" ht="15" customHeight="1" x14ac:dyDescent="0.2">
      <c r="S8938" s="69">
        <f>_xlfn.XLOOKUP(Results!A8938,Geometry!$B$6:$B$10000,Geometry!$C$6:$C$10000)</f>
        <v>0</v>
      </c>
      <c r="T8938" s="69"/>
      <c r="U8938" s="69"/>
    </row>
    <row r="8939" spans="19:21" ht="15" customHeight="1" x14ac:dyDescent="0.2">
      <c r="S8939" s="69">
        <f>_xlfn.XLOOKUP(Results!A8939,Geometry!$B$6:$B$10000,Geometry!$C$6:$C$10000)</f>
        <v>0</v>
      </c>
      <c r="T8939" s="69"/>
      <c r="U8939" s="69"/>
    </row>
    <row r="8940" spans="19:21" ht="15" customHeight="1" x14ac:dyDescent="0.2">
      <c r="S8940" s="69">
        <f>_xlfn.XLOOKUP(Results!A8940,Geometry!$B$6:$B$10000,Geometry!$C$6:$C$10000)</f>
        <v>0</v>
      </c>
      <c r="T8940" s="69"/>
      <c r="U8940" s="69"/>
    </row>
    <row r="8941" spans="19:21" ht="15" customHeight="1" x14ac:dyDescent="0.2">
      <c r="S8941" s="69">
        <f>_xlfn.XLOOKUP(Results!A8941,Geometry!$B$6:$B$10000,Geometry!$C$6:$C$10000)</f>
        <v>0</v>
      </c>
      <c r="T8941" s="69"/>
      <c r="U8941" s="69"/>
    </row>
    <row r="8942" spans="19:21" ht="15" customHeight="1" x14ac:dyDescent="0.2">
      <c r="S8942" s="69">
        <f>_xlfn.XLOOKUP(Results!A8942,Geometry!$B$6:$B$10000,Geometry!$C$6:$C$10000)</f>
        <v>0</v>
      </c>
      <c r="T8942" s="69"/>
      <c r="U8942" s="69"/>
    </row>
    <row r="8943" spans="19:21" ht="15" customHeight="1" x14ac:dyDescent="0.2">
      <c r="S8943" s="69">
        <f>_xlfn.XLOOKUP(Results!A8943,Geometry!$B$6:$B$10000,Geometry!$C$6:$C$10000)</f>
        <v>0</v>
      </c>
      <c r="T8943" s="69"/>
      <c r="U8943" s="69"/>
    </row>
    <row r="8944" spans="19:21" ht="15" customHeight="1" x14ac:dyDescent="0.2">
      <c r="S8944" s="69">
        <f>_xlfn.XLOOKUP(Results!A8944,Geometry!$B$6:$B$10000,Geometry!$C$6:$C$10000)</f>
        <v>0</v>
      </c>
      <c r="T8944" s="69"/>
      <c r="U8944" s="69"/>
    </row>
    <row r="8945" spans="19:21" ht="15" customHeight="1" x14ac:dyDescent="0.2">
      <c r="S8945" s="69">
        <f>_xlfn.XLOOKUP(Results!A8945,Geometry!$B$6:$B$10000,Geometry!$C$6:$C$10000)</f>
        <v>0</v>
      </c>
      <c r="T8945" s="69"/>
      <c r="U8945" s="69"/>
    </row>
    <row r="8946" spans="19:21" ht="15" customHeight="1" x14ac:dyDescent="0.2">
      <c r="S8946" s="69">
        <f>_xlfn.XLOOKUP(Results!A8946,Geometry!$B$6:$B$10000,Geometry!$C$6:$C$10000)</f>
        <v>0</v>
      </c>
      <c r="T8946" s="69"/>
      <c r="U8946" s="69"/>
    </row>
    <row r="8947" spans="19:21" ht="15" customHeight="1" x14ac:dyDescent="0.2">
      <c r="S8947" s="69">
        <f>_xlfn.XLOOKUP(Results!A8947,Geometry!$B$6:$B$10000,Geometry!$C$6:$C$10000)</f>
        <v>0</v>
      </c>
      <c r="T8947" s="69"/>
      <c r="U8947" s="69"/>
    </row>
    <row r="8948" spans="19:21" ht="15" customHeight="1" x14ac:dyDescent="0.2">
      <c r="S8948" s="69">
        <f>_xlfn.XLOOKUP(Results!A8948,Geometry!$B$6:$B$10000,Geometry!$C$6:$C$10000)</f>
        <v>0</v>
      </c>
      <c r="T8948" s="69"/>
      <c r="U8948" s="69"/>
    </row>
    <row r="8949" spans="19:21" ht="15" customHeight="1" x14ac:dyDescent="0.2">
      <c r="S8949" s="69">
        <f>_xlfn.XLOOKUP(Results!A8949,Geometry!$B$6:$B$10000,Geometry!$C$6:$C$10000)</f>
        <v>0</v>
      </c>
      <c r="T8949" s="69"/>
      <c r="U8949" s="69"/>
    </row>
    <row r="8950" spans="19:21" ht="15" customHeight="1" x14ac:dyDescent="0.2">
      <c r="S8950" s="69">
        <f>_xlfn.XLOOKUP(Results!A8950,Geometry!$B$6:$B$10000,Geometry!$C$6:$C$10000)</f>
        <v>0</v>
      </c>
      <c r="T8950" s="69"/>
      <c r="U8950" s="69"/>
    </row>
    <row r="8951" spans="19:21" ht="15" customHeight="1" x14ac:dyDescent="0.2">
      <c r="S8951" s="69">
        <f>_xlfn.XLOOKUP(Results!A8951,Geometry!$B$6:$B$10000,Geometry!$C$6:$C$10000)</f>
        <v>0</v>
      </c>
      <c r="T8951" s="69"/>
      <c r="U8951" s="69"/>
    </row>
    <row r="8952" spans="19:21" ht="15" customHeight="1" x14ac:dyDescent="0.2">
      <c r="S8952" s="69">
        <f>_xlfn.XLOOKUP(Results!A8952,Geometry!$B$6:$B$10000,Geometry!$C$6:$C$10000)</f>
        <v>0</v>
      </c>
      <c r="T8952" s="69"/>
      <c r="U8952" s="69"/>
    </row>
    <row r="8953" spans="19:21" ht="15" customHeight="1" x14ac:dyDescent="0.2">
      <c r="S8953" s="69">
        <f>_xlfn.XLOOKUP(Results!A8953,Geometry!$B$6:$B$10000,Geometry!$C$6:$C$10000)</f>
        <v>0</v>
      </c>
      <c r="T8953" s="69"/>
      <c r="U8953" s="69"/>
    </row>
    <row r="8954" spans="19:21" ht="15" customHeight="1" x14ac:dyDescent="0.2">
      <c r="S8954" s="69">
        <f>_xlfn.XLOOKUP(Results!A8954,Geometry!$B$6:$B$10000,Geometry!$C$6:$C$10000)</f>
        <v>0</v>
      </c>
      <c r="T8954" s="69"/>
      <c r="U8954" s="69"/>
    </row>
    <row r="8955" spans="19:21" ht="15" customHeight="1" x14ac:dyDescent="0.2">
      <c r="S8955" s="69">
        <f>_xlfn.XLOOKUP(Results!A8955,Geometry!$B$6:$B$10000,Geometry!$C$6:$C$10000)</f>
        <v>0</v>
      </c>
      <c r="T8955" s="69"/>
      <c r="U8955" s="69"/>
    </row>
    <row r="8956" spans="19:21" ht="15" customHeight="1" x14ac:dyDescent="0.2">
      <c r="S8956" s="69">
        <f>_xlfn.XLOOKUP(Results!A8956,Geometry!$B$6:$B$10000,Geometry!$C$6:$C$10000)</f>
        <v>0</v>
      </c>
      <c r="T8956" s="69"/>
      <c r="U8956" s="69"/>
    </row>
    <row r="8957" spans="19:21" ht="15" customHeight="1" x14ac:dyDescent="0.2">
      <c r="S8957" s="69">
        <f>_xlfn.XLOOKUP(Results!A8957,Geometry!$B$6:$B$10000,Geometry!$C$6:$C$10000)</f>
        <v>0</v>
      </c>
      <c r="T8957" s="69"/>
      <c r="U8957" s="69"/>
    </row>
    <row r="8958" spans="19:21" ht="15" customHeight="1" x14ac:dyDescent="0.2">
      <c r="S8958" s="69">
        <f>_xlfn.XLOOKUP(Results!A8958,Geometry!$B$6:$B$10000,Geometry!$C$6:$C$10000)</f>
        <v>0</v>
      </c>
      <c r="T8958" s="69"/>
      <c r="U8958" s="69"/>
    </row>
    <row r="8959" spans="19:21" ht="15" customHeight="1" x14ac:dyDescent="0.2">
      <c r="S8959" s="69">
        <f>_xlfn.XLOOKUP(Results!A8959,Geometry!$B$6:$B$10000,Geometry!$C$6:$C$10000)</f>
        <v>0</v>
      </c>
      <c r="T8959" s="69"/>
      <c r="U8959" s="69"/>
    </row>
    <row r="8960" spans="19:21" ht="15" customHeight="1" x14ac:dyDescent="0.2">
      <c r="S8960" s="69">
        <f>_xlfn.XLOOKUP(Results!A8960,Geometry!$B$6:$B$10000,Geometry!$C$6:$C$10000)</f>
        <v>0</v>
      </c>
      <c r="T8960" s="69"/>
      <c r="U8960" s="69"/>
    </row>
    <row r="8961" spans="19:21" ht="15" customHeight="1" x14ac:dyDescent="0.2">
      <c r="S8961" s="69">
        <f>_xlfn.XLOOKUP(Results!A8961,Geometry!$B$6:$B$10000,Geometry!$C$6:$C$10000)</f>
        <v>0</v>
      </c>
      <c r="T8961" s="69"/>
      <c r="U8961" s="69"/>
    </row>
    <row r="8962" spans="19:21" ht="15" customHeight="1" x14ac:dyDescent="0.2">
      <c r="S8962" s="69">
        <f>_xlfn.XLOOKUP(Results!A8962,Geometry!$B$6:$B$10000,Geometry!$C$6:$C$10000)</f>
        <v>0</v>
      </c>
      <c r="T8962" s="69"/>
      <c r="U8962" s="69"/>
    </row>
    <row r="8963" spans="19:21" ht="15" customHeight="1" x14ac:dyDescent="0.2">
      <c r="S8963" s="69">
        <f>_xlfn.XLOOKUP(Results!A8963,Geometry!$B$6:$B$10000,Geometry!$C$6:$C$10000)</f>
        <v>0</v>
      </c>
      <c r="T8963" s="69"/>
      <c r="U8963" s="69"/>
    </row>
    <row r="8964" spans="19:21" ht="15" customHeight="1" x14ac:dyDescent="0.2">
      <c r="S8964" s="69">
        <f>_xlfn.XLOOKUP(Results!A8964,Geometry!$B$6:$B$10000,Geometry!$C$6:$C$10000)</f>
        <v>0</v>
      </c>
      <c r="T8964" s="69"/>
      <c r="U8964" s="69"/>
    </row>
    <row r="8965" spans="19:21" ht="15" customHeight="1" x14ac:dyDescent="0.2">
      <c r="S8965" s="69">
        <f>_xlfn.XLOOKUP(Results!A8965,Geometry!$B$6:$B$10000,Geometry!$C$6:$C$10000)</f>
        <v>0</v>
      </c>
      <c r="T8965" s="69"/>
      <c r="U8965" s="69"/>
    </row>
    <row r="8966" spans="19:21" ht="15" customHeight="1" x14ac:dyDescent="0.2">
      <c r="S8966" s="69">
        <f>_xlfn.XLOOKUP(Results!A8966,Geometry!$B$6:$B$10000,Geometry!$C$6:$C$10000)</f>
        <v>0</v>
      </c>
      <c r="T8966" s="69"/>
      <c r="U8966" s="69"/>
    </row>
    <row r="8967" spans="19:21" ht="15" customHeight="1" x14ac:dyDescent="0.2">
      <c r="S8967" s="69">
        <f>_xlfn.XLOOKUP(Results!A8967,Geometry!$B$6:$B$10000,Geometry!$C$6:$C$10000)</f>
        <v>0</v>
      </c>
      <c r="T8967" s="69"/>
      <c r="U8967" s="69"/>
    </row>
    <row r="8968" spans="19:21" ht="15" customHeight="1" x14ac:dyDescent="0.2">
      <c r="S8968" s="69">
        <f>_xlfn.XLOOKUP(Results!A8968,Geometry!$B$6:$B$10000,Geometry!$C$6:$C$10000)</f>
        <v>0</v>
      </c>
      <c r="T8968" s="69"/>
      <c r="U8968" s="69"/>
    </row>
    <row r="8969" spans="19:21" ht="15" customHeight="1" x14ac:dyDescent="0.2">
      <c r="S8969" s="69">
        <f>_xlfn.XLOOKUP(Results!A8969,Geometry!$B$6:$B$10000,Geometry!$C$6:$C$10000)</f>
        <v>0</v>
      </c>
      <c r="T8969" s="69"/>
      <c r="U8969" s="69"/>
    </row>
    <row r="8970" spans="19:21" ht="15" customHeight="1" x14ac:dyDescent="0.2">
      <c r="S8970" s="69">
        <f>_xlfn.XLOOKUP(Results!A8970,Geometry!$B$6:$B$10000,Geometry!$C$6:$C$10000)</f>
        <v>0</v>
      </c>
      <c r="T8970" s="69"/>
      <c r="U8970" s="69"/>
    </row>
    <row r="8971" spans="19:21" ht="15" customHeight="1" x14ac:dyDescent="0.2">
      <c r="S8971" s="69">
        <f>_xlfn.XLOOKUP(Results!A8971,Geometry!$B$6:$B$10000,Geometry!$C$6:$C$10000)</f>
        <v>0</v>
      </c>
      <c r="T8971" s="69"/>
      <c r="U8971" s="69"/>
    </row>
    <row r="8972" spans="19:21" ht="15" customHeight="1" x14ac:dyDescent="0.2">
      <c r="S8972" s="69">
        <f>_xlfn.XLOOKUP(Results!A8972,Geometry!$B$6:$B$10000,Geometry!$C$6:$C$10000)</f>
        <v>0</v>
      </c>
      <c r="T8972" s="69"/>
      <c r="U8972" s="69"/>
    </row>
    <row r="8973" spans="19:21" ht="15" customHeight="1" x14ac:dyDescent="0.2">
      <c r="S8973" s="69">
        <f>_xlfn.XLOOKUP(Results!A8973,Geometry!$B$6:$B$10000,Geometry!$C$6:$C$10000)</f>
        <v>0</v>
      </c>
      <c r="T8973" s="69"/>
      <c r="U8973" s="69"/>
    </row>
    <row r="8974" spans="19:21" ht="15" customHeight="1" x14ac:dyDescent="0.2">
      <c r="S8974" s="69">
        <f>_xlfn.XLOOKUP(Results!A8974,Geometry!$B$6:$B$10000,Geometry!$C$6:$C$10000)</f>
        <v>0</v>
      </c>
      <c r="T8974" s="69"/>
      <c r="U8974" s="69"/>
    </row>
    <row r="8975" spans="19:21" ht="15" customHeight="1" x14ac:dyDescent="0.2">
      <c r="S8975" s="69">
        <f>_xlfn.XLOOKUP(Results!A8975,Geometry!$B$6:$B$10000,Geometry!$C$6:$C$10000)</f>
        <v>0</v>
      </c>
      <c r="T8975" s="69"/>
      <c r="U8975" s="69"/>
    </row>
    <row r="8976" spans="19:21" ht="15" customHeight="1" x14ac:dyDescent="0.2">
      <c r="S8976" s="69">
        <f>_xlfn.XLOOKUP(Results!A8976,Geometry!$B$6:$B$10000,Geometry!$C$6:$C$10000)</f>
        <v>0</v>
      </c>
      <c r="T8976" s="69"/>
      <c r="U8976" s="69"/>
    </row>
    <row r="8977" spans="19:21" ht="15" customHeight="1" x14ac:dyDescent="0.2">
      <c r="S8977" s="69">
        <f>_xlfn.XLOOKUP(Results!A8977,Geometry!$B$6:$B$10000,Geometry!$C$6:$C$10000)</f>
        <v>0</v>
      </c>
      <c r="T8977" s="69"/>
      <c r="U8977" s="69"/>
    </row>
    <row r="8978" spans="19:21" ht="15" customHeight="1" x14ac:dyDescent="0.2">
      <c r="S8978" s="69">
        <f>_xlfn.XLOOKUP(Results!A8978,Geometry!$B$6:$B$10000,Geometry!$C$6:$C$10000)</f>
        <v>0</v>
      </c>
      <c r="T8978" s="69"/>
      <c r="U8978" s="69"/>
    </row>
    <row r="8979" spans="19:21" ht="15" customHeight="1" x14ac:dyDescent="0.2">
      <c r="S8979" s="69">
        <f>_xlfn.XLOOKUP(Results!A8979,Geometry!$B$6:$B$10000,Geometry!$C$6:$C$10000)</f>
        <v>0</v>
      </c>
      <c r="T8979" s="69"/>
      <c r="U8979" s="69"/>
    </row>
    <row r="8980" spans="19:21" ht="15" customHeight="1" x14ac:dyDescent="0.2">
      <c r="S8980" s="69">
        <f>_xlfn.XLOOKUP(Results!A8980,Geometry!$B$6:$B$10000,Geometry!$C$6:$C$10000)</f>
        <v>0</v>
      </c>
      <c r="T8980" s="69"/>
      <c r="U8980" s="69"/>
    </row>
    <row r="8981" spans="19:21" ht="15" customHeight="1" x14ac:dyDescent="0.2">
      <c r="S8981" s="69">
        <f>_xlfn.XLOOKUP(Results!A8981,Geometry!$B$6:$B$10000,Geometry!$C$6:$C$10000)</f>
        <v>0</v>
      </c>
      <c r="T8981" s="69"/>
      <c r="U8981" s="69"/>
    </row>
    <row r="8982" spans="19:21" ht="15" customHeight="1" x14ac:dyDescent="0.2">
      <c r="S8982" s="69">
        <f>_xlfn.XLOOKUP(Results!A8982,Geometry!$B$6:$B$10000,Geometry!$C$6:$C$10000)</f>
        <v>0</v>
      </c>
      <c r="T8982" s="69"/>
      <c r="U8982" s="69"/>
    </row>
    <row r="8983" spans="19:21" ht="15" customHeight="1" x14ac:dyDescent="0.2">
      <c r="S8983" s="69">
        <f>_xlfn.XLOOKUP(Results!A8983,Geometry!$B$6:$B$10000,Geometry!$C$6:$C$10000)</f>
        <v>0</v>
      </c>
      <c r="T8983" s="69"/>
      <c r="U8983" s="69"/>
    </row>
    <row r="8984" spans="19:21" ht="15" customHeight="1" x14ac:dyDescent="0.2">
      <c r="S8984" s="69">
        <f>_xlfn.XLOOKUP(Results!A8984,Geometry!$B$6:$B$10000,Geometry!$C$6:$C$10000)</f>
        <v>0</v>
      </c>
      <c r="T8984" s="69"/>
      <c r="U8984" s="69"/>
    </row>
    <row r="8985" spans="19:21" ht="15" customHeight="1" x14ac:dyDescent="0.2">
      <c r="S8985" s="69">
        <f>_xlfn.XLOOKUP(Results!A8985,Geometry!$B$6:$B$10000,Geometry!$C$6:$C$10000)</f>
        <v>0</v>
      </c>
      <c r="T8985" s="69"/>
      <c r="U8985" s="69"/>
    </row>
    <row r="8986" spans="19:21" ht="15" customHeight="1" x14ac:dyDescent="0.2">
      <c r="S8986" s="69">
        <f>_xlfn.XLOOKUP(Results!A8986,Geometry!$B$6:$B$10000,Geometry!$C$6:$C$10000)</f>
        <v>0</v>
      </c>
      <c r="T8986" s="69"/>
      <c r="U8986" s="69"/>
    </row>
    <row r="8987" spans="19:21" ht="15" customHeight="1" x14ac:dyDescent="0.2">
      <c r="S8987" s="69">
        <f>_xlfn.XLOOKUP(Results!A8987,Geometry!$B$6:$B$10000,Geometry!$C$6:$C$10000)</f>
        <v>0</v>
      </c>
      <c r="T8987" s="69"/>
      <c r="U8987" s="69"/>
    </row>
    <row r="8988" spans="19:21" ht="15" customHeight="1" x14ac:dyDescent="0.2">
      <c r="S8988" s="69">
        <f>_xlfn.XLOOKUP(Results!A8988,Geometry!$B$6:$B$10000,Geometry!$C$6:$C$10000)</f>
        <v>0</v>
      </c>
      <c r="T8988" s="69"/>
      <c r="U8988" s="69"/>
    </row>
    <row r="8989" spans="19:21" ht="15" customHeight="1" x14ac:dyDescent="0.2">
      <c r="S8989" s="69">
        <f>_xlfn.XLOOKUP(Results!A8989,Geometry!$B$6:$B$10000,Geometry!$C$6:$C$10000)</f>
        <v>0</v>
      </c>
      <c r="T8989" s="69"/>
      <c r="U8989" s="69"/>
    </row>
    <row r="8990" spans="19:21" ht="15" customHeight="1" x14ac:dyDescent="0.2">
      <c r="S8990" s="69">
        <f>_xlfn.XLOOKUP(Results!A8990,Geometry!$B$6:$B$10000,Geometry!$C$6:$C$10000)</f>
        <v>0</v>
      </c>
      <c r="T8990" s="69"/>
      <c r="U8990" s="69"/>
    </row>
    <row r="8991" spans="19:21" ht="15" customHeight="1" x14ac:dyDescent="0.2">
      <c r="S8991" s="69">
        <f>_xlfn.XLOOKUP(Results!A8991,Geometry!$B$6:$B$10000,Geometry!$C$6:$C$10000)</f>
        <v>0</v>
      </c>
      <c r="T8991" s="69"/>
      <c r="U8991" s="69"/>
    </row>
    <row r="8992" spans="19:21" ht="15" customHeight="1" x14ac:dyDescent="0.2">
      <c r="S8992" s="69">
        <f>_xlfn.XLOOKUP(Results!A8992,Geometry!$B$6:$B$10000,Geometry!$C$6:$C$10000)</f>
        <v>0</v>
      </c>
      <c r="T8992" s="69"/>
      <c r="U8992" s="69"/>
    </row>
    <row r="8993" spans="19:21" ht="15" customHeight="1" x14ac:dyDescent="0.2">
      <c r="S8993" s="69">
        <f>_xlfn.XLOOKUP(Results!A8993,Geometry!$B$6:$B$10000,Geometry!$C$6:$C$10000)</f>
        <v>0</v>
      </c>
      <c r="T8993" s="69"/>
      <c r="U8993" s="69"/>
    </row>
    <row r="8994" spans="19:21" ht="15" customHeight="1" x14ac:dyDescent="0.2">
      <c r="S8994" s="69">
        <f>_xlfn.XLOOKUP(Results!A8994,Geometry!$B$6:$B$10000,Geometry!$C$6:$C$10000)</f>
        <v>0</v>
      </c>
      <c r="T8994" s="69"/>
      <c r="U8994" s="69"/>
    </row>
    <row r="8995" spans="19:21" ht="15" customHeight="1" x14ac:dyDescent="0.2">
      <c r="S8995" s="69">
        <f>_xlfn.XLOOKUP(Results!A8995,Geometry!$B$6:$B$10000,Geometry!$C$6:$C$10000)</f>
        <v>0</v>
      </c>
      <c r="T8995" s="69"/>
      <c r="U8995" s="69"/>
    </row>
    <row r="8996" spans="19:21" ht="15" customHeight="1" x14ac:dyDescent="0.2">
      <c r="S8996" s="69">
        <f>_xlfn.XLOOKUP(Results!A8996,Geometry!$B$6:$B$10000,Geometry!$C$6:$C$10000)</f>
        <v>0</v>
      </c>
      <c r="T8996" s="69"/>
      <c r="U8996" s="69"/>
    </row>
    <row r="8997" spans="19:21" ht="15" customHeight="1" x14ac:dyDescent="0.2">
      <c r="S8997" s="69">
        <f>_xlfn.XLOOKUP(Results!A8997,Geometry!$B$6:$B$10000,Geometry!$C$6:$C$10000)</f>
        <v>0</v>
      </c>
      <c r="T8997" s="69"/>
      <c r="U8997" s="69"/>
    </row>
    <row r="8998" spans="19:21" ht="15" customHeight="1" x14ac:dyDescent="0.2">
      <c r="S8998" s="69">
        <f>_xlfn.XLOOKUP(Results!A8998,Geometry!$B$6:$B$10000,Geometry!$C$6:$C$10000)</f>
        <v>0</v>
      </c>
      <c r="T8998" s="69"/>
      <c r="U8998" s="69"/>
    </row>
    <row r="8999" spans="19:21" ht="15" customHeight="1" x14ac:dyDescent="0.2">
      <c r="S8999" s="69">
        <f>_xlfn.XLOOKUP(Results!A8999,Geometry!$B$6:$B$10000,Geometry!$C$6:$C$10000)</f>
        <v>0</v>
      </c>
      <c r="T8999" s="69"/>
      <c r="U8999" s="69"/>
    </row>
    <row r="9000" spans="19:21" ht="15" customHeight="1" x14ac:dyDescent="0.2">
      <c r="S9000" s="69">
        <f>_xlfn.XLOOKUP(Results!A9000,Geometry!$B$6:$B$10000,Geometry!$C$6:$C$10000)</f>
        <v>0</v>
      </c>
      <c r="T9000" s="69"/>
      <c r="U9000" s="69"/>
    </row>
    <row r="9001" spans="19:21" ht="15" customHeight="1" x14ac:dyDescent="0.2">
      <c r="S9001" s="69">
        <f>_xlfn.XLOOKUP(Results!A9001,Geometry!$B$6:$B$10000,Geometry!$C$6:$C$10000)</f>
        <v>0</v>
      </c>
      <c r="T9001" s="69"/>
      <c r="U9001" s="69"/>
    </row>
    <row r="9002" spans="19:21" ht="15" customHeight="1" x14ac:dyDescent="0.2">
      <c r="S9002" s="69">
        <f>_xlfn.XLOOKUP(Results!A9002,Geometry!$B$6:$B$10000,Geometry!$C$6:$C$10000)</f>
        <v>0</v>
      </c>
      <c r="T9002" s="69"/>
      <c r="U9002" s="69"/>
    </row>
    <row r="9003" spans="19:21" ht="15" customHeight="1" x14ac:dyDescent="0.2">
      <c r="S9003" s="69">
        <f>_xlfn.XLOOKUP(Results!A9003,Geometry!$B$6:$B$10000,Geometry!$C$6:$C$10000)</f>
        <v>0</v>
      </c>
      <c r="T9003" s="69"/>
      <c r="U9003" s="69"/>
    </row>
    <row r="9004" spans="19:21" ht="15" customHeight="1" x14ac:dyDescent="0.2">
      <c r="S9004" s="69">
        <f>_xlfn.XLOOKUP(Results!A9004,Geometry!$B$6:$B$10000,Geometry!$C$6:$C$10000)</f>
        <v>0</v>
      </c>
      <c r="T9004" s="69"/>
      <c r="U9004" s="69"/>
    </row>
    <row r="9005" spans="19:21" ht="15" customHeight="1" x14ac:dyDescent="0.2">
      <c r="S9005" s="69">
        <f>_xlfn.XLOOKUP(Results!A9005,Geometry!$B$6:$B$10000,Geometry!$C$6:$C$10000)</f>
        <v>0</v>
      </c>
      <c r="T9005" s="69"/>
      <c r="U9005" s="69"/>
    </row>
    <row r="9006" spans="19:21" ht="15" customHeight="1" x14ac:dyDescent="0.2">
      <c r="S9006" s="69">
        <f>_xlfn.XLOOKUP(Results!A9006,Geometry!$B$6:$B$10000,Geometry!$C$6:$C$10000)</f>
        <v>0</v>
      </c>
      <c r="T9006" s="69"/>
      <c r="U9006" s="69"/>
    </row>
    <row r="9007" spans="19:21" ht="15" customHeight="1" x14ac:dyDescent="0.2">
      <c r="S9007" s="69">
        <f>_xlfn.XLOOKUP(Results!A9007,Geometry!$B$6:$B$10000,Geometry!$C$6:$C$10000)</f>
        <v>0</v>
      </c>
      <c r="T9007" s="69"/>
      <c r="U9007" s="69"/>
    </row>
    <row r="9008" spans="19:21" ht="15" customHeight="1" x14ac:dyDescent="0.2">
      <c r="S9008" s="69">
        <f>_xlfn.XLOOKUP(Results!A9008,Geometry!$B$6:$B$10000,Geometry!$C$6:$C$10000)</f>
        <v>0</v>
      </c>
      <c r="T9008" s="69"/>
      <c r="U9008" s="69"/>
    </row>
    <row r="9009" spans="19:21" ht="15" customHeight="1" x14ac:dyDescent="0.2">
      <c r="S9009" s="69">
        <f>_xlfn.XLOOKUP(Results!A9009,Geometry!$B$6:$B$10000,Geometry!$C$6:$C$10000)</f>
        <v>0</v>
      </c>
      <c r="T9009" s="69"/>
      <c r="U9009" s="69"/>
    </row>
    <row r="9010" spans="19:21" ht="15" customHeight="1" x14ac:dyDescent="0.2">
      <c r="S9010" s="69">
        <f>_xlfn.XLOOKUP(Results!A9010,Geometry!$B$6:$B$10000,Geometry!$C$6:$C$10000)</f>
        <v>0</v>
      </c>
      <c r="T9010" s="69"/>
      <c r="U9010" s="69"/>
    </row>
    <row r="9011" spans="19:21" ht="15" customHeight="1" x14ac:dyDescent="0.2">
      <c r="S9011" s="69">
        <f>_xlfn.XLOOKUP(Results!A9011,Geometry!$B$6:$B$10000,Geometry!$C$6:$C$10000)</f>
        <v>0</v>
      </c>
      <c r="T9011" s="69"/>
      <c r="U9011" s="69"/>
    </row>
    <row r="9012" spans="19:21" ht="15" customHeight="1" x14ac:dyDescent="0.2">
      <c r="S9012" s="69">
        <f>_xlfn.XLOOKUP(Results!A9012,Geometry!$B$6:$B$10000,Geometry!$C$6:$C$10000)</f>
        <v>0</v>
      </c>
      <c r="T9012" s="69"/>
      <c r="U9012" s="69"/>
    </row>
    <row r="9013" spans="19:21" ht="15" customHeight="1" x14ac:dyDescent="0.2">
      <c r="S9013" s="69">
        <f>_xlfn.XLOOKUP(Results!A9013,Geometry!$B$6:$B$10000,Geometry!$C$6:$C$10000)</f>
        <v>0</v>
      </c>
      <c r="T9013" s="69"/>
      <c r="U9013" s="69"/>
    </row>
    <row r="9014" spans="19:21" ht="15" customHeight="1" x14ac:dyDescent="0.2">
      <c r="S9014" s="69">
        <f>_xlfn.XLOOKUP(Results!A9014,Geometry!$B$6:$B$10000,Geometry!$C$6:$C$10000)</f>
        <v>0</v>
      </c>
      <c r="T9014" s="69"/>
      <c r="U9014" s="69"/>
    </row>
    <row r="9015" spans="19:21" ht="15" customHeight="1" x14ac:dyDescent="0.2">
      <c r="S9015" s="69">
        <f>_xlfn.XLOOKUP(Results!A9015,Geometry!$B$6:$B$10000,Geometry!$C$6:$C$10000)</f>
        <v>0</v>
      </c>
      <c r="T9015" s="69"/>
      <c r="U9015" s="69"/>
    </row>
    <row r="9016" spans="19:21" ht="15" customHeight="1" x14ac:dyDescent="0.2">
      <c r="S9016" s="69">
        <f>_xlfn.XLOOKUP(Results!A9016,Geometry!$B$6:$B$10000,Geometry!$C$6:$C$10000)</f>
        <v>0</v>
      </c>
      <c r="T9016" s="69"/>
      <c r="U9016" s="69"/>
    </row>
    <row r="9017" spans="19:21" ht="15" customHeight="1" x14ac:dyDescent="0.2">
      <c r="S9017" s="69">
        <f>_xlfn.XLOOKUP(Results!A9017,Geometry!$B$6:$B$10000,Geometry!$C$6:$C$10000)</f>
        <v>0</v>
      </c>
      <c r="T9017" s="69"/>
      <c r="U9017" s="69"/>
    </row>
    <row r="9018" spans="19:21" ht="15" customHeight="1" x14ac:dyDescent="0.2">
      <c r="S9018" s="69">
        <f>_xlfn.XLOOKUP(Results!A9018,Geometry!$B$6:$B$10000,Geometry!$C$6:$C$10000)</f>
        <v>0</v>
      </c>
      <c r="T9018" s="69"/>
      <c r="U9018" s="69"/>
    </row>
    <row r="9019" spans="19:21" ht="15" customHeight="1" x14ac:dyDescent="0.2">
      <c r="S9019" s="69">
        <f>_xlfn.XLOOKUP(Results!A9019,Geometry!$B$6:$B$10000,Geometry!$C$6:$C$10000)</f>
        <v>0</v>
      </c>
      <c r="T9019" s="69"/>
      <c r="U9019" s="69"/>
    </row>
    <row r="9020" spans="19:21" ht="15" customHeight="1" x14ac:dyDescent="0.2">
      <c r="S9020" s="69">
        <f>_xlfn.XLOOKUP(Results!A9020,Geometry!$B$6:$B$10000,Geometry!$C$6:$C$10000)</f>
        <v>0</v>
      </c>
      <c r="T9020" s="69"/>
      <c r="U9020" s="69"/>
    </row>
    <row r="9021" spans="19:21" ht="15" customHeight="1" x14ac:dyDescent="0.2">
      <c r="S9021" s="69">
        <f>_xlfn.XLOOKUP(Results!A9021,Geometry!$B$6:$B$10000,Geometry!$C$6:$C$10000)</f>
        <v>0</v>
      </c>
      <c r="T9021" s="69"/>
      <c r="U9021" s="69"/>
    </row>
    <row r="9022" spans="19:21" ht="15" customHeight="1" x14ac:dyDescent="0.2">
      <c r="S9022" s="69">
        <f>_xlfn.XLOOKUP(Results!A9022,Geometry!$B$6:$B$10000,Geometry!$C$6:$C$10000)</f>
        <v>0</v>
      </c>
      <c r="T9022" s="69"/>
      <c r="U9022" s="69"/>
    </row>
    <row r="9023" spans="19:21" ht="15" customHeight="1" x14ac:dyDescent="0.2">
      <c r="S9023" s="69">
        <f>_xlfn.XLOOKUP(Results!A9023,Geometry!$B$6:$B$10000,Geometry!$C$6:$C$10000)</f>
        <v>0</v>
      </c>
      <c r="T9023" s="69"/>
      <c r="U9023" s="69"/>
    </row>
    <row r="9024" spans="19:21" ht="15" customHeight="1" x14ac:dyDescent="0.2">
      <c r="S9024" s="69">
        <f>_xlfn.XLOOKUP(Results!A9024,Geometry!$B$6:$B$10000,Geometry!$C$6:$C$10000)</f>
        <v>0</v>
      </c>
      <c r="T9024" s="69"/>
      <c r="U9024" s="69"/>
    </row>
    <row r="9025" spans="19:21" ht="15" customHeight="1" x14ac:dyDescent="0.2">
      <c r="S9025" s="69">
        <f>_xlfn.XLOOKUP(Results!A9025,Geometry!$B$6:$B$10000,Geometry!$C$6:$C$10000)</f>
        <v>0</v>
      </c>
      <c r="T9025" s="69"/>
      <c r="U9025" s="69"/>
    </row>
    <row r="9026" spans="19:21" ht="15" customHeight="1" x14ac:dyDescent="0.2">
      <c r="S9026" s="69">
        <f>_xlfn.XLOOKUP(Results!A9026,Geometry!$B$6:$B$10000,Geometry!$C$6:$C$10000)</f>
        <v>0</v>
      </c>
      <c r="T9026" s="69"/>
      <c r="U9026" s="69"/>
    </row>
    <row r="9027" spans="19:21" ht="15" customHeight="1" x14ac:dyDescent="0.2">
      <c r="S9027" s="69">
        <f>_xlfn.XLOOKUP(Results!A9027,Geometry!$B$6:$B$10000,Geometry!$C$6:$C$10000)</f>
        <v>0</v>
      </c>
      <c r="T9027" s="69"/>
      <c r="U9027" s="69"/>
    </row>
    <row r="9028" spans="19:21" ht="15" customHeight="1" x14ac:dyDescent="0.2">
      <c r="S9028" s="69">
        <f>_xlfn.XLOOKUP(Results!A9028,Geometry!$B$6:$B$10000,Geometry!$C$6:$C$10000)</f>
        <v>0</v>
      </c>
      <c r="T9028" s="69"/>
      <c r="U9028" s="69"/>
    </row>
    <row r="9029" spans="19:21" ht="15" customHeight="1" x14ac:dyDescent="0.2">
      <c r="S9029" s="69">
        <f>_xlfn.XLOOKUP(Results!A9029,Geometry!$B$6:$B$10000,Geometry!$C$6:$C$10000)</f>
        <v>0</v>
      </c>
      <c r="T9029" s="69"/>
      <c r="U9029" s="69"/>
    </row>
    <row r="9030" spans="19:21" ht="15" customHeight="1" x14ac:dyDescent="0.2">
      <c r="S9030" s="69">
        <f>_xlfn.XLOOKUP(Results!A9030,Geometry!$B$6:$B$10000,Geometry!$C$6:$C$10000)</f>
        <v>0</v>
      </c>
      <c r="T9030" s="69"/>
      <c r="U9030" s="69"/>
    </row>
    <row r="9031" spans="19:21" ht="15" customHeight="1" x14ac:dyDescent="0.2">
      <c r="S9031" s="69">
        <f>_xlfn.XLOOKUP(Results!A9031,Geometry!$B$6:$B$10000,Geometry!$C$6:$C$10000)</f>
        <v>0</v>
      </c>
      <c r="T9031" s="69"/>
      <c r="U9031" s="69"/>
    </row>
    <row r="9032" spans="19:21" ht="15" customHeight="1" x14ac:dyDescent="0.2">
      <c r="S9032" s="69">
        <f>_xlfn.XLOOKUP(Results!A9032,Geometry!$B$6:$B$10000,Geometry!$C$6:$C$10000)</f>
        <v>0</v>
      </c>
      <c r="T9032" s="69"/>
      <c r="U9032" s="69"/>
    </row>
    <row r="9033" spans="19:21" ht="15" customHeight="1" x14ac:dyDescent="0.2">
      <c r="S9033" s="69">
        <f>_xlfn.XLOOKUP(Results!A9033,Geometry!$B$6:$B$10000,Geometry!$C$6:$C$10000)</f>
        <v>0</v>
      </c>
      <c r="T9033" s="69"/>
      <c r="U9033" s="69"/>
    </row>
    <row r="9034" spans="19:21" ht="15" customHeight="1" x14ac:dyDescent="0.2">
      <c r="S9034" s="69">
        <f>_xlfn.XLOOKUP(Results!A9034,Geometry!$B$6:$B$10000,Geometry!$C$6:$C$10000)</f>
        <v>0</v>
      </c>
      <c r="T9034" s="69"/>
      <c r="U9034" s="69"/>
    </row>
    <row r="9035" spans="19:21" ht="15" customHeight="1" x14ac:dyDescent="0.2">
      <c r="S9035" s="69">
        <f>_xlfn.XLOOKUP(Results!A9035,Geometry!$B$6:$B$10000,Geometry!$C$6:$C$10000)</f>
        <v>0</v>
      </c>
      <c r="T9035" s="69"/>
      <c r="U9035" s="69"/>
    </row>
    <row r="9036" spans="19:21" ht="15" customHeight="1" x14ac:dyDescent="0.2">
      <c r="S9036" s="69">
        <f>_xlfn.XLOOKUP(Results!A9036,Geometry!$B$6:$B$10000,Geometry!$C$6:$C$10000)</f>
        <v>0</v>
      </c>
      <c r="T9036" s="69"/>
      <c r="U9036" s="69"/>
    </row>
    <row r="9037" spans="19:21" ht="15" customHeight="1" x14ac:dyDescent="0.2">
      <c r="S9037" s="69">
        <f>_xlfn.XLOOKUP(Results!A9037,Geometry!$B$6:$B$10000,Geometry!$C$6:$C$10000)</f>
        <v>0</v>
      </c>
      <c r="T9037" s="69"/>
      <c r="U9037" s="69"/>
    </row>
    <row r="9038" spans="19:21" ht="15" customHeight="1" x14ac:dyDescent="0.2">
      <c r="S9038" s="69">
        <f>_xlfn.XLOOKUP(Results!A9038,Geometry!$B$6:$B$10000,Geometry!$C$6:$C$10000)</f>
        <v>0</v>
      </c>
      <c r="T9038" s="69"/>
      <c r="U9038" s="69"/>
    </row>
    <row r="9039" spans="19:21" ht="15" customHeight="1" x14ac:dyDescent="0.2">
      <c r="S9039" s="69">
        <f>_xlfn.XLOOKUP(Results!A9039,Geometry!$B$6:$B$10000,Geometry!$C$6:$C$10000)</f>
        <v>0</v>
      </c>
      <c r="T9039" s="69"/>
      <c r="U9039" s="69"/>
    </row>
    <row r="9040" spans="19:21" ht="15" customHeight="1" x14ac:dyDescent="0.2">
      <c r="S9040" s="69">
        <f>_xlfn.XLOOKUP(Results!A9040,Geometry!$B$6:$B$10000,Geometry!$C$6:$C$10000)</f>
        <v>0</v>
      </c>
      <c r="T9040" s="69"/>
      <c r="U9040" s="69"/>
    </row>
    <row r="9041" spans="19:21" ht="15" customHeight="1" x14ac:dyDescent="0.2">
      <c r="S9041" s="69">
        <f>_xlfn.XLOOKUP(Results!A9041,Geometry!$B$6:$B$10000,Geometry!$C$6:$C$10000)</f>
        <v>0</v>
      </c>
      <c r="T9041" s="69"/>
      <c r="U9041" s="69"/>
    </row>
    <row r="9042" spans="19:21" ht="15" customHeight="1" x14ac:dyDescent="0.2">
      <c r="S9042" s="69">
        <f>_xlfn.XLOOKUP(Results!A9042,Geometry!$B$6:$B$10000,Geometry!$C$6:$C$10000)</f>
        <v>0</v>
      </c>
      <c r="T9042" s="69"/>
      <c r="U9042" s="69"/>
    </row>
    <row r="9043" spans="19:21" ht="15" customHeight="1" x14ac:dyDescent="0.2">
      <c r="S9043" s="69">
        <f>_xlfn.XLOOKUP(Results!A9043,Geometry!$B$6:$B$10000,Geometry!$C$6:$C$10000)</f>
        <v>0</v>
      </c>
      <c r="T9043" s="69"/>
      <c r="U9043" s="69"/>
    </row>
    <row r="9044" spans="19:21" ht="15" customHeight="1" x14ac:dyDescent="0.2">
      <c r="S9044" s="69">
        <f>_xlfn.XLOOKUP(Results!A9044,Geometry!$B$6:$B$10000,Geometry!$C$6:$C$10000)</f>
        <v>0</v>
      </c>
      <c r="T9044" s="69"/>
      <c r="U9044" s="69"/>
    </row>
    <row r="9045" spans="19:21" ht="15" customHeight="1" x14ac:dyDescent="0.2">
      <c r="S9045" s="69">
        <f>_xlfn.XLOOKUP(Results!A9045,Geometry!$B$6:$B$10000,Geometry!$C$6:$C$10000)</f>
        <v>0</v>
      </c>
      <c r="T9045" s="69"/>
      <c r="U9045" s="69"/>
    </row>
    <row r="9046" spans="19:21" ht="15" customHeight="1" x14ac:dyDescent="0.2">
      <c r="S9046" s="69">
        <f>_xlfn.XLOOKUP(Results!A9046,Geometry!$B$6:$B$10000,Geometry!$C$6:$C$10000)</f>
        <v>0</v>
      </c>
      <c r="T9046" s="69"/>
      <c r="U9046" s="69"/>
    </row>
    <row r="9047" spans="19:21" ht="15" customHeight="1" x14ac:dyDescent="0.2">
      <c r="S9047" s="69">
        <f>_xlfn.XLOOKUP(Results!A9047,Geometry!$B$6:$B$10000,Geometry!$C$6:$C$10000)</f>
        <v>0</v>
      </c>
      <c r="T9047" s="69"/>
      <c r="U9047" s="69"/>
    </row>
    <row r="9048" spans="19:21" ht="15" customHeight="1" x14ac:dyDescent="0.2">
      <c r="S9048" s="69">
        <f>_xlfn.XLOOKUP(Results!A9048,Geometry!$B$6:$B$10000,Geometry!$C$6:$C$10000)</f>
        <v>0</v>
      </c>
      <c r="T9048" s="69"/>
      <c r="U9048" s="69"/>
    </row>
    <row r="9049" spans="19:21" ht="15" customHeight="1" x14ac:dyDescent="0.2">
      <c r="S9049" s="69">
        <f>_xlfn.XLOOKUP(Results!A9049,Geometry!$B$6:$B$10000,Geometry!$C$6:$C$10000)</f>
        <v>0</v>
      </c>
      <c r="T9049" s="69"/>
      <c r="U9049" s="69"/>
    </row>
    <row r="9050" spans="19:21" ht="15" customHeight="1" x14ac:dyDescent="0.2">
      <c r="S9050" s="69">
        <f>_xlfn.XLOOKUP(Results!A9050,Geometry!$B$6:$B$10000,Geometry!$C$6:$C$10000)</f>
        <v>0</v>
      </c>
      <c r="T9050" s="69"/>
      <c r="U9050" s="69"/>
    </row>
    <row r="9051" spans="19:21" ht="15" customHeight="1" x14ac:dyDescent="0.2">
      <c r="S9051" s="69">
        <f>_xlfn.XLOOKUP(Results!A9051,Geometry!$B$6:$B$10000,Geometry!$C$6:$C$10000)</f>
        <v>0</v>
      </c>
      <c r="T9051" s="69"/>
      <c r="U9051" s="69"/>
    </row>
    <row r="9052" spans="19:21" ht="15" customHeight="1" x14ac:dyDescent="0.2">
      <c r="S9052" s="69">
        <f>_xlfn.XLOOKUP(Results!A9052,Geometry!$B$6:$B$10000,Geometry!$C$6:$C$10000)</f>
        <v>0</v>
      </c>
      <c r="T9052" s="69"/>
      <c r="U9052" s="69"/>
    </row>
    <row r="9053" spans="19:21" ht="15" customHeight="1" x14ac:dyDescent="0.2">
      <c r="S9053" s="69">
        <f>_xlfn.XLOOKUP(Results!A9053,Geometry!$B$6:$B$10000,Geometry!$C$6:$C$10000)</f>
        <v>0</v>
      </c>
      <c r="T9053" s="69"/>
      <c r="U9053" s="69"/>
    </row>
    <row r="9054" spans="19:21" ht="15" customHeight="1" x14ac:dyDescent="0.2">
      <c r="S9054" s="69">
        <f>_xlfn.XLOOKUP(Results!A9054,Geometry!$B$6:$B$10000,Geometry!$C$6:$C$10000)</f>
        <v>0</v>
      </c>
      <c r="T9054" s="69"/>
      <c r="U9054" s="69"/>
    </row>
    <row r="9055" spans="19:21" ht="15" customHeight="1" x14ac:dyDescent="0.2">
      <c r="S9055" s="69">
        <f>_xlfn.XLOOKUP(Results!A9055,Geometry!$B$6:$B$10000,Geometry!$C$6:$C$10000)</f>
        <v>0</v>
      </c>
      <c r="T9055" s="69"/>
      <c r="U9055" s="69"/>
    </row>
    <row r="9056" spans="19:21" ht="15" customHeight="1" x14ac:dyDescent="0.2">
      <c r="S9056" s="69">
        <f>_xlfn.XLOOKUP(Results!A9056,Geometry!$B$6:$B$10000,Geometry!$C$6:$C$10000)</f>
        <v>0</v>
      </c>
      <c r="T9056" s="69"/>
      <c r="U9056" s="69"/>
    </row>
    <row r="9057" spans="19:21" ht="15" customHeight="1" x14ac:dyDescent="0.2">
      <c r="S9057" s="69">
        <f>_xlfn.XLOOKUP(Results!A9057,Geometry!$B$6:$B$10000,Geometry!$C$6:$C$10000)</f>
        <v>0</v>
      </c>
      <c r="T9057" s="69"/>
      <c r="U9057" s="69"/>
    </row>
    <row r="9058" spans="19:21" ht="15" customHeight="1" x14ac:dyDescent="0.2">
      <c r="S9058" s="69">
        <f>_xlfn.XLOOKUP(Results!A9058,Geometry!$B$6:$B$10000,Geometry!$C$6:$C$10000)</f>
        <v>0</v>
      </c>
      <c r="T9058" s="69"/>
      <c r="U9058" s="69"/>
    </row>
    <row r="9059" spans="19:21" ht="15" customHeight="1" x14ac:dyDescent="0.2">
      <c r="S9059" s="69">
        <f>_xlfn.XLOOKUP(Results!A9059,Geometry!$B$6:$B$10000,Geometry!$C$6:$C$10000)</f>
        <v>0</v>
      </c>
      <c r="T9059" s="69"/>
      <c r="U9059" s="69"/>
    </row>
    <row r="9060" spans="19:21" ht="15" customHeight="1" x14ac:dyDescent="0.2">
      <c r="S9060" s="69">
        <f>_xlfn.XLOOKUP(Results!A9060,Geometry!$B$6:$B$10000,Geometry!$C$6:$C$10000)</f>
        <v>0</v>
      </c>
      <c r="T9060" s="69"/>
      <c r="U9060" s="69"/>
    </row>
    <row r="9061" spans="19:21" ht="15" customHeight="1" x14ac:dyDescent="0.2">
      <c r="S9061" s="69">
        <f>_xlfn.XLOOKUP(Results!A9061,Geometry!$B$6:$B$10000,Geometry!$C$6:$C$10000)</f>
        <v>0</v>
      </c>
      <c r="T9061" s="69"/>
      <c r="U9061" s="69"/>
    </row>
    <row r="9062" spans="19:21" ht="15" customHeight="1" x14ac:dyDescent="0.2">
      <c r="S9062" s="69">
        <f>_xlfn.XLOOKUP(Results!A9062,Geometry!$B$6:$B$10000,Geometry!$C$6:$C$10000)</f>
        <v>0</v>
      </c>
      <c r="T9062" s="69"/>
      <c r="U9062" s="69"/>
    </row>
    <row r="9063" spans="19:21" ht="15" customHeight="1" x14ac:dyDescent="0.2">
      <c r="S9063" s="69">
        <f>_xlfn.XLOOKUP(Results!A9063,Geometry!$B$6:$B$10000,Geometry!$C$6:$C$10000)</f>
        <v>0</v>
      </c>
      <c r="T9063" s="69"/>
      <c r="U9063" s="69"/>
    </row>
    <row r="9064" spans="19:21" ht="15" customHeight="1" x14ac:dyDescent="0.2">
      <c r="S9064" s="69">
        <f>_xlfn.XLOOKUP(Results!A9064,Geometry!$B$6:$B$10000,Geometry!$C$6:$C$10000)</f>
        <v>0</v>
      </c>
      <c r="T9064" s="69"/>
      <c r="U9064" s="69"/>
    </row>
    <row r="9065" spans="19:21" ht="15" customHeight="1" x14ac:dyDescent="0.2">
      <c r="S9065" s="69">
        <f>_xlfn.XLOOKUP(Results!A9065,Geometry!$B$6:$B$10000,Geometry!$C$6:$C$10000)</f>
        <v>0</v>
      </c>
      <c r="T9065" s="69"/>
      <c r="U9065" s="69"/>
    </row>
    <row r="9066" spans="19:21" ht="15" customHeight="1" x14ac:dyDescent="0.2">
      <c r="S9066" s="69">
        <f>_xlfn.XLOOKUP(Results!A9066,Geometry!$B$6:$B$10000,Geometry!$C$6:$C$10000)</f>
        <v>0</v>
      </c>
      <c r="T9066" s="69"/>
      <c r="U9066" s="69"/>
    </row>
    <row r="9067" spans="19:21" ht="15" customHeight="1" x14ac:dyDescent="0.2">
      <c r="S9067" s="69">
        <f>_xlfn.XLOOKUP(Results!A9067,Geometry!$B$6:$B$10000,Geometry!$C$6:$C$10000)</f>
        <v>0</v>
      </c>
      <c r="T9067" s="69"/>
      <c r="U9067" s="69"/>
    </row>
    <row r="9068" spans="19:21" ht="15" customHeight="1" x14ac:dyDescent="0.2">
      <c r="S9068" s="69">
        <f>_xlfn.XLOOKUP(Results!A9068,Geometry!$B$6:$B$10000,Geometry!$C$6:$C$10000)</f>
        <v>0</v>
      </c>
      <c r="T9068" s="69"/>
      <c r="U9068" s="69"/>
    </row>
    <row r="9069" spans="19:21" ht="15" customHeight="1" x14ac:dyDescent="0.2">
      <c r="S9069" s="69">
        <f>_xlfn.XLOOKUP(Results!A9069,Geometry!$B$6:$B$10000,Geometry!$C$6:$C$10000)</f>
        <v>0</v>
      </c>
      <c r="T9069" s="69"/>
      <c r="U9069" s="69"/>
    </row>
    <row r="9070" spans="19:21" ht="15" customHeight="1" x14ac:dyDescent="0.2">
      <c r="S9070" s="69">
        <f>_xlfn.XLOOKUP(Results!A9070,Geometry!$B$6:$B$10000,Geometry!$C$6:$C$10000)</f>
        <v>0</v>
      </c>
      <c r="T9070" s="69"/>
      <c r="U9070" s="69"/>
    </row>
    <row r="9071" spans="19:21" ht="15" customHeight="1" x14ac:dyDescent="0.2">
      <c r="S9071" s="69">
        <f>_xlfn.XLOOKUP(Results!A9071,Geometry!$B$6:$B$10000,Geometry!$C$6:$C$10000)</f>
        <v>0</v>
      </c>
      <c r="T9071" s="69"/>
      <c r="U9071" s="69"/>
    </row>
    <row r="9072" spans="19:21" ht="15" customHeight="1" x14ac:dyDescent="0.2">
      <c r="S9072" s="69">
        <f>_xlfn.XLOOKUP(Results!A9072,Geometry!$B$6:$B$10000,Geometry!$C$6:$C$10000)</f>
        <v>0</v>
      </c>
      <c r="T9072" s="69"/>
      <c r="U9072" s="69"/>
    </row>
    <row r="9073" spans="19:21" ht="15" customHeight="1" x14ac:dyDescent="0.2">
      <c r="S9073" s="69">
        <f>_xlfn.XLOOKUP(Results!A9073,Geometry!$B$6:$B$10000,Geometry!$C$6:$C$10000)</f>
        <v>0</v>
      </c>
      <c r="T9073" s="69"/>
      <c r="U9073" s="69"/>
    </row>
    <row r="9074" spans="19:21" ht="15" customHeight="1" x14ac:dyDescent="0.2">
      <c r="S9074" s="69">
        <f>_xlfn.XLOOKUP(Results!A9074,Geometry!$B$6:$B$10000,Geometry!$C$6:$C$10000)</f>
        <v>0</v>
      </c>
      <c r="T9074" s="69"/>
      <c r="U9074" s="69"/>
    </row>
    <row r="9075" spans="19:21" ht="15" customHeight="1" x14ac:dyDescent="0.2">
      <c r="S9075" s="69">
        <f>_xlfn.XLOOKUP(Results!A9075,Geometry!$B$6:$B$10000,Geometry!$C$6:$C$10000)</f>
        <v>0</v>
      </c>
      <c r="T9075" s="69"/>
      <c r="U9075" s="69"/>
    </row>
    <row r="9076" spans="19:21" ht="15" customHeight="1" x14ac:dyDescent="0.2">
      <c r="S9076" s="69">
        <f>_xlfn.XLOOKUP(Results!A9076,Geometry!$B$6:$B$10000,Geometry!$C$6:$C$10000)</f>
        <v>0</v>
      </c>
      <c r="T9076" s="69"/>
      <c r="U9076" s="69"/>
    </row>
    <row r="9077" spans="19:21" ht="15" customHeight="1" x14ac:dyDescent="0.2">
      <c r="S9077" s="69">
        <f>_xlfn.XLOOKUP(Results!A9077,Geometry!$B$6:$B$10000,Geometry!$C$6:$C$10000)</f>
        <v>0</v>
      </c>
      <c r="T9077" s="69"/>
      <c r="U9077" s="69"/>
    </row>
    <row r="9078" spans="19:21" ht="15" customHeight="1" x14ac:dyDescent="0.2">
      <c r="S9078" s="69">
        <f>_xlfn.XLOOKUP(Results!A9078,Geometry!$B$6:$B$10000,Geometry!$C$6:$C$10000)</f>
        <v>0</v>
      </c>
      <c r="T9078" s="69"/>
      <c r="U9078" s="69"/>
    </row>
    <row r="9079" spans="19:21" ht="15" customHeight="1" x14ac:dyDescent="0.2">
      <c r="S9079" s="69">
        <f>_xlfn.XLOOKUP(Results!A9079,Geometry!$B$6:$B$10000,Geometry!$C$6:$C$10000)</f>
        <v>0</v>
      </c>
      <c r="T9079" s="69"/>
      <c r="U9079" s="69"/>
    </row>
    <row r="9080" spans="19:21" ht="15" customHeight="1" x14ac:dyDescent="0.2">
      <c r="S9080" s="69">
        <f>_xlfn.XLOOKUP(Results!A9080,Geometry!$B$6:$B$10000,Geometry!$C$6:$C$10000)</f>
        <v>0</v>
      </c>
      <c r="T9080" s="69"/>
      <c r="U9080" s="69"/>
    </row>
    <row r="9081" spans="19:21" ht="15" customHeight="1" x14ac:dyDescent="0.2">
      <c r="S9081" s="69">
        <f>_xlfn.XLOOKUP(Results!A9081,Geometry!$B$6:$B$10000,Geometry!$C$6:$C$10000)</f>
        <v>0</v>
      </c>
      <c r="T9081" s="69"/>
      <c r="U9081" s="69"/>
    </row>
    <row r="9082" spans="19:21" ht="15" customHeight="1" x14ac:dyDescent="0.2">
      <c r="S9082" s="69">
        <f>_xlfn.XLOOKUP(Results!A9082,Geometry!$B$6:$B$10000,Geometry!$C$6:$C$10000)</f>
        <v>0</v>
      </c>
      <c r="T9082" s="69"/>
      <c r="U9082" s="69"/>
    </row>
    <row r="9083" spans="19:21" ht="15" customHeight="1" x14ac:dyDescent="0.2">
      <c r="S9083" s="69">
        <f>_xlfn.XLOOKUP(Results!A9083,Geometry!$B$6:$B$10000,Geometry!$C$6:$C$10000)</f>
        <v>0</v>
      </c>
      <c r="T9083" s="69"/>
      <c r="U9083" s="69"/>
    </row>
    <row r="9084" spans="19:21" ht="15" customHeight="1" x14ac:dyDescent="0.2">
      <c r="S9084" s="69">
        <f>_xlfn.XLOOKUP(Results!A9084,Geometry!$B$6:$B$10000,Geometry!$C$6:$C$10000)</f>
        <v>0</v>
      </c>
      <c r="T9084" s="69"/>
      <c r="U9084" s="69"/>
    </row>
    <row r="9085" spans="19:21" ht="15" customHeight="1" x14ac:dyDescent="0.2">
      <c r="S9085" s="69">
        <f>_xlfn.XLOOKUP(Results!A9085,Geometry!$B$6:$B$10000,Geometry!$C$6:$C$10000)</f>
        <v>0</v>
      </c>
      <c r="T9085" s="69"/>
      <c r="U9085" s="69"/>
    </row>
    <row r="9086" spans="19:21" ht="15" customHeight="1" x14ac:dyDescent="0.2">
      <c r="S9086" s="69">
        <f>_xlfn.XLOOKUP(Results!A9086,Geometry!$B$6:$B$10000,Geometry!$C$6:$C$10000)</f>
        <v>0</v>
      </c>
      <c r="T9086" s="69"/>
      <c r="U9086" s="69"/>
    </row>
    <row r="9087" spans="19:21" ht="15" customHeight="1" x14ac:dyDescent="0.2">
      <c r="S9087" s="69">
        <f>_xlfn.XLOOKUP(Results!A9087,Geometry!$B$6:$B$10000,Geometry!$C$6:$C$10000)</f>
        <v>0</v>
      </c>
      <c r="T9087" s="69"/>
      <c r="U9087" s="69"/>
    </row>
    <row r="9088" spans="19:21" ht="15" customHeight="1" x14ac:dyDescent="0.2">
      <c r="S9088" s="69">
        <f>_xlfn.XLOOKUP(Results!A9088,Geometry!$B$6:$B$10000,Geometry!$C$6:$C$10000)</f>
        <v>0</v>
      </c>
      <c r="T9088" s="69"/>
      <c r="U9088" s="69"/>
    </row>
    <row r="9089" spans="19:21" ht="15" customHeight="1" x14ac:dyDescent="0.2">
      <c r="S9089" s="69">
        <f>_xlfn.XLOOKUP(Results!A9089,Geometry!$B$6:$B$10000,Geometry!$C$6:$C$10000)</f>
        <v>0</v>
      </c>
      <c r="T9089" s="69"/>
      <c r="U9089" s="69"/>
    </row>
    <row r="9090" spans="19:21" ht="15" customHeight="1" x14ac:dyDescent="0.2">
      <c r="S9090" s="69">
        <f>_xlfn.XLOOKUP(Results!A9090,Geometry!$B$6:$B$10000,Geometry!$C$6:$C$10000)</f>
        <v>0</v>
      </c>
      <c r="T9090" s="69"/>
      <c r="U9090" s="69"/>
    </row>
    <row r="9091" spans="19:21" ht="15" customHeight="1" x14ac:dyDescent="0.2">
      <c r="S9091" s="69">
        <f>_xlfn.XLOOKUP(Results!A9091,Geometry!$B$6:$B$10000,Geometry!$C$6:$C$10000)</f>
        <v>0</v>
      </c>
      <c r="T9091" s="69"/>
      <c r="U9091" s="69"/>
    </row>
    <row r="9092" spans="19:21" ht="15" customHeight="1" x14ac:dyDescent="0.2">
      <c r="S9092" s="69">
        <f>_xlfn.XLOOKUP(Results!A9092,Geometry!$B$6:$B$10000,Geometry!$C$6:$C$10000)</f>
        <v>0</v>
      </c>
      <c r="T9092" s="69"/>
      <c r="U9092" s="69"/>
    </row>
    <row r="9093" spans="19:21" ht="15" customHeight="1" x14ac:dyDescent="0.2">
      <c r="S9093" s="69">
        <f>_xlfn.XLOOKUP(Results!A9093,Geometry!$B$6:$B$10000,Geometry!$C$6:$C$10000)</f>
        <v>0</v>
      </c>
      <c r="T9093" s="69"/>
      <c r="U9093" s="69"/>
    </row>
    <row r="9094" spans="19:21" ht="15" customHeight="1" x14ac:dyDescent="0.2">
      <c r="S9094" s="69">
        <f>_xlfn.XLOOKUP(Results!A9094,Geometry!$B$6:$B$10000,Geometry!$C$6:$C$10000)</f>
        <v>0</v>
      </c>
      <c r="T9094" s="69"/>
      <c r="U9094" s="69"/>
    </row>
    <row r="9095" spans="19:21" ht="15" customHeight="1" x14ac:dyDescent="0.2">
      <c r="S9095" s="69">
        <f>_xlfn.XLOOKUP(Results!A9095,Geometry!$B$6:$B$10000,Geometry!$C$6:$C$10000)</f>
        <v>0</v>
      </c>
      <c r="T9095" s="69"/>
      <c r="U9095" s="69"/>
    </row>
    <row r="9096" spans="19:21" ht="15" customHeight="1" x14ac:dyDescent="0.2">
      <c r="S9096" s="69">
        <f>_xlfn.XLOOKUP(Results!A9096,Geometry!$B$6:$B$10000,Geometry!$C$6:$C$10000)</f>
        <v>0</v>
      </c>
      <c r="T9096" s="69"/>
      <c r="U9096" s="69"/>
    </row>
    <row r="9097" spans="19:21" ht="15" customHeight="1" x14ac:dyDescent="0.2">
      <c r="S9097" s="69">
        <f>_xlfn.XLOOKUP(Results!A9097,Geometry!$B$6:$B$10000,Geometry!$C$6:$C$10000)</f>
        <v>0</v>
      </c>
      <c r="T9097" s="69"/>
      <c r="U9097" s="69"/>
    </row>
    <row r="9098" spans="19:21" ht="15" customHeight="1" x14ac:dyDescent="0.2">
      <c r="S9098" s="69">
        <f>_xlfn.XLOOKUP(Results!A9098,Geometry!$B$6:$B$10000,Geometry!$C$6:$C$10000)</f>
        <v>0</v>
      </c>
      <c r="T9098" s="69"/>
      <c r="U9098" s="69"/>
    </row>
    <row r="9099" spans="19:21" ht="15" customHeight="1" x14ac:dyDescent="0.2">
      <c r="S9099" s="69">
        <f>_xlfn.XLOOKUP(Results!A9099,Geometry!$B$6:$B$10000,Geometry!$C$6:$C$10000)</f>
        <v>0</v>
      </c>
      <c r="T9099" s="69"/>
      <c r="U9099" s="69"/>
    </row>
    <row r="9100" spans="19:21" ht="15" customHeight="1" x14ac:dyDescent="0.2">
      <c r="S9100" s="69">
        <f>_xlfn.XLOOKUP(Results!A9100,Geometry!$B$6:$B$10000,Geometry!$C$6:$C$10000)</f>
        <v>0</v>
      </c>
      <c r="T9100" s="69"/>
      <c r="U9100" s="69"/>
    </row>
    <row r="9101" spans="19:21" ht="15" customHeight="1" x14ac:dyDescent="0.2">
      <c r="S9101" s="69">
        <f>_xlfn.XLOOKUP(Results!A9101,Geometry!$B$6:$B$10000,Geometry!$C$6:$C$10000)</f>
        <v>0</v>
      </c>
      <c r="T9101" s="69"/>
      <c r="U9101" s="69"/>
    </row>
    <row r="9102" spans="19:21" ht="15" customHeight="1" x14ac:dyDescent="0.2">
      <c r="S9102" s="69">
        <f>_xlfn.XLOOKUP(Results!A9102,Geometry!$B$6:$B$10000,Geometry!$C$6:$C$10000)</f>
        <v>0</v>
      </c>
      <c r="T9102" s="69"/>
      <c r="U9102" s="69"/>
    </row>
    <row r="9103" spans="19:21" ht="15" customHeight="1" x14ac:dyDescent="0.2">
      <c r="S9103" s="69">
        <f>_xlfn.XLOOKUP(Results!A9103,Geometry!$B$6:$B$10000,Geometry!$C$6:$C$10000)</f>
        <v>0</v>
      </c>
      <c r="T9103" s="69"/>
      <c r="U9103" s="69"/>
    </row>
    <row r="9104" spans="19:21" ht="15" customHeight="1" x14ac:dyDescent="0.2">
      <c r="S9104" s="69">
        <f>_xlfn.XLOOKUP(Results!A9104,Geometry!$B$6:$B$10000,Geometry!$C$6:$C$10000)</f>
        <v>0</v>
      </c>
      <c r="T9104" s="69"/>
      <c r="U9104" s="69"/>
    </row>
    <row r="9105" spans="19:21" ht="15" customHeight="1" x14ac:dyDescent="0.2">
      <c r="S9105" s="69">
        <f>_xlfn.XLOOKUP(Results!A9105,Geometry!$B$6:$B$10000,Geometry!$C$6:$C$10000)</f>
        <v>0</v>
      </c>
      <c r="T9105" s="69"/>
      <c r="U9105" s="69"/>
    </row>
    <row r="9106" spans="19:21" ht="15" customHeight="1" x14ac:dyDescent="0.2">
      <c r="S9106" s="69">
        <f>_xlfn.XLOOKUP(Results!A9106,Geometry!$B$6:$B$10000,Geometry!$C$6:$C$10000)</f>
        <v>0</v>
      </c>
      <c r="T9106" s="69"/>
      <c r="U9106" s="69"/>
    </row>
    <row r="9107" spans="19:21" ht="15" customHeight="1" x14ac:dyDescent="0.2">
      <c r="S9107" s="69">
        <f>_xlfn.XLOOKUP(Results!A9107,Geometry!$B$6:$B$10000,Geometry!$C$6:$C$10000)</f>
        <v>0</v>
      </c>
      <c r="T9107" s="69"/>
      <c r="U9107" s="69"/>
    </row>
    <row r="9108" spans="19:21" ht="15" customHeight="1" x14ac:dyDescent="0.2">
      <c r="S9108" s="69">
        <f>_xlfn.XLOOKUP(Results!A9108,Geometry!$B$6:$B$10000,Geometry!$C$6:$C$10000)</f>
        <v>0</v>
      </c>
      <c r="T9108" s="69"/>
      <c r="U9108" s="69"/>
    </row>
    <row r="9109" spans="19:21" ht="15" customHeight="1" x14ac:dyDescent="0.2">
      <c r="S9109" s="69">
        <f>_xlfn.XLOOKUP(Results!A9109,Geometry!$B$6:$B$10000,Geometry!$C$6:$C$10000)</f>
        <v>0</v>
      </c>
      <c r="T9109" s="69"/>
      <c r="U9109" s="69"/>
    </row>
    <row r="9110" spans="19:21" ht="15" customHeight="1" x14ac:dyDescent="0.2">
      <c r="S9110" s="69">
        <f>_xlfn.XLOOKUP(Results!A9110,Geometry!$B$6:$B$10000,Geometry!$C$6:$C$10000)</f>
        <v>0</v>
      </c>
      <c r="T9110" s="69"/>
      <c r="U9110" s="69"/>
    </row>
    <row r="9111" spans="19:21" ht="15" customHeight="1" x14ac:dyDescent="0.2">
      <c r="S9111" s="69">
        <f>_xlfn.XLOOKUP(Results!A9111,Geometry!$B$6:$B$10000,Geometry!$C$6:$C$10000)</f>
        <v>0</v>
      </c>
      <c r="T9111" s="69"/>
      <c r="U9111" s="69"/>
    </row>
    <row r="9112" spans="19:21" ht="15" customHeight="1" x14ac:dyDescent="0.2">
      <c r="S9112" s="69">
        <f>_xlfn.XLOOKUP(Results!A9112,Geometry!$B$6:$B$10000,Geometry!$C$6:$C$10000)</f>
        <v>0</v>
      </c>
      <c r="T9112" s="69"/>
      <c r="U9112" s="69"/>
    </row>
    <row r="9113" spans="19:21" ht="15" customHeight="1" x14ac:dyDescent="0.2">
      <c r="S9113" s="69">
        <f>_xlfn.XLOOKUP(Results!A9113,Geometry!$B$6:$B$10000,Geometry!$C$6:$C$10000)</f>
        <v>0</v>
      </c>
      <c r="T9113" s="69"/>
      <c r="U9113" s="69"/>
    </row>
    <row r="9114" spans="19:21" ht="15" customHeight="1" x14ac:dyDescent="0.2">
      <c r="S9114" s="69">
        <f>_xlfn.XLOOKUP(Results!A9114,Geometry!$B$6:$B$10000,Geometry!$C$6:$C$10000)</f>
        <v>0</v>
      </c>
      <c r="T9114" s="69"/>
      <c r="U9114" s="69"/>
    </row>
    <row r="9115" spans="19:21" ht="15" customHeight="1" x14ac:dyDescent="0.2">
      <c r="S9115" s="69">
        <f>_xlfn.XLOOKUP(Results!A9115,Geometry!$B$6:$B$10000,Geometry!$C$6:$C$10000)</f>
        <v>0</v>
      </c>
      <c r="T9115" s="69"/>
      <c r="U9115" s="69"/>
    </row>
    <row r="9116" spans="19:21" ht="15" customHeight="1" x14ac:dyDescent="0.2">
      <c r="S9116" s="69">
        <f>_xlfn.XLOOKUP(Results!A9116,Geometry!$B$6:$B$10000,Geometry!$C$6:$C$10000)</f>
        <v>0</v>
      </c>
      <c r="T9116" s="69"/>
      <c r="U9116" s="69"/>
    </row>
    <row r="9117" spans="19:21" ht="15" customHeight="1" x14ac:dyDescent="0.2">
      <c r="S9117" s="69">
        <f>_xlfn.XLOOKUP(Results!A9117,Geometry!$B$6:$B$10000,Geometry!$C$6:$C$10000)</f>
        <v>0</v>
      </c>
      <c r="T9117" s="69"/>
      <c r="U9117" s="69"/>
    </row>
    <row r="9118" spans="19:21" ht="15" customHeight="1" x14ac:dyDescent="0.2">
      <c r="S9118" s="69">
        <f>_xlfn.XLOOKUP(Results!A9118,Geometry!$B$6:$B$10000,Geometry!$C$6:$C$10000)</f>
        <v>0</v>
      </c>
      <c r="T9118" s="69"/>
      <c r="U9118" s="69"/>
    </row>
    <row r="9119" spans="19:21" ht="15" customHeight="1" x14ac:dyDescent="0.2">
      <c r="S9119" s="69">
        <f>_xlfn.XLOOKUP(Results!A9119,Geometry!$B$6:$B$10000,Geometry!$C$6:$C$10000)</f>
        <v>0</v>
      </c>
      <c r="T9119" s="69"/>
      <c r="U9119" s="69"/>
    </row>
    <row r="9120" spans="19:21" ht="15" customHeight="1" x14ac:dyDescent="0.2">
      <c r="S9120" s="69">
        <f>_xlfn.XLOOKUP(Results!A9120,Geometry!$B$6:$B$10000,Geometry!$C$6:$C$10000)</f>
        <v>0</v>
      </c>
      <c r="T9120" s="69"/>
      <c r="U9120" s="69"/>
    </row>
    <row r="9121" spans="19:21" ht="15" customHeight="1" x14ac:dyDescent="0.2">
      <c r="S9121" s="69">
        <f>_xlfn.XLOOKUP(Results!A9121,Geometry!$B$6:$B$10000,Geometry!$C$6:$C$10000)</f>
        <v>0</v>
      </c>
      <c r="T9121" s="69"/>
      <c r="U9121" s="69"/>
    </row>
    <row r="9122" spans="19:21" ht="15" customHeight="1" x14ac:dyDescent="0.2">
      <c r="S9122" s="69">
        <f>_xlfn.XLOOKUP(Results!A9122,Geometry!$B$6:$B$10000,Geometry!$C$6:$C$10000)</f>
        <v>0</v>
      </c>
      <c r="T9122" s="69"/>
      <c r="U9122" s="69"/>
    </row>
    <row r="9123" spans="19:21" ht="15" customHeight="1" x14ac:dyDescent="0.2">
      <c r="S9123" s="69">
        <f>_xlfn.XLOOKUP(Results!A9123,Geometry!$B$6:$B$10000,Geometry!$C$6:$C$10000)</f>
        <v>0</v>
      </c>
      <c r="T9123" s="69"/>
      <c r="U9123" s="69"/>
    </row>
    <row r="9124" spans="19:21" ht="15" customHeight="1" x14ac:dyDescent="0.2">
      <c r="S9124" s="69">
        <f>_xlfn.XLOOKUP(Results!A9124,Geometry!$B$6:$B$10000,Geometry!$C$6:$C$10000)</f>
        <v>0</v>
      </c>
      <c r="T9124" s="69"/>
      <c r="U9124" s="69"/>
    </row>
    <row r="9125" spans="19:21" ht="15" customHeight="1" x14ac:dyDescent="0.2">
      <c r="S9125" s="69">
        <f>_xlfn.XLOOKUP(Results!A9125,Geometry!$B$6:$B$10000,Geometry!$C$6:$C$10000)</f>
        <v>0</v>
      </c>
      <c r="T9125" s="69"/>
      <c r="U9125" s="69"/>
    </row>
    <row r="9126" spans="19:21" ht="15" customHeight="1" x14ac:dyDescent="0.2">
      <c r="S9126" s="69">
        <f>_xlfn.XLOOKUP(Results!A9126,Geometry!$B$6:$B$10000,Geometry!$C$6:$C$10000)</f>
        <v>0</v>
      </c>
      <c r="T9126" s="69"/>
      <c r="U9126" s="69"/>
    </row>
    <row r="9127" spans="19:21" ht="15" customHeight="1" x14ac:dyDescent="0.2">
      <c r="S9127" s="69">
        <f>_xlfn.XLOOKUP(Results!A9127,Geometry!$B$6:$B$10000,Geometry!$C$6:$C$10000)</f>
        <v>0</v>
      </c>
      <c r="T9127" s="69"/>
      <c r="U9127" s="69"/>
    </row>
    <row r="9128" spans="19:21" ht="15" customHeight="1" x14ac:dyDescent="0.2">
      <c r="S9128" s="69">
        <f>_xlfn.XLOOKUP(Results!A9128,Geometry!$B$6:$B$10000,Geometry!$C$6:$C$10000)</f>
        <v>0</v>
      </c>
      <c r="T9128" s="69"/>
      <c r="U9128" s="69"/>
    </row>
    <row r="9129" spans="19:21" ht="15" customHeight="1" x14ac:dyDescent="0.2">
      <c r="S9129" s="69">
        <f>_xlfn.XLOOKUP(Results!A9129,Geometry!$B$6:$B$10000,Geometry!$C$6:$C$10000)</f>
        <v>0</v>
      </c>
      <c r="T9129" s="69"/>
      <c r="U9129" s="69"/>
    </row>
    <row r="9130" spans="19:21" ht="15" customHeight="1" x14ac:dyDescent="0.2">
      <c r="S9130" s="69">
        <f>_xlfn.XLOOKUP(Results!A9130,Geometry!$B$6:$B$10000,Geometry!$C$6:$C$10000)</f>
        <v>0</v>
      </c>
      <c r="T9130" s="69"/>
      <c r="U9130" s="69"/>
    </row>
    <row r="9131" spans="19:21" ht="15" customHeight="1" x14ac:dyDescent="0.2">
      <c r="S9131" s="69">
        <f>_xlfn.XLOOKUP(Results!A9131,Geometry!$B$6:$B$10000,Geometry!$C$6:$C$10000)</f>
        <v>0</v>
      </c>
      <c r="T9131" s="69"/>
      <c r="U9131" s="69"/>
    </row>
    <row r="9132" spans="19:21" ht="15" customHeight="1" x14ac:dyDescent="0.2">
      <c r="S9132" s="69">
        <f>_xlfn.XLOOKUP(Results!A9132,Geometry!$B$6:$B$10000,Geometry!$C$6:$C$10000)</f>
        <v>0</v>
      </c>
      <c r="T9132" s="69"/>
      <c r="U9132" s="69"/>
    </row>
    <row r="9133" spans="19:21" ht="15" customHeight="1" x14ac:dyDescent="0.2">
      <c r="S9133" s="69">
        <f>_xlfn.XLOOKUP(Results!A9133,Geometry!$B$6:$B$10000,Geometry!$C$6:$C$10000)</f>
        <v>0</v>
      </c>
      <c r="T9133" s="69"/>
      <c r="U9133" s="69"/>
    </row>
    <row r="9134" spans="19:21" ht="15" customHeight="1" x14ac:dyDescent="0.2">
      <c r="S9134" s="69">
        <f>_xlfn.XLOOKUP(Results!A9134,Geometry!$B$6:$B$10000,Geometry!$C$6:$C$10000)</f>
        <v>0</v>
      </c>
      <c r="T9134" s="69"/>
      <c r="U9134" s="69"/>
    </row>
    <row r="9135" spans="19:21" ht="15" customHeight="1" x14ac:dyDescent="0.2">
      <c r="S9135" s="69">
        <f>_xlfn.XLOOKUP(Results!A9135,Geometry!$B$6:$B$10000,Geometry!$C$6:$C$10000)</f>
        <v>0</v>
      </c>
      <c r="T9135" s="69"/>
      <c r="U9135" s="69"/>
    </row>
    <row r="9136" spans="19:21" ht="15" customHeight="1" x14ac:dyDescent="0.2">
      <c r="S9136" s="69">
        <f>_xlfn.XLOOKUP(Results!A9136,Geometry!$B$6:$B$10000,Geometry!$C$6:$C$10000)</f>
        <v>0</v>
      </c>
      <c r="T9136" s="69"/>
      <c r="U9136" s="69"/>
    </row>
    <row r="9137" spans="19:21" ht="15" customHeight="1" x14ac:dyDescent="0.2">
      <c r="S9137" s="69">
        <f>_xlfn.XLOOKUP(Results!A9137,Geometry!$B$6:$B$10000,Geometry!$C$6:$C$10000)</f>
        <v>0</v>
      </c>
      <c r="T9137" s="69"/>
      <c r="U9137" s="69"/>
    </row>
    <row r="9138" spans="19:21" ht="15" customHeight="1" x14ac:dyDescent="0.2">
      <c r="S9138" s="69">
        <f>_xlfn.XLOOKUP(Results!A9138,Geometry!$B$6:$B$10000,Geometry!$C$6:$C$10000)</f>
        <v>0</v>
      </c>
      <c r="T9138" s="69"/>
      <c r="U9138" s="69"/>
    </row>
    <row r="9139" spans="19:21" ht="15" customHeight="1" x14ac:dyDescent="0.2">
      <c r="S9139" s="69">
        <f>_xlfn.XLOOKUP(Results!A9139,Geometry!$B$6:$B$10000,Geometry!$C$6:$C$10000)</f>
        <v>0</v>
      </c>
      <c r="T9139" s="69"/>
      <c r="U9139" s="69"/>
    </row>
    <row r="9140" spans="19:21" ht="15" customHeight="1" x14ac:dyDescent="0.2">
      <c r="S9140" s="69">
        <f>_xlfn.XLOOKUP(Results!A9140,Geometry!$B$6:$B$10000,Geometry!$C$6:$C$10000)</f>
        <v>0</v>
      </c>
      <c r="T9140" s="69"/>
      <c r="U9140" s="69"/>
    </row>
    <row r="9141" spans="19:21" ht="15" customHeight="1" x14ac:dyDescent="0.2">
      <c r="S9141" s="69">
        <f>_xlfn.XLOOKUP(Results!A9141,Geometry!$B$6:$B$10000,Geometry!$C$6:$C$10000)</f>
        <v>0</v>
      </c>
      <c r="T9141" s="69"/>
      <c r="U9141" s="69"/>
    </row>
    <row r="9142" spans="19:21" ht="15" customHeight="1" x14ac:dyDescent="0.2">
      <c r="S9142" s="69">
        <f>_xlfn.XLOOKUP(Results!A9142,Geometry!$B$6:$B$10000,Geometry!$C$6:$C$10000)</f>
        <v>0</v>
      </c>
      <c r="T9142" s="69"/>
      <c r="U9142" s="69"/>
    </row>
    <row r="9143" spans="19:21" ht="15" customHeight="1" x14ac:dyDescent="0.2">
      <c r="S9143" s="69">
        <f>_xlfn.XLOOKUP(Results!A9143,Geometry!$B$6:$B$10000,Geometry!$C$6:$C$10000)</f>
        <v>0</v>
      </c>
      <c r="T9143" s="69"/>
      <c r="U9143" s="69"/>
    </row>
    <row r="9144" spans="19:21" ht="15" customHeight="1" x14ac:dyDescent="0.2">
      <c r="S9144" s="69">
        <f>_xlfn.XLOOKUP(Results!A9144,Geometry!$B$6:$B$10000,Geometry!$C$6:$C$10000)</f>
        <v>0</v>
      </c>
      <c r="T9144" s="69"/>
      <c r="U9144" s="69"/>
    </row>
    <row r="9145" spans="19:21" ht="15" customHeight="1" x14ac:dyDescent="0.2">
      <c r="S9145" s="69">
        <f>_xlfn.XLOOKUP(Results!A9145,Geometry!$B$6:$B$10000,Geometry!$C$6:$C$10000)</f>
        <v>0</v>
      </c>
      <c r="T9145" s="69"/>
      <c r="U9145" s="69"/>
    </row>
    <row r="9146" spans="19:21" ht="15" customHeight="1" x14ac:dyDescent="0.2">
      <c r="S9146" s="69">
        <f>_xlfn.XLOOKUP(Results!A9146,Geometry!$B$6:$B$10000,Geometry!$C$6:$C$10000)</f>
        <v>0</v>
      </c>
      <c r="T9146" s="69"/>
      <c r="U9146" s="69"/>
    </row>
    <row r="9147" spans="19:21" ht="15" customHeight="1" x14ac:dyDescent="0.2">
      <c r="S9147" s="69">
        <f>_xlfn.XLOOKUP(Results!A9147,Geometry!$B$6:$B$10000,Geometry!$C$6:$C$10000)</f>
        <v>0</v>
      </c>
      <c r="T9147" s="69"/>
      <c r="U9147" s="69"/>
    </row>
    <row r="9148" spans="19:21" ht="15" customHeight="1" x14ac:dyDescent="0.2">
      <c r="S9148" s="69">
        <f>_xlfn.XLOOKUP(Results!A9148,Geometry!$B$6:$B$10000,Geometry!$C$6:$C$10000)</f>
        <v>0</v>
      </c>
      <c r="T9148" s="69"/>
      <c r="U9148" s="69"/>
    </row>
    <row r="9149" spans="19:21" ht="15" customHeight="1" x14ac:dyDescent="0.2">
      <c r="S9149" s="69">
        <f>_xlfn.XLOOKUP(Results!A9149,Geometry!$B$6:$B$10000,Geometry!$C$6:$C$10000)</f>
        <v>0</v>
      </c>
      <c r="T9149" s="69"/>
      <c r="U9149" s="69"/>
    </row>
    <row r="9150" spans="19:21" ht="15" customHeight="1" x14ac:dyDescent="0.2">
      <c r="S9150" s="69">
        <f>_xlfn.XLOOKUP(Results!A9150,Geometry!$B$6:$B$10000,Geometry!$C$6:$C$10000)</f>
        <v>0</v>
      </c>
      <c r="T9150" s="69"/>
      <c r="U9150" s="69"/>
    </row>
    <row r="9151" spans="19:21" ht="15" customHeight="1" x14ac:dyDescent="0.2">
      <c r="S9151" s="69">
        <f>_xlfn.XLOOKUP(Results!A9151,Geometry!$B$6:$B$10000,Geometry!$C$6:$C$10000)</f>
        <v>0</v>
      </c>
      <c r="T9151" s="69"/>
      <c r="U9151" s="69"/>
    </row>
    <row r="9152" spans="19:21" ht="15" customHeight="1" x14ac:dyDescent="0.2">
      <c r="S9152" s="69">
        <f>_xlfn.XLOOKUP(Results!A9152,Geometry!$B$6:$B$10000,Geometry!$C$6:$C$10000)</f>
        <v>0</v>
      </c>
      <c r="T9152" s="69"/>
      <c r="U9152" s="69"/>
    </row>
    <row r="9153" spans="19:21" ht="15" customHeight="1" x14ac:dyDescent="0.2">
      <c r="S9153" s="69">
        <f>_xlfn.XLOOKUP(Results!A9153,Geometry!$B$6:$B$10000,Geometry!$C$6:$C$10000)</f>
        <v>0</v>
      </c>
      <c r="T9153" s="69"/>
      <c r="U9153" s="69"/>
    </row>
    <row r="9154" spans="19:21" ht="15" customHeight="1" x14ac:dyDescent="0.2">
      <c r="S9154" s="69">
        <f>_xlfn.XLOOKUP(Results!A9154,Geometry!$B$6:$B$10000,Geometry!$C$6:$C$10000)</f>
        <v>0</v>
      </c>
      <c r="T9154" s="69"/>
      <c r="U9154" s="69"/>
    </row>
    <row r="9155" spans="19:21" ht="15" customHeight="1" x14ac:dyDescent="0.2">
      <c r="S9155" s="69">
        <f>_xlfn.XLOOKUP(Results!A9155,Geometry!$B$6:$B$10000,Geometry!$C$6:$C$10000)</f>
        <v>0</v>
      </c>
      <c r="T9155" s="69"/>
      <c r="U9155" s="69"/>
    </row>
    <row r="9156" spans="19:21" ht="15" customHeight="1" x14ac:dyDescent="0.2">
      <c r="S9156" s="69">
        <f>_xlfn.XLOOKUP(Results!A9156,Geometry!$B$6:$B$10000,Geometry!$C$6:$C$10000)</f>
        <v>0</v>
      </c>
      <c r="T9156" s="69"/>
      <c r="U9156" s="69"/>
    </row>
    <row r="9157" spans="19:21" ht="15" customHeight="1" x14ac:dyDescent="0.2">
      <c r="S9157" s="69">
        <f>_xlfn.XLOOKUP(Results!A9157,Geometry!$B$6:$B$10000,Geometry!$C$6:$C$10000)</f>
        <v>0</v>
      </c>
      <c r="T9157" s="69"/>
      <c r="U9157" s="69"/>
    </row>
    <row r="9158" spans="19:21" ht="15" customHeight="1" x14ac:dyDescent="0.2">
      <c r="S9158" s="69">
        <f>_xlfn.XLOOKUP(Results!A9158,Geometry!$B$6:$B$10000,Geometry!$C$6:$C$10000)</f>
        <v>0</v>
      </c>
      <c r="T9158" s="69"/>
      <c r="U9158" s="69"/>
    </row>
    <row r="9159" spans="19:21" ht="15" customHeight="1" x14ac:dyDescent="0.2">
      <c r="S9159" s="69">
        <f>_xlfn.XLOOKUP(Results!A9159,Geometry!$B$6:$B$10000,Geometry!$C$6:$C$10000)</f>
        <v>0</v>
      </c>
      <c r="T9159" s="69"/>
      <c r="U9159" s="69"/>
    </row>
    <row r="9160" spans="19:21" ht="15" customHeight="1" x14ac:dyDescent="0.2">
      <c r="S9160" s="69">
        <f>_xlfn.XLOOKUP(Results!A9160,Geometry!$B$6:$B$10000,Geometry!$C$6:$C$10000)</f>
        <v>0</v>
      </c>
      <c r="T9160" s="69"/>
      <c r="U9160" s="69"/>
    </row>
    <row r="9161" spans="19:21" ht="15" customHeight="1" x14ac:dyDescent="0.2">
      <c r="S9161" s="69">
        <f>_xlfn.XLOOKUP(Results!A9161,Geometry!$B$6:$B$10000,Geometry!$C$6:$C$10000)</f>
        <v>0</v>
      </c>
      <c r="T9161" s="69"/>
      <c r="U9161" s="69"/>
    </row>
    <row r="9162" spans="19:21" ht="15" customHeight="1" x14ac:dyDescent="0.2">
      <c r="S9162" s="69">
        <f>_xlfn.XLOOKUP(Results!A9162,Geometry!$B$6:$B$10000,Geometry!$C$6:$C$10000)</f>
        <v>0</v>
      </c>
      <c r="T9162" s="69"/>
      <c r="U9162" s="69"/>
    </row>
    <row r="9163" spans="19:21" ht="15" customHeight="1" x14ac:dyDescent="0.2">
      <c r="S9163" s="69">
        <f>_xlfn.XLOOKUP(Results!A9163,Geometry!$B$6:$B$10000,Geometry!$C$6:$C$10000)</f>
        <v>0</v>
      </c>
      <c r="T9163" s="69"/>
      <c r="U9163" s="69"/>
    </row>
    <row r="9164" spans="19:21" ht="15" customHeight="1" x14ac:dyDescent="0.2">
      <c r="S9164" s="69">
        <f>_xlfn.XLOOKUP(Results!A9164,Geometry!$B$6:$B$10000,Geometry!$C$6:$C$10000)</f>
        <v>0</v>
      </c>
      <c r="T9164" s="69"/>
      <c r="U9164" s="69"/>
    </row>
    <row r="9165" spans="19:21" ht="15" customHeight="1" x14ac:dyDescent="0.2">
      <c r="S9165" s="69">
        <f>_xlfn.XLOOKUP(Results!A9165,Geometry!$B$6:$B$10000,Geometry!$C$6:$C$10000)</f>
        <v>0</v>
      </c>
      <c r="T9165" s="69"/>
      <c r="U9165" s="69"/>
    </row>
    <row r="9166" spans="19:21" ht="15" customHeight="1" x14ac:dyDescent="0.2">
      <c r="S9166" s="69">
        <f>_xlfn.XLOOKUP(Results!A9166,Geometry!$B$6:$B$10000,Geometry!$C$6:$C$10000)</f>
        <v>0</v>
      </c>
      <c r="T9166" s="69"/>
      <c r="U9166" s="69"/>
    </row>
    <row r="9167" spans="19:21" ht="15" customHeight="1" x14ac:dyDescent="0.2">
      <c r="S9167" s="69">
        <f>_xlfn.XLOOKUP(Results!A9167,Geometry!$B$6:$B$10000,Geometry!$C$6:$C$10000)</f>
        <v>0</v>
      </c>
      <c r="T9167" s="69"/>
      <c r="U9167" s="69"/>
    </row>
    <row r="9168" spans="19:21" ht="15" customHeight="1" x14ac:dyDescent="0.2">
      <c r="S9168" s="69">
        <f>_xlfn.XLOOKUP(Results!A9168,Geometry!$B$6:$B$10000,Geometry!$C$6:$C$10000)</f>
        <v>0</v>
      </c>
      <c r="T9168" s="69"/>
      <c r="U9168" s="69"/>
    </row>
    <row r="9169" spans="19:21" ht="15" customHeight="1" x14ac:dyDescent="0.2">
      <c r="S9169" s="69">
        <f>_xlfn.XLOOKUP(Results!A9169,Geometry!$B$6:$B$10000,Geometry!$C$6:$C$10000)</f>
        <v>0</v>
      </c>
      <c r="T9169" s="69"/>
      <c r="U9169" s="69"/>
    </row>
    <row r="9170" spans="19:21" ht="15" customHeight="1" x14ac:dyDescent="0.2">
      <c r="S9170" s="69">
        <f>_xlfn.XLOOKUP(Results!A9170,Geometry!$B$6:$B$10000,Geometry!$C$6:$C$10000)</f>
        <v>0</v>
      </c>
      <c r="T9170" s="69"/>
      <c r="U9170" s="69"/>
    </row>
    <row r="9171" spans="19:21" ht="15" customHeight="1" x14ac:dyDescent="0.2">
      <c r="S9171" s="69">
        <f>_xlfn.XLOOKUP(Results!A9171,Geometry!$B$6:$B$10000,Geometry!$C$6:$C$10000)</f>
        <v>0</v>
      </c>
      <c r="T9171" s="69"/>
      <c r="U9171" s="69"/>
    </row>
    <row r="9172" spans="19:21" ht="15" customHeight="1" x14ac:dyDescent="0.2">
      <c r="S9172" s="69">
        <f>_xlfn.XLOOKUP(Results!A9172,Geometry!$B$6:$B$10000,Geometry!$C$6:$C$10000)</f>
        <v>0</v>
      </c>
      <c r="T9172" s="69"/>
      <c r="U9172" s="69"/>
    </row>
    <row r="9173" spans="19:21" ht="15" customHeight="1" x14ac:dyDescent="0.2">
      <c r="S9173" s="69">
        <f>_xlfn.XLOOKUP(Results!A9173,Geometry!$B$6:$B$10000,Geometry!$C$6:$C$10000)</f>
        <v>0</v>
      </c>
      <c r="T9173" s="69"/>
      <c r="U9173" s="69"/>
    </row>
    <row r="9174" spans="19:21" ht="15" customHeight="1" x14ac:dyDescent="0.2">
      <c r="S9174" s="69">
        <f>_xlfn.XLOOKUP(Results!A9174,Geometry!$B$6:$B$10000,Geometry!$C$6:$C$10000)</f>
        <v>0</v>
      </c>
      <c r="T9174" s="69"/>
      <c r="U9174" s="69"/>
    </row>
    <row r="9175" spans="19:21" ht="15" customHeight="1" x14ac:dyDescent="0.2">
      <c r="S9175" s="69">
        <f>_xlfn.XLOOKUP(Results!A9175,Geometry!$B$6:$B$10000,Geometry!$C$6:$C$10000)</f>
        <v>0</v>
      </c>
      <c r="T9175" s="69"/>
      <c r="U9175" s="69"/>
    </row>
    <row r="9176" spans="19:21" ht="15" customHeight="1" x14ac:dyDescent="0.2">
      <c r="S9176" s="69">
        <f>_xlfn.XLOOKUP(Results!A9176,Geometry!$B$6:$B$10000,Geometry!$C$6:$C$10000)</f>
        <v>0</v>
      </c>
      <c r="T9176" s="69"/>
      <c r="U9176" s="69"/>
    </row>
    <row r="9177" spans="19:21" ht="15" customHeight="1" x14ac:dyDescent="0.2">
      <c r="S9177" s="69">
        <f>_xlfn.XLOOKUP(Results!A9177,Geometry!$B$6:$B$10000,Geometry!$C$6:$C$10000)</f>
        <v>0</v>
      </c>
      <c r="T9177" s="69"/>
      <c r="U9177" s="69"/>
    </row>
    <row r="9178" spans="19:21" ht="15" customHeight="1" x14ac:dyDescent="0.2">
      <c r="S9178" s="69">
        <f>_xlfn.XLOOKUP(Results!A9178,Geometry!$B$6:$B$10000,Geometry!$C$6:$C$10000)</f>
        <v>0</v>
      </c>
      <c r="T9178" s="69"/>
      <c r="U9178" s="69"/>
    </row>
    <row r="9179" spans="19:21" ht="15" customHeight="1" x14ac:dyDescent="0.2">
      <c r="S9179" s="69">
        <f>_xlfn.XLOOKUP(Results!A9179,Geometry!$B$6:$B$10000,Geometry!$C$6:$C$10000)</f>
        <v>0</v>
      </c>
      <c r="T9179" s="69"/>
      <c r="U9179" s="69"/>
    </row>
    <row r="9180" spans="19:21" ht="15" customHeight="1" x14ac:dyDescent="0.2">
      <c r="S9180" s="69">
        <f>_xlfn.XLOOKUP(Results!A9180,Geometry!$B$6:$B$10000,Geometry!$C$6:$C$10000)</f>
        <v>0</v>
      </c>
      <c r="T9180" s="69"/>
      <c r="U9180" s="69"/>
    </row>
    <row r="9181" spans="19:21" ht="15" customHeight="1" x14ac:dyDescent="0.2">
      <c r="S9181" s="69">
        <f>_xlfn.XLOOKUP(Results!A9181,Geometry!$B$6:$B$10000,Geometry!$C$6:$C$10000)</f>
        <v>0</v>
      </c>
      <c r="T9181" s="69"/>
      <c r="U9181" s="69"/>
    </row>
    <row r="9182" spans="19:21" ht="15" customHeight="1" x14ac:dyDescent="0.2">
      <c r="S9182" s="69">
        <f>_xlfn.XLOOKUP(Results!A9182,Geometry!$B$6:$B$10000,Geometry!$C$6:$C$10000)</f>
        <v>0</v>
      </c>
      <c r="T9182" s="69"/>
      <c r="U9182" s="69"/>
    </row>
    <row r="9183" spans="19:21" ht="15" customHeight="1" x14ac:dyDescent="0.2">
      <c r="S9183" s="69">
        <f>_xlfn.XLOOKUP(Results!A9183,Geometry!$B$6:$B$10000,Geometry!$C$6:$C$10000)</f>
        <v>0</v>
      </c>
      <c r="T9183" s="69"/>
      <c r="U9183" s="69"/>
    </row>
    <row r="9184" spans="19:21" ht="15" customHeight="1" x14ac:dyDescent="0.2">
      <c r="S9184" s="69">
        <f>_xlfn.XLOOKUP(Results!A9184,Geometry!$B$6:$B$10000,Geometry!$C$6:$C$10000)</f>
        <v>0</v>
      </c>
      <c r="T9184" s="69"/>
      <c r="U9184" s="69"/>
    </row>
    <row r="9185" spans="19:21" ht="15" customHeight="1" x14ac:dyDescent="0.2">
      <c r="S9185" s="69">
        <f>_xlfn.XLOOKUP(Results!A9185,Geometry!$B$6:$B$10000,Geometry!$C$6:$C$10000)</f>
        <v>0</v>
      </c>
      <c r="T9185" s="69"/>
      <c r="U9185" s="69"/>
    </row>
    <row r="9186" spans="19:21" ht="15" customHeight="1" x14ac:dyDescent="0.2">
      <c r="S9186" s="69">
        <f>_xlfn.XLOOKUP(Results!A9186,Geometry!$B$6:$B$10000,Geometry!$C$6:$C$10000)</f>
        <v>0</v>
      </c>
      <c r="T9186" s="69"/>
      <c r="U9186" s="69"/>
    </row>
    <row r="9187" spans="19:21" ht="15" customHeight="1" x14ac:dyDescent="0.2">
      <c r="S9187" s="69">
        <f>_xlfn.XLOOKUP(Results!A9187,Geometry!$B$6:$B$10000,Geometry!$C$6:$C$10000)</f>
        <v>0</v>
      </c>
      <c r="T9187" s="69"/>
      <c r="U9187" s="69"/>
    </row>
    <row r="9188" spans="19:21" ht="15" customHeight="1" x14ac:dyDescent="0.2">
      <c r="S9188" s="69">
        <f>_xlfn.XLOOKUP(Results!A9188,Geometry!$B$6:$B$10000,Geometry!$C$6:$C$10000)</f>
        <v>0</v>
      </c>
      <c r="T9188" s="69"/>
      <c r="U9188" s="69"/>
    </row>
    <row r="9189" spans="19:21" ht="15" customHeight="1" x14ac:dyDescent="0.2">
      <c r="S9189" s="69">
        <f>_xlfn.XLOOKUP(Results!A9189,Geometry!$B$6:$B$10000,Geometry!$C$6:$C$10000)</f>
        <v>0</v>
      </c>
      <c r="T9189" s="69"/>
      <c r="U9189" s="69"/>
    </row>
    <row r="9190" spans="19:21" ht="15" customHeight="1" x14ac:dyDescent="0.2">
      <c r="S9190" s="69">
        <f>_xlfn.XLOOKUP(Results!A9190,Geometry!$B$6:$B$10000,Geometry!$C$6:$C$10000)</f>
        <v>0</v>
      </c>
      <c r="T9190" s="69"/>
      <c r="U9190" s="69"/>
    </row>
    <row r="9191" spans="19:21" ht="15" customHeight="1" x14ac:dyDescent="0.2">
      <c r="S9191" s="69">
        <f>_xlfn.XLOOKUP(Results!A9191,Geometry!$B$6:$B$10000,Geometry!$C$6:$C$10000)</f>
        <v>0</v>
      </c>
      <c r="T9191" s="69"/>
      <c r="U9191" s="69"/>
    </row>
    <row r="9192" spans="19:21" ht="15" customHeight="1" x14ac:dyDescent="0.2">
      <c r="S9192" s="69">
        <f>_xlfn.XLOOKUP(Results!A9192,Geometry!$B$6:$B$10000,Geometry!$C$6:$C$10000)</f>
        <v>0</v>
      </c>
      <c r="T9192" s="69"/>
      <c r="U9192" s="69"/>
    </row>
    <row r="9193" spans="19:21" ht="15" customHeight="1" x14ac:dyDescent="0.2">
      <c r="S9193" s="69">
        <f>_xlfn.XLOOKUP(Results!A9193,Geometry!$B$6:$B$10000,Geometry!$C$6:$C$10000)</f>
        <v>0</v>
      </c>
      <c r="T9193" s="69"/>
      <c r="U9193" s="69"/>
    </row>
    <row r="9194" spans="19:21" ht="15" customHeight="1" x14ac:dyDescent="0.2">
      <c r="S9194" s="69">
        <f>_xlfn.XLOOKUP(Results!A9194,Geometry!$B$6:$B$10000,Geometry!$C$6:$C$10000)</f>
        <v>0</v>
      </c>
      <c r="T9194" s="69"/>
      <c r="U9194" s="69"/>
    </row>
    <row r="9195" spans="19:21" ht="15" customHeight="1" x14ac:dyDescent="0.2">
      <c r="S9195" s="69">
        <f>_xlfn.XLOOKUP(Results!A9195,Geometry!$B$6:$B$10000,Geometry!$C$6:$C$10000)</f>
        <v>0</v>
      </c>
      <c r="T9195" s="69"/>
      <c r="U9195" s="69"/>
    </row>
    <row r="9196" spans="19:21" ht="15" customHeight="1" x14ac:dyDescent="0.2">
      <c r="S9196" s="69">
        <f>_xlfn.XLOOKUP(Results!A9196,Geometry!$B$6:$B$10000,Geometry!$C$6:$C$10000)</f>
        <v>0</v>
      </c>
      <c r="T9196" s="69"/>
      <c r="U9196" s="69"/>
    </row>
    <row r="9197" spans="19:21" ht="15" customHeight="1" x14ac:dyDescent="0.2">
      <c r="S9197" s="69">
        <f>_xlfn.XLOOKUP(Results!A9197,Geometry!$B$6:$B$10000,Geometry!$C$6:$C$10000)</f>
        <v>0</v>
      </c>
      <c r="T9197" s="69"/>
      <c r="U9197" s="69"/>
    </row>
    <row r="9198" spans="19:21" ht="15" customHeight="1" x14ac:dyDescent="0.2">
      <c r="S9198" s="69">
        <f>_xlfn.XLOOKUP(Results!A9198,Geometry!$B$6:$B$10000,Geometry!$C$6:$C$10000)</f>
        <v>0</v>
      </c>
      <c r="T9198" s="69"/>
      <c r="U9198" s="69"/>
    </row>
    <row r="9199" spans="19:21" ht="15" customHeight="1" x14ac:dyDescent="0.2">
      <c r="S9199" s="69">
        <f>_xlfn.XLOOKUP(Results!A9199,Geometry!$B$6:$B$10000,Geometry!$C$6:$C$10000)</f>
        <v>0</v>
      </c>
      <c r="T9199" s="69"/>
      <c r="U9199" s="69"/>
    </row>
    <row r="9200" spans="19:21" ht="15" customHeight="1" x14ac:dyDescent="0.2">
      <c r="S9200" s="69">
        <f>_xlfn.XLOOKUP(Results!A9200,Geometry!$B$6:$B$10000,Geometry!$C$6:$C$10000)</f>
        <v>0</v>
      </c>
      <c r="T9200" s="69"/>
      <c r="U9200" s="69"/>
    </row>
    <row r="9201" spans="19:21" ht="15" customHeight="1" x14ac:dyDescent="0.2">
      <c r="S9201" s="69">
        <f>_xlfn.XLOOKUP(Results!A9201,Geometry!$B$6:$B$10000,Geometry!$C$6:$C$10000)</f>
        <v>0</v>
      </c>
      <c r="T9201" s="69"/>
      <c r="U9201" s="69"/>
    </row>
    <row r="9202" spans="19:21" ht="15" customHeight="1" x14ac:dyDescent="0.2">
      <c r="S9202" s="69">
        <f>_xlfn.XLOOKUP(Results!A9202,Geometry!$B$6:$B$10000,Geometry!$C$6:$C$10000)</f>
        <v>0</v>
      </c>
      <c r="T9202" s="69"/>
      <c r="U9202" s="69"/>
    </row>
    <row r="9203" spans="19:21" ht="15" customHeight="1" x14ac:dyDescent="0.2">
      <c r="S9203" s="69">
        <f>_xlfn.XLOOKUP(Results!A9203,Geometry!$B$6:$B$10000,Geometry!$C$6:$C$10000)</f>
        <v>0</v>
      </c>
      <c r="T9203" s="69"/>
      <c r="U9203" s="69"/>
    </row>
    <row r="9204" spans="19:21" ht="15" customHeight="1" x14ac:dyDescent="0.2">
      <c r="S9204" s="69">
        <f>_xlfn.XLOOKUP(Results!A9204,Geometry!$B$6:$B$10000,Geometry!$C$6:$C$10000)</f>
        <v>0</v>
      </c>
      <c r="T9204" s="69"/>
      <c r="U9204" s="69"/>
    </row>
    <row r="9205" spans="19:21" ht="15" customHeight="1" x14ac:dyDescent="0.2">
      <c r="S9205" s="69">
        <f>_xlfn.XLOOKUP(Results!A9205,Geometry!$B$6:$B$10000,Geometry!$C$6:$C$10000)</f>
        <v>0</v>
      </c>
      <c r="T9205" s="69"/>
      <c r="U9205" s="69"/>
    </row>
    <row r="9206" spans="19:21" ht="15" customHeight="1" x14ac:dyDescent="0.2">
      <c r="S9206" s="69">
        <f>_xlfn.XLOOKUP(Results!A9206,Geometry!$B$6:$B$10000,Geometry!$C$6:$C$10000)</f>
        <v>0</v>
      </c>
      <c r="T9206" s="69"/>
      <c r="U9206" s="69"/>
    </row>
    <row r="9207" spans="19:21" ht="15" customHeight="1" x14ac:dyDescent="0.2">
      <c r="S9207" s="69">
        <f>_xlfn.XLOOKUP(Results!A9207,Geometry!$B$6:$B$10000,Geometry!$C$6:$C$10000)</f>
        <v>0</v>
      </c>
      <c r="T9207" s="69"/>
      <c r="U9207" s="69"/>
    </row>
    <row r="9208" spans="19:21" ht="15" customHeight="1" x14ac:dyDescent="0.2">
      <c r="S9208" s="69">
        <f>_xlfn.XLOOKUP(Results!A9208,Geometry!$B$6:$B$10000,Geometry!$C$6:$C$10000)</f>
        <v>0</v>
      </c>
      <c r="T9208" s="69"/>
      <c r="U9208" s="69"/>
    </row>
    <row r="9209" spans="19:21" ht="15" customHeight="1" x14ac:dyDescent="0.2">
      <c r="S9209" s="69">
        <f>_xlfn.XLOOKUP(Results!A9209,Geometry!$B$6:$B$10000,Geometry!$C$6:$C$10000)</f>
        <v>0</v>
      </c>
      <c r="T9209" s="69"/>
      <c r="U9209" s="69"/>
    </row>
    <row r="9210" spans="19:21" ht="15" customHeight="1" x14ac:dyDescent="0.2">
      <c r="S9210" s="69">
        <f>_xlfn.XLOOKUP(Results!A9210,Geometry!$B$6:$B$10000,Geometry!$C$6:$C$10000)</f>
        <v>0</v>
      </c>
      <c r="T9210" s="69"/>
      <c r="U9210" s="69"/>
    </row>
    <row r="9211" spans="19:21" ht="15" customHeight="1" x14ac:dyDescent="0.2">
      <c r="S9211" s="69">
        <f>_xlfn.XLOOKUP(Results!A9211,Geometry!$B$6:$B$10000,Geometry!$C$6:$C$10000)</f>
        <v>0</v>
      </c>
      <c r="T9211" s="69"/>
      <c r="U9211" s="69"/>
    </row>
    <row r="9212" spans="19:21" ht="15" customHeight="1" x14ac:dyDescent="0.2">
      <c r="S9212" s="69">
        <f>_xlfn.XLOOKUP(Results!A9212,Geometry!$B$6:$B$10000,Geometry!$C$6:$C$10000)</f>
        <v>0</v>
      </c>
      <c r="T9212" s="69"/>
      <c r="U9212" s="69"/>
    </row>
    <row r="9213" spans="19:21" ht="15" customHeight="1" x14ac:dyDescent="0.2">
      <c r="S9213" s="69">
        <f>_xlfn.XLOOKUP(Results!A9213,Geometry!$B$6:$B$10000,Geometry!$C$6:$C$10000)</f>
        <v>0</v>
      </c>
      <c r="T9213" s="69"/>
      <c r="U9213" s="69"/>
    </row>
    <row r="9214" spans="19:21" ht="15" customHeight="1" x14ac:dyDescent="0.2">
      <c r="S9214" s="69">
        <f>_xlfn.XLOOKUP(Results!A9214,Geometry!$B$6:$B$10000,Geometry!$C$6:$C$10000)</f>
        <v>0</v>
      </c>
      <c r="T9214" s="69"/>
      <c r="U9214" s="69"/>
    </row>
    <row r="9215" spans="19:21" ht="15" customHeight="1" x14ac:dyDescent="0.2">
      <c r="S9215" s="69">
        <f>_xlfn.XLOOKUP(Results!A9215,Geometry!$B$6:$B$10000,Geometry!$C$6:$C$10000)</f>
        <v>0</v>
      </c>
      <c r="T9215" s="69"/>
      <c r="U9215" s="69"/>
    </row>
    <row r="9216" spans="19:21" ht="15" customHeight="1" x14ac:dyDescent="0.2">
      <c r="S9216" s="69">
        <f>_xlfn.XLOOKUP(Results!A9216,Geometry!$B$6:$B$10000,Geometry!$C$6:$C$10000)</f>
        <v>0</v>
      </c>
      <c r="T9216" s="69"/>
      <c r="U9216" s="69"/>
    </row>
    <row r="9217" spans="19:21" ht="15" customHeight="1" x14ac:dyDescent="0.2">
      <c r="S9217" s="69">
        <f>_xlfn.XLOOKUP(Results!A9217,Geometry!$B$6:$B$10000,Geometry!$C$6:$C$10000)</f>
        <v>0</v>
      </c>
      <c r="T9217" s="69"/>
      <c r="U9217" s="69"/>
    </row>
    <row r="9218" spans="19:21" ht="15" customHeight="1" x14ac:dyDescent="0.2">
      <c r="S9218" s="69">
        <f>_xlfn.XLOOKUP(Results!A9218,Geometry!$B$6:$B$10000,Geometry!$C$6:$C$10000)</f>
        <v>0</v>
      </c>
      <c r="T9218" s="69"/>
      <c r="U9218" s="69"/>
    </row>
    <row r="9219" spans="19:21" ht="15" customHeight="1" x14ac:dyDescent="0.2">
      <c r="S9219" s="69">
        <f>_xlfn.XLOOKUP(Results!A9219,Geometry!$B$6:$B$10000,Geometry!$C$6:$C$10000)</f>
        <v>0</v>
      </c>
      <c r="T9219" s="69"/>
      <c r="U9219" s="69"/>
    </row>
    <row r="9220" spans="19:21" ht="15" customHeight="1" x14ac:dyDescent="0.2">
      <c r="S9220" s="69">
        <f>_xlfn.XLOOKUP(Results!A9220,Geometry!$B$6:$B$10000,Geometry!$C$6:$C$10000)</f>
        <v>0</v>
      </c>
      <c r="T9220" s="69"/>
      <c r="U9220" s="69"/>
    </row>
    <row r="9221" spans="19:21" ht="15" customHeight="1" x14ac:dyDescent="0.2">
      <c r="S9221" s="69">
        <f>_xlfn.XLOOKUP(Results!A9221,Geometry!$B$6:$B$10000,Geometry!$C$6:$C$10000)</f>
        <v>0</v>
      </c>
      <c r="T9221" s="69"/>
      <c r="U9221" s="69"/>
    </row>
    <row r="9222" spans="19:21" ht="15" customHeight="1" x14ac:dyDescent="0.2">
      <c r="S9222" s="69">
        <f>_xlfn.XLOOKUP(Results!A9222,Geometry!$B$6:$B$10000,Geometry!$C$6:$C$10000)</f>
        <v>0</v>
      </c>
      <c r="T9222" s="69"/>
      <c r="U9222" s="69"/>
    </row>
    <row r="9223" spans="19:21" ht="15" customHeight="1" x14ac:dyDescent="0.2">
      <c r="S9223" s="69">
        <f>_xlfn.XLOOKUP(Results!A9223,Geometry!$B$6:$B$10000,Geometry!$C$6:$C$10000)</f>
        <v>0</v>
      </c>
      <c r="T9223" s="69"/>
      <c r="U9223" s="69"/>
    </row>
    <row r="9224" spans="19:21" ht="15" customHeight="1" x14ac:dyDescent="0.2">
      <c r="S9224" s="69">
        <f>_xlfn.XLOOKUP(Results!A9224,Geometry!$B$6:$B$10000,Geometry!$C$6:$C$10000)</f>
        <v>0</v>
      </c>
      <c r="T9224" s="69"/>
      <c r="U9224" s="69"/>
    </row>
    <row r="9225" spans="19:21" ht="15" customHeight="1" x14ac:dyDescent="0.2">
      <c r="S9225" s="69">
        <f>_xlfn.XLOOKUP(Results!A9225,Geometry!$B$6:$B$10000,Geometry!$C$6:$C$10000)</f>
        <v>0</v>
      </c>
      <c r="T9225" s="69"/>
      <c r="U9225" s="69"/>
    </row>
    <row r="9226" spans="19:21" ht="15" customHeight="1" x14ac:dyDescent="0.2">
      <c r="S9226" s="69">
        <f>_xlfn.XLOOKUP(Results!A9226,Geometry!$B$6:$B$10000,Geometry!$C$6:$C$10000)</f>
        <v>0</v>
      </c>
      <c r="T9226" s="69"/>
      <c r="U9226" s="69"/>
    </row>
    <row r="9227" spans="19:21" ht="15" customHeight="1" x14ac:dyDescent="0.2">
      <c r="S9227" s="69">
        <f>_xlfn.XLOOKUP(Results!A9227,Geometry!$B$6:$B$10000,Geometry!$C$6:$C$10000)</f>
        <v>0</v>
      </c>
      <c r="T9227" s="69"/>
      <c r="U9227" s="69"/>
    </row>
    <row r="9228" spans="19:21" ht="15" customHeight="1" x14ac:dyDescent="0.2">
      <c r="S9228" s="69">
        <f>_xlfn.XLOOKUP(Results!A9228,Geometry!$B$6:$B$10000,Geometry!$C$6:$C$10000)</f>
        <v>0</v>
      </c>
      <c r="T9228" s="69"/>
      <c r="U9228" s="69"/>
    </row>
    <row r="9229" spans="19:21" ht="15" customHeight="1" x14ac:dyDescent="0.2">
      <c r="S9229" s="69">
        <f>_xlfn.XLOOKUP(Results!A9229,Geometry!$B$6:$B$10000,Geometry!$C$6:$C$10000)</f>
        <v>0</v>
      </c>
      <c r="T9229" s="69"/>
      <c r="U9229" s="69"/>
    </row>
    <row r="9230" spans="19:21" ht="15" customHeight="1" x14ac:dyDescent="0.2">
      <c r="S9230" s="69">
        <f>_xlfn.XLOOKUP(Results!A9230,Geometry!$B$6:$B$10000,Geometry!$C$6:$C$10000)</f>
        <v>0</v>
      </c>
      <c r="T9230" s="69"/>
      <c r="U9230" s="69"/>
    </row>
    <row r="9231" spans="19:21" ht="15" customHeight="1" x14ac:dyDescent="0.2">
      <c r="S9231" s="69">
        <f>_xlfn.XLOOKUP(Results!A9231,Geometry!$B$6:$B$10000,Geometry!$C$6:$C$10000)</f>
        <v>0</v>
      </c>
      <c r="T9231" s="69"/>
      <c r="U9231" s="69"/>
    </row>
    <row r="9232" spans="19:21" ht="15" customHeight="1" x14ac:dyDescent="0.2">
      <c r="S9232" s="69">
        <f>_xlfn.XLOOKUP(Results!A9232,Geometry!$B$6:$B$10000,Geometry!$C$6:$C$10000)</f>
        <v>0</v>
      </c>
      <c r="T9232" s="69"/>
      <c r="U9232" s="69"/>
    </row>
    <row r="9233" spans="19:21" ht="15" customHeight="1" x14ac:dyDescent="0.2">
      <c r="S9233" s="69">
        <f>_xlfn.XLOOKUP(Results!A9233,Geometry!$B$6:$B$10000,Geometry!$C$6:$C$10000)</f>
        <v>0</v>
      </c>
      <c r="T9233" s="69"/>
      <c r="U9233" s="69"/>
    </row>
    <row r="9234" spans="19:21" ht="15" customHeight="1" x14ac:dyDescent="0.2">
      <c r="S9234" s="69">
        <f>_xlfn.XLOOKUP(Results!A9234,Geometry!$B$6:$B$10000,Geometry!$C$6:$C$10000)</f>
        <v>0</v>
      </c>
      <c r="T9234" s="69"/>
      <c r="U9234" s="69"/>
    </row>
    <row r="9235" spans="19:21" ht="15" customHeight="1" x14ac:dyDescent="0.2">
      <c r="S9235" s="69">
        <f>_xlfn.XLOOKUP(Results!A9235,Geometry!$B$6:$B$10000,Geometry!$C$6:$C$10000)</f>
        <v>0</v>
      </c>
      <c r="T9235" s="69"/>
      <c r="U9235" s="69"/>
    </row>
    <row r="9236" spans="19:21" ht="15" customHeight="1" x14ac:dyDescent="0.2">
      <c r="S9236" s="69">
        <f>_xlfn.XLOOKUP(Results!A9236,Geometry!$B$6:$B$10000,Geometry!$C$6:$C$10000)</f>
        <v>0</v>
      </c>
      <c r="T9236" s="69"/>
      <c r="U9236" s="69"/>
    </row>
    <row r="9237" spans="19:21" ht="15" customHeight="1" x14ac:dyDescent="0.2">
      <c r="S9237" s="69">
        <f>_xlfn.XLOOKUP(Results!A9237,Geometry!$B$6:$B$10000,Geometry!$C$6:$C$10000)</f>
        <v>0</v>
      </c>
      <c r="T9237" s="69"/>
      <c r="U9237" s="69"/>
    </row>
    <row r="9238" spans="19:21" ht="15" customHeight="1" x14ac:dyDescent="0.2">
      <c r="S9238" s="69">
        <f>_xlfn.XLOOKUP(Results!A9238,Geometry!$B$6:$B$10000,Geometry!$C$6:$C$10000)</f>
        <v>0</v>
      </c>
      <c r="T9238" s="69"/>
      <c r="U9238" s="69"/>
    </row>
    <row r="9239" spans="19:21" ht="15" customHeight="1" x14ac:dyDescent="0.2">
      <c r="S9239" s="69">
        <f>_xlfn.XLOOKUP(Results!A9239,Geometry!$B$6:$B$10000,Geometry!$C$6:$C$10000)</f>
        <v>0</v>
      </c>
      <c r="T9239" s="69"/>
      <c r="U9239" s="69"/>
    </row>
    <row r="9240" spans="19:21" ht="15" customHeight="1" x14ac:dyDescent="0.2">
      <c r="S9240" s="69">
        <f>_xlfn.XLOOKUP(Results!A9240,Geometry!$B$6:$B$10000,Geometry!$C$6:$C$10000)</f>
        <v>0</v>
      </c>
      <c r="T9240" s="69"/>
      <c r="U9240" s="69"/>
    </row>
    <row r="9241" spans="19:21" ht="15" customHeight="1" x14ac:dyDescent="0.2">
      <c r="S9241" s="69">
        <f>_xlfn.XLOOKUP(Results!A9241,Geometry!$B$6:$B$10000,Geometry!$C$6:$C$10000)</f>
        <v>0</v>
      </c>
      <c r="T9241" s="69"/>
      <c r="U9241" s="69"/>
    </row>
    <row r="9242" spans="19:21" ht="15" customHeight="1" x14ac:dyDescent="0.2">
      <c r="S9242" s="69">
        <f>_xlfn.XLOOKUP(Results!A9242,Geometry!$B$6:$B$10000,Geometry!$C$6:$C$10000)</f>
        <v>0</v>
      </c>
      <c r="T9242" s="69"/>
      <c r="U9242" s="69"/>
    </row>
    <row r="9243" spans="19:21" ht="15" customHeight="1" x14ac:dyDescent="0.2">
      <c r="S9243" s="69">
        <f>_xlfn.XLOOKUP(Results!A9243,Geometry!$B$6:$B$10000,Geometry!$C$6:$C$10000)</f>
        <v>0</v>
      </c>
      <c r="T9243" s="69"/>
      <c r="U9243" s="69"/>
    </row>
    <row r="9244" spans="19:21" ht="15" customHeight="1" x14ac:dyDescent="0.2">
      <c r="S9244" s="69">
        <f>_xlfn.XLOOKUP(Results!A9244,Geometry!$B$6:$B$10000,Geometry!$C$6:$C$10000)</f>
        <v>0</v>
      </c>
      <c r="T9244" s="69"/>
      <c r="U9244" s="69"/>
    </row>
    <row r="9245" spans="19:21" ht="15" customHeight="1" x14ac:dyDescent="0.2">
      <c r="S9245" s="69">
        <f>_xlfn.XLOOKUP(Results!A9245,Geometry!$B$6:$B$10000,Geometry!$C$6:$C$10000)</f>
        <v>0</v>
      </c>
      <c r="T9245" s="69"/>
      <c r="U9245" s="69"/>
    </row>
    <row r="9246" spans="19:21" ht="15" customHeight="1" x14ac:dyDescent="0.2">
      <c r="S9246" s="69">
        <f>_xlfn.XLOOKUP(Results!A9246,Geometry!$B$6:$B$10000,Geometry!$C$6:$C$10000)</f>
        <v>0</v>
      </c>
      <c r="T9246" s="69"/>
      <c r="U9246" s="69"/>
    </row>
    <row r="9247" spans="19:21" ht="15" customHeight="1" x14ac:dyDescent="0.2">
      <c r="S9247" s="69">
        <f>_xlfn.XLOOKUP(Results!A9247,Geometry!$B$6:$B$10000,Geometry!$C$6:$C$10000)</f>
        <v>0</v>
      </c>
      <c r="T9247" s="69"/>
      <c r="U9247" s="69"/>
    </row>
    <row r="9248" spans="19:21" ht="15" customHeight="1" x14ac:dyDescent="0.2">
      <c r="S9248" s="69">
        <f>_xlfn.XLOOKUP(Results!A9248,Geometry!$B$6:$B$10000,Geometry!$C$6:$C$10000)</f>
        <v>0</v>
      </c>
      <c r="T9248" s="69"/>
      <c r="U9248" s="69"/>
    </row>
    <row r="9249" spans="19:21" ht="15" customHeight="1" x14ac:dyDescent="0.2">
      <c r="S9249" s="69">
        <f>_xlfn.XLOOKUP(Results!A9249,Geometry!$B$6:$B$10000,Geometry!$C$6:$C$10000)</f>
        <v>0</v>
      </c>
      <c r="T9249" s="69"/>
      <c r="U9249" s="69"/>
    </row>
    <row r="9250" spans="19:21" ht="15" customHeight="1" x14ac:dyDescent="0.2">
      <c r="S9250" s="69">
        <f>_xlfn.XLOOKUP(Results!A9250,Geometry!$B$6:$B$10000,Geometry!$C$6:$C$10000)</f>
        <v>0</v>
      </c>
      <c r="T9250" s="69"/>
      <c r="U9250" s="69"/>
    </row>
    <row r="9251" spans="19:21" ht="15" customHeight="1" x14ac:dyDescent="0.2">
      <c r="S9251" s="69">
        <f>_xlfn.XLOOKUP(Results!A9251,Geometry!$B$6:$B$10000,Geometry!$C$6:$C$10000)</f>
        <v>0</v>
      </c>
      <c r="T9251" s="69"/>
      <c r="U9251" s="69"/>
    </row>
    <row r="9252" spans="19:21" ht="15" customHeight="1" x14ac:dyDescent="0.2">
      <c r="S9252" s="69">
        <f>_xlfn.XLOOKUP(Results!A9252,Geometry!$B$6:$B$10000,Geometry!$C$6:$C$10000)</f>
        <v>0</v>
      </c>
      <c r="T9252" s="69"/>
      <c r="U9252" s="69"/>
    </row>
    <row r="9253" spans="19:21" ht="15" customHeight="1" x14ac:dyDescent="0.2">
      <c r="S9253" s="69">
        <f>_xlfn.XLOOKUP(Results!A9253,Geometry!$B$6:$B$10000,Geometry!$C$6:$C$10000)</f>
        <v>0</v>
      </c>
      <c r="T9253" s="69"/>
      <c r="U9253" s="69"/>
    </row>
    <row r="9254" spans="19:21" ht="15" customHeight="1" x14ac:dyDescent="0.2">
      <c r="S9254" s="69">
        <f>_xlfn.XLOOKUP(Results!A9254,Geometry!$B$6:$B$10000,Geometry!$C$6:$C$10000)</f>
        <v>0</v>
      </c>
      <c r="T9254" s="69"/>
      <c r="U9254" s="69"/>
    </row>
    <row r="9255" spans="19:21" ht="15" customHeight="1" x14ac:dyDescent="0.2">
      <c r="S9255" s="69">
        <f>_xlfn.XLOOKUP(Results!A9255,Geometry!$B$6:$B$10000,Geometry!$C$6:$C$10000)</f>
        <v>0</v>
      </c>
      <c r="T9255" s="69"/>
      <c r="U9255" s="69"/>
    </row>
    <row r="9256" spans="19:21" ht="15" customHeight="1" x14ac:dyDescent="0.2">
      <c r="S9256" s="69">
        <f>_xlfn.XLOOKUP(Results!A9256,Geometry!$B$6:$B$10000,Geometry!$C$6:$C$10000)</f>
        <v>0</v>
      </c>
      <c r="T9256" s="69"/>
      <c r="U9256" s="69"/>
    </row>
    <row r="9257" spans="19:21" ht="15" customHeight="1" x14ac:dyDescent="0.2">
      <c r="S9257" s="69">
        <f>_xlfn.XLOOKUP(Results!A9257,Geometry!$B$6:$B$10000,Geometry!$C$6:$C$10000)</f>
        <v>0</v>
      </c>
      <c r="T9257" s="69"/>
      <c r="U9257" s="69"/>
    </row>
    <row r="9258" spans="19:21" ht="15" customHeight="1" x14ac:dyDescent="0.2">
      <c r="S9258" s="69">
        <f>_xlfn.XLOOKUP(Results!A9258,Geometry!$B$6:$B$10000,Geometry!$C$6:$C$10000)</f>
        <v>0</v>
      </c>
      <c r="T9258" s="69"/>
      <c r="U9258" s="69"/>
    </row>
    <row r="9259" spans="19:21" ht="15" customHeight="1" x14ac:dyDescent="0.2">
      <c r="S9259" s="69">
        <f>_xlfn.XLOOKUP(Results!A9259,Geometry!$B$6:$B$10000,Geometry!$C$6:$C$10000)</f>
        <v>0</v>
      </c>
      <c r="T9259" s="69"/>
      <c r="U9259" s="69"/>
    </row>
    <row r="9260" spans="19:21" ht="15" customHeight="1" x14ac:dyDescent="0.2">
      <c r="S9260" s="69">
        <f>_xlfn.XLOOKUP(Results!A9260,Geometry!$B$6:$B$10000,Geometry!$C$6:$C$10000)</f>
        <v>0</v>
      </c>
      <c r="T9260" s="69"/>
      <c r="U9260" s="69"/>
    </row>
    <row r="9261" spans="19:21" ht="15" customHeight="1" x14ac:dyDescent="0.2">
      <c r="S9261" s="69">
        <f>_xlfn.XLOOKUP(Results!A9261,Geometry!$B$6:$B$10000,Geometry!$C$6:$C$10000)</f>
        <v>0</v>
      </c>
      <c r="T9261" s="69"/>
      <c r="U9261" s="69"/>
    </row>
    <row r="9262" spans="19:21" ht="15" customHeight="1" x14ac:dyDescent="0.2">
      <c r="S9262" s="69">
        <f>_xlfn.XLOOKUP(Results!A9262,Geometry!$B$6:$B$10000,Geometry!$C$6:$C$10000)</f>
        <v>0</v>
      </c>
      <c r="T9262" s="69"/>
      <c r="U9262" s="69"/>
    </row>
    <row r="9263" spans="19:21" ht="15" customHeight="1" x14ac:dyDescent="0.2">
      <c r="S9263" s="69">
        <f>_xlfn.XLOOKUP(Results!A9263,Geometry!$B$6:$B$10000,Geometry!$C$6:$C$10000)</f>
        <v>0</v>
      </c>
      <c r="T9263" s="69"/>
      <c r="U9263" s="69"/>
    </row>
    <row r="9264" spans="19:21" ht="15" customHeight="1" x14ac:dyDescent="0.2">
      <c r="S9264" s="69">
        <f>_xlfn.XLOOKUP(Results!A9264,Geometry!$B$6:$B$10000,Geometry!$C$6:$C$10000)</f>
        <v>0</v>
      </c>
      <c r="T9264" s="69"/>
      <c r="U9264" s="69"/>
    </row>
    <row r="9265" spans="19:21" ht="15" customHeight="1" x14ac:dyDescent="0.2">
      <c r="S9265" s="69">
        <f>_xlfn.XLOOKUP(Results!A9265,Geometry!$B$6:$B$10000,Geometry!$C$6:$C$10000)</f>
        <v>0</v>
      </c>
      <c r="T9265" s="69"/>
      <c r="U9265" s="69"/>
    </row>
    <row r="9266" spans="19:21" ht="15" customHeight="1" x14ac:dyDescent="0.2">
      <c r="S9266" s="69">
        <f>_xlfn.XLOOKUP(Results!A9266,Geometry!$B$6:$B$10000,Geometry!$C$6:$C$10000)</f>
        <v>0</v>
      </c>
      <c r="T9266" s="69"/>
      <c r="U9266" s="69"/>
    </row>
    <row r="9267" spans="19:21" ht="15" customHeight="1" x14ac:dyDescent="0.2">
      <c r="S9267" s="69">
        <f>_xlfn.XLOOKUP(Results!A9267,Geometry!$B$6:$B$10000,Geometry!$C$6:$C$10000)</f>
        <v>0</v>
      </c>
      <c r="T9267" s="69"/>
      <c r="U9267" s="69"/>
    </row>
    <row r="9268" spans="19:21" ht="15" customHeight="1" x14ac:dyDescent="0.2">
      <c r="S9268" s="69">
        <f>_xlfn.XLOOKUP(Results!A9268,Geometry!$B$6:$B$10000,Geometry!$C$6:$C$10000)</f>
        <v>0</v>
      </c>
      <c r="T9268" s="69"/>
      <c r="U9268" s="69"/>
    </row>
    <row r="9269" spans="19:21" ht="15" customHeight="1" x14ac:dyDescent="0.2">
      <c r="S9269" s="69">
        <f>_xlfn.XLOOKUP(Results!A9269,Geometry!$B$6:$B$10000,Geometry!$C$6:$C$10000)</f>
        <v>0</v>
      </c>
      <c r="T9269" s="69"/>
      <c r="U9269" s="69"/>
    </row>
    <row r="9270" spans="19:21" ht="15" customHeight="1" x14ac:dyDescent="0.2">
      <c r="S9270" s="69">
        <f>_xlfn.XLOOKUP(Results!A9270,Geometry!$B$6:$B$10000,Geometry!$C$6:$C$10000)</f>
        <v>0</v>
      </c>
      <c r="T9270" s="69"/>
      <c r="U9270" s="69"/>
    </row>
    <row r="9271" spans="19:21" ht="15" customHeight="1" x14ac:dyDescent="0.2">
      <c r="S9271" s="69">
        <f>_xlfn.XLOOKUP(Results!A9271,Geometry!$B$6:$B$10000,Geometry!$C$6:$C$10000)</f>
        <v>0</v>
      </c>
      <c r="T9271" s="69"/>
      <c r="U9271" s="69"/>
    </row>
    <row r="9272" spans="19:21" ht="15" customHeight="1" x14ac:dyDescent="0.2">
      <c r="S9272" s="69">
        <f>_xlfn.XLOOKUP(Results!A9272,Geometry!$B$6:$B$10000,Geometry!$C$6:$C$10000)</f>
        <v>0</v>
      </c>
      <c r="T9272" s="69"/>
      <c r="U9272" s="69"/>
    </row>
    <row r="9273" spans="19:21" ht="15" customHeight="1" x14ac:dyDescent="0.2">
      <c r="S9273" s="69">
        <f>_xlfn.XLOOKUP(Results!A9273,Geometry!$B$6:$B$10000,Geometry!$C$6:$C$10000)</f>
        <v>0</v>
      </c>
      <c r="T9273" s="69"/>
      <c r="U9273" s="69"/>
    </row>
    <row r="9274" spans="19:21" ht="15" customHeight="1" x14ac:dyDescent="0.2">
      <c r="S9274" s="69">
        <f>_xlfn.XLOOKUP(Results!A9274,Geometry!$B$6:$B$10000,Geometry!$C$6:$C$10000)</f>
        <v>0</v>
      </c>
      <c r="T9274" s="69"/>
      <c r="U9274" s="69"/>
    </row>
    <row r="9275" spans="19:21" ht="15" customHeight="1" x14ac:dyDescent="0.2">
      <c r="S9275" s="69">
        <f>_xlfn.XLOOKUP(Results!A9275,Geometry!$B$6:$B$10000,Geometry!$C$6:$C$10000)</f>
        <v>0</v>
      </c>
      <c r="T9275" s="69"/>
      <c r="U9275" s="69"/>
    </row>
    <row r="9276" spans="19:21" ht="15" customHeight="1" x14ac:dyDescent="0.2">
      <c r="S9276" s="69">
        <f>_xlfn.XLOOKUP(Results!A9276,Geometry!$B$6:$B$10000,Geometry!$C$6:$C$10000)</f>
        <v>0</v>
      </c>
      <c r="T9276" s="69"/>
      <c r="U9276" s="69"/>
    </row>
    <row r="9277" spans="19:21" ht="15" customHeight="1" x14ac:dyDescent="0.2">
      <c r="S9277" s="69">
        <f>_xlfn.XLOOKUP(Results!A9277,Geometry!$B$6:$B$10000,Geometry!$C$6:$C$10000)</f>
        <v>0</v>
      </c>
      <c r="T9277" s="69"/>
      <c r="U9277" s="69"/>
    </row>
    <row r="9278" spans="19:21" ht="15" customHeight="1" x14ac:dyDescent="0.2">
      <c r="S9278" s="69">
        <f>_xlfn.XLOOKUP(Results!A9278,Geometry!$B$6:$B$10000,Geometry!$C$6:$C$10000)</f>
        <v>0</v>
      </c>
      <c r="T9278" s="69"/>
      <c r="U9278" s="69"/>
    </row>
    <row r="9279" spans="19:21" ht="15" customHeight="1" x14ac:dyDescent="0.2">
      <c r="S9279" s="69">
        <f>_xlfn.XLOOKUP(Results!A9279,Geometry!$B$6:$B$10000,Geometry!$C$6:$C$10000)</f>
        <v>0</v>
      </c>
      <c r="T9279" s="69"/>
      <c r="U9279" s="69"/>
    </row>
    <row r="9280" spans="19:21" ht="15" customHeight="1" x14ac:dyDescent="0.2">
      <c r="S9280" s="69">
        <f>_xlfn.XLOOKUP(Results!A9280,Geometry!$B$6:$B$10000,Geometry!$C$6:$C$10000)</f>
        <v>0</v>
      </c>
      <c r="T9280" s="69"/>
      <c r="U9280" s="69"/>
    </row>
    <row r="9281" spans="19:21" ht="15" customHeight="1" x14ac:dyDescent="0.2">
      <c r="S9281" s="69">
        <f>_xlfn.XLOOKUP(Results!A9281,Geometry!$B$6:$B$10000,Geometry!$C$6:$C$10000)</f>
        <v>0</v>
      </c>
      <c r="T9281" s="69"/>
      <c r="U9281" s="69"/>
    </row>
    <row r="9282" spans="19:21" ht="15" customHeight="1" x14ac:dyDescent="0.2">
      <c r="S9282" s="69">
        <f>_xlfn.XLOOKUP(Results!A9282,Geometry!$B$6:$B$10000,Geometry!$C$6:$C$10000)</f>
        <v>0</v>
      </c>
      <c r="T9282" s="69"/>
      <c r="U9282" s="69"/>
    </row>
    <row r="9283" spans="19:21" ht="15" customHeight="1" x14ac:dyDescent="0.2">
      <c r="S9283" s="69">
        <f>_xlfn.XLOOKUP(Results!A9283,Geometry!$B$6:$B$10000,Geometry!$C$6:$C$10000)</f>
        <v>0</v>
      </c>
      <c r="T9283" s="69"/>
      <c r="U9283" s="69"/>
    </row>
    <row r="9284" spans="19:21" ht="15" customHeight="1" x14ac:dyDescent="0.2">
      <c r="S9284" s="69">
        <f>_xlfn.XLOOKUP(Results!A9284,Geometry!$B$6:$B$10000,Geometry!$C$6:$C$10000)</f>
        <v>0</v>
      </c>
      <c r="T9284" s="69"/>
      <c r="U9284" s="69"/>
    </row>
    <row r="9285" spans="19:21" ht="15" customHeight="1" x14ac:dyDescent="0.2">
      <c r="S9285" s="69">
        <f>_xlfn.XLOOKUP(Results!A9285,Geometry!$B$6:$B$10000,Geometry!$C$6:$C$10000)</f>
        <v>0</v>
      </c>
      <c r="T9285" s="69"/>
      <c r="U9285" s="69"/>
    </row>
    <row r="9286" spans="19:21" ht="15" customHeight="1" x14ac:dyDescent="0.2">
      <c r="S9286" s="69">
        <f>_xlfn.XLOOKUP(Results!A9286,Geometry!$B$6:$B$10000,Geometry!$C$6:$C$10000)</f>
        <v>0</v>
      </c>
      <c r="T9286" s="69"/>
      <c r="U9286" s="69"/>
    </row>
    <row r="9287" spans="19:21" ht="15" customHeight="1" x14ac:dyDescent="0.2">
      <c r="S9287" s="69">
        <f>_xlfn.XLOOKUP(Results!A9287,Geometry!$B$6:$B$10000,Geometry!$C$6:$C$10000)</f>
        <v>0</v>
      </c>
      <c r="T9287" s="69"/>
      <c r="U9287" s="69"/>
    </row>
    <row r="9288" spans="19:21" ht="15" customHeight="1" x14ac:dyDescent="0.2">
      <c r="S9288" s="69">
        <f>_xlfn.XLOOKUP(Results!A9288,Geometry!$B$6:$B$10000,Geometry!$C$6:$C$10000)</f>
        <v>0</v>
      </c>
      <c r="T9288" s="69"/>
      <c r="U9288" s="69"/>
    </row>
    <row r="9289" spans="19:21" ht="15" customHeight="1" x14ac:dyDescent="0.2">
      <c r="S9289" s="69">
        <f>_xlfn.XLOOKUP(Results!A9289,Geometry!$B$6:$B$10000,Geometry!$C$6:$C$10000)</f>
        <v>0</v>
      </c>
      <c r="T9289" s="69"/>
      <c r="U9289" s="69"/>
    </row>
    <row r="9290" spans="19:21" ht="15" customHeight="1" x14ac:dyDescent="0.2">
      <c r="S9290" s="69">
        <f>_xlfn.XLOOKUP(Results!A9290,Geometry!$B$6:$B$10000,Geometry!$C$6:$C$10000)</f>
        <v>0</v>
      </c>
      <c r="T9290" s="69"/>
      <c r="U9290" s="69"/>
    </row>
    <row r="9291" spans="19:21" ht="15" customHeight="1" x14ac:dyDescent="0.2">
      <c r="S9291" s="69">
        <f>_xlfn.XLOOKUP(Results!A9291,Geometry!$B$6:$B$10000,Geometry!$C$6:$C$10000)</f>
        <v>0</v>
      </c>
      <c r="T9291" s="69"/>
      <c r="U9291" s="69"/>
    </row>
    <row r="9292" spans="19:21" ht="15" customHeight="1" x14ac:dyDescent="0.2">
      <c r="S9292" s="69">
        <f>_xlfn.XLOOKUP(Results!A9292,Geometry!$B$6:$B$10000,Geometry!$C$6:$C$10000)</f>
        <v>0</v>
      </c>
      <c r="T9292" s="69"/>
      <c r="U9292" s="69"/>
    </row>
    <row r="9293" spans="19:21" ht="15" customHeight="1" x14ac:dyDescent="0.2">
      <c r="S9293" s="69">
        <f>_xlfn.XLOOKUP(Results!A9293,Geometry!$B$6:$B$10000,Geometry!$C$6:$C$10000)</f>
        <v>0</v>
      </c>
      <c r="T9293" s="69"/>
      <c r="U9293" s="69"/>
    </row>
    <row r="9294" spans="19:21" ht="15" customHeight="1" x14ac:dyDescent="0.2">
      <c r="S9294" s="69">
        <f>_xlfn.XLOOKUP(Results!A9294,Geometry!$B$6:$B$10000,Geometry!$C$6:$C$10000)</f>
        <v>0</v>
      </c>
      <c r="T9294" s="69"/>
      <c r="U9294" s="69"/>
    </row>
    <row r="9295" spans="19:21" ht="15" customHeight="1" x14ac:dyDescent="0.2">
      <c r="S9295" s="69">
        <f>_xlfn.XLOOKUP(Results!A9295,Geometry!$B$6:$B$10000,Geometry!$C$6:$C$10000)</f>
        <v>0</v>
      </c>
      <c r="T9295" s="69"/>
      <c r="U9295" s="69"/>
    </row>
    <row r="9296" spans="19:21" ht="15" customHeight="1" x14ac:dyDescent="0.2">
      <c r="S9296" s="69">
        <f>_xlfn.XLOOKUP(Results!A9296,Geometry!$B$6:$B$10000,Geometry!$C$6:$C$10000)</f>
        <v>0</v>
      </c>
      <c r="T9296" s="69"/>
      <c r="U9296" s="69"/>
    </row>
    <row r="9297" spans="19:21" ht="15" customHeight="1" x14ac:dyDescent="0.2">
      <c r="S9297" s="69">
        <f>_xlfn.XLOOKUP(Results!A9297,Geometry!$B$6:$B$10000,Geometry!$C$6:$C$10000)</f>
        <v>0</v>
      </c>
      <c r="T9297" s="69"/>
      <c r="U9297" s="69"/>
    </row>
    <row r="9298" spans="19:21" ht="15" customHeight="1" x14ac:dyDescent="0.2">
      <c r="S9298" s="69">
        <f>_xlfn.XLOOKUP(Results!A9298,Geometry!$B$6:$B$10000,Geometry!$C$6:$C$10000)</f>
        <v>0</v>
      </c>
      <c r="T9298" s="69"/>
      <c r="U9298" s="69"/>
    </row>
    <row r="9299" spans="19:21" ht="15" customHeight="1" x14ac:dyDescent="0.2">
      <c r="S9299" s="69">
        <f>_xlfn.XLOOKUP(Results!A9299,Geometry!$B$6:$B$10000,Geometry!$C$6:$C$10000)</f>
        <v>0</v>
      </c>
      <c r="T9299" s="69"/>
      <c r="U9299" s="69"/>
    </row>
    <row r="9300" spans="19:21" ht="15" customHeight="1" x14ac:dyDescent="0.2">
      <c r="S9300" s="69">
        <f>_xlfn.XLOOKUP(Results!A9300,Geometry!$B$6:$B$10000,Geometry!$C$6:$C$10000)</f>
        <v>0</v>
      </c>
      <c r="T9300" s="69"/>
      <c r="U9300" s="69"/>
    </row>
    <row r="9301" spans="19:21" ht="15" customHeight="1" x14ac:dyDescent="0.2">
      <c r="S9301" s="69">
        <f>_xlfn.XLOOKUP(Results!A9301,Geometry!$B$6:$B$10000,Geometry!$C$6:$C$10000)</f>
        <v>0</v>
      </c>
      <c r="T9301" s="69"/>
      <c r="U9301" s="69"/>
    </row>
    <row r="9302" spans="19:21" ht="15" customHeight="1" x14ac:dyDescent="0.2">
      <c r="S9302" s="69">
        <f>_xlfn.XLOOKUP(Results!A9302,Geometry!$B$6:$B$10000,Geometry!$C$6:$C$10000)</f>
        <v>0</v>
      </c>
      <c r="T9302" s="69"/>
      <c r="U9302" s="69"/>
    </row>
    <row r="9303" spans="19:21" ht="15" customHeight="1" x14ac:dyDescent="0.2">
      <c r="S9303" s="69">
        <f>_xlfn.XLOOKUP(Results!A9303,Geometry!$B$6:$B$10000,Geometry!$C$6:$C$10000)</f>
        <v>0</v>
      </c>
      <c r="T9303" s="69"/>
      <c r="U9303" s="69"/>
    </row>
    <row r="9304" spans="19:21" ht="15" customHeight="1" x14ac:dyDescent="0.2">
      <c r="S9304" s="69">
        <f>_xlfn.XLOOKUP(Results!A9304,Geometry!$B$6:$B$10000,Geometry!$C$6:$C$10000)</f>
        <v>0</v>
      </c>
      <c r="T9304" s="69"/>
      <c r="U9304" s="69"/>
    </row>
    <row r="9305" spans="19:21" ht="15" customHeight="1" x14ac:dyDescent="0.2">
      <c r="S9305" s="69">
        <f>_xlfn.XLOOKUP(Results!A9305,Geometry!$B$6:$B$10000,Geometry!$C$6:$C$10000)</f>
        <v>0</v>
      </c>
      <c r="T9305" s="69"/>
      <c r="U9305" s="69"/>
    </row>
    <row r="9306" spans="19:21" ht="15" customHeight="1" x14ac:dyDescent="0.2">
      <c r="S9306" s="69">
        <f>_xlfn.XLOOKUP(Results!A9306,Geometry!$B$6:$B$10000,Geometry!$C$6:$C$10000)</f>
        <v>0</v>
      </c>
      <c r="T9306" s="69"/>
      <c r="U9306" s="69"/>
    </row>
    <row r="9307" spans="19:21" ht="15" customHeight="1" x14ac:dyDescent="0.2">
      <c r="S9307" s="69">
        <f>_xlfn.XLOOKUP(Results!A9307,Geometry!$B$6:$B$10000,Geometry!$C$6:$C$10000)</f>
        <v>0</v>
      </c>
      <c r="T9307" s="69"/>
      <c r="U9307" s="69"/>
    </row>
    <row r="9308" spans="19:21" ht="15" customHeight="1" x14ac:dyDescent="0.2">
      <c r="S9308" s="69">
        <f>_xlfn.XLOOKUP(Results!A9308,Geometry!$B$6:$B$10000,Geometry!$C$6:$C$10000)</f>
        <v>0</v>
      </c>
      <c r="T9308" s="69"/>
      <c r="U9308" s="69"/>
    </row>
    <row r="9309" spans="19:21" ht="15" customHeight="1" x14ac:dyDescent="0.2">
      <c r="S9309" s="69">
        <f>_xlfn.XLOOKUP(Results!A9309,Geometry!$B$6:$B$10000,Geometry!$C$6:$C$10000)</f>
        <v>0</v>
      </c>
      <c r="T9309" s="69"/>
      <c r="U9309" s="69"/>
    </row>
    <row r="9310" spans="19:21" ht="15" customHeight="1" x14ac:dyDescent="0.2">
      <c r="S9310" s="69">
        <f>_xlfn.XLOOKUP(Results!A9310,Geometry!$B$6:$B$10000,Geometry!$C$6:$C$10000)</f>
        <v>0</v>
      </c>
      <c r="T9310" s="69"/>
      <c r="U9310" s="69"/>
    </row>
    <row r="9311" spans="19:21" ht="15" customHeight="1" x14ac:dyDescent="0.2">
      <c r="S9311" s="69">
        <f>_xlfn.XLOOKUP(Results!A9311,Geometry!$B$6:$B$10000,Geometry!$C$6:$C$10000)</f>
        <v>0</v>
      </c>
      <c r="T9311" s="69"/>
      <c r="U9311" s="69"/>
    </row>
    <row r="9312" spans="19:21" ht="15" customHeight="1" x14ac:dyDescent="0.2">
      <c r="S9312" s="69">
        <f>_xlfn.XLOOKUP(Results!A9312,Geometry!$B$6:$B$10000,Geometry!$C$6:$C$10000)</f>
        <v>0</v>
      </c>
      <c r="T9312" s="69"/>
      <c r="U9312" s="69"/>
    </row>
    <row r="9313" spans="19:21" ht="15" customHeight="1" x14ac:dyDescent="0.2">
      <c r="S9313" s="69">
        <f>_xlfn.XLOOKUP(Results!A9313,Geometry!$B$6:$B$10000,Geometry!$C$6:$C$10000)</f>
        <v>0</v>
      </c>
      <c r="T9313" s="69"/>
      <c r="U9313" s="69"/>
    </row>
    <row r="9314" spans="19:21" ht="15" customHeight="1" x14ac:dyDescent="0.2">
      <c r="S9314" s="69">
        <f>_xlfn.XLOOKUP(Results!A9314,Geometry!$B$6:$B$10000,Geometry!$C$6:$C$10000)</f>
        <v>0</v>
      </c>
      <c r="T9314" s="69"/>
      <c r="U9314" s="69"/>
    </row>
    <row r="9315" spans="19:21" ht="15" customHeight="1" x14ac:dyDescent="0.2">
      <c r="S9315" s="69">
        <f>_xlfn.XLOOKUP(Results!A9315,Geometry!$B$6:$B$10000,Geometry!$C$6:$C$10000)</f>
        <v>0</v>
      </c>
      <c r="T9315" s="69"/>
      <c r="U9315" s="69"/>
    </row>
    <row r="9316" spans="19:21" ht="15" customHeight="1" x14ac:dyDescent="0.2">
      <c r="S9316" s="69">
        <f>_xlfn.XLOOKUP(Results!A9316,Geometry!$B$6:$B$10000,Geometry!$C$6:$C$10000)</f>
        <v>0</v>
      </c>
      <c r="T9316" s="69"/>
      <c r="U9316" s="69"/>
    </row>
    <row r="9317" spans="19:21" ht="15" customHeight="1" x14ac:dyDescent="0.2">
      <c r="S9317" s="69">
        <f>_xlfn.XLOOKUP(Results!A9317,Geometry!$B$6:$B$10000,Geometry!$C$6:$C$10000)</f>
        <v>0</v>
      </c>
      <c r="T9317" s="69"/>
      <c r="U9317" s="69"/>
    </row>
    <row r="9318" spans="19:21" ht="15" customHeight="1" x14ac:dyDescent="0.2">
      <c r="S9318" s="69">
        <f>_xlfn.XLOOKUP(Results!A9318,Geometry!$B$6:$B$10000,Geometry!$C$6:$C$10000)</f>
        <v>0</v>
      </c>
      <c r="T9318" s="69"/>
      <c r="U9318" s="69"/>
    </row>
    <row r="9319" spans="19:21" ht="15" customHeight="1" x14ac:dyDescent="0.2">
      <c r="S9319" s="69">
        <f>_xlfn.XLOOKUP(Results!A9319,Geometry!$B$6:$B$10000,Geometry!$C$6:$C$10000)</f>
        <v>0</v>
      </c>
      <c r="T9319" s="69"/>
      <c r="U9319" s="69"/>
    </row>
    <row r="9320" spans="19:21" ht="15" customHeight="1" x14ac:dyDescent="0.2">
      <c r="S9320" s="69">
        <f>_xlfn.XLOOKUP(Results!A9320,Geometry!$B$6:$B$10000,Geometry!$C$6:$C$10000)</f>
        <v>0</v>
      </c>
      <c r="T9320" s="69"/>
      <c r="U9320" s="69"/>
    </row>
    <row r="9321" spans="19:21" ht="15" customHeight="1" x14ac:dyDescent="0.2">
      <c r="S9321" s="69">
        <f>_xlfn.XLOOKUP(Results!A9321,Geometry!$B$6:$B$10000,Geometry!$C$6:$C$10000)</f>
        <v>0</v>
      </c>
      <c r="T9321" s="69"/>
      <c r="U9321" s="69"/>
    </row>
    <row r="9322" spans="19:21" ht="15" customHeight="1" x14ac:dyDescent="0.2">
      <c r="S9322" s="69">
        <f>_xlfn.XLOOKUP(Results!A9322,Geometry!$B$6:$B$10000,Geometry!$C$6:$C$10000)</f>
        <v>0</v>
      </c>
      <c r="T9322" s="69"/>
      <c r="U9322" s="69"/>
    </row>
    <row r="9323" spans="19:21" ht="15" customHeight="1" x14ac:dyDescent="0.2">
      <c r="S9323" s="69">
        <f>_xlfn.XLOOKUP(Results!A9323,Geometry!$B$6:$B$10000,Geometry!$C$6:$C$10000)</f>
        <v>0</v>
      </c>
      <c r="T9323" s="69"/>
      <c r="U9323" s="69"/>
    </row>
    <row r="9324" spans="19:21" ht="15" customHeight="1" x14ac:dyDescent="0.2">
      <c r="S9324" s="69">
        <f>_xlfn.XLOOKUP(Results!A9324,Geometry!$B$6:$B$10000,Geometry!$C$6:$C$10000)</f>
        <v>0</v>
      </c>
      <c r="T9324" s="69"/>
      <c r="U9324" s="69"/>
    </row>
    <row r="9325" spans="19:21" ht="15" customHeight="1" x14ac:dyDescent="0.2">
      <c r="S9325" s="69">
        <f>_xlfn.XLOOKUP(Results!A9325,Geometry!$B$6:$B$10000,Geometry!$C$6:$C$10000)</f>
        <v>0</v>
      </c>
      <c r="T9325" s="69"/>
      <c r="U9325" s="69"/>
    </row>
    <row r="9326" spans="19:21" ht="15" customHeight="1" x14ac:dyDescent="0.2">
      <c r="S9326" s="69">
        <f>_xlfn.XLOOKUP(Results!A9326,Geometry!$B$6:$B$10000,Geometry!$C$6:$C$10000)</f>
        <v>0</v>
      </c>
      <c r="T9326" s="69"/>
      <c r="U9326" s="69"/>
    </row>
    <row r="9327" spans="19:21" ht="15" customHeight="1" x14ac:dyDescent="0.2">
      <c r="S9327" s="69">
        <f>_xlfn.XLOOKUP(Results!A9327,Geometry!$B$6:$B$10000,Geometry!$C$6:$C$10000)</f>
        <v>0</v>
      </c>
      <c r="T9327" s="69"/>
      <c r="U9327" s="69"/>
    </row>
    <row r="9328" spans="19:21" ht="15" customHeight="1" x14ac:dyDescent="0.2">
      <c r="S9328" s="69">
        <f>_xlfn.XLOOKUP(Results!A9328,Geometry!$B$6:$B$10000,Geometry!$C$6:$C$10000)</f>
        <v>0</v>
      </c>
      <c r="T9328" s="69"/>
      <c r="U9328" s="69"/>
    </row>
    <row r="9329" spans="19:21" ht="15" customHeight="1" x14ac:dyDescent="0.2">
      <c r="S9329" s="69">
        <f>_xlfn.XLOOKUP(Results!A9329,Geometry!$B$6:$B$10000,Geometry!$C$6:$C$10000)</f>
        <v>0</v>
      </c>
      <c r="T9329" s="69"/>
      <c r="U9329" s="69"/>
    </row>
    <row r="9330" spans="19:21" ht="15" customHeight="1" x14ac:dyDescent="0.2">
      <c r="S9330" s="69">
        <f>_xlfn.XLOOKUP(Results!A9330,Geometry!$B$6:$B$10000,Geometry!$C$6:$C$10000)</f>
        <v>0</v>
      </c>
      <c r="T9330" s="69"/>
      <c r="U9330" s="69"/>
    </row>
    <row r="9331" spans="19:21" ht="15" customHeight="1" x14ac:dyDescent="0.2">
      <c r="S9331" s="69">
        <f>_xlfn.XLOOKUP(Results!A9331,Geometry!$B$6:$B$10000,Geometry!$C$6:$C$10000)</f>
        <v>0</v>
      </c>
      <c r="T9331" s="69"/>
      <c r="U9331" s="69"/>
    </row>
    <row r="9332" spans="19:21" ht="15" customHeight="1" x14ac:dyDescent="0.2">
      <c r="S9332" s="69">
        <f>_xlfn.XLOOKUP(Results!A9332,Geometry!$B$6:$B$10000,Geometry!$C$6:$C$10000)</f>
        <v>0</v>
      </c>
      <c r="T9332" s="69"/>
      <c r="U9332" s="69"/>
    </row>
    <row r="9333" spans="19:21" ht="15" customHeight="1" x14ac:dyDescent="0.2">
      <c r="S9333" s="69">
        <f>_xlfn.XLOOKUP(Results!A9333,Geometry!$B$6:$B$10000,Geometry!$C$6:$C$10000)</f>
        <v>0</v>
      </c>
      <c r="T9333" s="69"/>
      <c r="U9333" s="69"/>
    </row>
    <row r="9334" spans="19:21" ht="15" customHeight="1" x14ac:dyDescent="0.2">
      <c r="S9334" s="69">
        <f>_xlfn.XLOOKUP(Results!A9334,Geometry!$B$6:$B$10000,Geometry!$C$6:$C$10000)</f>
        <v>0</v>
      </c>
      <c r="T9334" s="69"/>
      <c r="U9334" s="69"/>
    </row>
    <row r="9335" spans="19:21" ht="15" customHeight="1" x14ac:dyDescent="0.2">
      <c r="S9335" s="69">
        <f>_xlfn.XLOOKUP(Results!A9335,Geometry!$B$6:$B$10000,Geometry!$C$6:$C$10000)</f>
        <v>0</v>
      </c>
      <c r="T9335" s="69"/>
      <c r="U9335" s="69"/>
    </row>
    <row r="9336" spans="19:21" ht="15" customHeight="1" x14ac:dyDescent="0.2">
      <c r="S9336" s="69">
        <f>_xlfn.XLOOKUP(Results!A9336,Geometry!$B$6:$B$10000,Geometry!$C$6:$C$10000)</f>
        <v>0</v>
      </c>
      <c r="T9336" s="69"/>
      <c r="U9336" s="69"/>
    </row>
    <row r="9337" spans="19:21" ht="15" customHeight="1" x14ac:dyDescent="0.2">
      <c r="S9337" s="69">
        <f>_xlfn.XLOOKUP(Results!A9337,Geometry!$B$6:$B$10000,Geometry!$C$6:$C$10000)</f>
        <v>0</v>
      </c>
      <c r="T9337" s="69"/>
      <c r="U9337" s="69"/>
    </row>
    <row r="9338" spans="19:21" ht="15" customHeight="1" x14ac:dyDescent="0.2">
      <c r="S9338" s="69">
        <f>_xlfn.XLOOKUP(Results!A9338,Geometry!$B$6:$B$10000,Geometry!$C$6:$C$10000)</f>
        <v>0</v>
      </c>
      <c r="T9338" s="69"/>
      <c r="U9338" s="69"/>
    </row>
    <row r="9339" spans="19:21" ht="15" customHeight="1" x14ac:dyDescent="0.2">
      <c r="S9339" s="69">
        <f>_xlfn.XLOOKUP(Results!A9339,Geometry!$B$6:$B$10000,Geometry!$C$6:$C$10000)</f>
        <v>0</v>
      </c>
      <c r="T9339" s="69"/>
      <c r="U9339" s="69"/>
    </row>
    <row r="9340" spans="19:21" ht="15" customHeight="1" x14ac:dyDescent="0.2">
      <c r="S9340" s="69">
        <f>_xlfn.XLOOKUP(Results!A9340,Geometry!$B$6:$B$10000,Geometry!$C$6:$C$10000)</f>
        <v>0</v>
      </c>
      <c r="T9340" s="69"/>
      <c r="U9340" s="69"/>
    </row>
    <row r="9341" spans="19:21" ht="15" customHeight="1" x14ac:dyDescent="0.2">
      <c r="S9341" s="69">
        <f>_xlfn.XLOOKUP(Results!A9341,Geometry!$B$6:$B$10000,Geometry!$C$6:$C$10000)</f>
        <v>0</v>
      </c>
      <c r="T9341" s="69"/>
      <c r="U9341" s="69"/>
    </row>
    <row r="9342" spans="19:21" ht="15" customHeight="1" x14ac:dyDescent="0.2">
      <c r="S9342" s="69">
        <f>_xlfn.XLOOKUP(Results!A9342,Geometry!$B$6:$B$10000,Geometry!$C$6:$C$10000)</f>
        <v>0</v>
      </c>
      <c r="T9342" s="69"/>
      <c r="U9342" s="69"/>
    </row>
    <row r="9343" spans="19:21" ht="15" customHeight="1" x14ac:dyDescent="0.2">
      <c r="S9343" s="69">
        <f>_xlfn.XLOOKUP(Results!A9343,Geometry!$B$6:$B$10000,Geometry!$C$6:$C$10000)</f>
        <v>0</v>
      </c>
      <c r="T9343" s="69"/>
      <c r="U9343" s="69"/>
    </row>
    <row r="9344" spans="19:21" ht="15" customHeight="1" x14ac:dyDescent="0.2">
      <c r="S9344" s="69">
        <f>_xlfn.XLOOKUP(Results!A9344,Geometry!$B$6:$B$10000,Geometry!$C$6:$C$10000)</f>
        <v>0</v>
      </c>
      <c r="T9344" s="69"/>
      <c r="U9344" s="69"/>
    </row>
    <row r="9345" spans="19:21" ht="15" customHeight="1" x14ac:dyDescent="0.2">
      <c r="S9345" s="69">
        <f>_xlfn.XLOOKUP(Results!A9345,Geometry!$B$6:$B$10000,Geometry!$C$6:$C$10000)</f>
        <v>0</v>
      </c>
      <c r="T9345" s="69"/>
      <c r="U9345" s="69"/>
    </row>
    <row r="9346" spans="19:21" ht="15" customHeight="1" x14ac:dyDescent="0.2">
      <c r="S9346" s="69">
        <f>_xlfn.XLOOKUP(Results!A9346,Geometry!$B$6:$B$10000,Geometry!$C$6:$C$10000)</f>
        <v>0</v>
      </c>
      <c r="T9346" s="69"/>
      <c r="U9346" s="69"/>
    </row>
    <row r="9347" spans="19:21" ht="15" customHeight="1" x14ac:dyDescent="0.2">
      <c r="S9347" s="69">
        <f>_xlfn.XLOOKUP(Results!A9347,Geometry!$B$6:$B$10000,Geometry!$C$6:$C$10000)</f>
        <v>0</v>
      </c>
      <c r="T9347" s="69"/>
      <c r="U9347" s="69"/>
    </row>
    <row r="9348" spans="19:21" ht="15" customHeight="1" x14ac:dyDescent="0.2">
      <c r="S9348" s="69">
        <f>_xlfn.XLOOKUP(Results!A9348,Geometry!$B$6:$B$10000,Geometry!$C$6:$C$10000)</f>
        <v>0</v>
      </c>
      <c r="T9348" s="69"/>
      <c r="U9348" s="69"/>
    </row>
    <row r="9349" spans="19:21" ht="15" customHeight="1" x14ac:dyDescent="0.2">
      <c r="S9349" s="69">
        <f>_xlfn.XLOOKUP(Results!A9349,Geometry!$B$6:$B$10000,Geometry!$C$6:$C$10000)</f>
        <v>0</v>
      </c>
      <c r="T9349" s="69"/>
      <c r="U9349" s="69"/>
    </row>
    <row r="9350" spans="19:21" ht="15" customHeight="1" x14ac:dyDescent="0.2">
      <c r="S9350" s="69">
        <f>_xlfn.XLOOKUP(Results!A9350,Geometry!$B$6:$B$10000,Geometry!$C$6:$C$10000)</f>
        <v>0</v>
      </c>
      <c r="T9350" s="69"/>
      <c r="U9350" s="69"/>
    </row>
    <row r="9351" spans="19:21" ht="15" customHeight="1" x14ac:dyDescent="0.2">
      <c r="S9351" s="69">
        <f>_xlfn.XLOOKUP(Results!A9351,Geometry!$B$6:$B$10000,Geometry!$C$6:$C$10000)</f>
        <v>0</v>
      </c>
      <c r="T9351" s="69"/>
      <c r="U9351" s="69"/>
    </row>
    <row r="9352" spans="19:21" ht="15" customHeight="1" x14ac:dyDescent="0.2">
      <c r="S9352" s="69">
        <f>_xlfn.XLOOKUP(Results!A9352,Geometry!$B$6:$B$10000,Geometry!$C$6:$C$10000)</f>
        <v>0</v>
      </c>
      <c r="T9352" s="69"/>
      <c r="U9352" s="69"/>
    </row>
    <row r="9353" spans="19:21" ht="15" customHeight="1" x14ac:dyDescent="0.2">
      <c r="S9353" s="69">
        <f>_xlfn.XLOOKUP(Results!A9353,Geometry!$B$6:$B$10000,Geometry!$C$6:$C$10000)</f>
        <v>0</v>
      </c>
      <c r="T9353" s="69"/>
      <c r="U9353" s="69"/>
    </row>
    <row r="9354" spans="19:21" ht="15" customHeight="1" x14ac:dyDescent="0.2">
      <c r="S9354" s="69">
        <f>_xlfn.XLOOKUP(Results!A9354,Geometry!$B$6:$B$10000,Geometry!$C$6:$C$10000)</f>
        <v>0</v>
      </c>
      <c r="T9354" s="69"/>
      <c r="U9354" s="69"/>
    </row>
    <row r="9355" spans="19:21" ht="15" customHeight="1" x14ac:dyDescent="0.2">
      <c r="S9355" s="69">
        <f>_xlfn.XLOOKUP(Results!A9355,Geometry!$B$6:$B$10000,Geometry!$C$6:$C$10000)</f>
        <v>0</v>
      </c>
      <c r="T9355" s="69"/>
      <c r="U9355" s="69"/>
    </row>
    <row r="9356" spans="19:21" ht="15" customHeight="1" x14ac:dyDescent="0.2">
      <c r="S9356" s="69">
        <f>_xlfn.XLOOKUP(Results!A9356,Geometry!$B$6:$B$10000,Geometry!$C$6:$C$10000)</f>
        <v>0</v>
      </c>
      <c r="T9356" s="69"/>
      <c r="U9356" s="69"/>
    </row>
    <row r="9357" spans="19:21" ht="15" customHeight="1" x14ac:dyDescent="0.2">
      <c r="S9357" s="69">
        <f>_xlfn.XLOOKUP(Results!A9357,Geometry!$B$6:$B$10000,Geometry!$C$6:$C$10000)</f>
        <v>0</v>
      </c>
      <c r="T9357" s="69"/>
      <c r="U9357" s="69"/>
    </row>
    <row r="9358" spans="19:21" ht="15" customHeight="1" x14ac:dyDescent="0.2">
      <c r="S9358" s="69">
        <f>_xlfn.XLOOKUP(Results!A9358,Geometry!$B$6:$B$10000,Geometry!$C$6:$C$10000)</f>
        <v>0</v>
      </c>
      <c r="T9358" s="69"/>
      <c r="U9358" s="69"/>
    </row>
    <row r="9359" spans="19:21" ht="15" customHeight="1" x14ac:dyDescent="0.2">
      <c r="S9359" s="69">
        <f>_xlfn.XLOOKUP(Results!A9359,Geometry!$B$6:$B$10000,Geometry!$C$6:$C$10000)</f>
        <v>0</v>
      </c>
      <c r="T9359" s="69"/>
      <c r="U9359" s="69"/>
    </row>
    <row r="9360" spans="19:21" ht="15" customHeight="1" x14ac:dyDescent="0.2">
      <c r="S9360" s="69">
        <f>_xlfn.XLOOKUP(Results!A9360,Geometry!$B$6:$B$10000,Geometry!$C$6:$C$10000)</f>
        <v>0</v>
      </c>
      <c r="T9360" s="69"/>
      <c r="U9360" s="69"/>
    </row>
    <row r="9361" spans="19:21" ht="15" customHeight="1" x14ac:dyDescent="0.2">
      <c r="S9361" s="69">
        <f>_xlfn.XLOOKUP(Results!A9361,Geometry!$B$6:$B$10000,Geometry!$C$6:$C$10000)</f>
        <v>0</v>
      </c>
      <c r="T9361" s="69"/>
      <c r="U9361" s="69"/>
    </row>
    <row r="9362" spans="19:21" ht="15" customHeight="1" x14ac:dyDescent="0.2">
      <c r="S9362" s="69">
        <f>_xlfn.XLOOKUP(Results!A9362,Geometry!$B$6:$B$10000,Geometry!$C$6:$C$10000)</f>
        <v>0</v>
      </c>
      <c r="T9362" s="69"/>
      <c r="U9362" s="69"/>
    </row>
    <row r="9363" spans="19:21" ht="15" customHeight="1" x14ac:dyDescent="0.2">
      <c r="S9363" s="69">
        <f>_xlfn.XLOOKUP(Results!A9363,Geometry!$B$6:$B$10000,Geometry!$C$6:$C$10000)</f>
        <v>0</v>
      </c>
      <c r="T9363" s="69"/>
      <c r="U9363" s="69"/>
    </row>
    <row r="9364" spans="19:21" ht="15" customHeight="1" x14ac:dyDescent="0.2">
      <c r="S9364" s="69">
        <f>_xlfn.XLOOKUP(Results!A9364,Geometry!$B$6:$B$10000,Geometry!$C$6:$C$10000)</f>
        <v>0</v>
      </c>
      <c r="T9364" s="69"/>
      <c r="U9364" s="69"/>
    </row>
    <row r="9365" spans="19:21" ht="15" customHeight="1" x14ac:dyDescent="0.2">
      <c r="S9365" s="69">
        <f>_xlfn.XLOOKUP(Results!A9365,Geometry!$B$6:$B$10000,Geometry!$C$6:$C$10000)</f>
        <v>0</v>
      </c>
      <c r="T9365" s="69"/>
      <c r="U9365" s="69"/>
    </row>
    <row r="9366" spans="19:21" ht="15" customHeight="1" x14ac:dyDescent="0.2">
      <c r="S9366" s="69">
        <f>_xlfn.XLOOKUP(Results!A9366,Geometry!$B$6:$B$10000,Geometry!$C$6:$C$10000)</f>
        <v>0</v>
      </c>
      <c r="T9366" s="69"/>
      <c r="U9366" s="69"/>
    </row>
    <row r="9367" spans="19:21" ht="15" customHeight="1" x14ac:dyDescent="0.2">
      <c r="S9367" s="69">
        <f>_xlfn.XLOOKUP(Results!A9367,Geometry!$B$6:$B$10000,Geometry!$C$6:$C$10000)</f>
        <v>0</v>
      </c>
      <c r="T9367" s="69"/>
      <c r="U9367" s="69"/>
    </row>
    <row r="9368" spans="19:21" ht="15" customHeight="1" x14ac:dyDescent="0.2">
      <c r="S9368" s="69">
        <f>_xlfn.XLOOKUP(Results!A9368,Geometry!$B$6:$B$10000,Geometry!$C$6:$C$10000)</f>
        <v>0</v>
      </c>
      <c r="T9368" s="69"/>
      <c r="U9368" s="69"/>
    </row>
    <row r="9369" spans="19:21" ht="15" customHeight="1" x14ac:dyDescent="0.2">
      <c r="S9369" s="69">
        <f>_xlfn.XLOOKUP(Results!A9369,Geometry!$B$6:$B$10000,Geometry!$C$6:$C$10000)</f>
        <v>0</v>
      </c>
      <c r="T9369" s="69"/>
      <c r="U9369" s="69"/>
    </row>
    <row r="9370" spans="19:21" ht="15" customHeight="1" x14ac:dyDescent="0.2">
      <c r="S9370" s="69">
        <f>_xlfn.XLOOKUP(Results!A9370,Geometry!$B$6:$B$10000,Geometry!$C$6:$C$10000)</f>
        <v>0</v>
      </c>
      <c r="T9370" s="69"/>
      <c r="U9370" s="69"/>
    </row>
    <row r="9371" spans="19:21" ht="15" customHeight="1" x14ac:dyDescent="0.2">
      <c r="S9371" s="69">
        <f>_xlfn.XLOOKUP(Results!A9371,Geometry!$B$6:$B$10000,Geometry!$C$6:$C$10000)</f>
        <v>0</v>
      </c>
      <c r="T9371" s="69"/>
      <c r="U9371" s="69"/>
    </row>
    <row r="9372" spans="19:21" ht="15" customHeight="1" x14ac:dyDescent="0.2">
      <c r="S9372" s="69">
        <f>_xlfn.XLOOKUP(Results!A9372,Geometry!$B$6:$B$10000,Geometry!$C$6:$C$10000)</f>
        <v>0</v>
      </c>
      <c r="T9372" s="69"/>
      <c r="U9372" s="69"/>
    </row>
    <row r="9373" spans="19:21" ht="15" customHeight="1" x14ac:dyDescent="0.2">
      <c r="S9373" s="69">
        <f>_xlfn.XLOOKUP(Results!A9373,Geometry!$B$6:$B$10000,Geometry!$C$6:$C$10000)</f>
        <v>0</v>
      </c>
      <c r="T9373" s="69"/>
      <c r="U9373" s="69"/>
    </row>
    <row r="9374" spans="19:21" ht="15" customHeight="1" x14ac:dyDescent="0.2">
      <c r="S9374" s="69">
        <f>_xlfn.XLOOKUP(Results!A9374,Geometry!$B$6:$B$10000,Geometry!$C$6:$C$10000)</f>
        <v>0</v>
      </c>
      <c r="T9374" s="69"/>
      <c r="U9374" s="69"/>
    </row>
    <row r="9375" spans="19:21" ht="15" customHeight="1" x14ac:dyDescent="0.2">
      <c r="S9375" s="69">
        <f>_xlfn.XLOOKUP(Results!A9375,Geometry!$B$6:$B$10000,Geometry!$C$6:$C$10000)</f>
        <v>0</v>
      </c>
      <c r="T9375" s="69"/>
      <c r="U9375" s="69"/>
    </row>
    <row r="9376" spans="19:21" ht="15" customHeight="1" x14ac:dyDescent="0.2">
      <c r="S9376" s="69">
        <f>_xlfn.XLOOKUP(Results!A9376,Geometry!$B$6:$B$10000,Geometry!$C$6:$C$10000)</f>
        <v>0</v>
      </c>
      <c r="T9376" s="69"/>
      <c r="U9376" s="69"/>
    </row>
    <row r="9377" spans="19:21" ht="15" customHeight="1" x14ac:dyDescent="0.2">
      <c r="S9377" s="69">
        <f>_xlfn.XLOOKUP(Results!A9377,Geometry!$B$6:$B$10000,Geometry!$C$6:$C$10000)</f>
        <v>0</v>
      </c>
      <c r="T9377" s="69"/>
      <c r="U9377" s="69"/>
    </row>
    <row r="9378" spans="19:21" ht="15" customHeight="1" x14ac:dyDescent="0.2">
      <c r="S9378" s="69">
        <f>_xlfn.XLOOKUP(Results!A9378,Geometry!$B$6:$B$10000,Geometry!$C$6:$C$10000)</f>
        <v>0</v>
      </c>
      <c r="T9378" s="69"/>
      <c r="U9378" s="69"/>
    </row>
    <row r="9379" spans="19:21" ht="15" customHeight="1" x14ac:dyDescent="0.2">
      <c r="S9379" s="69">
        <f>_xlfn.XLOOKUP(Results!A9379,Geometry!$B$6:$B$10000,Geometry!$C$6:$C$10000)</f>
        <v>0</v>
      </c>
      <c r="T9379" s="69"/>
      <c r="U9379" s="69"/>
    </row>
    <row r="9380" spans="19:21" ht="15" customHeight="1" x14ac:dyDescent="0.2">
      <c r="S9380" s="69">
        <f>_xlfn.XLOOKUP(Results!A9380,Geometry!$B$6:$B$10000,Geometry!$C$6:$C$10000)</f>
        <v>0</v>
      </c>
      <c r="T9380" s="69"/>
      <c r="U9380" s="69"/>
    </row>
    <row r="9381" spans="19:21" ht="15" customHeight="1" x14ac:dyDescent="0.2">
      <c r="S9381" s="69">
        <f>_xlfn.XLOOKUP(Results!A9381,Geometry!$B$6:$B$10000,Geometry!$C$6:$C$10000)</f>
        <v>0</v>
      </c>
      <c r="T9381" s="69"/>
      <c r="U9381" s="69"/>
    </row>
    <row r="9382" spans="19:21" ht="15" customHeight="1" x14ac:dyDescent="0.2">
      <c r="S9382" s="69">
        <f>_xlfn.XLOOKUP(Results!A9382,Geometry!$B$6:$B$10000,Geometry!$C$6:$C$10000)</f>
        <v>0</v>
      </c>
      <c r="T9382" s="69"/>
      <c r="U9382" s="69"/>
    </row>
    <row r="9383" spans="19:21" ht="15" customHeight="1" x14ac:dyDescent="0.2">
      <c r="S9383" s="69">
        <f>_xlfn.XLOOKUP(Results!A9383,Geometry!$B$6:$B$10000,Geometry!$C$6:$C$10000)</f>
        <v>0</v>
      </c>
      <c r="T9383" s="69"/>
      <c r="U9383" s="69"/>
    </row>
    <row r="9384" spans="19:21" ht="15" customHeight="1" x14ac:dyDescent="0.2">
      <c r="S9384" s="69">
        <f>_xlfn.XLOOKUP(Results!A9384,Geometry!$B$6:$B$10000,Geometry!$C$6:$C$10000)</f>
        <v>0</v>
      </c>
      <c r="T9384" s="69"/>
      <c r="U9384" s="69"/>
    </row>
    <row r="9385" spans="19:21" ht="15" customHeight="1" x14ac:dyDescent="0.2">
      <c r="S9385" s="69">
        <f>_xlfn.XLOOKUP(Results!A9385,Geometry!$B$6:$B$10000,Geometry!$C$6:$C$10000)</f>
        <v>0</v>
      </c>
      <c r="T9385" s="69"/>
      <c r="U9385" s="69"/>
    </row>
    <row r="9386" spans="19:21" ht="15" customHeight="1" x14ac:dyDescent="0.2">
      <c r="S9386" s="69">
        <f>_xlfn.XLOOKUP(Results!A9386,Geometry!$B$6:$B$10000,Geometry!$C$6:$C$10000)</f>
        <v>0</v>
      </c>
      <c r="T9386" s="69"/>
      <c r="U9386" s="69"/>
    </row>
    <row r="9387" spans="19:21" ht="15" customHeight="1" x14ac:dyDescent="0.2">
      <c r="S9387" s="69">
        <f>_xlfn.XLOOKUP(Results!A9387,Geometry!$B$6:$B$10000,Geometry!$C$6:$C$10000)</f>
        <v>0</v>
      </c>
      <c r="T9387" s="69"/>
      <c r="U9387" s="69"/>
    </row>
    <row r="9388" spans="19:21" ht="15" customHeight="1" x14ac:dyDescent="0.2">
      <c r="S9388" s="69">
        <f>_xlfn.XLOOKUP(Results!A9388,Geometry!$B$6:$B$10000,Geometry!$C$6:$C$10000)</f>
        <v>0</v>
      </c>
      <c r="T9388" s="69"/>
      <c r="U9388" s="69"/>
    </row>
    <row r="9389" spans="19:21" ht="15" customHeight="1" x14ac:dyDescent="0.2">
      <c r="S9389" s="69">
        <f>_xlfn.XLOOKUP(Results!A9389,Geometry!$B$6:$B$10000,Geometry!$C$6:$C$10000)</f>
        <v>0</v>
      </c>
      <c r="T9389" s="69"/>
      <c r="U9389" s="69"/>
    </row>
    <row r="9390" spans="19:21" ht="15" customHeight="1" x14ac:dyDescent="0.2">
      <c r="S9390" s="69">
        <f>_xlfn.XLOOKUP(Results!A9390,Geometry!$B$6:$B$10000,Geometry!$C$6:$C$10000)</f>
        <v>0</v>
      </c>
      <c r="T9390" s="69"/>
      <c r="U9390" s="69"/>
    </row>
    <row r="9391" spans="19:21" ht="15" customHeight="1" x14ac:dyDescent="0.2">
      <c r="S9391" s="69">
        <f>_xlfn.XLOOKUP(Results!A9391,Geometry!$B$6:$B$10000,Geometry!$C$6:$C$10000)</f>
        <v>0</v>
      </c>
      <c r="T9391" s="69"/>
      <c r="U9391" s="69"/>
    </row>
    <row r="9392" spans="19:21" ht="15" customHeight="1" x14ac:dyDescent="0.2">
      <c r="S9392" s="69">
        <f>_xlfn.XLOOKUP(Results!A9392,Geometry!$B$6:$B$10000,Geometry!$C$6:$C$10000)</f>
        <v>0</v>
      </c>
      <c r="T9392" s="69"/>
      <c r="U9392" s="69"/>
    </row>
    <row r="9393" spans="19:21" ht="15" customHeight="1" x14ac:dyDescent="0.2">
      <c r="S9393" s="69">
        <f>_xlfn.XLOOKUP(Results!A9393,Geometry!$B$6:$B$10000,Geometry!$C$6:$C$10000)</f>
        <v>0</v>
      </c>
      <c r="T9393" s="69"/>
      <c r="U9393" s="69"/>
    </row>
    <row r="9394" spans="19:21" ht="15" customHeight="1" x14ac:dyDescent="0.2">
      <c r="S9394" s="69">
        <f>_xlfn.XLOOKUP(Results!A9394,Geometry!$B$6:$B$10000,Geometry!$C$6:$C$10000)</f>
        <v>0</v>
      </c>
      <c r="T9394" s="69"/>
      <c r="U9394" s="69"/>
    </row>
    <row r="9395" spans="19:21" ht="15" customHeight="1" x14ac:dyDescent="0.2">
      <c r="S9395" s="69">
        <f>_xlfn.XLOOKUP(Results!A9395,Geometry!$B$6:$B$10000,Geometry!$C$6:$C$10000)</f>
        <v>0</v>
      </c>
      <c r="T9395" s="69"/>
      <c r="U9395" s="69"/>
    </row>
    <row r="9396" spans="19:21" ht="15" customHeight="1" x14ac:dyDescent="0.2">
      <c r="S9396" s="69">
        <f>_xlfn.XLOOKUP(Results!A9396,Geometry!$B$6:$B$10000,Geometry!$C$6:$C$10000)</f>
        <v>0</v>
      </c>
      <c r="T9396" s="69"/>
      <c r="U9396" s="69"/>
    </row>
    <row r="9397" spans="19:21" ht="15" customHeight="1" x14ac:dyDescent="0.2">
      <c r="S9397" s="69">
        <f>_xlfn.XLOOKUP(Results!A9397,Geometry!$B$6:$B$10000,Geometry!$C$6:$C$10000)</f>
        <v>0</v>
      </c>
      <c r="T9397" s="69"/>
      <c r="U9397" s="69"/>
    </row>
    <row r="9398" spans="19:21" ht="15" customHeight="1" x14ac:dyDescent="0.2">
      <c r="S9398" s="69">
        <f>_xlfn.XLOOKUP(Results!A9398,Geometry!$B$6:$B$10000,Geometry!$C$6:$C$10000)</f>
        <v>0</v>
      </c>
      <c r="T9398" s="69"/>
      <c r="U9398" s="69"/>
    </row>
    <row r="9399" spans="19:21" ht="15" customHeight="1" x14ac:dyDescent="0.2">
      <c r="S9399" s="69">
        <f>_xlfn.XLOOKUP(Results!A9399,Geometry!$B$6:$B$10000,Geometry!$C$6:$C$10000)</f>
        <v>0</v>
      </c>
      <c r="T9399" s="69"/>
      <c r="U9399" s="69"/>
    </row>
    <row r="9400" spans="19:21" ht="15" customHeight="1" x14ac:dyDescent="0.2">
      <c r="S9400" s="69">
        <f>_xlfn.XLOOKUP(Results!A9400,Geometry!$B$6:$B$10000,Geometry!$C$6:$C$10000)</f>
        <v>0</v>
      </c>
      <c r="T9400" s="69"/>
      <c r="U9400" s="69"/>
    </row>
    <row r="9401" spans="19:21" ht="15" customHeight="1" x14ac:dyDescent="0.2">
      <c r="S9401" s="69">
        <f>_xlfn.XLOOKUP(Results!A9401,Geometry!$B$6:$B$10000,Geometry!$C$6:$C$10000)</f>
        <v>0</v>
      </c>
      <c r="T9401" s="69"/>
      <c r="U9401" s="69"/>
    </row>
    <row r="9402" spans="19:21" ht="15" customHeight="1" x14ac:dyDescent="0.2">
      <c r="S9402" s="69">
        <f>_xlfn.XLOOKUP(Results!A9402,Geometry!$B$6:$B$10000,Geometry!$C$6:$C$10000)</f>
        <v>0</v>
      </c>
      <c r="T9402" s="69"/>
      <c r="U9402" s="69"/>
    </row>
    <row r="9403" spans="19:21" ht="15" customHeight="1" x14ac:dyDescent="0.2">
      <c r="S9403" s="69">
        <f>_xlfn.XLOOKUP(Results!A9403,Geometry!$B$6:$B$10000,Geometry!$C$6:$C$10000)</f>
        <v>0</v>
      </c>
      <c r="T9403" s="69"/>
      <c r="U9403" s="69"/>
    </row>
    <row r="9404" spans="19:21" ht="15" customHeight="1" x14ac:dyDescent="0.2">
      <c r="S9404" s="69">
        <f>_xlfn.XLOOKUP(Results!A9404,Geometry!$B$6:$B$10000,Geometry!$C$6:$C$10000)</f>
        <v>0</v>
      </c>
      <c r="T9404" s="69"/>
      <c r="U9404" s="69"/>
    </row>
    <row r="9405" spans="19:21" ht="15" customHeight="1" x14ac:dyDescent="0.2">
      <c r="S9405" s="69">
        <f>_xlfn.XLOOKUP(Results!A9405,Geometry!$B$6:$B$10000,Geometry!$C$6:$C$10000)</f>
        <v>0</v>
      </c>
      <c r="T9405" s="69"/>
      <c r="U9405" s="69"/>
    </row>
    <row r="9406" spans="19:21" ht="15" customHeight="1" x14ac:dyDescent="0.2">
      <c r="S9406" s="69">
        <f>_xlfn.XLOOKUP(Results!A9406,Geometry!$B$6:$B$10000,Geometry!$C$6:$C$10000)</f>
        <v>0</v>
      </c>
      <c r="T9406" s="69"/>
      <c r="U9406" s="69"/>
    </row>
    <row r="9407" spans="19:21" ht="15" customHeight="1" x14ac:dyDescent="0.2">
      <c r="S9407" s="69">
        <f>_xlfn.XLOOKUP(Results!A9407,Geometry!$B$6:$B$10000,Geometry!$C$6:$C$10000)</f>
        <v>0</v>
      </c>
      <c r="T9407" s="69"/>
      <c r="U9407" s="69"/>
    </row>
    <row r="9408" spans="19:21" ht="15" customHeight="1" x14ac:dyDescent="0.2">
      <c r="S9408" s="69">
        <f>_xlfn.XLOOKUP(Results!A9408,Geometry!$B$6:$B$10000,Geometry!$C$6:$C$10000)</f>
        <v>0</v>
      </c>
      <c r="T9408" s="69"/>
      <c r="U9408" s="69"/>
    </row>
    <row r="9409" spans="19:21" ht="15" customHeight="1" x14ac:dyDescent="0.2">
      <c r="S9409" s="69">
        <f>_xlfn.XLOOKUP(Results!A9409,Geometry!$B$6:$B$10000,Geometry!$C$6:$C$10000)</f>
        <v>0</v>
      </c>
      <c r="T9409" s="69"/>
      <c r="U9409" s="69"/>
    </row>
    <row r="9410" spans="19:21" ht="15" customHeight="1" x14ac:dyDescent="0.2">
      <c r="S9410" s="69">
        <f>_xlfn.XLOOKUP(Results!A9410,Geometry!$B$6:$B$10000,Geometry!$C$6:$C$10000)</f>
        <v>0</v>
      </c>
      <c r="T9410" s="69"/>
      <c r="U9410" s="69"/>
    </row>
    <row r="9411" spans="19:21" ht="15" customHeight="1" x14ac:dyDescent="0.2">
      <c r="S9411" s="69">
        <f>_xlfn.XLOOKUP(Results!A9411,Geometry!$B$6:$B$10000,Geometry!$C$6:$C$10000)</f>
        <v>0</v>
      </c>
      <c r="T9411" s="69"/>
      <c r="U9411" s="69"/>
    </row>
    <row r="9412" spans="19:21" ht="15" customHeight="1" x14ac:dyDescent="0.2">
      <c r="S9412" s="69">
        <f>_xlfn.XLOOKUP(Results!A9412,Geometry!$B$6:$B$10000,Geometry!$C$6:$C$10000)</f>
        <v>0</v>
      </c>
      <c r="T9412" s="69"/>
      <c r="U9412" s="69"/>
    </row>
    <row r="9413" spans="19:21" ht="15" customHeight="1" x14ac:dyDescent="0.2">
      <c r="S9413" s="69">
        <f>_xlfn.XLOOKUP(Results!A9413,Geometry!$B$6:$B$10000,Geometry!$C$6:$C$10000)</f>
        <v>0</v>
      </c>
      <c r="T9413" s="69"/>
      <c r="U9413" s="69"/>
    </row>
    <row r="9414" spans="19:21" ht="15" customHeight="1" x14ac:dyDescent="0.2">
      <c r="S9414" s="69">
        <f>_xlfn.XLOOKUP(Results!A9414,Geometry!$B$6:$B$10000,Geometry!$C$6:$C$10000)</f>
        <v>0</v>
      </c>
      <c r="T9414" s="69"/>
      <c r="U9414" s="69"/>
    </row>
    <row r="9415" spans="19:21" ht="15" customHeight="1" x14ac:dyDescent="0.2">
      <c r="S9415" s="69">
        <f>_xlfn.XLOOKUP(Results!A9415,Geometry!$B$6:$B$10000,Geometry!$C$6:$C$10000)</f>
        <v>0</v>
      </c>
      <c r="T9415" s="69"/>
      <c r="U9415" s="69"/>
    </row>
    <row r="9416" spans="19:21" ht="15" customHeight="1" x14ac:dyDescent="0.2">
      <c r="S9416" s="69">
        <f>_xlfn.XLOOKUP(Results!A9416,Geometry!$B$6:$B$10000,Geometry!$C$6:$C$10000)</f>
        <v>0</v>
      </c>
      <c r="T9416" s="69"/>
      <c r="U9416" s="69"/>
    </row>
    <row r="9417" spans="19:21" ht="15" customHeight="1" x14ac:dyDescent="0.2">
      <c r="S9417" s="69">
        <f>_xlfn.XLOOKUP(Results!A9417,Geometry!$B$6:$B$10000,Geometry!$C$6:$C$10000)</f>
        <v>0</v>
      </c>
      <c r="T9417" s="69"/>
      <c r="U9417" s="69"/>
    </row>
    <row r="9418" spans="19:21" ht="15" customHeight="1" x14ac:dyDescent="0.2">
      <c r="S9418" s="69">
        <f>_xlfn.XLOOKUP(Results!A9418,Geometry!$B$6:$B$10000,Geometry!$C$6:$C$10000)</f>
        <v>0</v>
      </c>
      <c r="T9418" s="69"/>
      <c r="U9418" s="69"/>
    </row>
    <row r="9419" spans="19:21" ht="15" customHeight="1" x14ac:dyDescent="0.2">
      <c r="S9419" s="69">
        <f>_xlfn.XLOOKUP(Results!A9419,Geometry!$B$6:$B$10000,Geometry!$C$6:$C$10000)</f>
        <v>0</v>
      </c>
      <c r="T9419" s="69"/>
      <c r="U9419" s="69"/>
    </row>
    <row r="9420" spans="19:21" ht="15" customHeight="1" x14ac:dyDescent="0.2">
      <c r="S9420" s="69">
        <f>_xlfn.XLOOKUP(Results!A9420,Geometry!$B$6:$B$10000,Geometry!$C$6:$C$10000)</f>
        <v>0</v>
      </c>
      <c r="T9420" s="69"/>
      <c r="U9420" s="69"/>
    </row>
    <row r="9421" spans="19:21" ht="15" customHeight="1" x14ac:dyDescent="0.2">
      <c r="S9421" s="69">
        <f>_xlfn.XLOOKUP(Results!A9421,Geometry!$B$6:$B$10000,Geometry!$C$6:$C$10000)</f>
        <v>0</v>
      </c>
      <c r="T9421" s="69"/>
      <c r="U9421" s="69"/>
    </row>
    <row r="9422" spans="19:21" ht="15" customHeight="1" x14ac:dyDescent="0.2">
      <c r="S9422" s="69">
        <f>_xlfn.XLOOKUP(Results!A9422,Geometry!$B$6:$B$10000,Geometry!$C$6:$C$10000)</f>
        <v>0</v>
      </c>
      <c r="T9422" s="69"/>
      <c r="U9422" s="69"/>
    </row>
    <row r="9423" spans="19:21" ht="15" customHeight="1" x14ac:dyDescent="0.2">
      <c r="S9423" s="69">
        <f>_xlfn.XLOOKUP(Results!A9423,Geometry!$B$6:$B$10000,Geometry!$C$6:$C$10000)</f>
        <v>0</v>
      </c>
      <c r="T9423" s="69"/>
      <c r="U9423" s="69"/>
    </row>
    <row r="9424" spans="19:21" ht="15" customHeight="1" x14ac:dyDescent="0.2">
      <c r="S9424" s="69">
        <f>_xlfn.XLOOKUP(Results!A9424,Geometry!$B$6:$B$10000,Geometry!$C$6:$C$10000)</f>
        <v>0</v>
      </c>
      <c r="T9424" s="69"/>
      <c r="U9424" s="69"/>
    </row>
    <row r="9425" spans="19:21" ht="15" customHeight="1" x14ac:dyDescent="0.2">
      <c r="S9425" s="69">
        <f>_xlfn.XLOOKUP(Results!A9425,Geometry!$B$6:$B$10000,Geometry!$C$6:$C$10000)</f>
        <v>0</v>
      </c>
      <c r="T9425" s="69"/>
      <c r="U9425" s="69"/>
    </row>
    <row r="9426" spans="19:21" ht="15" customHeight="1" x14ac:dyDescent="0.2">
      <c r="S9426" s="69">
        <f>_xlfn.XLOOKUP(Results!A9426,Geometry!$B$6:$B$10000,Geometry!$C$6:$C$10000)</f>
        <v>0</v>
      </c>
      <c r="T9426" s="69"/>
      <c r="U9426" s="69"/>
    </row>
    <row r="9427" spans="19:21" ht="15" customHeight="1" x14ac:dyDescent="0.2">
      <c r="S9427" s="69">
        <f>_xlfn.XLOOKUP(Results!A9427,Geometry!$B$6:$B$10000,Geometry!$C$6:$C$10000)</f>
        <v>0</v>
      </c>
      <c r="T9427" s="69"/>
      <c r="U9427" s="69"/>
    </row>
    <row r="9428" spans="19:21" ht="15" customHeight="1" x14ac:dyDescent="0.2">
      <c r="S9428" s="69">
        <f>_xlfn.XLOOKUP(Results!A9428,Geometry!$B$6:$B$10000,Geometry!$C$6:$C$10000)</f>
        <v>0</v>
      </c>
      <c r="T9428" s="69"/>
      <c r="U9428" s="69"/>
    </row>
    <row r="9429" spans="19:21" ht="15" customHeight="1" x14ac:dyDescent="0.2">
      <c r="S9429" s="69">
        <f>_xlfn.XLOOKUP(Results!A9429,Geometry!$B$6:$B$10000,Geometry!$C$6:$C$10000)</f>
        <v>0</v>
      </c>
      <c r="T9429" s="69"/>
      <c r="U9429" s="69"/>
    </row>
    <row r="9430" spans="19:21" ht="15" customHeight="1" x14ac:dyDescent="0.2">
      <c r="S9430" s="69">
        <f>_xlfn.XLOOKUP(Results!A9430,Geometry!$B$6:$B$10000,Geometry!$C$6:$C$10000)</f>
        <v>0</v>
      </c>
      <c r="T9430" s="69"/>
      <c r="U9430" s="69"/>
    </row>
    <row r="9431" spans="19:21" ht="15" customHeight="1" x14ac:dyDescent="0.2">
      <c r="S9431" s="69">
        <f>_xlfn.XLOOKUP(Results!A9431,Geometry!$B$6:$B$10000,Geometry!$C$6:$C$10000)</f>
        <v>0</v>
      </c>
      <c r="T9431" s="69"/>
      <c r="U9431" s="69"/>
    </row>
    <row r="9432" spans="19:21" ht="15" customHeight="1" x14ac:dyDescent="0.2">
      <c r="S9432" s="69">
        <f>_xlfn.XLOOKUP(Results!A9432,Geometry!$B$6:$B$10000,Geometry!$C$6:$C$10000)</f>
        <v>0</v>
      </c>
      <c r="T9432" s="69"/>
      <c r="U9432" s="69"/>
    </row>
    <row r="9433" spans="19:21" ht="15" customHeight="1" x14ac:dyDescent="0.2">
      <c r="S9433" s="69">
        <f>_xlfn.XLOOKUP(Results!A9433,Geometry!$B$6:$B$10000,Geometry!$C$6:$C$10000)</f>
        <v>0</v>
      </c>
      <c r="T9433" s="69"/>
      <c r="U9433" s="69"/>
    </row>
    <row r="9434" spans="19:21" ht="15" customHeight="1" x14ac:dyDescent="0.2">
      <c r="S9434" s="69">
        <f>_xlfn.XLOOKUP(Results!A9434,Geometry!$B$6:$B$10000,Geometry!$C$6:$C$10000)</f>
        <v>0</v>
      </c>
      <c r="T9434" s="69"/>
      <c r="U9434" s="69"/>
    </row>
    <row r="9435" spans="19:21" ht="15" customHeight="1" x14ac:dyDescent="0.2">
      <c r="S9435" s="69">
        <f>_xlfn.XLOOKUP(Results!A9435,Geometry!$B$6:$B$10000,Geometry!$C$6:$C$10000)</f>
        <v>0</v>
      </c>
      <c r="T9435" s="69"/>
      <c r="U9435" s="69"/>
    </row>
    <row r="9436" spans="19:21" ht="15" customHeight="1" x14ac:dyDescent="0.2">
      <c r="S9436" s="69">
        <f>_xlfn.XLOOKUP(Results!A9436,Geometry!$B$6:$B$10000,Geometry!$C$6:$C$10000)</f>
        <v>0</v>
      </c>
      <c r="T9436" s="69"/>
      <c r="U9436" s="69"/>
    </row>
    <row r="9437" spans="19:21" ht="15" customHeight="1" x14ac:dyDescent="0.2">
      <c r="S9437" s="69">
        <f>_xlfn.XLOOKUP(Results!A9437,Geometry!$B$6:$B$10000,Geometry!$C$6:$C$10000)</f>
        <v>0</v>
      </c>
      <c r="T9437" s="69"/>
      <c r="U9437" s="69"/>
    </row>
    <row r="9438" spans="19:21" ht="15" customHeight="1" x14ac:dyDescent="0.2">
      <c r="S9438" s="69">
        <f>_xlfn.XLOOKUP(Results!A9438,Geometry!$B$6:$B$10000,Geometry!$C$6:$C$10000)</f>
        <v>0</v>
      </c>
      <c r="T9438" s="69"/>
      <c r="U9438" s="69"/>
    </row>
    <row r="9439" spans="19:21" ht="15" customHeight="1" x14ac:dyDescent="0.2">
      <c r="S9439" s="69">
        <f>_xlfn.XLOOKUP(Results!A9439,Geometry!$B$6:$B$10000,Geometry!$C$6:$C$10000)</f>
        <v>0</v>
      </c>
      <c r="T9439" s="69"/>
      <c r="U9439" s="69"/>
    </row>
    <row r="9440" spans="19:21" ht="15" customHeight="1" x14ac:dyDescent="0.2">
      <c r="S9440" s="69">
        <f>_xlfn.XLOOKUP(Results!A9440,Geometry!$B$6:$B$10000,Geometry!$C$6:$C$10000)</f>
        <v>0</v>
      </c>
      <c r="T9440" s="69"/>
      <c r="U9440" s="69"/>
    </row>
    <row r="9441" spans="19:21" ht="15" customHeight="1" x14ac:dyDescent="0.2">
      <c r="S9441" s="69">
        <f>_xlfn.XLOOKUP(Results!A9441,Geometry!$B$6:$B$10000,Geometry!$C$6:$C$10000)</f>
        <v>0</v>
      </c>
      <c r="T9441" s="69"/>
      <c r="U9441" s="69"/>
    </row>
    <row r="9442" spans="19:21" ht="15" customHeight="1" x14ac:dyDescent="0.2">
      <c r="S9442" s="69">
        <f>_xlfn.XLOOKUP(Results!A9442,Geometry!$B$6:$B$10000,Geometry!$C$6:$C$10000)</f>
        <v>0</v>
      </c>
      <c r="T9442" s="69"/>
      <c r="U9442" s="69"/>
    </row>
    <row r="9443" spans="19:21" ht="15" customHeight="1" x14ac:dyDescent="0.2">
      <c r="S9443" s="69">
        <f>_xlfn.XLOOKUP(Results!A9443,Geometry!$B$6:$B$10000,Geometry!$C$6:$C$10000)</f>
        <v>0</v>
      </c>
      <c r="T9443" s="69"/>
      <c r="U9443" s="69"/>
    </row>
    <row r="9444" spans="19:21" ht="15" customHeight="1" x14ac:dyDescent="0.2">
      <c r="S9444" s="69">
        <f>_xlfn.XLOOKUP(Results!A9444,Geometry!$B$6:$B$10000,Geometry!$C$6:$C$10000)</f>
        <v>0</v>
      </c>
      <c r="T9444" s="69"/>
      <c r="U9444" s="69"/>
    </row>
    <row r="9445" spans="19:21" ht="15" customHeight="1" x14ac:dyDescent="0.2">
      <c r="S9445" s="69">
        <f>_xlfn.XLOOKUP(Results!A9445,Geometry!$B$6:$B$10000,Geometry!$C$6:$C$10000)</f>
        <v>0</v>
      </c>
      <c r="T9445" s="69"/>
      <c r="U9445" s="69"/>
    </row>
    <row r="9446" spans="19:21" ht="15" customHeight="1" x14ac:dyDescent="0.2">
      <c r="S9446" s="69">
        <f>_xlfn.XLOOKUP(Results!A9446,Geometry!$B$6:$B$10000,Geometry!$C$6:$C$10000)</f>
        <v>0</v>
      </c>
      <c r="T9446" s="69"/>
      <c r="U9446" s="69"/>
    </row>
    <row r="9447" spans="19:21" ht="15" customHeight="1" x14ac:dyDescent="0.2">
      <c r="S9447" s="69">
        <f>_xlfn.XLOOKUP(Results!A9447,Geometry!$B$6:$B$10000,Geometry!$C$6:$C$10000)</f>
        <v>0</v>
      </c>
      <c r="T9447" s="69"/>
      <c r="U9447" s="69"/>
    </row>
    <row r="9448" spans="19:21" ht="15" customHeight="1" x14ac:dyDescent="0.2">
      <c r="S9448" s="69">
        <f>_xlfn.XLOOKUP(Results!A9448,Geometry!$B$6:$B$10000,Geometry!$C$6:$C$10000)</f>
        <v>0</v>
      </c>
      <c r="T9448" s="69"/>
      <c r="U9448" s="69"/>
    </row>
    <row r="9449" spans="19:21" ht="15" customHeight="1" x14ac:dyDescent="0.2">
      <c r="S9449" s="69">
        <f>_xlfn.XLOOKUP(Results!A9449,Geometry!$B$6:$B$10000,Geometry!$C$6:$C$10000)</f>
        <v>0</v>
      </c>
      <c r="T9449" s="69"/>
      <c r="U9449" s="69"/>
    </row>
    <row r="9450" spans="19:21" ht="15" customHeight="1" x14ac:dyDescent="0.2">
      <c r="S9450" s="69">
        <f>_xlfn.XLOOKUP(Results!A9450,Geometry!$B$6:$B$10000,Geometry!$C$6:$C$10000)</f>
        <v>0</v>
      </c>
      <c r="T9450" s="69"/>
      <c r="U9450" s="69"/>
    </row>
    <row r="9451" spans="19:21" ht="15" customHeight="1" x14ac:dyDescent="0.2">
      <c r="S9451" s="69">
        <f>_xlfn.XLOOKUP(Results!A9451,Geometry!$B$6:$B$10000,Geometry!$C$6:$C$10000)</f>
        <v>0</v>
      </c>
      <c r="T9451" s="69"/>
      <c r="U9451" s="69"/>
    </row>
    <row r="9452" spans="19:21" ht="15" customHeight="1" x14ac:dyDescent="0.2">
      <c r="S9452" s="69">
        <f>_xlfn.XLOOKUP(Results!A9452,Geometry!$B$6:$B$10000,Geometry!$C$6:$C$10000)</f>
        <v>0</v>
      </c>
      <c r="T9452" s="69"/>
      <c r="U9452" s="69"/>
    </row>
    <row r="9453" spans="19:21" ht="15" customHeight="1" x14ac:dyDescent="0.2">
      <c r="S9453" s="69">
        <f>_xlfn.XLOOKUP(Results!A9453,Geometry!$B$6:$B$10000,Geometry!$C$6:$C$10000)</f>
        <v>0</v>
      </c>
      <c r="T9453" s="69"/>
      <c r="U9453" s="69"/>
    </row>
    <row r="9454" spans="19:21" ht="15" customHeight="1" x14ac:dyDescent="0.2">
      <c r="S9454" s="69">
        <f>_xlfn.XLOOKUP(Results!A9454,Geometry!$B$6:$B$10000,Geometry!$C$6:$C$10000)</f>
        <v>0</v>
      </c>
      <c r="T9454" s="69"/>
      <c r="U9454" s="69"/>
    </row>
    <row r="9455" spans="19:21" ht="15" customHeight="1" x14ac:dyDescent="0.2">
      <c r="S9455" s="69">
        <f>_xlfn.XLOOKUP(Results!A9455,Geometry!$B$6:$B$10000,Geometry!$C$6:$C$10000)</f>
        <v>0</v>
      </c>
      <c r="T9455" s="69"/>
      <c r="U9455" s="69"/>
    </row>
    <row r="9456" spans="19:21" ht="15" customHeight="1" x14ac:dyDescent="0.2">
      <c r="S9456" s="69">
        <f>_xlfn.XLOOKUP(Results!A9456,Geometry!$B$6:$B$10000,Geometry!$C$6:$C$10000)</f>
        <v>0</v>
      </c>
      <c r="T9456" s="69"/>
      <c r="U9456" s="69"/>
    </row>
    <row r="9457" spans="19:21" ht="15" customHeight="1" x14ac:dyDescent="0.2">
      <c r="S9457" s="69">
        <f>_xlfn.XLOOKUP(Results!A9457,Geometry!$B$6:$B$10000,Geometry!$C$6:$C$10000)</f>
        <v>0</v>
      </c>
      <c r="T9457" s="69"/>
      <c r="U9457" s="69"/>
    </row>
    <row r="9458" spans="19:21" ht="15" customHeight="1" x14ac:dyDescent="0.2">
      <c r="S9458" s="69">
        <f>_xlfn.XLOOKUP(Results!A9458,Geometry!$B$6:$B$10000,Geometry!$C$6:$C$10000)</f>
        <v>0</v>
      </c>
      <c r="T9458" s="69"/>
      <c r="U9458" s="69"/>
    </row>
    <row r="9459" spans="19:21" ht="15" customHeight="1" x14ac:dyDescent="0.2">
      <c r="S9459" s="69">
        <f>_xlfn.XLOOKUP(Results!A9459,Geometry!$B$6:$B$10000,Geometry!$C$6:$C$10000)</f>
        <v>0</v>
      </c>
      <c r="T9459" s="69"/>
      <c r="U9459" s="69"/>
    </row>
    <row r="9460" spans="19:21" ht="15" customHeight="1" x14ac:dyDescent="0.2">
      <c r="S9460" s="69">
        <f>_xlfn.XLOOKUP(Results!A9460,Geometry!$B$6:$B$10000,Geometry!$C$6:$C$10000)</f>
        <v>0</v>
      </c>
      <c r="T9460" s="69"/>
      <c r="U9460" s="69"/>
    </row>
    <row r="9461" spans="19:21" ht="15" customHeight="1" x14ac:dyDescent="0.2">
      <c r="S9461" s="69">
        <f>_xlfn.XLOOKUP(Results!A9461,Geometry!$B$6:$B$10000,Geometry!$C$6:$C$10000)</f>
        <v>0</v>
      </c>
      <c r="T9461" s="69"/>
      <c r="U9461" s="69"/>
    </row>
    <row r="9462" spans="19:21" ht="15" customHeight="1" x14ac:dyDescent="0.2">
      <c r="S9462" s="69">
        <f>_xlfn.XLOOKUP(Results!A9462,Geometry!$B$6:$B$10000,Geometry!$C$6:$C$10000)</f>
        <v>0</v>
      </c>
      <c r="T9462" s="69"/>
      <c r="U9462" s="69"/>
    </row>
    <row r="9463" spans="19:21" ht="15" customHeight="1" x14ac:dyDescent="0.2">
      <c r="S9463" s="69">
        <f>_xlfn.XLOOKUP(Results!A9463,Geometry!$B$6:$B$10000,Geometry!$C$6:$C$10000)</f>
        <v>0</v>
      </c>
      <c r="T9463" s="69"/>
      <c r="U9463" s="69"/>
    </row>
    <row r="9464" spans="19:21" ht="15" customHeight="1" x14ac:dyDescent="0.2">
      <c r="S9464" s="69">
        <f>_xlfn.XLOOKUP(Results!A9464,Geometry!$B$6:$B$10000,Geometry!$C$6:$C$10000)</f>
        <v>0</v>
      </c>
      <c r="T9464" s="69"/>
      <c r="U9464" s="69"/>
    </row>
    <row r="9465" spans="19:21" ht="15" customHeight="1" x14ac:dyDescent="0.2">
      <c r="S9465" s="69">
        <f>_xlfn.XLOOKUP(Results!A9465,Geometry!$B$6:$B$10000,Geometry!$C$6:$C$10000)</f>
        <v>0</v>
      </c>
      <c r="T9465" s="69"/>
      <c r="U9465" s="69"/>
    </row>
    <row r="9466" spans="19:21" ht="15" customHeight="1" x14ac:dyDescent="0.2">
      <c r="S9466" s="69">
        <f>_xlfn.XLOOKUP(Results!A9466,Geometry!$B$6:$B$10000,Geometry!$C$6:$C$10000)</f>
        <v>0</v>
      </c>
      <c r="T9466" s="69"/>
      <c r="U9466" s="69"/>
    </row>
    <row r="9467" spans="19:21" ht="15" customHeight="1" x14ac:dyDescent="0.2">
      <c r="S9467" s="69">
        <f>_xlfn.XLOOKUP(Results!A9467,Geometry!$B$6:$B$10000,Geometry!$C$6:$C$10000)</f>
        <v>0</v>
      </c>
      <c r="T9467" s="69"/>
      <c r="U9467" s="69"/>
    </row>
    <row r="9468" spans="19:21" ht="15" customHeight="1" x14ac:dyDescent="0.2">
      <c r="S9468" s="69">
        <f>_xlfn.XLOOKUP(Results!A9468,Geometry!$B$6:$B$10000,Geometry!$C$6:$C$10000)</f>
        <v>0</v>
      </c>
      <c r="T9468" s="69"/>
      <c r="U9468" s="69"/>
    </row>
    <row r="9469" spans="19:21" ht="15" customHeight="1" x14ac:dyDescent="0.2">
      <c r="S9469" s="69">
        <f>_xlfn.XLOOKUP(Results!A9469,Geometry!$B$6:$B$10000,Geometry!$C$6:$C$10000)</f>
        <v>0</v>
      </c>
      <c r="T9469" s="69"/>
      <c r="U9469" s="69"/>
    </row>
    <row r="9470" spans="19:21" ht="15" customHeight="1" x14ac:dyDescent="0.2">
      <c r="S9470" s="69">
        <f>_xlfn.XLOOKUP(Results!A9470,Geometry!$B$6:$B$10000,Geometry!$C$6:$C$10000)</f>
        <v>0</v>
      </c>
      <c r="T9470" s="69"/>
      <c r="U9470" s="69"/>
    </row>
    <row r="9471" spans="19:21" ht="15" customHeight="1" x14ac:dyDescent="0.2">
      <c r="S9471" s="69">
        <f>_xlfn.XLOOKUP(Results!A9471,Geometry!$B$6:$B$10000,Geometry!$C$6:$C$10000)</f>
        <v>0</v>
      </c>
      <c r="T9471" s="69"/>
      <c r="U9471" s="69"/>
    </row>
    <row r="9472" spans="19:21" ht="15" customHeight="1" x14ac:dyDescent="0.2">
      <c r="S9472" s="69">
        <f>_xlfn.XLOOKUP(Results!A9472,Geometry!$B$6:$B$10000,Geometry!$C$6:$C$10000)</f>
        <v>0</v>
      </c>
      <c r="T9472" s="69"/>
      <c r="U9472" s="69"/>
    </row>
    <row r="9473" spans="19:21" ht="15" customHeight="1" x14ac:dyDescent="0.2">
      <c r="S9473" s="69">
        <f>_xlfn.XLOOKUP(Results!A9473,Geometry!$B$6:$B$10000,Geometry!$C$6:$C$10000)</f>
        <v>0</v>
      </c>
      <c r="T9473" s="69"/>
      <c r="U9473" s="69"/>
    </row>
    <row r="9474" spans="19:21" ht="15" customHeight="1" x14ac:dyDescent="0.2">
      <c r="S9474" s="69">
        <f>_xlfn.XLOOKUP(Results!A9474,Geometry!$B$6:$B$10000,Geometry!$C$6:$C$10000)</f>
        <v>0</v>
      </c>
      <c r="T9474" s="69"/>
      <c r="U9474" s="69"/>
    </row>
    <row r="9475" spans="19:21" ht="15" customHeight="1" x14ac:dyDescent="0.2">
      <c r="S9475" s="69">
        <f>_xlfn.XLOOKUP(Results!A9475,Geometry!$B$6:$B$10000,Geometry!$C$6:$C$10000)</f>
        <v>0</v>
      </c>
      <c r="T9475" s="69"/>
      <c r="U9475" s="69"/>
    </row>
    <row r="9476" spans="19:21" ht="15" customHeight="1" x14ac:dyDescent="0.2">
      <c r="S9476" s="69">
        <f>_xlfn.XLOOKUP(Results!A9476,Geometry!$B$6:$B$10000,Geometry!$C$6:$C$10000)</f>
        <v>0</v>
      </c>
      <c r="T9476" s="69"/>
      <c r="U9476" s="69"/>
    </row>
    <row r="9477" spans="19:21" ht="15" customHeight="1" x14ac:dyDescent="0.2">
      <c r="S9477" s="69">
        <f>_xlfn.XLOOKUP(Results!A9477,Geometry!$B$6:$B$10000,Geometry!$C$6:$C$10000)</f>
        <v>0</v>
      </c>
      <c r="T9477" s="69"/>
      <c r="U9477" s="69"/>
    </row>
    <row r="9478" spans="19:21" ht="15" customHeight="1" x14ac:dyDescent="0.2">
      <c r="S9478" s="69">
        <f>_xlfn.XLOOKUP(Results!A9478,Geometry!$B$6:$B$10000,Geometry!$C$6:$C$10000)</f>
        <v>0</v>
      </c>
      <c r="T9478" s="69"/>
      <c r="U9478" s="69"/>
    </row>
    <row r="9479" spans="19:21" ht="15" customHeight="1" x14ac:dyDescent="0.2">
      <c r="S9479" s="69">
        <f>_xlfn.XLOOKUP(Results!A9479,Geometry!$B$6:$B$10000,Geometry!$C$6:$C$10000)</f>
        <v>0</v>
      </c>
      <c r="T9479" s="69"/>
      <c r="U9479" s="69"/>
    </row>
    <row r="9480" spans="19:21" ht="15" customHeight="1" x14ac:dyDescent="0.2">
      <c r="S9480" s="69">
        <f>_xlfn.XLOOKUP(Results!A9480,Geometry!$B$6:$B$10000,Geometry!$C$6:$C$10000)</f>
        <v>0</v>
      </c>
      <c r="T9480" s="69"/>
      <c r="U9480" s="69"/>
    </row>
    <row r="9481" spans="19:21" ht="15" customHeight="1" x14ac:dyDescent="0.2">
      <c r="S9481" s="69">
        <f>_xlfn.XLOOKUP(Results!A9481,Geometry!$B$6:$B$10000,Geometry!$C$6:$C$10000)</f>
        <v>0</v>
      </c>
      <c r="T9481" s="69"/>
      <c r="U9481" s="69"/>
    </row>
    <row r="9482" spans="19:21" ht="15" customHeight="1" x14ac:dyDescent="0.2">
      <c r="S9482" s="69">
        <f>_xlfn.XLOOKUP(Results!A9482,Geometry!$B$6:$B$10000,Geometry!$C$6:$C$10000)</f>
        <v>0</v>
      </c>
      <c r="T9482" s="69"/>
      <c r="U9482" s="69"/>
    </row>
    <row r="9483" spans="19:21" ht="15" customHeight="1" x14ac:dyDescent="0.2">
      <c r="S9483" s="69">
        <f>_xlfn.XLOOKUP(Results!A9483,Geometry!$B$6:$B$10000,Geometry!$C$6:$C$10000)</f>
        <v>0</v>
      </c>
      <c r="T9483" s="69"/>
      <c r="U9483" s="69"/>
    </row>
    <row r="9484" spans="19:21" ht="15" customHeight="1" x14ac:dyDescent="0.2">
      <c r="S9484" s="69">
        <f>_xlfn.XLOOKUP(Results!A9484,Geometry!$B$6:$B$10000,Geometry!$C$6:$C$10000)</f>
        <v>0</v>
      </c>
      <c r="T9484" s="69"/>
      <c r="U9484" s="69"/>
    </row>
    <row r="9485" spans="19:21" ht="15" customHeight="1" x14ac:dyDescent="0.2">
      <c r="S9485" s="69">
        <f>_xlfn.XLOOKUP(Results!A9485,Geometry!$B$6:$B$10000,Geometry!$C$6:$C$10000)</f>
        <v>0</v>
      </c>
      <c r="T9485" s="69"/>
      <c r="U9485" s="69"/>
    </row>
    <row r="9486" spans="19:21" ht="15" customHeight="1" x14ac:dyDescent="0.2">
      <c r="S9486" s="69">
        <f>_xlfn.XLOOKUP(Results!A9486,Geometry!$B$6:$B$10000,Geometry!$C$6:$C$10000)</f>
        <v>0</v>
      </c>
      <c r="T9486" s="69"/>
      <c r="U9486" s="69"/>
    </row>
    <row r="9487" spans="19:21" ht="15" customHeight="1" x14ac:dyDescent="0.2">
      <c r="S9487" s="69">
        <f>_xlfn.XLOOKUP(Results!A9487,Geometry!$B$6:$B$10000,Geometry!$C$6:$C$10000)</f>
        <v>0</v>
      </c>
      <c r="T9487" s="69"/>
      <c r="U9487" s="69"/>
    </row>
    <row r="9488" spans="19:21" ht="15" customHeight="1" x14ac:dyDescent="0.2">
      <c r="S9488" s="69">
        <f>_xlfn.XLOOKUP(Results!A9488,Geometry!$B$6:$B$10000,Geometry!$C$6:$C$10000)</f>
        <v>0</v>
      </c>
      <c r="T9488" s="69"/>
      <c r="U9488" s="69"/>
    </row>
    <row r="9489" spans="19:21" ht="15" customHeight="1" x14ac:dyDescent="0.2">
      <c r="S9489" s="69">
        <f>_xlfn.XLOOKUP(Results!A9489,Geometry!$B$6:$B$10000,Geometry!$C$6:$C$10000)</f>
        <v>0</v>
      </c>
      <c r="T9489" s="69"/>
      <c r="U9489" s="69"/>
    </row>
    <row r="9490" spans="19:21" ht="15" customHeight="1" x14ac:dyDescent="0.2">
      <c r="S9490" s="69">
        <f>_xlfn.XLOOKUP(Results!A9490,Geometry!$B$6:$B$10000,Geometry!$C$6:$C$10000)</f>
        <v>0</v>
      </c>
      <c r="T9490" s="69"/>
      <c r="U9490" s="69"/>
    </row>
    <row r="9491" spans="19:21" ht="15" customHeight="1" x14ac:dyDescent="0.2">
      <c r="S9491" s="69">
        <f>_xlfn.XLOOKUP(Results!A9491,Geometry!$B$6:$B$10000,Geometry!$C$6:$C$10000)</f>
        <v>0</v>
      </c>
      <c r="T9491" s="69"/>
      <c r="U9491" s="69"/>
    </row>
    <row r="9492" spans="19:21" ht="15" customHeight="1" x14ac:dyDescent="0.2">
      <c r="S9492" s="69">
        <f>_xlfn.XLOOKUP(Results!A9492,Geometry!$B$6:$B$10000,Geometry!$C$6:$C$10000)</f>
        <v>0</v>
      </c>
      <c r="T9492" s="69"/>
      <c r="U9492" s="69"/>
    </row>
    <row r="9493" spans="19:21" ht="15" customHeight="1" x14ac:dyDescent="0.2">
      <c r="S9493" s="69">
        <f>_xlfn.XLOOKUP(Results!A9493,Geometry!$B$6:$B$10000,Geometry!$C$6:$C$10000)</f>
        <v>0</v>
      </c>
      <c r="T9493" s="69"/>
      <c r="U9493" s="69"/>
    </row>
    <row r="9494" spans="19:21" ht="15" customHeight="1" x14ac:dyDescent="0.2">
      <c r="S9494" s="69">
        <f>_xlfn.XLOOKUP(Results!A9494,Geometry!$B$6:$B$10000,Geometry!$C$6:$C$10000)</f>
        <v>0</v>
      </c>
      <c r="T9494" s="69"/>
      <c r="U9494" s="69"/>
    </row>
    <row r="9495" spans="19:21" ht="15" customHeight="1" x14ac:dyDescent="0.2">
      <c r="S9495" s="69">
        <f>_xlfn.XLOOKUP(Results!A9495,Geometry!$B$6:$B$10000,Geometry!$C$6:$C$10000)</f>
        <v>0</v>
      </c>
      <c r="T9495" s="69"/>
      <c r="U9495" s="69"/>
    </row>
    <row r="9496" spans="19:21" ht="15" customHeight="1" x14ac:dyDescent="0.2">
      <c r="S9496" s="69">
        <f>_xlfn.XLOOKUP(Results!A9496,Geometry!$B$6:$B$10000,Geometry!$C$6:$C$10000)</f>
        <v>0</v>
      </c>
      <c r="T9496" s="69"/>
      <c r="U9496" s="69"/>
    </row>
    <row r="9497" spans="19:21" ht="15" customHeight="1" x14ac:dyDescent="0.2">
      <c r="S9497" s="69">
        <f>_xlfn.XLOOKUP(Results!A9497,Geometry!$B$6:$B$10000,Geometry!$C$6:$C$10000)</f>
        <v>0</v>
      </c>
      <c r="T9497" s="69"/>
      <c r="U9497" s="69"/>
    </row>
    <row r="9498" spans="19:21" ht="15" customHeight="1" x14ac:dyDescent="0.2">
      <c r="S9498" s="69">
        <f>_xlfn.XLOOKUP(Results!A9498,Geometry!$B$6:$B$10000,Geometry!$C$6:$C$10000)</f>
        <v>0</v>
      </c>
      <c r="T9498" s="69"/>
      <c r="U9498" s="69"/>
    </row>
    <row r="9499" spans="19:21" ht="15" customHeight="1" x14ac:dyDescent="0.2">
      <c r="S9499" s="69">
        <f>_xlfn.XLOOKUP(Results!A9499,Geometry!$B$6:$B$10000,Geometry!$C$6:$C$10000)</f>
        <v>0</v>
      </c>
      <c r="T9499" s="69"/>
      <c r="U9499" s="69"/>
    </row>
    <row r="9500" spans="19:21" ht="15" customHeight="1" x14ac:dyDescent="0.2">
      <c r="S9500" s="69">
        <f>_xlfn.XLOOKUP(Results!A9500,Geometry!$B$6:$B$10000,Geometry!$C$6:$C$10000)</f>
        <v>0</v>
      </c>
      <c r="T9500" s="69"/>
      <c r="U9500" s="69"/>
    </row>
    <row r="9501" spans="19:21" ht="15" customHeight="1" x14ac:dyDescent="0.2">
      <c r="S9501" s="69">
        <f>_xlfn.XLOOKUP(Results!A9501,Geometry!$B$6:$B$10000,Geometry!$C$6:$C$10000)</f>
        <v>0</v>
      </c>
      <c r="T9501" s="69"/>
      <c r="U9501" s="69"/>
    </row>
    <row r="9502" spans="19:21" ht="15" customHeight="1" x14ac:dyDescent="0.2">
      <c r="S9502" s="69">
        <f>_xlfn.XLOOKUP(Results!A9502,Geometry!$B$6:$B$10000,Geometry!$C$6:$C$10000)</f>
        <v>0</v>
      </c>
      <c r="T9502" s="69"/>
      <c r="U9502" s="69"/>
    </row>
    <row r="9503" spans="19:21" ht="15" customHeight="1" x14ac:dyDescent="0.2">
      <c r="S9503" s="69">
        <f>_xlfn.XLOOKUP(Results!A9503,Geometry!$B$6:$B$10000,Geometry!$C$6:$C$10000)</f>
        <v>0</v>
      </c>
      <c r="T9503" s="69"/>
      <c r="U9503" s="69"/>
    </row>
    <row r="9504" spans="19:21" ht="15" customHeight="1" x14ac:dyDescent="0.2">
      <c r="S9504" s="69">
        <f>_xlfn.XLOOKUP(Results!A9504,Geometry!$B$6:$B$10000,Geometry!$C$6:$C$10000)</f>
        <v>0</v>
      </c>
      <c r="T9504" s="69"/>
      <c r="U9504" s="69"/>
    </row>
    <row r="9505" spans="19:21" ht="15" customHeight="1" x14ac:dyDescent="0.2">
      <c r="S9505" s="69">
        <f>_xlfn.XLOOKUP(Results!A9505,Geometry!$B$6:$B$10000,Geometry!$C$6:$C$10000)</f>
        <v>0</v>
      </c>
      <c r="T9505" s="69"/>
      <c r="U9505" s="69"/>
    </row>
    <row r="9506" spans="19:21" ht="15" customHeight="1" x14ac:dyDescent="0.2">
      <c r="S9506" s="69">
        <f>_xlfn.XLOOKUP(Results!A9506,Geometry!$B$6:$B$10000,Geometry!$C$6:$C$10000)</f>
        <v>0</v>
      </c>
      <c r="T9506" s="69"/>
      <c r="U9506" s="69"/>
    </row>
    <row r="9507" spans="19:21" ht="15" customHeight="1" x14ac:dyDescent="0.2">
      <c r="S9507" s="69">
        <f>_xlfn.XLOOKUP(Results!A9507,Geometry!$B$6:$B$10000,Geometry!$C$6:$C$10000)</f>
        <v>0</v>
      </c>
      <c r="T9507" s="69"/>
      <c r="U9507" s="69"/>
    </row>
    <row r="9508" spans="19:21" ht="15" customHeight="1" x14ac:dyDescent="0.2">
      <c r="S9508" s="69">
        <f>_xlfn.XLOOKUP(Results!A9508,Geometry!$B$6:$B$10000,Geometry!$C$6:$C$10000)</f>
        <v>0</v>
      </c>
      <c r="T9508" s="69"/>
      <c r="U9508" s="69"/>
    </row>
    <row r="9509" spans="19:21" ht="15" customHeight="1" x14ac:dyDescent="0.2">
      <c r="S9509" s="69">
        <f>_xlfn.XLOOKUP(Results!A9509,Geometry!$B$6:$B$10000,Geometry!$C$6:$C$10000)</f>
        <v>0</v>
      </c>
      <c r="T9509" s="69"/>
      <c r="U9509" s="69"/>
    </row>
    <row r="9510" spans="19:21" ht="15" customHeight="1" x14ac:dyDescent="0.2">
      <c r="S9510" s="69">
        <f>_xlfn.XLOOKUP(Results!A9510,Geometry!$B$6:$B$10000,Geometry!$C$6:$C$10000)</f>
        <v>0</v>
      </c>
      <c r="T9510" s="69"/>
      <c r="U9510" s="69"/>
    </row>
    <row r="9511" spans="19:21" ht="15" customHeight="1" x14ac:dyDescent="0.2">
      <c r="S9511" s="69">
        <f>_xlfn.XLOOKUP(Results!A9511,Geometry!$B$6:$B$10000,Geometry!$C$6:$C$10000)</f>
        <v>0</v>
      </c>
      <c r="T9511" s="69"/>
      <c r="U9511" s="69"/>
    </row>
    <row r="9512" spans="19:21" ht="15" customHeight="1" x14ac:dyDescent="0.2">
      <c r="S9512" s="69">
        <f>_xlfn.XLOOKUP(Results!A9512,Geometry!$B$6:$B$10000,Geometry!$C$6:$C$10000)</f>
        <v>0</v>
      </c>
      <c r="T9512" s="69"/>
      <c r="U9512" s="69"/>
    </row>
    <row r="9513" spans="19:21" ht="15" customHeight="1" x14ac:dyDescent="0.2">
      <c r="S9513" s="69">
        <f>_xlfn.XLOOKUP(Results!A9513,Geometry!$B$6:$B$10000,Geometry!$C$6:$C$10000)</f>
        <v>0</v>
      </c>
      <c r="T9513" s="69"/>
      <c r="U9513" s="69"/>
    </row>
    <row r="9514" spans="19:21" ht="15" customHeight="1" x14ac:dyDescent="0.2">
      <c r="S9514" s="69">
        <f>_xlfn.XLOOKUP(Results!A9514,Geometry!$B$6:$B$10000,Geometry!$C$6:$C$10000)</f>
        <v>0</v>
      </c>
      <c r="T9514" s="69"/>
      <c r="U9514" s="69"/>
    </row>
    <row r="9515" spans="19:21" ht="15" customHeight="1" x14ac:dyDescent="0.2">
      <c r="S9515" s="69">
        <f>_xlfn.XLOOKUP(Results!A9515,Geometry!$B$6:$B$10000,Geometry!$C$6:$C$10000)</f>
        <v>0</v>
      </c>
      <c r="T9515" s="69"/>
      <c r="U9515" s="69"/>
    </row>
    <row r="9516" spans="19:21" ht="15" customHeight="1" x14ac:dyDescent="0.2">
      <c r="S9516" s="69">
        <f>_xlfn.XLOOKUP(Results!A9516,Geometry!$B$6:$B$10000,Geometry!$C$6:$C$10000)</f>
        <v>0</v>
      </c>
      <c r="T9516" s="69"/>
      <c r="U9516" s="69"/>
    </row>
    <row r="9517" spans="19:21" ht="15" customHeight="1" x14ac:dyDescent="0.2">
      <c r="S9517" s="69">
        <f>_xlfn.XLOOKUP(Results!A9517,Geometry!$B$6:$B$10000,Geometry!$C$6:$C$10000)</f>
        <v>0</v>
      </c>
      <c r="T9517" s="69"/>
      <c r="U9517" s="69"/>
    </row>
    <row r="9518" spans="19:21" ht="15" customHeight="1" x14ac:dyDescent="0.2">
      <c r="S9518" s="69">
        <f>_xlfn.XLOOKUP(Results!A9518,Geometry!$B$6:$B$10000,Geometry!$C$6:$C$10000)</f>
        <v>0</v>
      </c>
      <c r="T9518" s="69"/>
      <c r="U9518" s="69"/>
    </row>
    <row r="9519" spans="19:21" ht="15" customHeight="1" x14ac:dyDescent="0.2">
      <c r="S9519" s="69">
        <f>_xlfn.XLOOKUP(Results!A9519,Geometry!$B$6:$B$10000,Geometry!$C$6:$C$10000)</f>
        <v>0</v>
      </c>
      <c r="T9519" s="69"/>
      <c r="U9519" s="69"/>
    </row>
    <row r="9520" spans="19:21" ht="15" customHeight="1" x14ac:dyDescent="0.2">
      <c r="S9520" s="69">
        <f>_xlfn.XLOOKUP(Results!A9520,Geometry!$B$6:$B$10000,Geometry!$C$6:$C$10000)</f>
        <v>0</v>
      </c>
      <c r="T9520" s="69"/>
      <c r="U9520" s="69"/>
    </row>
    <row r="9521" spans="19:21" ht="15" customHeight="1" x14ac:dyDescent="0.2">
      <c r="S9521" s="69">
        <f>_xlfn.XLOOKUP(Results!A9521,Geometry!$B$6:$B$10000,Geometry!$C$6:$C$10000)</f>
        <v>0</v>
      </c>
      <c r="T9521" s="69"/>
      <c r="U9521" s="69"/>
    </row>
    <row r="9522" spans="19:21" ht="15" customHeight="1" x14ac:dyDescent="0.2">
      <c r="S9522" s="69">
        <f>_xlfn.XLOOKUP(Results!A9522,Geometry!$B$6:$B$10000,Geometry!$C$6:$C$10000)</f>
        <v>0</v>
      </c>
      <c r="T9522" s="69"/>
      <c r="U9522" s="69"/>
    </row>
    <row r="9523" spans="19:21" ht="15" customHeight="1" x14ac:dyDescent="0.2">
      <c r="S9523" s="69">
        <f>_xlfn.XLOOKUP(Results!A9523,Geometry!$B$6:$B$10000,Geometry!$C$6:$C$10000)</f>
        <v>0</v>
      </c>
      <c r="T9523" s="69"/>
      <c r="U9523" s="69"/>
    </row>
    <row r="9524" spans="19:21" ht="15" customHeight="1" x14ac:dyDescent="0.2">
      <c r="S9524" s="69">
        <f>_xlfn.XLOOKUP(Results!A9524,Geometry!$B$6:$B$10000,Geometry!$C$6:$C$10000)</f>
        <v>0</v>
      </c>
      <c r="T9524" s="69"/>
      <c r="U9524" s="69"/>
    </row>
    <row r="9525" spans="19:21" ht="15" customHeight="1" x14ac:dyDescent="0.2">
      <c r="S9525" s="69">
        <f>_xlfn.XLOOKUP(Results!A9525,Geometry!$B$6:$B$10000,Geometry!$C$6:$C$10000)</f>
        <v>0</v>
      </c>
      <c r="T9525" s="69"/>
      <c r="U9525" s="69"/>
    </row>
    <row r="9526" spans="19:21" ht="15" customHeight="1" x14ac:dyDescent="0.2">
      <c r="S9526" s="69">
        <f>_xlfn.XLOOKUP(Results!A9526,Geometry!$B$6:$B$10000,Geometry!$C$6:$C$10000)</f>
        <v>0</v>
      </c>
      <c r="T9526" s="69"/>
      <c r="U9526" s="69"/>
    </row>
    <row r="9527" spans="19:21" ht="15" customHeight="1" x14ac:dyDescent="0.2">
      <c r="S9527" s="69">
        <f>_xlfn.XLOOKUP(Results!A9527,Geometry!$B$6:$B$10000,Geometry!$C$6:$C$10000)</f>
        <v>0</v>
      </c>
      <c r="T9527" s="69"/>
      <c r="U9527" s="69"/>
    </row>
    <row r="9528" spans="19:21" ht="15" customHeight="1" x14ac:dyDescent="0.2">
      <c r="S9528" s="69">
        <f>_xlfn.XLOOKUP(Results!A9528,Geometry!$B$6:$B$10000,Geometry!$C$6:$C$10000)</f>
        <v>0</v>
      </c>
      <c r="T9528" s="69"/>
      <c r="U9528" s="69"/>
    </row>
    <row r="9529" spans="19:21" ht="15" customHeight="1" x14ac:dyDescent="0.2">
      <c r="S9529" s="69">
        <f>_xlfn.XLOOKUP(Results!A9529,Geometry!$B$6:$B$10000,Geometry!$C$6:$C$10000)</f>
        <v>0</v>
      </c>
      <c r="T9529" s="69"/>
      <c r="U9529" s="69"/>
    </row>
    <row r="9530" spans="19:21" ht="15" customHeight="1" x14ac:dyDescent="0.2">
      <c r="S9530" s="69">
        <f>_xlfn.XLOOKUP(Results!A9530,Geometry!$B$6:$B$10000,Geometry!$C$6:$C$10000)</f>
        <v>0</v>
      </c>
      <c r="T9530" s="69"/>
      <c r="U9530" s="69"/>
    </row>
    <row r="9531" spans="19:21" ht="15" customHeight="1" x14ac:dyDescent="0.2">
      <c r="S9531" s="69">
        <f>_xlfn.XLOOKUP(Results!A9531,Geometry!$B$6:$B$10000,Geometry!$C$6:$C$10000)</f>
        <v>0</v>
      </c>
      <c r="T9531" s="69"/>
      <c r="U9531" s="69"/>
    </row>
    <row r="9532" spans="19:21" ht="15" customHeight="1" x14ac:dyDescent="0.2">
      <c r="S9532" s="69">
        <f>_xlfn.XLOOKUP(Results!A9532,Geometry!$B$6:$B$10000,Geometry!$C$6:$C$10000)</f>
        <v>0</v>
      </c>
      <c r="T9532" s="69"/>
      <c r="U9532" s="69"/>
    </row>
    <row r="9533" spans="19:21" ht="15" customHeight="1" x14ac:dyDescent="0.2">
      <c r="S9533" s="69">
        <f>_xlfn.XLOOKUP(Results!A9533,Geometry!$B$6:$B$10000,Geometry!$C$6:$C$10000)</f>
        <v>0</v>
      </c>
      <c r="T9533" s="69"/>
      <c r="U9533" s="69"/>
    </row>
    <row r="9534" spans="19:21" ht="15" customHeight="1" x14ac:dyDescent="0.2">
      <c r="S9534" s="69">
        <f>_xlfn.XLOOKUP(Results!A9534,Geometry!$B$6:$B$10000,Geometry!$C$6:$C$10000)</f>
        <v>0</v>
      </c>
      <c r="T9534" s="69"/>
      <c r="U9534" s="69"/>
    </row>
    <row r="9535" spans="19:21" ht="15" customHeight="1" x14ac:dyDescent="0.2">
      <c r="S9535" s="69">
        <f>_xlfn.XLOOKUP(Results!A9535,Geometry!$B$6:$B$10000,Geometry!$C$6:$C$10000)</f>
        <v>0</v>
      </c>
      <c r="T9535" s="69"/>
      <c r="U9535" s="69"/>
    </row>
    <row r="9536" spans="19:21" ht="15" customHeight="1" x14ac:dyDescent="0.2">
      <c r="S9536" s="69">
        <f>_xlfn.XLOOKUP(Results!A9536,Geometry!$B$6:$B$10000,Geometry!$C$6:$C$10000)</f>
        <v>0</v>
      </c>
      <c r="T9536" s="69"/>
      <c r="U9536" s="69"/>
    </row>
    <row r="9537" spans="19:21" ht="15" customHeight="1" x14ac:dyDescent="0.2">
      <c r="S9537" s="69">
        <f>_xlfn.XLOOKUP(Results!A9537,Geometry!$B$6:$B$10000,Geometry!$C$6:$C$10000)</f>
        <v>0</v>
      </c>
      <c r="T9537" s="69"/>
      <c r="U9537" s="69"/>
    </row>
    <row r="9538" spans="19:21" ht="15" customHeight="1" x14ac:dyDescent="0.2">
      <c r="S9538" s="69">
        <f>_xlfn.XLOOKUP(Results!A9538,Geometry!$B$6:$B$10000,Geometry!$C$6:$C$10000)</f>
        <v>0</v>
      </c>
      <c r="T9538" s="69"/>
      <c r="U9538" s="69"/>
    </row>
    <row r="9539" spans="19:21" ht="15" customHeight="1" x14ac:dyDescent="0.2">
      <c r="S9539" s="69">
        <f>_xlfn.XLOOKUP(Results!A9539,Geometry!$B$6:$B$10000,Geometry!$C$6:$C$10000)</f>
        <v>0</v>
      </c>
      <c r="T9539" s="69"/>
      <c r="U9539" s="69"/>
    </row>
    <row r="9540" spans="19:21" ht="15" customHeight="1" x14ac:dyDescent="0.2">
      <c r="S9540" s="69">
        <f>_xlfn.XLOOKUP(Results!A9540,Geometry!$B$6:$B$10000,Geometry!$C$6:$C$10000)</f>
        <v>0</v>
      </c>
      <c r="T9540" s="69"/>
      <c r="U9540" s="69"/>
    </row>
    <row r="9541" spans="19:21" ht="15" customHeight="1" x14ac:dyDescent="0.2">
      <c r="S9541" s="69">
        <f>_xlfn.XLOOKUP(Results!A9541,Geometry!$B$6:$B$10000,Geometry!$C$6:$C$10000)</f>
        <v>0</v>
      </c>
      <c r="T9541" s="69"/>
      <c r="U9541" s="69"/>
    </row>
    <row r="9542" spans="19:21" ht="15" customHeight="1" x14ac:dyDescent="0.2">
      <c r="S9542" s="69">
        <f>_xlfn.XLOOKUP(Results!A9542,Geometry!$B$6:$B$10000,Geometry!$C$6:$C$10000)</f>
        <v>0</v>
      </c>
      <c r="T9542" s="69"/>
      <c r="U9542" s="69"/>
    </row>
    <row r="9543" spans="19:21" ht="15" customHeight="1" x14ac:dyDescent="0.2">
      <c r="S9543" s="69">
        <f>_xlfn.XLOOKUP(Results!A9543,Geometry!$B$6:$B$10000,Geometry!$C$6:$C$10000)</f>
        <v>0</v>
      </c>
      <c r="T9543" s="69"/>
      <c r="U9543" s="69"/>
    </row>
    <row r="9544" spans="19:21" ht="15" customHeight="1" x14ac:dyDescent="0.2">
      <c r="S9544" s="69">
        <f>_xlfn.XLOOKUP(Results!A9544,Geometry!$B$6:$B$10000,Geometry!$C$6:$C$10000)</f>
        <v>0</v>
      </c>
      <c r="T9544" s="69"/>
      <c r="U9544" s="69"/>
    </row>
    <row r="9545" spans="19:21" ht="15" customHeight="1" x14ac:dyDescent="0.2">
      <c r="S9545" s="69">
        <f>_xlfn.XLOOKUP(Results!A9545,Geometry!$B$6:$B$10000,Geometry!$C$6:$C$10000)</f>
        <v>0</v>
      </c>
      <c r="T9545" s="69"/>
      <c r="U9545" s="69"/>
    </row>
    <row r="9546" spans="19:21" ht="15" customHeight="1" x14ac:dyDescent="0.2">
      <c r="S9546" s="69">
        <f>_xlfn.XLOOKUP(Results!A9546,Geometry!$B$6:$B$10000,Geometry!$C$6:$C$10000)</f>
        <v>0</v>
      </c>
      <c r="T9546" s="69"/>
      <c r="U9546" s="69"/>
    </row>
    <row r="9547" spans="19:21" ht="15" customHeight="1" x14ac:dyDescent="0.2">
      <c r="S9547" s="69">
        <f>_xlfn.XLOOKUP(Results!A9547,Geometry!$B$6:$B$10000,Geometry!$C$6:$C$10000)</f>
        <v>0</v>
      </c>
      <c r="T9547" s="69"/>
      <c r="U9547" s="69"/>
    </row>
    <row r="9548" spans="19:21" ht="15" customHeight="1" x14ac:dyDescent="0.2">
      <c r="S9548" s="69">
        <f>_xlfn.XLOOKUP(Results!A9548,Geometry!$B$6:$B$10000,Geometry!$C$6:$C$10000)</f>
        <v>0</v>
      </c>
      <c r="T9548" s="69"/>
      <c r="U9548" s="69"/>
    </row>
    <row r="9549" spans="19:21" ht="15" customHeight="1" x14ac:dyDescent="0.2">
      <c r="S9549" s="69">
        <f>_xlfn.XLOOKUP(Results!A9549,Geometry!$B$6:$B$10000,Geometry!$C$6:$C$10000)</f>
        <v>0</v>
      </c>
      <c r="T9549" s="69"/>
      <c r="U9549" s="69"/>
    </row>
    <row r="9550" spans="19:21" ht="15" customHeight="1" x14ac:dyDescent="0.2">
      <c r="S9550" s="69">
        <f>_xlfn.XLOOKUP(Results!A9550,Geometry!$B$6:$B$10000,Geometry!$C$6:$C$10000)</f>
        <v>0</v>
      </c>
      <c r="T9550" s="69"/>
      <c r="U9550" s="69"/>
    </row>
    <row r="9551" spans="19:21" ht="15" customHeight="1" x14ac:dyDescent="0.2">
      <c r="S9551" s="69">
        <f>_xlfn.XLOOKUP(Results!A9551,Geometry!$B$6:$B$10000,Geometry!$C$6:$C$10000)</f>
        <v>0</v>
      </c>
      <c r="T9551" s="69"/>
      <c r="U9551" s="69"/>
    </row>
    <row r="9552" spans="19:21" ht="15" customHeight="1" x14ac:dyDescent="0.2">
      <c r="S9552" s="69">
        <f>_xlfn.XLOOKUP(Results!A9552,Geometry!$B$6:$B$10000,Geometry!$C$6:$C$10000)</f>
        <v>0</v>
      </c>
      <c r="T9552" s="69"/>
      <c r="U9552" s="69"/>
    </row>
    <row r="9553" spans="19:21" ht="15" customHeight="1" x14ac:dyDescent="0.2">
      <c r="S9553" s="69">
        <f>_xlfn.XLOOKUP(Results!A9553,Geometry!$B$6:$B$10000,Geometry!$C$6:$C$10000)</f>
        <v>0</v>
      </c>
      <c r="T9553" s="69"/>
      <c r="U9553" s="69"/>
    </row>
    <row r="9554" spans="19:21" ht="15" customHeight="1" x14ac:dyDescent="0.2">
      <c r="S9554" s="69">
        <f>_xlfn.XLOOKUP(Results!A9554,Geometry!$B$6:$B$10000,Geometry!$C$6:$C$10000)</f>
        <v>0</v>
      </c>
      <c r="T9554" s="69"/>
      <c r="U9554" s="69"/>
    </row>
    <row r="9555" spans="19:21" ht="15" customHeight="1" x14ac:dyDescent="0.2">
      <c r="S9555" s="69">
        <f>_xlfn.XLOOKUP(Results!A9555,Geometry!$B$6:$B$10000,Geometry!$C$6:$C$10000)</f>
        <v>0</v>
      </c>
      <c r="T9555" s="69"/>
      <c r="U9555" s="69"/>
    </row>
    <row r="9556" spans="19:21" ht="15" customHeight="1" x14ac:dyDescent="0.2">
      <c r="S9556" s="69">
        <f>_xlfn.XLOOKUP(Results!A9556,Geometry!$B$6:$B$10000,Geometry!$C$6:$C$10000)</f>
        <v>0</v>
      </c>
      <c r="T9556" s="69"/>
      <c r="U9556" s="69"/>
    </row>
    <row r="9557" spans="19:21" ht="15" customHeight="1" x14ac:dyDescent="0.2">
      <c r="S9557" s="69">
        <f>_xlfn.XLOOKUP(Results!A9557,Geometry!$B$6:$B$10000,Geometry!$C$6:$C$10000)</f>
        <v>0</v>
      </c>
      <c r="T9557" s="69"/>
      <c r="U9557" s="69"/>
    </row>
    <row r="9558" spans="19:21" ht="15" customHeight="1" x14ac:dyDescent="0.2">
      <c r="S9558" s="69">
        <f>_xlfn.XLOOKUP(Results!A9558,Geometry!$B$6:$B$10000,Geometry!$C$6:$C$10000)</f>
        <v>0</v>
      </c>
      <c r="T9558" s="69"/>
      <c r="U9558" s="69"/>
    </row>
    <row r="9559" spans="19:21" ht="15" customHeight="1" x14ac:dyDescent="0.2">
      <c r="S9559" s="69">
        <f>_xlfn.XLOOKUP(Results!A9559,Geometry!$B$6:$B$10000,Geometry!$C$6:$C$10000)</f>
        <v>0</v>
      </c>
      <c r="T9559" s="69"/>
      <c r="U9559" s="69"/>
    </row>
    <row r="9560" spans="19:21" ht="15" customHeight="1" x14ac:dyDescent="0.2">
      <c r="S9560" s="69">
        <f>_xlfn.XLOOKUP(Results!A9560,Geometry!$B$6:$B$10000,Geometry!$C$6:$C$10000)</f>
        <v>0</v>
      </c>
      <c r="T9560" s="69"/>
      <c r="U9560" s="69"/>
    </row>
    <row r="9561" spans="19:21" ht="15" customHeight="1" x14ac:dyDescent="0.2">
      <c r="S9561" s="69">
        <f>_xlfn.XLOOKUP(Results!A9561,Geometry!$B$6:$B$10000,Geometry!$C$6:$C$10000)</f>
        <v>0</v>
      </c>
      <c r="T9561" s="69"/>
      <c r="U9561" s="69"/>
    </row>
    <row r="9562" spans="19:21" ht="15" customHeight="1" x14ac:dyDescent="0.2">
      <c r="S9562" s="69">
        <f>_xlfn.XLOOKUP(Results!A9562,Geometry!$B$6:$B$10000,Geometry!$C$6:$C$10000)</f>
        <v>0</v>
      </c>
      <c r="T9562" s="69"/>
      <c r="U9562" s="69"/>
    </row>
    <row r="9563" spans="19:21" ht="15" customHeight="1" x14ac:dyDescent="0.2">
      <c r="S9563" s="69">
        <f>_xlfn.XLOOKUP(Results!A9563,Geometry!$B$6:$B$10000,Geometry!$C$6:$C$10000)</f>
        <v>0</v>
      </c>
      <c r="T9563" s="69"/>
      <c r="U9563" s="69"/>
    </row>
    <row r="9564" spans="19:21" ht="15" customHeight="1" x14ac:dyDescent="0.2">
      <c r="S9564" s="69">
        <f>_xlfn.XLOOKUP(Results!A9564,Geometry!$B$6:$B$10000,Geometry!$C$6:$C$10000)</f>
        <v>0</v>
      </c>
      <c r="T9564" s="69"/>
      <c r="U9564" s="69"/>
    </row>
    <row r="9565" spans="19:21" ht="15" customHeight="1" x14ac:dyDescent="0.2">
      <c r="S9565" s="69">
        <f>_xlfn.XLOOKUP(Results!A9565,Geometry!$B$6:$B$10000,Geometry!$C$6:$C$10000)</f>
        <v>0</v>
      </c>
      <c r="T9565" s="69"/>
      <c r="U9565" s="69"/>
    </row>
    <row r="9566" spans="19:21" ht="15" customHeight="1" x14ac:dyDescent="0.2">
      <c r="S9566" s="69">
        <f>_xlfn.XLOOKUP(Results!A9566,Geometry!$B$6:$B$10000,Geometry!$C$6:$C$10000)</f>
        <v>0</v>
      </c>
      <c r="T9566" s="69"/>
      <c r="U9566" s="69"/>
    </row>
    <row r="9567" spans="19:21" ht="15" customHeight="1" x14ac:dyDescent="0.2">
      <c r="S9567" s="69">
        <f>_xlfn.XLOOKUP(Results!A9567,Geometry!$B$6:$B$10000,Geometry!$C$6:$C$10000)</f>
        <v>0</v>
      </c>
      <c r="T9567" s="69"/>
      <c r="U9567" s="69"/>
    </row>
    <row r="9568" spans="19:21" ht="15" customHeight="1" x14ac:dyDescent="0.2">
      <c r="S9568" s="69">
        <f>_xlfn.XLOOKUP(Results!A9568,Geometry!$B$6:$B$10000,Geometry!$C$6:$C$10000)</f>
        <v>0</v>
      </c>
      <c r="T9568" s="69"/>
      <c r="U9568" s="69"/>
    </row>
    <row r="9569" spans="19:21" ht="15" customHeight="1" x14ac:dyDescent="0.2">
      <c r="S9569" s="69">
        <f>_xlfn.XLOOKUP(Results!A9569,Geometry!$B$6:$B$10000,Geometry!$C$6:$C$10000)</f>
        <v>0</v>
      </c>
      <c r="T9569" s="69"/>
      <c r="U9569" s="69"/>
    </row>
    <row r="9570" spans="19:21" ht="15" customHeight="1" x14ac:dyDescent="0.2">
      <c r="S9570" s="69">
        <f>_xlfn.XLOOKUP(Results!A9570,Geometry!$B$6:$B$10000,Geometry!$C$6:$C$10000)</f>
        <v>0</v>
      </c>
      <c r="T9570" s="69"/>
      <c r="U9570" s="69"/>
    </row>
    <row r="9571" spans="19:21" ht="15" customHeight="1" x14ac:dyDescent="0.2">
      <c r="S9571" s="69">
        <f>_xlfn.XLOOKUP(Results!A9571,Geometry!$B$6:$B$10000,Geometry!$C$6:$C$10000)</f>
        <v>0</v>
      </c>
      <c r="T9571" s="69"/>
      <c r="U9571" s="69"/>
    </row>
    <row r="9572" spans="19:21" ht="15" customHeight="1" x14ac:dyDescent="0.2">
      <c r="S9572" s="69">
        <f>_xlfn.XLOOKUP(Results!A9572,Geometry!$B$6:$B$10000,Geometry!$C$6:$C$10000)</f>
        <v>0</v>
      </c>
      <c r="T9572" s="69"/>
      <c r="U9572" s="69"/>
    </row>
    <row r="9573" spans="19:21" ht="15" customHeight="1" x14ac:dyDescent="0.2">
      <c r="S9573" s="69">
        <f>_xlfn.XLOOKUP(Results!A9573,Geometry!$B$6:$B$10000,Geometry!$C$6:$C$10000)</f>
        <v>0</v>
      </c>
      <c r="T9573" s="69"/>
      <c r="U9573" s="69"/>
    </row>
    <row r="9574" spans="19:21" ht="15" customHeight="1" x14ac:dyDescent="0.2">
      <c r="S9574" s="69">
        <f>_xlfn.XLOOKUP(Results!A9574,Geometry!$B$6:$B$10000,Geometry!$C$6:$C$10000)</f>
        <v>0</v>
      </c>
      <c r="T9574" s="69"/>
      <c r="U9574" s="69"/>
    </row>
    <row r="9575" spans="19:21" ht="15" customHeight="1" x14ac:dyDescent="0.2">
      <c r="S9575" s="69">
        <f>_xlfn.XLOOKUP(Results!A9575,Geometry!$B$6:$B$10000,Geometry!$C$6:$C$10000)</f>
        <v>0</v>
      </c>
      <c r="T9575" s="69"/>
      <c r="U9575" s="69"/>
    </row>
    <row r="9576" spans="19:21" ht="15" customHeight="1" x14ac:dyDescent="0.2">
      <c r="S9576" s="69">
        <f>_xlfn.XLOOKUP(Results!A9576,Geometry!$B$6:$B$10000,Geometry!$C$6:$C$10000)</f>
        <v>0</v>
      </c>
      <c r="T9576" s="69"/>
      <c r="U9576" s="69"/>
    </row>
    <row r="9577" spans="19:21" ht="15" customHeight="1" x14ac:dyDescent="0.2">
      <c r="S9577" s="69">
        <f>_xlfn.XLOOKUP(Results!A9577,Geometry!$B$6:$B$10000,Geometry!$C$6:$C$10000)</f>
        <v>0</v>
      </c>
      <c r="T9577" s="69"/>
      <c r="U9577" s="69"/>
    </row>
    <row r="9578" spans="19:21" ht="15" customHeight="1" x14ac:dyDescent="0.2">
      <c r="S9578" s="69">
        <f>_xlfn.XLOOKUP(Results!A9578,Geometry!$B$6:$B$10000,Geometry!$C$6:$C$10000)</f>
        <v>0</v>
      </c>
      <c r="T9578" s="69"/>
      <c r="U9578" s="69"/>
    </row>
    <row r="9579" spans="19:21" ht="15" customHeight="1" x14ac:dyDescent="0.2">
      <c r="S9579" s="69">
        <f>_xlfn.XLOOKUP(Results!A9579,Geometry!$B$6:$B$10000,Geometry!$C$6:$C$10000)</f>
        <v>0</v>
      </c>
      <c r="T9579" s="69"/>
      <c r="U9579" s="69"/>
    </row>
    <row r="9580" spans="19:21" ht="15" customHeight="1" x14ac:dyDescent="0.2">
      <c r="S9580" s="69">
        <f>_xlfn.XLOOKUP(Results!A9580,Geometry!$B$6:$B$10000,Geometry!$C$6:$C$10000)</f>
        <v>0</v>
      </c>
      <c r="T9580" s="69"/>
      <c r="U9580" s="69"/>
    </row>
    <row r="9581" spans="19:21" ht="15" customHeight="1" x14ac:dyDescent="0.2">
      <c r="S9581" s="69">
        <f>_xlfn.XLOOKUP(Results!A9581,Geometry!$B$6:$B$10000,Geometry!$C$6:$C$10000)</f>
        <v>0</v>
      </c>
      <c r="T9581" s="69"/>
      <c r="U9581" s="69"/>
    </row>
    <row r="9582" spans="19:21" ht="15" customHeight="1" x14ac:dyDescent="0.2">
      <c r="S9582" s="69">
        <f>_xlfn.XLOOKUP(Results!A9582,Geometry!$B$6:$B$10000,Geometry!$C$6:$C$10000)</f>
        <v>0</v>
      </c>
      <c r="T9582" s="69"/>
      <c r="U9582" s="69"/>
    </row>
    <row r="9583" spans="19:21" ht="15" customHeight="1" x14ac:dyDescent="0.2">
      <c r="S9583" s="69">
        <f>_xlfn.XLOOKUP(Results!A9583,Geometry!$B$6:$B$10000,Geometry!$C$6:$C$10000)</f>
        <v>0</v>
      </c>
      <c r="T9583" s="69"/>
      <c r="U9583" s="69"/>
    </row>
    <row r="9584" spans="19:21" ht="15" customHeight="1" x14ac:dyDescent="0.2">
      <c r="S9584" s="69">
        <f>_xlfn.XLOOKUP(Results!A9584,Geometry!$B$6:$B$10000,Geometry!$C$6:$C$10000)</f>
        <v>0</v>
      </c>
      <c r="T9584" s="69"/>
      <c r="U9584" s="69"/>
    </row>
    <row r="9585" spans="19:21" ht="15" customHeight="1" x14ac:dyDescent="0.2">
      <c r="S9585" s="69">
        <f>_xlfn.XLOOKUP(Results!A9585,Geometry!$B$6:$B$10000,Geometry!$C$6:$C$10000)</f>
        <v>0</v>
      </c>
      <c r="T9585" s="69"/>
      <c r="U9585" s="69"/>
    </row>
    <row r="9586" spans="19:21" ht="15" customHeight="1" x14ac:dyDescent="0.2">
      <c r="S9586" s="69">
        <f>_xlfn.XLOOKUP(Results!A9586,Geometry!$B$6:$B$10000,Geometry!$C$6:$C$10000)</f>
        <v>0</v>
      </c>
      <c r="T9586" s="69"/>
      <c r="U9586" s="69"/>
    </row>
    <row r="9587" spans="19:21" ht="15" customHeight="1" x14ac:dyDescent="0.2">
      <c r="S9587" s="69">
        <f>_xlfn.XLOOKUP(Results!A9587,Geometry!$B$6:$B$10000,Geometry!$C$6:$C$10000)</f>
        <v>0</v>
      </c>
      <c r="T9587" s="69"/>
      <c r="U9587" s="69"/>
    </row>
    <row r="9588" spans="19:21" ht="15" customHeight="1" x14ac:dyDescent="0.2">
      <c r="S9588" s="69">
        <f>_xlfn.XLOOKUP(Results!A9588,Geometry!$B$6:$B$10000,Geometry!$C$6:$C$10000)</f>
        <v>0</v>
      </c>
      <c r="T9588" s="69"/>
      <c r="U9588" s="69"/>
    </row>
    <row r="9589" spans="19:21" ht="15" customHeight="1" x14ac:dyDescent="0.2">
      <c r="S9589" s="69">
        <f>_xlfn.XLOOKUP(Results!A9589,Geometry!$B$6:$B$10000,Geometry!$C$6:$C$10000)</f>
        <v>0</v>
      </c>
      <c r="T9589" s="69"/>
      <c r="U9589" s="69"/>
    </row>
    <row r="9590" spans="19:21" ht="15" customHeight="1" x14ac:dyDescent="0.2">
      <c r="S9590" s="69">
        <f>_xlfn.XLOOKUP(Results!A9590,Geometry!$B$6:$B$10000,Geometry!$C$6:$C$10000)</f>
        <v>0</v>
      </c>
      <c r="T9590" s="69"/>
      <c r="U9590" s="69"/>
    </row>
    <row r="9591" spans="19:21" ht="15" customHeight="1" x14ac:dyDescent="0.2">
      <c r="S9591" s="69">
        <f>_xlfn.XLOOKUP(Results!A9591,Geometry!$B$6:$B$10000,Geometry!$C$6:$C$10000)</f>
        <v>0</v>
      </c>
      <c r="T9591" s="69"/>
      <c r="U9591" s="69"/>
    </row>
    <row r="9592" spans="19:21" ht="15" customHeight="1" x14ac:dyDescent="0.2">
      <c r="S9592" s="69">
        <f>_xlfn.XLOOKUP(Results!A9592,Geometry!$B$6:$B$10000,Geometry!$C$6:$C$10000)</f>
        <v>0</v>
      </c>
      <c r="T9592" s="69"/>
      <c r="U9592" s="69"/>
    </row>
    <row r="9593" spans="19:21" ht="15" customHeight="1" x14ac:dyDescent="0.2">
      <c r="S9593" s="69">
        <f>_xlfn.XLOOKUP(Results!A9593,Geometry!$B$6:$B$10000,Geometry!$C$6:$C$10000)</f>
        <v>0</v>
      </c>
      <c r="T9593" s="69"/>
      <c r="U9593" s="69"/>
    </row>
    <row r="9594" spans="19:21" ht="15" customHeight="1" x14ac:dyDescent="0.2">
      <c r="S9594" s="69">
        <f>_xlfn.XLOOKUP(Results!A9594,Geometry!$B$6:$B$10000,Geometry!$C$6:$C$10000)</f>
        <v>0</v>
      </c>
      <c r="T9594" s="69"/>
      <c r="U9594" s="69"/>
    </row>
    <row r="9595" spans="19:21" ht="15" customHeight="1" x14ac:dyDescent="0.2">
      <c r="S9595" s="69">
        <f>_xlfn.XLOOKUP(Results!A9595,Geometry!$B$6:$B$10000,Geometry!$C$6:$C$10000)</f>
        <v>0</v>
      </c>
      <c r="T9595" s="69"/>
      <c r="U9595" s="69"/>
    </row>
    <row r="9596" spans="19:21" ht="15" customHeight="1" x14ac:dyDescent="0.2">
      <c r="S9596" s="69">
        <f>_xlfn.XLOOKUP(Results!A9596,Geometry!$B$6:$B$10000,Geometry!$C$6:$C$10000)</f>
        <v>0</v>
      </c>
      <c r="T9596" s="69"/>
      <c r="U9596" s="69"/>
    </row>
    <row r="9597" spans="19:21" ht="15" customHeight="1" x14ac:dyDescent="0.2">
      <c r="S9597" s="69">
        <f>_xlfn.XLOOKUP(Results!A9597,Geometry!$B$6:$B$10000,Geometry!$C$6:$C$10000)</f>
        <v>0</v>
      </c>
      <c r="T9597" s="69"/>
      <c r="U9597" s="69"/>
    </row>
    <row r="9598" spans="19:21" ht="15" customHeight="1" x14ac:dyDescent="0.2">
      <c r="S9598" s="69">
        <f>_xlfn.XLOOKUP(Results!A9598,Geometry!$B$6:$B$10000,Geometry!$C$6:$C$10000)</f>
        <v>0</v>
      </c>
      <c r="T9598" s="69"/>
      <c r="U9598" s="69"/>
    </row>
    <row r="9599" spans="19:21" ht="15" customHeight="1" x14ac:dyDescent="0.2">
      <c r="S9599" s="69">
        <f>_xlfn.XLOOKUP(Results!A9599,Geometry!$B$6:$B$10000,Geometry!$C$6:$C$10000)</f>
        <v>0</v>
      </c>
      <c r="T9599" s="69"/>
      <c r="U9599" s="69"/>
    </row>
    <row r="9600" spans="19:21" ht="15" customHeight="1" x14ac:dyDescent="0.2">
      <c r="S9600" s="69">
        <f>_xlfn.XLOOKUP(Results!A9600,Geometry!$B$6:$B$10000,Geometry!$C$6:$C$10000)</f>
        <v>0</v>
      </c>
      <c r="T9600" s="69"/>
      <c r="U9600" s="69"/>
    </row>
    <row r="9601" spans="19:21" ht="15" customHeight="1" x14ac:dyDescent="0.2">
      <c r="S9601" s="69">
        <f>_xlfn.XLOOKUP(Results!A9601,Geometry!$B$6:$B$10000,Geometry!$C$6:$C$10000)</f>
        <v>0</v>
      </c>
      <c r="T9601" s="69"/>
      <c r="U9601" s="69"/>
    </row>
    <row r="9602" spans="19:21" ht="15" customHeight="1" x14ac:dyDescent="0.2">
      <c r="S9602" s="69">
        <f>_xlfn.XLOOKUP(Results!A9602,Geometry!$B$6:$B$10000,Geometry!$C$6:$C$10000)</f>
        <v>0</v>
      </c>
      <c r="T9602" s="69"/>
      <c r="U9602" s="69"/>
    </row>
    <row r="9603" spans="19:21" ht="15" customHeight="1" x14ac:dyDescent="0.2">
      <c r="S9603" s="69">
        <f>_xlfn.XLOOKUP(Results!A9603,Geometry!$B$6:$B$10000,Geometry!$C$6:$C$10000)</f>
        <v>0</v>
      </c>
      <c r="T9603" s="69"/>
      <c r="U9603" s="69"/>
    </row>
    <row r="9604" spans="19:21" ht="15" customHeight="1" x14ac:dyDescent="0.2">
      <c r="S9604" s="69">
        <f>_xlfn.XLOOKUP(Results!A9604,Geometry!$B$6:$B$10000,Geometry!$C$6:$C$10000)</f>
        <v>0</v>
      </c>
      <c r="T9604" s="69"/>
      <c r="U9604" s="69"/>
    </row>
    <row r="9605" spans="19:21" ht="15" customHeight="1" x14ac:dyDescent="0.2">
      <c r="S9605" s="69">
        <f>_xlfn.XLOOKUP(Results!A9605,Geometry!$B$6:$B$10000,Geometry!$C$6:$C$10000)</f>
        <v>0</v>
      </c>
      <c r="T9605" s="69"/>
      <c r="U9605" s="69"/>
    </row>
    <row r="9606" spans="19:21" ht="15" customHeight="1" x14ac:dyDescent="0.2">
      <c r="S9606" s="69">
        <f>_xlfn.XLOOKUP(Results!A9606,Geometry!$B$6:$B$10000,Geometry!$C$6:$C$10000)</f>
        <v>0</v>
      </c>
      <c r="T9606" s="69"/>
      <c r="U9606" s="69"/>
    </row>
    <row r="9607" spans="19:21" ht="15" customHeight="1" x14ac:dyDescent="0.2">
      <c r="S9607" s="69">
        <f>_xlfn.XLOOKUP(Results!A9607,Geometry!$B$6:$B$10000,Geometry!$C$6:$C$10000)</f>
        <v>0</v>
      </c>
      <c r="T9607" s="69"/>
      <c r="U9607" s="69"/>
    </row>
    <row r="9608" spans="19:21" ht="15" customHeight="1" x14ac:dyDescent="0.2">
      <c r="S9608" s="69">
        <f>_xlfn.XLOOKUP(Results!A9608,Geometry!$B$6:$B$10000,Geometry!$C$6:$C$10000)</f>
        <v>0</v>
      </c>
      <c r="T9608" s="69"/>
      <c r="U9608" s="69"/>
    </row>
    <row r="9609" spans="19:21" ht="15" customHeight="1" x14ac:dyDescent="0.2">
      <c r="S9609" s="69">
        <f>_xlfn.XLOOKUP(Results!A9609,Geometry!$B$6:$B$10000,Geometry!$C$6:$C$10000)</f>
        <v>0</v>
      </c>
      <c r="T9609" s="69"/>
      <c r="U9609" s="69"/>
    </row>
    <row r="9610" spans="19:21" ht="15" customHeight="1" x14ac:dyDescent="0.2">
      <c r="S9610" s="69">
        <f>_xlfn.XLOOKUP(Results!A9610,Geometry!$B$6:$B$10000,Geometry!$C$6:$C$10000)</f>
        <v>0</v>
      </c>
      <c r="T9610" s="69"/>
      <c r="U9610" s="69"/>
    </row>
    <row r="9611" spans="19:21" ht="15" customHeight="1" x14ac:dyDescent="0.2">
      <c r="S9611" s="69">
        <f>_xlfn.XLOOKUP(Results!A9611,Geometry!$B$6:$B$10000,Geometry!$C$6:$C$10000)</f>
        <v>0</v>
      </c>
      <c r="T9611" s="69"/>
      <c r="U9611" s="69"/>
    </row>
    <row r="9612" spans="19:21" ht="15" customHeight="1" x14ac:dyDescent="0.2">
      <c r="S9612" s="69">
        <f>_xlfn.XLOOKUP(Results!A9612,Geometry!$B$6:$B$10000,Geometry!$C$6:$C$10000)</f>
        <v>0</v>
      </c>
      <c r="T9612" s="69"/>
      <c r="U9612" s="69"/>
    </row>
    <row r="9613" spans="19:21" ht="15" customHeight="1" x14ac:dyDescent="0.2">
      <c r="S9613" s="69">
        <f>_xlfn.XLOOKUP(Results!A9613,Geometry!$B$6:$B$10000,Geometry!$C$6:$C$10000)</f>
        <v>0</v>
      </c>
      <c r="T9613" s="69"/>
      <c r="U9613" s="69"/>
    </row>
    <row r="9614" spans="19:21" ht="15" customHeight="1" x14ac:dyDescent="0.2">
      <c r="S9614" s="69">
        <f>_xlfn.XLOOKUP(Results!A9614,Geometry!$B$6:$B$10000,Geometry!$C$6:$C$10000)</f>
        <v>0</v>
      </c>
      <c r="T9614" s="69"/>
      <c r="U9614" s="69"/>
    </row>
    <row r="9615" spans="19:21" ht="15" customHeight="1" x14ac:dyDescent="0.2">
      <c r="S9615" s="69">
        <f>_xlfn.XLOOKUP(Results!A9615,Geometry!$B$6:$B$10000,Geometry!$C$6:$C$10000)</f>
        <v>0</v>
      </c>
      <c r="T9615" s="69"/>
      <c r="U9615" s="69"/>
    </row>
    <row r="9616" spans="19:21" ht="15" customHeight="1" x14ac:dyDescent="0.2">
      <c r="S9616" s="69">
        <f>_xlfn.XLOOKUP(Results!A9616,Geometry!$B$6:$B$10000,Geometry!$C$6:$C$10000)</f>
        <v>0</v>
      </c>
      <c r="T9616" s="69"/>
      <c r="U9616" s="69"/>
    </row>
    <row r="9617" spans="19:21" ht="15" customHeight="1" x14ac:dyDescent="0.2">
      <c r="S9617" s="69">
        <f>_xlfn.XLOOKUP(Results!A9617,Geometry!$B$6:$B$10000,Geometry!$C$6:$C$10000)</f>
        <v>0</v>
      </c>
      <c r="T9617" s="69"/>
      <c r="U9617" s="69"/>
    </row>
    <row r="9618" spans="19:21" ht="15" customHeight="1" x14ac:dyDescent="0.2">
      <c r="S9618" s="69">
        <f>_xlfn.XLOOKUP(Results!A9618,Geometry!$B$6:$B$10000,Geometry!$C$6:$C$10000)</f>
        <v>0</v>
      </c>
      <c r="T9618" s="69"/>
      <c r="U9618" s="69"/>
    </row>
    <row r="9619" spans="19:21" ht="15" customHeight="1" x14ac:dyDescent="0.2">
      <c r="S9619" s="69">
        <f>_xlfn.XLOOKUP(Results!A9619,Geometry!$B$6:$B$10000,Geometry!$C$6:$C$10000)</f>
        <v>0</v>
      </c>
      <c r="T9619" s="69"/>
      <c r="U9619" s="69"/>
    </row>
    <row r="9620" spans="19:21" ht="15" customHeight="1" x14ac:dyDescent="0.2">
      <c r="S9620" s="69">
        <f>_xlfn.XLOOKUP(Results!A9620,Geometry!$B$6:$B$10000,Geometry!$C$6:$C$10000)</f>
        <v>0</v>
      </c>
      <c r="T9620" s="69"/>
      <c r="U9620" s="69"/>
    </row>
    <row r="9621" spans="19:21" ht="15" customHeight="1" x14ac:dyDescent="0.2">
      <c r="S9621" s="69">
        <f>_xlfn.XLOOKUP(Results!A9621,Geometry!$B$6:$B$10000,Geometry!$C$6:$C$10000)</f>
        <v>0</v>
      </c>
      <c r="T9621" s="69"/>
      <c r="U9621" s="69"/>
    </row>
    <row r="9622" spans="19:21" ht="15" customHeight="1" x14ac:dyDescent="0.2">
      <c r="S9622" s="69">
        <f>_xlfn.XLOOKUP(Results!A9622,Geometry!$B$6:$B$10000,Geometry!$C$6:$C$10000)</f>
        <v>0</v>
      </c>
      <c r="T9622" s="69"/>
      <c r="U9622" s="69"/>
    </row>
    <row r="9623" spans="19:21" ht="15" customHeight="1" x14ac:dyDescent="0.2">
      <c r="S9623" s="69">
        <f>_xlfn.XLOOKUP(Results!A9623,Geometry!$B$6:$B$10000,Geometry!$C$6:$C$10000)</f>
        <v>0</v>
      </c>
      <c r="T9623" s="69"/>
      <c r="U9623" s="69"/>
    </row>
    <row r="9624" spans="19:21" ht="15" customHeight="1" x14ac:dyDescent="0.2">
      <c r="S9624" s="69">
        <f>_xlfn.XLOOKUP(Results!A9624,Geometry!$B$6:$B$10000,Geometry!$C$6:$C$10000)</f>
        <v>0</v>
      </c>
      <c r="T9624" s="69"/>
      <c r="U9624" s="69"/>
    </row>
    <row r="9625" spans="19:21" ht="15" customHeight="1" x14ac:dyDescent="0.2">
      <c r="S9625" s="69">
        <f>_xlfn.XLOOKUP(Results!A9625,Geometry!$B$6:$B$10000,Geometry!$C$6:$C$10000)</f>
        <v>0</v>
      </c>
      <c r="T9625" s="69"/>
      <c r="U9625" s="69"/>
    </row>
    <row r="9626" spans="19:21" ht="15" customHeight="1" x14ac:dyDescent="0.2">
      <c r="S9626" s="69">
        <f>_xlfn.XLOOKUP(Results!A9626,Geometry!$B$6:$B$10000,Geometry!$C$6:$C$10000)</f>
        <v>0</v>
      </c>
      <c r="T9626" s="69"/>
      <c r="U9626" s="69"/>
    </row>
    <row r="9627" spans="19:21" ht="15" customHeight="1" x14ac:dyDescent="0.2">
      <c r="S9627" s="69">
        <f>_xlfn.XLOOKUP(Results!A9627,Geometry!$B$6:$B$10000,Geometry!$C$6:$C$10000)</f>
        <v>0</v>
      </c>
      <c r="T9627" s="69"/>
      <c r="U9627" s="69"/>
    </row>
    <row r="9628" spans="19:21" ht="15" customHeight="1" x14ac:dyDescent="0.2">
      <c r="S9628" s="69">
        <f>_xlfn.XLOOKUP(Results!A9628,Geometry!$B$6:$B$10000,Geometry!$C$6:$C$10000)</f>
        <v>0</v>
      </c>
      <c r="T9628" s="69"/>
      <c r="U9628" s="69"/>
    </row>
    <row r="9629" spans="19:21" ht="15" customHeight="1" x14ac:dyDescent="0.2">
      <c r="S9629" s="69">
        <f>_xlfn.XLOOKUP(Results!A9629,Geometry!$B$6:$B$10000,Geometry!$C$6:$C$10000)</f>
        <v>0</v>
      </c>
      <c r="T9629" s="69"/>
      <c r="U9629" s="69"/>
    </row>
    <row r="9630" spans="19:21" ht="15" customHeight="1" x14ac:dyDescent="0.2">
      <c r="S9630" s="69">
        <f>_xlfn.XLOOKUP(Results!A9630,Geometry!$B$6:$B$10000,Geometry!$C$6:$C$10000)</f>
        <v>0</v>
      </c>
      <c r="T9630" s="69"/>
      <c r="U9630" s="69"/>
    </row>
    <row r="9631" spans="19:21" ht="15" customHeight="1" x14ac:dyDescent="0.2">
      <c r="S9631" s="69">
        <f>_xlfn.XLOOKUP(Results!A9631,Geometry!$B$6:$B$10000,Geometry!$C$6:$C$10000)</f>
        <v>0</v>
      </c>
      <c r="T9631" s="69"/>
      <c r="U9631" s="69"/>
    </row>
    <row r="9632" spans="19:21" ht="15" customHeight="1" x14ac:dyDescent="0.2">
      <c r="S9632" s="69">
        <f>_xlfn.XLOOKUP(Results!A9632,Geometry!$B$6:$B$10000,Geometry!$C$6:$C$10000)</f>
        <v>0</v>
      </c>
      <c r="T9632" s="69"/>
      <c r="U9632" s="69"/>
    </row>
    <row r="9633" spans="19:21" ht="15" customHeight="1" x14ac:dyDescent="0.2">
      <c r="S9633" s="69">
        <f>_xlfn.XLOOKUP(Results!A9633,Geometry!$B$6:$B$10000,Geometry!$C$6:$C$10000)</f>
        <v>0</v>
      </c>
      <c r="T9633" s="69"/>
      <c r="U9633" s="69"/>
    </row>
    <row r="9634" spans="19:21" ht="15" customHeight="1" x14ac:dyDescent="0.2">
      <c r="S9634" s="69">
        <f>_xlfn.XLOOKUP(Results!A9634,Geometry!$B$6:$B$10000,Geometry!$C$6:$C$10000)</f>
        <v>0</v>
      </c>
      <c r="T9634" s="69"/>
      <c r="U9634" s="69"/>
    </row>
    <row r="9635" spans="19:21" ht="15" customHeight="1" x14ac:dyDescent="0.2">
      <c r="S9635" s="69">
        <f>_xlfn.XLOOKUP(Results!A9635,Geometry!$B$6:$B$10000,Geometry!$C$6:$C$10000)</f>
        <v>0</v>
      </c>
      <c r="T9635" s="69"/>
      <c r="U9635" s="69"/>
    </row>
    <row r="9636" spans="19:21" ht="15" customHeight="1" x14ac:dyDescent="0.2">
      <c r="S9636" s="69">
        <f>_xlfn.XLOOKUP(Results!A9636,Geometry!$B$6:$B$10000,Geometry!$C$6:$C$10000)</f>
        <v>0</v>
      </c>
      <c r="T9636" s="69"/>
      <c r="U9636" s="69"/>
    </row>
    <row r="9637" spans="19:21" ht="15" customHeight="1" x14ac:dyDescent="0.2">
      <c r="S9637" s="69">
        <f>_xlfn.XLOOKUP(Results!A9637,Geometry!$B$6:$B$10000,Geometry!$C$6:$C$10000)</f>
        <v>0</v>
      </c>
      <c r="T9637" s="69"/>
      <c r="U9637" s="69"/>
    </row>
    <row r="9638" spans="19:21" ht="15" customHeight="1" x14ac:dyDescent="0.2">
      <c r="S9638" s="69">
        <f>_xlfn.XLOOKUP(Results!A9638,Geometry!$B$6:$B$10000,Geometry!$C$6:$C$10000)</f>
        <v>0</v>
      </c>
      <c r="T9638" s="69"/>
      <c r="U9638" s="69"/>
    </row>
    <row r="9639" spans="19:21" ht="15" customHeight="1" x14ac:dyDescent="0.2">
      <c r="S9639" s="69">
        <f>_xlfn.XLOOKUP(Results!A9639,Geometry!$B$6:$B$10000,Geometry!$C$6:$C$10000)</f>
        <v>0</v>
      </c>
      <c r="T9639" s="69"/>
      <c r="U9639" s="69"/>
    </row>
    <row r="9640" spans="19:21" ht="15" customHeight="1" x14ac:dyDescent="0.2">
      <c r="S9640" s="69">
        <f>_xlfn.XLOOKUP(Results!A9640,Geometry!$B$6:$B$10000,Geometry!$C$6:$C$10000)</f>
        <v>0</v>
      </c>
      <c r="T9640" s="69"/>
      <c r="U9640" s="69"/>
    </row>
    <row r="9641" spans="19:21" ht="15" customHeight="1" x14ac:dyDescent="0.2">
      <c r="S9641" s="69">
        <f>_xlfn.XLOOKUP(Results!A9641,Geometry!$B$6:$B$10000,Geometry!$C$6:$C$10000)</f>
        <v>0</v>
      </c>
      <c r="T9641" s="69"/>
      <c r="U9641" s="69"/>
    </row>
    <row r="9642" spans="19:21" ht="15" customHeight="1" x14ac:dyDescent="0.2">
      <c r="S9642" s="69">
        <f>_xlfn.XLOOKUP(Results!A9642,Geometry!$B$6:$B$10000,Geometry!$C$6:$C$10000)</f>
        <v>0</v>
      </c>
      <c r="T9642" s="69"/>
      <c r="U9642" s="69"/>
    </row>
    <row r="9643" spans="19:21" ht="15" customHeight="1" x14ac:dyDescent="0.2">
      <c r="S9643" s="69">
        <f>_xlfn.XLOOKUP(Results!A9643,Geometry!$B$6:$B$10000,Geometry!$C$6:$C$10000)</f>
        <v>0</v>
      </c>
      <c r="T9643" s="69"/>
      <c r="U9643" s="69"/>
    </row>
    <row r="9644" spans="19:21" ht="15" customHeight="1" x14ac:dyDescent="0.2">
      <c r="S9644" s="69">
        <f>_xlfn.XLOOKUP(Results!A9644,Geometry!$B$6:$B$10000,Geometry!$C$6:$C$10000)</f>
        <v>0</v>
      </c>
      <c r="T9644" s="69"/>
      <c r="U9644" s="69"/>
    </row>
    <row r="9645" spans="19:21" ht="15" customHeight="1" x14ac:dyDescent="0.2">
      <c r="S9645" s="69">
        <f>_xlfn.XLOOKUP(Results!A9645,Geometry!$B$6:$B$10000,Geometry!$C$6:$C$10000)</f>
        <v>0</v>
      </c>
      <c r="T9645" s="69"/>
      <c r="U9645" s="69"/>
    </row>
    <row r="9646" spans="19:21" ht="15" customHeight="1" x14ac:dyDescent="0.2">
      <c r="S9646" s="69">
        <f>_xlfn.XLOOKUP(Results!A9646,Geometry!$B$6:$B$10000,Geometry!$C$6:$C$10000)</f>
        <v>0</v>
      </c>
      <c r="T9646" s="69"/>
      <c r="U9646" s="69"/>
    </row>
    <row r="9647" spans="19:21" ht="15" customHeight="1" x14ac:dyDescent="0.2">
      <c r="S9647" s="69">
        <f>_xlfn.XLOOKUP(Results!A9647,Geometry!$B$6:$B$10000,Geometry!$C$6:$C$10000)</f>
        <v>0</v>
      </c>
      <c r="T9647" s="69"/>
      <c r="U9647" s="69"/>
    </row>
    <row r="9648" spans="19:21" ht="15" customHeight="1" x14ac:dyDescent="0.2">
      <c r="S9648" s="69">
        <f>_xlfn.XLOOKUP(Results!A9648,Geometry!$B$6:$B$10000,Geometry!$C$6:$C$10000)</f>
        <v>0</v>
      </c>
      <c r="T9648" s="69"/>
      <c r="U9648" s="69"/>
    </row>
    <row r="9649" spans="19:21" ht="15" customHeight="1" x14ac:dyDescent="0.2">
      <c r="S9649" s="69">
        <f>_xlfn.XLOOKUP(Results!A9649,Geometry!$B$6:$B$10000,Geometry!$C$6:$C$10000)</f>
        <v>0</v>
      </c>
      <c r="T9649" s="69"/>
      <c r="U9649" s="69"/>
    </row>
    <row r="9650" spans="19:21" ht="15" customHeight="1" x14ac:dyDescent="0.2">
      <c r="S9650" s="69">
        <f>_xlfn.XLOOKUP(Results!A9650,Geometry!$B$6:$B$10000,Geometry!$C$6:$C$10000)</f>
        <v>0</v>
      </c>
      <c r="T9650" s="69"/>
      <c r="U9650" s="69"/>
    </row>
    <row r="9651" spans="19:21" ht="15" customHeight="1" x14ac:dyDescent="0.2">
      <c r="S9651" s="69">
        <f>_xlfn.XLOOKUP(Results!A9651,Geometry!$B$6:$B$10000,Geometry!$C$6:$C$10000)</f>
        <v>0</v>
      </c>
      <c r="T9651" s="69"/>
      <c r="U9651" s="69"/>
    </row>
    <row r="9652" spans="19:21" ht="15" customHeight="1" x14ac:dyDescent="0.2">
      <c r="S9652" s="69">
        <f>_xlfn.XLOOKUP(Results!A9652,Geometry!$B$6:$B$10000,Geometry!$C$6:$C$10000)</f>
        <v>0</v>
      </c>
      <c r="T9652" s="69"/>
      <c r="U9652" s="69"/>
    </row>
    <row r="9653" spans="19:21" ht="15" customHeight="1" x14ac:dyDescent="0.2">
      <c r="S9653" s="69">
        <f>_xlfn.XLOOKUP(Results!A9653,Geometry!$B$6:$B$10000,Geometry!$C$6:$C$10000)</f>
        <v>0</v>
      </c>
      <c r="T9653" s="69"/>
      <c r="U9653" s="69"/>
    </row>
    <row r="9654" spans="19:21" ht="15" customHeight="1" x14ac:dyDescent="0.2">
      <c r="S9654" s="69">
        <f>_xlfn.XLOOKUP(Results!A9654,Geometry!$B$6:$B$10000,Geometry!$C$6:$C$10000)</f>
        <v>0</v>
      </c>
      <c r="T9654" s="69"/>
      <c r="U9654" s="69"/>
    </row>
    <row r="9655" spans="19:21" ht="15" customHeight="1" x14ac:dyDescent="0.2">
      <c r="S9655" s="69">
        <f>_xlfn.XLOOKUP(Results!A9655,Geometry!$B$6:$B$10000,Geometry!$C$6:$C$10000)</f>
        <v>0</v>
      </c>
      <c r="T9655" s="69"/>
      <c r="U9655" s="69"/>
    </row>
    <row r="9656" spans="19:21" ht="15" customHeight="1" x14ac:dyDescent="0.2">
      <c r="S9656" s="69">
        <f>_xlfn.XLOOKUP(Results!A9656,Geometry!$B$6:$B$10000,Geometry!$C$6:$C$10000)</f>
        <v>0</v>
      </c>
      <c r="T9656" s="69"/>
      <c r="U9656" s="69"/>
    </row>
    <row r="9657" spans="19:21" ht="15" customHeight="1" x14ac:dyDescent="0.2">
      <c r="S9657" s="69">
        <f>_xlfn.XLOOKUP(Results!A9657,Geometry!$B$6:$B$10000,Geometry!$C$6:$C$10000)</f>
        <v>0</v>
      </c>
      <c r="T9657" s="69"/>
      <c r="U9657" s="69"/>
    </row>
    <row r="9658" spans="19:21" ht="15" customHeight="1" x14ac:dyDescent="0.2">
      <c r="S9658" s="69">
        <f>_xlfn.XLOOKUP(Results!A9658,Geometry!$B$6:$B$10000,Geometry!$C$6:$C$10000)</f>
        <v>0</v>
      </c>
      <c r="T9658" s="69"/>
      <c r="U9658" s="69"/>
    </row>
    <row r="9659" spans="19:21" ht="15" customHeight="1" x14ac:dyDescent="0.2">
      <c r="S9659" s="69">
        <f>_xlfn.XLOOKUP(Results!A9659,Geometry!$B$6:$B$10000,Geometry!$C$6:$C$10000)</f>
        <v>0</v>
      </c>
      <c r="T9659" s="69"/>
      <c r="U9659" s="69"/>
    </row>
    <row r="9660" spans="19:21" ht="15" customHeight="1" x14ac:dyDescent="0.2">
      <c r="S9660" s="69">
        <f>_xlfn.XLOOKUP(Results!A9660,Geometry!$B$6:$B$10000,Geometry!$C$6:$C$10000)</f>
        <v>0</v>
      </c>
      <c r="T9660" s="69"/>
      <c r="U9660" s="69"/>
    </row>
    <row r="9661" spans="19:21" ht="15" customHeight="1" x14ac:dyDescent="0.2">
      <c r="S9661" s="69">
        <f>_xlfn.XLOOKUP(Results!A9661,Geometry!$B$6:$B$10000,Geometry!$C$6:$C$10000)</f>
        <v>0</v>
      </c>
      <c r="T9661" s="69"/>
      <c r="U9661" s="69"/>
    </row>
    <row r="9662" spans="19:21" ht="15" customHeight="1" x14ac:dyDescent="0.2">
      <c r="S9662" s="69">
        <f>_xlfn.XLOOKUP(Results!A9662,Geometry!$B$6:$B$10000,Geometry!$C$6:$C$10000)</f>
        <v>0</v>
      </c>
      <c r="T9662" s="69"/>
      <c r="U9662" s="69"/>
    </row>
    <row r="9663" spans="19:21" ht="15" customHeight="1" x14ac:dyDescent="0.2">
      <c r="S9663" s="69">
        <f>_xlfn.XLOOKUP(Results!A9663,Geometry!$B$6:$B$10000,Geometry!$C$6:$C$10000)</f>
        <v>0</v>
      </c>
      <c r="T9663" s="69"/>
      <c r="U9663" s="69"/>
    </row>
    <row r="9664" spans="19:21" ht="15" customHeight="1" x14ac:dyDescent="0.2">
      <c r="S9664" s="69">
        <f>_xlfn.XLOOKUP(Results!A9664,Geometry!$B$6:$B$10000,Geometry!$C$6:$C$10000)</f>
        <v>0</v>
      </c>
      <c r="T9664" s="69"/>
      <c r="U9664" s="69"/>
    </row>
    <row r="9665" spans="19:21" ht="15" customHeight="1" x14ac:dyDescent="0.2">
      <c r="S9665" s="69">
        <f>_xlfn.XLOOKUP(Results!A9665,Geometry!$B$6:$B$10000,Geometry!$C$6:$C$10000)</f>
        <v>0</v>
      </c>
      <c r="T9665" s="69"/>
      <c r="U9665" s="69"/>
    </row>
    <row r="9666" spans="19:21" ht="15" customHeight="1" x14ac:dyDescent="0.2">
      <c r="S9666" s="69">
        <f>_xlfn.XLOOKUP(Results!A9666,Geometry!$B$6:$B$10000,Geometry!$C$6:$C$10000)</f>
        <v>0</v>
      </c>
      <c r="T9666" s="69"/>
      <c r="U9666" s="69"/>
    </row>
    <row r="9667" spans="19:21" ht="15" customHeight="1" x14ac:dyDescent="0.2">
      <c r="S9667" s="69">
        <f>_xlfn.XLOOKUP(Results!A9667,Geometry!$B$6:$B$10000,Geometry!$C$6:$C$10000)</f>
        <v>0</v>
      </c>
      <c r="T9667" s="69"/>
      <c r="U9667" s="69"/>
    </row>
    <row r="9668" spans="19:21" ht="15" customHeight="1" x14ac:dyDescent="0.2">
      <c r="S9668" s="69">
        <f>_xlfn.XLOOKUP(Results!A9668,Geometry!$B$6:$B$10000,Geometry!$C$6:$C$10000)</f>
        <v>0</v>
      </c>
      <c r="T9668" s="69"/>
      <c r="U9668" s="69"/>
    </row>
    <row r="9669" spans="19:21" ht="15" customHeight="1" x14ac:dyDescent="0.2">
      <c r="S9669" s="69">
        <f>_xlfn.XLOOKUP(Results!A9669,Geometry!$B$6:$B$10000,Geometry!$C$6:$C$10000)</f>
        <v>0</v>
      </c>
      <c r="T9669" s="69"/>
      <c r="U9669" s="69"/>
    </row>
    <row r="9670" spans="19:21" ht="15" customHeight="1" x14ac:dyDescent="0.2">
      <c r="S9670" s="69">
        <f>_xlfn.XLOOKUP(Results!A9670,Geometry!$B$6:$B$10000,Geometry!$C$6:$C$10000)</f>
        <v>0</v>
      </c>
      <c r="T9670" s="69"/>
      <c r="U9670" s="69"/>
    </row>
    <row r="9671" spans="19:21" ht="15" customHeight="1" x14ac:dyDescent="0.2">
      <c r="S9671" s="69">
        <f>_xlfn.XLOOKUP(Results!A9671,Geometry!$B$6:$B$10000,Geometry!$C$6:$C$10000)</f>
        <v>0</v>
      </c>
      <c r="T9671" s="69"/>
      <c r="U9671" s="69"/>
    </row>
    <row r="9672" spans="19:21" ht="15" customHeight="1" x14ac:dyDescent="0.2">
      <c r="S9672" s="69">
        <f>_xlfn.XLOOKUP(Results!A9672,Geometry!$B$6:$B$10000,Geometry!$C$6:$C$10000)</f>
        <v>0</v>
      </c>
      <c r="T9672" s="69"/>
      <c r="U9672" s="69"/>
    </row>
    <row r="9673" spans="19:21" ht="15" customHeight="1" x14ac:dyDescent="0.2">
      <c r="S9673" s="69">
        <f>_xlfn.XLOOKUP(Results!A9673,Geometry!$B$6:$B$10000,Geometry!$C$6:$C$10000)</f>
        <v>0</v>
      </c>
      <c r="T9673" s="69"/>
      <c r="U9673" s="69"/>
    </row>
    <row r="9674" spans="19:21" ht="15" customHeight="1" x14ac:dyDescent="0.2">
      <c r="S9674" s="69">
        <f>_xlfn.XLOOKUP(Results!A9674,Geometry!$B$6:$B$10000,Geometry!$C$6:$C$10000)</f>
        <v>0</v>
      </c>
      <c r="T9674" s="69"/>
      <c r="U9674" s="69"/>
    </row>
    <row r="9675" spans="19:21" ht="15" customHeight="1" x14ac:dyDescent="0.2">
      <c r="S9675" s="69">
        <f>_xlfn.XLOOKUP(Results!A9675,Geometry!$B$6:$B$10000,Geometry!$C$6:$C$10000)</f>
        <v>0</v>
      </c>
      <c r="T9675" s="69"/>
      <c r="U9675" s="69"/>
    </row>
    <row r="9676" spans="19:21" ht="15" customHeight="1" x14ac:dyDescent="0.2">
      <c r="S9676" s="69">
        <f>_xlfn.XLOOKUP(Results!A9676,Geometry!$B$6:$B$10000,Geometry!$C$6:$C$10000)</f>
        <v>0</v>
      </c>
      <c r="T9676" s="69"/>
      <c r="U9676" s="69"/>
    </row>
    <row r="9677" spans="19:21" ht="15" customHeight="1" x14ac:dyDescent="0.2">
      <c r="S9677" s="69">
        <f>_xlfn.XLOOKUP(Results!A9677,Geometry!$B$6:$B$10000,Geometry!$C$6:$C$10000)</f>
        <v>0</v>
      </c>
      <c r="T9677" s="69"/>
      <c r="U9677" s="69"/>
    </row>
    <row r="9678" spans="19:21" ht="15" customHeight="1" x14ac:dyDescent="0.2">
      <c r="S9678" s="69">
        <f>_xlfn.XLOOKUP(Results!A9678,Geometry!$B$6:$B$10000,Geometry!$C$6:$C$10000)</f>
        <v>0</v>
      </c>
      <c r="T9678" s="69"/>
      <c r="U9678" s="69"/>
    </row>
    <row r="9679" spans="19:21" ht="15" customHeight="1" x14ac:dyDescent="0.2">
      <c r="S9679" s="69">
        <f>_xlfn.XLOOKUP(Results!A9679,Geometry!$B$6:$B$10000,Geometry!$C$6:$C$10000)</f>
        <v>0</v>
      </c>
      <c r="T9679" s="69"/>
      <c r="U9679" s="69"/>
    </row>
    <row r="9680" spans="19:21" ht="15" customHeight="1" x14ac:dyDescent="0.2">
      <c r="S9680" s="69">
        <f>_xlfn.XLOOKUP(Results!A9680,Geometry!$B$6:$B$10000,Geometry!$C$6:$C$10000)</f>
        <v>0</v>
      </c>
      <c r="T9680" s="69"/>
      <c r="U9680" s="69"/>
    </row>
    <row r="9681" spans="19:21" ht="15" customHeight="1" x14ac:dyDescent="0.2">
      <c r="S9681" s="69">
        <f>_xlfn.XLOOKUP(Results!A9681,Geometry!$B$6:$B$10000,Geometry!$C$6:$C$10000)</f>
        <v>0</v>
      </c>
      <c r="T9681" s="69"/>
      <c r="U9681" s="69"/>
    </row>
    <row r="9682" spans="19:21" ht="15" customHeight="1" x14ac:dyDescent="0.2">
      <c r="S9682" s="69">
        <f>_xlfn.XLOOKUP(Results!A9682,Geometry!$B$6:$B$10000,Geometry!$C$6:$C$10000)</f>
        <v>0</v>
      </c>
      <c r="T9682" s="69"/>
      <c r="U9682" s="69"/>
    </row>
    <row r="9683" spans="19:21" ht="15" customHeight="1" x14ac:dyDescent="0.2">
      <c r="S9683" s="69">
        <f>_xlfn.XLOOKUP(Results!A9683,Geometry!$B$6:$B$10000,Geometry!$C$6:$C$10000)</f>
        <v>0</v>
      </c>
      <c r="T9683" s="69"/>
      <c r="U9683" s="69"/>
    </row>
    <row r="9684" spans="19:21" ht="15" customHeight="1" x14ac:dyDescent="0.2">
      <c r="S9684" s="69">
        <f>_xlfn.XLOOKUP(Results!A9684,Geometry!$B$6:$B$10000,Geometry!$C$6:$C$10000)</f>
        <v>0</v>
      </c>
      <c r="T9684" s="69"/>
      <c r="U9684" s="69"/>
    </row>
    <row r="9685" spans="19:21" ht="15" customHeight="1" x14ac:dyDescent="0.2">
      <c r="S9685" s="69">
        <f>_xlfn.XLOOKUP(Results!A9685,Geometry!$B$6:$B$10000,Geometry!$C$6:$C$10000)</f>
        <v>0</v>
      </c>
      <c r="T9685" s="69"/>
      <c r="U9685" s="69"/>
    </row>
    <row r="9686" spans="19:21" ht="15" customHeight="1" x14ac:dyDescent="0.2">
      <c r="S9686" s="69">
        <f>_xlfn.XLOOKUP(Results!A9686,Geometry!$B$6:$B$10000,Geometry!$C$6:$C$10000)</f>
        <v>0</v>
      </c>
      <c r="T9686" s="69"/>
      <c r="U9686" s="69"/>
    </row>
    <row r="9687" spans="19:21" ht="15" customHeight="1" x14ac:dyDescent="0.2">
      <c r="S9687" s="69">
        <f>_xlfn.XLOOKUP(Results!A9687,Geometry!$B$6:$B$10000,Geometry!$C$6:$C$10000)</f>
        <v>0</v>
      </c>
      <c r="T9687" s="69"/>
      <c r="U9687" s="69"/>
    </row>
    <row r="9688" spans="19:21" ht="15" customHeight="1" x14ac:dyDescent="0.2">
      <c r="S9688" s="69">
        <f>_xlfn.XLOOKUP(Results!A9688,Geometry!$B$6:$B$10000,Geometry!$C$6:$C$10000)</f>
        <v>0</v>
      </c>
      <c r="T9688" s="69"/>
      <c r="U9688" s="69"/>
    </row>
    <row r="9689" spans="19:21" ht="15" customHeight="1" x14ac:dyDescent="0.2">
      <c r="S9689" s="69">
        <f>_xlfn.XLOOKUP(Results!A9689,Geometry!$B$6:$B$10000,Geometry!$C$6:$C$10000)</f>
        <v>0</v>
      </c>
      <c r="T9689" s="69"/>
      <c r="U9689" s="69"/>
    </row>
    <row r="9690" spans="19:21" ht="15" customHeight="1" x14ac:dyDescent="0.2">
      <c r="S9690" s="69">
        <f>_xlfn.XLOOKUP(Results!A9690,Geometry!$B$6:$B$10000,Geometry!$C$6:$C$10000)</f>
        <v>0</v>
      </c>
      <c r="T9690" s="69"/>
      <c r="U9690" s="69"/>
    </row>
    <row r="9691" spans="19:21" ht="15" customHeight="1" x14ac:dyDescent="0.2">
      <c r="S9691" s="69">
        <f>_xlfn.XLOOKUP(Results!A9691,Geometry!$B$6:$B$10000,Geometry!$C$6:$C$10000)</f>
        <v>0</v>
      </c>
      <c r="T9691" s="69"/>
      <c r="U9691" s="69"/>
    </row>
    <row r="9692" spans="19:21" ht="15" customHeight="1" x14ac:dyDescent="0.2">
      <c r="S9692" s="69">
        <f>_xlfn.XLOOKUP(Results!A9692,Geometry!$B$6:$B$10000,Geometry!$C$6:$C$10000)</f>
        <v>0</v>
      </c>
      <c r="T9692" s="69"/>
      <c r="U9692" s="69"/>
    </row>
    <row r="9693" spans="19:21" ht="15" customHeight="1" x14ac:dyDescent="0.2">
      <c r="S9693" s="69">
        <f>_xlfn.XLOOKUP(Results!A9693,Geometry!$B$6:$B$10000,Geometry!$C$6:$C$10000)</f>
        <v>0</v>
      </c>
      <c r="T9693" s="69"/>
      <c r="U9693" s="69"/>
    </row>
    <row r="9694" spans="19:21" ht="15" customHeight="1" x14ac:dyDescent="0.2">
      <c r="S9694" s="69">
        <f>_xlfn.XLOOKUP(Results!A9694,Geometry!$B$6:$B$10000,Geometry!$C$6:$C$10000)</f>
        <v>0</v>
      </c>
      <c r="T9694" s="69"/>
      <c r="U9694" s="69"/>
    </row>
    <row r="9695" spans="19:21" ht="15" customHeight="1" x14ac:dyDescent="0.2">
      <c r="S9695" s="69">
        <f>_xlfn.XLOOKUP(Results!A9695,Geometry!$B$6:$B$10000,Geometry!$C$6:$C$10000)</f>
        <v>0</v>
      </c>
      <c r="T9695" s="69"/>
      <c r="U9695" s="69"/>
    </row>
    <row r="9696" spans="19:21" ht="15" customHeight="1" x14ac:dyDescent="0.2">
      <c r="S9696" s="69">
        <f>_xlfn.XLOOKUP(Results!A9696,Geometry!$B$6:$B$10000,Geometry!$C$6:$C$10000)</f>
        <v>0</v>
      </c>
      <c r="T9696" s="69"/>
      <c r="U9696" s="69"/>
    </row>
    <row r="9697" spans="19:21" ht="15" customHeight="1" x14ac:dyDescent="0.2">
      <c r="S9697" s="69">
        <f>_xlfn.XLOOKUP(Results!A9697,Geometry!$B$6:$B$10000,Geometry!$C$6:$C$10000)</f>
        <v>0</v>
      </c>
      <c r="T9697" s="69"/>
      <c r="U9697" s="69"/>
    </row>
    <row r="9698" spans="19:21" ht="15" customHeight="1" x14ac:dyDescent="0.2">
      <c r="S9698" s="69">
        <f>_xlfn.XLOOKUP(Results!A9698,Geometry!$B$6:$B$10000,Geometry!$C$6:$C$10000)</f>
        <v>0</v>
      </c>
      <c r="T9698" s="69"/>
      <c r="U9698" s="69"/>
    </row>
    <row r="9699" spans="19:21" ht="15" customHeight="1" x14ac:dyDescent="0.2">
      <c r="S9699" s="69">
        <f>_xlfn.XLOOKUP(Results!A9699,Geometry!$B$6:$B$10000,Geometry!$C$6:$C$10000)</f>
        <v>0</v>
      </c>
      <c r="T9699" s="69"/>
      <c r="U9699" s="69"/>
    </row>
    <row r="9700" spans="19:21" ht="15" customHeight="1" x14ac:dyDescent="0.2">
      <c r="S9700" s="69">
        <f>_xlfn.XLOOKUP(Results!A9700,Geometry!$B$6:$B$10000,Geometry!$C$6:$C$10000)</f>
        <v>0</v>
      </c>
      <c r="T9700" s="69"/>
      <c r="U9700" s="69"/>
    </row>
    <row r="9701" spans="19:21" ht="15" customHeight="1" x14ac:dyDescent="0.2">
      <c r="S9701" s="69">
        <f>_xlfn.XLOOKUP(Results!A9701,Geometry!$B$6:$B$10000,Geometry!$C$6:$C$10000)</f>
        <v>0</v>
      </c>
      <c r="T9701" s="69"/>
      <c r="U9701" s="69"/>
    </row>
    <row r="9702" spans="19:21" ht="15" customHeight="1" x14ac:dyDescent="0.2">
      <c r="S9702" s="69">
        <f>_xlfn.XLOOKUP(Results!A9702,Geometry!$B$6:$B$10000,Geometry!$C$6:$C$10000)</f>
        <v>0</v>
      </c>
      <c r="T9702" s="69"/>
      <c r="U9702" s="69"/>
    </row>
    <row r="9703" spans="19:21" ht="15" customHeight="1" x14ac:dyDescent="0.2">
      <c r="S9703" s="69">
        <f>_xlfn.XLOOKUP(Results!A9703,Geometry!$B$6:$B$10000,Geometry!$C$6:$C$10000)</f>
        <v>0</v>
      </c>
      <c r="T9703" s="69"/>
      <c r="U9703" s="69"/>
    </row>
    <row r="9704" spans="19:21" ht="15" customHeight="1" x14ac:dyDescent="0.2">
      <c r="S9704" s="69">
        <f>_xlfn.XLOOKUP(Results!A9704,Geometry!$B$6:$B$10000,Geometry!$C$6:$C$10000)</f>
        <v>0</v>
      </c>
      <c r="T9704" s="69"/>
      <c r="U9704" s="69"/>
    </row>
    <row r="9705" spans="19:21" ht="15" customHeight="1" x14ac:dyDescent="0.2">
      <c r="S9705" s="69">
        <f>_xlfn.XLOOKUP(Results!A9705,Geometry!$B$6:$B$10000,Geometry!$C$6:$C$10000)</f>
        <v>0</v>
      </c>
      <c r="T9705" s="69"/>
      <c r="U9705" s="69"/>
    </row>
    <row r="9706" spans="19:21" ht="15" customHeight="1" x14ac:dyDescent="0.2">
      <c r="S9706" s="69">
        <f>_xlfn.XLOOKUP(Results!A9706,Geometry!$B$6:$B$10000,Geometry!$C$6:$C$10000)</f>
        <v>0</v>
      </c>
      <c r="T9706" s="69"/>
      <c r="U9706" s="69"/>
    </row>
    <row r="9707" spans="19:21" ht="15" customHeight="1" x14ac:dyDescent="0.2">
      <c r="S9707" s="69">
        <f>_xlfn.XLOOKUP(Results!A9707,Geometry!$B$6:$B$10000,Geometry!$C$6:$C$10000)</f>
        <v>0</v>
      </c>
      <c r="T9707" s="69"/>
      <c r="U9707" s="69"/>
    </row>
    <row r="9708" spans="19:21" ht="15" customHeight="1" x14ac:dyDescent="0.2">
      <c r="S9708" s="69">
        <f>_xlfn.XLOOKUP(Results!A9708,Geometry!$B$6:$B$10000,Geometry!$C$6:$C$10000)</f>
        <v>0</v>
      </c>
      <c r="T9708" s="69"/>
      <c r="U9708" s="69"/>
    </row>
    <row r="9709" spans="19:21" ht="15" customHeight="1" x14ac:dyDescent="0.2">
      <c r="S9709" s="69">
        <f>_xlfn.XLOOKUP(Results!A9709,Geometry!$B$6:$B$10000,Geometry!$C$6:$C$10000)</f>
        <v>0</v>
      </c>
      <c r="T9709" s="69"/>
      <c r="U9709" s="69"/>
    </row>
    <row r="9710" spans="19:21" ht="15" customHeight="1" x14ac:dyDescent="0.2">
      <c r="S9710" s="69">
        <f>_xlfn.XLOOKUP(Results!A9710,Geometry!$B$6:$B$10000,Geometry!$C$6:$C$10000)</f>
        <v>0</v>
      </c>
      <c r="T9710" s="69"/>
      <c r="U9710" s="69"/>
    </row>
    <row r="9711" spans="19:21" ht="15" customHeight="1" x14ac:dyDescent="0.2">
      <c r="S9711" s="69">
        <f>_xlfn.XLOOKUP(Results!A9711,Geometry!$B$6:$B$10000,Geometry!$C$6:$C$10000)</f>
        <v>0</v>
      </c>
      <c r="T9711" s="69"/>
      <c r="U9711" s="69"/>
    </row>
    <row r="9712" spans="19:21" ht="15" customHeight="1" x14ac:dyDescent="0.2">
      <c r="S9712" s="69">
        <f>_xlfn.XLOOKUP(Results!A9712,Geometry!$B$6:$B$10000,Geometry!$C$6:$C$10000)</f>
        <v>0</v>
      </c>
      <c r="T9712" s="69"/>
      <c r="U9712" s="69"/>
    </row>
    <row r="9713" spans="19:21" ht="15" customHeight="1" x14ac:dyDescent="0.2">
      <c r="S9713" s="69">
        <f>_xlfn.XLOOKUP(Results!A9713,Geometry!$B$6:$B$10000,Geometry!$C$6:$C$10000)</f>
        <v>0</v>
      </c>
      <c r="T9713" s="69"/>
      <c r="U9713" s="69"/>
    </row>
    <row r="9714" spans="19:21" ht="15" customHeight="1" x14ac:dyDescent="0.2">
      <c r="S9714" s="69">
        <f>_xlfn.XLOOKUP(Results!A9714,Geometry!$B$6:$B$10000,Geometry!$C$6:$C$10000)</f>
        <v>0</v>
      </c>
      <c r="T9714" s="69"/>
      <c r="U9714" s="69"/>
    </row>
    <row r="9715" spans="19:21" ht="15" customHeight="1" x14ac:dyDescent="0.2">
      <c r="S9715" s="69">
        <f>_xlfn.XLOOKUP(Results!A9715,Geometry!$B$6:$B$10000,Geometry!$C$6:$C$10000)</f>
        <v>0</v>
      </c>
      <c r="T9715" s="69"/>
      <c r="U9715" s="69"/>
    </row>
    <row r="9716" spans="19:21" ht="15" customHeight="1" x14ac:dyDescent="0.2">
      <c r="S9716" s="69">
        <f>_xlfn.XLOOKUP(Results!A9716,Geometry!$B$6:$B$10000,Geometry!$C$6:$C$10000)</f>
        <v>0</v>
      </c>
      <c r="T9716" s="69"/>
      <c r="U9716" s="69"/>
    </row>
    <row r="9717" spans="19:21" ht="15" customHeight="1" x14ac:dyDescent="0.2">
      <c r="S9717" s="69">
        <f>_xlfn.XLOOKUP(Results!A9717,Geometry!$B$6:$B$10000,Geometry!$C$6:$C$10000)</f>
        <v>0</v>
      </c>
      <c r="T9717" s="69"/>
      <c r="U9717" s="69"/>
    </row>
    <row r="9718" spans="19:21" ht="15" customHeight="1" x14ac:dyDescent="0.2">
      <c r="S9718" s="69">
        <f>_xlfn.XLOOKUP(Results!A9718,Geometry!$B$6:$B$10000,Geometry!$C$6:$C$10000)</f>
        <v>0</v>
      </c>
      <c r="T9718" s="69"/>
      <c r="U9718" s="69"/>
    </row>
    <row r="9719" spans="19:21" ht="15" customHeight="1" x14ac:dyDescent="0.2">
      <c r="S9719" s="69">
        <f>_xlfn.XLOOKUP(Results!A9719,Geometry!$B$6:$B$10000,Geometry!$C$6:$C$10000)</f>
        <v>0</v>
      </c>
      <c r="T9719" s="69"/>
      <c r="U9719" s="69"/>
    </row>
    <row r="9720" spans="19:21" ht="15" customHeight="1" x14ac:dyDescent="0.2">
      <c r="S9720" s="69">
        <f>_xlfn.XLOOKUP(Results!A9720,Geometry!$B$6:$B$10000,Geometry!$C$6:$C$10000)</f>
        <v>0</v>
      </c>
      <c r="T9720" s="69"/>
      <c r="U9720" s="69"/>
    </row>
    <row r="9721" spans="19:21" ht="15" customHeight="1" x14ac:dyDescent="0.2">
      <c r="S9721" s="69">
        <f>_xlfn.XLOOKUP(Results!A9721,Geometry!$B$6:$B$10000,Geometry!$C$6:$C$10000)</f>
        <v>0</v>
      </c>
      <c r="T9721" s="69"/>
      <c r="U9721" s="69"/>
    </row>
    <row r="9722" spans="19:21" ht="15" customHeight="1" x14ac:dyDescent="0.2">
      <c r="S9722" s="69">
        <f>_xlfn.XLOOKUP(Results!A9722,Geometry!$B$6:$B$10000,Geometry!$C$6:$C$10000)</f>
        <v>0</v>
      </c>
      <c r="T9722" s="69"/>
      <c r="U9722" s="69"/>
    </row>
    <row r="9723" spans="19:21" ht="15" customHeight="1" x14ac:dyDescent="0.2">
      <c r="S9723" s="69">
        <f>_xlfn.XLOOKUP(Results!A9723,Geometry!$B$6:$B$10000,Geometry!$C$6:$C$10000)</f>
        <v>0</v>
      </c>
      <c r="T9723" s="69"/>
      <c r="U9723" s="69"/>
    </row>
    <row r="9724" spans="19:21" ht="15" customHeight="1" x14ac:dyDescent="0.2">
      <c r="S9724" s="69">
        <f>_xlfn.XLOOKUP(Results!A9724,Geometry!$B$6:$B$10000,Geometry!$C$6:$C$10000)</f>
        <v>0</v>
      </c>
      <c r="T9724" s="69"/>
      <c r="U9724" s="69"/>
    </row>
    <row r="9725" spans="19:21" ht="15" customHeight="1" x14ac:dyDescent="0.2">
      <c r="S9725" s="69">
        <f>_xlfn.XLOOKUP(Results!A9725,Geometry!$B$6:$B$10000,Geometry!$C$6:$C$10000)</f>
        <v>0</v>
      </c>
      <c r="T9725" s="69"/>
      <c r="U9725" s="69"/>
    </row>
    <row r="9726" spans="19:21" ht="15" customHeight="1" x14ac:dyDescent="0.2">
      <c r="S9726" s="69">
        <f>_xlfn.XLOOKUP(Results!A9726,Geometry!$B$6:$B$10000,Geometry!$C$6:$C$10000)</f>
        <v>0</v>
      </c>
      <c r="T9726" s="69"/>
      <c r="U9726" s="69"/>
    </row>
    <row r="9727" spans="19:21" ht="15" customHeight="1" x14ac:dyDescent="0.2">
      <c r="S9727" s="69">
        <f>_xlfn.XLOOKUP(Results!A9727,Geometry!$B$6:$B$10000,Geometry!$C$6:$C$10000)</f>
        <v>0</v>
      </c>
      <c r="T9727" s="69"/>
      <c r="U9727" s="69"/>
    </row>
    <row r="9728" spans="19:21" ht="15" customHeight="1" x14ac:dyDescent="0.2">
      <c r="S9728" s="69">
        <f>_xlfn.XLOOKUP(Results!A9728,Geometry!$B$6:$B$10000,Geometry!$C$6:$C$10000)</f>
        <v>0</v>
      </c>
      <c r="T9728" s="69"/>
      <c r="U9728" s="69"/>
    </row>
    <row r="9729" spans="19:21" ht="15" customHeight="1" x14ac:dyDescent="0.2">
      <c r="S9729" s="69">
        <f>_xlfn.XLOOKUP(Results!A9729,Geometry!$B$6:$B$10000,Geometry!$C$6:$C$10000)</f>
        <v>0</v>
      </c>
      <c r="T9729" s="69"/>
      <c r="U9729" s="69"/>
    </row>
    <row r="9730" spans="19:21" ht="15" customHeight="1" x14ac:dyDescent="0.2">
      <c r="S9730" s="69">
        <f>_xlfn.XLOOKUP(Results!A9730,Geometry!$B$6:$B$10000,Geometry!$C$6:$C$10000)</f>
        <v>0</v>
      </c>
      <c r="T9730" s="69"/>
      <c r="U9730" s="69"/>
    </row>
    <row r="9731" spans="19:21" ht="15" customHeight="1" x14ac:dyDescent="0.2">
      <c r="S9731" s="69">
        <f>_xlfn.XLOOKUP(Results!A9731,Geometry!$B$6:$B$10000,Geometry!$C$6:$C$10000)</f>
        <v>0</v>
      </c>
      <c r="T9731" s="69"/>
      <c r="U9731" s="69"/>
    </row>
    <row r="9732" spans="19:21" ht="15" customHeight="1" x14ac:dyDescent="0.2">
      <c r="S9732" s="69">
        <f>_xlfn.XLOOKUP(Results!A9732,Geometry!$B$6:$B$10000,Geometry!$C$6:$C$10000)</f>
        <v>0</v>
      </c>
      <c r="T9732" s="69"/>
      <c r="U9732" s="69"/>
    </row>
    <row r="9733" spans="19:21" ht="15" customHeight="1" x14ac:dyDescent="0.2">
      <c r="S9733" s="69">
        <f>_xlfn.XLOOKUP(Results!A9733,Geometry!$B$6:$B$10000,Geometry!$C$6:$C$10000)</f>
        <v>0</v>
      </c>
      <c r="T9733" s="69"/>
      <c r="U9733" s="69"/>
    </row>
    <row r="9734" spans="19:21" ht="15" customHeight="1" x14ac:dyDescent="0.2">
      <c r="S9734" s="69">
        <f>_xlfn.XLOOKUP(Results!A9734,Geometry!$B$6:$B$10000,Geometry!$C$6:$C$10000)</f>
        <v>0</v>
      </c>
      <c r="T9734" s="69"/>
      <c r="U9734" s="69"/>
    </row>
    <row r="9735" spans="19:21" ht="15" customHeight="1" x14ac:dyDescent="0.2">
      <c r="S9735" s="69">
        <f>_xlfn.XLOOKUP(Results!A9735,Geometry!$B$6:$B$10000,Geometry!$C$6:$C$10000)</f>
        <v>0</v>
      </c>
      <c r="T9735" s="69"/>
      <c r="U9735" s="69"/>
    </row>
    <row r="9736" spans="19:21" ht="15" customHeight="1" x14ac:dyDescent="0.2">
      <c r="S9736" s="69">
        <f>_xlfn.XLOOKUP(Results!A9736,Geometry!$B$6:$B$10000,Geometry!$C$6:$C$10000)</f>
        <v>0</v>
      </c>
      <c r="T9736" s="69"/>
      <c r="U9736" s="69"/>
    </row>
    <row r="9737" spans="19:21" ht="15" customHeight="1" x14ac:dyDescent="0.2">
      <c r="S9737" s="69">
        <f>_xlfn.XLOOKUP(Results!A9737,Geometry!$B$6:$B$10000,Geometry!$C$6:$C$10000)</f>
        <v>0</v>
      </c>
      <c r="T9737" s="69"/>
      <c r="U9737" s="69"/>
    </row>
    <row r="9738" spans="19:21" ht="15" customHeight="1" x14ac:dyDescent="0.2">
      <c r="S9738" s="69">
        <f>_xlfn.XLOOKUP(Results!A9738,Geometry!$B$6:$B$10000,Geometry!$C$6:$C$10000)</f>
        <v>0</v>
      </c>
      <c r="T9738" s="69"/>
      <c r="U9738" s="69"/>
    </row>
    <row r="9739" spans="19:21" ht="15" customHeight="1" x14ac:dyDescent="0.2">
      <c r="S9739" s="69">
        <f>_xlfn.XLOOKUP(Results!A9739,Geometry!$B$6:$B$10000,Geometry!$C$6:$C$10000)</f>
        <v>0</v>
      </c>
      <c r="T9739" s="69"/>
      <c r="U9739" s="69"/>
    </row>
    <row r="9740" spans="19:21" ht="15" customHeight="1" x14ac:dyDescent="0.2">
      <c r="S9740" s="69">
        <f>_xlfn.XLOOKUP(Results!A9740,Geometry!$B$6:$B$10000,Geometry!$C$6:$C$10000)</f>
        <v>0</v>
      </c>
      <c r="T9740" s="69"/>
      <c r="U9740" s="69"/>
    </row>
    <row r="9741" spans="19:21" ht="15" customHeight="1" x14ac:dyDescent="0.2">
      <c r="S9741" s="69">
        <f>_xlfn.XLOOKUP(Results!A9741,Geometry!$B$6:$B$10000,Geometry!$C$6:$C$10000)</f>
        <v>0</v>
      </c>
      <c r="T9741" s="69"/>
      <c r="U9741" s="69"/>
    </row>
    <row r="9742" spans="19:21" ht="15" customHeight="1" x14ac:dyDescent="0.2">
      <c r="S9742" s="69">
        <f>_xlfn.XLOOKUP(Results!A9742,Geometry!$B$6:$B$10000,Geometry!$C$6:$C$10000)</f>
        <v>0</v>
      </c>
      <c r="T9742" s="69"/>
      <c r="U9742" s="69"/>
    </row>
    <row r="9743" spans="19:21" ht="15" customHeight="1" x14ac:dyDescent="0.2">
      <c r="S9743" s="69">
        <f>_xlfn.XLOOKUP(Results!A9743,Geometry!$B$6:$B$10000,Geometry!$C$6:$C$10000)</f>
        <v>0</v>
      </c>
      <c r="T9743" s="69"/>
      <c r="U9743" s="69"/>
    </row>
    <row r="9744" spans="19:21" ht="15" customHeight="1" x14ac:dyDescent="0.2">
      <c r="S9744" s="69">
        <f>_xlfn.XLOOKUP(Results!A9744,Geometry!$B$6:$B$10000,Geometry!$C$6:$C$10000)</f>
        <v>0</v>
      </c>
      <c r="T9744" s="69"/>
      <c r="U9744" s="69"/>
    </row>
    <row r="9745" spans="19:21" ht="15" customHeight="1" x14ac:dyDescent="0.2">
      <c r="S9745" s="69">
        <f>_xlfn.XLOOKUP(Results!A9745,Geometry!$B$6:$B$10000,Geometry!$C$6:$C$10000)</f>
        <v>0</v>
      </c>
      <c r="T9745" s="69"/>
      <c r="U9745" s="69"/>
    </row>
    <row r="9746" spans="19:21" ht="15" customHeight="1" x14ac:dyDescent="0.2">
      <c r="S9746" s="69">
        <f>_xlfn.XLOOKUP(Results!A9746,Geometry!$B$6:$B$10000,Geometry!$C$6:$C$10000)</f>
        <v>0</v>
      </c>
      <c r="T9746" s="69"/>
      <c r="U9746" s="69"/>
    </row>
    <row r="9747" spans="19:21" ht="15" customHeight="1" x14ac:dyDescent="0.2">
      <c r="S9747" s="69">
        <f>_xlfn.XLOOKUP(Results!A9747,Geometry!$B$6:$B$10000,Geometry!$C$6:$C$10000)</f>
        <v>0</v>
      </c>
      <c r="T9747" s="69"/>
      <c r="U9747" s="69"/>
    </row>
    <row r="9748" spans="19:21" ht="15" customHeight="1" x14ac:dyDescent="0.2">
      <c r="S9748" s="69">
        <f>_xlfn.XLOOKUP(Results!A9748,Geometry!$B$6:$B$10000,Geometry!$C$6:$C$10000)</f>
        <v>0</v>
      </c>
      <c r="T9748" s="69"/>
      <c r="U9748" s="69"/>
    </row>
    <row r="9749" spans="19:21" ht="15" customHeight="1" x14ac:dyDescent="0.2">
      <c r="S9749" s="69">
        <f>_xlfn.XLOOKUP(Results!A9749,Geometry!$B$6:$B$10000,Geometry!$C$6:$C$10000)</f>
        <v>0</v>
      </c>
      <c r="T9749" s="69"/>
      <c r="U9749" s="69"/>
    </row>
    <row r="9750" spans="19:21" ht="15" customHeight="1" x14ac:dyDescent="0.2">
      <c r="S9750" s="69">
        <f>_xlfn.XLOOKUP(Results!A9750,Geometry!$B$6:$B$10000,Geometry!$C$6:$C$10000)</f>
        <v>0</v>
      </c>
      <c r="T9750" s="69"/>
      <c r="U9750" s="69"/>
    </row>
    <row r="9751" spans="19:21" ht="15" customHeight="1" x14ac:dyDescent="0.2">
      <c r="S9751" s="69">
        <f>_xlfn.XLOOKUP(Results!A9751,Geometry!$B$6:$B$10000,Geometry!$C$6:$C$10000)</f>
        <v>0</v>
      </c>
      <c r="T9751" s="69"/>
      <c r="U9751" s="69"/>
    </row>
    <row r="9752" spans="19:21" ht="15" customHeight="1" x14ac:dyDescent="0.2">
      <c r="S9752" s="69">
        <f>_xlfn.XLOOKUP(Results!A9752,Geometry!$B$6:$B$10000,Geometry!$C$6:$C$10000)</f>
        <v>0</v>
      </c>
      <c r="T9752" s="69"/>
      <c r="U9752" s="69"/>
    </row>
    <row r="9753" spans="19:21" ht="15" customHeight="1" x14ac:dyDescent="0.2">
      <c r="S9753" s="69">
        <f>_xlfn.XLOOKUP(Results!A9753,Geometry!$B$6:$B$10000,Geometry!$C$6:$C$10000)</f>
        <v>0</v>
      </c>
      <c r="T9753" s="69"/>
      <c r="U9753" s="69"/>
    </row>
    <row r="9754" spans="19:21" ht="15" customHeight="1" x14ac:dyDescent="0.2">
      <c r="S9754" s="69">
        <f>_xlfn.XLOOKUP(Results!A9754,Geometry!$B$6:$B$10000,Geometry!$C$6:$C$10000)</f>
        <v>0</v>
      </c>
      <c r="T9754" s="69"/>
      <c r="U9754" s="69"/>
    </row>
    <row r="9755" spans="19:21" ht="15" customHeight="1" x14ac:dyDescent="0.2">
      <c r="S9755" s="69">
        <f>_xlfn.XLOOKUP(Results!A9755,Geometry!$B$6:$B$10000,Geometry!$C$6:$C$10000)</f>
        <v>0</v>
      </c>
      <c r="T9755" s="69"/>
      <c r="U9755" s="69"/>
    </row>
    <row r="9756" spans="19:21" ht="15" customHeight="1" x14ac:dyDescent="0.2">
      <c r="S9756" s="69">
        <f>_xlfn.XLOOKUP(Results!A9756,Geometry!$B$6:$B$10000,Geometry!$C$6:$C$10000)</f>
        <v>0</v>
      </c>
      <c r="T9756" s="69"/>
      <c r="U9756" s="69"/>
    </row>
    <row r="9757" spans="19:21" ht="15" customHeight="1" x14ac:dyDescent="0.2">
      <c r="S9757" s="69">
        <f>_xlfn.XLOOKUP(Results!A9757,Geometry!$B$6:$B$10000,Geometry!$C$6:$C$10000)</f>
        <v>0</v>
      </c>
      <c r="T9757" s="69"/>
      <c r="U9757" s="69"/>
    </row>
    <row r="9758" spans="19:21" ht="15" customHeight="1" x14ac:dyDescent="0.2">
      <c r="S9758" s="69">
        <f>_xlfn.XLOOKUP(Results!A9758,Geometry!$B$6:$B$10000,Geometry!$C$6:$C$10000)</f>
        <v>0</v>
      </c>
      <c r="T9758" s="69"/>
      <c r="U9758" s="69"/>
    </row>
    <row r="9759" spans="19:21" ht="15" customHeight="1" x14ac:dyDescent="0.2">
      <c r="S9759" s="69">
        <f>_xlfn.XLOOKUP(Results!A9759,Geometry!$B$6:$B$10000,Geometry!$C$6:$C$10000)</f>
        <v>0</v>
      </c>
      <c r="T9759" s="69"/>
      <c r="U9759" s="69"/>
    </row>
    <row r="9760" spans="19:21" ht="15" customHeight="1" x14ac:dyDescent="0.2">
      <c r="S9760" s="69">
        <f>_xlfn.XLOOKUP(Results!A9760,Geometry!$B$6:$B$10000,Geometry!$C$6:$C$10000)</f>
        <v>0</v>
      </c>
      <c r="T9760" s="69"/>
      <c r="U9760" s="69"/>
    </row>
    <row r="9761" spans="19:21" ht="15" customHeight="1" x14ac:dyDescent="0.2">
      <c r="S9761" s="69">
        <f>_xlfn.XLOOKUP(Results!A9761,Geometry!$B$6:$B$10000,Geometry!$C$6:$C$10000)</f>
        <v>0</v>
      </c>
      <c r="T9761" s="69"/>
      <c r="U9761" s="69"/>
    </row>
    <row r="9762" spans="19:21" ht="15" customHeight="1" x14ac:dyDescent="0.2">
      <c r="S9762" s="69">
        <f>_xlfn.XLOOKUP(Results!A9762,Geometry!$B$6:$B$10000,Geometry!$C$6:$C$10000)</f>
        <v>0</v>
      </c>
      <c r="T9762" s="69"/>
      <c r="U9762" s="69"/>
    </row>
    <row r="9763" spans="19:21" ht="15" customHeight="1" x14ac:dyDescent="0.2">
      <c r="S9763" s="69">
        <f>_xlfn.XLOOKUP(Results!A9763,Geometry!$B$6:$B$10000,Geometry!$C$6:$C$10000)</f>
        <v>0</v>
      </c>
      <c r="T9763" s="69"/>
      <c r="U9763" s="69"/>
    </row>
    <row r="9764" spans="19:21" ht="15" customHeight="1" x14ac:dyDescent="0.2">
      <c r="S9764" s="69">
        <f>_xlfn.XLOOKUP(Results!A9764,Geometry!$B$6:$B$10000,Geometry!$C$6:$C$10000)</f>
        <v>0</v>
      </c>
      <c r="T9764" s="69"/>
      <c r="U9764" s="69"/>
    </row>
    <row r="9765" spans="19:21" ht="15" customHeight="1" x14ac:dyDescent="0.2">
      <c r="S9765" s="69">
        <f>_xlfn.XLOOKUP(Results!A9765,Geometry!$B$6:$B$10000,Geometry!$C$6:$C$10000)</f>
        <v>0</v>
      </c>
      <c r="T9765" s="69"/>
      <c r="U9765" s="69"/>
    </row>
    <row r="9766" spans="19:21" ht="15" customHeight="1" x14ac:dyDescent="0.2">
      <c r="S9766" s="69">
        <f>_xlfn.XLOOKUP(Results!A9766,Geometry!$B$6:$B$10000,Geometry!$C$6:$C$10000)</f>
        <v>0</v>
      </c>
      <c r="T9766" s="69"/>
      <c r="U9766" s="69"/>
    </row>
    <row r="9767" spans="19:21" ht="15" customHeight="1" x14ac:dyDescent="0.2">
      <c r="S9767" s="69">
        <f>_xlfn.XLOOKUP(Results!A9767,Geometry!$B$6:$B$10000,Geometry!$C$6:$C$10000)</f>
        <v>0</v>
      </c>
      <c r="T9767" s="69"/>
      <c r="U9767" s="69"/>
    </row>
    <row r="9768" spans="19:21" ht="15" customHeight="1" x14ac:dyDescent="0.2">
      <c r="S9768" s="69">
        <f>_xlfn.XLOOKUP(Results!A9768,Geometry!$B$6:$B$10000,Geometry!$C$6:$C$10000)</f>
        <v>0</v>
      </c>
      <c r="T9768" s="69"/>
      <c r="U9768" s="69"/>
    </row>
    <row r="9769" spans="19:21" ht="15" customHeight="1" x14ac:dyDescent="0.2">
      <c r="S9769" s="69">
        <f>_xlfn.XLOOKUP(Results!A9769,Geometry!$B$6:$B$10000,Geometry!$C$6:$C$10000)</f>
        <v>0</v>
      </c>
      <c r="T9769" s="69"/>
      <c r="U9769" s="69"/>
    </row>
    <row r="9770" spans="19:21" ht="15" customHeight="1" x14ac:dyDescent="0.2">
      <c r="S9770" s="69">
        <f>_xlfn.XLOOKUP(Results!A9770,Geometry!$B$6:$B$10000,Geometry!$C$6:$C$10000)</f>
        <v>0</v>
      </c>
      <c r="T9770" s="69"/>
      <c r="U9770" s="69"/>
    </row>
    <row r="9771" spans="19:21" ht="15" customHeight="1" x14ac:dyDescent="0.2">
      <c r="S9771" s="69">
        <f>_xlfn.XLOOKUP(Results!A9771,Geometry!$B$6:$B$10000,Geometry!$C$6:$C$10000)</f>
        <v>0</v>
      </c>
      <c r="T9771" s="69"/>
      <c r="U9771" s="69"/>
    </row>
    <row r="9772" spans="19:21" ht="15" customHeight="1" x14ac:dyDescent="0.2">
      <c r="S9772" s="69">
        <f>_xlfn.XLOOKUP(Results!A9772,Geometry!$B$6:$B$10000,Geometry!$C$6:$C$10000)</f>
        <v>0</v>
      </c>
      <c r="T9772" s="69"/>
      <c r="U9772" s="69"/>
    </row>
    <row r="9773" spans="19:21" ht="15" customHeight="1" x14ac:dyDescent="0.2">
      <c r="S9773" s="69">
        <f>_xlfn.XLOOKUP(Results!A9773,Geometry!$B$6:$B$10000,Geometry!$C$6:$C$10000)</f>
        <v>0</v>
      </c>
      <c r="T9773" s="69"/>
      <c r="U9773" s="69"/>
    </row>
    <row r="9774" spans="19:21" ht="15" customHeight="1" x14ac:dyDescent="0.2">
      <c r="S9774" s="69">
        <f>_xlfn.XLOOKUP(Results!A9774,Geometry!$B$6:$B$10000,Geometry!$C$6:$C$10000)</f>
        <v>0</v>
      </c>
      <c r="T9774" s="69"/>
      <c r="U9774" s="69"/>
    </row>
    <row r="9775" spans="19:21" ht="15" customHeight="1" x14ac:dyDescent="0.2">
      <c r="S9775" s="69">
        <f>_xlfn.XLOOKUP(Results!A9775,Geometry!$B$6:$B$10000,Geometry!$C$6:$C$10000)</f>
        <v>0</v>
      </c>
      <c r="T9775" s="69"/>
      <c r="U9775" s="69"/>
    </row>
    <row r="9776" spans="19:21" ht="15" customHeight="1" x14ac:dyDescent="0.2">
      <c r="S9776" s="69">
        <f>_xlfn.XLOOKUP(Results!A9776,Geometry!$B$6:$B$10000,Geometry!$C$6:$C$10000)</f>
        <v>0</v>
      </c>
      <c r="T9776" s="69"/>
      <c r="U9776" s="69"/>
    </row>
    <row r="9777" spans="19:21" ht="15" customHeight="1" x14ac:dyDescent="0.2">
      <c r="S9777" s="69">
        <f>_xlfn.XLOOKUP(Results!A9777,Geometry!$B$6:$B$10000,Geometry!$C$6:$C$10000)</f>
        <v>0</v>
      </c>
      <c r="T9777" s="69"/>
      <c r="U9777" s="69"/>
    </row>
    <row r="9778" spans="19:21" ht="15" customHeight="1" x14ac:dyDescent="0.2">
      <c r="S9778" s="69">
        <f>_xlfn.XLOOKUP(Results!A9778,Geometry!$B$6:$B$10000,Geometry!$C$6:$C$10000)</f>
        <v>0</v>
      </c>
      <c r="T9778" s="69"/>
      <c r="U9778" s="69"/>
    </row>
    <row r="9779" spans="19:21" ht="15" customHeight="1" x14ac:dyDescent="0.2">
      <c r="S9779" s="69">
        <f>_xlfn.XLOOKUP(Results!A9779,Geometry!$B$6:$B$10000,Geometry!$C$6:$C$10000)</f>
        <v>0</v>
      </c>
      <c r="T9779" s="69"/>
      <c r="U9779" s="69"/>
    </row>
    <row r="9780" spans="19:21" ht="15" customHeight="1" x14ac:dyDescent="0.2">
      <c r="S9780" s="69">
        <f>_xlfn.XLOOKUP(Results!A9780,Geometry!$B$6:$B$10000,Geometry!$C$6:$C$10000)</f>
        <v>0</v>
      </c>
      <c r="T9780" s="69"/>
      <c r="U9780" s="69"/>
    </row>
    <row r="9781" spans="19:21" ht="15" customHeight="1" x14ac:dyDescent="0.2">
      <c r="S9781" s="69">
        <f>_xlfn.XLOOKUP(Results!A9781,Geometry!$B$6:$B$10000,Geometry!$C$6:$C$10000)</f>
        <v>0</v>
      </c>
      <c r="T9781" s="69"/>
      <c r="U9781" s="69"/>
    </row>
    <row r="9782" spans="19:21" ht="15" customHeight="1" x14ac:dyDescent="0.2">
      <c r="S9782" s="69">
        <f>_xlfn.XLOOKUP(Results!A9782,Geometry!$B$6:$B$10000,Geometry!$C$6:$C$10000)</f>
        <v>0</v>
      </c>
      <c r="T9782" s="69"/>
      <c r="U9782" s="69"/>
    </row>
    <row r="9783" spans="19:21" ht="15" customHeight="1" x14ac:dyDescent="0.2">
      <c r="S9783" s="69">
        <f>_xlfn.XLOOKUP(Results!A9783,Geometry!$B$6:$B$10000,Geometry!$C$6:$C$10000)</f>
        <v>0</v>
      </c>
      <c r="T9783" s="69"/>
      <c r="U9783" s="69"/>
    </row>
    <row r="9784" spans="19:21" ht="15" customHeight="1" x14ac:dyDescent="0.2">
      <c r="S9784" s="69">
        <f>_xlfn.XLOOKUP(Results!A9784,Geometry!$B$6:$B$10000,Geometry!$C$6:$C$10000)</f>
        <v>0</v>
      </c>
      <c r="T9784" s="69"/>
      <c r="U9784" s="69"/>
    </row>
    <row r="9785" spans="19:21" ht="15" customHeight="1" x14ac:dyDescent="0.2">
      <c r="S9785" s="69">
        <f>_xlfn.XLOOKUP(Results!A9785,Geometry!$B$6:$B$10000,Geometry!$C$6:$C$10000)</f>
        <v>0</v>
      </c>
      <c r="T9785" s="69"/>
      <c r="U9785" s="69"/>
    </row>
    <row r="9786" spans="19:21" ht="15" customHeight="1" x14ac:dyDescent="0.2">
      <c r="S9786" s="69">
        <f>_xlfn.XLOOKUP(Results!A9786,Geometry!$B$6:$B$10000,Geometry!$C$6:$C$10000)</f>
        <v>0</v>
      </c>
      <c r="T9786" s="69"/>
      <c r="U9786" s="69"/>
    </row>
    <row r="9787" spans="19:21" ht="15" customHeight="1" x14ac:dyDescent="0.2">
      <c r="S9787" s="69">
        <f>_xlfn.XLOOKUP(Results!A9787,Geometry!$B$6:$B$10000,Geometry!$C$6:$C$10000)</f>
        <v>0</v>
      </c>
      <c r="T9787" s="69"/>
      <c r="U9787" s="69"/>
    </row>
    <row r="9788" spans="19:21" ht="15" customHeight="1" x14ac:dyDescent="0.2">
      <c r="S9788" s="69">
        <f>_xlfn.XLOOKUP(Results!A9788,Geometry!$B$6:$B$10000,Geometry!$C$6:$C$10000)</f>
        <v>0</v>
      </c>
      <c r="T9788" s="69"/>
      <c r="U9788" s="69"/>
    </row>
    <row r="9789" spans="19:21" ht="15" customHeight="1" x14ac:dyDescent="0.2">
      <c r="S9789" s="69">
        <f>_xlfn.XLOOKUP(Results!A9789,Geometry!$B$6:$B$10000,Geometry!$C$6:$C$10000)</f>
        <v>0</v>
      </c>
      <c r="T9789" s="69"/>
      <c r="U9789" s="69"/>
    </row>
    <row r="9790" spans="19:21" ht="15" customHeight="1" x14ac:dyDescent="0.2">
      <c r="S9790" s="69">
        <f>_xlfn.XLOOKUP(Results!A9790,Geometry!$B$6:$B$10000,Geometry!$C$6:$C$10000)</f>
        <v>0</v>
      </c>
      <c r="T9790" s="69"/>
      <c r="U9790" s="69"/>
    </row>
    <row r="9791" spans="19:21" ht="15" customHeight="1" x14ac:dyDescent="0.2">
      <c r="S9791" s="69">
        <f>_xlfn.XLOOKUP(Results!A9791,Geometry!$B$6:$B$10000,Geometry!$C$6:$C$10000)</f>
        <v>0</v>
      </c>
      <c r="T9791" s="69"/>
      <c r="U9791" s="69"/>
    </row>
    <row r="9792" spans="19:21" ht="15" customHeight="1" x14ac:dyDescent="0.2">
      <c r="S9792" s="69">
        <f>_xlfn.XLOOKUP(Results!A9792,Geometry!$B$6:$B$10000,Geometry!$C$6:$C$10000)</f>
        <v>0</v>
      </c>
      <c r="T9792" s="69"/>
      <c r="U9792" s="69"/>
    </row>
    <row r="9793" spans="19:21" ht="15" customHeight="1" x14ac:dyDescent="0.2">
      <c r="S9793" s="69">
        <f>_xlfn.XLOOKUP(Results!A9793,Geometry!$B$6:$B$10000,Geometry!$C$6:$C$10000)</f>
        <v>0</v>
      </c>
      <c r="T9793" s="69"/>
      <c r="U9793" s="69"/>
    </row>
    <row r="9794" spans="19:21" ht="15" customHeight="1" x14ac:dyDescent="0.2">
      <c r="S9794" s="69">
        <f>_xlfn.XLOOKUP(Results!A9794,Geometry!$B$6:$B$10000,Geometry!$C$6:$C$10000)</f>
        <v>0</v>
      </c>
      <c r="T9794" s="69"/>
      <c r="U9794" s="69"/>
    </row>
    <row r="9795" spans="19:21" ht="15" customHeight="1" x14ac:dyDescent="0.2">
      <c r="S9795" s="69">
        <f>_xlfn.XLOOKUP(Results!A9795,Geometry!$B$6:$B$10000,Geometry!$C$6:$C$10000)</f>
        <v>0</v>
      </c>
      <c r="T9795" s="69"/>
      <c r="U9795" s="69"/>
    </row>
    <row r="9796" spans="19:21" ht="15" customHeight="1" x14ac:dyDescent="0.2">
      <c r="S9796" s="69">
        <f>_xlfn.XLOOKUP(Results!A9796,Geometry!$B$6:$B$10000,Geometry!$C$6:$C$10000)</f>
        <v>0</v>
      </c>
      <c r="T9796" s="69"/>
      <c r="U9796" s="69"/>
    </row>
    <row r="9797" spans="19:21" ht="15" customHeight="1" x14ac:dyDescent="0.2">
      <c r="S9797" s="69">
        <f>_xlfn.XLOOKUP(Results!A9797,Geometry!$B$6:$B$10000,Geometry!$C$6:$C$10000)</f>
        <v>0</v>
      </c>
      <c r="T9797" s="69"/>
      <c r="U9797" s="69"/>
    </row>
    <row r="9798" spans="19:21" ht="15" customHeight="1" x14ac:dyDescent="0.2">
      <c r="S9798" s="69">
        <f>_xlfn.XLOOKUP(Results!A9798,Geometry!$B$6:$B$10000,Geometry!$C$6:$C$10000)</f>
        <v>0</v>
      </c>
      <c r="T9798" s="69"/>
      <c r="U9798" s="69"/>
    </row>
    <row r="9799" spans="19:21" ht="15" customHeight="1" x14ac:dyDescent="0.2">
      <c r="S9799" s="69">
        <f>_xlfn.XLOOKUP(Results!A9799,Geometry!$B$6:$B$10000,Geometry!$C$6:$C$10000)</f>
        <v>0</v>
      </c>
      <c r="T9799" s="69"/>
      <c r="U9799" s="69"/>
    </row>
    <row r="9800" spans="19:21" ht="15" customHeight="1" x14ac:dyDescent="0.2">
      <c r="S9800" s="69">
        <f>_xlfn.XLOOKUP(Results!A9800,Geometry!$B$6:$B$10000,Geometry!$C$6:$C$10000)</f>
        <v>0</v>
      </c>
      <c r="T9800" s="69"/>
      <c r="U9800" s="69"/>
    </row>
    <row r="9801" spans="19:21" ht="15" customHeight="1" x14ac:dyDescent="0.2">
      <c r="S9801" s="69">
        <f>_xlfn.XLOOKUP(Results!A9801,Geometry!$B$6:$B$10000,Geometry!$C$6:$C$10000)</f>
        <v>0</v>
      </c>
      <c r="T9801" s="69"/>
      <c r="U9801" s="69"/>
    </row>
    <row r="9802" spans="19:21" ht="15" customHeight="1" x14ac:dyDescent="0.2">
      <c r="S9802" s="69">
        <f>_xlfn.XLOOKUP(Results!A9802,Geometry!$B$6:$B$10000,Geometry!$C$6:$C$10000)</f>
        <v>0</v>
      </c>
      <c r="T9802" s="69"/>
      <c r="U9802" s="69"/>
    </row>
    <row r="9803" spans="19:21" ht="15" customHeight="1" x14ac:dyDescent="0.2">
      <c r="S9803" s="69">
        <f>_xlfn.XLOOKUP(Results!A9803,Geometry!$B$6:$B$10000,Geometry!$C$6:$C$10000)</f>
        <v>0</v>
      </c>
      <c r="T9803" s="69"/>
      <c r="U9803" s="69"/>
    </row>
    <row r="9804" spans="19:21" ht="15" customHeight="1" x14ac:dyDescent="0.2">
      <c r="S9804" s="69">
        <f>_xlfn.XLOOKUP(Results!A9804,Geometry!$B$6:$B$10000,Geometry!$C$6:$C$10000)</f>
        <v>0</v>
      </c>
      <c r="T9804" s="69"/>
      <c r="U9804" s="69"/>
    </row>
    <row r="9805" spans="19:21" ht="15" customHeight="1" x14ac:dyDescent="0.2">
      <c r="S9805" s="69">
        <f>_xlfn.XLOOKUP(Results!A9805,Geometry!$B$6:$B$10000,Geometry!$C$6:$C$10000)</f>
        <v>0</v>
      </c>
      <c r="T9805" s="69"/>
      <c r="U9805" s="69"/>
    </row>
    <row r="9806" spans="19:21" ht="15" customHeight="1" x14ac:dyDescent="0.2">
      <c r="S9806" s="69">
        <f>_xlfn.XLOOKUP(Results!A9806,Geometry!$B$6:$B$10000,Geometry!$C$6:$C$10000)</f>
        <v>0</v>
      </c>
      <c r="T9806" s="69"/>
      <c r="U9806" s="69"/>
    </row>
    <row r="9807" spans="19:21" ht="15" customHeight="1" x14ac:dyDescent="0.2">
      <c r="S9807" s="69">
        <f>_xlfn.XLOOKUP(Results!A9807,Geometry!$B$6:$B$10000,Geometry!$C$6:$C$10000)</f>
        <v>0</v>
      </c>
      <c r="T9807" s="69"/>
      <c r="U9807" s="69"/>
    </row>
    <row r="9808" spans="19:21" ht="15" customHeight="1" x14ac:dyDescent="0.2">
      <c r="S9808" s="69">
        <f>_xlfn.XLOOKUP(Results!A9808,Geometry!$B$6:$B$10000,Geometry!$C$6:$C$10000)</f>
        <v>0</v>
      </c>
      <c r="T9808" s="69"/>
      <c r="U9808" s="69"/>
    </row>
    <row r="9809" spans="19:21" ht="15" customHeight="1" x14ac:dyDescent="0.2">
      <c r="S9809" s="69">
        <f>_xlfn.XLOOKUP(Results!A9809,Geometry!$B$6:$B$10000,Geometry!$C$6:$C$10000)</f>
        <v>0</v>
      </c>
      <c r="T9809" s="69"/>
      <c r="U9809" s="69"/>
    </row>
    <row r="9810" spans="19:21" ht="15" customHeight="1" x14ac:dyDescent="0.2">
      <c r="S9810" s="69">
        <f>_xlfn.XLOOKUP(Results!A9810,Geometry!$B$6:$B$10000,Geometry!$C$6:$C$10000)</f>
        <v>0</v>
      </c>
      <c r="T9810" s="69"/>
      <c r="U9810" s="69"/>
    </row>
    <row r="9811" spans="19:21" ht="15" customHeight="1" x14ac:dyDescent="0.2">
      <c r="S9811" s="69">
        <f>_xlfn.XLOOKUP(Results!A9811,Geometry!$B$6:$B$10000,Geometry!$C$6:$C$10000)</f>
        <v>0</v>
      </c>
      <c r="T9811" s="69"/>
      <c r="U9811" s="69"/>
    </row>
    <row r="9812" spans="19:21" ht="15" customHeight="1" x14ac:dyDescent="0.2">
      <c r="S9812" s="69">
        <f>_xlfn.XLOOKUP(Results!A9812,Geometry!$B$6:$B$10000,Geometry!$C$6:$C$10000)</f>
        <v>0</v>
      </c>
      <c r="T9812" s="69"/>
      <c r="U9812" s="69"/>
    </row>
    <row r="9813" spans="19:21" ht="15" customHeight="1" x14ac:dyDescent="0.2">
      <c r="S9813" s="69">
        <f>_xlfn.XLOOKUP(Results!A9813,Geometry!$B$6:$B$10000,Geometry!$C$6:$C$10000)</f>
        <v>0</v>
      </c>
      <c r="T9813" s="69"/>
      <c r="U9813" s="69"/>
    </row>
    <row r="9814" spans="19:21" ht="15" customHeight="1" x14ac:dyDescent="0.2">
      <c r="S9814" s="69">
        <f>_xlfn.XLOOKUP(Results!A9814,Geometry!$B$6:$B$10000,Geometry!$C$6:$C$10000)</f>
        <v>0</v>
      </c>
      <c r="T9814" s="69"/>
      <c r="U9814" s="69"/>
    </row>
    <row r="9815" spans="19:21" ht="15" customHeight="1" x14ac:dyDescent="0.2">
      <c r="S9815" s="69">
        <f>_xlfn.XLOOKUP(Results!A9815,Geometry!$B$6:$B$10000,Geometry!$C$6:$C$10000)</f>
        <v>0</v>
      </c>
      <c r="T9815" s="69"/>
      <c r="U9815" s="69"/>
    </row>
    <row r="9816" spans="19:21" ht="15" customHeight="1" x14ac:dyDescent="0.2">
      <c r="S9816" s="69">
        <f>_xlfn.XLOOKUP(Results!A9816,Geometry!$B$6:$B$10000,Geometry!$C$6:$C$10000)</f>
        <v>0</v>
      </c>
      <c r="T9816" s="69"/>
      <c r="U9816" s="69"/>
    </row>
    <row r="9817" spans="19:21" ht="15" customHeight="1" x14ac:dyDescent="0.2">
      <c r="S9817" s="69">
        <f>_xlfn.XLOOKUP(Results!A9817,Geometry!$B$6:$B$10000,Geometry!$C$6:$C$10000)</f>
        <v>0</v>
      </c>
      <c r="T9817" s="69"/>
      <c r="U9817" s="69"/>
    </row>
    <row r="9818" spans="19:21" ht="15" customHeight="1" x14ac:dyDescent="0.2">
      <c r="S9818" s="69">
        <f>_xlfn.XLOOKUP(Results!A9818,Geometry!$B$6:$B$10000,Geometry!$C$6:$C$10000)</f>
        <v>0</v>
      </c>
      <c r="T9818" s="69"/>
      <c r="U9818" s="69"/>
    </row>
    <row r="9819" spans="19:21" ht="15" customHeight="1" x14ac:dyDescent="0.2">
      <c r="S9819" s="69">
        <f>_xlfn.XLOOKUP(Results!A9819,Geometry!$B$6:$B$10000,Geometry!$C$6:$C$10000)</f>
        <v>0</v>
      </c>
      <c r="T9819" s="69"/>
      <c r="U9819" s="69"/>
    </row>
    <row r="9820" spans="19:21" ht="15" customHeight="1" x14ac:dyDescent="0.2">
      <c r="S9820" s="69">
        <f>_xlfn.XLOOKUP(Results!A9820,Geometry!$B$6:$B$10000,Geometry!$C$6:$C$10000)</f>
        <v>0</v>
      </c>
      <c r="T9820" s="69"/>
      <c r="U9820" s="69"/>
    </row>
    <row r="9821" spans="19:21" ht="15" customHeight="1" x14ac:dyDescent="0.2">
      <c r="S9821" s="69">
        <f>_xlfn.XLOOKUP(Results!A9821,Geometry!$B$6:$B$10000,Geometry!$C$6:$C$10000)</f>
        <v>0</v>
      </c>
      <c r="T9821" s="69"/>
      <c r="U9821" s="69"/>
    </row>
    <row r="9822" spans="19:21" ht="15" customHeight="1" x14ac:dyDescent="0.2">
      <c r="S9822" s="69">
        <f>_xlfn.XLOOKUP(Results!A9822,Geometry!$B$6:$B$10000,Geometry!$C$6:$C$10000)</f>
        <v>0</v>
      </c>
      <c r="T9822" s="69"/>
      <c r="U9822" s="69"/>
    </row>
    <row r="9823" spans="19:21" ht="15" customHeight="1" x14ac:dyDescent="0.2">
      <c r="S9823" s="69">
        <f>_xlfn.XLOOKUP(Results!A9823,Geometry!$B$6:$B$10000,Geometry!$C$6:$C$10000)</f>
        <v>0</v>
      </c>
      <c r="T9823" s="69"/>
      <c r="U9823" s="69"/>
    </row>
    <row r="9824" spans="19:21" ht="15" customHeight="1" x14ac:dyDescent="0.2">
      <c r="S9824" s="69">
        <f>_xlfn.XLOOKUP(Results!A9824,Geometry!$B$6:$B$10000,Geometry!$C$6:$C$10000)</f>
        <v>0</v>
      </c>
      <c r="T9824" s="69"/>
      <c r="U9824" s="69"/>
    </row>
    <row r="9825" spans="19:21" ht="15" customHeight="1" x14ac:dyDescent="0.2">
      <c r="S9825" s="69">
        <f>_xlfn.XLOOKUP(Results!A9825,Geometry!$B$6:$B$10000,Geometry!$C$6:$C$10000)</f>
        <v>0</v>
      </c>
      <c r="T9825" s="69"/>
      <c r="U9825" s="69"/>
    </row>
    <row r="9826" spans="19:21" ht="15" customHeight="1" x14ac:dyDescent="0.2">
      <c r="S9826" s="69">
        <f>_xlfn.XLOOKUP(Results!A9826,Geometry!$B$6:$B$10000,Geometry!$C$6:$C$10000)</f>
        <v>0</v>
      </c>
      <c r="T9826" s="69"/>
      <c r="U9826" s="69"/>
    </row>
    <row r="9827" spans="19:21" ht="15" customHeight="1" x14ac:dyDescent="0.2">
      <c r="S9827" s="69">
        <f>_xlfn.XLOOKUP(Results!A9827,Geometry!$B$6:$B$10000,Geometry!$C$6:$C$10000)</f>
        <v>0</v>
      </c>
      <c r="T9827" s="69"/>
      <c r="U9827" s="69"/>
    </row>
    <row r="9828" spans="19:21" ht="15" customHeight="1" x14ac:dyDescent="0.2">
      <c r="S9828" s="69">
        <f>_xlfn.XLOOKUP(Results!A9828,Geometry!$B$6:$B$10000,Geometry!$C$6:$C$10000)</f>
        <v>0</v>
      </c>
      <c r="T9828" s="69"/>
      <c r="U9828" s="69"/>
    </row>
    <row r="9829" spans="19:21" ht="15" customHeight="1" x14ac:dyDescent="0.2">
      <c r="S9829" s="69">
        <f>_xlfn.XLOOKUP(Results!A9829,Geometry!$B$6:$B$10000,Geometry!$C$6:$C$10000)</f>
        <v>0</v>
      </c>
      <c r="T9829" s="69"/>
      <c r="U9829" s="69"/>
    </row>
    <row r="9830" spans="19:21" ht="15" customHeight="1" x14ac:dyDescent="0.2">
      <c r="S9830" s="69">
        <f>_xlfn.XLOOKUP(Results!A9830,Geometry!$B$6:$B$10000,Geometry!$C$6:$C$10000)</f>
        <v>0</v>
      </c>
      <c r="T9830" s="69"/>
      <c r="U9830" s="69"/>
    </row>
    <row r="9831" spans="19:21" ht="15" customHeight="1" x14ac:dyDescent="0.2">
      <c r="S9831" s="69">
        <f>_xlfn.XLOOKUP(Results!A9831,Geometry!$B$6:$B$10000,Geometry!$C$6:$C$10000)</f>
        <v>0</v>
      </c>
      <c r="T9831" s="69"/>
      <c r="U9831" s="69"/>
    </row>
    <row r="9832" spans="19:21" ht="15" customHeight="1" x14ac:dyDescent="0.2">
      <c r="S9832" s="69">
        <f>_xlfn.XLOOKUP(Results!A9832,Geometry!$B$6:$B$10000,Geometry!$C$6:$C$10000)</f>
        <v>0</v>
      </c>
      <c r="T9832" s="69"/>
      <c r="U9832" s="69"/>
    </row>
    <row r="9833" spans="19:21" ht="15" customHeight="1" x14ac:dyDescent="0.2">
      <c r="S9833" s="69">
        <f>_xlfn.XLOOKUP(Results!A9833,Geometry!$B$6:$B$10000,Geometry!$C$6:$C$10000)</f>
        <v>0</v>
      </c>
      <c r="T9833" s="69"/>
      <c r="U9833" s="69"/>
    </row>
    <row r="9834" spans="19:21" ht="15" customHeight="1" x14ac:dyDescent="0.2">
      <c r="S9834" s="69">
        <f>_xlfn.XLOOKUP(Results!A9834,Geometry!$B$6:$B$10000,Geometry!$C$6:$C$10000)</f>
        <v>0</v>
      </c>
      <c r="T9834" s="69"/>
      <c r="U9834" s="69"/>
    </row>
    <row r="9835" spans="19:21" ht="15" customHeight="1" x14ac:dyDescent="0.2">
      <c r="S9835" s="69">
        <f>_xlfn.XLOOKUP(Results!A9835,Geometry!$B$6:$B$10000,Geometry!$C$6:$C$10000)</f>
        <v>0</v>
      </c>
      <c r="T9835" s="69"/>
      <c r="U9835" s="69"/>
    </row>
    <row r="9836" spans="19:21" ht="15" customHeight="1" x14ac:dyDescent="0.2">
      <c r="S9836" s="69">
        <f>_xlfn.XLOOKUP(Results!A9836,Geometry!$B$6:$B$10000,Geometry!$C$6:$C$10000)</f>
        <v>0</v>
      </c>
      <c r="T9836" s="69"/>
      <c r="U9836" s="69"/>
    </row>
    <row r="9837" spans="19:21" ht="15" customHeight="1" x14ac:dyDescent="0.2">
      <c r="S9837" s="69">
        <f>_xlfn.XLOOKUP(Results!A9837,Geometry!$B$6:$B$10000,Geometry!$C$6:$C$10000)</f>
        <v>0</v>
      </c>
      <c r="T9837" s="69"/>
      <c r="U9837" s="69"/>
    </row>
    <row r="9838" spans="19:21" ht="15" customHeight="1" x14ac:dyDescent="0.2">
      <c r="S9838" s="69">
        <f>_xlfn.XLOOKUP(Results!A9838,Geometry!$B$6:$B$10000,Geometry!$C$6:$C$10000)</f>
        <v>0</v>
      </c>
      <c r="T9838" s="69"/>
      <c r="U9838" s="69"/>
    </row>
    <row r="9839" spans="19:21" ht="15" customHeight="1" x14ac:dyDescent="0.2">
      <c r="S9839" s="69">
        <f>_xlfn.XLOOKUP(Results!A9839,Geometry!$B$6:$B$10000,Geometry!$C$6:$C$10000)</f>
        <v>0</v>
      </c>
      <c r="T9839" s="69"/>
      <c r="U9839" s="69"/>
    </row>
    <row r="9840" spans="19:21" ht="15" customHeight="1" x14ac:dyDescent="0.2">
      <c r="S9840" s="69">
        <f>_xlfn.XLOOKUP(Results!A9840,Geometry!$B$6:$B$10000,Geometry!$C$6:$C$10000)</f>
        <v>0</v>
      </c>
      <c r="T9840" s="69"/>
      <c r="U9840" s="69"/>
    </row>
    <row r="9841" spans="19:21" ht="15" customHeight="1" x14ac:dyDescent="0.2">
      <c r="S9841" s="69">
        <f>_xlfn.XLOOKUP(Results!A9841,Geometry!$B$6:$B$10000,Geometry!$C$6:$C$10000)</f>
        <v>0</v>
      </c>
      <c r="T9841" s="69"/>
      <c r="U9841" s="69"/>
    </row>
    <row r="9842" spans="19:21" ht="15" customHeight="1" x14ac:dyDescent="0.2">
      <c r="S9842" s="69">
        <f>_xlfn.XLOOKUP(Results!A9842,Geometry!$B$6:$B$10000,Geometry!$C$6:$C$10000)</f>
        <v>0</v>
      </c>
      <c r="T9842" s="69"/>
      <c r="U9842" s="69"/>
    </row>
    <row r="9843" spans="19:21" ht="15" customHeight="1" x14ac:dyDescent="0.2">
      <c r="S9843" s="69">
        <f>_xlfn.XLOOKUP(Results!A9843,Geometry!$B$6:$B$10000,Geometry!$C$6:$C$10000)</f>
        <v>0</v>
      </c>
      <c r="T9843" s="69"/>
      <c r="U9843" s="69"/>
    </row>
    <row r="9844" spans="19:21" ht="15" customHeight="1" x14ac:dyDescent="0.2">
      <c r="S9844" s="69">
        <f>_xlfn.XLOOKUP(Results!A9844,Geometry!$B$6:$B$10000,Geometry!$C$6:$C$10000)</f>
        <v>0</v>
      </c>
      <c r="T9844" s="69"/>
      <c r="U9844" s="69"/>
    </row>
    <row r="9845" spans="19:21" ht="15" customHeight="1" x14ac:dyDescent="0.2">
      <c r="S9845" s="69">
        <f>_xlfn.XLOOKUP(Results!A9845,Geometry!$B$6:$B$10000,Geometry!$C$6:$C$10000)</f>
        <v>0</v>
      </c>
      <c r="T9845" s="69"/>
      <c r="U9845" s="69"/>
    </row>
    <row r="9846" spans="19:21" ht="15" customHeight="1" x14ac:dyDescent="0.2">
      <c r="S9846" s="69">
        <f>_xlfn.XLOOKUP(Results!A9846,Geometry!$B$6:$B$10000,Geometry!$C$6:$C$10000)</f>
        <v>0</v>
      </c>
      <c r="T9846" s="69"/>
      <c r="U9846" s="69"/>
    </row>
    <row r="9847" spans="19:21" ht="15" customHeight="1" x14ac:dyDescent="0.2">
      <c r="S9847" s="69">
        <f>_xlfn.XLOOKUP(Results!A9847,Geometry!$B$6:$B$10000,Geometry!$C$6:$C$10000)</f>
        <v>0</v>
      </c>
      <c r="T9847" s="69"/>
      <c r="U9847" s="69"/>
    </row>
    <row r="9848" spans="19:21" ht="15" customHeight="1" x14ac:dyDescent="0.2">
      <c r="S9848" s="69">
        <f>_xlfn.XLOOKUP(Results!A9848,Geometry!$B$6:$B$10000,Geometry!$C$6:$C$10000)</f>
        <v>0</v>
      </c>
      <c r="T9848" s="69"/>
      <c r="U9848" s="69"/>
    </row>
    <row r="9849" spans="19:21" ht="15" customHeight="1" x14ac:dyDescent="0.2">
      <c r="S9849" s="69">
        <f>_xlfn.XLOOKUP(Results!A9849,Geometry!$B$6:$B$10000,Geometry!$C$6:$C$10000)</f>
        <v>0</v>
      </c>
      <c r="T9849" s="69"/>
      <c r="U9849" s="69"/>
    </row>
    <row r="9850" spans="19:21" ht="15" customHeight="1" x14ac:dyDescent="0.2">
      <c r="S9850" s="69">
        <f>_xlfn.XLOOKUP(Results!A9850,Geometry!$B$6:$B$10000,Geometry!$C$6:$C$10000)</f>
        <v>0</v>
      </c>
      <c r="T9850" s="69"/>
      <c r="U9850" s="69"/>
    </row>
    <row r="9851" spans="19:21" ht="15" customHeight="1" x14ac:dyDescent="0.2">
      <c r="S9851" s="69">
        <f>_xlfn.XLOOKUP(Results!A9851,Geometry!$B$6:$B$10000,Geometry!$C$6:$C$10000)</f>
        <v>0</v>
      </c>
      <c r="T9851" s="69"/>
      <c r="U9851" s="69"/>
    </row>
    <row r="9852" spans="19:21" ht="15" customHeight="1" x14ac:dyDescent="0.2">
      <c r="S9852" s="69">
        <f>_xlfn.XLOOKUP(Results!A9852,Geometry!$B$6:$B$10000,Geometry!$C$6:$C$10000)</f>
        <v>0</v>
      </c>
      <c r="T9852" s="69"/>
      <c r="U9852" s="69"/>
    </row>
    <row r="9853" spans="19:21" ht="15" customHeight="1" x14ac:dyDescent="0.2">
      <c r="S9853" s="69">
        <f>_xlfn.XLOOKUP(Results!A9853,Geometry!$B$6:$B$10000,Geometry!$C$6:$C$10000)</f>
        <v>0</v>
      </c>
      <c r="T9853" s="69"/>
      <c r="U9853" s="69"/>
    </row>
    <row r="9854" spans="19:21" ht="15" customHeight="1" x14ac:dyDescent="0.2">
      <c r="S9854" s="69">
        <f>_xlfn.XLOOKUP(Results!A9854,Geometry!$B$6:$B$10000,Geometry!$C$6:$C$10000)</f>
        <v>0</v>
      </c>
      <c r="T9854" s="69"/>
      <c r="U9854" s="69"/>
    </row>
    <row r="9855" spans="19:21" ht="15" customHeight="1" x14ac:dyDescent="0.2">
      <c r="S9855" s="69">
        <f>_xlfn.XLOOKUP(Results!A9855,Geometry!$B$6:$B$10000,Geometry!$C$6:$C$10000)</f>
        <v>0</v>
      </c>
      <c r="T9855" s="69"/>
      <c r="U9855" s="69"/>
    </row>
    <row r="9856" spans="19:21" ht="15" customHeight="1" x14ac:dyDescent="0.2">
      <c r="S9856" s="69">
        <f>_xlfn.XLOOKUP(Results!A9856,Geometry!$B$6:$B$10000,Geometry!$C$6:$C$10000)</f>
        <v>0</v>
      </c>
      <c r="T9856" s="69"/>
      <c r="U9856" s="69"/>
    </row>
    <row r="9857" spans="19:21" ht="15" customHeight="1" x14ac:dyDescent="0.2">
      <c r="S9857" s="69">
        <f>_xlfn.XLOOKUP(Results!A9857,Geometry!$B$6:$B$10000,Geometry!$C$6:$C$10000)</f>
        <v>0</v>
      </c>
      <c r="T9857" s="69"/>
      <c r="U9857" s="69"/>
    </row>
    <row r="9858" spans="19:21" ht="15" customHeight="1" x14ac:dyDescent="0.2">
      <c r="S9858" s="69">
        <f>_xlfn.XLOOKUP(Results!A9858,Geometry!$B$6:$B$10000,Geometry!$C$6:$C$10000)</f>
        <v>0</v>
      </c>
      <c r="T9858" s="69"/>
      <c r="U9858" s="69"/>
    </row>
    <row r="9859" spans="19:21" ht="15" customHeight="1" x14ac:dyDescent="0.2">
      <c r="S9859" s="69">
        <f>_xlfn.XLOOKUP(Results!A9859,Geometry!$B$6:$B$10000,Geometry!$C$6:$C$10000)</f>
        <v>0</v>
      </c>
      <c r="T9859" s="69"/>
      <c r="U9859" s="69"/>
    </row>
    <row r="9860" spans="19:21" ht="15" customHeight="1" x14ac:dyDescent="0.2">
      <c r="S9860" s="69">
        <f>_xlfn.XLOOKUP(Results!A9860,Geometry!$B$6:$B$10000,Geometry!$C$6:$C$10000)</f>
        <v>0</v>
      </c>
      <c r="T9860" s="69"/>
      <c r="U9860" s="69"/>
    </row>
    <row r="9861" spans="19:21" ht="15" customHeight="1" x14ac:dyDescent="0.2">
      <c r="S9861" s="69">
        <f>_xlfn.XLOOKUP(Results!A9861,Geometry!$B$6:$B$10000,Geometry!$C$6:$C$10000)</f>
        <v>0</v>
      </c>
      <c r="T9861" s="69"/>
      <c r="U9861" s="69"/>
    </row>
    <row r="9862" spans="19:21" ht="15" customHeight="1" x14ac:dyDescent="0.2">
      <c r="S9862" s="69">
        <f>_xlfn.XLOOKUP(Results!A9862,Geometry!$B$6:$B$10000,Geometry!$C$6:$C$10000)</f>
        <v>0</v>
      </c>
      <c r="T9862" s="69"/>
      <c r="U9862" s="69"/>
    </row>
    <row r="9863" spans="19:21" ht="15" customHeight="1" x14ac:dyDescent="0.2">
      <c r="S9863" s="69">
        <f>_xlfn.XLOOKUP(Results!A9863,Geometry!$B$6:$B$10000,Geometry!$C$6:$C$10000)</f>
        <v>0</v>
      </c>
      <c r="T9863" s="69"/>
      <c r="U9863" s="69"/>
    </row>
    <row r="9864" spans="19:21" ht="15" customHeight="1" x14ac:dyDescent="0.2">
      <c r="S9864" s="69">
        <f>_xlfn.XLOOKUP(Results!A9864,Geometry!$B$6:$B$10000,Geometry!$C$6:$C$10000)</f>
        <v>0</v>
      </c>
      <c r="T9864" s="69"/>
      <c r="U9864" s="69"/>
    </row>
    <row r="9865" spans="19:21" ht="15" customHeight="1" x14ac:dyDescent="0.2">
      <c r="S9865" s="69">
        <f>_xlfn.XLOOKUP(Results!A9865,Geometry!$B$6:$B$10000,Geometry!$C$6:$C$10000)</f>
        <v>0</v>
      </c>
      <c r="T9865" s="69"/>
      <c r="U9865" s="69"/>
    </row>
    <row r="9866" spans="19:21" ht="15" customHeight="1" x14ac:dyDescent="0.2">
      <c r="S9866" s="69">
        <f>_xlfn.XLOOKUP(Results!A9866,Geometry!$B$6:$B$10000,Geometry!$C$6:$C$10000)</f>
        <v>0</v>
      </c>
      <c r="T9866" s="69"/>
      <c r="U9866" s="69"/>
    </row>
    <row r="9867" spans="19:21" ht="15" customHeight="1" x14ac:dyDescent="0.2">
      <c r="S9867" s="69">
        <f>_xlfn.XLOOKUP(Results!A9867,Geometry!$B$6:$B$10000,Geometry!$C$6:$C$10000)</f>
        <v>0</v>
      </c>
      <c r="T9867" s="69"/>
      <c r="U9867" s="69"/>
    </row>
    <row r="9868" spans="19:21" ht="15" customHeight="1" x14ac:dyDescent="0.2">
      <c r="S9868" s="69">
        <f>_xlfn.XLOOKUP(Results!A9868,Geometry!$B$6:$B$10000,Geometry!$C$6:$C$10000)</f>
        <v>0</v>
      </c>
      <c r="T9868" s="69"/>
      <c r="U9868" s="69"/>
    </row>
    <row r="9869" spans="19:21" ht="15" customHeight="1" x14ac:dyDescent="0.2">
      <c r="S9869" s="69">
        <f>_xlfn.XLOOKUP(Results!A9869,Geometry!$B$6:$B$10000,Geometry!$C$6:$C$10000)</f>
        <v>0</v>
      </c>
      <c r="T9869" s="69"/>
      <c r="U9869" s="69"/>
    </row>
    <row r="9870" spans="19:21" ht="15" customHeight="1" x14ac:dyDescent="0.2">
      <c r="S9870" s="69">
        <f>_xlfn.XLOOKUP(Results!A9870,Geometry!$B$6:$B$10000,Geometry!$C$6:$C$10000)</f>
        <v>0</v>
      </c>
      <c r="T9870" s="69"/>
      <c r="U9870" s="69"/>
    </row>
    <row r="9871" spans="19:21" ht="15" customHeight="1" x14ac:dyDescent="0.2">
      <c r="S9871" s="69">
        <f>_xlfn.XLOOKUP(Results!A9871,Geometry!$B$6:$B$10000,Geometry!$C$6:$C$10000)</f>
        <v>0</v>
      </c>
      <c r="T9871" s="69"/>
      <c r="U9871" s="69"/>
    </row>
    <row r="9872" spans="19:21" ht="15" customHeight="1" x14ac:dyDescent="0.2">
      <c r="S9872" s="69">
        <f>_xlfn.XLOOKUP(Results!A9872,Geometry!$B$6:$B$10000,Geometry!$C$6:$C$10000)</f>
        <v>0</v>
      </c>
      <c r="T9872" s="69"/>
      <c r="U9872" s="69"/>
    </row>
    <row r="9873" spans="19:21" ht="15" customHeight="1" x14ac:dyDescent="0.2">
      <c r="S9873" s="69">
        <f>_xlfn.XLOOKUP(Results!A9873,Geometry!$B$6:$B$10000,Geometry!$C$6:$C$10000)</f>
        <v>0</v>
      </c>
      <c r="T9873" s="69"/>
      <c r="U9873" s="69"/>
    </row>
    <row r="9874" spans="19:21" ht="15" customHeight="1" x14ac:dyDescent="0.2">
      <c r="S9874" s="69">
        <f>_xlfn.XLOOKUP(Results!A9874,Geometry!$B$6:$B$10000,Geometry!$C$6:$C$10000)</f>
        <v>0</v>
      </c>
      <c r="T9874" s="69"/>
      <c r="U9874" s="69"/>
    </row>
    <row r="9875" spans="19:21" ht="15" customHeight="1" x14ac:dyDescent="0.2">
      <c r="S9875" s="69">
        <f>_xlfn.XLOOKUP(Results!A9875,Geometry!$B$6:$B$10000,Geometry!$C$6:$C$10000)</f>
        <v>0</v>
      </c>
      <c r="T9875" s="69"/>
      <c r="U9875" s="69"/>
    </row>
    <row r="9876" spans="19:21" ht="15" customHeight="1" x14ac:dyDescent="0.2">
      <c r="S9876" s="69">
        <f>_xlfn.XLOOKUP(Results!A9876,Geometry!$B$6:$B$10000,Geometry!$C$6:$C$10000)</f>
        <v>0</v>
      </c>
      <c r="T9876" s="69"/>
      <c r="U9876" s="69"/>
    </row>
    <row r="9877" spans="19:21" ht="15" customHeight="1" x14ac:dyDescent="0.2">
      <c r="S9877" s="69">
        <f>_xlfn.XLOOKUP(Results!A9877,Geometry!$B$6:$B$10000,Geometry!$C$6:$C$10000)</f>
        <v>0</v>
      </c>
      <c r="T9877" s="69"/>
      <c r="U9877" s="69"/>
    </row>
    <row r="9878" spans="19:21" ht="15" customHeight="1" x14ac:dyDescent="0.2">
      <c r="S9878" s="69">
        <f>_xlfn.XLOOKUP(Results!A9878,Geometry!$B$6:$B$10000,Geometry!$C$6:$C$10000)</f>
        <v>0</v>
      </c>
      <c r="T9878" s="69"/>
      <c r="U9878" s="69"/>
    </row>
    <row r="9879" spans="19:21" ht="15" customHeight="1" x14ac:dyDescent="0.2">
      <c r="S9879" s="69">
        <f>_xlfn.XLOOKUP(Results!A9879,Geometry!$B$6:$B$10000,Geometry!$C$6:$C$10000)</f>
        <v>0</v>
      </c>
      <c r="T9879" s="69"/>
      <c r="U9879" s="69"/>
    </row>
    <row r="9880" spans="19:21" ht="15" customHeight="1" x14ac:dyDescent="0.2">
      <c r="S9880" s="69">
        <f>_xlfn.XLOOKUP(Results!A9880,Geometry!$B$6:$B$10000,Geometry!$C$6:$C$10000)</f>
        <v>0</v>
      </c>
      <c r="T9880" s="69"/>
      <c r="U9880" s="69"/>
    </row>
    <row r="9881" spans="19:21" ht="15" customHeight="1" x14ac:dyDescent="0.2">
      <c r="S9881" s="69">
        <f>_xlfn.XLOOKUP(Results!A9881,Geometry!$B$6:$B$10000,Geometry!$C$6:$C$10000)</f>
        <v>0</v>
      </c>
      <c r="T9881" s="69"/>
      <c r="U9881" s="69"/>
    </row>
    <row r="9882" spans="19:21" ht="15" customHeight="1" x14ac:dyDescent="0.2">
      <c r="S9882" s="69">
        <f>_xlfn.XLOOKUP(Results!A9882,Geometry!$B$6:$B$10000,Geometry!$C$6:$C$10000)</f>
        <v>0</v>
      </c>
      <c r="T9882" s="69"/>
      <c r="U9882" s="69"/>
    </row>
    <row r="9883" spans="19:21" ht="15" customHeight="1" x14ac:dyDescent="0.2">
      <c r="S9883" s="69">
        <f>_xlfn.XLOOKUP(Results!A9883,Geometry!$B$6:$B$10000,Geometry!$C$6:$C$10000)</f>
        <v>0</v>
      </c>
      <c r="T9883" s="69"/>
      <c r="U9883" s="69"/>
    </row>
    <row r="9884" spans="19:21" ht="15" customHeight="1" x14ac:dyDescent="0.2">
      <c r="S9884" s="69">
        <f>_xlfn.XLOOKUP(Results!A9884,Geometry!$B$6:$B$10000,Geometry!$C$6:$C$10000)</f>
        <v>0</v>
      </c>
      <c r="T9884" s="69"/>
      <c r="U9884" s="69"/>
    </row>
    <row r="9885" spans="19:21" ht="15" customHeight="1" x14ac:dyDescent="0.2">
      <c r="S9885" s="69">
        <f>_xlfn.XLOOKUP(Results!A9885,Geometry!$B$6:$B$10000,Geometry!$C$6:$C$10000)</f>
        <v>0</v>
      </c>
      <c r="T9885" s="69"/>
      <c r="U9885" s="69"/>
    </row>
    <row r="9886" spans="19:21" ht="15" customHeight="1" x14ac:dyDescent="0.2">
      <c r="S9886" s="69">
        <f>_xlfn.XLOOKUP(Results!A9886,Geometry!$B$6:$B$10000,Geometry!$C$6:$C$10000)</f>
        <v>0</v>
      </c>
      <c r="T9886" s="69"/>
      <c r="U9886" s="69"/>
    </row>
    <row r="9887" spans="19:21" ht="15" customHeight="1" x14ac:dyDescent="0.2">
      <c r="S9887" s="69">
        <f>_xlfn.XLOOKUP(Results!A9887,Geometry!$B$6:$B$10000,Geometry!$C$6:$C$10000)</f>
        <v>0</v>
      </c>
      <c r="T9887" s="69"/>
      <c r="U9887" s="69"/>
    </row>
    <row r="9888" spans="19:21" ht="15" customHeight="1" x14ac:dyDescent="0.2">
      <c r="S9888" s="69">
        <f>_xlfn.XLOOKUP(Results!A9888,Geometry!$B$6:$B$10000,Geometry!$C$6:$C$10000)</f>
        <v>0</v>
      </c>
      <c r="T9888" s="69"/>
      <c r="U9888" s="69"/>
    </row>
    <row r="9889" spans="19:21" ht="15" customHeight="1" x14ac:dyDescent="0.2">
      <c r="S9889" s="69">
        <f>_xlfn.XLOOKUP(Results!A9889,Geometry!$B$6:$B$10000,Geometry!$C$6:$C$10000)</f>
        <v>0</v>
      </c>
      <c r="T9889" s="69"/>
      <c r="U9889" s="69"/>
    </row>
    <row r="9890" spans="19:21" ht="15" customHeight="1" x14ac:dyDescent="0.2">
      <c r="S9890" s="69">
        <f>_xlfn.XLOOKUP(Results!A9890,Geometry!$B$6:$B$10000,Geometry!$C$6:$C$10000)</f>
        <v>0</v>
      </c>
      <c r="T9890" s="69"/>
      <c r="U9890" s="69"/>
    </row>
    <row r="9891" spans="19:21" ht="15" customHeight="1" x14ac:dyDescent="0.2">
      <c r="S9891" s="69">
        <f>_xlfn.XLOOKUP(Results!A9891,Geometry!$B$6:$B$10000,Geometry!$C$6:$C$10000)</f>
        <v>0</v>
      </c>
      <c r="T9891" s="69"/>
      <c r="U9891" s="69"/>
    </row>
    <row r="9892" spans="19:21" ht="15" customHeight="1" x14ac:dyDescent="0.2">
      <c r="S9892" s="69">
        <f>_xlfn.XLOOKUP(Results!A9892,Geometry!$B$6:$B$10000,Geometry!$C$6:$C$10000)</f>
        <v>0</v>
      </c>
      <c r="T9892" s="69"/>
      <c r="U9892" s="69"/>
    </row>
    <row r="9893" spans="19:21" ht="15" customHeight="1" x14ac:dyDescent="0.2">
      <c r="S9893" s="69">
        <f>_xlfn.XLOOKUP(Results!A9893,Geometry!$B$6:$B$10000,Geometry!$C$6:$C$10000)</f>
        <v>0</v>
      </c>
      <c r="T9893" s="69"/>
      <c r="U9893" s="69"/>
    </row>
    <row r="9894" spans="19:21" ht="15" customHeight="1" x14ac:dyDescent="0.2">
      <c r="S9894" s="69">
        <f>_xlfn.XLOOKUP(Results!A9894,Geometry!$B$6:$B$10000,Geometry!$C$6:$C$10000)</f>
        <v>0</v>
      </c>
      <c r="T9894" s="69"/>
      <c r="U9894" s="69"/>
    </row>
    <row r="9895" spans="19:21" ht="15" customHeight="1" x14ac:dyDescent="0.2">
      <c r="S9895" s="69">
        <f>_xlfn.XLOOKUP(Results!A9895,Geometry!$B$6:$B$10000,Geometry!$C$6:$C$10000)</f>
        <v>0</v>
      </c>
      <c r="T9895" s="69"/>
      <c r="U9895" s="69"/>
    </row>
    <row r="9896" spans="19:21" ht="15" customHeight="1" x14ac:dyDescent="0.2">
      <c r="S9896" s="69">
        <f>_xlfn.XLOOKUP(Results!A9896,Geometry!$B$6:$B$10000,Geometry!$C$6:$C$10000)</f>
        <v>0</v>
      </c>
      <c r="T9896" s="69"/>
      <c r="U9896" s="69"/>
    </row>
    <row r="9897" spans="19:21" ht="15" customHeight="1" x14ac:dyDescent="0.2">
      <c r="S9897" s="69">
        <f>_xlfn.XLOOKUP(Results!A9897,Geometry!$B$6:$B$10000,Geometry!$C$6:$C$10000)</f>
        <v>0</v>
      </c>
      <c r="T9897" s="69"/>
      <c r="U9897" s="69"/>
    </row>
    <row r="9898" spans="19:21" ht="15" customHeight="1" x14ac:dyDescent="0.2">
      <c r="S9898" s="69">
        <f>_xlfn.XLOOKUP(Results!A9898,Geometry!$B$6:$B$10000,Geometry!$C$6:$C$10000)</f>
        <v>0</v>
      </c>
      <c r="T9898" s="69"/>
      <c r="U9898" s="69"/>
    </row>
    <row r="9899" spans="19:21" ht="15" customHeight="1" x14ac:dyDescent="0.2">
      <c r="S9899" s="69">
        <f>_xlfn.XLOOKUP(Results!A9899,Geometry!$B$6:$B$10000,Geometry!$C$6:$C$10000)</f>
        <v>0</v>
      </c>
      <c r="T9899" s="69"/>
      <c r="U9899" s="69"/>
    </row>
    <row r="9900" spans="19:21" ht="15" customHeight="1" x14ac:dyDescent="0.2">
      <c r="S9900" s="69">
        <f>_xlfn.XLOOKUP(Results!A9900,Geometry!$B$6:$B$10000,Geometry!$C$6:$C$10000)</f>
        <v>0</v>
      </c>
      <c r="T9900" s="69"/>
      <c r="U9900" s="69"/>
    </row>
    <row r="9901" spans="19:21" ht="15" customHeight="1" x14ac:dyDescent="0.2">
      <c r="S9901" s="69">
        <f>_xlfn.XLOOKUP(Results!A9901,Geometry!$B$6:$B$10000,Geometry!$C$6:$C$10000)</f>
        <v>0</v>
      </c>
      <c r="T9901" s="69"/>
      <c r="U9901" s="69"/>
    </row>
    <row r="9902" spans="19:21" ht="15" customHeight="1" x14ac:dyDescent="0.2">
      <c r="S9902" s="69">
        <f>_xlfn.XLOOKUP(Results!A9902,Geometry!$B$6:$B$10000,Geometry!$C$6:$C$10000)</f>
        <v>0</v>
      </c>
      <c r="T9902" s="69"/>
      <c r="U9902" s="69"/>
    </row>
    <row r="9903" spans="19:21" ht="15" customHeight="1" x14ac:dyDescent="0.2">
      <c r="S9903" s="69">
        <f>_xlfn.XLOOKUP(Results!A9903,Geometry!$B$6:$B$10000,Geometry!$C$6:$C$10000)</f>
        <v>0</v>
      </c>
      <c r="T9903" s="69"/>
      <c r="U9903" s="69"/>
    </row>
    <row r="9904" spans="19:21" ht="15" customHeight="1" x14ac:dyDescent="0.2">
      <c r="S9904" s="69">
        <f>_xlfn.XLOOKUP(Results!A9904,Geometry!$B$6:$B$10000,Geometry!$C$6:$C$10000)</f>
        <v>0</v>
      </c>
      <c r="T9904" s="69"/>
      <c r="U9904" s="69"/>
    </row>
    <row r="9905" spans="19:21" ht="15" customHeight="1" x14ac:dyDescent="0.2">
      <c r="S9905" s="69">
        <f>_xlfn.XLOOKUP(Results!A9905,Geometry!$B$6:$B$10000,Geometry!$C$6:$C$10000)</f>
        <v>0</v>
      </c>
      <c r="T9905" s="69"/>
      <c r="U9905" s="69"/>
    </row>
    <row r="9906" spans="19:21" ht="15" customHeight="1" x14ac:dyDescent="0.2">
      <c r="S9906" s="69">
        <f>_xlfn.XLOOKUP(Results!A9906,Geometry!$B$6:$B$10000,Geometry!$C$6:$C$10000)</f>
        <v>0</v>
      </c>
      <c r="T9906" s="69"/>
      <c r="U9906" s="69"/>
    </row>
    <row r="9907" spans="19:21" ht="15" customHeight="1" x14ac:dyDescent="0.2">
      <c r="S9907" s="69">
        <f>_xlfn.XLOOKUP(Results!A9907,Geometry!$B$6:$B$10000,Geometry!$C$6:$C$10000)</f>
        <v>0</v>
      </c>
      <c r="T9907" s="69"/>
      <c r="U9907" s="69"/>
    </row>
    <row r="9908" spans="19:21" ht="15" customHeight="1" x14ac:dyDescent="0.2">
      <c r="S9908" s="69">
        <f>_xlfn.XLOOKUP(Results!A9908,Geometry!$B$6:$B$10000,Geometry!$C$6:$C$10000)</f>
        <v>0</v>
      </c>
      <c r="T9908" s="69"/>
      <c r="U9908" s="69"/>
    </row>
    <row r="9909" spans="19:21" ht="15" customHeight="1" x14ac:dyDescent="0.2">
      <c r="S9909" s="69">
        <f>_xlfn.XLOOKUP(Results!A9909,Geometry!$B$6:$B$10000,Geometry!$C$6:$C$10000)</f>
        <v>0</v>
      </c>
      <c r="T9909" s="69"/>
      <c r="U9909" s="69"/>
    </row>
    <row r="9910" spans="19:21" ht="15" customHeight="1" x14ac:dyDescent="0.2">
      <c r="S9910" s="69">
        <f>_xlfn.XLOOKUP(Results!A9910,Geometry!$B$6:$B$10000,Geometry!$C$6:$C$10000)</f>
        <v>0</v>
      </c>
      <c r="T9910" s="69"/>
      <c r="U9910" s="69"/>
    </row>
    <row r="9911" spans="19:21" ht="15" customHeight="1" x14ac:dyDescent="0.2">
      <c r="S9911" s="69">
        <f>_xlfn.XLOOKUP(Results!A9911,Geometry!$B$6:$B$10000,Geometry!$C$6:$C$10000)</f>
        <v>0</v>
      </c>
      <c r="T9911" s="69"/>
      <c r="U9911" s="69"/>
    </row>
    <row r="9912" spans="19:21" ht="15" customHeight="1" x14ac:dyDescent="0.2">
      <c r="S9912" s="69">
        <f>_xlfn.XLOOKUP(Results!A9912,Geometry!$B$6:$B$10000,Geometry!$C$6:$C$10000)</f>
        <v>0</v>
      </c>
      <c r="T9912" s="69"/>
      <c r="U9912" s="69"/>
    </row>
    <row r="9913" spans="19:21" ht="15" customHeight="1" x14ac:dyDescent="0.2">
      <c r="S9913" s="69">
        <f>_xlfn.XLOOKUP(Results!A9913,Geometry!$B$6:$B$10000,Geometry!$C$6:$C$10000)</f>
        <v>0</v>
      </c>
      <c r="T9913" s="69"/>
      <c r="U9913" s="69"/>
    </row>
    <row r="9914" spans="19:21" ht="15" customHeight="1" x14ac:dyDescent="0.2">
      <c r="S9914" s="69">
        <f>_xlfn.XLOOKUP(Results!A9914,Geometry!$B$6:$B$10000,Geometry!$C$6:$C$10000)</f>
        <v>0</v>
      </c>
      <c r="T9914" s="69"/>
      <c r="U9914" s="69"/>
    </row>
    <row r="9915" spans="19:21" ht="15" customHeight="1" x14ac:dyDescent="0.2">
      <c r="S9915" s="69">
        <f>_xlfn.XLOOKUP(Results!A9915,Geometry!$B$6:$B$10000,Geometry!$C$6:$C$10000)</f>
        <v>0</v>
      </c>
      <c r="T9915" s="69"/>
      <c r="U9915" s="69"/>
    </row>
    <row r="9916" spans="19:21" ht="15" customHeight="1" x14ac:dyDescent="0.2">
      <c r="S9916" s="69">
        <f>_xlfn.XLOOKUP(Results!A9916,Geometry!$B$6:$B$10000,Geometry!$C$6:$C$10000)</f>
        <v>0</v>
      </c>
      <c r="T9916" s="69"/>
      <c r="U9916" s="69"/>
    </row>
    <row r="9917" spans="19:21" ht="15" customHeight="1" x14ac:dyDescent="0.2">
      <c r="S9917" s="69">
        <f>_xlfn.XLOOKUP(Results!A9917,Geometry!$B$6:$B$10000,Geometry!$C$6:$C$10000)</f>
        <v>0</v>
      </c>
      <c r="T9917" s="69"/>
      <c r="U9917" s="69"/>
    </row>
    <row r="9918" spans="19:21" ht="15" customHeight="1" x14ac:dyDescent="0.2">
      <c r="S9918" s="69">
        <f>_xlfn.XLOOKUP(Results!A9918,Geometry!$B$6:$B$10000,Geometry!$C$6:$C$10000)</f>
        <v>0</v>
      </c>
      <c r="T9918" s="69"/>
      <c r="U9918" s="69"/>
    </row>
    <row r="9919" spans="19:21" ht="15" customHeight="1" x14ac:dyDescent="0.2">
      <c r="S9919" s="69">
        <f>_xlfn.XLOOKUP(Results!A9919,Geometry!$B$6:$B$10000,Geometry!$C$6:$C$10000)</f>
        <v>0</v>
      </c>
      <c r="T9919" s="69"/>
      <c r="U9919" s="69"/>
    </row>
    <row r="9920" spans="19:21" ht="15" customHeight="1" x14ac:dyDescent="0.2">
      <c r="S9920" s="69">
        <f>_xlfn.XLOOKUP(Results!A9920,Geometry!$B$6:$B$10000,Geometry!$C$6:$C$10000)</f>
        <v>0</v>
      </c>
      <c r="T9920" s="69"/>
      <c r="U9920" s="69"/>
    </row>
    <row r="9921" spans="19:21" ht="15" customHeight="1" x14ac:dyDescent="0.2">
      <c r="S9921" s="69">
        <f>_xlfn.XLOOKUP(Results!A9921,Geometry!$B$6:$B$10000,Geometry!$C$6:$C$10000)</f>
        <v>0</v>
      </c>
      <c r="T9921" s="69"/>
      <c r="U9921" s="69"/>
    </row>
    <row r="9922" spans="19:21" ht="15" customHeight="1" x14ac:dyDescent="0.2">
      <c r="S9922" s="69">
        <f>_xlfn.XLOOKUP(Results!A9922,Geometry!$B$6:$B$10000,Geometry!$C$6:$C$10000)</f>
        <v>0</v>
      </c>
      <c r="T9922" s="69"/>
      <c r="U9922" s="69"/>
    </row>
    <row r="9923" spans="19:21" ht="15" customHeight="1" x14ac:dyDescent="0.2">
      <c r="S9923" s="69">
        <f>_xlfn.XLOOKUP(Results!A9923,Geometry!$B$6:$B$10000,Geometry!$C$6:$C$10000)</f>
        <v>0</v>
      </c>
      <c r="T9923" s="69"/>
      <c r="U9923" s="69"/>
    </row>
    <row r="9924" spans="19:21" ht="15" customHeight="1" x14ac:dyDescent="0.2">
      <c r="S9924" s="69">
        <f>_xlfn.XLOOKUP(Results!A9924,Geometry!$B$6:$B$10000,Geometry!$C$6:$C$10000)</f>
        <v>0</v>
      </c>
      <c r="T9924" s="69"/>
      <c r="U9924" s="69"/>
    </row>
    <row r="9925" spans="19:21" ht="15" customHeight="1" x14ac:dyDescent="0.2">
      <c r="S9925" s="69">
        <f>_xlfn.XLOOKUP(Results!A9925,Geometry!$B$6:$B$10000,Geometry!$C$6:$C$10000)</f>
        <v>0</v>
      </c>
      <c r="T9925" s="69"/>
      <c r="U9925" s="69"/>
    </row>
    <row r="9926" spans="19:21" ht="15" customHeight="1" x14ac:dyDescent="0.2">
      <c r="S9926" s="69">
        <f>_xlfn.XLOOKUP(Results!A9926,Geometry!$B$6:$B$10000,Geometry!$C$6:$C$10000)</f>
        <v>0</v>
      </c>
      <c r="T9926" s="69"/>
      <c r="U9926" s="69"/>
    </row>
    <row r="9927" spans="19:21" ht="15" customHeight="1" x14ac:dyDescent="0.2">
      <c r="S9927" s="69">
        <f>_xlfn.XLOOKUP(Results!A9927,Geometry!$B$6:$B$10000,Geometry!$C$6:$C$10000)</f>
        <v>0</v>
      </c>
      <c r="T9927" s="69"/>
      <c r="U9927" s="69"/>
    </row>
    <row r="9928" spans="19:21" ht="15" customHeight="1" x14ac:dyDescent="0.2">
      <c r="S9928" s="69">
        <f>_xlfn.XLOOKUP(Results!A9928,Geometry!$B$6:$B$10000,Geometry!$C$6:$C$10000)</f>
        <v>0</v>
      </c>
      <c r="T9928" s="69"/>
      <c r="U9928" s="69"/>
    </row>
    <row r="9929" spans="19:21" ht="15" customHeight="1" x14ac:dyDescent="0.2">
      <c r="S9929" s="69">
        <f>_xlfn.XLOOKUP(Results!A9929,Geometry!$B$6:$B$10000,Geometry!$C$6:$C$10000)</f>
        <v>0</v>
      </c>
      <c r="T9929" s="69"/>
      <c r="U9929" s="69"/>
    </row>
    <row r="9930" spans="19:21" ht="15" customHeight="1" x14ac:dyDescent="0.2">
      <c r="S9930" s="69">
        <f>_xlfn.XLOOKUP(Results!A9930,Geometry!$B$6:$B$10000,Geometry!$C$6:$C$10000)</f>
        <v>0</v>
      </c>
      <c r="T9930" s="69"/>
      <c r="U9930" s="69"/>
    </row>
    <row r="9931" spans="19:21" ht="15" customHeight="1" x14ac:dyDescent="0.2">
      <c r="S9931" s="69">
        <f>_xlfn.XLOOKUP(Results!A9931,Geometry!$B$6:$B$10000,Geometry!$C$6:$C$10000)</f>
        <v>0</v>
      </c>
      <c r="T9931" s="69"/>
      <c r="U9931" s="69"/>
    </row>
    <row r="9932" spans="19:21" ht="15" customHeight="1" x14ac:dyDescent="0.2">
      <c r="S9932" s="69">
        <f>_xlfn.XLOOKUP(Results!A9932,Geometry!$B$6:$B$10000,Geometry!$C$6:$C$10000)</f>
        <v>0</v>
      </c>
      <c r="T9932" s="69"/>
      <c r="U9932" s="69"/>
    </row>
    <row r="9933" spans="19:21" ht="15" customHeight="1" x14ac:dyDescent="0.2">
      <c r="S9933" s="69">
        <f>_xlfn.XLOOKUP(Results!A9933,Geometry!$B$6:$B$10000,Geometry!$C$6:$C$10000)</f>
        <v>0</v>
      </c>
      <c r="T9933" s="69"/>
      <c r="U9933" s="69"/>
    </row>
    <row r="9934" spans="19:21" ht="15" customHeight="1" x14ac:dyDescent="0.2">
      <c r="S9934" s="69">
        <f>_xlfn.XLOOKUP(Results!A9934,Geometry!$B$6:$B$10000,Geometry!$C$6:$C$10000)</f>
        <v>0</v>
      </c>
      <c r="T9934" s="69"/>
      <c r="U9934" s="69"/>
    </row>
    <row r="9935" spans="19:21" ht="15" customHeight="1" x14ac:dyDescent="0.2">
      <c r="S9935" s="69">
        <f>_xlfn.XLOOKUP(Results!A9935,Geometry!$B$6:$B$10000,Geometry!$C$6:$C$10000)</f>
        <v>0</v>
      </c>
      <c r="T9935" s="69"/>
      <c r="U9935" s="69"/>
    </row>
    <row r="9936" spans="19:21" ht="15" customHeight="1" x14ac:dyDescent="0.2">
      <c r="S9936" s="69">
        <f>_xlfn.XLOOKUP(Results!A9936,Geometry!$B$6:$B$10000,Geometry!$C$6:$C$10000)</f>
        <v>0</v>
      </c>
      <c r="T9936" s="69"/>
      <c r="U9936" s="69"/>
    </row>
    <row r="9937" spans="19:21" ht="15" customHeight="1" x14ac:dyDescent="0.2">
      <c r="S9937" s="69">
        <f>_xlfn.XLOOKUP(Results!A9937,Geometry!$B$6:$B$10000,Geometry!$C$6:$C$10000)</f>
        <v>0</v>
      </c>
      <c r="T9937" s="69"/>
      <c r="U9937" s="69"/>
    </row>
    <row r="9938" spans="19:21" ht="15" customHeight="1" x14ac:dyDescent="0.2">
      <c r="S9938" s="69">
        <f>_xlfn.XLOOKUP(Results!A9938,Geometry!$B$6:$B$10000,Geometry!$C$6:$C$10000)</f>
        <v>0</v>
      </c>
      <c r="T9938" s="69"/>
      <c r="U9938" s="69"/>
    </row>
    <row r="9939" spans="19:21" ht="15" customHeight="1" x14ac:dyDescent="0.2">
      <c r="S9939" s="69">
        <f>_xlfn.XLOOKUP(Results!A9939,Geometry!$B$6:$B$10000,Geometry!$C$6:$C$10000)</f>
        <v>0</v>
      </c>
      <c r="T9939" s="69"/>
      <c r="U9939" s="69"/>
    </row>
    <row r="9940" spans="19:21" ht="15" customHeight="1" x14ac:dyDescent="0.2">
      <c r="S9940" s="69">
        <f>_xlfn.XLOOKUP(Results!A9940,Geometry!$B$6:$B$10000,Geometry!$C$6:$C$10000)</f>
        <v>0</v>
      </c>
      <c r="T9940" s="69"/>
      <c r="U9940" s="69"/>
    </row>
    <row r="9941" spans="19:21" ht="15" customHeight="1" x14ac:dyDescent="0.2">
      <c r="S9941" s="69">
        <f>_xlfn.XLOOKUP(Results!A9941,Geometry!$B$6:$B$10000,Geometry!$C$6:$C$10000)</f>
        <v>0</v>
      </c>
      <c r="T9941" s="69"/>
      <c r="U9941" s="69"/>
    </row>
    <row r="9942" spans="19:21" ht="15" customHeight="1" x14ac:dyDescent="0.2">
      <c r="S9942" s="69">
        <f>_xlfn.XLOOKUP(Results!A9942,Geometry!$B$6:$B$10000,Geometry!$C$6:$C$10000)</f>
        <v>0</v>
      </c>
      <c r="T9942" s="69"/>
      <c r="U9942" s="69"/>
    </row>
    <row r="9943" spans="19:21" ht="15" customHeight="1" x14ac:dyDescent="0.2">
      <c r="S9943" s="69">
        <f>_xlfn.XLOOKUP(Results!A9943,Geometry!$B$6:$B$10000,Geometry!$C$6:$C$10000)</f>
        <v>0</v>
      </c>
      <c r="T9943" s="69"/>
      <c r="U9943" s="69"/>
    </row>
    <row r="9944" spans="19:21" ht="15" customHeight="1" x14ac:dyDescent="0.2">
      <c r="S9944" s="69">
        <f>_xlfn.XLOOKUP(Results!A9944,Geometry!$B$6:$B$10000,Geometry!$C$6:$C$10000)</f>
        <v>0</v>
      </c>
      <c r="T9944" s="69"/>
      <c r="U9944" s="69"/>
    </row>
    <row r="9945" spans="19:21" ht="15" customHeight="1" x14ac:dyDescent="0.2">
      <c r="S9945" s="69">
        <f>_xlfn.XLOOKUP(Results!A9945,Geometry!$B$6:$B$10000,Geometry!$C$6:$C$10000)</f>
        <v>0</v>
      </c>
      <c r="T9945" s="69"/>
      <c r="U9945" s="69"/>
    </row>
    <row r="9946" spans="19:21" ht="15" customHeight="1" x14ac:dyDescent="0.2">
      <c r="S9946" s="69">
        <f>_xlfn.XLOOKUP(Results!A9946,Geometry!$B$6:$B$10000,Geometry!$C$6:$C$10000)</f>
        <v>0</v>
      </c>
      <c r="T9946" s="69"/>
      <c r="U9946" s="69"/>
    </row>
    <row r="9947" spans="19:21" ht="15" customHeight="1" x14ac:dyDescent="0.2">
      <c r="S9947" s="69">
        <f>_xlfn.XLOOKUP(Results!A9947,Geometry!$B$6:$B$10000,Geometry!$C$6:$C$10000)</f>
        <v>0</v>
      </c>
      <c r="T9947" s="69"/>
      <c r="U9947" s="69"/>
    </row>
    <row r="9948" spans="19:21" ht="15" customHeight="1" x14ac:dyDescent="0.2">
      <c r="S9948" s="69">
        <f>_xlfn.XLOOKUP(Results!A9948,Geometry!$B$6:$B$10000,Geometry!$C$6:$C$10000)</f>
        <v>0</v>
      </c>
      <c r="T9948" s="69"/>
      <c r="U9948" s="69"/>
    </row>
    <row r="9949" spans="19:21" ht="15" customHeight="1" x14ac:dyDescent="0.2">
      <c r="S9949" s="69">
        <f>_xlfn.XLOOKUP(Results!A9949,Geometry!$B$6:$B$10000,Geometry!$C$6:$C$10000)</f>
        <v>0</v>
      </c>
      <c r="T9949" s="69"/>
      <c r="U9949" s="69"/>
    </row>
    <row r="9950" spans="19:21" ht="15" customHeight="1" x14ac:dyDescent="0.2">
      <c r="S9950" s="69">
        <f>_xlfn.XLOOKUP(Results!A9950,Geometry!$B$6:$B$10000,Geometry!$C$6:$C$10000)</f>
        <v>0</v>
      </c>
      <c r="T9950" s="69"/>
      <c r="U9950" s="69"/>
    </row>
    <row r="9951" spans="19:21" ht="15" customHeight="1" x14ac:dyDescent="0.2">
      <c r="S9951" s="69">
        <f>_xlfn.XLOOKUP(Results!A9951,Geometry!$B$6:$B$10000,Geometry!$C$6:$C$10000)</f>
        <v>0</v>
      </c>
      <c r="T9951" s="69"/>
      <c r="U9951" s="69"/>
    </row>
    <row r="9952" spans="19:21" ht="15" customHeight="1" x14ac:dyDescent="0.2">
      <c r="S9952" s="69">
        <f>_xlfn.XLOOKUP(Results!A9952,Geometry!$B$6:$B$10000,Geometry!$C$6:$C$10000)</f>
        <v>0</v>
      </c>
      <c r="T9952" s="69"/>
      <c r="U9952" s="69"/>
    </row>
    <row r="9953" spans="19:21" ht="15" customHeight="1" x14ac:dyDescent="0.2">
      <c r="S9953" s="69">
        <f>_xlfn.XLOOKUP(Results!A9953,Geometry!$B$6:$B$10000,Geometry!$C$6:$C$10000)</f>
        <v>0</v>
      </c>
      <c r="T9953" s="69"/>
      <c r="U9953" s="69"/>
    </row>
    <row r="9954" spans="19:21" ht="15" customHeight="1" x14ac:dyDescent="0.2">
      <c r="S9954" s="69">
        <f>_xlfn.XLOOKUP(Results!A9954,Geometry!$B$6:$B$10000,Geometry!$C$6:$C$10000)</f>
        <v>0</v>
      </c>
      <c r="T9954" s="69"/>
      <c r="U9954" s="69"/>
    </row>
    <row r="9955" spans="19:21" ht="15" customHeight="1" x14ac:dyDescent="0.2">
      <c r="S9955" s="69">
        <f>_xlfn.XLOOKUP(Results!A9955,Geometry!$B$6:$B$10000,Geometry!$C$6:$C$10000)</f>
        <v>0</v>
      </c>
      <c r="T9955" s="69"/>
      <c r="U9955" s="69"/>
    </row>
    <row r="9956" spans="19:21" ht="15" customHeight="1" x14ac:dyDescent="0.2">
      <c r="S9956" s="69">
        <f>_xlfn.XLOOKUP(Results!A9956,Geometry!$B$6:$B$10000,Geometry!$C$6:$C$10000)</f>
        <v>0</v>
      </c>
      <c r="T9956" s="69"/>
      <c r="U9956" s="69"/>
    </row>
    <row r="9957" spans="19:21" ht="15" customHeight="1" x14ac:dyDescent="0.2">
      <c r="S9957" s="69">
        <f>_xlfn.XLOOKUP(Results!A9957,Geometry!$B$6:$B$10000,Geometry!$C$6:$C$10000)</f>
        <v>0</v>
      </c>
      <c r="T9957" s="69"/>
      <c r="U9957" s="69"/>
    </row>
    <row r="9958" spans="19:21" ht="15" customHeight="1" x14ac:dyDescent="0.2">
      <c r="S9958" s="69">
        <f>_xlfn.XLOOKUP(Results!A9958,Geometry!$B$6:$B$10000,Geometry!$C$6:$C$10000)</f>
        <v>0</v>
      </c>
      <c r="T9958" s="69"/>
      <c r="U9958" s="69"/>
    </row>
    <row r="9959" spans="19:21" ht="15" customHeight="1" x14ac:dyDescent="0.2">
      <c r="S9959" s="69">
        <f>_xlfn.XLOOKUP(Results!A9959,Geometry!$B$6:$B$10000,Geometry!$C$6:$C$10000)</f>
        <v>0</v>
      </c>
      <c r="T9959" s="69"/>
      <c r="U9959" s="69"/>
    </row>
    <row r="9960" spans="19:21" ht="15" customHeight="1" x14ac:dyDescent="0.2">
      <c r="S9960" s="69">
        <f>_xlfn.XLOOKUP(Results!A9960,Geometry!$B$6:$B$10000,Geometry!$C$6:$C$10000)</f>
        <v>0</v>
      </c>
      <c r="T9960" s="69"/>
      <c r="U9960" s="69"/>
    </row>
    <row r="9961" spans="19:21" ht="15" customHeight="1" x14ac:dyDescent="0.2">
      <c r="S9961" s="69">
        <f>_xlfn.XLOOKUP(Results!A9961,Geometry!$B$6:$B$10000,Geometry!$C$6:$C$10000)</f>
        <v>0</v>
      </c>
      <c r="T9961" s="69"/>
      <c r="U9961" s="69"/>
    </row>
    <row r="9962" spans="19:21" ht="15" customHeight="1" x14ac:dyDescent="0.2">
      <c r="S9962" s="69">
        <f>_xlfn.XLOOKUP(Results!A9962,Geometry!$B$6:$B$10000,Geometry!$C$6:$C$10000)</f>
        <v>0</v>
      </c>
      <c r="T9962" s="69"/>
      <c r="U9962" s="69"/>
    </row>
    <row r="9963" spans="19:21" ht="15" customHeight="1" x14ac:dyDescent="0.2">
      <c r="S9963" s="69">
        <f>_xlfn.XLOOKUP(Results!A9963,Geometry!$B$6:$B$10000,Geometry!$C$6:$C$10000)</f>
        <v>0</v>
      </c>
      <c r="T9963" s="69"/>
      <c r="U9963" s="69"/>
    </row>
    <row r="9964" spans="19:21" ht="15" customHeight="1" x14ac:dyDescent="0.2">
      <c r="S9964" s="69">
        <f>_xlfn.XLOOKUP(Results!A9964,Geometry!$B$6:$B$10000,Geometry!$C$6:$C$10000)</f>
        <v>0</v>
      </c>
      <c r="T9964" s="69"/>
      <c r="U9964" s="69"/>
    </row>
    <row r="9965" spans="19:21" ht="15" customHeight="1" x14ac:dyDescent="0.2">
      <c r="S9965" s="69">
        <f>_xlfn.XLOOKUP(Results!A9965,Geometry!$B$6:$B$10000,Geometry!$C$6:$C$10000)</f>
        <v>0</v>
      </c>
      <c r="T9965" s="69"/>
      <c r="U9965" s="69"/>
    </row>
    <row r="9966" spans="19:21" ht="15" customHeight="1" x14ac:dyDescent="0.2">
      <c r="S9966" s="69">
        <f>_xlfn.XLOOKUP(Results!A9966,Geometry!$B$6:$B$10000,Geometry!$C$6:$C$10000)</f>
        <v>0</v>
      </c>
      <c r="T9966" s="69"/>
      <c r="U9966" s="69"/>
    </row>
    <row r="9967" spans="19:21" ht="15" customHeight="1" x14ac:dyDescent="0.2">
      <c r="S9967" s="69">
        <f>_xlfn.XLOOKUP(Results!A9967,Geometry!$B$6:$B$10000,Geometry!$C$6:$C$10000)</f>
        <v>0</v>
      </c>
      <c r="T9967" s="69"/>
      <c r="U9967" s="69"/>
    </row>
    <row r="9968" spans="19:21" ht="15" customHeight="1" x14ac:dyDescent="0.2">
      <c r="S9968" s="69">
        <f>_xlfn.XLOOKUP(Results!A9968,Geometry!$B$6:$B$10000,Geometry!$C$6:$C$10000)</f>
        <v>0</v>
      </c>
      <c r="T9968" s="69"/>
      <c r="U9968" s="69"/>
    </row>
    <row r="9969" spans="19:21" ht="15" customHeight="1" x14ac:dyDescent="0.2">
      <c r="S9969" s="69">
        <f>_xlfn.XLOOKUP(Results!A9969,Geometry!$B$6:$B$10000,Geometry!$C$6:$C$10000)</f>
        <v>0</v>
      </c>
      <c r="T9969" s="69"/>
      <c r="U9969" s="69"/>
    </row>
    <row r="9970" spans="19:21" ht="15" customHeight="1" x14ac:dyDescent="0.2">
      <c r="S9970" s="69">
        <f>_xlfn.XLOOKUP(Results!A9970,Geometry!$B$6:$B$10000,Geometry!$C$6:$C$10000)</f>
        <v>0</v>
      </c>
      <c r="T9970" s="69"/>
      <c r="U9970" s="69"/>
    </row>
    <row r="9971" spans="19:21" ht="15" customHeight="1" x14ac:dyDescent="0.2">
      <c r="S9971" s="69">
        <f>_xlfn.XLOOKUP(Results!A9971,Geometry!$B$6:$B$10000,Geometry!$C$6:$C$10000)</f>
        <v>0</v>
      </c>
      <c r="T9971" s="69"/>
      <c r="U9971" s="69"/>
    </row>
    <row r="9972" spans="19:21" ht="15" customHeight="1" x14ac:dyDescent="0.2">
      <c r="S9972" s="69">
        <f>_xlfn.XLOOKUP(Results!A9972,Geometry!$B$6:$B$10000,Geometry!$C$6:$C$10000)</f>
        <v>0</v>
      </c>
      <c r="T9972" s="69"/>
      <c r="U9972" s="69"/>
    </row>
    <row r="9973" spans="19:21" ht="15" customHeight="1" x14ac:dyDescent="0.2">
      <c r="S9973" s="69">
        <f>_xlfn.XLOOKUP(Results!A9973,Geometry!$B$6:$B$10000,Geometry!$C$6:$C$10000)</f>
        <v>0</v>
      </c>
      <c r="T9973" s="69"/>
      <c r="U9973" s="69"/>
    </row>
    <row r="9974" spans="19:21" ht="15" customHeight="1" x14ac:dyDescent="0.2">
      <c r="S9974" s="69">
        <f>_xlfn.XLOOKUP(Results!A9974,Geometry!$B$6:$B$10000,Geometry!$C$6:$C$10000)</f>
        <v>0</v>
      </c>
      <c r="T9974" s="69"/>
      <c r="U9974" s="69"/>
    </row>
    <row r="9975" spans="19:21" ht="15" customHeight="1" x14ac:dyDescent="0.2">
      <c r="S9975" s="69">
        <f>_xlfn.XLOOKUP(Results!A9975,Geometry!$B$6:$B$10000,Geometry!$C$6:$C$10000)</f>
        <v>0</v>
      </c>
      <c r="T9975" s="69"/>
      <c r="U9975" s="69"/>
    </row>
    <row r="9976" spans="19:21" ht="15" customHeight="1" x14ac:dyDescent="0.2">
      <c r="S9976" s="69">
        <f>_xlfn.XLOOKUP(Results!A9976,Geometry!$B$6:$B$10000,Geometry!$C$6:$C$10000)</f>
        <v>0</v>
      </c>
      <c r="T9976" s="69"/>
      <c r="U9976" s="69"/>
    </row>
    <row r="9977" spans="19:21" ht="15" customHeight="1" x14ac:dyDescent="0.2">
      <c r="S9977" s="69">
        <f>_xlfn.XLOOKUP(Results!A9977,Geometry!$B$6:$B$10000,Geometry!$C$6:$C$10000)</f>
        <v>0</v>
      </c>
      <c r="T9977" s="69"/>
      <c r="U9977" s="69"/>
    </row>
    <row r="9978" spans="19:21" ht="15" customHeight="1" x14ac:dyDescent="0.2">
      <c r="S9978" s="69">
        <f>_xlfn.XLOOKUP(Results!A9978,Geometry!$B$6:$B$10000,Geometry!$C$6:$C$10000)</f>
        <v>0</v>
      </c>
      <c r="T9978" s="69"/>
      <c r="U9978" s="69"/>
    </row>
    <row r="9979" spans="19:21" ht="15" customHeight="1" x14ac:dyDescent="0.2">
      <c r="S9979" s="69">
        <f>_xlfn.XLOOKUP(Results!A9979,Geometry!$B$6:$B$10000,Geometry!$C$6:$C$10000)</f>
        <v>0</v>
      </c>
      <c r="T9979" s="69"/>
      <c r="U9979" s="69"/>
    </row>
    <row r="9980" spans="19:21" ht="15" customHeight="1" x14ac:dyDescent="0.2">
      <c r="S9980" s="69">
        <f>_xlfn.XLOOKUP(Results!A9980,Geometry!$B$6:$B$10000,Geometry!$C$6:$C$10000)</f>
        <v>0</v>
      </c>
      <c r="T9980" s="69"/>
      <c r="U9980" s="69"/>
    </row>
    <row r="9981" spans="19:21" ht="15" customHeight="1" x14ac:dyDescent="0.2">
      <c r="S9981" s="69">
        <f>_xlfn.XLOOKUP(Results!A9981,Geometry!$B$6:$B$10000,Geometry!$C$6:$C$10000)</f>
        <v>0</v>
      </c>
      <c r="T9981" s="69"/>
      <c r="U9981" s="69"/>
    </row>
    <row r="9982" spans="19:21" ht="15" customHeight="1" x14ac:dyDescent="0.2">
      <c r="S9982" s="69">
        <f>_xlfn.XLOOKUP(Results!A9982,Geometry!$B$6:$B$10000,Geometry!$C$6:$C$10000)</f>
        <v>0</v>
      </c>
      <c r="T9982" s="69"/>
      <c r="U9982" s="69"/>
    </row>
    <row r="9983" spans="19:21" ht="15" customHeight="1" x14ac:dyDescent="0.2">
      <c r="S9983" s="69">
        <f>_xlfn.XLOOKUP(Results!A9983,Geometry!$B$6:$B$10000,Geometry!$C$6:$C$10000)</f>
        <v>0</v>
      </c>
      <c r="T9983" s="69"/>
      <c r="U9983" s="69"/>
    </row>
    <row r="9984" spans="19:21" ht="15" customHeight="1" x14ac:dyDescent="0.2">
      <c r="S9984" s="69">
        <f>_xlfn.XLOOKUP(Results!A9984,Geometry!$B$6:$B$10000,Geometry!$C$6:$C$10000)</f>
        <v>0</v>
      </c>
      <c r="T9984" s="69"/>
      <c r="U9984" s="69"/>
    </row>
    <row r="9985" spans="19:21" ht="15" customHeight="1" x14ac:dyDescent="0.2">
      <c r="S9985" s="69">
        <f>_xlfn.XLOOKUP(Results!A9985,Geometry!$B$6:$B$10000,Geometry!$C$6:$C$10000)</f>
        <v>0</v>
      </c>
      <c r="T9985" s="69"/>
      <c r="U9985" s="69"/>
    </row>
    <row r="9986" spans="19:21" ht="15" customHeight="1" x14ac:dyDescent="0.2">
      <c r="S9986" s="69">
        <f>_xlfn.XLOOKUP(Results!A9986,Geometry!$B$6:$B$10000,Geometry!$C$6:$C$10000)</f>
        <v>0</v>
      </c>
      <c r="T9986" s="69"/>
      <c r="U9986" s="69"/>
    </row>
    <row r="9987" spans="19:21" ht="15" customHeight="1" x14ac:dyDescent="0.2">
      <c r="S9987" s="69">
        <f>_xlfn.XLOOKUP(Results!A9987,Geometry!$B$6:$B$10000,Geometry!$C$6:$C$10000)</f>
        <v>0</v>
      </c>
      <c r="T9987" s="69"/>
      <c r="U9987" s="69"/>
    </row>
    <row r="9988" spans="19:21" ht="15" customHeight="1" x14ac:dyDescent="0.2">
      <c r="S9988" s="69">
        <f>_xlfn.XLOOKUP(Results!A9988,Geometry!$B$6:$B$10000,Geometry!$C$6:$C$10000)</f>
        <v>0</v>
      </c>
      <c r="T9988" s="69"/>
      <c r="U9988" s="69"/>
    </row>
    <row r="9989" spans="19:21" ht="15" customHeight="1" x14ac:dyDescent="0.2">
      <c r="S9989" s="69">
        <f>_xlfn.XLOOKUP(Results!A9989,Geometry!$B$6:$B$10000,Geometry!$C$6:$C$10000)</f>
        <v>0</v>
      </c>
      <c r="T9989" s="69"/>
      <c r="U9989" s="69"/>
    </row>
    <row r="9990" spans="19:21" ht="15" customHeight="1" x14ac:dyDescent="0.2">
      <c r="S9990" s="69">
        <f>_xlfn.XLOOKUP(Results!A9990,Geometry!$B$6:$B$10000,Geometry!$C$6:$C$10000)</f>
        <v>0</v>
      </c>
      <c r="T9990" s="69"/>
      <c r="U9990" s="69"/>
    </row>
    <row r="9991" spans="19:21" ht="15" customHeight="1" x14ac:dyDescent="0.2">
      <c r="S9991" s="69">
        <f>_xlfn.XLOOKUP(Results!A9991,Geometry!$B$6:$B$10000,Geometry!$C$6:$C$10000)</f>
        <v>0</v>
      </c>
      <c r="T9991" s="69"/>
      <c r="U9991" s="69"/>
    </row>
    <row r="9992" spans="19:21" ht="15" customHeight="1" x14ac:dyDescent="0.2">
      <c r="S9992" s="69">
        <f>_xlfn.XLOOKUP(Results!A9992,Geometry!$B$6:$B$10000,Geometry!$C$6:$C$10000)</f>
        <v>0</v>
      </c>
      <c r="T9992" s="69"/>
      <c r="U9992" s="69"/>
    </row>
    <row r="9993" spans="19:21" ht="15" customHeight="1" x14ac:dyDescent="0.2">
      <c r="S9993" s="69">
        <f>_xlfn.XLOOKUP(Results!A9993,Geometry!$B$6:$B$10000,Geometry!$C$6:$C$10000)</f>
        <v>0</v>
      </c>
      <c r="T9993" s="69"/>
      <c r="U9993" s="69"/>
    </row>
    <row r="9994" spans="19:21" ht="15" customHeight="1" x14ac:dyDescent="0.2">
      <c r="S9994" s="69">
        <f>_xlfn.XLOOKUP(Results!A9994,Geometry!$B$6:$B$10000,Geometry!$C$6:$C$10000)</f>
        <v>0</v>
      </c>
      <c r="T9994" s="69"/>
      <c r="U9994" s="69"/>
    </row>
    <row r="9995" spans="19:21" ht="15" customHeight="1" x14ac:dyDescent="0.2">
      <c r="S9995" s="69">
        <f>_xlfn.XLOOKUP(Results!A9995,Geometry!$B$6:$B$10000,Geometry!$C$6:$C$10000)</f>
        <v>0</v>
      </c>
      <c r="T9995" s="69"/>
      <c r="U9995" s="69"/>
    </row>
    <row r="9996" spans="19:21" ht="15" customHeight="1" x14ac:dyDescent="0.2">
      <c r="S9996" s="69">
        <f>_xlfn.XLOOKUP(Results!A9996,Geometry!$B$6:$B$10000,Geometry!$C$6:$C$10000)</f>
        <v>0</v>
      </c>
      <c r="T9996" s="69"/>
      <c r="U9996" s="69"/>
    </row>
    <row r="9997" spans="19:21" ht="15" customHeight="1" x14ac:dyDescent="0.2">
      <c r="S9997" s="69">
        <f>_xlfn.XLOOKUP(Results!A9997,Geometry!$B$6:$B$10000,Geometry!$C$6:$C$10000)</f>
        <v>0</v>
      </c>
      <c r="T9997" s="69"/>
      <c r="U9997" s="69"/>
    </row>
    <row r="9998" spans="19:21" ht="15" customHeight="1" x14ac:dyDescent="0.2">
      <c r="S9998" s="69">
        <f>_xlfn.XLOOKUP(Results!A9998,Geometry!$B$6:$B$10000,Geometry!$C$6:$C$10000)</f>
        <v>0</v>
      </c>
      <c r="T9998" s="69"/>
      <c r="U9998" s="69"/>
    </row>
    <row r="9999" spans="19:21" ht="15" customHeight="1" x14ac:dyDescent="0.2">
      <c r="S9999" s="69">
        <f>_xlfn.XLOOKUP(Results!A9999,Geometry!$B$6:$B$10000,Geometry!$C$6:$C$10000)</f>
        <v>0</v>
      </c>
      <c r="T9999" s="69"/>
      <c r="U9999" s="69"/>
    </row>
    <row r="10000" spans="19:21" ht="15" customHeight="1" x14ac:dyDescent="0.2">
      <c r="S10000" s="69">
        <f>_xlfn.XLOOKUP(Results!A10000,Geometry!$B$6:$B$10000,Geometry!$C$6:$C$10000)</f>
        <v>0</v>
      </c>
      <c r="T10000" s="69"/>
      <c r="U10000" s="69"/>
    </row>
    <row r="10001" spans="19:21" ht="15" customHeight="1" x14ac:dyDescent="0.2">
      <c r="S10001" s="69">
        <f>_xlfn.XLOOKUP(Results!A10001,Geometry!$B$6:$B$10000,Geometry!$C$6:$C$10000)</f>
        <v>0</v>
      </c>
      <c r="T10001" s="69"/>
      <c r="U10001" s="69"/>
    </row>
  </sheetData>
  <sheetProtection selectLockedCells="1"/>
  <mergeCells count="7">
    <mergeCell ref="A1:U1"/>
    <mergeCell ref="Z1:AD1"/>
    <mergeCell ref="AB2:AB3"/>
    <mergeCell ref="AC2:AC3"/>
    <mergeCell ref="AD2:AD3"/>
    <mergeCell ref="AA2:AA3"/>
    <mergeCell ref="Z2:Z3"/>
  </mergeCells>
  <conditionalFormatting sqref="AC4:AD32">
    <cfRule type="expression" dxfId="60" priority="3">
      <formula>IF($S4="Fail",TRUE,FALSE)</formula>
    </cfRule>
  </conditionalFormatting>
  <conditionalFormatting sqref="Z4:AA32">
    <cfRule type="expression" dxfId="59" priority="2">
      <formula>IF($S4="Fail",TRUE,FALSE)</formula>
    </cfRule>
  </conditionalFormatting>
  <conditionalFormatting sqref="AB4:AB32">
    <cfRule type="expression" dxfId="58" priority="1">
      <formula>IF($S4="Fail",TRUE,FALSE)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8" r:id="rId4" name="Button 4">
              <controlPr defaultSize="0" print="0" autoFill="0" autoPict="0" macro="[0]!PasteEnvelope">
                <anchor moveWithCells="1" sizeWithCells="1">
                  <from>
                    <xdr:col>21</xdr:col>
                    <xdr:colOff>9525</xdr:colOff>
                    <xdr:row>0</xdr:row>
                    <xdr:rowOff>0</xdr:rowOff>
                  </from>
                  <to>
                    <xdr:col>23</xdr:col>
                    <xdr:colOff>571500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4FBF8-085E-45A9-9ECD-F038E91E5D8F}">
  <sheetPr codeName="shFilter">
    <tabColor theme="2"/>
  </sheetPr>
  <dimension ref="A2:BQ1003"/>
  <sheetViews>
    <sheetView topLeftCell="O1" zoomScaleNormal="100" workbookViewId="0">
      <selection activeCell="AC6" sqref="AC6"/>
    </sheetView>
  </sheetViews>
  <sheetFormatPr defaultColWidth="9.140625" defaultRowHeight="11.25" x14ac:dyDescent="0.2"/>
  <cols>
    <col min="1" max="1" width="57.42578125" style="2" bestFit="1" customWidth="1"/>
    <col min="2" max="3" width="12.7109375" style="2" customWidth="1"/>
    <col min="4" max="4" width="19.28515625" style="2" bestFit="1" customWidth="1"/>
    <col min="5" max="7" width="12.7109375" style="2" customWidth="1"/>
    <col min="8" max="8" width="16" style="2" customWidth="1"/>
    <col min="9" max="9" width="13.140625" style="2" customWidth="1"/>
    <col min="10" max="10" width="16.42578125" style="2" customWidth="1"/>
    <col min="11" max="13" width="12.7109375" style="2" customWidth="1"/>
    <col min="14" max="14" width="16" style="2" customWidth="1"/>
    <col min="15" max="15" width="13.140625" style="2" customWidth="1"/>
    <col min="16" max="16" width="16.42578125" style="2" customWidth="1"/>
    <col min="17" max="19" width="12.7109375" style="2" customWidth="1"/>
    <col min="20" max="20" width="16" style="2" customWidth="1"/>
    <col min="21" max="21" width="13.140625" style="2" customWidth="1"/>
    <col min="22" max="22" width="16.42578125" style="2" customWidth="1"/>
    <col min="23" max="25" width="12.7109375" style="2" customWidth="1"/>
    <col min="26" max="26" width="16" style="2" customWidth="1"/>
    <col min="27" max="27" width="13.140625" style="2" customWidth="1"/>
    <col min="28" max="28" width="16.42578125" style="2" customWidth="1"/>
    <col min="29" max="32" width="12.7109375" style="2" customWidth="1"/>
    <col min="33" max="33" width="2.7109375" style="2" customWidth="1"/>
    <col min="34" max="34" width="57.42578125" style="2" bestFit="1" customWidth="1"/>
    <col min="35" max="36" width="12.7109375" style="2" customWidth="1"/>
    <col min="37" max="37" width="19.28515625" style="2" bestFit="1" customWidth="1"/>
    <col min="38" max="65" width="12.7109375" style="2" customWidth="1"/>
    <col min="66" max="16384" width="9.140625" style="2"/>
  </cols>
  <sheetData>
    <row r="2" spans="1:69" ht="12.75" customHeight="1" x14ac:dyDescent="0.2">
      <c r="A2" s="529" t="s">
        <v>28</v>
      </c>
      <c r="B2" s="529"/>
      <c r="C2" s="529"/>
      <c r="D2" s="529"/>
      <c r="E2" s="531" t="s">
        <v>296</v>
      </c>
      <c r="F2" s="531"/>
      <c r="G2" s="531"/>
      <c r="H2" s="531"/>
      <c r="I2" s="231" t="s">
        <v>560</v>
      </c>
      <c r="J2" s="231">
        <f>AlphaMountAzimuth</f>
        <v>0</v>
      </c>
      <c r="K2" s="532" t="s">
        <v>298</v>
      </c>
      <c r="L2" s="532"/>
      <c r="M2" s="532"/>
      <c r="N2" s="532"/>
      <c r="O2" s="232" t="s">
        <v>560</v>
      </c>
      <c r="P2" s="232">
        <f>BetaMountAzimuth</f>
        <v>0</v>
      </c>
      <c r="Q2" s="528" t="s">
        <v>300</v>
      </c>
      <c r="R2" s="528"/>
      <c r="S2" s="528"/>
      <c r="T2" s="528"/>
      <c r="U2" s="233" t="s">
        <v>560</v>
      </c>
      <c r="V2" s="233">
        <f>GammaMountAzimuth</f>
        <v>0</v>
      </c>
      <c r="W2" s="530" t="s">
        <v>302</v>
      </c>
      <c r="X2" s="530"/>
      <c r="Y2" s="530"/>
      <c r="Z2" s="530"/>
      <c r="AA2" s="234" t="s">
        <v>560</v>
      </c>
      <c r="AB2" s="234">
        <f>DeltaMountAzimuth</f>
        <v>0</v>
      </c>
      <c r="AC2" s="529" t="s">
        <v>304</v>
      </c>
      <c r="AD2" s="529"/>
      <c r="AE2" s="529"/>
      <c r="AF2" s="529"/>
      <c r="AG2" s="235"/>
      <c r="AH2" s="529" t="s">
        <v>28</v>
      </c>
      <c r="AI2" s="529"/>
      <c r="AJ2" s="529"/>
      <c r="AK2" s="529"/>
      <c r="AL2" s="531" t="s">
        <v>296</v>
      </c>
      <c r="AM2" s="531"/>
      <c r="AN2" s="531"/>
      <c r="AO2" s="531"/>
      <c r="AP2" s="531"/>
      <c r="AQ2" s="531"/>
      <c r="AR2" s="532" t="s">
        <v>298</v>
      </c>
      <c r="AS2" s="532"/>
      <c r="AT2" s="532"/>
      <c r="AU2" s="532"/>
      <c r="AV2" s="532"/>
      <c r="AW2" s="532"/>
      <c r="AX2" s="528" t="s">
        <v>300</v>
      </c>
      <c r="AY2" s="528"/>
      <c r="AZ2" s="528"/>
      <c r="BA2" s="528"/>
      <c r="BB2" s="528"/>
      <c r="BC2" s="528"/>
      <c r="BD2" s="530" t="s">
        <v>302</v>
      </c>
      <c r="BE2" s="530"/>
      <c r="BF2" s="530"/>
      <c r="BG2" s="530"/>
      <c r="BH2" s="530"/>
      <c r="BI2" s="530"/>
      <c r="BJ2" s="529" t="s">
        <v>304</v>
      </c>
      <c r="BK2" s="529"/>
      <c r="BL2" s="529"/>
      <c r="BM2" s="529"/>
      <c r="BN2" s="2" t="s">
        <v>561</v>
      </c>
      <c r="BO2" s="2" t="s">
        <v>562</v>
      </c>
      <c r="BP2" s="2" t="s">
        <v>563</v>
      </c>
      <c r="BQ2" s="2" t="s">
        <v>564</v>
      </c>
    </row>
    <row r="3" spans="1:69" ht="22.5" x14ac:dyDescent="0.2">
      <c r="A3" s="236" t="s">
        <v>306</v>
      </c>
      <c r="B3" s="236" t="s">
        <v>120</v>
      </c>
      <c r="C3" s="236" t="s">
        <v>101</v>
      </c>
      <c r="D3" s="236" t="s">
        <v>215</v>
      </c>
      <c r="E3" s="236" t="s">
        <v>307</v>
      </c>
      <c r="F3" s="236" t="s">
        <v>311</v>
      </c>
      <c r="G3" s="236" t="s">
        <v>312</v>
      </c>
      <c r="H3" s="236" t="s">
        <v>313</v>
      </c>
      <c r="I3" s="236" t="s">
        <v>314</v>
      </c>
      <c r="J3" s="236" t="s">
        <v>315</v>
      </c>
      <c r="K3" s="236" t="s">
        <v>307</v>
      </c>
      <c r="L3" s="236" t="s">
        <v>311</v>
      </c>
      <c r="M3" s="236" t="s">
        <v>312</v>
      </c>
      <c r="N3" s="236" t="s">
        <v>313</v>
      </c>
      <c r="O3" s="236" t="s">
        <v>314</v>
      </c>
      <c r="P3" s="236" t="s">
        <v>315</v>
      </c>
      <c r="Q3" s="236" t="s">
        <v>307</v>
      </c>
      <c r="R3" s="236" t="s">
        <v>311</v>
      </c>
      <c r="S3" s="236" t="s">
        <v>312</v>
      </c>
      <c r="T3" s="236" t="s">
        <v>313</v>
      </c>
      <c r="U3" s="236" t="s">
        <v>314</v>
      </c>
      <c r="V3" s="236" t="s">
        <v>315</v>
      </c>
      <c r="W3" s="236" t="s">
        <v>307</v>
      </c>
      <c r="X3" s="236" t="s">
        <v>311</v>
      </c>
      <c r="Y3" s="236" t="s">
        <v>312</v>
      </c>
      <c r="Z3" s="236" t="s">
        <v>313</v>
      </c>
      <c r="AA3" s="236" t="s">
        <v>314</v>
      </c>
      <c r="AB3" s="236" t="s">
        <v>315</v>
      </c>
      <c r="AC3" s="236" t="s">
        <v>565</v>
      </c>
      <c r="AD3" s="236" t="s">
        <v>319</v>
      </c>
      <c r="AE3" s="236" t="s">
        <v>320</v>
      </c>
      <c r="AF3" s="236" t="s">
        <v>321</v>
      </c>
      <c r="AG3" s="237"/>
      <c r="AH3" s="236" t="s">
        <v>306</v>
      </c>
      <c r="AI3" s="236" t="s">
        <v>120</v>
      </c>
      <c r="AJ3" s="236" t="s">
        <v>101</v>
      </c>
      <c r="AK3" s="236" t="s">
        <v>215</v>
      </c>
      <c r="AL3" s="236" t="s">
        <v>307</v>
      </c>
      <c r="AM3" s="236" t="s">
        <v>311</v>
      </c>
      <c r="AN3" s="236" t="s">
        <v>312</v>
      </c>
      <c r="AO3" s="236" t="s">
        <v>313</v>
      </c>
      <c r="AP3" s="236" t="s">
        <v>314</v>
      </c>
      <c r="AQ3" s="236" t="s">
        <v>315</v>
      </c>
      <c r="AR3" s="236" t="s">
        <v>307</v>
      </c>
      <c r="AS3" s="236" t="s">
        <v>311</v>
      </c>
      <c r="AT3" s="236" t="s">
        <v>312</v>
      </c>
      <c r="AU3" s="236" t="s">
        <v>313</v>
      </c>
      <c r="AV3" s="236" t="s">
        <v>314</v>
      </c>
      <c r="AW3" s="236" t="s">
        <v>315</v>
      </c>
      <c r="AX3" s="236" t="s">
        <v>307</v>
      </c>
      <c r="AY3" s="236" t="s">
        <v>311</v>
      </c>
      <c r="AZ3" s="236" t="s">
        <v>312</v>
      </c>
      <c r="BA3" s="236" t="s">
        <v>313</v>
      </c>
      <c r="BB3" s="236" t="s">
        <v>314</v>
      </c>
      <c r="BC3" s="236" t="s">
        <v>315</v>
      </c>
      <c r="BD3" s="236" t="s">
        <v>307</v>
      </c>
      <c r="BE3" s="236" t="s">
        <v>311</v>
      </c>
      <c r="BF3" s="236" t="s">
        <v>312</v>
      </c>
      <c r="BG3" s="236" t="s">
        <v>313</v>
      </c>
      <c r="BH3" s="236" t="s">
        <v>314</v>
      </c>
      <c r="BI3" s="236" t="s">
        <v>315</v>
      </c>
      <c r="BJ3" s="236" t="s">
        <v>566</v>
      </c>
      <c r="BK3" s="236" t="s">
        <v>319</v>
      </c>
      <c r="BL3" s="236" t="s">
        <v>320</v>
      </c>
      <c r="BM3" s="236" t="s">
        <v>321</v>
      </c>
      <c r="BN3" s="236" t="s">
        <v>308</v>
      </c>
      <c r="BO3" s="236" t="s">
        <v>308</v>
      </c>
      <c r="BP3" s="236" t="s">
        <v>308</v>
      </c>
      <c r="BQ3" s="236" t="s">
        <v>308</v>
      </c>
    </row>
    <row r="4" spans="1:69" x14ac:dyDescent="0.2">
      <c r="A4" s="2" t="e" vm="5">
        <f>IF(AH4="","",_xlfn.CONCAT(AH4,"_",ROW()-3))</f>
        <v>#VALUE!</v>
      </c>
      <c r="B4" s="2" t="str">
        <f t="shared" ref="B4:B67" si="0">IF(AI4="","",AI4)</f>
        <v/>
      </c>
      <c r="C4" s="2" t="str">
        <f t="shared" ref="C4:C67" si="1">IF(AJ4="","",AJ4)</f>
        <v/>
      </c>
      <c r="D4" s="2" t="str">
        <f t="shared" ref="D4:D67" si="2">IF(AK4="","",AK4)</f>
        <v/>
      </c>
      <c r="E4" s="2">
        <f t="shared" ref="E4:E67" si="3">IF(AL4="","",AL4)</f>
        <v>0</v>
      </c>
      <c r="F4" s="2" t="str">
        <f t="shared" ref="F4:F67" si="4">IF(AM4="","",AM4)</f>
        <v/>
      </c>
      <c r="G4" s="2" t="str">
        <f t="shared" ref="G4:G67" si="5">IF(AN4="","",AN4)</f>
        <v/>
      </c>
      <c r="H4" s="2" t="str">
        <f>IF(AO4="","",IF(AQ4&lt;&gt;0,(AO4+AQ4)/2,AO4)-BN4)</f>
        <v/>
      </c>
      <c r="I4" s="2" t="str">
        <f>IF(AP4="","",AP4)</f>
        <v/>
      </c>
      <c r="J4" s="2" t="str">
        <f>IF(AQ4="","",(AO4+AQ4)/2-BN4)</f>
        <v/>
      </c>
      <c r="K4" s="2">
        <f t="shared" ref="K4:K67" si="6">IF(AR4="","",AR4)</f>
        <v>0</v>
      </c>
      <c r="L4" s="2" t="str">
        <f t="shared" ref="L4:L67" si="7">IF(AS4="","",AS4)</f>
        <v/>
      </c>
      <c r="M4" s="2" t="str">
        <f t="shared" ref="M4:M67" si="8">IF(AT4="","",AT4)</f>
        <v/>
      </c>
      <c r="N4" s="2" t="str">
        <f>IF(AU4="","",IF(AW4&lt;&gt;0,(AU4+AW4)/2,AU4)-BN5)</f>
        <v/>
      </c>
      <c r="O4" s="2" t="str">
        <f>IF(AV4="","",AV4)</f>
        <v/>
      </c>
      <c r="P4" s="2" t="str">
        <f>IF(AW4="","",(AU4+AW4)/2-BN5)</f>
        <v/>
      </c>
      <c r="Q4" s="2">
        <f t="shared" ref="Q4:Q67" si="9">IF(AX4="","",AX4)</f>
        <v>0</v>
      </c>
      <c r="R4" s="2" t="str">
        <f t="shared" ref="R4:R67" si="10">IF(AY4="","",AY4)</f>
        <v/>
      </c>
      <c r="S4" s="2" t="str">
        <f t="shared" ref="S4:S67" si="11">IF(AZ4="","",AZ4)</f>
        <v/>
      </c>
      <c r="T4" s="2" t="str">
        <f>IF(BA4="","",IF(BC4&lt;&gt;0,(BA4+BC4)/2,BA4)-BN6)</f>
        <v/>
      </c>
      <c r="U4" s="2" t="str">
        <f>IF(BB4="","",BB4)</f>
        <v/>
      </c>
      <c r="V4" s="2" t="str">
        <f>IF(BC4="","",(BA4+BC4)/2-BN6)</f>
        <v/>
      </c>
      <c r="W4" s="2">
        <f t="shared" ref="W4:W67" si="12">IF(BD4="","",BD4)</f>
        <v>0</v>
      </c>
      <c r="X4" s="2" t="str">
        <f t="shared" ref="X4:X67" si="13">IF(BE4="","",BE4)</f>
        <v/>
      </c>
      <c r="Y4" s="2" t="str">
        <f t="shared" ref="Y4:Y67" si="14">IF(BF4="","",BF4)</f>
        <v/>
      </c>
      <c r="Z4" s="2" t="str">
        <f>IF(BG4="","",IF(BI4&lt;&gt;0,(BG4+BI4)/2,BG4)-BN7)</f>
        <v/>
      </c>
      <c r="AA4" s="2" t="str">
        <f>IF(BH4="","",BH4)</f>
        <v/>
      </c>
      <c r="AB4" s="2" t="str">
        <f>IF(BI4="","",(BG4+BI4)/2-BN7)</f>
        <v/>
      </c>
      <c r="AC4" s="2" t="e" vm="5">
        <f t="shared" ref="AC4:AC67" si="15">IF(BJ4="","",BJ4)</f>
        <v>#VALUE!</v>
      </c>
      <c r="AD4" s="2" t="str">
        <f t="shared" ref="AD4:AD67" si="16">IF(BK4="","",BK4)</f>
        <v/>
      </c>
      <c r="AE4" s="2" t="str">
        <f t="shared" ref="AE4:AE67" si="17">IF(BL4="","",BL4)</f>
        <v/>
      </c>
      <c r="AF4" s="2" t="str">
        <f t="shared" ref="AF4:AF67" si="18">IF(BM4="","",BM4)</f>
        <v/>
      </c>
      <c r="AH4" s="2" t="e" cm="1" vm="6">
        <f t="array" ref="AH4">_xlfn.LET(
    _xlpm.Names,    _xlfn.VSTACK(Calculations_APPURT[Model]),
    _xlpm.Cond,     _xlfn.VSTACK(Calculations_APPURT[Condition]),
    _xlpm.TypeCol,  _xlfn.VSTACK(Calculations_APPURT[Type]),
    _xlpm.ShapeCol, _xlfn.VSTACK(Calculations_APPURT[Shape]),
    _xlpm.HorizCol, _xlfn.VSTACK(Calculations_APPURT[Horizontal Offset]),
    _xlpm.AdjType,  IF(
                 _xlpm.TypeCol="Antenna",
                 _xlpm.TypeCol,
                 _xlpm.TypeCol &amp; " " &amp; IF(_xlpm.HorizCol&lt;0,"(Back)","(Front)")),
    _xlpm.Valid,    _xlpm.Names &lt;&gt; 0,
    _xlfn._xlws.FILTER(_xlfn.HSTACK(_xlpm.Names, _xlpm.Cond, _xlpm.AdjType, _xlpm.ShapeCol),_xlpm.Valid))</f>
        <v>#VALUE!</v>
      </c>
      <c r="AL4" s="2" cm="1">
        <f t="array" ref="AL4">_xlfn.LET(
    _xlpm.Names,   _xlfn.VSTACK(Calculations_APPURT[Model]),
    _xlpm.Azimuth, _xlfn.VSTACK(AlphaSector[Azimuth (°)]),
    _xlpm.Qty,     _xlfn.VSTACK(AlphaSector[Quantity]),
    _xlpm.PosTop,  _xlfn.VSTACK(AlphaSector[Position Top]),
    _xlpm.LocTop,  _xlfn.VSTACK(AlphaSector[Location Top (in)]),
    _xlpm.PosBtm,  AlphaSector[Position Btm],
    _xlpm.LocBtm,  AlphaSector[Location Btm (in)],
    _xlpm.Valid, _xlpm.Names &lt;&gt; "",
    IFERROR(
        _xlfn._xlws.FILTER(
            _xlfn.HSTACK(_xlpm.Azimuth, _xlpm.Qty, _xlpm.PosTop, _xlpm.LocTop, _xlpm.PosBtm, IF(_xlpm.LocBtm="",0,_xlpm.LocBtm)),
            _xlpm.Valid),0))</f>
        <v>0</v>
      </c>
      <c r="AR4" s="2" cm="1">
        <f t="array" ref="AR4">_xlfn.LET(
    _xlpm.Names,   _xlfn.VSTACK(Calculations_APPURT[Model]),
    _xlpm.Azimuth, _xlfn.VSTACK(BetaSector[Azimuth (°)]),
    _xlpm.Qty,     _xlfn.VSTACK(BetaSector[Quantity]),
    _xlpm.PosTop,  _xlfn.VSTACK(BetaSector[Position Top]),
    _xlpm.LocTop,  _xlfn.VSTACK(BetaSector[Location Top (in)]),
    _xlpm.PosBtm,  BetaSector[Position Btm],
    _xlpm.LocBtm,  BetaSector[Location Btm (in)],
    _xlpm.Valid, _xlpm.Names &lt;&gt; "",
    IFERROR(
        _xlfn._xlws.FILTER(
            _xlfn.HSTACK(_xlpm.Azimuth, _xlpm.Qty, _xlpm.PosTop, _xlpm.LocTop, _xlpm.PosBtm, IF(_xlpm.LocBtm="",0,_xlpm.LocBtm)),
            _xlpm.Valid),0))</f>
        <v>0</v>
      </c>
      <c r="AX4" s="2" cm="1">
        <f t="array" ref="AX4">_xlfn.LET(
    _xlpm.Names,   _xlfn.VSTACK(Calculations_APPURT[Model]),
    _xlpm.Azimuth, _xlfn.VSTACK(GammaSector[Azimuth (°)]),
    _xlpm.Qty,     _xlfn.VSTACK(GammaSector[Quantity]),
    _xlpm.PosTop,  _xlfn.VSTACK(GammaSector[Position Top]),
    _xlpm.LocTop,  _xlfn.VSTACK(GammaSector[Location Top (in)]),
    _xlpm.PosBtm,  GammaSector[Position Btm],
    _xlpm.LocBtm,  GammaSector[Location Btm (in)],
    _xlpm.Valid, _xlpm.Names &lt;&gt; "",
    IFERROR(
        _xlfn._xlws.FILTER(
            _xlfn.HSTACK(_xlpm.Azimuth, _xlpm.Qty, _xlpm.PosTop, _xlpm.LocTop, _xlpm.PosBtm, IF(_xlpm.LocBtm="",0,_xlpm.LocBtm)),
            _xlpm.Valid),0))</f>
        <v>0</v>
      </c>
      <c r="BD4" s="2" cm="1">
        <f t="array" ref="BD4">_xlfn.LET(
    _xlpm.Names,   _xlfn.VSTACK(Calculations_APPURT[Model]),
    _xlpm.Azimuth, _xlfn.VSTACK(DeltaSector[Azimuth (°)]),
    _xlpm.Qty,     _xlfn.VSTACK(DeltaSector[Quantity]),
    _xlpm.PosTop,  _xlfn.VSTACK(DeltaSector[Position Top]),
    _xlpm.LocTop,  _xlfn.VSTACK(DeltaSector[Location Top (in)]),
    _xlpm.PosBtm,  DeltaSector[Position Btm],
    _xlpm.LocBtm,  DeltaSector[Location Btm (in)],
    _xlpm.Valid, _xlpm.Names &lt;&gt; "",
    IFERROR(
        _xlfn._xlws.FILTER(
            _xlfn.HSTACK(_xlpm.Azimuth, _xlpm.Qty, _xlpm.PosTop, _xlpm.LocTop, _xlpm.PosBtm, IF(_xlpm.LocBtm="",0,_xlpm.LocBtm)),
            _xlpm.Valid),0))</f>
        <v>0</v>
      </c>
      <c r="BJ4" s="2" t="e" cm="1" vm="6">
        <f t="array" ref="BJ4">_xlfn.LET(
    _xlpm.Names, _xlfn.VSTACK(Calculations_APPURT[Model]),
    _xlpm.h,     _xlfn.VSTACK(Dimensions_APPURT[Height (in)]),
    _xlpm.W,     _xlfn.VSTACK(Dimensions_APPURT[Width (in)]),
    _xlpm.d,     _xlfn.VSTACK(Dimensions_APPURT[Depth (in)]),
    _xlpm.Wt,    _xlfn.VSTACK(Dimensions_APPURT[Weight (lbf)]),
    _xlpm.Valid, (_xlpm.Names &lt;&gt; 0) * (_xlpm.Names &lt;&gt; ""),
    _xlfn._xlws.FILTER(
        _xlfn.HSTACK(_xlpm.h, _xlpm.W, _xlpm.d, _xlpm.Wt),
        _xlpm.Valid))</f>
        <v>#VALUE!</v>
      </c>
      <c r="BN4" s="2" t="str" cm="1">
        <f t="array" ref="BN4">_xlfn.LET(
    _xlpm.Names,   _xlfn.VSTACK(Calculations_APPURT[Model]),
    _xlpm.VertOff, _xlfn.VSTACK(Calculations_APPURT[Vertical Offset]),
    _xlpm.Valid,   (_xlpm.Names &lt;&gt; 0) * (_xlpm.Names &lt;&gt; ""),
    IFERROR(
        _xlfn._xlws.FILTER(_xlpm.VertOff, _xlpm.Valid),""))</f>
        <v/>
      </c>
      <c r="BO4" s="2" t="str" cm="1">
        <f t="array" ref="BO4">_xlfn.LET(
    _xlpm.Names,   _xlfn.VSTACK(Calculations_APPURT[Model]),
    _xlpm.VertOff, _xlfn.VSTACK(Calculations_APPURT[Vertical Offset]),
    _xlpm.Valid,   (_xlpm.Names &lt;&gt; 0) * (_xlpm.Names &lt;&gt; ""),
    IFERROR(
        _xlfn._xlws.FILTER(_xlpm.VertOff, _xlpm.Valid),""))</f>
        <v/>
      </c>
      <c r="BP4" s="2" t="str" cm="1">
        <f t="array" ref="BP4">_xlfn.LET(
    _xlpm.Names,   _xlfn.VSTACK(Calculations_APPURT[Model]),
    _xlpm.VertOff, _xlfn.VSTACK(Calculations_APPURT[Vertical Offset]),
    _xlpm.Valid,   (_xlpm.Names &lt;&gt; 0) * (_xlpm.Names &lt;&gt; ""),
    IFERROR(
        _xlfn._xlws.FILTER(_xlpm.VertOff, _xlpm.Valid),""))</f>
        <v/>
      </c>
      <c r="BQ4" s="2" t="str" cm="1">
        <f t="array" ref="BQ4">_xlfn.LET(
    _xlpm.Names,   _xlfn.VSTACK(Calculations_APPURT[Model]),
    _xlpm.VertOff, _xlfn.VSTACK(Calculations_APPURT[Vertical Offset]),
    _xlpm.Valid,   (_xlpm.Names &lt;&gt; 0) * (_xlpm.Names &lt;&gt; ""),
    IFERROR(
        _xlfn._xlws.FILTER(_xlpm.VertOff, _xlpm.Valid),""))</f>
        <v/>
      </c>
    </row>
    <row r="5" spans="1:69" x14ac:dyDescent="0.2">
      <c r="A5" s="2" t="str">
        <f t="shared" ref="A5:A68" si="19">IF(AH5="","",_xlfn.CONCAT(AH5,"_",ROW()-3))</f>
        <v/>
      </c>
      <c r="B5" s="2" t="str">
        <f t="shared" si="0"/>
        <v/>
      </c>
      <c r="C5" s="2" t="str">
        <f t="shared" si="1"/>
        <v/>
      </c>
      <c r="D5" s="2" t="str">
        <f t="shared" si="2"/>
        <v/>
      </c>
      <c r="E5" s="2" t="str">
        <f t="shared" si="3"/>
        <v/>
      </c>
      <c r="F5" s="2" t="str">
        <f t="shared" si="4"/>
        <v/>
      </c>
      <c r="G5" s="2" t="str">
        <f t="shared" si="5"/>
        <v/>
      </c>
      <c r="H5" s="2" t="str">
        <f t="shared" ref="H5:H68" si="20">IF(AO5="","",IF(AQ5&lt;&gt;0,(AO5+AQ5)/2,AO5)-BN5)</f>
        <v/>
      </c>
      <c r="I5" s="2" t="str">
        <f t="shared" ref="I5:I68" si="21">IF(AP5="","",AP5)</f>
        <v/>
      </c>
      <c r="J5" s="2" t="str">
        <f t="shared" ref="J5:J68" si="22">IF(AQ5="","",(AO5+AQ5)/2-BN5)</f>
        <v/>
      </c>
      <c r="K5" s="2" t="str">
        <f t="shared" si="6"/>
        <v/>
      </c>
      <c r="L5" s="2" t="str">
        <f t="shared" si="7"/>
        <v/>
      </c>
      <c r="M5" s="2" t="str">
        <f t="shared" si="8"/>
        <v/>
      </c>
      <c r="N5" s="2" t="str">
        <f t="shared" ref="N5:N68" si="23">IF(AU5="","",IF(AW5&lt;&gt;0,(AU5+AW5)/2,AU5)-BN6)</f>
        <v/>
      </c>
      <c r="O5" s="2" t="str">
        <f t="shared" ref="O5:O68" si="24">IF(AV5="","",AV5)</f>
        <v/>
      </c>
      <c r="P5" s="2" t="str">
        <f t="shared" ref="P5:P68" si="25">IF(AW5="","",(AU5+AW5)/2-BN6)</f>
        <v/>
      </c>
      <c r="Q5" s="2" t="str">
        <f t="shared" si="9"/>
        <v/>
      </c>
      <c r="R5" s="2" t="str">
        <f t="shared" si="10"/>
        <v/>
      </c>
      <c r="S5" s="2" t="str">
        <f t="shared" si="11"/>
        <v/>
      </c>
      <c r="T5" s="2" t="str">
        <f t="shared" ref="T5:T68" si="26">IF(BA5="","",IF(BC5&lt;&gt;0,(BA5+BC5)/2,BA5)-BN7)</f>
        <v/>
      </c>
      <c r="U5" s="2" t="str">
        <f t="shared" ref="U5:U68" si="27">IF(BB5="","",BB5)</f>
        <v/>
      </c>
      <c r="V5" s="2" t="str">
        <f t="shared" ref="V5:V68" si="28">IF(BC5="","",(BA5+BC5)/2-BN7)</f>
        <v/>
      </c>
      <c r="W5" s="2" t="str">
        <f t="shared" si="12"/>
        <v/>
      </c>
      <c r="X5" s="2" t="str">
        <f t="shared" si="13"/>
        <v/>
      </c>
      <c r="Y5" s="2" t="str">
        <f t="shared" si="14"/>
        <v/>
      </c>
      <c r="Z5" s="2" t="str">
        <f t="shared" ref="Z5:Z68" si="29">IF(BG5="","",IF(BI5&lt;&gt;0,(BG5+BI5)/2,BG5)-BN8)</f>
        <v/>
      </c>
      <c r="AA5" s="2" t="str">
        <f t="shared" ref="AA5:AA68" si="30">IF(BH5="","",BH5)</f>
        <v/>
      </c>
      <c r="AB5" s="2" t="str">
        <f t="shared" ref="AB5:AB68" si="31">IF(BI5="","",(BG5+BI5)/2-BN8)</f>
        <v/>
      </c>
      <c r="AC5" s="2" t="str">
        <f t="shared" si="15"/>
        <v/>
      </c>
      <c r="AD5" s="2" t="str">
        <f t="shared" si="16"/>
        <v/>
      </c>
      <c r="AE5" s="2" t="str">
        <f t="shared" si="17"/>
        <v/>
      </c>
      <c r="AF5" s="2" t="str">
        <f t="shared" si="18"/>
        <v/>
      </c>
    </row>
    <row r="6" spans="1:69" x14ac:dyDescent="0.2">
      <c r="A6" s="2" t="str">
        <f t="shared" si="19"/>
        <v/>
      </c>
      <c r="B6" s="2" t="str">
        <f t="shared" si="0"/>
        <v/>
      </c>
      <c r="C6" s="2" t="str">
        <f t="shared" si="1"/>
        <v/>
      </c>
      <c r="D6" s="2" t="str">
        <f t="shared" si="2"/>
        <v/>
      </c>
      <c r="E6" s="2" t="str">
        <f t="shared" si="3"/>
        <v/>
      </c>
      <c r="F6" s="2" t="str">
        <f t="shared" si="4"/>
        <v/>
      </c>
      <c r="G6" s="2" t="str">
        <f t="shared" si="5"/>
        <v/>
      </c>
      <c r="H6" s="2" t="str">
        <f t="shared" si="20"/>
        <v/>
      </c>
      <c r="I6" s="2" t="str">
        <f t="shared" si="21"/>
        <v/>
      </c>
      <c r="J6" s="2" t="str">
        <f t="shared" si="22"/>
        <v/>
      </c>
      <c r="K6" s="2" t="str">
        <f t="shared" si="6"/>
        <v/>
      </c>
      <c r="L6" s="2" t="str">
        <f t="shared" si="7"/>
        <v/>
      </c>
      <c r="M6" s="2" t="str">
        <f t="shared" si="8"/>
        <v/>
      </c>
      <c r="N6" s="2" t="str">
        <f t="shared" si="23"/>
        <v/>
      </c>
      <c r="O6" s="2" t="str">
        <f t="shared" si="24"/>
        <v/>
      </c>
      <c r="P6" s="2" t="str">
        <f t="shared" si="25"/>
        <v/>
      </c>
      <c r="Q6" s="2" t="str">
        <f t="shared" si="9"/>
        <v/>
      </c>
      <c r="R6" s="2" t="str">
        <f t="shared" si="10"/>
        <v/>
      </c>
      <c r="S6" s="2" t="str">
        <f t="shared" si="11"/>
        <v/>
      </c>
      <c r="T6" s="2" t="str">
        <f t="shared" si="26"/>
        <v/>
      </c>
      <c r="U6" s="2" t="str">
        <f t="shared" si="27"/>
        <v/>
      </c>
      <c r="V6" s="2" t="str">
        <f t="shared" si="28"/>
        <v/>
      </c>
      <c r="W6" s="2" t="str">
        <f t="shared" si="12"/>
        <v/>
      </c>
      <c r="X6" s="2" t="str">
        <f t="shared" si="13"/>
        <v/>
      </c>
      <c r="Y6" s="2" t="str">
        <f t="shared" si="14"/>
        <v/>
      </c>
      <c r="Z6" s="2" t="str">
        <f t="shared" si="29"/>
        <v/>
      </c>
      <c r="AA6" s="2" t="str">
        <f t="shared" si="30"/>
        <v/>
      </c>
      <c r="AB6" s="2" t="str">
        <f t="shared" si="31"/>
        <v/>
      </c>
      <c r="AC6" s="2" t="str">
        <f t="shared" si="15"/>
        <v/>
      </c>
      <c r="AD6" s="2" t="str">
        <f t="shared" si="16"/>
        <v/>
      </c>
      <c r="AE6" s="2" t="str">
        <f t="shared" si="17"/>
        <v/>
      </c>
      <c r="AF6" s="2" t="str">
        <f t="shared" si="18"/>
        <v/>
      </c>
    </row>
    <row r="7" spans="1:69" x14ac:dyDescent="0.2">
      <c r="A7" s="2" t="str">
        <f t="shared" si="19"/>
        <v/>
      </c>
      <c r="B7" s="2" t="str">
        <f t="shared" si="0"/>
        <v/>
      </c>
      <c r="C7" s="2" t="str">
        <f t="shared" si="1"/>
        <v/>
      </c>
      <c r="D7" s="2" t="str">
        <f t="shared" si="2"/>
        <v/>
      </c>
      <c r="E7" s="2" t="str">
        <f t="shared" si="3"/>
        <v/>
      </c>
      <c r="F7" s="2" t="str">
        <f t="shared" si="4"/>
        <v/>
      </c>
      <c r="G7" s="2" t="str">
        <f t="shared" si="5"/>
        <v/>
      </c>
      <c r="H7" s="2" t="str">
        <f>IF(AO7="","",IF(AQ7&lt;&gt;0,(AO7+AQ7)/2,AO7)-BN7)</f>
        <v/>
      </c>
      <c r="I7" s="2" t="str">
        <f t="shared" si="21"/>
        <v/>
      </c>
      <c r="J7" s="2" t="str">
        <f t="shared" si="22"/>
        <v/>
      </c>
      <c r="K7" s="2" t="str">
        <f t="shared" si="6"/>
        <v/>
      </c>
      <c r="L7" s="2" t="str">
        <f t="shared" si="7"/>
        <v/>
      </c>
      <c r="M7" s="2" t="str">
        <f t="shared" si="8"/>
        <v/>
      </c>
      <c r="N7" s="2" t="str">
        <f t="shared" si="23"/>
        <v/>
      </c>
      <c r="O7" s="2" t="str">
        <f t="shared" si="24"/>
        <v/>
      </c>
      <c r="P7" s="2" t="str">
        <f t="shared" si="25"/>
        <v/>
      </c>
      <c r="Q7" s="2" t="str">
        <f t="shared" si="9"/>
        <v/>
      </c>
      <c r="R7" s="2" t="str">
        <f t="shared" si="10"/>
        <v/>
      </c>
      <c r="S7" s="2" t="str">
        <f t="shared" si="11"/>
        <v/>
      </c>
      <c r="T7" s="2" t="str">
        <f t="shared" si="26"/>
        <v/>
      </c>
      <c r="U7" s="2" t="str">
        <f t="shared" si="27"/>
        <v/>
      </c>
      <c r="V7" s="2" t="str">
        <f t="shared" si="28"/>
        <v/>
      </c>
      <c r="W7" s="2" t="str">
        <f t="shared" si="12"/>
        <v/>
      </c>
      <c r="X7" s="2" t="str">
        <f t="shared" si="13"/>
        <v/>
      </c>
      <c r="Y7" s="2" t="str">
        <f t="shared" si="14"/>
        <v/>
      </c>
      <c r="Z7" s="2" t="str">
        <f t="shared" si="29"/>
        <v/>
      </c>
      <c r="AA7" s="2" t="str">
        <f t="shared" si="30"/>
        <v/>
      </c>
      <c r="AB7" s="2" t="str">
        <f t="shared" si="31"/>
        <v/>
      </c>
      <c r="AC7" s="2" t="str">
        <f t="shared" si="15"/>
        <v/>
      </c>
      <c r="AD7" s="2" t="str">
        <f t="shared" si="16"/>
        <v/>
      </c>
      <c r="AE7" s="2" t="str">
        <f t="shared" si="17"/>
        <v/>
      </c>
      <c r="AF7" s="2" t="str">
        <f t="shared" si="18"/>
        <v/>
      </c>
    </row>
    <row r="8" spans="1:69" x14ac:dyDescent="0.2">
      <c r="A8" s="2" t="str">
        <f t="shared" si="19"/>
        <v/>
      </c>
      <c r="B8" s="2" t="str">
        <f t="shared" si="0"/>
        <v/>
      </c>
      <c r="C8" s="2" t="str">
        <f t="shared" si="1"/>
        <v/>
      </c>
      <c r="D8" s="2" t="str">
        <f t="shared" si="2"/>
        <v/>
      </c>
      <c r="E8" s="2" t="str">
        <f t="shared" si="3"/>
        <v/>
      </c>
      <c r="F8" s="2" t="str">
        <f t="shared" si="4"/>
        <v/>
      </c>
      <c r="G8" s="2" t="str">
        <f t="shared" si="5"/>
        <v/>
      </c>
      <c r="H8" s="2" t="str">
        <f t="shared" si="20"/>
        <v/>
      </c>
      <c r="I8" s="2" t="str">
        <f t="shared" si="21"/>
        <v/>
      </c>
      <c r="J8" s="2" t="str">
        <f t="shared" si="22"/>
        <v/>
      </c>
      <c r="K8" s="2" t="str">
        <f t="shared" si="6"/>
        <v/>
      </c>
      <c r="L8" s="2" t="str">
        <f t="shared" si="7"/>
        <v/>
      </c>
      <c r="M8" s="2" t="str">
        <f t="shared" si="8"/>
        <v/>
      </c>
      <c r="N8" s="2" t="str">
        <f t="shared" si="23"/>
        <v/>
      </c>
      <c r="O8" s="2" t="str">
        <f t="shared" si="24"/>
        <v/>
      </c>
      <c r="P8" s="2" t="str">
        <f t="shared" si="25"/>
        <v/>
      </c>
      <c r="Q8" s="2" t="str">
        <f t="shared" si="9"/>
        <v/>
      </c>
      <c r="R8" s="2" t="str">
        <f t="shared" si="10"/>
        <v/>
      </c>
      <c r="S8" s="2" t="str">
        <f t="shared" si="11"/>
        <v/>
      </c>
      <c r="T8" s="2" t="str">
        <f t="shared" si="26"/>
        <v/>
      </c>
      <c r="U8" s="2" t="str">
        <f t="shared" si="27"/>
        <v/>
      </c>
      <c r="V8" s="2" t="str">
        <f t="shared" si="28"/>
        <v/>
      </c>
      <c r="W8" s="2" t="str">
        <f t="shared" si="12"/>
        <v/>
      </c>
      <c r="X8" s="2" t="str">
        <f t="shared" si="13"/>
        <v/>
      </c>
      <c r="Y8" s="2" t="str">
        <f t="shared" si="14"/>
        <v/>
      </c>
      <c r="Z8" s="2" t="str">
        <f t="shared" si="29"/>
        <v/>
      </c>
      <c r="AA8" s="2" t="str">
        <f t="shared" si="30"/>
        <v/>
      </c>
      <c r="AB8" s="2" t="str">
        <f t="shared" si="31"/>
        <v/>
      </c>
      <c r="AC8" s="2" t="str">
        <f t="shared" si="15"/>
        <v/>
      </c>
      <c r="AD8" s="2" t="str">
        <f t="shared" si="16"/>
        <v/>
      </c>
      <c r="AE8" s="2" t="str">
        <f t="shared" si="17"/>
        <v/>
      </c>
      <c r="AF8" s="2" t="str">
        <f t="shared" si="18"/>
        <v/>
      </c>
    </row>
    <row r="9" spans="1:69" x14ac:dyDescent="0.2">
      <c r="A9" s="2" t="str">
        <f t="shared" si="19"/>
        <v/>
      </c>
      <c r="B9" s="2" t="str">
        <f t="shared" si="0"/>
        <v/>
      </c>
      <c r="C9" s="2" t="str">
        <f t="shared" si="1"/>
        <v/>
      </c>
      <c r="D9" s="2" t="str">
        <f t="shared" si="2"/>
        <v/>
      </c>
      <c r="E9" s="2" t="str">
        <f t="shared" si="3"/>
        <v/>
      </c>
      <c r="F9" s="2" t="str">
        <f t="shared" si="4"/>
        <v/>
      </c>
      <c r="G9" s="2" t="str">
        <f t="shared" si="5"/>
        <v/>
      </c>
      <c r="H9" s="2" t="str">
        <f t="shared" si="20"/>
        <v/>
      </c>
      <c r="I9" s="2" t="str">
        <f t="shared" si="21"/>
        <v/>
      </c>
      <c r="J9" s="2" t="str">
        <f t="shared" si="22"/>
        <v/>
      </c>
      <c r="K9" s="2" t="str">
        <f t="shared" si="6"/>
        <v/>
      </c>
      <c r="L9" s="2" t="str">
        <f t="shared" si="7"/>
        <v/>
      </c>
      <c r="M9" s="2" t="str">
        <f t="shared" si="8"/>
        <v/>
      </c>
      <c r="N9" s="2" t="str">
        <f t="shared" si="23"/>
        <v/>
      </c>
      <c r="O9" s="2" t="str">
        <f t="shared" si="24"/>
        <v/>
      </c>
      <c r="P9" s="2" t="str">
        <f t="shared" si="25"/>
        <v/>
      </c>
      <c r="Q9" s="2" t="str">
        <f t="shared" si="9"/>
        <v/>
      </c>
      <c r="R9" s="2" t="str">
        <f t="shared" si="10"/>
        <v/>
      </c>
      <c r="S9" s="2" t="str">
        <f t="shared" si="11"/>
        <v/>
      </c>
      <c r="T9" s="2" t="str">
        <f t="shared" si="26"/>
        <v/>
      </c>
      <c r="U9" s="2" t="str">
        <f t="shared" si="27"/>
        <v/>
      </c>
      <c r="V9" s="2" t="str">
        <f t="shared" si="28"/>
        <v/>
      </c>
      <c r="W9" s="2" t="str">
        <f t="shared" si="12"/>
        <v/>
      </c>
      <c r="X9" s="2" t="str">
        <f t="shared" si="13"/>
        <v/>
      </c>
      <c r="Y9" s="2" t="str">
        <f t="shared" si="14"/>
        <v/>
      </c>
      <c r="Z9" s="2" t="str">
        <f t="shared" si="29"/>
        <v/>
      </c>
      <c r="AA9" s="2" t="str">
        <f t="shared" si="30"/>
        <v/>
      </c>
      <c r="AB9" s="2" t="str">
        <f t="shared" si="31"/>
        <v/>
      </c>
      <c r="AC9" s="2" t="str">
        <f t="shared" si="15"/>
        <v/>
      </c>
      <c r="AD9" s="2" t="str">
        <f t="shared" si="16"/>
        <v/>
      </c>
      <c r="AE9" s="2" t="str">
        <f t="shared" si="17"/>
        <v/>
      </c>
      <c r="AF9" s="2" t="str">
        <f t="shared" si="18"/>
        <v/>
      </c>
    </row>
    <row r="10" spans="1:69" x14ac:dyDescent="0.2">
      <c r="A10" s="2" t="str">
        <f t="shared" si="19"/>
        <v/>
      </c>
      <c r="B10" s="2" t="str">
        <f t="shared" si="0"/>
        <v/>
      </c>
      <c r="C10" s="2" t="str">
        <f t="shared" si="1"/>
        <v/>
      </c>
      <c r="D10" s="2" t="str">
        <f t="shared" si="2"/>
        <v/>
      </c>
      <c r="E10" s="2" t="str">
        <f t="shared" si="3"/>
        <v/>
      </c>
      <c r="F10" s="2" t="str">
        <f t="shared" si="4"/>
        <v/>
      </c>
      <c r="G10" s="2" t="str">
        <f t="shared" si="5"/>
        <v/>
      </c>
      <c r="H10" s="2" t="str">
        <f t="shared" si="20"/>
        <v/>
      </c>
      <c r="I10" s="2" t="str">
        <f t="shared" si="21"/>
        <v/>
      </c>
      <c r="J10" s="2" t="str">
        <f t="shared" si="22"/>
        <v/>
      </c>
      <c r="K10" s="2" t="str">
        <f t="shared" si="6"/>
        <v/>
      </c>
      <c r="L10" s="2" t="str">
        <f t="shared" si="7"/>
        <v/>
      </c>
      <c r="M10" s="2" t="str">
        <f t="shared" si="8"/>
        <v/>
      </c>
      <c r="N10" s="2" t="str">
        <f t="shared" si="23"/>
        <v/>
      </c>
      <c r="O10" s="2" t="str">
        <f t="shared" si="24"/>
        <v/>
      </c>
      <c r="P10" s="2" t="str">
        <f t="shared" si="25"/>
        <v/>
      </c>
      <c r="Q10" s="2" t="str">
        <f t="shared" si="9"/>
        <v/>
      </c>
      <c r="R10" s="2" t="str">
        <f t="shared" si="10"/>
        <v/>
      </c>
      <c r="S10" s="2" t="str">
        <f t="shared" si="11"/>
        <v/>
      </c>
      <c r="T10" s="2" t="str">
        <f t="shared" si="26"/>
        <v/>
      </c>
      <c r="U10" s="2" t="str">
        <f t="shared" si="27"/>
        <v/>
      </c>
      <c r="V10" s="2" t="str">
        <f t="shared" si="28"/>
        <v/>
      </c>
      <c r="W10" s="2" t="str">
        <f t="shared" si="12"/>
        <v/>
      </c>
      <c r="X10" s="2" t="str">
        <f t="shared" si="13"/>
        <v/>
      </c>
      <c r="Y10" s="2" t="str">
        <f t="shared" si="14"/>
        <v/>
      </c>
      <c r="Z10" s="2" t="str">
        <f t="shared" si="29"/>
        <v/>
      </c>
      <c r="AA10" s="2" t="str">
        <f t="shared" si="30"/>
        <v/>
      </c>
      <c r="AB10" s="2" t="str">
        <f t="shared" si="31"/>
        <v/>
      </c>
      <c r="AC10" s="2" t="str">
        <f t="shared" si="15"/>
        <v/>
      </c>
      <c r="AD10" s="2" t="str">
        <f t="shared" si="16"/>
        <v/>
      </c>
      <c r="AE10" s="2" t="str">
        <f t="shared" si="17"/>
        <v/>
      </c>
      <c r="AF10" s="2" t="str">
        <f t="shared" si="18"/>
        <v/>
      </c>
    </row>
    <row r="11" spans="1:69" x14ac:dyDescent="0.2">
      <c r="A11" s="2" t="str">
        <f t="shared" si="19"/>
        <v/>
      </c>
      <c r="B11" s="2" t="str">
        <f t="shared" si="0"/>
        <v/>
      </c>
      <c r="C11" s="2" t="str">
        <f t="shared" si="1"/>
        <v/>
      </c>
      <c r="D11" s="2" t="str">
        <f t="shared" si="2"/>
        <v/>
      </c>
      <c r="E11" s="2" t="str">
        <f t="shared" si="3"/>
        <v/>
      </c>
      <c r="F11" s="2" t="str">
        <f t="shared" si="4"/>
        <v/>
      </c>
      <c r="G11" s="2" t="str">
        <f t="shared" si="5"/>
        <v/>
      </c>
      <c r="H11" s="2" t="str">
        <f t="shared" si="20"/>
        <v/>
      </c>
      <c r="I11" s="2" t="str">
        <f t="shared" si="21"/>
        <v/>
      </c>
      <c r="J11" s="2" t="str">
        <f t="shared" si="22"/>
        <v/>
      </c>
      <c r="K11" s="2" t="str">
        <f t="shared" si="6"/>
        <v/>
      </c>
      <c r="L11" s="2" t="str">
        <f t="shared" si="7"/>
        <v/>
      </c>
      <c r="M11" s="2" t="str">
        <f t="shared" si="8"/>
        <v/>
      </c>
      <c r="N11" s="2" t="str">
        <f t="shared" si="23"/>
        <v/>
      </c>
      <c r="O11" s="2" t="str">
        <f t="shared" si="24"/>
        <v/>
      </c>
      <c r="P11" s="2" t="str">
        <f t="shared" si="25"/>
        <v/>
      </c>
      <c r="Q11" s="2" t="str">
        <f t="shared" si="9"/>
        <v/>
      </c>
      <c r="R11" s="2" t="str">
        <f t="shared" si="10"/>
        <v/>
      </c>
      <c r="S11" s="2" t="str">
        <f t="shared" si="11"/>
        <v/>
      </c>
      <c r="T11" s="2" t="str">
        <f t="shared" si="26"/>
        <v/>
      </c>
      <c r="U11" s="2" t="str">
        <f t="shared" si="27"/>
        <v/>
      </c>
      <c r="V11" s="2" t="str">
        <f t="shared" si="28"/>
        <v/>
      </c>
      <c r="W11" s="2" t="str">
        <f t="shared" si="12"/>
        <v/>
      </c>
      <c r="X11" s="2" t="str">
        <f t="shared" si="13"/>
        <v/>
      </c>
      <c r="Y11" s="2" t="str">
        <f t="shared" si="14"/>
        <v/>
      </c>
      <c r="Z11" s="2" t="str">
        <f t="shared" si="29"/>
        <v/>
      </c>
      <c r="AA11" s="2" t="str">
        <f t="shared" si="30"/>
        <v/>
      </c>
      <c r="AB11" s="2" t="str">
        <f t="shared" si="31"/>
        <v/>
      </c>
      <c r="AC11" s="2" t="str">
        <f t="shared" si="15"/>
        <v/>
      </c>
      <c r="AD11" s="2" t="str">
        <f t="shared" si="16"/>
        <v/>
      </c>
      <c r="AE11" s="2" t="str">
        <f t="shared" si="17"/>
        <v/>
      </c>
      <c r="AF11" s="2" t="str">
        <f t="shared" si="18"/>
        <v/>
      </c>
    </row>
    <row r="12" spans="1:69" x14ac:dyDescent="0.2">
      <c r="A12" s="2" t="str">
        <f t="shared" si="19"/>
        <v/>
      </c>
      <c r="B12" s="2" t="str">
        <f t="shared" si="0"/>
        <v/>
      </c>
      <c r="C12" s="2" t="str">
        <f t="shared" si="1"/>
        <v/>
      </c>
      <c r="D12" s="2" t="str">
        <f t="shared" si="2"/>
        <v/>
      </c>
      <c r="E12" s="2" t="str">
        <f t="shared" si="3"/>
        <v/>
      </c>
      <c r="F12" s="2" t="str">
        <f t="shared" si="4"/>
        <v/>
      </c>
      <c r="G12" s="2" t="str">
        <f t="shared" si="5"/>
        <v/>
      </c>
      <c r="H12" s="2" t="str">
        <f t="shared" si="20"/>
        <v/>
      </c>
      <c r="I12" s="2" t="str">
        <f t="shared" si="21"/>
        <v/>
      </c>
      <c r="J12" s="2" t="str">
        <f t="shared" si="22"/>
        <v/>
      </c>
      <c r="K12" s="2" t="str">
        <f t="shared" si="6"/>
        <v/>
      </c>
      <c r="L12" s="2" t="str">
        <f t="shared" si="7"/>
        <v/>
      </c>
      <c r="M12" s="2" t="str">
        <f t="shared" si="8"/>
        <v/>
      </c>
      <c r="N12" s="2" t="str">
        <f t="shared" si="23"/>
        <v/>
      </c>
      <c r="O12" s="2" t="str">
        <f t="shared" si="24"/>
        <v/>
      </c>
      <c r="P12" s="2" t="str">
        <f t="shared" si="25"/>
        <v/>
      </c>
      <c r="Q12" s="2" t="str">
        <f t="shared" si="9"/>
        <v/>
      </c>
      <c r="R12" s="2" t="str">
        <f t="shared" si="10"/>
        <v/>
      </c>
      <c r="S12" s="2" t="str">
        <f t="shared" si="11"/>
        <v/>
      </c>
      <c r="T12" s="2" t="str">
        <f t="shared" si="26"/>
        <v/>
      </c>
      <c r="U12" s="2" t="str">
        <f t="shared" si="27"/>
        <v/>
      </c>
      <c r="V12" s="2" t="str">
        <f t="shared" si="28"/>
        <v/>
      </c>
      <c r="W12" s="2" t="str">
        <f t="shared" si="12"/>
        <v/>
      </c>
      <c r="X12" s="2" t="str">
        <f t="shared" si="13"/>
        <v/>
      </c>
      <c r="Y12" s="2" t="str">
        <f t="shared" si="14"/>
        <v/>
      </c>
      <c r="Z12" s="2" t="str">
        <f t="shared" si="29"/>
        <v/>
      </c>
      <c r="AA12" s="2" t="str">
        <f t="shared" si="30"/>
        <v/>
      </c>
      <c r="AB12" s="2" t="str">
        <f t="shared" si="31"/>
        <v/>
      </c>
      <c r="AC12" s="2" t="str">
        <f t="shared" si="15"/>
        <v/>
      </c>
      <c r="AD12" s="2" t="str">
        <f t="shared" si="16"/>
        <v/>
      </c>
      <c r="AE12" s="2" t="str">
        <f t="shared" si="17"/>
        <v/>
      </c>
      <c r="AF12" s="2" t="str">
        <f t="shared" si="18"/>
        <v/>
      </c>
    </row>
    <row r="13" spans="1:69" x14ac:dyDescent="0.2">
      <c r="A13" s="2" t="str">
        <f t="shared" si="19"/>
        <v/>
      </c>
      <c r="B13" s="2" t="str">
        <f t="shared" si="0"/>
        <v/>
      </c>
      <c r="C13" s="2" t="str">
        <f t="shared" si="1"/>
        <v/>
      </c>
      <c r="D13" s="2" t="str">
        <f t="shared" si="2"/>
        <v/>
      </c>
      <c r="E13" s="2" t="str">
        <f t="shared" si="3"/>
        <v/>
      </c>
      <c r="F13" s="2" t="str">
        <f t="shared" si="4"/>
        <v/>
      </c>
      <c r="G13" s="2" t="str">
        <f t="shared" si="5"/>
        <v/>
      </c>
      <c r="H13" s="2" t="str">
        <f t="shared" si="20"/>
        <v/>
      </c>
      <c r="I13" s="2" t="str">
        <f t="shared" si="21"/>
        <v/>
      </c>
      <c r="J13" s="2" t="str">
        <f t="shared" si="22"/>
        <v/>
      </c>
      <c r="K13" s="2" t="str">
        <f t="shared" si="6"/>
        <v/>
      </c>
      <c r="L13" s="2" t="str">
        <f t="shared" si="7"/>
        <v/>
      </c>
      <c r="M13" s="2" t="str">
        <f t="shared" si="8"/>
        <v/>
      </c>
      <c r="N13" s="2" t="str">
        <f t="shared" si="23"/>
        <v/>
      </c>
      <c r="O13" s="2" t="str">
        <f t="shared" si="24"/>
        <v/>
      </c>
      <c r="P13" s="2" t="str">
        <f t="shared" si="25"/>
        <v/>
      </c>
      <c r="Q13" s="2" t="str">
        <f t="shared" si="9"/>
        <v/>
      </c>
      <c r="R13" s="2" t="str">
        <f t="shared" si="10"/>
        <v/>
      </c>
      <c r="S13" s="2" t="str">
        <f t="shared" si="11"/>
        <v/>
      </c>
      <c r="T13" s="2" t="str">
        <f t="shared" si="26"/>
        <v/>
      </c>
      <c r="U13" s="2" t="str">
        <f t="shared" si="27"/>
        <v/>
      </c>
      <c r="V13" s="2" t="str">
        <f t="shared" si="28"/>
        <v/>
      </c>
      <c r="W13" s="2" t="str">
        <f t="shared" si="12"/>
        <v/>
      </c>
      <c r="X13" s="2" t="str">
        <f t="shared" si="13"/>
        <v/>
      </c>
      <c r="Y13" s="2" t="str">
        <f t="shared" si="14"/>
        <v/>
      </c>
      <c r="Z13" s="2" t="str">
        <f t="shared" si="29"/>
        <v/>
      </c>
      <c r="AA13" s="2" t="str">
        <f t="shared" si="30"/>
        <v/>
      </c>
      <c r="AB13" s="2" t="str">
        <f t="shared" si="31"/>
        <v/>
      </c>
      <c r="AC13" s="2" t="str">
        <f t="shared" si="15"/>
        <v/>
      </c>
      <c r="AD13" s="2" t="str">
        <f t="shared" si="16"/>
        <v/>
      </c>
      <c r="AE13" s="2" t="str">
        <f t="shared" si="17"/>
        <v/>
      </c>
      <c r="AF13" s="2" t="str">
        <f t="shared" si="18"/>
        <v/>
      </c>
    </row>
    <row r="14" spans="1:69" x14ac:dyDescent="0.2">
      <c r="A14" s="2" t="str">
        <f t="shared" si="19"/>
        <v/>
      </c>
      <c r="B14" s="2" t="str">
        <f t="shared" si="0"/>
        <v/>
      </c>
      <c r="C14" s="2" t="str">
        <f t="shared" si="1"/>
        <v/>
      </c>
      <c r="D14" s="2" t="str">
        <f t="shared" si="2"/>
        <v/>
      </c>
      <c r="E14" s="2" t="str">
        <f t="shared" si="3"/>
        <v/>
      </c>
      <c r="F14" s="2" t="str">
        <f t="shared" si="4"/>
        <v/>
      </c>
      <c r="G14" s="2" t="str">
        <f t="shared" si="5"/>
        <v/>
      </c>
      <c r="H14" s="2" t="str">
        <f t="shared" si="20"/>
        <v/>
      </c>
      <c r="I14" s="2" t="str">
        <f t="shared" si="21"/>
        <v/>
      </c>
      <c r="J14" s="2" t="str">
        <f t="shared" si="22"/>
        <v/>
      </c>
      <c r="K14" s="2" t="str">
        <f t="shared" si="6"/>
        <v/>
      </c>
      <c r="L14" s="2" t="str">
        <f t="shared" si="7"/>
        <v/>
      </c>
      <c r="M14" s="2" t="str">
        <f t="shared" si="8"/>
        <v/>
      </c>
      <c r="N14" s="2" t="str">
        <f t="shared" si="23"/>
        <v/>
      </c>
      <c r="O14" s="2" t="str">
        <f t="shared" si="24"/>
        <v/>
      </c>
      <c r="P14" s="2" t="str">
        <f t="shared" si="25"/>
        <v/>
      </c>
      <c r="Q14" s="2" t="str">
        <f t="shared" si="9"/>
        <v/>
      </c>
      <c r="R14" s="2" t="str">
        <f t="shared" si="10"/>
        <v/>
      </c>
      <c r="S14" s="2" t="str">
        <f t="shared" si="11"/>
        <v/>
      </c>
      <c r="T14" s="2" t="str">
        <f t="shared" si="26"/>
        <v/>
      </c>
      <c r="U14" s="2" t="str">
        <f t="shared" si="27"/>
        <v/>
      </c>
      <c r="V14" s="2" t="str">
        <f t="shared" si="28"/>
        <v/>
      </c>
      <c r="W14" s="2" t="str">
        <f t="shared" si="12"/>
        <v/>
      </c>
      <c r="X14" s="2" t="str">
        <f t="shared" si="13"/>
        <v/>
      </c>
      <c r="Y14" s="2" t="str">
        <f t="shared" si="14"/>
        <v/>
      </c>
      <c r="Z14" s="2" t="str">
        <f t="shared" si="29"/>
        <v/>
      </c>
      <c r="AA14" s="2" t="str">
        <f t="shared" si="30"/>
        <v/>
      </c>
      <c r="AB14" s="2" t="str">
        <f t="shared" si="31"/>
        <v/>
      </c>
      <c r="AC14" s="2" t="str">
        <f t="shared" si="15"/>
        <v/>
      </c>
      <c r="AD14" s="2" t="str">
        <f t="shared" si="16"/>
        <v/>
      </c>
      <c r="AE14" s="2" t="str">
        <f t="shared" si="17"/>
        <v/>
      </c>
      <c r="AF14" s="2" t="str">
        <f t="shared" si="18"/>
        <v/>
      </c>
    </row>
    <row r="15" spans="1:69" x14ac:dyDescent="0.2">
      <c r="A15" s="2" t="str">
        <f t="shared" si="19"/>
        <v/>
      </c>
      <c r="B15" s="2" t="str">
        <f t="shared" si="0"/>
        <v/>
      </c>
      <c r="C15" s="2" t="str">
        <f t="shared" si="1"/>
        <v/>
      </c>
      <c r="D15" s="2" t="str">
        <f t="shared" si="2"/>
        <v/>
      </c>
      <c r="E15" s="2" t="str">
        <f t="shared" si="3"/>
        <v/>
      </c>
      <c r="F15" s="2" t="str">
        <f t="shared" si="4"/>
        <v/>
      </c>
      <c r="G15" s="2" t="str">
        <f t="shared" si="5"/>
        <v/>
      </c>
      <c r="H15" s="2" t="str">
        <f t="shared" si="20"/>
        <v/>
      </c>
      <c r="I15" s="2" t="str">
        <f t="shared" si="21"/>
        <v/>
      </c>
      <c r="J15" s="2" t="str">
        <f t="shared" si="22"/>
        <v/>
      </c>
      <c r="K15" s="2" t="str">
        <f t="shared" si="6"/>
        <v/>
      </c>
      <c r="L15" s="2" t="str">
        <f t="shared" si="7"/>
        <v/>
      </c>
      <c r="M15" s="2" t="str">
        <f t="shared" si="8"/>
        <v/>
      </c>
      <c r="N15" s="2" t="str">
        <f t="shared" si="23"/>
        <v/>
      </c>
      <c r="O15" s="2" t="str">
        <f t="shared" si="24"/>
        <v/>
      </c>
      <c r="P15" s="2" t="str">
        <f t="shared" si="25"/>
        <v/>
      </c>
      <c r="Q15" s="2" t="str">
        <f t="shared" si="9"/>
        <v/>
      </c>
      <c r="R15" s="2" t="str">
        <f t="shared" si="10"/>
        <v/>
      </c>
      <c r="S15" s="2" t="str">
        <f t="shared" si="11"/>
        <v/>
      </c>
      <c r="T15" s="2" t="str">
        <f t="shared" si="26"/>
        <v/>
      </c>
      <c r="U15" s="2" t="str">
        <f t="shared" si="27"/>
        <v/>
      </c>
      <c r="V15" s="2" t="str">
        <f t="shared" si="28"/>
        <v/>
      </c>
      <c r="W15" s="2" t="str">
        <f t="shared" si="12"/>
        <v/>
      </c>
      <c r="X15" s="2" t="str">
        <f t="shared" si="13"/>
        <v/>
      </c>
      <c r="Y15" s="2" t="str">
        <f t="shared" si="14"/>
        <v/>
      </c>
      <c r="Z15" s="2" t="str">
        <f t="shared" si="29"/>
        <v/>
      </c>
      <c r="AA15" s="2" t="str">
        <f t="shared" si="30"/>
        <v/>
      </c>
      <c r="AB15" s="2" t="str">
        <f t="shared" si="31"/>
        <v/>
      </c>
      <c r="AC15" s="2" t="str">
        <f t="shared" si="15"/>
        <v/>
      </c>
      <c r="AD15" s="2" t="str">
        <f t="shared" si="16"/>
        <v/>
      </c>
      <c r="AE15" s="2" t="str">
        <f t="shared" si="17"/>
        <v/>
      </c>
      <c r="AF15" s="2" t="str">
        <f t="shared" si="18"/>
        <v/>
      </c>
    </row>
    <row r="16" spans="1:69" x14ac:dyDescent="0.2">
      <c r="A16" s="2" t="str">
        <f t="shared" si="19"/>
        <v/>
      </c>
      <c r="B16" s="2" t="str">
        <f t="shared" si="0"/>
        <v/>
      </c>
      <c r="C16" s="2" t="str">
        <f t="shared" si="1"/>
        <v/>
      </c>
      <c r="D16" s="2" t="str">
        <f t="shared" si="2"/>
        <v/>
      </c>
      <c r="E16" s="2" t="str">
        <f t="shared" si="3"/>
        <v/>
      </c>
      <c r="F16" s="2" t="str">
        <f t="shared" si="4"/>
        <v/>
      </c>
      <c r="G16" s="2" t="str">
        <f t="shared" si="5"/>
        <v/>
      </c>
      <c r="H16" s="2" t="str">
        <f t="shared" si="20"/>
        <v/>
      </c>
      <c r="I16" s="2" t="str">
        <f t="shared" si="21"/>
        <v/>
      </c>
      <c r="J16" s="2" t="str">
        <f t="shared" si="22"/>
        <v/>
      </c>
      <c r="K16" s="2" t="str">
        <f t="shared" si="6"/>
        <v/>
      </c>
      <c r="L16" s="2" t="str">
        <f t="shared" si="7"/>
        <v/>
      </c>
      <c r="M16" s="2" t="str">
        <f t="shared" si="8"/>
        <v/>
      </c>
      <c r="N16" s="2" t="str">
        <f t="shared" si="23"/>
        <v/>
      </c>
      <c r="O16" s="2" t="str">
        <f t="shared" si="24"/>
        <v/>
      </c>
      <c r="P16" s="2" t="str">
        <f t="shared" si="25"/>
        <v/>
      </c>
      <c r="Q16" s="2" t="str">
        <f t="shared" si="9"/>
        <v/>
      </c>
      <c r="R16" s="2" t="str">
        <f t="shared" si="10"/>
        <v/>
      </c>
      <c r="S16" s="2" t="str">
        <f t="shared" si="11"/>
        <v/>
      </c>
      <c r="T16" s="2" t="str">
        <f t="shared" si="26"/>
        <v/>
      </c>
      <c r="U16" s="2" t="str">
        <f t="shared" si="27"/>
        <v/>
      </c>
      <c r="V16" s="2" t="str">
        <f t="shared" si="28"/>
        <v/>
      </c>
      <c r="W16" s="2" t="str">
        <f t="shared" si="12"/>
        <v/>
      </c>
      <c r="X16" s="2" t="str">
        <f t="shared" si="13"/>
        <v/>
      </c>
      <c r="Y16" s="2" t="str">
        <f t="shared" si="14"/>
        <v/>
      </c>
      <c r="Z16" s="2" t="str">
        <f t="shared" si="29"/>
        <v/>
      </c>
      <c r="AA16" s="2" t="str">
        <f t="shared" si="30"/>
        <v/>
      </c>
      <c r="AB16" s="2" t="str">
        <f t="shared" si="31"/>
        <v/>
      </c>
      <c r="AC16" s="2" t="str">
        <f t="shared" si="15"/>
        <v/>
      </c>
      <c r="AD16" s="2" t="str">
        <f t="shared" si="16"/>
        <v/>
      </c>
      <c r="AE16" s="2" t="str">
        <f t="shared" si="17"/>
        <v/>
      </c>
      <c r="AF16" s="2" t="str">
        <f t="shared" si="18"/>
        <v/>
      </c>
    </row>
    <row r="17" spans="1:32" x14ac:dyDescent="0.2">
      <c r="A17" s="2" t="str">
        <f t="shared" si="19"/>
        <v/>
      </c>
      <c r="B17" s="2" t="str">
        <f t="shared" si="0"/>
        <v/>
      </c>
      <c r="C17" s="2" t="str">
        <f t="shared" si="1"/>
        <v/>
      </c>
      <c r="D17" s="2" t="str">
        <f t="shared" si="2"/>
        <v/>
      </c>
      <c r="E17" s="2" t="str">
        <f t="shared" si="3"/>
        <v/>
      </c>
      <c r="F17" s="2" t="str">
        <f t="shared" si="4"/>
        <v/>
      </c>
      <c r="G17" s="2" t="str">
        <f t="shared" si="5"/>
        <v/>
      </c>
      <c r="H17" s="2" t="str">
        <f t="shared" si="20"/>
        <v/>
      </c>
      <c r="I17" s="2" t="str">
        <f t="shared" si="21"/>
        <v/>
      </c>
      <c r="J17" s="2" t="str">
        <f t="shared" si="22"/>
        <v/>
      </c>
      <c r="K17" s="2" t="str">
        <f t="shared" si="6"/>
        <v/>
      </c>
      <c r="L17" s="2" t="str">
        <f t="shared" si="7"/>
        <v/>
      </c>
      <c r="M17" s="2" t="str">
        <f t="shared" si="8"/>
        <v/>
      </c>
      <c r="N17" s="2" t="str">
        <f t="shared" si="23"/>
        <v/>
      </c>
      <c r="O17" s="2" t="str">
        <f t="shared" si="24"/>
        <v/>
      </c>
      <c r="P17" s="2" t="str">
        <f t="shared" si="25"/>
        <v/>
      </c>
      <c r="Q17" s="2" t="str">
        <f t="shared" si="9"/>
        <v/>
      </c>
      <c r="R17" s="2" t="str">
        <f t="shared" si="10"/>
        <v/>
      </c>
      <c r="S17" s="2" t="str">
        <f t="shared" si="11"/>
        <v/>
      </c>
      <c r="T17" s="2" t="str">
        <f t="shared" si="26"/>
        <v/>
      </c>
      <c r="U17" s="2" t="str">
        <f t="shared" si="27"/>
        <v/>
      </c>
      <c r="V17" s="2" t="str">
        <f t="shared" si="28"/>
        <v/>
      </c>
      <c r="W17" s="2" t="str">
        <f t="shared" si="12"/>
        <v/>
      </c>
      <c r="X17" s="2" t="str">
        <f t="shared" si="13"/>
        <v/>
      </c>
      <c r="Y17" s="2" t="str">
        <f t="shared" si="14"/>
        <v/>
      </c>
      <c r="Z17" s="2" t="str">
        <f t="shared" si="29"/>
        <v/>
      </c>
      <c r="AA17" s="2" t="str">
        <f t="shared" si="30"/>
        <v/>
      </c>
      <c r="AB17" s="2" t="str">
        <f t="shared" si="31"/>
        <v/>
      </c>
      <c r="AC17" s="2" t="str">
        <f t="shared" si="15"/>
        <v/>
      </c>
      <c r="AD17" s="2" t="str">
        <f t="shared" si="16"/>
        <v/>
      </c>
      <c r="AE17" s="2" t="str">
        <f t="shared" si="17"/>
        <v/>
      </c>
      <c r="AF17" s="2" t="str">
        <f t="shared" si="18"/>
        <v/>
      </c>
    </row>
    <row r="18" spans="1:32" x14ac:dyDescent="0.2">
      <c r="A18" s="2" t="str">
        <f t="shared" si="19"/>
        <v/>
      </c>
      <c r="B18" s="2" t="str">
        <f t="shared" si="0"/>
        <v/>
      </c>
      <c r="C18" s="2" t="str">
        <f t="shared" si="1"/>
        <v/>
      </c>
      <c r="D18" s="2" t="str">
        <f t="shared" si="2"/>
        <v/>
      </c>
      <c r="E18" s="2" t="str">
        <f t="shared" si="3"/>
        <v/>
      </c>
      <c r="F18" s="2" t="str">
        <f t="shared" si="4"/>
        <v/>
      </c>
      <c r="G18" s="2" t="str">
        <f t="shared" si="5"/>
        <v/>
      </c>
      <c r="H18" s="2" t="str">
        <f t="shared" si="20"/>
        <v/>
      </c>
      <c r="I18" s="2" t="str">
        <f t="shared" si="21"/>
        <v/>
      </c>
      <c r="J18" s="2" t="str">
        <f t="shared" si="22"/>
        <v/>
      </c>
      <c r="K18" s="2" t="str">
        <f t="shared" si="6"/>
        <v/>
      </c>
      <c r="L18" s="2" t="str">
        <f t="shared" si="7"/>
        <v/>
      </c>
      <c r="M18" s="2" t="str">
        <f t="shared" si="8"/>
        <v/>
      </c>
      <c r="N18" s="2" t="str">
        <f t="shared" si="23"/>
        <v/>
      </c>
      <c r="O18" s="2" t="str">
        <f t="shared" si="24"/>
        <v/>
      </c>
      <c r="P18" s="2" t="str">
        <f t="shared" si="25"/>
        <v/>
      </c>
      <c r="Q18" s="2" t="str">
        <f t="shared" si="9"/>
        <v/>
      </c>
      <c r="R18" s="2" t="str">
        <f t="shared" si="10"/>
        <v/>
      </c>
      <c r="S18" s="2" t="str">
        <f t="shared" si="11"/>
        <v/>
      </c>
      <c r="T18" s="2" t="str">
        <f t="shared" si="26"/>
        <v/>
      </c>
      <c r="U18" s="2" t="str">
        <f t="shared" si="27"/>
        <v/>
      </c>
      <c r="V18" s="2" t="str">
        <f t="shared" si="28"/>
        <v/>
      </c>
      <c r="W18" s="2" t="str">
        <f t="shared" si="12"/>
        <v/>
      </c>
      <c r="X18" s="2" t="str">
        <f t="shared" si="13"/>
        <v/>
      </c>
      <c r="Y18" s="2" t="str">
        <f t="shared" si="14"/>
        <v/>
      </c>
      <c r="Z18" s="2" t="str">
        <f t="shared" si="29"/>
        <v/>
      </c>
      <c r="AA18" s="2" t="str">
        <f t="shared" si="30"/>
        <v/>
      </c>
      <c r="AB18" s="2" t="str">
        <f t="shared" si="31"/>
        <v/>
      </c>
      <c r="AC18" s="2" t="str">
        <f t="shared" si="15"/>
        <v/>
      </c>
      <c r="AD18" s="2" t="str">
        <f t="shared" si="16"/>
        <v/>
      </c>
      <c r="AE18" s="2" t="str">
        <f t="shared" si="17"/>
        <v/>
      </c>
      <c r="AF18" s="2" t="str">
        <f t="shared" si="18"/>
        <v/>
      </c>
    </row>
    <row r="19" spans="1:32" x14ac:dyDescent="0.2">
      <c r="A19" s="2" t="str">
        <f t="shared" si="19"/>
        <v/>
      </c>
      <c r="B19" s="2" t="str">
        <f t="shared" si="0"/>
        <v/>
      </c>
      <c r="C19" s="2" t="str">
        <f t="shared" si="1"/>
        <v/>
      </c>
      <c r="D19" s="2" t="str">
        <f t="shared" si="2"/>
        <v/>
      </c>
      <c r="E19" s="2" t="str">
        <f t="shared" si="3"/>
        <v/>
      </c>
      <c r="F19" s="2" t="str">
        <f t="shared" si="4"/>
        <v/>
      </c>
      <c r="G19" s="2" t="str">
        <f t="shared" si="5"/>
        <v/>
      </c>
      <c r="H19" s="2" t="str">
        <f t="shared" si="20"/>
        <v/>
      </c>
      <c r="I19" s="2" t="str">
        <f t="shared" si="21"/>
        <v/>
      </c>
      <c r="J19" s="2" t="str">
        <f t="shared" si="22"/>
        <v/>
      </c>
      <c r="K19" s="2" t="str">
        <f t="shared" si="6"/>
        <v/>
      </c>
      <c r="L19" s="2" t="str">
        <f t="shared" si="7"/>
        <v/>
      </c>
      <c r="M19" s="2" t="str">
        <f t="shared" si="8"/>
        <v/>
      </c>
      <c r="N19" s="2" t="str">
        <f t="shared" si="23"/>
        <v/>
      </c>
      <c r="O19" s="2" t="str">
        <f t="shared" si="24"/>
        <v/>
      </c>
      <c r="P19" s="2" t="str">
        <f t="shared" si="25"/>
        <v/>
      </c>
      <c r="Q19" s="2" t="str">
        <f t="shared" si="9"/>
        <v/>
      </c>
      <c r="R19" s="2" t="str">
        <f t="shared" si="10"/>
        <v/>
      </c>
      <c r="S19" s="2" t="str">
        <f t="shared" si="11"/>
        <v/>
      </c>
      <c r="T19" s="2" t="str">
        <f t="shared" si="26"/>
        <v/>
      </c>
      <c r="U19" s="2" t="str">
        <f t="shared" si="27"/>
        <v/>
      </c>
      <c r="V19" s="2" t="str">
        <f t="shared" si="28"/>
        <v/>
      </c>
      <c r="W19" s="2" t="str">
        <f t="shared" si="12"/>
        <v/>
      </c>
      <c r="X19" s="2" t="str">
        <f t="shared" si="13"/>
        <v/>
      </c>
      <c r="Y19" s="2" t="str">
        <f t="shared" si="14"/>
        <v/>
      </c>
      <c r="Z19" s="2" t="str">
        <f t="shared" si="29"/>
        <v/>
      </c>
      <c r="AA19" s="2" t="str">
        <f t="shared" si="30"/>
        <v/>
      </c>
      <c r="AB19" s="2" t="str">
        <f t="shared" si="31"/>
        <v/>
      </c>
      <c r="AC19" s="2" t="str">
        <f t="shared" si="15"/>
        <v/>
      </c>
      <c r="AD19" s="2" t="str">
        <f t="shared" si="16"/>
        <v/>
      </c>
      <c r="AE19" s="2" t="str">
        <f t="shared" si="17"/>
        <v/>
      </c>
      <c r="AF19" s="2" t="str">
        <f t="shared" si="18"/>
        <v/>
      </c>
    </row>
    <row r="20" spans="1:32" x14ac:dyDescent="0.2">
      <c r="A20" s="2" t="str">
        <f t="shared" si="19"/>
        <v/>
      </c>
      <c r="B20" s="2" t="str">
        <f t="shared" si="0"/>
        <v/>
      </c>
      <c r="C20" s="2" t="str">
        <f t="shared" si="1"/>
        <v/>
      </c>
      <c r="D20" s="2" t="str">
        <f t="shared" si="2"/>
        <v/>
      </c>
      <c r="E20" s="2" t="str">
        <f t="shared" si="3"/>
        <v/>
      </c>
      <c r="F20" s="2" t="str">
        <f t="shared" si="4"/>
        <v/>
      </c>
      <c r="G20" s="2" t="str">
        <f t="shared" si="5"/>
        <v/>
      </c>
      <c r="H20" s="2" t="str">
        <f t="shared" si="20"/>
        <v/>
      </c>
      <c r="I20" s="2" t="str">
        <f t="shared" si="21"/>
        <v/>
      </c>
      <c r="J20" s="2" t="str">
        <f t="shared" si="22"/>
        <v/>
      </c>
      <c r="K20" s="2" t="str">
        <f t="shared" si="6"/>
        <v/>
      </c>
      <c r="L20" s="2" t="str">
        <f t="shared" si="7"/>
        <v/>
      </c>
      <c r="M20" s="2" t="str">
        <f t="shared" si="8"/>
        <v/>
      </c>
      <c r="N20" s="2" t="str">
        <f t="shared" si="23"/>
        <v/>
      </c>
      <c r="O20" s="2" t="str">
        <f t="shared" si="24"/>
        <v/>
      </c>
      <c r="P20" s="2" t="str">
        <f t="shared" si="25"/>
        <v/>
      </c>
      <c r="Q20" s="2" t="str">
        <f t="shared" si="9"/>
        <v/>
      </c>
      <c r="R20" s="2" t="str">
        <f t="shared" si="10"/>
        <v/>
      </c>
      <c r="S20" s="2" t="str">
        <f t="shared" si="11"/>
        <v/>
      </c>
      <c r="T20" s="2" t="str">
        <f t="shared" si="26"/>
        <v/>
      </c>
      <c r="U20" s="2" t="str">
        <f t="shared" si="27"/>
        <v/>
      </c>
      <c r="V20" s="2" t="str">
        <f t="shared" si="28"/>
        <v/>
      </c>
      <c r="W20" s="2" t="str">
        <f t="shared" si="12"/>
        <v/>
      </c>
      <c r="X20" s="2" t="str">
        <f t="shared" si="13"/>
        <v/>
      </c>
      <c r="Y20" s="2" t="str">
        <f t="shared" si="14"/>
        <v/>
      </c>
      <c r="Z20" s="2" t="str">
        <f t="shared" si="29"/>
        <v/>
      </c>
      <c r="AA20" s="2" t="str">
        <f t="shared" si="30"/>
        <v/>
      </c>
      <c r="AB20" s="2" t="str">
        <f t="shared" si="31"/>
        <v/>
      </c>
      <c r="AC20" s="2" t="str">
        <f t="shared" si="15"/>
        <v/>
      </c>
      <c r="AD20" s="2" t="str">
        <f t="shared" si="16"/>
        <v/>
      </c>
      <c r="AE20" s="2" t="str">
        <f t="shared" si="17"/>
        <v/>
      </c>
      <c r="AF20" s="2" t="str">
        <f t="shared" si="18"/>
        <v/>
      </c>
    </row>
    <row r="21" spans="1:32" x14ac:dyDescent="0.2">
      <c r="A21" s="2" t="str">
        <f t="shared" si="19"/>
        <v/>
      </c>
      <c r="B21" s="2" t="str">
        <f t="shared" si="0"/>
        <v/>
      </c>
      <c r="C21" s="2" t="str">
        <f t="shared" si="1"/>
        <v/>
      </c>
      <c r="D21" s="2" t="str">
        <f t="shared" si="2"/>
        <v/>
      </c>
      <c r="E21" s="2" t="str">
        <f t="shared" si="3"/>
        <v/>
      </c>
      <c r="F21" s="2" t="str">
        <f t="shared" si="4"/>
        <v/>
      </c>
      <c r="G21" s="2" t="str">
        <f t="shared" si="5"/>
        <v/>
      </c>
      <c r="H21" s="2" t="str">
        <f t="shared" si="20"/>
        <v/>
      </c>
      <c r="I21" s="2" t="str">
        <f t="shared" si="21"/>
        <v/>
      </c>
      <c r="J21" s="2" t="str">
        <f t="shared" si="22"/>
        <v/>
      </c>
      <c r="K21" s="2" t="str">
        <f t="shared" si="6"/>
        <v/>
      </c>
      <c r="L21" s="2" t="str">
        <f t="shared" si="7"/>
        <v/>
      </c>
      <c r="M21" s="2" t="str">
        <f t="shared" si="8"/>
        <v/>
      </c>
      <c r="N21" s="2" t="str">
        <f t="shared" si="23"/>
        <v/>
      </c>
      <c r="O21" s="2" t="str">
        <f t="shared" si="24"/>
        <v/>
      </c>
      <c r="P21" s="2" t="str">
        <f t="shared" si="25"/>
        <v/>
      </c>
      <c r="Q21" s="2" t="str">
        <f t="shared" si="9"/>
        <v/>
      </c>
      <c r="R21" s="2" t="str">
        <f t="shared" si="10"/>
        <v/>
      </c>
      <c r="S21" s="2" t="str">
        <f t="shared" si="11"/>
        <v/>
      </c>
      <c r="T21" s="2" t="str">
        <f t="shared" si="26"/>
        <v/>
      </c>
      <c r="U21" s="2" t="str">
        <f t="shared" si="27"/>
        <v/>
      </c>
      <c r="V21" s="2" t="str">
        <f t="shared" si="28"/>
        <v/>
      </c>
      <c r="W21" s="2" t="str">
        <f t="shared" si="12"/>
        <v/>
      </c>
      <c r="X21" s="2" t="str">
        <f t="shared" si="13"/>
        <v/>
      </c>
      <c r="Y21" s="2" t="str">
        <f t="shared" si="14"/>
        <v/>
      </c>
      <c r="Z21" s="2" t="str">
        <f t="shared" si="29"/>
        <v/>
      </c>
      <c r="AA21" s="2" t="str">
        <f t="shared" si="30"/>
        <v/>
      </c>
      <c r="AB21" s="2" t="str">
        <f t="shared" si="31"/>
        <v/>
      </c>
      <c r="AC21" s="2" t="str">
        <f t="shared" si="15"/>
        <v/>
      </c>
      <c r="AD21" s="2" t="str">
        <f t="shared" si="16"/>
        <v/>
      </c>
      <c r="AE21" s="2" t="str">
        <f t="shared" si="17"/>
        <v/>
      </c>
      <c r="AF21" s="2" t="str">
        <f t="shared" si="18"/>
        <v/>
      </c>
    </row>
    <row r="22" spans="1:32" x14ac:dyDescent="0.2">
      <c r="A22" s="2" t="str">
        <f t="shared" si="19"/>
        <v/>
      </c>
      <c r="B22" s="2" t="str">
        <f t="shared" si="0"/>
        <v/>
      </c>
      <c r="C22" s="2" t="str">
        <f t="shared" si="1"/>
        <v/>
      </c>
      <c r="D22" s="2" t="str">
        <f t="shared" si="2"/>
        <v/>
      </c>
      <c r="E22" s="2" t="str">
        <f t="shared" si="3"/>
        <v/>
      </c>
      <c r="F22" s="2" t="str">
        <f t="shared" si="4"/>
        <v/>
      </c>
      <c r="G22" s="2" t="str">
        <f t="shared" si="5"/>
        <v/>
      </c>
      <c r="H22" s="2" t="str">
        <f t="shared" si="20"/>
        <v/>
      </c>
      <c r="I22" s="2" t="str">
        <f t="shared" si="21"/>
        <v/>
      </c>
      <c r="J22" s="2" t="str">
        <f t="shared" si="22"/>
        <v/>
      </c>
      <c r="K22" s="2" t="str">
        <f t="shared" si="6"/>
        <v/>
      </c>
      <c r="L22" s="2" t="str">
        <f t="shared" si="7"/>
        <v/>
      </c>
      <c r="M22" s="2" t="str">
        <f t="shared" si="8"/>
        <v/>
      </c>
      <c r="N22" s="2" t="str">
        <f t="shared" si="23"/>
        <v/>
      </c>
      <c r="O22" s="2" t="str">
        <f t="shared" si="24"/>
        <v/>
      </c>
      <c r="P22" s="2" t="str">
        <f t="shared" si="25"/>
        <v/>
      </c>
      <c r="Q22" s="2" t="str">
        <f t="shared" si="9"/>
        <v/>
      </c>
      <c r="R22" s="2" t="str">
        <f t="shared" si="10"/>
        <v/>
      </c>
      <c r="S22" s="2" t="str">
        <f t="shared" si="11"/>
        <v/>
      </c>
      <c r="T22" s="2" t="str">
        <f t="shared" si="26"/>
        <v/>
      </c>
      <c r="U22" s="2" t="str">
        <f t="shared" si="27"/>
        <v/>
      </c>
      <c r="V22" s="2" t="str">
        <f t="shared" si="28"/>
        <v/>
      </c>
      <c r="W22" s="2" t="str">
        <f t="shared" si="12"/>
        <v/>
      </c>
      <c r="X22" s="2" t="str">
        <f t="shared" si="13"/>
        <v/>
      </c>
      <c r="Y22" s="2" t="str">
        <f t="shared" si="14"/>
        <v/>
      </c>
      <c r="Z22" s="2" t="str">
        <f t="shared" si="29"/>
        <v/>
      </c>
      <c r="AA22" s="2" t="str">
        <f t="shared" si="30"/>
        <v/>
      </c>
      <c r="AB22" s="2" t="str">
        <f t="shared" si="31"/>
        <v/>
      </c>
      <c r="AC22" s="2" t="str">
        <f t="shared" si="15"/>
        <v/>
      </c>
      <c r="AD22" s="2" t="str">
        <f t="shared" si="16"/>
        <v/>
      </c>
      <c r="AE22" s="2" t="str">
        <f t="shared" si="17"/>
        <v/>
      </c>
      <c r="AF22" s="2" t="str">
        <f t="shared" si="18"/>
        <v/>
      </c>
    </row>
    <row r="23" spans="1:32" x14ac:dyDescent="0.2">
      <c r="A23" s="2" t="str">
        <f t="shared" si="19"/>
        <v/>
      </c>
      <c r="B23" s="2" t="str">
        <f t="shared" si="0"/>
        <v/>
      </c>
      <c r="C23" s="2" t="str">
        <f t="shared" si="1"/>
        <v/>
      </c>
      <c r="D23" s="2" t="str">
        <f t="shared" si="2"/>
        <v/>
      </c>
      <c r="E23" s="2" t="str">
        <f t="shared" si="3"/>
        <v/>
      </c>
      <c r="F23" s="2" t="str">
        <f t="shared" si="4"/>
        <v/>
      </c>
      <c r="G23" s="2" t="str">
        <f t="shared" si="5"/>
        <v/>
      </c>
      <c r="H23" s="2" t="str">
        <f t="shared" si="20"/>
        <v/>
      </c>
      <c r="I23" s="2" t="str">
        <f t="shared" si="21"/>
        <v/>
      </c>
      <c r="J23" s="2" t="str">
        <f t="shared" si="22"/>
        <v/>
      </c>
      <c r="K23" s="2" t="str">
        <f t="shared" si="6"/>
        <v/>
      </c>
      <c r="L23" s="2" t="str">
        <f t="shared" si="7"/>
        <v/>
      </c>
      <c r="M23" s="2" t="str">
        <f t="shared" si="8"/>
        <v/>
      </c>
      <c r="N23" s="2" t="str">
        <f t="shared" si="23"/>
        <v/>
      </c>
      <c r="O23" s="2" t="str">
        <f t="shared" si="24"/>
        <v/>
      </c>
      <c r="P23" s="2" t="str">
        <f t="shared" si="25"/>
        <v/>
      </c>
      <c r="Q23" s="2" t="str">
        <f t="shared" si="9"/>
        <v/>
      </c>
      <c r="R23" s="2" t="str">
        <f t="shared" si="10"/>
        <v/>
      </c>
      <c r="S23" s="2" t="str">
        <f t="shared" si="11"/>
        <v/>
      </c>
      <c r="T23" s="2" t="str">
        <f t="shared" si="26"/>
        <v/>
      </c>
      <c r="U23" s="2" t="str">
        <f t="shared" si="27"/>
        <v/>
      </c>
      <c r="V23" s="2" t="str">
        <f t="shared" si="28"/>
        <v/>
      </c>
      <c r="W23" s="2" t="str">
        <f t="shared" si="12"/>
        <v/>
      </c>
      <c r="X23" s="2" t="str">
        <f t="shared" si="13"/>
        <v/>
      </c>
      <c r="Y23" s="2" t="str">
        <f t="shared" si="14"/>
        <v/>
      </c>
      <c r="Z23" s="2" t="str">
        <f t="shared" si="29"/>
        <v/>
      </c>
      <c r="AA23" s="2" t="str">
        <f t="shared" si="30"/>
        <v/>
      </c>
      <c r="AB23" s="2" t="str">
        <f t="shared" si="31"/>
        <v/>
      </c>
      <c r="AC23" s="2" t="str">
        <f t="shared" si="15"/>
        <v/>
      </c>
      <c r="AD23" s="2" t="str">
        <f t="shared" si="16"/>
        <v/>
      </c>
      <c r="AE23" s="2" t="str">
        <f t="shared" si="17"/>
        <v/>
      </c>
      <c r="AF23" s="2" t="str">
        <f t="shared" si="18"/>
        <v/>
      </c>
    </row>
    <row r="24" spans="1:32" x14ac:dyDescent="0.2">
      <c r="A24" s="2" t="str">
        <f t="shared" si="19"/>
        <v/>
      </c>
      <c r="B24" s="2" t="str">
        <f t="shared" si="0"/>
        <v/>
      </c>
      <c r="C24" s="2" t="str">
        <f t="shared" si="1"/>
        <v/>
      </c>
      <c r="D24" s="2" t="str">
        <f t="shared" si="2"/>
        <v/>
      </c>
      <c r="E24" s="2" t="str">
        <f t="shared" si="3"/>
        <v/>
      </c>
      <c r="F24" s="2" t="str">
        <f t="shared" si="4"/>
        <v/>
      </c>
      <c r="G24" s="2" t="str">
        <f t="shared" si="5"/>
        <v/>
      </c>
      <c r="H24" s="2" t="str">
        <f t="shared" si="20"/>
        <v/>
      </c>
      <c r="I24" s="2" t="str">
        <f t="shared" si="21"/>
        <v/>
      </c>
      <c r="J24" s="2" t="str">
        <f t="shared" si="22"/>
        <v/>
      </c>
      <c r="K24" s="2" t="str">
        <f t="shared" si="6"/>
        <v/>
      </c>
      <c r="L24" s="2" t="str">
        <f t="shared" si="7"/>
        <v/>
      </c>
      <c r="M24" s="2" t="str">
        <f t="shared" si="8"/>
        <v/>
      </c>
      <c r="N24" s="2" t="str">
        <f t="shared" si="23"/>
        <v/>
      </c>
      <c r="O24" s="2" t="str">
        <f t="shared" si="24"/>
        <v/>
      </c>
      <c r="P24" s="2" t="str">
        <f t="shared" si="25"/>
        <v/>
      </c>
      <c r="Q24" s="2" t="str">
        <f t="shared" si="9"/>
        <v/>
      </c>
      <c r="R24" s="2" t="str">
        <f t="shared" si="10"/>
        <v/>
      </c>
      <c r="S24" s="2" t="str">
        <f t="shared" si="11"/>
        <v/>
      </c>
      <c r="T24" s="2" t="str">
        <f t="shared" si="26"/>
        <v/>
      </c>
      <c r="U24" s="2" t="str">
        <f t="shared" si="27"/>
        <v/>
      </c>
      <c r="V24" s="2" t="str">
        <f t="shared" si="28"/>
        <v/>
      </c>
      <c r="W24" s="2" t="str">
        <f t="shared" si="12"/>
        <v/>
      </c>
      <c r="X24" s="2" t="str">
        <f t="shared" si="13"/>
        <v/>
      </c>
      <c r="Y24" s="2" t="str">
        <f t="shared" si="14"/>
        <v/>
      </c>
      <c r="Z24" s="2" t="str">
        <f t="shared" si="29"/>
        <v/>
      </c>
      <c r="AA24" s="2" t="str">
        <f t="shared" si="30"/>
        <v/>
      </c>
      <c r="AB24" s="2" t="str">
        <f t="shared" si="31"/>
        <v/>
      </c>
      <c r="AC24" s="2" t="str">
        <f t="shared" si="15"/>
        <v/>
      </c>
      <c r="AD24" s="2" t="str">
        <f t="shared" si="16"/>
        <v/>
      </c>
      <c r="AE24" s="2" t="str">
        <f t="shared" si="17"/>
        <v/>
      </c>
      <c r="AF24" s="2" t="str">
        <f t="shared" si="18"/>
        <v/>
      </c>
    </row>
    <row r="25" spans="1:32" x14ac:dyDescent="0.2">
      <c r="A25" s="2" t="str">
        <f t="shared" si="19"/>
        <v/>
      </c>
      <c r="B25" s="2" t="str">
        <f t="shared" si="0"/>
        <v/>
      </c>
      <c r="C25" s="2" t="str">
        <f t="shared" si="1"/>
        <v/>
      </c>
      <c r="D25" s="2" t="str">
        <f t="shared" si="2"/>
        <v/>
      </c>
      <c r="E25" s="2" t="str">
        <f t="shared" si="3"/>
        <v/>
      </c>
      <c r="F25" s="2" t="str">
        <f t="shared" si="4"/>
        <v/>
      </c>
      <c r="G25" s="2" t="str">
        <f t="shared" si="5"/>
        <v/>
      </c>
      <c r="H25" s="2" t="str">
        <f t="shared" si="20"/>
        <v/>
      </c>
      <c r="I25" s="2" t="str">
        <f t="shared" si="21"/>
        <v/>
      </c>
      <c r="J25" s="2" t="str">
        <f t="shared" si="22"/>
        <v/>
      </c>
      <c r="K25" s="2" t="str">
        <f t="shared" si="6"/>
        <v/>
      </c>
      <c r="L25" s="2" t="str">
        <f t="shared" si="7"/>
        <v/>
      </c>
      <c r="M25" s="2" t="str">
        <f t="shared" si="8"/>
        <v/>
      </c>
      <c r="N25" s="2" t="str">
        <f t="shared" si="23"/>
        <v/>
      </c>
      <c r="O25" s="2" t="str">
        <f t="shared" si="24"/>
        <v/>
      </c>
      <c r="P25" s="2" t="str">
        <f t="shared" si="25"/>
        <v/>
      </c>
      <c r="Q25" s="2" t="str">
        <f t="shared" si="9"/>
        <v/>
      </c>
      <c r="R25" s="2" t="str">
        <f t="shared" si="10"/>
        <v/>
      </c>
      <c r="S25" s="2" t="str">
        <f t="shared" si="11"/>
        <v/>
      </c>
      <c r="T25" s="2" t="str">
        <f t="shared" si="26"/>
        <v/>
      </c>
      <c r="U25" s="2" t="str">
        <f t="shared" si="27"/>
        <v/>
      </c>
      <c r="V25" s="2" t="str">
        <f t="shared" si="28"/>
        <v/>
      </c>
      <c r="W25" s="2" t="str">
        <f t="shared" si="12"/>
        <v/>
      </c>
      <c r="X25" s="2" t="str">
        <f t="shared" si="13"/>
        <v/>
      </c>
      <c r="Y25" s="2" t="str">
        <f t="shared" si="14"/>
        <v/>
      </c>
      <c r="Z25" s="2" t="str">
        <f t="shared" si="29"/>
        <v/>
      </c>
      <c r="AA25" s="2" t="str">
        <f t="shared" si="30"/>
        <v/>
      </c>
      <c r="AB25" s="2" t="str">
        <f t="shared" si="31"/>
        <v/>
      </c>
      <c r="AC25" s="2" t="str">
        <f t="shared" si="15"/>
        <v/>
      </c>
      <c r="AD25" s="2" t="str">
        <f t="shared" si="16"/>
        <v/>
      </c>
      <c r="AE25" s="2" t="str">
        <f t="shared" si="17"/>
        <v/>
      </c>
      <c r="AF25" s="2" t="str">
        <f t="shared" si="18"/>
        <v/>
      </c>
    </row>
    <row r="26" spans="1:32" x14ac:dyDescent="0.2">
      <c r="A26" s="2" t="str">
        <f t="shared" si="19"/>
        <v/>
      </c>
      <c r="B26" s="2" t="str">
        <f t="shared" si="0"/>
        <v/>
      </c>
      <c r="C26" s="2" t="str">
        <f t="shared" si="1"/>
        <v/>
      </c>
      <c r="D26" s="2" t="str">
        <f t="shared" si="2"/>
        <v/>
      </c>
      <c r="E26" s="2" t="str">
        <f t="shared" si="3"/>
        <v/>
      </c>
      <c r="F26" s="2" t="str">
        <f t="shared" si="4"/>
        <v/>
      </c>
      <c r="G26" s="2" t="str">
        <f t="shared" si="5"/>
        <v/>
      </c>
      <c r="H26" s="2" t="str">
        <f t="shared" si="20"/>
        <v/>
      </c>
      <c r="I26" s="2" t="str">
        <f t="shared" si="21"/>
        <v/>
      </c>
      <c r="J26" s="2" t="str">
        <f t="shared" si="22"/>
        <v/>
      </c>
      <c r="K26" s="2" t="str">
        <f t="shared" si="6"/>
        <v/>
      </c>
      <c r="L26" s="2" t="str">
        <f t="shared" si="7"/>
        <v/>
      </c>
      <c r="M26" s="2" t="str">
        <f t="shared" si="8"/>
        <v/>
      </c>
      <c r="N26" s="2" t="str">
        <f t="shared" si="23"/>
        <v/>
      </c>
      <c r="O26" s="2" t="str">
        <f t="shared" si="24"/>
        <v/>
      </c>
      <c r="P26" s="2" t="str">
        <f t="shared" si="25"/>
        <v/>
      </c>
      <c r="Q26" s="2" t="str">
        <f t="shared" si="9"/>
        <v/>
      </c>
      <c r="R26" s="2" t="str">
        <f t="shared" si="10"/>
        <v/>
      </c>
      <c r="S26" s="2" t="str">
        <f t="shared" si="11"/>
        <v/>
      </c>
      <c r="T26" s="2" t="str">
        <f t="shared" si="26"/>
        <v/>
      </c>
      <c r="U26" s="2" t="str">
        <f t="shared" si="27"/>
        <v/>
      </c>
      <c r="V26" s="2" t="str">
        <f t="shared" si="28"/>
        <v/>
      </c>
      <c r="W26" s="2" t="str">
        <f t="shared" si="12"/>
        <v/>
      </c>
      <c r="X26" s="2" t="str">
        <f t="shared" si="13"/>
        <v/>
      </c>
      <c r="Y26" s="2" t="str">
        <f t="shared" si="14"/>
        <v/>
      </c>
      <c r="Z26" s="2" t="str">
        <f t="shared" si="29"/>
        <v/>
      </c>
      <c r="AA26" s="2" t="str">
        <f t="shared" si="30"/>
        <v/>
      </c>
      <c r="AB26" s="2" t="str">
        <f t="shared" si="31"/>
        <v/>
      </c>
      <c r="AC26" s="2" t="str">
        <f t="shared" si="15"/>
        <v/>
      </c>
      <c r="AD26" s="2" t="str">
        <f t="shared" si="16"/>
        <v/>
      </c>
      <c r="AE26" s="2" t="str">
        <f t="shared" si="17"/>
        <v/>
      </c>
      <c r="AF26" s="2" t="str">
        <f t="shared" si="18"/>
        <v/>
      </c>
    </row>
    <row r="27" spans="1:32" x14ac:dyDescent="0.2">
      <c r="A27" s="2" t="str">
        <f t="shared" si="19"/>
        <v/>
      </c>
      <c r="B27" s="2" t="str">
        <f t="shared" si="0"/>
        <v/>
      </c>
      <c r="C27" s="2" t="str">
        <f t="shared" si="1"/>
        <v/>
      </c>
      <c r="D27" s="2" t="str">
        <f t="shared" si="2"/>
        <v/>
      </c>
      <c r="E27" s="2" t="str">
        <f t="shared" si="3"/>
        <v/>
      </c>
      <c r="F27" s="2" t="str">
        <f t="shared" si="4"/>
        <v/>
      </c>
      <c r="G27" s="2" t="str">
        <f t="shared" si="5"/>
        <v/>
      </c>
      <c r="H27" s="2" t="str">
        <f t="shared" si="20"/>
        <v/>
      </c>
      <c r="I27" s="2" t="str">
        <f t="shared" si="21"/>
        <v/>
      </c>
      <c r="J27" s="2" t="str">
        <f t="shared" si="22"/>
        <v/>
      </c>
      <c r="K27" s="2" t="str">
        <f t="shared" si="6"/>
        <v/>
      </c>
      <c r="L27" s="2" t="str">
        <f t="shared" si="7"/>
        <v/>
      </c>
      <c r="M27" s="2" t="str">
        <f t="shared" si="8"/>
        <v/>
      </c>
      <c r="N27" s="2" t="str">
        <f t="shared" si="23"/>
        <v/>
      </c>
      <c r="O27" s="2" t="str">
        <f t="shared" si="24"/>
        <v/>
      </c>
      <c r="P27" s="2" t="str">
        <f t="shared" si="25"/>
        <v/>
      </c>
      <c r="Q27" s="2" t="str">
        <f t="shared" si="9"/>
        <v/>
      </c>
      <c r="R27" s="2" t="str">
        <f t="shared" si="10"/>
        <v/>
      </c>
      <c r="S27" s="2" t="str">
        <f t="shared" si="11"/>
        <v/>
      </c>
      <c r="T27" s="2" t="str">
        <f t="shared" si="26"/>
        <v/>
      </c>
      <c r="U27" s="2" t="str">
        <f t="shared" si="27"/>
        <v/>
      </c>
      <c r="V27" s="2" t="str">
        <f t="shared" si="28"/>
        <v/>
      </c>
      <c r="W27" s="2" t="str">
        <f t="shared" si="12"/>
        <v/>
      </c>
      <c r="X27" s="2" t="str">
        <f t="shared" si="13"/>
        <v/>
      </c>
      <c r="Y27" s="2" t="str">
        <f t="shared" si="14"/>
        <v/>
      </c>
      <c r="Z27" s="2" t="str">
        <f t="shared" si="29"/>
        <v/>
      </c>
      <c r="AA27" s="2" t="str">
        <f t="shared" si="30"/>
        <v/>
      </c>
      <c r="AB27" s="2" t="str">
        <f t="shared" si="31"/>
        <v/>
      </c>
      <c r="AC27" s="2" t="str">
        <f t="shared" si="15"/>
        <v/>
      </c>
      <c r="AD27" s="2" t="str">
        <f t="shared" si="16"/>
        <v/>
      </c>
      <c r="AE27" s="2" t="str">
        <f t="shared" si="17"/>
        <v/>
      </c>
      <c r="AF27" s="2" t="str">
        <f t="shared" si="18"/>
        <v/>
      </c>
    </row>
    <row r="28" spans="1:32" x14ac:dyDescent="0.2">
      <c r="A28" s="2" t="str">
        <f t="shared" si="19"/>
        <v/>
      </c>
      <c r="B28" s="2" t="str">
        <f t="shared" si="0"/>
        <v/>
      </c>
      <c r="C28" s="2" t="str">
        <f t="shared" si="1"/>
        <v/>
      </c>
      <c r="D28" s="2" t="str">
        <f t="shared" si="2"/>
        <v/>
      </c>
      <c r="E28" s="2" t="str">
        <f t="shared" si="3"/>
        <v/>
      </c>
      <c r="F28" s="2" t="str">
        <f t="shared" si="4"/>
        <v/>
      </c>
      <c r="G28" s="2" t="str">
        <f t="shared" si="5"/>
        <v/>
      </c>
      <c r="H28" s="2" t="str">
        <f t="shared" si="20"/>
        <v/>
      </c>
      <c r="I28" s="2" t="str">
        <f t="shared" si="21"/>
        <v/>
      </c>
      <c r="J28" s="2" t="str">
        <f t="shared" si="22"/>
        <v/>
      </c>
      <c r="K28" s="2" t="str">
        <f t="shared" si="6"/>
        <v/>
      </c>
      <c r="L28" s="2" t="str">
        <f t="shared" si="7"/>
        <v/>
      </c>
      <c r="M28" s="2" t="str">
        <f t="shared" si="8"/>
        <v/>
      </c>
      <c r="N28" s="2" t="str">
        <f t="shared" si="23"/>
        <v/>
      </c>
      <c r="O28" s="2" t="str">
        <f t="shared" si="24"/>
        <v/>
      </c>
      <c r="P28" s="2" t="str">
        <f t="shared" si="25"/>
        <v/>
      </c>
      <c r="Q28" s="2" t="str">
        <f t="shared" si="9"/>
        <v/>
      </c>
      <c r="R28" s="2" t="str">
        <f t="shared" si="10"/>
        <v/>
      </c>
      <c r="S28" s="2" t="str">
        <f t="shared" si="11"/>
        <v/>
      </c>
      <c r="T28" s="2" t="str">
        <f t="shared" si="26"/>
        <v/>
      </c>
      <c r="U28" s="2" t="str">
        <f t="shared" si="27"/>
        <v/>
      </c>
      <c r="V28" s="2" t="str">
        <f t="shared" si="28"/>
        <v/>
      </c>
      <c r="W28" s="2" t="str">
        <f t="shared" si="12"/>
        <v/>
      </c>
      <c r="X28" s="2" t="str">
        <f t="shared" si="13"/>
        <v/>
      </c>
      <c r="Y28" s="2" t="str">
        <f t="shared" si="14"/>
        <v/>
      </c>
      <c r="Z28" s="2" t="str">
        <f t="shared" si="29"/>
        <v/>
      </c>
      <c r="AA28" s="2" t="str">
        <f t="shared" si="30"/>
        <v/>
      </c>
      <c r="AB28" s="2" t="str">
        <f t="shared" si="31"/>
        <v/>
      </c>
      <c r="AC28" s="2" t="str">
        <f t="shared" si="15"/>
        <v/>
      </c>
      <c r="AD28" s="2" t="str">
        <f t="shared" si="16"/>
        <v/>
      </c>
      <c r="AE28" s="2" t="str">
        <f t="shared" si="17"/>
        <v/>
      </c>
      <c r="AF28" s="2" t="str">
        <f t="shared" si="18"/>
        <v/>
      </c>
    </row>
    <row r="29" spans="1:32" x14ac:dyDescent="0.2">
      <c r="A29" s="2" t="str">
        <f t="shared" si="19"/>
        <v/>
      </c>
      <c r="B29" s="2" t="str">
        <f t="shared" si="0"/>
        <v/>
      </c>
      <c r="C29" s="2" t="str">
        <f t="shared" si="1"/>
        <v/>
      </c>
      <c r="D29" s="2" t="str">
        <f t="shared" si="2"/>
        <v/>
      </c>
      <c r="E29" s="2" t="str">
        <f t="shared" si="3"/>
        <v/>
      </c>
      <c r="F29" s="2" t="str">
        <f t="shared" si="4"/>
        <v/>
      </c>
      <c r="G29" s="2" t="str">
        <f t="shared" si="5"/>
        <v/>
      </c>
      <c r="H29" s="2" t="str">
        <f t="shared" si="20"/>
        <v/>
      </c>
      <c r="I29" s="2" t="str">
        <f t="shared" si="21"/>
        <v/>
      </c>
      <c r="J29" s="2" t="str">
        <f t="shared" si="22"/>
        <v/>
      </c>
      <c r="K29" s="2" t="str">
        <f t="shared" si="6"/>
        <v/>
      </c>
      <c r="L29" s="2" t="str">
        <f t="shared" si="7"/>
        <v/>
      </c>
      <c r="M29" s="2" t="str">
        <f t="shared" si="8"/>
        <v/>
      </c>
      <c r="N29" s="2" t="str">
        <f t="shared" si="23"/>
        <v/>
      </c>
      <c r="O29" s="2" t="str">
        <f t="shared" si="24"/>
        <v/>
      </c>
      <c r="P29" s="2" t="str">
        <f t="shared" si="25"/>
        <v/>
      </c>
      <c r="Q29" s="2" t="str">
        <f t="shared" si="9"/>
        <v/>
      </c>
      <c r="R29" s="2" t="str">
        <f t="shared" si="10"/>
        <v/>
      </c>
      <c r="S29" s="2" t="str">
        <f t="shared" si="11"/>
        <v/>
      </c>
      <c r="T29" s="2" t="str">
        <f t="shared" si="26"/>
        <v/>
      </c>
      <c r="U29" s="2" t="str">
        <f t="shared" si="27"/>
        <v/>
      </c>
      <c r="V29" s="2" t="str">
        <f t="shared" si="28"/>
        <v/>
      </c>
      <c r="W29" s="2" t="str">
        <f t="shared" si="12"/>
        <v/>
      </c>
      <c r="X29" s="2" t="str">
        <f t="shared" si="13"/>
        <v/>
      </c>
      <c r="Y29" s="2" t="str">
        <f t="shared" si="14"/>
        <v/>
      </c>
      <c r="Z29" s="2" t="str">
        <f t="shared" si="29"/>
        <v/>
      </c>
      <c r="AA29" s="2" t="str">
        <f t="shared" si="30"/>
        <v/>
      </c>
      <c r="AB29" s="2" t="str">
        <f t="shared" si="31"/>
        <v/>
      </c>
      <c r="AC29" s="2" t="str">
        <f t="shared" si="15"/>
        <v/>
      </c>
      <c r="AD29" s="2" t="str">
        <f t="shared" si="16"/>
        <v/>
      </c>
      <c r="AE29" s="2" t="str">
        <f t="shared" si="17"/>
        <v/>
      </c>
      <c r="AF29" s="2" t="str">
        <f t="shared" si="18"/>
        <v/>
      </c>
    </row>
    <row r="30" spans="1:32" x14ac:dyDescent="0.2">
      <c r="A30" s="2" t="str">
        <f t="shared" si="19"/>
        <v/>
      </c>
      <c r="B30" s="2" t="str">
        <f t="shared" si="0"/>
        <v/>
      </c>
      <c r="C30" s="2" t="str">
        <f t="shared" si="1"/>
        <v/>
      </c>
      <c r="D30" s="2" t="str">
        <f t="shared" si="2"/>
        <v/>
      </c>
      <c r="E30" s="2" t="str">
        <f t="shared" si="3"/>
        <v/>
      </c>
      <c r="F30" s="2" t="str">
        <f t="shared" si="4"/>
        <v/>
      </c>
      <c r="G30" s="2" t="str">
        <f t="shared" si="5"/>
        <v/>
      </c>
      <c r="H30" s="2" t="str">
        <f t="shared" si="20"/>
        <v/>
      </c>
      <c r="I30" s="2" t="str">
        <f t="shared" si="21"/>
        <v/>
      </c>
      <c r="J30" s="2" t="str">
        <f t="shared" si="22"/>
        <v/>
      </c>
      <c r="K30" s="2" t="str">
        <f t="shared" si="6"/>
        <v/>
      </c>
      <c r="L30" s="2" t="str">
        <f t="shared" si="7"/>
        <v/>
      </c>
      <c r="M30" s="2" t="str">
        <f t="shared" si="8"/>
        <v/>
      </c>
      <c r="N30" s="2" t="str">
        <f t="shared" si="23"/>
        <v/>
      </c>
      <c r="O30" s="2" t="str">
        <f t="shared" si="24"/>
        <v/>
      </c>
      <c r="P30" s="2" t="str">
        <f t="shared" si="25"/>
        <v/>
      </c>
      <c r="Q30" s="2" t="str">
        <f t="shared" si="9"/>
        <v/>
      </c>
      <c r="R30" s="2" t="str">
        <f t="shared" si="10"/>
        <v/>
      </c>
      <c r="S30" s="2" t="str">
        <f t="shared" si="11"/>
        <v/>
      </c>
      <c r="T30" s="2" t="str">
        <f t="shared" si="26"/>
        <v/>
      </c>
      <c r="U30" s="2" t="str">
        <f t="shared" si="27"/>
        <v/>
      </c>
      <c r="V30" s="2" t="str">
        <f t="shared" si="28"/>
        <v/>
      </c>
      <c r="W30" s="2" t="str">
        <f t="shared" si="12"/>
        <v/>
      </c>
      <c r="X30" s="2" t="str">
        <f t="shared" si="13"/>
        <v/>
      </c>
      <c r="Y30" s="2" t="str">
        <f t="shared" si="14"/>
        <v/>
      </c>
      <c r="Z30" s="2" t="str">
        <f t="shared" si="29"/>
        <v/>
      </c>
      <c r="AA30" s="2" t="str">
        <f t="shared" si="30"/>
        <v/>
      </c>
      <c r="AB30" s="2" t="str">
        <f t="shared" si="31"/>
        <v/>
      </c>
      <c r="AC30" s="2" t="str">
        <f t="shared" si="15"/>
        <v/>
      </c>
      <c r="AD30" s="2" t="str">
        <f t="shared" si="16"/>
        <v/>
      </c>
      <c r="AE30" s="2" t="str">
        <f t="shared" si="17"/>
        <v/>
      </c>
      <c r="AF30" s="2" t="str">
        <f t="shared" si="18"/>
        <v/>
      </c>
    </row>
    <row r="31" spans="1:32" x14ac:dyDescent="0.2">
      <c r="A31" s="2" t="str">
        <f t="shared" si="19"/>
        <v/>
      </c>
      <c r="B31" s="2" t="str">
        <f t="shared" si="0"/>
        <v/>
      </c>
      <c r="C31" s="2" t="str">
        <f t="shared" si="1"/>
        <v/>
      </c>
      <c r="D31" s="2" t="str">
        <f t="shared" si="2"/>
        <v/>
      </c>
      <c r="E31" s="2" t="str">
        <f t="shared" si="3"/>
        <v/>
      </c>
      <c r="F31" s="2" t="str">
        <f t="shared" si="4"/>
        <v/>
      </c>
      <c r="G31" s="2" t="str">
        <f t="shared" si="5"/>
        <v/>
      </c>
      <c r="H31" s="2" t="str">
        <f t="shared" si="20"/>
        <v/>
      </c>
      <c r="I31" s="2" t="str">
        <f t="shared" si="21"/>
        <v/>
      </c>
      <c r="J31" s="2" t="str">
        <f t="shared" si="22"/>
        <v/>
      </c>
      <c r="K31" s="2" t="str">
        <f t="shared" si="6"/>
        <v/>
      </c>
      <c r="L31" s="2" t="str">
        <f t="shared" si="7"/>
        <v/>
      </c>
      <c r="M31" s="2" t="str">
        <f t="shared" si="8"/>
        <v/>
      </c>
      <c r="N31" s="2" t="str">
        <f t="shared" si="23"/>
        <v/>
      </c>
      <c r="O31" s="2" t="str">
        <f t="shared" si="24"/>
        <v/>
      </c>
      <c r="P31" s="2" t="str">
        <f t="shared" si="25"/>
        <v/>
      </c>
      <c r="Q31" s="2" t="str">
        <f t="shared" si="9"/>
        <v/>
      </c>
      <c r="R31" s="2" t="str">
        <f t="shared" si="10"/>
        <v/>
      </c>
      <c r="S31" s="2" t="str">
        <f t="shared" si="11"/>
        <v/>
      </c>
      <c r="T31" s="2" t="str">
        <f t="shared" si="26"/>
        <v/>
      </c>
      <c r="U31" s="2" t="str">
        <f t="shared" si="27"/>
        <v/>
      </c>
      <c r="V31" s="2" t="str">
        <f t="shared" si="28"/>
        <v/>
      </c>
      <c r="W31" s="2" t="str">
        <f t="shared" si="12"/>
        <v/>
      </c>
      <c r="X31" s="2" t="str">
        <f t="shared" si="13"/>
        <v/>
      </c>
      <c r="Y31" s="2" t="str">
        <f t="shared" si="14"/>
        <v/>
      </c>
      <c r="Z31" s="2" t="str">
        <f t="shared" si="29"/>
        <v/>
      </c>
      <c r="AA31" s="2" t="str">
        <f t="shared" si="30"/>
        <v/>
      </c>
      <c r="AB31" s="2" t="str">
        <f t="shared" si="31"/>
        <v/>
      </c>
      <c r="AC31" s="2" t="str">
        <f t="shared" si="15"/>
        <v/>
      </c>
      <c r="AD31" s="2" t="str">
        <f t="shared" si="16"/>
        <v/>
      </c>
      <c r="AE31" s="2" t="str">
        <f t="shared" si="17"/>
        <v/>
      </c>
      <c r="AF31" s="2" t="str">
        <f t="shared" si="18"/>
        <v/>
      </c>
    </row>
    <row r="32" spans="1:32" x14ac:dyDescent="0.2">
      <c r="A32" s="2" t="str">
        <f t="shared" si="19"/>
        <v/>
      </c>
      <c r="B32" s="2" t="str">
        <f t="shared" si="0"/>
        <v/>
      </c>
      <c r="C32" s="2" t="str">
        <f t="shared" si="1"/>
        <v/>
      </c>
      <c r="D32" s="2" t="str">
        <f t="shared" si="2"/>
        <v/>
      </c>
      <c r="E32" s="2" t="str">
        <f t="shared" si="3"/>
        <v/>
      </c>
      <c r="F32" s="2" t="str">
        <f t="shared" si="4"/>
        <v/>
      </c>
      <c r="G32" s="2" t="str">
        <f t="shared" si="5"/>
        <v/>
      </c>
      <c r="H32" s="2" t="str">
        <f t="shared" si="20"/>
        <v/>
      </c>
      <c r="I32" s="2" t="str">
        <f t="shared" si="21"/>
        <v/>
      </c>
      <c r="J32" s="2" t="str">
        <f t="shared" si="22"/>
        <v/>
      </c>
      <c r="K32" s="2" t="str">
        <f t="shared" si="6"/>
        <v/>
      </c>
      <c r="L32" s="2" t="str">
        <f t="shared" si="7"/>
        <v/>
      </c>
      <c r="M32" s="2" t="str">
        <f t="shared" si="8"/>
        <v/>
      </c>
      <c r="N32" s="2" t="str">
        <f t="shared" si="23"/>
        <v/>
      </c>
      <c r="O32" s="2" t="str">
        <f t="shared" si="24"/>
        <v/>
      </c>
      <c r="P32" s="2" t="str">
        <f t="shared" si="25"/>
        <v/>
      </c>
      <c r="Q32" s="2" t="str">
        <f t="shared" si="9"/>
        <v/>
      </c>
      <c r="R32" s="2" t="str">
        <f t="shared" si="10"/>
        <v/>
      </c>
      <c r="S32" s="2" t="str">
        <f t="shared" si="11"/>
        <v/>
      </c>
      <c r="T32" s="2" t="str">
        <f t="shared" si="26"/>
        <v/>
      </c>
      <c r="U32" s="2" t="str">
        <f t="shared" si="27"/>
        <v/>
      </c>
      <c r="V32" s="2" t="str">
        <f t="shared" si="28"/>
        <v/>
      </c>
      <c r="W32" s="2" t="str">
        <f t="shared" si="12"/>
        <v/>
      </c>
      <c r="X32" s="2" t="str">
        <f t="shared" si="13"/>
        <v/>
      </c>
      <c r="Y32" s="2" t="str">
        <f t="shared" si="14"/>
        <v/>
      </c>
      <c r="Z32" s="2" t="str">
        <f t="shared" si="29"/>
        <v/>
      </c>
      <c r="AA32" s="2" t="str">
        <f t="shared" si="30"/>
        <v/>
      </c>
      <c r="AB32" s="2" t="str">
        <f t="shared" si="31"/>
        <v/>
      </c>
      <c r="AC32" s="2" t="str">
        <f t="shared" si="15"/>
        <v/>
      </c>
      <c r="AD32" s="2" t="str">
        <f t="shared" si="16"/>
        <v/>
      </c>
      <c r="AE32" s="2" t="str">
        <f t="shared" si="17"/>
        <v/>
      </c>
      <c r="AF32" s="2" t="str">
        <f t="shared" si="18"/>
        <v/>
      </c>
    </row>
    <row r="33" spans="1:32" x14ac:dyDescent="0.2">
      <c r="A33" s="2" t="str">
        <f t="shared" si="19"/>
        <v/>
      </c>
      <c r="B33" s="2" t="str">
        <f t="shared" si="0"/>
        <v/>
      </c>
      <c r="C33" s="2" t="str">
        <f t="shared" si="1"/>
        <v/>
      </c>
      <c r="D33" s="2" t="str">
        <f t="shared" si="2"/>
        <v/>
      </c>
      <c r="E33" s="2" t="str">
        <f t="shared" si="3"/>
        <v/>
      </c>
      <c r="F33" s="2" t="str">
        <f t="shared" si="4"/>
        <v/>
      </c>
      <c r="G33" s="2" t="str">
        <f t="shared" si="5"/>
        <v/>
      </c>
      <c r="H33" s="2" t="str">
        <f t="shared" si="20"/>
        <v/>
      </c>
      <c r="I33" s="2" t="str">
        <f t="shared" si="21"/>
        <v/>
      </c>
      <c r="J33" s="2" t="str">
        <f t="shared" si="22"/>
        <v/>
      </c>
      <c r="K33" s="2" t="str">
        <f t="shared" si="6"/>
        <v/>
      </c>
      <c r="L33" s="2" t="str">
        <f t="shared" si="7"/>
        <v/>
      </c>
      <c r="M33" s="2" t="str">
        <f t="shared" si="8"/>
        <v/>
      </c>
      <c r="N33" s="2" t="str">
        <f t="shared" si="23"/>
        <v/>
      </c>
      <c r="O33" s="2" t="str">
        <f t="shared" si="24"/>
        <v/>
      </c>
      <c r="P33" s="2" t="str">
        <f t="shared" si="25"/>
        <v/>
      </c>
      <c r="Q33" s="2" t="str">
        <f t="shared" si="9"/>
        <v/>
      </c>
      <c r="R33" s="2" t="str">
        <f t="shared" si="10"/>
        <v/>
      </c>
      <c r="S33" s="2" t="str">
        <f t="shared" si="11"/>
        <v/>
      </c>
      <c r="T33" s="2" t="str">
        <f t="shared" si="26"/>
        <v/>
      </c>
      <c r="U33" s="2" t="str">
        <f t="shared" si="27"/>
        <v/>
      </c>
      <c r="V33" s="2" t="str">
        <f t="shared" si="28"/>
        <v/>
      </c>
      <c r="W33" s="2" t="str">
        <f t="shared" si="12"/>
        <v/>
      </c>
      <c r="X33" s="2" t="str">
        <f t="shared" si="13"/>
        <v/>
      </c>
      <c r="Y33" s="2" t="str">
        <f t="shared" si="14"/>
        <v/>
      </c>
      <c r="Z33" s="2" t="str">
        <f t="shared" si="29"/>
        <v/>
      </c>
      <c r="AA33" s="2" t="str">
        <f t="shared" si="30"/>
        <v/>
      </c>
      <c r="AB33" s="2" t="str">
        <f t="shared" si="31"/>
        <v/>
      </c>
      <c r="AC33" s="2" t="str">
        <f t="shared" si="15"/>
        <v/>
      </c>
      <c r="AD33" s="2" t="str">
        <f t="shared" si="16"/>
        <v/>
      </c>
      <c r="AE33" s="2" t="str">
        <f t="shared" si="17"/>
        <v/>
      </c>
      <c r="AF33" s="2" t="str">
        <f t="shared" si="18"/>
        <v/>
      </c>
    </row>
    <row r="34" spans="1:32" x14ac:dyDescent="0.2">
      <c r="A34" s="2" t="str">
        <f t="shared" si="19"/>
        <v/>
      </c>
      <c r="B34" s="2" t="str">
        <f t="shared" si="0"/>
        <v/>
      </c>
      <c r="C34" s="2" t="str">
        <f t="shared" si="1"/>
        <v/>
      </c>
      <c r="D34" s="2" t="str">
        <f t="shared" si="2"/>
        <v/>
      </c>
      <c r="E34" s="2" t="str">
        <f t="shared" si="3"/>
        <v/>
      </c>
      <c r="F34" s="2" t="str">
        <f t="shared" si="4"/>
        <v/>
      </c>
      <c r="G34" s="2" t="str">
        <f t="shared" si="5"/>
        <v/>
      </c>
      <c r="H34" s="2" t="str">
        <f t="shared" si="20"/>
        <v/>
      </c>
      <c r="I34" s="2" t="str">
        <f t="shared" si="21"/>
        <v/>
      </c>
      <c r="J34" s="2" t="str">
        <f t="shared" si="22"/>
        <v/>
      </c>
      <c r="K34" s="2" t="str">
        <f t="shared" si="6"/>
        <v/>
      </c>
      <c r="L34" s="2" t="str">
        <f t="shared" si="7"/>
        <v/>
      </c>
      <c r="M34" s="2" t="str">
        <f t="shared" si="8"/>
        <v/>
      </c>
      <c r="N34" s="2" t="str">
        <f t="shared" si="23"/>
        <v/>
      </c>
      <c r="O34" s="2" t="str">
        <f t="shared" si="24"/>
        <v/>
      </c>
      <c r="P34" s="2" t="str">
        <f t="shared" si="25"/>
        <v/>
      </c>
      <c r="Q34" s="2" t="str">
        <f t="shared" si="9"/>
        <v/>
      </c>
      <c r="R34" s="2" t="str">
        <f t="shared" si="10"/>
        <v/>
      </c>
      <c r="S34" s="2" t="str">
        <f t="shared" si="11"/>
        <v/>
      </c>
      <c r="T34" s="2" t="str">
        <f t="shared" si="26"/>
        <v/>
      </c>
      <c r="U34" s="2" t="str">
        <f t="shared" si="27"/>
        <v/>
      </c>
      <c r="V34" s="2" t="str">
        <f t="shared" si="28"/>
        <v/>
      </c>
      <c r="W34" s="2" t="str">
        <f t="shared" si="12"/>
        <v/>
      </c>
      <c r="X34" s="2" t="str">
        <f t="shared" si="13"/>
        <v/>
      </c>
      <c r="Y34" s="2" t="str">
        <f t="shared" si="14"/>
        <v/>
      </c>
      <c r="Z34" s="2" t="str">
        <f t="shared" si="29"/>
        <v/>
      </c>
      <c r="AA34" s="2" t="str">
        <f t="shared" si="30"/>
        <v/>
      </c>
      <c r="AB34" s="2" t="str">
        <f t="shared" si="31"/>
        <v/>
      </c>
      <c r="AC34" s="2" t="str">
        <f t="shared" si="15"/>
        <v/>
      </c>
      <c r="AD34" s="2" t="str">
        <f t="shared" si="16"/>
        <v/>
      </c>
      <c r="AE34" s="2" t="str">
        <f t="shared" si="17"/>
        <v/>
      </c>
      <c r="AF34" s="2" t="str">
        <f t="shared" si="18"/>
        <v/>
      </c>
    </row>
    <row r="35" spans="1:32" x14ac:dyDescent="0.2">
      <c r="A35" s="2" t="str">
        <f t="shared" si="19"/>
        <v/>
      </c>
      <c r="B35" s="2" t="str">
        <f t="shared" si="0"/>
        <v/>
      </c>
      <c r="C35" s="2" t="str">
        <f t="shared" si="1"/>
        <v/>
      </c>
      <c r="D35" s="2" t="str">
        <f t="shared" si="2"/>
        <v/>
      </c>
      <c r="E35" s="2" t="str">
        <f t="shared" si="3"/>
        <v/>
      </c>
      <c r="F35" s="2" t="str">
        <f t="shared" si="4"/>
        <v/>
      </c>
      <c r="G35" s="2" t="str">
        <f t="shared" si="5"/>
        <v/>
      </c>
      <c r="H35" s="2" t="str">
        <f t="shared" si="20"/>
        <v/>
      </c>
      <c r="I35" s="2" t="str">
        <f t="shared" si="21"/>
        <v/>
      </c>
      <c r="J35" s="2" t="str">
        <f t="shared" si="22"/>
        <v/>
      </c>
      <c r="K35" s="2" t="str">
        <f t="shared" si="6"/>
        <v/>
      </c>
      <c r="L35" s="2" t="str">
        <f t="shared" si="7"/>
        <v/>
      </c>
      <c r="M35" s="2" t="str">
        <f t="shared" si="8"/>
        <v/>
      </c>
      <c r="N35" s="2" t="str">
        <f t="shared" si="23"/>
        <v/>
      </c>
      <c r="O35" s="2" t="str">
        <f t="shared" si="24"/>
        <v/>
      </c>
      <c r="P35" s="2" t="str">
        <f t="shared" si="25"/>
        <v/>
      </c>
      <c r="Q35" s="2" t="str">
        <f t="shared" si="9"/>
        <v/>
      </c>
      <c r="R35" s="2" t="str">
        <f t="shared" si="10"/>
        <v/>
      </c>
      <c r="S35" s="2" t="str">
        <f t="shared" si="11"/>
        <v/>
      </c>
      <c r="T35" s="2" t="str">
        <f t="shared" si="26"/>
        <v/>
      </c>
      <c r="U35" s="2" t="str">
        <f t="shared" si="27"/>
        <v/>
      </c>
      <c r="V35" s="2" t="str">
        <f t="shared" si="28"/>
        <v/>
      </c>
      <c r="W35" s="2" t="str">
        <f t="shared" si="12"/>
        <v/>
      </c>
      <c r="X35" s="2" t="str">
        <f t="shared" si="13"/>
        <v/>
      </c>
      <c r="Y35" s="2" t="str">
        <f t="shared" si="14"/>
        <v/>
      </c>
      <c r="Z35" s="2" t="str">
        <f t="shared" si="29"/>
        <v/>
      </c>
      <c r="AA35" s="2" t="str">
        <f t="shared" si="30"/>
        <v/>
      </c>
      <c r="AB35" s="2" t="str">
        <f t="shared" si="31"/>
        <v/>
      </c>
      <c r="AC35" s="2" t="str">
        <f t="shared" si="15"/>
        <v/>
      </c>
      <c r="AD35" s="2" t="str">
        <f t="shared" si="16"/>
        <v/>
      </c>
      <c r="AE35" s="2" t="str">
        <f t="shared" si="17"/>
        <v/>
      </c>
      <c r="AF35" s="2" t="str">
        <f t="shared" si="18"/>
        <v/>
      </c>
    </row>
    <row r="36" spans="1:32" x14ac:dyDescent="0.2">
      <c r="A36" s="2" t="str">
        <f t="shared" si="19"/>
        <v/>
      </c>
      <c r="B36" s="2" t="str">
        <f t="shared" si="0"/>
        <v/>
      </c>
      <c r="C36" s="2" t="str">
        <f t="shared" si="1"/>
        <v/>
      </c>
      <c r="D36" s="2" t="str">
        <f t="shared" si="2"/>
        <v/>
      </c>
      <c r="E36" s="2" t="str">
        <f t="shared" si="3"/>
        <v/>
      </c>
      <c r="F36" s="2" t="str">
        <f t="shared" si="4"/>
        <v/>
      </c>
      <c r="G36" s="2" t="str">
        <f t="shared" si="5"/>
        <v/>
      </c>
      <c r="H36" s="2" t="str">
        <f t="shared" si="20"/>
        <v/>
      </c>
      <c r="I36" s="2" t="str">
        <f t="shared" si="21"/>
        <v/>
      </c>
      <c r="J36" s="2" t="str">
        <f t="shared" si="22"/>
        <v/>
      </c>
      <c r="K36" s="2" t="str">
        <f t="shared" si="6"/>
        <v/>
      </c>
      <c r="L36" s="2" t="str">
        <f t="shared" si="7"/>
        <v/>
      </c>
      <c r="M36" s="2" t="str">
        <f t="shared" si="8"/>
        <v/>
      </c>
      <c r="N36" s="2" t="str">
        <f t="shared" si="23"/>
        <v/>
      </c>
      <c r="O36" s="2" t="str">
        <f t="shared" si="24"/>
        <v/>
      </c>
      <c r="P36" s="2" t="str">
        <f t="shared" si="25"/>
        <v/>
      </c>
      <c r="Q36" s="2" t="str">
        <f t="shared" si="9"/>
        <v/>
      </c>
      <c r="R36" s="2" t="str">
        <f t="shared" si="10"/>
        <v/>
      </c>
      <c r="S36" s="2" t="str">
        <f t="shared" si="11"/>
        <v/>
      </c>
      <c r="T36" s="2" t="str">
        <f t="shared" si="26"/>
        <v/>
      </c>
      <c r="U36" s="2" t="str">
        <f t="shared" si="27"/>
        <v/>
      </c>
      <c r="V36" s="2" t="str">
        <f t="shared" si="28"/>
        <v/>
      </c>
      <c r="W36" s="2" t="str">
        <f t="shared" si="12"/>
        <v/>
      </c>
      <c r="X36" s="2" t="str">
        <f t="shared" si="13"/>
        <v/>
      </c>
      <c r="Y36" s="2" t="str">
        <f t="shared" si="14"/>
        <v/>
      </c>
      <c r="Z36" s="2" t="str">
        <f t="shared" si="29"/>
        <v/>
      </c>
      <c r="AA36" s="2" t="str">
        <f t="shared" si="30"/>
        <v/>
      </c>
      <c r="AB36" s="2" t="str">
        <f t="shared" si="31"/>
        <v/>
      </c>
      <c r="AC36" s="2" t="str">
        <f t="shared" si="15"/>
        <v/>
      </c>
      <c r="AD36" s="2" t="str">
        <f t="shared" si="16"/>
        <v/>
      </c>
      <c r="AE36" s="2" t="str">
        <f t="shared" si="17"/>
        <v/>
      </c>
      <c r="AF36" s="2" t="str">
        <f t="shared" si="18"/>
        <v/>
      </c>
    </row>
    <row r="37" spans="1:32" x14ac:dyDescent="0.2">
      <c r="A37" s="2" t="str">
        <f t="shared" si="19"/>
        <v/>
      </c>
      <c r="B37" s="2" t="str">
        <f t="shared" si="0"/>
        <v/>
      </c>
      <c r="C37" s="2" t="str">
        <f t="shared" si="1"/>
        <v/>
      </c>
      <c r="D37" s="2" t="str">
        <f t="shared" si="2"/>
        <v/>
      </c>
      <c r="E37" s="2" t="str">
        <f t="shared" si="3"/>
        <v/>
      </c>
      <c r="F37" s="2" t="str">
        <f t="shared" si="4"/>
        <v/>
      </c>
      <c r="G37" s="2" t="str">
        <f t="shared" si="5"/>
        <v/>
      </c>
      <c r="H37" s="2" t="str">
        <f t="shared" si="20"/>
        <v/>
      </c>
      <c r="I37" s="2" t="str">
        <f t="shared" si="21"/>
        <v/>
      </c>
      <c r="J37" s="2" t="str">
        <f t="shared" si="22"/>
        <v/>
      </c>
      <c r="K37" s="2" t="str">
        <f t="shared" si="6"/>
        <v/>
      </c>
      <c r="L37" s="2" t="str">
        <f t="shared" si="7"/>
        <v/>
      </c>
      <c r="M37" s="2" t="str">
        <f t="shared" si="8"/>
        <v/>
      </c>
      <c r="N37" s="2" t="str">
        <f t="shared" si="23"/>
        <v/>
      </c>
      <c r="O37" s="2" t="str">
        <f t="shared" si="24"/>
        <v/>
      </c>
      <c r="P37" s="2" t="str">
        <f t="shared" si="25"/>
        <v/>
      </c>
      <c r="Q37" s="2" t="str">
        <f t="shared" si="9"/>
        <v/>
      </c>
      <c r="R37" s="2" t="str">
        <f t="shared" si="10"/>
        <v/>
      </c>
      <c r="S37" s="2" t="str">
        <f t="shared" si="11"/>
        <v/>
      </c>
      <c r="T37" s="2" t="str">
        <f t="shared" si="26"/>
        <v/>
      </c>
      <c r="U37" s="2" t="str">
        <f t="shared" si="27"/>
        <v/>
      </c>
      <c r="V37" s="2" t="str">
        <f t="shared" si="28"/>
        <v/>
      </c>
      <c r="W37" s="2" t="str">
        <f t="shared" si="12"/>
        <v/>
      </c>
      <c r="X37" s="2" t="str">
        <f t="shared" si="13"/>
        <v/>
      </c>
      <c r="Y37" s="2" t="str">
        <f t="shared" si="14"/>
        <v/>
      </c>
      <c r="Z37" s="2" t="str">
        <f t="shared" si="29"/>
        <v/>
      </c>
      <c r="AA37" s="2" t="str">
        <f t="shared" si="30"/>
        <v/>
      </c>
      <c r="AB37" s="2" t="str">
        <f t="shared" si="31"/>
        <v/>
      </c>
      <c r="AC37" s="2" t="str">
        <f t="shared" si="15"/>
        <v/>
      </c>
      <c r="AD37" s="2" t="str">
        <f t="shared" si="16"/>
        <v/>
      </c>
      <c r="AE37" s="2" t="str">
        <f t="shared" si="17"/>
        <v/>
      </c>
      <c r="AF37" s="2" t="str">
        <f t="shared" si="18"/>
        <v/>
      </c>
    </row>
    <row r="38" spans="1:32" x14ac:dyDescent="0.2">
      <c r="A38" s="2" t="str">
        <f t="shared" si="19"/>
        <v/>
      </c>
      <c r="B38" s="2" t="str">
        <f t="shared" si="0"/>
        <v/>
      </c>
      <c r="C38" s="2" t="str">
        <f t="shared" si="1"/>
        <v/>
      </c>
      <c r="D38" s="2" t="str">
        <f t="shared" si="2"/>
        <v/>
      </c>
      <c r="E38" s="2" t="str">
        <f t="shared" si="3"/>
        <v/>
      </c>
      <c r="F38" s="2" t="str">
        <f t="shared" si="4"/>
        <v/>
      </c>
      <c r="G38" s="2" t="str">
        <f t="shared" si="5"/>
        <v/>
      </c>
      <c r="H38" s="2" t="str">
        <f t="shared" si="20"/>
        <v/>
      </c>
      <c r="I38" s="2" t="str">
        <f t="shared" si="21"/>
        <v/>
      </c>
      <c r="J38" s="2" t="str">
        <f t="shared" si="22"/>
        <v/>
      </c>
      <c r="K38" s="2" t="str">
        <f t="shared" si="6"/>
        <v/>
      </c>
      <c r="L38" s="2" t="str">
        <f t="shared" si="7"/>
        <v/>
      </c>
      <c r="M38" s="2" t="str">
        <f t="shared" si="8"/>
        <v/>
      </c>
      <c r="N38" s="2" t="str">
        <f t="shared" si="23"/>
        <v/>
      </c>
      <c r="O38" s="2" t="str">
        <f t="shared" si="24"/>
        <v/>
      </c>
      <c r="P38" s="2" t="str">
        <f t="shared" si="25"/>
        <v/>
      </c>
      <c r="Q38" s="2" t="str">
        <f t="shared" si="9"/>
        <v/>
      </c>
      <c r="R38" s="2" t="str">
        <f t="shared" si="10"/>
        <v/>
      </c>
      <c r="S38" s="2" t="str">
        <f t="shared" si="11"/>
        <v/>
      </c>
      <c r="T38" s="2" t="str">
        <f t="shared" si="26"/>
        <v/>
      </c>
      <c r="U38" s="2" t="str">
        <f t="shared" si="27"/>
        <v/>
      </c>
      <c r="V38" s="2" t="str">
        <f t="shared" si="28"/>
        <v/>
      </c>
      <c r="W38" s="2" t="str">
        <f t="shared" si="12"/>
        <v/>
      </c>
      <c r="X38" s="2" t="str">
        <f t="shared" si="13"/>
        <v/>
      </c>
      <c r="Y38" s="2" t="str">
        <f t="shared" si="14"/>
        <v/>
      </c>
      <c r="Z38" s="2" t="str">
        <f t="shared" si="29"/>
        <v/>
      </c>
      <c r="AA38" s="2" t="str">
        <f t="shared" si="30"/>
        <v/>
      </c>
      <c r="AB38" s="2" t="str">
        <f t="shared" si="31"/>
        <v/>
      </c>
      <c r="AC38" s="2" t="str">
        <f t="shared" si="15"/>
        <v/>
      </c>
      <c r="AD38" s="2" t="str">
        <f t="shared" si="16"/>
        <v/>
      </c>
      <c r="AE38" s="2" t="str">
        <f t="shared" si="17"/>
        <v/>
      </c>
      <c r="AF38" s="2" t="str">
        <f t="shared" si="18"/>
        <v/>
      </c>
    </row>
    <row r="39" spans="1:32" x14ac:dyDescent="0.2">
      <c r="A39" s="2" t="str">
        <f t="shared" si="19"/>
        <v/>
      </c>
      <c r="B39" s="2" t="str">
        <f t="shared" si="0"/>
        <v/>
      </c>
      <c r="C39" s="2" t="str">
        <f t="shared" si="1"/>
        <v/>
      </c>
      <c r="D39" s="2" t="str">
        <f t="shared" si="2"/>
        <v/>
      </c>
      <c r="E39" s="2" t="str">
        <f t="shared" si="3"/>
        <v/>
      </c>
      <c r="F39" s="2" t="str">
        <f t="shared" si="4"/>
        <v/>
      </c>
      <c r="G39" s="2" t="str">
        <f t="shared" si="5"/>
        <v/>
      </c>
      <c r="H39" s="2" t="str">
        <f t="shared" si="20"/>
        <v/>
      </c>
      <c r="I39" s="2" t="str">
        <f t="shared" si="21"/>
        <v/>
      </c>
      <c r="J39" s="2" t="str">
        <f t="shared" si="22"/>
        <v/>
      </c>
      <c r="K39" s="2" t="str">
        <f t="shared" si="6"/>
        <v/>
      </c>
      <c r="L39" s="2" t="str">
        <f t="shared" si="7"/>
        <v/>
      </c>
      <c r="M39" s="2" t="str">
        <f t="shared" si="8"/>
        <v/>
      </c>
      <c r="N39" s="2" t="str">
        <f t="shared" si="23"/>
        <v/>
      </c>
      <c r="O39" s="2" t="str">
        <f t="shared" si="24"/>
        <v/>
      </c>
      <c r="P39" s="2" t="str">
        <f t="shared" si="25"/>
        <v/>
      </c>
      <c r="Q39" s="2" t="str">
        <f t="shared" si="9"/>
        <v/>
      </c>
      <c r="R39" s="2" t="str">
        <f t="shared" si="10"/>
        <v/>
      </c>
      <c r="S39" s="2" t="str">
        <f t="shared" si="11"/>
        <v/>
      </c>
      <c r="T39" s="2" t="str">
        <f t="shared" si="26"/>
        <v/>
      </c>
      <c r="U39" s="2" t="str">
        <f t="shared" si="27"/>
        <v/>
      </c>
      <c r="V39" s="2" t="str">
        <f t="shared" si="28"/>
        <v/>
      </c>
      <c r="W39" s="2" t="str">
        <f t="shared" si="12"/>
        <v/>
      </c>
      <c r="X39" s="2" t="str">
        <f t="shared" si="13"/>
        <v/>
      </c>
      <c r="Y39" s="2" t="str">
        <f t="shared" si="14"/>
        <v/>
      </c>
      <c r="Z39" s="2" t="str">
        <f t="shared" si="29"/>
        <v/>
      </c>
      <c r="AA39" s="2" t="str">
        <f t="shared" si="30"/>
        <v/>
      </c>
      <c r="AB39" s="2" t="str">
        <f t="shared" si="31"/>
        <v/>
      </c>
      <c r="AC39" s="2" t="str">
        <f t="shared" si="15"/>
        <v/>
      </c>
      <c r="AD39" s="2" t="str">
        <f t="shared" si="16"/>
        <v/>
      </c>
      <c r="AE39" s="2" t="str">
        <f t="shared" si="17"/>
        <v/>
      </c>
      <c r="AF39" s="2" t="str">
        <f t="shared" si="18"/>
        <v/>
      </c>
    </row>
    <row r="40" spans="1:32" x14ac:dyDescent="0.2">
      <c r="A40" s="2" t="str">
        <f t="shared" si="19"/>
        <v/>
      </c>
      <c r="B40" s="2" t="str">
        <f t="shared" si="0"/>
        <v/>
      </c>
      <c r="C40" s="2" t="str">
        <f t="shared" si="1"/>
        <v/>
      </c>
      <c r="D40" s="2" t="str">
        <f t="shared" si="2"/>
        <v/>
      </c>
      <c r="E40" s="2" t="str">
        <f t="shared" si="3"/>
        <v/>
      </c>
      <c r="F40" s="2" t="str">
        <f t="shared" si="4"/>
        <v/>
      </c>
      <c r="G40" s="2" t="str">
        <f t="shared" si="5"/>
        <v/>
      </c>
      <c r="H40" s="2" t="str">
        <f t="shared" si="20"/>
        <v/>
      </c>
      <c r="I40" s="2" t="str">
        <f t="shared" si="21"/>
        <v/>
      </c>
      <c r="J40" s="2" t="str">
        <f t="shared" si="22"/>
        <v/>
      </c>
      <c r="K40" s="2" t="str">
        <f t="shared" si="6"/>
        <v/>
      </c>
      <c r="L40" s="2" t="str">
        <f t="shared" si="7"/>
        <v/>
      </c>
      <c r="M40" s="2" t="str">
        <f t="shared" si="8"/>
        <v/>
      </c>
      <c r="N40" s="2" t="str">
        <f t="shared" si="23"/>
        <v/>
      </c>
      <c r="O40" s="2" t="str">
        <f t="shared" si="24"/>
        <v/>
      </c>
      <c r="P40" s="2" t="str">
        <f t="shared" si="25"/>
        <v/>
      </c>
      <c r="Q40" s="2" t="str">
        <f t="shared" si="9"/>
        <v/>
      </c>
      <c r="R40" s="2" t="str">
        <f t="shared" si="10"/>
        <v/>
      </c>
      <c r="S40" s="2" t="str">
        <f t="shared" si="11"/>
        <v/>
      </c>
      <c r="T40" s="2" t="str">
        <f t="shared" si="26"/>
        <v/>
      </c>
      <c r="U40" s="2" t="str">
        <f t="shared" si="27"/>
        <v/>
      </c>
      <c r="V40" s="2" t="str">
        <f t="shared" si="28"/>
        <v/>
      </c>
      <c r="W40" s="2" t="str">
        <f t="shared" si="12"/>
        <v/>
      </c>
      <c r="X40" s="2" t="str">
        <f t="shared" si="13"/>
        <v/>
      </c>
      <c r="Y40" s="2" t="str">
        <f t="shared" si="14"/>
        <v/>
      </c>
      <c r="Z40" s="2" t="str">
        <f t="shared" si="29"/>
        <v/>
      </c>
      <c r="AA40" s="2" t="str">
        <f t="shared" si="30"/>
        <v/>
      </c>
      <c r="AB40" s="2" t="str">
        <f t="shared" si="31"/>
        <v/>
      </c>
      <c r="AC40" s="2" t="str">
        <f t="shared" si="15"/>
        <v/>
      </c>
      <c r="AD40" s="2" t="str">
        <f t="shared" si="16"/>
        <v/>
      </c>
      <c r="AE40" s="2" t="str">
        <f t="shared" si="17"/>
        <v/>
      </c>
      <c r="AF40" s="2" t="str">
        <f t="shared" si="18"/>
        <v/>
      </c>
    </row>
    <row r="41" spans="1:32" x14ac:dyDescent="0.2">
      <c r="A41" s="2" t="str">
        <f t="shared" si="19"/>
        <v/>
      </c>
      <c r="B41" s="2" t="str">
        <f t="shared" si="0"/>
        <v/>
      </c>
      <c r="C41" s="2" t="str">
        <f t="shared" si="1"/>
        <v/>
      </c>
      <c r="D41" s="2" t="str">
        <f t="shared" si="2"/>
        <v/>
      </c>
      <c r="E41" s="2" t="str">
        <f t="shared" si="3"/>
        <v/>
      </c>
      <c r="F41" s="2" t="str">
        <f t="shared" si="4"/>
        <v/>
      </c>
      <c r="G41" s="2" t="str">
        <f t="shared" si="5"/>
        <v/>
      </c>
      <c r="H41" s="2" t="str">
        <f t="shared" si="20"/>
        <v/>
      </c>
      <c r="I41" s="2" t="str">
        <f t="shared" si="21"/>
        <v/>
      </c>
      <c r="J41" s="2" t="str">
        <f t="shared" si="22"/>
        <v/>
      </c>
      <c r="K41" s="2" t="str">
        <f t="shared" si="6"/>
        <v/>
      </c>
      <c r="L41" s="2" t="str">
        <f t="shared" si="7"/>
        <v/>
      </c>
      <c r="M41" s="2" t="str">
        <f t="shared" si="8"/>
        <v/>
      </c>
      <c r="N41" s="2" t="str">
        <f t="shared" si="23"/>
        <v/>
      </c>
      <c r="O41" s="2" t="str">
        <f t="shared" si="24"/>
        <v/>
      </c>
      <c r="P41" s="2" t="str">
        <f t="shared" si="25"/>
        <v/>
      </c>
      <c r="Q41" s="2" t="str">
        <f t="shared" si="9"/>
        <v/>
      </c>
      <c r="R41" s="2" t="str">
        <f t="shared" si="10"/>
        <v/>
      </c>
      <c r="S41" s="2" t="str">
        <f t="shared" si="11"/>
        <v/>
      </c>
      <c r="T41" s="2" t="str">
        <f t="shared" si="26"/>
        <v/>
      </c>
      <c r="U41" s="2" t="str">
        <f t="shared" si="27"/>
        <v/>
      </c>
      <c r="V41" s="2" t="str">
        <f t="shared" si="28"/>
        <v/>
      </c>
      <c r="W41" s="2" t="str">
        <f t="shared" si="12"/>
        <v/>
      </c>
      <c r="X41" s="2" t="str">
        <f t="shared" si="13"/>
        <v/>
      </c>
      <c r="Y41" s="2" t="str">
        <f t="shared" si="14"/>
        <v/>
      </c>
      <c r="Z41" s="2" t="str">
        <f t="shared" si="29"/>
        <v/>
      </c>
      <c r="AA41" s="2" t="str">
        <f t="shared" si="30"/>
        <v/>
      </c>
      <c r="AB41" s="2" t="str">
        <f t="shared" si="31"/>
        <v/>
      </c>
      <c r="AC41" s="2" t="str">
        <f t="shared" si="15"/>
        <v/>
      </c>
      <c r="AD41" s="2" t="str">
        <f t="shared" si="16"/>
        <v/>
      </c>
      <c r="AE41" s="2" t="str">
        <f t="shared" si="17"/>
        <v/>
      </c>
      <c r="AF41" s="2" t="str">
        <f t="shared" si="18"/>
        <v/>
      </c>
    </row>
    <row r="42" spans="1:32" x14ac:dyDescent="0.2">
      <c r="A42" s="2" t="str">
        <f t="shared" si="19"/>
        <v/>
      </c>
      <c r="B42" s="2" t="str">
        <f t="shared" si="0"/>
        <v/>
      </c>
      <c r="C42" s="2" t="str">
        <f t="shared" si="1"/>
        <v/>
      </c>
      <c r="D42" s="2" t="str">
        <f t="shared" si="2"/>
        <v/>
      </c>
      <c r="E42" s="2" t="str">
        <f t="shared" si="3"/>
        <v/>
      </c>
      <c r="F42" s="2" t="str">
        <f t="shared" si="4"/>
        <v/>
      </c>
      <c r="G42" s="2" t="str">
        <f t="shared" si="5"/>
        <v/>
      </c>
      <c r="H42" s="2" t="str">
        <f t="shared" si="20"/>
        <v/>
      </c>
      <c r="I42" s="2" t="str">
        <f t="shared" si="21"/>
        <v/>
      </c>
      <c r="J42" s="2" t="str">
        <f t="shared" si="22"/>
        <v/>
      </c>
      <c r="K42" s="2" t="str">
        <f t="shared" si="6"/>
        <v/>
      </c>
      <c r="L42" s="2" t="str">
        <f t="shared" si="7"/>
        <v/>
      </c>
      <c r="M42" s="2" t="str">
        <f t="shared" si="8"/>
        <v/>
      </c>
      <c r="N42" s="2" t="str">
        <f t="shared" si="23"/>
        <v/>
      </c>
      <c r="O42" s="2" t="str">
        <f t="shared" si="24"/>
        <v/>
      </c>
      <c r="P42" s="2" t="str">
        <f t="shared" si="25"/>
        <v/>
      </c>
      <c r="Q42" s="2" t="str">
        <f t="shared" si="9"/>
        <v/>
      </c>
      <c r="R42" s="2" t="str">
        <f t="shared" si="10"/>
        <v/>
      </c>
      <c r="S42" s="2" t="str">
        <f t="shared" si="11"/>
        <v/>
      </c>
      <c r="T42" s="2" t="str">
        <f t="shared" si="26"/>
        <v/>
      </c>
      <c r="U42" s="2" t="str">
        <f t="shared" si="27"/>
        <v/>
      </c>
      <c r="V42" s="2" t="str">
        <f t="shared" si="28"/>
        <v/>
      </c>
      <c r="W42" s="2" t="str">
        <f t="shared" si="12"/>
        <v/>
      </c>
      <c r="X42" s="2" t="str">
        <f t="shared" si="13"/>
        <v/>
      </c>
      <c r="Y42" s="2" t="str">
        <f t="shared" si="14"/>
        <v/>
      </c>
      <c r="Z42" s="2" t="str">
        <f t="shared" si="29"/>
        <v/>
      </c>
      <c r="AA42" s="2" t="str">
        <f t="shared" si="30"/>
        <v/>
      </c>
      <c r="AB42" s="2" t="str">
        <f t="shared" si="31"/>
        <v/>
      </c>
      <c r="AC42" s="2" t="str">
        <f t="shared" si="15"/>
        <v/>
      </c>
      <c r="AD42" s="2" t="str">
        <f t="shared" si="16"/>
        <v/>
      </c>
      <c r="AE42" s="2" t="str">
        <f t="shared" si="17"/>
        <v/>
      </c>
      <c r="AF42" s="2" t="str">
        <f t="shared" si="18"/>
        <v/>
      </c>
    </row>
    <row r="43" spans="1:32" x14ac:dyDescent="0.2">
      <c r="A43" s="2" t="str">
        <f t="shared" si="19"/>
        <v/>
      </c>
      <c r="B43" s="2" t="str">
        <f t="shared" si="0"/>
        <v/>
      </c>
      <c r="C43" s="2" t="str">
        <f t="shared" si="1"/>
        <v/>
      </c>
      <c r="D43" s="2" t="str">
        <f t="shared" si="2"/>
        <v/>
      </c>
      <c r="E43" s="2" t="str">
        <f t="shared" si="3"/>
        <v/>
      </c>
      <c r="F43" s="2" t="str">
        <f t="shared" si="4"/>
        <v/>
      </c>
      <c r="G43" s="2" t="str">
        <f t="shared" si="5"/>
        <v/>
      </c>
      <c r="H43" s="2" t="str">
        <f t="shared" si="20"/>
        <v/>
      </c>
      <c r="I43" s="2" t="str">
        <f t="shared" si="21"/>
        <v/>
      </c>
      <c r="J43" s="2" t="str">
        <f t="shared" si="22"/>
        <v/>
      </c>
      <c r="K43" s="2" t="str">
        <f t="shared" si="6"/>
        <v/>
      </c>
      <c r="L43" s="2" t="str">
        <f t="shared" si="7"/>
        <v/>
      </c>
      <c r="M43" s="2" t="str">
        <f t="shared" si="8"/>
        <v/>
      </c>
      <c r="N43" s="2" t="str">
        <f t="shared" si="23"/>
        <v/>
      </c>
      <c r="O43" s="2" t="str">
        <f t="shared" si="24"/>
        <v/>
      </c>
      <c r="P43" s="2" t="str">
        <f t="shared" si="25"/>
        <v/>
      </c>
      <c r="Q43" s="2" t="str">
        <f t="shared" si="9"/>
        <v/>
      </c>
      <c r="R43" s="2" t="str">
        <f t="shared" si="10"/>
        <v/>
      </c>
      <c r="S43" s="2" t="str">
        <f t="shared" si="11"/>
        <v/>
      </c>
      <c r="T43" s="2" t="str">
        <f t="shared" si="26"/>
        <v/>
      </c>
      <c r="U43" s="2" t="str">
        <f t="shared" si="27"/>
        <v/>
      </c>
      <c r="V43" s="2" t="str">
        <f t="shared" si="28"/>
        <v/>
      </c>
      <c r="W43" s="2" t="str">
        <f t="shared" si="12"/>
        <v/>
      </c>
      <c r="X43" s="2" t="str">
        <f t="shared" si="13"/>
        <v/>
      </c>
      <c r="Y43" s="2" t="str">
        <f t="shared" si="14"/>
        <v/>
      </c>
      <c r="Z43" s="2" t="str">
        <f t="shared" si="29"/>
        <v/>
      </c>
      <c r="AA43" s="2" t="str">
        <f t="shared" si="30"/>
        <v/>
      </c>
      <c r="AB43" s="2" t="str">
        <f t="shared" si="31"/>
        <v/>
      </c>
      <c r="AC43" s="2" t="str">
        <f t="shared" si="15"/>
        <v/>
      </c>
      <c r="AD43" s="2" t="str">
        <f t="shared" si="16"/>
        <v/>
      </c>
      <c r="AE43" s="2" t="str">
        <f t="shared" si="17"/>
        <v/>
      </c>
      <c r="AF43" s="2" t="str">
        <f t="shared" si="18"/>
        <v/>
      </c>
    </row>
    <row r="44" spans="1:32" x14ac:dyDescent="0.2">
      <c r="A44" s="2" t="str">
        <f t="shared" si="19"/>
        <v/>
      </c>
      <c r="B44" s="2" t="str">
        <f t="shared" si="0"/>
        <v/>
      </c>
      <c r="C44" s="2" t="str">
        <f t="shared" si="1"/>
        <v/>
      </c>
      <c r="D44" s="2" t="str">
        <f t="shared" si="2"/>
        <v/>
      </c>
      <c r="E44" s="2" t="str">
        <f t="shared" si="3"/>
        <v/>
      </c>
      <c r="F44" s="2" t="str">
        <f t="shared" si="4"/>
        <v/>
      </c>
      <c r="G44" s="2" t="str">
        <f t="shared" si="5"/>
        <v/>
      </c>
      <c r="H44" s="2" t="str">
        <f t="shared" si="20"/>
        <v/>
      </c>
      <c r="I44" s="2" t="str">
        <f t="shared" si="21"/>
        <v/>
      </c>
      <c r="J44" s="2" t="str">
        <f t="shared" si="22"/>
        <v/>
      </c>
      <c r="K44" s="2" t="str">
        <f t="shared" si="6"/>
        <v/>
      </c>
      <c r="L44" s="2" t="str">
        <f t="shared" si="7"/>
        <v/>
      </c>
      <c r="M44" s="2" t="str">
        <f t="shared" si="8"/>
        <v/>
      </c>
      <c r="N44" s="2" t="str">
        <f t="shared" si="23"/>
        <v/>
      </c>
      <c r="O44" s="2" t="str">
        <f t="shared" si="24"/>
        <v/>
      </c>
      <c r="P44" s="2" t="str">
        <f t="shared" si="25"/>
        <v/>
      </c>
      <c r="Q44" s="2" t="str">
        <f t="shared" si="9"/>
        <v/>
      </c>
      <c r="R44" s="2" t="str">
        <f t="shared" si="10"/>
        <v/>
      </c>
      <c r="S44" s="2" t="str">
        <f t="shared" si="11"/>
        <v/>
      </c>
      <c r="T44" s="2" t="str">
        <f t="shared" si="26"/>
        <v/>
      </c>
      <c r="U44" s="2" t="str">
        <f t="shared" si="27"/>
        <v/>
      </c>
      <c r="V44" s="2" t="str">
        <f t="shared" si="28"/>
        <v/>
      </c>
      <c r="W44" s="2" t="str">
        <f t="shared" si="12"/>
        <v/>
      </c>
      <c r="X44" s="2" t="str">
        <f t="shared" si="13"/>
        <v/>
      </c>
      <c r="Y44" s="2" t="str">
        <f t="shared" si="14"/>
        <v/>
      </c>
      <c r="Z44" s="2" t="str">
        <f t="shared" si="29"/>
        <v/>
      </c>
      <c r="AA44" s="2" t="str">
        <f t="shared" si="30"/>
        <v/>
      </c>
      <c r="AB44" s="2" t="str">
        <f t="shared" si="31"/>
        <v/>
      </c>
      <c r="AC44" s="2" t="str">
        <f t="shared" si="15"/>
        <v/>
      </c>
      <c r="AD44" s="2" t="str">
        <f t="shared" si="16"/>
        <v/>
      </c>
      <c r="AE44" s="2" t="str">
        <f t="shared" si="17"/>
        <v/>
      </c>
      <c r="AF44" s="2" t="str">
        <f t="shared" si="18"/>
        <v/>
      </c>
    </row>
    <row r="45" spans="1:32" x14ac:dyDescent="0.2">
      <c r="A45" s="2" t="str">
        <f t="shared" si="19"/>
        <v/>
      </c>
      <c r="B45" s="2" t="str">
        <f t="shared" si="0"/>
        <v/>
      </c>
      <c r="C45" s="2" t="str">
        <f t="shared" si="1"/>
        <v/>
      </c>
      <c r="D45" s="2" t="str">
        <f t="shared" si="2"/>
        <v/>
      </c>
      <c r="E45" s="2" t="str">
        <f t="shared" si="3"/>
        <v/>
      </c>
      <c r="F45" s="2" t="str">
        <f t="shared" si="4"/>
        <v/>
      </c>
      <c r="G45" s="2" t="str">
        <f t="shared" si="5"/>
        <v/>
      </c>
      <c r="H45" s="2" t="str">
        <f t="shared" si="20"/>
        <v/>
      </c>
      <c r="I45" s="2" t="str">
        <f t="shared" si="21"/>
        <v/>
      </c>
      <c r="J45" s="2" t="str">
        <f t="shared" si="22"/>
        <v/>
      </c>
      <c r="K45" s="2" t="str">
        <f t="shared" si="6"/>
        <v/>
      </c>
      <c r="L45" s="2" t="str">
        <f t="shared" si="7"/>
        <v/>
      </c>
      <c r="M45" s="2" t="str">
        <f t="shared" si="8"/>
        <v/>
      </c>
      <c r="N45" s="2" t="str">
        <f t="shared" si="23"/>
        <v/>
      </c>
      <c r="O45" s="2" t="str">
        <f t="shared" si="24"/>
        <v/>
      </c>
      <c r="P45" s="2" t="str">
        <f t="shared" si="25"/>
        <v/>
      </c>
      <c r="Q45" s="2" t="str">
        <f t="shared" si="9"/>
        <v/>
      </c>
      <c r="R45" s="2" t="str">
        <f t="shared" si="10"/>
        <v/>
      </c>
      <c r="S45" s="2" t="str">
        <f t="shared" si="11"/>
        <v/>
      </c>
      <c r="T45" s="2" t="str">
        <f t="shared" si="26"/>
        <v/>
      </c>
      <c r="U45" s="2" t="str">
        <f t="shared" si="27"/>
        <v/>
      </c>
      <c r="V45" s="2" t="str">
        <f t="shared" si="28"/>
        <v/>
      </c>
      <c r="W45" s="2" t="str">
        <f t="shared" si="12"/>
        <v/>
      </c>
      <c r="X45" s="2" t="str">
        <f t="shared" si="13"/>
        <v/>
      </c>
      <c r="Y45" s="2" t="str">
        <f t="shared" si="14"/>
        <v/>
      </c>
      <c r="Z45" s="2" t="str">
        <f t="shared" si="29"/>
        <v/>
      </c>
      <c r="AA45" s="2" t="str">
        <f t="shared" si="30"/>
        <v/>
      </c>
      <c r="AB45" s="2" t="str">
        <f t="shared" si="31"/>
        <v/>
      </c>
      <c r="AC45" s="2" t="str">
        <f t="shared" si="15"/>
        <v/>
      </c>
      <c r="AD45" s="2" t="str">
        <f t="shared" si="16"/>
        <v/>
      </c>
      <c r="AE45" s="2" t="str">
        <f t="shared" si="17"/>
        <v/>
      </c>
      <c r="AF45" s="2" t="str">
        <f t="shared" si="18"/>
        <v/>
      </c>
    </row>
    <row r="46" spans="1:32" x14ac:dyDescent="0.2">
      <c r="A46" s="2" t="str">
        <f t="shared" si="19"/>
        <v/>
      </c>
      <c r="B46" s="2" t="str">
        <f t="shared" si="0"/>
        <v/>
      </c>
      <c r="C46" s="2" t="str">
        <f t="shared" si="1"/>
        <v/>
      </c>
      <c r="D46" s="2" t="str">
        <f t="shared" si="2"/>
        <v/>
      </c>
      <c r="E46" s="2" t="str">
        <f t="shared" si="3"/>
        <v/>
      </c>
      <c r="F46" s="2" t="str">
        <f t="shared" si="4"/>
        <v/>
      </c>
      <c r="G46" s="2" t="str">
        <f t="shared" si="5"/>
        <v/>
      </c>
      <c r="H46" s="2" t="str">
        <f t="shared" si="20"/>
        <v/>
      </c>
      <c r="I46" s="2" t="str">
        <f t="shared" si="21"/>
        <v/>
      </c>
      <c r="J46" s="2" t="str">
        <f t="shared" si="22"/>
        <v/>
      </c>
      <c r="K46" s="2" t="str">
        <f t="shared" si="6"/>
        <v/>
      </c>
      <c r="L46" s="2" t="str">
        <f t="shared" si="7"/>
        <v/>
      </c>
      <c r="M46" s="2" t="str">
        <f t="shared" si="8"/>
        <v/>
      </c>
      <c r="N46" s="2" t="str">
        <f t="shared" si="23"/>
        <v/>
      </c>
      <c r="O46" s="2" t="str">
        <f t="shared" si="24"/>
        <v/>
      </c>
      <c r="P46" s="2" t="str">
        <f t="shared" si="25"/>
        <v/>
      </c>
      <c r="Q46" s="2" t="str">
        <f t="shared" si="9"/>
        <v/>
      </c>
      <c r="R46" s="2" t="str">
        <f t="shared" si="10"/>
        <v/>
      </c>
      <c r="S46" s="2" t="str">
        <f t="shared" si="11"/>
        <v/>
      </c>
      <c r="T46" s="2" t="str">
        <f t="shared" si="26"/>
        <v/>
      </c>
      <c r="U46" s="2" t="str">
        <f t="shared" si="27"/>
        <v/>
      </c>
      <c r="V46" s="2" t="str">
        <f t="shared" si="28"/>
        <v/>
      </c>
      <c r="W46" s="2" t="str">
        <f t="shared" si="12"/>
        <v/>
      </c>
      <c r="X46" s="2" t="str">
        <f t="shared" si="13"/>
        <v/>
      </c>
      <c r="Y46" s="2" t="str">
        <f t="shared" si="14"/>
        <v/>
      </c>
      <c r="Z46" s="2" t="str">
        <f t="shared" si="29"/>
        <v/>
      </c>
      <c r="AA46" s="2" t="str">
        <f t="shared" si="30"/>
        <v/>
      </c>
      <c r="AB46" s="2" t="str">
        <f t="shared" si="31"/>
        <v/>
      </c>
      <c r="AC46" s="2" t="str">
        <f t="shared" si="15"/>
        <v/>
      </c>
      <c r="AD46" s="2" t="str">
        <f t="shared" si="16"/>
        <v/>
      </c>
      <c r="AE46" s="2" t="str">
        <f t="shared" si="17"/>
        <v/>
      </c>
      <c r="AF46" s="2" t="str">
        <f t="shared" si="18"/>
        <v/>
      </c>
    </row>
    <row r="47" spans="1:32" x14ac:dyDescent="0.2">
      <c r="A47" s="2" t="str">
        <f t="shared" si="19"/>
        <v/>
      </c>
      <c r="B47" s="2" t="str">
        <f t="shared" si="0"/>
        <v/>
      </c>
      <c r="C47" s="2" t="str">
        <f t="shared" si="1"/>
        <v/>
      </c>
      <c r="D47" s="2" t="str">
        <f t="shared" si="2"/>
        <v/>
      </c>
      <c r="E47" s="2" t="str">
        <f t="shared" si="3"/>
        <v/>
      </c>
      <c r="F47" s="2" t="str">
        <f t="shared" si="4"/>
        <v/>
      </c>
      <c r="G47" s="2" t="str">
        <f t="shared" si="5"/>
        <v/>
      </c>
      <c r="H47" s="2" t="str">
        <f t="shared" si="20"/>
        <v/>
      </c>
      <c r="I47" s="2" t="str">
        <f t="shared" si="21"/>
        <v/>
      </c>
      <c r="J47" s="2" t="str">
        <f t="shared" si="22"/>
        <v/>
      </c>
      <c r="K47" s="2" t="str">
        <f t="shared" si="6"/>
        <v/>
      </c>
      <c r="L47" s="2" t="str">
        <f t="shared" si="7"/>
        <v/>
      </c>
      <c r="M47" s="2" t="str">
        <f t="shared" si="8"/>
        <v/>
      </c>
      <c r="N47" s="2" t="str">
        <f t="shared" si="23"/>
        <v/>
      </c>
      <c r="O47" s="2" t="str">
        <f t="shared" si="24"/>
        <v/>
      </c>
      <c r="P47" s="2" t="str">
        <f t="shared" si="25"/>
        <v/>
      </c>
      <c r="Q47" s="2" t="str">
        <f t="shared" si="9"/>
        <v/>
      </c>
      <c r="R47" s="2" t="str">
        <f t="shared" si="10"/>
        <v/>
      </c>
      <c r="S47" s="2" t="str">
        <f t="shared" si="11"/>
        <v/>
      </c>
      <c r="T47" s="2" t="str">
        <f t="shared" si="26"/>
        <v/>
      </c>
      <c r="U47" s="2" t="str">
        <f t="shared" si="27"/>
        <v/>
      </c>
      <c r="V47" s="2" t="str">
        <f t="shared" si="28"/>
        <v/>
      </c>
      <c r="W47" s="2" t="str">
        <f t="shared" si="12"/>
        <v/>
      </c>
      <c r="X47" s="2" t="str">
        <f t="shared" si="13"/>
        <v/>
      </c>
      <c r="Y47" s="2" t="str">
        <f t="shared" si="14"/>
        <v/>
      </c>
      <c r="Z47" s="2" t="str">
        <f t="shared" si="29"/>
        <v/>
      </c>
      <c r="AA47" s="2" t="str">
        <f t="shared" si="30"/>
        <v/>
      </c>
      <c r="AB47" s="2" t="str">
        <f t="shared" si="31"/>
        <v/>
      </c>
      <c r="AC47" s="2" t="str">
        <f t="shared" si="15"/>
        <v/>
      </c>
      <c r="AD47" s="2" t="str">
        <f t="shared" si="16"/>
        <v/>
      </c>
      <c r="AE47" s="2" t="str">
        <f t="shared" si="17"/>
        <v/>
      </c>
      <c r="AF47" s="2" t="str">
        <f t="shared" si="18"/>
        <v/>
      </c>
    </row>
    <row r="48" spans="1:32" x14ac:dyDescent="0.2">
      <c r="A48" s="2" t="str">
        <f t="shared" si="19"/>
        <v/>
      </c>
      <c r="B48" s="2" t="str">
        <f t="shared" si="0"/>
        <v/>
      </c>
      <c r="C48" s="2" t="str">
        <f t="shared" si="1"/>
        <v/>
      </c>
      <c r="D48" s="2" t="str">
        <f t="shared" si="2"/>
        <v/>
      </c>
      <c r="E48" s="2" t="str">
        <f t="shared" si="3"/>
        <v/>
      </c>
      <c r="F48" s="2" t="str">
        <f t="shared" si="4"/>
        <v/>
      </c>
      <c r="G48" s="2" t="str">
        <f t="shared" si="5"/>
        <v/>
      </c>
      <c r="H48" s="2" t="str">
        <f t="shared" si="20"/>
        <v/>
      </c>
      <c r="I48" s="2" t="str">
        <f t="shared" si="21"/>
        <v/>
      </c>
      <c r="J48" s="2" t="str">
        <f t="shared" si="22"/>
        <v/>
      </c>
      <c r="K48" s="2" t="str">
        <f t="shared" si="6"/>
        <v/>
      </c>
      <c r="L48" s="2" t="str">
        <f t="shared" si="7"/>
        <v/>
      </c>
      <c r="M48" s="2" t="str">
        <f t="shared" si="8"/>
        <v/>
      </c>
      <c r="N48" s="2" t="str">
        <f t="shared" si="23"/>
        <v/>
      </c>
      <c r="O48" s="2" t="str">
        <f t="shared" si="24"/>
        <v/>
      </c>
      <c r="P48" s="2" t="str">
        <f t="shared" si="25"/>
        <v/>
      </c>
      <c r="Q48" s="2" t="str">
        <f t="shared" si="9"/>
        <v/>
      </c>
      <c r="R48" s="2" t="str">
        <f t="shared" si="10"/>
        <v/>
      </c>
      <c r="S48" s="2" t="str">
        <f t="shared" si="11"/>
        <v/>
      </c>
      <c r="T48" s="2" t="str">
        <f t="shared" si="26"/>
        <v/>
      </c>
      <c r="U48" s="2" t="str">
        <f t="shared" si="27"/>
        <v/>
      </c>
      <c r="V48" s="2" t="str">
        <f t="shared" si="28"/>
        <v/>
      </c>
      <c r="W48" s="2" t="str">
        <f t="shared" si="12"/>
        <v/>
      </c>
      <c r="X48" s="2" t="str">
        <f t="shared" si="13"/>
        <v/>
      </c>
      <c r="Y48" s="2" t="str">
        <f t="shared" si="14"/>
        <v/>
      </c>
      <c r="Z48" s="2" t="str">
        <f t="shared" si="29"/>
        <v/>
      </c>
      <c r="AA48" s="2" t="str">
        <f t="shared" si="30"/>
        <v/>
      </c>
      <c r="AB48" s="2" t="str">
        <f t="shared" si="31"/>
        <v/>
      </c>
      <c r="AC48" s="2" t="str">
        <f t="shared" si="15"/>
        <v/>
      </c>
      <c r="AD48" s="2" t="str">
        <f t="shared" si="16"/>
        <v/>
      </c>
      <c r="AE48" s="2" t="str">
        <f t="shared" si="17"/>
        <v/>
      </c>
      <c r="AF48" s="2" t="str">
        <f t="shared" si="18"/>
        <v/>
      </c>
    </row>
    <row r="49" spans="1:32" x14ac:dyDescent="0.2">
      <c r="A49" s="2" t="str">
        <f t="shared" si="19"/>
        <v/>
      </c>
      <c r="B49" s="2" t="str">
        <f t="shared" si="0"/>
        <v/>
      </c>
      <c r="C49" s="2" t="str">
        <f t="shared" si="1"/>
        <v/>
      </c>
      <c r="D49" s="2" t="str">
        <f t="shared" si="2"/>
        <v/>
      </c>
      <c r="E49" s="2" t="str">
        <f t="shared" si="3"/>
        <v/>
      </c>
      <c r="F49" s="2" t="str">
        <f t="shared" si="4"/>
        <v/>
      </c>
      <c r="G49" s="2" t="str">
        <f t="shared" si="5"/>
        <v/>
      </c>
      <c r="H49" s="2" t="str">
        <f t="shared" si="20"/>
        <v/>
      </c>
      <c r="I49" s="2" t="str">
        <f t="shared" si="21"/>
        <v/>
      </c>
      <c r="J49" s="2" t="str">
        <f t="shared" si="22"/>
        <v/>
      </c>
      <c r="K49" s="2" t="str">
        <f t="shared" si="6"/>
        <v/>
      </c>
      <c r="L49" s="2" t="str">
        <f t="shared" si="7"/>
        <v/>
      </c>
      <c r="M49" s="2" t="str">
        <f t="shared" si="8"/>
        <v/>
      </c>
      <c r="N49" s="2" t="str">
        <f t="shared" si="23"/>
        <v/>
      </c>
      <c r="O49" s="2" t="str">
        <f t="shared" si="24"/>
        <v/>
      </c>
      <c r="P49" s="2" t="str">
        <f t="shared" si="25"/>
        <v/>
      </c>
      <c r="Q49" s="2" t="str">
        <f t="shared" si="9"/>
        <v/>
      </c>
      <c r="R49" s="2" t="str">
        <f t="shared" si="10"/>
        <v/>
      </c>
      <c r="S49" s="2" t="str">
        <f t="shared" si="11"/>
        <v/>
      </c>
      <c r="T49" s="2" t="str">
        <f t="shared" si="26"/>
        <v/>
      </c>
      <c r="U49" s="2" t="str">
        <f t="shared" si="27"/>
        <v/>
      </c>
      <c r="V49" s="2" t="str">
        <f t="shared" si="28"/>
        <v/>
      </c>
      <c r="W49" s="2" t="str">
        <f t="shared" si="12"/>
        <v/>
      </c>
      <c r="X49" s="2" t="str">
        <f t="shared" si="13"/>
        <v/>
      </c>
      <c r="Y49" s="2" t="str">
        <f t="shared" si="14"/>
        <v/>
      </c>
      <c r="Z49" s="2" t="str">
        <f t="shared" si="29"/>
        <v/>
      </c>
      <c r="AA49" s="2" t="str">
        <f t="shared" si="30"/>
        <v/>
      </c>
      <c r="AB49" s="2" t="str">
        <f t="shared" si="31"/>
        <v/>
      </c>
      <c r="AC49" s="2" t="str">
        <f t="shared" si="15"/>
        <v/>
      </c>
      <c r="AD49" s="2" t="str">
        <f t="shared" si="16"/>
        <v/>
      </c>
      <c r="AE49" s="2" t="str">
        <f t="shared" si="17"/>
        <v/>
      </c>
      <c r="AF49" s="2" t="str">
        <f t="shared" si="18"/>
        <v/>
      </c>
    </row>
    <row r="50" spans="1:32" x14ac:dyDescent="0.2">
      <c r="A50" s="2" t="str">
        <f t="shared" si="19"/>
        <v/>
      </c>
      <c r="B50" s="2" t="str">
        <f t="shared" si="0"/>
        <v/>
      </c>
      <c r="C50" s="2" t="str">
        <f t="shared" si="1"/>
        <v/>
      </c>
      <c r="D50" s="2" t="str">
        <f t="shared" si="2"/>
        <v/>
      </c>
      <c r="E50" s="2" t="str">
        <f t="shared" si="3"/>
        <v/>
      </c>
      <c r="F50" s="2" t="str">
        <f t="shared" si="4"/>
        <v/>
      </c>
      <c r="G50" s="2" t="str">
        <f t="shared" si="5"/>
        <v/>
      </c>
      <c r="H50" s="2" t="str">
        <f t="shared" si="20"/>
        <v/>
      </c>
      <c r="I50" s="2" t="str">
        <f t="shared" si="21"/>
        <v/>
      </c>
      <c r="J50" s="2" t="str">
        <f t="shared" si="22"/>
        <v/>
      </c>
      <c r="K50" s="2" t="str">
        <f t="shared" si="6"/>
        <v/>
      </c>
      <c r="L50" s="2" t="str">
        <f t="shared" si="7"/>
        <v/>
      </c>
      <c r="M50" s="2" t="str">
        <f t="shared" si="8"/>
        <v/>
      </c>
      <c r="N50" s="2" t="str">
        <f t="shared" si="23"/>
        <v/>
      </c>
      <c r="O50" s="2" t="str">
        <f t="shared" si="24"/>
        <v/>
      </c>
      <c r="P50" s="2" t="str">
        <f t="shared" si="25"/>
        <v/>
      </c>
      <c r="Q50" s="2" t="str">
        <f t="shared" si="9"/>
        <v/>
      </c>
      <c r="R50" s="2" t="str">
        <f t="shared" si="10"/>
        <v/>
      </c>
      <c r="S50" s="2" t="str">
        <f t="shared" si="11"/>
        <v/>
      </c>
      <c r="T50" s="2" t="str">
        <f t="shared" si="26"/>
        <v/>
      </c>
      <c r="U50" s="2" t="str">
        <f t="shared" si="27"/>
        <v/>
      </c>
      <c r="V50" s="2" t="str">
        <f t="shared" si="28"/>
        <v/>
      </c>
      <c r="W50" s="2" t="str">
        <f t="shared" si="12"/>
        <v/>
      </c>
      <c r="X50" s="2" t="str">
        <f t="shared" si="13"/>
        <v/>
      </c>
      <c r="Y50" s="2" t="str">
        <f t="shared" si="14"/>
        <v/>
      </c>
      <c r="Z50" s="2" t="str">
        <f t="shared" si="29"/>
        <v/>
      </c>
      <c r="AA50" s="2" t="str">
        <f t="shared" si="30"/>
        <v/>
      </c>
      <c r="AB50" s="2" t="str">
        <f t="shared" si="31"/>
        <v/>
      </c>
      <c r="AC50" s="2" t="str">
        <f t="shared" si="15"/>
        <v/>
      </c>
      <c r="AD50" s="2" t="str">
        <f t="shared" si="16"/>
        <v/>
      </c>
      <c r="AE50" s="2" t="str">
        <f t="shared" si="17"/>
        <v/>
      </c>
      <c r="AF50" s="2" t="str">
        <f t="shared" si="18"/>
        <v/>
      </c>
    </row>
    <row r="51" spans="1:32" x14ac:dyDescent="0.2">
      <c r="A51" s="2" t="str">
        <f t="shared" si="19"/>
        <v/>
      </c>
      <c r="B51" s="2" t="str">
        <f t="shared" si="0"/>
        <v/>
      </c>
      <c r="C51" s="2" t="str">
        <f t="shared" si="1"/>
        <v/>
      </c>
      <c r="D51" s="2" t="str">
        <f t="shared" si="2"/>
        <v/>
      </c>
      <c r="E51" s="2" t="str">
        <f t="shared" si="3"/>
        <v/>
      </c>
      <c r="F51" s="2" t="str">
        <f t="shared" si="4"/>
        <v/>
      </c>
      <c r="G51" s="2" t="str">
        <f t="shared" si="5"/>
        <v/>
      </c>
      <c r="H51" s="2" t="str">
        <f t="shared" si="20"/>
        <v/>
      </c>
      <c r="I51" s="2" t="str">
        <f t="shared" si="21"/>
        <v/>
      </c>
      <c r="J51" s="2" t="str">
        <f t="shared" si="22"/>
        <v/>
      </c>
      <c r="K51" s="2" t="str">
        <f t="shared" si="6"/>
        <v/>
      </c>
      <c r="L51" s="2" t="str">
        <f t="shared" si="7"/>
        <v/>
      </c>
      <c r="M51" s="2" t="str">
        <f t="shared" si="8"/>
        <v/>
      </c>
      <c r="N51" s="2" t="str">
        <f t="shared" si="23"/>
        <v/>
      </c>
      <c r="O51" s="2" t="str">
        <f t="shared" si="24"/>
        <v/>
      </c>
      <c r="P51" s="2" t="str">
        <f t="shared" si="25"/>
        <v/>
      </c>
      <c r="Q51" s="2" t="str">
        <f t="shared" si="9"/>
        <v/>
      </c>
      <c r="R51" s="2" t="str">
        <f t="shared" si="10"/>
        <v/>
      </c>
      <c r="S51" s="2" t="str">
        <f t="shared" si="11"/>
        <v/>
      </c>
      <c r="T51" s="2" t="str">
        <f t="shared" si="26"/>
        <v/>
      </c>
      <c r="U51" s="2" t="str">
        <f t="shared" si="27"/>
        <v/>
      </c>
      <c r="V51" s="2" t="str">
        <f t="shared" si="28"/>
        <v/>
      </c>
      <c r="W51" s="2" t="str">
        <f t="shared" si="12"/>
        <v/>
      </c>
      <c r="X51" s="2" t="str">
        <f t="shared" si="13"/>
        <v/>
      </c>
      <c r="Y51" s="2" t="str">
        <f t="shared" si="14"/>
        <v/>
      </c>
      <c r="Z51" s="2" t="str">
        <f t="shared" si="29"/>
        <v/>
      </c>
      <c r="AA51" s="2" t="str">
        <f t="shared" si="30"/>
        <v/>
      </c>
      <c r="AB51" s="2" t="str">
        <f t="shared" si="31"/>
        <v/>
      </c>
      <c r="AC51" s="2" t="str">
        <f t="shared" si="15"/>
        <v/>
      </c>
      <c r="AD51" s="2" t="str">
        <f t="shared" si="16"/>
        <v/>
      </c>
      <c r="AE51" s="2" t="str">
        <f t="shared" si="17"/>
        <v/>
      </c>
      <c r="AF51" s="2" t="str">
        <f t="shared" si="18"/>
        <v/>
      </c>
    </row>
    <row r="52" spans="1:32" x14ac:dyDescent="0.2">
      <c r="A52" s="2" t="str">
        <f t="shared" si="19"/>
        <v/>
      </c>
      <c r="B52" s="2" t="str">
        <f t="shared" si="0"/>
        <v/>
      </c>
      <c r="C52" s="2" t="str">
        <f t="shared" si="1"/>
        <v/>
      </c>
      <c r="D52" s="2" t="str">
        <f t="shared" si="2"/>
        <v/>
      </c>
      <c r="E52" s="2" t="str">
        <f t="shared" si="3"/>
        <v/>
      </c>
      <c r="F52" s="2" t="str">
        <f t="shared" si="4"/>
        <v/>
      </c>
      <c r="G52" s="2" t="str">
        <f t="shared" si="5"/>
        <v/>
      </c>
      <c r="H52" s="2" t="str">
        <f t="shared" si="20"/>
        <v/>
      </c>
      <c r="I52" s="2" t="str">
        <f t="shared" si="21"/>
        <v/>
      </c>
      <c r="J52" s="2" t="str">
        <f t="shared" si="22"/>
        <v/>
      </c>
      <c r="K52" s="2" t="str">
        <f t="shared" si="6"/>
        <v/>
      </c>
      <c r="L52" s="2" t="str">
        <f t="shared" si="7"/>
        <v/>
      </c>
      <c r="M52" s="2" t="str">
        <f t="shared" si="8"/>
        <v/>
      </c>
      <c r="N52" s="2" t="str">
        <f t="shared" si="23"/>
        <v/>
      </c>
      <c r="O52" s="2" t="str">
        <f t="shared" si="24"/>
        <v/>
      </c>
      <c r="P52" s="2" t="str">
        <f t="shared" si="25"/>
        <v/>
      </c>
      <c r="Q52" s="2" t="str">
        <f t="shared" si="9"/>
        <v/>
      </c>
      <c r="R52" s="2" t="str">
        <f t="shared" si="10"/>
        <v/>
      </c>
      <c r="S52" s="2" t="str">
        <f t="shared" si="11"/>
        <v/>
      </c>
      <c r="T52" s="2" t="str">
        <f t="shared" si="26"/>
        <v/>
      </c>
      <c r="U52" s="2" t="str">
        <f t="shared" si="27"/>
        <v/>
      </c>
      <c r="V52" s="2" t="str">
        <f t="shared" si="28"/>
        <v/>
      </c>
      <c r="W52" s="2" t="str">
        <f t="shared" si="12"/>
        <v/>
      </c>
      <c r="X52" s="2" t="str">
        <f t="shared" si="13"/>
        <v/>
      </c>
      <c r="Y52" s="2" t="str">
        <f t="shared" si="14"/>
        <v/>
      </c>
      <c r="Z52" s="2" t="str">
        <f t="shared" si="29"/>
        <v/>
      </c>
      <c r="AA52" s="2" t="str">
        <f t="shared" si="30"/>
        <v/>
      </c>
      <c r="AB52" s="2" t="str">
        <f t="shared" si="31"/>
        <v/>
      </c>
      <c r="AC52" s="2" t="str">
        <f t="shared" si="15"/>
        <v/>
      </c>
      <c r="AD52" s="2" t="str">
        <f t="shared" si="16"/>
        <v/>
      </c>
      <c r="AE52" s="2" t="str">
        <f t="shared" si="17"/>
        <v/>
      </c>
      <c r="AF52" s="2" t="str">
        <f t="shared" si="18"/>
        <v/>
      </c>
    </row>
    <row r="53" spans="1:32" x14ac:dyDescent="0.2">
      <c r="A53" s="2" t="str">
        <f t="shared" si="19"/>
        <v/>
      </c>
      <c r="B53" s="2" t="str">
        <f t="shared" si="0"/>
        <v/>
      </c>
      <c r="C53" s="2" t="str">
        <f t="shared" si="1"/>
        <v/>
      </c>
      <c r="D53" s="2" t="str">
        <f t="shared" si="2"/>
        <v/>
      </c>
      <c r="E53" s="2" t="str">
        <f t="shared" si="3"/>
        <v/>
      </c>
      <c r="F53" s="2" t="str">
        <f t="shared" si="4"/>
        <v/>
      </c>
      <c r="G53" s="2" t="str">
        <f t="shared" si="5"/>
        <v/>
      </c>
      <c r="H53" s="2" t="str">
        <f t="shared" si="20"/>
        <v/>
      </c>
      <c r="I53" s="2" t="str">
        <f t="shared" si="21"/>
        <v/>
      </c>
      <c r="J53" s="2" t="str">
        <f t="shared" si="22"/>
        <v/>
      </c>
      <c r="K53" s="2" t="str">
        <f t="shared" si="6"/>
        <v/>
      </c>
      <c r="L53" s="2" t="str">
        <f t="shared" si="7"/>
        <v/>
      </c>
      <c r="M53" s="2" t="str">
        <f t="shared" si="8"/>
        <v/>
      </c>
      <c r="N53" s="2" t="str">
        <f t="shared" si="23"/>
        <v/>
      </c>
      <c r="O53" s="2" t="str">
        <f t="shared" si="24"/>
        <v/>
      </c>
      <c r="P53" s="2" t="str">
        <f t="shared" si="25"/>
        <v/>
      </c>
      <c r="Q53" s="2" t="str">
        <f t="shared" si="9"/>
        <v/>
      </c>
      <c r="R53" s="2" t="str">
        <f t="shared" si="10"/>
        <v/>
      </c>
      <c r="S53" s="2" t="str">
        <f t="shared" si="11"/>
        <v/>
      </c>
      <c r="T53" s="2" t="str">
        <f t="shared" si="26"/>
        <v/>
      </c>
      <c r="U53" s="2" t="str">
        <f t="shared" si="27"/>
        <v/>
      </c>
      <c r="V53" s="2" t="str">
        <f t="shared" si="28"/>
        <v/>
      </c>
      <c r="W53" s="2" t="str">
        <f t="shared" si="12"/>
        <v/>
      </c>
      <c r="X53" s="2" t="str">
        <f t="shared" si="13"/>
        <v/>
      </c>
      <c r="Y53" s="2" t="str">
        <f t="shared" si="14"/>
        <v/>
      </c>
      <c r="Z53" s="2" t="str">
        <f t="shared" si="29"/>
        <v/>
      </c>
      <c r="AA53" s="2" t="str">
        <f t="shared" si="30"/>
        <v/>
      </c>
      <c r="AB53" s="2" t="str">
        <f t="shared" si="31"/>
        <v/>
      </c>
      <c r="AC53" s="2" t="str">
        <f t="shared" si="15"/>
        <v/>
      </c>
      <c r="AD53" s="2" t="str">
        <f t="shared" si="16"/>
        <v/>
      </c>
      <c r="AE53" s="2" t="str">
        <f t="shared" si="17"/>
        <v/>
      </c>
      <c r="AF53" s="2" t="str">
        <f t="shared" si="18"/>
        <v/>
      </c>
    </row>
    <row r="54" spans="1:32" x14ac:dyDescent="0.2">
      <c r="A54" s="2" t="str">
        <f t="shared" si="19"/>
        <v/>
      </c>
      <c r="B54" s="2" t="str">
        <f t="shared" si="0"/>
        <v/>
      </c>
      <c r="C54" s="2" t="str">
        <f t="shared" si="1"/>
        <v/>
      </c>
      <c r="D54" s="2" t="str">
        <f t="shared" si="2"/>
        <v/>
      </c>
      <c r="E54" s="2" t="str">
        <f t="shared" si="3"/>
        <v/>
      </c>
      <c r="F54" s="2" t="str">
        <f t="shared" si="4"/>
        <v/>
      </c>
      <c r="G54" s="2" t="str">
        <f t="shared" si="5"/>
        <v/>
      </c>
      <c r="H54" s="2" t="str">
        <f t="shared" si="20"/>
        <v/>
      </c>
      <c r="I54" s="2" t="str">
        <f t="shared" si="21"/>
        <v/>
      </c>
      <c r="J54" s="2" t="str">
        <f t="shared" si="22"/>
        <v/>
      </c>
      <c r="K54" s="2" t="str">
        <f t="shared" si="6"/>
        <v/>
      </c>
      <c r="L54" s="2" t="str">
        <f t="shared" si="7"/>
        <v/>
      </c>
      <c r="M54" s="2" t="str">
        <f t="shared" si="8"/>
        <v/>
      </c>
      <c r="N54" s="2" t="str">
        <f t="shared" si="23"/>
        <v/>
      </c>
      <c r="O54" s="2" t="str">
        <f t="shared" si="24"/>
        <v/>
      </c>
      <c r="P54" s="2" t="str">
        <f t="shared" si="25"/>
        <v/>
      </c>
      <c r="Q54" s="2" t="str">
        <f t="shared" si="9"/>
        <v/>
      </c>
      <c r="R54" s="2" t="str">
        <f t="shared" si="10"/>
        <v/>
      </c>
      <c r="S54" s="2" t="str">
        <f t="shared" si="11"/>
        <v/>
      </c>
      <c r="T54" s="2" t="str">
        <f t="shared" si="26"/>
        <v/>
      </c>
      <c r="U54" s="2" t="str">
        <f t="shared" si="27"/>
        <v/>
      </c>
      <c r="V54" s="2" t="str">
        <f t="shared" si="28"/>
        <v/>
      </c>
      <c r="W54" s="2" t="str">
        <f t="shared" si="12"/>
        <v/>
      </c>
      <c r="X54" s="2" t="str">
        <f t="shared" si="13"/>
        <v/>
      </c>
      <c r="Y54" s="2" t="str">
        <f t="shared" si="14"/>
        <v/>
      </c>
      <c r="Z54" s="2" t="str">
        <f t="shared" si="29"/>
        <v/>
      </c>
      <c r="AA54" s="2" t="str">
        <f t="shared" si="30"/>
        <v/>
      </c>
      <c r="AB54" s="2" t="str">
        <f t="shared" si="31"/>
        <v/>
      </c>
      <c r="AC54" s="2" t="str">
        <f t="shared" si="15"/>
        <v/>
      </c>
      <c r="AD54" s="2" t="str">
        <f t="shared" si="16"/>
        <v/>
      </c>
      <c r="AE54" s="2" t="str">
        <f t="shared" si="17"/>
        <v/>
      </c>
      <c r="AF54" s="2" t="str">
        <f t="shared" si="18"/>
        <v/>
      </c>
    </row>
    <row r="55" spans="1:32" x14ac:dyDescent="0.2">
      <c r="A55" s="2" t="str">
        <f t="shared" si="19"/>
        <v/>
      </c>
      <c r="B55" s="2" t="str">
        <f t="shared" si="0"/>
        <v/>
      </c>
      <c r="C55" s="2" t="str">
        <f t="shared" si="1"/>
        <v/>
      </c>
      <c r="D55" s="2" t="str">
        <f t="shared" si="2"/>
        <v/>
      </c>
      <c r="E55" s="2" t="str">
        <f t="shared" si="3"/>
        <v/>
      </c>
      <c r="F55" s="2" t="str">
        <f t="shared" si="4"/>
        <v/>
      </c>
      <c r="G55" s="2" t="str">
        <f t="shared" si="5"/>
        <v/>
      </c>
      <c r="H55" s="2" t="str">
        <f t="shared" si="20"/>
        <v/>
      </c>
      <c r="I55" s="2" t="str">
        <f t="shared" si="21"/>
        <v/>
      </c>
      <c r="J55" s="2" t="str">
        <f t="shared" si="22"/>
        <v/>
      </c>
      <c r="K55" s="2" t="str">
        <f t="shared" si="6"/>
        <v/>
      </c>
      <c r="L55" s="2" t="str">
        <f t="shared" si="7"/>
        <v/>
      </c>
      <c r="M55" s="2" t="str">
        <f t="shared" si="8"/>
        <v/>
      </c>
      <c r="N55" s="2" t="str">
        <f t="shared" si="23"/>
        <v/>
      </c>
      <c r="O55" s="2" t="str">
        <f t="shared" si="24"/>
        <v/>
      </c>
      <c r="P55" s="2" t="str">
        <f t="shared" si="25"/>
        <v/>
      </c>
      <c r="Q55" s="2" t="str">
        <f t="shared" si="9"/>
        <v/>
      </c>
      <c r="R55" s="2" t="str">
        <f t="shared" si="10"/>
        <v/>
      </c>
      <c r="S55" s="2" t="str">
        <f t="shared" si="11"/>
        <v/>
      </c>
      <c r="T55" s="2" t="str">
        <f t="shared" si="26"/>
        <v/>
      </c>
      <c r="U55" s="2" t="str">
        <f t="shared" si="27"/>
        <v/>
      </c>
      <c r="V55" s="2" t="str">
        <f t="shared" si="28"/>
        <v/>
      </c>
      <c r="W55" s="2" t="str">
        <f t="shared" si="12"/>
        <v/>
      </c>
      <c r="X55" s="2" t="str">
        <f t="shared" si="13"/>
        <v/>
      </c>
      <c r="Y55" s="2" t="str">
        <f t="shared" si="14"/>
        <v/>
      </c>
      <c r="Z55" s="2" t="str">
        <f t="shared" si="29"/>
        <v/>
      </c>
      <c r="AA55" s="2" t="str">
        <f t="shared" si="30"/>
        <v/>
      </c>
      <c r="AB55" s="2" t="str">
        <f t="shared" si="31"/>
        <v/>
      </c>
      <c r="AC55" s="2" t="str">
        <f t="shared" si="15"/>
        <v/>
      </c>
      <c r="AD55" s="2" t="str">
        <f t="shared" si="16"/>
        <v/>
      </c>
      <c r="AE55" s="2" t="str">
        <f t="shared" si="17"/>
        <v/>
      </c>
      <c r="AF55" s="2" t="str">
        <f t="shared" si="18"/>
        <v/>
      </c>
    </row>
    <row r="56" spans="1:32" x14ac:dyDescent="0.2">
      <c r="A56" s="2" t="str">
        <f t="shared" si="19"/>
        <v/>
      </c>
      <c r="B56" s="2" t="str">
        <f t="shared" si="0"/>
        <v/>
      </c>
      <c r="C56" s="2" t="str">
        <f t="shared" si="1"/>
        <v/>
      </c>
      <c r="D56" s="2" t="str">
        <f t="shared" si="2"/>
        <v/>
      </c>
      <c r="E56" s="2" t="str">
        <f t="shared" si="3"/>
        <v/>
      </c>
      <c r="F56" s="2" t="str">
        <f t="shared" si="4"/>
        <v/>
      </c>
      <c r="G56" s="2" t="str">
        <f t="shared" si="5"/>
        <v/>
      </c>
      <c r="H56" s="2" t="str">
        <f t="shared" si="20"/>
        <v/>
      </c>
      <c r="I56" s="2" t="str">
        <f t="shared" si="21"/>
        <v/>
      </c>
      <c r="J56" s="2" t="str">
        <f t="shared" si="22"/>
        <v/>
      </c>
      <c r="K56" s="2" t="str">
        <f t="shared" si="6"/>
        <v/>
      </c>
      <c r="L56" s="2" t="str">
        <f t="shared" si="7"/>
        <v/>
      </c>
      <c r="M56" s="2" t="str">
        <f t="shared" si="8"/>
        <v/>
      </c>
      <c r="N56" s="2" t="str">
        <f t="shared" si="23"/>
        <v/>
      </c>
      <c r="O56" s="2" t="str">
        <f t="shared" si="24"/>
        <v/>
      </c>
      <c r="P56" s="2" t="str">
        <f t="shared" si="25"/>
        <v/>
      </c>
      <c r="Q56" s="2" t="str">
        <f t="shared" si="9"/>
        <v/>
      </c>
      <c r="R56" s="2" t="str">
        <f t="shared" si="10"/>
        <v/>
      </c>
      <c r="S56" s="2" t="str">
        <f t="shared" si="11"/>
        <v/>
      </c>
      <c r="T56" s="2" t="str">
        <f t="shared" si="26"/>
        <v/>
      </c>
      <c r="U56" s="2" t="str">
        <f t="shared" si="27"/>
        <v/>
      </c>
      <c r="V56" s="2" t="str">
        <f t="shared" si="28"/>
        <v/>
      </c>
      <c r="W56" s="2" t="str">
        <f t="shared" si="12"/>
        <v/>
      </c>
      <c r="X56" s="2" t="str">
        <f t="shared" si="13"/>
        <v/>
      </c>
      <c r="Y56" s="2" t="str">
        <f t="shared" si="14"/>
        <v/>
      </c>
      <c r="Z56" s="2" t="str">
        <f t="shared" si="29"/>
        <v/>
      </c>
      <c r="AA56" s="2" t="str">
        <f t="shared" si="30"/>
        <v/>
      </c>
      <c r="AB56" s="2" t="str">
        <f t="shared" si="31"/>
        <v/>
      </c>
      <c r="AC56" s="2" t="str">
        <f t="shared" si="15"/>
        <v/>
      </c>
      <c r="AD56" s="2" t="str">
        <f t="shared" si="16"/>
        <v/>
      </c>
      <c r="AE56" s="2" t="str">
        <f t="shared" si="17"/>
        <v/>
      </c>
      <c r="AF56" s="2" t="str">
        <f t="shared" si="18"/>
        <v/>
      </c>
    </row>
    <row r="57" spans="1:32" x14ac:dyDescent="0.2">
      <c r="A57" s="2" t="str">
        <f t="shared" si="19"/>
        <v/>
      </c>
      <c r="B57" s="2" t="str">
        <f t="shared" si="0"/>
        <v/>
      </c>
      <c r="C57" s="2" t="str">
        <f t="shared" si="1"/>
        <v/>
      </c>
      <c r="D57" s="2" t="str">
        <f t="shared" si="2"/>
        <v/>
      </c>
      <c r="E57" s="2" t="str">
        <f t="shared" si="3"/>
        <v/>
      </c>
      <c r="F57" s="2" t="str">
        <f t="shared" si="4"/>
        <v/>
      </c>
      <c r="G57" s="2" t="str">
        <f t="shared" si="5"/>
        <v/>
      </c>
      <c r="H57" s="2" t="str">
        <f t="shared" si="20"/>
        <v/>
      </c>
      <c r="I57" s="2" t="str">
        <f t="shared" si="21"/>
        <v/>
      </c>
      <c r="J57" s="2" t="str">
        <f t="shared" si="22"/>
        <v/>
      </c>
      <c r="K57" s="2" t="str">
        <f t="shared" si="6"/>
        <v/>
      </c>
      <c r="L57" s="2" t="str">
        <f t="shared" si="7"/>
        <v/>
      </c>
      <c r="M57" s="2" t="str">
        <f t="shared" si="8"/>
        <v/>
      </c>
      <c r="N57" s="2" t="str">
        <f t="shared" si="23"/>
        <v/>
      </c>
      <c r="O57" s="2" t="str">
        <f t="shared" si="24"/>
        <v/>
      </c>
      <c r="P57" s="2" t="str">
        <f t="shared" si="25"/>
        <v/>
      </c>
      <c r="Q57" s="2" t="str">
        <f t="shared" si="9"/>
        <v/>
      </c>
      <c r="R57" s="2" t="str">
        <f t="shared" si="10"/>
        <v/>
      </c>
      <c r="S57" s="2" t="str">
        <f t="shared" si="11"/>
        <v/>
      </c>
      <c r="T57" s="2" t="str">
        <f t="shared" si="26"/>
        <v/>
      </c>
      <c r="U57" s="2" t="str">
        <f t="shared" si="27"/>
        <v/>
      </c>
      <c r="V57" s="2" t="str">
        <f t="shared" si="28"/>
        <v/>
      </c>
      <c r="W57" s="2" t="str">
        <f t="shared" si="12"/>
        <v/>
      </c>
      <c r="X57" s="2" t="str">
        <f t="shared" si="13"/>
        <v/>
      </c>
      <c r="Y57" s="2" t="str">
        <f t="shared" si="14"/>
        <v/>
      </c>
      <c r="Z57" s="2" t="str">
        <f t="shared" si="29"/>
        <v/>
      </c>
      <c r="AA57" s="2" t="str">
        <f t="shared" si="30"/>
        <v/>
      </c>
      <c r="AB57" s="2" t="str">
        <f t="shared" si="31"/>
        <v/>
      </c>
      <c r="AC57" s="2" t="str">
        <f t="shared" si="15"/>
        <v/>
      </c>
      <c r="AD57" s="2" t="str">
        <f t="shared" si="16"/>
        <v/>
      </c>
      <c r="AE57" s="2" t="str">
        <f t="shared" si="17"/>
        <v/>
      </c>
      <c r="AF57" s="2" t="str">
        <f t="shared" si="18"/>
        <v/>
      </c>
    </row>
    <row r="58" spans="1:32" x14ac:dyDescent="0.2">
      <c r="A58" s="2" t="str">
        <f t="shared" si="19"/>
        <v/>
      </c>
      <c r="B58" s="2" t="str">
        <f t="shared" si="0"/>
        <v/>
      </c>
      <c r="C58" s="2" t="str">
        <f t="shared" si="1"/>
        <v/>
      </c>
      <c r="D58" s="2" t="str">
        <f t="shared" si="2"/>
        <v/>
      </c>
      <c r="E58" s="2" t="str">
        <f t="shared" si="3"/>
        <v/>
      </c>
      <c r="F58" s="2" t="str">
        <f t="shared" si="4"/>
        <v/>
      </c>
      <c r="G58" s="2" t="str">
        <f t="shared" si="5"/>
        <v/>
      </c>
      <c r="H58" s="2" t="str">
        <f t="shared" si="20"/>
        <v/>
      </c>
      <c r="I58" s="2" t="str">
        <f t="shared" si="21"/>
        <v/>
      </c>
      <c r="J58" s="2" t="str">
        <f t="shared" si="22"/>
        <v/>
      </c>
      <c r="K58" s="2" t="str">
        <f t="shared" si="6"/>
        <v/>
      </c>
      <c r="L58" s="2" t="str">
        <f t="shared" si="7"/>
        <v/>
      </c>
      <c r="M58" s="2" t="str">
        <f t="shared" si="8"/>
        <v/>
      </c>
      <c r="N58" s="2" t="str">
        <f t="shared" si="23"/>
        <v/>
      </c>
      <c r="O58" s="2" t="str">
        <f t="shared" si="24"/>
        <v/>
      </c>
      <c r="P58" s="2" t="str">
        <f t="shared" si="25"/>
        <v/>
      </c>
      <c r="Q58" s="2" t="str">
        <f t="shared" si="9"/>
        <v/>
      </c>
      <c r="R58" s="2" t="str">
        <f t="shared" si="10"/>
        <v/>
      </c>
      <c r="S58" s="2" t="str">
        <f t="shared" si="11"/>
        <v/>
      </c>
      <c r="T58" s="2" t="str">
        <f t="shared" si="26"/>
        <v/>
      </c>
      <c r="U58" s="2" t="str">
        <f t="shared" si="27"/>
        <v/>
      </c>
      <c r="V58" s="2" t="str">
        <f t="shared" si="28"/>
        <v/>
      </c>
      <c r="W58" s="2" t="str">
        <f t="shared" si="12"/>
        <v/>
      </c>
      <c r="X58" s="2" t="str">
        <f t="shared" si="13"/>
        <v/>
      </c>
      <c r="Y58" s="2" t="str">
        <f t="shared" si="14"/>
        <v/>
      </c>
      <c r="Z58" s="2" t="str">
        <f t="shared" si="29"/>
        <v/>
      </c>
      <c r="AA58" s="2" t="str">
        <f t="shared" si="30"/>
        <v/>
      </c>
      <c r="AB58" s="2" t="str">
        <f t="shared" si="31"/>
        <v/>
      </c>
      <c r="AC58" s="2" t="str">
        <f t="shared" si="15"/>
        <v/>
      </c>
      <c r="AD58" s="2" t="str">
        <f t="shared" si="16"/>
        <v/>
      </c>
      <c r="AE58" s="2" t="str">
        <f t="shared" si="17"/>
        <v/>
      </c>
      <c r="AF58" s="2" t="str">
        <f t="shared" si="18"/>
        <v/>
      </c>
    </row>
    <row r="59" spans="1:32" x14ac:dyDescent="0.2">
      <c r="A59" s="2" t="str">
        <f t="shared" si="19"/>
        <v/>
      </c>
      <c r="B59" s="2" t="str">
        <f t="shared" si="0"/>
        <v/>
      </c>
      <c r="C59" s="2" t="str">
        <f t="shared" si="1"/>
        <v/>
      </c>
      <c r="D59" s="2" t="str">
        <f t="shared" si="2"/>
        <v/>
      </c>
      <c r="E59" s="2" t="str">
        <f t="shared" si="3"/>
        <v/>
      </c>
      <c r="F59" s="2" t="str">
        <f t="shared" si="4"/>
        <v/>
      </c>
      <c r="G59" s="2" t="str">
        <f t="shared" si="5"/>
        <v/>
      </c>
      <c r="H59" s="2" t="str">
        <f t="shared" si="20"/>
        <v/>
      </c>
      <c r="I59" s="2" t="str">
        <f t="shared" si="21"/>
        <v/>
      </c>
      <c r="J59" s="2" t="str">
        <f t="shared" si="22"/>
        <v/>
      </c>
      <c r="K59" s="2" t="str">
        <f t="shared" si="6"/>
        <v/>
      </c>
      <c r="L59" s="2" t="str">
        <f t="shared" si="7"/>
        <v/>
      </c>
      <c r="M59" s="2" t="str">
        <f t="shared" si="8"/>
        <v/>
      </c>
      <c r="N59" s="2" t="str">
        <f t="shared" si="23"/>
        <v/>
      </c>
      <c r="O59" s="2" t="str">
        <f t="shared" si="24"/>
        <v/>
      </c>
      <c r="P59" s="2" t="str">
        <f t="shared" si="25"/>
        <v/>
      </c>
      <c r="Q59" s="2" t="str">
        <f t="shared" si="9"/>
        <v/>
      </c>
      <c r="R59" s="2" t="str">
        <f t="shared" si="10"/>
        <v/>
      </c>
      <c r="S59" s="2" t="str">
        <f t="shared" si="11"/>
        <v/>
      </c>
      <c r="T59" s="2" t="str">
        <f t="shared" si="26"/>
        <v/>
      </c>
      <c r="U59" s="2" t="str">
        <f t="shared" si="27"/>
        <v/>
      </c>
      <c r="V59" s="2" t="str">
        <f t="shared" si="28"/>
        <v/>
      </c>
      <c r="W59" s="2" t="str">
        <f t="shared" si="12"/>
        <v/>
      </c>
      <c r="X59" s="2" t="str">
        <f t="shared" si="13"/>
        <v/>
      </c>
      <c r="Y59" s="2" t="str">
        <f t="shared" si="14"/>
        <v/>
      </c>
      <c r="Z59" s="2" t="str">
        <f t="shared" si="29"/>
        <v/>
      </c>
      <c r="AA59" s="2" t="str">
        <f t="shared" si="30"/>
        <v/>
      </c>
      <c r="AB59" s="2" t="str">
        <f t="shared" si="31"/>
        <v/>
      </c>
      <c r="AC59" s="2" t="str">
        <f t="shared" si="15"/>
        <v/>
      </c>
      <c r="AD59" s="2" t="str">
        <f t="shared" si="16"/>
        <v/>
      </c>
      <c r="AE59" s="2" t="str">
        <f t="shared" si="17"/>
        <v/>
      </c>
      <c r="AF59" s="2" t="str">
        <f t="shared" si="18"/>
        <v/>
      </c>
    </row>
    <row r="60" spans="1:32" x14ac:dyDescent="0.2">
      <c r="A60" s="2" t="str">
        <f t="shared" si="19"/>
        <v/>
      </c>
      <c r="B60" s="2" t="str">
        <f t="shared" si="0"/>
        <v/>
      </c>
      <c r="C60" s="2" t="str">
        <f t="shared" si="1"/>
        <v/>
      </c>
      <c r="D60" s="2" t="str">
        <f t="shared" si="2"/>
        <v/>
      </c>
      <c r="E60" s="2" t="str">
        <f t="shared" si="3"/>
        <v/>
      </c>
      <c r="F60" s="2" t="str">
        <f t="shared" si="4"/>
        <v/>
      </c>
      <c r="G60" s="2" t="str">
        <f t="shared" si="5"/>
        <v/>
      </c>
      <c r="H60" s="2" t="str">
        <f t="shared" si="20"/>
        <v/>
      </c>
      <c r="I60" s="2" t="str">
        <f t="shared" si="21"/>
        <v/>
      </c>
      <c r="J60" s="2" t="str">
        <f t="shared" si="22"/>
        <v/>
      </c>
      <c r="K60" s="2" t="str">
        <f t="shared" si="6"/>
        <v/>
      </c>
      <c r="L60" s="2" t="str">
        <f t="shared" si="7"/>
        <v/>
      </c>
      <c r="M60" s="2" t="str">
        <f t="shared" si="8"/>
        <v/>
      </c>
      <c r="N60" s="2" t="str">
        <f t="shared" si="23"/>
        <v/>
      </c>
      <c r="O60" s="2" t="str">
        <f t="shared" si="24"/>
        <v/>
      </c>
      <c r="P60" s="2" t="str">
        <f t="shared" si="25"/>
        <v/>
      </c>
      <c r="Q60" s="2" t="str">
        <f t="shared" si="9"/>
        <v/>
      </c>
      <c r="R60" s="2" t="str">
        <f t="shared" si="10"/>
        <v/>
      </c>
      <c r="S60" s="2" t="str">
        <f t="shared" si="11"/>
        <v/>
      </c>
      <c r="T60" s="2" t="str">
        <f t="shared" si="26"/>
        <v/>
      </c>
      <c r="U60" s="2" t="str">
        <f t="shared" si="27"/>
        <v/>
      </c>
      <c r="V60" s="2" t="str">
        <f t="shared" si="28"/>
        <v/>
      </c>
      <c r="W60" s="2" t="str">
        <f t="shared" si="12"/>
        <v/>
      </c>
      <c r="X60" s="2" t="str">
        <f t="shared" si="13"/>
        <v/>
      </c>
      <c r="Y60" s="2" t="str">
        <f t="shared" si="14"/>
        <v/>
      </c>
      <c r="Z60" s="2" t="str">
        <f t="shared" si="29"/>
        <v/>
      </c>
      <c r="AA60" s="2" t="str">
        <f t="shared" si="30"/>
        <v/>
      </c>
      <c r="AB60" s="2" t="str">
        <f t="shared" si="31"/>
        <v/>
      </c>
      <c r="AC60" s="2" t="str">
        <f t="shared" si="15"/>
        <v/>
      </c>
      <c r="AD60" s="2" t="str">
        <f t="shared" si="16"/>
        <v/>
      </c>
      <c r="AE60" s="2" t="str">
        <f t="shared" si="17"/>
        <v/>
      </c>
      <c r="AF60" s="2" t="str">
        <f t="shared" si="18"/>
        <v/>
      </c>
    </row>
    <row r="61" spans="1:32" x14ac:dyDescent="0.2">
      <c r="A61" s="2" t="str">
        <f t="shared" si="19"/>
        <v/>
      </c>
      <c r="B61" s="2" t="str">
        <f t="shared" si="0"/>
        <v/>
      </c>
      <c r="C61" s="2" t="str">
        <f t="shared" si="1"/>
        <v/>
      </c>
      <c r="D61" s="2" t="str">
        <f t="shared" si="2"/>
        <v/>
      </c>
      <c r="E61" s="2" t="str">
        <f t="shared" si="3"/>
        <v/>
      </c>
      <c r="F61" s="2" t="str">
        <f t="shared" si="4"/>
        <v/>
      </c>
      <c r="G61" s="2" t="str">
        <f t="shared" si="5"/>
        <v/>
      </c>
      <c r="H61" s="2" t="str">
        <f t="shared" si="20"/>
        <v/>
      </c>
      <c r="I61" s="2" t="str">
        <f t="shared" si="21"/>
        <v/>
      </c>
      <c r="J61" s="2" t="str">
        <f t="shared" si="22"/>
        <v/>
      </c>
      <c r="K61" s="2" t="str">
        <f t="shared" si="6"/>
        <v/>
      </c>
      <c r="L61" s="2" t="str">
        <f t="shared" si="7"/>
        <v/>
      </c>
      <c r="M61" s="2" t="str">
        <f t="shared" si="8"/>
        <v/>
      </c>
      <c r="N61" s="2" t="str">
        <f t="shared" si="23"/>
        <v/>
      </c>
      <c r="O61" s="2" t="str">
        <f t="shared" si="24"/>
        <v/>
      </c>
      <c r="P61" s="2" t="str">
        <f t="shared" si="25"/>
        <v/>
      </c>
      <c r="Q61" s="2" t="str">
        <f t="shared" si="9"/>
        <v/>
      </c>
      <c r="R61" s="2" t="str">
        <f t="shared" si="10"/>
        <v/>
      </c>
      <c r="S61" s="2" t="str">
        <f t="shared" si="11"/>
        <v/>
      </c>
      <c r="T61" s="2" t="str">
        <f t="shared" si="26"/>
        <v/>
      </c>
      <c r="U61" s="2" t="str">
        <f t="shared" si="27"/>
        <v/>
      </c>
      <c r="V61" s="2" t="str">
        <f t="shared" si="28"/>
        <v/>
      </c>
      <c r="W61" s="2" t="str">
        <f t="shared" si="12"/>
        <v/>
      </c>
      <c r="X61" s="2" t="str">
        <f t="shared" si="13"/>
        <v/>
      </c>
      <c r="Y61" s="2" t="str">
        <f t="shared" si="14"/>
        <v/>
      </c>
      <c r="Z61" s="2" t="str">
        <f t="shared" si="29"/>
        <v/>
      </c>
      <c r="AA61" s="2" t="str">
        <f t="shared" si="30"/>
        <v/>
      </c>
      <c r="AB61" s="2" t="str">
        <f t="shared" si="31"/>
        <v/>
      </c>
      <c r="AC61" s="2" t="str">
        <f t="shared" si="15"/>
        <v/>
      </c>
      <c r="AD61" s="2" t="str">
        <f t="shared" si="16"/>
        <v/>
      </c>
      <c r="AE61" s="2" t="str">
        <f t="shared" si="17"/>
        <v/>
      </c>
      <c r="AF61" s="2" t="str">
        <f t="shared" si="18"/>
        <v/>
      </c>
    </row>
    <row r="62" spans="1:32" x14ac:dyDescent="0.2">
      <c r="A62" s="2" t="str">
        <f t="shared" si="19"/>
        <v/>
      </c>
      <c r="B62" s="2" t="str">
        <f t="shared" si="0"/>
        <v/>
      </c>
      <c r="C62" s="2" t="str">
        <f t="shared" si="1"/>
        <v/>
      </c>
      <c r="D62" s="2" t="str">
        <f t="shared" si="2"/>
        <v/>
      </c>
      <c r="E62" s="2" t="str">
        <f t="shared" si="3"/>
        <v/>
      </c>
      <c r="F62" s="2" t="str">
        <f t="shared" si="4"/>
        <v/>
      </c>
      <c r="G62" s="2" t="str">
        <f t="shared" si="5"/>
        <v/>
      </c>
      <c r="H62" s="2" t="str">
        <f t="shared" si="20"/>
        <v/>
      </c>
      <c r="I62" s="2" t="str">
        <f t="shared" si="21"/>
        <v/>
      </c>
      <c r="J62" s="2" t="str">
        <f t="shared" si="22"/>
        <v/>
      </c>
      <c r="K62" s="2" t="str">
        <f t="shared" si="6"/>
        <v/>
      </c>
      <c r="L62" s="2" t="str">
        <f t="shared" si="7"/>
        <v/>
      </c>
      <c r="M62" s="2" t="str">
        <f t="shared" si="8"/>
        <v/>
      </c>
      <c r="N62" s="2" t="str">
        <f t="shared" si="23"/>
        <v/>
      </c>
      <c r="O62" s="2" t="str">
        <f t="shared" si="24"/>
        <v/>
      </c>
      <c r="P62" s="2" t="str">
        <f t="shared" si="25"/>
        <v/>
      </c>
      <c r="Q62" s="2" t="str">
        <f t="shared" si="9"/>
        <v/>
      </c>
      <c r="R62" s="2" t="str">
        <f t="shared" si="10"/>
        <v/>
      </c>
      <c r="S62" s="2" t="str">
        <f t="shared" si="11"/>
        <v/>
      </c>
      <c r="T62" s="2" t="str">
        <f t="shared" si="26"/>
        <v/>
      </c>
      <c r="U62" s="2" t="str">
        <f t="shared" si="27"/>
        <v/>
      </c>
      <c r="V62" s="2" t="str">
        <f t="shared" si="28"/>
        <v/>
      </c>
      <c r="W62" s="2" t="str">
        <f t="shared" si="12"/>
        <v/>
      </c>
      <c r="X62" s="2" t="str">
        <f t="shared" si="13"/>
        <v/>
      </c>
      <c r="Y62" s="2" t="str">
        <f t="shared" si="14"/>
        <v/>
      </c>
      <c r="Z62" s="2" t="str">
        <f t="shared" si="29"/>
        <v/>
      </c>
      <c r="AA62" s="2" t="str">
        <f t="shared" si="30"/>
        <v/>
      </c>
      <c r="AB62" s="2" t="str">
        <f t="shared" si="31"/>
        <v/>
      </c>
      <c r="AC62" s="2" t="str">
        <f t="shared" si="15"/>
        <v/>
      </c>
      <c r="AD62" s="2" t="str">
        <f t="shared" si="16"/>
        <v/>
      </c>
      <c r="AE62" s="2" t="str">
        <f t="shared" si="17"/>
        <v/>
      </c>
      <c r="AF62" s="2" t="str">
        <f t="shared" si="18"/>
        <v/>
      </c>
    </row>
    <row r="63" spans="1:32" x14ac:dyDescent="0.2">
      <c r="A63" s="2" t="str">
        <f t="shared" si="19"/>
        <v/>
      </c>
      <c r="B63" s="2" t="str">
        <f t="shared" si="0"/>
        <v/>
      </c>
      <c r="C63" s="2" t="str">
        <f t="shared" si="1"/>
        <v/>
      </c>
      <c r="D63" s="2" t="str">
        <f t="shared" si="2"/>
        <v/>
      </c>
      <c r="E63" s="2" t="str">
        <f t="shared" si="3"/>
        <v/>
      </c>
      <c r="F63" s="2" t="str">
        <f t="shared" si="4"/>
        <v/>
      </c>
      <c r="G63" s="2" t="str">
        <f t="shared" si="5"/>
        <v/>
      </c>
      <c r="H63" s="2" t="str">
        <f t="shared" si="20"/>
        <v/>
      </c>
      <c r="I63" s="2" t="str">
        <f t="shared" si="21"/>
        <v/>
      </c>
      <c r="J63" s="2" t="str">
        <f t="shared" si="22"/>
        <v/>
      </c>
      <c r="K63" s="2" t="str">
        <f t="shared" si="6"/>
        <v/>
      </c>
      <c r="L63" s="2" t="str">
        <f t="shared" si="7"/>
        <v/>
      </c>
      <c r="M63" s="2" t="str">
        <f t="shared" si="8"/>
        <v/>
      </c>
      <c r="N63" s="2" t="str">
        <f t="shared" si="23"/>
        <v/>
      </c>
      <c r="O63" s="2" t="str">
        <f t="shared" si="24"/>
        <v/>
      </c>
      <c r="P63" s="2" t="str">
        <f t="shared" si="25"/>
        <v/>
      </c>
      <c r="Q63" s="2" t="str">
        <f t="shared" si="9"/>
        <v/>
      </c>
      <c r="R63" s="2" t="str">
        <f t="shared" si="10"/>
        <v/>
      </c>
      <c r="S63" s="2" t="str">
        <f t="shared" si="11"/>
        <v/>
      </c>
      <c r="T63" s="2" t="str">
        <f t="shared" si="26"/>
        <v/>
      </c>
      <c r="U63" s="2" t="str">
        <f t="shared" si="27"/>
        <v/>
      </c>
      <c r="V63" s="2" t="str">
        <f t="shared" si="28"/>
        <v/>
      </c>
      <c r="W63" s="2" t="str">
        <f t="shared" si="12"/>
        <v/>
      </c>
      <c r="X63" s="2" t="str">
        <f t="shared" si="13"/>
        <v/>
      </c>
      <c r="Y63" s="2" t="str">
        <f t="shared" si="14"/>
        <v/>
      </c>
      <c r="Z63" s="2" t="str">
        <f t="shared" si="29"/>
        <v/>
      </c>
      <c r="AA63" s="2" t="str">
        <f t="shared" si="30"/>
        <v/>
      </c>
      <c r="AB63" s="2" t="str">
        <f t="shared" si="31"/>
        <v/>
      </c>
      <c r="AC63" s="2" t="str">
        <f t="shared" si="15"/>
        <v/>
      </c>
      <c r="AD63" s="2" t="str">
        <f t="shared" si="16"/>
        <v/>
      </c>
      <c r="AE63" s="2" t="str">
        <f t="shared" si="17"/>
        <v/>
      </c>
      <c r="AF63" s="2" t="str">
        <f t="shared" si="18"/>
        <v/>
      </c>
    </row>
    <row r="64" spans="1:32" x14ac:dyDescent="0.2">
      <c r="A64" s="2" t="str">
        <f t="shared" si="19"/>
        <v/>
      </c>
      <c r="B64" s="2" t="str">
        <f t="shared" si="0"/>
        <v/>
      </c>
      <c r="C64" s="2" t="str">
        <f t="shared" si="1"/>
        <v/>
      </c>
      <c r="D64" s="2" t="str">
        <f t="shared" si="2"/>
        <v/>
      </c>
      <c r="E64" s="2" t="str">
        <f t="shared" si="3"/>
        <v/>
      </c>
      <c r="F64" s="2" t="str">
        <f t="shared" si="4"/>
        <v/>
      </c>
      <c r="G64" s="2" t="str">
        <f t="shared" si="5"/>
        <v/>
      </c>
      <c r="H64" s="2" t="str">
        <f t="shared" si="20"/>
        <v/>
      </c>
      <c r="I64" s="2" t="str">
        <f t="shared" si="21"/>
        <v/>
      </c>
      <c r="J64" s="2" t="str">
        <f t="shared" si="22"/>
        <v/>
      </c>
      <c r="K64" s="2" t="str">
        <f t="shared" si="6"/>
        <v/>
      </c>
      <c r="L64" s="2" t="str">
        <f t="shared" si="7"/>
        <v/>
      </c>
      <c r="M64" s="2" t="str">
        <f t="shared" si="8"/>
        <v/>
      </c>
      <c r="N64" s="2" t="str">
        <f t="shared" si="23"/>
        <v/>
      </c>
      <c r="O64" s="2" t="str">
        <f t="shared" si="24"/>
        <v/>
      </c>
      <c r="P64" s="2" t="str">
        <f t="shared" si="25"/>
        <v/>
      </c>
      <c r="Q64" s="2" t="str">
        <f t="shared" si="9"/>
        <v/>
      </c>
      <c r="R64" s="2" t="str">
        <f t="shared" si="10"/>
        <v/>
      </c>
      <c r="S64" s="2" t="str">
        <f t="shared" si="11"/>
        <v/>
      </c>
      <c r="T64" s="2" t="str">
        <f t="shared" si="26"/>
        <v/>
      </c>
      <c r="U64" s="2" t="str">
        <f t="shared" si="27"/>
        <v/>
      </c>
      <c r="V64" s="2" t="str">
        <f t="shared" si="28"/>
        <v/>
      </c>
      <c r="W64" s="2" t="str">
        <f t="shared" si="12"/>
        <v/>
      </c>
      <c r="X64" s="2" t="str">
        <f t="shared" si="13"/>
        <v/>
      </c>
      <c r="Y64" s="2" t="str">
        <f t="shared" si="14"/>
        <v/>
      </c>
      <c r="Z64" s="2" t="str">
        <f t="shared" si="29"/>
        <v/>
      </c>
      <c r="AA64" s="2" t="str">
        <f t="shared" si="30"/>
        <v/>
      </c>
      <c r="AB64" s="2" t="str">
        <f t="shared" si="31"/>
        <v/>
      </c>
      <c r="AC64" s="2" t="str">
        <f t="shared" si="15"/>
        <v/>
      </c>
      <c r="AD64" s="2" t="str">
        <f t="shared" si="16"/>
        <v/>
      </c>
      <c r="AE64" s="2" t="str">
        <f t="shared" si="17"/>
        <v/>
      </c>
      <c r="AF64" s="2" t="str">
        <f t="shared" si="18"/>
        <v/>
      </c>
    </row>
    <row r="65" spans="1:32" x14ac:dyDescent="0.2">
      <c r="A65" s="2" t="str">
        <f t="shared" si="19"/>
        <v/>
      </c>
      <c r="B65" s="2" t="str">
        <f t="shared" si="0"/>
        <v/>
      </c>
      <c r="C65" s="2" t="str">
        <f t="shared" si="1"/>
        <v/>
      </c>
      <c r="D65" s="2" t="str">
        <f t="shared" si="2"/>
        <v/>
      </c>
      <c r="E65" s="2" t="str">
        <f t="shared" si="3"/>
        <v/>
      </c>
      <c r="F65" s="2" t="str">
        <f t="shared" si="4"/>
        <v/>
      </c>
      <c r="G65" s="2" t="str">
        <f t="shared" si="5"/>
        <v/>
      </c>
      <c r="H65" s="2" t="str">
        <f t="shared" si="20"/>
        <v/>
      </c>
      <c r="I65" s="2" t="str">
        <f t="shared" si="21"/>
        <v/>
      </c>
      <c r="J65" s="2" t="str">
        <f t="shared" si="22"/>
        <v/>
      </c>
      <c r="K65" s="2" t="str">
        <f t="shared" si="6"/>
        <v/>
      </c>
      <c r="L65" s="2" t="str">
        <f t="shared" si="7"/>
        <v/>
      </c>
      <c r="M65" s="2" t="str">
        <f t="shared" si="8"/>
        <v/>
      </c>
      <c r="N65" s="2" t="str">
        <f t="shared" si="23"/>
        <v/>
      </c>
      <c r="O65" s="2" t="str">
        <f t="shared" si="24"/>
        <v/>
      </c>
      <c r="P65" s="2" t="str">
        <f t="shared" si="25"/>
        <v/>
      </c>
      <c r="Q65" s="2" t="str">
        <f t="shared" si="9"/>
        <v/>
      </c>
      <c r="R65" s="2" t="str">
        <f t="shared" si="10"/>
        <v/>
      </c>
      <c r="S65" s="2" t="str">
        <f t="shared" si="11"/>
        <v/>
      </c>
      <c r="T65" s="2" t="str">
        <f t="shared" si="26"/>
        <v/>
      </c>
      <c r="U65" s="2" t="str">
        <f t="shared" si="27"/>
        <v/>
      </c>
      <c r="V65" s="2" t="str">
        <f t="shared" si="28"/>
        <v/>
      </c>
      <c r="W65" s="2" t="str">
        <f t="shared" si="12"/>
        <v/>
      </c>
      <c r="X65" s="2" t="str">
        <f t="shared" si="13"/>
        <v/>
      </c>
      <c r="Y65" s="2" t="str">
        <f t="shared" si="14"/>
        <v/>
      </c>
      <c r="Z65" s="2" t="str">
        <f t="shared" si="29"/>
        <v/>
      </c>
      <c r="AA65" s="2" t="str">
        <f t="shared" si="30"/>
        <v/>
      </c>
      <c r="AB65" s="2" t="str">
        <f t="shared" si="31"/>
        <v/>
      </c>
      <c r="AC65" s="2" t="str">
        <f t="shared" si="15"/>
        <v/>
      </c>
      <c r="AD65" s="2" t="str">
        <f t="shared" si="16"/>
        <v/>
      </c>
      <c r="AE65" s="2" t="str">
        <f t="shared" si="17"/>
        <v/>
      </c>
      <c r="AF65" s="2" t="str">
        <f t="shared" si="18"/>
        <v/>
      </c>
    </row>
    <row r="66" spans="1:32" x14ac:dyDescent="0.2">
      <c r="A66" s="2" t="str">
        <f t="shared" si="19"/>
        <v/>
      </c>
      <c r="B66" s="2" t="str">
        <f t="shared" si="0"/>
        <v/>
      </c>
      <c r="C66" s="2" t="str">
        <f t="shared" si="1"/>
        <v/>
      </c>
      <c r="D66" s="2" t="str">
        <f t="shared" si="2"/>
        <v/>
      </c>
      <c r="E66" s="2" t="str">
        <f t="shared" si="3"/>
        <v/>
      </c>
      <c r="F66" s="2" t="str">
        <f t="shared" si="4"/>
        <v/>
      </c>
      <c r="G66" s="2" t="str">
        <f t="shared" si="5"/>
        <v/>
      </c>
      <c r="H66" s="2" t="str">
        <f t="shared" si="20"/>
        <v/>
      </c>
      <c r="I66" s="2" t="str">
        <f t="shared" si="21"/>
        <v/>
      </c>
      <c r="J66" s="2" t="str">
        <f t="shared" si="22"/>
        <v/>
      </c>
      <c r="K66" s="2" t="str">
        <f t="shared" si="6"/>
        <v/>
      </c>
      <c r="L66" s="2" t="str">
        <f t="shared" si="7"/>
        <v/>
      </c>
      <c r="M66" s="2" t="str">
        <f t="shared" si="8"/>
        <v/>
      </c>
      <c r="N66" s="2" t="str">
        <f t="shared" si="23"/>
        <v/>
      </c>
      <c r="O66" s="2" t="str">
        <f t="shared" si="24"/>
        <v/>
      </c>
      <c r="P66" s="2" t="str">
        <f t="shared" si="25"/>
        <v/>
      </c>
      <c r="Q66" s="2" t="str">
        <f t="shared" si="9"/>
        <v/>
      </c>
      <c r="R66" s="2" t="str">
        <f t="shared" si="10"/>
        <v/>
      </c>
      <c r="S66" s="2" t="str">
        <f t="shared" si="11"/>
        <v/>
      </c>
      <c r="T66" s="2" t="str">
        <f t="shared" si="26"/>
        <v/>
      </c>
      <c r="U66" s="2" t="str">
        <f t="shared" si="27"/>
        <v/>
      </c>
      <c r="V66" s="2" t="str">
        <f t="shared" si="28"/>
        <v/>
      </c>
      <c r="W66" s="2" t="str">
        <f t="shared" si="12"/>
        <v/>
      </c>
      <c r="X66" s="2" t="str">
        <f t="shared" si="13"/>
        <v/>
      </c>
      <c r="Y66" s="2" t="str">
        <f t="shared" si="14"/>
        <v/>
      </c>
      <c r="Z66" s="2" t="str">
        <f t="shared" si="29"/>
        <v/>
      </c>
      <c r="AA66" s="2" t="str">
        <f t="shared" si="30"/>
        <v/>
      </c>
      <c r="AB66" s="2" t="str">
        <f t="shared" si="31"/>
        <v/>
      </c>
      <c r="AC66" s="2" t="str">
        <f t="shared" si="15"/>
        <v/>
      </c>
      <c r="AD66" s="2" t="str">
        <f t="shared" si="16"/>
        <v/>
      </c>
      <c r="AE66" s="2" t="str">
        <f t="shared" si="17"/>
        <v/>
      </c>
      <c r="AF66" s="2" t="str">
        <f t="shared" si="18"/>
        <v/>
      </c>
    </row>
    <row r="67" spans="1:32" x14ac:dyDescent="0.2">
      <c r="A67" s="2" t="str">
        <f t="shared" si="19"/>
        <v/>
      </c>
      <c r="B67" s="2" t="str">
        <f t="shared" si="0"/>
        <v/>
      </c>
      <c r="C67" s="2" t="str">
        <f t="shared" si="1"/>
        <v/>
      </c>
      <c r="D67" s="2" t="str">
        <f t="shared" si="2"/>
        <v/>
      </c>
      <c r="E67" s="2" t="str">
        <f t="shared" si="3"/>
        <v/>
      </c>
      <c r="F67" s="2" t="str">
        <f t="shared" si="4"/>
        <v/>
      </c>
      <c r="G67" s="2" t="str">
        <f t="shared" si="5"/>
        <v/>
      </c>
      <c r="H67" s="2" t="str">
        <f t="shared" si="20"/>
        <v/>
      </c>
      <c r="I67" s="2" t="str">
        <f t="shared" si="21"/>
        <v/>
      </c>
      <c r="J67" s="2" t="str">
        <f t="shared" si="22"/>
        <v/>
      </c>
      <c r="K67" s="2" t="str">
        <f t="shared" si="6"/>
        <v/>
      </c>
      <c r="L67" s="2" t="str">
        <f t="shared" si="7"/>
        <v/>
      </c>
      <c r="M67" s="2" t="str">
        <f t="shared" si="8"/>
        <v/>
      </c>
      <c r="N67" s="2" t="str">
        <f t="shared" si="23"/>
        <v/>
      </c>
      <c r="O67" s="2" t="str">
        <f t="shared" si="24"/>
        <v/>
      </c>
      <c r="P67" s="2" t="str">
        <f t="shared" si="25"/>
        <v/>
      </c>
      <c r="Q67" s="2" t="str">
        <f t="shared" si="9"/>
        <v/>
      </c>
      <c r="R67" s="2" t="str">
        <f t="shared" si="10"/>
        <v/>
      </c>
      <c r="S67" s="2" t="str">
        <f t="shared" si="11"/>
        <v/>
      </c>
      <c r="T67" s="2" t="str">
        <f t="shared" si="26"/>
        <v/>
      </c>
      <c r="U67" s="2" t="str">
        <f t="shared" si="27"/>
        <v/>
      </c>
      <c r="V67" s="2" t="str">
        <f t="shared" si="28"/>
        <v/>
      </c>
      <c r="W67" s="2" t="str">
        <f t="shared" si="12"/>
        <v/>
      </c>
      <c r="X67" s="2" t="str">
        <f t="shared" si="13"/>
        <v/>
      </c>
      <c r="Y67" s="2" t="str">
        <f t="shared" si="14"/>
        <v/>
      </c>
      <c r="Z67" s="2" t="str">
        <f t="shared" si="29"/>
        <v/>
      </c>
      <c r="AA67" s="2" t="str">
        <f t="shared" si="30"/>
        <v/>
      </c>
      <c r="AB67" s="2" t="str">
        <f t="shared" si="31"/>
        <v/>
      </c>
      <c r="AC67" s="2" t="str">
        <f t="shared" si="15"/>
        <v/>
      </c>
      <c r="AD67" s="2" t="str">
        <f t="shared" si="16"/>
        <v/>
      </c>
      <c r="AE67" s="2" t="str">
        <f t="shared" si="17"/>
        <v/>
      </c>
      <c r="AF67" s="2" t="str">
        <f t="shared" si="18"/>
        <v/>
      </c>
    </row>
    <row r="68" spans="1:32" x14ac:dyDescent="0.2">
      <c r="A68" s="2" t="str">
        <f t="shared" si="19"/>
        <v/>
      </c>
      <c r="B68" s="2" t="str">
        <f t="shared" ref="B68:B131" si="32">IF(AI68="","",AI68)</f>
        <v/>
      </c>
      <c r="C68" s="2" t="str">
        <f t="shared" ref="C68:C131" si="33">IF(AJ68="","",AJ68)</f>
        <v/>
      </c>
      <c r="D68" s="2" t="str">
        <f t="shared" ref="D68:D131" si="34">IF(AK68="","",AK68)</f>
        <v/>
      </c>
      <c r="E68" s="2" t="str">
        <f t="shared" ref="E68:E131" si="35">IF(AL68="","",AL68)</f>
        <v/>
      </c>
      <c r="F68" s="2" t="str">
        <f t="shared" ref="F68:F131" si="36">IF(AM68="","",AM68)</f>
        <v/>
      </c>
      <c r="G68" s="2" t="str">
        <f t="shared" ref="G68:G131" si="37">IF(AN68="","",AN68)</f>
        <v/>
      </c>
      <c r="H68" s="2" t="str">
        <f t="shared" si="20"/>
        <v/>
      </c>
      <c r="I68" s="2" t="str">
        <f t="shared" si="21"/>
        <v/>
      </c>
      <c r="J68" s="2" t="str">
        <f t="shared" si="22"/>
        <v/>
      </c>
      <c r="K68" s="2" t="str">
        <f t="shared" ref="K68:K131" si="38">IF(AR68="","",AR68)</f>
        <v/>
      </c>
      <c r="L68" s="2" t="str">
        <f t="shared" ref="L68:L131" si="39">IF(AS68="","",AS68)</f>
        <v/>
      </c>
      <c r="M68" s="2" t="str">
        <f t="shared" ref="M68:M131" si="40">IF(AT68="","",AT68)</f>
        <v/>
      </c>
      <c r="N68" s="2" t="str">
        <f t="shared" si="23"/>
        <v/>
      </c>
      <c r="O68" s="2" t="str">
        <f t="shared" si="24"/>
        <v/>
      </c>
      <c r="P68" s="2" t="str">
        <f t="shared" si="25"/>
        <v/>
      </c>
      <c r="Q68" s="2" t="str">
        <f t="shared" ref="Q68:Q131" si="41">IF(AX68="","",AX68)</f>
        <v/>
      </c>
      <c r="R68" s="2" t="str">
        <f t="shared" ref="R68:R131" si="42">IF(AY68="","",AY68)</f>
        <v/>
      </c>
      <c r="S68" s="2" t="str">
        <f t="shared" ref="S68:S131" si="43">IF(AZ68="","",AZ68)</f>
        <v/>
      </c>
      <c r="T68" s="2" t="str">
        <f t="shared" si="26"/>
        <v/>
      </c>
      <c r="U68" s="2" t="str">
        <f t="shared" si="27"/>
        <v/>
      </c>
      <c r="V68" s="2" t="str">
        <f t="shared" si="28"/>
        <v/>
      </c>
      <c r="W68" s="2" t="str">
        <f t="shared" ref="W68:W131" si="44">IF(BD68="","",BD68)</f>
        <v/>
      </c>
      <c r="X68" s="2" t="str">
        <f t="shared" ref="X68:X131" si="45">IF(BE68="","",BE68)</f>
        <v/>
      </c>
      <c r="Y68" s="2" t="str">
        <f t="shared" ref="Y68:Y131" si="46">IF(BF68="","",BF68)</f>
        <v/>
      </c>
      <c r="Z68" s="2" t="str">
        <f t="shared" si="29"/>
        <v/>
      </c>
      <c r="AA68" s="2" t="str">
        <f t="shared" si="30"/>
        <v/>
      </c>
      <c r="AB68" s="2" t="str">
        <f t="shared" si="31"/>
        <v/>
      </c>
      <c r="AC68" s="2" t="str">
        <f t="shared" ref="AC68:AC131" si="47">IF(BJ68="","",BJ68)</f>
        <v/>
      </c>
      <c r="AD68" s="2" t="str">
        <f t="shared" ref="AD68:AD131" si="48">IF(BK68="","",BK68)</f>
        <v/>
      </c>
      <c r="AE68" s="2" t="str">
        <f t="shared" ref="AE68:AE131" si="49">IF(BL68="","",BL68)</f>
        <v/>
      </c>
      <c r="AF68" s="2" t="str">
        <f t="shared" ref="AF68:AF131" si="50">IF(BM68="","",BM68)</f>
        <v/>
      </c>
    </row>
    <row r="69" spans="1:32" x14ac:dyDescent="0.2">
      <c r="A69" s="2" t="str">
        <f t="shared" ref="A69:A132" si="51">IF(AH69="","",_xlfn.CONCAT(AH69,"_",ROW()-3))</f>
        <v/>
      </c>
      <c r="B69" s="2" t="str">
        <f t="shared" si="32"/>
        <v/>
      </c>
      <c r="C69" s="2" t="str">
        <f t="shared" si="33"/>
        <v/>
      </c>
      <c r="D69" s="2" t="str">
        <f t="shared" si="34"/>
        <v/>
      </c>
      <c r="E69" s="2" t="str">
        <f t="shared" si="35"/>
        <v/>
      </c>
      <c r="F69" s="2" t="str">
        <f t="shared" si="36"/>
        <v/>
      </c>
      <c r="G69" s="2" t="str">
        <f t="shared" si="37"/>
        <v/>
      </c>
      <c r="H69" s="2" t="str">
        <f t="shared" ref="H69:H132" si="52">IF(AO69="","",IF(AQ69&lt;&gt;0,(AO69+AQ69)/2,AO69)-BN69)</f>
        <v/>
      </c>
      <c r="I69" s="2" t="str">
        <f t="shared" ref="I69:I132" si="53">IF(AP69="","",AP69)</f>
        <v/>
      </c>
      <c r="J69" s="2" t="str">
        <f t="shared" ref="J69:J132" si="54">IF(AQ69="","",(AO69+AQ69)/2-BN69)</f>
        <v/>
      </c>
      <c r="K69" s="2" t="str">
        <f t="shared" si="38"/>
        <v/>
      </c>
      <c r="L69" s="2" t="str">
        <f t="shared" si="39"/>
        <v/>
      </c>
      <c r="M69" s="2" t="str">
        <f t="shared" si="40"/>
        <v/>
      </c>
      <c r="N69" s="2" t="str">
        <f t="shared" ref="N69:N132" si="55">IF(AU69="","",IF(AW69&lt;&gt;0,(AU69+AW69)/2,AU69)-BN70)</f>
        <v/>
      </c>
      <c r="O69" s="2" t="str">
        <f t="shared" ref="O69:O132" si="56">IF(AV69="","",AV69)</f>
        <v/>
      </c>
      <c r="P69" s="2" t="str">
        <f t="shared" ref="P69:P132" si="57">IF(AW69="","",(AU69+AW69)/2-BN70)</f>
        <v/>
      </c>
      <c r="Q69" s="2" t="str">
        <f t="shared" si="41"/>
        <v/>
      </c>
      <c r="R69" s="2" t="str">
        <f t="shared" si="42"/>
        <v/>
      </c>
      <c r="S69" s="2" t="str">
        <f t="shared" si="43"/>
        <v/>
      </c>
      <c r="T69" s="2" t="str">
        <f t="shared" ref="T69:T132" si="58">IF(BA69="","",IF(BC69&lt;&gt;0,(BA69+BC69)/2,BA69)-BN71)</f>
        <v/>
      </c>
      <c r="U69" s="2" t="str">
        <f t="shared" ref="U69:U132" si="59">IF(BB69="","",BB69)</f>
        <v/>
      </c>
      <c r="V69" s="2" t="str">
        <f t="shared" ref="V69:V132" si="60">IF(BC69="","",(BA69+BC69)/2-BN71)</f>
        <v/>
      </c>
      <c r="W69" s="2" t="str">
        <f t="shared" si="44"/>
        <v/>
      </c>
      <c r="X69" s="2" t="str">
        <f t="shared" si="45"/>
        <v/>
      </c>
      <c r="Y69" s="2" t="str">
        <f t="shared" si="46"/>
        <v/>
      </c>
      <c r="Z69" s="2" t="str">
        <f t="shared" ref="Z69:Z132" si="61">IF(BG69="","",IF(BI69&lt;&gt;0,(BG69+BI69)/2,BG69)-BN72)</f>
        <v/>
      </c>
      <c r="AA69" s="2" t="str">
        <f t="shared" ref="AA69:AA132" si="62">IF(BH69="","",BH69)</f>
        <v/>
      </c>
      <c r="AB69" s="2" t="str">
        <f t="shared" ref="AB69:AB132" si="63">IF(BI69="","",(BG69+BI69)/2-BN72)</f>
        <v/>
      </c>
      <c r="AC69" s="2" t="str">
        <f t="shared" si="47"/>
        <v/>
      </c>
      <c r="AD69" s="2" t="str">
        <f t="shared" si="48"/>
        <v/>
      </c>
      <c r="AE69" s="2" t="str">
        <f t="shared" si="49"/>
        <v/>
      </c>
      <c r="AF69" s="2" t="str">
        <f t="shared" si="50"/>
        <v/>
      </c>
    </row>
    <row r="70" spans="1:32" x14ac:dyDescent="0.2">
      <c r="A70" s="2" t="str">
        <f t="shared" si="51"/>
        <v/>
      </c>
      <c r="B70" s="2" t="str">
        <f t="shared" si="32"/>
        <v/>
      </c>
      <c r="C70" s="2" t="str">
        <f t="shared" si="33"/>
        <v/>
      </c>
      <c r="D70" s="2" t="str">
        <f t="shared" si="34"/>
        <v/>
      </c>
      <c r="E70" s="2" t="str">
        <f t="shared" si="35"/>
        <v/>
      </c>
      <c r="F70" s="2" t="str">
        <f t="shared" si="36"/>
        <v/>
      </c>
      <c r="G70" s="2" t="str">
        <f t="shared" si="37"/>
        <v/>
      </c>
      <c r="H70" s="2" t="str">
        <f t="shared" si="52"/>
        <v/>
      </c>
      <c r="I70" s="2" t="str">
        <f t="shared" si="53"/>
        <v/>
      </c>
      <c r="J70" s="2" t="str">
        <f t="shared" si="54"/>
        <v/>
      </c>
      <c r="K70" s="2" t="str">
        <f t="shared" si="38"/>
        <v/>
      </c>
      <c r="L70" s="2" t="str">
        <f t="shared" si="39"/>
        <v/>
      </c>
      <c r="M70" s="2" t="str">
        <f t="shared" si="40"/>
        <v/>
      </c>
      <c r="N70" s="2" t="str">
        <f t="shared" si="55"/>
        <v/>
      </c>
      <c r="O70" s="2" t="str">
        <f t="shared" si="56"/>
        <v/>
      </c>
      <c r="P70" s="2" t="str">
        <f t="shared" si="57"/>
        <v/>
      </c>
      <c r="Q70" s="2" t="str">
        <f t="shared" si="41"/>
        <v/>
      </c>
      <c r="R70" s="2" t="str">
        <f t="shared" si="42"/>
        <v/>
      </c>
      <c r="S70" s="2" t="str">
        <f t="shared" si="43"/>
        <v/>
      </c>
      <c r="T70" s="2" t="str">
        <f t="shared" si="58"/>
        <v/>
      </c>
      <c r="U70" s="2" t="str">
        <f t="shared" si="59"/>
        <v/>
      </c>
      <c r="V70" s="2" t="str">
        <f t="shared" si="60"/>
        <v/>
      </c>
      <c r="W70" s="2" t="str">
        <f t="shared" si="44"/>
        <v/>
      </c>
      <c r="X70" s="2" t="str">
        <f t="shared" si="45"/>
        <v/>
      </c>
      <c r="Y70" s="2" t="str">
        <f t="shared" si="46"/>
        <v/>
      </c>
      <c r="Z70" s="2" t="str">
        <f t="shared" si="61"/>
        <v/>
      </c>
      <c r="AA70" s="2" t="str">
        <f t="shared" si="62"/>
        <v/>
      </c>
      <c r="AB70" s="2" t="str">
        <f t="shared" si="63"/>
        <v/>
      </c>
      <c r="AC70" s="2" t="str">
        <f t="shared" si="47"/>
        <v/>
      </c>
      <c r="AD70" s="2" t="str">
        <f t="shared" si="48"/>
        <v/>
      </c>
      <c r="AE70" s="2" t="str">
        <f t="shared" si="49"/>
        <v/>
      </c>
      <c r="AF70" s="2" t="str">
        <f t="shared" si="50"/>
        <v/>
      </c>
    </row>
    <row r="71" spans="1:32" x14ac:dyDescent="0.2">
      <c r="A71" s="2" t="str">
        <f t="shared" si="51"/>
        <v/>
      </c>
      <c r="B71" s="2" t="str">
        <f t="shared" si="32"/>
        <v/>
      </c>
      <c r="C71" s="2" t="str">
        <f t="shared" si="33"/>
        <v/>
      </c>
      <c r="D71" s="2" t="str">
        <f t="shared" si="34"/>
        <v/>
      </c>
      <c r="E71" s="2" t="str">
        <f t="shared" si="35"/>
        <v/>
      </c>
      <c r="F71" s="2" t="str">
        <f t="shared" si="36"/>
        <v/>
      </c>
      <c r="G71" s="2" t="str">
        <f t="shared" si="37"/>
        <v/>
      </c>
      <c r="H71" s="2" t="str">
        <f t="shared" si="52"/>
        <v/>
      </c>
      <c r="I71" s="2" t="str">
        <f t="shared" si="53"/>
        <v/>
      </c>
      <c r="J71" s="2" t="str">
        <f t="shared" si="54"/>
        <v/>
      </c>
      <c r="K71" s="2" t="str">
        <f t="shared" si="38"/>
        <v/>
      </c>
      <c r="L71" s="2" t="str">
        <f t="shared" si="39"/>
        <v/>
      </c>
      <c r="M71" s="2" t="str">
        <f t="shared" si="40"/>
        <v/>
      </c>
      <c r="N71" s="2" t="str">
        <f t="shared" si="55"/>
        <v/>
      </c>
      <c r="O71" s="2" t="str">
        <f t="shared" si="56"/>
        <v/>
      </c>
      <c r="P71" s="2" t="str">
        <f t="shared" si="57"/>
        <v/>
      </c>
      <c r="Q71" s="2" t="str">
        <f t="shared" si="41"/>
        <v/>
      </c>
      <c r="R71" s="2" t="str">
        <f t="shared" si="42"/>
        <v/>
      </c>
      <c r="S71" s="2" t="str">
        <f t="shared" si="43"/>
        <v/>
      </c>
      <c r="T71" s="2" t="str">
        <f t="shared" si="58"/>
        <v/>
      </c>
      <c r="U71" s="2" t="str">
        <f t="shared" si="59"/>
        <v/>
      </c>
      <c r="V71" s="2" t="str">
        <f t="shared" si="60"/>
        <v/>
      </c>
      <c r="W71" s="2" t="str">
        <f t="shared" si="44"/>
        <v/>
      </c>
      <c r="X71" s="2" t="str">
        <f t="shared" si="45"/>
        <v/>
      </c>
      <c r="Y71" s="2" t="str">
        <f t="shared" si="46"/>
        <v/>
      </c>
      <c r="Z71" s="2" t="str">
        <f t="shared" si="61"/>
        <v/>
      </c>
      <c r="AA71" s="2" t="str">
        <f t="shared" si="62"/>
        <v/>
      </c>
      <c r="AB71" s="2" t="str">
        <f t="shared" si="63"/>
        <v/>
      </c>
      <c r="AC71" s="2" t="str">
        <f t="shared" si="47"/>
        <v/>
      </c>
      <c r="AD71" s="2" t="str">
        <f t="shared" si="48"/>
        <v/>
      </c>
      <c r="AE71" s="2" t="str">
        <f t="shared" si="49"/>
        <v/>
      </c>
      <c r="AF71" s="2" t="str">
        <f t="shared" si="50"/>
        <v/>
      </c>
    </row>
    <row r="72" spans="1:32" x14ac:dyDescent="0.2">
      <c r="A72" s="2" t="str">
        <f t="shared" si="51"/>
        <v/>
      </c>
      <c r="B72" s="2" t="str">
        <f t="shared" si="32"/>
        <v/>
      </c>
      <c r="C72" s="2" t="str">
        <f t="shared" si="33"/>
        <v/>
      </c>
      <c r="D72" s="2" t="str">
        <f t="shared" si="34"/>
        <v/>
      </c>
      <c r="E72" s="2" t="str">
        <f t="shared" si="35"/>
        <v/>
      </c>
      <c r="F72" s="2" t="str">
        <f t="shared" si="36"/>
        <v/>
      </c>
      <c r="G72" s="2" t="str">
        <f t="shared" si="37"/>
        <v/>
      </c>
      <c r="H72" s="2" t="str">
        <f t="shared" si="52"/>
        <v/>
      </c>
      <c r="I72" s="2" t="str">
        <f t="shared" si="53"/>
        <v/>
      </c>
      <c r="J72" s="2" t="str">
        <f t="shared" si="54"/>
        <v/>
      </c>
      <c r="K72" s="2" t="str">
        <f t="shared" si="38"/>
        <v/>
      </c>
      <c r="L72" s="2" t="str">
        <f t="shared" si="39"/>
        <v/>
      </c>
      <c r="M72" s="2" t="str">
        <f t="shared" si="40"/>
        <v/>
      </c>
      <c r="N72" s="2" t="str">
        <f t="shared" si="55"/>
        <v/>
      </c>
      <c r="O72" s="2" t="str">
        <f t="shared" si="56"/>
        <v/>
      </c>
      <c r="P72" s="2" t="str">
        <f t="shared" si="57"/>
        <v/>
      </c>
      <c r="Q72" s="2" t="str">
        <f t="shared" si="41"/>
        <v/>
      </c>
      <c r="R72" s="2" t="str">
        <f t="shared" si="42"/>
        <v/>
      </c>
      <c r="S72" s="2" t="str">
        <f t="shared" si="43"/>
        <v/>
      </c>
      <c r="T72" s="2" t="str">
        <f t="shared" si="58"/>
        <v/>
      </c>
      <c r="U72" s="2" t="str">
        <f t="shared" si="59"/>
        <v/>
      </c>
      <c r="V72" s="2" t="str">
        <f t="shared" si="60"/>
        <v/>
      </c>
      <c r="W72" s="2" t="str">
        <f t="shared" si="44"/>
        <v/>
      </c>
      <c r="X72" s="2" t="str">
        <f t="shared" si="45"/>
        <v/>
      </c>
      <c r="Y72" s="2" t="str">
        <f t="shared" si="46"/>
        <v/>
      </c>
      <c r="Z72" s="2" t="str">
        <f t="shared" si="61"/>
        <v/>
      </c>
      <c r="AA72" s="2" t="str">
        <f t="shared" si="62"/>
        <v/>
      </c>
      <c r="AB72" s="2" t="str">
        <f t="shared" si="63"/>
        <v/>
      </c>
      <c r="AC72" s="2" t="str">
        <f t="shared" si="47"/>
        <v/>
      </c>
      <c r="AD72" s="2" t="str">
        <f t="shared" si="48"/>
        <v/>
      </c>
      <c r="AE72" s="2" t="str">
        <f t="shared" si="49"/>
        <v/>
      </c>
      <c r="AF72" s="2" t="str">
        <f t="shared" si="50"/>
        <v/>
      </c>
    </row>
    <row r="73" spans="1:32" x14ac:dyDescent="0.2">
      <c r="A73" s="2" t="str">
        <f t="shared" si="51"/>
        <v/>
      </c>
      <c r="B73" s="2" t="str">
        <f t="shared" si="32"/>
        <v/>
      </c>
      <c r="C73" s="2" t="str">
        <f t="shared" si="33"/>
        <v/>
      </c>
      <c r="D73" s="2" t="str">
        <f t="shared" si="34"/>
        <v/>
      </c>
      <c r="E73" s="2" t="str">
        <f t="shared" si="35"/>
        <v/>
      </c>
      <c r="F73" s="2" t="str">
        <f t="shared" si="36"/>
        <v/>
      </c>
      <c r="G73" s="2" t="str">
        <f t="shared" si="37"/>
        <v/>
      </c>
      <c r="H73" s="2" t="str">
        <f t="shared" si="52"/>
        <v/>
      </c>
      <c r="I73" s="2" t="str">
        <f t="shared" si="53"/>
        <v/>
      </c>
      <c r="J73" s="2" t="str">
        <f t="shared" si="54"/>
        <v/>
      </c>
      <c r="K73" s="2" t="str">
        <f t="shared" si="38"/>
        <v/>
      </c>
      <c r="L73" s="2" t="str">
        <f t="shared" si="39"/>
        <v/>
      </c>
      <c r="M73" s="2" t="str">
        <f t="shared" si="40"/>
        <v/>
      </c>
      <c r="N73" s="2" t="str">
        <f t="shared" si="55"/>
        <v/>
      </c>
      <c r="O73" s="2" t="str">
        <f t="shared" si="56"/>
        <v/>
      </c>
      <c r="P73" s="2" t="str">
        <f t="shared" si="57"/>
        <v/>
      </c>
      <c r="Q73" s="2" t="str">
        <f t="shared" si="41"/>
        <v/>
      </c>
      <c r="R73" s="2" t="str">
        <f t="shared" si="42"/>
        <v/>
      </c>
      <c r="S73" s="2" t="str">
        <f t="shared" si="43"/>
        <v/>
      </c>
      <c r="T73" s="2" t="str">
        <f t="shared" si="58"/>
        <v/>
      </c>
      <c r="U73" s="2" t="str">
        <f t="shared" si="59"/>
        <v/>
      </c>
      <c r="V73" s="2" t="str">
        <f t="shared" si="60"/>
        <v/>
      </c>
      <c r="W73" s="2" t="str">
        <f t="shared" si="44"/>
        <v/>
      </c>
      <c r="X73" s="2" t="str">
        <f t="shared" si="45"/>
        <v/>
      </c>
      <c r="Y73" s="2" t="str">
        <f t="shared" si="46"/>
        <v/>
      </c>
      <c r="Z73" s="2" t="str">
        <f t="shared" si="61"/>
        <v/>
      </c>
      <c r="AA73" s="2" t="str">
        <f t="shared" si="62"/>
        <v/>
      </c>
      <c r="AB73" s="2" t="str">
        <f t="shared" si="63"/>
        <v/>
      </c>
      <c r="AC73" s="2" t="str">
        <f t="shared" si="47"/>
        <v/>
      </c>
      <c r="AD73" s="2" t="str">
        <f t="shared" si="48"/>
        <v/>
      </c>
      <c r="AE73" s="2" t="str">
        <f t="shared" si="49"/>
        <v/>
      </c>
      <c r="AF73" s="2" t="str">
        <f t="shared" si="50"/>
        <v/>
      </c>
    </row>
    <row r="74" spans="1:32" x14ac:dyDescent="0.2">
      <c r="A74" s="2" t="str">
        <f t="shared" si="51"/>
        <v/>
      </c>
      <c r="B74" s="2" t="str">
        <f t="shared" si="32"/>
        <v/>
      </c>
      <c r="C74" s="2" t="str">
        <f t="shared" si="33"/>
        <v/>
      </c>
      <c r="D74" s="2" t="str">
        <f t="shared" si="34"/>
        <v/>
      </c>
      <c r="E74" s="2" t="str">
        <f t="shared" si="35"/>
        <v/>
      </c>
      <c r="F74" s="2" t="str">
        <f t="shared" si="36"/>
        <v/>
      </c>
      <c r="G74" s="2" t="str">
        <f t="shared" si="37"/>
        <v/>
      </c>
      <c r="H74" s="2" t="str">
        <f t="shared" si="52"/>
        <v/>
      </c>
      <c r="I74" s="2" t="str">
        <f t="shared" si="53"/>
        <v/>
      </c>
      <c r="J74" s="2" t="str">
        <f t="shared" si="54"/>
        <v/>
      </c>
      <c r="K74" s="2" t="str">
        <f t="shared" si="38"/>
        <v/>
      </c>
      <c r="L74" s="2" t="str">
        <f t="shared" si="39"/>
        <v/>
      </c>
      <c r="M74" s="2" t="str">
        <f t="shared" si="40"/>
        <v/>
      </c>
      <c r="N74" s="2" t="str">
        <f t="shared" si="55"/>
        <v/>
      </c>
      <c r="O74" s="2" t="str">
        <f t="shared" si="56"/>
        <v/>
      </c>
      <c r="P74" s="2" t="str">
        <f t="shared" si="57"/>
        <v/>
      </c>
      <c r="Q74" s="2" t="str">
        <f t="shared" si="41"/>
        <v/>
      </c>
      <c r="R74" s="2" t="str">
        <f t="shared" si="42"/>
        <v/>
      </c>
      <c r="S74" s="2" t="str">
        <f t="shared" si="43"/>
        <v/>
      </c>
      <c r="T74" s="2" t="str">
        <f t="shared" si="58"/>
        <v/>
      </c>
      <c r="U74" s="2" t="str">
        <f t="shared" si="59"/>
        <v/>
      </c>
      <c r="V74" s="2" t="str">
        <f t="shared" si="60"/>
        <v/>
      </c>
      <c r="W74" s="2" t="str">
        <f t="shared" si="44"/>
        <v/>
      </c>
      <c r="X74" s="2" t="str">
        <f t="shared" si="45"/>
        <v/>
      </c>
      <c r="Y74" s="2" t="str">
        <f t="shared" si="46"/>
        <v/>
      </c>
      <c r="Z74" s="2" t="str">
        <f t="shared" si="61"/>
        <v/>
      </c>
      <c r="AA74" s="2" t="str">
        <f t="shared" si="62"/>
        <v/>
      </c>
      <c r="AB74" s="2" t="str">
        <f t="shared" si="63"/>
        <v/>
      </c>
      <c r="AC74" s="2" t="str">
        <f t="shared" si="47"/>
        <v/>
      </c>
      <c r="AD74" s="2" t="str">
        <f t="shared" si="48"/>
        <v/>
      </c>
      <c r="AE74" s="2" t="str">
        <f t="shared" si="49"/>
        <v/>
      </c>
      <c r="AF74" s="2" t="str">
        <f t="shared" si="50"/>
        <v/>
      </c>
    </row>
    <row r="75" spans="1:32" x14ac:dyDescent="0.2">
      <c r="A75" s="2" t="str">
        <f t="shared" si="51"/>
        <v/>
      </c>
      <c r="B75" s="2" t="str">
        <f t="shared" si="32"/>
        <v/>
      </c>
      <c r="C75" s="2" t="str">
        <f t="shared" si="33"/>
        <v/>
      </c>
      <c r="D75" s="2" t="str">
        <f t="shared" si="34"/>
        <v/>
      </c>
      <c r="E75" s="2" t="str">
        <f t="shared" si="35"/>
        <v/>
      </c>
      <c r="F75" s="2" t="str">
        <f t="shared" si="36"/>
        <v/>
      </c>
      <c r="G75" s="2" t="str">
        <f t="shared" si="37"/>
        <v/>
      </c>
      <c r="H75" s="2" t="str">
        <f t="shared" si="52"/>
        <v/>
      </c>
      <c r="I75" s="2" t="str">
        <f t="shared" si="53"/>
        <v/>
      </c>
      <c r="J75" s="2" t="str">
        <f t="shared" si="54"/>
        <v/>
      </c>
      <c r="K75" s="2" t="str">
        <f t="shared" si="38"/>
        <v/>
      </c>
      <c r="L75" s="2" t="str">
        <f t="shared" si="39"/>
        <v/>
      </c>
      <c r="M75" s="2" t="str">
        <f t="shared" si="40"/>
        <v/>
      </c>
      <c r="N75" s="2" t="str">
        <f t="shared" si="55"/>
        <v/>
      </c>
      <c r="O75" s="2" t="str">
        <f t="shared" si="56"/>
        <v/>
      </c>
      <c r="P75" s="2" t="str">
        <f t="shared" si="57"/>
        <v/>
      </c>
      <c r="Q75" s="2" t="str">
        <f t="shared" si="41"/>
        <v/>
      </c>
      <c r="R75" s="2" t="str">
        <f t="shared" si="42"/>
        <v/>
      </c>
      <c r="S75" s="2" t="str">
        <f t="shared" si="43"/>
        <v/>
      </c>
      <c r="T75" s="2" t="str">
        <f t="shared" si="58"/>
        <v/>
      </c>
      <c r="U75" s="2" t="str">
        <f t="shared" si="59"/>
        <v/>
      </c>
      <c r="V75" s="2" t="str">
        <f t="shared" si="60"/>
        <v/>
      </c>
      <c r="W75" s="2" t="str">
        <f t="shared" si="44"/>
        <v/>
      </c>
      <c r="X75" s="2" t="str">
        <f t="shared" si="45"/>
        <v/>
      </c>
      <c r="Y75" s="2" t="str">
        <f t="shared" si="46"/>
        <v/>
      </c>
      <c r="Z75" s="2" t="str">
        <f t="shared" si="61"/>
        <v/>
      </c>
      <c r="AA75" s="2" t="str">
        <f t="shared" si="62"/>
        <v/>
      </c>
      <c r="AB75" s="2" t="str">
        <f t="shared" si="63"/>
        <v/>
      </c>
      <c r="AC75" s="2" t="str">
        <f t="shared" si="47"/>
        <v/>
      </c>
      <c r="AD75" s="2" t="str">
        <f t="shared" si="48"/>
        <v/>
      </c>
      <c r="AE75" s="2" t="str">
        <f t="shared" si="49"/>
        <v/>
      </c>
      <c r="AF75" s="2" t="str">
        <f t="shared" si="50"/>
        <v/>
      </c>
    </row>
    <row r="76" spans="1:32" x14ac:dyDescent="0.2">
      <c r="A76" s="2" t="str">
        <f t="shared" si="51"/>
        <v/>
      </c>
      <c r="B76" s="2" t="str">
        <f t="shared" si="32"/>
        <v/>
      </c>
      <c r="C76" s="2" t="str">
        <f t="shared" si="33"/>
        <v/>
      </c>
      <c r="D76" s="2" t="str">
        <f t="shared" si="34"/>
        <v/>
      </c>
      <c r="E76" s="2" t="str">
        <f t="shared" si="35"/>
        <v/>
      </c>
      <c r="F76" s="2" t="str">
        <f t="shared" si="36"/>
        <v/>
      </c>
      <c r="G76" s="2" t="str">
        <f t="shared" si="37"/>
        <v/>
      </c>
      <c r="H76" s="2" t="str">
        <f t="shared" si="52"/>
        <v/>
      </c>
      <c r="I76" s="2" t="str">
        <f t="shared" si="53"/>
        <v/>
      </c>
      <c r="J76" s="2" t="str">
        <f t="shared" si="54"/>
        <v/>
      </c>
      <c r="K76" s="2" t="str">
        <f t="shared" si="38"/>
        <v/>
      </c>
      <c r="L76" s="2" t="str">
        <f t="shared" si="39"/>
        <v/>
      </c>
      <c r="M76" s="2" t="str">
        <f t="shared" si="40"/>
        <v/>
      </c>
      <c r="N76" s="2" t="str">
        <f t="shared" si="55"/>
        <v/>
      </c>
      <c r="O76" s="2" t="str">
        <f t="shared" si="56"/>
        <v/>
      </c>
      <c r="P76" s="2" t="str">
        <f t="shared" si="57"/>
        <v/>
      </c>
      <c r="Q76" s="2" t="str">
        <f t="shared" si="41"/>
        <v/>
      </c>
      <c r="R76" s="2" t="str">
        <f t="shared" si="42"/>
        <v/>
      </c>
      <c r="S76" s="2" t="str">
        <f t="shared" si="43"/>
        <v/>
      </c>
      <c r="T76" s="2" t="str">
        <f t="shared" si="58"/>
        <v/>
      </c>
      <c r="U76" s="2" t="str">
        <f t="shared" si="59"/>
        <v/>
      </c>
      <c r="V76" s="2" t="str">
        <f t="shared" si="60"/>
        <v/>
      </c>
      <c r="W76" s="2" t="str">
        <f t="shared" si="44"/>
        <v/>
      </c>
      <c r="X76" s="2" t="str">
        <f t="shared" si="45"/>
        <v/>
      </c>
      <c r="Y76" s="2" t="str">
        <f t="shared" si="46"/>
        <v/>
      </c>
      <c r="Z76" s="2" t="str">
        <f t="shared" si="61"/>
        <v/>
      </c>
      <c r="AA76" s="2" t="str">
        <f t="shared" si="62"/>
        <v/>
      </c>
      <c r="AB76" s="2" t="str">
        <f t="shared" si="63"/>
        <v/>
      </c>
      <c r="AC76" s="2" t="str">
        <f t="shared" si="47"/>
        <v/>
      </c>
      <c r="AD76" s="2" t="str">
        <f t="shared" si="48"/>
        <v/>
      </c>
      <c r="AE76" s="2" t="str">
        <f t="shared" si="49"/>
        <v/>
      </c>
      <c r="AF76" s="2" t="str">
        <f t="shared" si="50"/>
        <v/>
      </c>
    </row>
    <row r="77" spans="1:32" x14ac:dyDescent="0.2">
      <c r="A77" s="2" t="str">
        <f t="shared" si="51"/>
        <v/>
      </c>
      <c r="B77" s="2" t="str">
        <f t="shared" si="32"/>
        <v/>
      </c>
      <c r="C77" s="2" t="str">
        <f t="shared" si="33"/>
        <v/>
      </c>
      <c r="D77" s="2" t="str">
        <f t="shared" si="34"/>
        <v/>
      </c>
      <c r="E77" s="2" t="str">
        <f t="shared" si="35"/>
        <v/>
      </c>
      <c r="F77" s="2" t="str">
        <f t="shared" si="36"/>
        <v/>
      </c>
      <c r="G77" s="2" t="str">
        <f t="shared" si="37"/>
        <v/>
      </c>
      <c r="H77" s="2" t="str">
        <f t="shared" si="52"/>
        <v/>
      </c>
      <c r="I77" s="2" t="str">
        <f t="shared" si="53"/>
        <v/>
      </c>
      <c r="J77" s="2" t="str">
        <f t="shared" si="54"/>
        <v/>
      </c>
      <c r="K77" s="2" t="str">
        <f t="shared" si="38"/>
        <v/>
      </c>
      <c r="L77" s="2" t="str">
        <f t="shared" si="39"/>
        <v/>
      </c>
      <c r="M77" s="2" t="str">
        <f t="shared" si="40"/>
        <v/>
      </c>
      <c r="N77" s="2" t="str">
        <f t="shared" si="55"/>
        <v/>
      </c>
      <c r="O77" s="2" t="str">
        <f t="shared" si="56"/>
        <v/>
      </c>
      <c r="P77" s="2" t="str">
        <f t="shared" si="57"/>
        <v/>
      </c>
      <c r="Q77" s="2" t="str">
        <f t="shared" si="41"/>
        <v/>
      </c>
      <c r="R77" s="2" t="str">
        <f t="shared" si="42"/>
        <v/>
      </c>
      <c r="S77" s="2" t="str">
        <f t="shared" si="43"/>
        <v/>
      </c>
      <c r="T77" s="2" t="str">
        <f t="shared" si="58"/>
        <v/>
      </c>
      <c r="U77" s="2" t="str">
        <f t="shared" si="59"/>
        <v/>
      </c>
      <c r="V77" s="2" t="str">
        <f t="shared" si="60"/>
        <v/>
      </c>
      <c r="W77" s="2" t="str">
        <f t="shared" si="44"/>
        <v/>
      </c>
      <c r="X77" s="2" t="str">
        <f t="shared" si="45"/>
        <v/>
      </c>
      <c r="Y77" s="2" t="str">
        <f t="shared" si="46"/>
        <v/>
      </c>
      <c r="Z77" s="2" t="str">
        <f t="shared" si="61"/>
        <v/>
      </c>
      <c r="AA77" s="2" t="str">
        <f t="shared" si="62"/>
        <v/>
      </c>
      <c r="AB77" s="2" t="str">
        <f t="shared" si="63"/>
        <v/>
      </c>
      <c r="AC77" s="2" t="str">
        <f t="shared" si="47"/>
        <v/>
      </c>
      <c r="AD77" s="2" t="str">
        <f t="shared" si="48"/>
        <v/>
      </c>
      <c r="AE77" s="2" t="str">
        <f t="shared" si="49"/>
        <v/>
      </c>
      <c r="AF77" s="2" t="str">
        <f t="shared" si="50"/>
        <v/>
      </c>
    </row>
    <row r="78" spans="1:32" x14ac:dyDescent="0.2">
      <c r="A78" s="2" t="str">
        <f t="shared" si="51"/>
        <v/>
      </c>
      <c r="B78" s="2" t="str">
        <f t="shared" si="32"/>
        <v/>
      </c>
      <c r="C78" s="2" t="str">
        <f t="shared" si="33"/>
        <v/>
      </c>
      <c r="D78" s="2" t="str">
        <f t="shared" si="34"/>
        <v/>
      </c>
      <c r="E78" s="2" t="str">
        <f t="shared" si="35"/>
        <v/>
      </c>
      <c r="F78" s="2" t="str">
        <f t="shared" si="36"/>
        <v/>
      </c>
      <c r="G78" s="2" t="str">
        <f t="shared" si="37"/>
        <v/>
      </c>
      <c r="H78" s="2" t="str">
        <f t="shared" si="52"/>
        <v/>
      </c>
      <c r="I78" s="2" t="str">
        <f t="shared" si="53"/>
        <v/>
      </c>
      <c r="J78" s="2" t="str">
        <f t="shared" si="54"/>
        <v/>
      </c>
      <c r="K78" s="2" t="str">
        <f t="shared" si="38"/>
        <v/>
      </c>
      <c r="L78" s="2" t="str">
        <f t="shared" si="39"/>
        <v/>
      </c>
      <c r="M78" s="2" t="str">
        <f t="shared" si="40"/>
        <v/>
      </c>
      <c r="N78" s="2" t="str">
        <f t="shared" si="55"/>
        <v/>
      </c>
      <c r="O78" s="2" t="str">
        <f t="shared" si="56"/>
        <v/>
      </c>
      <c r="P78" s="2" t="str">
        <f t="shared" si="57"/>
        <v/>
      </c>
      <c r="Q78" s="2" t="str">
        <f t="shared" si="41"/>
        <v/>
      </c>
      <c r="R78" s="2" t="str">
        <f t="shared" si="42"/>
        <v/>
      </c>
      <c r="S78" s="2" t="str">
        <f t="shared" si="43"/>
        <v/>
      </c>
      <c r="T78" s="2" t="str">
        <f t="shared" si="58"/>
        <v/>
      </c>
      <c r="U78" s="2" t="str">
        <f t="shared" si="59"/>
        <v/>
      </c>
      <c r="V78" s="2" t="str">
        <f t="shared" si="60"/>
        <v/>
      </c>
      <c r="W78" s="2" t="str">
        <f t="shared" si="44"/>
        <v/>
      </c>
      <c r="X78" s="2" t="str">
        <f t="shared" si="45"/>
        <v/>
      </c>
      <c r="Y78" s="2" t="str">
        <f t="shared" si="46"/>
        <v/>
      </c>
      <c r="Z78" s="2" t="str">
        <f t="shared" si="61"/>
        <v/>
      </c>
      <c r="AA78" s="2" t="str">
        <f t="shared" si="62"/>
        <v/>
      </c>
      <c r="AB78" s="2" t="str">
        <f t="shared" si="63"/>
        <v/>
      </c>
      <c r="AC78" s="2" t="str">
        <f t="shared" si="47"/>
        <v/>
      </c>
      <c r="AD78" s="2" t="str">
        <f t="shared" si="48"/>
        <v/>
      </c>
      <c r="AE78" s="2" t="str">
        <f t="shared" si="49"/>
        <v/>
      </c>
      <c r="AF78" s="2" t="str">
        <f t="shared" si="50"/>
        <v/>
      </c>
    </row>
    <row r="79" spans="1:32" x14ac:dyDescent="0.2">
      <c r="A79" s="2" t="str">
        <f t="shared" si="51"/>
        <v/>
      </c>
      <c r="B79" s="2" t="str">
        <f t="shared" si="32"/>
        <v/>
      </c>
      <c r="C79" s="2" t="str">
        <f t="shared" si="33"/>
        <v/>
      </c>
      <c r="D79" s="2" t="str">
        <f t="shared" si="34"/>
        <v/>
      </c>
      <c r="E79" s="2" t="str">
        <f t="shared" si="35"/>
        <v/>
      </c>
      <c r="F79" s="2" t="str">
        <f t="shared" si="36"/>
        <v/>
      </c>
      <c r="G79" s="2" t="str">
        <f t="shared" si="37"/>
        <v/>
      </c>
      <c r="H79" s="2" t="str">
        <f t="shared" si="52"/>
        <v/>
      </c>
      <c r="I79" s="2" t="str">
        <f t="shared" si="53"/>
        <v/>
      </c>
      <c r="J79" s="2" t="str">
        <f t="shared" si="54"/>
        <v/>
      </c>
      <c r="K79" s="2" t="str">
        <f t="shared" si="38"/>
        <v/>
      </c>
      <c r="L79" s="2" t="str">
        <f t="shared" si="39"/>
        <v/>
      </c>
      <c r="M79" s="2" t="str">
        <f t="shared" si="40"/>
        <v/>
      </c>
      <c r="N79" s="2" t="str">
        <f t="shared" si="55"/>
        <v/>
      </c>
      <c r="O79" s="2" t="str">
        <f t="shared" si="56"/>
        <v/>
      </c>
      <c r="P79" s="2" t="str">
        <f t="shared" si="57"/>
        <v/>
      </c>
      <c r="Q79" s="2" t="str">
        <f t="shared" si="41"/>
        <v/>
      </c>
      <c r="R79" s="2" t="str">
        <f t="shared" si="42"/>
        <v/>
      </c>
      <c r="S79" s="2" t="str">
        <f t="shared" si="43"/>
        <v/>
      </c>
      <c r="T79" s="2" t="str">
        <f t="shared" si="58"/>
        <v/>
      </c>
      <c r="U79" s="2" t="str">
        <f t="shared" si="59"/>
        <v/>
      </c>
      <c r="V79" s="2" t="str">
        <f t="shared" si="60"/>
        <v/>
      </c>
      <c r="W79" s="2" t="str">
        <f t="shared" si="44"/>
        <v/>
      </c>
      <c r="X79" s="2" t="str">
        <f t="shared" si="45"/>
        <v/>
      </c>
      <c r="Y79" s="2" t="str">
        <f t="shared" si="46"/>
        <v/>
      </c>
      <c r="Z79" s="2" t="str">
        <f t="shared" si="61"/>
        <v/>
      </c>
      <c r="AA79" s="2" t="str">
        <f t="shared" si="62"/>
        <v/>
      </c>
      <c r="AB79" s="2" t="str">
        <f t="shared" si="63"/>
        <v/>
      </c>
      <c r="AC79" s="2" t="str">
        <f t="shared" si="47"/>
        <v/>
      </c>
      <c r="AD79" s="2" t="str">
        <f t="shared" si="48"/>
        <v/>
      </c>
      <c r="AE79" s="2" t="str">
        <f t="shared" si="49"/>
        <v/>
      </c>
      <c r="AF79" s="2" t="str">
        <f t="shared" si="50"/>
        <v/>
      </c>
    </row>
    <row r="80" spans="1:32" x14ac:dyDescent="0.2">
      <c r="A80" s="2" t="str">
        <f t="shared" si="51"/>
        <v/>
      </c>
      <c r="B80" s="2" t="str">
        <f t="shared" si="32"/>
        <v/>
      </c>
      <c r="C80" s="2" t="str">
        <f t="shared" si="33"/>
        <v/>
      </c>
      <c r="D80" s="2" t="str">
        <f t="shared" si="34"/>
        <v/>
      </c>
      <c r="E80" s="2" t="str">
        <f t="shared" si="35"/>
        <v/>
      </c>
      <c r="F80" s="2" t="str">
        <f t="shared" si="36"/>
        <v/>
      </c>
      <c r="G80" s="2" t="str">
        <f t="shared" si="37"/>
        <v/>
      </c>
      <c r="H80" s="2" t="str">
        <f t="shared" si="52"/>
        <v/>
      </c>
      <c r="I80" s="2" t="str">
        <f t="shared" si="53"/>
        <v/>
      </c>
      <c r="J80" s="2" t="str">
        <f t="shared" si="54"/>
        <v/>
      </c>
      <c r="K80" s="2" t="str">
        <f t="shared" si="38"/>
        <v/>
      </c>
      <c r="L80" s="2" t="str">
        <f t="shared" si="39"/>
        <v/>
      </c>
      <c r="M80" s="2" t="str">
        <f t="shared" si="40"/>
        <v/>
      </c>
      <c r="N80" s="2" t="str">
        <f t="shared" si="55"/>
        <v/>
      </c>
      <c r="O80" s="2" t="str">
        <f t="shared" si="56"/>
        <v/>
      </c>
      <c r="P80" s="2" t="str">
        <f t="shared" si="57"/>
        <v/>
      </c>
      <c r="Q80" s="2" t="str">
        <f t="shared" si="41"/>
        <v/>
      </c>
      <c r="R80" s="2" t="str">
        <f t="shared" si="42"/>
        <v/>
      </c>
      <c r="S80" s="2" t="str">
        <f t="shared" si="43"/>
        <v/>
      </c>
      <c r="T80" s="2" t="str">
        <f t="shared" si="58"/>
        <v/>
      </c>
      <c r="U80" s="2" t="str">
        <f t="shared" si="59"/>
        <v/>
      </c>
      <c r="V80" s="2" t="str">
        <f t="shared" si="60"/>
        <v/>
      </c>
      <c r="W80" s="2" t="str">
        <f t="shared" si="44"/>
        <v/>
      </c>
      <c r="X80" s="2" t="str">
        <f t="shared" si="45"/>
        <v/>
      </c>
      <c r="Y80" s="2" t="str">
        <f t="shared" si="46"/>
        <v/>
      </c>
      <c r="Z80" s="2" t="str">
        <f t="shared" si="61"/>
        <v/>
      </c>
      <c r="AA80" s="2" t="str">
        <f t="shared" si="62"/>
        <v/>
      </c>
      <c r="AB80" s="2" t="str">
        <f t="shared" si="63"/>
        <v/>
      </c>
      <c r="AC80" s="2" t="str">
        <f t="shared" si="47"/>
        <v/>
      </c>
      <c r="AD80" s="2" t="str">
        <f t="shared" si="48"/>
        <v/>
      </c>
      <c r="AE80" s="2" t="str">
        <f t="shared" si="49"/>
        <v/>
      </c>
      <c r="AF80" s="2" t="str">
        <f t="shared" si="50"/>
        <v/>
      </c>
    </row>
    <row r="81" spans="1:32" x14ac:dyDescent="0.2">
      <c r="A81" s="2" t="str">
        <f t="shared" si="51"/>
        <v/>
      </c>
      <c r="B81" s="2" t="str">
        <f t="shared" si="32"/>
        <v/>
      </c>
      <c r="C81" s="2" t="str">
        <f t="shared" si="33"/>
        <v/>
      </c>
      <c r="D81" s="2" t="str">
        <f t="shared" si="34"/>
        <v/>
      </c>
      <c r="E81" s="2" t="str">
        <f t="shared" si="35"/>
        <v/>
      </c>
      <c r="F81" s="2" t="str">
        <f t="shared" si="36"/>
        <v/>
      </c>
      <c r="G81" s="2" t="str">
        <f t="shared" si="37"/>
        <v/>
      </c>
      <c r="H81" s="2" t="str">
        <f t="shared" si="52"/>
        <v/>
      </c>
      <c r="I81" s="2" t="str">
        <f t="shared" si="53"/>
        <v/>
      </c>
      <c r="J81" s="2" t="str">
        <f t="shared" si="54"/>
        <v/>
      </c>
      <c r="K81" s="2" t="str">
        <f t="shared" si="38"/>
        <v/>
      </c>
      <c r="L81" s="2" t="str">
        <f t="shared" si="39"/>
        <v/>
      </c>
      <c r="M81" s="2" t="str">
        <f t="shared" si="40"/>
        <v/>
      </c>
      <c r="N81" s="2" t="str">
        <f t="shared" si="55"/>
        <v/>
      </c>
      <c r="O81" s="2" t="str">
        <f t="shared" si="56"/>
        <v/>
      </c>
      <c r="P81" s="2" t="str">
        <f t="shared" si="57"/>
        <v/>
      </c>
      <c r="Q81" s="2" t="str">
        <f t="shared" si="41"/>
        <v/>
      </c>
      <c r="R81" s="2" t="str">
        <f t="shared" si="42"/>
        <v/>
      </c>
      <c r="S81" s="2" t="str">
        <f t="shared" si="43"/>
        <v/>
      </c>
      <c r="T81" s="2" t="str">
        <f t="shared" si="58"/>
        <v/>
      </c>
      <c r="U81" s="2" t="str">
        <f t="shared" si="59"/>
        <v/>
      </c>
      <c r="V81" s="2" t="str">
        <f t="shared" si="60"/>
        <v/>
      </c>
      <c r="W81" s="2" t="str">
        <f t="shared" si="44"/>
        <v/>
      </c>
      <c r="X81" s="2" t="str">
        <f t="shared" si="45"/>
        <v/>
      </c>
      <c r="Y81" s="2" t="str">
        <f t="shared" si="46"/>
        <v/>
      </c>
      <c r="Z81" s="2" t="str">
        <f t="shared" si="61"/>
        <v/>
      </c>
      <c r="AA81" s="2" t="str">
        <f t="shared" si="62"/>
        <v/>
      </c>
      <c r="AB81" s="2" t="str">
        <f t="shared" si="63"/>
        <v/>
      </c>
      <c r="AC81" s="2" t="str">
        <f t="shared" si="47"/>
        <v/>
      </c>
      <c r="AD81" s="2" t="str">
        <f t="shared" si="48"/>
        <v/>
      </c>
      <c r="AE81" s="2" t="str">
        <f t="shared" si="49"/>
        <v/>
      </c>
      <c r="AF81" s="2" t="str">
        <f t="shared" si="50"/>
        <v/>
      </c>
    </row>
    <row r="82" spans="1:32" x14ac:dyDescent="0.2">
      <c r="A82" s="2" t="str">
        <f t="shared" si="51"/>
        <v/>
      </c>
      <c r="B82" s="2" t="str">
        <f t="shared" si="32"/>
        <v/>
      </c>
      <c r="C82" s="2" t="str">
        <f t="shared" si="33"/>
        <v/>
      </c>
      <c r="D82" s="2" t="str">
        <f t="shared" si="34"/>
        <v/>
      </c>
      <c r="E82" s="2" t="str">
        <f t="shared" si="35"/>
        <v/>
      </c>
      <c r="F82" s="2" t="str">
        <f t="shared" si="36"/>
        <v/>
      </c>
      <c r="G82" s="2" t="str">
        <f t="shared" si="37"/>
        <v/>
      </c>
      <c r="H82" s="2" t="str">
        <f t="shared" si="52"/>
        <v/>
      </c>
      <c r="I82" s="2" t="str">
        <f t="shared" si="53"/>
        <v/>
      </c>
      <c r="J82" s="2" t="str">
        <f t="shared" si="54"/>
        <v/>
      </c>
      <c r="K82" s="2" t="str">
        <f t="shared" si="38"/>
        <v/>
      </c>
      <c r="L82" s="2" t="str">
        <f t="shared" si="39"/>
        <v/>
      </c>
      <c r="M82" s="2" t="str">
        <f t="shared" si="40"/>
        <v/>
      </c>
      <c r="N82" s="2" t="str">
        <f t="shared" si="55"/>
        <v/>
      </c>
      <c r="O82" s="2" t="str">
        <f t="shared" si="56"/>
        <v/>
      </c>
      <c r="P82" s="2" t="str">
        <f t="shared" si="57"/>
        <v/>
      </c>
      <c r="Q82" s="2" t="str">
        <f t="shared" si="41"/>
        <v/>
      </c>
      <c r="R82" s="2" t="str">
        <f t="shared" si="42"/>
        <v/>
      </c>
      <c r="S82" s="2" t="str">
        <f t="shared" si="43"/>
        <v/>
      </c>
      <c r="T82" s="2" t="str">
        <f t="shared" si="58"/>
        <v/>
      </c>
      <c r="U82" s="2" t="str">
        <f t="shared" si="59"/>
        <v/>
      </c>
      <c r="V82" s="2" t="str">
        <f t="shared" si="60"/>
        <v/>
      </c>
      <c r="W82" s="2" t="str">
        <f t="shared" si="44"/>
        <v/>
      </c>
      <c r="X82" s="2" t="str">
        <f t="shared" si="45"/>
        <v/>
      </c>
      <c r="Y82" s="2" t="str">
        <f t="shared" si="46"/>
        <v/>
      </c>
      <c r="Z82" s="2" t="str">
        <f t="shared" si="61"/>
        <v/>
      </c>
      <c r="AA82" s="2" t="str">
        <f t="shared" si="62"/>
        <v/>
      </c>
      <c r="AB82" s="2" t="str">
        <f t="shared" si="63"/>
        <v/>
      </c>
      <c r="AC82" s="2" t="str">
        <f t="shared" si="47"/>
        <v/>
      </c>
      <c r="AD82" s="2" t="str">
        <f t="shared" si="48"/>
        <v/>
      </c>
      <c r="AE82" s="2" t="str">
        <f t="shared" si="49"/>
        <v/>
      </c>
      <c r="AF82" s="2" t="str">
        <f t="shared" si="50"/>
        <v/>
      </c>
    </row>
    <row r="83" spans="1:32" x14ac:dyDescent="0.2">
      <c r="A83" s="2" t="str">
        <f t="shared" si="51"/>
        <v/>
      </c>
      <c r="B83" s="2" t="str">
        <f t="shared" si="32"/>
        <v/>
      </c>
      <c r="C83" s="2" t="str">
        <f t="shared" si="33"/>
        <v/>
      </c>
      <c r="D83" s="2" t="str">
        <f t="shared" si="34"/>
        <v/>
      </c>
      <c r="E83" s="2" t="str">
        <f t="shared" si="35"/>
        <v/>
      </c>
      <c r="F83" s="2" t="str">
        <f t="shared" si="36"/>
        <v/>
      </c>
      <c r="G83" s="2" t="str">
        <f t="shared" si="37"/>
        <v/>
      </c>
      <c r="H83" s="2" t="str">
        <f t="shared" si="52"/>
        <v/>
      </c>
      <c r="I83" s="2" t="str">
        <f t="shared" si="53"/>
        <v/>
      </c>
      <c r="J83" s="2" t="str">
        <f t="shared" si="54"/>
        <v/>
      </c>
      <c r="K83" s="2" t="str">
        <f t="shared" si="38"/>
        <v/>
      </c>
      <c r="L83" s="2" t="str">
        <f t="shared" si="39"/>
        <v/>
      </c>
      <c r="M83" s="2" t="str">
        <f t="shared" si="40"/>
        <v/>
      </c>
      <c r="N83" s="2" t="str">
        <f t="shared" si="55"/>
        <v/>
      </c>
      <c r="O83" s="2" t="str">
        <f t="shared" si="56"/>
        <v/>
      </c>
      <c r="P83" s="2" t="str">
        <f t="shared" si="57"/>
        <v/>
      </c>
      <c r="Q83" s="2" t="str">
        <f t="shared" si="41"/>
        <v/>
      </c>
      <c r="R83" s="2" t="str">
        <f t="shared" si="42"/>
        <v/>
      </c>
      <c r="S83" s="2" t="str">
        <f t="shared" si="43"/>
        <v/>
      </c>
      <c r="T83" s="2" t="str">
        <f t="shared" si="58"/>
        <v/>
      </c>
      <c r="U83" s="2" t="str">
        <f t="shared" si="59"/>
        <v/>
      </c>
      <c r="V83" s="2" t="str">
        <f t="shared" si="60"/>
        <v/>
      </c>
      <c r="W83" s="2" t="str">
        <f t="shared" si="44"/>
        <v/>
      </c>
      <c r="X83" s="2" t="str">
        <f t="shared" si="45"/>
        <v/>
      </c>
      <c r="Y83" s="2" t="str">
        <f t="shared" si="46"/>
        <v/>
      </c>
      <c r="Z83" s="2" t="str">
        <f t="shared" si="61"/>
        <v/>
      </c>
      <c r="AA83" s="2" t="str">
        <f t="shared" si="62"/>
        <v/>
      </c>
      <c r="AB83" s="2" t="str">
        <f t="shared" si="63"/>
        <v/>
      </c>
      <c r="AC83" s="2" t="str">
        <f t="shared" si="47"/>
        <v/>
      </c>
      <c r="AD83" s="2" t="str">
        <f t="shared" si="48"/>
        <v/>
      </c>
      <c r="AE83" s="2" t="str">
        <f t="shared" si="49"/>
        <v/>
      </c>
      <c r="AF83" s="2" t="str">
        <f t="shared" si="50"/>
        <v/>
      </c>
    </row>
    <row r="84" spans="1:32" x14ac:dyDescent="0.2">
      <c r="A84" s="2" t="str">
        <f t="shared" si="51"/>
        <v/>
      </c>
      <c r="B84" s="2" t="str">
        <f t="shared" si="32"/>
        <v/>
      </c>
      <c r="C84" s="2" t="str">
        <f t="shared" si="33"/>
        <v/>
      </c>
      <c r="D84" s="2" t="str">
        <f t="shared" si="34"/>
        <v/>
      </c>
      <c r="E84" s="2" t="str">
        <f t="shared" si="35"/>
        <v/>
      </c>
      <c r="F84" s="2" t="str">
        <f t="shared" si="36"/>
        <v/>
      </c>
      <c r="G84" s="2" t="str">
        <f t="shared" si="37"/>
        <v/>
      </c>
      <c r="H84" s="2" t="str">
        <f t="shared" si="52"/>
        <v/>
      </c>
      <c r="I84" s="2" t="str">
        <f t="shared" si="53"/>
        <v/>
      </c>
      <c r="J84" s="2" t="str">
        <f t="shared" si="54"/>
        <v/>
      </c>
      <c r="K84" s="2" t="str">
        <f t="shared" si="38"/>
        <v/>
      </c>
      <c r="L84" s="2" t="str">
        <f t="shared" si="39"/>
        <v/>
      </c>
      <c r="M84" s="2" t="str">
        <f t="shared" si="40"/>
        <v/>
      </c>
      <c r="N84" s="2" t="str">
        <f t="shared" si="55"/>
        <v/>
      </c>
      <c r="O84" s="2" t="str">
        <f t="shared" si="56"/>
        <v/>
      </c>
      <c r="P84" s="2" t="str">
        <f t="shared" si="57"/>
        <v/>
      </c>
      <c r="Q84" s="2" t="str">
        <f t="shared" si="41"/>
        <v/>
      </c>
      <c r="R84" s="2" t="str">
        <f t="shared" si="42"/>
        <v/>
      </c>
      <c r="S84" s="2" t="str">
        <f t="shared" si="43"/>
        <v/>
      </c>
      <c r="T84" s="2" t="str">
        <f t="shared" si="58"/>
        <v/>
      </c>
      <c r="U84" s="2" t="str">
        <f t="shared" si="59"/>
        <v/>
      </c>
      <c r="V84" s="2" t="str">
        <f t="shared" si="60"/>
        <v/>
      </c>
      <c r="W84" s="2" t="str">
        <f t="shared" si="44"/>
        <v/>
      </c>
      <c r="X84" s="2" t="str">
        <f t="shared" si="45"/>
        <v/>
      </c>
      <c r="Y84" s="2" t="str">
        <f t="shared" si="46"/>
        <v/>
      </c>
      <c r="Z84" s="2" t="str">
        <f t="shared" si="61"/>
        <v/>
      </c>
      <c r="AA84" s="2" t="str">
        <f t="shared" si="62"/>
        <v/>
      </c>
      <c r="AB84" s="2" t="str">
        <f t="shared" si="63"/>
        <v/>
      </c>
      <c r="AC84" s="2" t="str">
        <f t="shared" si="47"/>
        <v/>
      </c>
      <c r="AD84" s="2" t="str">
        <f t="shared" si="48"/>
        <v/>
      </c>
      <c r="AE84" s="2" t="str">
        <f t="shared" si="49"/>
        <v/>
      </c>
      <c r="AF84" s="2" t="str">
        <f t="shared" si="50"/>
        <v/>
      </c>
    </row>
    <row r="85" spans="1:32" x14ac:dyDescent="0.2">
      <c r="A85" s="2" t="str">
        <f t="shared" si="51"/>
        <v/>
      </c>
      <c r="B85" s="2" t="str">
        <f t="shared" si="32"/>
        <v/>
      </c>
      <c r="C85" s="2" t="str">
        <f t="shared" si="33"/>
        <v/>
      </c>
      <c r="D85" s="2" t="str">
        <f t="shared" si="34"/>
        <v/>
      </c>
      <c r="E85" s="2" t="str">
        <f t="shared" si="35"/>
        <v/>
      </c>
      <c r="F85" s="2" t="str">
        <f t="shared" si="36"/>
        <v/>
      </c>
      <c r="G85" s="2" t="str">
        <f t="shared" si="37"/>
        <v/>
      </c>
      <c r="H85" s="2" t="str">
        <f t="shared" si="52"/>
        <v/>
      </c>
      <c r="I85" s="2" t="str">
        <f t="shared" si="53"/>
        <v/>
      </c>
      <c r="J85" s="2" t="str">
        <f t="shared" si="54"/>
        <v/>
      </c>
      <c r="K85" s="2" t="str">
        <f t="shared" si="38"/>
        <v/>
      </c>
      <c r="L85" s="2" t="str">
        <f t="shared" si="39"/>
        <v/>
      </c>
      <c r="M85" s="2" t="str">
        <f t="shared" si="40"/>
        <v/>
      </c>
      <c r="N85" s="2" t="str">
        <f t="shared" si="55"/>
        <v/>
      </c>
      <c r="O85" s="2" t="str">
        <f t="shared" si="56"/>
        <v/>
      </c>
      <c r="P85" s="2" t="str">
        <f t="shared" si="57"/>
        <v/>
      </c>
      <c r="Q85" s="2" t="str">
        <f t="shared" si="41"/>
        <v/>
      </c>
      <c r="R85" s="2" t="str">
        <f t="shared" si="42"/>
        <v/>
      </c>
      <c r="S85" s="2" t="str">
        <f t="shared" si="43"/>
        <v/>
      </c>
      <c r="T85" s="2" t="str">
        <f t="shared" si="58"/>
        <v/>
      </c>
      <c r="U85" s="2" t="str">
        <f t="shared" si="59"/>
        <v/>
      </c>
      <c r="V85" s="2" t="str">
        <f t="shared" si="60"/>
        <v/>
      </c>
      <c r="W85" s="2" t="str">
        <f t="shared" si="44"/>
        <v/>
      </c>
      <c r="X85" s="2" t="str">
        <f t="shared" si="45"/>
        <v/>
      </c>
      <c r="Y85" s="2" t="str">
        <f t="shared" si="46"/>
        <v/>
      </c>
      <c r="Z85" s="2" t="str">
        <f t="shared" si="61"/>
        <v/>
      </c>
      <c r="AA85" s="2" t="str">
        <f t="shared" si="62"/>
        <v/>
      </c>
      <c r="AB85" s="2" t="str">
        <f t="shared" si="63"/>
        <v/>
      </c>
      <c r="AC85" s="2" t="str">
        <f t="shared" si="47"/>
        <v/>
      </c>
      <c r="AD85" s="2" t="str">
        <f t="shared" si="48"/>
        <v/>
      </c>
      <c r="AE85" s="2" t="str">
        <f t="shared" si="49"/>
        <v/>
      </c>
      <c r="AF85" s="2" t="str">
        <f t="shared" si="50"/>
        <v/>
      </c>
    </row>
    <row r="86" spans="1:32" x14ac:dyDescent="0.2">
      <c r="A86" s="2" t="str">
        <f t="shared" si="51"/>
        <v/>
      </c>
      <c r="B86" s="2" t="str">
        <f t="shared" si="32"/>
        <v/>
      </c>
      <c r="C86" s="2" t="str">
        <f t="shared" si="33"/>
        <v/>
      </c>
      <c r="D86" s="2" t="str">
        <f t="shared" si="34"/>
        <v/>
      </c>
      <c r="E86" s="2" t="str">
        <f t="shared" si="35"/>
        <v/>
      </c>
      <c r="F86" s="2" t="str">
        <f t="shared" si="36"/>
        <v/>
      </c>
      <c r="G86" s="2" t="str">
        <f t="shared" si="37"/>
        <v/>
      </c>
      <c r="H86" s="2" t="str">
        <f t="shared" si="52"/>
        <v/>
      </c>
      <c r="I86" s="2" t="str">
        <f t="shared" si="53"/>
        <v/>
      </c>
      <c r="J86" s="2" t="str">
        <f t="shared" si="54"/>
        <v/>
      </c>
      <c r="K86" s="2" t="str">
        <f t="shared" si="38"/>
        <v/>
      </c>
      <c r="L86" s="2" t="str">
        <f t="shared" si="39"/>
        <v/>
      </c>
      <c r="M86" s="2" t="str">
        <f t="shared" si="40"/>
        <v/>
      </c>
      <c r="N86" s="2" t="str">
        <f t="shared" si="55"/>
        <v/>
      </c>
      <c r="O86" s="2" t="str">
        <f t="shared" si="56"/>
        <v/>
      </c>
      <c r="P86" s="2" t="str">
        <f t="shared" si="57"/>
        <v/>
      </c>
      <c r="Q86" s="2" t="str">
        <f t="shared" si="41"/>
        <v/>
      </c>
      <c r="R86" s="2" t="str">
        <f t="shared" si="42"/>
        <v/>
      </c>
      <c r="S86" s="2" t="str">
        <f t="shared" si="43"/>
        <v/>
      </c>
      <c r="T86" s="2" t="str">
        <f t="shared" si="58"/>
        <v/>
      </c>
      <c r="U86" s="2" t="str">
        <f t="shared" si="59"/>
        <v/>
      </c>
      <c r="V86" s="2" t="str">
        <f t="shared" si="60"/>
        <v/>
      </c>
      <c r="W86" s="2" t="str">
        <f t="shared" si="44"/>
        <v/>
      </c>
      <c r="X86" s="2" t="str">
        <f t="shared" si="45"/>
        <v/>
      </c>
      <c r="Y86" s="2" t="str">
        <f t="shared" si="46"/>
        <v/>
      </c>
      <c r="Z86" s="2" t="str">
        <f t="shared" si="61"/>
        <v/>
      </c>
      <c r="AA86" s="2" t="str">
        <f t="shared" si="62"/>
        <v/>
      </c>
      <c r="AB86" s="2" t="str">
        <f t="shared" si="63"/>
        <v/>
      </c>
      <c r="AC86" s="2" t="str">
        <f t="shared" si="47"/>
        <v/>
      </c>
      <c r="AD86" s="2" t="str">
        <f t="shared" si="48"/>
        <v/>
      </c>
      <c r="AE86" s="2" t="str">
        <f t="shared" si="49"/>
        <v/>
      </c>
      <c r="AF86" s="2" t="str">
        <f t="shared" si="50"/>
        <v/>
      </c>
    </row>
    <row r="87" spans="1:32" x14ac:dyDescent="0.2">
      <c r="A87" s="2" t="str">
        <f t="shared" si="51"/>
        <v/>
      </c>
      <c r="B87" s="2" t="str">
        <f t="shared" si="32"/>
        <v/>
      </c>
      <c r="C87" s="2" t="str">
        <f t="shared" si="33"/>
        <v/>
      </c>
      <c r="D87" s="2" t="str">
        <f t="shared" si="34"/>
        <v/>
      </c>
      <c r="E87" s="2" t="str">
        <f t="shared" si="35"/>
        <v/>
      </c>
      <c r="F87" s="2" t="str">
        <f t="shared" si="36"/>
        <v/>
      </c>
      <c r="G87" s="2" t="str">
        <f t="shared" si="37"/>
        <v/>
      </c>
      <c r="H87" s="2" t="str">
        <f t="shared" si="52"/>
        <v/>
      </c>
      <c r="I87" s="2" t="str">
        <f t="shared" si="53"/>
        <v/>
      </c>
      <c r="J87" s="2" t="str">
        <f t="shared" si="54"/>
        <v/>
      </c>
      <c r="K87" s="2" t="str">
        <f t="shared" si="38"/>
        <v/>
      </c>
      <c r="L87" s="2" t="str">
        <f t="shared" si="39"/>
        <v/>
      </c>
      <c r="M87" s="2" t="str">
        <f t="shared" si="40"/>
        <v/>
      </c>
      <c r="N87" s="2" t="str">
        <f t="shared" si="55"/>
        <v/>
      </c>
      <c r="O87" s="2" t="str">
        <f t="shared" si="56"/>
        <v/>
      </c>
      <c r="P87" s="2" t="str">
        <f t="shared" si="57"/>
        <v/>
      </c>
      <c r="Q87" s="2" t="str">
        <f t="shared" si="41"/>
        <v/>
      </c>
      <c r="R87" s="2" t="str">
        <f t="shared" si="42"/>
        <v/>
      </c>
      <c r="S87" s="2" t="str">
        <f t="shared" si="43"/>
        <v/>
      </c>
      <c r="T87" s="2" t="str">
        <f t="shared" si="58"/>
        <v/>
      </c>
      <c r="U87" s="2" t="str">
        <f t="shared" si="59"/>
        <v/>
      </c>
      <c r="V87" s="2" t="str">
        <f t="shared" si="60"/>
        <v/>
      </c>
      <c r="W87" s="2" t="str">
        <f t="shared" si="44"/>
        <v/>
      </c>
      <c r="X87" s="2" t="str">
        <f t="shared" si="45"/>
        <v/>
      </c>
      <c r="Y87" s="2" t="str">
        <f t="shared" si="46"/>
        <v/>
      </c>
      <c r="Z87" s="2" t="str">
        <f t="shared" si="61"/>
        <v/>
      </c>
      <c r="AA87" s="2" t="str">
        <f t="shared" si="62"/>
        <v/>
      </c>
      <c r="AB87" s="2" t="str">
        <f t="shared" si="63"/>
        <v/>
      </c>
      <c r="AC87" s="2" t="str">
        <f t="shared" si="47"/>
        <v/>
      </c>
      <c r="AD87" s="2" t="str">
        <f t="shared" si="48"/>
        <v/>
      </c>
      <c r="AE87" s="2" t="str">
        <f t="shared" si="49"/>
        <v/>
      </c>
      <c r="AF87" s="2" t="str">
        <f t="shared" si="50"/>
        <v/>
      </c>
    </row>
    <row r="88" spans="1:32" x14ac:dyDescent="0.2">
      <c r="A88" s="2" t="str">
        <f t="shared" si="51"/>
        <v/>
      </c>
      <c r="B88" s="2" t="str">
        <f t="shared" si="32"/>
        <v/>
      </c>
      <c r="C88" s="2" t="str">
        <f t="shared" si="33"/>
        <v/>
      </c>
      <c r="D88" s="2" t="str">
        <f t="shared" si="34"/>
        <v/>
      </c>
      <c r="E88" s="2" t="str">
        <f t="shared" si="35"/>
        <v/>
      </c>
      <c r="F88" s="2" t="str">
        <f t="shared" si="36"/>
        <v/>
      </c>
      <c r="G88" s="2" t="str">
        <f t="shared" si="37"/>
        <v/>
      </c>
      <c r="H88" s="2" t="str">
        <f t="shared" si="52"/>
        <v/>
      </c>
      <c r="I88" s="2" t="str">
        <f t="shared" si="53"/>
        <v/>
      </c>
      <c r="J88" s="2" t="str">
        <f t="shared" si="54"/>
        <v/>
      </c>
      <c r="K88" s="2" t="str">
        <f t="shared" si="38"/>
        <v/>
      </c>
      <c r="L88" s="2" t="str">
        <f t="shared" si="39"/>
        <v/>
      </c>
      <c r="M88" s="2" t="str">
        <f t="shared" si="40"/>
        <v/>
      </c>
      <c r="N88" s="2" t="str">
        <f t="shared" si="55"/>
        <v/>
      </c>
      <c r="O88" s="2" t="str">
        <f t="shared" si="56"/>
        <v/>
      </c>
      <c r="P88" s="2" t="str">
        <f t="shared" si="57"/>
        <v/>
      </c>
      <c r="Q88" s="2" t="str">
        <f t="shared" si="41"/>
        <v/>
      </c>
      <c r="R88" s="2" t="str">
        <f t="shared" si="42"/>
        <v/>
      </c>
      <c r="S88" s="2" t="str">
        <f t="shared" si="43"/>
        <v/>
      </c>
      <c r="T88" s="2" t="str">
        <f t="shared" si="58"/>
        <v/>
      </c>
      <c r="U88" s="2" t="str">
        <f t="shared" si="59"/>
        <v/>
      </c>
      <c r="V88" s="2" t="str">
        <f t="shared" si="60"/>
        <v/>
      </c>
      <c r="W88" s="2" t="str">
        <f t="shared" si="44"/>
        <v/>
      </c>
      <c r="X88" s="2" t="str">
        <f t="shared" si="45"/>
        <v/>
      </c>
      <c r="Y88" s="2" t="str">
        <f t="shared" si="46"/>
        <v/>
      </c>
      <c r="Z88" s="2" t="str">
        <f t="shared" si="61"/>
        <v/>
      </c>
      <c r="AA88" s="2" t="str">
        <f t="shared" si="62"/>
        <v/>
      </c>
      <c r="AB88" s="2" t="str">
        <f t="shared" si="63"/>
        <v/>
      </c>
      <c r="AC88" s="2" t="str">
        <f t="shared" si="47"/>
        <v/>
      </c>
      <c r="AD88" s="2" t="str">
        <f t="shared" si="48"/>
        <v/>
      </c>
      <c r="AE88" s="2" t="str">
        <f t="shared" si="49"/>
        <v/>
      </c>
      <c r="AF88" s="2" t="str">
        <f t="shared" si="50"/>
        <v/>
      </c>
    </row>
    <row r="89" spans="1:32" x14ac:dyDescent="0.2">
      <c r="A89" s="2" t="str">
        <f t="shared" si="51"/>
        <v/>
      </c>
      <c r="B89" s="2" t="str">
        <f t="shared" si="32"/>
        <v/>
      </c>
      <c r="C89" s="2" t="str">
        <f t="shared" si="33"/>
        <v/>
      </c>
      <c r="D89" s="2" t="str">
        <f t="shared" si="34"/>
        <v/>
      </c>
      <c r="E89" s="2" t="str">
        <f t="shared" si="35"/>
        <v/>
      </c>
      <c r="F89" s="2" t="str">
        <f t="shared" si="36"/>
        <v/>
      </c>
      <c r="G89" s="2" t="str">
        <f t="shared" si="37"/>
        <v/>
      </c>
      <c r="H89" s="2" t="str">
        <f t="shared" si="52"/>
        <v/>
      </c>
      <c r="I89" s="2" t="str">
        <f t="shared" si="53"/>
        <v/>
      </c>
      <c r="J89" s="2" t="str">
        <f t="shared" si="54"/>
        <v/>
      </c>
      <c r="K89" s="2" t="str">
        <f t="shared" si="38"/>
        <v/>
      </c>
      <c r="L89" s="2" t="str">
        <f t="shared" si="39"/>
        <v/>
      </c>
      <c r="M89" s="2" t="str">
        <f t="shared" si="40"/>
        <v/>
      </c>
      <c r="N89" s="2" t="str">
        <f t="shared" si="55"/>
        <v/>
      </c>
      <c r="O89" s="2" t="str">
        <f t="shared" si="56"/>
        <v/>
      </c>
      <c r="P89" s="2" t="str">
        <f t="shared" si="57"/>
        <v/>
      </c>
      <c r="Q89" s="2" t="str">
        <f t="shared" si="41"/>
        <v/>
      </c>
      <c r="R89" s="2" t="str">
        <f t="shared" si="42"/>
        <v/>
      </c>
      <c r="S89" s="2" t="str">
        <f t="shared" si="43"/>
        <v/>
      </c>
      <c r="T89" s="2" t="str">
        <f t="shared" si="58"/>
        <v/>
      </c>
      <c r="U89" s="2" t="str">
        <f t="shared" si="59"/>
        <v/>
      </c>
      <c r="V89" s="2" t="str">
        <f t="shared" si="60"/>
        <v/>
      </c>
      <c r="W89" s="2" t="str">
        <f t="shared" si="44"/>
        <v/>
      </c>
      <c r="X89" s="2" t="str">
        <f t="shared" si="45"/>
        <v/>
      </c>
      <c r="Y89" s="2" t="str">
        <f t="shared" si="46"/>
        <v/>
      </c>
      <c r="Z89" s="2" t="str">
        <f t="shared" si="61"/>
        <v/>
      </c>
      <c r="AA89" s="2" t="str">
        <f t="shared" si="62"/>
        <v/>
      </c>
      <c r="AB89" s="2" t="str">
        <f t="shared" si="63"/>
        <v/>
      </c>
      <c r="AC89" s="2" t="str">
        <f t="shared" si="47"/>
        <v/>
      </c>
      <c r="AD89" s="2" t="str">
        <f t="shared" si="48"/>
        <v/>
      </c>
      <c r="AE89" s="2" t="str">
        <f t="shared" si="49"/>
        <v/>
      </c>
      <c r="AF89" s="2" t="str">
        <f t="shared" si="50"/>
        <v/>
      </c>
    </row>
    <row r="90" spans="1:32" x14ac:dyDescent="0.2">
      <c r="A90" s="2" t="str">
        <f t="shared" si="51"/>
        <v/>
      </c>
      <c r="B90" s="2" t="str">
        <f t="shared" si="32"/>
        <v/>
      </c>
      <c r="C90" s="2" t="str">
        <f t="shared" si="33"/>
        <v/>
      </c>
      <c r="D90" s="2" t="str">
        <f t="shared" si="34"/>
        <v/>
      </c>
      <c r="E90" s="2" t="str">
        <f t="shared" si="35"/>
        <v/>
      </c>
      <c r="F90" s="2" t="str">
        <f t="shared" si="36"/>
        <v/>
      </c>
      <c r="G90" s="2" t="str">
        <f t="shared" si="37"/>
        <v/>
      </c>
      <c r="H90" s="2" t="str">
        <f t="shared" si="52"/>
        <v/>
      </c>
      <c r="I90" s="2" t="str">
        <f t="shared" si="53"/>
        <v/>
      </c>
      <c r="J90" s="2" t="str">
        <f t="shared" si="54"/>
        <v/>
      </c>
      <c r="K90" s="2" t="str">
        <f t="shared" si="38"/>
        <v/>
      </c>
      <c r="L90" s="2" t="str">
        <f t="shared" si="39"/>
        <v/>
      </c>
      <c r="M90" s="2" t="str">
        <f t="shared" si="40"/>
        <v/>
      </c>
      <c r="N90" s="2" t="str">
        <f t="shared" si="55"/>
        <v/>
      </c>
      <c r="O90" s="2" t="str">
        <f t="shared" si="56"/>
        <v/>
      </c>
      <c r="P90" s="2" t="str">
        <f t="shared" si="57"/>
        <v/>
      </c>
      <c r="Q90" s="2" t="str">
        <f t="shared" si="41"/>
        <v/>
      </c>
      <c r="R90" s="2" t="str">
        <f t="shared" si="42"/>
        <v/>
      </c>
      <c r="S90" s="2" t="str">
        <f t="shared" si="43"/>
        <v/>
      </c>
      <c r="T90" s="2" t="str">
        <f t="shared" si="58"/>
        <v/>
      </c>
      <c r="U90" s="2" t="str">
        <f t="shared" si="59"/>
        <v/>
      </c>
      <c r="V90" s="2" t="str">
        <f t="shared" si="60"/>
        <v/>
      </c>
      <c r="W90" s="2" t="str">
        <f t="shared" si="44"/>
        <v/>
      </c>
      <c r="X90" s="2" t="str">
        <f t="shared" si="45"/>
        <v/>
      </c>
      <c r="Y90" s="2" t="str">
        <f t="shared" si="46"/>
        <v/>
      </c>
      <c r="Z90" s="2" t="str">
        <f t="shared" si="61"/>
        <v/>
      </c>
      <c r="AA90" s="2" t="str">
        <f t="shared" si="62"/>
        <v/>
      </c>
      <c r="AB90" s="2" t="str">
        <f t="shared" si="63"/>
        <v/>
      </c>
      <c r="AC90" s="2" t="str">
        <f t="shared" si="47"/>
        <v/>
      </c>
      <c r="AD90" s="2" t="str">
        <f t="shared" si="48"/>
        <v/>
      </c>
      <c r="AE90" s="2" t="str">
        <f t="shared" si="49"/>
        <v/>
      </c>
      <c r="AF90" s="2" t="str">
        <f t="shared" si="50"/>
        <v/>
      </c>
    </row>
    <row r="91" spans="1:32" x14ac:dyDescent="0.2">
      <c r="A91" s="2" t="str">
        <f t="shared" si="51"/>
        <v/>
      </c>
      <c r="B91" s="2" t="str">
        <f t="shared" si="32"/>
        <v/>
      </c>
      <c r="C91" s="2" t="str">
        <f t="shared" si="33"/>
        <v/>
      </c>
      <c r="D91" s="2" t="str">
        <f t="shared" si="34"/>
        <v/>
      </c>
      <c r="E91" s="2" t="str">
        <f t="shared" si="35"/>
        <v/>
      </c>
      <c r="F91" s="2" t="str">
        <f t="shared" si="36"/>
        <v/>
      </c>
      <c r="G91" s="2" t="str">
        <f t="shared" si="37"/>
        <v/>
      </c>
      <c r="H91" s="2" t="str">
        <f t="shared" si="52"/>
        <v/>
      </c>
      <c r="I91" s="2" t="str">
        <f t="shared" si="53"/>
        <v/>
      </c>
      <c r="J91" s="2" t="str">
        <f t="shared" si="54"/>
        <v/>
      </c>
      <c r="K91" s="2" t="str">
        <f t="shared" si="38"/>
        <v/>
      </c>
      <c r="L91" s="2" t="str">
        <f t="shared" si="39"/>
        <v/>
      </c>
      <c r="M91" s="2" t="str">
        <f t="shared" si="40"/>
        <v/>
      </c>
      <c r="N91" s="2" t="str">
        <f t="shared" si="55"/>
        <v/>
      </c>
      <c r="O91" s="2" t="str">
        <f t="shared" si="56"/>
        <v/>
      </c>
      <c r="P91" s="2" t="str">
        <f t="shared" si="57"/>
        <v/>
      </c>
      <c r="Q91" s="2" t="str">
        <f t="shared" si="41"/>
        <v/>
      </c>
      <c r="R91" s="2" t="str">
        <f t="shared" si="42"/>
        <v/>
      </c>
      <c r="S91" s="2" t="str">
        <f t="shared" si="43"/>
        <v/>
      </c>
      <c r="T91" s="2" t="str">
        <f t="shared" si="58"/>
        <v/>
      </c>
      <c r="U91" s="2" t="str">
        <f t="shared" si="59"/>
        <v/>
      </c>
      <c r="V91" s="2" t="str">
        <f t="shared" si="60"/>
        <v/>
      </c>
      <c r="W91" s="2" t="str">
        <f t="shared" si="44"/>
        <v/>
      </c>
      <c r="X91" s="2" t="str">
        <f t="shared" si="45"/>
        <v/>
      </c>
      <c r="Y91" s="2" t="str">
        <f t="shared" si="46"/>
        <v/>
      </c>
      <c r="Z91" s="2" t="str">
        <f t="shared" si="61"/>
        <v/>
      </c>
      <c r="AA91" s="2" t="str">
        <f t="shared" si="62"/>
        <v/>
      </c>
      <c r="AB91" s="2" t="str">
        <f t="shared" si="63"/>
        <v/>
      </c>
      <c r="AC91" s="2" t="str">
        <f t="shared" si="47"/>
        <v/>
      </c>
      <c r="AD91" s="2" t="str">
        <f t="shared" si="48"/>
        <v/>
      </c>
      <c r="AE91" s="2" t="str">
        <f t="shared" si="49"/>
        <v/>
      </c>
      <c r="AF91" s="2" t="str">
        <f t="shared" si="50"/>
        <v/>
      </c>
    </row>
    <row r="92" spans="1:32" x14ac:dyDescent="0.2">
      <c r="A92" s="2" t="str">
        <f t="shared" si="51"/>
        <v/>
      </c>
      <c r="B92" s="2" t="str">
        <f t="shared" si="32"/>
        <v/>
      </c>
      <c r="C92" s="2" t="str">
        <f t="shared" si="33"/>
        <v/>
      </c>
      <c r="D92" s="2" t="str">
        <f t="shared" si="34"/>
        <v/>
      </c>
      <c r="E92" s="2" t="str">
        <f t="shared" si="35"/>
        <v/>
      </c>
      <c r="F92" s="2" t="str">
        <f t="shared" si="36"/>
        <v/>
      </c>
      <c r="G92" s="2" t="str">
        <f t="shared" si="37"/>
        <v/>
      </c>
      <c r="H92" s="2" t="str">
        <f t="shared" si="52"/>
        <v/>
      </c>
      <c r="I92" s="2" t="str">
        <f t="shared" si="53"/>
        <v/>
      </c>
      <c r="J92" s="2" t="str">
        <f t="shared" si="54"/>
        <v/>
      </c>
      <c r="K92" s="2" t="str">
        <f t="shared" si="38"/>
        <v/>
      </c>
      <c r="L92" s="2" t="str">
        <f t="shared" si="39"/>
        <v/>
      </c>
      <c r="M92" s="2" t="str">
        <f t="shared" si="40"/>
        <v/>
      </c>
      <c r="N92" s="2" t="str">
        <f t="shared" si="55"/>
        <v/>
      </c>
      <c r="O92" s="2" t="str">
        <f t="shared" si="56"/>
        <v/>
      </c>
      <c r="P92" s="2" t="str">
        <f t="shared" si="57"/>
        <v/>
      </c>
      <c r="Q92" s="2" t="str">
        <f t="shared" si="41"/>
        <v/>
      </c>
      <c r="R92" s="2" t="str">
        <f t="shared" si="42"/>
        <v/>
      </c>
      <c r="S92" s="2" t="str">
        <f t="shared" si="43"/>
        <v/>
      </c>
      <c r="T92" s="2" t="str">
        <f t="shared" si="58"/>
        <v/>
      </c>
      <c r="U92" s="2" t="str">
        <f t="shared" si="59"/>
        <v/>
      </c>
      <c r="V92" s="2" t="str">
        <f t="shared" si="60"/>
        <v/>
      </c>
      <c r="W92" s="2" t="str">
        <f t="shared" si="44"/>
        <v/>
      </c>
      <c r="X92" s="2" t="str">
        <f t="shared" si="45"/>
        <v/>
      </c>
      <c r="Y92" s="2" t="str">
        <f t="shared" si="46"/>
        <v/>
      </c>
      <c r="Z92" s="2" t="str">
        <f t="shared" si="61"/>
        <v/>
      </c>
      <c r="AA92" s="2" t="str">
        <f t="shared" si="62"/>
        <v/>
      </c>
      <c r="AB92" s="2" t="str">
        <f t="shared" si="63"/>
        <v/>
      </c>
      <c r="AC92" s="2" t="str">
        <f t="shared" si="47"/>
        <v/>
      </c>
      <c r="AD92" s="2" t="str">
        <f t="shared" si="48"/>
        <v/>
      </c>
      <c r="AE92" s="2" t="str">
        <f t="shared" si="49"/>
        <v/>
      </c>
      <c r="AF92" s="2" t="str">
        <f t="shared" si="50"/>
        <v/>
      </c>
    </row>
    <row r="93" spans="1:32" x14ac:dyDescent="0.2">
      <c r="A93" s="2" t="str">
        <f t="shared" si="51"/>
        <v/>
      </c>
      <c r="B93" s="2" t="str">
        <f t="shared" si="32"/>
        <v/>
      </c>
      <c r="C93" s="2" t="str">
        <f t="shared" si="33"/>
        <v/>
      </c>
      <c r="D93" s="2" t="str">
        <f t="shared" si="34"/>
        <v/>
      </c>
      <c r="E93" s="2" t="str">
        <f t="shared" si="35"/>
        <v/>
      </c>
      <c r="F93" s="2" t="str">
        <f t="shared" si="36"/>
        <v/>
      </c>
      <c r="G93" s="2" t="str">
        <f t="shared" si="37"/>
        <v/>
      </c>
      <c r="H93" s="2" t="str">
        <f t="shared" si="52"/>
        <v/>
      </c>
      <c r="I93" s="2" t="str">
        <f t="shared" si="53"/>
        <v/>
      </c>
      <c r="J93" s="2" t="str">
        <f t="shared" si="54"/>
        <v/>
      </c>
      <c r="K93" s="2" t="str">
        <f t="shared" si="38"/>
        <v/>
      </c>
      <c r="L93" s="2" t="str">
        <f t="shared" si="39"/>
        <v/>
      </c>
      <c r="M93" s="2" t="str">
        <f t="shared" si="40"/>
        <v/>
      </c>
      <c r="N93" s="2" t="str">
        <f t="shared" si="55"/>
        <v/>
      </c>
      <c r="O93" s="2" t="str">
        <f t="shared" si="56"/>
        <v/>
      </c>
      <c r="P93" s="2" t="str">
        <f t="shared" si="57"/>
        <v/>
      </c>
      <c r="Q93" s="2" t="str">
        <f t="shared" si="41"/>
        <v/>
      </c>
      <c r="R93" s="2" t="str">
        <f t="shared" si="42"/>
        <v/>
      </c>
      <c r="S93" s="2" t="str">
        <f t="shared" si="43"/>
        <v/>
      </c>
      <c r="T93" s="2" t="str">
        <f t="shared" si="58"/>
        <v/>
      </c>
      <c r="U93" s="2" t="str">
        <f t="shared" si="59"/>
        <v/>
      </c>
      <c r="V93" s="2" t="str">
        <f t="shared" si="60"/>
        <v/>
      </c>
      <c r="W93" s="2" t="str">
        <f t="shared" si="44"/>
        <v/>
      </c>
      <c r="X93" s="2" t="str">
        <f t="shared" si="45"/>
        <v/>
      </c>
      <c r="Y93" s="2" t="str">
        <f t="shared" si="46"/>
        <v/>
      </c>
      <c r="Z93" s="2" t="str">
        <f t="shared" si="61"/>
        <v/>
      </c>
      <c r="AA93" s="2" t="str">
        <f t="shared" si="62"/>
        <v/>
      </c>
      <c r="AB93" s="2" t="str">
        <f t="shared" si="63"/>
        <v/>
      </c>
      <c r="AC93" s="2" t="str">
        <f t="shared" si="47"/>
        <v/>
      </c>
      <c r="AD93" s="2" t="str">
        <f t="shared" si="48"/>
        <v/>
      </c>
      <c r="AE93" s="2" t="str">
        <f t="shared" si="49"/>
        <v/>
      </c>
      <c r="AF93" s="2" t="str">
        <f t="shared" si="50"/>
        <v/>
      </c>
    </row>
    <row r="94" spans="1:32" x14ac:dyDescent="0.2">
      <c r="A94" s="2" t="str">
        <f t="shared" si="51"/>
        <v/>
      </c>
      <c r="B94" s="2" t="str">
        <f t="shared" si="32"/>
        <v/>
      </c>
      <c r="C94" s="2" t="str">
        <f t="shared" si="33"/>
        <v/>
      </c>
      <c r="D94" s="2" t="str">
        <f t="shared" si="34"/>
        <v/>
      </c>
      <c r="E94" s="2" t="str">
        <f t="shared" si="35"/>
        <v/>
      </c>
      <c r="F94" s="2" t="str">
        <f t="shared" si="36"/>
        <v/>
      </c>
      <c r="G94" s="2" t="str">
        <f t="shared" si="37"/>
        <v/>
      </c>
      <c r="H94" s="2" t="str">
        <f t="shared" si="52"/>
        <v/>
      </c>
      <c r="I94" s="2" t="str">
        <f t="shared" si="53"/>
        <v/>
      </c>
      <c r="J94" s="2" t="str">
        <f t="shared" si="54"/>
        <v/>
      </c>
      <c r="K94" s="2" t="str">
        <f t="shared" si="38"/>
        <v/>
      </c>
      <c r="L94" s="2" t="str">
        <f t="shared" si="39"/>
        <v/>
      </c>
      <c r="M94" s="2" t="str">
        <f t="shared" si="40"/>
        <v/>
      </c>
      <c r="N94" s="2" t="str">
        <f t="shared" si="55"/>
        <v/>
      </c>
      <c r="O94" s="2" t="str">
        <f t="shared" si="56"/>
        <v/>
      </c>
      <c r="P94" s="2" t="str">
        <f t="shared" si="57"/>
        <v/>
      </c>
      <c r="Q94" s="2" t="str">
        <f t="shared" si="41"/>
        <v/>
      </c>
      <c r="R94" s="2" t="str">
        <f t="shared" si="42"/>
        <v/>
      </c>
      <c r="S94" s="2" t="str">
        <f t="shared" si="43"/>
        <v/>
      </c>
      <c r="T94" s="2" t="str">
        <f t="shared" si="58"/>
        <v/>
      </c>
      <c r="U94" s="2" t="str">
        <f t="shared" si="59"/>
        <v/>
      </c>
      <c r="V94" s="2" t="str">
        <f t="shared" si="60"/>
        <v/>
      </c>
      <c r="W94" s="2" t="str">
        <f t="shared" si="44"/>
        <v/>
      </c>
      <c r="X94" s="2" t="str">
        <f t="shared" si="45"/>
        <v/>
      </c>
      <c r="Y94" s="2" t="str">
        <f t="shared" si="46"/>
        <v/>
      </c>
      <c r="Z94" s="2" t="str">
        <f t="shared" si="61"/>
        <v/>
      </c>
      <c r="AA94" s="2" t="str">
        <f t="shared" si="62"/>
        <v/>
      </c>
      <c r="AB94" s="2" t="str">
        <f t="shared" si="63"/>
        <v/>
      </c>
      <c r="AC94" s="2" t="str">
        <f t="shared" si="47"/>
        <v/>
      </c>
      <c r="AD94" s="2" t="str">
        <f t="shared" si="48"/>
        <v/>
      </c>
      <c r="AE94" s="2" t="str">
        <f t="shared" si="49"/>
        <v/>
      </c>
      <c r="AF94" s="2" t="str">
        <f t="shared" si="50"/>
        <v/>
      </c>
    </row>
    <row r="95" spans="1:32" x14ac:dyDescent="0.2">
      <c r="A95" s="2" t="str">
        <f t="shared" si="51"/>
        <v/>
      </c>
      <c r="B95" s="2" t="str">
        <f t="shared" si="32"/>
        <v/>
      </c>
      <c r="C95" s="2" t="str">
        <f t="shared" si="33"/>
        <v/>
      </c>
      <c r="D95" s="2" t="str">
        <f t="shared" si="34"/>
        <v/>
      </c>
      <c r="E95" s="2" t="str">
        <f t="shared" si="35"/>
        <v/>
      </c>
      <c r="F95" s="2" t="str">
        <f t="shared" si="36"/>
        <v/>
      </c>
      <c r="G95" s="2" t="str">
        <f t="shared" si="37"/>
        <v/>
      </c>
      <c r="H95" s="2" t="str">
        <f t="shared" si="52"/>
        <v/>
      </c>
      <c r="I95" s="2" t="str">
        <f t="shared" si="53"/>
        <v/>
      </c>
      <c r="J95" s="2" t="str">
        <f t="shared" si="54"/>
        <v/>
      </c>
      <c r="K95" s="2" t="str">
        <f t="shared" si="38"/>
        <v/>
      </c>
      <c r="L95" s="2" t="str">
        <f t="shared" si="39"/>
        <v/>
      </c>
      <c r="M95" s="2" t="str">
        <f t="shared" si="40"/>
        <v/>
      </c>
      <c r="N95" s="2" t="str">
        <f t="shared" si="55"/>
        <v/>
      </c>
      <c r="O95" s="2" t="str">
        <f t="shared" si="56"/>
        <v/>
      </c>
      <c r="P95" s="2" t="str">
        <f t="shared" si="57"/>
        <v/>
      </c>
      <c r="Q95" s="2" t="str">
        <f t="shared" si="41"/>
        <v/>
      </c>
      <c r="R95" s="2" t="str">
        <f t="shared" si="42"/>
        <v/>
      </c>
      <c r="S95" s="2" t="str">
        <f t="shared" si="43"/>
        <v/>
      </c>
      <c r="T95" s="2" t="str">
        <f t="shared" si="58"/>
        <v/>
      </c>
      <c r="U95" s="2" t="str">
        <f t="shared" si="59"/>
        <v/>
      </c>
      <c r="V95" s="2" t="str">
        <f t="shared" si="60"/>
        <v/>
      </c>
      <c r="W95" s="2" t="str">
        <f t="shared" si="44"/>
        <v/>
      </c>
      <c r="X95" s="2" t="str">
        <f t="shared" si="45"/>
        <v/>
      </c>
      <c r="Y95" s="2" t="str">
        <f t="shared" si="46"/>
        <v/>
      </c>
      <c r="Z95" s="2" t="str">
        <f t="shared" si="61"/>
        <v/>
      </c>
      <c r="AA95" s="2" t="str">
        <f t="shared" si="62"/>
        <v/>
      </c>
      <c r="AB95" s="2" t="str">
        <f t="shared" si="63"/>
        <v/>
      </c>
      <c r="AC95" s="2" t="str">
        <f t="shared" si="47"/>
        <v/>
      </c>
      <c r="AD95" s="2" t="str">
        <f t="shared" si="48"/>
        <v/>
      </c>
      <c r="AE95" s="2" t="str">
        <f t="shared" si="49"/>
        <v/>
      </c>
      <c r="AF95" s="2" t="str">
        <f t="shared" si="50"/>
        <v/>
      </c>
    </row>
    <row r="96" spans="1:32" x14ac:dyDescent="0.2">
      <c r="A96" s="2" t="str">
        <f t="shared" si="51"/>
        <v/>
      </c>
      <c r="B96" s="2" t="str">
        <f t="shared" si="32"/>
        <v/>
      </c>
      <c r="C96" s="2" t="str">
        <f t="shared" si="33"/>
        <v/>
      </c>
      <c r="D96" s="2" t="str">
        <f t="shared" si="34"/>
        <v/>
      </c>
      <c r="E96" s="2" t="str">
        <f t="shared" si="35"/>
        <v/>
      </c>
      <c r="F96" s="2" t="str">
        <f t="shared" si="36"/>
        <v/>
      </c>
      <c r="G96" s="2" t="str">
        <f t="shared" si="37"/>
        <v/>
      </c>
      <c r="H96" s="2" t="str">
        <f t="shared" si="52"/>
        <v/>
      </c>
      <c r="I96" s="2" t="str">
        <f t="shared" si="53"/>
        <v/>
      </c>
      <c r="J96" s="2" t="str">
        <f t="shared" si="54"/>
        <v/>
      </c>
      <c r="K96" s="2" t="str">
        <f t="shared" si="38"/>
        <v/>
      </c>
      <c r="L96" s="2" t="str">
        <f t="shared" si="39"/>
        <v/>
      </c>
      <c r="M96" s="2" t="str">
        <f t="shared" si="40"/>
        <v/>
      </c>
      <c r="N96" s="2" t="str">
        <f t="shared" si="55"/>
        <v/>
      </c>
      <c r="O96" s="2" t="str">
        <f t="shared" si="56"/>
        <v/>
      </c>
      <c r="P96" s="2" t="str">
        <f t="shared" si="57"/>
        <v/>
      </c>
      <c r="Q96" s="2" t="str">
        <f t="shared" si="41"/>
        <v/>
      </c>
      <c r="R96" s="2" t="str">
        <f t="shared" si="42"/>
        <v/>
      </c>
      <c r="S96" s="2" t="str">
        <f t="shared" si="43"/>
        <v/>
      </c>
      <c r="T96" s="2" t="str">
        <f t="shared" si="58"/>
        <v/>
      </c>
      <c r="U96" s="2" t="str">
        <f t="shared" si="59"/>
        <v/>
      </c>
      <c r="V96" s="2" t="str">
        <f t="shared" si="60"/>
        <v/>
      </c>
      <c r="W96" s="2" t="str">
        <f t="shared" si="44"/>
        <v/>
      </c>
      <c r="X96" s="2" t="str">
        <f t="shared" si="45"/>
        <v/>
      </c>
      <c r="Y96" s="2" t="str">
        <f t="shared" si="46"/>
        <v/>
      </c>
      <c r="Z96" s="2" t="str">
        <f t="shared" si="61"/>
        <v/>
      </c>
      <c r="AA96" s="2" t="str">
        <f t="shared" si="62"/>
        <v/>
      </c>
      <c r="AB96" s="2" t="str">
        <f t="shared" si="63"/>
        <v/>
      </c>
      <c r="AC96" s="2" t="str">
        <f t="shared" si="47"/>
        <v/>
      </c>
      <c r="AD96" s="2" t="str">
        <f t="shared" si="48"/>
        <v/>
      </c>
      <c r="AE96" s="2" t="str">
        <f t="shared" si="49"/>
        <v/>
      </c>
      <c r="AF96" s="2" t="str">
        <f t="shared" si="50"/>
        <v/>
      </c>
    </row>
    <row r="97" spans="1:32" x14ac:dyDescent="0.2">
      <c r="A97" s="2" t="str">
        <f t="shared" si="51"/>
        <v/>
      </c>
      <c r="B97" s="2" t="str">
        <f t="shared" si="32"/>
        <v/>
      </c>
      <c r="C97" s="2" t="str">
        <f t="shared" si="33"/>
        <v/>
      </c>
      <c r="D97" s="2" t="str">
        <f t="shared" si="34"/>
        <v/>
      </c>
      <c r="E97" s="2" t="str">
        <f t="shared" si="35"/>
        <v/>
      </c>
      <c r="F97" s="2" t="str">
        <f t="shared" si="36"/>
        <v/>
      </c>
      <c r="G97" s="2" t="str">
        <f t="shared" si="37"/>
        <v/>
      </c>
      <c r="H97" s="2" t="str">
        <f t="shared" si="52"/>
        <v/>
      </c>
      <c r="I97" s="2" t="str">
        <f t="shared" si="53"/>
        <v/>
      </c>
      <c r="J97" s="2" t="str">
        <f t="shared" si="54"/>
        <v/>
      </c>
      <c r="K97" s="2" t="str">
        <f t="shared" si="38"/>
        <v/>
      </c>
      <c r="L97" s="2" t="str">
        <f t="shared" si="39"/>
        <v/>
      </c>
      <c r="M97" s="2" t="str">
        <f t="shared" si="40"/>
        <v/>
      </c>
      <c r="N97" s="2" t="str">
        <f t="shared" si="55"/>
        <v/>
      </c>
      <c r="O97" s="2" t="str">
        <f t="shared" si="56"/>
        <v/>
      </c>
      <c r="P97" s="2" t="str">
        <f t="shared" si="57"/>
        <v/>
      </c>
      <c r="Q97" s="2" t="str">
        <f t="shared" si="41"/>
        <v/>
      </c>
      <c r="R97" s="2" t="str">
        <f t="shared" si="42"/>
        <v/>
      </c>
      <c r="S97" s="2" t="str">
        <f t="shared" si="43"/>
        <v/>
      </c>
      <c r="T97" s="2" t="str">
        <f t="shared" si="58"/>
        <v/>
      </c>
      <c r="U97" s="2" t="str">
        <f t="shared" si="59"/>
        <v/>
      </c>
      <c r="V97" s="2" t="str">
        <f t="shared" si="60"/>
        <v/>
      </c>
      <c r="W97" s="2" t="str">
        <f t="shared" si="44"/>
        <v/>
      </c>
      <c r="X97" s="2" t="str">
        <f t="shared" si="45"/>
        <v/>
      </c>
      <c r="Y97" s="2" t="str">
        <f t="shared" si="46"/>
        <v/>
      </c>
      <c r="Z97" s="2" t="str">
        <f t="shared" si="61"/>
        <v/>
      </c>
      <c r="AA97" s="2" t="str">
        <f t="shared" si="62"/>
        <v/>
      </c>
      <c r="AB97" s="2" t="str">
        <f t="shared" si="63"/>
        <v/>
      </c>
      <c r="AC97" s="2" t="str">
        <f t="shared" si="47"/>
        <v/>
      </c>
      <c r="AD97" s="2" t="str">
        <f t="shared" si="48"/>
        <v/>
      </c>
      <c r="AE97" s="2" t="str">
        <f t="shared" si="49"/>
        <v/>
      </c>
      <c r="AF97" s="2" t="str">
        <f t="shared" si="50"/>
        <v/>
      </c>
    </row>
    <row r="98" spans="1:32" x14ac:dyDescent="0.2">
      <c r="A98" s="2" t="str">
        <f t="shared" si="51"/>
        <v/>
      </c>
      <c r="B98" s="2" t="str">
        <f t="shared" si="32"/>
        <v/>
      </c>
      <c r="C98" s="2" t="str">
        <f t="shared" si="33"/>
        <v/>
      </c>
      <c r="D98" s="2" t="str">
        <f t="shared" si="34"/>
        <v/>
      </c>
      <c r="E98" s="2" t="str">
        <f t="shared" si="35"/>
        <v/>
      </c>
      <c r="F98" s="2" t="str">
        <f t="shared" si="36"/>
        <v/>
      </c>
      <c r="G98" s="2" t="str">
        <f t="shared" si="37"/>
        <v/>
      </c>
      <c r="H98" s="2" t="str">
        <f t="shared" si="52"/>
        <v/>
      </c>
      <c r="I98" s="2" t="str">
        <f t="shared" si="53"/>
        <v/>
      </c>
      <c r="J98" s="2" t="str">
        <f t="shared" si="54"/>
        <v/>
      </c>
      <c r="K98" s="2" t="str">
        <f t="shared" si="38"/>
        <v/>
      </c>
      <c r="L98" s="2" t="str">
        <f t="shared" si="39"/>
        <v/>
      </c>
      <c r="M98" s="2" t="str">
        <f t="shared" si="40"/>
        <v/>
      </c>
      <c r="N98" s="2" t="str">
        <f t="shared" si="55"/>
        <v/>
      </c>
      <c r="O98" s="2" t="str">
        <f t="shared" si="56"/>
        <v/>
      </c>
      <c r="P98" s="2" t="str">
        <f t="shared" si="57"/>
        <v/>
      </c>
      <c r="Q98" s="2" t="str">
        <f t="shared" si="41"/>
        <v/>
      </c>
      <c r="R98" s="2" t="str">
        <f t="shared" si="42"/>
        <v/>
      </c>
      <c r="S98" s="2" t="str">
        <f t="shared" si="43"/>
        <v/>
      </c>
      <c r="T98" s="2" t="str">
        <f t="shared" si="58"/>
        <v/>
      </c>
      <c r="U98" s="2" t="str">
        <f t="shared" si="59"/>
        <v/>
      </c>
      <c r="V98" s="2" t="str">
        <f t="shared" si="60"/>
        <v/>
      </c>
      <c r="W98" s="2" t="str">
        <f t="shared" si="44"/>
        <v/>
      </c>
      <c r="X98" s="2" t="str">
        <f t="shared" si="45"/>
        <v/>
      </c>
      <c r="Y98" s="2" t="str">
        <f t="shared" si="46"/>
        <v/>
      </c>
      <c r="Z98" s="2" t="str">
        <f t="shared" si="61"/>
        <v/>
      </c>
      <c r="AA98" s="2" t="str">
        <f t="shared" si="62"/>
        <v/>
      </c>
      <c r="AB98" s="2" t="str">
        <f t="shared" si="63"/>
        <v/>
      </c>
      <c r="AC98" s="2" t="str">
        <f t="shared" si="47"/>
        <v/>
      </c>
      <c r="AD98" s="2" t="str">
        <f t="shared" si="48"/>
        <v/>
      </c>
      <c r="AE98" s="2" t="str">
        <f t="shared" si="49"/>
        <v/>
      </c>
      <c r="AF98" s="2" t="str">
        <f t="shared" si="50"/>
        <v/>
      </c>
    </row>
    <row r="99" spans="1:32" x14ac:dyDescent="0.2">
      <c r="A99" s="2" t="str">
        <f t="shared" si="51"/>
        <v/>
      </c>
      <c r="B99" s="2" t="str">
        <f t="shared" si="32"/>
        <v/>
      </c>
      <c r="C99" s="2" t="str">
        <f t="shared" si="33"/>
        <v/>
      </c>
      <c r="D99" s="2" t="str">
        <f t="shared" si="34"/>
        <v/>
      </c>
      <c r="E99" s="2" t="str">
        <f t="shared" si="35"/>
        <v/>
      </c>
      <c r="F99" s="2" t="str">
        <f t="shared" si="36"/>
        <v/>
      </c>
      <c r="G99" s="2" t="str">
        <f t="shared" si="37"/>
        <v/>
      </c>
      <c r="H99" s="2" t="str">
        <f t="shared" si="52"/>
        <v/>
      </c>
      <c r="I99" s="2" t="str">
        <f t="shared" si="53"/>
        <v/>
      </c>
      <c r="J99" s="2" t="str">
        <f t="shared" si="54"/>
        <v/>
      </c>
      <c r="K99" s="2" t="str">
        <f t="shared" si="38"/>
        <v/>
      </c>
      <c r="L99" s="2" t="str">
        <f t="shared" si="39"/>
        <v/>
      </c>
      <c r="M99" s="2" t="str">
        <f t="shared" si="40"/>
        <v/>
      </c>
      <c r="N99" s="2" t="str">
        <f t="shared" si="55"/>
        <v/>
      </c>
      <c r="O99" s="2" t="str">
        <f t="shared" si="56"/>
        <v/>
      </c>
      <c r="P99" s="2" t="str">
        <f t="shared" si="57"/>
        <v/>
      </c>
      <c r="Q99" s="2" t="str">
        <f t="shared" si="41"/>
        <v/>
      </c>
      <c r="R99" s="2" t="str">
        <f t="shared" si="42"/>
        <v/>
      </c>
      <c r="S99" s="2" t="str">
        <f t="shared" si="43"/>
        <v/>
      </c>
      <c r="T99" s="2" t="str">
        <f t="shared" si="58"/>
        <v/>
      </c>
      <c r="U99" s="2" t="str">
        <f t="shared" si="59"/>
        <v/>
      </c>
      <c r="V99" s="2" t="str">
        <f t="shared" si="60"/>
        <v/>
      </c>
      <c r="W99" s="2" t="str">
        <f t="shared" si="44"/>
        <v/>
      </c>
      <c r="X99" s="2" t="str">
        <f t="shared" si="45"/>
        <v/>
      </c>
      <c r="Y99" s="2" t="str">
        <f t="shared" si="46"/>
        <v/>
      </c>
      <c r="Z99" s="2" t="str">
        <f t="shared" si="61"/>
        <v/>
      </c>
      <c r="AA99" s="2" t="str">
        <f t="shared" si="62"/>
        <v/>
      </c>
      <c r="AB99" s="2" t="str">
        <f t="shared" si="63"/>
        <v/>
      </c>
      <c r="AC99" s="2" t="str">
        <f t="shared" si="47"/>
        <v/>
      </c>
      <c r="AD99" s="2" t="str">
        <f t="shared" si="48"/>
        <v/>
      </c>
      <c r="AE99" s="2" t="str">
        <f t="shared" si="49"/>
        <v/>
      </c>
      <c r="AF99" s="2" t="str">
        <f t="shared" si="50"/>
        <v/>
      </c>
    </row>
    <row r="100" spans="1:32" x14ac:dyDescent="0.2">
      <c r="A100" s="2" t="str">
        <f t="shared" si="51"/>
        <v/>
      </c>
      <c r="B100" s="2" t="str">
        <f t="shared" si="32"/>
        <v/>
      </c>
      <c r="C100" s="2" t="str">
        <f t="shared" si="33"/>
        <v/>
      </c>
      <c r="D100" s="2" t="str">
        <f t="shared" si="34"/>
        <v/>
      </c>
      <c r="E100" s="2" t="str">
        <f t="shared" si="35"/>
        <v/>
      </c>
      <c r="F100" s="2" t="str">
        <f t="shared" si="36"/>
        <v/>
      </c>
      <c r="G100" s="2" t="str">
        <f t="shared" si="37"/>
        <v/>
      </c>
      <c r="H100" s="2" t="str">
        <f t="shared" si="52"/>
        <v/>
      </c>
      <c r="I100" s="2" t="str">
        <f t="shared" si="53"/>
        <v/>
      </c>
      <c r="J100" s="2" t="str">
        <f t="shared" si="54"/>
        <v/>
      </c>
      <c r="K100" s="2" t="str">
        <f t="shared" si="38"/>
        <v/>
      </c>
      <c r="L100" s="2" t="str">
        <f t="shared" si="39"/>
        <v/>
      </c>
      <c r="M100" s="2" t="str">
        <f t="shared" si="40"/>
        <v/>
      </c>
      <c r="N100" s="2" t="str">
        <f t="shared" si="55"/>
        <v/>
      </c>
      <c r="O100" s="2" t="str">
        <f t="shared" si="56"/>
        <v/>
      </c>
      <c r="P100" s="2" t="str">
        <f t="shared" si="57"/>
        <v/>
      </c>
      <c r="Q100" s="2" t="str">
        <f t="shared" si="41"/>
        <v/>
      </c>
      <c r="R100" s="2" t="str">
        <f t="shared" si="42"/>
        <v/>
      </c>
      <c r="S100" s="2" t="str">
        <f t="shared" si="43"/>
        <v/>
      </c>
      <c r="T100" s="2" t="str">
        <f t="shared" si="58"/>
        <v/>
      </c>
      <c r="U100" s="2" t="str">
        <f t="shared" si="59"/>
        <v/>
      </c>
      <c r="V100" s="2" t="str">
        <f t="shared" si="60"/>
        <v/>
      </c>
      <c r="W100" s="2" t="str">
        <f t="shared" si="44"/>
        <v/>
      </c>
      <c r="X100" s="2" t="str">
        <f t="shared" si="45"/>
        <v/>
      </c>
      <c r="Y100" s="2" t="str">
        <f t="shared" si="46"/>
        <v/>
      </c>
      <c r="Z100" s="2" t="str">
        <f t="shared" si="61"/>
        <v/>
      </c>
      <c r="AA100" s="2" t="str">
        <f t="shared" si="62"/>
        <v/>
      </c>
      <c r="AB100" s="2" t="str">
        <f t="shared" si="63"/>
        <v/>
      </c>
      <c r="AC100" s="2" t="str">
        <f t="shared" si="47"/>
        <v/>
      </c>
      <c r="AD100" s="2" t="str">
        <f t="shared" si="48"/>
        <v/>
      </c>
      <c r="AE100" s="2" t="str">
        <f t="shared" si="49"/>
        <v/>
      </c>
      <c r="AF100" s="2" t="str">
        <f t="shared" si="50"/>
        <v/>
      </c>
    </row>
    <row r="101" spans="1:32" x14ac:dyDescent="0.2">
      <c r="A101" s="2" t="str">
        <f t="shared" si="51"/>
        <v/>
      </c>
      <c r="B101" s="2" t="str">
        <f t="shared" si="32"/>
        <v/>
      </c>
      <c r="C101" s="2" t="str">
        <f t="shared" si="33"/>
        <v/>
      </c>
      <c r="D101" s="2" t="str">
        <f t="shared" si="34"/>
        <v/>
      </c>
      <c r="E101" s="2" t="str">
        <f t="shared" si="35"/>
        <v/>
      </c>
      <c r="F101" s="2" t="str">
        <f t="shared" si="36"/>
        <v/>
      </c>
      <c r="G101" s="2" t="str">
        <f t="shared" si="37"/>
        <v/>
      </c>
      <c r="H101" s="2" t="str">
        <f t="shared" si="52"/>
        <v/>
      </c>
      <c r="I101" s="2" t="str">
        <f t="shared" si="53"/>
        <v/>
      </c>
      <c r="J101" s="2" t="str">
        <f t="shared" si="54"/>
        <v/>
      </c>
      <c r="K101" s="2" t="str">
        <f t="shared" si="38"/>
        <v/>
      </c>
      <c r="L101" s="2" t="str">
        <f t="shared" si="39"/>
        <v/>
      </c>
      <c r="M101" s="2" t="str">
        <f t="shared" si="40"/>
        <v/>
      </c>
      <c r="N101" s="2" t="str">
        <f t="shared" si="55"/>
        <v/>
      </c>
      <c r="O101" s="2" t="str">
        <f t="shared" si="56"/>
        <v/>
      </c>
      <c r="P101" s="2" t="str">
        <f t="shared" si="57"/>
        <v/>
      </c>
      <c r="Q101" s="2" t="str">
        <f t="shared" si="41"/>
        <v/>
      </c>
      <c r="R101" s="2" t="str">
        <f t="shared" si="42"/>
        <v/>
      </c>
      <c r="S101" s="2" t="str">
        <f t="shared" si="43"/>
        <v/>
      </c>
      <c r="T101" s="2" t="str">
        <f t="shared" si="58"/>
        <v/>
      </c>
      <c r="U101" s="2" t="str">
        <f t="shared" si="59"/>
        <v/>
      </c>
      <c r="V101" s="2" t="str">
        <f t="shared" si="60"/>
        <v/>
      </c>
      <c r="W101" s="2" t="str">
        <f t="shared" si="44"/>
        <v/>
      </c>
      <c r="X101" s="2" t="str">
        <f t="shared" si="45"/>
        <v/>
      </c>
      <c r="Y101" s="2" t="str">
        <f t="shared" si="46"/>
        <v/>
      </c>
      <c r="Z101" s="2" t="str">
        <f t="shared" si="61"/>
        <v/>
      </c>
      <c r="AA101" s="2" t="str">
        <f t="shared" si="62"/>
        <v/>
      </c>
      <c r="AB101" s="2" t="str">
        <f t="shared" si="63"/>
        <v/>
      </c>
      <c r="AC101" s="2" t="str">
        <f t="shared" si="47"/>
        <v/>
      </c>
      <c r="AD101" s="2" t="str">
        <f t="shared" si="48"/>
        <v/>
      </c>
      <c r="AE101" s="2" t="str">
        <f t="shared" si="49"/>
        <v/>
      </c>
      <c r="AF101" s="2" t="str">
        <f t="shared" si="50"/>
        <v/>
      </c>
    </row>
    <row r="102" spans="1:32" x14ac:dyDescent="0.2">
      <c r="A102" s="2" t="str">
        <f t="shared" si="51"/>
        <v/>
      </c>
      <c r="B102" s="2" t="str">
        <f t="shared" si="32"/>
        <v/>
      </c>
      <c r="C102" s="2" t="str">
        <f t="shared" si="33"/>
        <v/>
      </c>
      <c r="D102" s="2" t="str">
        <f t="shared" si="34"/>
        <v/>
      </c>
      <c r="E102" s="2" t="str">
        <f t="shared" si="35"/>
        <v/>
      </c>
      <c r="F102" s="2" t="str">
        <f t="shared" si="36"/>
        <v/>
      </c>
      <c r="G102" s="2" t="str">
        <f t="shared" si="37"/>
        <v/>
      </c>
      <c r="H102" s="2" t="str">
        <f t="shared" si="52"/>
        <v/>
      </c>
      <c r="I102" s="2" t="str">
        <f t="shared" si="53"/>
        <v/>
      </c>
      <c r="J102" s="2" t="str">
        <f t="shared" si="54"/>
        <v/>
      </c>
      <c r="K102" s="2" t="str">
        <f t="shared" si="38"/>
        <v/>
      </c>
      <c r="L102" s="2" t="str">
        <f t="shared" si="39"/>
        <v/>
      </c>
      <c r="M102" s="2" t="str">
        <f t="shared" si="40"/>
        <v/>
      </c>
      <c r="N102" s="2" t="str">
        <f t="shared" si="55"/>
        <v/>
      </c>
      <c r="O102" s="2" t="str">
        <f t="shared" si="56"/>
        <v/>
      </c>
      <c r="P102" s="2" t="str">
        <f t="shared" si="57"/>
        <v/>
      </c>
      <c r="Q102" s="2" t="str">
        <f t="shared" si="41"/>
        <v/>
      </c>
      <c r="R102" s="2" t="str">
        <f t="shared" si="42"/>
        <v/>
      </c>
      <c r="S102" s="2" t="str">
        <f t="shared" si="43"/>
        <v/>
      </c>
      <c r="T102" s="2" t="str">
        <f t="shared" si="58"/>
        <v/>
      </c>
      <c r="U102" s="2" t="str">
        <f t="shared" si="59"/>
        <v/>
      </c>
      <c r="V102" s="2" t="str">
        <f t="shared" si="60"/>
        <v/>
      </c>
      <c r="W102" s="2" t="str">
        <f t="shared" si="44"/>
        <v/>
      </c>
      <c r="X102" s="2" t="str">
        <f t="shared" si="45"/>
        <v/>
      </c>
      <c r="Y102" s="2" t="str">
        <f t="shared" si="46"/>
        <v/>
      </c>
      <c r="Z102" s="2" t="str">
        <f t="shared" si="61"/>
        <v/>
      </c>
      <c r="AA102" s="2" t="str">
        <f t="shared" si="62"/>
        <v/>
      </c>
      <c r="AB102" s="2" t="str">
        <f t="shared" si="63"/>
        <v/>
      </c>
      <c r="AC102" s="2" t="str">
        <f t="shared" si="47"/>
        <v/>
      </c>
      <c r="AD102" s="2" t="str">
        <f t="shared" si="48"/>
        <v/>
      </c>
      <c r="AE102" s="2" t="str">
        <f t="shared" si="49"/>
        <v/>
      </c>
      <c r="AF102" s="2" t="str">
        <f t="shared" si="50"/>
        <v/>
      </c>
    </row>
    <row r="103" spans="1:32" x14ac:dyDescent="0.2">
      <c r="A103" s="2" t="str">
        <f t="shared" si="51"/>
        <v/>
      </c>
      <c r="B103" s="2" t="str">
        <f t="shared" si="32"/>
        <v/>
      </c>
      <c r="C103" s="2" t="str">
        <f t="shared" si="33"/>
        <v/>
      </c>
      <c r="D103" s="2" t="str">
        <f t="shared" si="34"/>
        <v/>
      </c>
      <c r="E103" s="2" t="str">
        <f t="shared" si="35"/>
        <v/>
      </c>
      <c r="F103" s="2" t="str">
        <f t="shared" si="36"/>
        <v/>
      </c>
      <c r="G103" s="2" t="str">
        <f t="shared" si="37"/>
        <v/>
      </c>
      <c r="H103" s="2" t="str">
        <f t="shared" si="52"/>
        <v/>
      </c>
      <c r="I103" s="2" t="str">
        <f t="shared" si="53"/>
        <v/>
      </c>
      <c r="J103" s="2" t="str">
        <f t="shared" si="54"/>
        <v/>
      </c>
      <c r="K103" s="2" t="str">
        <f t="shared" si="38"/>
        <v/>
      </c>
      <c r="L103" s="2" t="str">
        <f t="shared" si="39"/>
        <v/>
      </c>
      <c r="M103" s="2" t="str">
        <f t="shared" si="40"/>
        <v/>
      </c>
      <c r="N103" s="2" t="str">
        <f t="shared" si="55"/>
        <v/>
      </c>
      <c r="O103" s="2" t="str">
        <f t="shared" si="56"/>
        <v/>
      </c>
      <c r="P103" s="2" t="str">
        <f t="shared" si="57"/>
        <v/>
      </c>
      <c r="Q103" s="2" t="str">
        <f t="shared" si="41"/>
        <v/>
      </c>
      <c r="R103" s="2" t="str">
        <f t="shared" si="42"/>
        <v/>
      </c>
      <c r="S103" s="2" t="str">
        <f t="shared" si="43"/>
        <v/>
      </c>
      <c r="T103" s="2" t="str">
        <f t="shared" si="58"/>
        <v/>
      </c>
      <c r="U103" s="2" t="str">
        <f t="shared" si="59"/>
        <v/>
      </c>
      <c r="V103" s="2" t="str">
        <f t="shared" si="60"/>
        <v/>
      </c>
      <c r="W103" s="2" t="str">
        <f t="shared" si="44"/>
        <v/>
      </c>
      <c r="X103" s="2" t="str">
        <f t="shared" si="45"/>
        <v/>
      </c>
      <c r="Y103" s="2" t="str">
        <f t="shared" si="46"/>
        <v/>
      </c>
      <c r="Z103" s="2" t="str">
        <f t="shared" si="61"/>
        <v/>
      </c>
      <c r="AA103" s="2" t="str">
        <f t="shared" si="62"/>
        <v/>
      </c>
      <c r="AB103" s="2" t="str">
        <f t="shared" si="63"/>
        <v/>
      </c>
      <c r="AC103" s="2" t="str">
        <f t="shared" si="47"/>
        <v/>
      </c>
      <c r="AD103" s="2" t="str">
        <f t="shared" si="48"/>
        <v/>
      </c>
      <c r="AE103" s="2" t="str">
        <f t="shared" si="49"/>
        <v/>
      </c>
      <c r="AF103" s="2" t="str">
        <f t="shared" si="50"/>
        <v/>
      </c>
    </row>
    <row r="104" spans="1:32" x14ac:dyDescent="0.2">
      <c r="A104" s="2" t="str">
        <f t="shared" si="51"/>
        <v/>
      </c>
      <c r="B104" s="2" t="str">
        <f t="shared" si="32"/>
        <v/>
      </c>
      <c r="C104" s="2" t="str">
        <f t="shared" si="33"/>
        <v/>
      </c>
      <c r="D104" s="2" t="str">
        <f t="shared" si="34"/>
        <v/>
      </c>
      <c r="E104" s="2" t="str">
        <f t="shared" si="35"/>
        <v/>
      </c>
      <c r="F104" s="2" t="str">
        <f t="shared" si="36"/>
        <v/>
      </c>
      <c r="G104" s="2" t="str">
        <f t="shared" si="37"/>
        <v/>
      </c>
      <c r="H104" s="2" t="str">
        <f t="shared" si="52"/>
        <v/>
      </c>
      <c r="I104" s="2" t="str">
        <f t="shared" si="53"/>
        <v/>
      </c>
      <c r="J104" s="2" t="str">
        <f t="shared" si="54"/>
        <v/>
      </c>
      <c r="K104" s="2" t="str">
        <f t="shared" si="38"/>
        <v/>
      </c>
      <c r="L104" s="2" t="str">
        <f t="shared" si="39"/>
        <v/>
      </c>
      <c r="M104" s="2" t="str">
        <f t="shared" si="40"/>
        <v/>
      </c>
      <c r="N104" s="2" t="str">
        <f t="shared" si="55"/>
        <v/>
      </c>
      <c r="O104" s="2" t="str">
        <f t="shared" si="56"/>
        <v/>
      </c>
      <c r="P104" s="2" t="str">
        <f t="shared" si="57"/>
        <v/>
      </c>
      <c r="Q104" s="2" t="str">
        <f t="shared" si="41"/>
        <v/>
      </c>
      <c r="R104" s="2" t="str">
        <f t="shared" si="42"/>
        <v/>
      </c>
      <c r="S104" s="2" t="str">
        <f t="shared" si="43"/>
        <v/>
      </c>
      <c r="T104" s="2" t="str">
        <f t="shared" si="58"/>
        <v/>
      </c>
      <c r="U104" s="2" t="str">
        <f t="shared" si="59"/>
        <v/>
      </c>
      <c r="V104" s="2" t="str">
        <f t="shared" si="60"/>
        <v/>
      </c>
      <c r="W104" s="2" t="str">
        <f t="shared" si="44"/>
        <v/>
      </c>
      <c r="X104" s="2" t="str">
        <f t="shared" si="45"/>
        <v/>
      </c>
      <c r="Y104" s="2" t="str">
        <f t="shared" si="46"/>
        <v/>
      </c>
      <c r="Z104" s="2" t="str">
        <f t="shared" si="61"/>
        <v/>
      </c>
      <c r="AA104" s="2" t="str">
        <f t="shared" si="62"/>
        <v/>
      </c>
      <c r="AB104" s="2" t="str">
        <f t="shared" si="63"/>
        <v/>
      </c>
      <c r="AC104" s="2" t="str">
        <f t="shared" si="47"/>
        <v/>
      </c>
      <c r="AD104" s="2" t="str">
        <f t="shared" si="48"/>
        <v/>
      </c>
      <c r="AE104" s="2" t="str">
        <f t="shared" si="49"/>
        <v/>
      </c>
      <c r="AF104" s="2" t="str">
        <f t="shared" si="50"/>
        <v/>
      </c>
    </row>
    <row r="105" spans="1:32" x14ac:dyDescent="0.2">
      <c r="A105" s="2" t="str">
        <f t="shared" si="51"/>
        <v/>
      </c>
      <c r="B105" s="2" t="str">
        <f t="shared" si="32"/>
        <v/>
      </c>
      <c r="C105" s="2" t="str">
        <f t="shared" si="33"/>
        <v/>
      </c>
      <c r="D105" s="2" t="str">
        <f t="shared" si="34"/>
        <v/>
      </c>
      <c r="E105" s="2" t="str">
        <f t="shared" si="35"/>
        <v/>
      </c>
      <c r="F105" s="2" t="str">
        <f t="shared" si="36"/>
        <v/>
      </c>
      <c r="G105" s="2" t="str">
        <f t="shared" si="37"/>
        <v/>
      </c>
      <c r="H105" s="2" t="str">
        <f t="shared" si="52"/>
        <v/>
      </c>
      <c r="I105" s="2" t="str">
        <f t="shared" si="53"/>
        <v/>
      </c>
      <c r="J105" s="2" t="str">
        <f t="shared" si="54"/>
        <v/>
      </c>
      <c r="K105" s="2" t="str">
        <f t="shared" si="38"/>
        <v/>
      </c>
      <c r="L105" s="2" t="str">
        <f t="shared" si="39"/>
        <v/>
      </c>
      <c r="M105" s="2" t="str">
        <f t="shared" si="40"/>
        <v/>
      </c>
      <c r="N105" s="2" t="str">
        <f t="shared" si="55"/>
        <v/>
      </c>
      <c r="O105" s="2" t="str">
        <f t="shared" si="56"/>
        <v/>
      </c>
      <c r="P105" s="2" t="str">
        <f t="shared" si="57"/>
        <v/>
      </c>
      <c r="Q105" s="2" t="str">
        <f t="shared" si="41"/>
        <v/>
      </c>
      <c r="R105" s="2" t="str">
        <f t="shared" si="42"/>
        <v/>
      </c>
      <c r="S105" s="2" t="str">
        <f t="shared" si="43"/>
        <v/>
      </c>
      <c r="T105" s="2" t="str">
        <f t="shared" si="58"/>
        <v/>
      </c>
      <c r="U105" s="2" t="str">
        <f t="shared" si="59"/>
        <v/>
      </c>
      <c r="V105" s="2" t="str">
        <f t="shared" si="60"/>
        <v/>
      </c>
      <c r="W105" s="2" t="str">
        <f t="shared" si="44"/>
        <v/>
      </c>
      <c r="X105" s="2" t="str">
        <f t="shared" si="45"/>
        <v/>
      </c>
      <c r="Y105" s="2" t="str">
        <f t="shared" si="46"/>
        <v/>
      </c>
      <c r="Z105" s="2" t="str">
        <f t="shared" si="61"/>
        <v/>
      </c>
      <c r="AA105" s="2" t="str">
        <f t="shared" si="62"/>
        <v/>
      </c>
      <c r="AB105" s="2" t="str">
        <f t="shared" si="63"/>
        <v/>
      </c>
      <c r="AC105" s="2" t="str">
        <f t="shared" si="47"/>
        <v/>
      </c>
      <c r="AD105" s="2" t="str">
        <f t="shared" si="48"/>
        <v/>
      </c>
      <c r="AE105" s="2" t="str">
        <f t="shared" si="49"/>
        <v/>
      </c>
      <c r="AF105" s="2" t="str">
        <f t="shared" si="50"/>
        <v/>
      </c>
    </row>
    <row r="106" spans="1:32" x14ac:dyDescent="0.2">
      <c r="A106" s="2" t="str">
        <f t="shared" si="51"/>
        <v/>
      </c>
      <c r="B106" s="2" t="str">
        <f t="shared" si="32"/>
        <v/>
      </c>
      <c r="C106" s="2" t="str">
        <f t="shared" si="33"/>
        <v/>
      </c>
      <c r="D106" s="2" t="str">
        <f t="shared" si="34"/>
        <v/>
      </c>
      <c r="E106" s="2" t="str">
        <f t="shared" si="35"/>
        <v/>
      </c>
      <c r="F106" s="2" t="str">
        <f t="shared" si="36"/>
        <v/>
      </c>
      <c r="G106" s="2" t="str">
        <f t="shared" si="37"/>
        <v/>
      </c>
      <c r="H106" s="2" t="str">
        <f t="shared" si="52"/>
        <v/>
      </c>
      <c r="I106" s="2" t="str">
        <f t="shared" si="53"/>
        <v/>
      </c>
      <c r="J106" s="2" t="str">
        <f t="shared" si="54"/>
        <v/>
      </c>
      <c r="K106" s="2" t="str">
        <f t="shared" si="38"/>
        <v/>
      </c>
      <c r="L106" s="2" t="str">
        <f t="shared" si="39"/>
        <v/>
      </c>
      <c r="M106" s="2" t="str">
        <f t="shared" si="40"/>
        <v/>
      </c>
      <c r="N106" s="2" t="str">
        <f t="shared" si="55"/>
        <v/>
      </c>
      <c r="O106" s="2" t="str">
        <f t="shared" si="56"/>
        <v/>
      </c>
      <c r="P106" s="2" t="str">
        <f t="shared" si="57"/>
        <v/>
      </c>
      <c r="Q106" s="2" t="str">
        <f t="shared" si="41"/>
        <v/>
      </c>
      <c r="R106" s="2" t="str">
        <f t="shared" si="42"/>
        <v/>
      </c>
      <c r="S106" s="2" t="str">
        <f t="shared" si="43"/>
        <v/>
      </c>
      <c r="T106" s="2" t="str">
        <f t="shared" si="58"/>
        <v/>
      </c>
      <c r="U106" s="2" t="str">
        <f t="shared" si="59"/>
        <v/>
      </c>
      <c r="V106" s="2" t="str">
        <f t="shared" si="60"/>
        <v/>
      </c>
      <c r="W106" s="2" t="str">
        <f t="shared" si="44"/>
        <v/>
      </c>
      <c r="X106" s="2" t="str">
        <f t="shared" si="45"/>
        <v/>
      </c>
      <c r="Y106" s="2" t="str">
        <f t="shared" si="46"/>
        <v/>
      </c>
      <c r="Z106" s="2" t="str">
        <f t="shared" si="61"/>
        <v/>
      </c>
      <c r="AA106" s="2" t="str">
        <f t="shared" si="62"/>
        <v/>
      </c>
      <c r="AB106" s="2" t="str">
        <f t="shared" si="63"/>
        <v/>
      </c>
      <c r="AC106" s="2" t="str">
        <f t="shared" si="47"/>
        <v/>
      </c>
      <c r="AD106" s="2" t="str">
        <f t="shared" si="48"/>
        <v/>
      </c>
      <c r="AE106" s="2" t="str">
        <f t="shared" si="49"/>
        <v/>
      </c>
      <c r="AF106" s="2" t="str">
        <f t="shared" si="50"/>
        <v/>
      </c>
    </row>
    <row r="107" spans="1:32" x14ac:dyDescent="0.2">
      <c r="A107" s="2" t="str">
        <f t="shared" si="51"/>
        <v/>
      </c>
      <c r="B107" s="2" t="str">
        <f t="shared" si="32"/>
        <v/>
      </c>
      <c r="C107" s="2" t="str">
        <f t="shared" si="33"/>
        <v/>
      </c>
      <c r="D107" s="2" t="str">
        <f t="shared" si="34"/>
        <v/>
      </c>
      <c r="E107" s="2" t="str">
        <f t="shared" si="35"/>
        <v/>
      </c>
      <c r="F107" s="2" t="str">
        <f t="shared" si="36"/>
        <v/>
      </c>
      <c r="G107" s="2" t="str">
        <f t="shared" si="37"/>
        <v/>
      </c>
      <c r="H107" s="2" t="str">
        <f t="shared" si="52"/>
        <v/>
      </c>
      <c r="I107" s="2" t="str">
        <f t="shared" si="53"/>
        <v/>
      </c>
      <c r="J107" s="2" t="str">
        <f t="shared" si="54"/>
        <v/>
      </c>
      <c r="K107" s="2" t="str">
        <f t="shared" si="38"/>
        <v/>
      </c>
      <c r="L107" s="2" t="str">
        <f t="shared" si="39"/>
        <v/>
      </c>
      <c r="M107" s="2" t="str">
        <f t="shared" si="40"/>
        <v/>
      </c>
      <c r="N107" s="2" t="str">
        <f t="shared" si="55"/>
        <v/>
      </c>
      <c r="O107" s="2" t="str">
        <f t="shared" si="56"/>
        <v/>
      </c>
      <c r="P107" s="2" t="str">
        <f t="shared" si="57"/>
        <v/>
      </c>
      <c r="Q107" s="2" t="str">
        <f t="shared" si="41"/>
        <v/>
      </c>
      <c r="R107" s="2" t="str">
        <f t="shared" si="42"/>
        <v/>
      </c>
      <c r="S107" s="2" t="str">
        <f t="shared" si="43"/>
        <v/>
      </c>
      <c r="T107" s="2" t="str">
        <f t="shared" si="58"/>
        <v/>
      </c>
      <c r="U107" s="2" t="str">
        <f t="shared" si="59"/>
        <v/>
      </c>
      <c r="V107" s="2" t="str">
        <f t="shared" si="60"/>
        <v/>
      </c>
      <c r="W107" s="2" t="str">
        <f t="shared" si="44"/>
        <v/>
      </c>
      <c r="X107" s="2" t="str">
        <f t="shared" si="45"/>
        <v/>
      </c>
      <c r="Y107" s="2" t="str">
        <f t="shared" si="46"/>
        <v/>
      </c>
      <c r="Z107" s="2" t="str">
        <f t="shared" si="61"/>
        <v/>
      </c>
      <c r="AA107" s="2" t="str">
        <f t="shared" si="62"/>
        <v/>
      </c>
      <c r="AB107" s="2" t="str">
        <f t="shared" si="63"/>
        <v/>
      </c>
      <c r="AC107" s="2" t="str">
        <f t="shared" si="47"/>
        <v/>
      </c>
      <c r="AD107" s="2" t="str">
        <f t="shared" si="48"/>
        <v/>
      </c>
      <c r="AE107" s="2" t="str">
        <f t="shared" si="49"/>
        <v/>
      </c>
      <c r="AF107" s="2" t="str">
        <f t="shared" si="50"/>
        <v/>
      </c>
    </row>
    <row r="108" spans="1:32" x14ac:dyDescent="0.2">
      <c r="A108" s="2" t="str">
        <f t="shared" si="51"/>
        <v/>
      </c>
      <c r="B108" s="2" t="str">
        <f t="shared" si="32"/>
        <v/>
      </c>
      <c r="C108" s="2" t="str">
        <f t="shared" si="33"/>
        <v/>
      </c>
      <c r="D108" s="2" t="str">
        <f t="shared" si="34"/>
        <v/>
      </c>
      <c r="E108" s="2" t="str">
        <f t="shared" si="35"/>
        <v/>
      </c>
      <c r="F108" s="2" t="str">
        <f t="shared" si="36"/>
        <v/>
      </c>
      <c r="G108" s="2" t="str">
        <f t="shared" si="37"/>
        <v/>
      </c>
      <c r="H108" s="2" t="str">
        <f t="shared" si="52"/>
        <v/>
      </c>
      <c r="I108" s="2" t="str">
        <f t="shared" si="53"/>
        <v/>
      </c>
      <c r="J108" s="2" t="str">
        <f t="shared" si="54"/>
        <v/>
      </c>
      <c r="K108" s="2" t="str">
        <f t="shared" si="38"/>
        <v/>
      </c>
      <c r="L108" s="2" t="str">
        <f t="shared" si="39"/>
        <v/>
      </c>
      <c r="M108" s="2" t="str">
        <f t="shared" si="40"/>
        <v/>
      </c>
      <c r="N108" s="2" t="str">
        <f t="shared" si="55"/>
        <v/>
      </c>
      <c r="O108" s="2" t="str">
        <f t="shared" si="56"/>
        <v/>
      </c>
      <c r="P108" s="2" t="str">
        <f t="shared" si="57"/>
        <v/>
      </c>
      <c r="Q108" s="2" t="str">
        <f t="shared" si="41"/>
        <v/>
      </c>
      <c r="R108" s="2" t="str">
        <f t="shared" si="42"/>
        <v/>
      </c>
      <c r="S108" s="2" t="str">
        <f t="shared" si="43"/>
        <v/>
      </c>
      <c r="T108" s="2" t="str">
        <f t="shared" si="58"/>
        <v/>
      </c>
      <c r="U108" s="2" t="str">
        <f t="shared" si="59"/>
        <v/>
      </c>
      <c r="V108" s="2" t="str">
        <f t="shared" si="60"/>
        <v/>
      </c>
      <c r="W108" s="2" t="str">
        <f t="shared" si="44"/>
        <v/>
      </c>
      <c r="X108" s="2" t="str">
        <f t="shared" si="45"/>
        <v/>
      </c>
      <c r="Y108" s="2" t="str">
        <f t="shared" si="46"/>
        <v/>
      </c>
      <c r="Z108" s="2" t="str">
        <f t="shared" si="61"/>
        <v/>
      </c>
      <c r="AA108" s="2" t="str">
        <f t="shared" si="62"/>
        <v/>
      </c>
      <c r="AB108" s="2" t="str">
        <f t="shared" si="63"/>
        <v/>
      </c>
      <c r="AC108" s="2" t="str">
        <f t="shared" si="47"/>
        <v/>
      </c>
      <c r="AD108" s="2" t="str">
        <f t="shared" si="48"/>
        <v/>
      </c>
      <c r="AE108" s="2" t="str">
        <f t="shared" si="49"/>
        <v/>
      </c>
      <c r="AF108" s="2" t="str">
        <f t="shared" si="50"/>
        <v/>
      </c>
    </row>
    <row r="109" spans="1:32" x14ac:dyDescent="0.2">
      <c r="A109" s="2" t="str">
        <f t="shared" si="51"/>
        <v/>
      </c>
      <c r="B109" s="2" t="str">
        <f t="shared" si="32"/>
        <v/>
      </c>
      <c r="C109" s="2" t="str">
        <f t="shared" si="33"/>
        <v/>
      </c>
      <c r="D109" s="2" t="str">
        <f t="shared" si="34"/>
        <v/>
      </c>
      <c r="E109" s="2" t="str">
        <f t="shared" si="35"/>
        <v/>
      </c>
      <c r="F109" s="2" t="str">
        <f t="shared" si="36"/>
        <v/>
      </c>
      <c r="G109" s="2" t="str">
        <f t="shared" si="37"/>
        <v/>
      </c>
      <c r="H109" s="2" t="str">
        <f t="shared" si="52"/>
        <v/>
      </c>
      <c r="I109" s="2" t="str">
        <f t="shared" si="53"/>
        <v/>
      </c>
      <c r="J109" s="2" t="str">
        <f t="shared" si="54"/>
        <v/>
      </c>
      <c r="K109" s="2" t="str">
        <f t="shared" si="38"/>
        <v/>
      </c>
      <c r="L109" s="2" t="str">
        <f t="shared" si="39"/>
        <v/>
      </c>
      <c r="M109" s="2" t="str">
        <f t="shared" si="40"/>
        <v/>
      </c>
      <c r="N109" s="2" t="str">
        <f t="shared" si="55"/>
        <v/>
      </c>
      <c r="O109" s="2" t="str">
        <f t="shared" si="56"/>
        <v/>
      </c>
      <c r="P109" s="2" t="str">
        <f t="shared" si="57"/>
        <v/>
      </c>
      <c r="Q109" s="2" t="str">
        <f t="shared" si="41"/>
        <v/>
      </c>
      <c r="R109" s="2" t="str">
        <f t="shared" si="42"/>
        <v/>
      </c>
      <c r="S109" s="2" t="str">
        <f t="shared" si="43"/>
        <v/>
      </c>
      <c r="T109" s="2" t="str">
        <f t="shared" si="58"/>
        <v/>
      </c>
      <c r="U109" s="2" t="str">
        <f t="shared" si="59"/>
        <v/>
      </c>
      <c r="V109" s="2" t="str">
        <f t="shared" si="60"/>
        <v/>
      </c>
      <c r="W109" s="2" t="str">
        <f t="shared" si="44"/>
        <v/>
      </c>
      <c r="X109" s="2" t="str">
        <f t="shared" si="45"/>
        <v/>
      </c>
      <c r="Y109" s="2" t="str">
        <f t="shared" si="46"/>
        <v/>
      </c>
      <c r="Z109" s="2" t="str">
        <f t="shared" si="61"/>
        <v/>
      </c>
      <c r="AA109" s="2" t="str">
        <f t="shared" si="62"/>
        <v/>
      </c>
      <c r="AB109" s="2" t="str">
        <f t="shared" si="63"/>
        <v/>
      </c>
      <c r="AC109" s="2" t="str">
        <f t="shared" si="47"/>
        <v/>
      </c>
      <c r="AD109" s="2" t="str">
        <f t="shared" si="48"/>
        <v/>
      </c>
      <c r="AE109" s="2" t="str">
        <f t="shared" si="49"/>
        <v/>
      </c>
      <c r="AF109" s="2" t="str">
        <f t="shared" si="50"/>
        <v/>
      </c>
    </row>
    <row r="110" spans="1:32" x14ac:dyDescent="0.2">
      <c r="A110" s="2" t="str">
        <f t="shared" si="51"/>
        <v/>
      </c>
      <c r="B110" s="2" t="str">
        <f t="shared" si="32"/>
        <v/>
      </c>
      <c r="C110" s="2" t="str">
        <f t="shared" si="33"/>
        <v/>
      </c>
      <c r="D110" s="2" t="str">
        <f t="shared" si="34"/>
        <v/>
      </c>
      <c r="E110" s="2" t="str">
        <f t="shared" si="35"/>
        <v/>
      </c>
      <c r="F110" s="2" t="str">
        <f t="shared" si="36"/>
        <v/>
      </c>
      <c r="G110" s="2" t="str">
        <f t="shared" si="37"/>
        <v/>
      </c>
      <c r="H110" s="2" t="str">
        <f t="shared" si="52"/>
        <v/>
      </c>
      <c r="I110" s="2" t="str">
        <f t="shared" si="53"/>
        <v/>
      </c>
      <c r="J110" s="2" t="str">
        <f t="shared" si="54"/>
        <v/>
      </c>
      <c r="K110" s="2" t="str">
        <f t="shared" si="38"/>
        <v/>
      </c>
      <c r="L110" s="2" t="str">
        <f t="shared" si="39"/>
        <v/>
      </c>
      <c r="M110" s="2" t="str">
        <f t="shared" si="40"/>
        <v/>
      </c>
      <c r="N110" s="2" t="str">
        <f t="shared" si="55"/>
        <v/>
      </c>
      <c r="O110" s="2" t="str">
        <f t="shared" si="56"/>
        <v/>
      </c>
      <c r="P110" s="2" t="str">
        <f t="shared" si="57"/>
        <v/>
      </c>
      <c r="Q110" s="2" t="str">
        <f t="shared" si="41"/>
        <v/>
      </c>
      <c r="R110" s="2" t="str">
        <f t="shared" si="42"/>
        <v/>
      </c>
      <c r="S110" s="2" t="str">
        <f t="shared" si="43"/>
        <v/>
      </c>
      <c r="T110" s="2" t="str">
        <f t="shared" si="58"/>
        <v/>
      </c>
      <c r="U110" s="2" t="str">
        <f t="shared" si="59"/>
        <v/>
      </c>
      <c r="V110" s="2" t="str">
        <f t="shared" si="60"/>
        <v/>
      </c>
      <c r="W110" s="2" t="str">
        <f t="shared" si="44"/>
        <v/>
      </c>
      <c r="X110" s="2" t="str">
        <f t="shared" si="45"/>
        <v/>
      </c>
      <c r="Y110" s="2" t="str">
        <f t="shared" si="46"/>
        <v/>
      </c>
      <c r="Z110" s="2" t="str">
        <f t="shared" si="61"/>
        <v/>
      </c>
      <c r="AA110" s="2" t="str">
        <f t="shared" si="62"/>
        <v/>
      </c>
      <c r="AB110" s="2" t="str">
        <f t="shared" si="63"/>
        <v/>
      </c>
      <c r="AC110" s="2" t="str">
        <f t="shared" si="47"/>
        <v/>
      </c>
      <c r="AD110" s="2" t="str">
        <f t="shared" si="48"/>
        <v/>
      </c>
      <c r="AE110" s="2" t="str">
        <f t="shared" si="49"/>
        <v/>
      </c>
      <c r="AF110" s="2" t="str">
        <f t="shared" si="50"/>
        <v/>
      </c>
    </row>
    <row r="111" spans="1:32" x14ac:dyDescent="0.2">
      <c r="A111" s="2" t="str">
        <f t="shared" si="51"/>
        <v/>
      </c>
      <c r="B111" s="2" t="str">
        <f t="shared" si="32"/>
        <v/>
      </c>
      <c r="C111" s="2" t="str">
        <f t="shared" si="33"/>
        <v/>
      </c>
      <c r="D111" s="2" t="str">
        <f t="shared" si="34"/>
        <v/>
      </c>
      <c r="E111" s="2" t="str">
        <f t="shared" si="35"/>
        <v/>
      </c>
      <c r="F111" s="2" t="str">
        <f t="shared" si="36"/>
        <v/>
      </c>
      <c r="G111" s="2" t="str">
        <f t="shared" si="37"/>
        <v/>
      </c>
      <c r="H111" s="2" t="str">
        <f t="shared" si="52"/>
        <v/>
      </c>
      <c r="I111" s="2" t="str">
        <f t="shared" si="53"/>
        <v/>
      </c>
      <c r="J111" s="2" t="str">
        <f t="shared" si="54"/>
        <v/>
      </c>
      <c r="K111" s="2" t="str">
        <f t="shared" si="38"/>
        <v/>
      </c>
      <c r="L111" s="2" t="str">
        <f t="shared" si="39"/>
        <v/>
      </c>
      <c r="M111" s="2" t="str">
        <f t="shared" si="40"/>
        <v/>
      </c>
      <c r="N111" s="2" t="str">
        <f t="shared" si="55"/>
        <v/>
      </c>
      <c r="O111" s="2" t="str">
        <f t="shared" si="56"/>
        <v/>
      </c>
      <c r="P111" s="2" t="str">
        <f t="shared" si="57"/>
        <v/>
      </c>
      <c r="Q111" s="2" t="str">
        <f t="shared" si="41"/>
        <v/>
      </c>
      <c r="R111" s="2" t="str">
        <f t="shared" si="42"/>
        <v/>
      </c>
      <c r="S111" s="2" t="str">
        <f t="shared" si="43"/>
        <v/>
      </c>
      <c r="T111" s="2" t="str">
        <f t="shared" si="58"/>
        <v/>
      </c>
      <c r="U111" s="2" t="str">
        <f t="shared" si="59"/>
        <v/>
      </c>
      <c r="V111" s="2" t="str">
        <f t="shared" si="60"/>
        <v/>
      </c>
      <c r="W111" s="2" t="str">
        <f t="shared" si="44"/>
        <v/>
      </c>
      <c r="X111" s="2" t="str">
        <f t="shared" si="45"/>
        <v/>
      </c>
      <c r="Y111" s="2" t="str">
        <f t="shared" si="46"/>
        <v/>
      </c>
      <c r="Z111" s="2" t="str">
        <f t="shared" si="61"/>
        <v/>
      </c>
      <c r="AA111" s="2" t="str">
        <f t="shared" si="62"/>
        <v/>
      </c>
      <c r="AB111" s="2" t="str">
        <f t="shared" si="63"/>
        <v/>
      </c>
      <c r="AC111" s="2" t="str">
        <f t="shared" si="47"/>
        <v/>
      </c>
      <c r="AD111" s="2" t="str">
        <f t="shared" si="48"/>
        <v/>
      </c>
      <c r="AE111" s="2" t="str">
        <f t="shared" si="49"/>
        <v/>
      </c>
      <c r="AF111" s="2" t="str">
        <f t="shared" si="50"/>
        <v/>
      </c>
    </row>
    <row r="112" spans="1:32" x14ac:dyDescent="0.2">
      <c r="A112" s="2" t="str">
        <f t="shared" si="51"/>
        <v/>
      </c>
      <c r="B112" s="2" t="str">
        <f t="shared" si="32"/>
        <v/>
      </c>
      <c r="C112" s="2" t="str">
        <f t="shared" si="33"/>
        <v/>
      </c>
      <c r="D112" s="2" t="str">
        <f t="shared" si="34"/>
        <v/>
      </c>
      <c r="E112" s="2" t="str">
        <f t="shared" si="35"/>
        <v/>
      </c>
      <c r="F112" s="2" t="str">
        <f t="shared" si="36"/>
        <v/>
      </c>
      <c r="G112" s="2" t="str">
        <f t="shared" si="37"/>
        <v/>
      </c>
      <c r="H112" s="2" t="str">
        <f t="shared" si="52"/>
        <v/>
      </c>
      <c r="I112" s="2" t="str">
        <f t="shared" si="53"/>
        <v/>
      </c>
      <c r="J112" s="2" t="str">
        <f t="shared" si="54"/>
        <v/>
      </c>
      <c r="K112" s="2" t="str">
        <f t="shared" si="38"/>
        <v/>
      </c>
      <c r="L112" s="2" t="str">
        <f t="shared" si="39"/>
        <v/>
      </c>
      <c r="M112" s="2" t="str">
        <f t="shared" si="40"/>
        <v/>
      </c>
      <c r="N112" s="2" t="str">
        <f t="shared" si="55"/>
        <v/>
      </c>
      <c r="O112" s="2" t="str">
        <f t="shared" si="56"/>
        <v/>
      </c>
      <c r="P112" s="2" t="str">
        <f t="shared" si="57"/>
        <v/>
      </c>
      <c r="Q112" s="2" t="str">
        <f t="shared" si="41"/>
        <v/>
      </c>
      <c r="R112" s="2" t="str">
        <f t="shared" si="42"/>
        <v/>
      </c>
      <c r="S112" s="2" t="str">
        <f t="shared" si="43"/>
        <v/>
      </c>
      <c r="T112" s="2" t="str">
        <f t="shared" si="58"/>
        <v/>
      </c>
      <c r="U112" s="2" t="str">
        <f t="shared" si="59"/>
        <v/>
      </c>
      <c r="V112" s="2" t="str">
        <f t="shared" si="60"/>
        <v/>
      </c>
      <c r="W112" s="2" t="str">
        <f t="shared" si="44"/>
        <v/>
      </c>
      <c r="X112" s="2" t="str">
        <f t="shared" si="45"/>
        <v/>
      </c>
      <c r="Y112" s="2" t="str">
        <f t="shared" si="46"/>
        <v/>
      </c>
      <c r="Z112" s="2" t="str">
        <f t="shared" si="61"/>
        <v/>
      </c>
      <c r="AA112" s="2" t="str">
        <f t="shared" si="62"/>
        <v/>
      </c>
      <c r="AB112" s="2" t="str">
        <f t="shared" si="63"/>
        <v/>
      </c>
      <c r="AC112" s="2" t="str">
        <f t="shared" si="47"/>
        <v/>
      </c>
      <c r="AD112" s="2" t="str">
        <f t="shared" si="48"/>
        <v/>
      </c>
      <c r="AE112" s="2" t="str">
        <f t="shared" si="49"/>
        <v/>
      </c>
      <c r="AF112" s="2" t="str">
        <f t="shared" si="50"/>
        <v/>
      </c>
    </row>
    <row r="113" spans="1:32" x14ac:dyDescent="0.2">
      <c r="A113" s="2" t="str">
        <f t="shared" si="51"/>
        <v/>
      </c>
      <c r="B113" s="2" t="str">
        <f t="shared" si="32"/>
        <v/>
      </c>
      <c r="C113" s="2" t="str">
        <f t="shared" si="33"/>
        <v/>
      </c>
      <c r="D113" s="2" t="str">
        <f t="shared" si="34"/>
        <v/>
      </c>
      <c r="E113" s="2" t="str">
        <f t="shared" si="35"/>
        <v/>
      </c>
      <c r="F113" s="2" t="str">
        <f t="shared" si="36"/>
        <v/>
      </c>
      <c r="G113" s="2" t="str">
        <f t="shared" si="37"/>
        <v/>
      </c>
      <c r="H113" s="2" t="str">
        <f t="shared" si="52"/>
        <v/>
      </c>
      <c r="I113" s="2" t="str">
        <f t="shared" si="53"/>
        <v/>
      </c>
      <c r="J113" s="2" t="str">
        <f t="shared" si="54"/>
        <v/>
      </c>
      <c r="K113" s="2" t="str">
        <f t="shared" si="38"/>
        <v/>
      </c>
      <c r="L113" s="2" t="str">
        <f t="shared" si="39"/>
        <v/>
      </c>
      <c r="M113" s="2" t="str">
        <f t="shared" si="40"/>
        <v/>
      </c>
      <c r="N113" s="2" t="str">
        <f t="shared" si="55"/>
        <v/>
      </c>
      <c r="O113" s="2" t="str">
        <f t="shared" si="56"/>
        <v/>
      </c>
      <c r="P113" s="2" t="str">
        <f t="shared" si="57"/>
        <v/>
      </c>
      <c r="Q113" s="2" t="str">
        <f t="shared" si="41"/>
        <v/>
      </c>
      <c r="R113" s="2" t="str">
        <f t="shared" si="42"/>
        <v/>
      </c>
      <c r="S113" s="2" t="str">
        <f t="shared" si="43"/>
        <v/>
      </c>
      <c r="T113" s="2" t="str">
        <f t="shared" si="58"/>
        <v/>
      </c>
      <c r="U113" s="2" t="str">
        <f t="shared" si="59"/>
        <v/>
      </c>
      <c r="V113" s="2" t="str">
        <f t="shared" si="60"/>
        <v/>
      </c>
      <c r="W113" s="2" t="str">
        <f t="shared" si="44"/>
        <v/>
      </c>
      <c r="X113" s="2" t="str">
        <f t="shared" si="45"/>
        <v/>
      </c>
      <c r="Y113" s="2" t="str">
        <f t="shared" si="46"/>
        <v/>
      </c>
      <c r="Z113" s="2" t="str">
        <f t="shared" si="61"/>
        <v/>
      </c>
      <c r="AA113" s="2" t="str">
        <f t="shared" si="62"/>
        <v/>
      </c>
      <c r="AB113" s="2" t="str">
        <f t="shared" si="63"/>
        <v/>
      </c>
      <c r="AC113" s="2" t="str">
        <f t="shared" si="47"/>
        <v/>
      </c>
      <c r="AD113" s="2" t="str">
        <f t="shared" si="48"/>
        <v/>
      </c>
      <c r="AE113" s="2" t="str">
        <f t="shared" si="49"/>
        <v/>
      </c>
      <c r="AF113" s="2" t="str">
        <f t="shared" si="50"/>
        <v/>
      </c>
    </row>
    <row r="114" spans="1:32" x14ac:dyDescent="0.2">
      <c r="A114" s="2" t="str">
        <f t="shared" si="51"/>
        <v/>
      </c>
      <c r="B114" s="2" t="str">
        <f t="shared" si="32"/>
        <v/>
      </c>
      <c r="C114" s="2" t="str">
        <f t="shared" si="33"/>
        <v/>
      </c>
      <c r="D114" s="2" t="str">
        <f t="shared" si="34"/>
        <v/>
      </c>
      <c r="E114" s="2" t="str">
        <f t="shared" si="35"/>
        <v/>
      </c>
      <c r="F114" s="2" t="str">
        <f t="shared" si="36"/>
        <v/>
      </c>
      <c r="G114" s="2" t="str">
        <f t="shared" si="37"/>
        <v/>
      </c>
      <c r="H114" s="2" t="str">
        <f t="shared" si="52"/>
        <v/>
      </c>
      <c r="I114" s="2" t="str">
        <f t="shared" si="53"/>
        <v/>
      </c>
      <c r="J114" s="2" t="str">
        <f t="shared" si="54"/>
        <v/>
      </c>
      <c r="K114" s="2" t="str">
        <f t="shared" si="38"/>
        <v/>
      </c>
      <c r="L114" s="2" t="str">
        <f t="shared" si="39"/>
        <v/>
      </c>
      <c r="M114" s="2" t="str">
        <f t="shared" si="40"/>
        <v/>
      </c>
      <c r="N114" s="2" t="str">
        <f t="shared" si="55"/>
        <v/>
      </c>
      <c r="O114" s="2" t="str">
        <f t="shared" si="56"/>
        <v/>
      </c>
      <c r="P114" s="2" t="str">
        <f t="shared" si="57"/>
        <v/>
      </c>
      <c r="Q114" s="2" t="str">
        <f t="shared" si="41"/>
        <v/>
      </c>
      <c r="R114" s="2" t="str">
        <f t="shared" si="42"/>
        <v/>
      </c>
      <c r="S114" s="2" t="str">
        <f t="shared" si="43"/>
        <v/>
      </c>
      <c r="T114" s="2" t="str">
        <f t="shared" si="58"/>
        <v/>
      </c>
      <c r="U114" s="2" t="str">
        <f t="shared" si="59"/>
        <v/>
      </c>
      <c r="V114" s="2" t="str">
        <f t="shared" si="60"/>
        <v/>
      </c>
      <c r="W114" s="2" t="str">
        <f t="shared" si="44"/>
        <v/>
      </c>
      <c r="X114" s="2" t="str">
        <f t="shared" si="45"/>
        <v/>
      </c>
      <c r="Y114" s="2" t="str">
        <f t="shared" si="46"/>
        <v/>
      </c>
      <c r="Z114" s="2" t="str">
        <f t="shared" si="61"/>
        <v/>
      </c>
      <c r="AA114" s="2" t="str">
        <f t="shared" si="62"/>
        <v/>
      </c>
      <c r="AB114" s="2" t="str">
        <f t="shared" si="63"/>
        <v/>
      </c>
      <c r="AC114" s="2" t="str">
        <f t="shared" si="47"/>
        <v/>
      </c>
      <c r="AD114" s="2" t="str">
        <f t="shared" si="48"/>
        <v/>
      </c>
      <c r="AE114" s="2" t="str">
        <f t="shared" si="49"/>
        <v/>
      </c>
      <c r="AF114" s="2" t="str">
        <f t="shared" si="50"/>
        <v/>
      </c>
    </row>
    <row r="115" spans="1:32" x14ac:dyDescent="0.2">
      <c r="A115" s="2" t="str">
        <f t="shared" si="51"/>
        <v/>
      </c>
      <c r="B115" s="2" t="str">
        <f t="shared" si="32"/>
        <v/>
      </c>
      <c r="C115" s="2" t="str">
        <f t="shared" si="33"/>
        <v/>
      </c>
      <c r="D115" s="2" t="str">
        <f t="shared" si="34"/>
        <v/>
      </c>
      <c r="E115" s="2" t="str">
        <f t="shared" si="35"/>
        <v/>
      </c>
      <c r="F115" s="2" t="str">
        <f t="shared" si="36"/>
        <v/>
      </c>
      <c r="G115" s="2" t="str">
        <f t="shared" si="37"/>
        <v/>
      </c>
      <c r="H115" s="2" t="str">
        <f t="shared" si="52"/>
        <v/>
      </c>
      <c r="I115" s="2" t="str">
        <f t="shared" si="53"/>
        <v/>
      </c>
      <c r="J115" s="2" t="str">
        <f t="shared" si="54"/>
        <v/>
      </c>
      <c r="K115" s="2" t="str">
        <f t="shared" si="38"/>
        <v/>
      </c>
      <c r="L115" s="2" t="str">
        <f t="shared" si="39"/>
        <v/>
      </c>
      <c r="M115" s="2" t="str">
        <f t="shared" si="40"/>
        <v/>
      </c>
      <c r="N115" s="2" t="str">
        <f t="shared" si="55"/>
        <v/>
      </c>
      <c r="O115" s="2" t="str">
        <f t="shared" si="56"/>
        <v/>
      </c>
      <c r="P115" s="2" t="str">
        <f t="shared" si="57"/>
        <v/>
      </c>
      <c r="Q115" s="2" t="str">
        <f t="shared" si="41"/>
        <v/>
      </c>
      <c r="R115" s="2" t="str">
        <f t="shared" si="42"/>
        <v/>
      </c>
      <c r="S115" s="2" t="str">
        <f t="shared" si="43"/>
        <v/>
      </c>
      <c r="T115" s="2" t="str">
        <f t="shared" si="58"/>
        <v/>
      </c>
      <c r="U115" s="2" t="str">
        <f t="shared" si="59"/>
        <v/>
      </c>
      <c r="V115" s="2" t="str">
        <f t="shared" si="60"/>
        <v/>
      </c>
      <c r="W115" s="2" t="str">
        <f t="shared" si="44"/>
        <v/>
      </c>
      <c r="X115" s="2" t="str">
        <f t="shared" si="45"/>
        <v/>
      </c>
      <c r="Y115" s="2" t="str">
        <f t="shared" si="46"/>
        <v/>
      </c>
      <c r="Z115" s="2" t="str">
        <f t="shared" si="61"/>
        <v/>
      </c>
      <c r="AA115" s="2" t="str">
        <f t="shared" si="62"/>
        <v/>
      </c>
      <c r="AB115" s="2" t="str">
        <f t="shared" si="63"/>
        <v/>
      </c>
      <c r="AC115" s="2" t="str">
        <f t="shared" si="47"/>
        <v/>
      </c>
      <c r="AD115" s="2" t="str">
        <f t="shared" si="48"/>
        <v/>
      </c>
      <c r="AE115" s="2" t="str">
        <f t="shared" si="49"/>
        <v/>
      </c>
      <c r="AF115" s="2" t="str">
        <f t="shared" si="50"/>
        <v/>
      </c>
    </row>
    <row r="116" spans="1:32" x14ac:dyDescent="0.2">
      <c r="A116" s="2" t="str">
        <f t="shared" si="51"/>
        <v/>
      </c>
      <c r="B116" s="2" t="str">
        <f t="shared" si="32"/>
        <v/>
      </c>
      <c r="C116" s="2" t="str">
        <f t="shared" si="33"/>
        <v/>
      </c>
      <c r="D116" s="2" t="str">
        <f t="shared" si="34"/>
        <v/>
      </c>
      <c r="E116" s="2" t="str">
        <f t="shared" si="35"/>
        <v/>
      </c>
      <c r="F116" s="2" t="str">
        <f t="shared" si="36"/>
        <v/>
      </c>
      <c r="G116" s="2" t="str">
        <f t="shared" si="37"/>
        <v/>
      </c>
      <c r="H116" s="2" t="str">
        <f t="shared" si="52"/>
        <v/>
      </c>
      <c r="I116" s="2" t="str">
        <f t="shared" si="53"/>
        <v/>
      </c>
      <c r="J116" s="2" t="str">
        <f t="shared" si="54"/>
        <v/>
      </c>
      <c r="K116" s="2" t="str">
        <f t="shared" si="38"/>
        <v/>
      </c>
      <c r="L116" s="2" t="str">
        <f t="shared" si="39"/>
        <v/>
      </c>
      <c r="M116" s="2" t="str">
        <f t="shared" si="40"/>
        <v/>
      </c>
      <c r="N116" s="2" t="str">
        <f t="shared" si="55"/>
        <v/>
      </c>
      <c r="O116" s="2" t="str">
        <f t="shared" si="56"/>
        <v/>
      </c>
      <c r="P116" s="2" t="str">
        <f t="shared" si="57"/>
        <v/>
      </c>
      <c r="Q116" s="2" t="str">
        <f t="shared" si="41"/>
        <v/>
      </c>
      <c r="R116" s="2" t="str">
        <f t="shared" si="42"/>
        <v/>
      </c>
      <c r="S116" s="2" t="str">
        <f t="shared" si="43"/>
        <v/>
      </c>
      <c r="T116" s="2" t="str">
        <f t="shared" si="58"/>
        <v/>
      </c>
      <c r="U116" s="2" t="str">
        <f t="shared" si="59"/>
        <v/>
      </c>
      <c r="V116" s="2" t="str">
        <f t="shared" si="60"/>
        <v/>
      </c>
      <c r="W116" s="2" t="str">
        <f t="shared" si="44"/>
        <v/>
      </c>
      <c r="X116" s="2" t="str">
        <f t="shared" si="45"/>
        <v/>
      </c>
      <c r="Y116" s="2" t="str">
        <f t="shared" si="46"/>
        <v/>
      </c>
      <c r="Z116" s="2" t="str">
        <f t="shared" si="61"/>
        <v/>
      </c>
      <c r="AA116" s="2" t="str">
        <f t="shared" si="62"/>
        <v/>
      </c>
      <c r="AB116" s="2" t="str">
        <f t="shared" si="63"/>
        <v/>
      </c>
      <c r="AC116" s="2" t="str">
        <f t="shared" si="47"/>
        <v/>
      </c>
      <c r="AD116" s="2" t="str">
        <f t="shared" si="48"/>
        <v/>
      </c>
      <c r="AE116" s="2" t="str">
        <f t="shared" si="49"/>
        <v/>
      </c>
      <c r="AF116" s="2" t="str">
        <f t="shared" si="50"/>
        <v/>
      </c>
    </row>
    <row r="117" spans="1:32" x14ac:dyDescent="0.2">
      <c r="A117" s="2" t="str">
        <f t="shared" si="51"/>
        <v/>
      </c>
      <c r="B117" s="2" t="str">
        <f t="shared" si="32"/>
        <v/>
      </c>
      <c r="C117" s="2" t="str">
        <f t="shared" si="33"/>
        <v/>
      </c>
      <c r="D117" s="2" t="str">
        <f t="shared" si="34"/>
        <v/>
      </c>
      <c r="E117" s="2" t="str">
        <f t="shared" si="35"/>
        <v/>
      </c>
      <c r="F117" s="2" t="str">
        <f t="shared" si="36"/>
        <v/>
      </c>
      <c r="G117" s="2" t="str">
        <f t="shared" si="37"/>
        <v/>
      </c>
      <c r="H117" s="2" t="str">
        <f t="shared" si="52"/>
        <v/>
      </c>
      <c r="I117" s="2" t="str">
        <f t="shared" si="53"/>
        <v/>
      </c>
      <c r="J117" s="2" t="str">
        <f t="shared" si="54"/>
        <v/>
      </c>
      <c r="K117" s="2" t="str">
        <f t="shared" si="38"/>
        <v/>
      </c>
      <c r="L117" s="2" t="str">
        <f t="shared" si="39"/>
        <v/>
      </c>
      <c r="M117" s="2" t="str">
        <f t="shared" si="40"/>
        <v/>
      </c>
      <c r="N117" s="2" t="str">
        <f t="shared" si="55"/>
        <v/>
      </c>
      <c r="O117" s="2" t="str">
        <f t="shared" si="56"/>
        <v/>
      </c>
      <c r="P117" s="2" t="str">
        <f t="shared" si="57"/>
        <v/>
      </c>
      <c r="Q117" s="2" t="str">
        <f t="shared" si="41"/>
        <v/>
      </c>
      <c r="R117" s="2" t="str">
        <f t="shared" si="42"/>
        <v/>
      </c>
      <c r="S117" s="2" t="str">
        <f t="shared" si="43"/>
        <v/>
      </c>
      <c r="T117" s="2" t="str">
        <f t="shared" si="58"/>
        <v/>
      </c>
      <c r="U117" s="2" t="str">
        <f t="shared" si="59"/>
        <v/>
      </c>
      <c r="V117" s="2" t="str">
        <f t="shared" si="60"/>
        <v/>
      </c>
      <c r="W117" s="2" t="str">
        <f t="shared" si="44"/>
        <v/>
      </c>
      <c r="X117" s="2" t="str">
        <f t="shared" si="45"/>
        <v/>
      </c>
      <c r="Y117" s="2" t="str">
        <f t="shared" si="46"/>
        <v/>
      </c>
      <c r="Z117" s="2" t="str">
        <f t="shared" si="61"/>
        <v/>
      </c>
      <c r="AA117" s="2" t="str">
        <f t="shared" si="62"/>
        <v/>
      </c>
      <c r="AB117" s="2" t="str">
        <f t="shared" si="63"/>
        <v/>
      </c>
      <c r="AC117" s="2" t="str">
        <f t="shared" si="47"/>
        <v/>
      </c>
      <c r="AD117" s="2" t="str">
        <f t="shared" si="48"/>
        <v/>
      </c>
      <c r="AE117" s="2" t="str">
        <f t="shared" si="49"/>
        <v/>
      </c>
      <c r="AF117" s="2" t="str">
        <f t="shared" si="50"/>
        <v/>
      </c>
    </row>
    <row r="118" spans="1:32" x14ac:dyDescent="0.2">
      <c r="A118" s="2" t="str">
        <f t="shared" si="51"/>
        <v/>
      </c>
      <c r="B118" s="2" t="str">
        <f t="shared" si="32"/>
        <v/>
      </c>
      <c r="C118" s="2" t="str">
        <f t="shared" si="33"/>
        <v/>
      </c>
      <c r="D118" s="2" t="str">
        <f t="shared" si="34"/>
        <v/>
      </c>
      <c r="E118" s="2" t="str">
        <f t="shared" si="35"/>
        <v/>
      </c>
      <c r="F118" s="2" t="str">
        <f t="shared" si="36"/>
        <v/>
      </c>
      <c r="G118" s="2" t="str">
        <f t="shared" si="37"/>
        <v/>
      </c>
      <c r="H118" s="2" t="str">
        <f t="shared" si="52"/>
        <v/>
      </c>
      <c r="I118" s="2" t="str">
        <f t="shared" si="53"/>
        <v/>
      </c>
      <c r="J118" s="2" t="str">
        <f t="shared" si="54"/>
        <v/>
      </c>
      <c r="K118" s="2" t="str">
        <f t="shared" si="38"/>
        <v/>
      </c>
      <c r="L118" s="2" t="str">
        <f t="shared" si="39"/>
        <v/>
      </c>
      <c r="M118" s="2" t="str">
        <f t="shared" si="40"/>
        <v/>
      </c>
      <c r="N118" s="2" t="str">
        <f t="shared" si="55"/>
        <v/>
      </c>
      <c r="O118" s="2" t="str">
        <f t="shared" si="56"/>
        <v/>
      </c>
      <c r="P118" s="2" t="str">
        <f t="shared" si="57"/>
        <v/>
      </c>
      <c r="Q118" s="2" t="str">
        <f t="shared" si="41"/>
        <v/>
      </c>
      <c r="R118" s="2" t="str">
        <f t="shared" si="42"/>
        <v/>
      </c>
      <c r="S118" s="2" t="str">
        <f t="shared" si="43"/>
        <v/>
      </c>
      <c r="T118" s="2" t="str">
        <f t="shared" si="58"/>
        <v/>
      </c>
      <c r="U118" s="2" t="str">
        <f t="shared" si="59"/>
        <v/>
      </c>
      <c r="V118" s="2" t="str">
        <f t="shared" si="60"/>
        <v/>
      </c>
      <c r="W118" s="2" t="str">
        <f t="shared" si="44"/>
        <v/>
      </c>
      <c r="X118" s="2" t="str">
        <f t="shared" si="45"/>
        <v/>
      </c>
      <c r="Y118" s="2" t="str">
        <f t="shared" si="46"/>
        <v/>
      </c>
      <c r="Z118" s="2" t="str">
        <f t="shared" si="61"/>
        <v/>
      </c>
      <c r="AA118" s="2" t="str">
        <f t="shared" si="62"/>
        <v/>
      </c>
      <c r="AB118" s="2" t="str">
        <f t="shared" si="63"/>
        <v/>
      </c>
      <c r="AC118" s="2" t="str">
        <f t="shared" si="47"/>
        <v/>
      </c>
      <c r="AD118" s="2" t="str">
        <f t="shared" si="48"/>
        <v/>
      </c>
      <c r="AE118" s="2" t="str">
        <f t="shared" si="49"/>
        <v/>
      </c>
      <c r="AF118" s="2" t="str">
        <f t="shared" si="50"/>
        <v/>
      </c>
    </row>
    <row r="119" spans="1:32" x14ac:dyDescent="0.2">
      <c r="A119" s="2" t="str">
        <f t="shared" si="51"/>
        <v/>
      </c>
      <c r="B119" s="2" t="str">
        <f t="shared" si="32"/>
        <v/>
      </c>
      <c r="C119" s="2" t="str">
        <f t="shared" si="33"/>
        <v/>
      </c>
      <c r="D119" s="2" t="str">
        <f t="shared" si="34"/>
        <v/>
      </c>
      <c r="E119" s="2" t="str">
        <f t="shared" si="35"/>
        <v/>
      </c>
      <c r="F119" s="2" t="str">
        <f t="shared" si="36"/>
        <v/>
      </c>
      <c r="G119" s="2" t="str">
        <f t="shared" si="37"/>
        <v/>
      </c>
      <c r="H119" s="2" t="str">
        <f t="shared" si="52"/>
        <v/>
      </c>
      <c r="I119" s="2" t="str">
        <f t="shared" si="53"/>
        <v/>
      </c>
      <c r="J119" s="2" t="str">
        <f t="shared" si="54"/>
        <v/>
      </c>
      <c r="K119" s="2" t="str">
        <f t="shared" si="38"/>
        <v/>
      </c>
      <c r="L119" s="2" t="str">
        <f t="shared" si="39"/>
        <v/>
      </c>
      <c r="M119" s="2" t="str">
        <f t="shared" si="40"/>
        <v/>
      </c>
      <c r="N119" s="2" t="str">
        <f t="shared" si="55"/>
        <v/>
      </c>
      <c r="O119" s="2" t="str">
        <f t="shared" si="56"/>
        <v/>
      </c>
      <c r="P119" s="2" t="str">
        <f t="shared" si="57"/>
        <v/>
      </c>
      <c r="Q119" s="2" t="str">
        <f t="shared" si="41"/>
        <v/>
      </c>
      <c r="R119" s="2" t="str">
        <f t="shared" si="42"/>
        <v/>
      </c>
      <c r="S119" s="2" t="str">
        <f t="shared" si="43"/>
        <v/>
      </c>
      <c r="T119" s="2" t="str">
        <f t="shared" si="58"/>
        <v/>
      </c>
      <c r="U119" s="2" t="str">
        <f t="shared" si="59"/>
        <v/>
      </c>
      <c r="V119" s="2" t="str">
        <f t="shared" si="60"/>
        <v/>
      </c>
      <c r="W119" s="2" t="str">
        <f t="shared" si="44"/>
        <v/>
      </c>
      <c r="X119" s="2" t="str">
        <f t="shared" si="45"/>
        <v/>
      </c>
      <c r="Y119" s="2" t="str">
        <f t="shared" si="46"/>
        <v/>
      </c>
      <c r="Z119" s="2" t="str">
        <f t="shared" si="61"/>
        <v/>
      </c>
      <c r="AA119" s="2" t="str">
        <f t="shared" si="62"/>
        <v/>
      </c>
      <c r="AB119" s="2" t="str">
        <f t="shared" si="63"/>
        <v/>
      </c>
      <c r="AC119" s="2" t="str">
        <f t="shared" si="47"/>
        <v/>
      </c>
      <c r="AD119" s="2" t="str">
        <f t="shared" si="48"/>
        <v/>
      </c>
      <c r="AE119" s="2" t="str">
        <f t="shared" si="49"/>
        <v/>
      </c>
      <c r="AF119" s="2" t="str">
        <f t="shared" si="50"/>
        <v/>
      </c>
    </row>
    <row r="120" spans="1:32" x14ac:dyDescent="0.2">
      <c r="A120" s="2" t="str">
        <f t="shared" si="51"/>
        <v/>
      </c>
      <c r="B120" s="2" t="str">
        <f t="shared" si="32"/>
        <v/>
      </c>
      <c r="C120" s="2" t="str">
        <f t="shared" si="33"/>
        <v/>
      </c>
      <c r="D120" s="2" t="str">
        <f t="shared" si="34"/>
        <v/>
      </c>
      <c r="E120" s="2" t="str">
        <f t="shared" si="35"/>
        <v/>
      </c>
      <c r="F120" s="2" t="str">
        <f t="shared" si="36"/>
        <v/>
      </c>
      <c r="G120" s="2" t="str">
        <f t="shared" si="37"/>
        <v/>
      </c>
      <c r="H120" s="2" t="str">
        <f t="shared" si="52"/>
        <v/>
      </c>
      <c r="I120" s="2" t="str">
        <f t="shared" si="53"/>
        <v/>
      </c>
      <c r="J120" s="2" t="str">
        <f t="shared" si="54"/>
        <v/>
      </c>
      <c r="K120" s="2" t="str">
        <f t="shared" si="38"/>
        <v/>
      </c>
      <c r="L120" s="2" t="str">
        <f t="shared" si="39"/>
        <v/>
      </c>
      <c r="M120" s="2" t="str">
        <f t="shared" si="40"/>
        <v/>
      </c>
      <c r="N120" s="2" t="str">
        <f t="shared" si="55"/>
        <v/>
      </c>
      <c r="O120" s="2" t="str">
        <f t="shared" si="56"/>
        <v/>
      </c>
      <c r="P120" s="2" t="str">
        <f t="shared" si="57"/>
        <v/>
      </c>
      <c r="Q120" s="2" t="str">
        <f t="shared" si="41"/>
        <v/>
      </c>
      <c r="R120" s="2" t="str">
        <f t="shared" si="42"/>
        <v/>
      </c>
      <c r="S120" s="2" t="str">
        <f t="shared" si="43"/>
        <v/>
      </c>
      <c r="T120" s="2" t="str">
        <f t="shared" si="58"/>
        <v/>
      </c>
      <c r="U120" s="2" t="str">
        <f t="shared" si="59"/>
        <v/>
      </c>
      <c r="V120" s="2" t="str">
        <f t="shared" si="60"/>
        <v/>
      </c>
      <c r="W120" s="2" t="str">
        <f t="shared" si="44"/>
        <v/>
      </c>
      <c r="X120" s="2" t="str">
        <f t="shared" si="45"/>
        <v/>
      </c>
      <c r="Y120" s="2" t="str">
        <f t="shared" si="46"/>
        <v/>
      </c>
      <c r="Z120" s="2" t="str">
        <f t="shared" si="61"/>
        <v/>
      </c>
      <c r="AA120" s="2" t="str">
        <f t="shared" si="62"/>
        <v/>
      </c>
      <c r="AB120" s="2" t="str">
        <f t="shared" si="63"/>
        <v/>
      </c>
      <c r="AC120" s="2" t="str">
        <f t="shared" si="47"/>
        <v/>
      </c>
      <c r="AD120" s="2" t="str">
        <f t="shared" si="48"/>
        <v/>
      </c>
      <c r="AE120" s="2" t="str">
        <f t="shared" si="49"/>
        <v/>
      </c>
      <c r="AF120" s="2" t="str">
        <f t="shared" si="50"/>
        <v/>
      </c>
    </row>
    <row r="121" spans="1:32" x14ac:dyDescent="0.2">
      <c r="A121" s="2" t="str">
        <f t="shared" si="51"/>
        <v/>
      </c>
      <c r="B121" s="2" t="str">
        <f t="shared" si="32"/>
        <v/>
      </c>
      <c r="C121" s="2" t="str">
        <f t="shared" si="33"/>
        <v/>
      </c>
      <c r="D121" s="2" t="str">
        <f t="shared" si="34"/>
        <v/>
      </c>
      <c r="E121" s="2" t="str">
        <f t="shared" si="35"/>
        <v/>
      </c>
      <c r="F121" s="2" t="str">
        <f t="shared" si="36"/>
        <v/>
      </c>
      <c r="G121" s="2" t="str">
        <f t="shared" si="37"/>
        <v/>
      </c>
      <c r="H121" s="2" t="str">
        <f t="shared" si="52"/>
        <v/>
      </c>
      <c r="I121" s="2" t="str">
        <f t="shared" si="53"/>
        <v/>
      </c>
      <c r="J121" s="2" t="str">
        <f t="shared" si="54"/>
        <v/>
      </c>
      <c r="K121" s="2" t="str">
        <f t="shared" si="38"/>
        <v/>
      </c>
      <c r="L121" s="2" t="str">
        <f t="shared" si="39"/>
        <v/>
      </c>
      <c r="M121" s="2" t="str">
        <f t="shared" si="40"/>
        <v/>
      </c>
      <c r="N121" s="2" t="str">
        <f t="shared" si="55"/>
        <v/>
      </c>
      <c r="O121" s="2" t="str">
        <f t="shared" si="56"/>
        <v/>
      </c>
      <c r="P121" s="2" t="str">
        <f t="shared" si="57"/>
        <v/>
      </c>
      <c r="Q121" s="2" t="str">
        <f t="shared" si="41"/>
        <v/>
      </c>
      <c r="R121" s="2" t="str">
        <f t="shared" si="42"/>
        <v/>
      </c>
      <c r="S121" s="2" t="str">
        <f t="shared" si="43"/>
        <v/>
      </c>
      <c r="T121" s="2" t="str">
        <f t="shared" si="58"/>
        <v/>
      </c>
      <c r="U121" s="2" t="str">
        <f t="shared" si="59"/>
        <v/>
      </c>
      <c r="V121" s="2" t="str">
        <f t="shared" si="60"/>
        <v/>
      </c>
      <c r="W121" s="2" t="str">
        <f t="shared" si="44"/>
        <v/>
      </c>
      <c r="X121" s="2" t="str">
        <f t="shared" si="45"/>
        <v/>
      </c>
      <c r="Y121" s="2" t="str">
        <f t="shared" si="46"/>
        <v/>
      </c>
      <c r="Z121" s="2" t="str">
        <f t="shared" si="61"/>
        <v/>
      </c>
      <c r="AA121" s="2" t="str">
        <f t="shared" si="62"/>
        <v/>
      </c>
      <c r="AB121" s="2" t="str">
        <f t="shared" si="63"/>
        <v/>
      </c>
      <c r="AC121" s="2" t="str">
        <f t="shared" si="47"/>
        <v/>
      </c>
      <c r="AD121" s="2" t="str">
        <f t="shared" si="48"/>
        <v/>
      </c>
      <c r="AE121" s="2" t="str">
        <f t="shared" si="49"/>
        <v/>
      </c>
      <c r="AF121" s="2" t="str">
        <f t="shared" si="50"/>
        <v/>
      </c>
    </row>
    <row r="122" spans="1:32" x14ac:dyDescent="0.2">
      <c r="A122" s="2" t="str">
        <f t="shared" si="51"/>
        <v/>
      </c>
      <c r="B122" s="2" t="str">
        <f t="shared" si="32"/>
        <v/>
      </c>
      <c r="C122" s="2" t="str">
        <f t="shared" si="33"/>
        <v/>
      </c>
      <c r="D122" s="2" t="str">
        <f t="shared" si="34"/>
        <v/>
      </c>
      <c r="E122" s="2" t="str">
        <f t="shared" si="35"/>
        <v/>
      </c>
      <c r="F122" s="2" t="str">
        <f t="shared" si="36"/>
        <v/>
      </c>
      <c r="G122" s="2" t="str">
        <f t="shared" si="37"/>
        <v/>
      </c>
      <c r="H122" s="2" t="str">
        <f t="shared" si="52"/>
        <v/>
      </c>
      <c r="I122" s="2" t="str">
        <f t="shared" si="53"/>
        <v/>
      </c>
      <c r="J122" s="2" t="str">
        <f t="shared" si="54"/>
        <v/>
      </c>
      <c r="K122" s="2" t="str">
        <f t="shared" si="38"/>
        <v/>
      </c>
      <c r="L122" s="2" t="str">
        <f t="shared" si="39"/>
        <v/>
      </c>
      <c r="M122" s="2" t="str">
        <f t="shared" si="40"/>
        <v/>
      </c>
      <c r="N122" s="2" t="str">
        <f t="shared" si="55"/>
        <v/>
      </c>
      <c r="O122" s="2" t="str">
        <f t="shared" si="56"/>
        <v/>
      </c>
      <c r="P122" s="2" t="str">
        <f t="shared" si="57"/>
        <v/>
      </c>
      <c r="Q122" s="2" t="str">
        <f t="shared" si="41"/>
        <v/>
      </c>
      <c r="R122" s="2" t="str">
        <f t="shared" si="42"/>
        <v/>
      </c>
      <c r="S122" s="2" t="str">
        <f t="shared" si="43"/>
        <v/>
      </c>
      <c r="T122" s="2" t="str">
        <f t="shared" si="58"/>
        <v/>
      </c>
      <c r="U122" s="2" t="str">
        <f t="shared" si="59"/>
        <v/>
      </c>
      <c r="V122" s="2" t="str">
        <f t="shared" si="60"/>
        <v/>
      </c>
      <c r="W122" s="2" t="str">
        <f t="shared" si="44"/>
        <v/>
      </c>
      <c r="X122" s="2" t="str">
        <f t="shared" si="45"/>
        <v/>
      </c>
      <c r="Y122" s="2" t="str">
        <f t="shared" si="46"/>
        <v/>
      </c>
      <c r="Z122" s="2" t="str">
        <f t="shared" si="61"/>
        <v/>
      </c>
      <c r="AA122" s="2" t="str">
        <f t="shared" si="62"/>
        <v/>
      </c>
      <c r="AB122" s="2" t="str">
        <f t="shared" si="63"/>
        <v/>
      </c>
      <c r="AC122" s="2" t="str">
        <f t="shared" si="47"/>
        <v/>
      </c>
      <c r="AD122" s="2" t="str">
        <f t="shared" si="48"/>
        <v/>
      </c>
      <c r="AE122" s="2" t="str">
        <f t="shared" si="49"/>
        <v/>
      </c>
      <c r="AF122" s="2" t="str">
        <f t="shared" si="50"/>
        <v/>
      </c>
    </row>
    <row r="123" spans="1:32" x14ac:dyDescent="0.2">
      <c r="A123" s="2" t="str">
        <f t="shared" si="51"/>
        <v/>
      </c>
      <c r="B123" s="2" t="str">
        <f t="shared" si="32"/>
        <v/>
      </c>
      <c r="C123" s="2" t="str">
        <f t="shared" si="33"/>
        <v/>
      </c>
      <c r="D123" s="2" t="str">
        <f t="shared" si="34"/>
        <v/>
      </c>
      <c r="E123" s="2" t="str">
        <f t="shared" si="35"/>
        <v/>
      </c>
      <c r="F123" s="2" t="str">
        <f t="shared" si="36"/>
        <v/>
      </c>
      <c r="G123" s="2" t="str">
        <f t="shared" si="37"/>
        <v/>
      </c>
      <c r="H123" s="2" t="str">
        <f t="shared" si="52"/>
        <v/>
      </c>
      <c r="I123" s="2" t="str">
        <f t="shared" si="53"/>
        <v/>
      </c>
      <c r="J123" s="2" t="str">
        <f t="shared" si="54"/>
        <v/>
      </c>
      <c r="K123" s="2" t="str">
        <f t="shared" si="38"/>
        <v/>
      </c>
      <c r="L123" s="2" t="str">
        <f t="shared" si="39"/>
        <v/>
      </c>
      <c r="M123" s="2" t="str">
        <f t="shared" si="40"/>
        <v/>
      </c>
      <c r="N123" s="2" t="str">
        <f t="shared" si="55"/>
        <v/>
      </c>
      <c r="O123" s="2" t="str">
        <f t="shared" si="56"/>
        <v/>
      </c>
      <c r="P123" s="2" t="str">
        <f t="shared" si="57"/>
        <v/>
      </c>
      <c r="Q123" s="2" t="str">
        <f t="shared" si="41"/>
        <v/>
      </c>
      <c r="R123" s="2" t="str">
        <f t="shared" si="42"/>
        <v/>
      </c>
      <c r="S123" s="2" t="str">
        <f t="shared" si="43"/>
        <v/>
      </c>
      <c r="T123" s="2" t="str">
        <f t="shared" si="58"/>
        <v/>
      </c>
      <c r="U123" s="2" t="str">
        <f t="shared" si="59"/>
        <v/>
      </c>
      <c r="V123" s="2" t="str">
        <f t="shared" si="60"/>
        <v/>
      </c>
      <c r="W123" s="2" t="str">
        <f t="shared" si="44"/>
        <v/>
      </c>
      <c r="X123" s="2" t="str">
        <f t="shared" si="45"/>
        <v/>
      </c>
      <c r="Y123" s="2" t="str">
        <f t="shared" si="46"/>
        <v/>
      </c>
      <c r="Z123" s="2" t="str">
        <f t="shared" si="61"/>
        <v/>
      </c>
      <c r="AA123" s="2" t="str">
        <f t="shared" si="62"/>
        <v/>
      </c>
      <c r="AB123" s="2" t="str">
        <f t="shared" si="63"/>
        <v/>
      </c>
      <c r="AC123" s="2" t="str">
        <f t="shared" si="47"/>
        <v/>
      </c>
      <c r="AD123" s="2" t="str">
        <f t="shared" si="48"/>
        <v/>
      </c>
      <c r="AE123" s="2" t="str">
        <f t="shared" si="49"/>
        <v/>
      </c>
      <c r="AF123" s="2" t="str">
        <f t="shared" si="50"/>
        <v/>
      </c>
    </row>
    <row r="124" spans="1:32" x14ac:dyDescent="0.2">
      <c r="A124" s="2" t="str">
        <f t="shared" si="51"/>
        <v/>
      </c>
      <c r="B124" s="2" t="str">
        <f t="shared" si="32"/>
        <v/>
      </c>
      <c r="C124" s="2" t="str">
        <f t="shared" si="33"/>
        <v/>
      </c>
      <c r="D124" s="2" t="str">
        <f t="shared" si="34"/>
        <v/>
      </c>
      <c r="E124" s="2" t="str">
        <f t="shared" si="35"/>
        <v/>
      </c>
      <c r="F124" s="2" t="str">
        <f t="shared" si="36"/>
        <v/>
      </c>
      <c r="G124" s="2" t="str">
        <f t="shared" si="37"/>
        <v/>
      </c>
      <c r="H124" s="2" t="str">
        <f t="shared" si="52"/>
        <v/>
      </c>
      <c r="I124" s="2" t="str">
        <f t="shared" si="53"/>
        <v/>
      </c>
      <c r="J124" s="2" t="str">
        <f t="shared" si="54"/>
        <v/>
      </c>
      <c r="K124" s="2" t="str">
        <f t="shared" si="38"/>
        <v/>
      </c>
      <c r="L124" s="2" t="str">
        <f t="shared" si="39"/>
        <v/>
      </c>
      <c r="M124" s="2" t="str">
        <f t="shared" si="40"/>
        <v/>
      </c>
      <c r="N124" s="2" t="str">
        <f t="shared" si="55"/>
        <v/>
      </c>
      <c r="O124" s="2" t="str">
        <f t="shared" si="56"/>
        <v/>
      </c>
      <c r="P124" s="2" t="str">
        <f t="shared" si="57"/>
        <v/>
      </c>
      <c r="Q124" s="2" t="str">
        <f t="shared" si="41"/>
        <v/>
      </c>
      <c r="R124" s="2" t="str">
        <f t="shared" si="42"/>
        <v/>
      </c>
      <c r="S124" s="2" t="str">
        <f t="shared" si="43"/>
        <v/>
      </c>
      <c r="T124" s="2" t="str">
        <f t="shared" si="58"/>
        <v/>
      </c>
      <c r="U124" s="2" t="str">
        <f t="shared" si="59"/>
        <v/>
      </c>
      <c r="V124" s="2" t="str">
        <f t="shared" si="60"/>
        <v/>
      </c>
      <c r="W124" s="2" t="str">
        <f t="shared" si="44"/>
        <v/>
      </c>
      <c r="X124" s="2" t="str">
        <f t="shared" si="45"/>
        <v/>
      </c>
      <c r="Y124" s="2" t="str">
        <f t="shared" si="46"/>
        <v/>
      </c>
      <c r="Z124" s="2" t="str">
        <f t="shared" si="61"/>
        <v/>
      </c>
      <c r="AA124" s="2" t="str">
        <f t="shared" si="62"/>
        <v/>
      </c>
      <c r="AB124" s="2" t="str">
        <f t="shared" si="63"/>
        <v/>
      </c>
      <c r="AC124" s="2" t="str">
        <f t="shared" si="47"/>
        <v/>
      </c>
      <c r="AD124" s="2" t="str">
        <f t="shared" si="48"/>
        <v/>
      </c>
      <c r="AE124" s="2" t="str">
        <f t="shared" si="49"/>
        <v/>
      </c>
      <c r="AF124" s="2" t="str">
        <f t="shared" si="50"/>
        <v/>
      </c>
    </row>
    <row r="125" spans="1:32" x14ac:dyDescent="0.2">
      <c r="A125" s="2" t="str">
        <f t="shared" si="51"/>
        <v/>
      </c>
      <c r="B125" s="2" t="str">
        <f t="shared" si="32"/>
        <v/>
      </c>
      <c r="C125" s="2" t="str">
        <f t="shared" si="33"/>
        <v/>
      </c>
      <c r="D125" s="2" t="str">
        <f t="shared" si="34"/>
        <v/>
      </c>
      <c r="E125" s="2" t="str">
        <f t="shared" si="35"/>
        <v/>
      </c>
      <c r="F125" s="2" t="str">
        <f t="shared" si="36"/>
        <v/>
      </c>
      <c r="G125" s="2" t="str">
        <f t="shared" si="37"/>
        <v/>
      </c>
      <c r="H125" s="2" t="str">
        <f t="shared" si="52"/>
        <v/>
      </c>
      <c r="I125" s="2" t="str">
        <f t="shared" si="53"/>
        <v/>
      </c>
      <c r="J125" s="2" t="str">
        <f t="shared" si="54"/>
        <v/>
      </c>
      <c r="K125" s="2" t="str">
        <f t="shared" si="38"/>
        <v/>
      </c>
      <c r="L125" s="2" t="str">
        <f t="shared" si="39"/>
        <v/>
      </c>
      <c r="M125" s="2" t="str">
        <f t="shared" si="40"/>
        <v/>
      </c>
      <c r="N125" s="2" t="str">
        <f t="shared" si="55"/>
        <v/>
      </c>
      <c r="O125" s="2" t="str">
        <f t="shared" si="56"/>
        <v/>
      </c>
      <c r="P125" s="2" t="str">
        <f t="shared" si="57"/>
        <v/>
      </c>
      <c r="Q125" s="2" t="str">
        <f t="shared" si="41"/>
        <v/>
      </c>
      <c r="R125" s="2" t="str">
        <f t="shared" si="42"/>
        <v/>
      </c>
      <c r="S125" s="2" t="str">
        <f t="shared" si="43"/>
        <v/>
      </c>
      <c r="T125" s="2" t="str">
        <f t="shared" si="58"/>
        <v/>
      </c>
      <c r="U125" s="2" t="str">
        <f t="shared" si="59"/>
        <v/>
      </c>
      <c r="V125" s="2" t="str">
        <f t="shared" si="60"/>
        <v/>
      </c>
      <c r="W125" s="2" t="str">
        <f t="shared" si="44"/>
        <v/>
      </c>
      <c r="X125" s="2" t="str">
        <f t="shared" si="45"/>
        <v/>
      </c>
      <c r="Y125" s="2" t="str">
        <f t="shared" si="46"/>
        <v/>
      </c>
      <c r="Z125" s="2" t="str">
        <f t="shared" si="61"/>
        <v/>
      </c>
      <c r="AA125" s="2" t="str">
        <f t="shared" si="62"/>
        <v/>
      </c>
      <c r="AB125" s="2" t="str">
        <f t="shared" si="63"/>
        <v/>
      </c>
      <c r="AC125" s="2" t="str">
        <f t="shared" si="47"/>
        <v/>
      </c>
      <c r="AD125" s="2" t="str">
        <f t="shared" si="48"/>
        <v/>
      </c>
      <c r="AE125" s="2" t="str">
        <f t="shared" si="49"/>
        <v/>
      </c>
      <c r="AF125" s="2" t="str">
        <f t="shared" si="50"/>
        <v/>
      </c>
    </row>
    <row r="126" spans="1:32" x14ac:dyDescent="0.2">
      <c r="A126" s="2" t="str">
        <f t="shared" si="51"/>
        <v/>
      </c>
      <c r="B126" s="2" t="str">
        <f t="shared" si="32"/>
        <v/>
      </c>
      <c r="C126" s="2" t="str">
        <f t="shared" si="33"/>
        <v/>
      </c>
      <c r="D126" s="2" t="str">
        <f t="shared" si="34"/>
        <v/>
      </c>
      <c r="E126" s="2" t="str">
        <f t="shared" si="35"/>
        <v/>
      </c>
      <c r="F126" s="2" t="str">
        <f t="shared" si="36"/>
        <v/>
      </c>
      <c r="G126" s="2" t="str">
        <f t="shared" si="37"/>
        <v/>
      </c>
      <c r="H126" s="2" t="str">
        <f t="shared" si="52"/>
        <v/>
      </c>
      <c r="I126" s="2" t="str">
        <f t="shared" si="53"/>
        <v/>
      </c>
      <c r="J126" s="2" t="str">
        <f t="shared" si="54"/>
        <v/>
      </c>
      <c r="K126" s="2" t="str">
        <f t="shared" si="38"/>
        <v/>
      </c>
      <c r="L126" s="2" t="str">
        <f t="shared" si="39"/>
        <v/>
      </c>
      <c r="M126" s="2" t="str">
        <f t="shared" si="40"/>
        <v/>
      </c>
      <c r="N126" s="2" t="str">
        <f t="shared" si="55"/>
        <v/>
      </c>
      <c r="O126" s="2" t="str">
        <f t="shared" si="56"/>
        <v/>
      </c>
      <c r="P126" s="2" t="str">
        <f t="shared" si="57"/>
        <v/>
      </c>
      <c r="Q126" s="2" t="str">
        <f t="shared" si="41"/>
        <v/>
      </c>
      <c r="R126" s="2" t="str">
        <f t="shared" si="42"/>
        <v/>
      </c>
      <c r="S126" s="2" t="str">
        <f t="shared" si="43"/>
        <v/>
      </c>
      <c r="T126" s="2" t="str">
        <f t="shared" si="58"/>
        <v/>
      </c>
      <c r="U126" s="2" t="str">
        <f t="shared" si="59"/>
        <v/>
      </c>
      <c r="V126" s="2" t="str">
        <f t="shared" si="60"/>
        <v/>
      </c>
      <c r="W126" s="2" t="str">
        <f t="shared" si="44"/>
        <v/>
      </c>
      <c r="X126" s="2" t="str">
        <f t="shared" si="45"/>
        <v/>
      </c>
      <c r="Y126" s="2" t="str">
        <f t="shared" si="46"/>
        <v/>
      </c>
      <c r="Z126" s="2" t="str">
        <f t="shared" si="61"/>
        <v/>
      </c>
      <c r="AA126" s="2" t="str">
        <f t="shared" si="62"/>
        <v/>
      </c>
      <c r="AB126" s="2" t="str">
        <f t="shared" si="63"/>
        <v/>
      </c>
      <c r="AC126" s="2" t="str">
        <f t="shared" si="47"/>
        <v/>
      </c>
      <c r="AD126" s="2" t="str">
        <f t="shared" si="48"/>
        <v/>
      </c>
      <c r="AE126" s="2" t="str">
        <f t="shared" si="49"/>
        <v/>
      </c>
      <c r="AF126" s="2" t="str">
        <f t="shared" si="50"/>
        <v/>
      </c>
    </row>
    <row r="127" spans="1:32" x14ac:dyDescent="0.2">
      <c r="A127" s="2" t="str">
        <f t="shared" si="51"/>
        <v/>
      </c>
      <c r="B127" s="2" t="str">
        <f t="shared" si="32"/>
        <v/>
      </c>
      <c r="C127" s="2" t="str">
        <f t="shared" si="33"/>
        <v/>
      </c>
      <c r="D127" s="2" t="str">
        <f t="shared" si="34"/>
        <v/>
      </c>
      <c r="E127" s="2" t="str">
        <f t="shared" si="35"/>
        <v/>
      </c>
      <c r="F127" s="2" t="str">
        <f t="shared" si="36"/>
        <v/>
      </c>
      <c r="G127" s="2" t="str">
        <f t="shared" si="37"/>
        <v/>
      </c>
      <c r="H127" s="2" t="str">
        <f t="shared" si="52"/>
        <v/>
      </c>
      <c r="I127" s="2" t="str">
        <f t="shared" si="53"/>
        <v/>
      </c>
      <c r="J127" s="2" t="str">
        <f t="shared" si="54"/>
        <v/>
      </c>
      <c r="K127" s="2" t="str">
        <f t="shared" si="38"/>
        <v/>
      </c>
      <c r="L127" s="2" t="str">
        <f t="shared" si="39"/>
        <v/>
      </c>
      <c r="M127" s="2" t="str">
        <f t="shared" si="40"/>
        <v/>
      </c>
      <c r="N127" s="2" t="str">
        <f t="shared" si="55"/>
        <v/>
      </c>
      <c r="O127" s="2" t="str">
        <f t="shared" si="56"/>
        <v/>
      </c>
      <c r="P127" s="2" t="str">
        <f t="shared" si="57"/>
        <v/>
      </c>
      <c r="Q127" s="2" t="str">
        <f t="shared" si="41"/>
        <v/>
      </c>
      <c r="R127" s="2" t="str">
        <f t="shared" si="42"/>
        <v/>
      </c>
      <c r="S127" s="2" t="str">
        <f t="shared" si="43"/>
        <v/>
      </c>
      <c r="T127" s="2" t="str">
        <f t="shared" si="58"/>
        <v/>
      </c>
      <c r="U127" s="2" t="str">
        <f t="shared" si="59"/>
        <v/>
      </c>
      <c r="V127" s="2" t="str">
        <f t="shared" si="60"/>
        <v/>
      </c>
      <c r="W127" s="2" t="str">
        <f t="shared" si="44"/>
        <v/>
      </c>
      <c r="X127" s="2" t="str">
        <f t="shared" si="45"/>
        <v/>
      </c>
      <c r="Y127" s="2" t="str">
        <f t="shared" si="46"/>
        <v/>
      </c>
      <c r="Z127" s="2" t="str">
        <f t="shared" si="61"/>
        <v/>
      </c>
      <c r="AA127" s="2" t="str">
        <f t="shared" si="62"/>
        <v/>
      </c>
      <c r="AB127" s="2" t="str">
        <f t="shared" si="63"/>
        <v/>
      </c>
      <c r="AC127" s="2" t="str">
        <f t="shared" si="47"/>
        <v/>
      </c>
      <c r="AD127" s="2" t="str">
        <f t="shared" si="48"/>
        <v/>
      </c>
      <c r="AE127" s="2" t="str">
        <f t="shared" si="49"/>
        <v/>
      </c>
      <c r="AF127" s="2" t="str">
        <f t="shared" si="50"/>
        <v/>
      </c>
    </row>
    <row r="128" spans="1:32" x14ac:dyDescent="0.2">
      <c r="A128" s="2" t="str">
        <f t="shared" si="51"/>
        <v/>
      </c>
      <c r="B128" s="2" t="str">
        <f t="shared" si="32"/>
        <v/>
      </c>
      <c r="C128" s="2" t="str">
        <f t="shared" si="33"/>
        <v/>
      </c>
      <c r="D128" s="2" t="str">
        <f t="shared" si="34"/>
        <v/>
      </c>
      <c r="E128" s="2" t="str">
        <f t="shared" si="35"/>
        <v/>
      </c>
      <c r="F128" s="2" t="str">
        <f t="shared" si="36"/>
        <v/>
      </c>
      <c r="G128" s="2" t="str">
        <f t="shared" si="37"/>
        <v/>
      </c>
      <c r="H128" s="2" t="str">
        <f t="shared" si="52"/>
        <v/>
      </c>
      <c r="I128" s="2" t="str">
        <f t="shared" si="53"/>
        <v/>
      </c>
      <c r="J128" s="2" t="str">
        <f t="shared" si="54"/>
        <v/>
      </c>
      <c r="K128" s="2" t="str">
        <f t="shared" si="38"/>
        <v/>
      </c>
      <c r="L128" s="2" t="str">
        <f t="shared" si="39"/>
        <v/>
      </c>
      <c r="M128" s="2" t="str">
        <f t="shared" si="40"/>
        <v/>
      </c>
      <c r="N128" s="2" t="str">
        <f t="shared" si="55"/>
        <v/>
      </c>
      <c r="O128" s="2" t="str">
        <f t="shared" si="56"/>
        <v/>
      </c>
      <c r="P128" s="2" t="str">
        <f t="shared" si="57"/>
        <v/>
      </c>
      <c r="Q128" s="2" t="str">
        <f t="shared" si="41"/>
        <v/>
      </c>
      <c r="R128" s="2" t="str">
        <f t="shared" si="42"/>
        <v/>
      </c>
      <c r="S128" s="2" t="str">
        <f t="shared" si="43"/>
        <v/>
      </c>
      <c r="T128" s="2" t="str">
        <f t="shared" si="58"/>
        <v/>
      </c>
      <c r="U128" s="2" t="str">
        <f t="shared" si="59"/>
        <v/>
      </c>
      <c r="V128" s="2" t="str">
        <f t="shared" si="60"/>
        <v/>
      </c>
      <c r="W128" s="2" t="str">
        <f t="shared" si="44"/>
        <v/>
      </c>
      <c r="X128" s="2" t="str">
        <f t="shared" si="45"/>
        <v/>
      </c>
      <c r="Y128" s="2" t="str">
        <f t="shared" si="46"/>
        <v/>
      </c>
      <c r="Z128" s="2" t="str">
        <f t="shared" si="61"/>
        <v/>
      </c>
      <c r="AA128" s="2" t="str">
        <f t="shared" si="62"/>
        <v/>
      </c>
      <c r="AB128" s="2" t="str">
        <f t="shared" si="63"/>
        <v/>
      </c>
      <c r="AC128" s="2" t="str">
        <f t="shared" si="47"/>
        <v/>
      </c>
      <c r="AD128" s="2" t="str">
        <f t="shared" si="48"/>
        <v/>
      </c>
      <c r="AE128" s="2" t="str">
        <f t="shared" si="49"/>
        <v/>
      </c>
      <c r="AF128" s="2" t="str">
        <f t="shared" si="50"/>
        <v/>
      </c>
    </row>
    <row r="129" spans="1:32" x14ac:dyDescent="0.2">
      <c r="A129" s="2" t="str">
        <f t="shared" si="51"/>
        <v/>
      </c>
      <c r="B129" s="2" t="str">
        <f t="shared" si="32"/>
        <v/>
      </c>
      <c r="C129" s="2" t="str">
        <f t="shared" si="33"/>
        <v/>
      </c>
      <c r="D129" s="2" t="str">
        <f t="shared" si="34"/>
        <v/>
      </c>
      <c r="E129" s="2" t="str">
        <f t="shared" si="35"/>
        <v/>
      </c>
      <c r="F129" s="2" t="str">
        <f t="shared" si="36"/>
        <v/>
      </c>
      <c r="G129" s="2" t="str">
        <f t="shared" si="37"/>
        <v/>
      </c>
      <c r="H129" s="2" t="str">
        <f t="shared" si="52"/>
        <v/>
      </c>
      <c r="I129" s="2" t="str">
        <f t="shared" si="53"/>
        <v/>
      </c>
      <c r="J129" s="2" t="str">
        <f t="shared" si="54"/>
        <v/>
      </c>
      <c r="K129" s="2" t="str">
        <f t="shared" si="38"/>
        <v/>
      </c>
      <c r="L129" s="2" t="str">
        <f t="shared" si="39"/>
        <v/>
      </c>
      <c r="M129" s="2" t="str">
        <f t="shared" si="40"/>
        <v/>
      </c>
      <c r="N129" s="2" t="str">
        <f t="shared" si="55"/>
        <v/>
      </c>
      <c r="O129" s="2" t="str">
        <f t="shared" si="56"/>
        <v/>
      </c>
      <c r="P129" s="2" t="str">
        <f t="shared" si="57"/>
        <v/>
      </c>
      <c r="Q129" s="2" t="str">
        <f t="shared" si="41"/>
        <v/>
      </c>
      <c r="R129" s="2" t="str">
        <f t="shared" si="42"/>
        <v/>
      </c>
      <c r="S129" s="2" t="str">
        <f t="shared" si="43"/>
        <v/>
      </c>
      <c r="T129" s="2" t="str">
        <f t="shared" si="58"/>
        <v/>
      </c>
      <c r="U129" s="2" t="str">
        <f t="shared" si="59"/>
        <v/>
      </c>
      <c r="V129" s="2" t="str">
        <f t="shared" si="60"/>
        <v/>
      </c>
      <c r="W129" s="2" t="str">
        <f t="shared" si="44"/>
        <v/>
      </c>
      <c r="X129" s="2" t="str">
        <f t="shared" si="45"/>
        <v/>
      </c>
      <c r="Y129" s="2" t="str">
        <f t="shared" si="46"/>
        <v/>
      </c>
      <c r="Z129" s="2" t="str">
        <f t="shared" si="61"/>
        <v/>
      </c>
      <c r="AA129" s="2" t="str">
        <f t="shared" si="62"/>
        <v/>
      </c>
      <c r="AB129" s="2" t="str">
        <f t="shared" si="63"/>
        <v/>
      </c>
      <c r="AC129" s="2" t="str">
        <f t="shared" si="47"/>
        <v/>
      </c>
      <c r="AD129" s="2" t="str">
        <f t="shared" si="48"/>
        <v/>
      </c>
      <c r="AE129" s="2" t="str">
        <f t="shared" si="49"/>
        <v/>
      </c>
      <c r="AF129" s="2" t="str">
        <f t="shared" si="50"/>
        <v/>
      </c>
    </row>
    <row r="130" spans="1:32" x14ac:dyDescent="0.2">
      <c r="A130" s="2" t="str">
        <f t="shared" si="51"/>
        <v/>
      </c>
      <c r="B130" s="2" t="str">
        <f t="shared" si="32"/>
        <v/>
      </c>
      <c r="C130" s="2" t="str">
        <f t="shared" si="33"/>
        <v/>
      </c>
      <c r="D130" s="2" t="str">
        <f t="shared" si="34"/>
        <v/>
      </c>
      <c r="E130" s="2" t="str">
        <f t="shared" si="35"/>
        <v/>
      </c>
      <c r="F130" s="2" t="str">
        <f t="shared" si="36"/>
        <v/>
      </c>
      <c r="G130" s="2" t="str">
        <f t="shared" si="37"/>
        <v/>
      </c>
      <c r="H130" s="2" t="str">
        <f t="shared" si="52"/>
        <v/>
      </c>
      <c r="I130" s="2" t="str">
        <f t="shared" si="53"/>
        <v/>
      </c>
      <c r="J130" s="2" t="str">
        <f t="shared" si="54"/>
        <v/>
      </c>
      <c r="K130" s="2" t="str">
        <f t="shared" si="38"/>
        <v/>
      </c>
      <c r="L130" s="2" t="str">
        <f t="shared" si="39"/>
        <v/>
      </c>
      <c r="M130" s="2" t="str">
        <f t="shared" si="40"/>
        <v/>
      </c>
      <c r="N130" s="2" t="str">
        <f t="shared" si="55"/>
        <v/>
      </c>
      <c r="O130" s="2" t="str">
        <f t="shared" si="56"/>
        <v/>
      </c>
      <c r="P130" s="2" t="str">
        <f t="shared" si="57"/>
        <v/>
      </c>
      <c r="Q130" s="2" t="str">
        <f t="shared" si="41"/>
        <v/>
      </c>
      <c r="R130" s="2" t="str">
        <f t="shared" si="42"/>
        <v/>
      </c>
      <c r="S130" s="2" t="str">
        <f t="shared" si="43"/>
        <v/>
      </c>
      <c r="T130" s="2" t="str">
        <f t="shared" si="58"/>
        <v/>
      </c>
      <c r="U130" s="2" t="str">
        <f t="shared" si="59"/>
        <v/>
      </c>
      <c r="V130" s="2" t="str">
        <f t="shared" si="60"/>
        <v/>
      </c>
      <c r="W130" s="2" t="str">
        <f t="shared" si="44"/>
        <v/>
      </c>
      <c r="X130" s="2" t="str">
        <f t="shared" si="45"/>
        <v/>
      </c>
      <c r="Y130" s="2" t="str">
        <f t="shared" si="46"/>
        <v/>
      </c>
      <c r="Z130" s="2" t="str">
        <f t="shared" si="61"/>
        <v/>
      </c>
      <c r="AA130" s="2" t="str">
        <f t="shared" si="62"/>
        <v/>
      </c>
      <c r="AB130" s="2" t="str">
        <f t="shared" si="63"/>
        <v/>
      </c>
      <c r="AC130" s="2" t="str">
        <f t="shared" si="47"/>
        <v/>
      </c>
      <c r="AD130" s="2" t="str">
        <f t="shared" si="48"/>
        <v/>
      </c>
      <c r="AE130" s="2" t="str">
        <f t="shared" si="49"/>
        <v/>
      </c>
      <c r="AF130" s="2" t="str">
        <f t="shared" si="50"/>
        <v/>
      </c>
    </row>
    <row r="131" spans="1:32" x14ac:dyDescent="0.2">
      <c r="A131" s="2" t="str">
        <f t="shared" si="51"/>
        <v/>
      </c>
      <c r="B131" s="2" t="str">
        <f t="shared" si="32"/>
        <v/>
      </c>
      <c r="C131" s="2" t="str">
        <f t="shared" si="33"/>
        <v/>
      </c>
      <c r="D131" s="2" t="str">
        <f t="shared" si="34"/>
        <v/>
      </c>
      <c r="E131" s="2" t="str">
        <f t="shared" si="35"/>
        <v/>
      </c>
      <c r="F131" s="2" t="str">
        <f t="shared" si="36"/>
        <v/>
      </c>
      <c r="G131" s="2" t="str">
        <f t="shared" si="37"/>
        <v/>
      </c>
      <c r="H131" s="2" t="str">
        <f t="shared" si="52"/>
        <v/>
      </c>
      <c r="I131" s="2" t="str">
        <f t="shared" si="53"/>
        <v/>
      </c>
      <c r="J131" s="2" t="str">
        <f t="shared" si="54"/>
        <v/>
      </c>
      <c r="K131" s="2" t="str">
        <f t="shared" si="38"/>
        <v/>
      </c>
      <c r="L131" s="2" t="str">
        <f t="shared" si="39"/>
        <v/>
      </c>
      <c r="M131" s="2" t="str">
        <f t="shared" si="40"/>
        <v/>
      </c>
      <c r="N131" s="2" t="str">
        <f t="shared" si="55"/>
        <v/>
      </c>
      <c r="O131" s="2" t="str">
        <f t="shared" si="56"/>
        <v/>
      </c>
      <c r="P131" s="2" t="str">
        <f t="shared" si="57"/>
        <v/>
      </c>
      <c r="Q131" s="2" t="str">
        <f t="shared" si="41"/>
        <v/>
      </c>
      <c r="R131" s="2" t="str">
        <f t="shared" si="42"/>
        <v/>
      </c>
      <c r="S131" s="2" t="str">
        <f t="shared" si="43"/>
        <v/>
      </c>
      <c r="T131" s="2" t="str">
        <f t="shared" si="58"/>
        <v/>
      </c>
      <c r="U131" s="2" t="str">
        <f t="shared" si="59"/>
        <v/>
      </c>
      <c r="V131" s="2" t="str">
        <f t="shared" si="60"/>
        <v/>
      </c>
      <c r="W131" s="2" t="str">
        <f t="shared" si="44"/>
        <v/>
      </c>
      <c r="X131" s="2" t="str">
        <f t="shared" si="45"/>
        <v/>
      </c>
      <c r="Y131" s="2" t="str">
        <f t="shared" si="46"/>
        <v/>
      </c>
      <c r="Z131" s="2" t="str">
        <f t="shared" si="61"/>
        <v/>
      </c>
      <c r="AA131" s="2" t="str">
        <f t="shared" si="62"/>
        <v/>
      </c>
      <c r="AB131" s="2" t="str">
        <f t="shared" si="63"/>
        <v/>
      </c>
      <c r="AC131" s="2" t="str">
        <f t="shared" si="47"/>
        <v/>
      </c>
      <c r="AD131" s="2" t="str">
        <f t="shared" si="48"/>
        <v/>
      </c>
      <c r="AE131" s="2" t="str">
        <f t="shared" si="49"/>
        <v/>
      </c>
      <c r="AF131" s="2" t="str">
        <f t="shared" si="50"/>
        <v/>
      </c>
    </row>
    <row r="132" spans="1:32" x14ac:dyDescent="0.2">
      <c r="A132" s="2" t="str">
        <f t="shared" si="51"/>
        <v/>
      </c>
      <c r="B132" s="2" t="str">
        <f t="shared" ref="B132:B195" si="64">IF(AI132="","",AI132)</f>
        <v/>
      </c>
      <c r="C132" s="2" t="str">
        <f t="shared" ref="C132:C195" si="65">IF(AJ132="","",AJ132)</f>
        <v/>
      </c>
      <c r="D132" s="2" t="str">
        <f t="shared" ref="D132:D195" si="66">IF(AK132="","",AK132)</f>
        <v/>
      </c>
      <c r="E132" s="2" t="str">
        <f t="shared" ref="E132:E195" si="67">IF(AL132="","",AL132)</f>
        <v/>
      </c>
      <c r="F132" s="2" t="str">
        <f t="shared" ref="F132:F195" si="68">IF(AM132="","",AM132)</f>
        <v/>
      </c>
      <c r="G132" s="2" t="str">
        <f t="shared" ref="G132:G195" si="69">IF(AN132="","",AN132)</f>
        <v/>
      </c>
      <c r="H132" s="2" t="str">
        <f t="shared" si="52"/>
        <v/>
      </c>
      <c r="I132" s="2" t="str">
        <f t="shared" si="53"/>
        <v/>
      </c>
      <c r="J132" s="2" t="str">
        <f t="shared" si="54"/>
        <v/>
      </c>
      <c r="K132" s="2" t="str">
        <f t="shared" ref="K132:K195" si="70">IF(AR132="","",AR132)</f>
        <v/>
      </c>
      <c r="L132" s="2" t="str">
        <f t="shared" ref="L132:L195" si="71">IF(AS132="","",AS132)</f>
        <v/>
      </c>
      <c r="M132" s="2" t="str">
        <f t="shared" ref="M132:M195" si="72">IF(AT132="","",AT132)</f>
        <v/>
      </c>
      <c r="N132" s="2" t="str">
        <f t="shared" si="55"/>
        <v/>
      </c>
      <c r="O132" s="2" t="str">
        <f t="shared" si="56"/>
        <v/>
      </c>
      <c r="P132" s="2" t="str">
        <f t="shared" si="57"/>
        <v/>
      </c>
      <c r="Q132" s="2" t="str">
        <f t="shared" ref="Q132:Q195" si="73">IF(AX132="","",AX132)</f>
        <v/>
      </c>
      <c r="R132" s="2" t="str">
        <f t="shared" ref="R132:R195" si="74">IF(AY132="","",AY132)</f>
        <v/>
      </c>
      <c r="S132" s="2" t="str">
        <f t="shared" ref="S132:S195" si="75">IF(AZ132="","",AZ132)</f>
        <v/>
      </c>
      <c r="T132" s="2" t="str">
        <f t="shared" si="58"/>
        <v/>
      </c>
      <c r="U132" s="2" t="str">
        <f t="shared" si="59"/>
        <v/>
      </c>
      <c r="V132" s="2" t="str">
        <f t="shared" si="60"/>
        <v/>
      </c>
      <c r="W132" s="2" t="str">
        <f t="shared" ref="W132:W195" si="76">IF(BD132="","",BD132)</f>
        <v/>
      </c>
      <c r="X132" s="2" t="str">
        <f t="shared" ref="X132:X195" si="77">IF(BE132="","",BE132)</f>
        <v/>
      </c>
      <c r="Y132" s="2" t="str">
        <f t="shared" ref="Y132:Y195" si="78">IF(BF132="","",BF132)</f>
        <v/>
      </c>
      <c r="Z132" s="2" t="str">
        <f t="shared" si="61"/>
        <v/>
      </c>
      <c r="AA132" s="2" t="str">
        <f t="shared" si="62"/>
        <v/>
      </c>
      <c r="AB132" s="2" t="str">
        <f t="shared" si="63"/>
        <v/>
      </c>
      <c r="AC132" s="2" t="str">
        <f t="shared" ref="AC132:AC195" si="79">IF(BJ132="","",BJ132)</f>
        <v/>
      </c>
      <c r="AD132" s="2" t="str">
        <f t="shared" ref="AD132:AD195" si="80">IF(BK132="","",BK132)</f>
        <v/>
      </c>
      <c r="AE132" s="2" t="str">
        <f t="shared" ref="AE132:AE195" si="81">IF(BL132="","",BL132)</f>
        <v/>
      </c>
      <c r="AF132" s="2" t="str">
        <f t="shared" ref="AF132:AF195" si="82">IF(BM132="","",BM132)</f>
        <v/>
      </c>
    </row>
    <row r="133" spans="1:32" x14ac:dyDescent="0.2">
      <c r="A133" s="2" t="str">
        <f t="shared" ref="A133:A196" si="83">IF(AH133="","",_xlfn.CONCAT(AH133,"_",ROW()-3))</f>
        <v/>
      </c>
      <c r="B133" s="2" t="str">
        <f t="shared" si="64"/>
        <v/>
      </c>
      <c r="C133" s="2" t="str">
        <f t="shared" si="65"/>
        <v/>
      </c>
      <c r="D133" s="2" t="str">
        <f t="shared" si="66"/>
        <v/>
      </c>
      <c r="E133" s="2" t="str">
        <f t="shared" si="67"/>
        <v/>
      </c>
      <c r="F133" s="2" t="str">
        <f t="shared" si="68"/>
        <v/>
      </c>
      <c r="G133" s="2" t="str">
        <f t="shared" si="69"/>
        <v/>
      </c>
      <c r="H133" s="2" t="str">
        <f t="shared" ref="H133:H196" si="84">IF(AO133="","",IF(AQ133&lt;&gt;0,(AO133+AQ133)/2,AO133)-BN133)</f>
        <v/>
      </c>
      <c r="I133" s="2" t="str">
        <f t="shared" ref="I133:I196" si="85">IF(AP133="","",AP133)</f>
        <v/>
      </c>
      <c r="J133" s="2" t="str">
        <f t="shared" ref="J133:J196" si="86">IF(AQ133="","",(AO133+AQ133)/2-BN133)</f>
        <v/>
      </c>
      <c r="K133" s="2" t="str">
        <f t="shared" si="70"/>
        <v/>
      </c>
      <c r="L133" s="2" t="str">
        <f t="shared" si="71"/>
        <v/>
      </c>
      <c r="M133" s="2" t="str">
        <f t="shared" si="72"/>
        <v/>
      </c>
      <c r="N133" s="2" t="str">
        <f t="shared" ref="N133:N196" si="87">IF(AU133="","",IF(AW133&lt;&gt;0,(AU133+AW133)/2,AU133)-BN134)</f>
        <v/>
      </c>
      <c r="O133" s="2" t="str">
        <f t="shared" ref="O133:O196" si="88">IF(AV133="","",AV133)</f>
        <v/>
      </c>
      <c r="P133" s="2" t="str">
        <f t="shared" ref="P133:P196" si="89">IF(AW133="","",(AU133+AW133)/2-BN134)</f>
        <v/>
      </c>
      <c r="Q133" s="2" t="str">
        <f t="shared" si="73"/>
        <v/>
      </c>
      <c r="R133" s="2" t="str">
        <f t="shared" si="74"/>
        <v/>
      </c>
      <c r="S133" s="2" t="str">
        <f t="shared" si="75"/>
        <v/>
      </c>
      <c r="T133" s="2" t="str">
        <f t="shared" ref="T133:T196" si="90">IF(BA133="","",IF(BC133&lt;&gt;0,(BA133+BC133)/2,BA133)-BN135)</f>
        <v/>
      </c>
      <c r="U133" s="2" t="str">
        <f t="shared" ref="U133:U196" si="91">IF(BB133="","",BB133)</f>
        <v/>
      </c>
      <c r="V133" s="2" t="str">
        <f t="shared" ref="V133:V196" si="92">IF(BC133="","",(BA133+BC133)/2-BN135)</f>
        <v/>
      </c>
      <c r="W133" s="2" t="str">
        <f t="shared" si="76"/>
        <v/>
      </c>
      <c r="X133" s="2" t="str">
        <f t="shared" si="77"/>
        <v/>
      </c>
      <c r="Y133" s="2" t="str">
        <f t="shared" si="78"/>
        <v/>
      </c>
      <c r="Z133" s="2" t="str">
        <f t="shared" ref="Z133:Z196" si="93">IF(BG133="","",IF(BI133&lt;&gt;0,(BG133+BI133)/2,BG133)-BN136)</f>
        <v/>
      </c>
      <c r="AA133" s="2" t="str">
        <f t="shared" ref="AA133:AA196" si="94">IF(BH133="","",BH133)</f>
        <v/>
      </c>
      <c r="AB133" s="2" t="str">
        <f t="shared" ref="AB133:AB196" si="95">IF(BI133="","",(BG133+BI133)/2-BN136)</f>
        <v/>
      </c>
      <c r="AC133" s="2" t="str">
        <f t="shared" si="79"/>
        <v/>
      </c>
      <c r="AD133" s="2" t="str">
        <f t="shared" si="80"/>
        <v/>
      </c>
      <c r="AE133" s="2" t="str">
        <f t="shared" si="81"/>
        <v/>
      </c>
      <c r="AF133" s="2" t="str">
        <f t="shared" si="82"/>
        <v/>
      </c>
    </row>
    <row r="134" spans="1:32" x14ac:dyDescent="0.2">
      <c r="A134" s="2" t="str">
        <f t="shared" si="83"/>
        <v/>
      </c>
      <c r="B134" s="2" t="str">
        <f t="shared" si="64"/>
        <v/>
      </c>
      <c r="C134" s="2" t="str">
        <f t="shared" si="65"/>
        <v/>
      </c>
      <c r="D134" s="2" t="str">
        <f t="shared" si="66"/>
        <v/>
      </c>
      <c r="E134" s="2" t="str">
        <f t="shared" si="67"/>
        <v/>
      </c>
      <c r="F134" s="2" t="str">
        <f t="shared" si="68"/>
        <v/>
      </c>
      <c r="G134" s="2" t="str">
        <f t="shared" si="69"/>
        <v/>
      </c>
      <c r="H134" s="2" t="str">
        <f t="shared" si="84"/>
        <v/>
      </c>
      <c r="I134" s="2" t="str">
        <f t="shared" si="85"/>
        <v/>
      </c>
      <c r="J134" s="2" t="str">
        <f t="shared" si="86"/>
        <v/>
      </c>
      <c r="K134" s="2" t="str">
        <f t="shared" si="70"/>
        <v/>
      </c>
      <c r="L134" s="2" t="str">
        <f t="shared" si="71"/>
        <v/>
      </c>
      <c r="M134" s="2" t="str">
        <f t="shared" si="72"/>
        <v/>
      </c>
      <c r="N134" s="2" t="str">
        <f t="shared" si="87"/>
        <v/>
      </c>
      <c r="O134" s="2" t="str">
        <f t="shared" si="88"/>
        <v/>
      </c>
      <c r="P134" s="2" t="str">
        <f t="shared" si="89"/>
        <v/>
      </c>
      <c r="Q134" s="2" t="str">
        <f t="shared" si="73"/>
        <v/>
      </c>
      <c r="R134" s="2" t="str">
        <f t="shared" si="74"/>
        <v/>
      </c>
      <c r="S134" s="2" t="str">
        <f t="shared" si="75"/>
        <v/>
      </c>
      <c r="T134" s="2" t="str">
        <f t="shared" si="90"/>
        <v/>
      </c>
      <c r="U134" s="2" t="str">
        <f t="shared" si="91"/>
        <v/>
      </c>
      <c r="V134" s="2" t="str">
        <f t="shared" si="92"/>
        <v/>
      </c>
      <c r="W134" s="2" t="str">
        <f t="shared" si="76"/>
        <v/>
      </c>
      <c r="X134" s="2" t="str">
        <f t="shared" si="77"/>
        <v/>
      </c>
      <c r="Y134" s="2" t="str">
        <f t="shared" si="78"/>
        <v/>
      </c>
      <c r="Z134" s="2" t="str">
        <f t="shared" si="93"/>
        <v/>
      </c>
      <c r="AA134" s="2" t="str">
        <f t="shared" si="94"/>
        <v/>
      </c>
      <c r="AB134" s="2" t="str">
        <f t="shared" si="95"/>
        <v/>
      </c>
      <c r="AC134" s="2" t="str">
        <f t="shared" si="79"/>
        <v/>
      </c>
      <c r="AD134" s="2" t="str">
        <f t="shared" si="80"/>
        <v/>
      </c>
      <c r="AE134" s="2" t="str">
        <f t="shared" si="81"/>
        <v/>
      </c>
      <c r="AF134" s="2" t="str">
        <f t="shared" si="82"/>
        <v/>
      </c>
    </row>
    <row r="135" spans="1:32" x14ac:dyDescent="0.2">
      <c r="A135" s="2" t="str">
        <f t="shared" si="83"/>
        <v/>
      </c>
      <c r="B135" s="2" t="str">
        <f t="shared" si="64"/>
        <v/>
      </c>
      <c r="C135" s="2" t="str">
        <f t="shared" si="65"/>
        <v/>
      </c>
      <c r="D135" s="2" t="str">
        <f t="shared" si="66"/>
        <v/>
      </c>
      <c r="E135" s="2" t="str">
        <f t="shared" si="67"/>
        <v/>
      </c>
      <c r="F135" s="2" t="str">
        <f t="shared" si="68"/>
        <v/>
      </c>
      <c r="G135" s="2" t="str">
        <f t="shared" si="69"/>
        <v/>
      </c>
      <c r="H135" s="2" t="str">
        <f t="shared" si="84"/>
        <v/>
      </c>
      <c r="I135" s="2" t="str">
        <f t="shared" si="85"/>
        <v/>
      </c>
      <c r="J135" s="2" t="str">
        <f t="shared" si="86"/>
        <v/>
      </c>
      <c r="K135" s="2" t="str">
        <f t="shared" si="70"/>
        <v/>
      </c>
      <c r="L135" s="2" t="str">
        <f t="shared" si="71"/>
        <v/>
      </c>
      <c r="M135" s="2" t="str">
        <f t="shared" si="72"/>
        <v/>
      </c>
      <c r="N135" s="2" t="str">
        <f t="shared" si="87"/>
        <v/>
      </c>
      <c r="O135" s="2" t="str">
        <f t="shared" si="88"/>
        <v/>
      </c>
      <c r="P135" s="2" t="str">
        <f t="shared" si="89"/>
        <v/>
      </c>
      <c r="Q135" s="2" t="str">
        <f t="shared" si="73"/>
        <v/>
      </c>
      <c r="R135" s="2" t="str">
        <f t="shared" si="74"/>
        <v/>
      </c>
      <c r="S135" s="2" t="str">
        <f t="shared" si="75"/>
        <v/>
      </c>
      <c r="T135" s="2" t="str">
        <f t="shared" si="90"/>
        <v/>
      </c>
      <c r="U135" s="2" t="str">
        <f t="shared" si="91"/>
        <v/>
      </c>
      <c r="V135" s="2" t="str">
        <f t="shared" si="92"/>
        <v/>
      </c>
      <c r="W135" s="2" t="str">
        <f t="shared" si="76"/>
        <v/>
      </c>
      <c r="X135" s="2" t="str">
        <f t="shared" si="77"/>
        <v/>
      </c>
      <c r="Y135" s="2" t="str">
        <f t="shared" si="78"/>
        <v/>
      </c>
      <c r="Z135" s="2" t="str">
        <f t="shared" si="93"/>
        <v/>
      </c>
      <c r="AA135" s="2" t="str">
        <f t="shared" si="94"/>
        <v/>
      </c>
      <c r="AB135" s="2" t="str">
        <f t="shared" si="95"/>
        <v/>
      </c>
      <c r="AC135" s="2" t="str">
        <f t="shared" si="79"/>
        <v/>
      </c>
      <c r="AD135" s="2" t="str">
        <f t="shared" si="80"/>
        <v/>
      </c>
      <c r="AE135" s="2" t="str">
        <f t="shared" si="81"/>
        <v/>
      </c>
      <c r="AF135" s="2" t="str">
        <f t="shared" si="82"/>
        <v/>
      </c>
    </row>
    <row r="136" spans="1:32" x14ac:dyDescent="0.2">
      <c r="A136" s="2" t="str">
        <f t="shared" si="83"/>
        <v/>
      </c>
      <c r="B136" s="2" t="str">
        <f t="shared" si="64"/>
        <v/>
      </c>
      <c r="C136" s="2" t="str">
        <f t="shared" si="65"/>
        <v/>
      </c>
      <c r="D136" s="2" t="str">
        <f t="shared" si="66"/>
        <v/>
      </c>
      <c r="E136" s="2" t="str">
        <f t="shared" si="67"/>
        <v/>
      </c>
      <c r="F136" s="2" t="str">
        <f t="shared" si="68"/>
        <v/>
      </c>
      <c r="G136" s="2" t="str">
        <f t="shared" si="69"/>
        <v/>
      </c>
      <c r="H136" s="2" t="str">
        <f t="shared" si="84"/>
        <v/>
      </c>
      <c r="I136" s="2" t="str">
        <f t="shared" si="85"/>
        <v/>
      </c>
      <c r="J136" s="2" t="str">
        <f t="shared" si="86"/>
        <v/>
      </c>
      <c r="K136" s="2" t="str">
        <f t="shared" si="70"/>
        <v/>
      </c>
      <c r="L136" s="2" t="str">
        <f t="shared" si="71"/>
        <v/>
      </c>
      <c r="M136" s="2" t="str">
        <f t="shared" si="72"/>
        <v/>
      </c>
      <c r="N136" s="2" t="str">
        <f t="shared" si="87"/>
        <v/>
      </c>
      <c r="O136" s="2" t="str">
        <f t="shared" si="88"/>
        <v/>
      </c>
      <c r="P136" s="2" t="str">
        <f t="shared" si="89"/>
        <v/>
      </c>
      <c r="Q136" s="2" t="str">
        <f t="shared" si="73"/>
        <v/>
      </c>
      <c r="R136" s="2" t="str">
        <f t="shared" si="74"/>
        <v/>
      </c>
      <c r="S136" s="2" t="str">
        <f t="shared" si="75"/>
        <v/>
      </c>
      <c r="T136" s="2" t="str">
        <f t="shared" si="90"/>
        <v/>
      </c>
      <c r="U136" s="2" t="str">
        <f t="shared" si="91"/>
        <v/>
      </c>
      <c r="V136" s="2" t="str">
        <f t="shared" si="92"/>
        <v/>
      </c>
      <c r="W136" s="2" t="str">
        <f t="shared" si="76"/>
        <v/>
      </c>
      <c r="X136" s="2" t="str">
        <f t="shared" si="77"/>
        <v/>
      </c>
      <c r="Y136" s="2" t="str">
        <f t="shared" si="78"/>
        <v/>
      </c>
      <c r="Z136" s="2" t="str">
        <f t="shared" si="93"/>
        <v/>
      </c>
      <c r="AA136" s="2" t="str">
        <f t="shared" si="94"/>
        <v/>
      </c>
      <c r="AB136" s="2" t="str">
        <f t="shared" si="95"/>
        <v/>
      </c>
      <c r="AC136" s="2" t="str">
        <f t="shared" si="79"/>
        <v/>
      </c>
      <c r="AD136" s="2" t="str">
        <f t="shared" si="80"/>
        <v/>
      </c>
      <c r="AE136" s="2" t="str">
        <f t="shared" si="81"/>
        <v/>
      </c>
      <c r="AF136" s="2" t="str">
        <f t="shared" si="82"/>
        <v/>
      </c>
    </row>
    <row r="137" spans="1:32" x14ac:dyDescent="0.2">
      <c r="A137" s="2" t="str">
        <f t="shared" si="83"/>
        <v/>
      </c>
      <c r="B137" s="2" t="str">
        <f t="shared" si="64"/>
        <v/>
      </c>
      <c r="C137" s="2" t="str">
        <f t="shared" si="65"/>
        <v/>
      </c>
      <c r="D137" s="2" t="str">
        <f t="shared" si="66"/>
        <v/>
      </c>
      <c r="E137" s="2" t="str">
        <f t="shared" si="67"/>
        <v/>
      </c>
      <c r="F137" s="2" t="str">
        <f t="shared" si="68"/>
        <v/>
      </c>
      <c r="G137" s="2" t="str">
        <f t="shared" si="69"/>
        <v/>
      </c>
      <c r="H137" s="2" t="str">
        <f t="shared" si="84"/>
        <v/>
      </c>
      <c r="I137" s="2" t="str">
        <f t="shared" si="85"/>
        <v/>
      </c>
      <c r="J137" s="2" t="str">
        <f t="shared" si="86"/>
        <v/>
      </c>
      <c r="K137" s="2" t="str">
        <f t="shared" si="70"/>
        <v/>
      </c>
      <c r="L137" s="2" t="str">
        <f t="shared" si="71"/>
        <v/>
      </c>
      <c r="M137" s="2" t="str">
        <f t="shared" si="72"/>
        <v/>
      </c>
      <c r="N137" s="2" t="str">
        <f t="shared" si="87"/>
        <v/>
      </c>
      <c r="O137" s="2" t="str">
        <f t="shared" si="88"/>
        <v/>
      </c>
      <c r="P137" s="2" t="str">
        <f t="shared" si="89"/>
        <v/>
      </c>
      <c r="Q137" s="2" t="str">
        <f t="shared" si="73"/>
        <v/>
      </c>
      <c r="R137" s="2" t="str">
        <f t="shared" si="74"/>
        <v/>
      </c>
      <c r="S137" s="2" t="str">
        <f t="shared" si="75"/>
        <v/>
      </c>
      <c r="T137" s="2" t="str">
        <f t="shared" si="90"/>
        <v/>
      </c>
      <c r="U137" s="2" t="str">
        <f t="shared" si="91"/>
        <v/>
      </c>
      <c r="V137" s="2" t="str">
        <f t="shared" si="92"/>
        <v/>
      </c>
      <c r="W137" s="2" t="str">
        <f t="shared" si="76"/>
        <v/>
      </c>
      <c r="X137" s="2" t="str">
        <f t="shared" si="77"/>
        <v/>
      </c>
      <c r="Y137" s="2" t="str">
        <f t="shared" si="78"/>
        <v/>
      </c>
      <c r="Z137" s="2" t="str">
        <f t="shared" si="93"/>
        <v/>
      </c>
      <c r="AA137" s="2" t="str">
        <f t="shared" si="94"/>
        <v/>
      </c>
      <c r="AB137" s="2" t="str">
        <f t="shared" si="95"/>
        <v/>
      </c>
      <c r="AC137" s="2" t="str">
        <f t="shared" si="79"/>
        <v/>
      </c>
      <c r="AD137" s="2" t="str">
        <f t="shared" si="80"/>
        <v/>
      </c>
      <c r="AE137" s="2" t="str">
        <f t="shared" si="81"/>
        <v/>
      </c>
      <c r="AF137" s="2" t="str">
        <f t="shared" si="82"/>
        <v/>
      </c>
    </row>
    <row r="138" spans="1:32" x14ac:dyDescent="0.2">
      <c r="A138" s="2" t="str">
        <f t="shared" si="83"/>
        <v/>
      </c>
      <c r="B138" s="2" t="str">
        <f t="shared" si="64"/>
        <v/>
      </c>
      <c r="C138" s="2" t="str">
        <f t="shared" si="65"/>
        <v/>
      </c>
      <c r="D138" s="2" t="str">
        <f t="shared" si="66"/>
        <v/>
      </c>
      <c r="E138" s="2" t="str">
        <f t="shared" si="67"/>
        <v/>
      </c>
      <c r="F138" s="2" t="str">
        <f t="shared" si="68"/>
        <v/>
      </c>
      <c r="G138" s="2" t="str">
        <f t="shared" si="69"/>
        <v/>
      </c>
      <c r="H138" s="2" t="str">
        <f t="shared" si="84"/>
        <v/>
      </c>
      <c r="I138" s="2" t="str">
        <f t="shared" si="85"/>
        <v/>
      </c>
      <c r="J138" s="2" t="str">
        <f t="shared" si="86"/>
        <v/>
      </c>
      <c r="K138" s="2" t="str">
        <f t="shared" si="70"/>
        <v/>
      </c>
      <c r="L138" s="2" t="str">
        <f t="shared" si="71"/>
        <v/>
      </c>
      <c r="M138" s="2" t="str">
        <f t="shared" si="72"/>
        <v/>
      </c>
      <c r="N138" s="2" t="str">
        <f t="shared" si="87"/>
        <v/>
      </c>
      <c r="O138" s="2" t="str">
        <f t="shared" si="88"/>
        <v/>
      </c>
      <c r="P138" s="2" t="str">
        <f t="shared" si="89"/>
        <v/>
      </c>
      <c r="Q138" s="2" t="str">
        <f t="shared" si="73"/>
        <v/>
      </c>
      <c r="R138" s="2" t="str">
        <f t="shared" si="74"/>
        <v/>
      </c>
      <c r="S138" s="2" t="str">
        <f t="shared" si="75"/>
        <v/>
      </c>
      <c r="T138" s="2" t="str">
        <f t="shared" si="90"/>
        <v/>
      </c>
      <c r="U138" s="2" t="str">
        <f t="shared" si="91"/>
        <v/>
      </c>
      <c r="V138" s="2" t="str">
        <f t="shared" si="92"/>
        <v/>
      </c>
      <c r="W138" s="2" t="str">
        <f t="shared" si="76"/>
        <v/>
      </c>
      <c r="X138" s="2" t="str">
        <f t="shared" si="77"/>
        <v/>
      </c>
      <c r="Y138" s="2" t="str">
        <f t="shared" si="78"/>
        <v/>
      </c>
      <c r="Z138" s="2" t="str">
        <f t="shared" si="93"/>
        <v/>
      </c>
      <c r="AA138" s="2" t="str">
        <f t="shared" si="94"/>
        <v/>
      </c>
      <c r="AB138" s="2" t="str">
        <f t="shared" si="95"/>
        <v/>
      </c>
      <c r="AC138" s="2" t="str">
        <f t="shared" si="79"/>
        <v/>
      </c>
      <c r="AD138" s="2" t="str">
        <f t="shared" si="80"/>
        <v/>
      </c>
      <c r="AE138" s="2" t="str">
        <f t="shared" si="81"/>
        <v/>
      </c>
      <c r="AF138" s="2" t="str">
        <f t="shared" si="82"/>
        <v/>
      </c>
    </row>
    <row r="139" spans="1:32" x14ac:dyDescent="0.2">
      <c r="A139" s="2" t="str">
        <f t="shared" si="83"/>
        <v/>
      </c>
      <c r="B139" s="2" t="str">
        <f t="shared" si="64"/>
        <v/>
      </c>
      <c r="C139" s="2" t="str">
        <f t="shared" si="65"/>
        <v/>
      </c>
      <c r="D139" s="2" t="str">
        <f t="shared" si="66"/>
        <v/>
      </c>
      <c r="E139" s="2" t="str">
        <f t="shared" si="67"/>
        <v/>
      </c>
      <c r="F139" s="2" t="str">
        <f t="shared" si="68"/>
        <v/>
      </c>
      <c r="G139" s="2" t="str">
        <f t="shared" si="69"/>
        <v/>
      </c>
      <c r="H139" s="2" t="str">
        <f t="shared" si="84"/>
        <v/>
      </c>
      <c r="I139" s="2" t="str">
        <f t="shared" si="85"/>
        <v/>
      </c>
      <c r="J139" s="2" t="str">
        <f t="shared" si="86"/>
        <v/>
      </c>
      <c r="K139" s="2" t="str">
        <f t="shared" si="70"/>
        <v/>
      </c>
      <c r="L139" s="2" t="str">
        <f t="shared" si="71"/>
        <v/>
      </c>
      <c r="M139" s="2" t="str">
        <f t="shared" si="72"/>
        <v/>
      </c>
      <c r="N139" s="2" t="str">
        <f t="shared" si="87"/>
        <v/>
      </c>
      <c r="O139" s="2" t="str">
        <f t="shared" si="88"/>
        <v/>
      </c>
      <c r="P139" s="2" t="str">
        <f t="shared" si="89"/>
        <v/>
      </c>
      <c r="Q139" s="2" t="str">
        <f t="shared" si="73"/>
        <v/>
      </c>
      <c r="R139" s="2" t="str">
        <f t="shared" si="74"/>
        <v/>
      </c>
      <c r="S139" s="2" t="str">
        <f t="shared" si="75"/>
        <v/>
      </c>
      <c r="T139" s="2" t="str">
        <f t="shared" si="90"/>
        <v/>
      </c>
      <c r="U139" s="2" t="str">
        <f t="shared" si="91"/>
        <v/>
      </c>
      <c r="V139" s="2" t="str">
        <f t="shared" si="92"/>
        <v/>
      </c>
      <c r="W139" s="2" t="str">
        <f t="shared" si="76"/>
        <v/>
      </c>
      <c r="X139" s="2" t="str">
        <f t="shared" si="77"/>
        <v/>
      </c>
      <c r="Y139" s="2" t="str">
        <f t="shared" si="78"/>
        <v/>
      </c>
      <c r="Z139" s="2" t="str">
        <f t="shared" si="93"/>
        <v/>
      </c>
      <c r="AA139" s="2" t="str">
        <f t="shared" si="94"/>
        <v/>
      </c>
      <c r="AB139" s="2" t="str">
        <f t="shared" si="95"/>
        <v/>
      </c>
      <c r="AC139" s="2" t="str">
        <f t="shared" si="79"/>
        <v/>
      </c>
      <c r="AD139" s="2" t="str">
        <f t="shared" si="80"/>
        <v/>
      </c>
      <c r="AE139" s="2" t="str">
        <f t="shared" si="81"/>
        <v/>
      </c>
      <c r="AF139" s="2" t="str">
        <f t="shared" si="82"/>
        <v/>
      </c>
    </row>
    <row r="140" spans="1:32" x14ac:dyDescent="0.2">
      <c r="A140" s="2" t="str">
        <f t="shared" si="83"/>
        <v/>
      </c>
      <c r="B140" s="2" t="str">
        <f t="shared" si="64"/>
        <v/>
      </c>
      <c r="C140" s="2" t="str">
        <f t="shared" si="65"/>
        <v/>
      </c>
      <c r="D140" s="2" t="str">
        <f t="shared" si="66"/>
        <v/>
      </c>
      <c r="E140" s="2" t="str">
        <f t="shared" si="67"/>
        <v/>
      </c>
      <c r="F140" s="2" t="str">
        <f t="shared" si="68"/>
        <v/>
      </c>
      <c r="G140" s="2" t="str">
        <f t="shared" si="69"/>
        <v/>
      </c>
      <c r="H140" s="2" t="str">
        <f t="shared" si="84"/>
        <v/>
      </c>
      <c r="I140" s="2" t="str">
        <f t="shared" si="85"/>
        <v/>
      </c>
      <c r="J140" s="2" t="str">
        <f t="shared" si="86"/>
        <v/>
      </c>
      <c r="K140" s="2" t="str">
        <f t="shared" si="70"/>
        <v/>
      </c>
      <c r="L140" s="2" t="str">
        <f t="shared" si="71"/>
        <v/>
      </c>
      <c r="M140" s="2" t="str">
        <f t="shared" si="72"/>
        <v/>
      </c>
      <c r="N140" s="2" t="str">
        <f t="shared" si="87"/>
        <v/>
      </c>
      <c r="O140" s="2" t="str">
        <f t="shared" si="88"/>
        <v/>
      </c>
      <c r="P140" s="2" t="str">
        <f t="shared" si="89"/>
        <v/>
      </c>
      <c r="Q140" s="2" t="str">
        <f t="shared" si="73"/>
        <v/>
      </c>
      <c r="R140" s="2" t="str">
        <f t="shared" si="74"/>
        <v/>
      </c>
      <c r="S140" s="2" t="str">
        <f t="shared" si="75"/>
        <v/>
      </c>
      <c r="T140" s="2" t="str">
        <f t="shared" si="90"/>
        <v/>
      </c>
      <c r="U140" s="2" t="str">
        <f t="shared" si="91"/>
        <v/>
      </c>
      <c r="V140" s="2" t="str">
        <f t="shared" si="92"/>
        <v/>
      </c>
      <c r="W140" s="2" t="str">
        <f t="shared" si="76"/>
        <v/>
      </c>
      <c r="X140" s="2" t="str">
        <f t="shared" si="77"/>
        <v/>
      </c>
      <c r="Y140" s="2" t="str">
        <f t="shared" si="78"/>
        <v/>
      </c>
      <c r="Z140" s="2" t="str">
        <f t="shared" si="93"/>
        <v/>
      </c>
      <c r="AA140" s="2" t="str">
        <f t="shared" si="94"/>
        <v/>
      </c>
      <c r="AB140" s="2" t="str">
        <f t="shared" si="95"/>
        <v/>
      </c>
      <c r="AC140" s="2" t="str">
        <f t="shared" si="79"/>
        <v/>
      </c>
      <c r="AD140" s="2" t="str">
        <f t="shared" si="80"/>
        <v/>
      </c>
      <c r="AE140" s="2" t="str">
        <f t="shared" si="81"/>
        <v/>
      </c>
      <c r="AF140" s="2" t="str">
        <f t="shared" si="82"/>
        <v/>
      </c>
    </row>
    <row r="141" spans="1:32" x14ac:dyDescent="0.2">
      <c r="A141" s="2" t="str">
        <f t="shared" si="83"/>
        <v/>
      </c>
      <c r="B141" s="2" t="str">
        <f t="shared" si="64"/>
        <v/>
      </c>
      <c r="C141" s="2" t="str">
        <f t="shared" si="65"/>
        <v/>
      </c>
      <c r="D141" s="2" t="str">
        <f t="shared" si="66"/>
        <v/>
      </c>
      <c r="E141" s="2" t="str">
        <f t="shared" si="67"/>
        <v/>
      </c>
      <c r="F141" s="2" t="str">
        <f t="shared" si="68"/>
        <v/>
      </c>
      <c r="G141" s="2" t="str">
        <f t="shared" si="69"/>
        <v/>
      </c>
      <c r="H141" s="2" t="str">
        <f t="shared" si="84"/>
        <v/>
      </c>
      <c r="I141" s="2" t="str">
        <f t="shared" si="85"/>
        <v/>
      </c>
      <c r="J141" s="2" t="str">
        <f t="shared" si="86"/>
        <v/>
      </c>
      <c r="K141" s="2" t="str">
        <f t="shared" si="70"/>
        <v/>
      </c>
      <c r="L141" s="2" t="str">
        <f t="shared" si="71"/>
        <v/>
      </c>
      <c r="M141" s="2" t="str">
        <f t="shared" si="72"/>
        <v/>
      </c>
      <c r="N141" s="2" t="str">
        <f t="shared" si="87"/>
        <v/>
      </c>
      <c r="O141" s="2" t="str">
        <f t="shared" si="88"/>
        <v/>
      </c>
      <c r="P141" s="2" t="str">
        <f t="shared" si="89"/>
        <v/>
      </c>
      <c r="Q141" s="2" t="str">
        <f t="shared" si="73"/>
        <v/>
      </c>
      <c r="R141" s="2" t="str">
        <f t="shared" si="74"/>
        <v/>
      </c>
      <c r="S141" s="2" t="str">
        <f t="shared" si="75"/>
        <v/>
      </c>
      <c r="T141" s="2" t="str">
        <f t="shared" si="90"/>
        <v/>
      </c>
      <c r="U141" s="2" t="str">
        <f t="shared" si="91"/>
        <v/>
      </c>
      <c r="V141" s="2" t="str">
        <f t="shared" si="92"/>
        <v/>
      </c>
      <c r="W141" s="2" t="str">
        <f t="shared" si="76"/>
        <v/>
      </c>
      <c r="X141" s="2" t="str">
        <f t="shared" si="77"/>
        <v/>
      </c>
      <c r="Y141" s="2" t="str">
        <f t="shared" si="78"/>
        <v/>
      </c>
      <c r="Z141" s="2" t="str">
        <f t="shared" si="93"/>
        <v/>
      </c>
      <c r="AA141" s="2" t="str">
        <f t="shared" si="94"/>
        <v/>
      </c>
      <c r="AB141" s="2" t="str">
        <f t="shared" si="95"/>
        <v/>
      </c>
      <c r="AC141" s="2" t="str">
        <f t="shared" si="79"/>
        <v/>
      </c>
      <c r="AD141" s="2" t="str">
        <f t="shared" si="80"/>
        <v/>
      </c>
      <c r="AE141" s="2" t="str">
        <f t="shared" si="81"/>
        <v/>
      </c>
      <c r="AF141" s="2" t="str">
        <f t="shared" si="82"/>
        <v/>
      </c>
    </row>
    <row r="142" spans="1:32" x14ac:dyDescent="0.2">
      <c r="A142" s="2" t="str">
        <f t="shared" si="83"/>
        <v/>
      </c>
      <c r="B142" s="2" t="str">
        <f t="shared" si="64"/>
        <v/>
      </c>
      <c r="C142" s="2" t="str">
        <f t="shared" si="65"/>
        <v/>
      </c>
      <c r="D142" s="2" t="str">
        <f t="shared" si="66"/>
        <v/>
      </c>
      <c r="E142" s="2" t="str">
        <f t="shared" si="67"/>
        <v/>
      </c>
      <c r="F142" s="2" t="str">
        <f t="shared" si="68"/>
        <v/>
      </c>
      <c r="G142" s="2" t="str">
        <f t="shared" si="69"/>
        <v/>
      </c>
      <c r="H142" s="2" t="str">
        <f t="shared" si="84"/>
        <v/>
      </c>
      <c r="I142" s="2" t="str">
        <f t="shared" si="85"/>
        <v/>
      </c>
      <c r="J142" s="2" t="str">
        <f t="shared" si="86"/>
        <v/>
      </c>
      <c r="K142" s="2" t="str">
        <f t="shared" si="70"/>
        <v/>
      </c>
      <c r="L142" s="2" t="str">
        <f t="shared" si="71"/>
        <v/>
      </c>
      <c r="M142" s="2" t="str">
        <f t="shared" si="72"/>
        <v/>
      </c>
      <c r="N142" s="2" t="str">
        <f t="shared" si="87"/>
        <v/>
      </c>
      <c r="O142" s="2" t="str">
        <f t="shared" si="88"/>
        <v/>
      </c>
      <c r="P142" s="2" t="str">
        <f t="shared" si="89"/>
        <v/>
      </c>
      <c r="Q142" s="2" t="str">
        <f t="shared" si="73"/>
        <v/>
      </c>
      <c r="R142" s="2" t="str">
        <f t="shared" si="74"/>
        <v/>
      </c>
      <c r="S142" s="2" t="str">
        <f t="shared" si="75"/>
        <v/>
      </c>
      <c r="T142" s="2" t="str">
        <f t="shared" si="90"/>
        <v/>
      </c>
      <c r="U142" s="2" t="str">
        <f t="shared" si="91"/>
        <v/>
      </c>
      <c r="V142" s="2" t="str">
        <f t="shared" si="92"/>
        <v/>
      </c>
      <c r="W142" s="2" t="str">
        <f t="shared" si="76"/>
        <v/>
      </c>
      <c r="X142" s="2" t="str">
        <f t="shared" si="77"/>
        <v/>
      </c>
      <c r="Y142" s="2" t="str">
        <f t="shared" si="78"/>
        <v/>
      </c>
      <c r="Z142" s="2" t="str">
        <f t="shared" si="93"/>
        <v/>
      </c>
      <c r="AA142" s="2" t="str">
        <f t="shared" si="94"/>
        <v/>
      </c>
      <c r="AB142" s="2" t="str">
        <f t="shared" si="95"/>
        <v/>
      </c>
      <c r="AC142" s="2" t="str">
        <f t="shared" si="79"/>
        <v/>
      </c>
      <c r="AD142" s="2" t="str">
        <f t="shared" si="80"/>
        <v/>
      </c>
      <c r="AE142" s="2" t="str">
        <f t="shared" si="81"/>
        <v/>
      </c>
      <c r="AF142" s="2" t="str">
        <f t="shared" si="82"/>
        <v/>
      </c>
    </row>
    <row r="143" spans="1:32" x14ac:dyDescent="0.2">
      <c r="A143" s="2" t="str">
        <f t="shared" si="83"/>
        <v/>
      </c>
      <c r="B143" s="2" t="str">
        <f t="shared" si="64"/>
        <v/>
      </c>
      <c r="C143" s="2" t="str">
        <f t="shared" si="65"/>
        <v/>
      </c>
      <c r="D143" s="2" t="str">
        <f t="shared" si="66"/>
        <v/>
      </c>
      <c r="E143" s="2" t="str">
        <f t="shared" si="67"/>
        <v/>
      </c>
      <c r="F143" s="2" t="str">
        <f t="shared" si="68"/>
        <v/>
      </c>
      <c r="G143" s="2" t="str">
        <f t="shared" si="69"/>
        <v/>
      </c>
      <c r="H143" s="2" t="str">
        <f t="shared" si="84"/>
        <v/>
      </c>
      <c r="I143" s="2" t="str">
        <f t="shared" si="85"/>
        <v/>
      </c>
      <c r="J143" s="2" t="str">
        <f t="shared" si="86"/>
        <v/>
      </c>
      <c r="K143" s="2" t="str">
        <f t="shared" si="70"/>
        <v/>
      </c>
      <c r="L143" s="2" t="str">
        <f t="shared" si="71"/>
        <v/>
      </c>
      <c r="M143" s="2" t="str">
        <f t="shared" si="72"/>
        <v/>
      </c>
      <c r="N143" s="2" t="str">
        <f t="shared" si="87"/>
        <v/>
      </c>
      <c r="O143" s="2" t="str">
        <f t="shared" si="88"/>
        <v/>
      </c>
      <c r="P143" s="2" t="str">
        <f t="shared" si="89"/>
        <v/>
      </c>
      <c r="Q143" s="2" t="str">
        <f t="shared" si="73"/>
        <v/>
      </c>
      <c r="R143" s="2" t="str">
        <f t="shared" si="74"/>
        <v/>
      </c>
      <c r="S143" s="2" t="str">
        <f t="shared" si="75"/>
        <v/>
      </c>
      <c r="T143" s="2" t="str">
        <f t="shared" si="90"/>
        <v/>
      </c>
      <c r="U143" s="2" t="str">
        <f t="shared" si="91"/>
        <v/>
      </c>
      <c r="V143" s="2" t="str">
        <f t="shared" si="92"/>
        <v/>
      </c>
      <c r="W143" s="2" t="str">
        <f t="shared" si="76"/>
        <v/>
      </c>
      <c r="X143" s="2" t="str">
        <f t="shared" si="77"/>
        <v/>
      </c>
      <c r="Y143" s="2" t="str">
        <f t="shared" si="78"/>
        <v/>
      </c>
      <c r="Z143" s="2" t="str">
        <f t="shared" si="93"/>
        <v/>
      </c>
      <c r="AA143" s="2" t="str">
        <f t="shared" si="94"/>
        <v/>
      </c>
      <c r="AB143" s="2" t="str">
        <f t="shared" si="95"/>
        <v/>
      </c>
      <c r="AC143" s="2" t="str">
        <f t="shared" si="79"/>
        <v/>
      </c>
      <c r="AD143" s="2" t="str">
        <f t="shared" si="80"/>
        <v/>
      </c>
      <c r="AE143" s="2" t="str">
        <f t="shared" si="81"/>
        <v/>
      </c>
      <c r="AF143" s="2" t="str">
        <f t="shared" si="82"/>
        <v/>
      </c>
    </row>
    <row r="144" spans="1:32" x14ac:dyDescent="0.2">
      <c r="A144" s="2" t="str">
        <f t="shared" si="83"/>
        <v/>
      </c>
      <c r="B144" s="2" t="str">
        <f t="shared" si="64"/>
        <v/>
      </c>
      <c r="C144" s="2" t="str">
        <f t="shared" si="65"/>
        <v/>
      </c>
      <c r="D144" s="2" t="str">
        <f t="shared" si="66"/>
        <v/>
      </c>
      <c r="E144" s="2" t="str">
        <f t="shared" si="67"/>
        <v/>
      </c>
      <c r="F144" s="2" t="str">
        <f t="shared" si="68"/>
        <v/>
      </c>
      <c r="G144" s="2" t="str">
        <f t="shared" si="69"/>
        <v/>
      </c>
      <c r="H144" s="2" t="str">
        <f t="shared" si="84"/>
        <v/>
      </c>
      <c r="I144" s="2" t="str">
        <f t="shared" si="85"/>
        <v/>
      </c>
      <c r="J144" s="2" t="str">
        <f t="shared" si="86"/>
        <v/>
      </c>
      <c r="K144" s="2" t="str">
        <f t="shared" si="70"/>
        <v/>
      </c>
      <c r="L144" s="2" t="str">
        <f t="shared" si="71"/>
        <v/>
      </c>
      <c r="M144" s="2" t="str">
        <f t="shared" si="72"/>
        <v/>
      </c>
      <c r="N144" s="2" t="str">
        <f t="shared" si="87"/>
        <v/>
      </c>
      <c r="O144" s="2" t="str">
        <f t="shared" si="88"/>
        <v/>
      </c>
      <c r="P144" s="2" t="str">
        <f t="shared" si="89"/>
        <v/>
      </c>
      <c r="Q144" s="2" t="str">
        <f t="shared" si="73"/>
        <v/>
      </c>
      <c r="R144" s="2" t="str">
        <f t="shared" si="74"/>
        <v/>
      </c>
      <c r="S144" s="2" t="str">
        <f t="shared" si="75"/>
        <v/>
      </c>
      <c r="T144" s="2" t="str">
        <f t="shared" si="90"/>
        <v/>
      </c>
      <c r="U144" s="2" t="str">
        <f t="shared" si="91"/>
        <v/>
      </c>
      <c r="V144" s="2" t="str">
        <f t="shared" si="92"/>
        <v/>
      </c>
      <c r="W144" s="2" t="str">
        <f t="shared" si="76"/>
        <v/>
      </c>
      <c r="X144" s="2" t="str">
        <f t="shared" si="77"/>
        <v/>
      </c>
      <c r="Y144" s="2" t="str">
        <f t="shared" si="78"/>
        <v/>
      </c>
      <c r="Z144" s="2" t="str">
        <f t="shared" si="93"/>
        <v/>
      </c>
      <c r="AA144" s="2" t="str">
        <f t="shared" si="94"/>
        <v/>
      </c>
      <c r="AB144" s="2" t="str">
        <f t="shared" si="95"/>
        <v/>
      </c>
      <c r="AC144" s="2" t="str">
        <f t="shared" si="79"/>
        <v/>
      </c>
      <c r="AD144" s="2" t="str">
        <f t="shared" si="80"/>
        <v/>
      </c>
      <c r="AE144" s="2" t="str">
        <f t="shared" si="81"/>
        <v/>
      </c>
      <c r="AF144" s="2" t="str">
        <f t="shared" si="82"/>
        <v/>
      </c>
    </row>
    <row r="145" spans="1:32" x14ac:dyDescent="0.2">
      <c r="A145" s="2" t="str">
        <f t="shared" si="83"/>
        <v/>
      </c>
      <c r="B145" s="2" t="str">
        <f t="shared" si="64"/>
        <v/>
      </c>
      <c r="C145" s="2" t="str">
        <f t="shared" si="65"/>
        <v/>
      </c>
      <c r="D145" s="2" t="str">
        <f t="shared" si="66"/>
        <v/>
      </c>
      <c r="E145" s="2" t="str">
        <f t="shared" si="67"/>
        <v/>
      </c>
      <c r="F145" s="2" t="str">
        <f t="shared" si="68"/>
        <v/>
      </c>
      <c r="G145" s="2" t="str">
        <f t="shared" si="69"/>
        <v/>
      </c>
      <c r="H145" s="2" t="str">
        <f t="shared" si="84"/>
        <v/>
      </c>
      <c r="I145" s="2" t="str">
        <f t="shared" si="85"/>
        <v/>
      </c>
      <c r="J145" s="2" t="str">
        <f t="shared" si="86"/>
        <v/>
      </c>
      <c r="K145" s="2" t="str">
        <f t="shared" si="70"/>
        <v/>
      </c>
      <c r="L145" s="2" t="str">
        <f t="shared" si="71"/>
        <v/>
      </c>
      <c r="M145" s="2" t="str">
        <f t="shared" si="72"/>
        <v/>
      </c>
      <c r="N145" s="2" t="str">
        <f t="shared" si="87"/>
        <v/>
      </c>
      <c r="O145" s="2" t="str">
        <f t="shared" si="88"/>
        <v/>
      </c>
      <c r="P145" s="2" t="str">
        <f t="shared" si="89"/>
        <v/>
      </c>
      <c r="Q145" s="2" t="str">
        <f t="shared" si="73"/>
        <v/>
      </c>
      <c r="R145" s="2" t="str">
        <f t="shared" si="74"/>
        <v/>
      </c>
      <c r="S145" s="2" t="str">
        <f t="shared" si="75"/>
        <v/>
      </c>
      <c r="T145" s="2" t="str">
        <f t="shared" si="90"/>
        <v/>
      </c>
      <c r="U145" s="2" t="str">
        <f t="shared" si="91"/>
        <v/>
      </c>
      <c r="V145" s="2" t="str">
        <f t="shared" si="92"/>
        <v/>
      </c>
      <c r="W145" s="2" t="str">
        <f t="shared" si="76"/>
        <v/>
      </c>
      <c r="X145" s="2" t="str">
        <f t="shared" si="77"/>
        <v/>
      </c>
      <c r="Y145" s="2" t="str">
        <f t="shared" si="78"/>
        <v/>
      </c>
      <c r="Z145" s="2" t="str">
        <f t="shared" si="93"/>
        <v/>
      </c>
      <c r="AA145" s="2" t="str">
        <f t="shared" si="94"/>
        <v/>
      </c>
      <c r="AB145" s="2" t="str">
        <f t="shared" si="95"/>
        <v/>
      </c>
      <c r="AC145" s="2" t="str">
        <f t="shared" si="79"/>
        <v/>
      </c>
      <c r="AD145" s="2" t="str">
        <f t="shared" si="80"/>
        <v/>
      </c>
      <c r="AE145" s="2" t="str">
        <f t="shared" si="81"/>
        <v/>
      </c>
      <c r="AF145" s="2" t="str">
        <f t="shared" si="82"/>
        <v/>
      </c>
    </row>
    <row r="146" spans="1:32" x14ac:dyDescent="0.2">
      <c r="A146" s="2" t="str">
        <f t="shared" si="83"/>
        <v/>
      </c>
      <c r="B146" s="2" t="str">
        <f t="shared" si="64"/>
        <v/>
      </c>
      <c r="C146" s="2" t="str">
        <f t="shared" si="65"/>
        <v/>
      </c>
      <c r="D146" s="2" t="str">
        <f t="shared" si="66"/>
        <v/>
      </c>
      <c r="E146" s="2" t="str">
        <f t="shared" si="67"/>
        <v/>
      </c>
      <c r="F146" s="2" t="str">
        <f t="shared" si="68"/>
        <v/>
      </c>
      <c r="G146" s="2" t="str">
        <f t="shared" si="69"/>
        <v/>
      </c>
      <c r="H146" s="2" t="str">
        <f t="shared" si="84"/>
        <v/>
      </c>
      <c r="I146" s="2" t="str">
        <f t="shared" si="85"/>
        <v/>
      </c>
      <c r="J146" s="2" t="str">
        <f t="shared" si="86"/>
        <v/>
      </c>
      <c r="K146" s="2" t="str">
        <f t="shared" si="70"/>
        <v/>
      </c>
      <c r="L146" s="2" t="str">
        <f t="shared" si="71"/>
        <v/>
      </c>
      <c r="M146" s="2" t="str">
        <f t="shared" si="72"/>
        <v/>
      </c>
      <c r="N146" s="2" t="str">
        <f t="shared" si="87"/>
        <v/>
      </c>
      <c r="O146" s="2" t="str">
        <f t="shared" si="88"/>
        <v/>
      </c>
      <c r="P146" s="2" t="str">
        <f t="shared" si="89"/>
        <v/>
      </c>
      <c r="Q146" s="2" t="str">
        <f t="shared" si="73"/>
        <v/>
      </c>
      <c r="R146" s="2" t="str">
        <f t="shared" si="74"/>
        <v/>
      </c>
      <c r="S146" s="2" t="str">
        <f t="shared" si="75"/>
        <v/>
      </c>
      <c r="T146" s="2" t="str">
        <f t="shared" si="90"/>
        <v/>
      </c>
      <c r="U146" s="2" t="str">
        <f t="shared" si="91"/>
        <v/>
      </c>
      <c r="V146" s="2" t="str">
        <f t="shared" si="92"/>
        <v/>
      </c>
      <c r="W146" s="2" t="str">
        <f t="shared" si="76"/>
        <v/>
      </c>
      <c r="X146" s="2" t="str">
        <f t="shared" si="77"/>
        <v/>
      </c>
      <c r="Y146" s="2" t="str">
        <f t="shared" si="78"/>
        <v/>
      </c>
      <c r="Z146" s="2" t="str">
        <f t="shared" si="93"/>
        <v/>
      </c>
      <c r="AA146" s="2" t="str">
        <f t="shared" si="94"/>
        <v/>
      </c>
      <c r="AB146" s="2" t="str">
        <f t="shared" si="95"/>
        <v/>
      </c>
      <c r="AC146" s="2" t="str">
        <f t="shared" si="79"/>
        <v/>
      </c>
      <c r="AD146" s="2" t="str">
        <f t="shared" si="80"/>
        <v/>
      </c>
      <c r="AE146" s="2" t="str">
        <f t="shared" si="81"/>
        <v/>
      </c>
      <c r="AF146" s="2" t="str">
        <f t="shared" si="82"/>
        <v/>
      </c>
    </row>
    <row r="147" spans="1:32" x14ac:dyDescent="0.2">
      <c r="A147" s="2" t="str">
        <f t="shared" si="83"/>
        <v/>
      </c>
      <c r="B147" s="2" t="str">
        <f t="shared" si="64"/>
        <v/>
      </c>
      <c r="C147" s="2" t="str">
        <f t="shared" si="65"/>
        <v/>
      </c>
      <c r="D147" s="2" t="str">
        <f t="shared" si="66"/>
        <v/>
      </c>
      <c r="E147" s="2" t="str">
        <f t="shared" si="67"/>
        <v/>
      </c>
      <c r="F147" s="2" t="str">
        <f t="shared" si="68"/>
        <v/>
      </c>
      <c r="G147" s="2" t="str">
        <f t="shared" si="69"/>
        <v/>
      </c>
      <c r="H147" s="2" t="str">
        <f t="shared" si="84"/>
        <v/>
      </c>
      <c r="I147" s="2" t="str">
        <f t="shared" si="85"/>
        <v/>
      </c>
      <c r="J147" s="2" t="str">
        <f t="shared" si="86"/>
        <v/>
      </c>
      <c r="K147" s="2" t="str">
        <f t="shared" si="70"/>
        <v/>
      </c>
      <c r="L147" s="2" t="str">
        <f t="shared" si="71"/>
        <v/>
      </c>
      <c r="M147" s="2" t="str">
        <f t="shared" si="72"/>
        <v/>
      </c>
      <c r="N147" s="2" t="str">
        <f t="shared" si="87"/>
        <v/>
      </c>
      <c r="O147" s="2" t="str">
        <f t="shared" si="88"/>
        <v/>
      </c>
      <c r="P147" s="2" t="str">
        <f t="shared" si="89"/>
        <v/>
      </c>
      <c r="Q147" s="2" t="str">
        <f t="shared" si="73"/>
        <v/>
      </c>
      <c r="R147" s="2" t="str">
        <f t="shared" si="74"/>
        <v/>
      </c>
      <c r="S147" s="2" t="str">
        <f t="shared" si="75"/>
        <v/>
      </c>
      <c r="T147" s="2" t="str">
        <f t="shared" si="90"/>
        <v/>
      </c>
      <c r="U147" s="2" t="str">
        <f t="shared" si="91"/>
        <v/>
      </c>
      <c r="V147" s="2" t="str">
        <f t="shared" si="92"/>
        <v/>
      </c>
      <c r="W147" s="2" t="str">
        <f t="shared" si="76"/>
        <v/>
      </c>
      <c r="X147" s="2" t="str">
        <f t="shared" si="77"/>
        <v/>
      </c>
      <c r="Y147" s="2" t="str">
        <f t="shared" si="78"/>
        <v/>
      </c>
      <c r="Z147" s="2" t="str">
        <f t="shared" si="93"/>
        <v/>
      </c>
      <c r="AA147" s="2" t="str">
        <f t="shared" si="94"/>
        <v/>
      </c>
      <c r="AB147" s="2" t="str">
        <f t="shared" si="95"/>
        <v/>
      </c>
      <c r="AC147" s="2" t="str">
        <f t="shared" si="79"/>
        <v/>
      </c>
      <c r="AD147" s="2" t="str">
        <f t="shared" si="80"/>
        <v/>
      </c>
      <c r="AE147" s="2" t="str">
        <f t="shared" si="81"/>
        <v/>
      </c>
      <c r="AF147" s="2" t="str">
        <f t="shared" si="82"/>
        <v/>
      </c>
    </row>
    <row r="148" spans="1:32" x14ac:dyDescent="0.2">
      <c r="A148" s="2" t="str">
        <f t="shared" si="83"/>
        <v/>
      </c>
      <c r="B148" s="2" t="str">
        <f t="shared" si="64"/>
        <v/>
      </c>
      <c r="C148" s="2" t="str">
        <f t="shared" si="65"/>
        <v/>
      </c>
      <c r="D148" s="2" t="str">
        <f t="shared" si="66"/>
        <v/>
      </c>
      <c r="E148" s="2" t="str">
        <f t="shared" si="67"/>
        <v/>
      </c>
      <c r="F148" s="2" t="str">
        <f t="shared" si="68"/>
        <v/>
      </c>
      <c r="G148" s="2" t="str">
        <f t="shared" si="69"/>
        <v/>
      </c>
      <c r="H148" s="2" t="str">
        <f t="shared" si="84"/>
        <v/>
      </c>
      <c r="I148" s="2" t="str">
        <f t="shared" si="85"/>
        <v/>
      </c>
      <c r="J148" s="2" t="str">
        <f t="shared" si="86"/>
        <v/>
      </c>
      <c r="K148" s="2" t="str">
        <f t="shared" si="70"/>
        <v/>
      </c>
      <c r="L148" s="2" t="str">
        <f t="shared" si="71"/>
        <v/>
      </c>
      <c r="M148" s="2" t="str">
        <f t="shared" si="72"/>
        <v/>
      </c>
      <c r="N148" s="2" t="str">
        <f t="shared" si="87"/>
        <v/>
      </c>
      <c r="O148" s="2" t="str">
        <f t="shared" si="88"/>
        <v/>
      </c>
      <c r="P148" s="2" t="str">
        <f t="shared" si="89"/>
        <v/>
      </c>
      <c r="Q148" s="2" t="str">
        <f t="shared" si="73"/>
        <v/>
      </c>
      <c r="R148" s="2" t="str">
        <f t="shared" si="74"/>
        <v/>
      </c>
      <c r="S148" s="2" t="str">
        <f t="shared" si="75"/>
        <v/>
      </c>
      <c r="T148" s="2" t="str">
        <f t="shared" si="90"/>
        <v/>
      </c>
      <c r="U148" s="2" t="str">
        <f t="shared" si="91"/>
        <v/>
      </c>
      <c r="V148" s="2" t="str">
        <f t="shared" si="92"/>
        <v/>
      </c>
      <c r="W148" s="2" t="str">
        <f t="shared" si="76"/>
        <v/>
      </c>
      <c r="X148" s="2" t="str">
        <f t="shared" si="77"/>
        <v/>
      </c>
      <c r="Y148" s="2" t="str">
        <f t="shared" si="78"/>
        <v/>
      </c>
      <c r="Z148" s="2" t="str">
        <f t="shared" si="93"/>
        <v/>
      </c>
      <c r="AA148" s="2" t="str">
        <f t="shared" si="94"/>
        <v/>
      </c>
      <c r="AB148" s="2" t="str">
        <f t="shared" si="95"/>
        <v/>
      </c>
      <c r="AC148" s="2" t="str">
        <f t="shared" si="79"/>
        <v/>
      </c>
      <c r="AD148" s="2" t="str">
        <f t="shared" si="80"/>
        <v/>
      </c>
      <c r="AE148" s="2" t="str">
        <f t="shared" si="81"/>
        <v/>
      </c>
      <c r="AF148" s="2" t="str">
        <f t="shared" si="82"/>
        <v/>
      </c>
    </row>
    <row r="149" spans="1:32" x14ac:dyDescent="0.2">
      <c r="A149" s="2" t="str">
        <f t="shared" si="83"/>
        <v/>
      </c>
      <c r="B149" s="2" t="str">
        <f t="shared" si="64"/>
        <v/>
      </c>
      <c r="C149" s="2" t="str">
        <f t="shared" si="65"/>
        <v/>
      </c>
      <c r="D149" s="2" t="str">
        <f t="shared" si="66"/>
        <v/>
      </c>
      <c r="E149" s="2" t="str">
        <f t="shared" si="67"/>
        <v/>
      </c>
      <c r="F149" s="2" t="str">
        <f t="shared" si="68"/>
        <v/>
      </c>
      <c r="G149" s="2" t="str">
        <f t="shared" si="69"/>
        <v/>
      </c>
      <c r="H149" s="2" t="str">
        <f t="shared" si="84"/>
        <v/>
      </c>
      <c r="I149" s="2" t="str">
        <f t="shared" si="85"/>
        <v/>
      </c>
      <c r="J149" s="2" t="str">
        <f t="shared" si="86"/>
        <v/>
      </c>
      <c r="K149" s="2" t="str">
        <f t="shared" si="70"/>
        <v/>
      </c>
      <c r="L149" s="2" t="str">
        <f t="shared" si="71"/>
        <v/>
      </c>
      <c r="M149" s="2" t="str">
        <f t="shared" si="72"/>
        <v/>
      </c>
      <c r="N149" s="2" t="str">
        <f t="shared" si="87"/>
        <v/>
      </c>
      <c r="O149" s="2" t="str">
        <f t="shared" si="88"/>
        <v/>
      </c>
      <c r="P149" s="2" t="str">
        <f t="shared" si="89"/>
        <v/>
      </c>
      <c r="Q149" s="2" t="str">
        <f t="shared" si="73"/>
        <v/>
      </c>
      <c r="R149" s="2" t="str">
        <f t="shared" si="74"/>
        <v/>
      </c>
      <c r="S149" s="2" t="str">
        <f t="shared" si="75"/>
        <v/>
      </c>
      <c r="T149" s="2" t="str">
        <f t="shared" si="90"/>
        <v/>
      </c>
      <c r="U149" s="2" t="str">
        <f t="shared" si="91"/>
        <v/>
      </c>
      <c r="V149" s="2" t="str">
        <f t="shared" si="92"/>
        <v/>
      </c>
      <c r="W149" s="2" t="str">
        <f t="shared" si="76"/>
        <v/>
      </c>
      <c r="X149" s="2" t="str">
        <f t="shared" si="77"/>
        <v/>
      </c>
      <c r="Y149" s="2" t="str">
        <f t="shared" si="78"/>
        <v/>
      </c>
      <c r="Z149" s="2" t="str">
        <f t="shared" si="93"/>
        <v/>
      </c>
      <c r="AA149" s="2" t="str">
        <f t="shared" si="94"/>
        <v/>
      </c>
      <c r="AB149" s="2" t="str">
        <f t="shared" si="95"/>
        <v/>
      </c>
      <c r="AC149" s="2" t="str">
        <f t="shared" si="79"/>
        <v/>
      </c>
      <c r="AD149" s="2" t="str">
        <f t="shared" si="80"/>
        <v/>
      </c>
      <c r="AE149" s="2" t="str">
        <f t="shared" si="81"/>
        <v/>
      </c>
      <c r="AF149" s="2" t="str">
        <f t="shared" si="82"/>
        <v/>
      </c>
    </row>
    <row r="150" spans="1:32" x14ac:dyDescent="0.2">
      <c r="A150" s="2" t="str">
        <f t="shared" si="83"/>
        <v/>
      </c>
      <c r="B150" s="2" t="str">
        <f t="shared" si="64"/>
        <v/>
      </c>
      <c r="C150" s="2" t="str">
        <f t="shared" si="65"/>
        <v/>
      </c>
      <c r="D150" s="2" t="str">
        <f t="shared" si="66"/>
        <v/>
      </c>
      <c r="E150" s="2" t="str">
        <f t="shared" si="67"/>
        <v/>
      </c>
      <c r="F150" s="2" t="str">
        <f t="shared" si="68"/>
        <v/>
      </c>
      <c r="G150" s="2" t="str">
        <f t="shared" si="69"/>
        <v/>
      </c>
      <c r="H150" s="2" t="str">
        <f t="shared" si="84"/>
        <v/>
      </c>
      <c r="I150" s="2" t="str">
        <f t="shared" si="85"/>
        <v/>
      </c>
      <c r="J150" s="2" t="str">
        <f t="shared" si="86"/>
        <v/>
      </c>
      <c r="K150" s="2" t="str">
        <f t="shared" si="70"/>
        <v/>
      </c>
      <c r="L150" s="2" t="str">
        <f t="shared" si="71"/>
        <v/>
      </c>
      <c r="M150" s="2" t="str">
        <f t="shared" si="72"/>
        <v/>
      </c>
      <c r="N150" s="2" t="str">
        <f t="shared" si="87"/>
        <v/>
      </c>
      <c r="O150" s="2" t="str">
        <f t="shared" si="88"/>
        <v/>
      </c>
      <c r="P150" s="2" t="str">
        <f t="shared" si="89"/>
        <v/>
      </c>
      <c r="Q150" s="2" t="str">
        <f t="shared" si="73"/>
        <v/>
      </c>
      <c r="R150" s="2" t="str">
        <f t="shared" si="74"/>
        <v/>
      </c>
      <c r="S150" s="2" t="str">
        <f t="shared" si="75"/>
        <v/>
      </c>
      <c r="T150" s="2" t="str">
        <f t="shared" si="90"/>
        <v/>
      </c>
      <c r="U150" s="2" t="str">
        <f t="shared" si="91"/>
        <v/>
      </c>
      <c r="V150" s="2" t="str">
        <f t="shared" si="92"/>
        <v/>
      </c>
      <c r="W150" s="2" t="str">
        <f t="shared" si="76"/>
        <v/>
      </c>
      <c r="X150" s="2" t="str">
        <f t="shared" si="77"/>
        <v/>
      </c>
      <c r="Y150" s="2" t="str">
        <f t="shared" si="78"/>
        <v/>
      </c>
      <c r="Z150" s="2" t="str">
        <f t="shared" si="93"/>
        <v/>
      </c>
      <c r="AA150" s="2" t="str">
        <f t="shared" si="94"/>
        <v/>
      </c>
      <c r="AB150" s="2" t="str">
        <f t="shared" si="95"/>
        <v/>
      </c>
      <c r="AC150" s="2" t="str">
        <f t="shared" si="79"/>
        <v/>
      </c>
      <c r="AD150" s="2" t="str">
        <f t="shared" si="80"/>
        <v/>
      </c>
      <c r="AE150" s="2" t="str">
        <f t="shared" si="81"/>
        <v/>
      </c>
      <c r="AF150" s="2" t="str">
        <f t="shared" si="82"/>
        <v/>
      </c>
    </row>
    <row r="151" spans="1:32" x14ac:dyDescent="0.2">
      <c r="A151" s="2" t="str">
        <f t="shared" si="83"/>
        <v/>
      </c>
      <c r="B151" s="2" t="str">
        <f t="shared" si="64"/>
        <v/>
      </c>
      <c r="C151" s="2" t="str">
        <f t="shared" si="65"/>
        <v/>
      </c>
      <c r="D151" s="2" t="str">
        <f t="shared" si="66"/>
        <v/>
      </c>
      <c r="E151" s="2" t="str">
        <f t="shared" si="67"/>
        <v/>
      </c>
      <c r="F151" s="2" t="str">
        <f t="shared" si="68"/>
        <v/>
      </c>
      <c r="G151" s="2" t="str">
        <f t="shared" si="69"/>
        <v/>
      </c>
      <c r="H151" s="2" t="str">
        <f t="shared" si="84"/>
        <v/>
      </c>
      <c r="I151" s="2" t="str">
        <f t="shared" si="85"/>
        <v/>
      </c>
      <c r="J151" s="2" t="str">
        <f t="shared" si="86"/>
        <v/>
      </c>
      <c r="K151" s="2" t="str">
        <f t="shared" si="70"/>
        <v/>
      </c>
      <c r="L151" s="2" t="str">
        <f t="shared" si="71"/>
        <v/>
      </c>
      <c r="M151" s="2" t="str">
        <f t="shared" si="72"/>
        <v/>
      </c>
      <c r="N151" s="2" t="str">
        <f t="shared" si="87"/>
        <v/>
      </c>
      <c r="O151" s="2" t="str">
        <f t="shared" si="88"/>
        <v/>
      </c>
      <c r="P151" s="2" t="str">
        <f t="shared" si="89"/>
        <v/>
      </c>
      <c r="Q151" s="2" t="str">
        <f t="shared" si="73"/>
        <v/>
      </c>
      <c r="R151" s="2" t="str">
        <f t="shared" si="74"/>
        <v/>
      </c>
      <c r="S151" s="2" t="str">
        <f t="shared" si="75"/>
        <v/>
      </c>
      <c r="T151" s="2" t="str">
        <f t="shared" si="90"/>
        <v/>
      </c>
      <c r="U151" s="2" t="str">
        <f t="shared" si="91"/>
        <v/>
      </c>
      <c r="V151" s="2" t="str">
        <f t="shared" si="92"/>
        <v/>
      </c>
      <c r="W151" s="2" t="str">
        <f t="shared" si="76"/>
        <v/>
      </c>
      <c r="X151" s="2" t="str">
        <f t="shared" si="77"/>
        <v/>
      </c>
      <c r="Y151" s="2" t="str">
        <f t="shared" si="78"/>
        <v/>
      </c>
      <c r="Z151" s="2" t="str">
        <f t="shared" si="93"/>
        <v/>
      </c>
      <c r="AA151" s="2" t="str">
        <f t="shared" si="94"/>
        <v/>
      </c>
      <c r="AB151" s="2" t="str">
        <f t="shared" si="95"/>
        <v/>
      </c>
      <c r="AC151" s="2" t="str">
        <f t="shared" si="79"/>
        <v/>
      </c>
      <c r="AD151" s="2" t="str">
        <f t="shared" si="80"/>
        <v/>
      </c>
      <c r="AE151" s="2" t="str">
        <f t="shared" si="81"/>
        <v/>
      </c>
      <c r="AF151" s="2" t="str">
        <f t="shared" si="82"/>
        <v/>
      </c>
    </row>
    <row r="152" spans="1:32" x14ac:dyDescent="0.2">
      <c r="A152" s="2" t="str">
        <f t="shared" si="83"/>
        <v/>
      </c>
      <c r="B152" s="2" t="str">
        <f t="shared" si="64"/>
        <v/>
      </c>
      <c r="C152" s="2" t="str">
        <f t="shared" si="65"/>
        <v/>
      </c>
      <c r="D152" s="2" t="str">
        <f t="shared" si="66"/>
        <v/>
      </c>
      <c r="E152" s="2" t="str">
        <f t="shared" si="67"/>
        <v/>
      </c>
      <c r="F152" s="2" t="str">
        <f t="shared" si="68"/>
        <v/>
      </c>
      <c r="G152" s="2" t="str">
        <f t="shared" si="69"/>
        <v/>
      </c>
      <c r="H152" s="2" t="str">
        <f t="shared" si="84"/>
        <v/>
      </c>
      <c r="I152" s="2" t="str">
        <f t="shared" si="85"/>
        <v/>
      </c>
      <c r="J152" s="2" t="str">
        <f t="shared" si="86"/>
        <v/>
      </c>
      <c r="K152" s="2" t="str">
        <f t="shared" si="70"/>
        <v/>
      </c>
      <c r="L152" s="2" t="str">
        <f t="shared" si="71"/>
        <v/>
      </c>
      <c r="M152" s="2" t="str">
        <f t="shared" si="72"/>
        <v/>
      </c>
      <c r="N152" s="2" t="str">
        <f t="shared" si="87"/>
        <v/>
      </c>
      <c r="O152" s="2" t="str">
        <f t="shared" si="88"/>
        <v/>
      </c>
      <c r="P152" s="2" t="str">
        <f t="shared" si="89"/>
        <v/>
      </c>
      <c r="Q152" s="2" t="str">
        <f t="shared" si="73"/>
        <v/>
      </c>
      <c r="R152" s="2" t="str">
        <f t="shared" si="74"/>
        <v/>
      </c>
      <c r="S152" s="2" t="str">
        <f t="shared" si="75"/>
        <v/>
      </c>
      <c r="T152" s="2" t="str">
        <f t="shared" si="90"/>
        <v/>
      </c>
      <c r="U152" s="2" t="str">
        <f t="shared" si="91"/>
        <v/>
      </c>
      <c r="V152" s="2" t="str">
        <f t="shared" si="92"/>
        <v/>
      </c>
      <c r="W152" s="2" t="str">
        <f t="shared" si="76"/>
        <v/>
      </c>
      <c r="X152" s="2" t="str">
        <f t="shared" si="77"/>
        <v/>
      </c>
      <c r="Y152" s="2" t="str">
        <f t="shared" si="78"/>
        <v/>
      </c>
      <c r="Z152" s="2" t="str">
        <f t="shared" si="93"/>
        <v/>
      </c>
      <c r="AA152" s="2" t="str">
        <f t="shared" si="94"/>
        <v/>
      </c>
      <c r="AB152" s="2" t="str">
        <f t="shared" si="95"/>
        <v/>
      </c>
      <c r="AC152" s="2" t="str">
        <f t="shared" si="79"/>
        <v/>
      </c>
      <c r="AD152" s="2" t="str">
        <f t="shared" si="80"/>
        <v/>
      </c>
      <c r="AE152" s="2" t="str">
        <f t="shared" si="81"/>
        <v/>
      </c>
      <c r="AF152" s="2" t="str">
        <f t="shared" si="82"/>
        <v/>
      </c>
    </row>
    <row r="153" spans="1:32" x14ac:dyDescent="0.2">
      <c r="A153" s="2" t="str">
        <f t="shared" si="83"/>
        <v/>
      </c>
      <c r="B153" s="2" t="str">
        <f t="shared" si="64"/>
        <v/>
      </c>
      <c r="C153" s="2" t="str">
        <f t="shared" si="65"/>
        <v/>
      </c>
      <c r="D153" s="2" t="str">
        <f t="shared" si="66"/>
        <v/>
      </c>
      <c r="E153" s="2" t="str">
        <f t="shared" si="67"/>
        <v/>
      </c>
      <c r="F153" s="2" t="str">
        <f t="shared" si="68"/>
        <v/>
      </c>
      <c r="G153" s="2" t="str">
        <f t="shared" si="69"/>
        <v/>
      </c>
      <c r="H153" s="2" t="str">
        <f t="shared" si="84"/>
        <v/>
      </c>
      <c r="I153" s="2" t="str">
        <f t="shared" si="85"/>
        <v/>
      </c>
      <c r="J153" s="2" t="str">
        <f t="shared" si="86"/>
        <v/>
      </c>
      <c r="K153" s="2" t="str">
        <f t="shared" si="70"/>
        <v/>
      </c>
      <c r="L153" s="2" t="str">
        <f t="shared" si="71"/>
        <v/>
      </c>
      <c r="M153" s="2" t="str">
        <f t="shared" si="72"/>
        <v/>
      </c>
      <c r="N153" s="2" t="str">
        <f t="shared" si="87"/>
        <v/>
      </c>
      <c r="O153" s="2" t="str">
        <f t="shared" si="88"/>
        <v/>
      </c>
      <c r="P153" s="2" t="str">
        <f t="shared" si="89"/>
        <v/>
      </c>
      <c r="Q153" s="2" t="str">
        <f t="shared" si="73"/>
        <v/>
      </c>
      <c r="R153" s="2" t="str">
        <f t="shared" si="74"/>
        <v/>
      </c>
      <c r="S153" s="2" t="str">
        <f t="shared" si="75"/>
        <v/>
      </c>
      <c r="T153" s="2" t="str">
        <f t="shared" si="90"/>
        <v/>
      </c>
      <c r="U153" s="2" t="str">
        <f t="shared" si="91"/>
        <v/>
      </c>
      <c r="V153" s="2" t="str">
        <f t="shared" si="92"/>
        <v/>
      </c>
      <c r="W153" s="2" t="str">
        <f t="shared" si="76"/>
        <v/>
      </c>
      <c r="X153" s="2" t="str">
        <f t="shared" si="77"/>
        <v/>
      </c>
      <c r="Y153" s="2" t="str">
        <f t="shared" si="78"/>
        <v/>
      </c>
      <c r="Z153" s="2" t="str">
        <f t="shared" si="93"/>
        <v/>
      </c>
      <c r="AA153" s="2" t="str">
        <f t="shared" si="94"/>
        <v/>
      </c>
      <c r="AB153" s="2" t="str">
        <f t="shared" si="95"/>
        <v/>
      </c>
      <c r="AC153" s="2" t="str">
        <f t="shared" si="79"/>
        <v/>
      </c>
      <c r="AD153" s="2" t="str">
        <f t="shared" si="80"/>
        <v/>
      </c>
      <c r="AE153" s="2" t="str">
        <f t="shared" si="81"/>
        <v/>
      </c>
      <c r="AF153" s="2" t="str">
        <f t="shared" si="82"/>
        <v/>
      </c>
    </row>
    <row r="154" spans="1:32" x14ac:dyDescent="0.2">
      <c r="A154" s="2" t="str">
        <f t="shared" si="83"/>
        <v/>
      </c>
      <c r="B154" s="2" t="str">
        <f t="shared" si="64"/>
        <v/>
      </c>
      <c r="C154" s="2" t="str">
        <f t="shared" si="65"/>
        <v/>
      </c>
      <c r="D154" s="2" t="str">
        <f t="shared" si="66"/>
        <v/>
      </c>
      <c r="E154" s="2" t="str">
        <f t="shared" si="67"/>
        <v/>
      </c>
      <c r="F154" s="2" t="str">
        <f t="shared" si="68"/>
        <v/>
      </c>
      <c r="G154" s="2" t="str">
        <f t="shared" si="69"/>
        <v/>
      </c>
      <c r="H154" s="2" t="str">
        <f t="shared" si="84"/>
        <v/>
      </c>
      <c r="I154" s="2" t="str">
        <f t="shared" si="85"/>
        <v/>
      </c>
      <c r="J154" s="2" t="str">
        <f t="shared" si="86"/>
        <v/>
      </c>
      <c r="K154" s="2" t="str">
        <f t="shared" si="70"/>
        <v/>
      </c>
      <c r="L154" s="2" t="str">
        <f t="shared" si="71"/>
        <v/>
      </c>
      <c r="M154" s="2" t="str">
        <f t="shared" si="72"/>
        <v/>
      </c>
      <c r="N154" s="2" t="str">
        <f t="shared" si="87"/>
        <v/>
      </c>
      <c r="O154" s="2" t="str">
        <f t="shared" si="88"/>
        <v/>
      </c>
      <c r="P154" s="2" t="str">
        <f t="shared" si="89"/>
        <v/>
      </c>
      <c r="Q154" s="2" t="str">
        <f t="shared" si="73"/>
        <v/>
      </c>
      <c r="R154" s="2" t="str">
        <f t="shared" si="74"/>
        <v/>
      </c>
      <c r="S154" s="2" t="str">
        <f t="shared" si="75"/>
        <v/>
      </c>
      <c r="T154" s="2" t="str">
        <f t="shared" si="90"/>
        <v/>
      </c>
      <c r="U154" s="2" t="str">
        <f t="shared" si="91"/>
        <v/>
      </c>
      <c r="V154" s="2" t="str">
        <f t="shared" si="92"/>
        <v/>
      </c>
      <c r="W154" s="2" t="str">
        <f t="shared" si="76"/>
        <v/>
      </c>
      <c r="X154" s="2" t="str">
        <f t="shared" si="77"/>
        <v/>
      </c>
      <c r="Y154" s="2" t="str">
        <f t="shared" si="78"/>
        <v/>
      </c>
      <c r="Z154" s="2" t="str">
        <f t="shared" si="93"/>
        <v/>
      </c>
      <c r="AA154" s="2" t="str">
        <f t="shared" si="94"/>
        <v/>
      </c>
      <c r="AB154" s="2" t="str">
        <f t="shared" si="95"/>
        <v/>
      </c>
      <c r="AC154" s="2" t="str">
        <f t="shared" si="79"/>
        <v/>
      </c>
      <c r="AD154" s="2" t="str">
        <f t="shared" si="80"/>
        <v/>
      </c>
      <c r="AE154" s="2" t="str">
        <f t="shared" si="81"/>
        <v/>
      </c>
      <c r="AF154" s="2" t="str">
        <f t="shared" si="82"/>
        <v/>
      </c>
    </row>
    <row r="155" spans="1:32" x14ac:dyDescent="0.2">
      <c r="A155" s="2" t="str">
        <f t="shared" si="83"/>
        <v/>
      </c>
      <c r="B155" s="2" t="str">
        <f t="shared" si="64"/>
        <v/>
      </c>
      <c r="C155" s="2" t="str">
        <f t="shared" si="65"/>
        <v/>
      </c>
      <c r="D155" s="2" t="str">
        <f t="shared" si="66"/>
        <v/>
      </c>
      <c r="E155" s="2" t="str">
        <f t="shared" si="67"/>
        <v/>
      </c>
      <c r="F155" s="2" t="str">
        <f t="shared" si="68"/>
        <v/>
      </c>
      <c r="G155" s="2" t="str">
        <f t="shared" si="69"/>
        <v/>
      </c>
      <c r="H155" s="2" t="str">
        <f t="shared" si="84"/>
        <v/>
      </c>
      <c r="I155" s="2" t="str">
        <f t="shared" si="85"/>
        <v/>
      </c>
      <c r="J155" s="2" t="str">
        <f t="shared" si="86"/>
        <v/>
      </c>
      <c r="K155" s="2" t="str">
        <f t="shared" si="70"/>
        <v/>
      </c>
      <c r="L155" s="2" t="str">
        <f t="shared" si="71"/>
        <v/>
      </c>
      <c r="M155" s="2" t="str">
        <f t="shared" si="72"/>
        <v/>
      </c>
      <c r="N155" s="2" t="str">
        <f t="shared" si="87"/>
        <v/>
      </c>
      <c r="O155" s="2" t="str">
        <f t="shared" si="88"/>
        <v/>
      </c>
      <c r="P155" s="2" t="str">
        <f t="shared" si="89"/>
        <v/>
      </c>
      <c r="Q155" s="2" t="str">
        <f t="shared" si="73"/>
        <v/>
      </c>
      <c r="R155" s="2" t="str">
        <f t="shared" si="74"/>
        <v/>
      </c>
      <c r="S155" s="2" t="str">
        <f t="shared" si="75"/>
        <v/>
      </c>
      <c r="T155" s="2" t="str">
        <f t="shared" si="90"/>
        <v/>
      </c>
      <c r="U155" s="2" t="str">
        <f t="shared" si="91"/>
        <v/>
      </c>
      <c r="V155" s="2" t="str">
        <f t="shared" si="92"/>
        <v/>
      </c>
      <c r="W155" s="2" t="str">
        <f t="shared" si="76"/>
        <v/>
      </c>
      <c r="X155" s="2" t="str">
        <f t="shared" si="77"/>
        <v/>
      </c>
      <c r="Y155" s="2" t="str">
        <f t="shared" si="78"/>
        <v/>
      </c>
      <c r="Z155" s="2" t="str">
        <f t="shared" si="93"/>
        <v/>
      </c>
      <c r="AA155" s="2" t="str">
        <f t="shared" si="94"/>
        <v/>
      </c>
      <c r="AB155" s="2" t="str">
        <f t="shared" si="95"/>
        <v/>
      </c>
      <c r="AC155" s="2" t="str">
        <f t="shared" si="79"/>
        <v/>
      </c>
      <c r="AD155" s="2" t="str">
        <f t="shared" si="80"/>
        <v/>
      </c>
      <c r="AE155" s="2" t="str">
        <f t="shared" si="81"/>
        <v/>
      </c>
      <c r="AF155" s="2" t="str">
        <f t="shared" si="82"/>
        <v/>
      </c>
    </row>
    <row r="156" spans="1:32" x14ac:dyDescent="0.2">
      <c r="A156" s="2" t="str">
        <f t="shared" si="83"/>
        <v/>
      </c>
      <c r="B156" s="2" t="str">
        <f t="shared" si="64"/>
        <v/>
      </c>
      <c r="C156" s="2" t="str">
        <f t="shared" si="65"/>
        <v/>
      </c>
      <c r="D156" s="2" t="str">
        <f t="shared" si="66"/>
        <v/>
      </c>
      <c r="E156" s="2" t="str">
        <f t="shared" si="67"/>
        <v/>
      </c>
      <c r="F156" s="2" t="str">
        <f t="shared" si="68"/>
        <v/>
      </c>
      <c r="G156" s="2" t="str">
        <f t="shared" si="69"/>
        <v/>
      </c>
      <c r="H156" s="2" t="str">
        <f t="shared" si="84"/>
        <v/>
      </c>
      <c r="I156" s="2" t="str">
        <f t="shared" si="85"/>
        <v/>
      </c>
      <c r="J156" s="2" t="str">
        <f t="shared" si="86"/>
        <v/>
      </c>
      <c r="K156" s="2" t="str">
        <f t="shared" si="70"/>
        <v/>
      </c>
      <c r="L156" s="2" t="str">
        <f t="shared" si="71"/>
        <v/>
      </c>
      <c r="M156" s="2" t="str">
        <f t="shared" si="72"/>
        <v/>
      </c>
      <c r="N156" s="2" t="str">
        <f t="shared" si="87"/>
        <v/>
      </c>
      <c r="O156" s="2" t="str">
        <f t="shared" si="88"/>
        <v/>
      </c>
      <c r="P156" s="2" t="str">
        <f t="shared" si="89"/>
        <v/>
      </c>
      <c r="Q156" s="2" t="str">
        <f t="shared" si="73"/>
        <v/>
      </c>
      <c r="R156" s="2" t="str">
        <f t="shared" si="74"/>
        <v/>
      </c>
      <c r="S156" s="2" t="str">
        <f t="shared" si="75"/>
        <v/>
      </c>
      <c r="T156" s="2" t="str">
        <f t="shared" si="90"/>
        <v/>
      </c>
      <c r="U156" s="2" t="str">
        <f t="shared" si="91"/>
        <v/>
      </c>
      <c r="V156" s="2" t="str">
        <f t="shared" si="92"/>
        <v/>
      </c>
      <c r="W156" s="2" t="str">
        <f t="shared" si="76"/>
        <v/>
      </c>
      <c r="X156" s="2" t="str">
        <f t="shared" si="77"/>
        <v/>
      </c>
      <c r="Y156" s="2" t="str">
        <f t="shared" si="78"/>
        <v/>
      </c>
      <c r="Z156" s="2" t="str">
        <f t="shared" si="93"/>
        <v/>
      </c>
      <c r="AA156" s="2" t="str">
        <f t="shared" si="94"/>
        <v/>
      </c>
      <c r="AB156" s="2" t="str">
        <f t="shared" si="95"/>
        <v/>
      </c>
      <c r="AC156" s="2" t="str">
        <f t="shared" si="79"/>
        <v/>
      </c>
      <c r="AD156" s="2" t="str">
        <f t="shared" si="80"/>
        <v/>
      </c>
      <c r="AE156" s="2" t="str">
        <f t="shared" si="81"/>
        <v/>
      </c>
      <c r="AF156" s="2" t="str">
        <f t="shared" si="82"/>
        <v/>
      </c>
    </row>
    <row r="157" spans="1:32" x14ac:dyDescent="0.2">
      <c r="A157" s="2" t="str">
        <f t="shared" si="83"/>
        <v/>
      </c>
      <c r="B157" s="2" t="str">
        <f t="shared" si="64"/>
        <v/>
      </c>
      <c r="C157" s="2" t="str">
        <f t="shared" si="65"/>
        <v/>
      </c>
      <c r="D157" s="2" t="str">
        <f t="shared" si="66"/>
        <v/>
      </c>
      <c r="E157" s="2" t="str">
        <f t="shared" si="67"/>
        <v/>
      </c>
      <c r="F157" s="2" t="str">
        <f t="shared" si="68"/>
        <v/>
      </c>
      <c r="G157" s="2" t="str">
        <f t="shared" si="69"/>
        <v/>
      </c>
      <c r="H157" s="2" t="str">
        <f t="shared" si="84"/>
        <v/>
      </c>
      <c r="I157" s="2" t="str">
        <f t="shared" si="85"/>
        <v/>
      </c>
      <c r="J157" s="2" t="str">
        <f t="shared" si="86"/>
        <v/>
      </c>
      <c r="K157" s="2" t="str">
        <f t="shared" si="70"/>
        <v/>
      </c>
      <c r="L157" s="2" t="str">
        <f t="shared" si="71"/>
        <v/>
      </c>
      <c r="M157" s="2" t="str">
        <f t="shared" si="72"/>
        <v/>
      </c>
      <c r="N157" s="2" t="str">
        <f t="shared" si="87"/>
        <v/>
      </c>
      <c r="O157" s="2" t="str">
        <f t="shared" si="88"/>
        <v/>
      </c>
      <c r="P157" s="2" t="str">
        <f t="shared" si="89"/>
        <v/>
      </c>
      <c r="Q157" s="2" t="str">
        <f t="shared" si="73"/>
        <v/>
      </c>
      <c r="R157" s="2" t="str">
        <f t="shared" si="74"/>
        <v/>
      </c>
      <c r="S157" s="2" t="str">
        <f t="shared" si="75"/>
        <v/>
      </c>
      <c r="T157" s="2" t="str">
        <f t="shared" si="90"/>
        <v/>
      </c>
      <c r="U157" s="2" t="str">
        <f t="shared" si="91"/>
        <v/>
      </c>
      <c r="V157" s="2" t="str">
        <f t="shared" si="92"/>
        <v/>
      </c>
      <c r="W157" s="2" t="str">
        <f t="shared" si="76"/>
        <v/>
      </c>
      <c r="X157" s="2" t="str">
        <f t="shared" si="77"/>
        <v/>
      </c>
      <c r="Y157" s="2" t="str">
        <f t="shared" si="78"/>
        <v/>
      </c>
      <c r="Z157" s="2" t="str">
        <f t="shared" si="93"/>
        <v/>
      </c>
      <c r="AA157" s="2" t="str">
        <f t="shared" si="94"/>
        <v/>
      </c>
      <c r="AB157" s="2" t="str">
        <f t="shared" si="95"/>
        <v/>
      </c>
      <c r="AC157" s="2" t="str">
        <f t="shared" si="79"/>
        <v/>
      </c>
      <c r="AD157" s="2" t="str">
        <f t="shared" si="80"/>
        <v/>
      </c>
      <c r="AE157" s="2" t="str">
        <f t="shared" si="81"/>
        <v/>
      </c>
      <c r="AF157" s="2" t="str">
        <f t="shared" si="82"/>
        <v/>
      </c>
    </row>
    <row r="158" spans="1:32" x14ac:dyDescent="0.2">
      <c r="A158" s="2" t="str">
        <f t="shared" si="83"/>
        <v/>
      </c>
      <c r="B158" s="2" t="str">
        <f t="shared" si="64"/>
        <v/>
      </c>
      <c r="C158" s="2" t="str">
        <f t="shared" si="65"/>
        <v/>
      </c>
      <c r="D158" s="2" t="str">
        <f t="shared" si="66"/>
        <v/>
      </c>
      <c r="E158" s="2" t="str">
        <f t="shared" si="67"/>
        <v/>
      </c>
      <c r="F158" s="2" t="str">
        <f t="shared" si="68"/>
        <v/>
      </c>
      <c r="G158" s="2" t="str">
        <f t="shared" si="69"/>
        <v/>
      </c>
      <c r="H158" s="2" t="str">
        <f t="shared" si="84"/>
        <v/>
      </c>
      <c r="I158" s="2" t="str">
        <f t="shared" si="85"/>
        <v/>
      </c>
      <c r="J158" s="2" t="str">
        <f t="shared" si="86"/>
        <v/>
      </c>
      <c r="K158" s="2" t="str">
        <f t="shared" si="70"/>
        <v/>
      </c>
      <c r="L158" s="2" t="str">
        <f t="shared" si="71"/>
        <v/>
      </c>
      <c r="M158" s="2" t="str">
        <f t="shared" si="72"/>
        <v/>
      </c>
      <c r="N158" s="2" t="str">
        <f t="shared" si="87"/>
        <v/>
      </c>
      <c r="O158" s="2" t="str">
        <f t="shared" si="88"/>
        <v/>
      </c>
      <c r="P158" s="2" t="str">
        <f t="shared" si="89"/>
        <v/>
      </c>
      <c r="Q158" s="2" t="str">
        <f t="shared" si="73"/>
        <v/>
      </c>
      <c r="R158" s="2" t="str">
        <f t="shared" si="74"/>
        <v/>
      </c>
      <c r="S158" s="2" t="str">
        <f t="shared" si="75"/>
        <v/>
      </c>
      <c r="T158" s="2" t="str">
        <f t="shared" si="90"/>
        <v/>
      </c>
      <c r="U158" s="2" t="str">
        <f t="shared" si="91"/>
        <v/>
      </c>
      <c r="V158" s="2" t="str">
        <f t="shared" si="92"/>
        <v/>
      </c>
      <c r="W158" s="2" t="str">
        <f t="shared" si="76"/>
        <v/>
      </c>
      <c r="X158" s="2" t="str">
        <f t="shared" si="77"/>
        <v/>
      </c>
      <c r="Y158" s="2" t="str">
        <f t="shared" si="78"/>
        <v/>
      </c>
      <c r="Z158" s="2" t="str">
        <f t="shared" si="93"/>
        <v/>
      </c>
      <c r="AA158" s="2" t="str">
        <f t="shared" si="94"/>
        <v/>
      </c>
      <c r="AB158" s="2" t="str">
        <f t="shared" si="95"/>
        <v/>
      </c>
      <c r="AC158" s="2" t="str">
        <f t="shared" si="79"/>
        <v/>
      </c>
      <c r="AD158" s="2" t="str">
        <f t="shared" si="80"/>
        <v/>
      </c>
      <c r="AE158" s="2" t="str">
        <f t="shared" si="81"/>
        <v/>
      </c>
      <c r="AF158" s="2" t="str">
        <f t="shared" si="82"/>
        <v/>
      </c>
    </row>
    <row r="159" spans="1:32" x14ac:dyDescent="0.2">
      <c r="A159" s="2" t="str">
        <f t="shared" si="83"/>
        <v/>
      </c>
      <c r="B159" s="2" t="str">
        <f t="shared" si="64"/>
        <v/>
      </c>
      <c r="C159" s="2" t="str">
        <f t="shared" si="65"/>
        <v/>
      </c>
      <c r="D159" s="2" t="str">
        <f t="shared" si="66"/>
        <v/>
      </c>
      <c r="E159" s="2" t="str">
        <f t="shared" si="67"/>
        <v/>
      </c>
      <c r="F159" s="2" t="str">
        <f t="shared" si="68"/>
        <v/>
      </c>
      <c r="G159" s="2" t="str">
        <f t="shared" si="69"/>
        <v/>
      </c>
      <c r="H159" s="2" t="str">
        <f t="shared" si="84"/>
        <v/>
      </c>
      <c r="I159" s="2" t="str">
        <f t="shared" si="85"/>
        <v/>
      </c>
      <c r="J159" s="2" t="str">
        <f t="shared" si="86"/>
        <v/>
      </c>
      <c r="K159" s="2" t="str">
        <f t="shared" si="70"/>
        <v/>
      </c>
      <c r="L159" s="2" t="str">
        <f t="shared" si="71"/>
        <v/>
      </c>
      <c r="M159" s="2" t="str">
        <f t="shared" si="72"/>
        <v/>
      </c>
      <c r="N159" s="2" t="str">
        <f t="shared" si="87"/>
        <v/>
      </c>
      <c r="O159" s="2" t="str">
        <f t="shared" si="88"/>
        <v/>
      </c>
      <c r="P159" s="2" t="str">
        <f t="shared" si="89"/>
        <v/>
      </c>
      <c r="Q159" s="2" t="str">
        <f t="shared" si="73"/>
        <v/>
      </c>
      <c r="R159" s="2" t="str">
        <f t="shared" si="74"/>
        <v/>
      </c>
      <c r="S159" s="2" t="str">
        <f t="shared" si="75"/>
        <v/>
      </c>
      <c r="T159" s="2" t="str">
        <f t="shared" si="90"/>
        <v/>
      </c>
      <c r="U159" s="2" t="str">
        <f t="shared" si="91"/>
        <v/>
      </c>
      <c r="V159" s="2" t="str">
        <f t="shared" si="92"/>
        <v/>
      </c>
      <c r="W159" s="2" t="str">
        <f t="shared" si="76"/>
        <v/>
      </c>
      <c r="X159" s="2" t="str">
        <f t="shared" si="77"/>
        <v/>
      </c>
      <c r="Y159" s="2" t="str">
        <f t="shared" si="78"/>
        <v/>
      </c>
      <c r="Z159" s="2" t="str">
        <f t="shared" si="93"/>
        <v/>
      </c>
      <c r="AA159" s="2" t="str">
        <f t="shared" si="94"/>
        <v/>
      </c>
      <c r="AB159" s="2" t="str">
        <f t="shared" si="95"/>
        <v/>
      </c>
      <c r="AC159" s="2" t="str">
        <f t="shared" si="79"/>
        <v/>
      </c>
      <c r="AD159" s="2" t="str">
        <f t="shared" si="80"/>
        <v/>
      </c>
      <c r="AE159" s="2" t="str">
        <f t="shared" si="81"/>
        <v/>
      </c>
      <c r="AF159" s="2" t="str">
        <f t="shared" si="82"/>
        <v/>
      </c>
    </row>
    <row r="160" spans="1:32" x14ac:dyDescent="0.2">
      <c r="A160" s="2" t="str">
        <f t="shared" si="83"/>
        <v/>
      </c>
      <c r="B160" s="2" t="str">
        <f t="shared" si="64"/>
        <v/>
      </c>
      <c r="C160" s="2" t="str">
        <f t="shared" si="65"/>
        <v/>
      </c>
      <c r="D160" s="2" t="str">
        <f t="shared" si="66"/>
        <v/>
      </c>
      <c r="E160" s="2" t="str">
        <f t="shared" si="67"/>
        <v/>
      </c>
      <c r="F160" s="2" t="str">
        <f t="shared" si="68"/>
        <v/>
      </c>
      <c r="G160" s="2" t="str">
        <f t="shared" si="69"/>
        <v/>
      </c>
      <c r="H160" s="2" t="str">
        <f t="shared" si="84"/>
        <v/>
      </c>
      <c r="I160" s="2" t="str">
        <f t="shared" si="85"/>
        <v/>
      </c>
      <c r="J160" s="2" t="str">
        <f t="shared" si="86"/>
        <v/>
      </c>
      <c r="K160" s="2" t="str">
        <f t="shared" si="70"/>
        <v/>
      </c>
      <c r="L160" s="2" t="str">
        <f t="shared" si="71"/>
        <v/>
      </c>
      <c r="M160" s="2" t="str">
        <f t="shared" si="72"/>
        <v/>
      </c>
      <c r="N160" s="2" t="str">
        <f t="shared" si="87"/>
        <v/>
      </c>
      <c r="O160" s="2" t="str">
        <f t="shared" si="88"/>
        <v/>
      </c>
      <c r="P160" s="2" t="str">
        <f t="shared" si="89"/>
        <v/>
      </c>
      <c r="Q160" s="2" t="str">
        <f t="shared" si="73"/>
        <v/>
      </c>
      <c r="R160" s="2" t="str">
        <f t="shared" si="74"/>
        <v/>
      </c>
      <c r="S160" s="2" t="str">
        <f t="shared" si="75"/>
        <v/>
      </c>
      <c r="T160" s="2" t="str">
        <f t="shared" si="90"/>
        <v/>
      </c>
      <c r="U160" s="2" t="str">
        <f t="shared" si="91"/>
        <v/>
      </c>
      <c r="V160" s="2" t="str">
        <f t="shared" si="92"/>
        <v/>
      </c>
      <c r="W160" s="2" t="str">
        <f t="shared" si="76"/>
        <v/>
      </c>
      <c r="X160" s="2" t="str">
        <f t="shared" si="77"/>
        <v/>
      </c>
      <c r="Y160" s="2" t="str">
        <f t="shared" si="78"/>
        <v/>
      </c>
      <c r="Z160" s="2" t="str">
        <f t="shared" si="93"/>
        <v/>
      </c>
      <c r="AA160" s="2" t="str">
        <f t="shared" si="94"/>
        <v/>
      </c>
      <c r="AB160" s="2" t="str">
        <f t="shared" si="95"/>
        <v/>
      </c>
      <c r="AC160" s="2" t="str">
        <f t="shared" si="79"/>
        <v/>
      </c>
      <c r="AD160" s="2" t="str">
        <f t="shared" si="80"/>
        <v/>
      </c>
      <c r="AE160" s="2" t="str">
        <f t="shared" si="81"/>
        <v/>
      </c>
      <c r="AF160" s="2" t="str">
        <f t="shared" si="82"/>
        <v/>
      </c>
    </row>
    <row r="161" spans="1:32" x14ac:dyDescent="0.2">
      <c r="A161" s="2" t="str">
        <f t="shared" si="83"/>
        <v/>
      </c>
      <c r="B161" s="2" t="str">
        <f t="shared" si="64"/>
        <v/>
      </c>
      <c r="C161" s="2" t="str">
        <f t="shared" si="65"/>
        <v/>
      </c>
      <c r="D161" s="2" t="str">
        <f t="shared" si="66"/>
        <v/>
      </c>
      <c r="E161" s="2" t="str">
        <f t="shared" si="67"/>
        <v/>
      </c>
      <c r="F161" s="2" t="str">
        <f t="shared" si="68"/>
        <v/>
      </c>
      <c r="G161" s="2" t="str">
        <f t="shared" si="69"/>
        <v/>
      </c>
      <c r="H161" s="2" t="str">
        <f t="shared" si="84"/>
        <v/>
      </c>
      <c r="I161" s="2" t="str">
        <f t="shared" si="85"/>
        <v/>
      </c>
      <c r="J161" s="2" t="str">
        <f t="shared" si="86"/>
        <v/>
      </c>
      <c r="K161" s="2" t="str">
        <f t="shared" si="70"/>
        <v/>
      </c>
      <c r="L161" s="2" t="str">
        <f t="shared" si="71"/>
        <v/>
      </c>
      <c r="M161" s="2" t="str">
        <f t="shared" si="72"/>
        <v/>
      </c>
      <c r="N161" s="2" t="str">
        <f t="shared" si="87"/>
        <v/>
      </c>
      <c r="O161" s="2" t="str">
        <f t="shared" si="88"/>
        <v/>
      </c>
      <c r="P161" s="2" t="str">
        <f t="shared" si="89"/>
        <v/>
      </c>
      <c r="Q161" s="2" t="str">
        <f t="shared" si="73"/>
        <v/>
      </c>
      <c r="R161" s="2" t="str">
        <f t="shared" si="74"/>
        <v/>
      </c>
      <c r="S161" s="2" t="str">
        <f t="shared" si="75"/>
        <v/>
      </c>
      <c r="T161" s="2" t="str">
        <f t="shared" si="90"/>
        <v/>
      </c>
      <c r="U161" s="2" t="str">
        <f t="shared" si="91"/>
        <v/>
      </c>
      <c r="V161" s="2" t="str">
        <f t="shared" si="92"/>
        <v/>
      </c>
      <c r="W161" s="2" t="str">
        <f t="shared" si="76"/>
        <v/>
      </c>
      <c r="X161" s="2" t="str">
        <f t="shared" si="77"/>
        <v/>
      </c>
      <c r="Y161" s="2" t="str">
        <f t="shared" si="78"/>
        <v/>
      </c>
      <c r="Z161" s="2" t="str">
        <f t="shared" si="93"/>
        <v/>
      </c>
      <c r="AA161" s="2" t="str">
        <f t="shared" si="94"/>
        <v/>
      </c>
      <c r="AB161" s="2" t="str">
        <f t="shared" si="95"/>
        <v/>
      </c>
      <c r="AC161" s="2" t="str">
        <f t="shared" si="79"/>
        <v/>
      </c>
      <c r="AD161" s="2" t="str">
        <f t="shared" si="80"/>
        <v/>
      </c>
      <c r="AE161" s="2" t="str">
        <f t="shared" si="81"/>
        <v/>
      </c>
      <c r="AF161" s="2" t="str">
        <f t="shared" si="82"/>
        <v/>
      </c>
    </row>
    <row r="162" spans="1:32" x14ac:dyDescent="0.2">
      <c r="A162" s="2" t="str">
        <f t="shared" si="83"/>
        <v/>
      </c>
      <c r="B162" s="2" t="str">
        <f t="shared" si="64"/>
        <v/>
      </c>
      <c r="C162" s="2" t="str">
        <f t="shared" si="65"/>
        <v/>
      </c>
      <c r="D162" s="2" t="str">
        <f t="shared" si="66"/>
        <v/>
      </c>
      <c r="E162" s="2" t="str">
        <f t="shared" si="67"/>
        <v/>
      </c>
      <c r="F162" s="2" t="str">
        <f t="shared" si="68"/>
        <v/>
      </c>
      <c r="G162" s="2" t="str">
        <f t="shared" si="69"/>
        <v/>
      </c>
      <c r="H162" s="2" t="str">
        <f t="shared" si="84"/>
        <v/>
      </c>
      <c r="I162" s="2" t="str">
        <f t="shared" si="85"/>
        <v/>
      </c>
      <c r="J162" s="2" t="str">
        <f t="shared" si="86"/>
        <v/>
      </c>
      <c r="K162" s="2" t="str">
        <f t="shared" si="70"/>
        <v/>
      </c>
      <c r="L162" s="2" t="str">
        <f t="shared" si="71"/>
        <v/>
      </c>
      <c r="M162" s="2" t="str">
        <f t="shared" si="72"/>
        <v/>
      </c>
      <c r="N162" s="2" t="str">
        <f t="shared" si="87"/>
        <v/>
      </c>
      <c r="O162" s="2" t="str">
        <f t="shared" si="88"/>
        <v/>
      </c>
      <c r="P162" s="2" t="str">
        <f t="shared" si="89"/>
        <v/>
      </c>
      <c r="Q162" s="2" t="str">
        <f t="shared" si="73"/>
        <v/>
      </c>
      <c r="R162" s="2" t="str">
        <f t="shared" si="74"/>
        <v/>
      </c>
      <c r="S162" s="2" t="str">
        <f t="shared" si="75"/>
        <v/>
      </c>
      <c r="T162" s="2" t="str">
        <f t="shared" si="90"/>
        <v/>
      </c>
      <c r="U162" s="2" t="str">
        <f t="shared" si="91"/>
        <v/>
      </c>
      <c r="V162" s="2" t="str">
        <f t="shared" si="92"/>
        <v/>
      </c>
      <c r="W162" s="2" t="str">
        <f t="shared" si="76"/>
        <v/>
      </c>
      <c r="X162" s="2" t="str">
        <f t="shared" si="77"/>
        <v/>
      </c>
      <c r="Y162" s="2" t="str">
        <f t="shared" si="78"/>
        <v/>
      </c>
      <c r="Z162" s="2" t="str">
        <f t="shared" si="93"/>
        <v/>
      </c>
      <c r="AA162" s="2" t="str">
        <f t="shared" si="94"/>
        <v/>
      </c>
      <c r="AB162" s="2" t="str">
        <f t="shared" si="95"/>
        <v/>
      </c>
      <c r="AC162" s="2" t="str">
        <f t="shared" si="79"/>
        <v/>
      </c>
      <c r="AD162" s="2" t="str">
        <f t="shared" si="80"/>
        <v/>
      </c>
      <c r="AE162" s="2" t="str">
        <f t="shared" si="81"/>
        <v/>
      </c>
      <c r="AF162" s="2" t="str">
        <f t="shared" si="82"/>
        <v/>
      </c>
    </row>
    <row r="163" spans="1:32" x14ac:dyDescent="0.2">
      <c r="A163" s="2" t="str">
        <f t="shared" si="83"/>
        <v/>
      </c>
      <c r="B163" s="2" t="str">
        <f t="shared" si="64"/>
        <v/>
      </c>
      <c r="C163" s="2" t="str">
        <f t="shared" si="65"/>
        <v/>
      </c>
      <c r="D163" s="2" t="str">
        <f t="shared" si="66"/>
        <v/>
      </c>
      <c r="E163" s="2" t="str">
        <f t="shared" si="67"/>
        <v/>
      </c>
      <c r="F163" s="2" t="str">
        <f t="shared" si="68"/>
        <v/>
      </c>
      <c r="G163" s="2" t="str">
        <f t="shared" si="69"/>
        <v/>
      </c>
      <c r="H163" s="2" t="str">
        <f t="shared" si="84"/>
        <v/>
      </c>
      <c r="I163" s="2" t="str">
        <f t="shared" si="85"/>
        <v/>
      </c>
      <c r="J163" s="2" t="str">
        <f t="shared" si="86"/>
        <v/>
      </c>
      <c r="K163" s="2" t="str">
        <f t="shared" si="70"/>
        <v/>
      </c>
      <c r="L163" s="2" t="str">
        <f t="shared" si="71"/>
        <v/>
      </c>
      <c r="M163" s="2" t="str">
        <f t="shared" si="72"/>
        <v/>
      </c>
      <c r="N163" s="2" t="str">
        <f t="shared" si="87"/>
        <v/>
      </c>
      <c r="O163" s="2" t="str">
        <f t="shared" si="88"/>
        <v/>
      </c>
      <c r="P163" s="2" t="str">
        <f t="shared" si="89"/>
        <v/>
      </c>
      <c r="Q163" s="2" t="str">
        <f t="shared" si="73"/>
        <v/>
      </c>
      <c r="R163" s="2" t="str">
        <f t="shared" si="74"/>
        <v/>
      </c>
      <c r="S163" s="2" t="str">
        <f t="shared" si="75"/>
        <v/>
      </c>
      <c r="T163" s="2" t="str">
        <f t="shared" si="90"/>
        <v/>
      </c>
      <c r="U163" s="2" t="str">
        <f t="shared" si="91"/>
        <v/>
      </c>
      <c r="V163" s="2" t="str">
        <f t="shared" si="92"/>
        <v/>
      </c>
      <c r="W163" s="2" t="str">
        <f t="shared" si="76"/>
        <v/>
      </c>
      <c r="X163" s="2" t="str">
        <f t="shared" si="77"/>
        <v/>
      </c>
      <c r="Y163" s="2" t="str">
        <f t="shared" si="78"/>
        <v/>
      </c>
      <c r="Z163" s="2" t="str">
        <f t="shared" si="93"/>
        <v/>
      </c>
      <c r="AA163" s="2" t="str">
        <f t="shared" si="94"/>
        <v/>
      </c>
      <c r="AB163" s="2" t="str">
        <f t="shared" si="95"/>
        <v/>
      </c>
      <c r="AC163" s="2" t="str">
        <f t="shared" si="79"/>
        <v/>
      </c>
      <c r="AD163" s="2" t="str">
        <f t="shared" si="80"/>
        <v/>
      </c>
      <c r="AE163" s="2" t="str">
        <f t="shared" si="81"/>
        <v/>
      </c>
      <c r="AF163" s="2" t="str">
        <f t="shared" si="82"/>
        <v/>
      </c>
    </row>
    <row r="164" spans="1:32" x14ac:dyDescent="0.2">
      <c r="A164" s="2" t="str">
        <f t="shared" si="83"/>
        <v/>
      </c>
      <c r="B164" s="2" t="str">
        <f t="shared" si="64"/>
        <v/>
      </c>
      <c r="C164" s="2" t="str">
        <f t="shared" si="65"/>
        <v/>
      </c>
      <c r="D164" s="2" t="str">
        <f t="shared" si="66"/>
        <v/>
      </c>
      <c r="E164" s="2" t="str">
        <f t="shared" si="67"/>
        <v/>
      </c>
      <c r="F164" s="2" t="str">
        <f t="shared" si="68"/>
        <v/>
      </c>
      <c r="G164" s="2" t="str">
        <f t="shared" si="69"/>
        <v/>
      </c>
      <c r="H164" s="2" t="str">
        <f t="shared" si="84"/>
        <v/>
      </c>
      <c r="I164" s="2" t="str">
        <f t="shared" si="85"/>
        <v/>
      </c>
      <c r="J164" s="2" t="str">
        <f t="shared" si="86"/>
        <v/>
      </c>
      <c r="K164" s="2" t="str">
        <f t="shared" si="70"/>
        <v/>
      </c>
      <c r="L164" s="2" t="str">
        <f t="shared" si="71"/>
        <v/>
      </c>
      <c r="M164" s="2" t="str">
        <f t="shared" si="72"/>
        <v/>
      </c>
      <c r="N164" s="2" t="str">
        <f t="shared" si="87"/>
        <v/>
      </c>
      <c r="O164" s="2" t="str">
        <f t="shared" si="88"/>
        <v/>
      </c>
      <c r="P164" s="2" t="str">
        <f t="shared" si="89"/>
        <v/>
      </c>
      <c r="Q164" s="2" t="str">
        <f t="shared" si="73"/>
        <v/>
      </c>
      <c r="R164" s="2" t="str">
        <f t="shared" si="74"/>
        <v/>
      </c>
      <c r="S164" s="2" t="str">
        <f t="shared" si="75"/>
        <v/>
      </c>
      <c r="T164" s="2" t="str">
        <f t="shared" si="90"/>
        <v/>
      </c>
      <c r="U164" s="2" t="str">
        <f t="shared" si="91"/>
        <v/>
      </c>
      <c r="V164" s="2" t="str">
        <f t="shared" si="92"/>
        <v/>
      </c>
      <c r="W164" s="2" t="str">
        <f t="shared" si="76"/>
        <v/>
      </c>
      <c r="X164" s="2" t="str">
        <f t="shared" si="77"/>
        <v/>
      </c>
      <c r="Y164" s="2" t="str">
        <f t="shared" si="78"/>
        <v/>
      </c>
      <c r="Z164" s="2" t="str">
        <f t="shared" si="93"/>
        <v/>
      </c>
      <c r="AA164" s="2" t="str">
        <f t="shared" si="94"/>
        <v/>
      </c>
      <c r="AB164" s="2" t="str">
        <f t="shared" si="95"/>
        <v/>
      </c>
      <c r="AC164" s="2" t="str">
        <f t="shared" si="79"/>
        <v/>
      </c>
      <c r="AD164" s="2" t="str">
        <f t="shared" si="80"/>
        <v/>
      </c>
      <c r="AE164" s="2" t="str">
        <f t="shared" si="81"/>
        <v/>
      </c>
      <c r="AF164" s="2" t="str">
        <f t="shared" si="82"/>
        <v/>
      </c>
    </row>
    <row r="165" spans="1:32" x14ac:dyDescent="0.2">
      <c r="A165" s="2" t="str">
        <f t="shared" si="83"/>
        <v/>
      </c>
      <c r="B165" s="2" t="str">
        <f t="shared" si="64"/>
        <v/>
      </c>
      <c r="C165" s="2" t="str">
        <f t="shared" si="65"/>
        <v/>
      </c>
      <c r="D165" s="2" t="str">
        <f t="shared" si="66"/>
        <v/>
      </c>
      <c r="E165" s="2" t="str">
        <f t="shared" si="67"/>
        <v/>
      </c>
      <c r="F165" s="2" t="str">
        <f t="shared" si="68"/>
        <v/>
      </c>
      <c r="G165" s="2" t="str">
        <f t="shared" si="69"/>
        <v/>
      </c>
      <c r="H165" s="2" t="str">
        <f t="shared" si="84"/>
        <v/>
      </c>
      <c r="I165" s="2" t="str">
        <f t="shared" si="85"/>
        <v/>
      </c>
      <c r="J165" s="2" t="str">
        <f t="shared" si="86"/>
        <v/>
      </c>
      <c r="K165" s="2" t="str">
        <f t="shared" si="70"/>
        <v/>
      </c>
      <c r="L165" s="2" t="str">
        <f t="shared" si="71"/>
        <v/>
      </c>
      <c r="M165" s="2" t="str">
        <f t="shared" si="72"/>
        <v/>
      </c>
      <c r="N165" s="2" t="str">
        <f t="shared" si="87"/>
        <v/>
      </c>
      <c r="O165" s="2" t="str">
        <f t="shared" si="88"/>
        <v/>
      </c>
      <c r="P165" s="2" t="str">
        <f t="shared" si="89"/>
        <v/>
      </c>
      <c r="Q165" s="2" t="str">
        <f t="shared" si="73"/>
        <v/>
      </c>
      <c r="R165" s="2" t="str">
        <f t="shared" si="74"/>
        <v/>
      </c>
      <c r="S165" s="2" t="str">
        <f t="shared" si="75"/>
        <v/>
      </c>
      <c r="T165" s="2" t="str">
        <f t="shared" si="90"/>
        <v/>
      </c>
      <c r="U165" s="2" t="str">
        <f t="shared" si="91"/>
        <v/>
      </c>
      <c r="V165" s="2" t="str">
        <f t="shared" si="92"/>
        <v/>
      </c>
      <c r="W165" s="2" t="str">
        <f t="shared" si="76"/>
        <v/>
      </c>
      <c r="X165" s="2" t="str">
        <f t="shared" si="77"/>
        <v/>
      </c>
      <c r="Y165" s="2" t="str">
        <f t="shared" si="78"/>
        <v/>
      </c>
      <c r="Z165" s="2" t="str">
        <f t="shared" si="93"/>
        <v/>
      </c>
      <c r="AA165" s="2" t="str">
        <f t="shared" si="94"/>
        <v/>
      </c>
      <c r="AB165" s="2" t="str">
        <f t="shared" si="95"/>
        <v/>
      </c>
      <c r="AC165" s="2" t="str">
        <f t="shared" si="79"/>
        <v/>
      </c>
      <c r="AD165" s="2" t="str">
        <f t="shared" si="80"/>
        <v/>
      </c>
      <c r="AE165" s="2" t="str">
        <f t="shared" si="81"/>
        <v/>
      </c>
      <c r="AF165" s="2" t="str">
        <f t="shared" si="82"/>
        <v/>
      </c>
    </row>
    <row r="166" spans="1:32" x14ac:dyDescent="0.2">
      <c r="A166" s="2" t="str">
        <f t="shared" si="83"/>
        <v/>
      </c>
      <c r="B166" s="2" t="str">
        <f t="shared" si="64"/>
        <v/>
      </c>
      <c r="C166" s="2" t="str">
        <f t="shared" si="65"/>
        <v/>
      </c>
      <c r="D166" s="2" t="str">
        <f t="shared" si="66"/>
        <v/>
      </c>
      <c r="E166" s="2" t="str">
        <f t="shared" si="67"/>
        <v/>
      </c>
      <c r="F166" s="2" t="str">
        <f t="shared" si="68"/>
        <v/>
      </c>
      <c r="G166" s="2" t="str">
        <f t="shared" si="69"/>
        <v/>
      </c>
      <c r="H166" s="2" t="str">
        <f t="shared" si="84"/>
        <v/>
      </c>
      <c r="I166" s="2" t="str">
        <f t="shared" si="85"/>
        <v/>
      </c>
      <c r="J166" s="2" t="str">
        <f t="shared" si="86"/>
        <v/>
      </c>
      <c r="K166" s="2" t="str">
        <f t="shared" si="70"/>
        <v/>
      </c>
      <c r="L166" s="2" t="str">
        <f t="shared" si="71"/>
        <v/>
      </c>
      <c r="M166" s="2" t="str">
        <f t="shared" si="72"/>
        <v/>
      </c>
      <c r="N166" s="2" t="str">
        <f t="shared" si="87"/>
        <v/>
      </c>
      <c r="O166" s="2" t="str">
        <f t="shared" si="88"/>
        <v/>
      </c>
      <c r="P166" s="2" t="str">
        <f t="shared" si="89"/>
        <v/>
      </c>
      <c r="Q166" s="2" t="str">
        <f t="shared" si="73"/>
        <v/>
      </c>
      <c r="R166" s="2" t="str">
        <f t="shared" si="74"/>
        <v/>
      </c>
      <c r="S166" s="2" t="str">
        <f t="shared" si="75"/>
        <v/>
      </c>
      <c r="T166" s="2" t="str">
        <f t="shared" si="90"/>
        <v/>
      </c>
      <c r="U166" s="2" t="str">
        <f t="shared" si="91"/>
        <v/>
      </c>
      <c r="V166" s="2" t="str">
        <f t="shared" si="92"/>
        <v/>
      </c>
      <c r="W166" s="2" t="str">
        <f t="shared" si="76"/>
        <v/>
      </c>
      <c r="X166" s="2" t="str">
        <f t="shared" si="77"/>
        <v/>
      </c>
      <c r="Y166" s="2" t="str">
        <f t="shared" si="78"/>
        <v/>
      </c>
      <c r="Z166" s="2" t="str">
        <f t="shared" si="93"/>
        <v/>
      </c>
      <c r="AA166" s="2" t="str">
        <f t="shared" si="94"/>
        <v/>
      </c>
      <c r="AB166" s="2" t="str">
        <f t="shared" si="95"/>
        <v/>
      </c>
      <c r="AC166" s="2" t="str">
        <f t="shared" si="79"/>
        <v/>
      </c>
      <c r="AD166" s="2" t="str">
        <f t="shared" si="80"/>
        <v/>
      </c>
      <c r="AE166" s="2" t="str">
        <f t="shared" si="81"/>
        <v/>
      </c>
      <c r="AF166" s="2" t="str">
        <f t="shared" si="82"/>
        <v/>
      </c>
    </row>
    <row r="167" spans="1:32" x14ac:dyDescent="0.2">
      <c r="A167" s="2" t="str">
        <f t="shared" si="83"/>
        <v/>
      </c>
      <c r="B167" s="2" t="str">
        <f t="shared" si="64"/>
        <v/>
      </c>
      <c r="C167" s="2" t="str">
        <f t="shared" si="65"/>
        <v/>
      </c>
      <c r="D167" s="2" t="str">
        <f t="shared" si="66"/>
        <v/>
      </c>
      <c r="E167" s="2" t="str">
        <f t="shared" si="67"/>
        <v/>
      </c>
      <c r="F167" s="2" t="str">
        <f t="shared" si="68"/>
        <v/>
      </c>
      <c r="G167" s="2" t="str">
        <f t="shared" si="69"/>
        <v/>
      </c>
      <c r="H167" s="2" t="str">
        <f t="shared" si="84"/>
        <v/>
      </c>
      <c r="I167" s="2" t="str">
        <f t="shared" si="85"/>
        <v/>
      </c>
      <c r="J167" s="2" t="str">
        <f t="shared" si="86"/>
        <v/>
      </c>
      <c r="K167" s="2" t="str">
        <f t="shared" si="70"/>
        <v/>
      </c>
      <c r="L167" s="2" t="str">
        <f t="shared" si="71"/>
        <v/>
      </c>
      <c r="M167" s="2" t="str">
        <f t="shared" si="72"/>
        <v/>
      </c>
      <c r="N167" s="2" t="str">
        <f t="shared" si="87"/>
        <v/>
      </c>
      <c r="O167" s="2" t="str">
        <f t="shared" si="88"/>
        <v/>
      </c>
      <c r="P167" s="2" t="str">
        <f t="shared" si="89"/>
        <v/>
      </c>
      <c r="Q167" s="2" t="str">
        <f t="shared" si="73"/>
        <v/>
      </c>
      <c r="R167" s="2" t="str">
        <f t="shared" si="74"/>
        <v/>
      </c>
      <c r="S167" s="2" t="str">
        <f t="shared" si="75"/>
        <v/>
      </c>
      <c r="T167" s="2" t="str">
        <f t="shared" si="90"/>
        <v/>
      </c>
      <c r="U167" s="2" t="str">
        <f t="shared" si="91"/>
        <v/>
      </c>
      <c r="V167" s="2" t="str">
        <f t="shared" si="92"/>
        <v/>
      </c>
      <c r="W167" s="2" t="str">
        <f t="shared" si="76"/>
        <v/>
      </c>
      <c r="X167" s="2" t="str">
        <f t="shared" si="77"/>
        <v/>
      </c>
      <c r="Y167" s="2" t="str">
        <f t="shared" si="78"/>
        <v/>
      </c>
      <c r="Z167" s="2" t="str">
        <f t="shared" si="93"/>
        <v/>
      </c>
      <c r="AA167" s="2" t="str">
        <f t="shared" si="94"/>
        <v/>
      </c>
      <c r="AB167" s="2" t="str">
        <f t="shared" si="95"/>
        <v/>
      </c>
      <c r="AC167" s="2" t="str">
        <f t="shared" si="79"/>
        <v/>
      </c>
      <c r="AD167" s="2" t="str">
        <f t="shared" si="80"/>
        <v/>
      </c>
      <c r="AE167" s="2" t="str">
        <f t="shared" si="81"/>
        <v/>
      </c>
      <c r="AF167" s="2" t="str">
        <f t="shared" si="82"/>
        <v/>
      </c>
    </row>
    <row r="168" spans="1:32" x14ac:dyDescent="0.2">
      <c r="A168" s="2" t="str">
        <f t="shared" si="83"/>
        <v/>
      </c>
      <c r="B168" s="2" t="str">
        <f t="shared" si="64"/>
        <v/>
      </c>
      <c r="C168" s="2" t="str">
        <f t="shared" si="65"/>
        <v/>
      </c>
      <c r="D168" s="2" t="str">
        <f t="shared" si="66"/>
        <v/>
      </c>
      <c r="E168" s="2" t="str">
        <f t="shared" si="67"/>
        <v/>
      </c>
      <c r="F168" s="2" t="str">
        <f t="shared" si="68"/>
        <v/>
      </c>
      <c r="G168" s="2" t="str">
        <f t="shared" si="69"/>
        <v/>
      </c>
      <c r="H168" s="2" t="str">
        <f t="shared" si="84"/>
        <v/>
      </c>
      <c r="I168" s="2" t="str">
        <f t="shared" si="85"/>
        <v/>
      </c>
      <c r="J168" s="2" t="str">
        <f t="shared" si="86"/>
        <v/>
      </c>
      <c r="K168" s="2" t="str">
        <f t="shared" si="70"/>
        <v/>
      </c>
      <c r="L168" s="2" t="str">
        <f t="shared" si="71"/>
        <v/>
      </c>
      <c r="M168" s="2" t="str">
        <f t="shared" si="72"/>
        <v/>
      </c>
      <c r="N168" s="2" t="str">
        <f t="shared" si="87"/>
        <v/>
      </c>
      <c r="O168" s="2" t="str">
        <f t="shared" si="88"/>
        <v/>
      </c>
      <c r="P168" s="2" t="str">
        <f t="shared" si="89"/>
        <v/>
      </c>
      <c r="Q168" s="2" t="str">
        <f t="shared" si="73"/>
        <v/>
      </c>
      <c r="R168" s="2" t="str">
        <f t="shared" si="74"/>
        <v/>
      </c>
      <c r="S168" s="2" t="str">
        <f t="shared" si="75"/>
        <v/>
      </c>
      <c r="T168" s="2" t="str">
        <f t="shared" si="90"/>
        <v/>
      </c>
      <c r="U168" s="2" t="str">
        <f t="shared" si="91"/>
        <v/>
      </c>
      <c r="V168" s="2" t="str">
        <f t="shared" si="92"/>
        <v/>
      </c>
      <c r="W168" s="2" t="str">
        <f t="shared" si="76"/>
        <v/>
      </c>
      <c r="X168" s="2" t="str">
        <f t="shared" si="77"/>
        <v/>
      </c>
      <c r="Y168" s="2" t="str">
        <f t="shared" si="78"/>
        <v/>
      </c>
      <c r="Z168" s="2" t="str">
        <f t="shared" si="93"/>
        <v/>
      </c>
      <c r="AA168" s="2" t="str">
        <f t="shared" si="94"/>
        <v/>
      </c>
      <c r="AB168" s="2" t="str">
        <f t="shared" si="95"/>
        <v/>
      </c>
      <c r="AC168" s="2" t="str">
        <f t="shared" si="79"/>
        <v/>
      </c>
      <c r="AD168" s="2" t="str">
        <f t="shared" si="80"/>
        <v/>
      </c>
      <c r="AE168" s="2" t="str">
        <f t="shared" si="81"/>
        <v/>
      </c>
      <c r="AF168" s="2" t="str">
        <f t="shared" si="82"/>
        <v/>
      </c>
    </row>
    <row r="169" spans="1:32" x14ac:dyDescent="0.2">
      <c r="A169" s="2" t="str">
        <f t="shared" si="83"/>
        <v/>
      </c>
      <c r="B169" s="2" t="str">
        <f t="shared" si="64"/>
        <v/>
      </c>
      <c r="C169" s="2" t="str">
        <f t="shared" si="65"/>
        <v/>
      </c>
      <c r="D169" s="2" t="str">
        <f t="shared" si="66"/>
        <v/>
      </c>
      <c r="E169" s="2" t="str">
        <f t="shared" si="67"/>
        <v/>
      </c>
      <c r="F169" s="2" t="str">
        <f t="shared" si="68"/>
        <v/>
      </c>
      <c r="G169" s="2" t="str">
        <f t="shared" si="69"/>
        <v/>
      </c>
      <c r="H169" s="2" t="str">
        <f t="shared" si="84"/>
        <v/>
      </c>
      <c r="I169" s="2" t="str">
        <f t="shared" si="85"/>
        <v/>
      </c>
      <c r="J169" s="2" t="str">
        <f t="shared" si="86"/>
        <v/>
      </c>
      <c r="K169" s="2" t="str">
        <f t="shared" si="70"/>
        <v/>
      </c>
      <c r="L169" s="2" t="str">
        <f t="shared" si="71"/>
        <v/>
      </c>
      <c r="M169" s="2" t="str">
        <f t="shared" si="72"/>
        <v/>
      </c>
      <c r="N169" s="2" t="str">
        <f t="shared" si="87"/>
        <v/>
      </c>
      <c r="O169" s="2" t="str">
        <f t="shared" si="88"/>
        <v/>
      </c>
      <c r="P169" s="2" t="str">
        <f t="shared" si="89"/>
        <v/>
      </c>
      <c r="Q169" s="2" t="str">
        <f t="shared" si="73"/>
        <v/>
      </c>
      <c r="R169" s="2" t="str">
        <f t="shared" si="74"/>
        <v/>
      </c>
      <c r="S169" s="2" t="str">
        <f t="shared" si="75"/>
        <v/>
      </c>
      <c r="T169" s="2" t="str">
        <f t="shared" si="90"/>
        <v/>
      </c>
      <c r="U169" s="2" t="str">
        <f t="shared" si="91"/>
        <v/>
      </c>
      <c r="V169" s="2" t="str">
        <f t="shared" si="92"/>
        <v/>
      </c>
      <c r="W169" s="2" t="str">
        <f t="shared" si="76"/>
        <v/>
      </c>
      <c r="X169" s="2" t="str">
        <f t="shared" si="77"/>
        <v/>
      </c>
      <c r="Y169" s="2" t="str">
        <f t="shared" si="78"/>
        <v/>
      </c>
      <c r="Z169" s="2" t="str">
        <f t="shared" si="93"/>
        <v/>
      </c>
      <c r="AA169" s="2" t="str">
        <f t="shared" si="94"/>
        <v/>
      </c>
      <c r="AB169" s="2" t="str">
        <f t="shared" si="95"/>
        <v/>
      </c>
      <c r="AC169" s="2" t="str">
        <f t="shared" si="79"/>
        <v/>
      </c>
      <c r="AD169" s="2" t="str">
        <f t="shared" si="80"/>
        <v/>
      </c>
      <c r="AE169" s="2" t="str">
        <f t="shared" si="81"/>
        <v/>
      </c>
      <c r="AF169" s="2" t="str">
        <f t="shared" si="82"/>
        <v/>
      </c>
    </row>
    <row r="170" spans="1:32" x14ac:dyDescent="0.2">
      <c r="A170" s="2" t="str">
        <f t="shared" si="83"/>
        <v/>
      </c>
      <c r="B170" s="2" t="str">
        <f t="shared" si="64"/>
        <v/>
      </c>
      <c r="C170" s="2" t="str">
        <f t="shared" si="65"/>
        <v/>
      </c>
      <c r="D170" s="2" t="str">
        <f t="shared" si="66"/>
        <v/>
      </c>
      <c r="E170" s="2" t="str">
        <f t="shared" si="67"/>
        <v/>
      </c>
      <c r="F170" s="2" t="str">
        <f t="shared" si="68"/>
        <v/>
      </c>
      <c r="G170" s="2" t="str">
        <f t="shared" si="69"/>
        <v/>
      </c>
      <c r="H170" s="2" t="str">
        <f t="shared" si="84"/>
        <v/>
      </c>
      <c r="I170" s="2" t="str">
        <f t="shared" si="85"/>
        <v/>
      </c>
      <c r="J170" s="2" t="str">
        <f t="shared" si="86"/>
        <v/>
      </c>
      <c r="K170" s="2" t="str">
        <f t="shared" si="70"/>
        <v/>
      </c>
      <c r="L170" s="2" t="str">
        <f t="shared" si="71"/>
        <v/>
      </c>
      <c r="M170" s="2" t="str">
        <f t="shared" si="72"/>
        <v/>
      </c>
      <c r="N170" s="2" t="str">
        <f t="shared" si="87"/>
        <v/>
      </c>
      <c r="O170" s="2" t="str">
        <f t="shared" si="88"/>
        <v/>
      </c>
      <c r="P170" s="2" t="str">
        <f t="shared" si="89"/>
        <v/>
      </c>
      <c r="Q170" s="2" t="str">
        <f t="shared" si="73"/>
        <v/>
      </c>
      <c r="R170" s="2" t="str">
        <f t="shared" si="74"/>
        <v/>
      </c>
      <c r="S170" s="2" t="str">
        <f t="shared" si="75"/>
        <v/>
      </c>
      <c r="T170" s="2" t="str">
        <f t="shared" si="90"/>
        <v/>
      </c>
      <c r="U170" s="2" t="str">
        <f t="shared" si="91"/>
        <v/>
      </c>
      <c r="V170" s="2" t="str">
        <f t="shared" si="92"/>
        <v/>
      </c>
      <c r="W170" s="2" t="str">
        <f t="shared" si="76"/>
        <v/>
      </c>
      <c r="X170" s="2" t="str">
        <f t="shared" si="77"/>
        <v/>
      </c>
      <c r="Y170" s="2" t="str">
        <f t="shared" si="78"/>
        <v/>
      </c>
      <c r="Z170" s="2" t="str">
        <f t="shared" si="93"/>
        <v/>
      </c>
      <c r="AA170" s="2" t="str">
        <f t="shared" si="94"/>
        <v/>
      </c>
      <c r="AB170" s="2" t="str">
        <f t="shared" si="95"/>
        <v/>
      </c>
      <c r="AC170" s="2" t="str">
        <f t="shared" si="79"/>
        <v/>
      </c>
      <c r="AD170" s="2" t="str">
        <f t="shared" si="80"/>
        <v/>
      </c>
      <c r="AE170" s="2" t="str">
        <f t="shared" si="81"/>
        <v/>
      </c>
      <c r="AF170" s="2" t="str">
        <f t="shared" si="82"/>
        <v/>
      </c>
    </row>
    <row r="171" spans="1:32" x14ac:dyDescent="0.2">
      <c r="A171" s="2" t="str">
        <f t="shared" si="83"/>
        <v/>
      </c>
      <c r="B171" s="2" t="str">
        <f t="shared" si="64"/>
        <v/>
      </c>
      <c r="C171" s="2" t="str">
        <f t="shared" si="65"/>
        <v/>
      </c>
      <c r="D171" s="2" t="str">
        <f t="shared" si="66"/>
        <v/>
      </c>
      <c r="E171" s="2" t="str">
        <f t="shared" si="67"/>
        <v/>
      </c>
      <c r="F171" s="2" t="str">
        <f t="shared" si="68"/>
        <v/>
      </c>
      <c r="G171" s="2" t="str">
        <f t="shared" si="69"/>
        <v/>
      </c>
      <c r="H171" s="2" t="str">
        <f t="shared" si="84"/>
        <v/>
      </c>
      <c r="I171" s="2" t="str">
        <f t="shared" si="85"/>
        <v/>
      </c>
      <c r="J171" s="2" t="str">
        <f t="shared" si="86"/>
        <v/>
      </c>
      <c r="K171" s="2" t="str">
        <f t="shared" si="70"/>
        <v/>
      </c>
      <c r="L171" s="2" t="str">
        <f t="shared" si="71"/>
        <v/>
      </c>
      <c r="M171" s="2" t="str">
        <f t="shared" si="72"/>
        <v/>
      </c>
      <c r="N171" s="2" t="str">
        <f t="shared" si="87"/>
        <v/>
      </c>
      <c r="O171" s="2" t="str">
        <f t="shared" si="88"/>
        <v/>
      </c>
      <c r="P171" s="2" t="str">
        <f t="shared" si="89"/>
        <v/>
      </c>
      <c r="Q171" s="2" t="str">
        <f t="shared" si="73"/>
        <v/>
      </c>
      <c r="R171" s="2" t="str">
        <f t="shared" si="74"/>
        <v/>
      </c>
      <c r="S171" s="2" t="str">
        <f t="shared" si="75"/>
        <v/>
      </c>
      <c r="T171" s="2" t="str">
        <f t="shared" si="90"/>
        <v/>
      </c>
      <c r="U171" s="2" t="str">
        <f t="shared" si="91"/>
        <v/>
      </c>
      <c r="V171" s="2" t="str">
        <f t="shared" si="92"/>
        <v/>
      </c>
      <c r="W171" s="2" t="str">
        <f t="shared" si="76"/>
        <v/>
      </c>
      <c r="X171" s="2" t="str">
        <f t="shared" si="77"/>
        <v/>
      </c>
      <c r="Y171" s="2" t="str">
        <f t="shared" si="78"/>
        <v/>
      </c>
      <c r="Z171" s="2" t="str">
        <f t="shared" si="93"/>
        <v/>
      </c>
      <c r="AA171" s="2" t="str">
        <f t="shared" si="94"/>
        <v/>
      </c>
      <c r="AB171" s="2" t="str">
        <f t="shared" si="95"/>
        <v/>
      </c>
      <c r="AC171" s="2" t="str">
        <f t="shared" si="79"/>
        <v/>
      </c>
      <c r="AD171" s="2" t="str">
        <f t="shared" si="80"/>
        <v/>
      </c>
      <c r="AE171" s="2" t="str">
        <f t="shared" si="81"/>
        <v/>
      </c>
      <c r="AF171" s="2" t="str">
        <f t="shared" si="82"/>
        <v/>
      </c>
    </row>
    <row r="172" spans="1:32" x14ac:dyDescent="0.2">
      <c r="A172" s="2" t="str">
        <f t="shared" si="83"/>
        <v/>
      </c>
      <c r="B172" s="2" t="str">
        <f t="shared" si="64"/>
        <v/>
      </c>
      <c r="C172" s="2" t="str">
        <f t="shared" si="65"/>
        <v/>
      </c>
      <c r="D172" s="2" t="str">
        <f t="shared" si="66"/>
        <v/>
      </c>
      <c r="E172" s="2" t="str">
        <f t="shared" si="67"/>
        <v/>
      </c>
      <c r="F172" s="2" t="str">
        <f t="shared" si="68"/>
        <v/>
      </c>
      <c r="G172" s="2" t="str">
        <f t="shared" si="69"/>
        <v/>
      </c>
      <c r="H172" s="2" t="str">
        <f t="shared" si="84"/>
        <v/>
      </c>
      <c r="I172" s="2" t="str">
        <f t="shared" si="85"/>
        <v/>
      </c>
      <c r="J172" s="2" t="str">
        <f t="shared" si="86"/>
        <v/>
      </c>
      <c r="K172" s="2" t="str">
        <f t="shared" si="70"/>
        <v/>
      </c>
      <c r="L172" s="2" t="str">
        <f t="shared" si="71"/>
        <v/>
      </c>
      <c r="M172" s="2" t="str">
        <f t="shared" si="72"/>
        <v/>
      </c>
      <c r="N172" s="2" t="str">
        <f t="shared" si="87"/>
        <v/>
      </c>
      <c r="O172" s="2" t="str">
        <f t="shared" si="88"/>
        <v/>
      </c>
      <c r="P172" s="2" t="str">
        <f t="shared" si="89"/>
        <v/>
      </c>
      <c r="Q172" s="2" t="str">
        <f t="shared" si="73"/>
        <v/>
      </c>
      <c r="R172" s="2" t="str">
        <f t="shared" si="74"/>
        <v/>
      </c>
      <c r="S172" s="2" t="str">
        <f t="shared" si="75"/>
        <v/>
      </c>
      <c r="T172" s="2" t="str">
        <f t="shared" si="90"/>
        <v/>
      </c>
      <c r="U172" s="2" t="str">
        <f t="shared" si="91"/>
        <v/>
      </c>
      <c r="V172" s="2" t="str">
        <f t="shared" si="92"/>
        <v/>
      </c>
      <c r="W172" s="2" t="str">
        <f t="shared" si="76"/>
        <v/>
      </c>
      <c r="X172" s="2" t="str">
        <f t="shared" si="77"/>
        <v/>
      </c>
      <c r="Y172" s="2" t="str">
        <f t="shared" si="78"/>
        <v/>
      </c>
      <c r="Z172" s="2" t="str">
        <f t="shared" si="93"/>
        <v/>
      </c>
      <c r="AA172" s="2" t="str">
        <f t="shared" si="94"/>
        <v/>
      </c>
      <c r="AB172" s="2" t="str">
        <f t="shared" si="95"/>
        <v/>
      </c>
      <c r="AC172" s="2" t="str">
        <f t="shared" si="79"/>
        <v/>
      </c>
      <c r="AD172" s="2" t="str">
        <f t="shared" si="80"/>
        <v/>
      </c>
      <c r="AE172" s="2" t="str">
        <f t="shared" si="81"/>
        <v/>
      </c>
      <c r="AF172" s="2" t="str">
        <f t="shared" si="82"/>
        <v/>
      </c>
    </row>
    <row r="173" spans="1:32" x14ac:dyDescent="0.2">
      <c r="A173" s="2" t="str">
        <f t="shared" si="83"/>
        <v/>
      </c>
      <c r="B173" s="2" t="str">
        <f t="shared" si="64"/>
        <v/>
      </c>
      <c r="C173" s="2" t="str">
        <f t="shared" si="65"/>
        <v/>
      </c>
      <c r="D173" s="2" t="str">
        <f t="shared" si="66"/>
        <v/>
      </c>
      <c r="E173" s="2" t="str">
        <f t="shared" si="67"/>
        <v/>
      </c>
      <c r="F173" s="2" t="str">
        <f t="shared" si="68"/>
        <v/>
      </c>
      <c r="G173" s="2" t="str">
        <f t="shared" si="69"/>
        <v/>
      </c>
      <c r="H173" s="2" t="str">
        <f t="shared" si="84"/>
        <v/>
      </c>
      <c r="I173" s="2" t="str">
        <f t="shared" si="85"/>
        <v/>
      </c>
      <c r="J173" s="2" t="str">
        <f t="shared" si="86"/>
        <v/>
      </c>
      <c r="K173" s="2" t="str">
        <f t="shared" si="70"/>
        <v/>
      </c>
      <c r="L173" s="2" t="str">
        <f t="shared" si="71"/>
        <v/>
      </c>
      <c r="M173" s="2" t="str">
        <f t="shared" si="72"/>
        <v/>
      </c>
      <c r="N173" s="2" t="str">
        <f t="shared" si="87"/>
        <v/>
      </c>
      <c r="O173" s="2" t="str">
        <f t="shared" si="88"/>
        <v/>
      </c>
      <c r="P173" s="2" t="str">
        <f t="shared" si="89"/>
        <v/>
      </c>
      <c r="Q173" s="2" t="str">
        <f t="shared" si="73"/>
        <v/>
      </c>
      <c r="R173" s="2" t="str">
        <f t="shared" si="74"/>
        <v/>
      </c>
      <c r="S173" s="2" t="str">
        <f t="shared" si="75"/>
        <v/>
      </c>
      <c r="T173" s="2" t="str">
        <f t="shared" si="90"/>
        <v/>
      </c>
      <c r="U173" s="2" t="str">
        <f t="shared" si="91"/>
        <v/>
      </c>
      <c r="V173" s="2" t="str">
        <f t="shared" si="92"/>
        <v/>
      </c>
      <c r="W173" s="2" t="str">
        <f t="shared" si="76"/>
        <v/>
      </c>
      <c r="X173" s="2" t="str">
        <f t="shared" si="77"/>
        <v/>
      </c>
      <c r="Y173" s="2" t="str">
        <f t="shared" si="78"/>
        <v/>
      </c>
      <c r="Z173" s="2" t="str">
        <f t="shared" si="93"/>
        <v/>
      </c>
      <c r="AA173" s="2" t="str">
        <f t="shared" si="94"/>
        <v/>
      </c>
      <c r="AB173" s="2" t="str">
        <f t="shared" si="95"/>
        <v/>
      </c>
      <c r="AC173" s="2" t="str">
        <f t="shared" si="79"/>
        <v/>
      </c>
      <c r="AD173" s="2" t="str">
        <f t="shared" si="80"/>
        <v/>
      </c>
      <c r="AE173" s="2" t="str">
        <f t="shared" si="81"/>
        <v/>
      </c>
      <c r="AF173" s="2" t="str">
        <f t="shared" si="82"/>
        <v/>
      </c>
    </row>
    <row r="174" spans="1:32" x14ac:dyDescent="0.2">
      <c r="A174" s="2" t="str">
        <f t="shared" si="83"/>
        <v/>
      </c>
      <c r="B174" s="2" t="str">
        <f t="shared" si="64"/>
        <v/>
      </c>
      <c r="C174" s="2" t="str">
        <f t="shared" si="65"/>
        <v/>
      </c>
      <c r="D174" s="2" t="str">
        <f t="shared" si="66"/>
        <v/>
      </c>
      <c r="E174" s="2" t="str">
        <f t="shared" si="67"/>
        <v/>
      </c>
      <c r="F174" s="2" t="str">
        <f t="shared" si="68"/>
        <v/>
      </c>
      <c r="G174" s="2" t="str">
        <f t="shared" si="69"/>
        <v/>
      </c>
      <c r="H174" s="2" t="str">
        <f t="shared" si="84"/>
        <v/>
      </c>
      <c r="I174" s="2" t="str">
        <f t="shared" si="85"/>
        <v/>
      </c>
      <c r="J174" s="2" t="str">
        <f t="shared" si="86"/>
        <v/>
      </c>
      <c r="K174" s="2" t="str">
        <f t="shared" si="70"/>
        <v/>
      </c>
      <c r="L174" s="2" t="str">
        <f t="shared" si="71"/>
        <v/>
      </c>
      <c r="M174" s="2" t="str">
        <f t="shared" si="72"/>
        <v/>
      </c>
      <c r="N174" s="2" t="str">
        <f t="shared" si="87"/>
        <v/>
      </c>
      <c r="O174" s="2" t="str">
        <f t="shared" si="88"/>
        <v/>
      </c>
      <c r="P174" s="2" t="str">
        <f t="shared" si="89"/>
        <v/>
      </c>
      <c r="Q174" s="2" t="str">
        <f t="shared" si="73"/>
        <v/>
      </c>
      <c r="R174" s="2" t="str">
        <f t="shared" si="74"/>
        <v/>
      </c>
      <c r="S174" s="2" t="str">
        <f t="shared" si="75"/>
        <v/>
      </c>
      <c r="T174" s="2" t="str">
        <f t="shared" si="90"/>
        <v/>
      </c>
      <c r="U174" s="2" t="str">
        <f t="shared" si="91"/>
        <v/>
      </c>
      <c r="V174" s="2" t="str">
        <f t="shared" si="92"/>
        <v/>
      </c>
      <c r="W174" s="2" t="str">
        <f t="shared" si="76"/>
        <v/>
      </c>
      <c r="X174" s="2" t="str">
        <f t="shared" si="77"/>
        <v/>
      </c>
      <c r="Y174" s="2" t="str">
        <f t="shared" si="78"/>
        <v/>
      </c>
      <c r="Z174" s="2" t="str">
        <f t="shared" si="93"/>
        <v/>
      </c>
      <c r="AA174" s="2" t="str">
        <f t="shared" si="94"/>
        <v/>
      </c>
      <c r="AB174" s="2" t="str">
        <f t="shared" si="95"/>
        <v/>
      </c>
      <c r="AC174" s="2" t="str">
        <f t="shared" si="79"/>
        <v/>
      </c>
      <c r="AD174" s="2" t="str">
        <f t="shared" si="80"/>
        <v/>
      </c>
      <c r="AE174" s="2" t="str">
        <f t="shared" si="81"/>
        <v/>
      </c>
      <c r="AF174" s="2" t="str">
        <f t="shared" si="82"/>
        <v/>
      </c>
    </row>
    <row r="175" spans="1:32" x14ac:dyDescent="0.2">
      <c r="A175" s="2" t="str">
        <f t="shared" si="83"/>
        <v/>
      </c>
      <c r="B175" s="2" t="str">
        <f t="shared" si="64"/>
        <v/>
      </c>
      <c r="C175" s="2" t="str">
        <f t="shared" si="65"/>
        <v/>
      </c>
      <c r="D175" s="2" t="str">
        <f t="shared" si="66"/>
        <v/>
      </c>
      <c r="E175" s="2" t="str">
        <f t="shared" si="67"/>
        <v/>
      </c>
      <c r="F175" s="2" t="str">
        <f t="shared" si="68"/>
        <v/>
      </c>
      <c r="G175" s="2" t="str">
        <f t="shared" si="69"/>
        <v/>
      </c>
      <c r="H175" s="2" t="str">
        <f t="shared" si="84"/>
        <v/>
      </c>
      <c r="I175" s="2" t="str">
        <f t="shared" si="85"/>
        <v/>
      </c>
      <c r="J175" s="2" t="str">
        <f t="shared" si="86"/>
        <v/>
      </c>
      <c r="K175" s="2" t="str">
        <f t="shared" si="70"/>
        <v/>
      </c>
      <c r="L175" s="2" t="str">
        <f t="shared" si="71"/>
        <v/>
      </c>
      <c r="M175" s="2" t="str">
        <f t="shared" si="72"/>
        <v/>
      </c>
      <c r="N175" s="2" t="str">
        <f t="shared" si="87"/>
        <v/>
      </c>
      <c r="O175" s="2" t="str">
        <f t="shared" si="88"/>
        <v/>
      </c>
      <c r="P175" s="2" t="str">
        <f t="shared" si="89"/>
        <v/>
      </c>
      <c r="Q175" s="2" t="str">
        <f t="shared" si="73"/>
        <v/>
      </c>
      <c r="R175" s="2" t="str">
        <f t="shared" si="74"/>
        <v/>
      </c>
      <c r="S175" s="2" t="str">
        <f t="shared" si="75"/>
        <v/>
      </c>
      <c r="T175" s="2" t="str">
        <f t="shared" si="90"/>
        <v/>
      </c>
      <c r="U175" s="2" t="str">
        <f t="shared" si="91"/>
        <v/>
      </c>
      <c r="V175" s="2" t="str">
        <f t="shared" si="92"/>
        <v/>
      </c>
      <c r="W175" s="2" t="str">
        <f t="shared" si="76"/>
        <v/>
      </c>
      <c r="X175" s="2" t="str">
        <f t="shared" si="77"/>
        <v/>
      </c>
      <c r="Y175" s="2" t="str">
        <f t="shared" si="78"/>
        <v/>
      </c>
      <c r="Z175" s="2" t="str">
        <f t="shared" si="93"/>
        <v/>
      </c>
      <c r="AA175" s="2" t="str">
        <f t="shared" si="94"/>
        <v/>
      </c>
      <c r="AB175" s="2" t="str">
        <f t="shared" si="95"/>
        <v/>
      </c>
      <c r="AC175" s="2" t="str">
        <f t="shared" si="79"/>
        <v/>
      </c>
      <c r="AD175" s="2" t="str">
        <f t="shared" si="80"/>
        <v/>
      </c>
      <c r="AE175" s="2" t="str">
        <f t="shared" si="81"/>
        <v/>
      </c>
      <c r="AF175" s="2" t="str">
        <f t="shared" si="82"/>
        <v/>
      </c>
    </row>
    <row r="176" spans="1:32" x14ac:dyDescent="0.2">
      <c r="A176" s="2" t="str">
        <f t="shared" si="83"/>
        <v/>
      </c>
      <c r="B176" s="2" t="str">
        <f t="shared" si="64"/>
        <v/>
      </c>
      <c r="C176" s="2" t="str">
        <f t="shared" si="65"/>
        <v/>
      </c>
      <c r="D176" s="2" t="str">
        <f t="shared" si="66"/>
        <v/>
      </c>
      <c r="E176" s="2" t="str">
        <f t="shared" si="67"/>
        <v/>
      </c>
      <c r="F176" s="2" t="str">
        <f t="shared" si="68"/>
        <v/>
      </c>
      <c r="G176" s="2" t="str">
        <f t="shared" si="69"/>
        <v/>
      </c>
      <c r="H176" s="2" t="str">
        <f t="shared" si="84"/>
        <v/>
      </c>
      <c r="I176" s="2" t="str">
        <f t="shared" si="85"/>
        <v/>
      </c>
      <c r="J176" s="2" t="str">
        <f t="shared" si="86"/>
        <v/>
      </c>
      <c r="K176" s="2" t="str">
        <f t="shared" si="70"/>
        <v/>
      </c>
      <c r="L176" s="2" t="str">
        <f t="shared" si="71"/>
        <v/>
      </c>
      <c r="M176" s="2" t="str">
        <f t="shared" si="72"/>
        <v/>
      </c>
      <c r="N176" s="2" t="str">
        <f t="shared" si="87"/>
        <v/>
      </c>
      <c r="O176" s="2" t="str">
        <f t="shared" si="88"/>
        <v/>
      </c>
      <c r="P176" s="2" t="str">
        <f t="shared" si="89"/>
        <v/>
      </c>
      <c r="Q176" s="2" t="str">
        <f t="shared" si="73"/>
        <v/>
      </c>
      <c r="R176" s="2" t="str">
        <f t="shared" si="74"/>
        <v/>
      </c>
      <c r="S176" s="2" t="str">
        <f t="shared" si="75"/>
        <v/>
      </c>
      <c r="T176" s="2" t="str">
        <f t="shared" si="90"/>
        <v/>
      </c>
      <c r="U176" s="2" t="str">
        <f t="shared" si="91"/>
        <v/>
      </c>
      <c r="V176" s="2" t="str">
        <f t="shared" si="92"/>
        <v/>
      </c>
      <c r="W176" s="2" t="str">
        <f t="shared" si="76"/>
        <v/>
      </c>
      <c r="X176" s="2" t="str">
        <f t="shared" si="77"/>
        <v/>
      </c>
      <c r="Y176" s="2" t="str">
        <f t="shared" si="78"/>
        <v/>
      </c>
      <c r="Z176" s="2" t="str">
        <f t="shared" si="93"/>
        <v/>
      </c>
      <c r="AA176" s="2" t="str">
        <f t="shared" si="94"/>
        <v/>
      </c>
      <c r="AB176" s="2" t="str">
        <f t="shared" si="95"/>
        <v/>
      </c>
      <c r="AC176" s="2" t="str">
        <f t="shared" si="79"/>
        <v/>
      </c>
      <c r="AD176" s="2" t="str">
        <f t="shared" si="80"/>
        <v/>
      </c>
      <c r="AE176" s="2" t="str">
        <f t="shared" si="81"/>
        <v/>
      </c>
      <c r="AF176" s="2" t="str">
        <f t="shared" si="82"/>
        <v/>
      </c>
    </row>
    <row r="177" spans="1:32" x14ac:dyDescent="0.2">
      <c r="A177" s="2" t="str">
        <f t="shared" si="83"/>
        <v/>
      </c>
      <c r="B177" s="2" t="str">
        <f t="shared" si="64"/>
        <v/>
      </c>
      <c r="C177" s="2" t="str">
        <f t="shared" si="65"/>
        <v/>
      </c>
      <c r="D177" s="2" t="str">
        <f t="shared" si="66"/>
        <v/>
      </c>
      <c r="E177" s="2" t="str">
        <f t="shared" si="67"/>
        <v/>
      </c>
      <c r="F177" s="2" t="str">
        <f t="shared" si="68"/>
        <v/>
      </c>
      <c r="G177" s="2" t="str">
        <f t="shared" si="69"/>
        <v/>
      </c>
      <c r="H177" s="2" t="str">
        <f t="shared" si="84"/>
        <v/>
      </c>
      <c r="I177" s="2" t="str">
        <f t="shared" si="85"/>
        <v/>
      </c>
      <c r="J177" s="2" t="str">
        <f t="shared" si="86"/>
        <v/>
      </c>
      <c r="K177" s="2" t="str">
        <f t="shared" si="70"/>
        <v/>
      </c>
      <c r="L177" s="2" t="str">
        <f t="shared" si="71"/>
        <v/>
      </c>
      <c r="M177" s="2" t="str">
        <f t="shared" si="72"/>
        <v/>
      </c>
      <c r="N177" s="2" t="str">
        <f t="shared" si="87"/>
        <v/>
      </c>
      <c r="O177" s="2" t="str">
        <f t="shared" si="88"/>
        <v/>
      </c>
      <c r="P177" s="2" t="str">
        <f t="shared" si="89"/>
        <v/>
      </c>
      <c r="Q177" s="2" t="str">
        <f t="shared" si="73"/>
        <v/>
      </c>
      <c r="R177" s="2" t="str">
        <f t="shared" si="74"/>
        <v/>
      </c>
      <c r="S177" s="2" t="str">
        <f t="shared" si="75"/>
        <v/>
      </c>
      <c r="T177" s="2" t="str">
        <f t="shared" si="90"/>
        <v/>
      </c>
      <c r="U177" s="2" t="str">
        <f t="shared" si="91"/>
        <v/>
      </c>
      <c r="V177" s="2" t="str">
        <f t="shared" si="92"/>
        <v/>
      </c>
      <c r="W177" s="2" t="str">
        <f t="shared" si="76"/>
        <v/>
      </c>
      <c r="X177" s="2" t="str">
        <f t="shared" si="77"/>
        <v/>
      </c>
      <c r="Y177" s="2" t="str">
        <f t="shared" si="78"/>
        <v/>
      </c>
      <c r="Z177" s="2" t="str">
        <f t="shared" si="93"/>
        <v/>
      </c>
      <c r="AA177" s="2" t="str">
        <f t="shared" si="94"/>
        <v/>
      </c>
      <c r="AB177" s="2" t="str">
        <f t="shared" si="95"/>
        <v/>
      </c>
      <c r="AC177" s="2" t="str">
        <f t="shared" si="79"/>
        <v/>
      </c>
      <c r="AD177" s="2" t="str">
        <f t="shared" si="80"/>
        <v/>
      </c>
      <c r="AE177" s="2" t="str">
        <f t="shared" si="81"/>
        <v/>
      </c>
      <c r="AF177" s="2" t="str">
        <f t="shared" si="82"/>
        <v/>
      </c>
    </row>
    <row r="178" spans="1:32" x14ac:dyDescent="0.2">
      <c r="A178" s="2" t="str">
        <f t="shared" si="83"/>
        <v/>
      </c>
      <c r="B178" s="2" t="str">
        <f t="shared" si="64"/>
        <v/>
      </c>
      <c r="C178" s="2" t="str">
        <f t="shared" si="65"/>
        <v/>
      </c>
      <c r="D178" s="2" t="str">
        <f t="shared" si="66"/>
        <v/>
      </c>
      <c r="E178" s="2" t="str">
        <f t="shared" si="67"/>
        <v/>
      </c>
      <c r="F178" s="2" t="str">
        <f t="shared" si="68"/>
        <v/>
      </c>
      <c r="G178" s="2" t="str">
        <f t="shared" si="69"/>
        <v/>
      </c>
      <c r="H178" s="2" t="str">
        <f t="shared" si="84"/>
        <v/>
      </c>
      <c r="I178" s="2" t="str">
        <f t="shared" si="85"/>
        <v/>
      </c>
      <c r="J178" s="2" t="str">
        <f t="shared" si="86"/>
        <v/>
      </c>
      <c r="K178" s="2" t="str">
        <f t="shared" si="70"/>
        <v/>
      </c>
      <c r="L178" s="2" t="str">
        <f t="shared" si="71"/>
        <v/>
      </c>
      <c r="M178" s="2" t="str">
        <f t="shared" si="72"/>
        <v/>
      </c>
      <c r="N178" s="2" t="str">
        <f t="shared" si="87"/>
        <v/>
      </c>
      <c r="O178" s="2" t="str">
        <f t="shared" si="88"/>
        <v/>
      </c>
      <c r="P178" s="2" t="str">
        <f t="shared" si="89"/>
        <v/>
      </c>
      <c r="Q178" s="2" t="str">
        <f t="shared" si="73"/>
        <v/>
      </c>
      <c r="R178" s="2" t="str">
        <f t="shared" si="74"/>
        <v/>
      </c>
      <c r="S178" s="2" t="str">
        <f t="shared" si="75"/>
        <v/>
      </c>
      <c r="T178" s="2" t="str">
        <f t="shared" si="90"/>
        <v/>
      </c>
      <c r="U178" s="2" t="str">
        <f t="shared" si="91"/>
        <v/>
      </c>
      <c r="V178" s="2" t="str">
        <f t="shared" si="92"/>
        <v/>
      </c>
      <c r="W178" s="2" t="str">
        <f t="shared" si="76"/>
        <v/>
      </c>
      <c r="X178" s="2" t="str">
        <f t="shared" si="77"/>
        <v/>
      </c>
      <c r="Y178" s="2" t="str">
        <f t="shared" si="78"/>
        <v/>
      </c>
      <c r="Z178" s="2" t="str">
        <f t="shared" si="93"/>
        <v/>
      </c>
      <c r="AA178" s="2" t="str">
        <f t="shared" si="94"/>
        <v/>
      </c>
      <c r="AB178" s="2" t="str">
        <f t="shared" si="95"/>
        <v/>
      </c>
      <c r="AC178" s="2" t="str">
        <f t="shared" si="79"/>
        <v/>
      </c>
      <c r="AD178" s="2" t="str">
        <f t="shared" si="80"/>
        <v/>
      </c>
      <c r="AE178" s="2" t="str">
        <f t="shared" si="81"/>
        <v/>
      </c>
      <c r="AF178" s="2" t="str">
        <f t="shared" si="82"/>
        <v/>
      </c>
    </row>
    <row r="179" spans="1:32" x14ac:dyDescent="0.2">
      <c r="A179" s="2" t="str">
        <f t="shared" si="83"/>
        <v/>
      </c>
      <c r="B179" s="2" t="str">
        <f t="shared" si="64"/>
        <v/>
      </c>
      <c r="C179" s="2" t="str">
        <f t="shared" si="65"/>
        <v/>
      </c>
      <c r="D179" s="2" t="str">
        <f t="shared" si="66"/>
        <v/>
      </c>
      <c r="E179" s="2" t="str">
        <f t="shared" si="67"/>
        <v/>
      </c>
      <c r="F179" s="2" t="str">
        <f t="shared" si="68"/>
        <v/>
      </c>
      <c r="G179" s="2" t="str">
        <f t="shared" si="69"/>
        <v/>
      </c>
      <c r="H179" s="2" t="str">
        <f t="shared" si="84"/>
        <v/>
      </c>
      <c r="I179" s="2" t="str">
        <f t="shared" si="85"/>
        <v/>
      </c>
      <c r="J179" s="2" t="str">
        <f t="shared" si="86"/>
        <v/>
      </c>
      <c r="K179" s="2" t="str">
        <f t="shared" si="70"/>
        <v/>
      </c>
      <c r="L179" s="2" t="str">
        <f t="shared" si="71"/>
        <v/>
      </c>
      <c r="M179" s="2" t="str">
        <f t="shared" si="72"/>
        <v/>
      </c>
      <c r="N179" s="2" t="str">
        <f t="shared" si="87"/>
        <v/>
      </c>
      <c r="O179" s="2" t="str">
        <f t="shared" si="88"/>
        <v/>
      </c>
      <c r="P179" s="2" t="str">
        <f t="shared" si="89"/>
        <v/>
      </c>
      <c r="Q179" s="2" t="str">
        <f t="shared" si="73"/>
        <v/>
      </c>
      <c r="R179" s="2" t="str">
        <f t="shared" si="74"/>
        <v/>
      </c>
      <c r="S179" s="2" t="str">
        <f t="shared" si="75"/>
        <v/>
      </c>
      <c r="T179" s="2" t="str">
        <f t="shared" si="90"/>
        <v/>
      </c>
      <c r="U179" s="2" t="str">
        <f t="shared" si="91"/>
        <v/>
      </c>
      <c r="V179" s="2" t="str">
        <f t="shared" si="92"/>
        <v/>
      </c>
      <c r="W179" s="2" t="str">
        <f t="shared" si="76"/>
        <v/>
      </c>
      <c r="X179" s="2" t="str">
        <f t="shared" si="77"/>
        <v/>
      </c>
      <c r="Y179" s="2" t="str">
        <f t="shared" si="78"/>
        <v/>
      </c>
      <c r="Z179" s="2" t="str">
        <f t="shared" si="93"/>
        <v/>
      </c>
      <c r="AA179" s="2" t="str">
        <f t="shared" si="94"/>
        <v/>
      </c>
      <c r="AB179" s="2" t="str">
        <f t="shared" si="95"/>
        <v/>
      </c>
      <c r="AC179" s="2" t="str">
        <f t="shared" si="79"/>
        <v/>
      </c>
      <c r="AD179" s="2" t="str">
        <f t="shared" si="80"/>
        <v/>
      </c>
      <c r="AE179" s="2" t="str">
        <f t="shared" si="81"/>
        <v/>
      </c>
      <c r="AF179" s="2" t="str">
        <f t="shared" si="82"/>
        <v/>
      </c>
    </row>
    <row r="180" spans="1:32" x14ac:dyDescent="0.2">
      <c r="A180" s="2" t="str">
        <f t="shared" si="83"/>
        <v/>
      </c>
      <c r="B180" s="2" t="str">
        <f t="shared" si="64"/>
        <v/>
      </c>
      <c r="C180" s="2" t="str">
        <f t="shared" si="65"/>
        <v/>
      </c>
      <c r="D180" s="2" t="str">
        <f t="shared" si="66"/>
        <v/>
      </c>
      <c r="E180" s="2" t="str">
        <f t="shared" si="67"/>
        <v/>
      </c>
      <c r="F180" s="2" t="str">
        <f t="shared" si="68"/>
        <v/>
      </c>
      <c r="G180" s="2" t="str">
        <f t="shared" si="69"/>
        <v/>
      </c>
      <c r="H180" s="2" t="str">
        <f t="shared" si="84"/>
        <v/>
      </c>
      <c r="I180" s="2" t="str">
        <f t="shared" si="85"/>
        <v/>
      </c>
      <c r="J180" s="2" t="str">
        <f t="shared" si="86"/>
        <v/>
      </c>
      <c r="K180" s="2" t="str">
        <f t="shared" si="70"/>
        <v/>
      </c>
      <c r="L180" s="2" t="str">
        <f t="shared" si="71"/>
        <v/>
      </c>
      <c r="M180" s="2" t="str">
        <f t="shared" si="72"/>
        <v/>
      </c>
      <c r="N180" s="2" t="str">
        <f t="shared" si="87"/>
        <v/>
      </c>
      <c r="O180" s="2" t="str">
        <f t="shared" si="88"/>
        <v/>
      </c>
      <c r="P180" s="2" t="str">
        <f t="shared" si="89"/>
        <v/>
      </c>
      <c r="Q180" s="2" t="str">
        <f t="shared" si="73"/>
        <v/>
      </c>
      <c r="R180" s="2" t="str">
        <f t="shared" si="74"/>
        <v/>
      </c>
      <c r="S180" s="2" t="str">
        <f t="shared" si="75"/>
        <v/>
      </c>
      <c r="T180" s="2" t="str">
        <f t="shared" si="90"/>
        <v/>
      </c>
      <c r="U180" s="2" t="str">
        <f t="shared" si="91"/>
        <v/>
      </c>
      <c r="V180" s="2" t="str">
        <f t="shared" si="92"/>
        <v/>
      </c>
      <c r="W180" s="2" t="str">
        <f t="shared" si="76"/>
        <v/>
      </c>
      <c r="X180" s="2" t="str">
        <f t="shared" si="77"/>
        <v/>
      </c>
      <c r="Y180" s="2" t="str">
        <f t="shared" si="78"/>
        <v/>
      </c>
      <c r="Z180" s="2" t="str">
        <f t="shared" si="93"/>
        <v/>
      </c>
      <c r="AA180" s="2" t="str">
        <f t="shared" si="94"/>
        <v/>
      </c>
      <c r="AB180" s="2" t="str">
        <f t="shared" si="95"/>
        <v/>
      </c>
      <c r="AC180" s="2" t="str">
        <f t="shared" si="79"/>
        <v/>
      </c>
      <c r="AD180" s="2" t="str">
        <f t="shared" si="80"/>
        <v/>
      </c>
      <c r="AE180" s="2" t="str">
        <f t="shared" si="81"/>
        <v/>
      </c>
      <c r="AF180" s="2" t="str">
        <f t="shared" si="82"/>
        <v/>
      </c>
    </row>
    <row r="181" spans="1:32" x14ac:dyDescent="0.2">
      <c r="A181" s="2" t="str">
        <f t="shared" si="83"/>
        <v/>
      </c>
      <c r="B181" s="2" t="str">
        <f t="shared" si="64"/>
        <v/>
      </c>
      <c r="C181" s="2" t="str">
        <f t="shared" si="65"/>
        <v/>
      </c>
      <c r="D181" s="2" t="str">
        <f t="shared" si="66"/>
        <v/>
      </c>
      <c r="E181" s="2" t="str">
        <f t="shared" si="67"/>
        <v/>
      </c>
      <c r="F181" s="2" t="str">
        <f t="shared" si="68"/>
        <v/>
      </c>
      <c r="G181" s="2" t="str">
        <f t="shared" si="69"/>
        <v/>
      </c>
      <c r="H181" s="2" t="str">
        <f t="shared" si="84"/>
        <v/>
      </c>
      <c r="I181" s="2" t="str">
        <f t="shared" si="85"/>
        <v/>
      </c>
      <c r="J181" s="2" t="str">
        <f t="shared" si="86"/>
        <v/>
      </c>
      <c r="K181" s="2" t="str">
        <f t="shared" si="70"/>
        <v/>
      </c>
      <c r="L181" s="2" t="str">
        <f t="shared" si="71"/>
        <v/>
      </c>
      <c r="M181" s="2" t="str">
        <f t="shared" si="72"/>
        <v/>
      </c>
      <c r="N181" s="2" t="str">
        <f t="shared" si="87"/>
        <v/>
      </c>
      <c r="O181" s="2" t="str">
        <f t="shared" si="88"/>
        <v/>
      </c>
      <c r="P181" s="2" t="str">
        <f t="shared" si="89"/>
        <v/>
      </c>
      <c r="Q181" s="2" t="str">
        <f t="shared" si="73"/>
        <v/>
      </c>
      <c r="R181" s="2" t="str">
        <f t="shared" si="74"/>
        <v/>
      </c>
      <c r="S181" s="2" t="str">
        <f t="shared" si="75"/>
        <v/>
      </c>
      <c r="T181" s="2" t="str">
        <f t="shared" si="90"/>
        <v/>
      </c>
      <c r="U181" s="2" t="str">
        <f t="shared" si="91"/>
        <v/>
      </c>
      <c r="V181" s="2" t="str">
        <f t="shared" si="92"/>
        <v/>
      </c>
      <c r="W181" s="2" t="str">
        <f t="shared" si="76"/>
        <v/>
      </c>
      <c r="X181" s="2" t="str">
        <f t="shared" si="77"/>
        <v/>
      </c>
      <c r="Y181" s="2" t="str">
        <f t="shared" si="78"/>
        <v/>
      </c>
      <c r="Z181" s="2" t="str">
        <f t="shared" si="93"/>
        <v/>
      </c>
      <c r="AA181" s="2" t="str">
        <f t="shared" si="94"/>
        <v/>
      </c>
      <c r="AB181" s="2" t="str">
        <f t="shared" si="95"/>
        <v/>
      </c>
      <c r="AC181" s="2" t="str">
        <f t="shared" si="79"/>
        <v/>
      </c>
      <c r="AD181" s="2" t="str">
        <f t="shared" si="80"/>
        <v/>
      </c>
      <c r="AE181" s="2" t="str">
        <f t="shared" si="81"/>
        <v/>
      </c>
      <c r="AF181" s="2" t="str">
        <f t="shared" si="82"/>
        <v/>
      </c>
    </row>
    <row r="182" spans="1:32" x14ac:dyDescent="0.2">
      <c r="A182" s="2" t="str">
        <f t="shared" si="83"/>
        <v/>
      </c>
      <c r="B182" s="2" t="str">
        <f t="shared" si="64"/>
        <v/>
      </c>
      <c r="C182" s="2" t="str">
        <f t="shared" si="65"/>
        <v/>
      </c>
      <c r="D182" s="2" t="str">
        <f t="shared" si="66"/>
        <v/>
      </c>
      <c r="E182" s="2" t="str">
        <f t="shared" si="67"/>
        <v/>
      </c>
      <c r="F182" s="2" t="str">
        <f t="shared" si="68"/>
        <v/>
      </c>
      <c r="G182" s="2" t="str">
        <f t="shared" si="69"/>
        <v/>
      </c>
      <c r="H182" s="2" t="str">
        <f t="shared" si="84"/>
        <v/>
      </c>
      <c r="I182" s="2" t="str">
        <f t="shared" si="85"/>
        <v/>
      </c>
      <c r="J182" s="2" t="str">
        <f t="shared" si="86"/>
        <v/>
      </c>
      <c r="K182" s="2" t="str">
        <f t="shared" si="70"/>
        <v/>
      </c>
      <c r="L182" s="2" t="str">
        <f t="shared" si="71"/>
        <v/>
      </c>
      <c r="M182" s="2" t="str">
        <f t="shared" si="72"/>
        <v/>
      </c>
      <c r="N182" s="2" t="str">
        <f t="shared" si="87"/>
        <v/>
      </c>
      <c r="O182" s="2" t="str">
        <f t="shared" si="88"/>
        <v/>
      </c>
      <c r="P182" s="2" t="str">
        <f t="shared" si="89"/>
        <v/>
      </c>
      <c r="Q182" s="2" t="str">
        <f t="shared" si="73"/>
        <v/>
      </c>
      <c r="R182" s="2" t="str">
        <f t="shared" si="74"/>
        <v/>
      </c>
      <c r="S182" s="2" t="str">
        <f t="shared" si="75"/>
        <v/>
      </c>
      <c r="T182" s="2" t="str">
        <f t="shared" si="90"/>
        <v/>
      </c>
      <c r="U182" s="2" t="str">
        <f t="shared" si="91"/>
        <v/>
      </c>
      <c r="V182" s="2" t="str">
        <f t="shared" si="92"/>
        <v/>
      </c>
      <c r="W182" s="2" t="str">
        <f t="shared" si="76"/>
        <v/>
      </c>
      <c r="X182" s="2" t="str">
        <f t="shared" si="77"/>
        <v/>
      </c>
      <c r="Y182" s="2" t="str">
        <f t="shared" si="78"/>
        <v/>
      </c>
      <c r="Z182" s="2" t="str">
        <f t="shared" si="93"/>
        <v/>
      </c>
      <c r="AA182" s="2" t="str">
        <f t="shared" si="94"/>
        <v/>
      </c>
      <c r="AB182" s="2" t="str">
        <f t="shared" si="95"/>
        <v/>
      </c>
      <c r="AC182" s="2" t="str">
        <f t="shared" si="79"/>
        <v/>
      </c>
      <c r="AD182" s="2" t="str">
        <f t="shared" si="80"/>
        <v/>
      </c>
      <c r="AE182" s="2" t="str">
        <f t="shared" si="81"/>
        <v/>
      </c>
      <c r="AF182" s="2" t="str">
        <f t="shared" si="82"/>
        <v/>
      </c>
    </row>
    <row r="183" spans="1:32" x14ac:dyDescent="0.2">
      <c r="A183" s="2" t="str">
        <f t="shared" si="83"/>
        <v/>
      </c>
      <c r="B183" s="2" t="str">
        <f t="shared" si="64"/>
        <v/>
      </c>
      <c r="C183" s="2" t="str">
        <f t="shared" si="65"/>
        <v/>
      </c>
      <c r="D183" s="2" t="str">
        <f t="shared" si="66"/>
        <v/>
      </c>
      <c r="E183" s="2" t="str">
        <f t="shared" si="67"/>
        <v/>
      </c>
      <c r="F183" s="2" t="str">
        <f t="shared" si="68"/>
        <v/>
      </c>
      <c r="G183" s="2" t="str">
        <f t="shared" si="69"/>
        <v/>
      </c>
      <c r="H183" s="2" t="str">
        <f t="shared" si="84"/>
        <v/>
      </c>
      <c r="I183" s="2" t="str">
        <f t="shared" si="85"/>
        <v/>
      </c>
      <c r="J183" s="2" t="str">
        <f t="shared" si="86"/>
        <v/>
      </c>
      <c r="K183" s="2" t="str">
        <f t="shared" si="70"/>
        <v/>
      </c>
      <c r="L183" s="2" t="str">
        <f t="shared" si="71"/>
        <v/>
      </c>
      <c r="M183" s="2" t="str">
        <f t="shared" si="72"/>
        <v/>
      </c>
      <c r="N183" s="2" t="str">
        <f t="shared" si="87"/>
        <v/>
      </c>
      <c r="O183" s="2" t="str">
        <f t="shared" si="88"/>
        <v/>
      </c>
      <c r="P183" s="2" t="str">
        <f t="shared" si="89"/>
        <v/>
      </c>
      <c r="Q183" s="2" t="str">
        <f t="shared" si="73"/>
        <v/>
      </c>
      <c r="R183" s="2" t="str">
        <f t="shared" si="74"/>
        <v/>
      </c>
      <c r="S183" s="2" t="str">
        <f t="shared" si="75"/>
        <v/>
      </c>
      <c r="T183" s="2" t="str">
        <f t="shared" si="90"/>
        <v/>
      </c>
      <c r="U183" s="2" t="str">
        <f t="shared" si="91"/>
        <v/>
      </c>
      <c r="V183" s="2" t="str">
        <f t="shared" si="92"/>
        <v/>
      </c>
      <c r="W183" s="2" t="str">
        <f t="shared" si="76"/>
        <v/>
      </c>
      <c r="X183" s="2" t="str">
        <f t="shared" si="77"/>
        <v/>
      </c>
      <c r="Y183" s="2" t="str">
        <f t="shared" si="78"/>
        <v/>
      </c>
      <c r="Z183" s="2" t="str">
        <f t="shared" si="93"/>
        <v/>
      </c>
      <c r="AA183" s="2" t="str">
        <f t="shared" si="94"/>
        <v/>
      </c>
      <c r="AB183" s="2" t="str">
        <f t="shared" si="95"/>
        <v/>
      </c>
      <c r="AC183" s="2" t="str">
        <f t="shared" si="79"/>
        <v/>
      </c>
      <c r="AD183" s="2" t="str">
        <f t="shared" si="80"/>
        <v/>
      </c>
      <c r="AE183" s="2" t="str">
        <f t="shared" si="81"/>
        <v/>
      </c>
      <c r="AF183" s="2" t="str">
        <f t="shared" si="82"/>
        <v/>
      </c>
    </row>
    <row r="184" spans="1:32" x14ac:dyDescent="0.2">
      <c r="A184" s="2" t="str">
        <f t="shared" si="83"/>
        <v/>
      </c>
      <c r="B184" s="2" t="str">
        <f t="shared" si="64"/>
        <v/>
      </c>
      <c r="C184" s="2" t="str">
        <f t="shared" si="65"/>
        <v/>
      </c>
      <c r="D184" s="2" t="str">
        <f t="shared" si="66"/>
        <v/>
      </c>
      <c r="E184" s="2" t="str">
        <f t="shared" si="67"/>
        <v/>
      </c>
      <c r="F184" s="2" t="str">
        <f t="shared" si="68"/>
        <v/>
      </c>
      <c r="G184" s="2" t="str">
        <f t="shared" si="69"/>
        <v/>
      </c>
      <c r="H184" s="2" t="str">
        <f t="shared" si="84"/>
        <v/>
      </c>
      <c r="I184" s="2" t="str">
        <f t="shared" si="85"/>
        <v/>
      </c>
      <c r="J184" s="2" t="str">
        <f t="shared" si="86"/>
        <v/>
      </c>
      <c r="K184" s="2" t="str">
        <f t="shared" si="70"/>
        <v/>
      </c>
      <c r="L184" s="2" t="str">
        <f t="shared" si="71"/>
        <v/>
      </c>
      <c r="M184" s="2" t="str">
        <f t="shared" si="72"/>
        <v/>
      </c>
      <c r="N184" s="2" t="str">
        <f t="shared" si="87"/>
        <v/>
      </c>
      <c r="O184" s="2" t="str">
        <f t="shared" si="88"/>
        <v/>
      </c>
      <c r="P184" s="2" t="str">
        <f t="shared" si="89"/>
        <v/>
      </c>
      <c r="Q184" s="2" t="str">
        <f t="shared" si="73"/>
        <v/>
      </c>
      <c r="R184" s="2" t="str">
        <f t="shared" si="74"/>
        <v/>
      </c>
      <c r="S184" s="2" t="str">
        <f t="shared" si="75"/>
        <v/>
      </c>
      <c r="T184" s="2" t="str">
        <f t="shared" si="90"/>
        <v/>
      </c>
      <c r="U184" s="2" t="str">
        <f t="shared" si="91"/>
        <v/>
      </c>
      <c r="V184" s="2" t="str">
        <f t="shared" si="92"/>
        <v/>
      </c>
      <c r="W184" s="2" t="str">
        <f t="shared" si="76"/>
        <v/>
      </c>
      <c r="X184" s="2" t="str">
        <f t="shared" si="77"/>
        <v/>
      </c>
      <c r="Y184" s="2" t="str">
        <f t="shared" si="78"/>
        <v/>
      </c>
      <c r="Z184" s="2" t="str">
        <f t="shared" si="93"/>
        <v/>
      </c>
      <c r="AA184" s="2" t="str">
        <f t="shared" si="94"/>
        <v/>
      </c>
      <c r="AB184" s="2" t="str">
        <f t="shared" si="95"/>
        <v/>
      </c>
      <c r="AC184" s="2" t="str">
        <f t="shared" si="79"/>
        <v/>
      </c>
      <c r="AD184" s="2" t="str">
        <f t="shared" si="80"/>
        <v/>
      </c>
      <c r="AE184" s="2" t="str">
        <f t="shared" si="81"/>
        <v/>
      </c>
      <c r="AF184" s="2" t="str">
        <f t="shared" si="82"/>
        <v/>
      </c>
    </row>
    <row r="185" spans="1:32" x14ac:dyDescent="0.2">
      <c r="A185" s="2" t="str">
        <f t="shared" si="83"/>
        <v/>
      </c>
      <c r="B185" s="2" t="str">
        <f t="shared" si="64"/>
        <v/>
      </c>
      <c r="C185" s="2" t="str">
        <f t="shared" si="65"/>
        <v/>
      </c>
      <c r="D185" s="2" t="str">
        <f t="shared" si="66"/>
        <v/>
      </c>
      <c r="E185" s="2" t="str">
        <f t="shared" si="67"/>
        <v/>
      </c>
      <c r="F185" s="2" t="str">
        <f t="shared" si="68"/>
        <v/>
      </c>
      <c r="G185" s="2" t="str">
        <f t="shared" si="69"/>
        <v/>
      </c>
      <c r="H185" s="2" t="str">
        <f t="shared" si="84"/>
        <v/>
      </c>
      <c r="I185" s="2" t="str">
        <f t="shared" si="85"/>
        <v/>
      </c>
      <c r="J185" s="2" t="str">
        <f t="shared" si="86"/>
        <v/>
      </c>
      <c r="K185" s="2" t="str">
        <f t="shared" si="70"/>
        <v/>
      </c>
      <c r="L185" s="2" t="str">
        <f t="shared" si="71"/>
        <v/>
      </c>
      <c r="M185" s="2" t="str">
        <f t="shared" si="72"/>
        <v/>
      </c>
      <c r="N185" s="2" t="str">
        <f t="shared" si="87"/>
        <v/>
      </c>
      <c r="O185" s="2" t="str">
        <f t="shared" si="88"/>
        <v/>
      </c>
      <c r="P185" s="2" t="str">
        <f t="shared" si="89"/>
        <v/>
      </c>
      <c r="Q185" s="2" t="str">
        <f t="shared" si="73"/>
        <v/>
      </c>
      <c r="R185" s="2" t="str">
        <f t="shared" si="74"/>
        <v/>
      </c>
      <c r="S185" s="2" t="str">
        <f t="shared" si="75"/>
        <v/>
      </c>
      <c r="T185" s="2" t="str">
        <f t="shared" si="90"/>
        <v/>
      </c>
      <c r="U185" s="2" t="str">
        <f t="shared" si="91"/>
        <v/>
      </c>
      <c r="V185" s="2" t="str">
        <f t="shared" si="92"/>
        <v/>
      </c>
      <c r="W185" s="2" t="str">
        <f t="shared" si="76"/>
        <v/>
      </c>
      <c r="X185" s="2" t="str">
        <f t="shared" si="77"/>
        <v/>
      </c>
      <c r="Y185" s="2" t="str">
        <f t="shared" si="78"/>
        <v/>
      </c>
      <c r="Z185" s="2" t="str">
        <f t="shared" si="93"/>
        <v/>
      </c>
      <c r="AA185" s="2" t="str">
        <f t="shared" si="94"/>
        <v/>
      </c>
      <c r="AB185" s="2" t="str">
        <f t="shared" si="95"/>
        <v/>
      </c>
      <c r="AC185" s="2" t="str">
        <f t="shared" si="79"/>
        <v/>
      </c>
      <c r="AD185" s="2" t="str">
        <f t="shared" si="80"/>
        <v/>
      </c>
      <c r="AE185" s="2" t="str">
        <f t="shared" si="81"/>
        <v/>
      </c>
      <c r="AF185" s="2" t="str">
        <f t="shared" si="82"/>
        <v/>
      </c>
    </row>
    <row r="186" spans="1:32" x14ac:dyDescent="0.2">
      <c r="A186" s="2" t="str">
        <f t="shared" si="83"/>
        <v/>
      </c>
      <c r="B186" s="2" t="str">
        <f t="shared" si="64"/>
        <v/>
      </c>
      <c r="C186" s="2" t="str">
        <f t="shared" si="65"/>
        <v/>
      </c>
      <c r="D186" s="2" t="str">
        <f t="shared" si="66"/>
        <v/>
      </c>
      <c r="E186" s="2" t="str">
        <f t="shared" si="67"/>
        <v/>
      </c>
      <c r="F186" s="2" t="str">
        <f t="shared" si="68"/>
        <v/>
      </c>
      <c r="G186" s="2" t="str">
        <f t="shared" si="69"/>
        <v/>
      </c>
      <c r="H186" s="2" t="str">
        <f t="shared" si="84"/>
        <v/>
      </c>
      <c r="I186" s="2" t="str">
        <f t="shared" si="85"/>
        <v/>
      </c>
      <c r="J186" s="2" t="str">
        <f t="shared" si="86"/>
        <v/>
      </c>
      <c r="K186" s="2" t="str">
        <f t="shared" si="70"/>
        <v/>
      </c>
      <c r="L186" s="2" t="str">
        <f t="shared" si="71"/>
        <v/>
      </c>
      <c r="M186" s="2" t="str">
        <f t="shared" si="72"/>
        <v/>
      </c>
      <c r="N186" s="2" t="str">
        <f t="shared" si="87"/>
        <v/>
      </c>
      <c r="O186" s="2" t="str">
        <f t="shared" si="88"/>
        <v/>
      </c>
      <c r="P186" s="2" t="str">
        <f t="shared" si="89"/>
        <v/>
      </c>
      <c r="Q186" s="2" t="str">
        <f t="shared" si="73"/>
        <v/>
      </c>
      <c r="R186" s="2" t="str">
        <f t="shared" si="74"/>
        <v/>
      </c>
      <c r="S186" s="2" t="str">
        <f t="shared" si="75"/>
        <v/>
      </c>
      <c r="T186" s="2" t="str">
        <f t="shared" si="90"/>
        <v/>
      </c>
      <c r="U186" s="2" t="str">
        <f t="shared" si="91"/>
        <v/>
      </c>
      <c r="V186" s="2" t="str">
        <f t="shared" si="92"/>
        <v/>
      </c>
      <c r="W186" s="2" t="str">
        <f t="shared" si="76"/>
        <v/>
      </c>
      <c r="X186" s="2" t="str">
        <f t="shared" si="77"/>
        <v/>
      </c>
      <c r="Y186" s="2" t="str">
        <f t="shared" si="78"/>
        <v/>
      </c>
      <c r="Z186" s="2" t="str">
        <f t="shared" si="93"/>
        <v/>
      </c>
      <c r="AA186" s="2" t="str">
        <f t="shared" si="94"/>
        <v/>
      </c>
      <c r="AB186" s="2" t="str">
        <f t="shared" si="95"/>
        <v/>
      </c>
      <c r="AC186" s="2" t="str">
        <f t="shared" si="79"/>
        <v/>
      </c>
      <c r="AD186" s="2" t="str">
        <f t="shared" si="80"/>
        <v/>
      </c>
      <c r="AE186" s="2" t="str">
        <f t="shared" si="81"/>
        <v/>
      </c>
      <c r="AF186" s="2" t="str">
        <f t="shared" si="82"/>
        <v/>
      </c>
    </row>
    <row r="187" spans="1:32" x14ac:dyDescent="0.2">
      <c r="A187" s="2" t="str">
        <f t="shared" si="83"/>
        <v/>
      </c>
      <c r="B187" s="2" t="str">
        <f t="shared" si="64"/>
        <v/>
      </c>
      <c r="C187" s="2" t="str">
        <f t="shared" si="65"/>
        <v/>
      </c>
      <c r="D187" s="2" t="str">
        <f t="shared" si="66"/>
        <v/>
      </c>
      <c r="E187" s="2" t="str">
        <f t="shared" si="67"/>
        <v/>
      </c>
      <c r="F187" s="2" t="str">
        <f t="shared" si="68"/>
        <v/>
      </c>
      <c r="G187" s="2" t="str">
        <f t="shared" si="69"/>
        <v/>
      </c>
      <c r="H187" s="2" t="str">
        <f t="shared" si="84"/>
        <v/>
      </c>
      <c r="I187" s="2" t="str">
        <f t="shared" si="85"/>
        <v/>
      </c>
      <c r="J187" s="2" t="str">
        <f t="shared" si="86"/>
        <v/>
      </c>
      <c r="K187" s="2" t="str">
        <f t="shared" si="70"/>
        <v/>
      </c>
      <c r="L187" s="2" t="str">
        <f t="shared" si="71"/>
        <v/>
      </c>
      <c r="M187" s="2" t="str">
        <f t="shared" si="72"/>
        <v/>
      </c>
      <c r="N187" s="2" t="str">
        <f t="shared" si="87"/>
        <v/>
      </c>
      <c r="O187" s="2" t="str">
        <f t="shared" si="88"/>
        <v/>
      </c>
      <c r="P187" s="2" t="str">
        <f t="shared" si="89"/>
        <v/>
      </c>
      <c r="Q187" s="2" t="str">
        <f t="shared" si="73"/>
        <v/>
      </c>
      <c r="R187" s="2" t="str">
        <f t="shared" si="74"/>
        <v/>
      </c>
      <c r="S187" s="2" t="str">
        <f t="shared" si="75"/>
        <v/>
      </c>
      <c r="T187" s="2" t="str">
        <f t="shared" si="90"/>
        <v/>
      </c>
      <c r="U187" s="2" t="str">
        <f t="shared" si="91"/>
        <v/>
      </c>
      <c r="V187" s="2" t="str">
        <f t="shared" si="92"/>
        <v/>
      </c>
      <c r="W187" s="2" t="str">
        <f t="shared" si="76"/>
        <v/>
      </c>
      <c r="X187" s="2" t="str">
        <f t="shared" si="77"/>
        <v/>
      </c>
      <c r="Y187" s="2" t="str">
        <f t="shared" si="78"/>
        <v/>
      </c>
      <c r="Z187" s="2" t="str">
        <f t="shared" si="93"/>
        <v/>
      </c>
      <c r="AA187" s="2" t="str">
        <f t="shared" si="94"/>
        <v/>
      </c>
      <c r="AB187" s="2" t="str">
        <f t="shared" si="95"/>
        <v/>
      </c>
      <c r="AC187" s="2" t="str">
        <f t="shared" si="79"/>
        <v/>
      </c>
      <c r="AD187" s="2" t="str">
        <f t="shared" si="80"/>
        <v/>
      </c>
      <c r="AE187" s="2" t="str">
        <f t="shared" si="81"/>
        <v/>
      </c>
      <c r="AF187" s="2" t="str">
        <f t="shared" si="82"/>
        <v/>
      </c>
    </row>
    <row r="188" spans="1:32" x14ac:dyDescent="0.2">
      <c r="A188" s="2" t="str">
        <f t="shared" si="83"/>
        <v/>
      </c>
      <c r="B188" s="2" t="str">
        <f t="shared" si="64"/>
        <v/>
      </c>
      <c r="C188" s="2" t="str">
        <f t="shared" si="65"/>
        <v/>
      </c>
      <c r="D188" s="2" t="str">
        <f t="shared" si="66"/>
        <v/>
      </c>
      <c r="E188" s="2" t="str">
        <f t="shared" si="67"/>
        <v/>
      </c>
      <c r="F188" s="2" t="str">
        <f t="shared" si="68"/>
        <v/>
      </c>
      <c r="G188" s="2" t="str">
        <f t="shared" si="69"/>
        <v/>
      </c>
      <c r="H188" s="2" t="str">
        <f t="shared" si="84"/>
        <v/>
      </c>
      <c r="I188" s="2" t="str">
        <f t="shared" si="85"/>
        <v/>
      </c>
      <c r="J188" s="2" t="str">
        <f t="shared" si="86"/>
        <v/>
      </c>
      <c r="K188" s="2" t="str">
        <f t="shared" si="70"/>
        <v/>
      </c>
      <c r="L188" s="2" t="str">
        <f t="shared" si="71"/>
        <v/>
      </c>
      <c r="M188" s="2" t="str">
        <f t="shared" si="72"/>
        <v/>
      </c>
      <c r="N188" s="2" t="str">
        <f t="shared" si="87"/>
        <v/>
      </c>
      <c r="O188" s="2" t="str">
        <f t="shared" si="88"/>
        <v/>
      </c>
      <c r="P188" s="2" t="str">
        <f t="shared" si="89"/>
        <v/>
      </c>
      <c r="Q188" s="2" t="str">
        <f t="shared" si="73"/>
        <v/>
      </c>
      <c r="R188" s="2" t="str">
        <f t="shared" si="74"/>
        <v/>
      </c>
      <c r="S188" s="2" t="str">
        <f t="shared" si="75"/>
        <v/>
      </c>
      <c r="T188" s="2" t="str">
        <f t="shared" si="90"/>
        <v/>
      </c>
      <c r="U188" s="2" t="str">
        <f t="shared" si="91"/>
        <v/>
      </c>
      <c r="V188" s="2" t="str">
        <f t="shared" si="92"/>
        <v/>
      </c>
      <c r="W188" s="2" t="str">
        <f t="shared" si="76"/>
        <v/>
      </c>
      <c r="X188" s="2" t="str">
        <f t="shared" si="77"/>
        <v/>
      </c>
      <c r="Y188" s="2" t="str">
        <f t="shared" si="78"/>
        <v/>
      </c>
      <c r="Z188" s="2" t="str">
        <f t="shared" si="93"/>
        <v/>
      </c>
      <c r="AA188" s="2" t="str">
        <f t="shared" si="94"/>
        <v/>
      </c>
      <c r="AB188" s="2" t="str">
        <f t="shared" si="95"/>
        <v/>
      </c>
      <c r="AC188" s="2" t="str">
        <f t="shared" si="79"/>
        <v/>
      </c>
      <c r="AD188" s="2" t="str">
        <f t="shared" si="80"/>
        <v/>
      </c>
      <c r="AE188" s="2" t="str">
        <f t="shared" si="81"/>
        <v/>
      </c>
      <c r="AF188" s="2" t="str">
        <f t="shared" si="82"/>
        <v/>
      </c>
    </row>
    <row r="189" spans="1:32" x14ac:dyDescent="0.2">
      <c r="A189" s="2" t="str">
        <f t="shared" si="83"/>
        <v/>
      </c>
      <c r="B189" s="2" t="str">
        <f t="shared" si="64"/>
        <v/>
      </c>
      <c r="C189" s="2" t="str">
        <f t="shared" si="65"/>
        <v/>
      </c>
      <c r="D189" s="2" t="str">
        <f t="shared" si="66"/>
        <v/>
      </c>
      <c r="E189" s="2" t="str">
        <f t="shared" si="67"/>
        <v/>
      </c>
      <c r="F189" s="2" t="str">
        <f t="shared" si="68"/>
        <v/>
      </c>
      <c r="G189" s="2" t="str">
        <f t="shared" si="69"/>
        <v/>
      </c>
      <c r="H189" s="2" t="str">
        <f t="shared" si="84"/>
        <v/>
      </c>
      <c r="I189" s="2" t="str">
        <f t="shared" si="85"/>
        <v/>
      </c>
      <c r="J189" s="2" t="str">
        <f t="shared" si="86"/>
        <v/>
      </c>
      <c r="K189" s="2" t="str">
        <f t="shared" si="70"/>
        <v/>
      </c>
      <c r="L189" s="2" t="str">
        <f t="shared" si="71"/>
        <v/>
      </c>
      <c r="M189" s="2" t="str">
        <f t="shared" si="72"/>
        <v/>
      </c>
      <c r="N189" s="2" t="str">
        <f t="shared" si="87"/>
        <v/>
      </c>
      <c r="O189" s="2" t="str">
        <f t="shared" si="88"/>
        <v/>
      </c>
      <c r="P189" s="2" t="str">
        <f t="shared" si="89"/>
        <v/>
      </c>
      <c r="Q189" s="2" t="str">
        <f t="shared" si="73"/>
        <v/>
      </c>
      <c r="R189" s="2" t="str">
        <f t="shared" si="74"/>
        <v/>
      </c>
      <c r="S189" s="2" t="str">
        <f t="shared" si="75"/>
        <v/>
      </c>
      <c r="T189" s="2" t="str">
        <f t="shared" si="90"/>
        <v/>
      </c>
      <c r="U189" s="2" t="str">
        <f t="shared" si="91"/>
        <v/>
      </c>
      <c r="V189" s="2" t="str">
        <f t="shared" si="92"/>
        <v/>
      </c>
      <c r="W189" s="2" t="str">
        <f t="shared" si="76"/>
        <v/>
      </c>
      <c r="X189" s="2" t="str">
        <f t="shared" si="77"/>
        <v/>
      </c>
      <c r="Y189" s="2" t="str">
        <f t="shared" si="78"/>
        <v/>
      </c>
      <c r="Z189" s="2" t="str">
        <f t="shared" si="93"/>
        <v/>
      </c>
      <c r="AA189" s="2" t="str">
        <f t="shared" si="94"/>
        <v/>
      </c>
      <c r="AB189" s="2" t="str">
        <f t="shared" si="95"/>
        <v/>
      </c>
      <c r="AC189" s="2" t="str">
        <f t="shared" si="79"/>
        <v/>
      </c>
      <c r="AD189" s="2" t="str">
        <f t="shared" si="80"/>
        <v/>
      </c>
      <c r="AE189" s="2" t="str">
        <f t="shared" si="81"/>
        <v/>
      </c>
      <c r="AF189" s="2" t="str">
        <f t="shared" si="82"/>
        <v/>
      </c>
    </row>
    <row r="190" spans="1:32" x14ac:dyDescent="0.2">
      <c r="A190" s="2" t="str">
        <f t="shared" si="83"/>
        <v/>
      </c>
      <c r="B190" s="2" t="str">
        <f t="shared" si="64"/>
        <v/>
      </c>
      <c r="C190" s="2" t="str">
        <f t="shared" si="65"/>
        <v/>
      </c>
      <c r="D190" s="2" t="str">
        <f t="shared" si="66"/>
        <v/>
      </c>
      <c r="E190" s="2" t="str">
        <f t="shared" si="67"/>
        <v/>
      </c>
      <c r="F190" s="2" t="str">
        <f t="shared" si="68"/>
        <v/>
      </c>
      <c r="G190" s="2" t="str">
        <f t="shared" si="69"/>
        <v/>
      </c>
      <c r="H190" s="2" t="str">
        <f t="shared" si="84"/>
        <v/>
      </c>
      <c r="I190" s="2" t="str">
        <f t="shared" si="85"/>
        <v/>
      </c>
      <c r="J190" s="2" t="str">
        <f t="shared" si="86"/>
        <v/>
      </c>
      <c r="K190" s="2" t="str">
        <f t="shared" si="70"/>
        <v/>
      </c>
      <c r="L190" s="2" t="str">
        <f t="shared" si="71"/>
        <v/>
      </c>
      <c r="M190" s="2" t="str">
        <f t="shared" si="72"/>
        <v/>
      </c>
      <c r="N190" s="2" t="str">
        <f t="shared" si="87"/>
        <v/>
      </c>
      <c r="O190" s="2" t="str">
        <f t="shared" si="88"/>
        <v/>
      </c>
      <c r="P190" s="2" t="str">
        <f t="shared" si="89"/>
        <v/>
      </c>
      <c r="Q190" s="2" t="str">
        <f t="shared" si="73"/>
        <v/>
      </c>
      <c r="R190" s="2" t="str">
        <f t="shared" si="74"/>
        <v/>
      </c>
      <c r="S190" s="2" t="str">
        <f t="shared" si="75"/>
        <v/>
      </c>
      <c r="T190" s="2" t="str">
        <f t="shared" si="90"/>
        <v/>
      </c>
      <c r="U190" s="2" t="str">
        <f t="shared" si="91"/>
        <v/>
      </c>
      <c r="V190" s="2" t="str">
        <f t="shared" si="92"/>
        <v/>
      </c>
      <c r="W190" s="2" t="str">
        <f t="shared" si="76"/>
        <v/>
      </c>
      <c r="X190" s="2" t="str">
        <f t="shared" si="77"/>
        <v/>
      </c>
      <c r="Y190" s="2" t="str">
        <f t="shared" si="78"/>
        <v/>
      </c>
      <c r="Z190" s="2" t="str">
        <f t="shared" si="93"/>
        <v/>
      </c>
      <c r="AA190" s="2" t="str">
        <f t="shared" si="94"/>
        <v/>
      </c>
      <c r="AB190" s="2" t="str">
        <f t="shared" si="95"/>
        <v/>
      </c>
      <c r="AC190" s="2" t="str">
        <f t="shared" si="79"/>
        <v/>
      </c>
      <c r="AD190" s="2" t="str">
        <f t="shared" si="80"/>
        <v/>
      </c>
      <c r="AE190" s="2" t="str">
        <f t="shared" si="81"/>
        <v/>
      </c>
      <c r="AF190" s="2" t="str">
        <f t="shared" si="82"/>
        <v/>
      </c>
    </row>
    <row r="191" spans="1:32" x14ac:dyDescent="0.2">
      <c r="A191" s="2" t="str">
        <f t="shared" si="83"/>
        <v/>
      </c>
      <c r="B191" s="2" t="str">
        <f t="shared" si="64"/>
        <v/>
      </c>
      <c r="C191" s="2" t="str">
        <f t="shared" si="65"/>
        <v/>
      </c>
      <c r="D191" s="2" t="str">
        <f t="shared" si="66"/>
        <v/>
      </c>
      <c r="E191" s="2" t="str">
        <f t="shared" si="67"/>
        <v/>
      </c>
      <c r="F191" s="2" t="str">
        <f t="shared" si="68"/>
        <v/>
      </c>
      <c r="G191" s="2" t="str">
        <f t="shared" si="69"/>
        <v/>
      </c>
      <c r="H191" s="2" t="str">
        <f t="shared" si="84"/>
        <v/>
      </c>
      <c r="I191" s="2" t="str">
        <f t="shared" si="85"/>
        <v/>
      </c>
      <c r="J191" s="2" t="str">
        <f t="shared" si="86"/>
        <v/>
      </c>
      <c r="K191" s="2" t="str">
        <f t="shared" si="70"/>
        <v/>
      </c>
      <c r="L191" s="2" t="str">
        <f t="shared" si="71"/>
        <v/>
      </c>
      <c r="M191" s="2" t="str">
        <f t="shared" si="72"/>
        <v/>
      </c>
      <c r="N191" s="2" t="str">
        <f t="shared" si="87"/>
        <v/>
      </c>
      <c r="O191" s="2" t="str">
        <f t="shared" si="88"/>
        <v/>
      </c>
      <c r="P191" s="2" t="str">
        <f t="shared" si="89"/>
        <v/>
      </c>
      <c r="Q191" s="2" t="str">
        <f t="shared" si="73"/>
        <v/>
      </c>
      <c r="R191" s="2" t="str">
        <f t="shared" si="74"/>
        <v/>
      </c>
      <c r="S191" s="2" t="str">
        <f t="shared" si="75"/>
        <v/>
      </c>
      <c r="T191" s="2" t="str">
        <f t="shared" si="90"/>
        <v/>
      </c>
      <c r="U191" s="2" t="str">
        <f t="shared" si="91"/>
        <v/>
      </c>
      <c r="V191" s="2" t="str">
        <f t="shared" si="92"/>
        <v/>
      </c>
      <c r="W191" s="2" t="str">
        <f t="shared" si="76"/>
        <v/>
      </c>
      <c r="X191" s="2" t="str">
        <f t="shared" si="77"/>
        <v/>
      </c>
      <c r="Y191" s="2" t="str">
        <f t="shared" si="78"/>
        <v/>
      </c>
      <c r="Z191" s="2" t="str">
        <f t="shared" si="93"/>
        <v/>
      </c>
      <c r="AA191" s="2" t="str">
        <f t="shared" si="94"/>
        <v/>
      </c>
      <c r="AB191" s="2" t="str">
        <f t="shared" si="95"/>
        <v/>
      </c>
      <c r="AC191" s="2" t="str">
        <f t="shared" si="79"/>
        <v/>
      </c>
      <c r="AD191" s="2" t="str">
        <f t="shared" si="80"/>
        <v/>
      </c>
      <c r="AE191" s="2" t="str">
        <f t="shared" si="81"/>
        <v/>
      </c>
      <c r="AF191" s="2" t="str">
        <f t="shared" si="82"/>
        <v/>
      </c>
    </row>
    <row r="192" spans="1:32" x14ac:dyDescent="0.2">
      <c r="A192" s="2" t="str">
        <f t="shared" si="83"/>
        <v/>
      </c>
      <c r="B192" s="2" t="str">
        <f t="shared" si="64"/>
        <v/>
      </c>
      <c r="C192" s="2" t="str">
        <f t="shared" si="65"/>
        <v/>
      </c>
      <c r="D192" s="2" t="str">
        <f t="shared" si="66"/>
        <v/>
      </c>
      <c r="E192" s="2" t="str">
        <f t="shared" si="67"/>
        <v/>
      </c>
      <c r="F192" s="2" t="str">
        <f t="shared" si="68"/>
        <v/>
      </c>
      <c r="G192" s="2" t="str">
        <f t="shared" si="69"/>
        <v/>
      </c>
      <c r="H192" s="2" t="str">
        <f t="shared" si="84"/>
        <v/>
      </c>
      <c r="I192" s="2" t="str">
        <f t="shared" si="85"/>
        <v/>
      </c>
      <c r="J192" s="2" t="str">
        <f t="shared" si="86"/>
        <v/>
      </c>
      <c r="K192" s="2" t="str">
        <f t="shared" si="70"/>
        <v/>
      </c>
      <c r="L192" s="2" t="str">
        <f t="shared" si="71"/>
        <v/>
      </c>
      <c r="M192" s="2" t="str">
        <f t="shared" si="72"/>
        <v/>
      </c>
      <c r="N192" s="2" t="str">
        <f t="shared" si="87"/>
        <v/>
      </c>
      <c r="O192" s="2" t="str">
        <f t="shared" si="88"/>
        <v/>
      </c>
      <c r="P192" s="2" t="str">
        <f t="shared" si="89"/>
        <v/>
      </c>
      <c r="Q192" s="2" t="str">
        <f t="shared" si="73"/>
        <v/>
      </c>
      <c r="R192" s="2" t="str">
        <f t="shared" si="74"/>
        <v/>
      </c>
      <c r="S192" s="2" t="str">
        <f t="shared" si="75"/>
        <v/>
      </c>
      <c r="T192" s="2" t="str">
        <f t="shared" si="90"/>
        <v/>
      </c>
      <c r="U192" s="2" t="str">
        <f t="shared" si="91"/>
        <v/>
      </c>
      <c r="V192" s="2" t="str">
        <f t="shared" si="92"/>
        <v/>
      </c>
      <c r="W192" s="2" t="str">
        <f t="shared" si="76"/>
        <v/>
      </c>
      <c r="X192" s="2" t="str">
        <f t="shared" si="77"/>
        <v/>
      </c>
      <c r="Y192" s="2" t="str">
        <f t="shared" si="78"/>
        <v/>
      </c>
      <c r="Z192" s="2" t="str">
        <f t="shared" si="93"/>
        <v/>
      </c>
      <c r="AA192" s="2" t="str">
        <f t="shared" si="94"/>
        <v/>
      </c>
      <c r="AB192" s="2" t="str">
        <f t="shared" si="95"/>
        <v/>
      </c>
      <c r="AC192" s="2" t="str">
        <f t="shared" si="79"/>
        <v/>
      </c>
      <c r="AD192" s="2" t="str">
        <f t="shared" si="80"/>
        <v/>
      </c>
      <c r="AE192" s="2" t="str">
        <f t="shared" si="81"/>
        <v/>
      </c>
      <c r="AF192" s="2" t="str">
        <f t="shared" si="82"/>
        <v/>
      </c>
    </row>
    <row r="193" spans="1:32" x14ac:dyDescent="0.2">
      <c r="A193" s="2" t="str">
        <f t="shared" si="83"/>
        <v/>
      </c>
      <c r="B193" s="2" t="str">
        <f t="shared" si="64"/>
        <v/>
      </c>
      <c r="C193" s="2" t="str">
        <f t="shared" si="65"/>
        <v/>
      </c>
      <c r="D193" s="2" t="str">
        <f t="shared" si="66"/>
        <v/>
      </c>
      <c r="E193" s="2" t="str">
        <f t="shared" si="67"/>
        <v/>
      </c>
      <c r="F193" s="2" t="str">
        <f t="shared" si="68"/>
        <v/>
      </c>
      <c r="G193" s="2" t="str">
        <f t="shared" si="69"/>
        <v/>
      </c>
      <c r="H193" s="2" t="str">
        <f t="shared" si="84"/>
        <v/>
      </c>
      <c r="I193" s="2" t="str">
        <f t="shared" si="85"/>
        <v/>
      </c>
      <c r="J193" s="2" t="str">
        <f t="shared" si="86"/>
        <v/>
      </c>
      <c r="K193" s="2" t="str">
        <f t="shared" si="70"/>
        <v/>
      </c>
      <c r="L193" s="2" t="str">
        <f t="shared" si="71"/>
        <v/>
      </c>
      <c r="M193" s="2" t="str">
        <f t="shared" si="72"/>
        <v/>
      </c>
      <c r="N193" s="2" t="str">
        <f t="shared" si="87"/>
        <v/>
      </c>
      <c r="O193" s="2" t="str">
        <f t="shared" si="88"/>
        <v/>
      </c>
      <c r="P193" s="2" t="str">
        <f t="shared" si="89"/>
        <v/>
      </c>
      <c r="Q193" s="2" t="str">
        <f t="shared" si="73"/>
        <v/>
      </c>
      <c r="R193" s="2" t="str">
        <f t="shared" si="74"/>
        <v/>
      </c>
      <c r="S193" s="2" t="str">
        <f t="shared" si="75"/>
        <v/>
      </c>
      <c r="T193" s="2" t="str">
        <f t="shared" si="90"/>
        <v/>
      </c>
      <c r="U193" s="2" t="str">
        <f t="shared" si="91"/>
        <v/>
      </c>
      <c r="V193" s="2" t="str">
        <f t="shared" si="92"/>
        <v/>
      </c>
      <c r="W193" s="2" t="str">
        <f t="shared" si="76"/>
        <v/>
      </c>
      <c r="X193" s="2" t="str">
        <f t="shared" si="77"/>
        <v/>
      </c>
      <c r="Y193" s="2" t="str">
        <f t="shared" si="78"/>
        <v/>
      </c>
      <c r="Z193" s="2" t="str">
        <f t="shared" si="93"/>
        <v/>
      </c>
      <c r="AA193" s="2" t="str">
        <f t="shared" si="94"/>
        <v/>
      </c>
      <c r="AB193" s="2" t="str">
        <f t="shared" si="95"/>
        <v/>
      </c>
      <c r="AC193" s="2" t="str">
        <f t="shared" si="79"/>
        <v/>
      </c>
      <c r="AD193" s="2" t="str">
        <f t="shared" si="80"/>
        <v/>
      </c>
      <c r="AE193" s="2" t="str">
        <f t="shared" si="81"/>
        <v/>
      </c>
      <c r="AF193" s="2" t="str">
        <f t="shared" si="82"/>
        <v/>
      </c>
    </row>
    <row r="194" spans="1:32" x14ac:dyDescent="0.2">
      <c r="A194" s="2" t="str">
        <f t="shared" si="83"/>
        <v/>
      </c>
      <c r="B194" s="2" t="str">
        <f t="shared" si="64"/>
        <v/>
      </c>
      <c r="C194" s="2" t="str">
        <f t="shared" si="65"/>
        <v/>
      </c>
      <c r="D194" s="2" t="str">
        <f t="shared" si="66"/>
        <v/>
      </c>
      <c r="E194" s="2" t="str">
        <f t="shared" si="67"/>
        <v/>
      </c>
      <c r="F194" s="2" t="str">
        <f t="shared" si="68"/>
        <v/>
      </c>
      <c r="G194" s="2" t="str">
        <f t="shared" si="69"/>
        <v/>
      </c>
      <c r="H194" s="2" t="str">
        <f t="shared" si="84"/>
        <v/>
      </c>
      <c r="I194" s="2" t="str">
        <f t="shared" si="85"/>
        <v/>
      </c>
      <c r="J194" s="2" t="str">
        <f t="shared" si="86"/>
        <v/>
      </c>
      <c r="K194" s="2" t="str">
        <f t="shared" si="70"/>
        <v/>
      </c>
      <c r="L194" s="2" t="str">
        <f t="shared" si="71"/>
        <v/>
      </c>
      <c r="M194" s="2" t="str">
        <f t="shared" si="72"/>
        <v/>
      </c>
      <c r="N194" s="2" t="str">
        <f t="shared" si="87"/>
        <v/>
      </c>
      <c r="O194" s="2" t="str">
        <f t="shared" si="88"/>
        <v/>
      </c>
      <c r="P194" s="2" t="str">
        <f t="shared" si="89"/>
        <v/>
      </c>
      <c r="Q194" s="2" t="str">
        <f t="shared" si="73"/>
        <v/>
      </c>
      <c r="R194" s="2" t="str">
        <f t="shared" si="74"/>
        <v/>
      </c>
      <c r="S194" s="2" t="str">
        <f t="shared" si="75"/>
        <v/>
      </c>
      <c r="T194" s="2" t="str">
        <f t="shared" si="90"/>
        <v/>
      </c>
      <c r="U194" s="2" t="str">
        <f t="shared" si="91"/>
        <v/>
      </c>
      <c r="V194" s="2" t="str">
        <f t="shared" si="92"/>
        <v/>
      </c>
      <c r="W194" s="2" t="str">
        <f t="shared" si="76"/>
        <v/>
      </c>
      <c r="X194" s="2" t="str">
        <f t="shared" si="77"/>
        <v/>
      </c>
      <c r="Y194" s="2" t="str">
        <f t="shared" si="78"/>
        <v/>
      </c>
      <c r="Z194" s="2" t="str">
        <f t="shared" si="93"/>
        <v/>
      </c>
      <c r="AA194" s="2" t="str">
        <f t="shared" si="94"/>
        <v/>
      </c>
      <c r="AB194" s="2" t="str">
        <f t="shared" si="95"/>
        <v/>
      </c>
      <c r="AC194" s="2" t="str">
        <f t="shared" si="79"/>
        <v/>
      </c>
      <c r="AD194" s="2" t="str">
        <f t="shared" si="80"/>
        <v/>
      </c>
      <c r="AE194" s="2" t="str">
        <f t="shared" si="81"/>
        <v/>
      </c>
      <c r="AF194" s="2" t="str">
        <f t="shared" si="82"/>
        <v/>
      </c>
    </row>
    <row r="195" spans="1:32" x14ac:dyDescent="0.2">
      <c r="A195" s="2" t="str">
        <f t="shared" si="83"/>
        <v/>
      </c>
      <c r="B195" s="2" t="str">
        <f t="shared" si="64"/>
        <v/>
      </c>
      <c r="C195" s="2" t="str">
        <f t="shared" si="65"/>
        <v/>
      </c>
      <c r="D195" s="2" t="str">
        <f t="shared" si="66"/>
        <v/>
      </c>
      <c r="E195" s="2" t="str">
        <f t="shared" si="67"/>
        <v/>
      </c>
      <c r="F195" s="2" t="str">
        <f t="shared" si="68"/>
        <v/>
      </c>
      <c r="G195" s="2" t="str">
        <f t="shared" si="69"/>
        <v/>
      </c>
      <c r="H195" s="2" t="str">
        <f t="shared" si="84"/>
        <v/>
      </c>
      <c r="I195" s="2" t="str">
        <f t="shared" si="85"/>
        <v/>
      </c>
      <c r="J195" s="2" t="str">
        <f t="shared" si="86"/>
        <v/>
      </c>
      <c r="K195" s="2" t="str">
        <f t="shared" si="70"/>
        <v/>
      </c>
      <c r="L195" s="2" t="str">
        <f t="shared" si="71"/>
        <v/>
      </c>
      <c r="M195" s="2" t="str">
        <f t="shared" si="72"/>
        <v/>
      </c>
      <c r="N195" s="2" t="str">
        <f t="shared" si="87"/>
        <v/>
      </c>
      <c r="O195" s="2" t="str">
        <f t="shared" si="88"/>
        <v/>
      </c>
      <c r="P195" s="2" t="str">
        <f t="shared" si="89"/>
        <v/>
      </c>
      <c r="Q195" s="2" t="str">
        <f t="shared" si="73"/>
        <v/>
      </c>
      <c r="R195" s="2" t="str">
        <f t="shared" si="74"/>
        <v/>
      </c>
      <c r="S195" s="2" t="str">
        <f t="shared" si="75"/>
        <v/>
      </c>
      <c r="T195" s="2" t="str">
        <f t="shared" si="90"/>
        <v/>
      </c>
      <c r="U195" s="2" t="str">
        <f t="shared" si="91"/>
        <v/>
      </c>
      <c r="V195" s="2" t="str">
        <f t="shared" si="92"/>
        <v/>
      </c>
      <c r="W195" s="2" t="str">
        <f t="shared" si="76"/>
        <v/>
      </c>
      <c r="X195" s="2" t="str">
        <f t="shared" si="77"/>
        <v/>
      </c>
      <c r="Y195" s="2" t="str">
        <f t="shared" si="78"/>
        <v/>
      </c>
      <c r="Z195" s="2" t="str">
        <f t="shared" si="93"/>
        <v/>
      </c>
      <c r="AA195" s="2" t="str">
        <f t="shared" si="94"/>
        <v/>
      </c>
      <c r="AB195" s="2" t="str">
        <f t="shared" si="95"/>
        <v/>
      </c>
      <c r="AC195" s="2" t="str">
        <f t="shared" si="79"/>
        <v/>
      </c>
      <c r="AD195" s="2" t="str">
        <f t="shared" si="80"/>
        <v/>
      </c>
      <c r="AE195" s="2" t="str">
        <f t="shared" si="81"/>
        <v/>
      </c>
      <c r="AF195" s="2" t="str">
        <f t="shared" si="82"/>
        <v/>
      </c>
    </row>
    <row r="196" spans="1:32" x14ac:dyDescent="0.2">
      <c r="A196" s="2" t="str">
        <f t="shared" si="83"/>
        <v/>
      </c>
      <c r="B196" s="2" t="str">
        <f t="shared" ref="B196:B259" si="96">IF(AI196="","",AI196)</f>
        <v/>
      </c>
      <c r="C196" s="2" t="str">
        <f t="shared" ref="C196:C259" si="97">IF(AJ196="","",AJ196)</f>
        <v/>
      </c>
      <c r="D196" s="2" t="str">
        <f t="shared" ref="D196:D259" si="98">IF(AK196="","",AK196)</f>
        <v/>
      </c>
      <c r="E196" s="2" t="str">
        <f t="shared" ref="E196:E259" si="99">IF(AL196="","",AL196)</f>
        <v/>
      </c>
      <c r="F196" s="2" t="str">
        <f t="shared" ref="F196:F259" si="100">IF(AM196="","",AM196)</f>
        <v/>
      </c>
      <c r="G196" s="2" t="str">
        <f t="shared" ref="G196:G259" si="101">IF(AN196="","",AN196)</f>
        <v/>
      </c>
      <c r="H196" s="2" t="str">
        <f t="shared" si="84"/>
        <v/>
      </c>
      <c r="I196" s="2" t="str">
        <f t="shared" si="85"/>
        <v/>
      </c>
      <c r="J196" s="2" t="str">
        <f t="shared" si="86"/>
        <v/>
      </c>
      <c r="K196" s="2" t="str">
        <f t="shared" ref="K196:K259" si="102">IF(AR196="","",AR196)</f>
        <v/>
      </c>
      <c r="L196" s="2" t="str">
        <f t="shared" ref="L196:L259" si="103">IF(AS196="","",AS196)</f>
        <v/>
      </c>
      <c r="M196" s="2" t="str">
        <f t="shared" ref="M196:M259" si="104">IF(AT196="","",AT196)</f>
        <v/>
      </c>
      <c r="N196" s="2" t="str">
        <f t="shared" si="87"/>
        <v/>
      </c>
      <c r="O196" s="2" t="str">
        <f t="shared" si="88"/>
        <v/>
      </c>
      <c r="P196" s="2" t="str">
        <f t="shared" si="89"/>
        <v/>
      </c>
      <c r="Q196" s="2" t="str">
        <f t="shared" ref="Q196:Q259" si="105">IF(AX196="","",AX196)</f>
        <v/>
      </c>
      <c r="R196" s="2" t="str">
        <f t="shared" ref="R196:R259" si="106">IF(AY196="","",AY196)</f>
        <v/>
      </c>
      <c r="S196" s="2" t="str">
        <f t="shared" ref="S196:S259" si="107">IF(AZ196="","",AZ196)</f>
        <v/>
      </c>
      <c r="T196" s="2" t="str">
        <f t="shared" si="90"/>
        <v/>
      </c>
      <c r="U196" s="2" t="str">
        <f t="shared" si="91"/>
        <v/>
      </c>
      <c r="V196" s="2" t="str">
        <f t="shared" si="92"/>
        <v/>
      </c>
      <c r="W196" s="2" t="str">
        <f t="shared" ref="W196:W259" si="108">IF(BD196="","",BD196)</f>
        <v/>
      </c>
      <c r="X196" s="2" t="str">
        <f t="shared" ref="X196:X259" si="109">IF(BE196="","",BE196)</f>
        <v/>
      </c>
      <c r="Y196" s="2" t="str">
        <f t="shared" ref="Y196:Y259" si="110">IF(BF196="","",BF196)</f>
        <v/>
      </c>
      <c r="Z196" s="2" t="str">
        <f t="shared" si="93"/>
        <v/>
      </c>
      <c r="AA196" s="2" t="str">
        <f t="shared" si="94"/>
        <v/>
      </c>
      <c r="AB196" s="2" t="str">
        <f t="shared" si="95"/>
        <v/>
      </c>
      <c r="AC196" s="2" t="str">
        <f t="shared" ref="AC196:AC259" si="111">IF(BJ196="","",BJ196)</f>
        <v/>
      </c>
      <c r="AD196" s="2" t="str">
        <f t="shared" ref="AD196:AD259" si="112">IF(BK196="","",BK196)</f>
        <v/>
      </c>
      <c r="AE196" s="2" t="str">
        <f t="shared" ref="AE196:AE259" si="113">IF(BL196="","",BL196)</f>
        <v/>
      </c>
      <c r="AF196" s="2" t="str">
        <f t="shared" ref="AF196:AF259" si="114">IF(BM196="","",BM196)</f>
        <v/>
      </c>
    </row>
    <row r="197" spans="1:32" x14ac:dyDescent="0.2">
      <c r="A197" s="2" t="str">
        <f t="shared" ref="A197:A260" si="115">IF(AH197="","",_xlfn.CONCAT(AH197,"_",ROW()-3))</f>
        <v/>
      </c>
      <c r="B197" s="2" t="str">
        <f t="shared" si="96"/>
        <v/>
      </c>
      <c r="C197" s="2" t="str">
        <f t="shared" si="97"/>
        <v/>
      </c>
      <c r="D197" s="2" t="str">
        <f t="shared" si="98"/>
        <v/>
      </c>
      <c r="E197" s="2" t="str">
        <f t="shared" si="99"/>
        <v/>
      </c>
      <c r="F197" s="2" t="str">
        <f t="shared" si="100"/>
        <v/>
      </c>
      <c r="G197" s="2" t="str">
        <f t="shared" si="101"/>
        <v/>
      </c>
      <c r="H197" s="2" t="str">
        <f t="shared" ref="H197:H260" si="116">IF(AO197="","",IF(AQ197&lt;&gt;0,(AO197+AQ197)/2,AO197)-BN197)</f>
        <v/>
      </c>
      <c r="I197" s="2" t="str">
        <f t="shared" ref="I197:I260" si="117">IF(AP197="","",AP197)</f>
        <v/>
      </c>
      <c r="J197" s="2" t="str">
        <f t="shared" ref="J197:J260" si="118">IF(AQ197="","",(AO197+AQ197)/2-BN197)</f>
        <v/>
      </c>
      <c r="K197" s="2" t="str">
        <f t="shared" si="102"/>
        <v/>
      </c>
      <c r="L197" s="2" t="str">
        <f t="shared" si="103"/>
        <v/>
      </c>
      <c r="M197" s="2" t="str">
        <f t="shared" si="104"/>
        <v/>
      </c>
      <c r="N197" s="2" t="str">
        <f t="shared" ref="N197:N260" si="119">IF(AU197="","",IF(AW197&lt;&gt;0,(AU197+AW197)/2,AU197)-BN198)</f>
        <v/>
      </c>
      <c r="O197" s="2" t="str">
        <f t="shared" ref="O197:O260" si="120">IF(AV197="","",AV197)</f>
        <v/>
      </c>
      <c r="P197" s="2" t="str">
        <f t="shared" ref="P197:P260" si="121">IF(AW197="","",(AU197+AW197)/2-BN198)</f>
        <v/>
      </c>
      <c r="Q197" s="2" t="str">
        <f t="shared" si="105"/>
        <v/>
      </c>
      <c r="R197" s="2" t="str">
        <f t="shared" si="106"/>
        <v/>
      </c>
      <c r="S197" s="2" t="str">
        <f t="shared" si="107"/>
        <v/>
      </c>
      <c r="T197" s="2" t="str">
        <f t="shared" ref="T197:T260" si="122">IF(BA197="","",IF(BC197&lt;&gt;0,(BA197+BC197)/2,BA197)-BN199)</f>
        <v/>
      </c>
      <c r="U197" s="2" t="str">
        <f t="shared" ref="U197:U260" si="123">IF(BB197="","",BB197)</f>
        <v/>
      </c>
      <c r="V197" s="2" t="str">
        <f t="shared" ref="V197:V260" si="124">IF(BC197="","",(BA197+BC197)/2-BN199)</f>
        <v/>
      </c>
      <c r="W197" s="2" t="str">
        <f t="shared" si="108"/>
        <v/>
      </c>
      <c r="X197" s="2" t="str">
        <f t="shared" si="109"/>
        <v/>
      </c>
      <c r="Y197" s="2" t="str">
        <f t="shared" si="110"/>
        <v/>
      </c>
      <c r="Z197" s="2" t="str">
        <f t="shared" ref="Z197:Z260" si="125">IF(BG197="","",IF(BI197&lt;&gt;0,(BG197+BI197)/2,BG197)-BN200)</f>
        <v/>
      </c>
      <c r="AA197" s="2" t="str">
        <f t="shared" ref="AA197:AA260" si="126">IF(BH197="","",BH197)</f>
        <v/>
      </c>
      <c r="AB197" s="2" t="str">
        <f t="shared" ref="AB197:AB260" si="127">IF(BI197="","",(BG197+BI197)/2-BN200)</f>
        <v/>
      </c>
      <c r="AC197" s="2" t="str">
        <f t="shared" si="111"/>
        <v/>
      </c>
      <c r="AD197" s="2" t="str">
        <f t="shared" si="112"/>
        <v/>
      </c>
      <c r="AE197" s="2" t="str">
        <f t="shared" si="113"/>
        <v/>
      </c>
      <c r="AF197" s="2" t="str">
        <f t="shared" si="114"/>
        <v/>
      </c>
    </row>
    <row r="198" spans="1:32" x14ac:dyDescent="0.2">
      <c r="A198" s="2" t="str">
        <f t="shared" si="115"/>
        <v/>
      </c>
      <c r="B198" s="2" t="str">
        <f t="shared" si="96"/>
        <v/>
      </c>
      <c r="C198" s="2" t="str">
        <f t="shared" si="97"/>
        <v/>
      </c>
      <c r="D198" s="2" t="str">
        <f t="shared" si="98"/>
        <v/>
      </c>
      <c r="E198" s="2" t="str">
        <f t="shared" si="99"/>
        <v/>
      </c>
      <c r="F198" s="2" t="str">
        <f t="shared" si="100"/>
        <v/>
      </c>
      <c r="G198" s="2" t="str">
        <f t="shared" si="101"/>
        <v/>
      </c>
      <c r="H198" s="2" t="str">
        <f t="shared" si="116"/>
        <v/>
      </c>
      <c r="I198" s="2" t="str">
        <f t="shared" si="117"/>
        <v/>
      </c>
      <c r="J198" s="2" t="str">
        <f t="shared" si="118"/>
        <v/>
      </c>
      <c r="K198" s="2" t="str">
        <f t="shared" si="102"/>
        <v/>
      </c>
      <c r="L198" s="2" t="str">
        <f t="shared" si="103"/>
        <v/>
      </c>
      <c r="M198" s="2" t="str">
        <f t="shared" si="104"/>
        <v/>
      </c>
      <c r="N198" s="2" t="str">
        <f t="shared" si="119"/>
        <v/>
      </c>
      <c r="O198" s="2" t="str">
        <f t="shared" si="120"/>
        <v/>
      </c>
      <c r="P198" s="2" t="str">
        <f t="shared" si="121"/>
        <v/>
      </c>
      <c r="Q198" s="2" t="str">
        <f t="shared" si="105"/>
        <v/>
      </c>
      <c r="R198" s="2" t="str">
        <f t="shared" si="106"/>
        <v/>
      </c>
      <c r="S198" s="2" t="str">
        <f t="shared" si="107"/>
        <v/>
      </c>
      <c r="T198" s="2" t="str">
        <f t="shared" si="122"/>
        <v/>
      </c>
      <c r="U198" s="2" t="str">
        <f t="shared" si="123"/>
        <v/>
      </c>
      <c r="V198" s="2" t="str">
        <f t="shared" si="124"/>
        <v/>
      </c>
      <c r="W198" s="2" t="str">
        <f t="shared" si="108"/>
        <v/>
      </c>
      <c r="X198" s="2" t="str">
        <f t="shared" si="109"/>
        <v/>
      </c>
      <c r="Y198" s="2" t="str">
        <f t="shared" si="110"/>
        <v/>
      </c>
      <c r="Z198" s="2" t="str">
        <f t="shared" si="125"/>
        <v/>
      </c>
      <c r="AA198" s="2" t="str">
        <f t="shared" si="126"/>
        <v/>
      </c>
      <c r="AB198" s="2" t="str">
        <f t="shared" si="127"/>
        <v/>
      </c>
      <c r="AC198" s="2" t="str">
        <f t="shared" si="111"/>
        <v/>
      </c>
      <c r="AD198" s="2" t="str">
        <f t="shared" si="112"/>
        <v/>
      </c>
      <c r="AE198" s="2" t="str">
        <f t="shared" si="113"/>
        <v/>
      </c>
      <c r="AF198" s="2" t="str">
        <f t="shared" si="114"/>
        <v/>
      </c>
    </row>
    <row r="199" spans="1:32" x14ac:dyDescent="0.2">
      <c r="A199" s="2" t="str">
        <f t="shared" si="115"/>
        <v/>
      </c>
      <c r="B199" s="2" t="str">
        <f t="shared" si="96"/>
        <v/>
      </c>
      <c r="C199" s="2" t="str">
        <f t="shared" si="97"/>
        <v/>
      </c>
      <c r="D199" s="2" t="str">
        <f t="shared" si="98"/>
        <v/>
      </c>
      <c r="E199" s="2" t="str">
        <f t="shared" si="99"/>
        <v/>
      </c>
      <c r="F199" s="2" t="str">
        <f t="shared" si="100"/>
        <v/>
      </c>
      <c r="G199" s="2" t="str">
        <f t="shared" si="101"/>
        <v/>
      </c>
      <c r="H199" s="2" t="str">
        <f t="shared" si="116"/>
        <v/>
      </c>
      <c r="I199" s="2" t="str">
        <f t="shared" si="117"/>
        <v/>
      </c>
      <c r="J199" s="2" t="str">
        <f t="shared" si="118"/>
        <v/>
      </c>
      <c r="K199" s="2" t="str">
        <f t="shared" si="102"/>
        <v/>
      </c>
      <c r="L199" s="2" t="str">
        <f t="shared" si="103"/>
        <v/>
      </c>
      <c r="M199" s="2" t="str">
        <f t="shared" si="104"/>
        <v/>
      </c>
      <c r="N199" s="2" t="str">
        <f t="shared" si="119"/>
        <v/>
      </c>
      <c r="O199" s="2" t="str">
        <f t="shared" si="120"/>
        <v/>
      </c>
      <c r="P199" s="2" t="str">
        <f t="shared" si="121"/>
        <v/>
      </c>
      <c r="Q199" s="2" t="str">
        <f t="shared" si="105"/>
        <v/>
      </c>
      <c r="R199" s="2" t="str">
        <f t="shared" si="106"/>
        <v/>
      </c>
      <c r="S199" s="2" t="str">
        <f t="shared" si="107"/>
        <v/>
      </c>
      <c r="T199" s="2" t="str">
        <f t="shared" si="122"/>
        <v/>
      </c>
      <c r="U199" s="2" t="str">
        <f t="shared" si="123"/>
        <v/>
      </c>
      <c r="V199" s="2" t="str">
        <f t="shared" si="124"/>
        <v/>
      </c>
      <c r="W199" s="2" t="str">
        <f t="shared" si="108"/>
        <v/>
      </c>
      <c r="X199" s="2" t="str">
        <f t="shared" si="109"/>
        <v/>
      </c>
      <c r="Y199" s="2" t="str">
        <f t="shared" si="110"/>
        <v/>
      </c>
      <c r="Z199" s="2" t="str">
        <f t="shared" si="125"/>
        <v/>
      </c>
      <c r="AA199" s="2" t="str">
        <f t="shared" si="126"/>
        <v/>
      </c>
      <c r="AB199" s="2" t="str">
        <f t="shared" si="127"/>
        <v/>
      </c>
      <c r="AC199" s="2" t="str">
        <f t="shared" si="111"/>
        <v/>
      </c>
      <c r="AD199" s="2" t="str">
        <f t="shared" si="112"/>
        <v/>
      </c>
      <c r="AE199" s="2" t="str">
        <f t="shared" si="113"/>
        <v/>
      </c>
      <c r="AF199" s="2" t="str">
        <f t="shared" si="114"/>
        <v/>
      </c>
    </row>
    <row r="200" spans="1:32" x14ac:dyDescent="0.2">
      <c r="A200" s="2" t="str">
        <f t="shared" si="115"/>
        <v/>
      </c>
      <c r="B200" s="2" t="str">
        <f t="shared" si="96"/>
        <v/>
      </c>
      <c r="C200" s="2" t="str">
        <f t="shared" si="97"/>
        <v/>
      </c>
      <c r="D200" s="2" t="str">
        <f t="shared" si="98"/>
        <v/>
      </c>
      <c r="E200" s="2" t="str">
        <f t="shared" si="99"/>
        <v/>
      </c>
      <c r="F200" s="2" t="str">
        <f t="shared" si="100"/>
        <v/>
      </c>
      <c r="G200" s="2" t="str">
        <f t="shared" si="101"/>
        <v/>
      </c>
      <c r="H200" s="2" t="str">
        <f t="shared" si="116"/>
        <v/>
      </c>
      <c r="I200" s="2" t="str">
        <f t="shared" si="117"/>
        <v/>
      </c>
      <c r="J200" s="2" t="str">
        <f t="shared" si="118"/>
        <v/>
      </c>
      <c r="K200" s="2" t="str">
        <f t="shared" si="102"/>
        <v/>
      </c>
      <c r="L200" s="2" t="str">
        <f t="shared" si="103"/>
        <v/>
      </c>
      <c r="M200" s="2" t="str">
        <f t="shared" si="104"/>
        <v/>
      </c>
      <c r="N200" s="2" t="str">
        <f t="shared" si="119"/>
        <v/>
      </c>
      <c r="O200" s="2" t="str">
        <f t="shared" si="120"/>
        <v/>
      </c>
      <c r="P200" s="2" t="str">
        <f t="shared" si="121"/>
        <v/>
      </c>
      <c r="Q200" s="2" t="str">
        <f t="shared" si="105"/>
        <v/>
      </c>
      <c r="R200" s="2" t="str">
        <f t="shared" si="106"/>
        <v/>
      </c>
      <c r="S200" s="2" t="str">
        <f t="shared" si="107"/>
        <v/>
      </c>
      <c r="T200" s="2" t="str">
        <f t="shared" si="122"/>
        <v/>
      </c>
      <c r="U200" s="2" t="str">
        <f t="shared" si="123"/>
        <v/>
      </c>
      <c r="V200" s="2" t="str">
        <f t="shared" si="124"/>
        <v/>
      </c>
      <c r="W200" s="2" t="str">
        <f t="shared" si="108"/>
        <v/>
      </c>
      <c r="X200" s="2" t="str">
        <f t="shared" si="109"/>
        <v/>
      </c>
      <c r="Y200" s="2" t="str">
        <f t="shared" si="110"/>
        <v/>
      </c>
      <c r="Z200" s="2" t="str">
        <f t="shared" si="125"/>
        <v/>
      </c>
      <c r="AA200" s="2" t="str">
        <f t="shared" si="126"/>
        <v/>
      </c>
      <c r="AB200" s="2" t="str">
        <f t="shared" si="127"/>
        <v/>
      </c>
      <c r="AC200" s="2" t="str">
        <f t="shared" si="111"/>
        <v/>
      </c>
      <c r="AD200" s="2" t="str">
        <f t="shared" si="112"/>
        <v/>
      </c>
      <c r="AE200" s="2" t="str">
        <f t="shared" si="113"/>
        <v/>
      </c>
      <c r="AF200" s="2" t="str">
        <f t="shared" si="114"/>
        <v/>
      </c>
    </row>
    <row r="201" spans="1:32" x14ac:dyDescent="0.2">
      <c r="A201" s="2" t="str">
        <f t="shared" si="115"/>
        <v/>
      </c>
      <c r="B201" s="2" t="str">
        <f t="shared" si="96"/>
        <v/>
      </c>
      <c r="C201" s="2" t="str">
        <f t="shared" si="97"/>
        <v/>
      </c>
      <c r="D201" s="2" t="str">
        <f t="shared" si="98"/>
        <v/>
      </c>
      <c r="E201" s="2" t="str">
        <f t="shared" si="99"/>
        <v/>
      </c>
      <c r="F201" s="2" t="str">
        <f t="shared" si="100"/>
        <v/>
      </c>
      <c r="G201" s="2" t="str">
        <f t="shared" si="101"/>
        <v/>
      </c>
      <c r="H201" s="2" t="str">
        <f t="shared" si="116"/>
        <v/>
      </c>
      <c r="I201" s="2" t="str">
        <f t="shared" si="117"/>
        <v/>
      </c>
      <c r="J201" s="2" t="str">
        <f t="shared" si="118"/>
        <v/>
      </c>
      <c r="K201" s="2" t="str">
        <f t="shared" si="102"/>
        <v/>
      </c>
      <c r="L201" s="2" t="str">
        <f t="shared" si="103"/>
        <v/>
      </c>
      <c r="M201" s="2" t="str">
        <f t="shared" si="104"/>
        <v/>
      </c>
      <c r="N201" s="2" t="str">
        <f t="shared" si="119"/>
        <v/>
      </c>
      <c r="O201" s="2" t="str">
        <f t="shared" si="120"/>
        <v/>
      </c>
      <c r="P201" s="2" t="str">
        <f t="shared" si="121"/>
        <v/>
      </c>
      <c r="Q201" s="2" t="str">
        <f t="shared" si="105"/>
        <v/>
      </c>
      <c r="R201" s="2" t="str">
        <f t="shared" si="106"/>
        <v/>
      </c>
      <c r="S201" s="2" t="str">
        <f t="shared" si="107"/>
        <v/>
      </c>
      <c r="T201" s="2" t="str">
        <f t="shared" si="122"/>
        <v/>
      </c>
      <c r="U201" s="2" t="str">
        <f t="shared" si="123"/>
        <v/>
      </c>
      <c r="V201" s="2" t="str">
        <f t="shared" si="124"/>
        <v/>
      </c>
      <c r="W201" s="2" t="str">
        <f t="shared" si="108"/>
        <v/>
      </c>
      <c r="X201" s="2" t="str">
        <f t="shared" si="109"/>
        <v/>
      </c>
      <c r="Y201" s="2" t="str">
        <f t="shared" si="110"/>
        <v/>
      </c>
      <c r="Z201" s="2" t="str">
        <f t="shared" si="125"/>
        <v/>
      </c>
      <c r="AA201" s="2" t="str">
        <f t="shared" si="126"/>
        <v/>
      </c>
      <c r="AB201" s="2" t="str">
        <f t="shared" si="127"/>
        <v/>
      </c>
      <c r="AC201" s="2" t="str">
        <f t="shared" si="111"/>
        <v/>
      </c>
      <c r="AD201" s="2" t="str">
        <f t="shared" si="112"/>
        <v/>
      </c>
      <c r="AE201" s="2" t="str">
        <f t="shared" si="113"/>
        <v/>
      </c>
      <c r="AF201" s="2" t="str">
        <f t="shared" si="114"/>
        <v/>
      </c>
    </row>
    <row r="202" spans="1:32" x14ac:dyDescent="0.2">
      <c r="A202" s="2" t="str">
        <f t="shared" si="115"/>
        <v/>
      </c>
      <c r="B202" s="2" t="str">
        <f t="shared" si="96"/>
        <v/>
      </c>
      <c r="C202" s="2" t="str">
        <f t="shared" si="97"/>
        <v/>
      </c>
      <c r="D202" s="2" t="str">
        <f t="shared" si="98"/>
        <v/>
      </c>
      <c r="E202" s="2" t="str">
        <f t="shared" si="99"/>
        <v/>
      </c>
      <c r="F202" s="2" t="str">
        <f t="shared" si="100"/>
        <v/>
      </c>
      <c r="G202" s="2" t="str">
        <f t="shared" si="101"/>
        <v/>
      </c>
      <c r="H202" s="2" t="str">
        <f t="shared" si="116"/>
        <v/>
      </c>
      <c r="I202" s="2" t="str">
        <f t="shared" si="117"/>
        <v/>
      </c>
      <c r="J202" s="2" t="str">
        <f t="shared" si="118"/>
        <v/>
      </c>
      <c r="K202" s="2" t="str">
        <f t="shared" si="102"/>
        <v/>
      </c>
      <c r="L202" s="2" t="str">
        <f t="shared" si="103"/>
        <v/>
      </c>
      <c r="M202" s="2" t="str">
        <f t="shared" si="104"/>
        <v/>
      </c>
      <c r="N202" s="2" t="str">
        <f t="shared" si="119"/>
        <v/>
      </c>
      <c r="O202" s="2" t="str">
        <f t="shared" si="120"/>
        <v/>
      </c>
      <c r="P202" s="2" t="str">
        <f t="shared" si="121"/>
        <v/>
      </c>
      <c r="Q202" s="2" t="str">
        <f t="shared" si="105"/>
        <v/>
      </c>
      <c r="R202" s="2" t="str">
        <f t="shared" si="106"/>
        <v/>
      </c>
      <c r="S202" s="2" t="str">
        <f t="shared" si="107"/>
        <v/>
      </c>
      <c r="T202" s="2" t="str">
        <f t="shared" si="122"/>
        <v/>
      </c>
      <c r="U202" s="2" t="str">
        <f t="shared" si="123"/>
        <v/>
      </c>
      <c r="V202" s="2" t="str">
        <f t="shared" si="124"/>
        <v/>
      </c>
      <c r="W202" s="2" t="str">
        <f t="shared" si="108"/>
        <v/>
      </c>
      <c r="X202" s="2" t="str">
        <f t="shared" si="109"/>
        <v/>
      </c>
      <c r="Y202" s="2" t="str">
        <f t="shared" si="110"/>
        <v/>
      </c>
      <c r="Z202" s="2" t="str">
        <f t="shared" si="125"/>
        <v/>
      </c>
      <c r="AA202" s="2" t="str">
        <f t="shared" si="126"/>
        <v/>
      </c>
      <c r="AB202" s="2" t="str">
        <f t="shared" si="127"/>
        <v/>
      </c>
      <c r="AC202" s="2" t="str">
        <f t="shared" si="111"/>
        <v/>
      </c>
      <c r="AD202" s="2" t="str">
        <f t="shared" si="112"/>
        <v/>
      </c>
      <c r="AE202" s="2" t="str">
        <f t="shared" si="113"/>
        <v/>
      </c>
      <c r="AF202" s="2" t="str">
        <f t="shared" si="114"/>
        <v/>
      </c>
    </row>
    <row r="203" spans="1:32" x14ac:dyDescent="0.2">
      <c r="A203" s="2" t="str">
        <f t="shared" si="115"/>
        <v/>
      </c>
      <c r="B203" s="2" t="str">
        <f t="shared" si="96"/>
        <v/>
      </c>
      <c r="C203" s="2" t="str">
        <f t="shared" si="97"/>
        <v/>
      </c>
      <c r="D203" s="2" t="str">
        <f t="shared" si="98"/>
        <v/>
      </c>
      <c r="E203" s="2" t="str">
        <f t="shared" si="99"/>
        <v/>
      </c>
      <c r="F203" s="2" t="str">
        <f t="shared" si="100"/>
        <v/>
      </c>
      <c r="G203" s="2" t="str">
        <f t="shared" si="101"/>
        <v/>
      </c>
      <c r="H203" s="2" t="str">
        <f t="shared" si="116"/>
        <v/>
      </c>
      <c r="I203" s="2" t="str">
        <f t="shared" si="117"/>
        <v/>
      </c>
      <c r="J203" s="2" t="str">
        <f t="shared" si="118"/>
        <v/>
      </c>
      <c r="K203" s="2" t="str">
        <f t="shared" si="102"/>
        <v/>
      </c>
      <c r="L203" s="2" t="str">
        <f t="shared" si="103"/>
        <v/>
      </c>
      <c r="M203" s="2" t="str">
        <f t="shared" si="104"/>
        <v/>
      </c>
      <c r="N203" s="2" t="str">
        <f t="shared" si="119"/>
        <v/>
      </c>
      <c r="O203" s="2" t="str">
        <f t="shared" si="120"/>
        <v/>
      </c>
      <c r="P203" s="2" t="str">
        <f t="shared" si="121"/>
        <v/>
      </c>
      <c r="Q203" s="2" t="str">
        <f t="shared" si="105"/>
        <v/>
      </c>
      <c r="R203" s="2" t="str">
        <f t="shared" si="106"/>
        <v/>
      </c>
      <c r="S203" s="2" t="str">
        <f t="shared" si="107"/>
        <v/>
      </c>
      <c r="T203" s="2" t="str">
        <f t="shared" si="122"/>
        <v/>
      </c>
      <c r="U203" s="2" t="str">
        <f t="shared" si="123"/>
        <v/>
      </c>
      <c r="V203" s="2" t="str">
        <f t="shared" si="124"/>
        <v/>
      </c>
      <c r="W203" s="2" t="str">
        <f t="shared" si="108"/>
        <v/>
      </c>
      <c r="X203" s="2" t="str">
        <f t="shared" si="109"/>
        <v/>
      </c>
      <c r="Y203" s="2" t="str">
        <f t="shared" si="110"/>
        <v/>
      </c>
      <c r="Z203" s="2" t="str">
        <f t="shared" si="125"/>
        <v/>
      </c>
      <c r="AA203" s="2" t="str">
        <f t="shared" si="126"/>
        <v/>
      </c>
      <c r="AB203" s="2" t="str">
        <f t="shared" si="127"/>
        <v/>
      </c>
      <c r="AC203" s="2" t="str">
        <f t="shared" si="111"/>
        <v/>
      </c>
      <c r="AD203" s="2" t="str">
        <f t="shared" si="112"/>
        <v/>
      </c>
      <c r="AE203" s="2" t="str">
        <f t="shared" si="113"/>
        <v/>
      </c>
      <c r="AF203" s="2" t="str">
        <f t="shared" si="114"/>
        <v/>
      </c>
    </row>
    <row r="204" spans="1:32" x14ac:dyDescent="0.2">
      <c r="A204" s="2" t="str">
        <f t="shared" si="115"/>
        <v/>
      </c>
      <c r="B204" s="2" t="str">
        <f t="shared" si="96"/>
        <v/>
      </c>
      <c r="C204" s="2" t="str">
        <f t="shared" si="97"/>
        <v/>
      </c>
      <c r="D204" s="2" t="str">
        <f t="shared" si="98"/>
        <v/>
      </c>
      <c r="E204" s="2" t="str">
        <f t="shared" si="99"/>
        <v/>
      </c>
      <c r="F204" s="2" t="str">
        <f t="shared" si="100"/>
        <v/>
      </c>
      <c r="G204" s="2" t="str">
        <f t="shared" si="101"/>
        <v/>
      </c>
      <c r="H204" s="2" t="str">
        <f t="shared" si="116"/>
        <v/>
      </c>
      <c r="I204" s="2" t="str">
        <f t="shared" si="117"/>
        <v/>
      </c>
      <c r="J204" s="2" t="str">
        <f t="shared" si="118"/>
        <v/>
      </c>
      <c r="K204" s="2" t="str">
        <f t="shared" si="102"/>
        <v/>
      </c>
      <c r="L204" s="2" t="str">
        <f t="shared" si="103"/>
        <v/>
      </c>
      <c r="M204" s="2" t="str">
        <f t="shared" si="104"/>
        <v/>
      </c>
      <c r="N204" s="2" t="str">
        <f t="shared" si="119"/>
        <v/>
      </c>
      <c r="O204" s="2" t="str">
        <f t="shared" si="120"/>
        <v/>
      </c>
      <c r="P204" s="2" t="str">
        <f t="shared" si="121"/>
        <v/>
      </c>
      <c r="Q204" s="2" t="str">
        <f t="shared" si="105"/>
        <v/>
      </c>
      <c r="R204" s="2" t="str">
        <f t="shared" si="106"/>
        <v/>
      </c>
      <c r="S204" s="2" t="str">
        <f t="shared" si="107"/>
        <v/>
      </c>
      <c r="T204" s="2" t="str">
        <f t="shared" si="122"/>
        <v/>
      </c>
      <c r="U204" s="2" t="str">
        <f t="shared" si="123"/>
        <v/>
      </c>
      <c r="V204" s="2" t="str">
        <f t="shared" si="124"/>
        <v/>
      </c>
      <c r="W204" s="2" t="str">
        <f t="shared" si="108"/>
        <v/>
      </c>
      <c r="X204" s="2" t="str">
        <f t="shared" si="109"/>
        <v/>
      </c>
      <c r="Y204" s="2" t="str">
        <f t="shared" si="110"/>
        <v/>
      </c>
      <c r="Z204" s="2" t="str">
        <f t="shared" si="125"/>
        <v/>
      </c>
      <c r="AA204" s="2" t="str">
        <f t="shared" si="126"/>
        <v/>
      </c>
      <c r="AB204" s="2" t="str">
        <f t="shared" si="127"/>
        <v/>
      </c>
      <c r="AC204" s="2" t="str">
        <f t="shared" si="111"/>
        <v/>
      </c>
      <c r="AD204" s="2" t="str">
        <f t="shared" si="112"/>
        <v/>
      </c>
      <c r="AE204" s="2" t="str">
        <f t="shared" si="113"/>
        <v/>
      </c>
      <c r="AF204" s="2" t="str">
        <f t="shared" si="114"/>
        <v/>
      </c>
    </row>
    <row r="205" spans="1:32" x14ac:dyDescent="0.2">
      <c r="A205" s="2" t="str">
        <f t="shared" si="115"/>
        <v/>
      </c>
      <c r="B205" s="2" t="str">
        <f t="shared" si="96"/>
        <v/>
      </c>
      <c r="C205" s="2" t="str">
        <f t="shared" si="97"/>
        <v/>
      </c>
      <c r="D205" s="2" t="str">
        <f t="shared" si="98"/>
        <v/>
      </c>
      <c r="E205" s="2" t="str">
        <f t="shared" si="99"/>
        <v/>
      </c>
      <c r="F205" s="2" t="str">
        <f t="shared" si="100"/>
        <v/>
      </c>
      <c r="G205" s="2" t="str">
        <f t="shared" si="101"/>
        <v/>
      </c>
      <c r="H205" s="2" t="str">
        <f t="shared" si="116"/>
        <v/>
      </c>
      <c r="I205" s="2" t="str">
        <f t="shared" si="117"/>
        <v/>
      </c>
      <c r="J205" s="2" t="str">
        <f t="shared" si="118"/>
        <v/>
      </c>
      <c r="K205" s="2" t="str">
        <f t="shared" si="102"/>
        <v/>
      </c>
      <c r="L205" s="2" t="str">
        <f t="shared" si="103"/>
        <v/>
      </c>
      <c r="M205" s="2" t="str">
        <f t="shared" si="104"/>
        <v/>
      </c>
      <c r="N205" s="2" t="str">
        <f t="shared" si="119"/>
        <v/>
      </c>
      <c r="O205" s="2" t="str">
        <f t="shared" si="120"/>
        <v/>
      </c>
      <c r="P205" s="2" t="str">
        <f t="shared" si="121"/>
        <v/>
      </c>
      <c r="Q205" s="2" t="str">
        <f t="shared" si="105"/>
        <v/>
      </c>
      <c r="R205" s="2" t="str">
        <f t="shared" si="106"/>
        <v/>
      </c>
      <c r="S205" s="2" t="str">
        <f t="shared" si="107"/>
        <v/>
      </c>
      <c r="T205" s="2" t="str">
        <f t="shared" si="122"/>
        <v/>
      </c>
      <c r="U205" s="2" t="str">
        <f t="shared" si="123"/>
        <v/>
      </c>
      <c r="V205" s="2" t="str">
        <f t="shared" si="124"/>
        <v/>
      </c>
      <c r="W205" s="2" t="str">
        <f t="shared" si="108"/>
        <v/>
      </c>
      <c r="X205" s="2" t="str">
        <f t="shared" si="109"/>
        <v/>
      </c>
      <c r="Y205" s="2" t="str">
        <f t="shared" si="110"/>
        <v/>
      </c>
      <c r="Z205" s="2" t="str">
        <f t="shared" si="125"/>
        <v/>
      </c>
      <c r="AA205" s="2" t="str">
        <f t="shared" si="126"/>
        <v/>
      </c>
      <c r="AB205" s="2" t="str">
        <f t="shared" si="127"/>
        <v/>
      </c>
      <c r="AC205" s="2" t="str">
        <f t="shared" si="111"/>
        <v/>
      </c>
      <c r="AD205" s="2" t="str">
        <f t="shared" si="112"/>
        <v/>
      </c>
      <c r="AE205" s="2" t="str">
        <f t="shared" si="113"/>
        <v/>
      </c>
      <c r="AF205" s="2" t="str">
        <f t="shared" si="114"/>
        <v/>
      </c>
    </row>
    <row r="206" spans="1:32" x14ac:dyDescent="0.2">
      <c r="A206" s="2" t="str">
        <f t="shared" si="115"/>
        <v/>
      </c>
      <c r="B206" s="2" t="str">
        <f t="shared" si="96"/>
        <v/>
      </c>
      <c r="C206" s="2" t="str">
        <f t="shared" si="97"/>
        <v/>
      </c>
      <c r="D206" s="2" t="str">
        <f t="shared" si="98"/>
        <v/>
      </c>
      <c r="E206" s="2" t="str">
        <f t="shared" si="99"/>
        <v/>
      </c>
      <c r="F206" s="2" t="str">
        <f t="shared" si="100"/>
        <v/>
      </c>
      <c r="G206" s="2" t="str">
        <f t="shared" si="101"/>
        <v/>
      </c>
      <c r="H206" s="2" t="str">
        <f t="shared" si="116"/>
        <v/>
      </c>
      <c r="I206" s="2" t="str">
        <f t="shared" si="117"/>
        <v/>
      </c>
      <c r="J206" s="2" t="str">
        <f t="shared" si="118"/>
        <v/>
      </c>
      <c r="K206" s="2" t="str">
        <f t="shared" si="102"/>
        <v/>
      </c>
      <c r="L206" s="2" t="str">
        <f t="shared" si="103"/>
        <v/>
      </c>
      <c r="M206" s="2" t="str">
        <f t="shared" si="104"/>
        <v/>
      </c>
      <c r="N206" s="2" t="str">
        <f t="shared" si="119"/>
        <v/>
      </c>
      <c r="O206" s="2" t="str">
        <f t="shared" si="120"/>
        <v/>
      </c>
      <c r="P206" s="2" t="str">
        <f t="shared" si="121"/>
        <v/>
      </c>
      <c r="Q206" s="2" t="str">
        <f t="shared" si="105"/>
        <v/>
      </c>
      <c r="R206" s="2" t="str">
        <f t="shared" si="106"/>
        <v/>
      </c>
      <c r="S206" s="2" t="str">
        <f t="shared" si="107"/>
        <v/>
      </c>
      <c r="T206" s="2" t="str">
        <f t="shared" si="122"/>
        <v/>
      </c>
      <c r="U206" s="2" t="str">
        <f t="shared" si="123"/>
        <v/>
      </c>
      <c r="V206" s="2" t="str">
        <f t="shared" si="124"/>
        <v/>
      </c>
      <c r="W206" s="2" t="str">
        <f t="shared" si="108"/>
        <v/>
      </c>
      <c r="X206" s="2" t="str">
        <f t="shared" si="109"/>
        <v/>
      </c>
      <c r="Y206" s="2" t="str">
        <f t="shared" si="110"/>
        <v/>
      </c>
      <c r="Z206" s="2" t="str">
        <f t="shared" si="125"/>
        <v/>
      </c>
      <c r="AA206" s="2" t="str">
        <f t="shared" si="126"/>
        <v/>
      </c>
      <c r="AB206" s="2" t="str">
        <f t="shared" si="127"/>
        <v/>
      </c>
      <c r="AC206" s="2" t="str">
        <f t="shared" si="111"/>
        <v/>
      </c>
      <c r="AD206" s="2" t="str">
        <f t="shared" si="112"/>
        <v/>
      </c>
      <c r="AE206" s="2" t="str">
        <f t="shared" si="113"/>
        <v/>
      </c>
      <c r="AF206" s="2" t="str">
        <f t="shared" si="114"/>
        <v/>
      </c>
    </row>
    <row r="207" spans="1:32" x14ac:dyDescent="0.2">
      <c r="A207" s="2" t="str">
        <f t="shared" si="115"/>
        <v/>
      </c>
      <c r="B207" s="2" t="str">
        <f t="shared" si="96"/>
        <v/>
      </c>
      <c r="C207" s="2" t="str">
        <f t="shared" si="97"/>
        <v/>
      </c>
      <c r="D207" s="2" t="str">
        <f t="shared" si="98"/>
        <v/>
      </c>
      <c r="E207" s="2" t="str">
        <f t="shared" si="99"/>
        <v/>
      </c>
      <c r="F207" s="2" t="str">
        <f t="shared" si="100"/>
        <v/>
      </c>
      <c r="G207" s="2" t="str">
        <f t="shared" si="101"/>
        <v/>
      </c>
      <c r="H207" s="2" t="str">
        <f t="shared" si="116"/>
        <v/>
      </c>
      <c r="I207" s="2" t="str">
        <f t="shared" si="117"/>
        <v/>
      </c>
      <c r="J207" s="2" t="str">
        <f t="shared" si="118"/>
        <v/>
      </c>
      <c r="K207" s="2" t="str">
        <f t="shared" si="102"/>
        <v/>
      </c>
      <c r="L207" s="2" t="str">
        <f t="shared" si="103"/>
        <v/>
      </c>
      <c r="M207" s="2" t="str">
        <f t="shared" si="104"/>
        <v/>
      </c>
      <c r="N207" s="2" t="str">
        <f t="shared" si="119"/>
        <v/>
      </c>
      <c r="O207" s="2" t="str">
        <f t="shared" si="120"/>
        <v/>
      </c>
      <c r="P207" s="2" t="str">
        <f t="shared" si="121"/>
        <v/>
      </c>
      <c r="Q207" s="2" t="str">
        <f t="shared" si="105"/>
        <v/>
      </c>
      <c r="R207" s="2" t="str">
        <f t="shared" si="106"/>
        <v/>
      </c>
      <c r="S207" s="2" t="str">
        <f t="shared" si="107"/>
        <v/>
      </c>
      <c r="T207" s="2" t="str">
        <f t="shared" si="122"/>
        <v/>
      </c>
      <c r="U207" s="2" t="str">
        <f t="shared" si="123"/>
        <v/>
      </c>
      <c r="V207" s="2" t="str">
        <f t="shared" si="124"/>
        <v/>
      </c>
      <c r="W207" s="2" t="str">
        <f t="shared" si="108"/>
        <v/>
      </c>
      <c r="X207" s="2" t="str">
        <f t="shared" si="109"/>
        <v/>
      </c>
      <c r="Y207" s="2" t="str">
        <f t="shared" si="110"/>
        <v/>
      </c>
      <c r="Z207" s="2" t="str">
        <f t="shared" si="125"/>
        <v/>
      </c>
      <c r="AA207" s="2" t="str">
        <f t="shared" si="126"/>
        <v/>
      </c>
      <c r="AB207" s="2" t="str">
        <f t="shared" si="127"/>
        <v/>
      </c>
      <c r="AC207" s="2" t="str">
        <f t="shared" si="111"/>
        <v/>
      </c>
      <c r="AD207" s="2" t="str">
        <f t="shared" si="112"/>
        <v/>
      </c>
      <c r="AE207" s="2" t="str">
        <f t="shared" si="113"/>
        <v/>
      </c>
      <c r="AF207" s="2" t="str">
        <f t="shared" si="114"/>
        <v/>
      </c>
    </row>
    <row r="208" spans="1:32" x14ac:dyDescent="0.2">
      <c r="A208" s="2" t="str">
        <f t="shared" si="115"/>
        <v/>
      </c>
      <c r="B208" s="2" t="str">
        <f t="shared" si="96"/>
        <v/>
      </c>
      <c r="C208" s="2" t="str">
        <f t="shared" si="97"/>
        <v/>
      </c>
      <c r="D208" s="2" t="str">
        <f t="shared" si="98"/>
        <v/>
      </c>
      <c r="E208" s="2" t="str">
        <f t="shared" si="99"/>
        <v/>
      </c>
      <c r="F208" s="2" t="str">
        <f t="shared" si="100"/>
        <v/>
      </c>
      <c r="G208" s="2" t="str">
        <f t="shared" si="101"/>
        <v/>
      </c>
      <c r="H208" s="2" t="str">
        <f t="shared" si="116"/>
        <v/>
      </c>
      <c r="I208" s="2" t="str">
        <f t="shared" si="117"/>
        <v/>
      </c>
      <c r="J208" s="2" t="str">
        <f t="shared" si="118"/>
        <v/>
      </c>
      <c r="K208" s="2" t="str">
        <f t="shared" si="102"/>
        <v/>
      </c>
      <c r="L208" s="2" t="str">
        <f t="shared" si="103"/>
        <v/>
      </c>
      <c r="M208" s="2" t="str">
        <f t="shared" si="104"/>
        <v/>
      </c>
      <c r="N208" s="2" t="str">
        <f t="shared" si="119"/>
        <v/>
      </c>
      <c r="O208" s="2" t="str">
        <f t="shared" si="120"/>
        <v/>
      </c>
      <c r="P208" s="2" t="str">
        <f t="shared" si="121"/>
        <v/>
      </c>
      <c r="Q208" s="2" t="str">
        <f t="shared" si="105"/>
        <v/>
      </c>
      <c r="R208" s="2" t="str">
        <f t="shared" si="106"/>
        <v/>
      </c>
      <c r="S208" s="2" t="str">
        <f t="shared" si="107"/>
        <v/>
      </c>
      <c r="T208" s="2" t="str">
        <f t="shared" si="122"/>
        <v/>
      </c>
      <c r="U208" s="2" t="str">
        <f t="shared" si="123"/>
        <v/>
      </c>
      <c r="V208" s="2" t="str">
        <f t="shared" si="124"/>
        <v/>
      </c>
      <c r="W208" s="2" t="str">
        <f t="shared" si="108"/>
        <v/>
      </c>
      <c r="X208" s="2" t="str">
        <f t="shared" si="109"/>
        <v/>
      </c>
      <c r="Y208" s="2" t="str">
        <f t="shared" si="110"/>
        <v/>
      </c>
      <c r="Z208" s="2" t="str">
        <f t="shared" si="125"/>
        <v/>
      </c>
      <c r="AA208" s="2" t="str">
        <f t="shared" si="126"/>
        <v/>
      </c>
      <c r="AB208" s="2" t="str">
        <f t="shared" si="127"/>
        <v/>
      </c>
      <c r="AC208" s="2" t="str">
        <f t="shared" si="111"/>
        <v/>
      </c>
      <c r="AD208" s="2" t="str">
        <f t="shared" si="112"/>
        <v/>
      </c>
      <c r="AE208" s="2" t="str">
        <f t="shared" si="113"/>
        <v/>
      </c>
      <c r="AF208" s="2" t="str">
        <f t="shared" si="114"/>
        <v/>
      </c>
    </row>
    <row r="209" spans="1:32" x14ac:dyDescent="0.2">
      <c r="A209" s="2" t="str">
        <f t="shared" si="115"/>
        <v/>
      </c>
      <c r="B209" s="2" t="str">
        <f t="shared" si="96"/>
        <v/>
      </c>
      <c r="C209" s="2" t="str">
        <f t="shared" si="97"/>
        <v/>
      </c>
      <c r="D209" s="2" t="str">
        <f t="shared" si="98"/>
        <v/>
      </c>
      <c r="E209" s="2" t="str">
        <f t="shared" si="99"/>
        <v/>
      </c>
      <c r="F209" s="2" t="str">
        <f t="shared" si="100"/>
        <v/>
      </c>
      <c r="G209" s="2" t="str">
        <f t="shared" si="101"/>
        <v/>
      </c>
      <c r="H209" s="2" t="str">
        <f t="shared" si="116"/>
        <v/>
      </c>
      <c r="I209" s="2" t="str">
        <f t="shared" si="117"/>
        <v/>
      </c>
      <c r="J209" s="2" t="str">
        <f t="shared" si="118"/>
        <v/>
      </c>
      <c r="K209" s="2" t="str">
        <f t="shared" si="102"/>
        <v/>
      </c>
      <c r="L209" s="2" t="str">
        <f t="shared" si="103"/>
        <v/>
      </c>
      <c r="M209" s="2" t="str">
        <f t="shared" si="104"/>
        <v/>
      </c>
      <c r="N209" s="2" t="str">
        <f t="shared" si="119"/>
        <v/>
      </c>
      <c r="O209" s="2" t="str">
        <f t="shared" si="120"/>
        <v/>
      </c>
      <c r="P209" s="2" t="str">
        <f t="shared" si="121"/>
        <v/>
      </c>
      <c r="Q209" s="2" t="str">
        <f t="shared" si="105"/>
        <v/>
      </c>
      <c r="R209" s="2" t="str">
        <f t="shared" si="106"/>
        <v/>
      </c>
      <c r="S209" s="2" t="str">
        <f t="shared" si="107"/>
        <v/>
      </c>
      <c r="T209" s="2" t="str">
        <f t="shared" si="122"/>
        <v/>
      </c>
      <c r="U209" s="2" t="str">
        <f t="shared" si="123"/>
        <v/>
      </c>
      <c r="V209" s="2" t="str">
        <f t="shared" si="124"/>
        <v/>
      </c>
      <c r="W209" s="2" t="str">
        <f t="shared" si="108"/>
        <v/>
      </c>
      <c r="X209" s="2" t="str">
        <f t="shared" si="109"/>
        <v/>
      </c>
      <c r="Y209" s="2" t="str">
        <f t="shared" si="110"/>
        <v/>
      </c>
      <c r="Z209" s="2" t="str">
        <f t="shared" si="125"/>
        <v/>
      </c>
      <c r="AA209" s="2" t="str">
        <f t="shared" si="126"/>
        <v/>
      </c>
      <c r="AB209" s="2" t="str">
        <f t="shared" si="127"/>
        <v/>
      </c>
      <c r="AC209" s="2" t="str">
        <f t="shared" si="111"/>
        <v/>
      </c>
      <c r="AD209" s="2" t="str">
        <f t="shared" si="112"/>
        <v/>
      </c>
      <c r="AE209" s="2" t="str">
        <f t="shared" si="113"/>
        <v/>
      </c>
      <c r="AF209" s="2" t="str">
        <f t="shared" si="114"/>
        <v/>
      </c>
    </row>
    <row r="210" spans="1:32" x14ac:dyDescent="0.2">
      <c r="A210" s="2" t="str">
        <f t="shared" si="115"/>
        <v/>
      </c>
      <c r="B210" s="2" t="str">
        <f t="shared" si="96"/>
        <v/>
      </c>
      <c r="C210" s="2" t="str">
        <f t="shared" si="97"/>
        <v/>
      </c>
      <c r="D210" s="2" t="str">
        <f t="shared" si="98"/>
        <v/>
      </c>
      <c r="E210" s="2" t="str">
        <f t="shared" si="99"/>
        <v/>
      </c>
      <c r="F210" s="2" t="str">
        <f t="shared" si="100"/>
        <v/>
      </c>
      <c r="G210" s="2" t="str">
        <f t="shared" si="101"/>
        <v/>
      </c>
      <c r="H210" s="2" t="str">
        <f t="shared" si="116"/>
        <v/>
      </c>
      <c r="I210" s="2" t="str">
        <f t="shared" si="117"/>
        <v/>
      </c>
      <c r="J210" s="2" t="str">
        <f t="shared" si="118"/>
        <v/>
      </c>
      <c r="K210" s="2" t="str">
        <f t="shared" si="102"/>
        <v/>
      </c>
      <c r="L210" s="2" t="str">
        <f t="shared" si="103"/>
        <v/>
      </c>
      <c r="M210" s="2" t="str">
        <f t="shared" si="104"/>
        <v/>
      </c>
      <c r="N210" s="2" t="str">
        <f t="shared" si="119"/>
        <v/>
      </c>
      <c r="O210" s="2" t="str">
        <f t="shared" si="120"/>
        <v/>
      </c>
      <c r="P210" s="2" t="str">
        <f t="shared" si="121"/>
        <v/>
      </c>
      <c r="Q210" s="2" t="str">
        <f t="shared" si="105"/>
        <v/>
      </c>
      <c r="R210" s="2" t="str">
        <f t="shared" si="106"/>
        <v/>
      </c>
      <c r="S210" s="2" t="str">
        <f t="shared" si="107"/>
        <v/>
      </c>
      <c r="T210" s="2" t="str">
        <f t="shared" si="122"/>
        <v/>
      </c>
      <c r="U210" s="2" t="str">
        <f t="shared" si="123"/>
        <v/>
      </c>
      <c r="V210" s="2" t="str">
        <f t="shared" si="124"/>
        <v/>
      </c>
      <c r="W210" s="2" t="str">
        <f t="shared" si="108"/>
        <v/>
      </c>
      <c r="X210" s="2" t="str">
        <f t="shared" si="109"/>
        <v/>
      </c>
      <c r="Y210" s="2" t="str">
        <f t="shared" si="110"/>
        <v/>
      </c>
      <c r="Z210" s="2" t="str">
        <f t="shared" si="125"/>
        <v/>
      </c>
      <c r="AA210" s="2" t="str">
        <f t="shared" si="126"/>
        <v/>
      </c>
      <c r="AB210" s="2" t="str">
        <f t="shared" si="127"/>
        <v/>
      </c>
      <c r="AC210" s="2" t="str">
        <f t="shared" si="111"/>
        <v/>
      </c>
      <c r="AD210" s="2" t="str">
        <f t="shared" si="112"/>
        <v/>
      </c>
      <c r="AE210" s="2" t="str">
        <f t="shared" si="113"/>
        <v/>
      </c>
      <c r="AF210" s="2" t="str">
        <f t="shared" si="114"/>
        <v/>
      </c>
    </row>
    <row r="211" spans="1:32" x14ac:dyDescent="0.2">
      <c r="A211" s="2" t="str">
        <f t="shared" si="115"/>
        <v/>
      </c>
      <c r="B211" s="2" t="str">
        <f t="shared" si="96"/>
        <v/>
      </c>
      <c r="C211" s="2" t="str">
        <f t="shared" si="97"/>
        <v/>
      </c>
      <c r="D211" s="2" t="str">
        <f t="shared" si="98"/>
        <v/>
      </c>
      <c r="E211" s="2" t="str">
        <f t="shared" si="99"/>
        <v/>
      </c>
      <c r="F211" s="2" t="str">
        <f t="shared" si="100"/>
        <v/>
      </c>
      <c r="G211" s="2" t="str">
        <f t="shared" si="101"/>
        <v/>
      </c>
      <c r="H211" s="2" t="str">
        <f t="shared" si="116"/>
        <v/>
      </c>
      <c r="I211" s="2" t="str">
        <f t="shared" si="117"/>
        <v/>
      </c>
      <c r="J211" s="2" t="str">
        <f t="shared" si="118"/>
        <v/>
      </c>
      <c r="K211" s="2" t="str">
        <f t="shared" si="102"/>
        <v/>
      </c>
      <c r="L211" s="2" t="str">
        <f t="shared" si="103"/>
        <v/>
      </c>
      <c r="M211" s="2" t="str">
        <f t="shared" si="104"/>
        <v/>
      </c>
      <c r="N211" s="2" t="str">
        <f t="shared" si="119"/>
        <v/>
      </c>
      <c r="O211" s="2" t="str">
        <f t="shared" si="120"/>
        <v/>
      </c>
      <c r="P211" s="2" t="str">
        <f t="shared" si="121"/>
        <v/>
      </c>
      <c r="Q211" s="2" t="str">
        <f t="shared" si="105"/>
        <v/>
      </c>
      <c r="R211" s="2" t="str">
        <f t="shared" si="106"/>
        <v/>
      </c>
      <c r="S211" s="2" t="str">
        <f t="shared" si="107"/>
        <v/>
      </c>
      <c r="T211" s="2" t="str">
        <f t="shared" si="122"/>
        <v/>
      </c>
      <c r="U211" s="2" t="str">
        <f t="shared" si="123"/>
        <v/>
      </c>
      <c r="V211" s="2" t="str">
        <f t="shared" si="124"/>
        <v/>
      </c>
      <c r="W211" s="2" t="str">
        <f t="shared" si="108"/>
        <v/>
      </c>
      <c r="X211" s="2" t="str">
        <f t="shared" si="109"/>
        <v/>
      </c>
      <c r="Y211" s="2" t="str">
        <f t="shared" si="110"/>
        <v/>
      </c>
      <c r="Z211" s="2" t="str">
        <f t="shared" si="125"/>
        <v/>
      </c>
      <c r="AA211" s="2" t="str">
        <f t="shared" si="126"/>
        <v/>
      </c>
      <c r="AB211" s="2" t="str">
        <f t="shared" si="127"/>
        <v/>
      </c>
      <c r="AC211" s="2" t="str">
        <f t="shared" si="111"/>
        <v/>
      </c>
      <c r="AD211" s="2" t="str">
        <f t="shared" si="112"/>
        <v/>
      </c>
      <c r="AE211" s="2" t="str">
        <f t="shared" si="113"/>
        <v/>
      </c>
      <c r="AF211" s="2" t="str">
        <f t="shared" si="114"/>
        <v/>
      </c>
    </row>
    <row r="212" spans="1:32" x14ac:dyDescent="0.2">
      <c r="A212" s="2" t="str">
        <f t="shared" si="115"/>
        <v/>
      </c>
      <c r="B212" s="2" t="str">
        <f t="shared" si="96"/>
        <v/>
      </c>
      <c r="C212" s="2" t="str">
        <f t="shared" si="97"/>
        <v/>
      </c>
      <c r="D212" s="2" t="str">
        <f t="shared" si="98"/>
        <v/>
      </c>
      <c r="E212" s="2" t="str">
        <f t="shared" si="99"/>
        <v/>
      </c>
      <c r="F212" s="2" t="str">
        <f t="shared" si="100"/>
        <v/>
      </c>
      <c r="G212" s="2" t="str">
        <f t="shared" si="101"/>
        <v/>
      </c>
      <c r="H212" s="2" t="str">
        <f t="shared" si="116"/>
        <v/>
      </c>
      <c r="I212" s="2" t="str">
        <f t="shared" si="117"/>
        <v/>
      </c>
      <c r="J212" s="2" t="str">
        <f t="shared" si="118"/>
        <v/>
      </c>
      <c r="K212" s="2" t="str">
        <f t="shared" si="102"/>
        <v/>
      </c>
      <c r="L212" s="2" t="str">
        <f t="shared" si="103"/>
        <v/>
      </c>
      <c r="M212" s="2" t="str">
        <f t="shared" si="104"/>
        <v/>
      </c>
      <c r="N212" s="2" t="str">
        <f t="shared" si="119"/>
        <v/>
      </c>
      <c r="O212" s="2" t="str">
        <f t="shared" si="120"/>
        <v/>
      </c>
      <c r="P212" s="2" t="str">
        <f t="shared" si="121"/>
        <v/>
      </c>
      <c r="Q212" s="2" t="str">
        <f t="shared" si="105"/>
        <v/>
      </c>
      <c r="R212" s="2" t="str">
        <f t="shared" si="106"/>
        <v/>
      </c>
      <c r="S212" s="2" t="str">
        <f t="shared" si="107"/>
        <v/>
      </c>
      <c r="T212" s="2" t="str">
        <f t="shared" si="122"/>
        <v/>
      </c>
      <c r="U212" s="2" t="str">
        <f t="shared" si="123"/>
        <v/>
      </c>
      <c r="V212" s="2" t="str">
        <f t="shared" si="124"/>
        <v/>
      </c>
      <c r="W212" s="2" t="str">
        <f t="shared" si="108"/>
        <v/>
      </c>
      <c r="X212" s="2" t="str">
        <f t="shared" si="109"/>
        <v/>
      </c>
      <c r="Y212" s="2" t="str">
        <f t="shared" si="110"/>
        <v/>
      </c>
      <c r="Z212" s="2" t="str">
        <f t="shared" si="125"/>
        <v/>
      </c>
      <c r="AA212" s="2" t="str">
        <f t="shared" si="126"/>
        <v/>
      </c>
      <c r="AB212" s="2" t="str">
        <f t="shared" si="127"/>
        <v/>
      </c>
      <c r="AC212" s="2" t="str">
        <f t="shared" si="111"/>
        <v/>
      </c>
      <c r="AD212" s="2" t="str">
        <f t="shared" si="112"/>
        <v/>
      </c>
      <c r="AE212" s="2" t="str">
        <f t="shared" si="113"/>
        <v/>
      </c>
      <c r="AF212" s="2" t="str">
        <f t="shared" si="114"/>
        <v/>
      </c>
    </row>
    <row r="213" spans="1:32" x14ac:dyDescent="0.2">
      <c r="A213" s="2" t="str">
        <f t="shared" si="115"/>
        <v/>
      </c>
      <c r="B213" s="2" t="str">
        <f t="shared" si="96"/>
        <v/>
      </c>
      <c r="C213" s="2" t="str">
        <f t="shared" si="97"/>
        <v/>
      </c>
      <c r="D213" s="2" t="str">
        <f t="shared" si="98"/>
        <v/>
      </c>
      <c r="E213" s="2" t="str">
        <f t="shared" si="99"/>
        <v/>
      </c>
      <c r="F213" s="2" t="str">
        <f t="shared" si="100"/>
        <v/>
      </c>
      <c r="G213" s="2" t="str">
        <f t="shared" si="101"/>
        <v/>
      </c>
      <c r="H213" s="2" t="str">
        <f t="shared" si="116"/>
        <v/>
      </c>
      <c r="I213" s="2" t="str">
        <f t="shared" si="117"/>
        <v/>
      </c>
      <c r="J213" s="2" t="str">
        <f t="shared" si="118"/>
        <v/>
      </c>
      <c r="K213" s="2" t="str">
        <f t="shared" si="102"/>
        <v/>
      </c>
      <c r="L213" s="2" t="str">
        <f t="shared" si="103"/>
        <v/>
      </c>
      <c r="M213" s="2" t="str">
        <f t="shared" si="104"/>
        <v/>
      </c>
      <c r="N213" s="2" t="str">
        <f t="shared" si="119"/>
        <v/>
      </c>
      <c r="O213" s="2" t="str">
        <f t="shared" si="120"/>
        <v/>
      </c>
      <c r="P213" s="2" t="str">
        <f t="shared" si="121"/>
        <v/>
      </c>
      <c r="Q213" s="2" t="str">
        <f t="shared" si="105"/>
        <v/>
      </c>
      <c r="R213" s="2" t="str">
        <f t="shared" si="106"/>
        <v/>
      </c>
      <c r="S213" s="2" t="str">
        <f t="shared" si="107"/>
        <v/>
      </c>
      <c r="T213" s="2" t="str">
        <f t="shared" si="122"/>
        <v/>
      </c>
      <c r="U213" s="2" t="str">
        <f t="shared" si="123"/>
        <v/>
      </c>
      <c r="V213" s="2" t="str">
        <f t="shared" si="124"/>
        <v/>
      </c>
      <c r="W213" s="2" t="str">
        <f t="shared" si="108"/>
        <v/>
      </c>
      <c r="X213" s="2" t="str">
        <f t="shared" si="109"/>
        <v/>
      </c>
      <c r="Y213" s="2" t="str">
        <f t="shared" si="110"/>
        <v/>
      </c>
      <c r="Z213" s="2" t="str">
        <f t="shared" si="125"/>
        <v/>
      </c>
      <c r="AA213" s="2" t="str">
        <f t="shared" si="126"/>
        <v/>
      </c>
      <c r="AB213" s="2" t="str">
        <f t="shared" si="127"/>
        <v/>
      </c>
      <c r="AC213" s="2" t="str">
        <f t="shared" si="111"/>
        <v/>
      </c>
      <c r="AD213" s="2" t="str">
        <f t="shared" si="112"/>
        <v/>
      </c>
      <c r="AE213" s="2" t="str">
        <f t="shared" si="113"/>
        <v/>
      </c>
      <c r="AF213" s="2" t="str">
        <f t="shared" si="114"/>
        <v/>
      </c>
    </row>
    <row r="214" spans="1:32" x14ac:dyDescent="0.2">
      <c r="A214" s="2" t="str">
        <f t="shared" si="115"/>
        <v/>
      </c>
      <c r="B214" s="2" t="str">
        <f t="shared" si="96"/>
        <v/>
      </c>
      <c r="C214" s="2" t="str">
        <f t="shared" si="97"/>
        <v/>
      </c>
      <c r="D214" s="2" t="str">
        <f t="shared" si="98"/>
        <v/>
      </c>
      <c r="E214" s="2" t="str">
        <f t="shared" si="99"/>
        <v/>
      </c>
      <c r="F214" s="2" t="str">
        <f t="shared" si="100"/>
        <v/>
      </c>
      <c r="G214" s="2" t="str">
        <f t="shared" si="101"/>
        <v/>
      </c>
      <c r="H214" s="2" t="str">
        <f t="shared" si="116"/>
        <v/>
      </c>
      <c r="I214" s="2" t="str">
        <f t="shared" si="117"/>
        <v/>
      </c>
      <c r="J214" s="2" t="str">
        <f t="shared" si="118"/>
        <v/>
      </c>
      <c r="K214" s="2" t="str">
        <f t="shared" si="102"/>
        <v/>
      </c>
      <c r="L214" s="2" t="str">
        <f t="shared" si="103"/>
        <v/>
      </c>
      <c r="M214" s="2" t="str">
        <f t="shared" si="104"/>
        <v/>
      </c>
      <c r="N214" s="2" t="str">
        <f t="shared" si="119"/>
        <v/>
      </c>
      <c r="O214" s="2" t="str">
        <f t="shared" si="120"/>
        <v/>
      </c>
      <c r="P214" s="2" t="str">
        <f t="shared" si="121"/>
        <v/>
      </c>
      <c r="Q214" s="2" t="str">
        <f t="shared" si="105"/>
        <v/>
      </c>
      <c r="R214" s="2" t="str">
        <f t="shared" si="106"/>
        <v/>
      </c>
      <c r="S214" s="2" t="str">
        <f t="shared" si="107"/>
        <v/>
      </c>
      <c r="T214" s="2" t="str">
        <f t="shared" si="122"/>
        <v/>
      </c>
      <c r="U214" s="2" t="str">
        <f t="shared" si="123"/>
        <v/>
      </c>
      <c r="V214" s="2" t="str">
        <f t="shared" si="124"/>
        <v/>
      </c>
      <c r="W214" s="2" t="str">
        <f t="shared" si="108"/>
        <v/>
      </c>
      <c r="X214" s="2" t="str">
        <f t="shared" si="109"/>
        <v/>
      </c>
      <c r="Y214" s="2" t="str">
        <f t="shared" si="110"/>
        <v/>
      </c>
      <c r="Z214" s="2" t="str">
        <f t="shared" si="125"/>
        <v/>
      </c>
      <c r="AA214" s="2" t="str">
        <f t="shared" si="126"/>
        <v/>
      </c>
      <c r="AB214" s="2" t="str">
        <f t="shared" si="127"/>
        <v/>
      </c>
      <c r="AC214" s="2" t="str">
        <f t="shared" si="111"/>
        <v/>
      </c>
      <c r="AD214" s="2" t="str">
        <f t="shared" si="112"/>
        <v/>
      </c>
      <c r="AE214" s="2" t="str">
        <f t="shared" si="113"/>
        <v/>
      </c>
      <c r="AF214" s="2" t="str">
        <f t="shared" si="114"/>
        <v/>
      </c>
    </row>
    <row r="215" spans="1:32" x14ac:dyDescent="0.2">
      <c r="A215" s="2" t="str">
        <f t="shared" si="115"/>
        <v/>
      </c>
      <c r="B215" s="2" t="str">
        <f t="shared" si="96"/>
        <v/>
      </c>
      <c r="C215" s="2" t="str">
        <f t="shared" si="97"/>
        <v/>
      </c>
      <c r="D215" s="2" t="str">
        <f t="shared" si="98"/>
        <v/>
      </c>
      <c r="E215" s="2" t="str">
        <f t="shared" si="99"/>
        <v/>
      </c>
      <c r="F215" s="2" t="str">
        <f t="shared" si="100"/>
        <v/>
      </c>
      <c r="G215" s="2" t="str">
        <f t="shared" si="101"/>
        <v/>
      </c>
      <c r="H215" s="2" t="str">
        <f t="shared" si="116"/>
        <v/>
      </c>
      <c r="I215" s="2" t="str">
        <f t="shared" si="117"/>
        <v/>
      </c>
      <c r="J215" s="2" t="str">
        <f t="shared" si="118"/>
        <v/>
      </c>
      <c r="K215" s="2" t="str">
        <f t="shared" si="102"/>
        <v/>
      </c>
      <c r="L215" s="2" t="str">
        <f t="shared" si="103"/>
        <v/>
      </c>
      <c r="M215" s="2" t="str">
        <f t="shared" si="104"/>
        <v/>
      </c>
      <c r="N215" s="2" t="str">
        <f t="shared" si="119"/>
        <v/>
      </c>
      <c r="O215" s="2" t="str">
        <f t="shared" si="120"/>
        <v/>
      </c>
      <c r="P215" s="2" t="str">
        <f t="shared" si="121"/>
        <v/>
      </c>
      <c r="Q215" s="2" t="str">
        <f t="shared" si="105"/>
        <v/>
      </c>
      <c r="R215" s="2" t="str">
        <f t="shared" si="106"/>
        <v/>
      </c>
      <c r="S215" s="2" t="str">
        <f t="shared" si="107"/>
        <v/>
      </c>
      <c r="T215" s="2" t="str">
        <f t="shared" si="122"/>
        <v/>
      </c>
      <c r="U215" s="2" t="str">
        <f t="shared" si="123"/>
        <v/>
      </c>
      <c r="V215" s="2" t="str">
        <f t="shared" si="124"/>
        <v/>
      </c>
      <c r="W215" s="2" t="str">
        <f t="shared" si="108"/>
        <v/>
      </c>
      <c r="X215" s="2" t="str">
        <f t="shared" si="109"/>
        <v/>
      </c>
      <c r="Y215" s="2" t="str">
        <f t="shared" si="110"/>
        <v/>
      </c>
      <c r="Z215" s="2" t="str">
        <f t="shared" si="125"/>
        <v/>
      </c>
      <c r="AA215" s="2" t="str">
        <f t="shared" si="126"/>
        <v/>
      </c>
      <c r="AB215" s="2" t="str">
        <f t="shared" si="127"/>
        <v/>
      </c>
      <c r="AC215" s="2" t="str">
        <f t="shared" si="111"/>
        <v/>
      </c>
      <c r="AD215" s="2" t="str">
        <f t="shared" si="112"/>
        <v/>
      </c>
      <c r="AE215" s="2" t="str">
        <f t="shared" si="113"/>
        <v/>
      </c>
      <c r="AF215" s="2" t="str">
        <f t="shared" si="114"/>
        <v/>
      </c>
    </row>
    <row r="216" spans="1:32" x14ac:dyDescent="0.2">
      <c r="A216" s="2" t="str">
        <f t="shared" si="115"/>
        <v/>
      </c>
      <c r="B216" s="2" t="str">
        <f t="shared" si="96"/>
        <v/>
      </c>
      <c r="C216" s="2" t="str">
        <f t="shared" si="97"/>
        <v/>
      </c>
      <c r="D216" s="2" t="str">
        <f t="shared" si="98"/>
        <v/>
      </c>
      <c r="E216" s="2" t="str">
        <f t="shared" si="99"/>
        <v/>
      </c>
      <c r="F216" s="2" t="str">
        <f t="shared" si="100"/>
        <v/>
      </c>
      <c r="G216" s="2" t="str">
        <f t="shared" si="101"/>
        <v/>
      </c>
      <c r="H216" s="2" t="str">
        <f t="shared" si="116"/>
        <v/>
      </c>
      <c r="I216" s="2" t="str">
        <f t="shared" si="117"/>
        <v/>
      </c>
      <c r="J216" s="2" t="str">
        <f t="shared" si="118"/>
        <v/>
      </c>
      <c r="K216" s="2" t="str">
        <f t="shared" si="102"/>
        <v/>
      </c>
      <c r="L216" s="2" t="str">
        <f t="shared" si="103"/>
        <v/>
      </c>
      <c r="M216" s="2" t="str">
        <f t="shared" si="104"/>
        <v/>
      </c>
      <c r="N216" s="2" t="str">
        <f t="shared" si="119"/>
        <v/>
      </c>
      <c r="O216" s="2" t="str">
        <f t="shared" si="120"/>
        <v/>
      </c>
      <c r="P216" s="2" t="str">
        <f t="shared" si="121"/>
        <v/>
      </c>
      <c r="Q216" s="2" t="str">
        <f t="shared" si="105"/>
        <v/>
      </c>
      <c r="R216" s="2" t="str">
        <f t="shared" si="106"/>
        <v/>
      </c>
      <c r="S216" s="2" t="str">
        <f t="shared" si="107"/>
        <v/>
      </c>
      <c r="T216" s="2" t="str">
        <f t="shared" si="122"/>
        <v/>
      </c>
      <c r="U216" s="2" t="str">
        <f t="shared" si="123"/>
        <v/>
      </c>
      <c r="V216" s="2" t="str">
        <f t="shared" si="124"/>
        <v/>
      </c>
      <c r="W216" s="2" t="str">
        <f t="shared" si="108"/>
        <v/>
      </c>
      <c r="X216" s="2" t="str">
        <f t="shared" si="109"/>
        <v/>
      </c>
      <c r="Y216" s="2" t="str">
        <f t="shared" si="110"/>
        <v/>
      </c>
      <c r="Z216" s="2" t="str">
        <f t="shared" si="125"/>
        <v/>
      </c>
      <c r="AA216" s="2" t="str">
        <f t="shared" si="126"/>
        <v/>
      </c>
      <c r="AB216" s="2" t="str">
        <f t="shared" si="127"/>
        <v/>
      </c>
      <c r="AC216" s="2" t="str">
        <f t="shared" si="111"/>
        <v/>
      </c>
      <c r="AD216" s="2" t="str">
        <f t="shared" si="112"/>
        <v/>
      </c>
      <c r="AE216" s="2" t="str">
        <f t="shared" si="113"/>
        <v/>
      </c>
      <c r="AF216" s="2" t="str">
        <f t="shared" si="114"/>
        <v/>
      </c>
    </row>
    <row r="217" spans="1:32" x14ac:dyDescent="0.2">
      <c r="A217" s="2" t="str">
        <f t="shared" si="115"/>
        <v/>
      </c>
      <c r="B217" s="2" t="str">
        <f t="shared" si="96"/>
        <v/>
      </c>
      <c r="C217" s="2" t="str">
        <f t="shared" si="97"/>
        <v/>
      </c>
      <c r="D217" s="2" t="str">
        <f t="shared" si="98"/>
        <v/>
      </c>
      <c r="E217" s="2" t="str">
        <f t="shared" si="99"/>
        <v/>
      </c>
      <c r="F217" s="2" t="str">
        <f t="shared" si="100"/>
        <v/>
      </c>
      <c r="G217" s="2" t="str">
        <f t="shared" si="101"/>
        <v/>
      </c>
      <c r="H217" s="2" t="str">
        <f t="shared" si="116"/>
        <v/>
      </c>
      <c r="I217" s="2" t="str">
        <f t="shared" si="117"/>
        <v/>
      </c>
      <c r="J217" s="2" t="str">
        <f t="shared" si="118"/>
        <v/>
      </c>
      <c r="K217" s="2" t="str">
        <f t="shared" si="102"/>
        <v/>
      </c>
      <c r="L217" s="2" t="str">
        <f t="shared" si="103"/>
        <v/>
      </c>
      <c r="M217" s="2" t="str">
        <f t="shared" si="104"/>
        <v/>
      </c>
      <c r="N217" s="2" t="str">
        <f t="shared" si="119"/>
        <v/>
      </c>
      <c r="O217" s="2" t="str">
        <f t="shared" si="120"/>
        <v/>
      </c>
      <c r="P217" s="2" t="str">
        <f t="shared" si="121"/>
        <v/>
      </c>
      <c r="Q217" s="2" t="str">
        <f t="shared" si="105"/>
        <v/>
      </c>
      <c r="R217" s="2" t="str">
        <f t="shared" si="106"/>
        <v/>
      </c>
      <c r="S217" s="2" t="str">
        <f t="shared" si="107"/>
        <v/>
      </c>
      <c r="T217" s="2" t="str">
        <f t="shared" si="122"/>
        <v/>
      </c>
      <c r="U217" s="2" t="str">
        <f t="shared" si="123"/>
        <v/>
      </c>
      <c r="V217" s="2" t="str">
        <f t="shared" si="124"/>
        <v/>
      </c>
      <c r="W217" s="2" t="str">
        <f t="shared" si="108"/>
        <v/>
      </c>
      <c r="X217" s="2" t="str">
        <f t="shared" si="109"/>
        <v/>
      </c>
      <c r="Y217" s="2" t="str">
        <f t="shared" si="110"/>
        <v/>
      </c>
      <c r="Z217" s="2" t="str">
        <f t="shared" si="125"/>
        <v/>
      </c>
      <c r="AA217" s="2" t="str">
        <f t="shared" si="126"/>
        <v/>
      </c>
      <c r="AB217" s="2" t="str">
        <f t="shared" si="127"/>
        <v/>
      </c>
      <c r="AC217" s="2" t="str">
        <f t="shared" si="111"/>
        <v/>
      </c>
      <c r="AD217" s="2" t="str">
        <f t="shared" si="112"/>
        <v/>
      </c>
      <c r="AE217" s="2" t="str">
        <f t="shared" si="113"/>
        <v/>
      </c>
      <c r="AF217" s="2" t="str">
        <f t="shared" si="114"/>
        <v/>
      </c>
    </row>
    <row r="218" spans="1:32" x14ac:dyDescent="0.2">
      <c r="A218" s="2" t="str">
        <f t="shared" si="115"/>
        <v/>
      </c>
      <c r="B218" s="2" t="str">
        <f t="shared" si="96"/>
        <v/>
      </c>
      <c r="C218" s="2" t="str">
        <f t="shared" si="97"/>
        <v/>
      </c>
      <c r="D218" s="2" t="str">
        <f t="shared" si="98"/>
        <v/>
      </c>
      <c r="E218" s="2" t="str">
        <f t="shared" si="99"/>
        <v/>
      </c>
      <c r="F218" s="2" t="str">
        <f t="shared" si="100"/>
        <v/>
      </c>
      <c r="G218" s="2" t="str">
        <f t="shared" si="101"/>
        <v/>
      </c>
      <c r="H218" s="2" t="str">
        <f t="shared" si="116"/>
        <v/>
      </c>
      <c r="I218" s="2" t="str">
        <f t="shared" si="117"/>
        <v/>
      </c>
      <c r="J218" s="2" t="str">
        <f t="shared" si="118"/>
        <v/>
      </c>
      <c r="K218" s="2" t="str">
        <f t="shared" si="102"/>
        <v/>
      </c>
      <c r="L218" s="2" t="str">
        <f t="shared" si="103"/>
        <v/>
      </c>
      <c r="M218" s="2" t="str">
        <f t="shared" si="104"/>
        <v/>
      </c>
      <c r="N218" s="2" t="str">
        <f t="shared" si="119"/>
        <v/>
      </c>
      <c r="O218" s="2" t="str">
        <f t="shared" si="120"/>
        <v/>
      </c>
      <c r="P218" s="2" t="str">
        <f t="shared" si="121"/>
        <v/>
      </c>
      <c r="Q218" s="2" t="str">
        <f t="shared" si="105"/>
        <v/>
      </c>
      <c r="R218" s="2" t="str">
        <f t="shared" si="106"/>
        <v/>
      </c>
      <c r="S218" s="2" t="str">
        <f t="shared" si="107"/>
        <v/>
      </c>
      <c r="T218" s="2" t="str">
        <f t="shared" si="122"/>
        <v/>
      </c>
      <c r="U218" s="2" t="str">
        <f t="shared" si="123"/>
        <v/>
      </c>
      <c r="V218" s="2" t="str">
        <f t="shared" si="124"/>
        <v/>
      </c>
      <c r="W218" s="2" t="str">
        <f t="shared" si="108"/>
        <v/>
      </c>
      <c r="X218" s="2" t="str">
        <f t="shared" si="109"/>
        <v/>
      </c>
      <c r="Y218" s="2" t="str">
        <f t="shared" si="110"/>
        <v/>
      </c>
      <c r="Z218" s="2" t="str">
        <f t="shared" si="125"/>
        <v/>
      </c>
      <c r="AA218" s="2" t="str">
        <f t="shared" si="126"/>
        <v/>
      </c>
      <c r="AB218" s="2" t="str">
        <f t="shared" si="127"/>
        <v/>
      </c>
      <c r="AC218" s="2" t="str">
        <f t="shared" si="111"/>
        <v/>
      </c>
      <c r="AD218" s="2" t="str">
        <f t="shared" si="112"/>
        <v/>
      </c>
      <c r="AE218" s="2" t="str">
        <f t="shared" si="113"/>
        <v/>
      </c>
      <c r="AF218" s="2" t="str">
        <f t="shared" si="114"/>
        <v/>
      </c>
    </row>
    <row r="219" spans="1:32" x14ac:dyDescent="0.2">
      <c r="A219" s="2" t="str">
        <f t="shared" si="115"/>
        <v/>
      </c>
      <c r="B219" s="2" t="str">
        <f t="shared" si="96"/>
        <v/>
      </c>
      <c r="C219" s="2" t="str">
        <f t="shared" si="97"/>
        <v/>
      </c>
      <c r="D219" s="2" t="str">
        <f t="shared" si="98"/>
        <v/>
      </c>
      <c r="E219" s="2" t="str">
        <f t="shared" si="99"/>
        <v/>
      </c>
      <c r="F219" s="2" t="str">
        <f t="shared" si="100"/>
        <v/>
      </c>
      <c r="G219" s="2" t="str">
        <f t="shared" si="101"/>
        <v/>
      </c>
      <c r="H219" s="2" t="str">
        <f t="shared" si="116"/>
        <v/>
      </c>
      <c r="I219" s="2" t="str">
        <f t="shared" si="117"/>
        <v/>
      </c>
      <c r="J219" s="2" t="str">
        <f t="shared" si="118"/>
        <v/>
      </c>
      <c r="K219" s="2" t="str">
        <f t="shared" si="102"/>
        <v/>
      </c>
      <c r="L219" s="2" t="str">
        <f t="shared" si="103"/>
        <v/>
      </c>
      <c r="M219" s="2" t="str">
        <f t="shared" si="104"/>
        <v/>
      </c>
      <c r="N219" s="2" t="str">
        <f t="shared" si="119"/>
        <v/>
      </c>
      <c r="O219" s="2" t="str">
        <f t="shared" si="120"/>
        <v/>
      </c>
      <c r="P219" s="2" t="str">
        <f t="shared" si="121"/>
        <v/>
      </c>
      <c r="Q219" s="2" t="str">
        <f t="shared" si="105"/>
        <v/>
      </c>
      <c r="R219" s="2" t="str">
        <f t="shared" si="106"/>
        <v/>
      </c>
      <c r="S219" s="2" t="str">
        <f t="shared" si="107"/>
        <v/>
      </c>
      <c r="T219" s="2" t="str">
        <f t="shared" si="122"/>
        <v/>
      </c>
      <c r="U219" s="2" t="str">
        <f t="shared" si="123"/>
        <v/>
      </c>
      <c r="V219" s="2" t="str">
        <f t="shared" si="124"/>
        <v/>
      </c>
      <c r="W219" s="2" t="str">
        <f t="shared" si="108"/>
        <v/>
      </c>
      <c r="X219" s="2" t="str">
        <f t="shared" si="109"/>
        <v/>
      </c>
      <c r="Y219" s="2" t="str">
        <f t="shared" si="110"/>
        <v/>
      </c>
      <c r="Z219" s="2" t="str">
        <f t="shared" si="125"/>
        <v/>
      </c>
      <c r="AA219" s="2" t="str">
        <f t="shared" si="126"/>
        <v/>
      </c>
      <c r="AB219" s="2" t="str">
        <f t="shared" si="127"/>
        <v/>
      </c>
      <c r="AC219" s="2" t="str">
        <f t="shared" si="111"/>
        <v/>
      </c>
      <c r="AD219" s="2" t="str">
        <f t="shared" si="112"/>
        <v/>
      </c>
      <c r="AE219" s="2" t="str">
        <f t="shared" si="113"/>
        <v/>
      </c>
      <c r="AF219" s="2" t="str">
        <f t="shared" si="114"/>
        <v/>
      </c>
    </row>
    <row r="220" spans="1:32" x14ac:dyDescent="0.2">
      <c r="A220" s="2" t="str">
        <f t="shared" si="115"/>
        <v/>
      </c>
      <c r="B220" s="2" t="str">
        <f t="shared" si="96"/>
        <v/>
      </c>
      <c r="C220" s="2" t="str">
        <f t="shared" si="97"/>
        <v/>
      </c>
      <c r="D220" s="2" t="str">
        <f t="shared" si="98"/>
        <v/>
      </c>
      <c r="E220" s="2" t="str">
        <f t="shared" si="99"/>
        <v/>
      </c>
      <c r="F220" s="2" t="str">
        <f t="shared" si="100"/>
        <v/>
      </c>
      <c r="G220" s="2" t="str">
        <f t="shared" si="101"/>
        <v/>
      </c>
      <c r="H220" s="2" t="str">
        <f t="shared" si="116"/>
        <v/>
      </c>
      <c r="I220" s="2" t="str">
        <f t="shared" si="117"/>
        <v/>
      </c>
      <c r="J220" s="2" t="str">
        <f t="shared" si="118"/>
        <v/>
      </c>
      <c r="K220" s="2" t="str">
        <f t="shared" si="102"/>
        <v/>
      </c>
      <c r="L220" s="2" t="str">
        <f t="shared" si="103"/>
        <v/>
      </c>
      <c r="M220" s="2" t="str">
        <f t="shared" si="104"/>
        <v/>
      </c>
      <c r="N220" s="2" t="str">
        <f t="shared" si="119"/>
        <v/>
      </c>
      <c r="O220" s="2" t="str">
        <f t="shared" si="120"/>
        <v/>
      </c>
      <c r="P220" s="2" t="str">
        <f t="shared" si="121"/>
        <v/>
      </c>
      <c r="Q220" s="2" t="str">
        <f t="shared" si="105"/>
        <v/>
      </c>
      <c r="R220" s="2" t="str">
        <f t="shared" si="106"/>
        <v/>
      </c>
      <c r="S220" s="2" t="str">
        <f t="shared" si="107"/>
        <v/>
      </c>
      <c r="T220" s="2" t="str">
        <f t="shared" si="122"/>
        <v/>
      </c>
      <c r="U220" s="2" t="str">
        <f t="shared" si="123"/>
        <v/>
      </c>
      <c r="V220" s="2" t="str">
        <f t="shared" si="124"/>
        <v/>
      </c>
      <c r="W220" s="2" t="str">
        <f t="shared" si="108"/>
        <v/>
      </c>
      <c r="X220" s="2" t="str">
        <f t="shared" si="109"/>
        <v/>
      </c>
      <c r="Y220" s="2" t="str">
        <f t="shared" si="110"/>
        <v/>
      </c>
      <c r="Z220" s="2" t="str">
        <f t="shared" si="125"/>
        <v/>
      </c>
      <c r="AA220" s="2" t="str">
        <f t="shared" si="126"/>
        <v/>
      </c>
      <c r="AB220" s="2" t="str">
        <f t="shared" si="127"/>
        <v/>
      </c>
      <c r="AC220" s="2" t="str">
        <f t="shared" si="111"/>
        <v/>
      </c>
      <c r="AD220" s="2" t="str">
        <f t="shared" si="112"/>
        <v/>
      </c>
      <c r="AE220" s="2" t="str">
        <f t="shared" si="113"/>
        <v/>
      </c>
      <c r="AF220" s="2" t="str">
        <f t="shared" si="114"/>
        <v/>
      </c>
    </row>
    <row r="221" spans="1:32" x14ac:dyDescent="0.2">
      <c r="A221" s="2" t="str">
        <f t="shared" si="115"/>
        <v/>
      </c>
      <c r="B221" s="2" t="str">
        <f t="shared" si="96"/>
        <v/>
      </c>
      <c r="C221" s="2" t="str">
        <f t="shared" si="97"/>
        <v/>
      </c>
      <c r="D221" s="2" t="str">
        <f t="shared" si="98"/>
        <v/>
      </c>
      <c r="E221" s="2" t="str">
        <f t="shared" si="99"/>
        <v/>
      </c>
      <c r="F221" s="2" t="str">
        <f t="shared" si="100"/>
        <v/>
      </c>
      <c r="G221" s="2" t="str">
        <f t="shared" si="101"/>
        <v/>
      </c>
      <c r="H221" s="2" t="str">
        <f t="shared" si="116"/>
        <v/>
      </c>
      <c r="I221" s="2" t="str">
        <f t="shared" si="117"/>
        <v/>
      </c>
      <c r="J221" s="2" t="str">
        <f t="shared" si="118"/>
        <v/>
      </c>
      <c r="K221" s="2" t="str">
        <f t="shared" si="102"/>
        <v/>
      </c>
      <c r="L221" s="2" t="str">
        <f t="shared" si="103"/>
        <v/>
      </c>
      <c r="M221" s="2" t="str">
        <f t="shared" si="104"/>
        <v/>
      </c>
      <c r="N221" s="2" t="str">
        <f t="shared" si="119"/>
        <v/>
      </c>
      <c r="O221" s="2" t="str">
        <f t="shared" si="120"/>
        <v/>
      </c>
      <c r="P221" s="2" t="str">
        <f t="shared" si="121"/>
        <v/>
      </c>
      <c r="Q221" s="2" t="str">
        <f t="shared" si="105"/>
        <v/>
      </c>
      <c r="R221" s="2" t="str">
        <f t="shared" si="106"/>
        <v/>
      </c>
      <c r="S221" s="2" t="str">
        <f t="shared" si="107"/>
        <v/>
      </c>
      <c r="T221" s="2" t="str">
        <f t="shared" si="122"/>
        <v/>
      </c>
      <c r="U221" s="2" t="str">
        <f t="shared" si="123"/>
        <v/>
      </c>
      <c r="V221" s="2" t="str">
        <f t="shared" si="124"/>
        <v/>
      </c>
      <c r="W221" s="2" t="str">
        <f t="shared" si="108"/>
        <v/>
      </c>
      <c r="X221" s="2" t="str">
        <f t="shared" si="109"/>
        <v/>
      </c>
      <c r="Y221" s="2" t="str">
        <f t="shared" si="110"/>
        <v/>
      </c>
      <c r="Z221" s="2" t="str">
        <f t="shared" si="125"/>
        <v/>
      </c>
      <c r="AA221" s="2" t="str">
        <f t="shared" si="126"/>
        <v/>
      </c>
      <c r="AB221" s="2" t="str">
        <f t="shared" si="127"/>
        <v/>
      </c>
      <c r="AC221" s="2" t="str">
        <f t="shared" si="111"/>
        <v/>
      </c>
      <c r="AD221" s="2" t="str">
        <f t="shared" si="112"/>
        <v/>
      </c>
      <c r="AE221" s="2" t="str">
        <f t="shared" si="113"/>
        <v/>
      </c>
      <c r="AF221" s="2" t="str">
        <f t="shared" si="114"/>
        <v/>
      </c>
    </row>
    <row r="222" spans="1:32" x14ac:dyDescent="0.2">
      <c r="A222" s="2" t="str">
        <f t="shared" si="115"/>
        <v/>
      </c>
      <c r="B222" s="2" t="str">
        <f t="shared" si="96"/>
        <v/>
      </c>
      <c r="C222" s="2" t="str">
        <f t="shared" si="97"/>
        <v/>
      </c>
      <c r="D222" s="2" t="str">
        <f t="shared" si="98"/>
        <v/>
      </c>
      <c r="E222" s="2" t="str">
        <f t="shared" si="99"/>
        <v/>
      </c>
      <c r="F222" s="2" t="str">
        <f t="shared" si="100"/>
        <v/>
      </c>
      <c r="G222" s="2" t="str">
        <f t="shared" si="101"/>
        <v/>
      </c>
      <c r="H222" s="2" t="str">
        <f t="shared" si="116"/>
        <v/>
      </c>
      <c r="I222" s="2" t="str">
        <f t="shared" si="117"/>
        <v/>
      </c>
      <c r="J222" s="2" t="str">
        <f t="shared" si="118"/>
        <v/>
      </c>
      <c r="K222" s="2" t="str">
        <f t="shared" si="102"/>
        <v/>
      </c>
      <c r="L222" s="2" t="str">
        <f t="shared" si="103"/>
        <v/>
      </c>
      <c r="M222" s="2" t="str">
        <f t="shared" si="104"/>
        <v/>
      </c>
      <c r="N222" s="2" t="str">
        <f t="shared" si="119"/>
        <v/>
      </c>
      <c r="O222" s="2" t="str">
        <f t="shared" si="120"/>
        <v/>
      </c>
      <c r="P222" s="2" t="str">
        <f t="shared" si="121"/>
        <v/>
      </c>
      <c r="Q222" s="2" t="str">
        <f t="shared" si="105"/>
        <v/>
      </c>
      <c r="R222" s="2" t="str">
        <f t="shared" si="106"/>
        <v/>
      </c>
      <c r="S222" s="2" t="str">
        <f t="shared" si="107"/>
        <v/>
      </c>
      <c r="T222" s="2" t="str">
        <f t="shared" si="122"/>
        <v/>
      </c>
      <c r="U222" s="2" t="str">
        <f t="shared" si="123"/>
        <v/>
      </c>
      <c r="V222" s="2" t="str">
        <f t="shared" si="124"/>
        <v/>
      </c>
      <c r="W222" s="2" t="str">
        <f t="shared" si="108"/>
        <v/>
      </c>
      <c r="X222" s="2" t="str">
        <f t="shared" si="109"/>
        <v/>
      </c>
      <c r="Y222" s="2" t="str">
        <f t="shared" si="110"/>
        <v/>
      </c>
      <c r="Z222" s="2" t="str">
        <f t="shared" si="125"/>
        <v/>
      </c>
      <c r="AA222" s="2" t="str">
        <f t="shared" si="126"/>
        <v/>
      </c>
      <c r="AB222" s="2" t="str">
        <f t="shared" si="127"/>
        <v/>
      </c>
      <c r="AC222" s="2" t="str">
        <f t="shared" si="111"/>
        <v/>
      </c>
      <c r="AD222" s="2" t="str">
        <f t="shared" si="112"/>
        <v/>
      </c>
      <c r="AE222" s="2" t="str">
        <f t="shared" si="113"/>
        <v/>
      </c>
      <c r="AF222" s="2" t="str">
        <f t="shared" si="114"/>
        <v/>
      </c>
    </row>
    <row r="223" spans="1:32" x14ac:dyDescent="0.2">
      <c r="A223" s="2" t="str">
        <f t="shared" si="115"/>
        <v/>
      </c>
      <c r="B223" s="2" t="str">
        <f t="shared" si="96"/>
        <v/>
      </c>
      <c r="C223" s="2" t="str">
        <f t="shared" si="97"/>
        <v/>
      </c>
      <c r="D223" s="2" t="str">
        <f t="shared" si="98"/>
        <v/>
      </c>
      <c r="E223" s="2" t="str">
        <f t="shared" si="99"/>
        <v/>
      </c>
      <c r="F223" s="2" t="str">
        <f t="shared" si="100"/>
        <v/>
      </c>
      <c r="G223" s="2" t="str">
        <f t="shared" si="101"/>
        <v/>
      </c>
      <c r="H223" s="2" t="str">
        <f t="shared" si="116"/>
        <v/>
      </c>
      <c r="I223" s="2" t="str">
        <f t="shared" si="117"/>
        <v/>
      </c>
      <c r="J223" s="2" t="str">
        <f t="shared" si="118"/>
        <v/>
      </c>
      <c r="K223" s="2" t="str">
        <f t="shared" si="102"/>
        <v/>
      </c>
      <c r="L223" s="2" t="str">
        <f t="shared" si="103"/>
        <v/>
      </c>
      <c r="M223" s="2" t="str">
        <f t="shared" si="104"/>
        <v/>
      </c>
      <c r="N223" s="2" t="str">
        <f t="shared" si="119"/>
        <v/>
      </c>
      <c r="O223" s="2" t="str">
        <f t="shared" si="120"/>
        <v/>
      </c>
      <c r="P223" s="2" t="str">
        <f t="shared" si="121"/>
        <v/>
      </c>
      <c r="Q223" s="2" t="str">
        <f t="shared" si="105"/>
        <v/>
      </c>
      <c r="R223" s="2" t="str">
        <f t="shared" si="106"/>
        <v/>
      </c>
      <c r="S223" s="2" t="str">
        <f t="shared" si="107"/>
        <v/>
      </c>
      <c r="T223" s="2" t="str">
        <f t="shared" si="122"/>
        <v/>
      </c>
      <c r="U223" s="2" t="str">
        <f t="shared" si="123"/>
        <v/>
      </c>
      <c r="V223" s="2" t="str">
        <f t="shared" si="124"/>
        <v/>
      </c>
      <c r="W223" s="2" t="str">
        <f t="shared" si="108"/>
        <v/>
      </c>
      <c r="X223" s="2" t="str">
        <f t="shared" si="109"/>
        <v/>
      </c>
      <c r="Y223" s="2" t="str">
        <f t="shared" si="110"/>
        <v/>
      </c>
      <c r="Z223" s="2" t="str">
        <f t="shared" si="125"/>
        <v/>
      </c>
      <c r="AA223" s="2" t="str">
        <f t="shared" si="126"/>
        <v/>
      </c>
      <c r="AB223" s="2" t="str">
        <f t="shared" si="127"/>
        <v/>
      </c>
      <c r="AC223" s="2" t="str">
        <f t="shared" si="111"/>
        <v/>
      </c>
      <c r="AD223" s="2" t="str">
        <f t="shared" si="112"/>
        <v/>
      </c>
      <c r="AE223" s="2" t="str">
        <f t="shared" si="113"/>
        <v/>
      </c>
      <c r="AF223" s="2" t="str">
        <f t="shared" si="114"/>
        <v/>
      </c>
    </row>
    <row r="224" spans="1:32" x14ac:dyDescent="0.2">
      <c r="A224" s="2" t="str">
        <f t="shared" si="115"/>
        <v/>
      </c>
      <c r="B224" s="2" t="str">
        <f t="shared" si="96"/>
        <v/>
      </c>
      <c r="C224" s="2" t="str">
        <f t="shared" si="97"/>
        <v/>
      </c>
      <c r="D224" s="2" t="str">
        <f t="shared" si="98"/>
        <v/>
      </c>
      <c r="E224" s="2" t="str">
        <f t="shared" si="99"/>
        <v/>
      </c>
      <c r="F224" s="2" t="str">
        <f t="shared" si="100"/>
        <v/>
      </c>
      <c r="G224" s="2" t="str">
        <f t="shared" si="101"/>
        <v/>
      </c>
      <c r="H224" s="2" t="str">
        <f t="shared" si="116"/>
        <v/>
      </c>
      <c r="I224" s="2" t="str">
        <f t="shared" si="117"/>
        <v/>
      </c>
      <c r="J224" s="2" t="str">
        <f t="shared" si="118"/>
        <v/>
      </c>
      <c r="K224" s="2" t="str">
        <f t="shared" si="102"/>
        <v/>
      </c>
      <c r="L224" s="2" t="str">
        <f t="shared" si="103"/>
        <v/>
      </c>
      <c r="M224" s="2" t="str">
        <f t="shared" si="104"/>
        <v/>
      </c>
      <c r="N224" s="2" t="str">
        <f t="shared" si="119"/>
        <v/>
      </c>
      <c r="O224" s="2" t="str">
        <f t="shared" si="120"/>
        <v/>
      </c>
      <c r="P224" s="2" t="str">
        <f t="shared" si="121"/>
        <v/>
      </c>
      <c r="Q224" s="2" t="str">
        <f t="shared" si="105"/>
        <v/>
      </c>
      <c r="R224" s="2" t="str">
        <f t="shared" si="106"/>
        <v/>
      </c>
      <c r="S224" s="2" t="str">
        <f t="shared" si="107"/>
        <v/>
      </c>
      <c r="T224" s="2" t="str">
        <f t="shared" si="122"/>
        <v/>
      </c>
      <c r="U224" s="2" t="str">
        <f t="shared" si="123"/>
        <v/>
      </c>
      <c r="V224" s="2" t="str">
        <f t="shared" si="124"/>
        <v/>
      </c>
      <c r="W224" s="2" t="str">
        <f t="shared" si="108"/>
        <v/>
      </c>
      <c r="X224" s="2" t="str">
        <f t="shared" si="109"/>
        <v/>
      </c>
      <c r="Y224" s="2" t="str">
        <f t="shared" si="110"/>
        <v/>
      </c>
      <c r="Z224" s="2" t="str">
        <f t="shared" si="125"/>
        <v/>
      </c>
      <c r="AA224" s="2" t="str">
        <f t="shared" si="126"/>
        <v/>
      </c>
      <c r="AB224" s="2" t="str">
        <f t="shared" si="127"/>
        <v/>
      </c>
      <c r="AC224" s="2" t="str">
        <f t="shared" si="111"/>
        <v/>
      </c>
      <c r="AD224" s="2" t="str">
        <f t="shared" si="112"/>
        <v/>
      </c>
      <c r="AE224" s="2" t="str">
        <f t="shared" si="113"/>
        <v/>
      </c>
      <c r="AF224" s="2" t="str">
        <f t="shared" si="114"/>
        <v/>
      </c>
    </row>
    <row r="225" spans="1:32" x14ac:dyDescent="0.2">
      <c r="A225" s="2" t="str">
        <f t="shared" si="115"/>
        <v/>
      </c>
      <c r="B225" s="2" t="str">
        <f t="shared" si="96"/>
        <v/>
      </c>
      <c r="C225" s="2" t="str">
        <f t="shared" si="97"/>
        <v/>
      </c>
      <c r="D225" s="2" t="str">
        <f t="shared" si="98"/>
        <v/>
      </c>
      <c r="E225" s="2" t="str">
        <f t="shared" si="99"/>
        <v/>
      </c>
      <c r="F225" s="2" t="str">
        <f t="shared" si="100"/>
        <v/>
      </c>
      <c r="G225" s="2" t="str">
        <f t="shared" si="101"/>
        <v/>
      </c>
      <c r="H225" s="2" t="str">
        <f t="shared" si="116"/>
        <v/>
      </c>
      <c r="I225" s="2" t="str">
        <f t="shared" si="117"/>
        <v/>
      </c>
      <c r="J225" s="2" t="str">
        <f t="shared" si="118"/>
        <v/>
      </c>
      <c r="K225" s="2" t="str">
        <f t="shared" si="102"/>
        <v/>
      </c>
      <c r="L225" s="2" t="str">
        <f t="shared" si="103"/>
        <v/>
      </c>
      <c r="M225" s="2" t="str">
        <f t="shared" si="104"/>
        <v/>
      </c>
      <c r="N225" s="2" t="str">
        <f t="shared" si="119"/>
        <v/>
      </c>
      <c r="O225" s="2" t="str">
        <f t="shared" si="120"/>
        <v/>
      </c>
      <c r="P225" s="2" t="str">
        <f t="shared" si="121"/>
        <v/>
      </c>
      <c r="Q225" s="2" t="str">
        <f t="shared" si="105"/>
        <v/>
      </c>
      <c r="R225" s="2" t="str">
        <f t="shared" si="106"/>
        <v/>
      </c>
      <c r="S225" s="2" t="str">
        <f t="shared" si="107"/>
        <v/>
      </c>
      <c r="T225" s="2" t="str">
        <f t="shared" si="122"/>
        <v/>
      </c>
      <c r="U225" s="2" t="str">
        <f t="shared" si="123"/>
        <v/>
      </c>
      <c r="V225" s="2" t="str">
        <f t="shared" si="124"/>
        <v/>
      </c>
      <c r="W225" s="2" t="str">
        <f t="shared" si="108"/>
        <v/>
      </c>
      <c r="X225" s="2" t="str">
        <f t="shared" si="109"/>
        <v/>
      </c>
      <c r="Y225" s="2" t="str">
        <f t="shared" si="110"/>
        <v/>
      </c>
      <c r="Z225" s="2" t="str">
        <f t="shared" si="125"/>
        <v/>
      </c>
      <c r="AA225" s="2" t="str">
        <f t="shared" si="126"/>
        <v/>
      </c>
      <c r="AB225" s="2" t="str">
        <f t="shared" si="127"/>
        <v/>
      </c>
      <c r="AC225" s="2" t="str">
        <f t="shared" si="111"/>
        <v/>
      </c>
      <c r="AD225" s="2" t="str">
        <f t="shared" si="112"/>
        <v/>
      </c>
      <c r="AE225" s="2" t="str">
        <f t="shared" si="113"/>
        <v/>
      </c>
      <c r="AF225" s="2" t="str">
        <f t="shared" si="114"/>
        <v/>
      </c>
    </row>
    <row r="226" spans="1:32" x14ac:dyDescent="0.2">
      <c r="A226" s="2" t="str">
        <f t="shared" si="115"/>
        <v/>
      </c>
      <c r="B226" s="2" t="str">
        <f t="shared" si="96"/>
        <v/>
      </c>
      <c r="C226" s="2" t="str">
        <f t="shared" si="97"/>
        <v/>
      </c>
      <c r="D226" s="2" t="str">
        <f t="shared" si="98"/>
        <v/>
      </c>
      <c r="E226" s="2" t="str">
        <f t="shared" si="99"/>
        <v/>
      </c>
      <c r="F226" s="2" t="str">
        <f t="shared" si="100"/>
        <v/>
      </c>
      <c r="G226" s="2" t="str">
        <f t="shared" si="101"/>
        <v/>
      </c>
      <c r="H226" s="2" t="str">
        <f t="shared" si="116"/>
        <v/>
      </c>
      <c r="I226" s="2" t="str">
        <f t="shared" si="117"/>
        <v/>
      </c>
      <c r="J226" s="2" t="str">
        <f t="shared" si="118"/>
        <v/>
      </c>
      <c r="K226" s="2" t="str">
        <f t="shared" si="102"/>
        <v/>
      </c>
      <c r="L226" s="2" t="str">
        <f t="shared" si="103"/>
        <v/>
      </c>
      <c r="M226" s="2" t="str">
        <f t="shared" si="104"/>
        <v/>
      </c>
      <c r="N226" s="2" t="str">
        <f t="shared" si="119"/>
        <v/>
      </c>
      <c r="O226" s="2" t="str">
        <f t="shared" si="120"/>
        <v/>
      </c>
      <c r="P226" s="2" t="str">
        <f t="shared" si="121"/>
        <v/>
      </c>
      <c r="Q226" s="2" t="str">
        <f t="shared" si="105"/>
        <v/>
      </c>
      <c r="R226" s="2" t="str">
        <f t="shared" si="106"/>
        <v/>
      </c>
      <c r="S226" s="2" t="str">
        <f t="shared" si="107"/>
        <v/>
      </c>
      <c r="T226" s="2" t="str">
        <f t="shared" si="122"/>
        <v/>
      </c>
      <c r="U226" s="2" t="str">
        <f t="shared" si="123"/>
        <v/>
      </c>
      <c r="V226" s="2" t="str">
        <f t="shared" si="124"/>
        <v/>
      </c>
      <c r="W226" s="2" t="str">
        <f t="shared" si="108"/>
        <v/>
      </c>
      <c r="X226" s="2" t="str">
        <f t="shared" si="109"/>
        <v/>
      </c>
      <c r="Y226" s="2" t="str">
        <f t="shared" si="110"/>
        <v/>
      </c>
      <c r="Z226" s="2" t="str">
        <f t="shared" si="125"/>
        <v/>
      </c>
      <c r="AA226" s="2" t="str">
        <f t="shared" si="126"/>
        <v/>
      </c>
      <c r="AB226" s="2" t="str">
        <f t="shared" si="127"/>
        <v/>
      </c>
      <c r="AC226" s="2" t="str">
        <f t="shared" si="111"/>
        <v/>
      </c>
      <c r="AD226" s="2" t="str">
        <f t="shared" si="112"/>
        <v/>
      </c>
      <c r="AE226" s="2" t="str">
        <f t="shared" si="113"/>
        <v/>
      </c>
      <c r="AF226" s="2" t="str">
        <f t="shared" si="114"/>
        <v/>
      </c>
    </row>
    <row r="227" spans="1:32" x14ac:dyDescent="0.2">
      <c r="A227" s="2" t="str">
        <f t="shared" si="115"/>
        <v/>
      </c>
      <c r="B227" s="2" t="str">
        <f t="shared" si="96"/>
        <v/>
      </c>
      <c r="C227" s="2" t="str">
        <f t="shared" si="97"/>
        <v/>
      </c>
      <c r="D227" s="2" t="str">
        <f t="shared" si="98"/>
        <v/>
      </c>
      <c r="E227" s="2" t="str">
        <f t="shared" si="99"/>
        <v/>
      </c>
      <c r="F227" s="2" t="str">
        <f t="shared" si="100"/>
        <v/>
      </c>
      <c r="G227" s="2" t="str">
        <f t="shared" si="101"/>
        <v/>
      </c>
      <c r="H227" s="2" t="str">
        <f t="shared" si="116"/>
        <v/>
      </c>
      <c r="I227" s="2" t="str">
        <f t="shared" si="117"/>
        <v/>
      </c>
      <c r="J227" s="2" t="str">
        <f t="shared" si="118"/>
        <v/>
      </c>
      <c r="K227" s="2" t="str">
        <f t="shared" si="102"/>
        <v/>
      </c>
      <c r="L227" s="2" t="str">
        <f t="shared" si="103"/>
        <v/>
      </c>
      <c r="M227" s="2" t="str">
        <f t="shared" si="104"/>
        <v/>
      </c>
      <c r="N227" s="2" t="str">
        <f t="shared" si="119"/>
        <v/>
      </c>
      <c r="O227" s="2" t="str">
        <f t="shared" si="120"/>
        <v/>
      </c>
      <c r="P227" s="2" t="str">
        <f t="shared" si="121"/>
        <v/>
      </c>
      <c r="Q227" s="2" t="str">
        <f t="shared" si="105"/>
        <v/>
      </c>
      <c r="R227" s="2" t="str">
        <f t="shared" si="106"/>
        <v/>
      </c>
      <c r="S227" s="2" t="str">
        <f t="shared" si="107"/>
        <v/>
      </c>
      <c r="T227" s="2" t="str">
        <f t="shared" si="122"/>
        <v/>
      </c>
      <c r="U227" s="2" t="str">
        <f t="shared" si="123"/>
        <v/>
      </c>
      <c r="V227" s="2" t="str">
        <f t="shared" si="124"/>
        <v/>
      </c>
      <c r="W227" s="2" t="str">
        <f t="shared" si="108"/>
        <v/>
      </c>
      <c r="X227" s="2" t="str">
        <f t="shared" si="109"/>
        <v/>
      </c>
      <c r="Y227" s="2" t="str">
        <f t="shared" si="110"/>
        <v/>
      </c>
      <c r="Z227" s="2" t="str">
        <f t="shared" si="125"/>
        <v/>
      </c>
      <c r="AA227" s="2" t="str">
        <f t="shared" si="126"/>
        <v/>
      </c>
      <c r="AB227" s="2" t="str">
        <f t="shared" si="127"/>
        <v/>
      </c>
      <c r="AC227" s="2" t="str">
        <f t="shared" si="111"/>
        <v/>
      </c>
      <c r="AD227" s="2" t="str">
        <f t="shared" si="112"/>
        <v/>
      </c>
      <c r="AE227" s="2" t="str">
        <f t="shared" si="113"/>
        <v/>
      </c>
      <c r="AF227" s="2" t="str">
        <f t="shared" si="114"/>
        <v/>
      </c>
    </row>
    <row r="228" spans="1:32" x14ac:dyDescent="0.2">
      <c r="A228" s="2" t="str">
        <f t="shared" si="115"/>
        <v/>
      </c>
      <c r="B228" s="2" t="str">
        <f t="shared" si="96"/>
        <v/>
      </c>
      <c r="C228" s="2" t="str">
        <f t="shared" si="97"/>
        <v/>
      </c>
      <c r="D228" s="2" t="str">
        <f t="shared" si="98"/>
        <v/>
      </c>
      <c r="E228" s="2" t="str">
        <f t="shared" si="99"/>
        <v/>
      </c>
      <c r="F228" s="2" t="str">
        <f t="shared" si="100"/>
        <v/>
      </c>
      <c r="G228" s="2" t="str">
        <f t="shared" si="101"/>
        <v/>
      </c>
      <c r="H228" s="2" t="str">
        <f t="shared" si="116"/>
        <v/>
      </c>
      <c r="I228" s="2" t="str">
        <f t="shared" si="117"/>
        <v/>
      </c>
      <c r="J228" s="2" t="str">
        <f t="shared" si="118"/>
        <v/>
      </c>
      <c r="K228" s="2" t="str">
        <f t="shared" si="102"/>
        <v/>
      </c>
      <c r="L228" s="2" t="str">
        <f t="shared" si="103"/>
        <v/>
      </c>
      <c r="M228" s="2" t="str">
        <f t="shared" si="104"/>
        <v/>
      </c>
      <c r="N228" s="2" t="str">
        <f t="shared" si="119"/>
        <v/>
      </c>
      <c r="O228" s="2" t="str">
        <f t="shared" si="120"/>
        <v/>
      </c>
      <c r="P228" s="2" t="str">
        <f t="shared" si="121"/>
        <v/>
      </c>
      <c r="Q228" s="2" t="str">
        <f t="shared" si="105"/>
        <v/>
      </c>
      <c r="R228" s="2" t="str">
        <f t="shared" si="106"/>
        <v/>
      </c>
      <c r="S228" s="2" t="str">
        <f t="shared" si="107"/>
        <v/>
      </c>
      <c r="T228" s="2" t="str">
        <f t="shared" si="122"/>
        <v/>
      </c>
      <c r="U228" s="2" t="str">
        <f t="shared" si="123"/>
        <v/>
      </c>
      <c r="V228" s="2" t="str">
        <f t="shared" si="124"/>
        <v/>
      </c>
      <c r="W228" s="2" t="str">
        <f t="shared" si="108"/>
        <v/>
      </c>
      <c r="X228" s="2" t="str">
        <f t="shared" si="109"/>
        <v/>
      </c>
      <c r="Y228" s="2" t="str">
        <f t="shared" si="110"/>
        <v/>
      </c>
      <c r="Z228" s="2" t="str">
        <f t="shared" si="125"/>
        <v/>
      </c>
      <c r="AA228" s="2" t="str">
        <f t="shared" si="126"/>
        <v/>
      </c>
      <c r="AB228" s="2" t="str">
        <f t="shared" si="127"/>
        <v/>
      </c>
      <c r="AC228" s="2" t="str">
        <f t="shared" si="111"/>
        <v/>
      </c>
      <c r="AD228" s="2" t="str">
        <f t="shared" si="112"/>
        <v/>
      </c>
      <c r="AE228" s="2" t="str">
        <f t="shared" si="113"/>
        <v/>
      </c>
      <c r="AF228" s="2" t="str">
        <f t="shared" si="114"/>
        <v/>
      </c>
    </row>
    <row r="229" spans="1:32" x14ac:dyDescent="0.2">
      <c r="A229" s="2" t="str">
        <f t="shared" si="115"/>
        <v/>
      </c>
      <c r="B229" s="2" t="str">
        <f t="shared" si="96"/>
        <v/>
      </c>
      <c r="C229" s="2" t="str">
        <f t="shared" si="97"/>
        <v/>
      </c>
      <c r="D229" s="2" t="str">
        <f t="shared" si="98"/>
        <v/>
      </c>
      <c r="E229" s="2" t="str">
        <f t="shared" si="99"/>
        <v/>
      </c>
      <c r="F229" s="2" t="str">
        <f t="shared" si="100"/>
        <v/>
      </c>
      <c r="G229" s="2" t="str">
        <f t="shared" si="101"/>
        <v/>
      </c>
      <c r="H229" s="2" t="str">
        <f t="shared" si="116"/>
        <v/>
      </c>
      <c r="I229" s="2" t="str">
        <f t="shared" si="117"/>
        <v/>
      </c>
      <c r="J229" s="2" t="str">
        <f t="shared" si="118"/>
        <v/>
      </c>
      <c r="K229" s="2" t="str">
        <f t="shared" si="102"/>
        <v/>
      </c>
      <c r="L229" s="2" t="str">
        <f t="shared" si="103"/>
        <v/>
      </c>
      <c r="M229" s="2" t="str">
        <f t="shared" si="104"/>
        <v/>
      </c>
      <c r="N229" s="2" t="str">
        <f t="shared" si="119"/>
        <v/>
      </c>
      <c r="O229" s="2" t="str">
        <f t="shared" si="120"/>
        <v/>
      </c>
      <c r="P229" s="2" t="str">
        <f t="shared" si="121"/>
        <v/>
      </c>
      <c r="Q229" s="2" t="str">
        <f t="shared" si="105"/>
        <v/>
      </c>
      <c r="R229" s="2" t="str">
        <f t="shared" si="106"/>
        <v/>
      </c>
      <c r="S229" s="2" t="str">
        <f t="shared" si="107"/>
        <v/>
      </c>
      <c r="T229" s="2" t="str">
        <f t="shared" si="122"/>
        <v/>
      </c>
      <c r="U229" s="2" t="str">
        <f t="shared" si="123"/>
        <v/>
      </c>
      <c r="V229" s="2" t="str">
        <f t="shared" si="124"/>
        <v/>
      </c>
      <c r="W229" s="2" t="str">
        <f t="shared" si="108"/>
        <v/>
      </c>
      <c r="X229" s="2" t="str">
        <f t="shared" si="109"/>
        <v/>
      </c>
      <c r="Y229" s="2" t="str">
        <f t="shared" si="110"/>
        <v/>
      </c>
      <c r="Z229" s="2" t="str">
        <f t="shared" si="125"/>
        <v/>
      </c>
      <c r="AA229" s="2" t="str">
        <f t="shared" si="126"/>
        <v/>
      </c>
      <c r="AB229" s="2" t="str">
        <f t="shared" si="127"/>
        <v/>
      </c>
      <c r="AC229" s="2" t="str">
        <f t="shared" si="111"/>
        <v/>
      </c>
      <c r="AD229" s="2" t="str">
        <f t="shared" si="112"/>
        <v/>
      </c>
      <c r="AE229" s="2" t="str">
        <f t="shared" si="113"/>
        <v/>
      </c>
      <c r="AF229" s="2" t="str">
        <f t="shared" si="114"/>
        <v/>
      </c>
    </row>
    <row r="230" spans="1:32" x14ac:dyDescent="0.2">
      <c r="A230" s="2" t="str">
        <f t="shared" si="115"/>
        <v/>
      </c>
      <c r="B230" s="2" t="str">
        <f t="shared" si="96"/>
        <v/>
      </c>
      <c r="C230" s="2" t="str">
        <f t="shared" si="97"/>
        <v/>
      </c>
      <c r="D230" s="2" t="str">
        <f t="shared" si="98"/>
        <v/>
      </c>
      <c r="E230" s="2" t="str">
        <f t="shared" si="99"/>
        <v/>
      </c>
      <c r="F230" s="2" t="str">
        <f t="shared" si="100"/>
        <v/>
      </c>
      <c r="G230" s="2" t="str">
        <f t="shared" si="101"/>
        <v/>
      </c>
      <c r="H230" s="2" t="str">
        <f t="shared" si="116"/>
        <v/>
      </c>
      <c r="I230" s="2" t="str">
        <f t="shared" si="117"/>
        <v/>
      </c>
      <c r="J230" s="2" t="str">
        <f t="shared" si="118"/>
        <v/>
      </c>
      <c r="K230" s="2" t="str">
        <f t="shared" si="102"/>
        <v/>
      </c>
      <c r="L230" s="2" t="str">
        <f t="shared" si="103"/>
        <v/>
      </c>
      <c r="M230" s="2" t="str">
        <f t="shared" si="104"/>
        <v/>
      </c>
      <c r="N230" s="2" t="str">
        <f t="shared" si="119"/>
        <v/>
      </c>
      <c r="O230" s="2" t="str">
        <f t="shared" si="120"/>
        <v/>
      </c>
      <c r="P230" s="2" t="str">
        <f t="shared" si="121"/>
        <v/>
      </c>
      <c r="Q230" s="2" t="str">
        <f t="shared" si="105"/>
        <v/>
      </c>
      <c r="R230" s="2" t="str">
        <f t="shared" si="106"/>
        <v/>
      </c>
      <c r="S230" s="2" t="str">
        <f t="shared" si="107"/>
        <v/>
      </c>
      <c r="T230" s="2" t="str">
        <f t="shared" si="122"/>
        <v/>
      </c>
      <c r="U230" s="2" t="str">
        <f t="shared" si="123"/>
        <v/>
      </c>
      <c r="V230" s="2" t="str">
        <f t="shared" si="124"/>
        <v/>
      </c>
      <c r="W230" s="2" t="str">
        <f t="shared" si="108"/>
        <v/>
      </c>
      <c r="X230" s="2" t="str">
        <f t="shared" si="109"/>
        <v/>
      </c>
      <c r="Y230" s="2" t="str">
        <f t="shared" si="110"/>
        <v/>
      </c>
      <c r="Z230" s="2" t="str">
        <f t="shared" si="125"/>
        <v/>
      </c>
      <c r="AA230" s="2" t="str">
        <f t="shared" si="126"/>
        <v/>
      </c>
      <c r="AB230" s="2" t="str">
        <f t="shared" si="127"/>
        <v/>
      </c>
      <c r="AC230" s="2" t="str">
        <f t="shared" si="111"/>
        <v/>
      </c>
      <c r="AD230" s="2" t="str">
        <f t="shared" si="112"/>
        <v/>
      </c>
      <c r="AE230" s="2" t="str">
        <f t="shared" si="113"/>
        <v/>
      </c>
      <c r="AF230" s="2" t="str">
        <f t="shared" si="114"/>
        <v/>
      </c>
    </row>
    <row r="231" spans="1:32" x14ac:dyDescent="0.2">
      <c r="A231" s="2" t="str">
        <f t="shared" si="115"/>
        <v/>
      </c>
      <c r="B231" s="2" t="str">
        <f t="shared" si="96"/>
        <v/>
      </c>
      <c r="C231" s="2" t="str">
        <f t="shared" si="97"/>
        <v/>
      </c>
      <c r="D231" s="2" t="str">
        <f t="shared" si="98"/>
        <v/>
      </c>
      <c r="E231" s="2" t="str">
        <f t="shared" si="99"/>
        <v/>
      </c>
      <c r="F231" s="2" t="str">
        <f t="shared" si="100"/>
        <v/>
      </c>
      <c r="G231" s="2" t="str">
        <f t="shared" si="101"/>
        <v/>
      </c>
      <c r="H231" s="2" t="str">
        <f t="shared" si="116"/>
        <v/>
      </c>
      <c r="I231" s="2" t="str">
        <f t="shared" si="117"/>
        <v/>
      </c>
      <c r="J231" s="2" t="str">
        <f t="shared" si="118"/>
        <v/>
      </c>
      <c r="K231" s="2" t="str">
        <f t="shared" si="102"/>
        <v/>
      </c>
      <c r="L231" s="2" t="str">
        <f t="shared" si="103"/>
        <v/>
      </c>
      <c r="M231" s="2" t="str">
        <f t="shared" si="104"/>
        <v/>
      </c>
      <c r="N231" s="2" t="str">
        <f t="shared" si="119"/>
        <v/>
      </c>
      <c r="O231" s="2" t="str">
        <f t="shared" si="120"/>
        <v/>
      </c>
      <c r="P231" s="2" t="str">
        <f t="shared" si="121"/>
        <v/>
      </c>
      <c r="Q231" s="2" t="str">
        <f t="shared" si="105"/>
        <v/>
      </c>
      <c r="R231" s="2" t="str">
        <f t="shared" si="106"/>
        <v/>
      </c>
      <c r="S231" s="2" t="str">
        <f t="shared" si="107"/>
        <v/>
      </c>
      <c r="T231" s="2" t="str">
        <f t="shared" si="122"/>
        <v/>
      </c>
      <c r="U231" s="2" t="str">
        <f t="shared" si="123"/>
        <v/>
      </c>
      <c r="V231" s="2" t="str">
        <f t="shared" si="124"/>
        <v/>
      </c>
      <c r="W231" s="2" t="str">
        <f t="shared" si="108"/>
        <v/>
      </c>
      <c r="X231" s="2" t="str">
        <f t="shared" si="109"/>
        <v/>
      </c>
      <c r="Y231" s="2" t="str">
        <f t="shared" si="110"/>
        <v/>
      </c>
      <c r="Z231" s="2" t="str">
        <f t="shared" si="125"/>
        <v/>
      </c>
      <c r="AA231" s="2" t="str">
        <f t="shared" si="126"/>
        <v/>
      </c>
      <c r="AB231" s="2" t="str">
        <f t="shared" si="127"/>
        <v/>
      </c>
      <c r="AC231" s="2" t="str">
        <f t="shared" si="111"/>
        <v/>
      </c>
      <c r="AD231" s="2" t="str">
        <f t="shared" si="112"/>
        <v/>
      </c>
      <c r="AE231" s="2" t="str">
        <f t="shared" si="113"/>
        <v/>
      </c>
      <c r="AF231" s="2" t="str">
        <f t="shared" si="114"/>
        <v/>
      </c>
    </row>
    <row r="232" spans="1:32" x14ac:dyDescent="0.2">
      <c r="A232" s="2" t="str">
        <f t="shared" si="115"/>
        <v/>
      </c>
      <c r="B232" s="2" t="str">
        <f t="shared" si="96"/>
        <v/>
      </c>
      <c r="C232" s="2" t="str">
        <f t="shared" si="97"/>
        <v/>
      </c>
      <c r="D232" s="2" t="str">
        <f t="shared" si="98"/>
        <v/>
      </c>
      <c r="E232" s="2" t="str">
        <f t="shared" si="99"/>
        <v/>
      </c>
      <c r="F232" s="2" t="str">
        <f t="shared" si="100"/>
        <v/>
      </c>
      <c r="G232" s="2" t="str">
        <f t="shared" si="101"/>
        <v/>
      </c>
      <c r="H232" s="2" t="str">
        <f t="shared" si="116"/>
        <v/>
      </c>
      <c r="I232" s="2" t="str">
        <f t="shared" si="117"/>
        <v/>
      </c>
      <c r="J232" s="2" t="str">
        <f t="shared" si="118"/>
        <v/>
      </c>
      <c r="K232" s="2" t="str">
        <f t="shared" si="102"/>
        <v/>
      </c>
      <c r="L232" s="2" t="str">
        <f t="shared" si="103"/>
        <v/>
      </c>
      <c r="M232" s="2" t="str">
        <f t="shared" si="104"/>
        <v/>
      </c>
      <c r="N232" s="2" t="str">
        <f t="shared" si="119"/>
        <v/>
      </c>
      <c r="O232" s="2" t="str">
        <f t="shared" si="120"/>
        <v/>
      </c>
      <c r="P232" s="2" t="str">
        <f t="shared" si="121"/>
        <v/>
      </c>
      <c r="Q232" s="2" t="str">
        <f t="shared" si="105"/>
        <v/>
      </c>
      <c r="R232" s="2" t="str">
        <f t="shared" si="106"/>
        <v/>
      </c>
      <c r="S232" s="2" t="str">
        <f t="shared" si="107"/>
        <v/>
      </c>
      <c r="T232" s="2" t="str">
        <f t="shared" si="122"/>
        <v/>
      </c>
      <c r="U232" s="2" t="str">
        <f t="shared" si="123"/>
        <v/>
      </c>
      <c r="V232" s="2" t="str">
        <f t="shared" si="124"/>
        <v/>
      </c>
      <c r="W232" s="2" t="str">
        <f t="shared" si="108"/>
        <v/>
      </c>
      <c r="X232" s="2" t="str">
        <f t="shared" si="109"/>
        <v/>
      </c>
      <c r="Y232" s="2" t="str">
        <f t="shared" si="110"/>
        <v/>
      </c>
      <c r="Z232" s="2" t="str">
        <f t="shared" si="125"/>
        <v/>
      </c>
      <c r="AA232" s="2" t="str">
        <f t="shared" si="126"/>
        <v/>
      </c>
      <c r="AB232" s="2" t="str">
        <f t="shared" si="127"/>
        <v/>
      </c>
      <c r="AC232" s="2" t="str">
        <f t="shared" si="111"/>
        <v/>
      </c>
      <c r="AD232" s="2" t="str">
        <f t="shared" si="112"/>
        <v/>
      </c>
      <c r="AE232" s="2" t="str">
        <f t="shared" si="113"/>
        <v/>
      </c>
      <c r="AF232" s="2" t="str">
        <f t="shared" si="114"/>
        <v/>
      </c>
    </row>
    <row r="233" spans="1:32" x14ac:dyDescent="0.2">
      <c r="A233" s="2" t="str">
        <f t="shared" si="115"/>
        <v/>
      </c>
      <c r="B233" s="2" t="str">
        <f t="shared" si="96"/>
        <v/>
      </c>
      <c r="C233" s="2" t="str">
        <f t="shared" si="97"/>
        <v/>
      </c>
      <c r="D233" s="2" t="str">
        <f t="shared" si="98"/>
        <v/>
      </c>
      <c r="E233" s="2" t="str">
        <f t="shared" si="99"/>
        <v/>
      </c>
      <c r="F233" s="2" t="str">
        <f t="shared" si="100"/>
        <v/>
      </c>
      <c r="G233" s="2" t="str">
        <f t="shared" si="101"/>
        <v/>
      </c>
      <c r="H233" s="2" t="str">
        <f t="shared" si="116"/>
        <v/>
      </c>
      <c r="I233" s="2" t="str">
        <f t="shared" si="117"/>
        <v/>
      </c>
      <c r="J233" s="2" t="str">
        <f t="shared" si="118"/>
        <v/>
      </c>
      <c r="K233" s="2" t="str">
        <f t="shared" si="102"/>
        <v/>
      </c>
      <c r="L233" s="2" t="str">
        <f t="shared" si="103"/>
        <v/>
      </c>
      <c r="M233" s="2" t="str">
        <f t="shared" si="104"/>
        <v/>
      </c>
      <c r="N233" s="2" t="str">
        <f t="shared" si="119"/>
        <v/>
      </c>
      <c r="O233" s="2" t="str">
        <f t="shared" si="120"/>
        <v/>
      </c>
      <c r="P233" s="2" t="str">
        <f t="shared" si="121"/>
        <v/>
      </c>
      <c r="Q233" s="2" t="str">
        <f t="shared" si="105"/>
        <v/>
      </c>
      <c r="R233" s="2" t="str">
        <f t="shared" si="106"/>
        <v/>
      </c>
      <c r="S233" s="2" t="str">
        <f t="shared" si="107"/>
        <v/>
      </c>
      <c r="T233" s="2" t="str">
        <f t="shared" si="122"/>
        <v/>
      </c>
      <c r="U233" s="2" t="str">
        <f t="shared" si="123"/>
        <v/>
      </c>
      <c r="V233" s="2" t="str">
        <f t="shared" si="124"/>
        <v/>
      </c>
      <c r="W233" s="2" t="str">
        <f t="shared" si="108"/>
        <v/>
      </c>
      <c r="X233" s="2" t="str">
        <f t="shared" si="109"/>
        <v/>
      </c>
      <c r="Y233" s="2" t="str">
        <f t="shared" si="110"/>
        <v/>
      </c>
      <c r="Z233" s="2" t="str">
        <f t="shared" si="125"/>
        <v/>
      </c>
      <c r="AA233" s="2" t="str">
        <f t="shared" si="126"/>
        <v/>
      </c>
      <c r="AB233" s="2" t="str">
        <f t="shared" si="127"/>
        <v/>
      </c>
      <c r="AC233" s="2" t="str">
        <f t="shared" si="111"/>
        <v/>
      </c>
      <c r="AD233" s="2" t="str">
        <f t="shared" si="112"/>
        <v/>
      </c>
      <c r="AE233" s="2" t="str">
        <f t="shared" si="113"/>
        <v/>
      </c>
      <c r="AF233" s="2" t="str">
        <f t="shared" si="114"/>
        <v/>
      </c>
    </row>
    <row r="234" spans="1:32" x14ac:dyDescent="0.2">
      <c r="A234" s="2" t="str">
        <f t="shared" si="115"/>
        <v/>
      </c>
      <c r="B234" s="2" t="str">
        <f t="shared" si="96"/>
        <v/>
      </c>
      <c r="C234" s="2" t="str">
        <f t="shared" si="97"/>
        <v/>
      </c>
      <c r="D234" s="2" t="str">
        <f t="shared" si="98"/>
        <v/>
      </c>
      <c r="E234" s="2" t="str">
        <f t="shared" si="99"/>
        <v/>
      </c>
      <c r="F234" s="2" t="str">
        <f t="shared" si="100"/>
        <v/>
      </c>
      <c r="G234" s="2" t="str">
        <f t="shared" si="101"/>
        <v/>
      </c>
      <c r="H234" s="2" t="str">
        <f t="shared" si="116"/>
        <v/>
      </c>
      <c r="I234" s="2" t="str">
        <f t="shared" si="117"/>
        <v/>
      </c>
      <c r="J234" s="2" t="str">
        <f t="shared" si="118"/>
        <v/>
      </c>
      <c r="K234" s="2" t="str">
        <f t="shared" si="102"/>
        <v/>
      </c>
      <c r="L234" s="2" t="str">
        <f t="shared" si="103"/>
        <v/>
      </c>
      <c r="M234" s="2" t="str">
        <f t="shared" si="104"/>
        <v/>
      </c>
      <c r="N234" s="2" t="str">
        <f t="shared" si="119"/>
        <v/>
      </c>
      <c r="O234" s="2" t="str">
        <f t="shared" si="120"/>
        <v/>
      </c>
      <c r="P234" s="2" t="str">
        <f t="shared" si="121"/>
        <v/>
      </c>
      <c r="Q234" s="2" t="str">
        <f t="shared" si="105"/>
        <v/>
      </c>
      <c r="R234" s="2" t="str">
        <f t="shared" si="106"/>
        <v/>
      </c>
      <c r="S234" s="2" t="str">
        <f t="shared" si="107"/>
        <v/>
      </c>
      <c r="T234" s="2" t="str">
        <f t="shared" si="122"/>
        <v/>
      </c>
      <c r="U234" s="2" t="str">
        <f t="shared" si="123"/>
        <v/>
      </c>
      <c r="V234" s="2" t="str">
        <f t="shared" si="124"/>
        <v/>
      </c>
      <c r="W234" s="2" t="str">
        <f t="shared" si="108"/>
        <v/>
      </c>
      <c r="X234" s="2" t="str">
        <f t="shared" si="109"/>
        <v/>
      </c>
      <c r="Y234" s="2" t="str">
        <f t="shared" si="110"/>
        <v/>
      </c>
      <c r="Z234" s="2" t="str">
        <f t="shared" si="125"/>
        <v/>
      </c>
      <c r="AA234" s="2" t="str">
        <f t="shared" si="126"/>
        <v/>
      </c>
      <c r="AB234" s="2" t="str">
        <f t="shared" si="127"/>
        <v/>
      </c>
      <c r="AC234" s="2" t="str">
        <f t="shared" si="111"/>
        <v/>
      </c>
      <c r="AD234" s="2" t="str">
        <f t="shared" si="112"/>
        <v/>
      </c>
      <c r="AE234" s="2" t="str">
        <f t="shared" si="113"/>
        <v/>
      </c>
      <c r="AF234" s="2" t="str">
        <f t="shared" si="114"/>
        <v/>
      </c>
    </row>
    <row r="235" spans="1:32" x14ac:dyDescent="0.2">
      <c r="A235" s="2" t="str">
        <f t="shared" si="115"/>
        <v/>
      </c>
      <c r="B235" s="2" t="str">
        <f t="shared" si="96"/>
        <v/>
      </c>
      <c r="C235" s="2" t="str">
        <f t="shared" si="97"/>
        <v/>
      </c>
      <c r="D235" s="2" t="str">
        <f t="shared" si="98"/>
        <v/>
      </c>
      <c r="E235" s="2" t="str">
        <f t="shared" si="99"/>
        <v/>
      </c>
      <c r="F235" s="2" t="str">
        <f t="shared" si="100"/>
        <v/>
      </c>
      <c r="G235" s="2" t="str">
        <f t="shared" si="101"/>
        <v/>
      </c>
      <c r="H235" s="2" t="str">
        <f t="shared" si="116"/>
        <v/>
      </c>
      <c r="I235" s="2" t="str">
        <f t="shared" si="117"/>
        <v/>
      </c>
      <c r="J235" s="2" t="str">
        <f t="shared" si="118"/>
        <v/>
      </c>
      <c r="K235" s="2" t="str">
        <f t="shared" si="102"/>
        <v/>
      </c>
      <c r="L235" s="2" t="str">
        <f t="shared" si="103"/>
        <v/>
      </c>
      <c r="M235" s="2" t="str">
        <f t="shared" si="104"/>
        <v/>
      </c>
      <c r="N235" s="2" t="str">
        <f t="shared" si="119"/>
        <v/>
      </c>
      <c r="O235" s="2" t="str">
        <f t="shared" si="120"/>
        <v/>
      </c>
      <c r="P235" s="2" t="str">
        <f t="shared" si="121"/>
        <v/>
      </c>
      <c r="Q235" s="2" t="str">
        <f t="shared" si="105"/>
        <v/>
      </c>
      <c r="R235" s="2" t="str">
        <f t="shared" si="106"/>
        <v/>
      </c>
      <c r="S235" s="2" t="str">
        <f t="shared" si="107"/>
        <v/>
      </c>
      <c r="T235" s="2" t="str">
        <f t="shared" si="122"/>
        <v/>
      </c>
      <c r="U235" s="2" t="str">
        <f t="shared" si="123"/>
        <v/>
      </c>
      <c r="V235" s="2" t="str">
        <f t="shared" si="124"/>
        <v/>
      </c>
      <c r="W235" s="2" t="str">
        <f t="shared" si="108"/>
        <v/>
      </c>
      <c r="X235" s="2" t="str">
        <f t="shared" si="109"/>
        <v/>
      </c>
      <c r="Y235" s="2" t="str">
        <f t="shared" si="110"/>
        <v/>
      </c>
      <c r="Z235" s="2" t="str">
        <f t="shared" si="125"/>
        <v/>
      </c>
      <c r="AA235" s="2" t="str">
        <f t="shared" si="126"/>
        <v/>
      </c>
      <c r="AB235" s="2" t="str">
        <f t="shared" si="127"/>
        <v/>
      </c>
      <c r="AC235" s="2" t="str">
        <f t="shared" si="111"/>
        <v/>
      </c>
      <c r="AD235" s="2" t="str">
        <f t="shared" si="112"/>
        <v/>
      </c>
      <c r="AE235" s="2" t="str">
        <f t="shared" si="113"/>
        <v/>
      </c>
      <c r="AF235" s="2" t="str">
        <f t="shared" si="114"/>
        <v/>
      </c>
    </row>
    <row r="236" spans="1:32" x14ac:dyDescent="0.2">
      <c r="A236" s="2" t="str">
        <f t="shared" si="115"/>
        <v/>
      </c>
      <c r="B236" s="2" t="str">
        <f t="shared" si="96"/>
        <v/>
      </c>
      <c r="C236" s="2" t="str">
        <f t="shared" si="97"/>
        <v/>
      </c>
      <c r="D236" s="2" t="str">
        <f t="shared" si="98"/>
        <v/>
      </c>
      <c r="E236" s="2" t="str">
        <f t="shared" si="99"/>
        <v/>
      </c>
      <c r="F236" s="2" t="str">
        <f t="shared" si="100"/>
        <v/>
      </c>
      <c r="G236" s="2" t="str">
        <f t="shared" si="101"/>
        <v/>
      </c>
      <c r="H236" s="2" t="str">
        <f t="shared" si="116"/>
        <v/>
      </c>
      <c r="I236" s="2" t="str">
        <f t="shared" si="117"/>
        <v/>
      </c>
      <c r="J236" s="2" t="str">
        <f t="shared" si="118"/>
        <v/>
      </c>
      <c r="K236" s="2" t="str">
        <f t="shared" si="102"/>
        <v/>
      </c>
      <c r="L236" s="2" t="str">
        <f t="shared" si="103"/>
        <v/>
      </c>
      <c r="M236" s="2" t="str">
        <f t="shared" si="104"/>
        <v/>
      </c>
      <c r="N236" s="2" t="str">
        <f t="shared" si="119"/>
        <v/>
      </c>
      <c r="O236" s="2" t="str">
        <f t="shared" si="120"/>
        <v/>
      </c>
      <c r="P236" s="2" t="str">
        <f t="shared" si="121"/>
        <v/>
      </c>
      <c r="Q236" s="2" t="str">
        <f t="shared" si="105"/>
        <v/>
      </c>
      <c r="R236" s="2" t="str">
        <f t="shared" si="106"/>
        <v/>
      </c>
      <c r="S236" s="2" t="str">
        <f t="shared" si="107"/>
        <v/>
      </c>
      <c r="T236" s="2" t="str">
        <f t="shared" si="122"/>
        <v/>
      </c>
      <c r="U236" s="2" t="str">
        <f t="shared" si="123"/>
        <v/>
      </c>
      <c r="V236" s="2" t="str">
        <f t="shared" si="124"/>
        <v/>
      </c>
      <c r="W236" s="2" t="str">
        <f t="shared" si="108"/>
        <v/>
      </c>
      <c r="X236" s="2" t="str">
        <f t="shared" si="109"/>
        <v/>
      </c>
      <c r="Y236" s="2" t="str">
        <f t="shared" si="110"/>
        <v/>
      </c>
      <c r="Z236" s="2" t="str">
        <f t="shared" si="125"/>
        <v/>
      </c>
      <c r="AA236" s="2" t="str">
        <f t="shared" si="126"/>
        <v/>
      </c>
      <c r="AB236" s="2" t="str">
        <f t="shared" si="127"/>
        <v/>
      </c>
      <c r="AC236" s="2" t="str">
        <f t="shared" si="111"/>
        <v/>
      </c>
      <c r="AD236" s="2" t="str">
        <f t="shared" si="112"/>
        <v/>
      </c>
      <c r="AE236" s="2" t="str">
        <f t="shared" si="113"/>
        <v/>
      </c>
      <c r="AF236" s="2" t="str">
        <f t="shared" si="114"/>
        <v/>
      </c>
    </row>
    <row r="237" spans="1:32" x14ac:dyDescent="0.2">
      <c r="A237" s="2" t="str">
        <f t="shared" si="115"/>
        <v/>
      </c>
      <c r="B237" s="2" t="str">
        <f t="shared" si="96"/>
        <v/>
      </c>
      <c r="C237" s="2" t="str">
        <f t="shared" si="97"/>
        <v/>
      </c>
      <c r="D237" s="2" t="str">
        <f t="shared" si="98"/>
        <v/>
      </c>
      <c r="E237" s="2" t="str">
        <f t="shared" si="99"/>
        <v/>
      </c>
      <c r="F237" s="2" t="str">
        <f t="shared" si="100"/>
        <v/>
      </c>
      <c r="G237" s="2" t="str">
        <f t="shared" si="101"/>
        <v/>
      </c>
      <c r="H237" s="2" t="str">
        <f t="shared" si="116"/>
        <v/>
      </c>
      <c r="I237" s="2" t="str">
        <f t="shared" si="117"/>
        <v/>
      </c>
      <c r="J237" s="2" t="str">
        <f t="shared" si="118"/>
        <v/>
      </c>
      <c r="K237" s="2" t="str">
        <f t="shared" si="102"/>
        <v/>
      </c>
      <c r="L237" s="2" t="str">
        <f t="shared" si="103"/>
        <v/>
      </c>
      <c r="M237" s="2" t="str">
        <f t="shared" si="104"/>
        <v/>
      </c>
      <c r="N237" s="2" t="str">
        <f t="shared" si="119"/>
        <v/>
      </c>
      <c r="O237" s="2" t="str">
        <f t="shared" si="120"/>
        <v/>
      </c>
      <c r="P237" s="2" t="str">
        <f t="shared" si="121"/>
        <v/>
      </c>
      <c r="Q237" s="2" t="str">
        <f t="shared" si="105"/>
        <v/>
      </c>
      <c r="R237" s="2" t="str">
        <f t="shared" si="106"/>
        <v/>
      </c>
      <c r="S237" s="2" t="str">
        <f t="shared" si="107"/>
        <v/>
      </c>
      <c r="T237" s="2" t="str">
        <f t="shared" si="122"/>
        <v/>
      </c>
      <c r="U237" s="2" t="str">
        <f t="shared" si="123"/>
        <v/>
      </c>
      <c r="V237" s="2" t="str">
        <f t="shared" si="124"/>
        <v/>
      </c>
      <c r="W237" s="2" t="str">
        <f t="shared" si="108"/>
        <v/>
      </c>
      <c r="X237" s="2" t="str">
        <f t="shared" si="109"/>
        <v/>
      </c>
      <c r="Y237" s="2" t="str">
        <f t="shared" si="110"/>
        <v/>
      </c>
      <c r="Z237" s="2" t="str">
        <f t="shared" si="125"/>
        <v/>
      </c>
      <c r="AA237" s="2" t="str">
        <f t="shared" si="126"/>
        <v/>
      </c>
      <c r="AB237" s="2" t="str">
        <f t="shared" si="127"/>
        <v/>
      </c>
      <c r="AC237" s="2" t="str">
        <f t="shared" si="111"/>
        <v/>
      </c>
      <c r="AD237" s="2" t="str">
        <f t="shared" si="112"/>
        <v/>
      </c>
      <c r="AE237" s="2" t="str">
        <f t="shared" si="113"/>
        <v/>
      </c>
      <c r="AF237" s="2" t="str">
        <f t="shared" si="114"/>
        <v/>
      </c>
    </row>
    <row r="238" spans="1:32" x14ac:dyDescent="0.2">
      <c r="A238" s="2" t="str">
        <f t="shared" si="115"/>
        <v/>
      </c>
      <c r="B238" s="2" t="str">
        <f t="shared" si="96"/>
        <v/>
      </c>
      <c r="C238" s="2" t="str">
        <f t="shared" si="97"/>
        <v/>
      </c>
      <c r="D238" s="2" t="str">
        <f t="shared" si="98"/>
        <v/>
      </c>
      <c r="E238" s="2" t="str">
        <f t="shared" si="99"/>
        <v/>
      </c>
      <c r="F238" s="2" t="str">
        <f t="shared" si="100"/>
        <v/>
      </c>
      <c r="G238" s="2" t="str">
        <f t="shared" si="101"/>
        <v/>
      </c>
      <c r="H238" s="2" t="str">
        <f t="shared" si="116"/>
        <v/>
      </c>
      <c r="I238" s="2" t="str">
        <f t="shared" si="117"/>
        <v/>
      </c>
      <c r="J238" s="2" t="str">
        <f t="shared" si="118"/>
        <v/>
      </c>
      <c r="K238" s="2" t="str">
        <f t="shared" si="102"/>
        <v/>
      </c>
      <c r="L238" s="2" t="str">
        <f t="shared" si="103"/>
        <v/>
      </c>
      <c r="M238" s="2" t="str">
        <f t="shared" si="104"/>
        <v/>
      </c>
      <c r="N238" s="2" t="str">
        <f t="shared" si="119"/>
        <v/>
      </c>
      <c r="O238" s="2" t="str">
        <f t="shared" si="120"/>
        <v/>
      </c>
      <c r="P238" s="2" t="str">
        <f t="shared" si="121"/>
        <v/>
      </c>
      <c r="Q238" s="2" t="str">
        <f t="shared" si="105"/>
        <v/>
      </c>
      <c r="R238" s="2" t="str">
        <f t="shared" si="106"/>
        <v/>
      </c>
      <c r="S238" s="2" t="str">
        <f t="shared" si="107"/>
        <v/>
      </c>
      <c r="T238" s="2" t="str">
        <f t="shared" si="122"/>
        <v/>
      </c>
      <c r="U238" s="2" t="str">
        <f t="shared" si="123"/>
        <v/>
      </c>
      <c r="V238" s="2" t="str">
        <f t="shared" si="124"/>
        <v/>
      </c>
      <c r="W238" s="2" t="str">
        <f t="shared" si="108"/>
        <v/>
      </c>
      <c r="X238" s="2" t="str">
        <f t="shared" si="109"/>
        <v/>
      </c>
      <c r="Y238" s="2" t="str">
        <f t="shared" si="110"/>
        <v/>
      </c>
      <c r="Z238" s="2" t="str">
        <f t="shared" si="125"/>
        <v/>
      </c>
      <c r="AA238" s="2" t="str">
        <f t="shared" si="126"/>
        <v/>
      </c>
      <c r="AB238" s="2" t="str">
        <f t="shared" si="127"/>
        <v/>
      </c>
      <c r="AC238" s="2" t="str">
        <f t="shared" si="111"/>
        <v/>
      </c>
      <c r="AD238" s="2" t="str">
        <f t="shared" si="112"/>
        <v/>
      </c>
      <c r="AE238" s="2" t="str">
        <f t="shared" si="113"/>
        <v/>
      </c>
      <c r="AF238" s="2" t="str">
        <f t="shared" si="114"/>
        <v/>
      </c>
    </row>
    <row r="239" spans="1:32" x14ac:dyDescent="0.2">
      <c r="A239" s="2" t="str">
        <f t="shared" si="115"/>
        <v/>
      </c>
      <c r="B239" s="2" t="str">
        <f t="shared" si="96"/>
        <v/>
      </c>
      <c r="C239" s="2" t="str">
        <f t="shared" si="97"/>
        <v/>
      </c>
      <c r="D239" s="2" t="str">
        <f t="shared" si="98"/>
        <v/>
      </c>
      <c r="E239" s="2" t="str">
        <f t="shared" si="99"/>
        <v/>
      </c>
      <c r="F239" s="2" t="str">
        <f t="shared" si="100"/>
        <v/>
      </c>
      <c r="G239" s="2" t="str">
        <f t="shared" si="101"/>
        <v/>
      </c>
      <c r="H239" s="2" t="str">
        <f t="shared" si="116"/>
        <v/>
      </c>
      <c r="I239" s="2" t="str">
        <f t="shared" si="117"/>
        <v/>
      </c>
      <c r="J239" s="2" t="str">
        <f t="shared" si="118"/>
        <v/>
      </c>
      <c r="K239" s="2" t="str">
        <f t="shared" si="102"/>
        <v/>
      </c>
      <c r="L239" s="2" t="str">
        <f t="shared" si="103"/>
        <v/>
      </c>
      <c r="M239" s="2" t="str">
        <f t="shared" si="104"/>
        <v/>
      </c>
      <c r="N239" s="2" t="str">
        <f t="shared" si="119"/>
        <v/>
      </c>
      <c r="O239" s="2" t="str">
        <f t="shared" si="120"/>
        <v/>
      </c>
      <c r="P239" s="2" t="str">
        <f t="shared" si="121"/>
        <v/>
      </c>
      <c r="Q239" s="2" t="str">
        <f t="shared" si="105"/>
        <v/>
      </c>
      <c r="R239" s="2" t="str">
        <f t="shared" si="106"/>
        <v/>
      </c>
      <c r="S239" s="2" t="str">
        <f t="shared" si="107"/>
        <v/>
      </c>
      <c r="T239" s="2" t="str">
        <f t="shared" si="122"/>
        <v/>
      </c>
      <c r="U239" s="2" t="str">
        <f t="shared" si="123"/>
        <v/>
      </c>
      <c r="V239" s="2" t="str">
        <f t="shared" si="124"/>
        <v/>
      </c>
      <c r="W239" s="2" t="str">
        <f t="shared" si="108"/>
        <v/>
      </c>
      <c r="X239" s="2" t="str">
        <f t="shared" si="109"/>
        <v/>
      </c>
      <c r="Y239" s="2" t="str">
        <f t="shared" si="110"/>
        <v/>
      </c>
      <c r="Z239" s="2" t="str">
        <f t="shared" si="125"/>
        <v/>
      </c>
      <c r="AA239" s="2" t="str">
        <f t="shared" si="126"/>
        <v/>
      </c>
      <c r="AB239" s="2" t="str">
        <f t="shared" si="127"/>
        <v/>
      </c>
      <c r="AC239" s="2" t="str">
        <f t="shared" si="111"/>
        <v/>
      </c>
      <c r="AD239" s="2" t="str">
        <f t="shared" si="112"/>
        <v/>
      </c>
      <c r="AE239" s="2" t="str">
        <f t="shared" si="113"/>
        <v/>
      </c>
      <c r="AF239" s="2" t="str">
        <f t="shared" si="114"/>
        <v/>
      </c>
    </row>
    <row r="240" spans="1:32" x14ac:dyDescent="0.2">
      <c r="A240" s="2" t="str">
        <f t="shared" si="115"/>
        <v/>
      </c>
      <c r="B240" s="2" t="str">
        <f t="shared" si="96"/>
        <v/>
      </c>
      <c r="C240" s="2" t="str">
        <f t="shared" si="97"/>
        <v/>
      </c>
      <c r="D240" s="2" t="str">
        <f t="shared" si="98"/>
        <v/>
      </c>
      <c r="E240" s="2" t="str">
        <f t="shared" si="99"/>
        <v/>
      </c>
      <c r="F240" s="2" t="str">
        <f t="shared" si="100"/>
        <v/>
      </c>
      <c r="G240" s="2" t="str">
        <f t="shared" si="101"/>
        <v/>
      </c>
      <c r="H240" s="2" t="str">
        <f t="shared" si="116"/>
        <v/>
      </c>
      <c r="I240" s="2" t="str">
        <f t="shared" si="117"/>
        <v/>
      </c>
      <c r="J240" s="2" t="str">
        <f t="shared" si="118"/>
        <v/>
      </c>
      <c r="K240" s="2" t="str">
        <f t="shared" si="102"/>
        <v/>
      </c>
      <c r="L240" s="2" t="str">
        <f t="shared" si="103"/>
        <v/>
      </c>
      <c r="M240" s="2" t="str">
        <f t="shared" si="104"/>
        <v/>
      </c>
      <c r="N240" s="2" t="str">
        <f t="shared" si="119"/>
        <v/>
      </c>
      <c r="O240" s="2" t="str">
        <f t="shared" si="120"/>
        <v/>
      </c>
      <c r="P240" s="2" t="str">
        <f t="shared" si="121"/>
        <v/>
      </c>
      <c r="Q240" s="2" t="str">
        <f t="shared" si="105"/>
        <v/>
      </c>
      <c r="R240" s="2" t="str">
        <f t="shared" si="106"/>
        <v/>
      </c>
      <c r="S240" s="2" t="str">
        <f t="shared" si="107"/>
        <v/>
      </c>
      <c r="T240" s="2" t="str">
        <f t="shared" si="122"/>
        <v/>
      </c>
      <c r="U240" s="2" t="str">
        <f t="shared" si="123"/>
        <v/>
      </c>
      <c r="V240" s="2" t="str">
        <f t="shared" si="124"/>
        <v/>
      </c>
      <c r="W240" s="2" t="str">
        <f t="shared" si="108"/>
        <v/>
      </c>
      <c r="X240" s="2" t="str">
        <f t="shared" si="109"/>
        <v/>
      </c>
      <c r="Y240" s="2" t="str">
        <f t="shared" si="110"/>
        <v/>
      </c>
      <c r="Z240" s="2" t="str">
        <f t="shared" si="125"/>
        <v/>
      </c>
      <c r="AA240" s="2" t="str">
        <f t="shared" si="126"/>
        <v/>
      </c>
      <c r="AB240" s="2" t="str">
        <f t="shared" si="127"/>
        <v/>
      </c>
      <c r="AC240" s="2" t="str">
        <f t="shared" si="111"/>
        <v/>
      </c>
      <c r="AD240" s="2" t="str">
        <f t="shared" si="112"/>
        <v/>
      </c>
      <c r="AE240" s="2" t="str">
        <f t="shared" si="113"/>
        <v/>
      </c>
      <c r="AF240" s="2" t="str">
        <f t="shared" si="114"/>
        <v/>
      </c>
    </row>
    <row r="241" spans="1:32" x14ac:dyDescent="0.2">
      <c r="A241" s="2" t="str">
        <f t="shared" si="115"/>
        <v/>
      </c>
      <c r="B241" s="2" t="str">
        <f t="shared" si="96"/>
        <v/>
      </c>
      <c r="C241" s="2" t="str">
        <f t="shared" si="97"/>
        <v/>
      </c>
      <c r="D241" s="2" t="str">
        <f t="shared" si="98"/>
        <v/>
      </c>
      <c r="E241" s="2" t="str">
        <f t="shared" si="99"/>
        <v/>
      </c>
      <c r="F241" s="2" t="str">
        <f t="shared" si="100"/>
        <v/>
      </c>
      <c r="G241" s="2" t="str">
        <f t="shared" si="101"/>
        <v/>
      </c>
      <c r="H241" s="2" t="str">
        <f t="shared" si="116"/>
        <v/>
      </c>
      <c r="I241" s="2" t="str">
        <f t="shared" si="117"/>
        <v/>
      </c>
      <c r="J241" s="2" t="str">
        <f t="shared" si="118"/>
        <v/>
      </c>
      <c r="K241" s="2" t="str">
        <f t="shared" si="102"/>
        <v/>
      </c>
      <c r="L241" s="2" t="str">
        <f t="shared" si="103"/>
        <v/>
      </c>
      <c r="M241" s="2" t="str">
        <f t="shared" si="104"/>
        <v/>
      </c>
      <c r="N241" s="2" t="str">
        <f t="shared" si="119"/>
        <v/>
      </c>
      <c r="O241" s="2" t="str">
        <f t="shared" si="120"/>
        <v/>
      </c>
      <c r="P241" s="2" t="str">
        <f t="shared" si="121"/>
        <v/>
      </c>
      <c r="Q241" s="2" t="str">
        <f t="shared" si="105"/>
        <v/>
      </c>
      <c r="R241" s="2" t="str">
        <f t="shared" si="106"/>
        <v/>
      </c>
      <c r="S241" s="2" t="str">
        <f t="shared" si="107"/>
        <v/>
      </c>
      <c r="T241" s="2" t="str">
        <f t="shared" si="122"/>
        <v/>
      </c>
      <c r="U241" s="2" t="str">
        <f t="shared" si="123"/>
        <v/>
      </c>
      <c r="V241" s="2" t="str">
        <f t="shared" si="124"/>
        <v/>
      </c>
      <c r="W241" s="2" t="str">
        <f t="shared" si="108"/>
        <v/>
      </c>
      <c r="X241" s="2" t="str">
        <f t="shared" si="109"/>
        <v/>
      </c>
      <c r="Y241" s="2" t="str">
        <f t="shared" si="110"/>
        <v/>
      </c>
      <c r="Z241" s="2" t="str">
        <f t="shared" si="125"/>
        <v/>
      </c>
      <c r="AA241" s="2" t="str">
        <f t="shared" si="126"/>
        <v/>
      </c>
      <c r="AB241" s="2" t="str">
        <f t="shared" si="127"/>
        <v/>
      </c>
      <c r="AC241" s="2" t="str">
        <f t="shared" si="111"/>
        <v/>
      </c>
      <c r="AD241" s="2" t="str">
        <f t="shared" si="112"/>
        <v/>
      </c>
      <c r="AE241" s="2" t="str">
        <f t="shared" si="113"/>
        <v/>
      </c>
      <c r="AF241" s="2" t="str">
        <f t="shared" si="114"/>
        <v/>
      </c>
    </row>
    <row r="242" spans="1:32" x14ac:dyDescent="0.2">
      <c r="A242" s="2" t="str">
        <f t="shared" si="115"/>
        <v/>
      </c>
      <c r="B242" s="2" t="str">
        <f t="shared" si="96"/>
        <v/>
      </c>
      <c r="C242" s="2" t="str">
        <f t="shared" si="97"/>
        <v/>
      </c>
      <c r="D242" s="2" t="str">
        <f t="shared" si="98"/>
        <v/>
      </c>
      <c r="E242" s="2" t="str">
        <f t="shared" si="99"/>
        <v/>
      </c>
      <c r="F242" s="2" t="str">
        <f t="shared" si="100"/>
        <v/>
      </c>
      <c r="G242" s="2" t="str">
        <f t="shared" si="101"/>
        <v/>
      </c>
      <c r="H242" s="2" t="str">
        <f t="shared" si="116"/>
        <v/>
      </c>
      <c r="I242" s="2" t="str">
        <f t="shared" si="117"/>
        <v/>
      </c>
      <c r="J242" s="2" t="str">
        <f t="shared" si="118"/>
        <v/>
      </c>
      <c r="K242" s="2" t="str">
        <f t="shared" si="102"/>
        <v/>
      </c>
      <c r="L242" s="2" t="str">
        <f t="shared" si="103"/>
        <v/>
      </c>
      <c r="M242" s="2" t="str">
        <f t="shared" si="104"/>
        <v/>
      </c>
      <c r="N242" s="2" t="str">
        <f t="shared" si="119"/>
        <v/>
      </c>
      <c r="O242" s="2" t="str">
        <f t="shared" si="120"/>
        <v/>
      </c>
      <c r="P242" s="2" t="str">
        <f t="shared" si="121"/>
        <v/>
      </c>
      <c r="Q242" s="2" t="str">
        <f t="shared" si="105"/>
        <v/>
      </c>
      <c r="R242" s="2" t="str">
        <f t="shared" si="106"/>
        <v/>
      </c>
      <c r="S242" s="2" t="str">
        <f t="shared" si="107"/>
        <v/>
      </c>
      <c r="T242" s="2" t="str">
        <f t="shared" si="122"/>
        <v/>
      </c>
      <c r="U242" s="2" t="str">
        <f t="shared" si="123"/>
        <v/>
      </c>
      <c r="V242" s="2" t="str">
        <f t="shared" si="124"/>
        <v/>
      </c>
      <c r="W242" s="2" t="str">
        <f t="shared" si="108"/>
        <v/>
      </c>
      <c r="X242" s="2" t="str">
        <f t="shared" si="109"/>
        <v/>
      </c>
      <c r="Y242" s="2" t="str">
        <f t="shared" si="110"/>
        <v/>
      </c>
      <c r="Z242" s="2" t="str">
        <f t="shared" si="125"/>
        <v/>
      </c>
      <c r="AA242" s="2" t="str">
        <f t="shared" si="126"/>
        <v/>
      </c>
      <c r="AB242" s="2" t="str">
        <f t="shared" si="127"/>
        <v/>
      </c>
      <c r="AC242" s="2" t="str">
        <f t="shared" si="111"/>
        <v/>
      </c>
      <c r="AD242" s="2" t="str">
        <f t="shared" si="112"/>
        <v/>
      </c>
      <c r="AE242" s="2" t="str">
        <f t="shared" si="113"/>
        <v/>
      </c>
      <c r="AF242" s="2" t="str">
        <f t="shared" si="114"/>
        <v/>
      </c>
    </row>
    <row r="243" spans="1:32" x14ac:dyDescent="0.2">
      <c r="A243" s="2" t="str">
        <f t="shared" si="115"/>
        <v/>
      </c>
      <c r="B243" s="2" t="str">
        <f t="shared" si="96"/>
        <v/>
      </c>
      <c r="C243" s="2" t="str">
        <f t="shared" si="97"/>
        <v/>
      </c>
      <c r="D243" s="2" t="str">
        <f t="shared" si="98"/>
        <v/>
      </c>
      <c r="E243" s="2" t="str">
        <f t="shared" si="99"/>
        <v/>
      </c>
      <c r="F243" s="2" t="str">
        <f t="shared" si="100"/>
        <v/>
      </c>
      <c r="G243" s="2" t="str">
        <f t="shared" si="101"/>
        <v/>
      </c>
      <c r="H243" s="2" t="str">
        <f t="shared" si="116"/>
        <v/>
      </c>
      <c r="I243" s="2" t="str">
        <f t="shared" si="117"/>
        <v/>
      </c>
      <c r="J243" s="2" t="str">
        <f t="shared" si="118"/>
        <v/>
      </c>
      <c r="K243" s="2" t="str">
        <f t="shared" si="102"/>
        <v/>
      </c>
      <c r="L243" s="2" t="str">
        <f t="shared" si="103"/>
        <v/>
      </c>
      <c r="M243" s="2" t="str">
        <f t="shared" si="104"/>
        <v/>
      </c>
      <c r="N243" s="2" t="str">
        <f t="shared" si="119"/>
        <v/>
      </c>
      <c r="O243" s="2" t="str">
        <f t="shared" si="120"/>
        <v/>
      </c>
      <c r="P243" s="2" t="str">
        <f t="shared" si="121"/>
        <v/>
      </c>
      <c r="Q243" s="2" t="str">
        <f t="shared" si="105"/>
        <v/>
      </c>
      <c r="R243" s="2" t="str">
        <f t="shared" si="106"/>
        <v/>
      </c>
      <c r="S243" s="2" t="str">
        <f t="shared" si="107"/>
        <v/>
      </c>
      <c r="T243" s="2" t="str">
        <f t="shared" si="122"/>
        <v/>
      </c>
      <c r="U243" s="2" t="str">
        <f t="shared" si="123"/>
        <v/>
      </c>
      <c r="V243" s="2" t="str">
        <f t="shared" si="124"/>
        <v/>
      </c>
      <c r="W243" s="2" t="str">
        <f t="shared" si="108"/>
        <v/>
      </c>
      <c r="X243" s="2" t="str">
        <f t="shared" si="109"/>
        <v/>
      </c>
      <c r="Y243" s="2" t="str">
        <f t="shared" si="110"/>
        <v/>
      </c>
      <c r="Z243" s="2" t="str">
        <f t="shared" si="125"/>
        <v/>
      </c>
      <c r="AA243" s="2" t="str">
        <f t="shared" si="126"/>
        <v/>
      </c>
      <c r="AB243" s="2" t="str">
        <f t="shared" si="127"/>
        <v/>
      </c>
      <c r="AC243" s="2" t="str">
        <f t="shared" si="111"/>
        <v/>
      </c>
      <c r="AD243" s="2" t="str">
        <f t="shared" si="112"/>
        <v/>
      </c>
      <c r="AE243" s="2" t="str">
        <f t="shared" si="113"/>
        <v/>
      </c>
      <c r="AF243" s="2" t="str">
        <f t="shared" si="114"/>
        <v/>
      </c>
    </row>
    <row r="244" spans="1:32" x14ac:dyDescent="0.2">
      <c r="A244" s="2" t="str">
        <f t="shared" si="115"/>
        <v/>
      </c>
      <c r="B244" s="2" t="str">
        <f t="shared" si="96"/>
        <v/>
      </c>
      <c r="C244" s="2" t="str">
        <f t="shared" si="97"/>
        <v/>
      </c>
      <c r="D244" s="2" t="str">
        <f t="shared" si="98"/>
        <v/>
      </c>
      <c r="E244" s="2" t="str">
        <f t="shared" si="99"/>
        <v/>
      </c>
      <c r="F244" s="2" t="str">
        <f t="shared" si="100"/>
        <v/>
      </c>
      <c r="G244" s="2" t="str">
        <f t="shared" si="101"/>
        <v/>
      </c>
      <c r="H244" s="2" t="str">
        <f t="shared" si="116"/>
        <v/>
      </c>
      <c r="I244" s="2" t="str">
        <f t="shared" si="117"/>
        <v/>
      </c>
      <c r="J244" s="2" t="str">
        <f t="shared" si="118"/>
        <v/>
      </c>
      <c r="K244" s="2" t="str">
        <f t="shared" si="102"/>
        <v/>
      </c>
      <c r="L244" s="2" t="str">
        <f t="shared" si="103"/>
        <v/>
      </c>
      <c r="M244" s="2" t="str">
        <f t="shared" si="104"/>
        <v/>
      </c>
      <c r="N244" s="2" t="str">
        <f t="shared" si="119"/>
        <v/>
      </c>
      <c r="O244" s="2" t="str">
        <f t="shared" si="120"/>
        <v/>
      </c>
      <c r="P244" s="2" t="str">
        <f t="shared" si="121"/>
        <v/>
      </c>
      <c r="Q244" s="2" t="str">
        <f t="shared" si="105"/>
        <v/>
      </c>
      <c r="R244" s="2" t="str">
        <f t="shared" si="106"/>
        <v/>
      </c>
      <c r="S244" s="2" t="str">
        <f t="shared" si="107"/>
        <v/>
      </c>
      <c r="T244" s="2" t="str">
        <f t="shared" si="122"/>
        <v/>
      </c>
      <c r="U244" s="2" t="str">
        <f t="shared" si="123"/>
        <v/>
      </c>
      <c r="V244" s="2" t="str">
        <f t="shared" si="124"/>
        <v/>
      </c>
      <c r="W244" s="2" t="str">
        <f t="shared" si="108"/>
        <v/>
      </c>
      <c r="X244" s="2" t="str">
        <f t="shared" si="109"/>
        <v/>
      </c>
      <c r="Y244" s="2" t="str">
        <f t="shared" si="110"/>
        <v/>
      </c>
      <c r="Z244" s="2" t="str">
        <f t="shared" si="125"/>
        <v/>
      </c>
      <c r="AA244" s="2" t="str">
        <f t="shared" si="126"/>
        <v/>
      </c>
      <c r="AB244" s="2" t="str">
        <f t="shared" si="127"/>
        <v/>
      </c>
      <c r="AC244" s="2" t="str">
        <f t="shared" si="111"/>
        <v/>
      </c>
      <c r="AD244" s="2" t="str">
        <f t="shared" si="112"/>
        <v/>
      </c>
      <c r="AE244" s="2" t="str">
        <f t="shared" si="113"/>
        <v/>
      </c>
      <c r="AF244" s="2" t="str">
        <f t="shared" si="114"/>
        <v/>
      </c>
    </row>
    <row r="245" spans="1:32" x14ac:dyDescent="0.2">
      <c r="A245" s="2" t="str">
        <f t="shared" si="115"/>
        <v/>
      </c>
      <c r="B245" s="2" t="str">
        <f t="shared" si="96"/>
        <v/>
      </c>
      <c r="C245" s="2" t="str">
        <f t="shared" si="97"/>
        <v/>
      </c>
      <c r="D245" s="2" t="str">
        <f t="shared" si="98"/>
        <v/>
      </c>
      <c r="E245" s="2" t="str">
        <f t="shared" si="99"/>
        <v/>
      </c>
      <c r="F245" s="2" t="str">
        <f t="shared" si="100"/>
        <v/>
      </c>
      <c r="G245" s="2" t="str">
        <f t="shared" si="101"/>
        <v/>
      </c>
      <c r="H245" s="2" t="str">
        <f t="shared" si="116"/>
        <v/>
      </c>
      <c r="I245" s="2" t="str">
        <f t="shared" si="117"/>
        <v/>
      </c>
      <c r="J245" s="2" t="str">
        <f t="shared" si="118"/>
        <v/>
      </c>
      <c r="K245" s="2" t="str">
        <f t="shared" si="102"/>
        <v/>
      </c>
      <c r="L245" s="2" t="str">
        <f t="shared" si="103"/>
        <v/>
      </c>
      <c r="M245" s="2" t="str">
        <f t="shared" si="104"/>
        <v/>
      </c>
      <c r="N245" s="2" t="str">
        <f t="shared" si="119"/>
        <v/>
      </c>
      <c r="O245" s="2" t="str">
        <f t="shared" si="120"/>
        <v/>
      </c>
      <c r="P245" s="2" t="str">
        <f t="shared" si="121"/>
        <v/>
      </c>
      <c r="Q245" s="2" t="str">
        <f t="shared" si="105"/>
        <v/>
      </c>
      <c r="R245" s="2" t="str">
        <f t="shared" si="106"/>
        <v/>
      </c>
      <c r="S245" s="2" t="str">
        <f t="shared" si="107"/>
        <v/>
      </c>
      <c r="T245" s="2" t="str">
        <f t="shared" si="122"/>
        <v/>
      </c>
      <c r="U245" s="2" t="str">
        <f t="shared" si="123"/>
        <v/>
      </c>
      <c r="V245" s="2" t="str">
        <f t="shared" si="124"/>
        <v/>
      </c>
      <c r="W245" s="2" t="str">
        <f t="shared" si="108"/>
        <v/>
      </c>
      <c r="X245" s="2" t="str">
        <f t="shared" si="109"/>
        <v/>
      </c>
      <c r="Y245" s="2" t="str">
        <f t="shared" si="110"/>
        <v/>
      </c>
      <c r="Z245" s="2" t="str">
        <f t="shared" si="125"/>
        <v/>
      </c>
      <c r="AA245" s="2" t="str">
        <f t="shared" si="126"/>
        <v/>
      </c>
      <c r="AB245" s="2" t="str">
        <f t="shared" si="127"/>
        <v/>
      </c>
      <c r="AC245" s="2" t="str">
        <f t="shared" si="111"/>
        <v/>
      </c>
      <c r="AD245" s="2" t="str">
        <f t="shared" si="112"/>
        <v/>
      </c>
      <c r="AE245" s="2" t="str">
        <f t="shared" si="113"/>
        <v/>
      </c>
      <c r="AF245" s="2" t="str">
        <f t="shared" si="114"/>
        <v/>
      </c>
    </row>
    <row r="246" spans="1:32" x14ac:dyDescent="0.2">
      <c r="A246" s="2" t="str">
        <f t="shared" si="115"/>
        <v/>
      </c>
      <c r="B246" s="2" t="str">
        <f t="shared" si="96"/>
        <v/>
      </c>
      <c r="C246" s="2" t="str">
        <f t="shared" si="97"/>
        <v/>
      </c>
      <c r="D246" s="2" t="str">
        <f t="shared" si="98"/>
        <v/>
      </c>
      <c r="E246" s="2" t="str">
        <f t="shared" si="99"/>
        <v/>
      </c>
      <c r="F246" s="2" t="str">
        <f t="shared" si="100"/>
        <v/>
      </c>
      <c r="G246" s="2" t="str">
        <f t="shared" si="101"/>
        <v/>
      </c>
      <c r="H246" s="2" t="str">
        <f t="shared" si="116"/>
        <v/>
      </c>
      <c r="I246" s="2" t="str">
        <f t="shared" si="117"/>
        <v/>
      </c>
      <c r="J246" s="2" t="str">
        <f t="shared" si="118"/>
        <v/>
      </c>
      <c r="K246" s="2" t="str">
        <f t="shared" si="102"/>
        <v/>
      </c>
      <c r="L246" s="2" t="str">
        <f t="shared" si="103"/>
        <v/>
      </c>
      <c r="M246" s="2" t="str">
        <f t="shared" si="104"/>
        <v/>
      </c>
      <c r="N246" s="2" t="str">
        <f t="shared" si="119"/>
        <v/>
      </c>
      <c r="O246" s="2" t="str">
        <f t="shared" si="120"/>
        <v/>
      </c>
      <c r="P246" s="2" t="str">
        <f t="shared" si="121"/>
        <v/>
      </c>
      <c r="Q246" s="2" t="str">
        <f t="shared" si="105"/>
        <v/>
      </c>
      <c r="R246" s="2" t="str">
        <f t="shared" si="106"/>
        <v/>
      </c>
      <c r="S246" s="2" t="str">
        <f t="shared" si="107"/>
        <v/>
      </c>
      <c r="T246" s="2" t="str">
        <f t="shared" si="122"/>
        <v/>
      </c>
      <c r="U246" s="2" t="str">
        <f t="shared" si="123"/>
        <v/>
      </c>
      <c r="V246" s="2" t="str">
        <f t="shared" si="124"/>
        <v/>
      </c>
      <c r="W246" s="2" t="str">
        <f t="shared" si="108"/>
        <v/>
      </c>
      <c r="X246" s="2" t="str">
        <f t="shared" si="109"/>
        <v/>
      </c>
      <c r="Y246" s="2" t="str">
        <f t="shared" si="110"/>
        <v/>
      </c>
      <c r="Z246" s="2" t="str">
        <f t="shared" si="125"/>
        <v/>
      </c>
      <c r="AA246" s="2" t="str">
        <f t="shared" si="126"/>
        <v/>
      </c>
      <c r="AB246" s="2" t="str">
        <f t="shared" si="127"/>
        <v/>
      </c>
      <c r="AC246" s="2" t="str">
        <f t="shared" si="111"/>
        <v/>
      </c>
      <c r="AD246" s="2" t="str">
        <f t="shared" si="112"/>
        <v/>
      </c>
      <c r="AE246" s="2" t="str">
        <f t="shared" si="113"/>
        <v/>
      </c>
      <c r="AF246" s="2" t="str">
        <f t="shared" si="114"/>
        <v/>
      </c>
    </row>
    <row r="247" spans="1:32" x14ac:dyDescent="0.2">
      <c r="A247" s="2" t="str">
        <f t="shared" si="115"/>
        <v/>
      </c>
      <c r="B247" s="2" t="str">
        <f t="shared" si="96"/>
        <v/>
      </c>
      <c r="C247" s="2" t="str">
        <f t="shared" si="97"/>
        <v/>
      </c>
      <c r="D247" s="2" t="str">
        <f t="shared" si="98"/>
        <v/>
      </c>
      <c r="E247" s="2" t="str">
        <f t="shared" si="99"/>
        <v/>
      </c>
      <c r="F247" s="2" t="str">
        <f t="shared" si="100"/>
        <v/>
      </c>
      <c r="G247" s="2" t="str">
        <f t="shared" si="101"/>
        <v/>
      </c>
      <c r="H247" s="2" t="str">
        <f t="shared" si="116"/>
        <v/>
      </c>
      <c r="I247" s="2" t="str">
        <f t="shared" si="117"/>
        <v/>
      </c>
      <c r="J247" s="2" t="str">
        <f t="shared" si="118"/>
        <v/>
      </c>
      <c r="K247" s="2" t="str">
        <f t="shared" si="102"/>
        <v/>
      </c>
      <c r="L247" s="2" t="str">
        <f t="shared" si="103"/>
        <v/>
      </c>
      <c r="M247" s="2" t="str">
        <f t="shared" si="104"/>
        <v/>
      </c>
      <c r="N247" s="2" t="str">
        <f t="shared" si="119"/>
        <v/>
      </c>
      <c r="O247" s="2" t="str">
        <f t="shared" si="120"/>
        <v/>
      </c>
      <c r="P247" s="2" t="str">
        <f t="shared" si="121"/>
        <v/>
      </c>
      <c r="Q247" s="2" t="str">
        <f t="shared" si="105"/>
        <v/>
      </c>
      <c r="R247" s="2" t="str">
        <f t="shared" si="106"/>
        <v/>
      </c>
      <c r="S247" s="2" t="str">
        <f t="shared" si="107"/>
        <v/>
      </c>
      <c r="T247" s="2" t="str">
        <f t="shared" si="122"/>
        <v/>
      </c>
      <c r="U247" s="2" t="str">
        <f t="shared" si="123"/>
        <v/>
      </c>
      <c r="V247" s="2" t="str">
        <f t="shared" si="124"/>
        <v/>
      </c>
      <c r="W247" s="2" t="str">
        <f t="shared" si="108"/>
        <v/>
      </c>
      <c r="X247" s="2" t="str">
        <f t="shared" si="109"/>
        <v/>
      </c>
      <c r="Y247" s="2" t="str">
        <f t="shared" si="110"/>
        <v/>
      </c>
      <c r="Z247" s="2" t="str">
        <f t="shared" si="125"/>
        <v/>
      </c>
      <c r="AA247" s="2" t="str">
        <f t="shared" si="126"/>
        <v/>
      </c>
      <c r="AB247" s="2" t="str">
        <f t="shared" si="127"/>
        <v/>
      </c>
      <c r="AC247" s="2" t="str">
        <f t="shared" si="111"/>
        <v/>
      </c>
      <c r="AD247" s="2" t="str">
        <f t="shared" si="112"/>
        <v/>
      </c>
      <c r="AE247" s="2" t="str">
        <f t="shared" si="113"/>
        <v/>
      </c>
      <c r="AF247" s="2" t="str">
        <f t="shared" si="114"/>
        <v/>
      </c>
    </row>
    <row r="248" spans="1:32" x14ac:dyDescent="0.2">
      <c r="A248" s="2" t="str">
        <f t="shared" si="115"/>
        <v/>
      </c>
      <c r="B248" s="2" t="str">
        <f t="shared" si="96"/>
        <v/>
      </c>
      <c r="C248" s="2" t="str">
        <f t="shared" si="97"/>
        <v/>
      </c>
      <c r="D248" s="2" t="str">
        <f t="shared" si="98"/>
        <v/>
      </c>
      <c r="E248" s="2" t="str">
        <f t="shared" si="99"/>
        <v/>
      </c>
      <c r="F248" s="2" t="str">
        <f t="shared" si="100"/>
        <v/>
      </c>
      <c r="G248" s="2" t="str">
        <f t="shared" si="101"/>
        <v/>
      </c>
      <c r="H248" s="2" t="str">
        <f t="shared" si="116"/>
        <v/>
      </c>
      <c r="I248" s="2" t="str">
        <f t="shared" si="117"/>
        <v/>
      </c>
      <c r="J248" s="2" t="str">
        <f t="shared" si="118"/>
        <v/>
      </c>
      <c r="K248" s="2" t="str">
        <f t="shared" si="102"/>
        <v/>
      </c>
      <c r="L248" s="2" t="str">
        <f t="shared" si="103"/>
        <v/>
      </c>
      <c r="M248" s="2" t="str">
        <f t="shared" si="104"/>
        <v/>
      </c>
      <c r="N248" s="2" t="str">
        <f t="shared" si="119"/>
        <v/>
      </c>
      <c r="O248" s="2" t="str">
        <f t="shared" si="120"/>
        <v/>
      </c>
      <c r="P248" s="2" t="str">
        <f t="shared" si="121"/>
        <v/>
      </c>
      <c r="Q248" s="2" t="str">
        <f t="shared" si="105"/>
        <v/>
      </c>
      <c r="R248" s="2" t="str">
        <f t="shared" si="106"/>
        <v/>
      </c>
      <c r="S248" s="2" t="str">
        <f t="shared" si="107"/>
        <v/>
      </c>
      <c r="T248" s="2" t="str">
        <f t="shared" si="122"/>
        <v/>
      </c>
      <c r="U248" s="2" t="str">
        <f t="shared" si="123"/>
        <v/>
      </c>
      <c r="V248" s="2" t="str">
        <f t="shared" si="124"/>
        <v/>
      </c>
      <c r="W248" s="2" t="str">
        <f t="shared" si="108"/>
        <v/>
      </c>
      <c r="X248" s="2" t="str">
        <f t="shared" si="109"/>
        <v/>
      </c>
      <c r="Y248" s="2" t="str">
        <f t="shared" si="110"/>
        <v/>
      </c>
      <c r="Z248" s="2" t="str">
        <f t="shared" si="125"/>
        <v/>
      </c>
      <c r="AA248" s="2" t="str">
        <f t="shared" si="126"/>
        <v/>
      </c>
      <c r="AB248" s="2" t="str">
        <f t="shared" si="127"/>
        <v/>
      </c>
      <c r="AC248" s="2" t="str">
        <f t="shared" si="111"/>
        <v/>
      </c>
      <c r="AD248" s="2" t="str">
        <f t="shared" si="112"/>
        <v/>
      </c>
      <c r="AE248" s="2" t="str">
        <f t="shared" si="113"/>
        <v/>
      </c>
      <c r="AF248" s="2" t="str">
        <f t="shared" si="114"/>
        <v/>
      </c>
    </row>
    <row r="249" spans="1:32" x14ac:dyDescent="0.2">
      <c r="A249" s="2" t="str">
        <f t="shared" si="115"/>
        <v/>
      </c>
      <c r="B249" s="2" t="str">
        <f t="shared" si="96"/>
        <v/>
      </c>
      <c r="C249" s="2" t="str">
        <f t="shared" si="97"/>
        <v/>
      </c>
      <c r="D249" s="2" t="str">
        <f t="shared" si="98"/>
        <v/>
      </c>
      <c r="E249" s="2" t="str">
        <f t="shared" si="99"/>
        <v/>
      </c>
      <c r="F249" s="2" t="str">
        <f t="shared" si="100"/>
        <v/>
      </c>
      <c r="G249" s="2" t="str">
        <f t="shared" si="101"/>
        <v/>
      </c>
      <c r="H249" s="2" t="str">
        <f t="shared" si="116"/>
        <v/>
      </c>
      <c r="I249" s="2" t="str">
        <f t="shared" si="117"/>
        <v/>
      </c>
      <c r="J249" s="2" t="str">
        <f t="shared" si="118"/>
        <v/>
      </c>
      <c r="K249" s="2" t="str">
        <f t="shared" si="102"/>
        <v/>
      </c>
      <c r="L249" s="2" t="str">
        <f t="shared" si="103"/>
        <v/>
      </c>
      <c r="M249" s="2" t="str">
        <f t="shared" si="104"/>
        <v/>
      </c>
      <c r="N249" s="2" t="str">
        <f t="shared" si="119"/>
        <v/>
      </c>
      <c r="O249" s="2" t="str">
        <f t="shared" si="120"/>
        <v/>
      </c>
      <c r="P249" s="2" t="str">
        <f t="shared" si="121"/>
        <v/>
      </c>
      <c r="Q249" s="2" t="str">
        <f t="shared" si="105"/>
        <v/>
      </c>
      <c r="R249" s="2" t="str">
        <f t="shared" si="106"/>
        <v/>
      </c>
      <c r="S249" s="2" t="str">
        <f t="shared" si="107"/>
        <v/>
      </c>
      <c r="T249" s="2" t="str">
        <f t="shared" si="122"/>
        <v/>
      </c>
      <c r="U249" s="2" t="str">
        <f t="shared" si="123"/>
        <v/>
      </c>
      <c r="V249" s="2" t="str">
        <f t="shared" si="124"/>
        <v/>
      </c>
      <c r="W249" s="2" t="str">
        <f t="shared" si="108"/>
        <v/>
      </c>
      <c r="X249" s="2" t="str">
        <f t="shared" si="109"/>
        <v/>
      </c>
      <c r="Y249" s="2" t="str">
        <f t="shared" si="110"/>
        <v/>
      </c>
      <c r="Z249" s="2" t="str">
        <f t="shared" si="125"/>
        <v/>
      </c>
      <c r="AA249" s="2" t="str">
        <f t="shared" si="126"/>
        <v/>
      </c>
      <c r="AB249" s="2" t="str">
        <f t="shared" si="127"/>
        <v/>
      </c>
      <c r="AC249" s="2" t="str">
        <f t="shared" si="111"/>
        <v/>
      </c>
      <c r="AD249" s="2" t="str">
        <f t="shared" si="112"/>
        <v/>
      </c>
      <c r="AE249" s="2" t="str">
        <f t="shared" si="113"/>
        <v/>
      </c>
      <c r="AF249" s="2" t="str">
        <f t="shared" si="114"/>
        <v/>
      </c>
    </row>
    <row r="250" spans="1:32" x14ac:dyDescent="0.2">
      <c r="A250" s="2" t="str">
        <f t="shared" si="115"/>
        <v/>
      </c>
      <c r="B250" s="2" t="str">
        <f t="shared" si="96"/>
        <v/>
      </c>
      <c r="C250" s="2" t="str">
        <f t="shared" si="97"/>
        <v/>
      </c>
      <c r="D250" s="2" t="str">
        <f t="shared" si="98"/>
        <v/>
      </c>
      <c r="E250" s="2" t="str">
        <f t="shared" si="99"/>
        <v/>
      </c>
      <c r="F250" s="2" t="str">
        <f t="shared" si="100"/>
        <v/>
      </c>
      <c r="G250" s="2" t="str">
        <f t="shared" si="101"/>
        <v/>
      </c>
      <c r="H250" s="2" t="str">
        <f t="shared" si="116"/>
        <v/>
      </c>
      <c r="I250" s="2" t="str">
        <f t="shared" si="117"/>
        <v/>
      </c>
      <c r="J250" s="2" t="str">
        <f t="shared" si="118"/>
        <v/>
      </c>
      <c r="K250" s="2" t="str">
        <f t="shared" si="102"/>
        <v/>
      </c>
      <c r="L250" s="2" t="str">
        <f t="shared" si="103"/>
        <v/>
      </c>
      <c r="M250" s="2" t="str">
        <f t="shared" si="104"/>
        <v/>
      </c>
      <c r="N250" s="2" t="str">
        <f t="shared" si="119"/>
        <v/>
      </c>
      <c r="O250" s="2" t="str">
        <f t="shared" si="120"/>
        <v/>
      </c>
      <c r="P250" s="2" t="str">
        <f t="shared" si="121"/>
        <v/>
      </c>
      <c r="Q250" s="2" t="str">
        <f t="shared" si="105"/>
        <v/>
      </c>
      <c r="R250" s="2" t="str">
        <f t="shared" si="106"/>
        <v/>
      </c>
      <c r="S250" s="2" t="str">
        <f t="shared" si="107"/>
        <v/>
      </c>
      <c r="T250" s="2" t="str">
        <f t="shared" si="122"/>
        <v/>
      </c>
      <c r="U250" s="2" t="str">
        <f t="shared" si="123"/>
        <v/>
      </c>
      <c r="V250" s="2" t="str">
        <f t="shared" si="124"/>
        <v/>
      </c>
      <c r="W250" s="2" t="str">
        <f t="shared" si="108"/>
        <v/>
      </c>
      <c r="X250" s="2" t="str">
        <f t="shared" si="109"/>
        <v/>
      </c>
      <c r="Y250" s="2" t="str">
        <f t="shared" si="110"/>
        <v/>
      </c>
      <c r="Z250" s="2" t="str">
        <f t="shared" si="125"/>
        <v/>
      </c>
      <c r="AA250" s="2" t="str">
        <f t="shared" si="126"/>
        <v/>
      </c>
      <c r="AB250" s="2" t="str">
        <f t="shared" si="127"/>
        <v/>
      </c>
      <c r="AC250" s="2" t="str">
        <f t="shared" si="111"/>
        <v/>
      </c>
      <c r="AD250" s="2" t="str">
        <f t="shared" si="112"/>
        <v/>
      </c>
      <c r="AE250" s="2" t="str">
        <f t="shared" si="113"/>
        <v/>
      </c>
      <c r="AF250" s="2" t="str">
        <f t="shared" si="114"/>
        <v/>
      </c>
    </row>
    <row r="251" spans="1:32" x14ac:dyDescent="0.2">
      <c r="A251" s="2" t="str">
        <f t="shared" si="115"/>
        <v/>
      </c>
      <c r="B251" s="2" t="str">
        <f t="shared" si="96"/>
        <v/>
      </c>
      <c r="C251" s="2" t="str">
        <f t="shared" si="97"/>
        <v/>
      </c>
      <c r="D251" s="2" t="str">
        <f t="shared" si="98"/>
        <v/>
      </c>
      <c r="E251" s="2" t="str">
        <f t="shared" si="99"/>
        <v/>
      </c>
      <c r="F251" s="2" t="str">
        <f t="shared" si="100"/>
        <v/>
      </c>
      <c r="G251" s="2" t="str">
        <f t="shared" si="101"/>
        <v/>
      </c>
      <c r="H251" s="2" t="str">
        <f t="shared" si="116"/>
        <v/>
      </c>
      <c r="I251" s="2" t="str">
        <f t="shared" si="117"/>
        <v/>
      </c>
      <c r="J251" s="2" t="str">
        <f t="shared" si="118"/>
        <v/>
      </c>
      <c r="K251" s="2" t="str">
        <f t="shared" si="102"/>
        <v/>
      </c>
      <c r="L251" s="2" t="str">
        <f t="shared" si="103"/>
        <v/>
      </c>
      <c r="M251" s="2" t="str">
        <f t="shared" si="104"/>
        <v/>
      </c>
      <c r="N251" s="2" t="str">
        <f t="shared" si="119"/>
        <v/>
      </c>
      <c r="O251" s="2" t="str">
        <f t="shared" si="120"/>
        <v/>
      </c>
      <c r="P251" s="2" t="str">
        <f t="shared" si="121"/>
        <v/>
      </c>
      <c r="Q251" s="2" t="str">
        <f t="shared" si="105"/>
        <v/>
      </c>
      <c r="R251" s="2" t="str">
        <f t="shared" si="106"/>
        <v/>
      </c>
      <c r="S251" s="2" t="str">
        <f t="shared" si="107"/>
        <v/>
      </c>
      <c r="T251" s="2" t="str">
        <f t="shared" si="122"/>
        <v/>
      </c>
      <c r="U251" s="2" t="str">
        <f t="shared" si="123"/>
        <v/>
      </c>
      <c r="V251" s="2" t="str">
        <f t="shared" si="124"/>
        <v/>
      </c>
      <c r="W251" s="2" t="str">
        <f t="shared" si="108"/>
        <v/>
      </c>
      <c r="X251" s="2" t="str">
        <f t="shared" si="109"/>
        <v/>
      </c>
      <c r="Y251" s="2" t="str">
        <f t="shared" si="110"/>
        <v/>
      </c>
      <c r="Z251" s="2" t="str">
        <f t="shared" si="125"/>
        <v/>
      </c>
      <c r="AA251" s="2" t="str">
        <f t="shared" si="126"/>
        <v/>
      </c>
      <c r="AB251" s="2" t="str">
        <f t="shared" si="127"/>
        <v/>
      </c>
      <c r="AC251" s="2" t="str">
        <f t="shared" si="111"/>
        <v/>
      </c>
      <c r="AD251" s="2" t="str">
        <f t="shared" si="112"/>
        <v/>
      </c>
      <c r="AE251" s="2" t="str">
        <f t="shared" si="113"/>
        <v/>
      </c>
      <c r="AF251" s="2" t="str">
        <f t="shared" si="114"/>
        <v/>
      </c>
    </row>
    <row r="252" spans="1:32" x14ac:dyDescent="0.2">
      <c r="A252" s="2" t="str">
        <f t="shared" si="115"/>
        <v/>
      </c>
      <c r="B252" s="2" t="str">
        <f t="shared" si="96"/>
        <v/>
      </c>
      <c r="C252" s="2" t="str">
        <f t="shared" si="97"/>
        <v/>
      </c>
      <c r="D252" s="2" t="str">
        <f t="shared" si="98"/>
        <v/>
      </c>
      <c r="E252" s="2" t="str">
        <f t="shared" si="99"/>
        <v/>
      </c>
      <c r="F252" s="2" t="str">
        <f t="shared" si="100"/>
        <v/>
      </c>
      <c r="G252" s="2" t="str">
        <f t="shared" si="101"/>
        <v/>
      </c>
      <c r="H252" s="2" t="str">
        <f t="shared" si="116"/>
        <v/>
      </c>
      <c r="I252" s="2" t="str">
        <f t="shared" si="117"/>
        <v/>
      </c>
      <c r="J252" s="2" t="str">
        <f t="shared" si="118"/>
        <v/>
      </c>
      <c r="K252" s="2" t="str">
        <f t="shared" si="102"/>
        <v/>
      </c>
      <c r="L252" s="2" t="str">
        <f t="shared" si="103"/>
        <v/>
      </c>
      <c r="M252" s="2" t="str">
        <f t="shared" si="104"/>
        <v/>
      </c>
      <c r="N252" s="2" t="str">
        <f t="shared" si="119"/>
        <v/>
      </c>
      <c r="O252" s="2" t="str">
        <f t="shared" si="120"/>
        <v/>
      </c>
      <c r="P252" s="2" t="str">
        <f t="shared" si="121"/>
        <v/>
      </c>
      <c r="Q252" s="2" t="str">
        <f t="shared" si="105"/>
        <v/>
      </c>
      <c r="R252" s="2" t="str">
        <f t="shared" si="106"/>
        <v/>
      </c>
      <c r="S252" s="2" t="str">
        <f t="shared" si="107"/>
        <v/>
      </c>
      <c r="T252" s="2" t="str">
        <f t="shared" si="122"/>
        <v/>
      </c>
      <c r="U252" s="2" t="str">
        <f t="shared" si="123"/>
        <v/>
      </c>
      <c r="V252" s="2" t="str">
        <f t="shared" si="124"/>
        <v/>
      </c>
      <c r="W252" s="2" t="str">
        <f t="shared" si="108"/>
        <v/>
      </c>
      <c r="X252" s="2" t="str">
        <f t="shared" si="109"/>
        <v/>
      </c>
      <c r="Y252" s="2" t="str">
        <f t="shared" si="110"/>
        <v/>
      </c>
      <c r="Z252" s="2" t="str">
        <f t="shared" si="125"/>
        <v/>
      </c>
      <c r="AA252" s="2" t="str">
        <f t="shared" si="126"/>
        <v/>
      </c>
      <c r="AB252" s="2" t="str">
        <f t="shared" si="127"/>
        <v/>
      </c>
      <c r="AC252" s="2" t="str">
        <f t="shared" si="111"/>
        <v/>
      </c>
      <c r="AD252" s="2" t="str">
        <f t="shared" si="112"/>
        <v/>
      </c>
      <c r="AE252" s="2" t="str">
        <f t="shared" si="113"/>
        <v/>
      </c>
      <c r="AF252" s="2" t="str">
        <f t="shared" si="114"/>
        <v/>
      </c>
    </row>
    <row r="253" spans="1:32" x14ac:dyDescent="0.2">
      <c r="A253" s="2" t="str">
        <f t="shared" si="115"/>
        <v/>
      </c>
      <c r="B253" s="2" t="str">
        <f t="shared" si="96"/>
        <v/>
      </c>
      <c r="C253" s="2" t="str">
        <f t="shared" si="97"/>
        <v/>
      </c>
      <c r="D253" s="2" t="str">
        <f t="shared" si="98"/>
        <v/>
      </c>
      <c r="E253" s="2" t="str">
        <f t="shared" si="99"/>
        <v/>
      </c>
      <c r="F253" s="2" t="str">
        <f t="shared" si="100"/>
        <v/>
      </c>
      <c r="G253" s="2" t="str">
        <f t="shared" si="101"/>
        <v/>
      </c>
      <c r="H253" s="2" t="str">
        <f t="shared" si="116"/>
        <v/>
      </c>
      <c r="I253" s="2" t="str">
        <f t="shared" si="117"/>
        <v/>
      </c>
      <c r="J253" s="2" t="str">
        <f t="shared" si="118"/>
        <v/>
      </c>
      <c r="K253" s="2" t="str">
        <f t="shared" si="102"/>
        <v/>
      </c>
      <c r="L253" s="2" t="str">
        <f t="shared" si="103"/>
        <v/>
      </c>
      <c r="M253" s="2" t="str">
        <f t="shared" si="104"/>
        <v/>
      </c>
      <c r="N253" s="2" t="str">
        <f t="shared" si="119"/>
        <v/>
      </c>
      <c r="O253" s="2" t="str">
        <f t="shared" si="120"/>
        <v/>
      </c>
      <c r="P253" s="2" t="str">
        <f t="shared" si="121"/>
        <v/>
      </c>
      <c r="Q253" s="2" t="str">
        <f t="shared" si="105"/>
        <v/>
      </c>
      <c r="R253" s="2" t="str">
        <f t="shared" si="106"/>
        <v/>
      </c>
      <c r="S253" s="2" t="str">
        <f t="shared" si="107"/>
        <v/>
      </c>
      <c r="T253" s="2" t="str">
        <f t="shared" si="122"/>
        <v/>
      </c>
      <c r="U253" s="2" t="str">
        <f t="shared" si="123"/>
        <v/>
      </c>
      <c r="V253" s="2" t="str">
        <f t="shared" si="124"/>
        <v/>
      </c>
      <c r="W253" s="2" t="str">
        <f t="shared" si="108"/>
        <v/>
      </c>
      <c r="X253" s="2" t="str">
        <f t="shared" si="109"/>
        <v/>
      </c>
      <c r="Y253" s="2" t="str">
        <f t="shared" si="110"/>
        <v/>
      </c>
      <c r="Z253" s="2" t="str">
        <f t="shared" si="125"/>
        <v/>
      </c>
      <c r="AA253" s="2" t="str">
        <f t="shared" si="126"/>
        <v/>
      </c>
      <c r="AB253" s="2" t="str">
        <f t="shared" si="127"/>
        <v/>
      </c>
      <c r="AC253" s="2" t="str">
        <f t="shared" si="111"/>
        <v/>
      </c>
      <c r="AD253" s="2" t="str">
        <f t="shared" si="112"/>
        <v/>
      </c>
      <c r="AE253" s="2" t="str">
        <f t="shared" si="113"/>
        <v/>
      </c>
      <c r="AF253" s="2" t="str">
        <f t="shared" si="114"/>
        <v/>
      </c>
    </row>
    <row r="254" spans="1:32" x14ac:dyDescent="0.2">
      <c r="A254" s="2" t="str">
        <f t="shared" si="115"/>
        <v/>
      </c>
      <c r="B254" s="2" t="str">
        <f t="shared" si="96"/>
        <v/>
      </c>
      <c r="C254" s="2" t="str">
        <f t="shared" si="97"/>
        <v/>
      </c>
      <c r="D254" s="2" t="str">
        <f t="shared" si="98"/>
        <v/>
      </c>
      <c r="E254" s="2" t="str">
        <f t="shared" si="99"/>
        <v/>
      </c>
      <c r="F254" s="2" t="str">
        <f t="shared" si="100"/>
        <v/>
      </c>
      <c r="G254" s="2" t="str">
        <f t="shared" si="101"/>
        <v/>
      </c>
      <c r="H254" s="2" t="str">
        <f t="shared" si="116"/>
        <v/>
      </c>
      <c r="I254" s="2" t="str">
        <f t="shared" si="117"/>
        <v/>
      </c>
      <c r="J254" s="2" t="str">
        <f t="shared" si="118"/>
        <v/>
      </c>
      <c r="K254" s="2" t="str">
        <f t="shared" si="102"/>
        <v/>
      </c>
      <c r="L254" s="2" t="str">
        <f t="shared" si="103"/>
        <v/>
      </c>
      <c r="M254" s="2" t="str">
        <f t="shared" si="104"/>
        <v/>
      </c>
      <c r="N254" s="2" t="str">
        <f t="shared" si="119"/>
        <v/>
      </c>
      <c r="O254" s="2" t="str">
        <f t="shared" si="120"/>
        <v/>
      </c>
      <c r="P254" s="2" t="str">
        <f t="shared" si="121"/>
        <v/>
      </c>
      <c r="Q254" s="2" t="str">
        <f t="shared" si="105"/>
        <v/>
      </c>
      <c r="R254" s="2" t="str">
        <f t="shared" si="106"/>
        <v/>
      </c>
      <c r="S254" s="2" t="str">
        <f t="shared" si="107"/>
        <v/>
      </c>
      <c r="T254" s="2" t="str">
        <f t="shared" si="122"/>
        <v/>
      </c>
      <c r="U254" s="2" t="str">
        <f t="shared" si="123"/>
        <v/>
      </c>
      <c r="V254" s="2" t="str">
        <f t="shared" si="124"/>
        <v/>
      </c>
      <c r="W254" s="2" t="str">
        <f t="shared" si="108"/>
        <v/>
      </c>
      <c r="X254" s="2" t="str">
        <f t="shared" si="109"/>
        <v/>
      </c>
      <c r="Y254" s="2" t="str">
        <f t="shared" si="110"/>
        <v/>
      </c>
      <c r="Z254" s="2" t="str">
        <f t="shared" si="125"/>
        <v/>
      </c>
      <c r="AA254" s="2" t="str">
        <f t="shared" si="126"/>
        <v/>
      </c>
      <c r="AB254" s="2" t="str">
        <f t="shared" si="127"/>
        <v/>
      </c>
      <c r="AC254" s="2" t="str">
        <f t="shared" si="111"/>
        <v/>
      </c>
      <c r="AD254" s="2" t="str">
        <f t="shared" si="112"/>
        <v/>
      </c>
      <c r="AE254" s="2" t="str">
        <f t="shared" si="113"/>
        <v/>
      </c>
      <c r="AF254" s="2" t="str">
        <f t="shared" si="114"/>
        <v/>
      </c>
    </row>
    <row r="255" spans="1:32" x14ac:dyDescent="0.2">
      <c r="A255" s="2" t="str">
        <f t="shared" si="115"/>
        <v/>
      </c>
      <c r="B255" s="2" t="str">
        <f t="shared" si="96"/>
        <v/>
      </c>
      <c r="C255" s="2" t="str">
        <f t="shared" si="97"/>
        <v/>
      </c>
      <c r="D255" s="2" t="str">
        <f t="shared" si="98"/>
        <v/>
      </c>
      <c r="E255" s="2" t="str">
        <f t="shared" si="99"/>
        <v/>
      </c>
      <c r="F255" s="2" t="str">
        <f t="shared" si="100"/>
        <v/>
      </c>
      <c r="G255" s="2" t="str">
        <f t="shared" si="101"/>
        <v/>
      </c>
      <c r="H255" s="2" t="str">
        <f t="shared" si="116"/>
        <v/>
      </c>
      <c r="I255" s="2" t="str">
        <f t="shared" si="117"/>
        <v/>
      </c>
      <c r="J255" s="2" t="str">
        <f t="shared" si="118"/>
        <v/>
      </c>
      <c r="K255" s="2" t="str">
        <f t="shared" si="102"/>
        <v/>
      </c>
      <c r="L255" s="2" t="str">
        <f t="shared" si="103"/>
        <v/>
      </c>
      <c r="M255" s="2" t="str">
        <f t="shared" si="104"/>
        <v/>
      </c>
      <c r="N255" s="2" t="str">
        <f t="shared" si="119"/>
        <v/>
      </c>
      <c r="O255" s="2" t="str">
        <f t="shared" si="120"/>
        <v/>
      </c>
      <c r="P255" s="2" t="str">
        <f t="shared" si="121"/>
        <v/>
      </c>
      <c r="Q255" s="2" t="str">
        <f t="shared" si="105"/>
        <v/>
      </c>
      <c r="R255" s="2" t="str">
        <f t="shared" si="106"/>
        <v/>
      </c>
      <c r="S255" s="2" t="str">
        <f t="shared" si="107"/>
        <v/>
      </c>
      <c r="T255" s="2" t="str">
        <f t="shared" si="122"/>
        <v/>
      </c>
      <c r="U255" s="2" t="str">
        <f t="shared" si="123"/>
        <v/>
      </c>
      <c r="V255" s="2" t="str">
        <f t="shared" si="124"/>
        <v/>
      </c>
      <c r="W255" s="2" t="str">
        <f t="shared" si="108"/>
        <v/>
      </c>
      <c r="X255" s="2" t="str">
        <f t="shared" si="109"/>
        <v/>
      </c>
      <c r="Y255" s="2" t="str">
        <f t="shared" si="110"/>
        <v/>
      </c>
      <c r="Z255" s="2" t="str">
        <f t="shared" si="125"/>
        <v/>
      </c>
      <c r="AA255" s="2" t="str">
        <f t="shared" si="126"/>
        <v/>
      </c>
      <c r="AB255" s="2" t="str">
        <f t="shared" si="127"/>
        <v/>
      </c>
      <c r="AC255" s="2" t="str">
        <f t="shared" si="111"/>
        <v/>
      </c>
      <c r="AD255" s="2" t="str">
        <f t="shared" si="112"/>
        <v/>
      </c>
      <c r="AE255" s="2" t="str">
        <f t="shared" si="113"/>
        <v/>
      </c>
      <c r="AF255" s="2" t="str">
        <f t="shared" si="114"/>
        <v/>
      </c>
    </row>
    <row r="256" spans="1:32" x14ac:dyDescent="0.2">
      <c r="A256" s="2" t="str">
        <f t="shared" si="115"/>
        <v/>
      </c>
      <c r="B256" s="2" t="str">
        <f t="shared" si="96"/>
        <v/>
      </c>
      <c r="C256" s="2" t="str">
        <f t="shared" si="97"/>
        <v/>
      </c>
      <c r="D256" s="2" t="str">
        <f t="shared" si="98"/>
        <v/>
      </c>
      <c r="E256" s="2" t="str">
        <f t="shared" si="99"/>
        <v/>
      </c>
      <c r="F256" s="2" t="str">
        <f t="shared" si="100"/>
        <v/>
      </c>
      <c r="G256" s="2" t="str">
        <f t="shared" si="101"/>
        <v/>
      </c>
      <c r="H256" s="2" t="str">
        <f t="shared" si="116"/>
        <v/>
      </c>
      <c r="I256" s="2" t="str">
        <f t="shared" si="117"/>
        <v/>
      </c>
      <c r="J256" s="2" t="str">
        <f t="shared" si="118"/>
        <v/>
      </c>
      <c r="K256" s="2" t="str">
        <f t="shared" si="102"/>
        <v/>
      </c>
      <c r="L256" s="2" t="str">
        <f t="shared" si="103"/>
        <v/>
      </c>
      <c r="M256" s="2" t="str">
        <f t="shared" si="104"/>
        <v/>
      </c>
      <c r="N256" s="2" t="str">
        <f t="shared" si="119"/>
        <v/>
      </c>
      <c r="O256" s="2" t="str">
        <f t="shared" si="120"/>
        <v/>
      </c>
      <c r="P256" s="2" t="str">
        <f t="shared" si="121"/>
        <v/>
      </c>
      <c r="Q256" s="2" t="str">
        <f t="shared" si="105"/>
        <v/>
      </c>
      <c r="R256" s="2" t="str">
        <f t="shared" si="106"/>
        <v/>
      </c>
      <c r="S256" s="2" t="str">
        <f t="shared" si="107"/>
        <v/>
      </c>
      <c r="T256" s="2" t="str">
        <f t="shared" si="122"/>
        <v/>
      </c>
      <c r="U256" s="2" t="str">
        <f t="shared" si="123"/>
        <v/>
      </c>
      <c r="V256" s="2" t="str">
        <f t="shared" si="124"/>
        <v/>
      </c>
      <c r="W256" s="2" t="str">
        <f t="shared" si="108"/>
        <v/>
      </c>
      <c r="X256" s="2" t="str">
        <f t="shared" si="109"/>
        <v/>
      </c>
      <c r="Y256" s="2" t="str">
        <f t="shared" si="110"/>
        <v/>
      </c>
      <c r="Z256" s="2" t="str">
        <f t="shared" si="125"/>
        <v/>
      </c>
      <c r="AA256" s="2" t="str">
        <f t="shared" si="126"/>
        <v/>
      </c>
      <c r="AB256" s="2" t="str">
        <f t="shared" si="127"/>
        <v/>
      </c>
      <c r="AC256" s="2" t="str">
        <f t="shared" si="111"/>
        <v/>
      </c>
      <c r="AD256" s="2" t="str">
        <f t="shared" si="112"/>
        <v/>
      </c>
      <c r="AE256" s="2" t="str">
        <f t="shared" si="113"/>
        <v/>
      </c>
      <c r="AF256" s="2" t="str">
        <f t="shared" si="114"/>
        <v/>
      </c>
    </row>
    <row r="257" spans="1:32" x14ac:dyDescent="0.2">
      <c r="A257" s="2" t="str">
        <f t="shared" si="115"/>
        <v/>
      </c>
      <c r="B257" s="2" t="str">
        <f t="shared" si="96"/>
        <v/>
      </c>
      <c r="C257" s="2" t="str">
        <f t="shared" si="97"/>
        <v/>
      </c>
      <c r="D257" s="2" t="str">
        <f t="shared" si="98"/>
        <v/>
      </c>
      <c r="E257" s="2" t="str">
        <f t="shared" si="99"/>
        <v/>
      </c>
      <c r="F257" s="2" t="str">
        <f t="shared" si="100"/>
        <v/>
      </c>
      <c r="G257" s="2" t="str">
        <f t="shared" si="101"/>
        <v/>
      </c>
      <c r="H257" s="2" t="str">
        <f t="shared" si="116"/>
        <v/>
      </c>
      <c r="I257" s="2" t="str">
        <f t="shared" si="117"/>
        <v/>
      </c>
      <c r="J257" s="2" t="str">
        <f t="shared" si="118"/>
        <v/>
      </c>
      <c r="K257" s="2" t="str">
        <f t="shared" si="102"/>
        <v/>
      </c>
      <c r="L257" s="2" t="str">
        <f t="shared" si="103"/>
        <v/>
      </c>
      <c r="M257" s="2" t="str">
        <f t="shared" si="104"/>
        <v/>
      </c>
      <c r="N257" s="2" t="str">
        <f t="shared" si="119"/>
        <v/>
      </c>
      <c r="O257" s="2" t="str">
        <f t="shared" si="120"/>
        <v/>
      </c>
      <c r="P257" s="2" t="str">
        <f t="shared" si="121"/>
        <v/>
      </c>
      <c r="Q257" s="2" t="str">
        <f t="shared" si="105"/>
        <v/>
      </c>
      <c r="R257" s="2" t="str">
        <f t="shared" si="106"/>
        <v/>
      </c>
      <c r="S257" s="2" t="str">
        <f t="shared" si="107"/>
        <v/>
      </c>
      <c r="T257" s="2" t="str">
        <f t="shared" si="122"/>
        <v/>
      </c>
      <c r="U257" s="2" t="str">
        <f t="shared" si="123"/>
        <v/>
      </c>
      <c r="V257" s="2" t="str">
        <f t="shared" si="124"/>
        <v/>
      </c>
      <c r="W257" s="2" t="str">
        <f t="shared" si="108"/>
        <v/>
      </c>
      <c r="X257" s="2" t="str">
        <f t="shared" si="109"/>
        <v/>
      </c>
      <c r="Y257" s="2" t="str">
        <f t="shared" si="110"/>
        <v/>
      </c>
      <c r="Z257" s="2" t="str">
        <f t="shared" si="125"/>
        <v/>
      </c>
      <c r="AA257" s="2" t="str">
        <f t="shared" si="126"/>
        <v/>
      </c>
      <c r="AB257" s="2" t="str">
        <f t="shared" si="127"/>
        <v/>
      </c>
      <c r="AC257" s="2" t="str">
        <f t="shared" si="111"/>
        <v/>
      </c>
      <c r="AD257" s="2" t="str">
        <f t="shared" si="112"/>
        <v/>
      </c>
      <c r="AE257" s="2" t="str">
        <f t="shared" si="113"/>
        <v/>
      </c>
      <c r="AF257" s="2" t="str">
        <f t="shared" si="114"/>
        <v/>
      </c>
    </row>
    <row r="258" spans="1:32" x14ac:dyDescent="0.2">
      <c r="A258" s="2" t="str">
        <f t="shared" si="115"/>
        <v/>
      </c>
      <c r="B258" s="2" t="str">
        <f t="shared" si="96"/>
        <v/>
      </c>
      <c r="C258" s="2" t="str">
        <f t="shared" si="97"/>
        <v/>
      </c>
      <c r="D258" s="2" t="str">
        <f t="shared" si="98"/>
        <v/>
      </c>
      <c r="E258" s="2" t="str">
        <f t="shared" si="99"/>
        <v/>
      </c>
      <c r="F258" s="2" t="str">
        <f t="shared" si="100"/>
        <v/>
      </c>
      <c r="G258" s="2" t="str">
        <f t="shared" si="101"/>
        <v/>
      </c>
      <c r="H258" s="2" t="str">
        <f t="shared" si="116"/>
        <v/>
      </c>
      <c r="I258" s="2" t="str">
        <f t="shared" si="117"/>
        <v/>
      </c>
      <c r="J258" s="2" t="str">
        <f t="shared" si="118"/>
        <v/>
      </c>
      <c r="K258" s="2" t="str">
        <f t="shared" si="102"/>
        <v/>
      </c>
      <c r="L258" s="2" t="str">
        <f t="shared" si="103"/>
        <v/>
      </c>
      <c r="M258" s="2" t="str">
        <f t="shared" si="104"/>
        <v/>
      </c>
      <c r="N258" s="2" t="str">
        <f t="shared" si="119"/>
        <v/>
      </c>
      <c r="O258" s="2" t="str">
        <f t="shared" si="120"/>
        <v/>
      </c>
      <c r="P258" s="2" t="str">
        <f t="shared" si="121"/>
        <v/>
      </c>
      <c r="Q258" s="2" t="str">
        <f t="shared" si="105"/>
        <v/>
      </c>
      <c r="R258" s="2" t="str">
        <f t="shared" si="106"/>
        <v/>
      </c>
      <c r="S258" s="2" t="str">
        <f t="shared" si="107"/>
        <v/>
      </c>
      <c r="T258" s="2" t="str">
        <f t="shared" si="122"/>
        <v/>
      </c>
      <c r="U258" s="2" t="str">
        <f t="shared" si="123"/>
        <v/>
      </c>
      <c r="V258" s="2" t="str">
        <f t="shared" si="124"/>
        <v/>
      </c>
      <c r="W258" s="2" t="str">
        <f t="shared" si="108"/>
        <v/>
      </c>
      <c r="X258" s="2" t="str">
        <f t="shared" si="109"/>
        <v/>
      </c>
      <c r="Y258" s="2" t="str">
        <f t="shared" si="110"/>
        <v/>
      </c>
      <c r="Z258" s="2" t="str">
        <f t="shared" si="125"/>
        <v/>
      </c>
      <c r="AA258" s="2" t="str">
        <f t="shared" si="126"/>
        <v/>
      </c>
      <c r="AB258" s="2" t="str">
        <f t="shared" si="127"/>
        <v/>
      </c>
      <c r="AC258" s="2" t="str">
        <f t="shared" si="111"/>
        <v/>
      </c>
      <c r="AD258" s="2" t="str">
        <f t="shared" si="112"/>
        <v/>
      </c>
      <c r="AE258" s="2" t="str">
        <f t="shared" si="113"/>
        <v/>
      </c>
      <c r="AF258" s="2" t="str">
        <f t="shared" si="114"/>
        <v/>
      </c>
    </row>
    <row r="259" spans="1:32" x14ac:dyDescent="0.2">
      <c r="A259" s="2" t="str">
        <f t="shared" si="115"/>
        <v/>
      </c>
      <c r="B259" s="2" t="str">
        <f t="shared" si="96"/>
        <v/>
      </c>
      <c r="C259" s="2" t="str">
        <f t="shared" si="97"/>
        <v/>
      </c>
      <c r="D259" s="2" t="str">
        <f t="shared" si="98"/>
        <v/>
      </c>
      <c r="E259" s="2" t="str">
        <f t="shared" si="99"/>
        <v/>
      </c>
      <c r="F259" s="2" t="str">
        <f t="shared" si="100"/>
        <v/>
      </c>
      <c r="G259" s="2" t="str">
        <f t="shared" si="101"/>
        <v/>
      </c>
      <c r="H259" s="2" t="str">
        <f t="shared" si="116"/>
        <v/>
      </c>
      <c r="I259" s="2" t="str">
        <f t="shared" si="117"/>
        <v/>
      </c>
      <c r="J259" s="2" t="str">
        <f t="shared" si="118"/>
        <v/>
      </c>
      <c r="K259" s="2" t="str">
        <f t="shared" si="102"/>
        <v/>
      </c>
      <c r="L259" s="2" t="str">
        <f t="shared" si="103"/>
        <v/>
      </c>
      <c r="M259" s="2" t="str">
        <f t="shared" si="104"/>
        <v/>
      </c>
      <c r="N259" s="2" t="str">
        <f t="shared" si="119"/>
        <v/>
      </c>
      <c r="O259" s="2" t="str">
        <f t="shared" si="120"/>
        <v/>
      </c>
      <c r="P259" s="2" t="str">
        <f t="shared" si="121"/>
        <v/>
      </c>
      <c r="Q259" s="2" t="str">
        <f t="shared" si="105"/>
        <v/>
      </c>
      <c r="R259" s="2" t="str">
        <f t="shared" si="106"/>
        <v/>
      </c>
      <c r="S259" s="2" t="str">
        <f t="shared" si="107"/>
        <v/>
      </c>
      <c r="T259" s="2" t="str">
        <f t="shared" si="122"/>
        <v/>
      </c>
      <c r="U259" s="2" t="str">
        <f t="shared" si="123"/>
        <v/>
      </c>
      <c r="V259" s="2" t="str">
        <f t="shared" si="124"/>
        <v/>
      </c>
      <c r="W259" s="2" t="str">
        <f t="shared" si="108"/>
        <v/>
      </c>
      <c r="X259" s="2" t="str">
        <f t="shared" si="109"/>
        <v/>
      </c>
      <c r="Y259" s="2" t="str">
        <f t="shared" si="110"/>
        <v/>
      </c>
      <c r="Z259" s="2" t="str">
        <f t="shared" si="125"/>
        <v/>
      </c>
      <c r="AA259" s="2" t="str">
        <f t="shared" si="126"/>
        <v/>
      </c>
      <c r="AB259" s="2" t="str">
        <f t="shared" si="127"/>
        <v/>
      </c>
      <c r="AC259" s="2" t="str">
        <f t="shared" si="111"/>
        <v/>
      </c>
      <c r="AD259" s="2" t="str">
        <f t="shared" si="112"/>
        <v/>
      </c>
      <c r="AE259" s="2" t="str">
        <f t="shared" si="113"/>
        <v/>
      </c>
      <c r="AF259" s="2" t="str">
        <f t="shared" si="114"/>
        <v/>
      </c>
    </row>
    <row r="260" spans="1:32" x14ac:dyDescent="0.2">
      <c r="A260" s="2" t="str">
        <f t="shared" si="115"/>
        <v/>
      </c>
      <c r="B260" s="2" t="str">
        <f t="shared" ref="B260:B323" si="128">IF(AI260="","",AI260)</f>
        <v/>
      </c>
      <c r="C260" s="2" t="str">
        <f t="shared" ref="C260:C323" si="129">IF(AJ260="","",AJ260)</f>
        <v/>
      </c>
      <c r="D260" s="2" t="str">
        <f t="shared" ref="D260:D323" si="130">IF(AK260="","",AK260)</f>
        <v/>
      </c>
      <c r="E260" s="2" t="str">
        <f t="shared" ref="E260:E323" si="131">IF(AL260="","",AL260)</f>
        <v/>
      </c>
      <c r="F260" s="2" t="str">
        <f t="shared" ref="F260:F323" si="132">IF(AM260="","",AM260)</f>
        <v/>
      </c>
      <c r="G260" s="2" t="str">
        <f t="shared" ref="G260:G323" si="133">IF(AN260="","",AN260)</f>
        <v/>
      </c>
      <c r="H260" s="2" t="str">
        <f t="shared" si="116"/>
        <v/>
      </c>
      <c r="I260" s="2" t="str">
        <f t="shared" si="117"/>
        <v/>
      </c>
      <c r="J260" s="2" t="str">
        <f t="shared" si="118"/>
        <v/>
      </c>
      <c r="K260" s="2" t="str">
        <f t="shared" ref="K260:K323" si="134">IF(AR260="","",AR260)</f>
        <v/>
      </c>
      <c r="L260" s="2" t="str">
        <f t="shared" ref="L260:L323" si="135">IF(AS260="","",AS260)</f>
        <v/>
      </c>
      <c r="M260" s="2" t="str">
        <f t="shared" ref="M260:M323" si="136">IF(AT260="","",AT260)</f>
        <v/>
      </c>
      <c r="N260" s="2" t="str">
        <f t="shared" si="119"/>
        <v/>
      </c>
      <c r="O260" s="2" t="str">
        <f t="shared" si="120"/>
        <v/>
      </c>
      <c r="P260" s="2" t="str">
        <f t="shared" si="121"/>
        <v/>
      </c>
      <c r="Q260" s="2" t="str">
        <f t="shared" ref="Q260:Q323" si="137">IF(AX260="","",AX260)</f>
        <v/>
      </c>
      <c r="R260" s="2" t="str">
        <f t="shared" ref="R260:R323" si="138">IF(AY260="","",AY260)</f>
        <v/>
      </c>
      <c r="S260" s="2" t="str">
        <f t="shared" ref="S260:S323" si="139">IF(AZ260="","",AZ260)</f>
        <v/>
      </c>
      <c r="T260" s="2" t="str">
        <f t="shared" si="122"/>
        <v/>
      </c>
      <c r="U260" s="2" t="str">
        <f t="shared" si="123"/>
        <v/>
      </c>
      <c r="V260" s="2" t="str">
        <f t="shared" si="124"/>
        <v/>
      </c>
      <c r="W260" s="2" t="str">
        <f t="shared" ref="W260:W323" si="140">IF(BD260="","",BD260)</f>
        <v/>
      </c>
      <c r="X260" s="2" t="str">
        <f t="shared" ref="X260:X323" si="141">IF(BE260="","",BE260)</f>
        <v/>
      </c>
      <c r="Y260" s="2" t="str">
        <f t="shared" ref="Y260:Y323" si="142">IF(BF260="","",BF260)</f>
        <v/>
      </c>
      <c r="Z260" s="2" t="str">
        <f t="shared" si="125"/>
        <v/>
      </c>
      <c r="AA260" s="2" t="str">
        <f t="shared" si="126"/>
        <v/>
      </c>
      <c r="AB260" s="2" t="str">
        <f t="shared" si="127"/>
        <v/>
      </c>
      <c r="AC260" s="2" t="str">
        <f t="shared" ref="AC260:AC323" si="143">IF(BJ260="","",BJ260)</f>
        <v/>
      </c>
      <c r="AD260" s="2" t="str">
        <f t="shared" ref="AD260:AD323" si="144">IF(BK260="","",BK260)</f>
        <v/>
      </c>
      <c r="AE260" s="2" t="str">
        <f t="shared" ref="AE260:AE323" si="145">IF(BL260="","",BL260)</f>
        <v/>
      </c>
      <c r="AF260" s="2" t="str">
        <f t="shared" ref="AF260:AF323" si="146">IF(BM260="","",BM260)</f>
        <v/>
      </c>
    </row>
    <row r="261" spans="1:32" x14ac:dyDescent="0.2">
      <c r="A261" s="2" t="str">
        <f t="shared" ref="A261:A324" si="147">IF(AH261="","",_xlfn.CONCAT(AH261,"_",ROW()-3))</f>
        <v/>
      </c>
      <c r="B261" s="2" t="str">
        <f t="shared" si="128"/>
        <v/>
      </c>
      <c r="C261" s="2" t="str">
        <f t="shared" si="129"/>
        <v/>
      </c>
      <c r="D261" s="2" t="str">
        <f t="shared" si="130"/>
        <v/>
      </c>
      <c r="E261" s="2" t="str">
        <f t="shared" si="131"/>
        <v/>
      </c>
      <c r="F261" s="2" t="str">
        <f t="shared" si="132"/>
        <v/>
      </c>
      <c r="G261" s="2" t="str">
        <f t="shared" si="133"/>
        <v/>
      </c>
      <c r="H261" s="2" t="str">
        <f t="shared" ref="H261:H324" si="148">IF(AO261="","",IF(AQ261&lt;&gt;0,(AO261+AQ261)/2,AO261)-BN261)</f>
        <v/>
      </c>
      <c r="I261" s="2" t="str">
        <f t="shared" ref="I261:I324" si="149">IF(AP261="","",AP261)</f>
        <v/>
      </c>
      <c r="J261" s="2" t="str">
        <f t="shared" ref="J261:J324" si="150">IF(AQ261="","",(AO261+AQ261)/2-BN261)</f>
        <v/>
      </c>
      <c r="K261" s="2" t="str">
        <f t="shared" si="134"/>
        <v/>
      </c>
      <c r="L261" s="2" t="str">
        <f t="shared" si="135"/>
        <v/>
      </c>
      <c r="M261" s="2" t="str">
        <f t="shared" si="136"/>
        <v/>
      </c>
      <c r="N261" s="2" t="str">
        <f t="shared" ref="N261:N324" si="151">IF(AU261="","",IF(AW261&lt;&gt;0,(AU261+AW261)/2,AU261)-BN262)</f>
        <v/>
      </c>
      <c r="O261" s="2" t="str">
        <f t="shared" ref="O261:O324" si="152">IF(AV261="","",AV261)</f>
        <v/>
      </c>
      <c r="P261" s="2" t="str">
        <f t="shared" ref="P261:P324" si="153">IF(AW261="","",(AU261+AW261)/2-BN262)</f>
        <v/>
      </c>
      <c r="Q261" s="2" t="str">
        <f t="shared" si="137"/>
        <v/>
      </c>
      <c r="R261" s="2" t="str">
        <f t="shared" si="138"/>
        <v/>
      </c>
      <c r="S261" s="2" t="str">
        <f t="shared" si="139"/>
        <v/>
      </c>
      <c r="T261" s="2" t="str">
        <f t="shared" ref="T261:T324" si="154">IF(BA261="","",IF(BC261&lt;&gt;0,(BA261+BC261)/2,BA261)-BN263)</f>
        <v/>
      </c>
      <c r="U261" s="2" t="str">
        <f t="shared" ref="U261:U324" si="155">IF(BB261="","",BB261)</f>
        <v/>
      </c>
      <c r="V261" s="2" t="str">
        <f t="shared" ref="V261:V324" si="156">IF(BC261="","",(BA261+BC261)/2-BN263)</f>
        <v/>
      </c>
      <c r="W261" s="2" t="str">
        <f t="shared" si="140"/>
        <v/>
      </c>
      <c r="X261" s="2" t="str">
        <f t="shared" si="141"/>
        <v/>
      </c>
      <c r="Y261" s="2" t="str">
        <f t="shared" si="142"/>
        <v/>
      </c>
      <c r="Z261" s="2" t="str">
        <f t="shared" ref="Z261:Z324" si="157">IF(BG261="","",IF(BI261&lt;&gt;0,(BG261+BI261)/2,BG261)-BN264)</f>
        <v/>
      </c>
      <c r="AA261" s="2" t="str">
        <f t="shared" ref="AA261:AA324" si="158">IF(BH261="","",BH261)</f>
        <v/>
      </c>
      <c r="AB261" s="2" t="str">
        <f t="shared" ref="AB261:AB324" si="159">IF(BI261="","",(BG261+BI261)/2-BN264)</f>
        <v/>
      </c>
      <c r="AC261" s="2" t="str">
        <f t="shared" si="143"/>
        <v/>
      </c>
      <c r="AD261" s="2" t="str">
        <f t="shared" si="144"/>
        <v/>
      </c>
      <c r="AE261" s="2" t="str">
        <f t="shared" si="145"/>
        <v/>
      </c>
      <c r="AF261" s="2" t="str">
        <f t="shared" si="146"/>
        <v/>
      </c>
    </row>
    <row r="262" spans="1:32" x14ac:dyDescent="0.2">
      <c r="A262" s="2" t="str">
        <f t="shared" si="147"/>
        <v/>
      </c>
      <c r="B262" s="2" t="str">
        <f t="shared" si="128"/>
        <v/>
      </c>
      <c r="C262" s="2" t="str">
        <f t="shared" si="129"/>
        <v/>
      </c>
      <c r="D262" s="2" t="str">
        <f t="shared" si="130"/>
        <v/>
      </c>
      <c r="E262" s="2" t="str">
        <f t="shared" si="131"/>
        <v/>
      </c>
      <c r="F262" s="2" t="str">
        <f t="shared" si="132"/>
        <v/>
      </c>
      <c r="G262" s="2" t="str">
        <f t="shared" si="133"/>
        <v/>
      </c>
      <c r="H262" s="2" t="str">
        <f t="shared" si="148"/>
        <v/>
      </c>
      <c r="I262" s="2" t="str">
        <f t="shared" si="149"/>
        <v/>
      </c>
      <c r="J262" s="2" t="str">
        <f t="shared" si="150"/>
        <v/>
      </c>
      <c r="K262" s="2" t="str">
        <f t="shared" si="134"/>
        <v/>
      </c>
      <c r="L262" s="2" t="str">
        <f t="shared" si="135"/>
        <v/>
      </c>
      <c r="M262" s="2" t="str">
        <f t="shared" si="136"/>
        <v/>
      </c>
      <c r="N262" s="2" t="str">
        <f t="shared" si="151"/>
        <v/>
      </c>
      <c r="O262" s="2" t="str">
        <f t="shared" si="152"/>
        <v/>
      </c>
      <c r="P262" s="2" t="str">
        <f t="shared" si="153"/>
        <v/>
      </c>
      <c r="Q262" s="2" t="str">
        <f t="shared" si="137"/>
        <v/>
      </c>
      <c r="R262" s="2" t="str">
        <f t="shared" si="138"/>
        <v/>
      </c>
      <c r="S262" s="2" t="str">
        <f t="shared" si="139"/>
        <v/>
      </c>
      <c r="T262" s="2" t="str">
        <f t="shared" si="154"/>
        <v/>
      </c>
      <c r="U262" s="2" t="str">
        <f t="shared" si="155"/>
        <v/>
      </c>
      <c r="V262" s="2" t="str">
        <f t="shared" si="156"/>
        <v/>
      </c>
      <c r="W262" s="2" t="str">
        <f t="shared" si="140"/>
        <v/>
      </c>
      <c r="X262" s="2" t="str">
        <f t="shared" si="141"/>
        <v/>
      </c>
      <c r="Y262" s="2" t="str">
        <f t="shared" si="142"/>
        <v/>
      </c>
      <c r="Z262" s="2" t="str">
        <f t="shared" si="157"/>
        <v/>
      </c>
      <c r="AA262" s="2" t="str">
        <f t="shared" si="158"/>
        <v/>
      </c>
      <c r="AB262" s="2" t="str">
        <f t="shared" si="159"/>
        <v/>
      </c>
      <c r="AC262" s="2" t="str">
        <f t="shared" si="143"/>
        <v/>
      </c>
      <c r="AD262" s="2" t="str">
        <f t="shared" si="144"/>
        <v/>
      </c>
      <c r="AE262" s="2" t="str">
        <f t="shared" si="145"/>
        <v/>
      </c>
      <c r="AF262" s="2" t="str">
        <f t="shared" si="146"/>
        <v/>
      </c>
    </row>
    <row r="263" spans="1:32" x14ac:dyDescent="0.2">
      <c r="A263" s="2" t="str">
        <f t="shared" si="147"/>
        <v/>
      </c>
      <c r="B263" s="2" t="str">
        <f t="shared" si="128"/>
        <v/>
      </c>
      <c r="C263" s="2" t="str">
        <f t="shared" si="129"/>
        <v/>
      </c>
      <c r="D263" s="2" t="str">
        <f t="shared" si="130"/>
        <v/>
      </c>
      <c r="E263" s="2" t="str">
        <f t="shared" si="131"/>
        <v/>
      </c>
      <c r="F263" s="2" t="str">
        <f t="shared" si="132"/>
        <v/>
      </c>
      <c r="G263" s="2" t="str">
        <f t="shared" si="133"/>
        <v/>
      </c>
      <c r="H263" s="2" t="str">
        <f t="shared" si="148"/>
        <v/>
      </c>
      <c r="I263" s="2" t="str">
        <f t="shared" si="149"/>
        <v/>
      </c>
      <c r="J263" s="2" t="str">
        <f t="shared" si="150"/>
        <v/>
      </c>
      <c r="K263" s="2" t="str">
        <f t="shared" si="134"/>
        <v/>
      </c>
      <c r="L263" s="2" t="str">
        <f t="shared" si="135"/>
        <v/>
      </c>
      <c r="M263" s="2" t="str">
        <f t="shared" si="136"/>
        <v/>
      </c>
      <c r="N263" s="2" t="str">
        <f t="shared" si="151"/>
        <v/>
      </c>
      <c r="O263" s="2" t="str">
        <f t="shared" si="152"/>
        <v/>
      </c>
      <c r="P263" s="2" t="str">
        <f t="shared" si="153"/>
        <v/>
      </c>
      <c r="Q263" s="2" t="str">
        <f t="shared" si="137"/>
        <v/>
      </c>
      <c r="R263" s="2" t="str">
        <f t="shared" si="138"/>
        <v/>
      </c>
      <c r="S263" s="2" t="str">
        <f t="shared" si="139"/>
        <v/>
      </c>
      <c r="T263" s="2" t="str">
        <f t="shared" si="154"/>
        <v/>
      </c>
      <c r="U263" s="2" t="str">
        <f t="shared" si="155"/>
        <v/>
      </c>
      <c r="V263" s="2" t="str">
        <f t="shared" si="156"/>
        <v/>
      </c>
      <c r="W263" s="2" t="str">
        <f t="shared" si="140"/>
        <v/>
      </c>
      <c r="X263" s="2" t="str">
        <f t="shared" si="141"/>
        <v/>
      </c>
      <c r="Y263" s="2" t="str">
        <f t="shared" si="142"/>
        <v/>
      </c>
      <c r="Z263" s="2" t="str">
        <f t="shared" si="157"/>
        <v/>
      </c>
      <c r="AA263" s="2" t="str">
        <f t="shared" si="158"/>
        <v/>
      </c>
      <c r="AB263" s="2" t="str">
        <f t="shared" si="159"/>
        <v/>
      </c>
      <c r="AC263" s="2" t="str">
        <f t="shared" si="143"/>
        <v/>
      </c>
      <c r="AD263" s="2" t="str">
        <f t="shared" si="144"/>
        <v/>
      </c>
      <c r="AE263" s="2" t="str">
        <f t="shared" si="145"/>
        <v/>
      </c>
      <c r="AF263" s="2" t="str">
        <f t="shared" si="146"/>
        <v/>
      </c>
    </row>
    <row r="264" spans="1:32" x14ac:dyDescent="0.2">
      <c r="A264" s="2" t="str">
        <f t="shared" si="147"/>
        <v/>
      </c>
      <c r="B264" s="2" t="str">
        <f t="shared" si="128"/>
        <v/>
      </c>
      <c r="C264" s="2" t="str">
        <f t="shared" si="129"/>
        <v/>
      </c>
      <c r="D264" s="2" t="str">
        <f t="shared" si="130"/>
        <v/>
      </c>
      <c r="E264" s="2" t="str">
        <f t="shared" si="131"/>
        <v/>
      </c>
      <c r="F264" s="2" t="str">
        <f t="shared" si="132"/>
        <v/>
      </c>
      <c r="G264" s="2" t="str">
        <f t="shared" si="133"/>
        <v/>
      </c>
      <c r="H264" s="2" t="str">
        <f t="shared" si="148"/>
        <v/>
      </c>
      <c r="I264" s="2" t="str">
        <f t="shared" si="149"/>
        <v/>
      </c>
      <c r="J264" s="2" t="str">
        <f t="shared" si="150"/>
        <v/>
      </c>
      <c r="K264" s="2" t="str">
        <f t="shared" si="134"/>
        <v/>
      </c>
      <c r="L264" s="2" t="str">
        <f t="shared" si="135"/>
        <v/>
      </c>
      <c r="M264" s="2" t="str">
        <f t="shared" si="136"/>
        <v/>
      </c>
      <c r="N264" s="2" t="str">
        <f t="shared" si="151"/>
        <v/>
      </c>
      <c r="O264" s="2" t="str">
        <f t="shared" si="152"/>
        <v/>
      </c>
      <c r="P264" s="2" t="str">
        <f t="shared" si="153"/>
        <v/>
      </c>
      <c r="Q264" s="2" t="str">
        <f t="shared" si="137"/>
        <v/>
      </c>
      <c r="R264" s="2" t="str">
        <f t="shared" si="138"/>
        <v/>
      </c>
      <c r="S264" s="2" t="str">
        <f t="shared" si="139"/>
        <v/>
      </c>
      <c r="T264" s="2" t="str">
        <f t="shared" si="154"/>
        <v/>
      </c>
      <c r="U264" s="2" t="str">
        <f t="shared" si="155"/>
        <v/>
      </c>
      <c r="V264" s="2" t="str">
        <f t="shared" si="156"/>
        <v/>
      </c>
      <c r="W264" s="2" t="str">
        <f t="shared" si="140"/>
        <v/>
      </c>
      <c r="X264" s="2" t="str">
        <f t="shared" si="141"/>
        <v/>
      </c>
      <c r="Y264" s="2" t="str">
        <f t="shared" si="142"/>
        <v/>
      </c>
      <c r="Z264" s="2" t="str">
        <f t="shared" si="157"/>
        <v/>
      </c>
      <c r="AA264" s="2" t="str">
        <f t="shared" si="158"/>
        <v/>
      </c>
      <c r="AB264" s="2" t="str">
        <f t="shared" si="159"/>
        <v/>
      </c>
      <c r="AC264" s="2" t="str">
        <f t="shared" si="143"/>
        <v/>
      </c>
      <c r="AD264" s="2" t="str">
        <f t="shared" si="144"/>
        <v/>
      </c>
      <c r="AE264" s="2" t="str">
        <f t="shared" si="145"/>
        <v/>
      </c>
      <c r="AF264" s="2" t="str">
        <f t="shared" si="146"/>
        <v/>
      </c>
    </row>
    <row r="265" spans="1:32" x14ac:dyDescent="0.2">
      <c r="A265" s="2" t="str">
        <f t="shared" si="147"/>
        <v/>
      </c>
      <c r="B265" s="2" t="str">
        <f t="shared" si="128"/>
        <v/>
      </c>
      <c r="C265" s="2" t="str">
        <f t="shared" si="129"/>
        <v/>
      </c>
      <c r="D265" s="2" t="str">
        <f t="shared" si="130"/>
        <v/>
      </c>
      <c r="E265" s="2" t="str">
        <f t="shared" si="131"/>
        <v/>
      </c>
      <c r="F265" s="2" t="str">
        <f t="shared" si="132"/>
        <v/>
      </c>
      <c r="G265" s="2" t="str">
        <f t="shared" si="133"/>
        <v/>
      </c>
      <c r="H265" s="2" t="str">
        <f t="shared" si="148"/>
        <v/>
      </c>
      <c r="I265" s="2" t="str">
        <f t="shared" si="149"/>
        <v/>
      </c>
      <c r="J265" s="2" t="str">
        <f t="shared" si="150"/>
        <v/>
      </c>
      <c r="K265" s="2" t="str">
        <f t="shared" si="134"/>
        <v/>
      </c>
      <c r="L265" s="2" t="str">
        <f t="shared" si="135"/>
        <v/>
      </c>
      <c r="M265" s="2" t="str">
        <f t="shared" si="136"/>
        <v/>
      </c>
      <c r="N265" s="2" t="str">
        <f t="shared" si="151"/>
        <v/>
      </c>
      <c r="O265" s="2" t="str">
        <f t="shared" si="152"/>
        <v/>
      </c>
      <c r="P265" s="2" t="str">
        <f t="shared" si="153"/>
        <v/>
      </c>
      <c r="Q265" s="2" t="str">
        <f t="shared" si="137"/>
        <v/>
      </c>
      <c r="R265" s="2" t="str">
        <f t="shared" si="138"/>
        <v/>
      </c>
      <c r="S265" s="2" t="str">
        <f t="shared" si="139"/>
        <v/>
      </c>
      <c r="T265" s="2" t="str">
        <f t="shared" si="154"/>
        <v/>
      </c>
      <c r="U265" s="2" t="str">
        <f t="shared" si="155"/>
        <v/>
      </c>
      <c r="V265" s="2" t="str">
        <f t="shared" si="156"/>
        <v/>
      </c>
      <c r="W265" s="2" t="str">
        <f t="shared" si="140"/>
        <v/>
      </c>
      <c r="X265" s="2" t="str">
        <f t="shared" si="141"/>
        <v/>
      </c>
      <c r="Y265" s="2" t="str">
        <f t="shared" si="142"/>
        <v/>
      </c>
      <c r="Z265" s="2" t="str">
        <f t="shared" si="157"/>
        <v/>
      </c>
      <c r="AA265" s="2" t="str">
        <f t="shared" si="158"/>
        <v/>
      </c>
      <c r="AB265" s="2" t="str">
        <f t="shared" si="159"/>
        <v/>
      </c>
      <c r="AC265" s="2" t="str">
        <f t="shared" si="143"/>
        <v/>
      </c>
      <c r="AD265" s="2" t="str">
        <f t="shared" si="144"/>
        <v/>
      </c>
      <c r="AE265" s="2" t="str">
        <f t="shared" si="145"/>
        <v/>
      </c>
      <c r="AF265" s="2" t="str">
        <f t="shared" si="146"/>
        <v/>
      </c>
    </row>
    <row r="266" spans="1:32" x14ac:dyDescent="0.2">
      <c r="A266" s="2" t="str">
        <f t="shared" si="147"/>
        <v/>
      </c>
      <c r="B266" s="2" t="str">
        <f t="shared" si="128"/>
        <v/>
      </c>
      <c r="C266" s="2" t="str">
        <f t="shared" si="129"/>
        <v/>
      </c>
      <c r="D266" s="2" t="str">
        <f t="shared" si="130"/>
        <v/>
      </c>
      <c r="E266" s="2" t="str">
        <f t="shared" si="131"/>
        <v/>
      </c>
      <c r="F266" s="2" t="str">
        <f t="shared" si="132"/>
        <v/>
      </c>
      <c r="G266" s="2" t="str">
        <f t="shared" si="133"/>
        <v/>
      </c>
      <c r="H266" s="2" t="str">
        <f t="shared" si="148"/>
        <v/>
      </c>
      <c r="I266" s="2" t="str">
        <f t="shared" si="149"/>
        <v/>
      </c>
      <c r="J266" s="2" t="str">
        <f t="shared" si="150"/>
        <v/>
      </c>
      <c r="K266" s="2" t="str">
        <f t="shared" si="134"/>
        <v/>
      </c>
      <c r="L266" s="2" t="str">
        <f t="shared" si="135"/>
        <v/>
      </c>
      <c r="M266" s="2" t="str">
        <f t="shared" si="136"/>
        <v/>
      </c>
      <c r="N266" s="2" t="str">
        <f t="shared" si="151"/>
        <v/>
      </c>
      <c r="O266" s="2" t="str">
        <f t="shared" si="152"/>
        <v/>
      </c>
      <c r="P266" s="2" t="str">
        <f t="shared" si="153"/>
        <v/>
      </c>
      <c r="Q266" s="2" t="str">
        <f t="shared" si="137"/>
        <v/>
      </c>
      <c r="R266" s="2" t="str">
        <f t="shared" si="138"/>
        <v/>
      </c>
      <c r="S266" s="2" t="str">
        <f t="shared" si="139"/>
        <v/>
      </c>
      <c r="T266" s="2" t="str">
        <f t="shared" si="154"/>
        <v/>
      </c>
      <c r="U266" s="2" t="str">
        <f t="shared" si="155"/>
        <v/>
      </c>
      <c r="V266" s="2" t="str">
        <f t="shared" si="156"/>
        <v/>
      </c>
      <c r="W266" s="2" t="str">
        <f t="shared" si="140"/>
        <v/>
      </c>
      <c r="X266" s="2" t="str">
        <f t="shared" si="141"/>
        <v/>
      </c>
      <c r="Y266" s="2" t="str">
        <f t="shared" si="142"/>
        <v/>
      </c>
      <c r="Z266" s="2" t="str">
        <f t="shared" si="157"/>
        <v/>
      </c>
      <c r="AA266" s="2" t="str">
        <f t="shared" si="158"/>
        <v/>
      </c>
      <c r="AB266" s="2" t="str">
        <f t="shared" si="159"/>
        <v/>
      </c>
      <c r="AC266" s="2" t="str">
        <f t="shared" si="143"/>
        <v/>
      </c>
      <c r="AD266" s="2" t="str">
        <f t="shared" si="144"/>
        <v/>
      </c>
      <c r="AE266" s="2" t="str">
        <f t="shared" si="145"/>
        <v/>
      </c>
      <c r="AF266" s="2" t="str">
        <f t="shared" si="146"/>
        <v/>
      </c>
    </row>
    <row r="267" spans="1:32" x14ac:dyDescent="0.2">
      <c r="A267" s="2" t="str">
        <f t="shared" si="147"/>
        <v/>
      </c>
      <c r="B267" s="2" t="str">
        <f t="shared" si="128"/>
        <v/>
      </c>
      <c r="C267" s="2" t="str">
        <f t="shared" si="129"/>
        <v/>
      </c>
      <c r="D267" s="2" t="str">
        <f t="shared" si="130"/>
        <v/>
      </c>
      <c r="E267" s="2" t="str">
        <f t="shared" si="131"/>
        <v/>
      </c>
      <c r="F267" s="2" t="str">
        <f t="shared" si="132"/>
        <v/>
      </c>
      <c r="G267" s="2" t="str">
        <f t="shared" si="133"/>
        <v/>
      </c>
      <c r="H267" s="2" t="str">
        <f t="shared" si="148"/>
        <v/>
      </c>
      <c r="I267" s="2" t="str">
        <f t="shared" si="149"/>
        <v/>
      </c>
      <c r="J267" s="2" t="str">
        <f t="shared" si="150"/>
        <v/>
      </c>
      <c r="K267" s="2" t="str">
        <f t="shared" si="134"/>
        <v/>
      </c>
      <c r="L267" s="2" t="str">
        <f t="shared" si="135"/>
        <v/>
      </c>
      <c r="M267" s="2" t="str">
        <f t="shared" si="136"/>
        <v/>
      </c>
      <c r="N267" s="2" t="str">
        <f t="shared" si="151"/>
        <v/>
      </c>
      <c r="O267" s="2" t="str">
        <f t="shared" si="152"/>
        <v/>
      </c>
      <c r="P267" s="2" t="str">
        <f t="shared" si="153"/>
        <v/>
      </c>
      <c r="Q267" s="2" t="str">
        <f t="shared" si="137"/>
        <v/>
      </c>
      <c r="R267" s="2" t="str">
        <f t="shared" si="138"/>
        <v/>
      </c>
      <c r="S267" s="2" t="str">
        <f t="shared" si="139"/>
        <v/>
      </c>
      <c r="T267" s="2" t="str">
        <f t="shared" si="154"/>
        <v/>
      </c>
      <c r="U267" s="2" t="str">
        <f t="shared" si="155"/>
        <v/>
      </c>
      <c r="V267" s="2" t="str">
        <f t="shared" si="156"/>
        <v/>
      </c>
      <c r="W267" s="2" t="str">
        <f t="shared" si="140"/>
        <v/>
      </c>
      <c r="X267" s="2" t="str">
        <f t="shared" si="141"/>
        <v/>
      </c>
      <c r="Y267" s="2" t="str">
        <f t="shared" si="142"/>
        <v/>
      </c>
      <c r="Z267" s="2" t="str">
        <f t="shared" si="157"/>
        <v/>
      </c>
      <c r="AA267" s="2" t="str">
        <f t="shared" si="158"/>
        <v/>
      </c>
      <c r="AB267" s="2" t="str">
        <f t="shared" si="159"/>
        <v/>
      </c>
      <c r="AC267" s="2" t="str">
        <f t="shared" si="143"/>
        <v/>
      </c>
      <c r="AD267" s="2" t="str">
        <f t="shared" si="144"/>
        <v/>
      </c>
      <c r="AE267" s="2" t="str">
        <f t="shared" si="145"/>
        <v/>
      </c>
      <c r="AF267" s="2" t="str">
        <f t="shared" si="146"/>
        <v/>
      </c>
    </row>
    <row r="268" spans="1:32" x14ac:dyDescent="0.2">
      <c r="A268" s="2" t="str">
        <f t="shared" si="147"/>
        <v/>
      </c>
      <c r="B268" s="2" t="str">
        <f t="shared" si="128"/>
        <v/>
      </c>
      <c r="C268" s="2" t="str">
        <f t="shared" si="129"/>
        <v/>
      </c>
      <c r="D268" s="2" t="str">
        <f t="shared" si="130"/>
        <v/>
      </c>
      <c r="E268" s="2" t="str">
        <f t="shared" si="131"/>
        <v/>
      </c>
      <c r="F268" s="2" t="str">
        <f t="shared" si="132"/>
        <v/>
      </c>
      <c r="G268" s="2" t="str">
        <f t="shared" si="133"/>
        <v/>
      </c>
      <c r="H268" s="2" t="str">
        <f t="shared" si="148"/>
        <v/>
      </c>
      <c r="I268" s="2" t="str">
        <f t="shared" si="149"/>
        <v/>
      </c>
      <c r="J268" s="2" t="str">
        <f t="shared" si="150"/>
        <v/>
      </c>
      <c r="K268" s="2" t="str">
        <f t="shared" si="134"/>
        <v/>
      </c>
      <c r="L268" s="2" t="str">
        <f t="shared" si="135"/>
        <v/>
      </c>
      <c r="M268" s="2" t="str">
        <f t="shared" si="136"/>
        <v/>
      </c>
      <c r="N268" s="2" t="str">
        <f t="shared" si="151"/>
        <v/>
      </c>
      <c r="O268" s="2" t="str">
        <f t="shared" si="152"/>
        <v/>
      </c>
      <c r="P268" s="2" t="str">
        <f t="shared" si="153"/>
        <v/>
      </c>
      <c r="Q268" s="2" t="str">
        <f t="shared" si="137"/>
        <v/>
      </c>
      <c r="R268" s="2" t="str">
        <f t="shared" si="138"/>
        <v/>
      </c>
      <c r="S268" s="2" t="str">
        <f t="shared" si="139"/>
        <v/>
      </c>
      <c r="T268" s="2" t="str">
        <f t="shared" si="154"/>
        <v/>
      </c>
      <c r="U268" s="2" t="str">
        <f t="shared" si="155"/>
        <v/>
      </c>
      <c r="V268" s="2" t="str">
        <f t="shared" si="156"/>
        <v/>
      </c>
      <c r="W268" s="2" t="str">
        <f t="shared" si="140"/>
        <v/>
      </c>
      <c r="X268" s="2" t="str">
        <f t="shared" si="141"/>
        <v/>
      </c>
      <c r="Y268" s="2" t="str">
        <f t="shared" si="142"/>
        <v/>
      </c>
      <c r="Z268" s="2" t="str">
        <f t="shared" si="157"/>
        <v/>
      </c>
      <c r="AA268" s="2" t="str">
        <f t="shared" si="158"/>
        <v/>
      </c>
      <c r="AB268" s="2" t="str">
        <f t="shared" si="159"/>
        <v/>
      </c>
      <c r="AC268" s="2" t="str">
        <f t="shared" si="143"/>
        <v/>
      </c>
      <c r="AD268" s="2" t="str">
        <f t="shared" si="144"/>
        <v/>
      </c>
      <c r="AE268" s="2" t="str">
        <f t="shared" si="145"/>
        <v/>
      </c>
      <c r="AF268" s="2" t="str">
        <f t="shared" si="146"/>
        <v/>
      </c>
    </row>
    <row r="269" spans="1:32" x14ac:dyDescent="0.2">
      <c r="A269" s="2" t="str">
        <f t="shared" si="147"/>
        <v/>
      </c>
      <c r="B269" s="2" t="str">
        <f t="shared" si="128"/>
        <v/>
      </c>
      <c r="C269" s="2" t="str">
        <f t="shared" si="129"/>
        <v/>
      </c>
      <c r="D269" s="2" t="str">
        <f t="shared" si="130"/>
        <v/>
      </c>
      <c r="E269" s="2" t="str">
        <f t="shared" si="131"/>
        <v/>
      </c>
      <c r="F269" s="2" t="str">
        <f t="shared" si="132"/>
        <v/>
      </c>
      <c r="G269" s="2" t="str">
        <f t="shared" si="133"/>
        <v/>
      </c>
      <c r="H269" s="2" t="str">
        <f t="shared" si="148"/>
        <v/>
      </c>
      <c r="I269" s="2" t="str">
        <f t="shared" si="149"/>
        <v/>
      </c>
      <c r="J269" s="2" t="str">
        <f t="shared" si="150"/>
        <v/>
      </c>
      <c r="K269" s="2" t="str">
        <f t="shared" si="134"/>
        <v/>
      </c>
      <c r="L269" s="2" t="str">
        <f t="shared" si="135"/>
        <v/>
      </c>
      <c r="M269" s="2" t="str">
        <f t="shared" si="136"/>
        <v/>
      </c>
      <c r="N269" s="2" t="str">
        <f t="shared" si="151"/>
        <v/>
      </c>
      <c r="O269" s="2" t="str">
        <f t="shared" si="152"/>
        <v/>
      </c>
      <c r="P269" s="2" t="str">
        <f t="shared" si="153"/>
        <v/>
      </c>
      <c r="Q269" s="2" t="str">
        <f t="shared" si="137"/>
        <v/>
      </c>
      <c r="R269" s="2" t="str">
        <f t="shared" si="138"/>
        <v/>
      </c>
      <c r="S269" s="2" t="str">
        <f t="shared" si="139"/>
        <v/>
      </c>
      <c r="T269" s="2" t="str">
        <f t="shared" si="154"/>
        <v/>
      </c>
      <c r="U269" s="2" t="str">
        <f t="shared" si="155"/>
        <v/>
      </c>
      <c r="V269" s="2" t="str">
        <f t="shared" si="156"/>
        <v/>
      </c>
      <c r="W269" s="2" t="str">
        <f t="shared" si="140"/>
        <v/>
      </c>
      <c r="X269" s="2" t="str">
        <f t="shared" si="141"/>
        <v/>
      </c>
      <c r="Y269" s="2" t="str">
        <f t="shared" si="142"/>
        <v/>
      </c>
      <c r="Z269" s="2" t="str">
        <f t="shared" si="157"/>
        <v/>
      </c>
      <c r="AA269" s="2" t="str">
        <f t="shared" si="158"/>
        <v/>
      </c>
      <c r="AB269" s="2" t="str">
        <f t="shared" si="159"/>
        <v/>
      </c>
      <c r="AC269" s="2" t="str">
        <f t="shared" si="143"/>
        <v/>
      </c>
      <c r="AD269" s="2" t="str">
        <f t="shared" si="144"/>
        <v/>
      </c>
      <c r="AE269" s="2" t="str">
        <f t="shared" si="145"/>
        <v/>
      </c>
      <c r="AF269" s="2" t="str">
        <f t="shared" si="146"/>
        <v/>
      </c>
    </row>
    <row r="270" spans="1:32" x14ac:dyDescent="0.2">
      <c r="A270" s="2" t="str">
        <f t="shared" si="147"/>
        <v/>
      </c>
      <c r="B270" s="2" t="str">
        <f t="shared" si="128"/>
        <v/>
      </c>
      <c r="C270" s="2" t="str">
        <f t="shared" si="129"/>
        <v/>
      </c>
      <c r="D270" s="2" t="str">
        <f t="shared" si="130"/>
        <v/>
      </c>
      <c r="E270" s="2" t="str">
        <f t="shared" si="131"/>
        <v/>
      </c>
      <c r="F270" s="2" t="str">
        <f t="shared" si="132"/>
        <v/>
      </c>
      <c r="G270" s="2" t="str">
        <f t="shared" si="133"/>
        <v/>
      </c>
      <c r="H270" s="2" t="str">
        <f t="shared" si="148"/>
        <v/>
      </c>
      <c r="I270" s="2" t="str">
        <f t="shared" si="149"/>
        <v/>
      </c>
      <c r="J270" s="2" t="str">
        <f t="shared" si="150"/>
        <v/>
      </c>
      <c r="K270" s="2" t="str">
        <f t="shared" si="134"/>
        <v/>
      </c>
      <c r="L270" s="2" t="str">
        <f t="shared" si="135"/>
        <v/>
      </c>
      <c r="M270" s="2" t="str">
        <f t="shared" si="136"/>
        <v/>
      </c>
      <c r="N270" s="2" t="str">
        <f t="shared" si="151"/>
        <v/>
      </c>
      <c r="O270" s="2" t="str">
        <f t="shared" si="152"/>
        <v/>
      </c>
      <c r="P270" s="2" t="str">
        <f t="shared" si="153"/>
        <v/>
      </c>
      <c r="Q270" s="2" t="str">
        <f t="shared" si="137"/>
        <v/>
      </c>
      <c r="R270" s="2" t="str">
        <f t="shared" si="138"/>
        <v/>
      </c>
      <c r="S270" s="2" t="str">
        <f t="shared" si="139"/>
        <v/>
      </c>
      <c r="T270" s="2" t="str">
        <f t="shared" si="154"/>
        <v/>
      </c>
      <c r="U270" s="2" t="str">
        <f t="shared" si="155"/>
        <v/>
      </c>
      <c r="V270" s="2" t="str">
        <f t="shared" si="156"/>
        <v/>
      </c>
      <c r="W270" s="2" t="str">
        <f t="shared" si="140"/>
        <v/>
      </c>
      <c r="X270" s="2" t="str">
        <f t="shared" si="141"/>
        <v/>
      </c>
      <c r="Y270" s="2" t="str">
        <f t="shared" si="142"/>
        <v/>
      </c>
      <c r="Z270" s="2" t="str">
        <f t="shared" si="157"/>
        <v/>
      </c>
      <c r="AA270" s="2" t="str">
        <f t="shared" si="158"/>
        <v/>
      </c>
      <c r="AB270" s="2" t="str">
        <f t="shared" si="159"/>
        <v/>
      </c>
      <c r="AC270" s="2" t="str">
        <f t="shared" si="143"/>
        <v/>
      </c>
      <c r="AD270" s="2" t="str">
        <f t="shared" si="144"/>
        <v/>
      </c>
      <c r="AE270" s="2" t="str">
        <f t="shared" si="145"/>
        <v/>
      </c>
      <c r="AF270" s="2" t="str">
        <f t="shared" si="146"/>
        <v/>
      </c>
    </row>
    <row r="271" spans="1:32" x14ac:dyDescent="0.2">
      <c r="A271" s="2" t="str">
        <f t="shared" si="147"/>
        <v/>
      </c>
      <c r="B271" s="2" t="str">
        <f t="shared" si="128"/>
        <v/>
      </c>
      <c r="C271" s="2" t="str">
        <f t="shared" si="129"/>
        <v/>
      </c>
      <c r="D271" s="2" t="str">
        <f t="shared" si="130"/>
        <v/>
      </c>
      <c r="E271" s="2" t="str">
        <f t="shared" si="131"/>
        <v/>
      </c>
      <c r="F271" s="2" t="str">
        <f t="shared" si="132"/>
        <v/>
      </c>
      <c r="G271" s="2" t="str">
        <f t="shared" si="133"/>
        <v/>
      </c>
      <c r="H271" s="2" t="str">
        <f t="shared" si="148"/>
        <v/>
      </c>
      <c r="I271" s="2" t="str">
        <f t="shared" si="149"/>
        <v/>
      </c>
      <c r="J271" s="2" t="str">
        <f t="shared" si="150"/>
        <v/>
      </c>
      <c r="K271" s="2" t="str">
        <f t="shared" si="134"/>
        <v/>
      </c>
      <c r="L271" s="2" t="str">
        <f t="shared" si="135"/>
        <v/>
      </c>
      <c r="M271" s="2" t="str">
        <f t="shared" si="136"/>
        <v/>
      </c>
      <c r="N271" s="2" t="str">
        <f t="shared" si="151"/>
        <v/>
      </c>
      <c r="O271" s="2" t="str">
        <f t="shared" si="152"/>
        <v/>
      </c>
      <c r="P271" s="2" t="str">
        <f t="shared" si="153"/>
        <v/>
      </c>
      <c r="Q271" s="2" t="str">
        <f t="shared" si="137"/>
        <v/>
      </c>
      <c r="R271" s="2" t="str">
        <f t="shared" si="138"/>
        <v/>
      </c>
      <c r="S271" s="2" t="str">
        <f t="shared" si="139"/>
        <v/>
      </c>
      <c r="T271" s="2" t="str">
        <f t="shared" si="154"/>
        <v/>
      </c>
      <c r="U271" s="2" t="str">
        <f t="shared" si="155"/>
        <v/>
      </c>
      <c r="V271" s="2" t="str">
        <f t="shared" si="156"/>
        <v/>
      </c>
      <c r="W271" s="2" t="str">
        <f t="shared" si="140"/>
        <v/>
      </c>
      <c r="X271" s="2" t="str">
        <f t="shared" si="141"/>
        <v/>
      </c>
      <c r="Y271" s="2" t="str">
        <f t="shared" si="142"/>
        <v/>
      </c>
      <c r="Z271" s="2" t="str">
        <f t="shared" si="157"/>
        <v/>
      </c>
      <c r="AA271" s="2" t="str">
        <f t="shared" si="158"/>
        <v/>
      </c>
      <c r="AB271" s="2" t="str">
        <f t="shared" si="159"/>
        <v/>
      </c>
      <c r="AC271" s="2" t="str">
        <f t="shared" si="143"/>
        <v/>
      </c>
      <c r="AD271" s="2" t="str">
        <f t="shared" si="144"/>
        <v/>
      </c>
      <c r="AE271" s="2" t="str">
        <f t="shared" si="145"/>
        <v/>
      </c>
      <c r="AF271" s="2" t="str">
        <f t="shared" si="146"/>
        <v/>
      </c>
    </row>
    <row r="272" spans="1:32" x14ac:dyDescent="0.2">
      <c r="A272" s="2" t="str">
        <f t="shared" si="147"/>
        <v/>
      </c>
      <c r="B272" s="2" t="str">
        <f t="shared" si="128"/>
        <v/>
      </c>
      <c r="C272" s="2" t="str">
        <f t="shared" si="129"/>
        <v/>
      </c>
      <c r="D272" s="2" t="str">
        <f t="shared" si="130"/>
        <v/>
      </c>
      <c r="E272" s="2" t="str">
        <f t="shared" si="131"/>
        <v/>
      </c>
      <c r="F272" s="2" t="str">
        <f t="shared" si="132"/>
        <v/>
      </c>
      <c r="G272" s="2" t="str">
        <f t="shared" si="133"/>
        <v/>
      </c>
      <c r="H272" s="2" t="str">
        <f t="shared" si="148"/>
        <v/>
      </c>
      <c r="I272" s="2" t="str">
        <f t="shared" si="149"/>
        <v/>
      </c>
      <c r="J272" s="2" t="str">
        <f t="shared" si="150"/>
        <v/>
      </c>
      <c r="K272" s="2" t="str">
        <f t="shared" si="134"/>
        <v/>
      </c>
      <c r="L272" s="2" t="str">
        <f t="shared" si="135"/>
        <v/>
      </c>
      <c r="M272" s="2" t="str">
        <f t="shared" si="136"/>
        <v/>
      </c>
      <c r="N272" s="2" t="str">
        <f t="shared" si="151"/>
        <v/>
      </c>
      <c r="O272" s="2" t="str">
        <f t="shared" si="152"/>
        <v/>
      </c>
      <c r="P272" s="2" t="str">
        <f t="shared" si="153"/>
        <v/>
      </c>
      <c r="Q272" s="2" t="str">
        <f t="shared" si="137"/>
        <v/>
      </c>
      <c r="R272" s="2" t="str">
        <f t="shared" si="138"/>
        <v/>
      </c>
      <c r="S272" s="2" t="str">
        <f t="shared" si="139"/>
        <v/>
      </c>
      <c r="T272" s="2" t="str">
        <f t="shared" si="154"/>
        <v/>
      </c>
      <c r="U272" s="2" t="str">
        <f t="shared" si="155"/>
        <v/>
      </c>
      <c r="V272" s="2" t="str">
        <f t="shared" si="156"/>
        <v/>
      </c>
      <c r="W272" s="2" t="str">
        <f t="shared" si="140"/>
        <v/>
      </c>
      <c r="X272" s="2" t="str">
        <f t="shared" si="141"/>
        <v/>
      </c>
      <c r="Y272" s="2" t="str">
        <f t="shared" si="142"/>
        <v/>
      </c>
      <c r="Z272" s="2" t="str">
        <f t="shared" si="157"/>
        <v/>
      </c>
      <c r="AA272" s="2" t="str">
        <f t="shared" si="158"/>
        <v/>
      </c>
      <c r="AB272" s="2" t="str">
        <f t="shared" si="159"/>
        <v/>
      </c>
      <c r="AC272" s="2" t="str">
        <f t="shared" si="143"/>
        <v/>
      </c>
      <c r="AD272" s="2" t="str">
        <f t="shared" si="144"/>
        <v/>
      </c>
      <c r="AE272" s="2" t="str">
        <f t="shared" si="145"/>
        <v/>
      </c>
      <c r="AF272" s="2" t="str">
        <f t="shared" si="146"/>
        <v/>
      </c>
    </row>
    <row r="273" spans="1:32" x14ac:dyDescent="0.2">
      <c r="A273" s="2" t="str">
        <f t="shared" si="147"/>
        <v/>
      </c>
      <c r="B273" s="2" t="str">
        <f t="shared" si="128"/>
        <v/>
      </c>
      <c r="C273" s="2" t="str">
        <f t="shared" si="129"/>
        <v/>
      </c>
      <c r="D273" s="2" t="str">
        <f t="shared" si="130"/>
        <v/>
      </c>
      <c r="E273" s="2" t="str">
        <f t="shared" si="131"/>
        <v/>
      </c>
      <c r="F273" s="2" t="str">
        <f t="shared" si="132"/>
        <v/>
      </c>
      <c r="G273" s="2" t="str">
        <f t="shared" si="133"/>
        <v/>
      </c>
      <c r="H273" s="2" t="str">
        <f t="shared" si="148"/>
        <v/>
      </c>
      <c r="I273" s="2" t="str">
        <f t="shared" si="149"/>
        <v/>
      </c>
      <c r="J273" s="2" t="str">
        <f t="shared" si="150"/>
        <v/>
      </c>
      <c r="K273" s="2" t="str">
        <f t="shared" si="134"/>
        <v/>
      </c>
      <c r="L273" s="2" t="str">
        <f t="shared" si="135"/>
        <v/>
      </c>
      <c r="M273" s="2" t="str">
        <f t="shared" si="136"/>
        <v/>
      </c>
      <c r="N273" s="2" t="str">
        <f t="shared" si="151"/>
        <v/>
      </c>
      <c r="O273" s="2" t="str">
        <f t="shared" si="152"/>
        <v/>
      </c>
      <c r="P273" s="2" t="str">
        <f t="shared" si="153"/>
        <v/>
      </c>
      <c r="Q273" s="2" t="str">
        <f t="shared" si="137"/>
        <v/>
      </c>
      <c r="R273" s="2" t="str">
        <f t="shared" si="138"/>
        <v/>
      </c>
      <c r="S273" s="2" t="str">
        <f t="shared" si="139"/>
        <v/>
      </c>
      <c r="T273" s="2" t="str">
        <f t="shared" si="154"/>
        <v/>
      </c>
      <c r="U273" s="2" t="str">
        <f t="shared" si="155"/>
        <v/>
      </c>
      <c r="V273" s="2" t="str">
        <f t="shared" si="156"/>
        <v/>
      </c>
      <c r="W273" s="2" t="str">
        <f t="shared" si="140"/>
        <v/>
      </c>
      <c r="X273" s="2" t="str">
        <f t="shared" si="141"/>
        <v/>
      </c>
      <c r="Y273" s="2" t="str">
        <f t="shared" si="142"/>
        <v/>
      </c>
      <c r="Z273" s="2" t="str">
        <f t="shared" si="157"/>
        <v/>
      </c>
      <c r="AA273" s="2" t="str">
        <f t="shared" si="158"/>
        <v/>
      </c>
      <c r="AB273" s="2" t="str">
        <f t="shared" si="159"/>
        <v/>
      </c>
      <c r="AC273" s="2" t="str">
        <f t="shared" si="143"/>
        <v/>
      </c>
      <c r="AD273" s="2" t="str">
        <f t="shared" si="144"/>
        <v/>
      </c>
      <c r="AE273" s="2" t="str">
        <f t="shared" si="145"/>
        <v/>
      </c>
      <c r="AF273" s="2" t="str">
        <f t="shared" si="146"/>
        <v/>
      </c>
    </row>
    <row r="274" spans="1:32" x14ac:dyDescent="0.2">
      <c r="A274" s="2" t="str">
        <f t="shared" si="147"/>
        <v/>
      </c>
      <c r="B274" s="2" t="str">
        <f t="shared" si="128"/>
        <v/>
      </c>
      <c r="C274" s="2" t="str">
        <f t="shared" si="129"/>
        <v/>
      </c>
      <c r="D274" s="2" t="str">
        <f t="shared" si="130"/>
        <v/>
      </c>
      <c r="E274" s="2" t="str">
        <f t="shared" si="131"/>
        <v/>
      </c>
      <c r="F274" s="2" t="str">
        <f t="shared" si="132"/>
        <v/>
      </c>
      <c r="G274" s="2" t="str">
        <f t="shared" si="133"/>
        <v/>
      </c>
      <c r="H274" s="2" t="str">
        <f t="shared" si="148"/>
        <v/>
      </c>
      <c r="I274" s="2" t="str">
        <f t="shared" si="149"/>
        <v/>
      </c>
      <c r="J274" s="2" t="str">
        <f t="shared" si="150"/>
        <v/>
      </c>
      <c r="K274" s="2" t="str">
        <f t="shared" si="134"/>
        <v/>
      </c>
      <c r="L274" s="2" t="str">
        <f t="shared" si="135"/>
        <v/>
      </c>
      <c r="M274" s="2" t="str">
        <f t="shared" si="136"/>
        <v/>
      </c>
      <c r="N274" s="2" t="str">
        <f t="shared" si="151"/>
        <v/>
      </c>
      <c r="O274" s="2" t="str">
        <f t="shared" si="152"/>
        <v/>
      </c>
      <c r="P274" s="2" t="str">
        <f t="shared" si="153"/>
        <v/>
      </c>
      <c r="Q274" s="2" t="str">
        <f t="shared" si="137"/>
        <v/>
      </c>
      <c r="R274" s="2" t="str">
        <f t="shared" si="138"/>
        <v/>
      </c>
      <c r="S274" s="2" t="str">
        <f t="shared" si="139"/>
        <v/>
      </c>
      <c r="T274" s="2" t="str">
        <f t="shared" si="154"/>
        <v/>
      </c>
      <c r="U274" s="2" t="str">
        <f t="shared" si="155"/>
        <v/>
      </c>
      <c r="V274" s="2" t="str">
        <f t="shared" si="156"/>
        <v/>
      </c>
      <c r="W274" s="2" t="str">
        <f t="shared" si="140"/>
        <v/>
      </c>
      <c r="X274" s="2" t="str">
        <f t="shared" si="141"/>
        <v/>
      </c>
      <c r="Y274" s="2" t="str">
        <f t="shared" si="142"/>
        <v/>
      </c>
      <c r="Z274" s="2" t="str">
        <f t="shared" si="157"/>
        <v/>
      </c>
      <c r="AA274" s="2" t="str">
        <f t="shared" si="158"/>
        <v/>
      </c>
      <c r="AB274" s="2" t="str">
        <f t="shared" si="159"/>
        <v/>
      </c>
      <c r="AC274" s="2" t="str">
        <f t="shared" si="143"/>
        <v/>
      </c>
      <c r="AD274" s="2" t="str">
        <f t="shared" si="144"/>
        <v/>
      </c>
      <c r="AE274" s="2" t="str">
        <f t="shared" si="145"/>
        <v/>
      </c>
      <c r="AF274" s="2" t="str">
        <f t="shared" si="146"/>
        <v/>
      </c>
    </row>
    <row r="275" spans="1:32" x14ac:dyDescent="0.2">
      <c r="A275" s="2" t="str">
        <f t="shared" si="147"/>
        <v/>
      </c>
      <c r="B275" s="2" t="str">
        <f t="shared" si="128"/>
        <v/>
      </c>
      <c r="C275" s="2" t="str">
        <f t="shared" si="129"/>
        <v/>
      </c>
      <c r="D275" s="2" t="str">
        <f t="shared" si="130"/>
        <v/>
      </c>
      <c r="E275" s="2" t="str">
        <f t="shared" si="131"/>
        <v/>
      </c>
      <c r="F275" s="2" t="str">
        <f t="shared" si="132"/>
        <v/>
      </c>
      <c r="G275" s="2" t="str">
        <f t="shared" si="133"/>
        <v/>
      </c>
      <c r="H275" s="2" t="str">
        <f t="shared" si="148"/>
        <v/>
      </c>
      <c r="I275" s="2" t="str">
        <f t="shared" si="149"/>
        <v/>
      </c>
      <c r="J275" s="2" t="str">
        <f t="shared" si="150"/>
        <v/>
      </c>
      <c r="K275" s="2" t="str">
        <f t="shared" si="134"/>
        <v/>
      </c>
      <c r="L275" s="2" t="str">
        <f t="shared" si="135"/>
        <v/>
      </c>
      <c r="M275" s="2" t="str">
        <f t="shared" si="136"/>
        <v/>
      </c>
      <c r="N275" s="2" t="str">
        <f t="shared" si="151"/>
        <v/>
      </c>
      <c r="O275" s="2" t="str">
        <f t="shared" si="152"/>
        <v/>
      </c>
      <c r="P275" s="2" t="str">
        <f t="shared" si="153"/>
        <v/>
      </c>
      <c r="Q275" s="2" t="str">
        <f t="shared" si="137"/>
        <v/>
      </c>
      <c r="R275" s="2" t="str">
        <f t="shared" si="138"/>
        <v/>
      </c>
      <c r="S275" s="2" t="str">
        <f t="shared" si="139"/>
        <v/>
      </c>
      <c r="T275" s="2" t="str">
        <f t="shared" si="154"/>
        <v/>
      </c>
      <c r="U275" s="2" t="str">
        <f t="shared" si="155"/>
        <v/>
      </c>
      <c r="V275" s="2" t="str">
        <f t="shared" si="156"/>
        <v/>
      </c>
      <c r="W275" s="2" t="str">
        <f t="shared" si="140"/>
        <v/>
      </c>
      <c r="X275" s="2" t="str">
        <f t="shared" si="141"/>
        <v/>
      </c>
      <c r="Y275" s="2" t="str">
        <f t="shared" si="142"/>
        <v/>
      </c>
      <c r="Z275" s="2" t="str">
        <f t="shared" si="157"/>
        <v/>
      </c>
      <c r="AA275" s="2" t="str">
        <f t="shared" si="158"/>
        <v/>
      </c>
      <c r="AB275" s="2" t="str">
        <f t="shared" si="159"/>
        <v/>
      </c>
      <c r="AC275" s="2" t="str">
        <f t="shared" si="143"/>
        <v/>
      </c>
      <c r="AD275" s="2" t="str">
        <f t="shared" si="144"/>
        <v/>
      </c>
      <c r="AE275" s="2" t="str">
        <f t="shared" si="145"/>
        <v/>
      </c>
      <c r="AF275" s="2" t="str">
        <f t="shared" si="146"/>
        <v/>
      </c>
    </row>
    <row r="276" spans="1:32" x14ac:dyDescent="0.2">
      <c r="A276" s="2" t="str">
        <f t="shared" si="147"/>
        <v/>
      </c>
      <c r="B276" s="2" t="str">
        <f t="shared" si="128"/>
        <v/>
      </c>
      <c r="C276" s="2" t="str">
        <f t="shared" si="129"/>
        <v/>
      </c>
      <c r="D276" s="2" t="str">
        <f t="shared" si="130"/>
        <v/>
      </c>
      <c r="E276" s="2" t="str">
        <f t="shared" si="131"/>
        <v/>
      </c>
      <c r="F276" s="2" t="str">
        <f t="shared" si="132"/>
        <v/>
      </c>
      <c r="G276" s="2" t="str">
        <f t="shared" si="133"/>
        <v/>
      </c>
      <c r="H276" s="2" t="str">
        <f t="shared" si="148"/>
        <v/>
      </c>
      <c r="I276" s="2" t="str">
        <f t="shared" si="149"/>
        <v/>
      </c>
      <c r="J276" s="2" t="str">
        <f t="shared" si="150"/>
        <v/>
      </c>
      <c r="K276" s="2" t="str">
        <f t="shared" si="134"/>
        <v/>
      </c>
      <c r="L276" s="2" t="str">
        <f t="shared" si="135"/>
        <v/>
      </c>
      <c r="M276" s="2" t="str">
        <f t="shared" si="136"/>
        <v/>
      </c>
      <c r="N276" s="2" t="str">
        <f t="shared" si="151"/>
        <v/>
      </c>
      <c r="O276" s="2" t="str">
        <f t="shared" si="152"/>
        <v/>
      </c>
      <c r="P276" s="2" t="str">
        <f t="shared" si="153"/>
        <v/>
      </c>
      <c r="Q276" s="2" t="str">
        <f t="shared" si="137"/>
        <v/>
      </c>
      <c r="R276" s="2" t="str">
        <f t="shared" si="138"/>
        <v/>
      </c>
      <c r="S276" s="2" t="str">
        <f t="shared" si="139"/>
        <v/>
      </c>
      <c r="T276" s="2" t="str">
        <f t="shared" si="154"/>
        <v/>
      </c>
      <c r="U276" s="2" t="str">
        <f t="shared" si="155"/>
        <v/>
      </c>
      <c r="V276" s="2" t="str">
        <f t="shared" si="156"/>
        <v/>
      </c>
      <c r="W276" s="2" t="str">
        <f t="shared" si="140"/>
        <v/>
      </c>
      <c r="X276" s="2" t="str">
        <f t="shared" si="141"/>
        <v/>
      </c>
      <c r="Y276" s="2" t="str">
        <f t="shared" si="142"/>
        <v/>
      </c>
      <c r="Z276" s="2" t="str">
        <f t="shared" si="157"/>
        <v/>
      </c>
      <c r="AA276" s="2" t="str">
        <f t="shared" si="158"/>
        <v/>
      </c>
      <c r="AB276" s="2" t="str">
        <f t="shared" si="159"/>
        <v/>
      </c>
      <c r="AC276" s="2" t="str">
        <f t="shared" si="143"/>
        <v/>
      </c>
      <c r="AD276" s="2" t="str">
        <f t="shared" si="144"/>
        <v/>
      </c>
      <c r="AE276" s="2" t="str">
        <f t="shared" si="145"/>
        <v/>
      </c>
      <c r="AF276" s="2" t="str">
        <f t="shared" si="146"/>
        <v/>
      </c>
    </row>
    <row r="277" spans="1:32" x14ac:dyDescent="0.2">
      <c r="A277" s="2" t="str">
        <f t="shared" si="147"/>
        <v/>
      </c>
      <c r="B277" s="2" t="str">
        <f t="shared" si="128"/>
        <v/>
      </c>
      <c r="C277" s="2" t="str">
        <f t="shared" si="129"/>
        <v/>
      </c>
      <c r="D277" s="2" t="str">
        <f t="shared" si="130"/>
        <v/>
      </c>
      <c r="E277" s="2" t="str">
        <f t="shared" si="131"/>
        <v/>
      </c>
      <c r="F277" s="2" t="str">
        <f t="shared" si="132"/>
        <v/>
      </c>
      <c r="G277" s="2" t="str">
        <f t="shared" si="133"/>
        <v/>
      </c>
      <c r="H277" s="2" t="str">
        <f t="shared" si="148"/>
        <v/>
      </c>
      <c r="I277" s="2" t="str">
        <f t="shared" si="149"/>
        <v/>
      </c>
      <c r="J277" s="2" t="str">
        <f t="shared" si="150"/>
        <v/>
      </c>
      <c r="K277" s="2" t="str">
        <f t="shared" si="134"/>
        <v/>
      </c>
      <c r="L277" s="2" t="str">
        <f t="shared" si="135"/>
        <v/>
      </c>
      <c r="M277" s="2" t="str">
        <f t="shared" si="136"/>
        <v/>
      </c>
      <c r="N277" s="2" t="str">
        <f t="shared" si="151"/>
        <v/>
      </c>
      <c r="O277" s="2" t="str">
        <f t="shared" si="152"/>
        <v/>
      </c>
      <c r="P277" s="2" t="str">
        <f t="shared" si="153"/>
        <v/>
      </c>
      <c r="Q277" s="2" t="str">
        <f t="shared" si="137"/>
        <v/>
      </c>
      <c r="R277" s="2" t="str">
        <f t="shared" si="138"/>
        <v/>
      </c>
      <c r="S277" s="2" t="str">
        <f t="shared" si="139"/>
        <v/>
      </c>
      <c r="T277" s="2" t="str">
        <f t="shared" si="154"/>
        <v/>
      </c>
      <c r="U277" s="2" t="str">
        <f t="shared" si="155"/>
        <v/>
      </c>
      <c r="V277" s="2" t="str">
        <f t="shared" si="156"/>
        <v/>
      </c>
      <c r="W277" s="2" t="str">
        <f t="shared" si="140"/>
        <v/>
      </c>
      <c r="X277" s="2" t="str">
        <f t="shared" si="141"/>
        <v/>
      </c>
      <c r="Y277" s="2" t="str">
        <f t="shared" si="142"/>
        <v/>
      </c>
      <c r="Z277" s="2" t="str">
        <f t="shared" si="157"/>
        <v/>
      </c>
      <c r="AA277" s="2" t="str">
        <f t="shared" si="158"/>
        <v/>
      </c>
      <c r="AB277" s="2" t="str">
        <f t="shared" si="159"/>
        <v/>
      </c>
      <c r="AC277" s="2" t="str">
        <f t="shared" si="143"/>
        <v/>
      </c>
      <c r="AD277" s="2" t="str">
        <f t="shared" si="144"/>
        <v/>
      </c>
      <c r="AE277" s="2" t="str">
        <f t="shared" si="145"/>
        <v/>
      </c>
      <c r="AF277" s="2" t="str">
        <f t="shared" si="146"/>
        <v/>
      </c>
    </row>
    <row r="278" spans="1:32" x14ac:dyDescent="0.2">
      <c r="A278" s="2" t="str">
        <f t="shared" si="147"/>
        <v/>
      </c>
      <c r="B278" s="2" t="str">
        <f t="shared" si="128"/>
        <v/>
      </c>
      <c r="C278" s="2" t="str">
        <f t="shared" si="129"/>
        <v/>
      </c>
      <c r="D278" s="2" t="str">
        <f t="shared" si="130"/>
        <v/>
      </c>
      <c r="E278" s="2" t="str">
        <f t="shared" si="131"/>
        <v/>
      </c>
      <c r="F278" s="2" t="str">
        <f t="shared" si="132"/>
        <v/>
      </c>
      <c r="G278" s="2" t="str">
        <f t="shared" si="133"/>
        <v/>
      </c>
      <c r="H278" s="2" t="str">
        <f t="shared" si="148"/>
        <v/>
      </c>
      <c r="I278" s="2" t="str">
        <f t="shared" si="149"/>
        <v/>
      </c>
      <c r="J278" s="2" t="str">
        <f t="shared" si="150"/>
        <v/>
      </c>
      <c r="K278" s="2" t="str">
        <f t="shared" si="134"/>
        <v/>
      </c>
      <c r="L278" s="2" t="str">
        <f t="shared" si="135"/>
        <v/>
      </c>
      <c r="M278" s="2" t="str">
        <f t="shared" si="136"/>
        <v/>
      </c>
      <c r="N278" s="2" t="str">
        <f t="shared" si="151"/>
        <v/>
      </c>
      <c r="O278" s="2" t="str">
        <f t="shared" si="152"/>
        <v/>
      </c>
      <c r="P278" s="2" t="str">
        <f t="shared" si="153"/>
        <v/>
      </c>
      <c r="Q278" s="2" t="str">
        <f t="shared" si="137"/>
        <v/>
      </c>
      <c r="R278" s="2" t="str">
        <f t="shared" si="138"/>
        <v/>
      </c>
      <c r="S278" s="2" t="str">
        <f t="shared" si="139"/>
        <v/>
      </c>
      <c r="T278" s="2" t="str">
        <f t="shared" si="154"/>
        <v/>
      </c>
      <c r="U278" s="2" t="str">
        <f t="shared" si="155"/>
        <v/>
      </c>
      <c r="V278" s="2" t="str">
        <f t="shared" si="156"/>
        <v/>
      </c>
      <c r="W278" s="2" t="str">
        <f t="shared" si="140"/>
        <v/>
      </c>
      <c r="X278" s="2" t="str">
        <f t="shared" si="141"/>
        <v/>
      </c>
      <c r="Y278" s="2" t="str">
        <f t="shared" si="142"/>
        <v/>
      </c>
      <c r="Z278" s="2" t="str">
        <f t="shared" si="157"/>
        <v/>
      </c>
      <c r="AA278" s="2" t="str">
        <f t="shared" si="158"/>
        <v/>
      </c>
      <c r="AB278" s="2" t="str">
        <f t="shared" si="159"/>
        <v/>
      </c>
      <c r="AC278" s="2" t="str">
        <f t="shared" si="143"/>
        <v/>
      </c>
      <c r="AD278" s="2" t="str">
        <f t="shared" si="144"/>
        <v/>
      </c>
      <c r="AE278" s="2" t="str">
        <f t="shared" si="145"/>
        <v/>
      </c>
      <c r="AF278" s="2" t="str">
        <f t="shared" si="146"/>
        <v/>
      </c>
    </row>
    <row r="279" spans="1:32" x14ac:dyDescent="0.2">
      <c r="A279" s="2" t="str">
        <f t="shared" si="147"/>
        <v/>
      </c>
      <c r="B279" s="2" t="str">
        <f t="shared" si="128"/>
        <v/>
      </c>
      <c r="C279" s="2" t="str">
        <f t="shared" si="129"/>
        <v/>
      </c>
      <c r="D279" s="2" t="str">
        <f t="shared" si="130"/>
        <v/>
      </c>
      <c r="E279" s="2" t="str">
        <f t="shared" si="131"/>
        <v/>
      </c>
      <c r="F279" s="2" t="str">
        <f t="shared" si="132"/>
        <v/>
      </c>
      <c r="G279" s="2" t="str">
        <f t="shared" si="133"/>
        <v/>
      </c>
      <c r="H279" s="2" t="str">
        <f t="shared" si="148"/>
        <v/>
      </c>
      <c r="I279" s="2" t="str">
        <f t="shared" si="149"/>
        <v/>
      </c>
      <c r="J279" s="2" t="str">
        <f t="shared" si="150"/>
        <v/>
      </c>
      <c r="K279" s="2" t="str">
        <f t="shared" si="134"/>
        <v/>
      </c>
      <c r="L279" s="2" t="str">
        <f t="shared" si="135"/>
        <v/>
      </c>
      <c r="M279" s="2" t="str">
        <f t="shared" si="136"/>
        <v/>
      </c>
      <c r="N279" s="2" t="str">
        <f t="shared" si="151"/>
        <v/>
      </c>
      <c r="O279" s="2" t="str">
        <f t="shared" si="152"/>
        <v/>
      </c>
      <c r="P279" s="2" t="str">
        <f t="shared" si="153"/>
        <v/>
      </c>
      <c r="Q279" s="2" t="str">
        <f t="shared" si="137"/>
        <v/>
      </c>
      <c r="R279" s="2" t="str">
        <f t="shared" si="138"/>
        <v/>
      </c>
      <c r="S279" s="2" t="str">
        <f t="shared" si="139"/>
        <v/>
      </c>
      <c r="T279" s="2" t="str">
        <f t="shared" si="154"/>
        <v/>
      </c>
      <c r="U279" s="2" t="str">
        <f t="shared" si="155"/>
        <v/>
      </c>
      <c r="V279" s="2" t="str">
        <f t="shared" si="156"/>
        <v/>
      </c>
      <c r="W279" s="2" t="str">
        <f t="shared" si="140"/>
        <v/>
      </c>
      <c r="X279" s="2" t="str">
        <f t="shared" si="141"/>
        <v/>
      </c>
      <c r="Y279" s="2" t="str">
        <f t="shared" si="142"/>
        <v/>
      </c>
      <c r="Z279" s="2" t="str">
        <f t="shared" si="157"/>
        <v/>
      </c>
      <c r="AA279" s="2" t="str">
        <f t="shared" si="158"/>
        <v/>
      </c>
      <c r="AB279" s="2" t="str">
        <f t="shared" si="159"/>
        <v/>
      </c>
      <c r="AC279" s="2" t="str">
        <f t="shared" si="143"/>
        <v/>
      </c>
      <c r="AD279" s="2" t="str">
        <f t="shared" si="144"/>
        <v/>
      </c>
      <c r="AE279" s="2" t="str">
        <f t="shared" si="145"/>
        <v/>
      </c>
      <c r="AF279" s="2" t="str">
        <f t="shared" si="146"/>
        <v/>
      </c>
    </row>
    <row r="280" spans="1:32" x14ac:dyDescent="0.2">
      <c r="A280" s="2" t="str">
        <f t="shared" si="147"/>
        <v/>
      </c>
      <c r="B280" s="2" t="str">
        <f t="shared" si="128"/>
        <v/>
      </c>
      <c r="C280" s="2" t="str">
        <f t="shared" si="129"/>
        <v/>
      </c>
      <c r="D280" s="2" t="str">
        <f t="shared" si="130"/>
        <v/>
      </c>
      <c r="E280" s="2" t="str">
        <f t="shared" si="131"/>
        <v/>
      </c>
      <c r="F280" s="2" t="str">
        <f t="shared" si="132"/>
        <v/>
      </c>
      <c r="G280" s="2" t="str">
        <f t="shared" si="133"/>
        <v/>
      </c>
      <c r="H280" s="2" t="str">
        <f t="shared" si="148"/>
        <v/>
      </c>
      <c r="I280" s="2" t="str">
        <f t="shared" si="149"/>
        <v/>
      </c>
      <c r="J280" s="2" t="str">
        <f t="shared" si="150"/>
        <v/>
      </c>
      <c r="K280" s="2" t="str">
        <f t="shared" si="134"/>
        <v/>
      </c>
      <c r="L280" s="2" t="str">
        <f t="shared" si="135"/>
        <v/>
      </c>
      <c r="M280" s="2" t="str">
        <f t="shared" si="136"/>
        <v/>
      </c>
      <c r="N280" s="2" t="str">
        <f t="shared" si="151"/>
        <v/>
      </c>
      <c r="O280" s="2" t="str">
        <f t="shared" si="152"/>
        <v/>
      </c>
      <c r="P280" s="2" t="str">
        <f t="shared" si="153"/>
        <v/>
      </c>
      <c r="Q280" s="2" t="str">
        <f t="shared" si="137"/>
        <v/>
      </c>
      <c r="R280" s="2" t="str">
        <f t="shared" si="138"/>
        <v/>
      </c>
      <c r="S280" s="2" t="str">
        <f t="shared" si="139"/>
        <v/>
      </c>
      <c r="T280" s="2" t="str">
        <f t="shared" si="154"/>
        <v/>
      </c>
      <c r="U280" s="2" t="str">
        <f t="shared" si="155"/>
        <v/>
      </c>
      <c r="V280" s="2" t="str">
        <f t="shared" si="156"/>
        <v/>
      </c>
      <c r="W280" s="2" t="str">
        <f t="shared" si="140"/>
        <v/>
      </c>
      <c r="X280" s="2" t="str">
        <f t="shared" si="141"/>
        <v/>
      </c>
      <c r="Y280" s="2" t="str">
        <f t="shared" si="142"/>
        <v/>
      </c>
      <c r="Z280" s="2" t="str">
        <f t="shared" si="157"/>
        <v/>
      </c>
      <c r="AA280" s="2" t="str">
        <f t="shared" si="158"/>
        <v/>
      </c>
      <c r="AB280" s="2" t="str">
        <f t="shared" si="159"/>
        <v/>
      </c>
      <c r="AC280" s="2" t="str">
        <f t="shared" si="143"/>
        <v/>
      </c>
      <c r="AD280" s="2" t="str">
        <f t="shared" si="144"/>
        <v/>
      </c>
      <c r="AE280" s="2" t="str">
        <f t="shared" si="145"/>
        <v/>
      </c>
      <c r="AF280" s="2" t="str">
        <f t="shared" si="146"/>
        <v/>
      </c>
    </row>
    <row r="281" spans="1:32" x14ac:dyDescent="0.2">
      <c r="A281" s="2" t="str">
        <f t="shared" si="147"/>
        <v/>
      </c>
      <c r="B281" s="2" t="str">
        <f t="shared" si="128"/>
        <v/>
      </c>
      <c r="C281" s="2" t="str">
        <f t="shared" si="129"/>
        <v/>
      </c>
      <c r="D281" s="2" t="str">
        <f t="shared" si="130"/>
        <v/>
      </c>
      <c r="E281" s="2" t="str">
        <f t="shared" si="131"/>
        <v/>
      </c>
      <c r="F281" s="2" t="str">
        <f t="shared" si="132"/>
        <v/>
      </c>
      <c r="G281" s="2" t="str">
        <f t="shared" si="133"/>
        <v/>
      </c>
      <c r="H281" s="2" t="str">
        <f t="shared" si="148"/>
        <v/>
      </c>
      <c r="I281" s="2" t="str">
        <f t="shared" si="149"/>
        <v/>
      </c>
      <c r="J281" s="2" t="str">
        <f t="shared" si="150"/>
        <v/>
      </c>
      <c r="K281" s="2" t="str">
        <f t="shared" si="134"/>
        <v/>
      </c>
      <c r="L281" s="2" t="str">
        <f t="shared" si="135"/>
        <v/>
      </c>
      <c r="M281" s="2" t="str">
        <f t="shared" si="136"/>
        <v/>
      </c>
      <c r="N281" s="2" t="str">
        <f t="shared" si="151"/>
        <v/>
      </c>
      <c r="O281" s="2" t="str">
        <f t="shared" si="152"/>
        <v/>
      </c>
      <c r="P281" s="2" t="str">
        <f t="shared" si="153"/>
        <v/>
      </c>
      <c r="Q281" s="2" t="str">
        <f t="shared" si="137"/>
        <v/>
      </c>
      <c r="R281" s="2" t="str">
        <f t="shared" si="138"/>
        <v/>
      </c>
      <c r="S281" s="2" t="str">
        <f t="shared" si="139"/>
        <v/>
      </c>
      <c r="T281" s="2" t="str">
        <f t="shared" si="154"/>
        <v/>
      </c>
      <c r="U281" s="2" t="str">
        <f t="shared" si="155"/>
        <v/>
      </c>
      <c r="V281" s="2" t="str">
        <f t="shared" si="156"/>
        <v/>
      </c>
      <c r="W281" s="2" t="str">
        <f t="shared" si="140"/>
        <v/>
      </c>
      <c r="X281" s="2" t="str">
        <f t="shared" si="141"/>
        <v/>
      </c>
      <c r="Y281" s="2" t="str">
        <f t="shared" si="142"/>
        <v/>
      </c>
      <c r="Z281" s="2" t="str">
        <f t="shared" si="157"/>
        <v/>
      </c>
      <c r="AA281" s="2" t="str">
        <f t="shared" si="158"/>
        <v/>
      </c>
      <c r="AB281" s="2" t="str">
        <f t="shared" si="159"/>
        <v/>
      </c>
      <c r="AC281" s="2" t="str">
        <f t="shared" si="143"/>
        <v/>
      </c>
      <c r="AD281" s="2" t="str">
        <f t="shared" si="144"/>
        <v/>
      </c>
      <c r="AE281" s="2" t="str">
        <f t="shared" si="145"/>
        <v/>
      </c>
      <c r="AF281" s="2" t="str">
        <f t="shared" si="146"/>
        <v/>
      </c>
    </row>
    <row r="282" spans="1:32" x14ac:dyDescent="0.2">
      <c r="A282" s="2" t="str">
        <f t="shared" si="147"/>
        <v/>
      </c>
      <c r="B282" s="2" t="str">
        <f t="shared" si="128"/>
        <v/>
      </c>
      <c r="C282" s="2" t="str">
        <f t="shared" si="129"/>
        <v/>
      </c>
      <c r="D282" s="2" t="str">
        <f t="shared" si="130"/>
        <v/>
      </c>
      <c r="E282" s="2" t="str">
        <f t="shared" si="131"/>
        <v/>
      </c>
      <c r="F282" s="2" t="str">
        <f t="shared" si="132"/>
        <v/>
      </c>
      <c r="G282" s="2" t="str">
        <f t="shared" si="133"/>
        <v/>
      </c>
      <c r="H282" s="2" t="str">
        <f t="shared" si="148"/>
        <v/>
      </c>
      <c r="I282" s="2" t="str">
        <f t="shared" si="149"/>
        <v/>
      </c>
      <c r="J282" s="2" t="str">
        <f t="shared" si="150"/>
        <v/>
      </c>
      <c r="K282" s="2" t="str">
        <f t="shared" si="134"/>
        <v/>
      </c>
      <c r="L282" s="2" t="str">
        <f t="shared" si="135"/>
        <v/>
      </c>
      <c r="M282" s="2" t="str">
        <f t="shared" si="136"/>
        <v/>
      </c>
      <c r="N282" s="2" t="str">
        <f t="shared" si="151"/>
        <v/>
      </c>
      <c r="O282" s="2" t="str">
        <f t="shared" si="152"/>
        <v/>
      </c>
      <c r="P282" s="2" t="str">
        <f t="shared" si="153"/>
        <v/>
      </c>
      <c r="Q282" s="2" t="str">
        <f t="shared" si="137"/>
        <v/>
      </c>
      <c r="R282" s="2" t="str">
        <f t="shared" si="138"/>
        <v/>
      </c>
      <c r="S282" s="2" t="str">
        <f t="shared" si="139"/>
        <v/>
      </c>
      <c r="T282" s="2" t="str">
        <f t="shared" si="154"/>
        <v/>
      </c>
      <c r="U282" s="2" t="str">
        <f t="shared" si="155"/>
        <v/>
      </c>
      <c r="V282" s="2" t="str">
        <f t="shared" si="156"/>
        <v/>
      </c>
      <c r="W282" s="2" t="str">
        <f t="shared" si="140"/>
        <v/>
      </c>
      <c r="X282" s="2" t="str">
        <f t="shared" si="141"/>
        <v/>
      </c>
      <c r="Y282" s="2" t="str">
        <f t="shared" si="142"/>
        <v/>
      </c>
      <c r="Z282" s="2" t="str">
        <f t="shared" si="157"/>
        <v/>
      </c>
      <c r="AA282" s="2" t="str">
        <f t="shared" si="158"/>
        <v/>
      </c>
      <c r="AB282" s="2" t="str">
        <f t="shared" si="159"/>
        <v/>
      </c>
      <c r="AC282" s="2" t="str">
        <f t="shared" si="143"/>
        <v/>
      </c>
      <c r="AD282" s="2" t="str">
        <f t="shared" si="144"/>
        <v/>
      </c>
      <c r="AE282" s="2" t="str">
        <f t="shared" si="145"/>
        <v/>
      </c>
      <c r="AF282" s="2" t="str">
        <f t="shared" si="146"/>
        <v/>
      </c>
    </row>
    <row r="283" spans="1:32" x14ac:dyDescent="0.2">
      <c r="A283" s="2" t="str">
        <f t="shared" si="147"/>
        <v/>
      </c>
      <c r="B283" s="2" t="str">
        <f t="shared" si="128"/>
        <v/>
      </c>
      <c r="C283" s="2" t="str">
        <f t="shared" si="129"/>
        <v/>
      </c>
      <c r="D283" s="2" t="str">
        <f t="shared" si="130"/>
        <v/>
      </c>
      <c r="E283" s="2" t="str">
        <f t="shared" si="131"/>
        <v/>
      </c>
      <c r="F283" s="2" t="str">
        <f t="shared" si="132"/>
        <v/>
      </c>
      <c r="G283" s="2" t="str">
        <f t="shared" si="133"/>
        <v/>
      </c>
      <c r="H283" s="2" t="str">
        <f t="shared" si="148"/>
        <v/>
      </c>
      <c r="I283" s="2" t="str">
        <f t="shared" si="149"/>
        <v/>
      </c>
      <c r="J283" s="2" t="str">
        <f t="shared" si="150"/>
        <v/>
      </c>
      <c r="K283" s="2" t="str">
        <f t="shared" si="134"/>
        <v/>
      </c>
      <c r="L283" s="2" t="str">
        <f t="shared" si="135"/>
        <v/>
      </c>
      <c r="M283" s="2" t="str">
        <f t="shared" si="136"/>
        <v/>
      </c>
      <c r="N283" s="2" t="str">
        <f t="shared" si="151"/>
        <v/>
      </c>
      <c r="O283" s="2" t="str">
        <f t="shared" si="152"/>
        <v/>
      </c>
      <c r="P283" s="2" t="str">
        <f t="shared" si="153"/>
        <v/>
      </c>
      <c r="Q283" s="2" t="str">
        <f t="shared" si="137"/>
        <v/>
      </c>
      <c r="R283" s="2" t="str">
        <f t="shared" si="138"/>
        <v/>
      </c>
      <c r="S283" s="2" t="str">
        <f t="shared" si="139"/>
        <v/>
      </c>
      <c r="T283" s="2" t="str">
        <f t="shared" si="154"/>
        <v/>
      </c>
      <c r="U283" s="2" t="str">
        <f t="shared" si="155"/>
        <v/>
      </c>
      <c r="V283" s="2" t="str">
        <f t="shared" si="156"/>
        <v/>
      </c>
      <c r="W283" s="2" t="str">
        <f t="shared" si="140"/>
        <v/>
      </c>
      <c r="X283" s="2" t="str">
        <f t="shared" si="141"/>
        <v/>
      </c>
      <c r="Y283" s="2" t="str">
        <f t="shared" si="142"/>
        <v/>
      </c>
      <c r="Z283" s="2" t="str">
        <f t="shared" si="157"/>
        <v/>
      </c>
      <c r="AA283" s="2" t="str">
        <f t="shared" si="158"/>
        <v/>
      </c>
      <c r="AB283" s="2" t="str">
        <f t="shared" si="159"/>
        <v/>
      </c>
      <c r="AC283" s="2" t="str">
        <f t="shared" si="143"/>
        <v/>
      </c>
      <c r="AD283" s="2" t="str">
        <f t="shared" si="144"/>
        <v/>
      </c>
      <c r="AE283" s="2" t="str">
        <f t="shared" si="145"/>
        <v/>
      </c>
      <c r="AF283" s="2" t="str">
        <f t="shared" si="146"/>
        <v/>
      </c>
    </row>
    <row r="284" spans="1:32" x14ac:dyDescent="0.2">
      <c r="A284" s="2" t="str">
        <f t="shared" si="147"/>
        <v/>
      </c>
      <c r="B284" s="2" t="str">
        <f t="shared" si="128"/>
        <v/>
      </c>
      <c r="C284" s="2" t="str">
        <f t="shared" si="129"/>
        <v/>
      </c>
      <c r="D284" s="2" t="str">
        <f t="shared" si="130"/>
        <v/>
      </c>
      <c r="E284" s="2" t="str">
        <f t="shared" si="131"/>
        <v/>
      </c>
      <c r="F284" s="2" t="str">
        <f t="shared" si="132"/>
        <v/>
      </c>
      <c r="G284" s="2" t="str">
        <f t="shared" si="133"/>
        <v/>
      </c>
      <c r="H284" s="2" t="str">
        <f t="shared" si="148"/>
        <v/>
      </c>
      <c r="I284" s="2" t="str">
        <f t="shared" si="149"/>
        <v/>
      </c>
      <c r="J284" s="2" t="str">
        <f t="shared" si="150"/>
        <v/>
      </c>
      <c r="K284" s="2" t="str">
        <f t="shared" si="134"/>
        <v/>
      </c>
      <c r="L284" s="2" t="str">
        <f t="shared" si="135"/>
        <v/>
      </c>
      <c r="M284" s="2" t="str">
        <f t="shared" si="136"/>
        <v/>
      </c>
      <c r="N284" s="2" t="str">
        <f t="shared" si="151"/>
        <v/>
      </c>
      <c r="O284" s="2" t="str">
        <f t="shared" si="152"/>
        <v/>
      </c>
      <c r="P284" s="2" t="str">
        <f t="shared" si="153"/>
        <v/>
      </c>
      <c r="Q284" s="2" t="str">
        <f t="shared" si="137"/>
        <v/>
      </c>
      <c r="R284" s="2" t="str">
        <f t="shared" si="138"/>
        <v/>
      </c>
      <c r="S284" s="2" t="str">
        <f t="shared" si="139"/>
        <v/>
      </c>
      <c r="T284" s="2" t="str">
        <f t="shared" si="154"/>
        <v/>
      </c>
      <c r="U284" s="2" t="str">
        <f t="shared" si="155"/>
        <v/>
      </c>
      <c r="V284" s="2" t="str">
        <f t="shared" si="156"/>
        <v/>
      </c>
      <c r="W284" s="2" t="str">
        <f t="shared" si="140"/>
        <v/>
      </c>
      <c r="X284" s="2" t="str">
        <f t="shared" si="141"/>
        <v/>
      </c>
      <c r="Y284" s="2" t="str">
        <f t="shared" si="142"/>
        <v/>
      </c>
      <c r="Z284" s="2" t="str">
        <f t="shared" si="157"/>
        <v/>
      </c>
      <c r="AA284" s="2" t="str">
        <f t="shared" si="158"/>
        <v/>
      </c>
      <c r="AB284" s="2" t="str">
        <f t="shared" si="159"/>
        <v/>
      </c>
      <c r="AC284" s="2" t="str">
        <f t="shared" si="143"/>
        <v/>
      </c>
      <c r="AD284" s="2" t="str">
        <f t="shared" si="144"/>
        <v/>
      </c>
      <c r="AE284" s="2" t="str">
        <f t="shared" si="145"/>
        <v/>
      </c>
      <c r="AF284" s="2" t="str">
        <f t="shared" si="146"/>
        <v/>
      </c>
    </row>
    <row r="285" spans="1:32" x14ac:dyDescent="0.2">
      <c r="A285" s="2" t="str">
        <f t="shared" si="147"/>
        <v/>
      </c>
      <c r="B285" s="2" t="str">
        <f t="shared" si="128"/>
        <v/>
      </c>
      <c r="C285" s="2" t="str">
        <f t="shared" si="129"/>
        <v/>
      </c>
      <c r="D285" s="2" t="str">
        <f t="shared" si="130"/>
        <v/>
      </c>
      <c r="E285" s="2" t="str">
        <f t="shared" si="131"/>
        <v/>
      </c>
      <c r="F285" s="2" t="str">
        <f t="shared" si="132"/>
        <v/>
      </c>
      <c r="G285" s="2" t="str">
        <f t="shared" si="133"/>
        <v/>
      </c>
      <c r="H285" s="2" t="str">
        <f t="shared" si="148"/>
        <v/>
      </c>
      <c r="I285" s="2" t="str">
        <f t="shared" si="149"/>
        <v/>
      </c>
      <c r="J285" s="2" t="str">
        <f t="shared" si="150"/>
        <v/>
      </c>
      <c r="K285" s="2" t="str">
        <f t="shared" si="134"/>
        <v/>
      </c>
      <c r="L285" s="2" t="str">
        <f t="shared" si="135"/>
        <v/>
      </c>
      <c r="M285" s="2" t="str">
        <f t="shared" si="136"/>
        <v/>
      </c>
      <c r="N285" s="2" t="str">
        <f t="shared" si="151"/>
        <v/>
      </c>
      <c r="O285" s="2" t="str">
        <f t="shared" si="152"/>
        <v/>
      </c>
      <c r="P285" s="2" t="str">
        <f t="shared" si="153"/>
        <v/>
      </c>
      <c r="Q285" s="2" t="str">
        <f t="shared" si="137"/>
        <v/>
      </c>
      <c r="R285" s="2" t="str">
        <f t="shared" si="138"/>
        <v/>
      </c>
      <c r="S285" s="2" t="str">
        <f t="shared" si="139"/>
        <v/>
      </c>
      <c r="T285" s="2" t="str">
        <f t="shared" si="154"/>
        <v/>
      </c>
      <c r="U285" s="2" t="str">
        <f t="shared" si="155"/>
        <v/>
      </c>
      <c r="V285" s="2" t="str">
        <f t="shared" si="156"/>
        <v/>
      </c>
      <c r="W285" s="2" t="str">
        <f t="shared" si="140"/>
        <v/>
      </c>
      <c r="X285" s="2" t="str">
        <f t="shared" si="141"/>
        <v/>
      </c>
      <c r="Y285" s="2" t="str">
        <f t="shared" si="142"/>
        <v/>
      </c>
      <c r="Z285" s="2" t="str">
        <f t="shared" si="157"/>
        <v/>
      </c>
      <c r="AA285" s="2" t="str">
        <f t="shared" si="158"/>
        <v/>
      </c>
      <c r="AB285" s="2" t="str">
        <f t="shared" si="159"/>
        <v/>
      </c>
      <c r="AC285" s="2" t="str">
        <f t="shared" si="143"/>
        <v/>
      </c>
      <c r="AD285" s="2" t="str">
        <f t="shared" si="144"/>
        <v/>
      </c>
      <c r="AE285" s="2" t="str">
        <f t="shared" si="145"/>
        <v/>
      </c>
      <c r="AF285" s="2" t="str">
        <f t="shared" si="146"/>
        <v/>
      </c>
    </row>
    <row r="286" spans="1:32" x14ac:dyDescent="0.2">
      <c r="A286" s="2" t="str">
        <f t="shared" si="147"/>
        <v/>
      </c>
      <c r="B286" s="2" t="str">
        <f t="shared" si="128"/>
        <v/>
      </c>
      <c r="C286" s="2" t="str">
        <f t="shared" si="129"/>
        <v/>
      </c>
      <c r="D286" s="2" t="str">
        <f t="shared" si="130"/>
        <v/>
      </c>
      <c r="E286" s="2" t="str">
        <f t="shared" si="131"/>
        <v/>
      </c>
      <c r="F286" s="2" t="str">
        <f t="shared" si="132"/>
        <v/>
      </c>
      <c r="G286" s="2" t="str">
        <f t="shared" si="133"/>
        <v/>
      </c>
      <c r="H286" s="2" t="str">
        <f t="shared" si="148"/>
        <v/>
      </c>
      <c r="I286" s="2" t="str">
        <f t="shared" si="149"/>
        <v/>
      </c>
      <c r="J286" s="2" t="str">
        <f t="shared" si="150"/>
        <v/>
      </c>
      <c r="K286" s="2" t="str">
        <f t="shared" si="134"/>
        <v/>
      </c>
      <c r="L286" s="2" t="str">
        <f t="shared" si="135"/>
        <v/>
      </c>
      <c r="M286" s="2" t="str">
        <f t="shared" si="136"/>
        <v/>
      </c>
      <c r="N286" s="2" t="str">
        <f t="shared" si="151"/>
        <v/>
      </c>
      <c r="O286" s="2" t="str">
        <f t="shared" si="152"/>
        <v/>
      </c>
      <c r="P286" s="2" t="str">
        <f t="shared" si="153"/>
        <v/>
      </c>
      <c r="Q286" s="2" t="str">
        <f t="shared" si="137"/>
        <v/>
      </c>
      <c r="R286" s="2" t="str">
        <f t="shared" si="138"/>
        <v/>
      </c>
      <c r="S286" s="2" t="str">
        <f t="shared" si="139"/>
        <v/>
      </c>
      <c r="T286" s="2" t="str">
        <f t="shared" si="154"/>
        <v/>
      </c>
      <c r="U286" s="2" t="str">
        <f t="shared" si="155"/>
        <v/>
      </c>
      <c r="V286" s="2" t="str">
        <f t="shared" si="156"/>
        <v/>
      </c>
      <c r="W286" s="2" t="str">
        <f t="shared" si="140"/>
        <v/>
      </c>
      <c r="X286" s="2" t="str">
        <f t="shared" si="141"/>
        <v/>
      </c>
      <c r="Y286" s="2" t="str">
        <f t="shared" si="142"/>
        <v/>
      </c>
      <c r="Z286" s="2" t="str">
        <f t="shared" si="157"/>
        <v/>
      </c>
      <c r="AA286" s="2" t="str">
        <f t="shared" si="158"/>
        <v/>
      </c>
      <c r="AB286" s="2" t="str">
        <f t="shared" si="159"/>
        <v/>
      </c>
      <c r="AC286" s="2" t="str">
        <f t="shared" si="143"/>
        <v/>
      </c>
      <c r="AD286" s="2" t="str">
        <f t="shared" si="144"/>
        <v/>
      </c>
      <c r="AE286" s="2" t="str">
        <f t="shared" si="145"/>
        <v/>
      </c>
      <c r="AF286" s="2" t="str">
        <f t="shared" si="146"/>
        <v/>
      </c>
    </row>
    <row r="287" spans="1:32" x14ac:dyDescent="0.2">
      <c r="A287" s="2" t="str">
        <f t="shared" si="147"/>
        <v/>
      </c>
      <c r="B287" s="2" t="str">
        <f t="shared" si="128"/>
        <v/>
      </c>
      <c r="C287" s="2" t="str">
        <f t="shared" si="129"/>
        <v/>
      </c>
      <c r="D287" s="2" t="str">
        <f t="shared" si="130"/>
        <v/>
      </c>
      <c r="E287" s="2" t="str">
        <f t="shared" si="131"/>
        <v/>
      </c>
      <c r="F287" s="2" t="str">
        <f t="shared" si="132"/>
        <v/>
      </c>
      <c r="G287" s="2" t="str">
        <f t="shared" si="133"/>
        <v/>
      </c>
      <c r="H287" s="2" t="str">
        <f t="shared" si="148"/>
        <v/>
      </c>
      <c r="I287" s="2" t="str">
        <f t="shared" si="149"/>
        <v/>
      </c>
      <c r="J287" s="2" t="str">
        <f t="shared" si="150"/>
        <v/>
      </c>
      <c r="K287" s="2" t="str">
        <f t="shared" si="134"/>
        <v/>
      </c>
      <c r="L287" s="2" t="str">
        <f t="shared" si="135"/>
        <v/>
      </c>
      <c r="M287" s="2" t="str">
        <f t="shared" si="136"/>
        <v/>
      </c>
      <c r="N287" s="2" t="str">
        <f t="shared" si="151"/>
        <v/>
      </c>
      <c r="O287" s="2" t="str">
        <f t="shared" si="152"/>
        <v/>
      </c>
      <c r="P287" s="2" t="str">
        <f t="shared" si="153"/>
        <v/>
      </c>
      <c r="Q287" s="2" t="str">
        <f t="shared" si="137"/>
        <v/>
      </c>
      <c r="R287" s="2" t="str">
        <f t="shared" si="138"/>
        <v/>
      </c>
      <c r="S287" s="2" t="str">
        <f t="shared" si="139"/>
        <v/>
      </c>
      <c r="T287" s="2" t="str">
        <f t="shared" si="154"/>
        <v/>
      </c>
      <c r="U287" s="2" t="str">
        <f t="shared" si="155"/>
        <v/>
      </c>
      <c r="V287" s="2" t="str">
        <f t="shared" si="156"/>
        <v/>
      </c>
      <c r="W287" s="2" t="str">
        <f t="shared" si="140"/>
        <v/>
      </c>
      <c r="X287" s="2" t="str">
        <f t="shared" si="141"/>
        <v/>
      </c>
      <c r="Y287" s="2" t="str">
        <f t="shared" si="142"/>
        <v/>
      </c>
      <c r="Z287" s="2" t="str">
        <f t="shared" si="157"/>
        <v/>
      </c>
      <c r="AA287" s="2" t="str">
        <f t="shared" si="158"/>
        <v/>
      </c>
      <c r="AB287" s="2" t="str">
        <f t="shared" si="159"/>
        <v/>
      </c>
      <c r="AC287" s="2" t="str">
        <f t="shared" si="143"/>
        <v/>
      </c>
      <c r="AD287" s="2" t="str">
        <f t="shared" si="144"/>
        <v/>
      </c>
      <c r="AE287" s="2" t="str">
        <f t="shared" si="145"/>
        <v/>
      </c>
      <c r="AF287" s="2" t="str">
        <f t="shared" si="146"/>
        <v/>
      </c>
    </row>
    <row r="288" spans="1:32" x14ac:dyDescent="0.2">
      <c r="A288" s="2" t="str">
        <f t="shared" si="147"/>
        <v/>
      </c>
      <c r="B288" s="2" t="str">
        <f t="shared" si="128"/>
        <v/>
      </c>
      <c r="C288" s="2" t="str">
        <f t="shared" si="129"/>
        <v/>
      </c>
      <c r="D288" s="2" t="str">
        <f t="shared" si="130"/>
        <v/>
      </c>
      <c r="E288" s="2" t="str">
        <f t="shared" si="131"/>
        <v/>
      </c>
      <c r="F288" s="2" t="str">
        <f t="shared" si="132"/>
        <v/>
      </c>
      <c r="G288" s="2" t="str">
        <f t="shared" si="133"/>
        <v/>
      </c>
      <c r="H288" s="2" t="str">
        <f t="shared" si="148"/>
        <v/>
      </c>
      <c r="I288" s="2" t="str">
        <f t="shared" si="149"/>
        <v/>
      </c>
      <c r="J288" s="2" t="str">
        <f t="shared" si="150"/>
        <v/>
      </c>
      <c r="K288" s="2" t="str">
        <f t="shared" si="134"/>
        <v/>
      </c>
      <c r="L288" s="2" t="str">
        <f t="shared" si="135"/>
        <v/>
      </c>
      <c r="M288" s="2" t="str">
        <f t="shared" si="136"/>
        <v/>
      </c>
      <c r="N288" s="2" t="str">
        <f t="shared" si="151"/>
        <v/>
      </c>
      <c r="O288" s="2" t="str">
        <f t="shared" si="152"/>
        <v/>
      </c>
      <c r="P288" s="2" t="str">
        <f t="shared" si="153"/>
        <v/>
      </c>
      <c r="Q288" s="2" t="str">
        <f t="shared" si="137"/>
        <v/>
      </c>
      <c r="R288" s="2" t="str">
        <f t="shared" si="138"/>
        <v/>
      </c>
      <c r="S288" s="2" t="str">
        <f t="shared" si="139"/>
        <v/>
      </c>
      <c r="T288" s="2" t="str">
        <f t="shared" si="154"/>
        <v/>
      </c>
      <c r="U288" s="2" t="str">
        <f t="shared" si="155"/>
        <v/>
      </c>
      <c r="V288" s="2" t="str">
        <f t="shared" si="156"/>
        <v/>
      </c>
      <c r="W288" s="2" t="str">
        <f t="shared" si="140"/>
        <v/>
      </c>
      <c r="X288" s="2" t="str">
        <f t="shared" si="141"/>
        <v/>
      </c>
      <c r="Y288" s="2" t="str">
        <f t="shared" si="142"/>
        <v/>
      </c>
      <c r="Z288" s="2" t="str">
        <f t="shared" si="157"/>
        <v/>
      </c>
      <c r="AA288" s="2" t="str">
        <f t="shared" si="158"/>
        <v/>
      </c>
      <c r="AB288" s="2" t="str">
        <f t="shared" si="159"/>
        <v/>
      </c>
      <c r="AC288" s="2" t="str">
        <f t="shared" si="143"/>
        <v/>
      </c>
      <c r="AD288" s="2" t="str">
        <f t="shared" si="144"/>
        <v/>
      </c>
      <c r="AE288" s="2" t="str">
        <f t="shared" si="145"/>
        <v/>
      </c>
      <c r="AF288" s="2" t="str">
        <f t="shared" si="146"/>
        <v/>
      </c>
    </row>
    <row r="289" spans="1:32" x14ac:dyDescent="0.2">
      <c r="A289" s="2" t="str">
        <f t="shared" si="147"/>
        <v/>
      </c>
      <c r="B289" s="2" t="str">
        <f t="shared" si="128"/>
        <v/>
      </c>
      <c r="C289" s="2" t="str">
        <f t="shared" si="129"/>
        <v/>
      </c>
      <c r="D289" s="2" t="str">
        <f t="shared" si="130"/>
        <v/>
      </c>
      <c r="E289" s="2" t="str">
        <f t="shared" si="131"/>
        <v/>
      </c>
      <c r="F289" s="2" t="str">
        <f t="shared" si="132"/>
        <v/>
      </c>
      <c r="G289" s="2" t="str">
        <f t="shared" si="133"/>
        <v/>
      </c>
      <c r="H289" s="2" t="str">
        <f t="shared" si="148"/>
        <v/>
      </c>
      <c r="I289" s="2" t="str">
        <f t="shared" si="149"/>
        <v/>
      </c>
      <c r="J289" s="2" t="str">
        <f t="shared" si="150"/>
        <v/>
      </c>
      <c r="K289" s="2" t="str">
        <f t="shared" si="134"/>
        <v/>
      </c>
      <c r="L289" s="2" t="str">
        <f t="shared" si="135"/>
        <v/>
      </c>
      <c r="M289" s="2" t="str">
        <f t="shared" si="136"/>
        <v/>
      </c>
      <c r="N289" s="2" t="str">
        <f t="shared" si="151"/>
        <v/>
      </c>
      <c r="O289" s="2" t="str">
        <f t="shared" si="152"/>
        <v/>
      </c>
      <c r="P289" s="2" t="str">
        <f t="shared" si="153"/>
        <v/>
      </c>
      <c r="Q289" s="2" t="str">
        <f t="shared" si="137"/>
        <v/>
      </c>
      <c r="R289" s="2" t="str">
        <f t="shared" si="138"/>
        <v/>
      </c>
      <c r="S289" s="2" t="str">
        <f t="shared" si="139"/>
        <v/>
      </c>
      <c r="T289" s="2" t="str">
        <f t="shared" si="154"/>
        <v/>
      </c>
      <c r="U289" s="2" t="str">
        <f t="shared" si="155"/>
        <v/>
      </c>
      <c r="V289" s="2" t="str">
        <f t="shared" si="156"/>
        <v/>
      </c>
      <c r="W289" s="2" t="str">
        <f t="shared" si="140"/>
        <v/>
      </c>
      <c r="X289" s="2" t="str">
        <f t="shared" si="141"/>
        <v/>
      </c>
      <c r="Y289" s="2" t="str">
        <f t="shared" si="142"/>
        <v/>
      </c>
      <c r="Z289" s="2" t="str">
        <f t="shared" si="157"/>
        <v/>
      </c>
      <c r="AA289" s="2" t="str">
        <f t="shared" si="158"/>
        <v/>
      </c>
      <c r="AB289" s="2" t="str">
        <f t="shared" si="159"/>
        <v/>
      </c>
      <c r="AC289" s="2" t="str">
        <f t="shared" si="143"/>
        <v/>
      </c>
      <c r="AD289" s="2" t="str">
        <f t="shared" si="144"/>
        <v/>
      </c>
      <c r="AE289" s="2" t="str">
        <f t="shared" si="145"/>
        <v/>
      </c>
      <c r="AF289" s="2" t="str">
        <f t="shared" si="146"/>
        <v/>
      </c>
    </row>
    <row r="290" spans="1:32" x14ac:dyDescent="0.2">
      <c r="A290" s="2" t="str">
        <f t="shared" si="147"/>
        <v/>
      </c>
      <c r="B290" s="2" t="str">
        <f t="shared" si="128"/>
        <v/>
      </c>
      <c r="C290" s="2" t="str">
        <f t="shared" si="129"/>
        <v/>
      </c>
      <c r="D290" s="2" t="str">
        <f t="shared" si="130"/>
        <v/>
      </c>
      <c r="E290" s="2" t="str">
        <f t="shared" si="131"/>
        <v/>
      </c>
      <c r="F290" s="2" t="str">
        <f t="shared" si="132"/>
        <v/>
      </c>
      <c r="G290" s="2" t="str">
        <f t="shared" si="133"/>
        <v/>
      </c>
      <c r="H290" s="2" t="str">
        <f t="shared" si="148"/>
        <v/>
      </c>
      <c r="I290" s="2" t="str">
        <f t="shared" si="149"/>
        <v/>
      </c>
      <c r="J290" s="2" t="str">
        <f t="shared" si="150"/>
        <v/>
      </c>
      <c r="K290" s="2" t="str">
        <f t="shared" si="134"/>
        <v/>
      </c>
      <c r="L290" s="2" t="str">
        <f t="shared" si="135"/>
        <v/>
      </c>
      <c r="M290" s="2" t="str">
        <f t="shared" si="136"/>
        <v/>
      </c>
      <c r="N290" s="2" t="str">
        <f t="shared" si="151"/>
        <v/>
      </c>
      <c r="O290" s="2" t="str">
        <f t="shared" si="152"/>
        <v/>
      </c>
      <c r="P290" s="2" t="str">
        <f t="shared" si="153"/>
        <v/>
      </c>
      <c r="Q290" s="2" t="str">
        <f t="shared" si="137"/>
        <v/>
      </c>
      <c r="R290" s="2" t="str">
        <f t="shared" si="138"/>
        <v/>
      </c>
      <c r="S290" s="2" t="str">
        <f t="shared" si="139"/>
        <v/>
      </c>
      <c r="T290" s="2" t="str">
        <f t="shared" si="154"/>
        <v/>
      </c>
      <c r="U290" s="2" t="str">
        <f t="shared" si="155"/>
        <v/>
      </c>
      <c r="V290" s="2" t="str">
        <f t="shared" si="156"/>
        <v/>
      </c>
      <c r="W290" s="2" t="str">
        <f t="shared" si="140"/>
        <v/>
      </c>
      <c r="X290" s="2" t="str">
        <f t="shared" si="141"/>
        <v/>
      </c>
      <c r="Y290" s="2" t="str">
        <f t="shared" si="142"/>
        <v/>
      </c>
      <c r="Z290" s="2" t="str">
        <f t="shared" si="157"/>
        <v/>
      </c>
      <c r="AA290" s="2" t="str">
        <f t="shared" si="158"/>
        <v/>
      </c>
      <c r="AB290" s="2" t="str">
        <f t="shared" si="159"/>
        <v/>
      </c>
      <c r="AC290" s="2" t="str">
        <f t="shared" si="143"/>
        <v/>
      </c>
      <c r="AD290" s="2" t="str">
        <f t="shared" si="144"/>
        <v/>
      </c>
      <c r="AE290" s="2" t="str">
        <f t="shared" si="145"/>
        <v/>
      </c>
      <c r="AF290" s="2" t="str">
        <f t="shared" si="146"/>
        <v/>
      </c>
    </row>
    <row r="291" spans="1:32" x14ac:dyDescent="0.2">
      <c r="A291" s="2" t="str">
        <f t="shared" si="147"/>
        <v/>
      </c>
      <c r="B291" s="2" t="str">
        <f t="shared" si="128"/>
        <v/>
      </c>
      <c r="C291" s="2" t="str">
        <f t="shared" si="129"/>
        <v/>
      </c>
      <c r="D291" s="2" t="str">
        <f t="shared" si="130"/>
        <v/>
      </c>
      <c r="E291" s="2" t="str">
        <f t="shared" si="131"/>
        <v/>
      </c>
      <c r="F291" s="2" t="str">
        <f t="shared" si="132"/>
        <v/>
      </c>
      <c r="G291" s="2" t="str">
        <f t="shared" si="133"/>
        <v/>
      </c>
      <c r="H291" s="2" t="str">
        <f t="shared" si="148"/>
        <v/>
      </c>
      <c r="I291" s="2" t="str">
        <f t="shared" si="149"/>
        <v/>
      </c>
      <c r="J291" s="2" t="str">
        <f t="shared" si="150"/>
        <v/>
      </c>
      <c r="K291" s="2" t="str">
        <f t="shared" si="134"/>
        <v/>
      </c>
      <c r="L291" s="2" t="str">
        <f t="shared" si="135"/>
        <v/>
      </c>
      <c r="M291" s="2" t="str">
        <f t="shared" si="136"/>
        <v/>
      </c>
      <c r="N291" s="2" t="str">
        <f t="shared" si="151"/>
        <v/>
      </c>
      <c r="O291" s="2" t="str">
        <f t="shared" si="152"/>
        <v/>
      </c>
      <c r="P291" s="2" t="str">
        <f t="shared" si="153"/>
        <v/>
      </c>
      <c r="Q291" s="2" t="str">
        <f t="shared" si="137"/>
        <v/>
      </c>
      <c r="R291" s="2" t="str">
        <f t="shared" si="138"/>
        <v/>
      </c>
      <c r="S291" s="2" t="str">
        <f t="shared" si="139"/>
        <v/>
      </c>
      <c r="T291" s="2" t="str">
        <f t="shared" si="154"/>
        <v/>
      </c>
      <c r="U291" s="2" t="str">
        <f t="shared" si="155"/>
        <v/>
      </c>
      <c r="V291" s="2" t="str">
        <f t="shared" si="156"/>
        <v/>
      </c>
      <c r="W291" s="2" t="str">
        <f t="shared" si="140"/>
        <v/>
      </c>
      <c r="X291" s="2" t="str">
        <f t="shared" si="141"/>
        <v/>
      </c>
      <c r="Y291" s="2" t="str">
        <f t="shared" si="142"/>
        <v/>
      </c>
      <c r="Z291" s="2" t="str">
        <f t="shared" si="157"/>
        <v/>
      </c>
      <c r="AA291" s="2" t="str">
        <f t="shared" si="158"/>
        <v/>
      </c>
      <c r="AB291" s="2" t="str">
        <f t="shared" si="159"/>
        <v/>
      </c>
      <c r="AC291" s="2" t="str">
        <f t="shared" si="143"/>
        <v/>
      </c>
      <c r="AD291" s="2" t="str">
        <f t="shared" si="144"/>
        <v/>
      </c>
      <c r="AE291" s="2" t="str">
        <f t="shared" si="145"/>
        <v/>
      </c>
      <c r="AF291" s="2" t="str">
        <f t="shared" si="146"/>
        <v/>
      </c>
    </row>
    <row r="292" spans="1:32" x14ac:dyDescent="0.2">
      <c r="A292" s="2" t="str">
        <f t="shared" si="147"/>
        <v/>
      </c>
      <c r="B292" s="2" t="str">
        <f t="shared" si="128"/>
        <v/>
      </c>
      <c r="C292" s="2" t="str">
        <f t="shared" si="129"/>
        <v/>
      </c>
      <c r="D292" s="2" t="str">
        <f t="shared" si="130"/>
        <v/>
      </c>
      <c r="E292" s="2" t="str">
        <f t="shared" si="131"/>
        <v/>
      </c>
      <c r="F292" s="2" t="str">
        <f t="shared" si="132"/>
        <v/>
      </c>
      <c r="G292" s="2" t="str">
        <f t="shared" si="133"/>
        <v/>
      </c>
      <c r="H292" s="2" t="str">
        <f t="shared" si="148"/>
        <v/>
      </c>
      <c r="I292" s="2" t="str">
        <f t="shared" si="149"/>
        <v/>
      </c>
      <c r="J292" s="2" t="str">
        <f t="shared" si="150"/>
        <v/>
      </c>
      <c r="K292" s="2" t="str">
        <f t="shared" si="134"/>
        <v/>
      </c>
      <c r="L292" s="2" t="str">
        <f t="shared" si="135"/>
        <v/>
      </c>
      <c r="M292" s="2" t="str">
        <f t="shared" si="136"/>
        <v/>
      </c>
      <c r="N292" s="2" t="str">
        <f t="shared" si="151"/>
        <v/>
      </c>
      <c r="O292" s="2" t="str">
        <f t="shared" si="152"/>
        <v/>
      </c>
      <c r="P292" s="2" t="str">
        <f t="shared" si="153"/>
        <v/>
      </c>
      <c r="Q292" s="2" t="str">
        <f t="shared" si="137"/>
        <v/>
      </c>
      <c r="R292" s="2" t="str">
        <f t="shared" si="138"/>
        <v/>
      </c>
      <c r="S292" s="2" t="str">
        <f t="shared" si="139"/>
        <v/>
      </c>
      <c r="T292" s="2" t="str">
        <f t="shared" si="154"/>
        <v/>
      </c>
      <c r="U292" s="2" t="str">
        <f t="shared" si="155"/>
        <v/>
      </c>
      <c r="V292" s="2" t="str">
        <f t="shared" si="156"/>
        <v/>
      </c>
      <c r="W292" s="2" t="str">
        <f t="shared" si="140"/>
        <v/>
      </c>
      <c r="X292" s="2" t="str">
        <f t="shared" si="141"/>
        <v/>
      </c>
      <c r="Y292" s="2" t="str">
        <f t="shared" si="142"/>
        <v/>
      </c>
      <c r="Z292" s="2" t="str">
        <f t="shared" si="157"/>
        <v/>
      </c>
      <c r="AA292" s="2" t="str">
        <f t="shared" si="158"/>
        <v/>
      </c>
      <c r="AB292" s="2" t="str">
        <f t="shared" si="159"/>
        <v/>
      </c>
      <c r="AC292" s="2" t="str">
        <f t="shared" si="143"/>
        <v/>
      </c>
      <c r="AD292" s="2" t="str">
        <f t="shared" si="144"/>
        <v/>
      </c>
      <c r="AE292" s="2" t="str">
        <f t="shared" si="145"/>
        <v/>
      </c>
      <c r="AF292" s="2" t="str">
        <f t="shared" si="146"/>
        <v/>
      </c>
    </row>
    <row r="293" spans="1:32" x14ac:dyDescent="0.2">
      <c r="A293" s="2" t="str">
        <f t="shared" si="147"/>
        <v/>
      </c>
      <c r="B293" s="2" t="str">
        <f t="shared" si="128"/>
        <v/>
      </c>
      <c r="C293" s="2" t="str">
        <f t="shared" si="129"/>
        <v/>
      </c>
      <c r="D293" s="2" t="str">
        <f t="shared" si="130"/>
        <v/>
      </c>
      <c r="E293" s="2" t="str">
        <f t="shared" si="131"/>
        <v/>
      </c>
      <c r="F293" s="2" t="str">
        <f t="shared" si="132"/>
        <v/>
      </c>
      <c r="G293" s="2" t="str">
        <f t="shared" si="133"/>
        <v/>
      </c>
      <c r="H293" s="2" t="str">
        <f t="shared" si="148"/>
        <v/>
      </c>
      <c r="I293" s="2" t="str">
        <f t="shared" si="149"/>
        <v/>
      </c>
      <c r="J293" s="2" t="str">
        <f t="shared" si="150"/>
        <v/>
      </c>
      <c r="K293" s="2" t="str">
        <f t="shared" si="134"/>
        <v/>
      </c>
      <c r="L293" s="2" t="str">
        <f t="shared" si="135"/>
        <v/>
      </c>
      <c r="M293" s="2" t="str">
        <f t="shared" si="136"/>
        <v/>
      </c>
      <c r="N293" s="2" t="str">
        <f t="shared" si="151"/>
        <v/>
      </c>
      <c r="O293" s="2" t="str">
        <f t="shared" si="152"/>
        <v/>
      </c>
      <c r="P293" s="2" t="str">
        <f t="shared" si="153"/>
        <v/>
      </c>
      <c r="Q293" s="2" t="str">
        <f t="shared" si="137"/>
        <v/>
      </c>
      <c r="R293" s="2" t="str">
        <f t="shared" si="138"/>
        <v/>
      </c>
      <c r="S293" s="2" t="str">
        <f t="shared" si="139"/>
        <v/>
      </c>
      <c r="T293" s="2" t="str">
        <f t="shared" si="154"/>
        <v/>
      </c>
      <c r="U293" s="2" t="str">
        <f t="shared" si="155"/>
        <v/>
      </c>
      <c r="V293" s="2" t="str">
        <f t="shared" si="156"/>
        <v/>
      </c>
      <c r="W293" s="2" t="str">
        <f t="shared" si="140"/>
        <v/>
      </c>
      <c r="X293" s="2" t="str">
        <f t="shared" si="141"/>
        <v/>
      </c>
      <c r="Y293" s="2" t="str">
        <f t="shared" si="142"/>
        <v/>
      </c>
      <c r="Z293" s="2" t="str">
        <f t="shared" si="157"/>
        <v/>
      </c>
      <c r="AA293" s="2" t="str">
        <f t="shared" si="158"/>
        <v/>
      </c>
      <c r="AB293" s="2" t="str">
        <f t="shared" si="159"/>
        <v/>
      </c>
      <c r="AC293" s="2" t="str">
        <f t="shared" si="143"/>
        <v/>
      </c>
      <c r="AD293" s="2" t="str">
        <f t="shared" si="144"/>
        <v/>
      </c>
      <c r="AE293" s="2" t="str">
        <f t="shared" si="145"/>
        <v/>
      </c>
      <c r="AF293" s="2" t="str">
        <f t="shared" si="146"/>
        <v/>
      </c>
    </row>
    <row r="294" spans="1:32" x14ac:dyDescent="0.2">
      <c r="A294" s="2" t="str">
        <f t="shared" si="147"/>
        <v/>
      </c>
      <c r="B294" s="2" t="str">
        <f t="shared" si="128"/>
        <v/>
      </c>
      <c r="C294" s="2" t="str">
        <f t="shared" si="129"/>
        <v/>
      </c>
      <c r="D294" s="2" t="str">
        <f t="shared" si="130"/>
        <v/>
      </c>
      <c r="E294" s="2" t="str">
        <f t="shared" si="131"/>
        <v/>
      </c>
      <c r="F294" s="2" t="str">
        <f t="shared" si="132"/>
        <v/>
      </c>
      <c r="G294" s="2" t="str">
        <f t="shared" si="133"/>
        <v/>
      </c>
      <c r="H294" s="2" t="str">
        <f t="shared" si="148"/>
        <v/>
      </c>
      <c r="I294" s="2" t="str">
        <f t="shared" si="149"/>
        <v/>
      </c>
      <c r="J294" s="2" t="str">
        <f t="shared" si="150"/>
        <v/>
      </c>
      <c r="K294" s="2" t="str">
        <f t="shared" si="134"/>
        <v/>
      </c>
      <c r="L294" s="2" t="str">
        <f t="shared" si="135"/>
        <v/>
      </c>
      <c r="M294" s="2" t="str">
        <f t="shared" si="136"/>
        <v/>
      </c>
      <c r="N294" s="2" t="str">
        <f t="shared" si="151"/>
        <v/>
      </c>
      <c r="O294" s="2" t="str">
        <f t="shared" si="152"/>
        <v/>
      </c>
      <c r="P294" s="2" t="str">
        <f t="shared" si="153"/>
        <v/>
      </c>
      <c r="Q294" s="2" t="str">
        <f t="shared" si="137"/>
        <v/>
      </c>
      <c r="R294" s="2" t="str">
        <f t="shared" si="138"/>
        <v/>
      </c>
      <c r="S294" s="2" t="str">
        <f t="shared" si="139"/>
        <v/>
      </c>
      <c r="T294" s="2" t="str">
        <f t="shared" si="154"/>
        <v/>
      </c>
      <c r="U294" s="2" t="str">
        <f t="shared" si="155"/>
        <v/>
      </c>
      <c r="V294" s="2" t="str">
        <f t="shared" si="156"/>
        <v/>
      </c>
      <c r="W294" s="2" t="str">
        <f t="shared" si="140"/>
        <v/>
      </c>
      <c r="X294" s="2" t="str">
        <f t="shared" si="141"/>
        <v/>
      </c>
      <c r="Y294" s="2" t="str">
        <f t="shared" si="142"/>
        <v/>
      </c>
      <c r="Z294" s="2" t="str">
        <f t="shared" si="157"/>
        <v/>
      </c>
      <c r="AA294" s="2" t="str">
        <f t="shared" si="158"/>
        <v/>
      </c>
      <c r="AB294" s="2" t="str">
        <f t="shared" si="159"/>
        <v/>
      </c>
      <c r="AC294" s="2" t="str">
        <f t="shared" si="143"/>
        <v/>
      </c>
      <c r="AD294" s="2" t="str">
        <f t="shared" si="144"/>
        <v/>
      </c>
      <c r="AE294" s="2" t="str">
        <f t="shared" si="145"/>
        <v/>
      </c>
      <c r="AF294" s="2" t="str">
        <f t="shared" si="146"/>
        <v/>
      </c>
    </row>
    <row r="295" spans="1:32" x14ac:dyDescent="0.2">
      <c r="A295" s="2" t="str">
        <f t="shared" si="147"/>
        <v/>
      </c>
      <c r="B295" s="2" t="str">
        <f t="shared" si="128"/>
        <v/>
      </c>
      <c r="C295" s="2" t="str">
        <f t="shared" si="129"/>
        <v/>
      </c>
      <c r="D295" s="2" t="str">
        <f t="shared" si="130"/>
        <v/>
      </c>
      <c r="E295" s="2" t="str">
        <f t="shared" si="131"/>
        <v/>
      </c>
      <c r="F295" s="2" t="str">
        <f t="shared" si="132"/>
        <v/>
      </c>
      <c r="G295" s="2" t="str">
        <f t="shared" si="133"/>
        <v/>
      </c>
      <c r="H295" s="2" t="str">
        <f t="shared" si="148"/>
        <v/>
      </c>
      <c r="I295" s="2" t="str">
        <f t="shared" si="149"/>
        <v/>
      </c>
      <c r="J295" s="2" t="str">
        <f t="shared" si="150"/>
        <v/>
      </c>
      <c r="K295" s="2" t="str">
        <f t="shared" si="134"/>
        <v/>
      </c>
      <c r="L295" s="2" t="str">
        <f t="shared" si="135"/>
        <v/>
      </c>
      <c r="M295" s="2" t="str">
        <f t="shared" si="136"/>
        <v/>
      </c>
      <c r="N295" s="2" t="str">
        <f t="shared" si="151"/>
        <v/>
      </c>
      <c r="O295" s="2" t="str">
        <f t="shared" si="152"/>
        <v/>
      </c>
      <c r="P295" s="2" t="str">
        <f t="shared" si="153"/>
        <v/>
      </c>
      <c r="Q295" s="2" t="str">
        <f t="shared" si="137"/>
        <v/>
      </c>
      <c r="R295" s="2" t="str">
        <f t="shared" si="138"/>
        <v/>
      </c>
      <c r="S295" s="2" t="str">
        <f t="shared" si="139"/>
        <v/>
      </c>
      <c r="T295" s="2" t="str">
        <f t="shared" si="154"/>
        <v/>
      </c>
      <c r="U295" s="2" t="str">
        <f t="shared" si="155"/>
        <v/>
      </c>
      <c r="V295" s="2" t="str">
        <f t="shared" si="156"/>
        <v/>
      </c>
      <c r="W295" s="2" t="str">
        <f t="shared" si="140"/>
        <v/>
      </c>
      <c r="X295" s="2" t="str">
        <f t="shared" si="141"/>
        <v/>
      </c>
      <c r="Y295" s="2" t="str">
        <f t="shared" si="142"/>
        <v/>
      </c>
      <c r="Z295" s="2" t="str">
        <f t="shared" si="157"/>
        <v/>
      </c>
      <c r="AA295" s="2" t="str">
        <f t="shared" si="158"/>
        <v/>
      </c>
      <c r="AB295" s="2" t="str">
        <f t="shared" si="159"/>
        <v/>
      </c>
      <c r="AC295" s="2" t="str">
        <f t="shared" si="143"/>
        <v/>
      </c>
      <c r="AD295" s="2" t="str">
        <f t="shared" si="144"/>
        <v/>
      </c>
      <c r="AE295" s="2" t="str">
        <f t="shared" si="145"/>
        <v/>
      </c>
      <c r="AF295" s="2" t="str">
        <f t="shared" si="146"/>
        <v/>
      </c>
    </row>
    <row r="296" spans="1:32" x14ac:dyDescent="0.2">
      <c r="A296" s="2" t="str">
        <f t="shared" si="147"/>
        <v/>
      </c>
      <c r="B296" s="2" t="str">
        <f t="shared" si="128"/>
        <v/>
      </c>
      <c r="C296" s="2" t="str">
        <f t="shared" si="129"/>
        <v/>
      </c>
      <c r="D296" s="2" t="str">
        <f t="shared" si="130"/>
        <v/>
      </c>
      <c r="E296" s="2" t="str">
        <f t="shared" si="131"/>
        <v/>
      </c>
      <c r="F296" s="2" t="str">
        <f t="shared" si="132"/>
        <v/>
      </c>
      <c r="G296" s="2" t="str">
        <f t="shared" si="133"/>
        <v/>
      </c>
      <c r="H296" s="2" t="str">
        <f t="shared" si="148"/>
        <v/>
      </c>
      <c r="I296" s="2" t="str">
        <f t="shared" si="149"/>
        <v/>
      </c>
      <c r="J296" s="2" t="str">
        <f t="shared" si="150"/>
        <v/>
      </c>
      <c r="K296" s="2" t="str">
        <f t="shared" si="134"/>
        <v/>
      </c>
      <c r="L296" s="2" t="str">
        <f t="shared" si="135"/>
        <v/>
      </c>
      <c r="M296" s="2" t="str">
        <f t="shared" si="136"/>
        <v/>
      </c>
      <c r="N296" s="2" t="str">
        <f t="shared" si="151"/>
        <v/>
      </c>
      <c r="O296" s="2" t="str">
        <f t="shared" si="152"/>
        <v/>
      </c>
      <c r="P296" s="2" t="str">
        <f t="shared" si="153"/>
        <v/>
      </c>
      <c r="Q296" s="2" t="str">
        <f t="shared" si="137"/>
        <v/>
      </c>
      <c r="R296" s="2" t="str">
        <f t="shared" si="138"/>
        <v/>
      </c>
      <c r="S296" s="2" t="str">
        <f t="shared" si="139"/>
        <v/>
      </c>
      <c r="T296" s="2" t="str">
        <f t="shared" si="154"/>
        <v/>
      </c>
      <c r="U296" s="2" t="str">
        <f t="shared" si="155"/>
        <v/>
      </c>
      <c r="V296" s="2" t="str">
        <f t="shared" si="156"/>
        <v/>
      </c>
      <c r="W296" s="2" t="str">
        <f t="shared" si="140"/>
        <v/>
      </c>
      <c r="X296" s="2" t="str">
        <f t="shared" si="141"/>
        <v/>
      </c>
      <c r="Y296" s="2" t="str">
        <f t="shared" si="142"/>
        <v/>
      </c>
      <c r="Z296" s="2" t="str">
        <f t="shared" si="157"/>
        <v/>
      </c>
      <c r="AA296" s="2" t="str">
        <f t="shared" si="158"/>
        <v/>
      </c>
      <c r="AB296" s="2" t="str">
        <f t="shared" si="159"/>
        <v/>
      </c>
      <c r="AC296" s="2" t="str">
        <f t="shared" si="143"/>
        <v/>
      </c>
      <c r="AD296" s="2" t="str">
        <f t="shared" si="144"/>
        <v/>
      </c>
      <c r="AE296" s="2" t="str">
        <f t="shared" si="145"/>
        <v/>
      </c>
      <c r="AF296" s="2" t="str">
        <f t="shared" si="146"/>
        <v/>
      </c>
    </row>
    <row r="297" spans="1:32" x14ac:dyDescent="0.2">
      <c r="A297" s="2" t="str">
        <f t="shared" si="147"/>
        <v/>
      </c>
      <c r="B297" s="2" t="str">
        <f t="shared" si="128"/>
        <v/>
      </c>
      <c r="C297" s="2" t="str">
        <f t="shared" si="129"/>
        <v/>
      </c>
      <c r="D297" s="2" t="str">
        <f t="shared" si="130"/>
        <v/>
      </c>
      <c r="E297" s="2" t="str">
        <f t="shared" si="131"/>
        <v/>
      </c>
      <c r="F297" s="2" t="str">
        <f t="shared" si="132"/>
        <v/>
      </c>
      <c r="G297" s="2" t="str">
        <f t="shared" si="133"/>
        <v/>
      </c>
      <c r="H297" s="2" t="str">
        <f t="shared" si="148"/>
        <v/>
      </c>
      <c r="I297" s="2" t="str">
        <f t="shared" si="149"/>
        <v/>
      </c>
      <c r="J297" s="2" t="str">
        <f t="shared" si="150"/>
        <v/>
      </c>
      <c r="K297" s="2" t="str">
        <f t="shared" si="134"/>
        <v/>
      </c>
      <c r="L297" s="2" t="str">
        <f t="shared" si="135"/>
        <v/>
      </c>
      <c r="M297" s="2" t="str">
        <f t="shared" si="136"/>
        <v/>
      </c>
      <c r="N297" s="2" t="str">
        <f t="shared" si="151"/>
        <v/>
      </c>
      <c r="O297" s="2" t="str">
        <f t="shared" si="152"/>
        <v/>
      </c>
      <c r="P297" s="2" t="str">
        <f t="shared" si="153"/>
        <v/>
      </c>
      <c r="Q297" s="2" t="str">
        <f t="shared" si="137"/>
        <v/>
      </c>
      <c r="R297" s="2" t="str">
        <f t="shared" si="138"/>
        <v/>
      </c>
      <c r="S297" s="2" t="str">
        <f t="shared" si="139"/>
        <v/>
      </c>
      <c r="T297" s="2" t="str">
        <f t="shared" si="154"/>
        <v/>
      </c>
      <c r="U297" s="2" t="str">
        <f t="shared" si="155"/>
        <v/>
      </c>
      <c r="V297" s="2" t="str">
        <f t="shared" si="156"/>
        <v/>
      </c>
      <c r="W297" s="2" t="str">
        <f t="shared" si="140"/>
        <v/>
      </c>
      <c r="X297" s="2" t="str">
        <f t="shared" si="141"/>
        <v/>
      </c>
      <c r="Y297" s="2" t="str">
        <f t="shared" si="142"/>
        <v/>
      </c>
      <c r="Z297" s="2" t="str">
        <f t="shared" si="157"/>
        <v/>
      </c>
      <c r="AA297" s="2" t="str">
        <f t="shared" si="158"/>
        <v/>
      </c>
      <c r="AB297" s="2" t="str">
        <f t="shared" si="159"/>
        <v/>
      </c>
      <c r="AC297" s="2" t="str">
        <f t="shared" si="143"/>
        <v/>
      </c>
      <c r="AD297" s="2" t="str">
        <f t="shared" si="144"/>
        <v/>
      </c>
      <c r="AE297" s="2" t="str">
        <f t="shared" si="145"/>
        <v/>
      </c>
      <c r="AF297" s="2" t="str">
        <f t="shared" si="146"/>
        <v/>
      </c>
    </row>
    <row r="298" spans="1:32" x14ac:dyDescent="0.2">
      <c r="A298" s="2" t="str">
        <f t="shared" si="147"/>
        <v/>
      </c>
      <c r="B298" s="2" t="str">
        <f t="shared" si="128"/>
        <v/>
      </c>
      <c r="C298" s="2" t="str">
        <f t="shared" si="129"/>
        <v/>
      </c>
      <c r="D298" s="2" t="str">
        <f t="shared" si="130"/>
        <v/>
      </c>
      <c r="E298" s="2" t="str">
        <f t="shared" si="131"/>
        <v/>
      </c>
      <c r="F298" s="2" t="str">
        <f t="shared" si="132"/>
        <v/>
      </c>
      <c r="G298" s="2" t="str">
        <f t="shared" si="133"/>
        <v/>
      </c>
      <c r="H298" s="2" t="str">
        <f t="shared" si="148"/>
        <v/>
      </c>
      <c r="I298" s="2" t="str">
        <f t="shared" si="149"/>
        <v/>
      </c>
      <c r="J298" s="2" t="str">
        <f t="shared" si="150"/>
        <v/>
      </c>
      <c r="K298" s="2" t="str">
        <f t="shared" si="134"/>
        <v/>
      </c>
      <c r="L298" s="2" t="str">
        <f t="shared" si="135"/>
        <v/>
      </c>
      <c r="M298" s="2" t="str">
        <f t="shared" si="136"/>
        <v/>
      </c>
      <c r="N298" s="2" t="str">
        <f t="shared" si="151"/>
        <v/>
      </c>
      <c r="O298" s="2" t="str">
        <f t="shared" si="152"/>
        <v/>
      </c>
      <c r="P298" s="2" t="str">
        <f t="shared" si="153"/>
        <v/>
      </c>
      <c r="Q298" s="2" t="str">
        <f t="shared" si="137"/>
        <v/>
      </c>
      <c r="R298" s="2" t="str">
        <f t="shared" si="138"/>
        <v/>
      </c>
      <c r="S298" s="2" t="str">
        <f t="shared" si="139"/>
        <v/>
      </c>
      <c r="T298" s="2" t="str">
        <f t="shared" si="154"/>
        <v/>
      </c>
      <c r="U298" s="2" t="str">
        <f t="shared" si="155"/>
        <v/>
      </c>
      <c r="V298" s="2" t="str">
        <f t="shared" si="156"/>
        <v/>
      </c>
      <c r="W298" s="2" t="str">
        <f t="shared" si="140"/>
        <v/>
      </c>
      <c r="X298" s="2" t="str">
        <f t="shared" si="141"/>
        <v/>
      </c>
      <c r="Y298" s="2" t="str">
        <f t="shared" si="142"/>
        <v/>
      </c>
      <c r="Z298" s="2" t="str">
        <f t="shared" si="157"/>
        <v/>
      </c>
      <c r="AA298" s="2" t="str">
        <f t="shared" si="158"/>
        <v/>
      </c>
      <c r="AB298" s="2" t="str">
        <f t="shared" si="159"/>
        <v/>
      </c>
      <c r="AC298" s="2" t="str">
        <f t="shared" si="143"/>
        <v/>
      </c>
      <c r="AD298" s="2" t="str">
        <f t="shared" si="144"/>
        <v/>
      </c>
      <c r="AE298" s="2" t="str">
        <f t="shared" si="145"/>
        <v/>
      </c>
      <c r="AF298" s="2" t="str">
        <f t="shared" si="146"/>
        <v/>
      </c>
    </row>
    <row r="299" spans="1:32" x14ac:dyDescent="0.2">
      <c r="A299" s="2" t="str">
        <f t="shared" si="147"/>
        <v/>
      </c>
      <c r="B299" s="2" t="str">
        <f t="shared" si="128"/>
        <v/>
      </c>
      <c r="C299" s="2" t="str">
        <f t="shared" si="129"/>
        <v/>
      </c>
      <c r="D299" s="2" t="str">
        <f t="shared" si="130"/>
        <v/>
      </c>
      <c r="E299" s="2" t="str">
        <f t="shared" si="131"/>
        <v/>
      </c>
      <c r="F299" s="2" t="str">
        <f t="shared" si="132"/>
        <v/>
      </c>
      <c r="G299" s="2" t="str">
        <f t="shared" si="133"/>
        <v/>
      </c>
      <c r="H299" s="2" t="str">
        <f t="shared" si="148"/>
        <v/>
      </c>
      <c r="I299" s="2" t="str">
        <f t="shared" si="149"/>
        <v/>
      </c>
      <c r="J299" s="2" t="str">
        <f t="shared" si="150"/>
        <v/>
      </c>
      <c r="K299" s="2" t="str">
        <f t="shared" si="134"/>
        <v/>
      </c>
      <c r="L299" s="2" t="str">
        <f t="shared" si="135"/>
        <v/>
      </c>
      <c r="M299" s="2" t="str">
        <f t="shared" si="136"/>
        <v/>
      </c>
      <c r="N299" s="2" t="str">
        <f t="shared" si="151"/>
        <v/>
      </c>
      <c r="O299" s="2" t="str">
        <f t="shared" si="152"/>
        <v/>
      </c>
      <c r="P299" s="2" t="str">
        <f t="shared" si="153"/>
        <v/>
      </c>
      <c r="Q299" s="2" t="str">
        <f t="shared" si="137"/>
        <v/>
      </c>
      <c r="R299" s="2" t="str">
        <f t="shared" si="138"/>
        <v/>
      </c>
      <c r="S299" s="2" t="str">
        <f t="shared" si="139"/>
        <v/>
      </c>
      <c r="T299" s="2" t="str">
        <f t="shared" si="154"/>
        <v/>
      </c>
      <c r="U299" s="2" t="str">
        <f t="shared" si="155"/>
        <v/>
      </c>
      <c r="V299" s="2" t="str">
        <f t="shared" si="156"/>
        <v/>
      </c>
      <c r="W299" s="2" t="str">
        <f t="shared" si="140"/>
        <v/>
      </c>
      <c r="X299" s="2" t="str">
        <f t="shared" si="141"/>
        <v/>
      </c>
      <c r="Y299" s="2" t="str">
        <f t="shared" si="142"/>
        <v/>
      </c>
      <c r="Z299" s="2" t="str">
        <f t="shared" si="157"/>
        <v/>
      </c>
      <c r="AA299" s="2" t="str">
        <f t="shared" si="158"/>
        <v/>
      </c>
      <c r="AB299" s="2" t="str">
        <f t="shared" si="159"/>
        <v/>
      </c>
      <c r="AC299" s="2" t="str">
        <f t="shared" si="143"/>
        <v/>
      </c>
      <c r="AD299" s="2" t="str">
        <f t="shared" si="144"/>
        <v/>
      </c>
      <c r="AE299" s="2" t="str">
        <f t="shared" si="145"/>
        <v/>
      </c>
      <c r="AF299" s="2" t="str">
        <f t="shared" si="146"/>
        <v/>
      </c>
    </row>
    <row r="300" spans="1:32" x14ac:dyDescent="0.2">
      <c r="A300" s="2" t="str">
        <f t="shared" si="147"/>
        <v/>
      </c>
      <c r="B300" s="2" t="str">
        <f t="shared" si="128"/>
        <v/>
      </c>
      <c r="C300" s="2" t="str">
        <f t="shared" si="129"/>
        <v/>
      </c>
      <c r="D300" s="2" t="str">
        <f t="shared" si="130"/>
        <v/>
      </c>
      <c r="E300" s="2" t="str">
        <f t="shared" si="131"/>
        <v/>
      </c>
      <c r="F300" s="2" t="str">
        <f t="shared" si="132"/>
        <v/>
      </c>
      <c r="G300" s="2" t="str">
        <f t="shared" si="133"/>
        <v/>
      </c>
      <c r="H300" s="2" t="str">
        <f t="shared" si="148"/>
        <v/>
      </c>
      <c r="I300" s="2" t="str">
        <f t="shared" si="149"/>
        <v/>
      </c>
      <c r="J300" s="2" t="str">
        <f t="shared" si="150"/>
        <v/>
      </c>
      <c r="K300" s="2" t="str">
        <f t="shared" si="134"/>
        <v/>
      </c>
      <c r="L300" s="2" t="str">
        <f t="shared" si="135"/>
        <v/>
      </c>
      <c r="M300" s="2" t="str">
        <f t="shared" si="136"/>
        <v/>
      </c>
      <c r="N300" s="2" t="str">
        <f t="shared" si="151"/>
        <v/>
      </c>
      <c r="O300" s="2" t="str">
        <f t="shared" si="152"/>
        <v/>
      </c>
      <c r="P300" s="2" t="str">
        <f t="shared" si="153"/>
        <v/>
      </c>
      <c r="Q300" s="2" t="str">
        <f t="shared" si="137"/>
        <v/>
      </c>
      <c r="R300" s="2" t="str">
        <f t="shared" si="138"/>
        <v/>
      </c>
      <c r="S300" s="2" t="str">
        <f t="shared" si="139"/>
        <v/>
      </c>
      <c r="T300" s="2" t="str">
        <f t="shared" si="154"/>
        <v/>
      </c>
      <c r="U300" s="2" t="str">
        <f t="shared" si="155"/>
        <v/>
      </c>
      <c r="V300" s="2" t="str">
        <f t="shared" si="156"/>
        <v/>
      </c>
      <c r="W300" s="2" t="str">
        <f t="shared" si="140"/>
        <v/>
      </c>
      <c r="X300" s="2" t="str">
        <f t="shared" si="141"/>
        <v/>
      </c>
      <c r="Y300" s="2" t="str">
        <f t="shared" si="142"/>
        <v/>
      </c>
      <c r="Z300" s="2" t="str">
        <f t="shared" si="157"/>
        <v/>
      </c>
      <c r="AA300" s="2" t="str">
        <f t="shared" si="158"/>
        <v/>
      </c>
      <c r="AB300" s="2" t="str">
        <f t="shared" si="159"/>
        <v/>
      </c>
      <c r="AC300" s="2" t="str">
        <f t="shared" si="143"/>
        <v/>
      </c>
      <c r="AD300" s="2" t="str">
        <f t="shared" si="144"/>
        <v/>
      </c>
      <c r="AE300" s="2" t="str">
        <f t="shared" si="145"/>
        <v/>
      </c>
      <c r="AF300" s="2" t="str">
        <f t="shared" si="146"/>
        <v/>
      </c>
    </row>
    <row r="301" spans="1:32" x14ac:dyDescent="0.2">
      <c r="A301" s="2" t="str">
        <f t="shared" si="147"/>
        <v/>
      </c>
      <c r="B301" s="2" t="str">
        <f t="shared" si="128"/>
        <v/>
      </c>
      <c r="C301" s="2" t="str">
        <f t="shared" si="129"/>
        <v/>
      </c>
      <c r="D301" s="2" t="str">
        <f t="shared" si="130"/>
        <v/>
      </c>
      <c r="E301" s="2" t="str">
        <f t="shared" si="131"/>
        <v/>
      </c>
      <c r="F301" s="2" t="str">
        <f t="shared" si="132"/>
        <v/>
      </c>
      <c r="G301" s="2" t="str">
        <f t="shared" si="133"/>
        <v/>
      </c>
      <c r="H301" s="2" t="str">
        <f t="shared" si="148"/>
        <v/>
      </c>
      <c r="I301" s="2" t="str">
        <f t="shared" si="149"/>
        <v/>
      </c>
      <c r="J301" s="2" t="str">
        <f t="shared" si="150"/>
        <v/>
      </c>
      <c r="K301" s="2" t="str">
        <f t="shared" si="134"/>
        <v/>
      </c>
      <c r="L301" s="2" t="str">
        <f t="shared" si="135"/>
        <v/>
      </c>
      <c r="M301" s="2" t="str">
        <f t="shared" si="136"/>
        <v/>
      </c>
      <c r="N301" s="2" t="str">
        <f t="shared" si="151"/>
        <v/>
      </c>
      <c r="O301" s="2" t="str">
        <f t="shared" si="152"/>
        <v/>
      </c>
      <c r="P301" s="2" t="str">
        <f t="shared" si="153"/>
        <v/>
      </c>
      <c r="Q301" s="2" t="str">
        <f t="shared" si="137"/>
        <v/>
      </c>
      <c r="R301" s="2" t="str">
        <f t="shared" si="138"/>
        <v/>
      </c>
      <c r="S301" s="2" t="str">
        <f t="shared" si="139"/>
        <v/>
      </c>
      <c r="T301" s="2" t="str">
        <f t="shared" si="154"/>
        <v/>
      </c>
      <c r="U301" s="2" t="str">
        <f t="shared" si="155"/>
        <v/>
      </c>
      <c r="V301" s="2" t="str">
        <f t="shared" si="156"/>
        <v/>
      </c>
      <c r="W301" s="2" t="str">
        <f t="shared" si="140"/>
        <v/>
      </c>
      <c r="X301" s="2" t="str">
        <f t="shared" si="141"/>
        <v/>
      </c>
      <c r="Y301" s="2" t="str">
        <f t="shared" si="142"/>
        <v/>
      </c>
      <c r="Z301" s="2" t="str">
        <f t="shared" si="157"/>
        <v/>
      </c>
      <c r="AA301" s="2" t="str">
        <f t="shared" si="158"/>
        <v/>
      </c>
      <c r="AB301" s="2" t="str">
        <f t="shared" si="159"/>
        <v/>
      </c>
      <c r="AC301" s="2" t="str">
        <f t="shared" si="143"/>
        <v/>
      </c>
      <c r="AD301" s="2" t="str">
        <f t="shared" si="144"/>
        <v/>
      </c>
      <c r="AE301" s="2" t="str">
        <f t="shared" si="145"/>
        <v/>
      </c>
      <c r="AF301" s="2" t="str">
        <f t="shared" si="146"/>
        <v/>
      </c>
    </row>
    <row r="302" spans="1:32" x14ac:dyDescent="0.2">
      <c r="A302" s="2" t="str">
        <f t="shared" si="147"/>
        <v/>
      </c>
      <c r="B302" s="2" t="str">
        <f t="shared" si="128"/>
        <v/>
      </c>
      <c r="C302" s="2" t="str">
        <f t="shared" si="129"/>
        <v/>
      </c>
      <c r="D302" s="2" t="str">
        <f t="shared" si="130"/>
        <v/>
      </c>
      <c r="E302" s="2" t="str">
        <f t="shared" si="131"/>
        <v/>
      </c>
      <c r="F302" s="2" t="str">
        <f t="shared" si="132"/>
        <v/>
      </c>
      <c r="G302" s="2" t="str">
        <f t="shared" si="133"/>
        <v/>
      </c>
      <c r="H302" s="2" t="str">
        <f t="shared" si="148"/>
        <v/>
      </c>
      <c r="I302" s="2" t="str">
        <f t="shared" si="149"/>
        <v/>
      </c>
      <c r="J302" s="2" t="str">
        <f t="shared" si="150"/>
        <v/>
      </c>
      <c r="K302" s="2" t="str">
        <f t="shared" si="134"/>
        <v/>
      </c>
      <c r="L302" s="2" t="str">
        <f t="shared" si="135"/>
        <v/>
      </c>
      <c r="M302" s="2" t="str">
        <f t="shared" si="136"/>
        <v/>
      </c>
      <c r="N302" s="2" t="str">
        <f t="shared" si="151"/>
        <v/>
      </c>
      <c r="O302" s="2" t="str">
        <f t="shared" si="152"/>
        <v/>
      </c>
      <c r="P302" s="2" t="str">
        <f t="shared" si="153"/>
        <v/>
      </c>
      <c r="Q302" s="2" t="str">
        <f t="shared" si="137"/>
        <v/>
      </c>
      <c r="R302" s="2" t="str">
        <f t="shared" si="138"/>
        <v/>
      </c>
      <c r="S302" s="2" t="str">
        <f t="shared" si="139"/>
        <v/>
      </c>
      <c r="T302" s="2" t="str">
        <f t="shared" si="154"/>
        <v/>
      </c>
      <c r="U302" s="2" t="str">
        <f t="shared" si="155"/>
        <v/>
      </c>
      <c r="V302" s="2" t="str">
        <f t="shared" si="156"/>
        <v/>
      </c>
      <c r="W302" s="2" t="str">
        <f t="shared" si="140"/>
        <v/>
      </c>
      <c r="X302" s="2" t="str">
        <f t="shared" si="141"/>
        <v/>
      </c>
      <c r="Y302" s="2" t="str">
        <f t="shared" si="142"/>
        <v/>
      </c>
      <c r="Z302" s="2" t="str">
        <f t="shared" si="157"/>
        <v/>
      </c>
      <c r="AA302" s="2" t="str">
        <f t="shared" si="158"/>
        <v/>
      </c>
      <c r="AB302" s="2" t="str">
        <f t="shared" si="159"/>
        <v/>
      </c>
      <c r="AC302" s="2" t="str">
        <f t="shared" si="143"/>
        <v/>
      </c>
      <c r="AD302" s="2" t="str">
        <f t="shared" si="144"/>
        <v/>
      </c>
      <c r="AE302" s="2" t="str">
        <f t="shared" si="145"/>
        <v/>
      </c>
      <c r="AF302" s="2" t="str">
        <f t="shared" si="146"/>
        <v/>
      </c>
    </row>
    <row r="303" spans="1:32" x14ac:dyDescent="0.2">
      <c r="A303" s="2" t="str">
        <f t="shared" si="147"/>
        <v/>
      </c>
      <c r="B303" s="2" t="str">
        <f t="shared" si="128"/>
        <v/>
      </c>
      <c r="C303" s="2" t="str">
        <f t="shared" si="129"/>
        <v/>
      </c>
      <c r="D303" s="2" t="str">
        <f t="shared" si="130"/>
        <v/>
      </c>
      <c r="E303" s="2" t="str">
        <f t="shared" si="131"/>
        <v/>
      </c>
      <c r="F303" s="2" t="str">
        <f t="shared" si="132"/>
        <v/>
      </c>
      <c r="G303" s="2" t="str">
        <f t="shared" si="133"/>
        <v/>
      </c>
      <c r="H303" s="2" t="str">
        <f t="shared" si="148"/>
        <v/>
      </c>
      <c r="I303" s="2" t="str">
        <f t="shared" si="149"/>
        <v/>
      </c>
      <c r="J303" s="2" t="str">
        <f t="shared" si="150"/>
        <v/>
      </c>
      <c r="K303" s="2" t="str">
        <f t="shared" si="134"/>
        <v/>
      </c>
      <c r="L303" s="2" t="str">
        <f t="shared" si="135"/>
        <v/>
      </c>
      <c r="M303" s="2" t="str">
        <f t="shared" si="136"/>
        <v/>
      </c>
      <c r="N303" s="2" t="str">
        <f t="shared" si="151"/>
        <v/>
      </c>
      <c r="O303" s="2" t="str">
        <f t="shared" si="152"/>
        <v/>
      </c>
      <c r="P303" s="2" t="str">
        <f t="shared" si="153"/>
        <v/>
      </c>
      <c r="Q303" s="2" t="str">
        <f t="shared" si="137"/>
        <v/>
      </c>
      <c r="R303" s="2" t="str">
        <f t="shared" si="138"/>
        <v/>
      </c>
      <c r="S303" s="2" t="str">
        <f t="shared" si="139"/>
        <v/>
      </c>
      <c r="T303" s="2" t="str">
        <f t="shared" si="154"/>
        <v/>
      </c>
      <c r="U303" s="2" t="str">
        <f t="shared" si="155"/>
        <v/>
      </c>
      <c r="V303" s="2" t="str">
        <f t="shared" si="156"/>
        <v/>
      </c>
      <c r="W303" s="2" t="str">
        <f t="shared" si="140"/>
        <v/>
      </c>
      <c r="X303" s="2" t="str">
        <f t="shared" si="141"/>
        <v/>
      </c>
      <c r="Y303" s="2" t="str">
        <f t="shared" si="142"/>
        <v/>
      </c>
      <c r="Z303" s="2" t="str">
        <f t="shared" si="157"/>
        <v/>
      </c>
      <c r="AA303" s="2" t="str">
        <f t="shared" si="158"/>
        <v/>
      </c>
      <c r="AB303" s="2" t="str">
        <f t="shared" si="159"/>
        <v/>
      </c>
      <c r="AC303" s="2" t="str">
        <f t="shared" si="143"/>
        <v/>
      </c>
      <c r="AD303" s="2" t="str">
        <f t="shared" si="144"/>
        <v/>
      </c>
      <c r="AE303" s="2" t="str">
        <f t="shared" si="145"/>
        <v/>
      </c>
      <c r="AF303" s="2" t="str">
        <f t="shared" si="146"/>
        <v/>
      </c>
    </row>
    <row r="304" spans="1:32" x14ac:dyDescent="0.2">
      <c r="A304" s="2" t="str">
        <f t="shared" si="147"/>
        <v/>
      </c>
      <c r="B304" s="2" t="str">
        <f t="shared" si="128"/>
        <v/>
      </c>
      <c r="C304" s="2" t="str">
        <f t="shared" si="129"/>
        <v/>
      </c>
      <c r="D304" s="2" t="str">
        <f t="shared" si="130"/>
        <v/>
      </c>
      <c r="E304" s="2" t="str">
        <f t="shared" si="131"/>
        <v/>
      </c>
      <c r="F304" s="2" t="str">
        <f t="shared" si="132"/>
        <v/>
      </c>
      <c r="G304" s="2" t="str">
        <f t="shared" si="133"/>
        <v/>
      </c>
      <c r="H304" s="2" t="str">
        <f t="shared" si="148"/>
        <v/>
      </c>
      <c r="I304" s="2" t="str">
        <f t="shared" si="149"/>
        <v/>
      </c>
      <c r="J304" s="2" t="str">
        <f t="shared" si="150"/>
        <v/>
      </c>
      <c r="K304" s="2" t="str">
        <f t="shared" si="134"/>
        <v/>
      </c>
      <c r="L304" s="2" t="str">
        <f t="shared" si="135"/>
        <v/>
      </c>
      <c r="M304" s="2" t="str">
        <f t="shared" si="136"/>
        <v/>
      </c>
      <c r="N304" s="2" t="str">
        <f t="shared" si="151"/>
        <v/>
      </c>
      <c r="O304" s="2" t="str">
        <f t="shared" si="152"/>
        <v/>
      </c>
      <c r="P304" s="2" t="str">
        <f t="shared" si="153"/>
        <v/>
      </c>
      <c r="Q304" s="2" t="str">
        <f t="shared" si="137"/>
        <v/>
      </c>
      <c r="R304" s="2" t="str">
        <f t="shared" si="138"/>
        <v/>
      </c>
      <c r="S304" s="2" t="str">
        <f t="shared" si="139"/>
        <v/>
      </c>
      <c r="T304" s="2" t="str">
        <f t="shared" si="154"/>
        <v/>
      </c>
      <c r="U304" s="2" t="str">
        <f t="shared" si="155"/>
        <v/>
      </c>
      <c r="V304" s="2" t="str">
        <f t="shared" si="156"/>
        <v/>
      </c>
      <c r="W304" s="2" t="str">
        <f t="shared" si="140"/>
        <v/>
      </c>
      <c r="X304" s="2" t="str">
        <f t="shared" si="141"/>
        <v/>
      </c>
      <c r="Y304" s="2" t="str">
        <f t="shared" si="142"/>
        <v/>
      </c>
      <c r="Z304" s="2" t="str">
        <f t="shared" si="157"/>
        <v/>
      </c>
      <c r="AA304" s="2" t="str">
        <f t="shared" si="158"/>
        <v/>
      </c>
      <c r="AB304" s="2" t="str">
        <f t="shared" si="159"/>
        <v/>
      </c>
      <c r="AC304" s="2" t="str">
        <f t="shared" si="143"/>
        <v/>
      </c>
      <c r="AD304" s="2" t="str">
        <f t="shared" si="144"/>
        <v/>
      </c>
      <c r="AE304" s="2" t="str">
        <f t="shared" si="145"/>
        <v/>
      </c>
      <c r="AF304" s="2" t="str">
        <f t="shared" si="146"/>
        <v/>
      </c>
    </row>
    <row r="305" spans="1:32" x14ac:dyDescent="0.2">
      <c r="A305" s="2" t="str">
        <f t="shared" si="147"/>
        <v/>
      </c>
      <c r="B305" s="2" t="str">
        <f t="shared" si="128"/>
        <v/>
      </c>
      <c r="C305" s="2" t="str">
        <f t="shared" si="129"/>
        <v/>
      </c>
      <c r="D305" s="2" t="str">
        <f t="shared" si="130"/>
        <v/>
      </c>
      <c r="E305" s="2" t="str">
        <f t="shared" si="131"/>
        <v/>
      </c>
      <c r="F305" s="2" t="str">
        <f t="shared" si="132"/>
        <v/>
      </c>
      <c r="G305" s="2" t="str">
        <f t="shared" si="133"/>
        <v/>
      </c>
      <c r="H305" s="2" t="str">
        <f t="shared" si="148"/>
        <v/>
      </c>
      <c r="I305" s="2" t="str">
        <f t="shared" si="149"/>
        <v/>
      </c>
      <c r="J305" s="2" t="str">
        <f t="shared" si="150"/>
        <v/>
      </c>
      <c r="K305" s="2" t="str">
        <f t="shared" si="134"/>
        <v/>
      </c>
      <c r="L305" s="2" t="str">
        <f t="shared" si="135"/>
        <v/>
      </c>
      <c r="M305" s="2" t="str">
        <f t="shared" si="136"/>
        <v/>
      </c>
      <c r="N305" s="2" t="str">
        <f t="shared" si="151"/>
        <v/>
      </c>
      <c r="O305" s="2" t="str">
        <f t="shared" si="152"/>
        <v/>
      </c>
      <c r="P305" s="2" t="str">
        <f t="shared" si="153"/>
        <v/>
      </c>
      <c r="Q305" s="2" t="str">
        <f t="shared" si="137"/>
        <v/>
      </c>
      <c r="R305" s="2" t="str">
        <f t="shared" si="138"/>
        <v/>
      </c>
      <c r="S305" s="2" t="str">
        <f t="shared" si="139"/>
        <v/>
      </c>
      <c r="T305" s="2" t="str">
        <f t="shared" si="154"/>
        <v/>
      </c>
      <c r="U305" s="2" t="str">
        <f t="shared" si="155"/>
        <v/>
      </c>
      <c r="V305" s="2" t="str">
        <f t="shared" si="156"/>
        <v/>
      </c>
      <c r="W305" s="2" t="str">
        <f t="shared" si="140"/>
        <v/>
      </c>
      <c r="X305" s="2" t="str">
        <f t="shared" si="141"/>
        <v/>
      </c>
      <c r="Y305" s="2" t="str">
        <f t="shared" si="142"/>
        <v/>
      </c>
      <c r="Z305" s="2" t="str">
        <f t="shared" si="157"/>
        <v/>
      </c>
      <c r="AA305" s="2" t="str">
        <f t="shared" si="158"/>
        <v/>
      </c>
      <c r="AB305" s="2" t="str">
        <f t="shared" si="159"/>
        <v/>
      </c>
      <c r="AC305" s="2" t="str">
        <f t="shared" si="143"/>
        <v/>
      </c>
      <c r="AD305" s="2" t="str">
        <f t="shared" si="144"/>
        <v/>
      </c>
      <c r="AE305" s="2" t="str">
        <f t="shared" si="145"/>
        <v/>
      </c>
      <c r="AF305" s="2" t="str">
        <f t="shared" si="146"/>
        <v/>
      </c>
    </row>
    <row r="306" spans="1:32" x14ac:dyDescent="0.2">
      <c r="A306" s="2" t="str">
        <f t="shared" si="147"/>
        <v/>
      </c>
      <c r="B306" s="2" t="str">
        <f t="shared" si="128"/>
        <v/>
      </c>
      <c r="C306" s="2" t="str">
        <f t="shared" si="129"/>
        <v/>
      </c>
      <c r="D306" s="2" t="str">
        <f t="shared" si="130"/>
        <v/>
      </c>
      <c r="E306" s="2" t="str">
        <f t="shared" si="131"/>
        <v/>
      </c>
      <c r="F306" s="2" t="str">
        <f t="shared" si="132"/>
        <v/>
      </c>
      <c r="G306" s="2" t="str">
        <f t="shared" si="133"/>
        <v/>
      </c>
      <c r="H306" s="2" t="str">
        <f t="shared" si="148"/>
        <v/>
      </c>
      <c r="I306" s="2" t="str">
        <f t="shared" si="149"/>
        <v/>
      </c>
      <c r="J306" s="2" t="str">
        <f t="shared" si="150"/>
        <v/>
      </c>
      <c r="K306" s="2" t="str">
        <f t="shared" si="134"/>
        <v/>
      </c>
      <c r="L306" s="2" t="str">
        <f t="shared" si="135"/>
        <v/>
      </c>
      <c r="M306" s="2" t="str">
        <f t="shared" si="136"/>
        <v/>
      </c>
      <c r="N306" s="2" t="str">
        <f t="shared" si="151"/>
        <v/>
      </c>
      <c r="O306" s="2" t="str">
        <f t="shared" si="152"/>
        <v/>
      </c>
      <c r="P306" s="2" t="str">
        <f t="shared" si="153"/>
        <v/>
      </c>
      <c r="Q306" s="2" t="str">
        <f t="shared" si="137"/>
        <v/>
      </c>
      <c r="R306" s="2" t="str">
        <f t="shared" si="138"/>
        <v/>
      </c>
      <c r="S306" s="2" t="str">
        <f t="shared" si="139"/>
        <v/>
      </c>
      <c r="T306" s="2" t="str">
        <f t="shared" si="154"/>
        <v/>
      </c>
      <c r="U306" s="2" t="str">
        <f t="shared" si="155"/>
        <v/>
      </c>
      <c r="V306" s="2" t="str">
        <f t="shared" si="156"/>
        <v/>
      </c>
      <c r="W306" s="2" t="str">
        <f t="shared" si="140"/>
        <v/>
      </c>
      <c r="X306" s="2" t="str">
        <f t="shared" si="141"/>
        <v/>
      </c>
      <c r="Y306" s="2" t="str">
        <f t="shared" si="142"/>
        <v/>
      </c>
      <c r="Z306" s="2" t="str">
        <f t="shared" si="157"/>
        <v/>
      </c>
      <c r="AA306" s="2" t="str">
        <f t="shared" si="158"/>
        <v/>
      </c>
      <c r="AB306" s="2" t="str">
        <f t="shared" si="159"/>
        <v/>
      </c>
      <c r="AC306" s="2" t="str">
        <f t="shared" si="143"/>
        <v/>
      </c>
      <c r="AD306" s="2" t="str">
        <f t="shared" si="144"/>
        <v/>
      </c>
      <c r="AE306" s="2" t="str">
        <f t="shared" si="145"/>
        <v/>
      </c>
      <c r="AF306" s="2" t="str">
        <f t="shared" si="146"/>
        <v/>
      </c>
    </row>
    <row r="307" spans="1:32" x14ac:dyDescent="0.2">
      <c r="A307" s="2" t="str">
        <f t="shared" si="147"/>
        <v/>
      </c>
      <c r="B307" s="2" t="str">
        <f t="shared" si="128"/>
        <v/>
      </c>
      <c r="C307" s="2" t="str">
        <f t="shared" si="129"/>
        <v/>
      </c>
      <c r="D307" s="2" t="str">
        <f t="shared" si="130"/>
        <v/>
      </c>
      <c r="E307" s="2" t="str">
        <f t="shared" si="131"/>
        <v/>
      </c>
      <c r="F307" s="2" t="str">
        <f t="shared" si="132"/>
        <v/>
      </c>
      <c r="G307" s="2" t="str">
        <f t="shared" si="133"/>
        <v/>
      </c>
      <c r="H307" s="2" t="str">
        <f t="shared" si="148"/>
        <v/>
      </c>
      <c r="I307" s="2" t="str">
        <f t="shared" si="149"/>
        <v/>
      </c>
      <c r="J307" s="2" t="str">
        <f t="shared" si="150"/>
        <v/>
      </c>
      <c r="K307" s="2" t="str">
        <f t="shared" si="134"/>
        <v/>
      </c>
      <c r="L307" s="2" t="str">
        <f t="shared" si="135"/>
        <v/>
      </c>
      <c r="M307" s="2" t="str">
        <f t="shared" si="136"/>
        <v/>
      </c>
      <c r="N307" s="2" t="str">
        <f t="shared" si="151"/>
        <v/>
      </c>
      <c r="O307" s="2" t="str">
        <f t="shared" si="152"/>
        <v/>
      </c>
      <c r="P307" s="2" t="str">
        <f t="shared" si="153"/>
        <v/>
      </c>
      <c r="Q307" s="2" t="str">
        <f t="shared" si="137"/>
        <v/>
      </c>
      <c r="R307" s="2" t="str">
        <f t="shared" si="138"/>
        <v/>
      </c>
      <c r="S307" s="2" t="str">
        <f t="shared" si="139"/>
        <v/>
      </c>
      <c r="T307" s="2" t="str">
        <f t="shared" si="154"/>
        <v/>
      </c>
      <c r="U307" s="2" t="str">
        <f t="shared" si="155"/>
        <v/>
      </c>
      <c r="V307" s="2" t="str">
        <f t="shared" si="156"/>
        <v/>
      </c>
      <c r="W307" s="2" t="str">
        <f t="shared" si="140"/>
        <v/>
      </c>
      <c r="X307" s="2" t="str">
        <f t="shared" si="141"/>
        <v/>
      </c>
      <c r="Y307" s="2" t="str">
        <f t="shared" si="142"/>
        <v/>
      </c>
      <c r="Z307" s="2" t="str">
        <f t="shared" si="157"/>
        <v/>
      </c>
      <c r="AA307" s="2" t="str">
        <f t="shared" si="158"/>
        <v/>
      </c>
      <c r="AB307" s="2" t="str">
        <f t="shared" si="159"/>
        <v/>
      </c>
      <c r="AC307" s="2" t="str">
        <f t="shared" si="143"/>
        <v/>
      </c>
      <c r="AD307" s="2" t="str">
        <f t="shared" si="144"/>
        <v/>
      </c>
      <c r="AE307" s="2" t="str">
        <f t="shared" si="145"/>
        <v/>
      </c>
      <c r="AF307" s="2" t="str">
        <f t="shared" si="146"/>
        <v/>
      </c>
    </row>
    <row r="308" spans="1:32" x14ac:dyDescent="0.2">
      <c r="A308" s="2" t="str">
        <f t="shared" si="147"/>
        <v/>
      </c>
      <c r="B308" s="2" t="str">
        <f t="shared" si="128"/>
        <v/>
      </c>
      <c r="C308" s="2" t="str">
        <f t="shared" si="129"/>
        <v/>
      </c>
      <c r="D308" s="2" t="str">
        <f t="shared" si="130"/>
        <v/>
      </c>
      <c r="E308" s="2" t="str">
        <f t="shared" si="131"/>
        <v/>
      </c>
      <c r="F308" s="2" t="str">
        <f t="shared" si="132"/>
        <v/>
      </c>
      <c r="G308" s="2" t="str">
        <f t="shared" si="133"/>
        <v/>
      </c>
      <c r="H308" s="2" t="str">
        <f t="shared" si="148"/>
        <v/>
      </c>
      <c r="I308" s="2" t="str">
        <f t="shared" si="149"/>
        <v/>
      </c>
      <c r="J308" s="2" t="str">
        <f t="shared" si="150"/>
        <v/>
      </c>
      <c r="K308" s="2" t="str">
        <f t="shared" si="134"/>
        <v/>
      </c>
      <c r="L308" s="2" t="str">
        <f t="shared" si="135"/>
        <v/>
      </c>
      <c r="M308" s="2" t="str">
        <f t="shared" si="136"/>
        <v/>
      </c>
      <c r="N308" s="2" t="str">
        <f t="shared" si="151"/>
        <v/>
      </c>
      <c r="O308" s="2" t="str">
        <f t="shared" si="152"/>
        <v/>
      </c>
      <c r="P308" s="2" t="str">
        <f t="shared" si="153"/>
        <v/>
      </c>
      <c r="Q308" s="2" t="str">
        <f t="shared" si="137"/>
        <v/>
      </c>
      <c r="R308" s="2" t="str">
        <f t="shared" si="138"/>
        <v/>
      </c>
      <c r="S308" s="2" t="str">
        <f t="shared" si="139"/>
        <v/>
      </c>
      <c r="T308" s="2" t="str">
        <f t="shared" si="154"/>
        <v/>
      </c>
      <c r="U308" s="2" t="str">
        <f t="shared" si="155"/>
        <v/>
      </c>
      <c r="V308" s="2" t="str">
        <f t="shared" si="156"/>
        <v/>
      </c>
      <c r="W308" s="2" t="str">
        <f t="shared" si="140"/>
        <v/>
      </c>
      <c r="X308" s="2" t="str">
        <f t="shared" si="141"/>
        <v/>
      </c>
      <c r="Y308" s="2" t="str">
        <f t="shared" si="142"/>
        <v/>
      </c>
      <c r="Z308" s="2" t="str">
        <f t="shared" si="157"/>
        <v/>
      </c>
      <c r="AA308" s="2" t="str">
        <f t="shared" si="158"/>
        <v/>
      </c>
      <c r="AB308" s="2" t="str">
        <f t="shared" si="159"/>
        <v/>
      </c>
      <c r="AC308" s="2" t="str">
        <f t="shared" si="143"/>
        <v/>
      </c>
      <c r="AD308" s="2" t="str">
        <f t="shared" si="144"/>
        <v/>
      </c>
      <c r="AE308" s="2" t="str">
        <f t="shared" si="145"/>
        <v/>
      </c>
      <c r="AF308" s="2" t="str">
        <f t="shared" si="146"/>
        <v/>
      </c>
    </row>
    <row r="309" spans="1:32" x14ac:dyDescent="0.2">
      <c r="A309" s="2" t="str">
        <f t="shared" si="147"/>
        <v/>
      </c>
      <c r="B309" s="2" t="str">
        <f t="shared" si="128"/>
        <v/>
      </c>
      <c r="C309" s="2" t="str">
        <f t="shared" si="129"/>
        <v/>
      </c>
      <c r="D309" s="2" t="str">
        <f t="shared" si="130"/>
        <v/>
      </c>
      <c r="E309" s="2" t="str">
        <f t="shared" si="131"/>
        <v/>
      </c>
      <c r="F309" s="2" t="str">
        <f t="shared" si="132"/>
        <v/>
      </c>
      <c r="G309" s="2" t="str">
        <f t="shared" si="133"/>
        <v/>
      </c>
      <c r="H309" s="2" t="str">
        <f t="shared" si="148"/>
        <v/>
      </c>
      <c r="I309" s="2" t="str">
        <f t="shared" si="149"/>
        <v/>
      </c>
      <c r="J309" s="2" t="str">
        <f t="shared" si="150"/>
        <v/>
      </c>
      <c r="K309" s="2" t="str">
        <f t="shared" si="134"/>
        <v/>
      </c>
      <c r="L309" s="2" t="str">
        <f t="shared" si="135"/>
        <v/>
      </c>
      <c r="M309" s="2" t="str">
        <f t="shared" si="136"/>
        <v/>
      </c>
      <c r="N309" s="2" t="str">
        <f t="shared" si="151"/>
        <v/>
      </c>
      <c r="O309" s="2" t="str">
        <f t="shared" si="152"/>
        <v/>
      </c>
      <c r="P309" s="2" t="str">
        <f t="shared" si="153"/>
        <v/>
      </c>
      <c r="Q309" s="2" t="str">
        <f t="shared" si="137"/>
        <v/>
      </c>
      <c r="R309" s="2" t="str">
        <f t="shared" si="138"/>
        <v/>
      </c>
      <c r="S309" s="2" t="str">
        <f t="shared" si="139"/>
        <v/>
      </c>
      <c r="T309" s="2" t="str">
        <f t="shared" si="154"/>
        <v/>
      </c>
      <c r="U309" s="2" t="str">
        <f t="shared" si="155"/>
        <v/>
      </c>
      <c r="V309" s="2" t="str">
        <f t="shared" si="156"/>
        <v/>
      </c>
      <c r="W309" s="2" t="str">
        <f t="shared" si="140"/>
        <v/>
      </c>
      <c r="X309" s="2" t="str">
        <f t="shared" si="141"/>
        <v/>
      </c>
      <c r="Y309" s="2" t="str">
        <f t="shared" si="142"/>
        <v/>
      </c>
      <c r="Z309" s="2" t="str">
        <f t="shared" si="157"/>
        <v/>
      </c>
      <c r="AA309" s="2" t="str">
        <f t="shared" si="158"/>
        <v/>
      </c>
      <c r="AB309" s="2" t="str">
        <f t="shared" si="159"/>
        <v/>
      </c>
      <c r="AC309" s="2" t="str">
        <f t="shared" si="143"/>
        <v/>
      </c>
      <c r="AD309" s="2" t="str">
        <f t="shared" si="144"/>
        <v/>
      </c>
      <c r="AE309" s="2" t="str">
        <f t="shared" si="145"/>
        <v/>
      </c>
      <c r="AF309" s="2" t="str">
        <f t="shared" si="146"/>
        <v/>
      </c>
    </row>
    <row r="310" spans="1:32" x14ac:dyDescent="0.2">
      <c r="A310" s="2" t="str">
        <f t="shared" si="147"/>
        <v/>
      </c>
      <c r="B310" s="2" t="str">
        <f t="shared" si="128"/>
        <v/>
      </c>
      <c r="C310" s="2" t="str">
        <f t="shared" si="129"/>
        <v/>
      </c>
      <c r="D310" s="2" t="str">
        <f t="shared" si="130"/>
        <v/>
      </c>
      <c r="E310" s="2" t="str">
        <f t="shared" si="131"/>
        <v/>
      </c>
      <c r="F310" s="2" t="str">
        <f t="shared" si="132"/>
        <v/>
      </c>
      <c r="G310" s="2" t="str">
        <f t="shared" si="133"/>
        <v/>
      </c>
      <c r="H310" s="2" t="str">
        <f t="shared" si="148"/>
        <v/>
      </c>
      <c r="I310" s="2" t="str">
        <f t="shared" si="149"/>
        <v/>
      </c>
      <c r="J310" s="2" t="str">
        <f t="shared" si="150"/>
        <v/>
      </c>
      <c r="K310" s="2" t="str">
        <f t="shared" si="134"/>
        <v/>
      </c>
      <c r="L310" s="2" t="str">
        <f t="shared" si="135"/>
        <v/>
      </c>
      <c r="M310" s="2" t="str">
        <f t="shared" si="136"/>
        <v/>
      </c>
      <c r="N310" s="2" t="str">
        <f t="shared" si="151"/>
        <v/>
      </c>
      <c r="O310" s="2" t="str">
        <f t="shared" si="152"/>
        <v/>
      </c>
      <c r="P310" s="2" t="str">
        <f t="shared" si="153"/>
        <v/>
      </c>
      <c r="Q310" s="2" t="str">
        <f t="shared" si="137"/>
        <v/>
      </c>
      <c r="R310" s="2" t="str">
        <f t="shared" si="138"/>
        <v/>
      </c>
      <c r="S310" s="2" t="str">
        <f t="shared" si="139"/>
        <v/>
      </c>
      <c r="T310" s="2" t="str">
        <f t="shared" si="154"/>
        <v/>
      </c>
      <c r="U310" s="2" t="str">
        <f t="shared" si="155"/>
        <v/>
      </c>
      <c r="V310" s="2" t="str">
        <f t="shared" si="156"/>
        <v/>
      </c>
      <c r="W310" s="2" t="str">
        <f t="shared" si="140"/>
        <v/>
      </c>
      <c r="X310" s="2" t="str">
        <f t="shared" si="141"/>
        <v/>
      </c>
      <c r="Y310" s="2" t="str">
        <f t="shared" si="142"/>
        <v/>
      </c>
      <c r="Z310" s="2" t="str">
        <f t="shared" si="157"/>
        <v/>
      </c>
      <c r="AA310" s="2" t="str">
        <f t="shared" si="158"/>
        <v/>
      </c>
      <c r="AB310" s="2" t="str">
        <f t="shared" si="159"/>
        <v/>
      </c>
      <c r="AC310" s="2" t="str">
        <f t="shared" si="143"/>
        <v/>
      </c>
      <c r="AD310" s="2" t="str">
        <f t="shared" si="144"/>
        <v/>
      </c>
      <c r="AE310" s="2" t="str">
        <f t="shared" si="145"/>
        <v/>
      </c>
      <c r="AF310" s="2" t="str">
        <f t="shared" si="146"/>
        <v/>
      </c>
    </row>
    <row r="311" spans="1:32" x14ac:dyDescent="0.2">
      <c r="A311" s="2" t="str">
        <f t="shared" si="147"/>
        <v/>
      </c>
      <c r="B311" s="2" t="str">
        <f t="shared" si="128"/>
        <v/>
      </c>
      <c r="C311" s="2" t="str">
        <f t="shared" si="129"/>
        <v/>
      </c>
      <c r="D311" s="2" t="str">
        <f t="shared" si="130"/>
        <v/>
      </c>
      <c r="E311" s="2" t="str">
        <f t="shared" si="131"/>
        <v/>
      </c>
      <c r="F311" s="2" t="str">
        <f t="shared" si="132"/>
        <v/>
      </c>
      <c r="G311" s="2" t="str">
        <f t="shared" si="133"/>
        <v/>
      </c>
      <c r="H311" s="2" t="str">
        <f t="shared" si="148"/>
        <v/>
      </c>
      <c r="I311" s="2" t="str">
        <f t="shared" si="149"/>
        <v/>
      </c>
      <c r="J311" s="2" t="str">
        <f t="shared" si="150"/>
        <v/>
      </c>
      <c r="K311" s="2" t="str">
        <f t="shared" si="134"/>
        <v/>
      </c>
      <c r="L311" s="2" t="str">
        <f t="shared" si="135"/>
        <v/>
      </c>
      <c r="M311" s="2" t="str">
        <f t="shared" si="136"/>
        <v/>
      </c>
      <c r="N311" s="2" t="str">
        <f t="shared" si="151"/>
        <v/>
      </c>
      <c r="O311" s="2" t="str">
        <f t="shared" si="152"/>
        <v/>
      </c>
      <c r="P311" s="2" t="str">
        <f t="shared" si="153"/>
        <v/>
      </c>
      <c r="Q311" s="2" t="str">
        <f t="shared" si="137"/>
        <v/>
      </c>
      <c r="R311" s="2" t="str">
        <f t="shared" si="138"/>
        <v/>
      </c>
      <c r="S311" s="2" t="str">
        <f t="shared" si="139"/>
        <v/>
      </c>
      <c r="T311" s="2" t="str">
        <f t="shared" si="154"/>
        <v/>
      </c>
      <c r="U311" s="2" t="str">
        <f t="shared" si="155"/>
        <v/>
      </c>
      <c r="V311" s="2" t="str">
        <f t="shared" si="156"/>
        <v/>
      </c>
      <c r="W311" s="2" t="str">
        <f t="shared" si="140"/>
        <v/>
      </c>
      <c r="X311" s="2" t="str">
        <f t="shared" si="141"/>
        <v/>
      </c>
      <c r="Y311" s="2" t="str">
        <f t="shared" si="142"/>
        <v/>
      </c>
      <c r="Z311" s="2" t="str">
        <f t="shared" si="157"/>
        <v/>
      </c>
      <c r="AA311" s="2" t="str">
        <f t="shared" si="158"/>
        <v/>
      </c>
      <c r="AB311" s="2" t="str">
        <f t="shared" si="159"/>
        <v/>
      </c>
      <c r="AC311" s="2" t="str">
        <f t="shared" si="143"/>
        <v/>
      </c>
      <c r="AD311" s="2" t="str">
        <f t="shared" si="144"/>
        <v/>
      </c>
      <c r="AE311" s="2" t="str">
        <f t="shared" si="145"/>
        <v/>
      </c>
      <c r="AF311" s="2" t="str">
        <f t="shared" si="146"/>
        <v/>
      </c>
    </row>
    <row r="312" spans="1:32" x14ac:dyDescent="0.2">
      <c r="A312" s="2" t="str">
        <f t="shared" si="147"/>
        <v/>
      </c>
      <c r="B312" s="2" t="str">
        <f t="shared" si="128"/>
        <v/>
      </c>
      <c r="C312" s="2" t="str">
        <f t="shared" si="129"/>
        <v/>
      </c>
      <c r="D312" s="2" t="str">
        <f t="shared" si="130"/>
        <v/>
      </c>
      <c r="E312" s="2" t="str">
        <f t="shared" si="131"/>
        <v/>
      </c>
      <c r="F312" s="2" t="str">
        <f t="shared" si="132"/>
        <v/>
      </c>
      <c r="G312" s="2" t="str">
        <f t="shared" si="133"/>
        <v/>
      </c>
      <c r="H312" s="2" t="str">
        <f t="shared" si="148"/>
        <v/>
      </c>
      <c r="I312" s="2" t="str">
        <f t="shared" si="149"/>
        <v/>
      </c>
      <c r="J312" s="2" t="str">
        <f t="shared" si="150"/>
        <v/>
      </c>
      <c r="K312" s="2" t="str">
        <f t="shared" si="134"/>
        <v/>
      </c>
      <c r="L312" s="2" t="str">
        <f t="shared" si="135"/>
        <v/>
      </c>
      <c r="M312" s="2" t="str">
        <f t="shared" si="136"/>
        <v/>
      </c>
      <c r="N312" s="2" t="str">
        <f t="shared" si="151"/>
        <v/>
      </c>
      <c r="O312" s="2" t="str">
        <f t="shared" si="152"/>
        <v/>
      </c>
      <c r="P312" s="2" t="str">
        <f t="shared" si="153"/>
        <v/>
      </c>
      <c r="Q312" s="2" t="str">
        <f t="shared" si="137"/>
        <v/>
      </c>
      <c r="R312" s="2" t="str">
        <f t="shared" si="138"/>
        <v/>
      </c>
      <c r="S312" s="2" t="str">
        <f t="shared" si="139"/>
        <v/>
      </c>
      <c r="T312" s="2" t="str">
        <f t="shared" si="154"/>
        <v/>
      </c>
      <c r="U312" s="2" t="str">
        <f t="shared" si="155"/>
        <v/>
      </c>
      <c r="V312" s="2" t="str">
        <f t="shared" si="156"/>
        <v/>
      </c>
      <c r="W312" s="2" t="str">
        <f t="shared" si="140"/>
        <v/>
      </c>
      <c r="X312" s="2" t="str">
        <f t="shared" si="141"/>
        <v/>
      </c>
      <c r="Y312" s="2" t="str">
        <f t="shared" si="142"/>
        <v/>
      </c>
      <c r="Z312" s="2" t="str">
        <f t="shared" si="157"/>
        <v/>
      </c>
      <c r="AA312" s="2" t="str">
        <f t="shared" si="158"/>
        <v/>
      </c>
      <c r="AB312" s="2" t="str">
        <f t="shared" si="159"/>
        <v/>
      </c>
      <c r="AC312" s="2" t="str">
        <f t="shared" si="143"/>
        <v/>
      </c>
      <c r="AD312" s="2" t="str">
        <f t="shared" si="144"/>
        <v/>
      </c>
      <c r="AE312" s="2" t="str">
        <f t="shared" si="145"/>
        <v/>
      </c>
      <c r="AF312" s="2" t="str">
        <f t="shared" si="146"/>
        <v/>
      </c>
    </row>
    <row r="313" spans="1:32" x14ac:dyDescent="0.2">
      <c r="A313" s="2" t="str">
        <f t="shared" si="147"/>
        <v/>
      </c>
      <c r="B313" s="2" t="str">
        <f t="shared" si="128"/>
        <v/>
      </c>
      <c r="C313" s="2" t="str">
        <f t="shared" si="129"/>
        <v/>
      </c>
      <c r="D313" s="2" t="str">
        <f t="shared" si="130"/>
        <v/>
      </c>
      <c r="E313" s="2" t="str">
        <f t="shared" si="131"/>
        <v/>
      </c>
      <c r="F313" s="2" t="str">
        <f t="shared" si="132"/>
        <v/>
      </c>
      <c r="G313" s="2" t="str">
        <f t="shared" si="133"/>
        <v/>
      </c>
      <c r="H313" s="2" t="str">
        <f t="shared" si="148"/>
        <v/>
      </c>
      <c r="I313" s="2" t="str">
        <f t="shared" si="149"/>
        <v/>
      </c>
      <c r="J313" s="2" t="str">
        <f t="shared" si="150"/>
        <v/>
      </c>
      <c r="K313" s="2" t="str">
        <f t="shared" si="134"/>
        <v/>
      </c>
      <c r="L313" s="2" t="str">
        <f t="shared" si="135"/>
        <v/>
      </c>
      <c r="M313" s="2" t="str">
        <f t="shared" si="136"/>
        <v/>
      </c>
      <c r="N313" s="2" t="str">
        <f t="shared" si="151"/>
        <v/>
      </c>
      <c r="O313" s="2" t="str">
        <f t="shared" si="152"/>
        <v/>
      </c>
      <c r="P313" s="2" t="str">
        <f t="shared" si="153"/>
        <v/>
      </c>
      <c r="Q313" s="2" t="str">
        <f t="shared" si="137"/>
        <v/>
      </c>
      <c r="R313" s="2" t="str">
        <f t="shared" si="138"/>
        <v/>
      </c>
      <c r="S313" s="2" t="str">
        <f t="shared" si="139"/>
        <v/>
      </c>
      <c r="T313" s="2" t="str">
        <f t="shared" si="154"/>
        <v/>
      </c>
      <c r="U313" s="2" t="str">
        <f t="shared" si="155"/>
        <v/>
      </c>
      <c r="V313" s="2" t="str">
        <f t="shared" si="156"/>
        <v/>
      </c>
      <c r="W313" s="2" t="str">
        <f t="shared" si="140"/>
        <v/>
      </c>
      <c r="X313" s="2" t="str">
        <f t="shared" si="141"/>
        <v/>
      </c>
      <c r="Y313" s="2" t="str">
        <f t="shared" si="142"/>
        <v/>
      </c>
      <c r="Z313" s="2" t="str">
        <f t="shared" si="157"/>
        <v/>
      </c>
      <c r="AA313" s="2" t="str">
        <f t="shared" si="158"/>
        <v/>
      </c>
      <c r="AB313" s="2" t="str">
        <f t="shared" si="159"/>
        <v/>
      </c>
      <c r="AC313" s="2" t="str">
        <f t="shared" si="143"/>
        <v/>
      </c>
      <c r="AD313" s="2" t="str">
        <f t="shared" si="144"/>
        <v/>
      </c>
      <c r="AE313" s="2" t="str">
        <f t="shared" si="145"/>
        <v/>
      </c>
      <c r="AF313" s="2" t="str">
        <f t="shared" si="146"/>
        <v/>
      </c>
    </row>
    <row r="314" spans="1:32" x14ac:dyDescent="0.2">
      <c r="A314" s="2" t="str">
        <f t="shared" si="147"/>
        <v/>
      </c>
      <c r="B314" s="2" t="str">
        <f t="shared" si="128"/>
        <v/>
      </c>
      <c r="C314" s="2" t="str">
        <f t="shared" si="129"/>
        <v/>
      </c>
      <c r="D314" s="2" t="str">
        <f t="shared" si="130"/>
        <v/>
      </c>
      <c r="E314" s="2" t="str">
        <f t="shared" si="131"/>
        <v/>
      </c>
      <c r="F314" s="2" t="str">
        <f t="shared" si="132"/>
        <v/>
      </c>
      <c r="G314" s="2" t="str">
        <f t="shared" si="133"/>
        <v/>
      </c>
      <c r="H314" s="2" t="str">
        <f t="shared" si="148"/>
        <v/>
      </c>
      <c r="I314" s="2" t="str">
        <f t="shared" si="149"/>
        <v/>
      </c>
      <c r="J314" s="2" t="str">
        <f t="shared" si="150"/>
        <v/>
      </c>
      <c r="K314" s="2" t="str">
        <f t="shared" si="134"/>
        <v/>
      </c>
      <c r="L314" s="2" t="str">
        <f t="shared" si="135"/>
        <v/>
      </c>
      <c r="M314" s="2" t="str">
        <f t="shared" si="136"/>
        <v/>
      </c>
      <c r="N314" s="2" t="str">
        <f t="shared" si="151"/>
        <v/>
      </c>
      <c r="O314" s="2" t="str">
        <f t="shared" si="152"/>
        <v/>
      </c>
      <c r="P314" s="2" t="str">
        <f t="shared" si="153"/>
        <v/>
      </c>
      <c r="Q314" s="2" t="str">
        <f t="shared" si="137"/>
        <v/>
      </c>
      <c r="R314" s="2" t="str">
        <f t="shared" si="138"/>
        <v/>
      </c>
      <c r="S314" s="2" t="str">
        <f t="shared" si="139"/>
        <v/>
      </c>
      <c r="T314" s="2" t="str">
        <f t="shared" si="154"/>
        <v/>
      </c>
      <c r="U314" s="2" t="str">
        <f t="shared" si="155"/>
        <v/>
      </c>
      <c r="V314" s="2" t="str">
        <f t="shared" si="156"/>
        <v/>
      </c>
      <c r="W314" s="2" t="str">
        <f t="shared" si="140"/>
        <v/>
      </c>
      <c r="X314" s="2" t="str">
        <f t="shared" si="141"/>
        <v/>
      </c>
      <c r="Y314" s="2" t="str">
        <f t="shared" si="142"/>
        <v/>
      </c>
      <c r="Z314" s="2" t="str">
        <f t="shared" si="157"/>
        <v/>
      </c>
      <c r="AA314" s="2" t="str">
        <f t="shared" si="158"/>
        <v/>
      </c>
      <c r="AB314" s="2" t="str">
        <f t="shared" si="159"/>
        <v/>
      </c>
      <c r="AC314" s="2" t="str">
        <f t="shared" si="143"/>
        <v/>
      </c>
      <c r="AD314" s="2" t="str">
        <f t="shared" si="144"/>
        <v/>
      </c>
      <c r="AE314" s="2" t="str">
        <f t="shared" si="145"/>
        <v/>
      </c>
      <c r="AF314" s="2" t="str">
        <f t="shared" si="146"/>
        <v/>
      </c>
    </row>
    <row r="315" spans="1:32" x14ac:dyDescent="0.2">
      <c r="A315" s="2" t="str">
        <f t="shared" si="147"/>
        <v/>
      </c>
      <c r="B315" s="2" t="str">
        <f t="shared" si="128"/>
        <v/>
      </c>
      <c r="C315" s="2" t="str">
        <f t="shared" si="129"/>
        <v/>
      </c>
      <c r="D315" s="2" t="str">
        <f t="shared" si="130"/>
        <v/>
      </c>
      <c r="E315" s="2" t="str">
        <f t="shared" si="131"/>
        <v/>
      </c>
      <c r="F315" s="2" t="str">
        <f t="shared" si="132"/>
        <v/>
      </c>
      <c r="G315" s="2" t="str">
        <f t="shared" si="133"/>
        <v/>
      </c>
      <c r="H315" s="2" t="str">
        <f t="shared" si="148"/>
        <v/>
      </c>
      <c r="I315" s="2" t="str">
        <f t="shared" si="149"/>
        <v/>
      </c>
      <c r="J315" s="2" t="str">
        <f t="shared" si="150"/>
        <v/>
      </c>
      <c r="K315" s="2" t="str">
        <f t="shared" si="134"/>
        <v/>
      </c>
      <c r="L315" s="2" t="str">
        <f t="shared" si="135"/>
        <v/>
      </c>
      <c r="M315" s="2" t="str">
        <f t="shared" si="136"/>
        <v/>
      </c>
      <c r="N315" s="2" t="str">
        <f t="shared" si="151"/>
        <v/>
      </c>
      <c r="O315" s="2" t="str">
        <f t="shared" si="152"/>
        <v/>
      </c>
      <c r="P315" s="2" t="str">
        <f t="shared" si="153"/>
        <v/>
      </c>
      <c r="Q315" s="2" t="str">
        <f t="shared" si="137"/>
        <v/>
      </c>
      <c r="R315" s="2" t="str">
        <f t="shared" si="138"/>
        <v/>
      </c>
      <c r="S315" s="2" t="str">
        <f t="shared" si="139"/>
        <v/>
      </c>
      <c r="T315" s="2" t="str">
        <f t="shared" si="154"/>
        <v/>
      </c>
      <c r="U315" s="2" t="str">
        <f t="shared" si="155"/>
        <v/>
      </c>
      <c r="V315" s="2" t="str">
        <f t="shared" si="156"/>
        <v/>
      </c>
      <c r="W315" s="2" t="str">
        <f t="shared" si="140"/>
        <v/>
      </c>
      <c r="X315" s="2" t="str">
        <f t="shared" si="141"/>
        <v/>
      </c>
      <c r="Y315" s="2" t="str">
        <f t="shared" si="142"/>
        <v/>
      </c>
      <c r="Z315" s="2" t="str">
        <f t="shared" si="157"/>
        <v/>
      </c>
      <c r="AA315" s="2" t="str">
        <f t="shared" si="158"/>
        <v/>
      </c>
      <c r="AB315" s="2" t="str">
        <f t="shared" si="159"/>
        <v/>
      </c>
      <c r="AC315" s="2" t="str">
        <f t="shared" si="143"/>
        <v/>
      </c>
      <c r="AD315" s="2" t="str">
        <f t="shared" si="144"/>
        <v/>
      </c>
      <c r="AE315" s="2" t="str">
        <f t="shared" si="145"/>
        <v/>
      </c>
      <c r="AF315" s="2" t="str">
        <f t="shared" si="146"/>
        <v/>
      </c>
    </row>
    <row r="316" spans="1:32" x14ac:dyDescent="0.2">
      <c r="A316" s="2" t="str">
        <f t="shared" si="147"/>
        <v/>
      </c>
      <c r="B316" s="2" t="str">
        <f t="shared" si="128"/>
        <v/>
      </c>
      <c r="C316" s="2" t="str">
        <f t="shared" si="129"/>
        <v/>
      </c>
      <c r="D316" s="2" t="str">
        <f t="shared" si="130"/>
        <v/>
      </c>
      <c r="E316" s="2" t="str">
        <f t="shared" si="131"/>
        <v/>
      </c>
      <c r="F316" s="2" t="str">
        <f t="shared" si="132"/>
        <v/>
      </c>
      <c r="G316" s="2" t="str">
        <f t="shared" si="133"/>
        <v/>
      </c>
      <c r="H316" s="2" t="str">
        <f t="shared" si="148"/>
        <v/>
      </c>
      <c r="I316" s="2" t="str">
        <f t="shared" si="149"/>
        <v/>
      </c>
      <c r="J316" s="2" t="str">
        <f t="shared" si="150"/>
        <v/>
      </c>
      <c r="K316" s="2" t="str">
        <f t="shared" si="134"/>
        <v/>
      </c>
      <c r="L316" s="2" t="str">
        <f t="shared" si="135"/>
        <v/>
      </c>
      <c r="M316" s="2" t="str">
        <f t="shared" si="136"/>
        <v/>
      </c>
      <c r="N316" s="2" t="str">
        <f t="shared" si="151"/>
        <v/>
      </c>
      <c r="O316" s="2" t="str">
        <f t="shared" si="152"/>
        <v/>
      </c>
      <c r="P316" s="2" t="str">
        <f t="shared" si="153"/>
        <v/>
      </c>
      <c r="Q316" s="2" t="str">
        <f t="shared" si="137"/>
        <v/>
      </c>
      <c r="R316" s="2" t="str">
        <f t="shared" si="138"/>
        <v/>
      </c>
      <c r="S316" s="2" t="str">
        <f t="shared" si="139"/>
        <v/>
      </c>
      <c r="T316" s="2" t="str">
        <f t="shared" si="154"/>
        <v/>
      </c>
      <c r="U316" s="2" t="str">
        <f t="shared" si="155"/>
        <v/>
      </c>
      <c r="V316" s="2" t="str">
        <f t="shared" si="156"/>
        <v/>
      </c>
      <c r="W316" s="2" t="str">
        <f t="shared" si="140"/>
        <v/>
      </c>
      <c r="X316" s="2" t="str">
        <f t="shared" si="141"/>
        <v/>
      </c>
      <c r="Y316" s="2" t="str">
        <f t="shared" si="142"/>
        <v/>
      </c>
      <c r="Z316" s="2" t="str">
        <f t="shared" si="157"/>
        <v/>
      </c>
      <c r="AA316" s="2" t="str">
        <f t="shared" si="158"/>
        <v/>
      </c>
      <c r="AB316" s="2" t="str">
        <f t="shared" si="159"/>
        <v/>
      </c>
      <c r="AC316" s="2" t="str">
        <f t="shared" si="143"/>
        <v/>
      </c>
      <c r="AD316" s="2" t="str">
        <f t="shared" si="144"/>
        <v/>
      </c>
      <c r="AE316" s="2" t="str">
        <f t="shared" si="145"/>
        <v/>
      </c>
      <c r="AF316" s="2" t="str">
        <f t="shared" si="146"/>
        <v/>
      </c>
    </row>
    <row r="317" spans="1:32" x14ac:dyDescent="0.2">
      <c r="A317" s="2" t="str">
        <f t="shared" si="147"/>
        <v/>
      </c>
      <c r="B317" s="2" t="str">
        <f t="shared" si="128"/>
        <v/>
      </c>
      <c r="C317" s="2" t="str">
        <f t="shared" si="129"/>
        <v/>
      </c>
      <c r="D317" s="2" t="str">
        <f t="shared" si="130"/>
        <v/>
      </c>
      <c r="E317" s="2" t="str">
        <f t="shared" si="131"/>
        <v/>
      </c>
      <c r="F317" s="2" t="str">
        <f t="shared" si="132"/>
        <v/>
      </c>
      <c r="G317" s="2" t="str">
        <f t="shared" si="133"/>
        <v/>
      </c>
      <c r="H317" s="2" t="str">
        <f t="shared" si="148"/>
        <v/>
      </c>
      <c r="I317" s="2" t="str">
        <f t="shared" si="149"/>
        <v/>
      </c>
      <c r="J317" s="2" t="str">
        <f t="shared" si="150"/>
        <v/>
      </c>
      <c r="K317" s="2" t="str">
        <f t="shared" si="134"/>
        <v/>
      </c>
      <c r="L317" s="2" t="str">
        <f t="shared" si="135"/>
        <v/>
      </c>
      <c r="M317" s="2" t="str">
        <f t="shared" si="136"/>
        <v/>
      </c>
      <c r="N317" s="2" t="str">
        <f t="shared" si="151"/>
        <v/>
      </c>
      <c r="O317" s="2" t="str">
        <f t="shared" si="152"/>
        <v/>
      </c>
      <c r="P317" s="2" t="str">
        <f t="shared" si="153"/>
        <v/>
      </c>
      <c r="Q317" s="2" t="str">
        <f t="shared" si="137"/>
        <v/>
      </c>
      <c r="R317" s="2" t="str">
        <f t="shared" si="138"/>
        <v/>
      </c>
      <c r="S317" s="2" t="str">
        <f t="shared" si="139"/>
        <v/>
      </c>
      <c r="T317" s="2" t="str">
        <f t="shared" si="154"/>
        <v/>
      </c>
      <c r="U317" s="2" t="str">
        <f t="shared" si="155"/>
        <v/>
      </c>
      <c r="V317" s="2" t="str">
        <f t="shared" si="156"/>
        <v/>
      </c>
      <c r="W317" s="2" t="str">
        <f t="shared" si="140"/>
        <v/>
      </c>
      <c r="X317" s="2" t="str">
        <f t="shared" si="141"/>
        <v/>
      </c>
      <c r="Y317" s="2" t="str">
        <f t="shared" si="142"/>
        <v/>
      </c>
      <c r="Z317" s="2" t="str">
        <f t="shared" si="157"/>
        <v/>
      </c>
      <c r="AA317" s="2" t="str">
        <f t="shared" si="158"/>
        <v/>
      </c>
      <c r="AB317" s="2" t="str">
        <f t="shared" si="159"/>
        <v/>
      </c>
      <c r="AC317" s="2" t="str">
        <f t="shared" si="143"/>
        <v/>
      </c>
      <c r="AD317" s="2" t="str">
        <f t="shared" si="144"/>
        <v/>
      </c>
      <c r="AE317" s="2" t="str">
        <f t="shared" si="145"/>
        <v/>
      </c>
      <c r="AF317" s="2" t="str">
        <f t="shared" si="146"/>
        <v/>
      </c>
    </row>
    <row r="318" spans="1:32" x14ac:dyDescent="0.2">
      <c r="A318" s="2" t="str">
        <f t="shared" si="147"/>
        <v/>
      </c>
      <c r="B318" s="2" t="str">
        <f t="shared" si="128"/>
        <v/>
      </c>
      <c r="C318" s="2" t="str">
        <f t="shared" si="129"/>
        <v/>
      </c>
      <c r="D318" s="2" t="str">
        <f t="shared" si="130"/>
        <v/>
      </c>
      <c r="E318" s="2" t="str">
        <f t="shared" si="131"/>
        <v/>
      </c>
      <c r="F318" s="2" t="str">
        <f t="shared" si="132"/>
        <v/>
      </c>
      <c r="G318" s="2" t="str">
        <f t="shared" si="133"/>
        <v/>
      </c>
      <c r="H318" s="2" t="str">
        <f t="shared" si="148"/>
        <v/>
      </c>
      <c r="I318" s="2" t="str">
        <f t="shared" si="149"/>
        <v/>
      </c>
      <c r="J318" s="2" t="str">
        <f t="shared" si="150"/>
        <v/>
      </c>
      <c r="K318" s="2" t="str">
        <f t="shared" si="134"/>
        <v/>
      </c>
      <c r="L318" s="2" t="str">
        <f t="shared" si="135"/>
        <v/>
      </c>
      <c r="M318" s="2" t="str">
        <f t="shared" si="136"/>
        <v/>
      </c>
      <c r="N318" s="2" t="str">
        <f t="shared" si="151"/>
        <v/>
      </c>
      <c r="O318" s="2" t="str">
        <f t="shared" si="152"/>
        <v/>
      </c>
      <c r="P318" s="2" t="str">
        <f t="shared" si="153"/>
        <v/>
      </c>
      <c r="Q318" s="2" t="str">
        <f t="shared" si="137"/>
        <v/>
      </c>
      <c r="R318" s="2" t="str">
        <f t="shared" si="138"/>
        <v/>
      </c>
      <c r="S318" s="2" t="str">
        <f t="shared" si="139"/>
        <v/>
      </c>
      <c r="T318" s="2" t="str">
        <f t="shared" si="154"/>
        <v/>
      </c>
      <c r="U318" s="2" t="str">
        <f t="shared" si="155"/>
        <v/>
      </c>
      <c r="V318" s="2" t="str">
        <f t="shared" si="156"/>
        <v/>
      </c>
      <c r="W318" s="2" t="str">
        <f t="shared" si="140"/>
        <v/>
      </c>
      <c r="X318" s="2" t="str">
        <f t="shared" si="141"/>
        <v/>
      </c>
      <c r="Y318" s="2" t="str">
        <f t="shared" si="142"/>
        <v/>
      </c>
      <c r="Z318" s="2" t="str">
        <f t="shared" si="157"/>
        <v/>
      </c>
      <c r="AA318" s="2" t="str">
        <f t="shared" si="158"/>
        <v/>
      </c>
      <c r="AB318" s="2" t="str">
        <f t="shared" si="159"/>
        <v/>
      </c>
      <c r="AC318" s="2" t="str">
        <f t="shared" si="143"/>
        <v/>
      </c>
      <c r="AD318" s="2" t="str">
        <f t="shared" si="144"/>
        <v/>
      </c>
      <c r="AE318" s="2" t="str">
        <f t="shared" si="145"/>
        <v/>
      </c>
      <c r="AF318" s="2" t="str">
        <f t="shared" si="146"/>
        <v/>
      </c>
    </row>
    <row r="319" spans="1:32" x14ac:dyDescent="0.2">
      <c r="A319" s="2" t="str">
        <f t="shared" si="147"/>
        <v/>
      </c>
      <c r="B319" s="2" t="str">
        <f t="shared" si="128"/>
        <v/>
      </c>
      <c r="C319" s="2" t="str">
        <f t="shared" si="129"/>
        <v/>
      </c>
      <c r="D319" s="2" t="str">
        <f t="shared" si="130"/>
        <v/>
      </c>
      <c r="E319" s="2" t="str">
        <f t="shared" si="131"/>
        <v/>
      </c>
      <c r="F319" s="2" t="str">
        <f t="shared" si="132"/>
        <v/>
      </c>
      <c r="G319" s="2" t="str">
        <f t="shared" si="133"/>
        <v/>
      </c>
      <c r="H319" s="2" t="str">
        <f t="shared" si="148"/>
        <v/>
      </c>
      <c r="I319" s="2" t="str">
        <f t="shared" si="149"/>
        <v/>
      </c>
      <c r="J319" s="2" t="str">
        <f t="shared" si="150"/>
        <v/>
      </c>
      <c r="K319" s="2" t="str">
        <f t="shared" si="134"/>
        <v/>
      </c>
      <c r="L319" s="2" t="str">
        <f t="shared" si="135"/>
        <v/>
      </c>
      <c r="M319" s="2" t="str">
        <f t="shared" si="136"/>
        <v/>
      </c>
      <c r="N319" s="2" t="str">
        <f t="shared" si="151"/>
        <v/>
      </c>
      <c r="O319" s="2" t="str">
        <f t="shared" si="152"/>
        <v/>
      </c>
      <c r="P319" s="2" t="str">
        <f t="shared" si="153"/>
        <v/>
      </c>
      <c r="Q319" s="2" t="str">
        <f t="shared" si="137"/>
        <v/>
      </c>
      <c r="R319" s="2" t="str">
        <f t="shared" si="138"/>
        <v/>
      </c>
      <c r="S319" s="2" t="str">
        <f t="shared" si="139"/>
        <v/>
      </c>
      <c r="T319" s="2" t="str">
        <f t="shared" si="154"/>
        <v/>
      </c>
      <c r="U319" s="2" t="str">
        <f t="shared" si="155"/>
        <v/>
      </c>
      <c r="V319" s="2" t="str">
        <f t="shared" si="156"/>
        <v/>
      </c>
      <c r="W319" s="2" t="str">
        <f t="shared" si="140"/>
        <v/>
      </c>
      <c r="X319" s="2" t="str">
        <f t="shared" si="141"/>
        <v/>
      </c>
      <c r="Y319" s="2" t="str">
        <f t="shared" si="142"/>
        <v/>
      </c>
      <c r="Z319" s="2" t="str">
        <f t="shared" si="157"/>
        <v/>
      </c>
      <c r="AA319" s="2" t="str">
        <f t="shared" si="158"/>
        <v/>
      </c>
      <c r="AB319" s="2" t="str">
        <f t="shared" si="159"/>
        <v/>
      </c>
      <c r="AC319" s="2" t="str">
        <f t="shared" si="143"/>
        <v/>
      </c>
      <c r="AD319" s="2" t="str">
        <f t="shared" si="144"/>
        <v/>
      </c>
      <c r="AE319" s="2" t="str">
        <f t="shared" si="145"/>
        <v/>
      </c>
      <c r="AF319" s="2" t="str">
        <f t="shared" si="146"/>
        <v/>
      </c>
    </row>
    <row r="320" spans="1:32" x14ac:dyDescent="0.2">
      <c r="A320" s="2" t="str">
        <f t="shared" si="147"/>
        <v/>
      </c>
      <c r="B320" s="2" t="str">
        <f t="shared" si="128"/>
        <v/>
      </c>
      <c r="C320" s="2" t="str">
        <f t="shared" si="129"/>
        <v/>
      </c>
      <c r="D320" s="2" t="str">
        <f t="shared" si="130"/>
        <v/>
      </c>
      <c r="E320" s="2" t="str">
        <f t="shared" si="131"/>
        <v/>
      </c>
      <c r="F320" s="2" t="str">
        <f t="shared" si="132"/>
        <v/>
      </c>
      <c r="G320" s="2" t="str">
        <f t="shared" si="133"/>
        <v/>
      </c>
      <c r="H320" s="2" t="str">
        <f t="shared" si="148"/>
        <v/>
      </c>
      <c r="I320" s="2" t="str">
        <f t="shared" si="149"/>
        <v/>
      </c>
      <c r="J320" s="2" t="str">
        <f t="shared" si="150"/>
        <v/>
      </c>
      <c r="K320" s="2" t="str">
        <f t="shared" si="134"/>
        <v/>
      </c>
      <c r="L320" s="2" t="str">
        <f t="shared" si="135"/>
        <v/>
      </c>
      <c r="M320" s="2" t="str">
        <f t="shared" si="136"/>
        <v/>
      </c>
      <c r="N320" s="2" t="str">
        <f t="shared" si="151"/>
        <v/>
      </c>
      <c r="O320" s="2" t="str">
        <f t="shared" si="152"/>
        <v/>
      </c>
      <c r="P320" s="2" t="str">
        <f t="shared" si="153"/>
        <v/>
      </c>
      <c r="Q320" s="2" t="str">
        <f t="shared" si="137"/>
        <v/>
      </c>
      <c r="R320" s="2" t="str">
        <f t="shared" si="138"/>
        <v/>
      </c>
      <c r="S320" s="2" t="str">
        <f t="shared" si="139"/>
        <v/>
      </c>
      <c r="T320" s="2" t="str">
        <f t="shared" si="154"/>
        <v/>
      </c>
      <c r="U320" s="2" t="str">
        <f t="shared" si="155"/>
        <v/>
      </c>
      <c r="V320" s="2" t="str">
        <f t="shared" si="156"/>
        <v/>
      </c>
      <c r="W320" s="2" t="str">
        <f t="shared" si="140"/>
        <v/>
      </c>
      <c r="X320" s="2" t="str">
        <f t="shared" si="141"/>
        <v/>
      </c>
      <c r="Y320" s="2" t="str">
        <f t="shared" si="142"/>
        <v/>
      </c>
      <c r="Z320" s="2" t="str">
        <f t="shared" si="157"/>
        <v/>
      </c>
      <c r="AA320" s="2" t="str">
        <f t="shared" si="158"/>
        <v/>
      </c>
      <c r="AB320" s="2" t="str">
        <f t="shared" si="159"/>
        <v/>
      </c>
      <c r="AC320" s="2" t="str">
        <f t="shared" si="143"/>
        <v/>
      </c>
      <c r="AD320" s="2" t="str">
        <f t="shared" si="144"/>
        <v/>
      </c>
      <c r="AE320" s="2" t="str">
        <f t="shared" si="145"/>
        <v/>
      </c>
      <c r="AF320" s="2" t="str">
        <f t="shared" si="146"/>
        <v/>
      </c>
    </row>
    <row r="321" spans="1:32" x14ac:dyDescent="0.2">
      <c r="A321" s="2" t="str">
        <f t="shared" si="147"/>
        <v/>
      </c>
      <c r="B321" s="2" t="str">
        <f t="shared" si="128"/>
        <v/>
      </c>
      <c r="C321" s="2" t="str">
        <f t="shared" si="129"/>
        <v/>
      </c>
      <c r="D321" s="2" t="str">
        <f t="shared" si="130"/>
        <v/>
      </c>
      <c r="E321" s="2" t="str">
        <f t="shared" si="131"/>
        <v/>
      </c>
      <c r="F321" s="2" t="str">
        <f t="shared" si="132"/>
        <v/>
      </c>
      <c r="G321" s="2" t="str">
        <f t="shared" si="133"/>
        <v/>
      </c>
      <c r="H321" s="2" t="str">
        <f t="shared" si="148"/>
        <v/>
      </c>
      <c r="I321" s="2" t="str">
        <f t="shared" si="149"/>
        <v/>
      </c>
      <c r="J321" s="2" t="str">
        <f t="shared" si="150"/>
        <v/>
      </c>
      <c r="K321" s="2" t="str">
        <f t="shared" si="134"/>
        <v/>
      </c>
      <c r="L321" s="2" t="str">
        <f t="shared" si="135"/>
        <v/>
      </c>
      <c r="M321" s="2" t="str">
        <f t="shared" si="136"/>
        <v/>
      </c>
      <c r="N321" s="2" t="str">
        <f t="shared" si="151"/>
        <v/>
      </c>
      <c r="O321" s="2" t="str">
        <f t="shared" si="152"/>
        <v/>
      </c>
      <c r="P321" s="2" t="str">
        <f t="shared" si="153"/>
        <v/>
      </c>
      <c r="Q321" s="2" t="str">
        <f t="shared" si="137"/>
        <v/>
      </c>
      <c r="R321" s="2" t="str">
        <f t="shared" si="138"/>
        <v/>
      </c>
      <c r="S321" s="2" t="str">
        <f t="shared" si="139"/>
        <v/>
      </c>
      <c r="T321" s="2" t="str">
        <f t="shared" si="154"/>
        <v/>
      </c>
      <c r="U321" s="2" t="str">
        <f t="shared" si="155"/>
        <v/>
      </c>
      <c r="V321" s="2" t="str">
        <f t="shared" si="156"/>
        <v/>
      </c>
      <c r="W321" s="2" t="str">
        <f t="shared" si="140"/>
        <v/>
      </c>
      <c r="X321" s="2" t="str">
        <f t="shared" si="141"/>
        <v/>
      </c>
      <c r="Y321" s="2" t="str">
        <f t="shared" si="142"/>
        <v/>
      </c>
      <c r="Z321" s="2" t="str">
        <f t="shared" si="157"/>
        <v/>
      </c>
      <c r="AA321" s="2" t="str">
        <f t="shared" si="158"/>
        <v/>
      </c>
      <c r="AB321" s="2" t="str">
        <f t="shared" si="159"/>
        <v/>
      </c>
      <c r="AC321" s="2" t="str">
        <f t="shared" si="143"/>
        <v/>
      </c>
      <c r="AD321" s="2" t="str">
        <f t="shared" si="144"/>
        <v/>
      </c>
      <c r="AE321" s="2" t="str">
        <f t="shared" si="145"/>
        <v/>
      </c>
      <c r="AF321" s="2" t="str">
        <f t="shared" si="146"/>
        <v/>
      </c>
    </row>
    <row r="322" spans="1:32" x14ac:dyDescent="0.2">
      <c r="A322" s="2" t="str">
        <f t="shared" si="147"/>
        <v/>
      </c>
      <c r="B322" s="2" t="str">
        <f t="shared" si="128"/>
        <v/>
      </c>
      <c r="C322" s="2" t="str">
        <f t="shared" si="129"/>
        <v/>
      </c>
      <c r="D322" s="2" t="str">
        <f t="shared" si="130"/>
        <v/>
      </c>
      <c r="E322" s="2" t="str">
        <f t="shared" si="131"/>
        <v/>
      </c>
      <c r="F322" s="2" t="str">
        <f t="shared" si="132"/>
        <v/>
      </c>
      <c r="G322" s="2" t="str">
        <f t="shared" si="133"/>
        <v/>
      </c>
      <c r="H322" s="2" t="str">
        <f t="shared" si="148"/>
        <v/>
      </c>
      <c r="I322" s="2" t="str">
        <f t="shared" si="149"/>
        <v/>
      </c>
      <c r="J322" s="2" t="str">
        <f t="shared" si="150"/>
        <v/>
      </c>
      <c r="K322" s="2" t="str">
        <f t="shared" si="134"/>
        <v/>
      </c>
      <c r="L322" s="2" t="str">
        <f t="shared" si="135"/>
        <v/>
      </c>
      <c r="M322" s="2" t="str">
        <f t="shared" si="136"/>
        <v/>
      </c>
      <c r="N322" s="2" t="str">
        <f t="shared" si="151"/>
        <v/>
      </c>
      <c r="O322" s="2" t="str">
        <f t="shared" si="152"/>
        <v/>
      </c>
      <c r="P322" s="2" t="str">
        <f t="shared" si="153"/>
        <v/>
      </c>
      <c r="Q322" s="2" t="str">
        <f t="shared" si="137"/>
        <v/>
      </c>
      <c r="R322" s="2" t="str">
        <f t="shared" si="138"/>
        <v/>
      </c>
      <c r="S322" s="2" t="str">
        <f t="shared" si="139"/>
        <v/>
      </c>
      <c r="T322" s="2" t="str">
        <f t="shared" si="154"/>
        <v/>
      </c>
      <c r="U322" s="2" t="str">
        <f t="shared" si="155"/>
        <v/>
      </c>
      <c r="V322" s="2" t="str">
        <f t="shared" si="156"/>
        <v/>
      </c>
      <c r="W322" s="2" t="str">
        <f t="shared" si="140"/>
        <v/>
      </c>
      <c r="X322" s="2" t="str">
        <f t="shared" si="141"/>
        <v/>
      </c>
      <c r="Y322" s="2" t="str">
        <f t="shared" si="142"/>
        <v/>
      </c>
      <c r="Z322" s="2" t="str">
        <f t="shared" si="157"/>
        <v/>
      </c>
      <c r="AA322" s="2" t="str">
        <f t="shared" si="158"/>
        <v/>
      </c>
      <c r="AB322" s="2" t="str">
        <f t="shared" si="159"/>
        <v/>
      </c>
      <c r="AC322" s="2" t="str">
        <f t="shared" si="143"/>
        <v/>
      </c>
      <c r="AD322" s="2" t="str">
        <f t="shared" si="144"/>
        <v/>
      </c>
      <c r="AE322" s="2" t="str">
        <f t="shared" si="145"/>
        <v/>
      </c>
      <c r="AF322" s="2" t="str">
        <f t="shared" si="146"/>
        <v/>
      </c>
    </row>
    <row r="323" spans="1:32" x14ac:dyDescent="0.2">
      <c r="A323" s="2" t="str">
        <f t="shared" si="147"/>
        <v/>
      </c>
      <c r="B323" s="2" t="str">
        <f t="shared" si="128"/>
        <v/>
      </c>
      <c r="C323" s="2" t="str">
        <f t="shared" si="129"/>
        <v/>
      </c>
      <c r="D323" s="2" t="str">
        <f t="shared" si="130"/>
        <v/>
      </c>
      <c r="E323" s="2" t="str">
        <f t="shared" si="131"/>
        <v/>
      </c>
      <c r="F323" s="2" t="str">
        <f t="shared" si="132"/>
        <v/>
      </c>
      <c r="G323" s="2" t="str">
        <f t="shared" si="133"/>
        <v/>
      </c>
      <c r="H323" s="2" t="str">
        <f t="shared" si="148"/>
        <v/>
      </c>
      <c r="I323" s="2" t="str">
        <f t="shared" si="149"/>
        <v/>
      </c>
      <c r="J323" s="2" t="str">
        <f t="shared" si="150"/>
        <v/>
      </c>
      <c r="K323" s="2" t="str">
        <f t="shared" si="134"/>
        <v/>
      </c>
      <c r="L323" s="2" t="str">
        <f t="shared" si="135"/>
        <v/>
      </c>
      <c r="M323" s="2" t="str">
        <f t="shared" si="136"/>
        <v/>
      </c>
      <c r="N323" s="2" t="str">
        <f t="shared" si="151"/>
        <v/>
      </c>
      <c r="O323" s="2" t="str">
        <f t="shared" si="152"/>
        <v/>
      </c>
      <c r="P323" s="2" t="str">
        <f t="shared" si="153"/>
        <v/>
      </c>
      <c r="Q323" s="2" t="str">
        <f t="shared" si="137"/>
        <v/>
      </c>
      <c r="R323" s="2" t="str">
        <f t="shared" si="138"/>
        <v/>
      </c>
      <c r="S323" s="2" t="str">
        <f t="shared" si="139"/>
        <v/>
      </c>
      <c r="T323" s="2" t="str">
        <f t="shared" si="154"/>
        <v/>
      </c>
      <c r="U323" s="2" t="str">
        <f t="shared" si="155"/>
        <v/>
      </c>
      <c r="V323" s="2" t="str">
        <f t="shared" si="156"/>
        <v/>
      </c>
      <c r="W323" s="2" t="str">
        <f t="shared" si="140"/>
        <v/>
      </c>
      <c r="X323" s="2" t="str">
        <f t="shared" si="141"/>
        <v/>
      </c>
      <c r="Y323" s="2" t="str">
        <f t="shared" si="142"/>
        <v/>
      </c>
      <c r="Z323" s="2" t="str">
        <f t="shared" si="157"/>
        <v/>
      </c>
      <c r="AA323" s="2" t="str">
        <f t="shared" si="158"/>
        <v/>
      </c>
      <c r="AB323" s="2" t="str">
        <f t="shared" si="159"/>
        <v/>
      </c>
      <c r="AC323" s="2" t="str">
        <f t="shared" si="143"/>
        <v/>
      </c>
      <c r="AD323" s="2" t="str">
        <f t="shared" si="144"/>
        <v/>
      </c>
      <c r="AE323" s="2" t="str">
        <f t="shared" si="145"/>
        <v/>
      </c>
      <c r="AF323" s="2" t="str">
        <f t="shared" si="146"/>
        <v/>
      </c>
    </row>
    <row r="324" spans="1:32" x14ac:dyDescent="0.2">
      <c r="A324" s="2" t="str">
        <f t="shared" si="147"/>
        <v/>
      </c>
      <c r="B324" s="2" t="str">
        <f t="shared" ref="B324:B387" si="160">IF(AI324="","",AI324)</f>
        <v/>
      </c>
      <c r="C324" s="2" t="str">
        <f t="shared" ref="C324:C387" si="161">IF(AJ324="","",AJ324)</f>
        <v/>
      </c>
      <c r="D324" s="2" t="str">
        <f t="shared" ref="D324:D387" si="162">IF(AK324="","",AK324)</f>
        <v/>
      </c>
      <c r="E324" s="2" t="str">
        <f t="shared" ref="E324:E387" si="163">IF(AL324="","",AL324)</f>
        <v/>
      </c>
      <c r="F324" s="2" t="str">
        <f t="shared" ref="F324:F387" si="164">IF(AM324="","",AM324)</f>
        <v/>
      </c>
      <c r="G324" s="2" t="str">
        <f t="shared" ref="G324:G387" si="165">IF(AN324="","",AN324)</f>
        <v/>
      </c>
      <c r="H324" s="2" t="str">
        <f t="shared" si="148"/>
        <v/>
      </c>
      <c r="I324" s="2" t="str">
        <f t="shared" si="149"/>
        <v/>
      </c>
      <c r="J324" s="2" t="str">
        <f t="shared" si="150"/>
        <v/>
      </c>
      <c r="K324" s="2" t="str">
        <f t="shared" ref="K324:K387" si="166">IF(AR324="","",AR324)</f>
        <v/>
      </c>
      <c r="L324" s="2" t="str">
        <f t="shared" ref="L324:L387" si="167">IF(AS324="","",AS324)</f>
        <v/>
      </c>
      <c r="M324" s="2" t="str">
        <f t="shared" ref="M324:M387" si="168">IF(AT324="","",AT324)</f>
        <v/>
      </c>
      <c r="N324" s="2" t="str">
        <f t="shared" si="151"/>
        <v/>
      </c>
      <c r="O324" s="2" t="str">
        <f t="shared" si="152"/>
        <v/>
      </c>
      <c r="P324" s="2" t="str">
        <f t="shared" si="153"/>
        <v/>
      </c>
      <c r="Q324" s="2" t="str">
        <f t="shared" ref="Q324:Q387" si="169">IF(AX324="","",AX324)</f>
        <v/>
      </c>
      <c r="R324" s="2" t="str">
        <f t="shared" ref="R324:R387" si="170">IF(AY324="","",AY324)</f>
        <v/>
      </c>
      <c r="S324" s="2" t="str">
        <f t="shared" ref="S324:S387" si="171">IF(AZ324="","",AZ324)</f>
        <v/>
      </c>
      <c r="T324" s="2" t="str">
        <f t="shared" si="154"/>
        <v/>
      </c>
      <c r="U324" s="2" t="str">
        <f t="shared" si="155"/>
        <v/>
      </c>
      <c r="V324" s="2" t="str">
        <f t="shared" si="156"/>
        <v/>
      </c>
      <c r="W324" s="2" t="str">
        <f t="shared" ref="W324:W387" si="172">IF(BD324="","",BD324)</f>
        <v/>
      </c>
      <c r="X324" s="2" t="str">
        <f t="shared" ref="X324:X387" si="173">IF(BE324="","",BE324)</f>
        <v/>
      </c>
      <c r="Y324" s="2" t="str">
        <f t="shared" ref="Y324:Y387" si="174">IF(BF324="","",BF324)</f>
        <v/>
      </c>
      <c r="Z324" s="2" t="str">
        <f t="shared" si="157"/>
        <v/>
      </c>
      <c r="AA324" s="2" t="str">
        <f t="shared" si="158"/>
        <v/>
      </c>
      <c r="AB324" s="2" t="str">
        <f t="shared" si="159"/>
        <v/>
      </c>
      <c r="AC324" s="2" t="str">
        <f t="shared" ref="AC324:AC387" si="175">IF(BJ324="","",BJ324)</f>
        <v/>
      </c>
      <c r="AD324" s="2" t="str">
        <f t="shared" ref="AD324:AD387" si="176">IF(BK324="","",BK324)</f>
        <v/>
      </c>
      <c r="AE324" s="2" t="str">
        <f t="shared" ref="AE324:AE387" si="177">IF(BL324="","",BL324)</f>
        <v/>
      </c>
      <c r="AF324" s="2" t="str">
        <f t="shared" ref="AF324:AF387" si="178">IF(BM324="","",BM324)</f>
        <v/>
      </c>
    </row>
    <row r="325" spans="1:32" x14ac:dyDescent="0.2">
      <c r="A325" s="2" t="str">
        <f t="shared" ref="A325:A388" si="179">IF(AH325="","",_xlfn.CONCAT(AH325,"_",ROW()-3))</f>
        <v/>
      </c>
      <c r="B325" s="2" t="str">
        <f t="shared" si="160"/>
        <v/>
      </c>
      <c r="C325" s="2" t="str">
        <f t="shared" si="161"/>
        <v/>
      </c>
      <c r="D325" s="2" t="str">
        <f t="shared" si="162"/>
        <v/>
      </c>
      <c r="E325" s="2" t="str">
        <f t="shared" si="163"/>
        <v/>
      </c>
      <c r="F325" s="2" t="str">
        <f t="shared" si="164"/>
        <v/>
      </c>
      <c r="G325" s="2" t="str">
        <f t="shared" si="165"/>
        <v/>
      </c>
      <c r="H325" s="2" t="str">
        <f t="shared" ref="H325:H388" si="180">IF(AO325="","",IF(AQ325&lt;&gt;0,(AO325+AQ325)/2,AO325)-BN325)</f>
        <v/>
      </c>
      <c r="I325" s="2" t="str">
        <f t="shared" ref="I325:I388" si="181">IF(AP325="","",AP325)</f>
        <v/>
      </c>
      <c r="J325" s="2" t="str">
        <f t="shared" ref="J325:J388" si="182">IF(AQ325="","",(AO325+AQ325)/2-BN325)</f>
        <v/>
      </c>
      <c r="K325" s="2" t="str">
        <f t="shared" si="166"/>
        <v/>
      </c>
      <c r="L325" s="2" t="str">
        <f t="shared" si="167"/>
        <v/>
      </c>
      <c r="M325" s="2" t="str">
        <f t="shared" si="168"/>
        <v/>
      </c>
      <c r="N325" s="2" t="str">
        <f t="shared" ref="N325:N388" si="183">IF(AU325="","",IF(AW325&lt;&gt;0,(AU325+AW325)/2,AU325)-BN326)</f>
        <v/>
      </c>
      <c r="O325" s="2" t="str">
        <f t="shared" ref="O325:O388" si="184">IF(AV325="","",AV325)</f>
        <v/>
      </c>
      <c r="P325" s="2" t="str">
        <f t="shared" ref="P325:P388" si="185">IF(AW325="","",(AU325+AW325)/2-BN326)</f>
        <v/>
      </c>
      <c r="Q325" s="2" t="str">
        <f t="shared" si="169"/>
        <v/>
      </c>
      <c r="R325" s="2" t="str">
        <f t="shared" si="170"/>
        <v/>
      </c>
      <c r="S325" s="2" t="str">
        <f t="shared" si="171"/>
        <v/>
      </c>
      <c r="T325" s="2" t="str">
        <f t="shared" ref="T325:T388" si="186">IF(BA325="","",IF(BC325&lt;&gt;0,(BA325+BC325)/2,BA325)-BN327)</f>
        <v/>
      </c>
      <c r="U325" s="2" t="str">
        <f t="shared" ref="U325:U388" si="187">IF(BB325="","",BB325)</f>
        <v/>
      </c>
      <c r="V325" s="2" t="str">
        <f t="shared" ref="V325:V388" si="188">IF(BC325="","",(BA325+BC325)/2-BN327)</f>
        <v/>
      </c>
      <c r="W325" s="2" t="str">
        <f t="shared" si="172"/>
        <v/>
      </c>
      <c r="X325" s="2" t="str">
        <f t="shared" si="173"/>
        <v/>
      </c>
      <c r="Y325" s="2" t="str">
        <f t="shared" si="174"/>
        <v/>
      </c>
      <c r="Z325" s="2" t="str">
        <f t="shared" ref="Z325:Z388" si="189">IF(BG325="","",IF(BI325&lt;&gt;0,(BG325+BI325)/2,BG325)-BN328)</f>
        <v/>
      </c>
      <c r="AA325" s="2" t="str">
        <f t="shared" ref="AA325:AA388" si="190">IF(BH325="","",BH325)</f>
        <v/>
      </c>
      <c r="AB325" s="2" t="str">
        <f t="shared" ref="AB325:AB388" si="191">IF(BI325="","",(BG325+BI325)/2-BN328)</f>
        <v/>
      </c>
      <c r="AC325" s="2" t="str">
        <f t="shared" si="175"/>
        <v/>
      </c>
      <c r="AD325" s="2" t="str">
        <f t="shared" si="176"/>
        <v/>
      </c>
      <c r="AE325" s="2" t="str">
        <f t="shared" si="177"/>
        <v/>
      </c>
      <c r="AF325" s="2" t="str">
        <f t="shared" si="178"/>
        <v/>
      </c>
    </row>
    <row r="326" spans="1:32" x14ac:dyDescent="0.2">
      <c r="A326" s="2" t="str">
        <f t="shared" si="179"/>
        <v/>
      </c>
      <c r="B326" s="2" t="str">
        <f t="shared" si="160"/>
        <v/>
      </c>
      <c r="C326" s="2" t="str">
        <f t="shared" si="161"/>
        <v/>
      </c>
      <c r="D326" s="2" t="str">
        <f t="shared" si="162"/>
        <v/>
      </c>
      <c r="E326" s="2" t="str">
        <f t="shared" si="163"/>
        <v/>
      </c>
      <c r="F326" s="2" t="str">
        <f t="shared" si="164"/>
        <v/>
      </c>
      <c r="G326" s="2" t="str">
        <f t="shared" si="165"/>
        <v/>
      </c>
      <c r="H326" s="2" t="str">
        <f t="shared" si="180"/>
        <v/>
      </c>
      <c r="I326" s="2" t="str">
        <f t="shared" si="181"/>
        <v/>
      </c>
      <c r="J326" s="2" t="str">
        <f t="shared" si="182"/>
        <v/>
      </c>
      <c r="K326" s="2" t="str">
        <f t="shared" si="166"/>
        <v/>
      </c>
      <c r="L326" s="2" t="str">
        <f t="shared" si="167"/>
        <v/>
      </c>
      <c r="M326" s="2" t="str">
        <f t="shared" si="168"/>
        <v/>
      </c>
      <c r="N326" s="2" t="str">
        <f t="shared" si="183"/>
        <v/>
      </c>
      <c r="O326" s="2" t="str">
        <f t="shared" si="184"/>
        <v/>
      </c>
      <c r="P326" s="2" t="str">
        <f t="shared" si="185"/>
        <v/>
      </c>
      <c r="Q326" s="2" t="str">
        <f t="shared" si="169"/>
        <v/>
      </c>
      <c r="R326" s="2" t="str">
        <f t="shared" si="170"/>
        <v/>
      </c>
      <c r="S326" s="2" t="str">
        <f t="shared" si="171"/>
        <v/>
      </c>
      <c r="T326" s="2" t="str">
        <f t="shared" si="186"/>
        <v/>
      </c>
      <c r="U326" s="2" t="str">
        <f t="shared" si="187"/>
        <v/>
      </c>
      <c r="V326" s="2" t="str">
        <f t="shared" si="188"/>
        <v/>
      </c>
      <c r="W326" s="2" t="str">
        <f t="shared" si="172"/>
        <v/>
      </c>
      <c r="X326" s="2" t="str">
        <f t="shared" si="173"/>
        <v/>
      </c>
      <c r="Y326" s="2" t="str">
        <f t="shared" si="174"/>
        <v/>
      </c>
      <c r="Z326" s="2" t="str">
        <f t="shared" si="189"/>
        <v/>
      </c>
      <c r="AA326" s="2" t="str">
        <f t="shared" si="190"/>
        <v/>
      </c>
      <c r="AB326" s="2" t="str">
        <f t="shared" si="191"/>
        <v/>
      </c>
      <c r="AC326" s="2" t="str">
        <f t="shared" si="175"/>
        <v/>
      </c>
      <c r="AD326" s="2" t="str">
        <f t="shared" si="176"/>
        <v/>
      </c>
      <c r="AE326" s="2" t="str">
        <f t="shared" si="177"/>
        <v/>
      </c>
      <c r="AF326" s="2" t="str">
        <f t="shared" si="178"/>
        <v/>
      </c>
    </row>
    <row r="327" spans="1:32" x14ac:dyDescent="0.2">
      <c r="A327" s="2" t="str">
        <f t="shared" si="179"/>
        <v/>
      </c>
      <c r="B327" s="2" t="str">
        <f t="shared" si="160"/>
        <v/>
      </c>
      <c r="C327" s="2" t="str">
        <f t="shared" si="161"/>
        <v/>
      </c>
      <c r="D327" s="2" t="str">
        <f t="shared" si="162"/>
        <v/>
      </c>
      <c r="E327" s="2" t="str">
        <f t="shared" si="163"/>
        <v/>
      </c>
      <c r="F327" s="2" t="str">
        <f t="shared" si="164"/>
        <v/>
      </c>
      <c r="G327" s="2" t="str">
        <f t="shared" si="165"/>
        <v/>
      </c>
      <c r="H327" s="2" t="str">
        <f t="shared" si="180"/>
        <v/>
      </c>
      <c r="I327" s="2" t="str">
        <f t="shared" si="181"/>
        <v/>
      </c>
      <c r="J327" s="2" t="str">
        <f t="shared" si="182"/>
        <v/>
      </c>
      <c r="K327" s="2" t="str">
        <f t="shared" si="166"/>
        <v/>
      </c>
      <c r="L327" s="2" t="str">
        <f t="shared" si="167"/>
        <v/>
      </c>
      <c r="M327" s="2" t="str">
        <f t="shared" si="168"/>
        <v/>
      </c>
      <c r="N327" s="2" t="str">
        <f t="shared" si="183"/>
        <v/>
      </c>
      <c r="O327" s="2" t="str">
        <f t="shared" si="184"/>
        <v/>
      </c>
      <c r="P327" s="2" t="str">
        <f t="shared" si="185"/>
        <v/>
      </c>
      <c r="Q327" s="2" t="str">
        <f t="shared" si="169"/>
        <v/>
      </c>
      <c r="R327" s="2" t="str">
        <f t="shared" si="170"/>
        <v/>
      </c>
      <c r="S327" s="2" t="str">
        <f t="shared" si="171"/>
        <v/>
      </c>
      <c r="T327" s="2" t="str">
        <f t="shared" si="186"/>
        <v/>
      </c>
      <c r="U327" s="2" t="str">
        <f t="shared" si="187"/>
        <v/>
      </c>
      <c r="V327" s="2" t="str">
        <f t="shared" si="188"/>
        <v/>
      </c>
      <c r="W327" s="2" t="str">
        <f t="shared" si="172"/>
        <v/>
      </c>
      <c r="X327" s="2" t="str">
        <f t="shared" si="173"/>
        <v/>
      </c>
      <c r="Y327" s="2" t="str">
        <f t="shared" si="174"/>
        <v/>
      </c>
      <c r="Z327" s="2" t="str">
        <f t="shared" si="189"/>
        <v/>
      </c>
      <c r="AA327" s="2" t="str">
        <f t="shared" si="190"/>
        <v/>
      </c>
      <c r="AB327" s="2" t="str">
        <f t="shared" si="191"/>
        <v/>
      </c>
      <c r="AC327" s="2" t="str">
        <f t="shared" si="175"/>
        <v/>
      </c>
      <c r="AD327" s="2" t="str">
        <f t="shared" si="176"/>
        <v/>
      </c>
      <c r="AE327" s="2" t="str">
        <f t="shared" si="177"/>
        <v/>
      </c>
      <c r="AF327" s="2" t="str">
        <f t="shared" si="178"/>
        <v/>
      </c>
    </row>
    <row r="328" spans="1:32" x14ac:dyDescent="0.2">
      <c r="A328" s="2" t="str">
        <f t="shared" si="179"/>
        <v/>
      </c>
      <c r="B328" s="2" t="str">
        <f t="shared" si="160"/>
        <v/>
      </c>
      <c r="C328" s="2" t="str">
        <f t="shared" si="161"/>
        <v/>
      </c>
      <c r="D328" s="2" t="str">
        <f t="shared" si="162"/>
        <v/>
      </c>
      <c r="E328" s="2" t="str">
        <f t="shared" si="163"/>
        <v/>
      </c>
      <c r="F328" s="2" t="str">
        <f t="shared" si="164"/>
        <v/>
      </c>
      <c r="G328" s="2" t="str">
        <f t="shared" si="165"/>
        <v/>
      </c>
      <c r="H328" s="2" t="str">
        <f t="shared" si="180"/>
        <v/>
      </c>
      <c r="I328" s="2" t="str">
        <f t="shared" si="181"/>
        <v/>
      </c>
      <c r="J328" s="2" t="str">
        <f t="shared" si="182"/>
        <v/>
      </c>
      <c r="K328" s="2" t="str">
        <f t="shared" si="166"/>
        <v/>
      </c>
      <c r="L328" s="2" t="str">
        <f t="shared" si="167"/>
        <v/>
      </c>
      <c r="M328" s="2" t="str">
        <f t="shared" si="168"/>
        <v/>
      </c>
      <c r="N328" s="2" t="str">
        <f t="shared" si="183"/>
        <v/>
      </c>
      <c r="O328" s="2" t="str">
        <f t="shared" si="184"/>
        <v/>
      </c>
      <c r="P328" s="2" t="str">
        <f t="shared" si="185"/>
        <v/>
      </c>
      <c r="Q328" s="2" t="str">
        <f t="shared" si="169"/>
        <v/>
      </c>
      <c r="R328" s="2" t="str">
        <f t="shared" si="170"/>
        <v/>
      </c>
      <c r="S328" s="2" t="str">
        <f t="shared" si="171"/>
        <v/>
      </c>
      <c r="T328" s="2" t="str">
        <f t="shared" si="186"/>
        <v/>
      </c>
      <c r="U328" s="2" t="str">
        <f t="shared" si="187"/>
        <v/>
      </c>
      <c r="V328" s="2" t="str">
        <f t="shared" si="188"/>
        <v/>
      </c>
      <c r="W328" s="2" t="str">
        <f t="shared" si="172"/>
        <v/>
      </c>
      <c r="X328" s="2" t="str">
        <f t="shared" si="173"/>
        <v/>
      </c>
      <c r="Y328" s="2" t="str">
        <f t="shared" si="174"/>
        <v/>
      </c>
      <c r="Z328" s="2" t="str">
        <f t="shared" si="189"/>
        <v/>
      </c>
      <c r="AA328" s="2" t="str">
        <f t="shared" si="190"/>
        <v/>
      </c>
      <c r="AB328" s="2" t="str">
        <f t="shared" si="191"/>
        <v/>
      </c>
      <c r="AC328" s="2" t="str">
        <f t="shared" si="175"/>
        <v/>
      </c>
      <c r="AD328" s="2" t="str">
        <f t="shared" si="176"/>
        <v/>
      </c>
      <c r="AE328" s="2" t="str">
        <f t="shared" si="177"/>
        <v/>
      </c>
      <c r="AF328" s="2" t="str">
        <f t="shared" si="178"/>
        <v/>
      </c>
    </row>
    <row r="329" spans="1:32" x14ac:dyDescent="0.2">
      <c r="A329" s="2" t="str">
        <f t="shared" si="179"/>
        <v/>
      </c>
      <c r="B329" s="2" t="str">
        <f t="shared" si="160"/>
        <v/>
      </c>
      <c r="C329" s="2" t="str">
        <f t="shared" si="161"/>
        <v/>
      </c>
      <c r="D329" s="2" t="str">
        <f t="shared" si="162"/>
        <v/>
      </c>
      <c r="E329" s="2" t="str">
        <f t="shared" si="163"/>
        <v/>
      </c>
      <c r="F329" s="2" t="str">
        <f t="shared" si="164"/>
        <v/>
      </c>
      <c r="G329" s="2" t="str">
        <f t="shared" si="165"/>
        <v/>
      </c>
      <c r="H329" s="2" t="str">
        <f t="shared" si="180"/>
        <v/>
      </c>
      <c r="I329" s="2" t="str">
        <f t="shared" si="181"/>
        <v/>
      </c>
      <c r="J329" s="2" t="str">
        <f t="shared" si="182"/>
        <v/>
      </c>
      <c r="K329" s="2" t="str">
        <f t="shared" si="166"/>
        <v/>
      </c>
      <c r="L329" s="2" t="str">
        <f t="shared" si="167"/>
        <v/>
      </c>
      <c r="M329" s="2" t="str">
        <f t="shared" si="168"/>
        <v/>
      </c>
      <c r="N329" s="2" t="str">
        <f t="shared" si="183"/>
        <v/>
      </c>
      <c r="O329" s="2" t="str">
        <f t="shared" si="184"/>
        <v/>
      </c>
      <c r="P329" s="2" t="str">
        <f t="shared" si="185"/>
        <v/>
      </c>
      <c r="Q329" s="2" t="str">
        <f t="shared" si="169"/>
        <v/>
      </c>
      <c r="R329" s="2" t="str">
        <f t="shared" si="170"/>
        <v/>
      </c>
      <c r="S329" s="2" t="str">
        <f t="shared" si="171"/>
        <v/>
      </c>
      <c r="T329" s="2" t="str">
        <f t="shared" si="186"/>
        <v/>
      </c>
      <c r="U329" s="2" t="str">
        <f t="shared" si="187"/>
        <v/>
      </c>
      <c r="V329" s="2" t="str">
        <f t="shared" si="188"/>
        <v/>
      </c>
      <c r="W329" s="2" t="str">
        <f t="shared" si="172"/>
        <v/>
      </c>
      <c r="X329" s="2" t="str">
        <f t="shared" si="173"/>
        <v/>
      </c>
      <c r="Y329" s="2" t="str">
        <f t="shared" si="174"/>
        <v/>
      </c>
      <c r="Z329" s="2" t="str">
        <f t="shared" si="189"/>
        <v/>
      </c>
      <c r="AA329" s="2" t="str">
        <f t="shared" si="190"/>
        <v/>
      </c>
      <c r="AB329" s="2" t="str">
        <f t="shared" si="191"/>
        <v/>
      </c>
      <c r="AC329" s="2" t="str">
        <f t="shared" si="175"/>
        <v/>
      </c>
      <c r="AD329" s="2" t="str">
        <f t="shared" si="176"/>
        <v/>
      </c>
      <c r="AE329" s="2" t="str">
        <f t="shared" si="177"/>
        <v/>
      </c>
      <c r="AF329" s="2" t="str">
        <f t="shared" si="178"/>
        <v/>
      </c>
    </row>
    <row r="330" spans="1:32" x14ac:dyDescent="0.2">
      <c r="A330" s="2" t="str">
        <f t="shared" si="179"/>
        <v/>
      </c>
      <c r="B330" s="2" t="str">
        <f t="shared" si="160"/>
        <v/>
      </c>
      <c r="C330" s="2" t="str">
        <f t="shared" si="161"/>
        <v/>
      </c>
      <c r="D330" s="2" t="str">
        <f t="shared" si="162"/>
        <v/>
      </c>
      <c r="E330" s="2" t="str">
        <f t="shared" si="163"/>
        <v/>
      </c>
      <c r="F330" s="2" t="str">
        <f t="shared" si="164"/>
        <v/>
      </c>
      <c r="G330" s="2" t="str">
        <f t="shared" si="165"/>
        <v/>
      </c>
      <c r="H330" s="2" t="str">
        <f t="shared" si="180"/>
        <v/>
      </c>
      <c r="I330" s="2" t="str">
        <f t="shared" si="181"/>
        <v/>
      </c>
      <c r="J330" s="2" t="str">
        <f t="shared" si="182"/>
        <v/>
      </c>
      <c r="K330" s="2" t="str">
        <f t="shared" si="166"/>
        <v/>
      </c>
      <c r="L330" s="2" t="str">
        <f t="shared" si="167"/>
        <v/>
      </c>
      <c r="M330" s="2" t="str">
        <f t="shared" si="168"/>
        <v/>
      </c>
      <c r="N330" s="2" t="str">
        <f t="shared" si="183"/>
        <v/>
      </c>
      <c r="O330" s="2" t="str">
        <f t="shared" si="184"/>
        <v/>
      </c>
      <c r="P330" s="2" t="str">
        <f t="shared" si="185"/>
        <v/>
      </c>
      <c r="Q330" s="2" t="str">
        <f t="shared" si="169"/>
        <v/>
      </c>
      <c r="R330" s="2" t="str">
        <f t="shared" si="170"/>
        <v/>
      </c>
      <c r="S330" s="2" t="str">
        <f t="shared" si="171"/>
        <v/>
      </c>
      <c r="T330" s="2" t="str">
        <f t="shared" si="186"/>
        <v/>
      </c>
      <c r="U330" s="2" t="str">
        <f t="shared" si="187"/>
        <v/>
      </c>
      <c r="V330" s="2" t="str">
        <f t="shared" si="188"/>
        <v/>
      </c>
      <c r="W330" s="2" t="str">
        <f t="shared" si="172"/>
        <v/>
      </c>
      <c r="X330" s="2" t="str">
        <f t="shared" si="173"/>
        <v/>
      </c>
      <c r="Y330" s="2" t="str">
        <f t="shared" si="174"/>
        <v/>
      </c>
      <c r="Z330" s="2" t="str">
        <f t="shared" si="189"/>
        <v/>
      </c>
      <c r="AA330" s="2" t="str">
        <f t="shared" si="190"/>
        <v/>
      </c>
      <c r="AB330" s="2" t="str">
        <f t="shared" si="191"/>
        <v/>
      </c>
      <c r="AC330" s="2" t="str">
        <f t="shared" si="175"/>
        <v/>
      </c>
      <c r="AD330" s="2" t="str">
        <f t="shared" si="176"/>
        <v/>
      </c>
      <c r="AE330" s="2" t="str">
        <f t="shared" si="177"/>
        <v/>
      </c>
      <c r="AF330" s="2" t="str">
        <f t="shared" si="178"/>
        <v/>
      </c>
    </row>
    <row r="331" spans="1:32" x14ac:dyDescent="0.2">
      <c r="A331" s="2" t="str">
        <f t="shared" si="179"/>
        <v/>
      </c>
      <c r="B331" s="2" t="str">
        <f t="shared" si="160"/>
        <v/>
      </c>
      <c r="C331" s="2" t="str">
        <f t="shared" si="161"/>
        <v/>
      </c>
      <c r="D331" s="2" t="str">
        <f t="shared" si="162"/>
        <v/>
      </c>
      <c r="E331" s="2" t="str">
        <f t="shared" si="163"/>
        <v/>
      </c>
      <c r="F331" s="2" t="str">
        <f t="shared" si="164"/>
        <v/>
      </c>
      <c r="G331" s="2" t="str">
        <f t="shared" si="165"/>
        <v/>
      </c>
      <c r="H331" s="2" t="str">
        <f t="shared" si="180"/>
        <v/>
      </c>
      <c r="I331" s="2" t="str">
        <f t="shared" si="181"/>
        <v/>
      </c>
      <c r="J331" s="2" t="str">
        <f t="shared" si="182"/>
        <v/>
      </c>
      <c r="K331" s="2" t="str">
        <f t="shared" si="166"/>
        <v/>
      </c>
      <c r="L331" s="2" t="str">
        <f t="shared" si="167"/>
        <v/>
      </c>
      <c r="M331" s="2" t="str">
        <f t="shared" si="168"/>
        <v/>
      </c>
      <c r="N331" s="2" t="str">
        <f t="shared" si="183"/>
        <v/>
      </c>
      <c r="O331" s="2" t="str">
        <f t="shared" si="184"/>
        <v/>
      </c>
      <c r="P331" s="2" t="str">
        <f t="shared" si="185"/>
        <v/>
      </c>
      <c r="Q331" s="2" t="str">
        <f t="shared" si="169"/>
        <v/>
      </c>
      <c r="R331" s="2" t="str">
        <f t="shared" si="170"/>
        <v/>
      </c>
      <c r="S331" s="2" t="str">
        <f t="shared" si="171"/>
        <v/>
      </c>
      <c r="T331" s="2" t="str">
        <f t="shared" si="186"/>
        <v/>
      </c>
      <c r="U331" s="2" t="str">
        <f t="shared" si="187"/>
        <v/>
      </c>
      <c r="V331" s="2" t="str">
        <f t="shared" si="188"/>
        <v/>
      </c>
      <c r="W331" s="2" t="str">
        <f t="shared" si="172"/>
        <v/>
      </c>
      <c r="X331" s="2" t="str">
        <f t="shared" si="173"/>
        <v/>
      </c>
      <c r="Y331" s="2" t="str">
        <f t="shared" si="174"/>
        <v/>
      </c>
      <c r="Z331" s="2" t="str">
        <f t="shared" si="189"/>
        <v/>
      </c>
      <c r="AA331" s="2" t="str">
        <f t="shared" si="190"/>
        <v/>
      </c>
      <c r="AB331" s="2" t="str">
        <f t="shared" si="191"/>
        <v/>
      </c>
      <c r="AC331" s="2" t="str">
        <f t="shared" si="175"/>
        <v/>
      </c>
      <c r="AD331" s="2" t="str">
        <f t="shared" si="176"/>
        <v/>
      </c>
      <c r="AE331" s="2" t="str">
        <f t="shared" si="177"/>
        <v/>
      </c>
      <c r="AF331" s="2" t="str">
        <f t="shared" si="178"/>
        <v/>
      </c>
    </row>
    <row r="332" spans="1:32" x14ac:dyDescent="0.2">
      <c r="A332" s="2" t="str">
        <f t="shared" si="179"/>
        <v/>
      </c>
      <c r="B332" s="2" t="str">
        <f t="shared" si="160"/>
        <v/>
      </c>
      <c r="C332" s="2" t="str">
        <f t="shared" si="161"/>
        <v/>
      </c>
      <c r="D332" s="2" t="str">
        <f t="shared" si="162"/>
        <v/>
      </c>
      <c r="E332" s="2" t="str">
        <f t="shared" si="163"/>
        <v/>
      </c>
      <c r="F332" s="2" t="str">
        <f t="shared" si="164"/>
        <v/>
      </c>
      <c r="G332" s="2" t="str">
        <f t="shared" si="165"/>
        <v/>
      </c>
      <c r="H332" s="2" t="str">
        <f t="shared" si="180"/>
        <v/>
      </c>
      <c r="I332" s="2" t="str">
        <f t="shared" si="181"/>
        <v/>
      </c>
      <c r="J332" s="2" t="str">
        <f t="shared" si="182"/>
        <v/>
      </c>
      <c r="K332" s="2" t="str">
        <f t="shared" si="166"/>
        <v/>
      </c>
      <c r="L332" s="2" t="str">
        <f t="shared" si="167"/>
        <v/>
      </c>
      <c r="M332" s="2" t="str">
        <f t="shared" si="168"/>
        <v/>
      </c>
      <c r="N332" s="2" t="str">
        <f t="shared" si="183"/>
        <v/>
      </c>
      <c r="O332" s="2" t="str">
        <f t="shared" si="184"/>
        <v/>
      </c>
      <c r="P332" s="2" t="str">
        <f t="shared" si="185"/>
        <v/>
      </c>
      <c r="Q332" s="2" t="str">
        <f t="shared" si="169"/>
        <v/>
      </c>
      <c r="R332" s="2" t="str">
        <f t="shared" si="170"/>
        <v/>
      </c>
      <c r="S332" s="2" t="str">
        <f t="shared" si="171"/>
        <v/>
      </c>
      <c r="T332" s="2" t="str">
        <f t="shared" si="186"/>
        <v/>
      </c>
      <c r="U332" s="2" t="str">
        <f t="shared" si="187"/>
        <v/>
      </c>
      <c r="V332" s="2" t="str">
        <f t="shared" si="188"/>
        <v/>
      </c>
      <c r="W332" s="2" t="str">
        <f t="shared" si="172"/>
        <v/>
      </c>
      <c r="X332" s="2" t="str">
        <f t="shared" si="173"/>
        <v/>
      </c>
      <c r="Y332" s="2" t="str">
        <f t="shared" si="174"/>
        <v/>
      </c>
      <c r="Z332" s="2" t="str">
        <f t="shared" si="189"/>
        <v/>
      </c>
      <c r="AA332" s="2" t="str">
        <f t="shared" si="190"/>
        <v/>
      </c>
      <c r="AB332" s="2" t="str">
        <f t="shared" si="191"/>
        <v/>
      </c>
      <c r="AC332" s="2" t="str">
        <f t="shared" si="175"/>
        <v/>
      </c>
      <c r="AD332" s="2" t="str">
        <f t="shared" si="176"/>
        <v/>
      </c>
      <c r="AE332" s="2" t="str">
        <f t="shared" si="177"/>
        <v/>
      </c>
      <c r="AF332" s="2" t="str">
        <f t="shared" si="178"/>
        <v/>
      </c>
    </row>
    <row r="333" spans="1:32" x14ac:dyDescent="0.2">
      <c r="A333" s="2" t="str">
        <f t="shared" si="179"/>
        <v/>
      </c>
      <c r="B333" s="2" t="str">
        <f t="shared" si="160"/>
        <v/>
      </c>
      <c r="C333" s="2" t="str">
        <f t="shared" si="161"/>
        <v/>
      </c>
      <c r="D333" s="2" t="str">
        <f t="shared" si="162"/>
        <v/>
      </c>
      <c r="E333" s="2" t="str">
        <f t="shared" si="163"/>
        <v/>
      </c>
      <c r="F333" s="2" t="str">
        <f t="shared" si="164"/>
        <v/>
      </c>
      <c r="G333" s="2" t="str">
        <f t="shared" si="165"/>
        <v/>
      </c>
      <c r="H333" s="2" t="str">
        <f t="shared" si="180"/>
        <v/>
      </c>
      <c r="I333" s="2" t="str">
        <f t="shared" si="181"/>
        <v/>
      </c>
      <c r="J333" s="2" t="str">
        <f t="shared" si="182"/>
        <v/>
      </c>
      <c r="K333" s="2" t="str">
        <f t="shared" si="166"/>
        <v/>
      </c>
      <c r="L333" s="2" t="str">
        <f t="shared" si="167"/>
        <v/>
      </c>
      <c r="M333" s="2" t="str">
        <f t="shared" si="168"/>
        <v/>
      </c>
      <c r="N333" s="2" t="str">
        <f t="shared" si="183"/>
        <v/>
      </c>
      <c r="O333" s="2" t="str">
        <f t="shared" si="184"/>
        <v/>
      </c>
      <c r="P333" s="2" t="str">
        <f t="shared" si="185"/>
        <v/>
      </c>
      <c r="Q333" s="2" t="str">
        <f t="shared" si="169"/>
        <v/>
      </c>
      <c r="R333" s="2" t="str">
        <f t="shared" si="170"/>
        <v/>
      </c>
      <c r="S333" s="2" t="str">
        <f t="shared" si="171"/>
        <v/>
      </c>
      <c r="T333" s="2" t="str">
        <f t="shared" si="186"/>
        <v/>
      </c>
      <c r="U333" s="2" t="str">
        <f t="shared" si="187"/>
        <v/>
      </c>
      <c r="V333" s="2" t="str">
        <f t="shared" si="188"/>
        <v/>
      </c>
      <c r="W333" s="2" t="str">
        <f t="shared" si="172"/>
        <v/>
      </c>
      <c r="X333" s="2" t="str">
        <f t="shared" si="173"/>
        <v/>
      </c>
      <c r="Y333" s="2" t="str">
        <f t="shared" si="174"/>
        <v/>
      </c>
      <c r="Z333" s="2" t="str">
        <f t="shared" si="189"/>
        <v/>
      </c>
      <c r="AA333" s="2" t="str">
        <f t="shared" si="190"/>
        <v/>
      </c>
      <c r="AB333" s="2" t="str">
        <f t="shared" si="191"/>
        <v/>
      </c>
      <c r="AC333" s="2" t="str">
        <f t="shared" si="175"/>
        <v/>
      </c>
      <c r="AD333" s="2" t="str">
        <f t="shared" si="176"/>
        <v/>
      </c>
      <c r="AE333" s="2" t="str">
        <f t="shared" si="177"/>
        <v/>
      </c>
      <c r="AF333" s="2" t="str">
        <f t="shared" si="178"/>
        <v/>
      </c>
    </row>
    <row r="334" spans="1:32" x14ac:dyDescent="0.2">
      <c r="A334" s="2" t="str">
        <f t="shared" si="179"/>
        <v/>
      </c>
      <c r="B334" s="2" t="str">
        <f t="shared" si="160"/>
        <v/>
      </c>
      <c r="C334" s="2" t="str">
        <f t="shared" si="161"/>
        <v/>
      </c>
      <c r="D334" s="2" t="str">
        <f t="shared" si="162"/>
        <v/>
      </c>
      <c r="E334" s="2" t="str">
        <f t="shared" si="163"/>
        <v/>
      </c>
      <c r="F334" s="2" t="str">
        <f t="shared" si="164"/>
        <v/>
      </c>
      <c r="G334" s="2" t="str">
        <f t="shared" si="165"/>
        <v/>
      </c>
      <c r="H334" s="2" t="str">
        <f t="shared" si="180"/>
        <v/>
      </c>
      <c r="I334" s="2" t="str">
        <f t="shared" si="181"/>
        <v/>
      </c>
      <c r="J334" s="2" t="str">
        <f t="shared" si="182"/>
        <v/>
      </c>
      <c r="K334" s="2" t="str">
        <f t="shared" si="166"/>
        <v/>
      </c>
      <c r="L334" s="2" t="str">
        <f t="shared" si="167"/>
        <v/>
      </c>
      <c r="M334" s="2" t="str">
        <f t="shared" si="168"/>
        <v/>
      </c>
      <c r="N334" s="2" t="str">
        <f t="shared" si="183"/>
        <v/>
      </c>
      <c r="O334" s="2" t="str">
        <f t="shared" si="184"/>
        <v/>
      </c>
      <c r="P334" s="2" t="str">
        <f t="shared" si="185"/>
        <v/>
      </c>
      <c r="Q334" s="2" t="str">
        <f t="shared" si="169"/>
        <v/>
      </c>
      <c r="R334" s="2" t="str">
        <f t="shared" si="170"/>
        <v/>
      </c>
      <c r="S334" s="2" t="str">
        <f t="shared" si="171"/>
        <v/>
      </c>
      <c r="T334" s="2" t="str">
        <f t="shared" si="186"/>
        <v/>
      </c>
      <c r="U334" s="2" t="str">
        <f t="shared" si="187"/>
        <v/>
      </c>
      <c r="V334" s="2" t="str">
        <f t="shared" si="188"/>
        <v/>
      </c>
      <c r="W334" s="2" t="str">
        <f t="shared" si="172"/>
        <v/>
      </c>
      <c r="X334" s="2" t="str">
        <f t="shared" si="173"/>
        <v/>
      </c>
      <c r="Y334" s="2" t="str">
        <f t="shared" si="174"/>
        <v/>
      </c>
      <c r="Z334" s="2" t="str">
        <f t="shared" si="189"/>
        <v/>
      </c>
      <c r="AA334" s="2" t="str">
        <f t="shared" si="190"/>
        <v/>
      </c>
      <c r="AB334" s="2" t="str">
        <f t="shared" si="191"/>
        <v/>
      </c>
      <c r="AC334" s="2" t="str">
        <f t="shared" si="175"/>
        <v/>
      </c>
      <c r="AD334" s="2" t="str">
        <f t="shared" si="176"/>
        <v/>
      </c>
      <c r="AE334" s="2" t="str">
        <f t="shared" si="177"/>
        <v/>
      </c>
      <c r="AF334" s="2" t="str">
        <f t="shared" si="178"/>
        <v/>
      </c>
    </row>
    <row r="335" spans="1:32" x14ac:dyDescent="0.2">
      <c r="A335" s="2" t="str">
        <f t="shared" si="179"/>
        <v/>
      </c>
      <c r="B335" s="2" t="str">
        <f t="shared" si="160"/>
        <v/>
      </c>
      <c r="C335" s="2" t="str">
        <f t="shared" si="161"/>
        <v/>
      </c>
      <c r="D335" s="2" t="str">
        <f t="shared" si="162"/>
        <v/>
      </c>
      <c r="E335" s="2" t="str">
        <f t="shared" si="163"/>
        <v/>
      </c>
      <c r="F335" s="2" t="str">
        <f t="shared" si="164"/>
        <v/>
      </c>
      <c r="G335" s="2" t="str">
        <f t="shared" si="165"/>
        <v/>
      </c>
      <c r="H335" s="2" t="str">
        <f t="shared" si="180"/>
        <v/>
      </c>
      <c r="I335" s="2" t="str">
        <f t="shared" si="181"/>
        <v/>
      </c>
      <c r="J335" s="2" t="str">
        <f t="shared" si="182"/>
        <v/>
      </c>
      <c r="K335" s="2" t="str">
        <f t="shared" si="166"/>
        <v/>
      </c>
      <c r="L335" s="2" t="str">
        <f t="shared" si="167"/>
        <v/>
      </c>
      <c r="M335" s="2" t="str">
        <f t="shared" si="168"/>
        <v/>
      </c>
      <c r="N335" s="2" t="str">
        <f t="shared" si="183"/>
        <v/>
      </c>
      <c r="O335" s="2" t="str">
        <f t="shared" si="184"/>
        <v/>
      </c>
      <c r="P335" s="2" t="str">
        <f t="shared" si="185"/>
        <v/>
      </c>
      <c r="Q335" s="2" t="str">
        <f t="shared" si="169"/>
        <v/>
      </c>
      <c r="R335" s="2" t="str">
        <f t="shared" si="170"/>
        <v/>
      </c>
      <c r="S335" s="2" t="str">
        <f t="shared" si="171"/>
        <v/>
      </c>
      <c r="T335" s="2" t="str">
        <f t="shared" si="186"/>
        <v/>
      </c>
      <c r="U335" s="2" t="str">
        <f t="shared" si="187"/>
        <v/>
      </c>
      <c r="V335" s="2" t="str">
        <f t="shared" si="188"/>
        <v/>
      </c>
      <c r="W335" s="2" t="str">
        <f t="shared" si="172"/>
        <v/>
      </c>
      <c r="X335" s="2" t="str">
        <f t="shared" si="173"/>
        <v/>
      </c>
      <c r="Y335" s="2" t="str">
        <f t="shared" si="174"/>
        <v/>
      </c>
      <c r="Z335" s="2" t="str">
        <f t="shared" si="189"/>
        <v/>
      </c>
      <c r="AA335" s="2" t="str">
        <f t="shared" si="190"/>
        <v/>
      </c>
      <c r="AB335" s="2" t="str">
        <f t="shared" si="191"/>
        <v/>
      </c>
      <c r="AC335" s="2" t="str">
        <f t="shared" si="175"/>
        <v/>
      </c>
      <c r="AD335" s="2" t="str">
        <f t="shared" si="176"/>
        <v/>
      </c>
      <c r="AE335" s="2" t="str">
        <f t="shared" si="177"/>
        <v/>
      </c>
      <c r="AF335" s="2" t="str">
        <f t="shared" si="178"/>
        <v/>
      </c>
    </row>
    <row r="336" spans="1:32" x14ac:dyDescent="0.2">
      <c r="A336" s="2" t="str">
        <f t="shared" si="179"/>
        <v/>
      </c>
      <c r="B336" s="2" t="str">
        <f t="shared" si="160"/>
        <v/>
      </c>
      <c r="C336" s="2" t="str">
        <f t="shared" si="161"/>
        <v/>
      </c>
      <c r="D336" s="2" t="str">
        <f t="shared" si="162"/>
        <v/>
      </c>
      <c r="E336" s="2" t="str">
        <f t="shared" si="163"/>
        <v/>
      </c>
      <c r="F336" s="2" t="str">
        <f t="shared" si="164"/>
        <v/>
      </c>
      <c r="G336" s="2" t="str">
        <f t="shared" si="165"/>
        <v/>
      </c>
      <c r="H336" s="2" t="str">
        <f t="shared" si="180"/>
        <v/>
      </c>
      <c r="I336" s="2" t="str">
        <f t="shared" si="181"/>
        <v/>
      </c>
      <c r="J336" s="2" t="str">
        <f t="shared" si="182"/>
        <v/>
      </c>
      <c r="K336" s="2" t="str">
        <f t="shared" si="166"/>
        <v/>
      </c>
      <c r="L336" s="2" t="str">
        <f t="shared" si="167"/>
        <v/>
      </c>
      <c r="M336" s="2" t="str">
        <f t="shared" si="168"/>
        <v/>
      </c>
      <c r="N336" s="2" t="str">
        <f t="shared" si="183"/>
        <v/>
      </c>
      <c r="O336" s="2" t="str">
        <f t="shared" si="184"/>
        <v/>
      </c>
      <c r="P336" s="2" t="str">
        <f t="shared" si="185"/>
        <v/>
      </c>
      <c r="Q336" s="2" t="str">
        <f t="shared" si="169"/>
        <v/>
      </c>
      <c r="R336" s="2" t="str">
        <f t="shared" si="170"/>
        <v/>
      </c>
      <c r="S336" s="2" t="str">
        <f t="shared" si="171"/>
        <v/>
      </c>
      <c r="T336" s="2" t="str">
        <f t="shared" si="186"/>
        <v/>
      </c>
      <c r="U336" s="2" t="str">
        <f t="shared" si="187"/>
        <v/>
      </c>
      <c r="V336" s="2" t="str">
        <f t="shared" si="188"/>
        <v/>
      </c>
      <c r="W336" s="2" t="str">
        <f t="shared" si="172"/>
        <v/>
      </c>
      <c r="X336" s="2" t="str">
        <f t="shared" si="173"/>
        <v/>
      </c>
      <c r="Y336" s="2" t="str">
        <f t="shared" si="174"/>
        <v/>
      </c>
      <c r="Z336" s="2" t="str">
        <f t="shared" si="189"/>
        <v/>
      </c>
      <c r="AA336" s="2" t="str">
        <f t="shared" si="190"/>
        <v/>
      </c>
      <c r="AB336" s="2" t="str">
        <f t="shared" si="191"/>
        <v/>
      </c>
      <c r="AC336" s="2" t="str">
        <f t="shared" si="175"/>
        <v/>
      </c>
      <c r="AD336" s="2" t="str">
        <f t="shared" si="176"/>
        <v/>
      </c>
      <c r="AE336" s="2" t="str">
        <f t="shared" si="177"/>
        <v/>
      </c>
      <c r="AF336" s="2" t="str">
        <f t="shared" si="178"/>
        <v/>
      </c>
    </row>
    <row r="337" spans="1:32" x14ac:dyDescent="0.2">
      <c r="A337" s="2" t="str">
        <f t="shared" si="179"/>
        <v/>
      </c>
      <c r="B337" s="2" t="str">
        <f t="shared" si="160"/>
        <v/>
      </c>
      <c r="C337" s="2" t="str">
        <f t="shared" si="161"/>
        <v/>
      </c>
      <c r="D337" s="2" t="str">
        <f t="shared" si="162"/>
        <v/>
      </c>
      <c r="E337" s="2" t="str">
        <f t="shared" si="163"/>
        <v/>
      </c>
      <c r="F337" s="2" t="str">
        <f t="shared" si="164"/>
        <v/>
      </c>
      <c r="G337" s="2" t="str">
        <f t="shared" si="165"/>
        <v/>
      </c>
      <c r="H337" s="2" t="str">
        <f t="shared" si="180"/>
        <v/>
      </c>
      <c r="I337" s="2" t="str">
        <f t="shared" si="181"/>
        <v/>
      </c>
      <c r="J337" s="2" t="str">
        <f t="shared" si="182"/>
        <v/>
      </c>
      <c r="K337" s="2" t="str">
        <f t="shared" si="166"/>
        <v/>
      </c>
      <c r="L337" s="2" t="str">
        <f t="shared" si="167"/>
        <v/>
      </c>
      <c r="M337" s="2" t="str">
        <f t="shared" si="168"/>
        <v/>
      </c>
      <c r="N337" s="2" t="str">
        <f t="shared" si="183"/>
        <v/>
      </c>
      <c r="O337" s="2" t="str">
        <f t="shared" si="184"/>
        <v/>
      </c>
      <c r="P337" s="2" t="str">
        <f t="shared" si="185"/>
        <v/>
      </c>
      <c r="Q337" s="2" t="str">
        <f t="shared" si="169"/>
        <v/>
      </c>
      <c r="R337" s="2" t="str">
        <f t="shared" si="170"/>
        <v/>
      </c>
      <c r="S337" s="2" t="str">
        <f t="shared" si="171"/>
        <v/>
      </c>
      <c r="T337" s="2" t="str">
        <f t="shared" si="186"/>
        <v/>
      </c>
      <c r="U337" s="2" t="str">
        <f t="shared" si="187"/>
        <v/>
      </c>
      <c r="V337" s="2" t="str">
        <f t="shared" si="188"/>
        <v/>
      </c>
      <c r="W337" s="2" t="str">
        <f t="shared" si="172"/>
        <v/>
      </c>
      <c r="X337" s="2" t="str">
        <f t="shared" si="173"/>
        <v/>
      </c>
      <c r="Y337" s="2" t="str">
        <f t="shared" si="174"/>
        <v/>
      </c>
      <c r="Z337" s="2" t="str">
        <f t="shared" si="189"/>
        <v/>
      </c>
      <c r="AA337" s="2" t="str">
        <f t="shared" si="190"/>
        <v/>
      </c>
      <c r="AB337" s="2" t="str">
        <f t="shared" si="191"/>
        <v/>
      </c>
      <c r="AC337" s="2" t="str">
        <f t="shared" si="175"/>
        <v/>
      </c>
      <c r="AD337" s="2" t="str">
        <f t="shared" si="176"/>
        <v/>
      </c>
      <c r="AE337" s="2" t="str">
        <f t="shared" si="177"/>
        <v/>
      </c>
      <c r="AF337" s="2" t="str">
        <f t="shared" si="178"/>
        <v/>
      </c>
    </row>
    <row r="338" spans="1:32" x14ac:dyDescent="0.2">
      <c r="A338" s="2" t="str">
        <f t="shared" si="179"/>
        <v/>
      </c>
      <c r="B338" s="2" t="str">
        <f t="shared" si="160"/>
        <v/>
      </c>
      <c r="C338" s="2" t="str">
        <f t="shared" si="161"/>
        <v/>
      </c>
      <c r="D338" s="2" t="str">
        <f t="shared" si="162"/>
        <v/>
      </c>
      <c r="E338" s="2" t="str">
        <f t="shared" si="163"/>
        <v/>
      </c>
      <c r="F338" s="2" t="str">
        <f t="shared" si="164"/>
        <v/>
      </c>
      <c r="G338" s="2" t="str">
        <f t="shared" si="165"/>
        <v/>
      </c>
      <c r="H338" s="2" t="str">
        <f t="shared" si="180"/>
        <v/>
      </c>
      <c r="I338" s="2" t="str">
        <f t="shared" si="181"/>
        <v/>
      </c>
      <c r="J338" s="2" t="str">
        <f t="shared" si="182"/>
        <v/>
      </c>
      <c r="K338" s="2" t="str">
        <f t="shared" si="166"/>
        <v/>
      </c>
      <c r="L338" s="2" t="str">
        <f t="shared" si="167"/>
        <v/>
      </c>
      <c r="M338" s="2" t="str">
        <f t="shared" si="168"/>
        <v/>
      </c>
      <c r="N338" s="2" t="str">
        <f t="shared" si="183"/>
        <v/>
      </c>
      <c r="O338" s="2" t="str">
        <f t="shared" si="184"/>
        <v/>
      </c>
      <c r="P338" s="2" t="str">
        <f t="shared" si="185"/>
        <v/>
      </c>
      <c r="Q338" s="2" t="str">
        <f t="shared" si="169"/>
        <v/>
      </c>
      <c r="R338" s="2" t="str">
        <f t="shared" si="170"/>
        <v/>
      </c>
      <c r="S338" s="2" t="str">
        <f t="shared" si="171"/>
        <v/>
      </c>
      <c r="T338" s="2" t="str">
        <f t="shared" si="186"/>
        <v/>
      </c>
      <c r="U338" s="2" t="str">
        <f t="shared" si="187"/>
        <v/>
      </c>
      <c r="V338" s="2" t="str">
        <f t="shared" si="188"/>
        <v/>
      </c>
      <c r="W338" s="2" t="str">
        <f t="shared" si="172"/>
        <v/>
      </c>
      <c r="X338" s="2" t="str">
        <f t="shared" si="173"/>
        <v/>
      </c>
      <c r="Y338" s="2" t="str">
        <f t="shared" si="174"/>
        <v/>
      </c>
      <c r="Z338" s="2" t="str">
        <f t="shared" si="189"/>
        <v/>
      </c>
      <c r="AA338" s="2" t="str">
        <f t="shared" si="190"/>
        <v/>
      </c>
      <c r="AB338" s="2" t="str">
        <f t="shared" si="191"/>
        <v/>
      </c>
      <c r="AC338" s="2" t="str">
        <f t="shared" si="175"/>
        <v/>
      </c>
      <c r="AD338" s="2" t="str">
        <f t="shared" si="176"/>
        <v/>
      </c>
      <c r="AE338" s="2" t="str">
        <f t="shared" si="177"/>
        <v/>
      </c>
      <c r="AF338" s="2" t="str">
        <f t="shared" si="178"/>
        <v/>
      </c>
    </row>
    <row r="339" spans="1:32" x14ac:dyDescent="0.2">
      <c r="A339" s="2" t="str">
        <f t="shared" si="179"/>
        <v/>
      </c>
      <c r="B339" s="2" t="str">
        <f t="shared" si="160"/>
        <v/>
      </c>
      <c r="C339" s="2" t="str">
        <f t="shared" si="161"/>
        <v/>
      </c>
      <c r="D339" s="2" t="str">
        <f t="shared" si="162"/>
        <v/>
      </c>
      <c r="E339" s="2" t="str">
        <f t="shared" si="163"/>
        <v/>
      </c>
      <c r="F339" s="2" t="str">
        <f t="shared" si="164"/>
        <v/>
      </c>
      <c r="G339" s="2" t="str">
        <f t="shared" si="165"/>
        <v/>
      </c>
      <c r="H339" s="2" t="str">
        <f t="shared" si="180"/>
        <v/>
      </c>
      <c r="I339" s="2" t="str">
        <f t="shared" si="181"/>
        <v/>
      </c>
      <c r="J339" s="2" t="str">
        <f t="shared" si="182"/>
        <v/>
      </c>
      <c r="K339" s="2" t="str">
        <f t="shared" si="166"/>
        <v/>
      </c>
      <c r="L339" s="2" t="str">
        <f t="shared" si="167"/>
        <v/>
      </c>
      <c r="M339" s="2" t="str">
        <f t="shared" si="168"/>
        <v/>
      </c>
      <c r="N339" s="2" t="str">
        <f t="shared" si="183"/>
        <v/>
      </c>
      <c r="O339" s="2" t="str">
        <f t="shared" si="184"/>
        <v/>
      </c>
      <c r="P339" s="2" t="str">
        <f t="shared" si="185"/>
        <v/>
      </c>
      <c r="Q339" s="2" t="str">
        <f t="shared" si="169"/>
        <v/>
      </c>
      <c r="R339" s="2" t="str">
        <f t="shared" si="170"/>
        <v/>
      </c>
      <c r="S339" s="2" t="str">
        <f t="shared" si="171"/>
        <v/>
      </c>
      <c r="T339" s="2" t="str">
        <f t="shared" si="186"/>
        <v/>
      </c>
      <c r="U339" s="2" t="str">
        <f t="shared" si="187"/>
        <v/>
      </c>
      <c r="V339" s="2" t="str">
        <f t="shared" si="188"/>
        <v/>
      </c>
      <c r="W339" s="2" t="str">
        <f t="shared" si="172"/>
        <v/>
      </c>
      <c r="X339" s="2" t="str">
        <f t="shared" si="173"/>
        <v/>
      </c>
      <c r="Y339" s="2" t="str">
        <f t="shared" si="174"/>
        <v/>
      </c>
      <c r="Z339" s="2" t="str">
        <f t="shared" si="189"/>
        <v/>
      </c>
      <c r="AA339" s="2" t="str">
        <f t="shared" si="190"/>
        <v/>
      </c>
      <c r="AB339" s="2" t="str">
        <f t="shared" si="191"/>
        <v/>
      </c>
      <c r="AC339" s="2" t="str">
        <f t="shared" si="175"/>
        <v/>
      </c>
      <c r="AD339" s="2" t="str">
        <f t="shared" si="176"/>
        <v/>
      </c>
      <c r="AE339" s="2" t="str">
        <f t="shared" si="177"/>
        <v/>
      </c>
      <c r="AF339" s="2" t="str">
        <f t="shared" si="178"/>
        <v/>
      </c>
    </row>
    <row r="340" spans="1:32" x14ac:dyDescent="0.2">
      <c r="A340" s="2" t="str">
        <f t="shared" si="179"/>
        <v/>
      </c>
      <c r="B340" s="2" t="str">
        <f t="shared" si="160"/>
        <v/>
      </c>
      <c r="C340" s="2" t="str">
        <f t="shared" si="161"/>
        <v/>
      </c>
      <c r="D340" s="2" t="str">
        <f t="shared" si="162"/>
        <v/>
      </c>
      <c r="E340" s="2" t="str">
        <f t="shared" si="163"/>
        <v/>
      </c>
      <c r="F340" s="2" t="str">
        <f t="shared" si="164"/>
        <v/>
      </c>
      <c r="G340" s="2" t="str">
        <f t="shared" si="165"/>
        <v/>
      </c>
      <c r="H340" s="2" t="str">
        <f t="shared" si="180"/>
        <v/>
      </c>
      <c r="I340" s="2" t="str">
        <f t="shared" si="181"/>
        <v/>
      </c>
      <c r="J340" s="2" t="str">
        <f t="shared" si="182"/>
        <v/>
      </c>
      <c r="K340" s="2" t="str">
        <f t="shared" si="166"/>
        <v/>
      </c>
      <c r="L340" s="2" t="str">
        <f t="shared" si="167"/>
        <v/>
      </c>
      <c r="M340" s="2" t="str">
        <f t="shared" si="168"/>
        <v/>
      </c>
      <c r="N340" s="2" t="str">
        <f t="shared" si="183"/>
        <v/>
      </c>
      <c r="O340" s="2" t="str">
        <f t="shared" si="184"/>
        <v/>
      </c>
      <c r="P340" s="2" t="str">
        <f t="shared" si="185"/>
        <v/>
      </c>
      <c r="Q340" s="2" t="str">
        <f t="shared" si="169"/>
        <v/>
      </c>
      <c r="R340" s="2" t="str">
        <f t="shared" si="170"/>
        <v/>
      </c>
      <c r="S340" s="2" t="str">
        <f t="shared" si="171"/>
        <v/>
      </c>
      <c r="T340" s="2" t="str">
        <f t="shared" si="186"/>
        <v/>
      </c>
      <c r="U340" s="2" t="str">
        <f t="shared" si="187"/>
        <v/>
      </c>
      <c r="V340" s="2" t="str">
        <f t="shared" si="188"/>
        <v/>
      </c>
      <c r="W340" s="2" t="str">
        <f t="shared" si="172"/>
        <v/>
      </c>
      <c r="X340" s="2" t="str">
        <f t="shared" si="173"/>
        <v/>
      </c>
      <c r="Y340" s="2" t="str">
        <f t="shared" si="174"/>
        <v/>
      </c>
      <c r="Z340" s="2" t="str">
        <f t="shared" si="189"/>
        <v/>
      </c>
      <c r="AA340" s="2" t="str">
        <f t="shared" si="190"/>
        <v/>
      </c>
      <c r="AB340" s="2" t="str">
        <f t="shared" si="191"/>
        <v/>
      </c>
      <c r="AC340" s="2" t="str">
        <f t="shared" si="175"/>
        <v/>
      </c>
      <c r="AD340" s="2" t="str">
        <f t="shared" si="176"/>
        <v/>
      </c>
      <c r="AE340" s="2" t="str">
        <f t="shared" si="177"/>
        <v/>
      </c>
      <c r="AF340" s="2" t="str">
        <f t="shared" si="178"/>
        <v/>
      </c>
    </row>
    <row r="341" spans="1:32" x14ac:dyDescent="0.2">
      <c r="A341" s="2" t="str">
        <f t="shared" si="179"/>
        <v/>
      </c>
      <c r="B341" s="2" t="str">
        <f t="shared" si="160"/>
        <v/>
      </c>
      <c r="C341" s="2" t="str">
        <f t="shared" si="161"/>
        <v/>
      </c>
      <c r="D341" s="2" t="str">
        <f t="shared" si="162"/>
        <v/>
      </c>
      <c r="E341" s="2" t="str">
        <f t="shared" si="163"/>
        <v/>
      </c>
      <c r="F341" s="2" t="str">
        <f t="shared" si="164"/>
        <v/>
      </c>
      <c r="G341" s="2" t="str">
        <f t="shared" si="165"/>
        <v/>
      </c>
      <c r="H341" s="2" t="str">
        <f t="shared" si="180"/>
        <v/>
      </c>
      <c r="I341" s="2" t="str">
        <f t="shared" si="181"/>
        <v/>
      </c>
      <c r="J341" s="2" t="str">
        <f t="shared" si="182"/>
        <v/>
      </c>
      <c r="K341" s="2" t="str">
        <f t="shared" si="166"/>
        <v/>
      </c>
      <c r="L341" s="2" t="str">
        <f t="shared" si="167"/>
        <v/>
      </c>
      <c r="M341" s="2" t="str">
        <f t="shared" si="168"/>
        <v/>
      </c>
      <c r="N341" s="2" t="str">
        <f t="shared" si="183"/>
        <v/>
      </c>
      <c r="O341" s="2" t="str">
        <f t="shared" si="184"/>
        <v/>
      </c>
      <c r="P341" s="2" t="str">
        <f t="shared" si="185"/>
        <v/>
      </c>
      <c r="Q341" s="2" t="str">
        <f t="shared" si="169"/>
        <v/>
      </c>
      <c r="R341" s="2" t="str">
        <f t="shared" si="170"/>
        <v/>
      </c>
      <c r="S341" s="2" t="str">
        <f t="shared" si="171"/>
        <v/>
      </c>
      <c r="T341" s="2" t="str">
        <f t="shared" si="186"/>
        <v/>
      </c>
      <c r="U341" s="2" t="str">
        <f t="shared" si="187"/>
        <v/>
      </c>
      <c r="V341" s="2" t="str">
        <f t="shared" si="188"/>
        <v/>
      </c>
      <c r="W341" s="2" t="str">
        <f t="shared" si="172"/>
        <v/>
      </c>
      <c r="X341" s="2" t="str">
        <f t="shared" si="173"/>
        <v/>
      </c>
      <c r="Y341" s="2" t="str">
        <f t="shared" si="174"/>
        <v/>
      </c>
      <c r="Z341" s="2" t="str">
        <f t="shared" si="189"/>
        <v/>
      </c>
      <c r="AA341" s="2" t="str">
        <f t="shared" si="190"/>
        <v/>
      </c>
      <c r="AB341" s="2" t="str">
        <f t="shared" si="191"/>
        <v/>
      </c>
      <c r="AC341" s="2" t="str">
        <f t="shared" si="175"/>
        <v/>
      </c>
      <c r="AD341" s="2" t="str">
        <f t="shared" si="176"/>
        <v/>
      </c>
      <c r="AE341" s="2" t="str">
        <f t="shared" si="177"/>
        <v/>
      </c>
      <c r="AF341" s="2" t="str">
        <f t="shared" si="178"/>
        <v/>
      </c>
    </row>
    <row r="342" spans="1:32" x14ac:dyDescent="0.2">
      <c r="A342" s="2" t="str">
        <f t="shared" si="179"/>
        <v/>
      </c>
      <c r="B342" s="2" t="str">
        <f t="shared" si="160"/>
        <v/>
      </c>
      <c r="C342" s="2" t="str">
        <f t="shared" si="161"/>
        <v/>
      </c>
      <c r="D342" s="2" t="str">
        <f t="shared" si="162"/>
        <v/>
      </c>
      <c r="E342" s="2" t="str">
        <f t="shared" si="163"/>
        <v/>
      </c>
      <c r="F342" s="2" t="str">
        <f t="shared" si="164"/>
        <v/>
      </c>
      <c r="G342" s="2" t="str">
        <f t="shared" si="165"/>
        <v/>
      </c>
      <c r="H342" s="2" t="str">
        <f t="shared" si="180"/>
        <v/>
      </c>
      <c r="I342" s="2" t="str">
        <f t="shared" si="181"/>
        <v/>
      </c>
      <c r="J342" s="2" t="str">
        <f t="shared" si="182"/>
        <v/>
      </c>
      <c r="K342" s="2" t="str">
        <f t="shared" si="166"/>
        <v/>
      </c>
      <c r="L342" s="2" t="str">
        <f t="shared" si="167"/>
        <v/>
      </c>
      <c r="M342" s="2" t="str">
        <f t="shared" si="168"/>
        <v/>
      </c>
      <c r="N342" s="2" t="str">
        <f t="shared" si="183"/>
        <v/>
      </c>
      <c r="O342" s="2" t="str">
        <f t="shared" si="184"/>
        <v/>
      </c>
      <c r="P342" s="2" t="str">
        <f t="shared" si="185"/>
        <v/>
      </c>
      <c r="Q342" s="2" t="str">
        <f t="shared" si="169"/>
        <v/>
      </c>
      <c r="R342" s="2" t="str">
        <f t="shared" si="170"/>
        <v/>
      </c>
      <c r="S342" s="2" t="str">
        <f t="shared" si="171"/>
        <v/>
      </c>
      <c r="T342" s="2" t="str">
        <f t="shared" si="186"/>
        <v/>
      </c>
      <c r="U342" s="2" t="str">
        <f t="shared" si="187"/>
        <v/>
      </c>
      <c r="V342" s="2" t="str">
        <f t="shared" si="188"/>
        <v/>
      </c>
      <c r="W342" s="2" t="str">
        <f t="shared" si="172"/>
        <v/>
      </c>
      <c r="X342" s="2" t="str">
        <f t="shared" si="173"/>
        <v/>
      </c>
      <c r="Y342" s="2" t="str">
        <f t="shared" si="174"/>
        <v/>
      </c>
      <c r="Z342" s="2" t="str">
        <f t="shared" si="189"/>
        <v/>
      </c>
      <c r="AA342" s="2" t="str">
        <f t="shared" si="190"/>
        <v/>
      </c>
      <c r="AB342" s="2" t="str">
        <f t="shared" si="191"/>
        <v/>
      </c>
      <c r="AC342" s="2" t="str">
        <f t="shared" si="175"/>
        <v/>
      </c>
      <c r="AD342" s="2" t="str">
        <f t="shared" si="176"/>
        <v/>
      </c>
      <c r="AE342" s="2" t="str">
        <f t="shared" si="177"/>
        <v/>
      </c>
      <c r="AF342" s="2" t="str">
        <f t="shared" si="178"/>
        <v/>
      </c>
    </row>
    <row r="343" spans="1:32" x14ac:dyDescent="0.2">
      <c r="A343" s="2" t="str">
        <f t="shared" si="179"/>
        <v/>
      </c>
      <c r="B343" s="2" t="str">
        <f t="shared" si="160"/>
        <v/>
      </c>
      <c r="C343" s="2" t="str">
        <f t="shared" si="161"/>
        <v/>
      </c>
      <c r="D343" s="2" t="str">
        <f t="shared" si="162"/>
        <v/>
      </c>
      <c r="E343" s="2" t="str">
        <f t="shared" si="163"/>
        <v/>
      </c>
      <c r="F343" s="2" t="str">
        <f t="shared" si="164"/>
        <v/>
      </c>
      <c r="G343" s="2" t="str">
        <f t="shared" si="165"/>
        <v/>
      </c>
      <c r="H343" s="2" t="str">
        <f t="shared" si="180"/>
        <v/>
      </c>
      <c r="I343" s="2" t="str">
        <f t="shared" si="181"/>
        <v/>
      </c>
      <c r="J343" s="2" t="str">
        <f t="shared" si="182"/>
        <v/>
      </c>
      <c r="K343" s="2" t="str">
        <f t="shared" si="166"/>
        <v/>
      </c>
      <c r="L343" s="2" t="str">
        <f t="shared" si="167"/>
        <v/>
      </c>
      <c r="M343" s="2" t="str">
        <f t="shared" si="168"/>
        <v/>
      </c>
      <c r="N343" s="2" t="str">
        <f t="shared" si="183"/>
        <v/>
      </c>
      <c r="O343" s="2" t="str">
        <f t="shared" si="184"/>
        <v/>
      </c>
      <c r="P343" s="2" t="str">
        <f t="shared" si="185"/>
        <v/>
      </c>
      <c r="Q343" s="2" t="str">
        <f t="shared" si="169"/>
        <v/>
      </c>
      <c r="R343" s="2" t="str">
        <f t="shared" si="170"/>
        <v/>
      </c>
      <c r="S343" s="2" t="str">
        <f t="shared" si="171"/>
        <v/>
      </c>
      <c r="T343" s="2" t="str">
        <f t="shared" si="186"/>
        <v/>
      </c>
      <c r="U343" s="2" t="str">
        <f t="shared" si="187"/>
        <v/>
      </c>
      <c r="V343" s="2" t="str">
        <f t="shared" si="188"/>
        <v/>
      </c>
      <c r="W343" s="2" t="str">
        <f t="shared" si="172"/>
        <v/>
      </c>
      <c r="X343" s="2" t="str">
        <f t="shared" si="173"/>
        <v/>
      </c>
      <c r="Y343" s="2" t="str">
        <f t="shared" si="174"/>
        <v/>
      </c>
      <c r="Z343" s="2" t="str">
        <f t="shared" si="189"/>
        <v/>
      </c>
      <c r="AA343" s="2" t="str">
        <f t="shared" si="190"/>
        <v/>
      </c>
      <c r="AB343" s="2" t="str">
        <f t="shared" si="191"/>
        <v/>
      </c>
      <c r="AC343" s="2" t="str">
        <f t="shared" si="175"/>
        <v/>
      </c>
      <c r="AD343" s="2" t="str">
        <f t="shared" si="176"/>
        <v/>
      </c>
      <c r="AE343" s="2" t="str">
        <f t="shared" si="177"/>
        <v/>
      </c>
      <c r="AF343" s="2" t="str">
        <f t="shared" si="178"/>
        <v/>
      </c>
    </row>
    <row r="344" spans="1:32" x14ac:dyDescent="0.2">
      <c r="A344" s="2" t="str">
        <f t="shared" si="179"/>
        <v/>
      </c>
      <c r="B344" s="2" t="str">
        <f t="shared" si="160"/>
        <v/>
      </c>
      <c r="C344" s="2" t="str">
        <f t="shared" si="161"/>
        <v/>
      </c>
      <c r="D344" s="2" t="str">
        <f t="shared" si="162"/>
        <v/>
      </c>
      <c r="E344" s="2" t="str">
        <f t="shared" si="163"/>
        <v/>
      </c>
      <c r="F344" s="2" t="str">
        <f t="shared" si="164"/>
        <v/>
      </c>
      <c r="G344" s="2" t="str">
        <f t="shared" si="165"/>
        <v/>
      </c>
      <c r="H344" s="2" t="str">
        <f t="shared" si="180"/>
        <v/>
      </c>
      <c r="I344" s="2" t="str">
        <f t="shared" si="181"/>
        <v/>
      </c>
      <c r="J344" s="2" t="str">
        <f t="shared" si="182"/>
        <v/>
      </c>
      <c r="K344" s="2" t="str">
        <f t="shared" si="166"/>
        <v/>
      </c>
      <c r="L344" s="2" t="str">
        <f t="shared" si="167"/>
        <v/>
      </c>
      <c r="M344" s="2" t="str">
        <f t="shared" si="168"/>
        <v/>
      </c>
      <c r="N344" s="2" t="str">
        <f t="shared" si="183"/>
        <v/>
      </c>
      <c r="O344" s="2" t="str">
        <f t="shared" si="184"/>
        <v/>
      </c>
      <c r="P344" s="2" t="str">
        <f t="shared" si="185"/>
        <v/>
      </c>
      <c r="Q344" s="2" t="str">
        <f t="shared" si="169"/>
        <v/>
      </c>
      <c r="R344" s="2" t="str">
        <f t="shared" si="170"/>
        <v/>
      </c>
      <c r="S344" s="2" t="str">
        <f t="shared" si="171"/>
        <v/>
      </c>
      <c r="T344" s="2" t="str">
        <f t="shared" si="186"/>
        <v/>
      </c>
      <c r="U344" s="2" t="str">
        <f t="shared" si="187"/>
        <v/>
      </c>
      <c r="V344" s="2" t="str">
        <f t="shared" si="188"/>
        <v/>
      </c>
      <c r="W344" s="2" t="str">
        <f t="shared" si="172"/>
        <v/>
      </c>
      <c r="X344" s="2" t="str">
        <f t="shared" si="173"/>
        <v/>
      </c>
      <c r="Y344" s="2" t="str">
        <f t="shared" si="174"/>
        <v/>
      </c>
      <c r="Z344" s="2" t="str">
        <f t="shared" si="189"/>
        <v/>
      </c>
      <c r="AA344" s="2" t="str">
        <f t="shared" si="190"/>
        <v/>
      </c>
      <c r="AB344" s="2" t="str">
        <f t="shared" si="191"/>
        <v/>
      </c>
      <c r="AC344" s="2" t="str">
        <f t="shared" si="175"/>
        <v/>
      </c>
      <c r="AD344" s="2" t="str">
        <f t="shared" si="176"/>
        <v/>
      </c>
      <c r="AE344" s="2" t="str">
        <f t="shared" si="177"/>
        <v/>
      </c>
      <c r="AF344" s="2" t="str">
        <f t="shared" si="178"/>
        <v/>
      </c>
    </row>
    <row r="345" spans="1:32" x14ac:dyDescent="0.2">
      <c r="A345" s="2" t="str">
        <f t="shared" si="179"/>
        <v/>
      </c>
      <c r="B345" s="2" t="str">
        <f t="shared" si="160"/>
        <v/>
      </c>
      <c r="C345" s="2" t="str">
        <f t="shared" si="161"/>
        <v/>
      </c>
      <c r="D345" s="2" t="str">
        <f t="shared" si="162"/>
        <v/>
      </c>
      <c r="E345" s="2" t="str">
        <f t="shared" si="163"/>
        <v/>
      </c>
      <c r="F345" s="2" t="str">
        <f t="shared" si="164"/>
        <v/>
      </c>
      <c r="G345" s="2" t="str">
        <f t="shared" si="165"/>
        <v/>
      </c>
      <c r="H345" s="2" t="str">
        <f t="shared" si="180"/>
        <v/>
      </c>
      <c r="I345" s="2" t="str">
        <f t="shared" si="181"/>
        <v/>
      </c>
      <c r="J345" s="2" t="str">
        <f t="shared" si="182"/>
        <v/>
      </c>
      <c r="K345" s="2" t="str">
        <f t="shared" si="166"/>
        <v/>
      </c>
      <c r="L345" s="2" t="str">
        <f t="shared" si="167"/>
        <v/>
      </c>
      <c r="M345" s="2" t="str">
        <f t="shared" si="168"/>
        <v/>
      </c>
      <c r="N345" s="2" t="str">
        <f t="shared" si="183"/>
        <v/>
      </c>
      <c r="O345" s="2" t="str">
        <f t="shared" si="184"/>
        <v/>
      </c>
      <c r="P345" s="2" t="str">
        <f t="shared" si="185"/>
        <v/>
      </c>
      <c r="Q345" s="2" t="str">
        <f t="shared" si="169"/>
        <v/>
      </c>
      <c r="R345" s="2" t="str">
        <f t="shared" si="170"/>
        <v/>
      </c>
      <c r="S345" s="2" t="str">
        <f t="shared" si="171"/>
        <v/>
      </c>
      <c r="T345" s="2" t="str">
        <f t="shared" si="186"/>
        <v/>
      </c>
      <c r="U345" s="2" t="str">
        <f t="shared" si="187"/>
        <v/>
      </c>
      <c r="V345" s="2" t="str">
        <f t="shared" si="188"/>
        <v/>
      </c>
      <c r="W345" s="2" t="str">
        <f t="shared" si="172"/>
        <v/>
      </c>
      <c r="X345" s="2" t="str">
        <f t="shared" si="173"/>
        <v/>
      </c>
      <c r="Y345" s="2" t="str">
        <f t="shared" si="174"/>
        <v/>
      </c>
      <c r="Z345" s="2" t="str">
        <f t="shared" si="189"/>
        <v/>
      </c>
      <c r="AA345" s="2" t="str">
        <f t="shared" si="190"/>
        <v/>
      </c>
      <c r="AB345" s="2" t="str">
        <f t="shared" si="191"/>
        <v/>
      </c>
      <c r="AC345" s="2" t="str">
        <f t="shared" si="175"/>
        <v/>
      </c>
      <c r="AD345" s="2" t="str">
        <f t="shared" si="176"/>
        <v/>
      </c>
      <c r="AE345" s="2" t="str">
        <f t="shared" si="177"/>
        <v/>
      </c>
      <c r="AF345" s="2" t="str">
        <f t="shared" si="178"/>
        <v/>
      </c>
    </row>
    <row r="346" spans="1:32" x14ac:dyDescent="0.2">
      <c r="A346" s="2" t="str">
        <f t="shared" si="179"/>
        <v/>
      </c>
      <c r="B346" s="2" t="str">
        <f t="shared" si="160"/>
        <v/>
      </c>
      <c r="C346" s="2" t="str">
        <f t="shared" si="161"/>
        <v/>
      </c>
      <c r="D346" s="2" t="str">
        <f t="shared" si="162"/>
        <v/>
      </c>
      <c r="E346" s="2" t="str">
        <f t="shared" si="163"/>
        <v/>
      </c>
      <c r="F346" s="2" t="str">
        <f t="shared" si="164"/>
        <v/>
      </c>
      <c r="G346" s="2" t="str">
        <f t="shared" si="165"/>
        <v/>
      </c>
      <c r="H346" s="2" t="str">
        <f t="shared" si="180"/>
        <v/>
      </c>
      <c r="I346" s="2" t="str">
        <f t="shared" si="181"/>
        <v/>
      </c>
      <c r="J346" s="2" t="str">
        <f t="shared" si="182"/>
        <v/>
      </c>
      <c r="K346" s="2" t="str">
        <f t="shared" si="166"/>
        <v/>
      </c>
      <c r="L346" s="2" t="str">
        <f t="shared" si="167"/>
        <v/>
      </c>
      <c r="M346" s="2" t="str">
        <f t="shared" si="168"/>
        <v/>
      </c>
      <c r="N346" s="2" t="str">
        <f t="shared" si="183"/>
        <v/>
      </c>
      <c r="O346" s="2" t="str">
        <f t="shared" si="184"/>
        <v/>
      </c>
      <c r="P346" s="2" t="str">
        <f t="shared" si="185"/>
        <v/>
      </c>
      <c r="Q346" s="2" t="str">
        <f t="shared" si="169"/>
        <v/>
      </c>
      <c r="R346" s="2" t="str">
        <f t="shared" si="170"/>
        <v/>
      </c>
      <c r="S346" s="2" t="str">
        <f t="shared" si="171"/>
        <v/>
      </c>
      <c r="T346" s="2" t="str">
        <f t="shared" si="186"/>
        <v/>
      </c>
      <c r="U346" s="2" t="str">
        <f t="shared" si="187"/>
        <v/>
      </c>
      <c r="V346" s="2" t="str">
        <f t="shared" si="188"/>
        <v/>
      </c>
      <c r="W346" s="2" t="str">
        <f t="shared" si="172"/>
        <v/>
      </c>
      <c r="X346" s="2" t="str">
        <f t="shared" si="173"/>
        <v/>
      </c>
      <c r="Y346" s="2" t="str">
        <f t="shared" si="174"/>
        <v/>
      </c>
      <c r="Z346" s="2" t="str">
        <f t="shared" si="189"/>
        <v/>
      </c>
      <c r="AA346" s="2" t="str">
        <f t="shared" si="190"/>
        <v/>
      </c>
      <c r="AB346" s="2" t="str">
        <f t="shared" si="191"/>
        <v/>
      </c>
      <c r="AC346" s="2" t="str">
        <f t="shared" si="175"/>
        <v/>
      </c>
      <c r="AD346" s="2" t="str">
        <f t="shared" si="176"/>
        <v/>
      </c>
      <c r="AE346" s="2" t="str">
        <f t="shared" si="177"/>
        <v/>
      </c>
      <c r="AF346" s="2" t="str">
        <f t="shared" si="178"/>
        <v/>
      </c>
    </row>
    <row r="347" spans="1:32" x14ac:dyDescent="0.2">
      <c r="A347" s="2" t="str">
        <f t="shared" si="179"/>
        <v/>
      </c>
      <c r="B347" s="2" t="str">
        <f t="shared" si="160"/>
        <v/>
      </c>
      <c r="C347" s="2" t="str">
        <f t="shared" si="161"/>
        <v/>
      </c>
      <c r="D347" s="2" t="str">
        <f t="shared" si="162"/>
        <v/>
      </c>
      <c r="E347" s="2" t="str">
        <f t="shared" si="163"/>
        <v/>
      </c>
      <c r="F347" s="2" t="str">
        <f t="shared" si="164"/>
        <v/>
      </c>
      <c r="G347" s="2" t="str">
        <f t="shared" si="165"/>
        <v/>
      </c>
      <c r="H347" s="2" t="str">
        <f t="shared" si="180"/>
        <v/>
      </c>
      <c r="I347" s="2" t="str">
        <f t="shared" si="181"/>
        <v/>
      </c>
      <c r="J347" s="2" t="str">
        <f t="shared" si="182"/>
        <v/>
      </c>
      <c r="K347" s="2" t="str">
        <f t="shared" si="166"/>
        <v/>
      </c>
      <c r="L347" s="2" t="str">
        <f t="shared" si="167"/>
        <v/>
      </c>
      <c r="M347" s="2" t="str">
        <f t="shared" si="168"/>
        <v/>
      </c>
      <c r="N347" s="2" t="str">
        <f t="shared" si="183"/>
        <v/>
      </c>
      <c r="O347" s="2" t="str">
        <f t="shared" si="184"/>
        <v/>
      </c>
      <c r="P347" s="2" t="str">
        <f t="shared" si="185"/>
        <v/>
      </c>
      <c r="Q347" s="2" t="str">
        <f t="shared" si="169"/>
        <v/>
      </c>
      <c r="R347" s="2" t="str">
        <f t="shared" si="170"/>
        <v/>
      </c>
      <c r="S347" s="2" t="str">
        <f t="shared" si="171"/>
        <v/>
      </c>
      <c r="T347" s="2" t="str">
        <f t="shared" si="186"/>
        <v/>
      </c>
      <c r="U347" s="2" t="str">
        <f t="shared" si="187"/>
        <v/>
      </c>
      <c r="V347" s="2" t="str">
        <f t="shared" si="188"/>
        <v/>
      </c>
      <c r="W347" s="2" t="str">
        <f t="shared" si="172"/>
        <v/>
      </c>
      <c r="X347" s="2" t="str">
        <f t="shared" si="173"/>
        <v/>
      </c>
      <c r="Y347" s="2" t="str">
        <f t="shared" si="174"/>
        <v/>
      </c>
      <c r="Z347" s="2" t="str">
        <f t="shared" si="189"/>
        <v/>
      </c>
      <c r="AA347" s="2" t="str">
        <f t="shared" si="190"/>
        <v/>
      </c>
      <c r="AB347" s="2" t="str">
        <f t="shared" si="191"/>
        <v/>
      </c>
      <c r="AC347" s="2" t="str">
        <f t="shared" si="175"/>
        <v/>
      </c>
      <c r="AD347" s="2" t="str">
        <f t="shared" si="176"/>
        <v/>
      </c>
      <c r="AE347" s="2" t="str">
        <f t="shared" si="177"/>
        <v/>
      </c>
      <c r="AF347" s="2" t="str">
        <f t="shared" si="178"/>
        <v/>
      </c>
    </row>
    <row r="348" spans="1:32" x14ac:dyDescent="0.2">
      <c r="A348" s="2" t="str">
        <f t="shared" si="179"/>
        <v/>
      </c>
      <c r="B348" s="2" t="str">
        <f t="shared" si="160"/>
        <v/>
      </c>
      <c r="C348" s="2" t="str">
        <f t="shared" si="161"/>
        <v/>
      </c>
      <c r="D348" s="2" t="str">
        <f t="shared" si="162"/>
        <v/>
      </c>
      <c r="E348" s="2" t="str">
        <f t="shared" si="163"/>
        <v/>
      </c>
      <c r="F348" s="2" t="str">
        <f t="shared" si="164"/>
        <v/>
      </c>
      <c r="G348" s="2" t="str">
        <f t="shared" si="165"/>
        <v/>
      </c>
      <c r="H348" s="2" t="str">
        <f t="shared" si="180"/>
        <v/>
      </c>
      <c r="I348" s="2" t="str">
        <f t="shared" si="181"/>
        <v/>
      </c>
      <c r="J348" s="2" t="str">
        <f t="shared" si="182"/>
        <v/>
      </c>
      <c r="K348" s="2" t="str">
        <f t="shared" si="166"/>
        <v/>
      </c>
      <c r="L348" s="2" t="str">
        <f t="shared" si="167"/>
        <v/>
      </c>
      <c r="M348" s="2" t="str">
        <f t="shared" si="168"/>
        <v/>
      </c>
      <c r="N348" s="2" t="str">
        <f t="shared" si="183"/>
        <v/>
      </c>
      <c r="O348" s="2" t="str">
        <f t="shared" si="184"/>
        <v/>
      </c>
      <c r="P348" s="2" t="str">
        <f t="shared" si="185"/>
        <v/>
      </c>
      <c r="Q348" s="2" t="str">
        <f t="shared" si="169"/>
        <v/>
      </c>
      <c r="R348" s="2" t="str">
        <f t="shared" si="170"/>
        <v/>
      </c>
      <c r="S348" s="2" t="str">
        <f t="shared" si="171"/>
        <v/>
      </c>
      <c r="T348" s="2" t="str">
        <f t="shared" si="186"/>
        <v/>
      </c>
      <c r="U348" s="2" t="str">
        <f t="shared" si="187"/>
        <v/>
      </c>
      <c r="V348" s="2" t="str">
        <f t="shared" si="188"/>
        <v/>
      </c>
      <c r="W348" s="2" t="str">
        <f t="shared" si="172"/>
        <v/>
      </c>
      <c r="X348" s="2" t="str">
        <f t="shared" si="173"/>
        <v/>
      </c>
      <c r="Y348" s="2" t="str">
        <f t="shared" si="174"/>
        <v/>
      </c>
      <c r="Z348" s="2" t="str">
        <f t="shared" si="189"/>
        <v/>
      </c>
      <c r="AA348" s="2" t="str">
        <f t="shared" si="190"/>
        <v/>
      </c>
      <c r="AB348" s="2" t="str">
        <f t="shared" si="191"/>
        <v/>
      </c>
      <c r="AC348" s="2" t="str">
        <f t="shared" si="175"/>
        <v/>
      </c>
      <c r="AD348" s="2" t="str">
        <f t="shared" si="176"/>
        <v/>
      </c>
      <c r="AE348" s="2" t="str">
        <f t="shared" si="177"/>
        <v/>
      </c>
      <c r="AF348" s="2" t="str">
        <f t="shared" si="178"/>
        <v/>
      </c>
    </row>
    <row r="349" spans="1:32" x14ac:dyDescent="0.2">
      <c r="A349" s="2" t="str">
        <f t="shared" si="179"/>
        <v/>
      </c>
      <c r="B349" s="2" t="str">
        <f t="shared" si="160"/>
        <v/>
      </c>
      <c r="C349" s="2" t="str">
        <f t="shared" si="161"/>
        <v/>
      </c>
      <c r="D349" s="2" t="str">
        <f t="shared" si="162"/>
        <v/>
      </c>
      <c r="E349" s="2" t="str">
        <f t="shared" si="163"/>
        <v/>
      </c>
      <c r="F349" s="2" t="str">
        <f t="shared" si="164"/>
        <v/>
      </c>
      <c r="G349" s="2" t="str">
        <f t="shared" si="165"/>
        <v/>
      </c>
      <c r="H349" s="2" t="str">
        <f t="shared" si="180"/>
        <v/>
      </c>
      <c r="I349" s="2" t="str">
        <f t="shared" si="181"/>
        <v/>
      </c>
      <c r="J349" s="2" t="str">
        <f t="shared" si="182"/>
        <v/>
      </c>
      <c r="K349" s="2" t="str">
        <f t="shared" si="166"/>
        <v/>
      </c>
      <c r="L349" s="2" t="str">
        <f t="shared" si="167"/>
        <v/>
      </c>
      <c r="M349" s="2" t="str">
        <f t="shared" si="168"/>
        <v/>
      </c>
      <c r="N349" s="2" t="str">
        <f t="shared" si="183"/>
        <v/>
      </c>
      <c r="O349" s="2" t="str">
        <f t="shared" si="184"/>
        <v/>
      </c>
      <c r="P349" s="2" t="str">
        <f t="shared" si="185"/>
        <v/>
      </c>
      <c r="Q349" s="2" t="str">
        <f t="shared" si="169"/>
        <v/>
      </c>
      <c r="R349" s="2" t="str">
        <f t="shared" si="170"/>
        <v/>
      </c>
      <c r="S349" s="2" t="str">
        <f t="shared" si="171"/>
        <v/>
      </c>
      <c r="T349" s="2" t="str">
        <f t="shared" si="186"/>
        <v/>
      </c>
      <c r="U349" s="2" t="str">
        <f t="shared" si="187"/>
        <v/>
      </c>
      <c r="V349" s="2" t="str">
        <f t="shared" si="188"/>
        <v/>
      </c>
      <c r="W349" s="2" t="str">
        <f t="shared" si="172"/>
        <v/>
      </c>
      <c r="X349" s="2" t="str">
        <f t="shared" si="173"/>
        <v/>
      </c>
      <c r="Y349" s="2" t="str">
        <f t="shared" si="174"/>
        <v/>
      </c>
      <c r="Z349" s="2" t="str">
        <f t="shared" si="189"/>
        <v/>
      </c>
      <c r="AA349" s="2" t="str">
        <f t="shared" si="190"/>
        <v/>
      </c>
      <c r="AB349" s="2" t="str">
        <f t="shared" si="191"/>
        <v/>
      </c>
      <c r="AC349" s="2" t="str">
        <f t="shared" si="175"/>
        <v/>
      </c>
      <c r="AD349" s="2" t="str">
        <f t="shared" si="176"/>
        <v/>
      </c>
      <c r="AE349" s="2" t="str">
        <f t="shared" si="177"/>
        <v/>
      </c>
      <c r="AF349" s="2" t="str">
        <f t="shared" si="178"/>
        <v/>
      </c>
    </row>
    <row r="350" spans="1:32" x14ac:dyDescent="0.2">
      <c r="A350" s="2" t="str">
        <f t="shared" si="179"/>
        <v/>
      </c>
      <c r="B350" s="2" t="str">
        <f t="shared" si="160"/>
        <v/>
      </c>
      <c r="C350" s="2" t="str">
        <f t="shared" si="161"/>
        <v/>
      </c>
      <c r="D350" s="2" t="str">
        <f t="shared" si="162"/>
        <v/>
      </c>
      <c r="E350" s="2" t="str">
        <f t="shared" si="163"/>
        <v/>
      </c>
      <c r="F350" s="2" t="str">
        <f t="shared" si="164"/>
        <v/>
      </c>
      <c r="G350" s="2" t="str">
        <f t="shared" si="165"/>
        <v/>
      </c>
      <c r="H350" s="2" t="str">
        <f t="shared" si="180"/>
        <v/>
      </c>
      <c r="I350" s="2" t="str">
        <f t="shared" si="181"/>
        <v/>
      </c>
      <c r="J350" s="2" t="str">
        <f t="shared" si="182"/>
        <v/>
      </c>
      <c r="K350" s="2" t="str">
        <f t="shared" si="166"/>
        <v/>
      </c>
      <c r="L350" s="2" t="str">
        <f t="shared" si="167"/>
        <v/>
      </c>
      <c r="M350" s="2" t="str">
        <f t="shared" si="168"/>
        <v/>
      </c>
      <c r="N350" s="2" t="str">
        <f t="shared" si="183"/>
        <v/>
      </c>
      <c r="O350" s="2" t="str">
        <f t="shared" si="184"/>
        <v/>
      </c>
      <c r="P350" s="2" t="str">
        <f t="shared" si="185"/>
        <v/>
      </c>
      <c r="Q350" s="2" t="str">
        <f t="shared" si="169"/>
        <v/>
      </c>
      <c r="R350" s="2" t="str">
        <f t="shared" si="170"/>
        <v/>
      </c>
      <c r="S350" s="2" t="str">
        <f t="shared" si="171"/>
        <v/>
      </c>
      <c r="T350" s="2" t="str">
        <f t="shared" si="186"/>
        <v/>
      </c>
      <c r="U350" s="2" t="str">
        <f t="shared" si="187"/>
        <v/>
      </c>
      <c r="V350" s="2" t="str">
        <f t="shared" si="188"/>
        <v/>
      </c>
      <c r="W350" s="2" t="str">
        <f t="shared" si="172"/>
        <v/>
      </c>
      <c r="X350" s="2" t="str">
        <f t="shared" si="173"/>
        <v/>
      </c>
      <c r="Y350" s="2" t="str">
        <f t="shared" si="174"/>
        <v/>
      </c>
      <c r="Z350" s="2" t="str">
        <f t="shared" si="189"/>
        <v/>
      </c>
      <c r="AA350" s="2" t="str">
        <f t="shared" si="190"/>
        <v/>
      </c>
      <c r="AB350" s="2" t="str">
        <f t="shared" si="191"/>
        <v/>
      </c>
      <c r="AC350" s="2" t="str">
        <f t="shared" si="175"/>
        <v/>
      </c>
      <c r="AD350" s="2" t="str">
        <f t="shared" si="176"/>
        <v/>
      </c>
      <c r="AE350" s="2" t="str">
        <f t="shared" si="177"/>
        <v/>
      </c>
      <c r="AF350" s="2" t="str">
        <f t="shared" si="178"/>
        <v/>
      </c>
    </row>
    <row r="351" spans="1:32" x14ac:dyDescent="0.2">
      <c r="A351" s="2" t="str">
        <f t="shared" si="179"/>
        <v/>
      </c>
      <c r="B351" s="2" t="str">
        <f t="shared" si="160"/>
        <v/>
      </c>
      <c r="C351" s="2" t="str">
        <f t="shared" si="161"/>
        <v/>
      </c>
      <c r="D351" s="2" t="str">
        <f t="shared" si="162"/>
        <v/>
      </c>
      <c r="E351" s="2" t="str">
        <f t="shared" si="163"/>
        <v/>
      </c>
      <c r="F351" s="2" t="str">
        <f t="shared" si="164"/>
        <v/>
      </c>
      <c r="G351" s="2" t="str">
        <f t="shared" si="165"/>
        <v/>
      </c>
      <c r="H351" s="2" t="str">
        <f t="shared" si="180"/>
        <v/>
      </c>
      <c r="I351" s="2" t="str">
        <f t="shared" si="181"/>
        <v/>
      </c>
      <c r="J351" s="2" t="str">
        <f t="shared" si="182"/>
        <v/>
      </c>
      <c r="K351" s="2" t="str">
        <f t="shared" si="166"/>
        <v/>
      </c>
      <c r="L351" s="2" t="str">
        <f t="shared" si="167"/>
        <v/>
      </c>
      <c r="M351" s="2" t="str">
        <f t="shared" si="168"/>
        <v/>
      </c>
      <c r="N351" s="2" t="str">
        <f t="shared" si="183"/>
        <v/>
      </c>
      <c r="O351" s="2" t="str">
        <f t="shared" si="184"/>
        <v/>
      </c>
      <c r="P351" s="2" t="str">
        <f t="shared" si="185"/>
        <v/>
      </c>
      <c r="Q351" s="2" t="str">
        <f t="shared" si="169"/>
        <v/>
      </c>
      <c r="R351" s="2" t="str">
        <f t="shared" si="170"/>
        <v/>
      </c>
      <c r="S351" s="2" t="str">
        <f t="shared" si="171"/>
        <v/>
      </c>
      <c r="T351" s="2" t="str">
        <f t="shared" si="186"/>
        <v/>
      </c>
      <c r="U351" s="2" t="str">
        <f t="shared" si="187"/>
        <v/>
      </c>
      <c r="V351" s="2" t="str">
        <f t="shared" si="188"/>
        <v/>
      </c>
      <c r="W351" s="2" t="str">
        <f t="shared" si="172"/>
        <v/>
      </c>
      <c r="X351" s="2" t="str">
        <f t="shared" si="173"/>
        <v/>
      </c>
      <c r="Y351" s="2" t="str">
        <f t="shared" si="174"/>
        <v/>
      </c>
      <c r="Z351" s="2" t="str">
        <f t="shared" si="189"/>
        <v/>
      </c>
      <c r="AA351" s="2" t="str">
        <f t="shared" si="190"/>
        <v/>
      </c>
      <c r="AB351" s="2" t="str">
        <f t="shared" si="191"/>
        <v/>
      </c>
      <c r="AC351" s="2" t="str">
        <f t="shared" si="175"/>
        <v/>
      </c>
      <c r="AD351" s="2" t="str">
        <f t="shared" si="176"/>
        <v/>
      </c>
      <c r="AE351" s="2" t="str">
        <f t="shared" si="177"/>
        <v/>
      </c>
      <c r="AF351" s="2" t="str">
        <f t="shared" si="178"/>
        <v/>
      </c>
    </row>
    <row r="352" spans="1:32" x14ac:dyDescent="0.2">
      <c r="A352" s="2" t="str">
        <f t="shared" si="179"/>
        <v/>
      </c>
      <c r="B352" s="2" t="str">
        <f t="shared" si="160"/>
        <v/>
      </c>
      <c r="C352" s="2" t="str">
        <f t="shared" si="161"/>
        <v/>
      </c>
      <c r="D352" s="2" t="str">
        <f t="shared" si="162"/>
        <v/>
      </c>
      <c r="E352" s="2" t="str">
        <f t="shared" si="163"/>
        <v/>
      </c>
      <c r="F352" s="2" t="str">
        <f t="shared" si="164"/>
        <v/>
      </c>
      <c r="G352" s="2" t="str">
        <f t="shared" si="165"/>
        <v/>
      </c>
      <c r="H352" s="2" t="str">
        <f t="shared" si="180"/>
        <v/>
      </c>
      <c r="I352" s="2" t="str">
        <f t="shared" si="181"/>
        <v/>
      </c>
      <c r="J352" s="2" t="str">
        <f t="shared" si="182"/>
        <v/>
      </c>
      <c r="K352" s="2" t="str">
        <f t="shared" si="166"/>
        <v/>
      </c>
      <c r="L352" s="2" t="str">
        <f t="shared" si="167"/>
        <v/>
      </c>
      <c r="M352" s="2" t="str">
        <f t="shared" si="168"/>
        <v/>
      </c>
      <c r="N352" s="2" t="str">
        <f t="shared" si="183"/>
        <v/>
      </c>
      <c r="O352" s="2" t="str">
        <f t="shared" si="184"/>
        <v/>
      </c>
      <c r="P352" s="2" t="str">
        <f t="shared" si="185"/>
        <v/>
      </c>
      <c r="Q352" s="2" t="str">
        <f t="shared" si="169"/>
        <v/>
      </c>
      <c r="R352" s="2" t="str">
        <f t="shared" si="170"/>
        <v/>
      </c>
      <c r="S352" s="2" t="str">
        <f t="shared" si="171"/>
        <v/>
      </c>
      <c r="T352" s="2" t="str">
        <f t="shared" si="186"/>
        <v/>
      </c>
      <c r="U352" s="2" t="str">
        <f t="shared" si="187"/>
        <v/>
      </c>
      <c r="V352" s="2" t="str">
        <f t="shared" si="188"/>
        <v/>
      </c>
      <c r="W352" s="2" t="str">
        <f t="shared" si="172"/>
        <v/>
      </c>
      <c r="X352" s="2" t="str">
        <f t="shared" si="173"/>
        <v/>
      </c>
      <c r="Y352" s="2" t="str">
        <f t="shared" si="174"/>
        <v/>
      </c>
      <c r="Z352" s="2" t="str">
        <f t="shared" si="189"/>
        <v/>
      </c>
      <c r="AA352" s="2" t="str">
        <f t="shared" si="190"/>
        <v/>
      </c>
      <c r="AB352" s="2" t="str">
        <f t="shared" si="191"/>
        <v/>
      </c>
      <c r="AC352" s="2" t="str">
        <f t="shared" si="175"/>
        <v/>
      </c>
      <c r="AD352" s="2" t="str">
        <f t="shared" si="176"/>
        <v/>
      </c>
      <c r="AE352" s="2" t="str">
        <f t="shared" si="177"/>
        <v/>
      </c>
      <c r="AF352" s="2" t="str">
        <f t="shared" si="178"/>
        <v/>
      </c>
    </row>
    <row r="353" spans="1:32" x14ac:dyDescent="0.2">
      <c r="A353" s="2" t="str">
        <f t="shared" si="179"/>
        <v/>
      </c>
      <c r="B353" s="2" t="str">
        <f t="shared" si="160"/>
        <v/>
      </c>
      <c r="C353" s="2" t="str">
        <f t="shared" si="161"/>
        <v/>
      </c>
      <c r="D353" s="2" t="str">
        <f t="shared" si="162"/>
        <v/>
      </c>
      <c r="E353" s="2" t="str">
        <f t="shared" si="163"/>
        <v/>
      </c>
      <c r="F353" s="2" t="str">
        <f t="shared" si="164"/>
        <v/>
      </c>
      <c r="G353" s="2" t="str">
        <f t="shared" si="165"/>
        <v/>
      </c>
      <c r="H353" s="2" t="str">
        <f t="shared" si="180"/>
        <v/>
      </c>
      <c r="I353" s="2" t="str">
        <f t="shared" si="181"/>
        <v/>
      </c>
      <c r="J353" s="2" t="str">
        <f t="shared" si="182"/>
        <v/>
      </c>
      <c r="K353" s="2" t="str">
        <f t="shared" si="166"/>
        <v/>
      </c>
      <c r="L353" s="2" t="str">
        <f t="shared" si="167"/>
        <v/>
      </c>
      <c r="M353" s="2" t="str">
        <f t="shared" si="168"/>
        <v/>
      </c>
      <c r="N353" s="2" t="str">
        <f t="shared" si="183"/>
        <v/>
      </c>
      <c r="O353" s="2" t="str">
        <f t="shared" si="184"/>
        <v/>
      </c>
      <c r="P353" s="2" t="str">
        <f t="shared" si="185"/>
        <v/>
      </c>
      <c r="Q353" s="2" t="str">
        <f t="shared" si="169"/>
        <v/>
      </c>
      <c r="R353" s="2" t="str">
        <f t="shared" si="170"/>
        <v/>
      </c>
      <c r="S353" s="2" t="str">
        <f t="shared" si="171"/>
        <v/>
      </c>
      <c r="T353" s="2" t="str">
        <f t="shared" si="186"/>
        <v/>
      </c>
      <c r="U353" s="2" t="str">
        <f t="shared" si="187"/>
        <v/>
      </c>
      <c r="V353" s="2" t="str">
        <f t="shared" si="188"/>
        <v/>
      </c>
      <c r="W353" s="2" t="str">
        <f t="shared" si="172"/>
        <v/>
      </c>
      <c r="X353" s="2" t="str">
        <f t="shared" si="173"/>
        <v/>
      </c>
      <c r="Y353" s="2" t="str">
        <f t="shared" si="174"/>
        <v/>
      </c>
      <c r="Z353" s="2" t="str">
        <f t="shared" si="189"/>
        <v/>
      </c>
      <c r="AA353" s="2" t="str">
        <f t="shared" si="190"/>
        <v/>
      </c>
      <c r="AB353" s="2" t="str">
        <f t="shared" si="191"/>
        <v/>
      </c>
      <c r="AC353" s="2" t="str">
        <f t="shared" si="175"/>
        <v/>
      </c>
      <c r="AD353" s="2" t="str">
        <f t="shared" si="176"/>
        <v/>
      </c>
      <c r="AE353" s="2" t="str">
        <f t="shared" si="177"/>
        <v/>
      </c>
      <c r="AF353" s="2" t="str">
        <f t="shared" si="178"/>
        <v/>
      </c>
    </row>
    <row r="354" spans="1:32" x14ac:dyDescent="0.2">
      <c r="A354" s="2" t="str">
        <f t="shared" si="179"/>
        <v/>
      </c>
      <c r="B354" s="2" t="str">
        <f t="shared" si="160"/>
        <v/>
      </c>
      <c r="C354" s="2" t="str">
        <f t="shared" si="161"/>
        <v/>
      </c>
      <c r="D354" s="2" t="str">
        <f t="shared" si="162"/>
        <v/>
      </c>
      <c r="E354" s="2" t="str">
        <f t="shared" si="163"/>
        <v/>
      </c>
      <c r="F354" s="2" t="str">
        <f t="shared" si="164"/>
        <v/>
      </c>
      <c r="G354" s="2" t="str">
        <f t="shared" si="165"/>
        <v/>
      </c>
      <c r="H354" s="2" t="str">
        <f t="shared" si="180"/>
        <v/>
      </c>
      <c r="I354" s="2" t="str">
        <f t="shared" si="181"/>
        <v/>
      </c>
      <c r="J354" s="2" t="str">
        <f t="shared" si="182"/>
        <v/>
      </c>
      <c r="K354" s="2" t="str">
        <f t="shared" si="166"/>
        <v/>
      </c>
      <c r="L354" s="2" t="str">
        <f t="shared" si="167"/>
        <v/>
      </c>
      <c r="M354" s="2" t="str">
        <f t="shared" si="168"/>
        <v/>
      </c>
      <c r="N354" s="2" t="str">
        <f t="shared" si="183"/>
        <v/>
      </c>
      <c r="O354" s="2" t="str">
        <f t="shared" si="184"/>
        <v/>
      </c>
      <c r="P354" s="2" t="str">
        <f t="shared" si="185"/>
        <v/>
      </c>
      <c r="Q354" s="2" t="str">
        <f t="shared" si="169"/>
        <v/>
      </c>
      <c r="R354" s="2" t="str">
        <f t="shared" si="170"/>
        <v/>
      </c>
      <c r="S354" s="2" t="str">
        <f t="shared" si="171"/>
        <v/>
      </c>
      <c r="T354" s="2" t="str">
        <f t="shared" si="186"/>
        <v/>
      </c>
      <c r="U354" s="2" t="str">
        <f t="shared" si="187"/>
        <v/>
      </c>
      <c r="V354" s="2" t="str">
        <f t="shared" si="188"/>
        <v/>
      </c>
      <c r="W354" s="2" t="str">
        <f t="shared" si="172"/>
        <v/>
      </c>
      <c r="X354" s="2" t="str">
        <f t="shared" si="173"/>
        <v/>
      </c>
      <c r="Y354" s="2" t="str">
        <f t="shared" si="174"/>
        <v/>
      </c>
      <c r="Z354" s="2" t="str">
        <f t="shared" si="189"/>
        <v/>
      </c>
      <c r="AA354" s="2" t="str">
        <f t="shared" si="190"/>
        <v/>
      </c>
      <c r="AB354" s="2" t="str">
        <f t="shared" si="191"/>
        <v/>
      </c>
      <c r="AC354" s="2" t="str">
        <f t="shared" si="175"/>
        <v/>
      </c>
      <c r="AD354" s="2" t="str">
        <f t="shared" si="176"/>
        <v/>
      </c>
      <c r="AE354" s="2" t="str">
        <f t="shared" si="177"/>
        <v/>
      </c>
      <c r="AF354" s="2" t="str">
        <f t="shared" si="178"/>
        <v/>
      </c>
    </row>
    <row r="355" spans="1:32" x14ac:dyDescent="0.2">
      <c r="A355" s="2" t="str">
        <f t="shared" si="179"/>
        <v/>
      </c>
      <c r="B355" s="2" t="str">
        <f t="shared" si="160"/>
        <v/>
      </c>
      <c r="C355" s="2" t="str">
        <f t="shared" si="161"/>
        <v/>
      </c>
      <c r="D355" s="2" t="str">
        <f t="shared" si="162"/>
        <v/>
      </c>
      <c r="E355" s="2" t="str">
        <f t="shared" si="163"/>
        <v/>
      </c>
      <c r="F355" s="2" t="str">
        <f t="shared" si="164"/>
        <v/>
      </c>
      <c r="G355" s="2" t="str">
        <f t="shared" si="165"/>
        <v/>
      </c>
      <c r="H355" s="2" t="str">
        <f t="shared" si="180"/>
        <v/>
      </c>
      <c r="I355" s="2" t="str">
        <f t="shared" si="181"/>
        <v/>
      </c>
      <c r="J355" s="2" t="str">
        <f t="shared" si="182"/>
        <v/>
      </c>
      <c r="K355" s="2" t="str">
        <f t="shared" si="166"/>
        <v/>
      </c>
      <c r="L355" s="2" t="str">
        <f t="shared" si="167"/>
        <v/>
      </c>
      <c r="M355" s="2" t="str">
        <f t="shared" si="168"/>
        <v/>
      </c>
      <c r="N355" s="2" t="str">
        <f t="shared" si="183"/>
        <v/>
      </c>
      <c r="O355" s="2" t="str">
        <f t="shared" si="184"/>
        <v/>
      </c>
      <c r="P355" s="2" t="str">
        <f t="shared" si="185"/>
        <v/>
      </c>
      <c r="Q355" s="2" t="str">
        <f t="shared" si="169"/>
        <v/>
      </c>
      <c r="R355" s="2" t="str">
        <f t="shared" si="170"/>
        <v/>
      </c>
      <c r="S355" s="2" t="str">
        <f t="shared" si="171"/>
        <v/>
      </c>
      <c r="T355" s="2" t="str">
        <f t="shared" si="186"/>
        <v/>
      </c>
      <c r="U355" s="2" t="str">
        <f t="shared" si="187"/>
        <v/>
      </c>
      <c r="V355" s="2" t="str">
        <f t="shared" si="188"/>
        <v/>
      </c>
      <c r="W355" s="2" t="str">
        <f t="shared" si="172"/>
        <v/>
      </c>
      <c r="X355" s="2" t="str">
        <f t="shared" si="173"/>
        <v/>
      </c>
      <c r="Y355" s="2" t="str">
        <f t="shared" si="174"/>
        <v/>
      </c>
      <c r="Z355" s="2" t="str">
        <f t="shared" si="189"/>
        <v/>
      </c>
      <c r="AA355" s="2" t="str">
        <f t="shared" si="190"/>
        <v/>
      </c>
      <c r="AB355" s="2" t="str">
        <f t="shared" si="191"/>
        <v/>
      </c>
      <c r="AC355" s="2" t="str">
        <f t="shared" si="175"/>
        <v/>
      </c>
      <c r="AD355" s="2" t="str">
        <f t="shared" si="176"/>
        <v/>
      </c>
      <c r="AE355" s="2" t="str">
        <f t="shared" si="177"/>
        <v/>
      </c>
      <c r="AF355" s="2" t="str">
        <f t="shared" si="178"/>
        <v/>
      </c>
    </row>
    <row r="356" spans="1:32" x14ac:dyDescent="0.2">
      <c r="A356" s="2" t="str">
        <f t="shared" si="179"/>
        <v/>
      </c>
      <c r="B356" s="2" t="str">
        <f t="shared" si="160"/>
        <v/>
      </c>
      <c r="C356" s="2" t="str">
        <f t="shared" si="161"/>
        <v/>
      </c>
      <c r="D356" s="2" t="str">
        <f t="shared" si="162"/>
        <v/>
      </c>
      <c r="E356" s="2" t="str">
        <f t="shared" si="163"/>
        <v/>
      </c>
      <c r="F356" s="2" t="str">
        <f t="shared" si="164"/>
        <v/>
      </c>
      <c r="G356" s="2" t="str">
        <f t="shared" si="165"/>
        <v/>
      </c>
      <c r="H356" s="2" t="str">
        <f t="shared" si="180"/>
        <v/>
      </c>
      <c r="I356" s="2" t="str">
        <f t="shared" si="181"/>
        <v/>
      </c>
      <c r="J356" s="2" t="str">
        <f t="shared" si="182"/>
        <v/>
      </c>
      <c r="K356" s="2" t="str">
        <f t="shared" si="166"/>
        <v/>
      </c>
      <c r="L356" s="2" t="str">
        <f t="shared" si="167"/>
        <v/>
      </c>
      <c r="M356" s="2" t="str">
        <f t="shared" si="168"/>
        <v/>
      </c>
      <c r="N356" s="2" t="str">
        <f t="shared" si="183"/>
        <v/>
      </c>
      <c r="O356" s="2" t="str">
        <f t="shared" si="184"/>
        <v/>
      </c>
      <c r="P356" s="2" t="str">
        <f t="shared" si="185"/>
        <v/>
      </c>
      <c r="Q356" s="2" t="str">
        <f t="shared" si="169"/>
        <v/>
      </c>
      <c r="R356" s="2" t="str">
        <f t="shared" si="170"/>
        <v/>
      </c>
      <c r="S356" s="2" t="str">
        <f t="shared" si="171"/>
        <v/>
      </c>
      <c r="T356" s="2" t="str">
        <f t="shared" si="186"/>
        <v/>
      </c>
      <c r="U356" s="2" t="str">
        <f t="shared" si="187"/>
        <v/>
      </c>
      <c r="V356" s="2" t="str">
        <f t="shared" si="188"/>
        <v/>
      </c>
      <c r="W356" s="2" t="str">
        <f t="shared" si="172"/>
        <v/>
      </c>
      <c r="X356" s="2" t="str">
        <f t="shared" si="173"/>
        <v/>
      </c>
      <c r="Y356" s="2" t="str">
        <f t="shared" si="174"/>
        <v/>
      </c>
      <c r="Z356" s="2" t="str">
        <f t="shared" si="189"/>
        <v/>
      </c>
      <c r="AA356" s="2" t="str">
        <f t="shared" si="190"/>
        <v/>
      </c>
      <c r="AB356" s="2" t="str">
        <f t="shared" si="191"/>
        <v/>
      </c>
      <c r="AC356" s="2" t="str">
        <f t="shared" si="175"/>
        <v/>
      </c>
      <c r="AD356" s="2" t="str">
        <f t="shared" si="176"/>
        <v/>
      </c>
      <c r="AE356" s="2" t="str">
        <f t="shared" si="177"/>
        <v/>
      </c>
      <c r="AF356" s="2" t="str">
        <f t="shared" si="178"/>
        <v/>
      </c>
    </row>
    <row r="357" spans="1:32" x14ac:dyDescent="0.2">
      <c r="A357" s="2" t="str">
        <f t="shared" si="179"/>
        <v/>
      </c>
      <c r="B357" s="2" t="str">
        <f t="shared" si="160"/>
        <v/>
      </c>
      <c r="C357" s="2" t="str">
        <f t="shared" si="161"/>
        <v/>
      </c>
      <c r="D357" s="2" t="str">
        <f t="shared" si="162"/>
        <v/>
      </c>
      <c r="E357" s="2" t="str">
        <f t="shared" si="163"/>
        <v/>
      </c>
      <c r="F357" s="2" t="str">
        <f t="shared" si="164"/>
        <v/>
      </c>
      <c r="G357" s="2" t="str">
        <f t="shared" si="165"/>
        <v/>
      </c>
      <c r="H357" s="2" t="str">
        <f t="shared" si="180"/>
        <v/>
      </c>
      <c r="I357" s="2" t="str">
        <f t="shared" si="181"/>
        <v/>
      </c>
      <c r="J357" s="2" t="str">
        <f t="shared" si="182"/>
        <v/>
      </c>
      <c r="K357" s="2" t="str">
        <f t="shared" si="166"/>
        <v/>
      </c>
      <c r="L357" s="2" t="str">
        <f t="shared" si="167"/>
        <v/>
      </c>
      <c r="M357" s="2" t="str">
        <f t="shared" si="168"/>
        <v/>
      </c>
      <c r="N357" s="2" t="str">
        <f t="shared" si="183"/>
        <v/>
      </c>
      <c r="O357" s="2" t="str">
        <f t="shared" si="184"/>
        <v/>
      </c>
      <c r="P357" s="2" t="str">
        <f t="shared" si="185"/>
        <v/>
      </c>
      <c r="Q357" s="2" t="str">
        <f t="shared" si="169"/>
        <v/>
      </c>
      <c r="R357" s="2" t="str">
        <f t="shared" si="170"/>
        <v/>
      </c>
      <c r="S357" s="2" t="str">
        <f t="shared" si="171"/>
        <v/>
      </c>
      <c r="T357" s="2" t="str">
        <f t="shared" si="186"/>
        <v/>
      </c>
      <c r="U357" s="2" t="str">
        <f t="shared" si="187"/>
        <v/>
      </c>
      <c r="V357" s="2" t="str">
        <f t="shared" si="188"/>
        <v/>
      </c>
      <c r="W357" s="2" t="str">
        <f t="shared" si="172"/>
        <v/>
      </c>
      <c r="X357" s="2" t="str">
        <f t="shared" si="173"/>
        <v/>
      </c>
      <c r="Y357" s="2" t="str">
        <f t="shared" si="174"/>
        <v/>
      </c>
      <c r="Z357" s="2" t="str">
        <f t="shared" si="189"/>
        <v/>
      </c>
      <c r="AA357" s="2" t="str">
        <f t="shared" si="190"/>
        <v/>
      </c>
      <c r="AB357" s="2" t="str">
        <f t="shared" si="191"/>
        <v/>
      </c>
      <c r="AC357" s="2" t="str">
        <f t="shared" si="175"/>
        <v/>
      </c>
      <c r="AD357" s="2" t="str">
        <f t="shared" si="176"/>
        <v/>
      </c>
      <c r="AE357" s="2" t="str">
        <f t="shared" si="177"/>
        <v/>
      </c>
      <c r="AF357" s="2" t="str">
        <f t="shared" si="178"/>
        <v/>
      </c>
    </row>
    <row r="358" spans="1:32" x14ac:dyDescent="0.2">
      <c r="A358" s="2" t="str">
        <f t="shared" si="179"/>
        <v/>
      </c>
      <c r="B358" s="2" t="str">
        <f t="shared" si="160"/>
        <v/>
      </c>
      <c r="C358" s="2" t="str">
        <f t="shared" si="161"/>
        <v/>
      </c>
      <c r="D358" s="2" t="str">
        <f t="shared" si="162"/>
        <v/>
      </c>
      <c r="E358" s="2" t="str">
        <f t="shared" si="163"/>
        <v/>
      </c>
      <c r="F358" s="2" t="str">
        <f t="shared" si="164"/>
        <v/>
      </c>
      <c r="G358" s="2" t="str">
        <f t="shared" si="165"/>
        <v/>
      </c>
      <c r="H358" s="2" t="str">
        <f t="shared" si="180"/>
        <v/>
      </c>
      <c r="I358" s="2" t="str">
        <f t="shared" si="181"/>
        <v/>
      </c>
      <c r="J358" s="2" t="str">
        <f t="shared" si="182"/>
        <v/>
      </c>
      <c r="K358" s="2" t="str">
        <f t="shared" si="166"/>
        <v/>
      </c>
      <c r="L358" s="2" t="str">
        <f t="shared" si="167"/>
        <v/>
      </c>
      <c r="M358" s="2" t="str">
        <f t="shared" si="168"/>
        <v/>
      </c>
      <c r="N358" s="2" t="str">
        <f t="shared" si="183"/>
        <v/>
      </c>
      <c r="O358" s="2" t="str">
        <f t="shared" si="184"/>
        <v/>
      </c>
      <c r="P358" s="2" t="str">
        <f t="shared" si="185"/>
        <v/>
      </c>
      <c r="Q358" s="2" t="str">
        <f t="shared" si="169"/>
        <v/>
      </c>
      <c r="R358" s="2" t="str">
        <f t="shared" si="170"/>
        <v/>
      </c>
      <c r="S358" s="2" t="str">
        <f t="shared" si="171"/>
        <v/>
      </c>
      <c r="T358" s="2" t="str">
        <f t="shared" si="186"/>
        <v/>
      </c>
      <c r="U358" s="2" t="str">
        <f t="shared" si="187"/>
        <v/>
      </c>
      <c r="V358" s="2" t="str">
        <f t="shared" si="188"/>
        <v/>
      </c>
      <c r="W358" s="2" t="str">
        <f t="shared" si="172"/>
        <v/>
      </c>
      <c r="X358" s="2" t="str">
        <f t="shared" si="173"/>
        <v/>
      </c>
      <c r="Y358" s="2" t="str">
        <f t="shared" si="174"/>
        <v/>
      </c>
      <c r="Z358" s="2" t="str">
        <f t="shared" si="189"/>
        <v/>
      </c>
      <c r="AA358" s="2" t="str">
        <f t="shared" si="190"/>
        <v/>
      </c>
      <c r="AB358" s="2" t="str">
        <f t="shared" si="191"/>
        <v/>
      </c>
      <c r="AC358" s="2" t="str">
        <f t="shared" si="175"/>
        <v/>
      </c>
      <c r="AD358" s="2" t="str">
        <f t="shared" si="176"/>
        <v/>
      </c>
      <c r="AE358" s="2" t="str">
        <f t="shared" si="177"/>
        <v/>
      </c>
      <c r="AF358" s="2" t="str">
        <f t="shared" si="178"/>
        <v/>
      </c>
    </row>
    <row r="359" spans="1:32" x14ac:dyDescent="0.2">
      <c r="A359" s="2" t="str">
        <f t="shared" si="179"/>
        <v/>
      </c>
      <c r="B359" s="2" t="str">
        <f t="shared" si="160"/>
        <v/>
      </c>
      <c r="C359" s="2" t="str">
        <f t="shared" si="161"/>
        <v/>
      </c>
      <c r="D359" s="2" t="str">
        <f t="shared" si="162"/>
        <v/>
      </c>
      <c r="E359" s="2" t="str">
        <f t="shared" si="163"/>
        <v/>
      </c>
      <c r="F359" s="2" t="str">
        <f t="shared" si="164"/>
        <v/>
      </c>
      <c r="G359" s="2" t="str">
        <f t="shared" si="165"/>
        <v/>
      </c>
      <c r="H359" s="2" t="str">
        <f t="shared" si="180"/>
        <v/>
      </c>
      <c r="I359" s="2" t="str">
        <f t="shared" si="181"/>
        <v/>
      </c>
      <c r="J359" s="2" t="str">
        <f t="shared" si="182"/>
        <v/>
      </c>
      <c r="K359" s="2" t="str">
        <f t="shared" si="166"/>
        <v/>
      </c>
      <c r="L359" s="2" t="str">
        <f t="shared" si="167"/>
        <v/>
      </c>
      <c r="M359" s="2" t="str">
        <f t="shared" si="168"/>
        <v/>
      </c>
      <c r="N359" s="2" t="str">
        <f t="shared" si="183"/>
        <v/>
      </c>
      <c r="O359" s="2" t="str">
        <f t="shared" si="184"/>
        <v/>
      </c>
      <c r="P359" s="2" t="str">
        <f t="shared" si="185"/>
        <v/>
      </c>
      <c r="Q359" s="2" t="str">
        <f t="shared" si="169"/>
        <v/>
      </c>
      <c r="R359" s="2" t="str">
        <f t="shared" si="170"/>
        <v/>
      </c>
      <c r="S359" s="2" t="str">
        <f t="shared" si="171"/>
        <v/>
      </c>
      <c r="T359" s="2" t="str">
        <f t="shared" si="186"/>
        <v/>
      </c>
      <c r="U359" s="2" t="str">
        <f t="shared" si="187"/>
        <v/>
      </c>
      <c r="V359" s="2" t="str">
        <f t="shared" si="188"/>
        <v/>
      </c>
      <c r="W359" s="2" t="str">
        <f t="shared" si="172"/>
        <v/>
      </c>
      <c r="X359" s="2" t="str">
        <f t="shared" si="173"/>
        <v/>
      </c>
      <c r="Y359" s="2" t="str">
        <f t="shared" si="174"/>
        <v/>
      </c>
      <c r="Z359" s="2" t="str">
        <f t="shared" si="189"/>
        <v/>
      </c>
      <c r="AA359" s="2" t="str">
        <f t="shared" si="190"/>
        <v/>
      </c>
      <c r="AB359" s="2" t="str">
        <f t="shared" si="191"/>
        <v/>
      </c>
      <c r="AC359" s="2" t="str">
        <f t="shared" si="175"/>
        <v/>
      </c>
      <c r="AD359" s="2" t="str">
        <f t="shared" si="176"/>
        <v/>
      </c>
      <c r="AE359" s="2" t="str">
        <f t="shared" si="177"/>
        <v/>
      </c>
      <c r="AF359" s="2" t="str">
        <f t="shared" si="178"/>
        <v/>
      </c>
    </row>
    <row r="360" spans="1:32" x14ac:dyDescent="0.2">
      <c r="A360" s="2" t="str">
        <f t="shared" si="179"/>
        <v/>
      </c>
      <c r="B360" s="2" t="str">
        <f t="shared" si="160"/>
        <v/>
      </c>
      <c r="C360" s="2" t="str">
        <f t="shared" si="161"/>
        <v/>
      </c>
      <c r="D360" s="2" t="str">
        <f t="shared" si="162"/>
        <v/>
      </c>
      <c r="E360" s="2" t="str">
        <f t="shared" si="163"/>
        <v/>
      </c>
      <c r="F360" s="2" t="str">
        <f t="shared" si="164"/>
        <v/>
      </c>
      <c r="G360" s="2" t="str">
        <f t="shared" si="165"/>
        <v/>
      </c>
      <c r="H360" s="2" t="str">
        <f t="shared" si="180"/>
        <v/>
      </c>
      <c r="I360" s="2" t="str">
        <f t="shared" si="181"/>
        <v/>
      </c>
      <c r="J360" s="2" t="str">
        <f t="shared" si="182"/>
        <v/>
      </c>
      <c r="K360" s="2" t="str">
        <f t="shared" si="166"/>
        <v/>
      </c>
      <c r="L360" s="2" t="str">
        <f t="shared" si="167"/>
        <v/>
      </c>
      <c r="M360" s="2" t="str">
        <f t="shared" si="168"/>
        <v/>
      </c>
      <c r="N360" s="2" t="str">
        <f t="shared" si="183"/>
        <v/>
      </c>
      <c r="O360" s="2" t="str">
        <f t="shared" si="184"/>
        <v/>
      </c>
      <c r="P360" s="2" t="str">
        <f t="shared" si="185"/>
        <v/>
      </c>
      <c r="Q360" s="2" t="str">
        <f t="shared" si="169"/>
        <v/>
      </c>
      <c r="R360" s="2" t="str">
        <f t="shared" si="170"/>
        <v/>
      </c>
      <c r="S360" s="2" t="str">
        <f t="shared" si="171"/>
        <v/>
      </c>
      <c r="T360" s="2" t="str">
        <f t="shared" si="186"/>
        <v/>
      </c>
      <c r="U360" s="2" t="str">
        <f t="shared" si="187"/>
        <v/>
      </c>
      <c r="V360" s="2" t="str">
        <f t="shared" si="188"/>
        <v/>
      </c>
      <c r="W360" s="2" t="str">
        <f t="shared" si="172"/>
        <v/>
      </c>
      <c r="X360" s="2" t="str">
        <f t="shared" si="173"/>
        <v/>
      </c>
      <c r="Y360" s="2" t="str">
        <f t="shared" si="174"/>
        <v/>
      </c>
      <c r="Z360" s="2" t="str">
        <f t="shared" si="189"/>
        <v/>
      </c>
      <c r="AA360" s="2" t="str">
        <f t="shared" si="190"/>
        <v/>
      </c>
      <c r="AB360" s="2" t="str">
        <f t="shared" si="191"/>
        <v/>
      </c>
      <c r="AC360" s="2" t="str">
        <f t="shared" si="175"/>
        <v/>
      </c>
      <c r="AD360" s="2" t="str">
        <f t="shared" si="176"/>
        <v/>
      </c>
      <c r="AE360" s="2" t="str">
        <f t="shared" si="177"/>
        <v/>
      </c>
      <c r="AF360" s="2" t="str">
        <f t="shared" si="178"/>
        <v/>
      </c>
    </row>
    <row r="361" spans="1:32" x14ac:dyDescent="0.2">
      <c r="A361" s="2" t="str">
        <f t="shared" si="179"/>
        <v/>
      </c>
      <c r="B361" s="2" t="str">
        <f t="shared" si="160"/>
        <v/>
      </c>
      <c r="C361" s="2" t="str">
        <f t="shared" si="161"/>
        <v/>
      </c>
      <c r="D361" s="2" t="str">
        <f t="shared" si="162"/>
        <v/>
      </c>
      <c r="E361" s="2" t="str">
        <f t="shared" si="163"/>
        <v/>
      </c>
      <c r="F361" s="2" t="str">
        <f t="shared" si="164"/>
        <v/>
      </c>
      <c r="G361" s="2" t="str">
        <f t="shared" si="165"/>
        <v/>
      </c>
      <c r="H361" s="2" t="str">
        <f t="shared" si="180"/>
        <v/>
      </c>
      <c r="I361" s="2" t="str">
        <f t="shared" si="181"/>
        <v/>
      </c>
      <c r="J361" s="2" t="str">
        <f t="shared" si="182"/>
        <v/>
      </c>
      <c r="K361" s="2" t="str">
        <f t="shared" si="166"/>
        <v/>
      </c>
      <c r="L361" s="2" t="str">
        <f t="shared" si="167"/>
        <v/>
      </c>
      <c r="M361" s="2" t="str">
        <f t="shared" si="168"/>
        <v/>
      </c>
      <c r="N361" s="2" t="str">
        <f t="shared" si="183"/>
        <v/>
      </c>
      <c r="O361" s="2" t="str">
        <f t="shared" si="184"/>
        <v/>
      </c>
      <c r="P361" s="2" t="str">
        <f t="shared" si="185"/>
        <v/>
      </c>
      <c r="Q361" s="2" t="str">
        <f t="shared" si="169"/>
        <v/>
      </c>
      <c r="R361" s="2" t="str">
        <f t="shared" si="170"/>
        <v/>
      </c>
      <c r="S361" s="2" t="str">
        <f t="shared" si="171"/>
        <v/>
      </c>
      <c r="T361" s="2" t="str">
        <f t="shared" si="186"/>
        <v/>
      </c>
      <c r="U361" s="2" t="str">
        <f t="shared" si="187"/>
        <v/>
      </c>
      <c r="V361" s="2" t="str">
        <f t="shared" si="188"/>
        <v/>
      </c>
      <c r="W361" s="2" t="str">
        <f t="shared" si="172"/>
        <v/>
      </c>
      <c r="X361" s="2" t="str">
        <f t="shared" si="173"/>
        <v/>
      </c>
      <c r="Y361" s="2" t="str">
        <f t="shared" si="174"/>
        <v/>
      </c>
      <c r="Z361" s="2" t="str">
        <f t="shared" si="189"/>
        <v/>
      </c>
      <c r="AA361" s="2" t="str">
        <f t="shared" si="190"/>
        <v/>
      </c>
      <c r="AB361" s="2" t="str">
        <f t="shared" si="191"/>
        <v/>
      </c>
      <c r="AC361" s="2" t="str">
        <f t="shared" si="175"/>
        <v/>
      </c>
      <c r="AD361" s="2" t="str">
        <f t="shared" si="176"/>
        <v/>
      </c>
      <c r="AE361" s="2" t="str">
        <f t="shared" si="177"/>
        <v/>
      </c>
      <c r="AF361" s="2" t="str">
        <f t="shared" si="178"/>
        <v/>
      </c>
    </row>
    <row r="362" spans="1:32" x14ac:dyDescent="0.2">
      <c r="A362" s="2" t="str">
        <f t="shared" si="179"/>
        <v/>
      </c>
      <c r="B362" s="2" t="str">
        <f t="shared" si="160"/>
        <v/>
      </c>
      <c r="C362" s="2" t="str">
        <f t="shared" si="161"/>
        <v/>
      </c>
      <c r="D362" s="2" t="str">
        <f t="shared" si="162"/>
        <v/>
      </c>
      <c r="E362" s="2" t="str">
        <f t="shared" si="163"/>
        <v/>
      </c>
      <c r="F362" s="2" t="str">
        <f t="shared" si="164"/>
        <v/>
      </c>
      <c r="G362" s="2" t="str">
        <f t="shared" si="165"/>
        <v/>
      </c>
      <c r="H362" s="2" t="str">
        <f t="shared" si="180"/>
        <v/>
      </c>
      <c r="I362" s="2" t="str">
        <f t="shared" si="181"/>
        <v/>
      </c>
      <c r="J362" s="2" t="str">
        <f t="shared" si="182"/>
        <v/>
      </c>
      <c r="K362" s="2" t="str">
        <f t="shared" si="166"/>
        <v/>
      </c>
      <c r="L362" s="2" t="str">
        <f t="shared" si="167"/>
        <v/>
      </c>
      <c r="M362" s="2" t="str">
        <f t="shared" si="168"/>
        <v/>
      </c>
      <c r="N362" s="2" t="str">
        <f t="shared" si="183"/>
        <v/>
      </c>
      <c r="O362" s="2" t="str">
        <f t="shared" si="184"/>
        <v/>
      </c>
      <c r="P362" s="2" t="str">
        <f t="shared" si="185"/>
        <v/>
      </c>
      <c r="Q362" s="2" t="str">
        <f t="shared" si="169"/>
        <v/>
      </c>
      <c r="R362" s="2" t="str">
        <f t="shared" si="170"/>
        <v/>
      </c>
      <c r="S362" s="2" t="str">
        <f t="shared" si="171"/>
        <v/>
      </c>
      <c r="T362" s="2" t="str">
        <f t="shared" si="186"/>
        <v/>
      </c>
      <c r="U362" s="2" t="str">
        <f t="shared" si="187"/>
        <v/>
      </c>
      <c r="V362" s="2" t="str">
        <f t="shared" si="188"/>
        <v/>
      </c>
      <c r="W362" s="2" t="str">
        <f t="shared" si="172"/>
        <v/>
      </c>
      <c r="X362" s="2" t="str">
        <f t="shared" si="173"/>
        <v/>
      </c>
      <c r="Y362" s="2" t="str">
        <f t="shared" si="174"/>
        <v/>
      </c>
      <c r="Z362" s="2" t="str">
        <f t="shared" si="189"/>
        <v/>
      </c>
      <c r="AA362" s="2" t="str">
        <f t="shared" si="190"/>
        <v/>
      </c>
      <c r="AB362" s="2" t="str">
        <f t="shared" si="191"/>
        <v/>
      </c>
      <c r="AC362" s="2" t="str">
        <f t="shared" si="175"/>
        <v/>
      </c>
      <c r="AD362" s="2" t="str">
        <f t="shared" si="176"/>
        <v/>
      </c>
      <c r="AE362" s="2" t="str">
        <f t="shared" si="177"/>
        <v/>
      </c>
      <c r="AF362" s="2" t="str">
        <f t="shared" si="178"/>
        <v/>
      </c>
    </row>
    <row r="363" spans="1:32" x14ac:dyDescent="0.2">
      <c r="A363" s="2" t="str">
        <f t="shared" si="179"/>
        <v/>
      </c>
      <c r="B363" s="2" t="str">
        <f t="shared" si="160"/>
        <v/>
      </c>
      <c r="C363" s="2" t="str">
        <f t="shared" si="161"/>
        <v/>
      </c>
      <c r="D363" s="2" t="str">
        <f t="shared" si="162"/>
        <v/>
      </c>
      <c r="E363" s="2" t="str">
        <f t="shared" si="163"/>
        <v/>
      </c>
      <c r="F363" s="2" t="str">
        <f t="shared" si="164"/>
        <v/>
      </c>
      <c r="G363" s="2" t="str">
        <f t="shared" si="165"/>
        <v/>
      </c>
      <c r="H363" s="2" t="str">
        <f t="shared" si="180"/>
        <v/>
      </c>
      <c r="I363" s="2" t="str">
        <f t="shared" si="181"/>
        <v/>
      </c>
      <c r="J363" s="2" t="str">
        <f t="shared" si="182"/>
        <v/>
      </c>
      <c r="K363" s="2" t="str">
        <f t="shared" si="166"/>
        <v/>
      </c>
      <c r="L363" s="2" t="str">
        <f t="shared" si="167"/>
        <v/>
      </c>
      <c r="M363" s="2" t="str">
        <f t="shared" si="168"/>
        <v/>
      </c>
      <c r="N363" s="2" t="str">
        <f t="shared" si="183"/>
        <v/>
      </c>
      <c r="O363" s="2" t="str">
        <f t="shared" si="184"/>
        <v/>
      </c>
      <c r="P363" s="2" t="str">
        <f t="shared" si="185"/>
        <v/>
      </c>
      <c r="Q363" s="2" t="str">
        <f t="shared" si="169"/>
        <v/>
      </c>
      <c r="R363" s="2" t="str">
        <f t="shared" si="170"/>
        <v/>
      </c>
      <c r="S363" s="2" t="str">
        <f t="shared" si="171"/>
        <v/>
      </c>
      <c r="T363" s="2" t="str">
        <f t="shared" si="186"/>
        <v/>
      </c>
      <c r="U363" s="2" t="str">
        <f t="shared" si="187"/>
        <v/>
      </c>
      <c r="V363" s="2" t="str">
        <f t="shared" si="188"/>
        <v/>
      </c>
      <c r="W363" s="2" t="str">
        <f t="shared" si="172"/>
        <v/>
      </c>
      <c r="X363" s="2" t="str">
        <f t="shared" si="173"/>
        <v/>
      </c>
      <c r="Y363" s="2" t="str">
        <f t="shared" si="174"/>
        <v/>
      </c>
      <c r="Z363" s="2" t="str">
        <f t="shared" si="189"/>
        <v/>
      </c>
      <c r="AA363" s="2" t="str">
        <f t="shared" si="190"/>
        <v/>
      </c>
      <c r="AB363" s="2" t="str">
        <f t="shared" si="191"/>
        <v/>
      </c>
      <c r="AC363" s="2" t="str">
        <f t="shared" si="175"/>
        <v/>
      </c>
      <c r="AD363" s="2" t="str">
        <f t="shared" si="176"/>
        <v/>
      </c>
      <c r="AE363" s="2" t="str">
        <f t="shared" si="177"/>
        <v/>
      </c>
      <c r="AF363" s="2" t="str">
        <f t="shared" si="178"/>
        <v/>
      </c>
    </row>
    <row r="364" spans="1:32" x14ac:dyDescent="0.2">
      <c r="A364" s="2" t="str">
        <f t="shared" si="179"/>
        <v/>
      </c>
      <c r="B364" s="2" t="str">
        <f t="shared" si="160"/>
        <v/>
      </c>
      <c r="C364" s="2" t="str">
        <f t="shared" si="161"/>
        <v/>
      </c>
      <c r="D364" s="2" t="str">
        <f t="shared" si="162"/>
        <v/>
      </c>
      <c r="E364" s="2" t="str">
        <f t="shared" si="163"/>
        <v/>
      </c>
      <c r="F364" s="2" t="str">
        <f t="shared" si="164"/>
        <v/>
      </c>
      <c r="G364" s="2" t="str">
        <f t="shared" si="165"/>
        <v/>
      </c>
      <c r="H364" s="2" t="str">
        <f t="shared" si="180"/>
        <v/>
      </c>
      <c r="I364" s="2" t="str">
        <f t="shared" si="181"/>
        <v/>
      </c>
      <c r="J364" s="2" t="str">
        <f t="shared" si="182"/>
        <v/>
      </c>
      <c r="K364" s="2" t="str">
        <f t="shared" si="166"/>
        <v/>
      </c>
      <c r="L364" s="2" t="str">
        <f t="shared" si="167"/>
        <v/>
      </c>
      <c r="M364" s="2" t="str">
        <f t="shared" si="168"/>
        <v/>
      </c>
      <c r="N364" s="2" t="str">
        <f t="shared" si="183"/>
        <v/>
      </c>
      <c r="O364" s="2" t="str">
        <f t="shared" si="184"/>
        <v/>
      </c>
      <c r="P364" s="2" t="str">
        <f t="shared" si="185"/>
        <v/>
      </c>
      <c r="Q364" s="2" t="str">
        <f t="shared" si="169"/>
        <v/>
      </c>
      <c r="R364" s="2" t="str">
        <f t="shared" si="170"/>
        <v/>
      </c>
      <c r="S364" s="2" t="str">
        <f t="shared" si="171"/>
        <v/>
      </c>
      <c r="T364" s="2" t="str">
        <f t="shared" si="186"/>
        <v/>
      </c>
      <c r="U364" s="2" t="str">
        <f t="shared" si="187"/>
        <v/>
      </c>
      <c r="V364" s="2" t="str">
        <f t="shared" si="188"/>
        <v/>
      </c>
      <c r="W364" s="2" t="str">
        <f t="shared" si="172"/>
        <v/>
      </c>
      <c r="X364" s="2" t="str">
        <f t="shared" si="173"/>
        <v/>
      </c>
      <c r="Y364" s="2" t="str">
        <f t="shared" si="174"/>
        <v/>
      </c>
      <c r="Z364" s="2" t="str">
        <f t="shared" si="189"/>
        <v/>
      </c>
      <c r="AA364" s="2" t="str">
        <f t="shared" si="190"/>
        <v/>
      </c>
      <c r="AB364" s="2" t="str">
        <f t="shared" si="191"/>
        <v/>
      </c>
      <c r="AC364" s="2" t="str">
        <f t="shared" si="175"/>
        <v/>
      </c>
      <c r="AD364" s="2" t="str">
        <f t="shared" si="176"/>
        <v/>
      </c>
      <c r="AE364" s="2" t="str">
        <f t="shared" si="177"/>
        <v/>
      </c>
      <c r="AF364" s="2" t="str">
        <f t="shared" si="178"/>
        <v/>
      </c>
    </row>
    <row r="365" spans="1:32" x14ac:dyDescent="0.2">
      <c r="A365" s="2" t="str">
        <f t="shared" si="179"/>
        <v/>
      </c>
      <c r="B365" s="2" t="str">
        <f t="shared" si="160"/>
        <v/>
      </c>
      <c r="C365" s="2" t="str">
        <f t="shared" si="161"/>
        <v/>
      </c>
      <c r="D365" s="2" t="str">
        <f t="shared" si="162"/>
        <v/>
      </c>
      <c r="E365" s="2" t="str">
        <f t="shared" si="163"/>
        <v/>
      </c>
      <c r="F365" s="2" t="str">
        <f t="shared" si="164"/>
        <v/>
      </c>
      <c r="G365" s="2" t="str">
        <f t="shared" si="165"/>
        <v/>
      </c>
      <c r="H365" s="2" t="str">
        <f t="shared" si="180"/>
        <v/>
      </c>
      <c r="I365" s="2" t="str">
        <f t="shared" si="181"/>
        <v/>
      </c>
      <c r="J365" s="2" t="str">
        <f t="shared" si="182"/>
        <v/>
      </c>
      <c r="K365" s="2" t="str">
        <f t="shared" si="166"/>
        <v/>
      </c>
      <c r="L365" s="2" t="str">
        <f t="shared" si="167"/>
        <v/>
      </c>
      <c r="M365" s="2" t="str">
        <f t="shared" si="168"/>
        <v/>
      </c>
      <c r="N365" s="2" t="str">
        <f t="shared" si="183"/>
        <v/>
      </c>
      <c r="O365" s="2" t="str">
        <f t="shared" si="184"/>
        <v/>
      </c>
      <c r="P365" s="2" t="str">
        <f t="shared" si="185"/>
        <v/>
      </c>
      <c r="Q365" s="2" t="str">
        <f t="shared" si="169"/>
        <v/>
      </c>
      <c r="R365" s="2" t="str">
        <f t="shared" si="170"/>
        <v/>
      </c>
      <c r="S365" s="2" t="str">
        <f t="shared" si="171"/>
        <v/>
      </c>
      <c r="T365" s="2" t="str">
        <f t="shared" si="186"/>
        <v/>
      </c>
      <c r="U365" s="2" t="str">
        <f t="shared" si="187"/>
        <v/>
      </c>
      <c r="V365" s="2" t="str">
        <f t="shared" si="188"/>
        <v/>
      </c>
      <c r="W365" s="2" t="str">
        <f t="shared" si="172"/>
        <v/>
      </c>
      <c r="X365" s="2" t="str">
        <f t="shared" si="173"/>
        <v/>
      </c>
      <c r="Y365" s="2" t="str">
        <f t="shared" si="174"/>
        <v/>
      </c>
      <c r="Z365" s="2" t="str">
        <f t="shared" si="189"/>
        <v/>
      </c>
      <c r="AA365" s="2" t="str">
        <f t="shared" si="190"/>
        <v/>
      </c>
      <c r="AB365" s="2" t="str">
        <f t="shared" si="191"/>
        <v/>
      </c>
      <c r="AC365" s="2" t="str">
        <f t="shared" si="175"/>
        <v/>
      </c>
      <c r="AD365" s="2" t="str">
        <f t="shared" si="176"/>
        <v/>
      </c>
      <c r="AE365" s="2" t="str">
        <f t="shared" si="177"/>
        <v/>
      </c>
      <c r="AF365" s="2" t="str">
        <f t="shared" si="178"/>
        <v/>
      </c>
    </row>
    <row r="366" spans="1:32" x14ac:dyDescent="0.2">
      <c r="A366" s="2" t="str">
        <f t="shared" si="179"/>
        <v/>
      </c>
      <c r="B366" s="2" t="str">
        <f t="shared" si="160"/>
        <v/>
      </c>
      <c r="C366" s="2" t="str">
        <f t="shared" si="161"/>
        <v/>
      </c>
      <c r="D366" s="2" t="str">
        <f t="shared" si="162"/>
        <v/>
      </c>
      <c r="E366" s="2" t="str">
        <f t="shared" si="163"/>
        <v/>
      </c>
      <c r="F366" s="2" t="str">
        <f t="shared" si="164"/>
        <v/>
      </c>
      <c r="G366" s="2" t="str">
        <f t="shared" si="165"/>
        <v/>
      </c>
      <c r="H366" s="2" t="str">
        <f t="shared" si="180"/>
        <v/>
      </c>
      <c r="I366" s="2" t="str">
        <f t="shared" si="181"/>
        <v/>
      </c>
      <c r="J366" s="2" t="str">
        <f t="shared" si="182"/>
        <v/>
      </c>
      <c r="K366" s="2" t="str">
        <f t="shared" si="166"/>
        <v/>
      </c>
      <c r="L366" s="2" t="str">
        <f t="shared" si="167"/>
        <v/>
      </c>
      <c r="M366" s="2" t="str">
        <f t="shared" si="168"/>
        <v/>
      </c>
      <c r="N366" s="2" t="str">
        <f t="shared" si="183"/>
        <v/>
      </c>
      <c r="O366" s="2" t="str">
        <f t="shared" si="184"/>
        <v/>
      </c>
      <c r="P366" s="2" t="str">
        <f t="shared" si="185"/>
        <v/>
      </c>
      <c r="Q366" s="2" t="str">
        <f t="shared" si="169"/>
        <v/>
      </c>
      <c r="R366" s="2" t="str">
        <f t="shared" si="170"/>
        <v/>
      </c>
      <c r="S366" s="2" t="str">
        <f t="shared" si="171"/>
        <v/>
      </c>
      <c r="T366" s="2" t="str">
        <f t="shared" si="186"/>
        <v/>
      </c>
      <c r="U366" s="2" t="str">
        <f t="shared" si="187"/>
        <v/>
      </c>
      <c r="V366" s="2" t="str">
        <f t="shared" si="188"/>
        <v/>
      </c>
      <c r="W366" s="2" t="str">
        <f t="shared" si="172"/>
        <v/>
      </c>
      <c r="X366" s="2" t="str">
        <f t="shared" si="173"/>
        <v/>
      </c>
      <c r="Y366" s="2" t="str">
        <f t="shared" si="174"/>
        <v/>
      </c>
      <c r="Z366" s="2" t="str">
        <f t="shared" si="189"/>
        <v/>
      </c>
      <c r="AA366" s="2" t="str">
        <f t="shared" si="190"/>
        <v/>
      </c>
      <c r="AB366" s="2" t="str">
        <f t="shared" si="191"/>
        <v/>
      </c>
      <c r="AC366" s="2" t="str">
        <f t="shared" si="175"/>
        <v/>
      </c>
      <c r="AD366" s="2" t="str">
        <f t="shared" si="176"/>
        <v/>
      </c>
      <c r="AE366" s="2" t="str">
        <f t="shared" si="177"/>
        <v/>
      </c>
      <c r="AF366" s="2" t="str">
        <f t="shared" si="178"/>
        <v/>
      </c>
    </row>
    <row r="367" spans="1:32" x14ac:dyDescent="0.2">
      <c r="A367" s="2" t="str">
        <f t="shared" si="179"/>
        <v/>
      </c>
      <c r="B367" s="2" t="str">
        <f t="shared" si="160"/>
        <v/>
      </c>
      <c r="C367" s="2" t="str">
        <f t="shared" si="161"/>
        <v/>
      </c>
      <c r="D367" s="2" t="str">
        <f t="shared" si="162"/>
        <v/>
      </c>
      <c r="E367" s="2" t="str">
        <f t="shared" si="163"/>
        <v/>
      </c>
      <c r="F367" s="2" t="str">
        <f t="shared" si="164"/>
        <v/>
      </c>
      <c r="G367" s="2" t="str">
        <f t="shared" si="165"/>
        <v/>
      </c>
      <c r="H367" s="2" t="str">
        <f t="shared" si="180"/>
        <v/>
      </c>
      <c r="I367" s="2" t="str">
        <f t="shared" si="181"/>
        <v/>
      </c>
      <c r="J367" s="2" t="str">
        <f t="shared" si="182"/>
        <v/>
      </c>
      <c r="K367" s="2" t="str">
        <f t="shared" si="166"/>
        <v/>
      </c>
      <c r="L367" s="2" t="str">
        <f t="shared" si="167"/>
        <v/>
      </c>
      <c r="M367" s="2" t="str">
        <f t="shared" si="168"/>
        <v/>
      </c>
      <c r="N367" s="2" t="str">
        <f t="shared" si="183"/>
        <v/>
      </c>
      <c r="O367" s="2" t="str">
        <f t="shared" si="184"/>
        <v/>
      </c>
      <c r="P367" s="2" t="str">
        <f t="shared" si="185"/>
        <v/>
      </c>
      <c r="Q367" s="2" t="str">
        <f t="shared" si="169"/>
        <v/>
      </c>
      <c r="R367" s="2" t="str">
        <f t="shared" si="170"/>
        <v/>
      </c>
      <c r="S367" s="2" t="str">
        <f t="shared" si="171"/>
        <v/>
      </c>
      <c r="T367" s="2" t="str">
        <f t="shared" si="186"/>
        <v/>
      </c>
      <c r="U367" s="2" t="str">
        <f t="shared" si="187"/>
        <v/>
      </c>
      <c r="V367" s="2" t="str">
        <f t="shared" si="188"/>
        <v/>
      </c>
      <c r="W367" s="2" t="str">
        <f t="shared" si="172"/>
        <v/>
      </c>
      <c r="X367" s="2" t="str">
        <f t="shared" si="173"/>
        <v/>
      </c>
      <c r="Y367" s="2" t="str">
        <f t="shared" si="174"/>
        <v/>
      </c>
      <c r="Z367" s="2" t="str">
        <f t="shared" si="189"/>
        <v/>
      </c>
      <c r="AA367" s="2" t="str">
        <f t="shared" si="190"/>
        <v/>
      </c>
      <c r="AB367" s="2" t="str">
        <f t="shared" si="191"/>
        <v/>
      </c>
      <c r="AC367" s="2" t="str">
        <f t="shared" si="175"/>
        <v/>
      </c>
      <c r="AD367" s="2" t="str">
        <f t="shared" si="176"/>
        <v/>
      </c>
      <c r="AE367" s="2" t="str">
        <f t="shared" si="177"/>
        <v/>
      </c>
      <c r="AF367" s="2" t="str">
        <f t="shared" si="178"/>
        <v/>
      </c>
    </row>
    <row r="368" spans="1:32" x14ac:dyDescent="0.2">
      <c r="A368" s="2" t="str">
        <f t="shared" si="179"/>
        <v/>
      </c>
      <c r="B368" s="2" t="str">
        <f t="shared" si="160"/>
        <v/>
      </c>
      <c r="C368" s="2" t="str">
        <f t="shared" si="161"/>
        <v/>
      </c>
      <c r="D368" s="2" t="str">
        <f t="shared" si="162"/>
        <v/>
      </c>
      <c r="E368" s="2" t="str">
        <f t="shared" si="163"/>
        <v/>
      </c>
      <c r="F368" s="2" t="str">
        <f t="shared" si="164"/>
        <v/>
      </c>
      <c r="G368" s="2" t="str">
        <f t="shared" si="165"/>
        <v/>
      </c>
      <c r="H368" s="2" t="str">
        <f t="shared" si="180"/>
        <v/>
      </c>
      <c r="I368" s="2" t="str">
        <f t="shared" si="181"/>
        <v/>
      </c>
      <c r="J368" s="2" t="str">
        <f t="shared" si="182"/>
        <v/>
      </c>
      <c r="K368" s="2" t="str">
        <f t="shared" si="166"/>
        <v/>
      </c>
      <c r="L368" s="2" t="str">
        <f t="shared" si="167"/>
        <v/>
      </c>
      <c r="M368" s="2" t="str">
        <f t="shared" si="168"/>
        <v/>
      </c>
      <c r="N368" s="2" t="str">
        <f t="shared" si="183"/>
        <v/>
      </c>
      <c r="O368" s="2" t="str">
        <f t="shared" si="184"/>
        <v/>
      </c>
      <c r="P368" s="2" t="str">
        <f t="shared" si="185"/>
        <v/>
      </c>
      <c r="Q368" s="2" t="str">
        <f t="shared" si="169"/>
        <v/>
      </c>
      <c r="R368" s="2" t="str">
        <f t="shared" si="170"/>
        <v/>
      </c>
      <c r="S368" s="2" t="str">
        <f t="shared" si="171"/>
        <v/>
      </c>
      <c r="T368" s="2" t="str">
        <f t="shared" si="186"/>
        <v/>
      </c>
      <c r="U368" s="2" t="str">
        <f t="shared" si="187"/>
        <v/>
      </c>
      <c r="V368" s="2" t="str">
        <f t="shared" si="188"/>
        <v/>
      </c>
      <c r="W368" s="2" t="str">
        <f t="shared" si="172"/>
        <v/>
      </c>
      <c r="X368" s="2" t="str">
        <f t="shared" si="173"/>
        <v/>
      </c>
      <c r="Y368" s="2" t="str">
        <f t="shared" si="174"/>
        <v/>
      </c>
      <c r="Z368" s="2" t="str">
        <f t="shared" si="189"/>
        <v/>
      </c>
      <c r="AA368" s="2" t="str">
        <f t="shared" si="190"/>
        <v/>
      </c>
      <c r="AB368" s="2" t="str">
        <f t="shared" si="191"/>
        <v/>
      </c>
      <c r="AC368" s="2" t="str">
        <f t="shared" si="175"/>
        <v/>
      </c>
      <c r="AD368" s="2" t="str">
        <f t="shared" si="176"/>
        <v/>
      </c>
      <c r="AE368" s="2" t="str">
        <f t="shared" si="177"/>
        <v/>
      </c>
      <c r="AF368" s="2" t="str">
        <f t="shared" si="178"/>
        <v/>
      </c>
    </row>
    <row r="369" spans="1:32" x14ac:dyDescent="0.2">
      <c r="A369" s="2" t="str">
        <f t="shared" si="179"/>
        <v/>
      </c>
      <c r="B369" s="2" t="str">
        <f t="shared" si="160"/>
        <v/>
      </c>
      <c r="C369" s="2" t="str">
        <f t="shared" si="161"/>
        <v/>
      </c>
      <c r="D369" s="2" t="str">
        <f t="shared" si="162"/>
        <v/>
      </c>
      <c r="E369" s="2" t="str">
        <f t="shared" si="163"/>
        <v/>
      </c>
      <c r="F369" s="2" t="str">
        <f t="shared" si="164"/>
        <v/>
      </c>
      <c r="G369" s="2" t="str">
        <f t="shared" si="165"/>
        <v/>
      </c>
      <c r="H369" s="2" t="str">
        <f t="shared" si="180"/>
        <v/>
      </c>
      <c r="I369" s="2" t="str">
        <f t="shared" si="181"/>
        <v/>
      </c>
      <c r="J369" s="2" t="str">
        <f t="shared" si="182"/>
        <v/>
      </c>
      <c r="K369" s="2" t="str">
        <f t="shared" si="166"/>
        <v/>
      </c>
      <c r="L369" s="2" t="str">
        <f t="shared" si="167"/>
        <v/>
      </c>
      <c r="M369" s="2" t="str">
        <f t="shared" si="168"/>
        <v/>
      </c>
      <c r="N369" s="2" t="str">
        <f t="shared" si="183"/>
        <v/>
      </c>
      <c r="O369" s="2" t="str">
        <f t="shared" si="184"/>
        <v/>
      </c>
      <c r="P369" s="2" t="str">
        <f t="shared" si="185"/>
        <v/>
      </c>
      <c r="Q369" s="2" t="str">
        <f t="shared" si="169"/>
        <v/>
      </c>
      <c r="R369" s="2" t="str">
        <f t="shared" si="170"/>
        <v/>
      </c>
      <c r="S369" s="2" t="str">
        <f t="shared" si="171"/>
        <v/>
      </c>
      <c r="T369" s="2" t="str">
        <f t="shared" si="186"/>
        <v/>
      </c>
      <c r="U369" s="2" t="str">
        <f t="shared" si="187"/>
        <v/>
      </c>
      <c r="V369" s="2" t="str">
        <f t="shared" si="188"/>
        <v/>
      </c>
      <c r="W369" s="2" t="str">
        <f t="shared" si="172"/>
        <v/>
      </c>
      <c r="X369" s="2" t="str">
        <f t="shared" si="173"/>
        <v/>
      </c>
      <c r="Y369" s="2" t="str">
        <f t="shared" si="174"/>
        <v/>
      </c>
      <c r="Z369" s="2" t="str">
        <f t="shared" si="189"/>
        <v/>
      </c>
      <c r="AA369" s="2" t="str">
        <f t="shared" si="190"/>
        <v/>
      </c>
      <c r="AB369" s="2" t="str">
        <f t="shared" si="191"/>
        <v/>
      </c>
      <c r="AC369" s="2" t="str">
        <f t="shared" si="175"/>
        <v/>
      </c>
      <c r="AD369" s="2" t="str">
        <f t="shared" si="176"/>
        <v/>
      </c>
      <c r="AE369" s="2" t="str">
        <f t="shared" si="177"/>
        <v/>
      </c>
      <c r="AF369" s="2" t="str">
        <f t="shared" si="178"/>
        <v/>
      </c>
    </row>
    <row r="370" spans="1:32" x14ac:dyDescent="0.2">
      <c r="A370" s="2" t="str">
        <f t="shared" si="179"/>
        <v/>
      </c>
      <c r="B370" s="2" t="str">
        <f t="shared" si="160"/>
        <v/>
      </c>
      <c r="C370" s="2" t="str">
        <f t="shared" si="161"/>
        <v/>
      </c>
      <c r="D370" s="2" t="str">
        <f t="shared" si="162"/>
        <v/>
      </c>
      <c r="E370" s="2" t="str">
        <f t="shared" si="163"/>
        <v/>
      </c>
      <c r="F370" s="2" t="str">
        <f t="shared" si="164"/>
        <v/>
      </c>
      <c r="G370" s="2" t="str">
        <f t="shared" si="165"/>
        <v/>
      </c>
      <c r="H370" s="2" t="str">
        <f t="shared" si="180"/>
        <v/>
      </c>
      <c r="I370" s="2" t="str">
        <f t="shared" si="181"/>
        <v/>
      </c>
      <c r="J370" s="2" t="str">
        <f t="shared" si="182"/>
        <v/>
      </c>
      <c r="K370" s="2" t="str">
        <f t="shared" si="166"/>
        <v/>
      </c>
      <c r="L370" s="2" t="str">
        <f t="shared" si="167"/>
        <v/>
      </c>
      <c r="M370" s="2" t="str">
        <f t="shared" si="168"/>
        <v/>
      </c>
      <c r="N370" s="2" t="str">
        <f t="shared" si="183"/>
        <v/>
      </c>
      <c r="O370" s="2" t="str">
        <f t="shared" si="184"/>
        <v/>
      </c>
      <c r="P370" s="2" t="str">
        <f t="shared" si="185"/>
        <v/>
      </c>
      <c r="Q370" s="2" t="str">
        <f t="shared" si="169"/>
        <v/>
      </c>
      <c r="R370" s="2" t="str">
        <f t="shared" si="170"/>
        <v/>
      </c>
      <c r="S370" s="2" t="str">
        <f t="shared" si="171"/>
        <v/>
      </c>
      <c r="T370" s="2" t="str">
        <f t="shared" si="186"/>
        <v/>
      </c>
      <c r="U370" s="2" t="str">
        <f t="shared" si="187"/>
        <v/>
      </c>
      <c r="V370" s="2" t="str">
        <f t="shared" si="188"/>
        <v/>
      </c>
      <c r="W370" s="2" t="str">
        <f t="shared" si="172"/>
        <v/>
      </c>
      <c r="X370" s="2" t="str">
        <f t="shared" si="173"/>
        <v/>
      </c>
      <c r="Y370" s="2" t="str">
        <f t="shared" si="174"/>
        <v/>
      </c>
      <c r="Z370" s="2" t="str">
        <f t="shared" si="189"/>
        <v/>
      </c>
      <c r="AA370" s="2" t="str">
        <f t="shared" si="190"/>
        <v/>
      </c>
      <c r="AB370" s="2" t="str">
        <f t="shared" si="191"/>
        <v/>
      </c>
      <c r="AC370" s="2" t="str">
        <f t="shared" si="175"/>
        <v/>
      </c>
      <c r="AD370" s="2" t="str">
        <f t="shared" si="176"/>
        <v/>
      </c>
      <c r="AE370" s="2" t="str">
        <f t="shared" si="177"/>
        <v/>
      </c>
      <c r="AF370" s="2" t="str">
        <f t="shared" si="178"/>
        <v/>
      </c>
    </row>
    <row r="371" spans="1:32" x14ac:dyDescent="0.2">
      <c r="A371" s="2" t="str">
        <f t="shared" si="179"/>
        <v/>
      </c>
      <c r="B371" s="2" t="str">
        <f t="shared" si="160"/>
        <v/>
      </c>
      <c r="C371" s="2" t="str">
        <f t="shared" si="161"/>
        <v/>
      </c>
      <c r="D371" s="2" t="str">
        <f t="shared" si="162"/>
        <v/>
      </c>
      <c r="E371" s="2" t="str">
        <f t="shared" si="163"/>
        <v/>
      </c>
      <c r="F371" s="2" t="str">
        <f t="shared" si="164"/>
        <v/>
      </c>
      <c r="G371" s="2" t="str">
        <f t="shared" si="165"/>
        <v/>
      </c>
      <c r="H371" s="2" t="str">
        <f t="shared" si="180"/>
        <v/>
      </c>
      <c r="I371" s="2" t="str">
        <f t="shared" si="181"/>
        <v/>
      </c>
      <c r="J371" s="2" t="str">
        <f t="shared" si="182"/>
        <v/>
      </c>
      <c r="K371" s="2" t="str">
        <f t="shared" si="166"/>
        <v/>
      </c>
      <c r="L371" s="2" t="str">
        <f t="shared" si="167"/>
        <v/>
      </c>
      <c r="M371" s="2" t="str">
        <f t="shared" si="168"/>
        <v/>
      </c>
      <c r="N371" s="2" t="str">
        <f t="shared" si="183"/>
        <v/>
      </c>
      <c r="O371" s="2" t="str">
        <f t="shared" si="184"/>
        <v/>
      </c>
      <c r="P371" s="2" t="str">
        <f t="shared" si="185"/>
        <v/>
      </c>
      <c r="Q371" s="2" t="str">
        <f t="shared" si="169"/>
        <v/>
      </c>
      <c r="R371" s="2" t="str">
        <f t="shared" si="170"/>
        <v/>
      </c>
      <c r="S371" s="2" t="str">
        <f t="shared" si="171"/>
        <v/>
      </c>
      <c r="T371" s="2" t="str">
        <f t="shared" si="186"/>
        <v/>
      </c>
      <c r="U371" s="2" t="str">
        <f t="shared" si="187"/>
        <v/>
      </c>
      <c r="V371" s="2" t="str">
        <f t="shared" si="188"/>
        <v/>
      </c>
      <c r="W371" s="2" t="str">
        <f t="shared" si="172"/>
        <v/>
      </c>
      <c r="X371" s="2" t="str">
        <f t="shared" si="173"/>
        <v/>
      </c>
      <c r="Y371" s="2" t="str">
        <f t="shared" si="174"/>
        <v/>
      </c>
      <c r="Z371" s="2" t="str">
        <f t="shared" si="189"/>
        <v/>
      </c>
      <c r="AA371" s="2" t="str">
        <f t="shared" si="190"/>
        <v/>
      </c>
      <c r="AB371" s="2" t="str">
        <f t="shared" si="191"/>
        <v/>
      </c>
      <c r="AC371" s="2" t="str">
        <f t="shared" si="175"/>
        <v/>
      </c>
      <c r="AD371" s="2" t="str">
        <f t="shared" si="176"/>
        <v/>
      </c>
      <c r="AE371" s="2" t="str">
        <f t="shared" si="177"/>
        <v/>
      </c>
      <c r="AF371" s="2" t="str">
        <f t="shared" si="178"/>
        <v/>
      </c>
    </row>
    <row r="372" spans="1:32" x14ac:dyDescent="0.2">
      <c r="A372" s="2" t="str">
        <f t="shared" si="179"/>
        <v/>
      </c>
      <c r="B372" s="2" t="str">
        <f t="shared" si="160"/>
        <v/>
      </c>
      <c r="C372" s="2" t="str">
        <f t="shared" si="161"/>
        <v/>
      </c>
      <c r="D372" s="2" t="str">
        <f t="shared" si="162"/>
        <v/>
      </c>
      <c r="E372" s="2" t="str">
        <f t="shared" si="163"/>
        <v/>
      </c>
      <c r="F372" s="2" t="str">
        <f t="shared" si="164"/>
        <v/>
      </c>
      <c r="G372" s="2" t="str">
        <f t="shared" si="165"/>
        <v/>
      </c>
      <c r="H372" s="2" t="str">
        <f t="shared" si="180"/>
        <v/>
      </c>
      <c r="I372" s="2" t="str">
        <f t="shared" si="181"/>
        <v/>
      </c>
      <c r="J372" s="2" t="str">
        <f t="shared" si="182"/>
        <v/>
      </c>
      <c r="K372" s="2" t="str">
        <f t="shared" si="166"/>
        <v/>
      </c>
      <c r="L372" s="2" t="str">
        <f t="shared" si="167"/>
        <v/>
      </c>
      <c r="M372" s="2" t="str">
        <f t="shared" si="168"/>
        <v/>
      </c>
      <c r="N372" s="2" t="str">
        <f t="shared" si="183"/>
        <v/>
      </c>
      <c r="O372" s="2" t="str">
        <f t="shared" si="184"/>
        <v/>
      </c>
      <c r="P372" s="2" t="str">
        <f t="shared" si="185"/>
        <v/>
      </c>
      <c r="Q372" s="2" t="str">
        <f t="shared" si="169"/>
        <v/>
      </c>
      <c r="R372" s="2" t="str">
        <f t="shared" si="170"/>
        <v/>
      </c>
      <c r="S372" s="2" t="str">
        <f t="shared" si="171"/>
        <v/>
      </c>
      <c r="T372" s="2" t="str">
        <f t="shared" si="186"/>
        <v/>
      </c>
      <c r="U372" s="2" t="str">
        <f t="shared" si="187"/>
        <v/>
      </c>
      <c r="V372" s="2" t="str">
        <f t="shared" si="188"/>
        <v/>
      </c>
      <c r="W372" s="2" t="str">
        <f t="shared" si="172"/>
        <v/>
      </c>
      <c r="X372" s="2" t="str">
        <f t="shared" si="173"/>
        <v/>
      </c>
      <c r="Y372" s="2" t="str">
        <f t="shared" si="174"/>
        <v/>
      </c>
      <c r="Z372" s="2" t="str">
        <f t="shared" si="189"/>
        <v/>
      </c>
      <c r="AA372" s="2" t="str">
        <f t="shared" si="190"/>
        <v/>
      </c>
      <c r="AB372" s="2" t="str">
        <f t="shared" si="191"/>
        <v/>
      </c>
      <c r="AC372" s="2" t="str">
        <f t="shared" si="175"/>
        <v/>
      </c>
      <c r="AD372" s="2" t="str">
        <f t="shared" si="176"/>
        <v/>
      </c>
      <c r="AE372" s="2" t="str">
        <f t="shared" si="177"/>
        <v/>
      </c>
      <c r="AF372" s="2" t="str">
        <f t="shared" si="178"/>
        <v/>
      </c>
    </row>
    <row r="373" spans="1:32" x14ac:dyDescent="0.2">
      <c r="A373" s="2" t="str">
        <f t="shared" si="179"/>
        <v/>
      </c>
      <c r="B373" s="2" t="str">
        <f t="shared" si="160"/>
        <v/>
      </c>
      <c r="C373" s="2" t="str">
        <f t="shared" si="161"/>
        <v/>
      </c>
      <c r="D373" s="2" t="str">
        <f t="shared" si="162"/>
        <v/>
      </c>
      <c r="E373" s="2" t="str">
        <f t="shared" si="163"/>
        <v/>
      </c>
      <c r="F373" s="2" t="str">
        <f t="shared" si="164"/>
        <v/>
      </c>
      <c r="G373" s="2" t="str">
        <f t="shared" si="165"/>
        <v/>
      </c>
      <c r="H373" s="2" t="str">
        <f t="shared" si="180"/>
        <v/>
      </c>
      <c r="I373" s="2" t="str">
        <f t="shared" si="181"/>
        <v/>
      </c>
      <c r="J373" s="2" t="str">
        <f t="shared" si="182"/>
        <v/>
      </c>
      <c r="K373" s="2" t="str">
        <f t="shared" si="166"/>
        <v/>
      </c>
      <c r="L373" s="2" t="str">
        <f t="shared" si="167"/>
        <v/>
      </c>
      <c r="M373" s="2" t="str">
        <f t="shared" si="168"/>
        <v/>
      </c>
      <c r="N373" s="2" t="str">
        <f t="shared" si="183"/>
        <v/>
      </c>
      <c r="O373" s="2" t="str">
        <f t="shared" si="184"/>
        <v/>
      </c>
      <c r="P373" s="2" t="str">
        <f t="shared" si="185"/>
        <v/>
      </c>
      <c r="Q373" s="2" t="str">
        <f t="shared" si="169"/>
        <v/>
      </c>
      <c r="R373" s="2" t="str">
        <f t="shared" si="170"/>
        <v/>
      </c>
      <c r="S373" s="2" t="str">
        <f t="shared" si="171"/>
        <v/>
      </c>
      <c r="T373" s="2" t="str">
        <f t="shared" si="186"/>
        <v/>
      </c>
      <c r="U373" s="2" t="str">
        <f t="shared" si="187"/>
        <v/>
      </c>
      <c r="V373" s="2" t="str">
        <f t="shared" si="188"/>
        <v/>
      </c>
      <c r="W373" s="2" t="str">
        <f t="shared" si="172"/>
        <v/>
      </c>
      <c r="X373" s="2" t="str">
        <f t="shared" si="173"/>
        <v/>
      </c>
      <c r="Y373" s="2" t="str">
        <f t="shared" si="174"/>
        <v/>
      </c>
      <c r="Z373" s="2" t="str">
        <f t="shared" si="189"/>
        <v/>
      </c>
      <c r="AA373" s="2" t="str">
        <f t="shared" si="190"/>
        <v/>
      </c>
      <c r="AB373" s="2" t="str">
        <f t="shared" si="191"/>
        <v/>
      </c>
      <c r="AC373" s="2" t="str">
        <f t="shared" si="175"/>
        <v/>
      </c>
      <c r="AD373" s="2" t="str">
        <f t="shared" si="176"/>
        <v/>
      </c>
      <c r="AE373" s="2" t="str">
        <f t="shared" si="177"/>
        <v/>
      </c>
      <c r="AF373" s="2" t="str">
        <f t="shared" si="178"/>
        <v/>
      </c>
    </row>
    <row r="374" spans="1:32" x14ac:dyDescent="0.2">
      <c r="A374" s="2" t="str">
        <f t="shared" si="179"/>
        <v/>
      </c>
      <c r="B374" s="2" t="str">
        <f t="shared" si="160"/>
        <v/>
      </c>
      <c r="C374" s="2" t="str">
        <f t="shared" si="161"/>
        <v/>
      </c>
      <c r="D374" s="2" t="str">
        <f t="shared" si="162"/>
        <v/>
      </c>
      <c r="E374" s="2" t="str">
        <f t="shared" si="163"/>
        <v/>
      </c>
      <c r="F374" s="2" t="str">
        <f t="shared" si="164"/>
        <v/>
      </c>
      <c r="G374" s="2" t="str">
        <f t="shared" si="165"/>
        <v/>
      </c>
      <c r="H374" s="2" t="str">
        <f t="shared" si="180"/>
        <v/>
      </c>
      <c r="I374" s="2" t="str">
        <f t="shared" si="181"/>
        <v/>
      </c>
      <c r="J374" s="2" t="str">
        <f t="shared" si="182"/>
        <v/>
      </c>
      <c r="K374" s="2" t="str">
        <f t="shared" si="166"/>
        <v/>
      </c>
      <c r="L374" s="2" t="str">
        <f t="shared" si="167"/>
        <v/>
      </c>
      <c r="M374" s="2" t="str">
        <f t="shared" si="168"/>
        <v/>
      </c>
      <c r="N374" s="2" t="str">
        <f t="shared" si="183"/>
        <v/>
      </c>
      <c r="O374" s="2" t="str">
        <f t="shared" si="184"/>
        <v/>
      </c>
      <c r="P374" s="2" t="str">
        <f t="shared" si="185"/>
        <v/>
      </c>
      <c r="Q374" s="2" t="str">
        <f t="shared" si="169"/>
        <v/>
      </c>
      <c r="R374" s="2" t="str">
        <f t="shared" si="170"/>
        <v/>
      </c>
      <c r="S374" s="2" t="str">
        <f t="shared" si="171"/>
        <v/>
      </c>
      <c r="T374" s="2" t="str">
        <f t="shared" si="186"/>
        <v/>
      </c>
      <c r="U374" s="2" t="str">
        <f t="shared" si="187"/>
        <v/>
      </c>
      <c r="V374" s="2" t="str">
        <f t="shared" si="188"/>
        <v/>
      </c>
      <c r="W374" s="2" t="str">
        <f t="shared" si="172"/>
        <v/>
      </c>
      <c r="X374" s="2" t="str">
        <f t="shared" si="173"/>
        <v/>
      </c>
      <c r="Y374" s="2" t="str">
        <f t="shared" si="174"/>
        <v/>
      </c>
      <c r="Z374" s="2" t="str">
        <f t="shared" si="189"/>
        <v/>
      </c>
      <c r="AA374" s="2" t="str">
        <f t="shared" si="190"/>
        <v/>
      </c>
      <c r="AB374" s="2" t="str">
        <f t="shared" si="191"/>
        <v/>
      </c>
      <c r="AC374" s="2" t="str">
        <f t="shared" si="175"/>
        <v/>
      </c>
      <c r="AD374" s="2" t="str">
        <f t="shared" si="176"/>
        <v/>
      </c>
      <c r="AE374" s="2" t="str">
        <f t="shared" si="177"/>
        <v/>
      </c>
      <c r="AF374" s="2" t="str">
        <f t="shared" si="178"/>
        <v/>
      </c>
    </row>
    <row r="375" spans="1:32" x14ac:dyDescent="0.2">
      <c r="A375" s="2" t="str">
        <f t="shared" si="179"/>
        <v/>
      </c>
      <c r="B375" s="2" t="str">
        <f t="shared" si="160"/>
        <v/>
      </c>
      <c r="C375" s="2" t="str">
        <f t="shared" si="161"/>
        <v/>
      </c>
      <c r="D375" s="2" t="str">
        <f t="shared" si="162"/>
        <v/>
      </c>
      <c r="E375" s="2" t="str">
        <f t="shared" si="163"/>
        <v/>
      </c>
      <c r="F375" s="2" t="str">
        <f t="shared" si="164"/>
        <v/>
      </c>
      <c r="G375" s="2" t="str">
        <f t="shared" si="165"/>
        <v/>
      </c>
      <c r="H375" s="2" t="str">
        <f t="shared" si="180"/>
        <v/>
      </c>
      <c r="I375" s="2" t="str">
        <f t="shared" si="181"/>
        <v/>
      </c>
      <c r="J375" s="2" t="str">
        <f t="shared" si="182"/>
        <v/>
      </c>
      <c r="K375" s="2" t="str">
        <f t="shared" si="166"/>
        <v/>
      </c>
      <c r="L375" s="2" t="str">
        <f t="shared" si="167"/>
        <v/>
      </c>
      <c r="M375" s="2" t="str">
        <f t="shared" si="168"/>
        <v/>
      </c>
      <c r="N375" s="2" t="str">
        <f t="shared" si="183"/>
        <v/>
      </c>
      <c r="O375" s="2" t="str">
        <f t="shared" si="184"/>
        <v/>
      </c>
      <c r="P375" s="2" t="str">
        <f t="shared" si="185"/>
        <v/>
      </c>
      <c r="Q375" s="2" t="str">
        <f t="shared" si="169"/>
        <v/>
      </c>
      <c r="R375" s="2" t="str">
        <f t="shared" si="170"/>
        <v/>
      </c>
      <c r="S375" s="2" t="str">
        <f t="shared" si="171"/>
        <v/>
      </c>
      <c r="T375" s="2" t="str">
        <f t="shared" si="186"/>
        <v/>
      </c>
      <c r="U375" s="2" t="str">
        <f t="shared" si="187"/>
        <v/>
      </c>
      <c r="V375" s="2" t="str">
        <f t="shared" si="188"/>
        <v/>
      </c>
      <c r="W375" s="2" t="str">
        <f t="shared" si="172"/>
        <v/>
      </c>
      <c r="X375" s="2" t="str">
        <f t="shared" si="173"/>
        <v/>
      </c>
      <c r="Y375" s="2" t="str">
        <f t="shared" si="174"/>
        <v/>
      </c>
      <c r="Z375" s="2" t="str">
        <f t="shared" si="189"/>
        <v/>
      </c>
      <c r="AA375" s="2" t="str">
        <f t="shared" si="190"/>
        <v/>
      </c>
      <c r="AB375" s="2" t="str">
        <f t="shared" si="191"/>
        <v/>
      </c>
      <c r="AC375" s="2" t="str">
        <f t="shared" si="175"/>
        <v/>
      </c>
      <c r="AD375" s="2" t="str">
        <f t="shared" si="176"/>
        <v/>
      </c>
      <c r="AE375" s="2" t="str">
        <f t="shared" si="177"/>
        <v/>
      </c>
      <c r="AF375" s="2" t="str">
        <f t="shared" si="178"/>
        <v/>
      </c>
    </row>
    <row r="376" spans="1:32" x14ac:dyDescent="0.2">
      <c r="A376" s="2" t="str">
        <f t="shared" si="179"/>
        <v/>
      </c>
      <c r="B376" s="2" t="str">
        <f t="shared" si="160"/>
        <v/>
      </c>
      <c r="C376" s="2" t="str">
        <f t="shared" si="161"/>
        <v/>
      </c>
      <c r="D376" s="2" t="str">
        <f t="shared" si="162"/>
        <v/>
      </c>
      <c r="E376" s="2" t="str">
        <f t="shared" si="163"/>
        <v/>
      </c>
      <c r="F376" s="2" t="str">
        <f t="shared" si="164"/>
        <v/>
      </c>
      <c r="G376" s="2" t="str">
        <f t="shared" si="165"/>
        <v/>
      </c>
      <c r="H376" s="2" t="str">
        <f t="shared" si="180"/>
        <v/>
      </c>
      <c r="I376" s="2" t="str">
        <f t="shared" si="181"/>
        <v/>
      </c>
      <c r="J376" s="2" t="str">
        <f t="shared" si="182"/>
        <v/>
      </c>
      <c r="K376" s="2" t="str">
        <f t="shared" si="166"/>
        <v/>
      </c>
      <c r="L376" s="2" t="str">
        <f t="shared" si="167"/>
        <v/>
      </c>
      <c r="M376" s="2" t="str">
        <f t="shared" si="168"/>
        <v/>
      </c>
      <c r="N376" s="2" t="str">
        <f t="shared" si="183"/>
        <v/>
      </c>
      <c r="O376" s="2" t="str">
        <f t="shared" si="184"/>
        <v/>
      </c>
      <c r="P376" s="2" t="str">
        <f t="shared" si="185"/>
        <v/>
      </c>
      <c r="Q376" s="2" t="str">
        <f t="shared" si="169"/>
        <v/>
      </c>
      <c r="R376" s="2" t="str">
        <f t="shared" si="170"/>
        <v/>
      </c>
      <c r="S376" s="2" t="str">
        <f t="shared" si="171"/>
        <v/>
      </c>
      <c r="T376" s="2" t="str">
        <f t="shared" si="186"/>
        <v/>
      </c>
      <c r="U376" s="2" t="str">
        <f t="shared" si="187"/>
        <v/>
      </c>
      <c r="V376" s="2" t="str">
        <f t="shared" si="188"/>
        <v/>
      </c>
      <c r="W376" s="2" t="str">
        <f t="shared" si="172"/>
        <v/>
      </c>
      <c r="X376" s="2" t="str">
        <f t="shared" si="173"/>
        <v/>
      </c>
      <c r="Y376" s="2" t="str">
        <f t="shared" si="174"/>
        <v/>
      </c>
      <c r="Z376" s="2" t="str">
        <f t="shared" si="189"/>
        <v/>
      </c>
      <c r="AA376" s="2" t="str">
        <f t="shared" si="190"/>
        <v/>
      </c>
      <c r="AB376" s="2" t="str">
        <f t="shared" si="191"/>
        <v/>
      </c>
      <c r="AC376" s="2" t="str">
        <f t="shared" si="175"/>
        <v/>
      </c>
      <c r="AD376" s="2" t="str">
        <f t="shared" si="176"/>
        <v/>
      </c>
      <c r="AE376" s="2" t="str">
        <f t="shared" si="177"/>
        <v/>
      </c>
      <c r="AF376" s="2" t="str">
        <f t="shared" si="178"/>
        <v/>
      </c>
    </row>
    <row r="377" spans="1:32" x14ac:dyDescent="0.2">
      <c r="A377" s="2" t="str">
        <f t="shared" si="179"/>
        <v/>
      </c>
      <c r="B377" s="2" t="str">
        <f t="shared" si="160"/>
        <v/>
      </c>
      <c r="C377" s="2" t="str">
        <f t="shared" si="161"/>
        <v/>
      </c>
      <c r="D377" s="2" t="str">
        <f t="shared" si="162"/>
        <v/>
      </c>
      <c r="E377" s="2" t="str">
        <f t="shared" si="163"/>
        <v/>
      </c>
      <c r="F377" s="2" t="str">
        <f t="shared" si="164"/>
        <v/>
      </c>
      <c r="G377" s="2" t="str">
        <f t="shared" si="165"/>
        <v/>
      </c>
      <c r="H377" s="2" t="str">
        <f t="shared" si="180"/>
        <v/>
      </c>
      <c r="I377" s="2" t="str">
        <f t="shared" si="181"/>
        <v/>
      </c>
      <c r="J377" s="2" t="str">
        <f t="shared" si="182"/>
        <v/>
      </c>
      <c r="K377" s="2" t="str">
        <f t="shared" si="166"/>
        <v/>
      </c>
      <c r="L377" s="2" t="str">
        <f t="shared" si="167"/>
        <v/>
      </c>
      <c r="M377" s="2" t="str">
        <f t="shared" si="168"/>
        <v/>
      </c>
      <c r="N377" s="2" t="str">
        <f t="shared" si="183"/>
        <v/>
      </c>
      <c r="O377" s="2" t="str">
        <f t="shared" si="184"/>
        <v/>
      </c>
      <c r="P377" s="2" t="str">
        <f t="shared" si="185"/>
        <v/>
      </c>
      <c r="Q377" s="2" t="str">
        <f t="shared" si="169"/>
        <v/>
      </c>
      <c r="R377" s="2" t="str">
        <f t="shared" si="170"/>
        <v/>
      </c>
      <c r="S377" s="2" t="str">
        <f t="shared" si="171"/>
        <v/>
      </c>
      <c r="T377" s="2" t="str">
        <f t="shared" si="186"/>
        <v/>
      </c>
      <c r="U377" s="2" t="str">
        <f t="shared" si="187"/>
        <v/>
      </c>
      <c r="V377" s="2" t="str">
        <f t="shared" si="188"/>
        <v/>
      </c>
      <c r="W377" s="2" t="str">
        <f t="shared" si="172"/>
        <v/>
      </c>
      <c r="X377" s="2" t="str">
        <f t="shared" si="173"/>
        <v/>
      </c>
      <c r="Y377" s="2" t="str">
        <f t="shared" si="174"/>
        <v/>
      </c>
      <c r="Z377" s="2" t="str">
        <f t="shared" si="189"/>
        <v/>
      </c>
      <c r="AA377" s="2" t="str">
        <f t="shared" si="190"/>
        <v/>
      </c>
      <c r="AB377" s="2" t="str">
        <f t="shared" si="191"/>
        <v/>
      </c>
      <c r="AC377" s="2" t="str">
        <f t="shared" si="175"/>
        <v/>
      </c>
      <c r="AD377" s="2" t="str">
        <f t="shared" si="176"/>
        <v/>
      </c>
      <c r="AE377" s="2" t="str">
        <f t="shared" si="177"/>
        <v/>
      </c>
      <c r="AF377" s="2" t="str">
        <f t="shared" si="178"/>
        <v/>
      </c>
    </row>
    <row r="378" spans="1:32" x14ac:dyDescent="0.2">
      <c r="A378" s="2" t="str">
        <f t="shared" si="179"/>
        <v/>
      </c>
      <c r="B378" s="2" t="str">
        <f t="shared" si="160"/>
        <v/>
      </c>
      <c r="C378" s="2" t="str">
        <f t="shared" si="161"/>
        <v/>
      </c>
      <c r="D378" s="2" t="str">
        <f t="shared" si="162"/>
        <v/>
      </c>
      <c r="E378" s="2" t="str">
        <f t="shared" si="163"/>
        <v/>
      </c>
      <c r="F378" s="2" t="str">
        <f t="shared" si="164"/>
        <v/>
      </c>
      <c r="G378" s="2" t="str">
        <f t="shared" si="165"/>
        <v/>
      </c>
      <c r="H378" s="2" t="str">
        <f t="shared" si="180"/>
        <v/>
      </c>
      <c r="I378" s="2" t="str">
        <f t="shared" si="181"/>
        <v/>
      </c>
      <c r="J378" s="2" t="str">
        <f t="shared" si="182"/>
        <v/>
      </c>
      <c r="K378" s="2" t="str">
        <f t="shared" si="166"/>
        <v/>
      </c>
      <c r="L378" s="2" t="str">
        <f t="shared" si="167"/>
        <v/>
      </c>
      <c r="M378" s="2" t="str">
        <f t="shared" si="168"/>
        <v/>
      </c>
      <c r="N378" s="2" t="str">
        <f t="shared" si="183"/>
        <v/>
      </c>
      <c r="O378" s="2" t="str">
        <f t="shared" si="184"/>
        <v/>
      </c>
      <c r="P378" s="2" t="str">
        <f t="shared" si="185"/>
        <v/>
      </c>
      <c r="Q378" s="2" t="str">
        <f t="shared" si="169"/>
        <v/>
      </c>
      <c r="R378" s="2" t="str">
        <f t="shared" si="170"/>
        <v/>
      </c>
      <c r="S378" s="2" t="str">
        <f t="shared" si="171"/>
        <v/>
      </c>
      <c r="T378" s="2" t="str">
        <f t="shared" si="186"/>
        <v/>
      </c>
      <c r="U378" s="2" t="str">
        <f t="shared" si="187"/>
        <v/>
      </c>
      <c r="V378" s="2" t="str">
        <f t="shared" si="188"/>
        <v/>
      </c>
      <c r="W378" s="2" t="str">
        <f t="shared" si="172"/>
        <v/>
      </c>
      <c r="X378" s="2" t="str">
        <f t="shared" si="173"/>
        <v/>
      </c>
      <c r="Y378" s="2" t="str">
        <f t="shared" si="174"/>
        <v/>
      </c>
      <c r="Z378" s="2" t="str">
        <f t="shared" si="189"/>
        <v/>
      </c>
      <c r="AA378" s="2" t="str">
        <f t="shared" si="190"/>
        <v/>
      </c>
      <c r="AB378" s="2" t="str">
        <f t="shared" si="191"/>
        <v/>
      </c>
      <c r="AC378" s="2" t="str">
        <f t="shared" si="175"/>
        <v/>
      </c>
      <c r="AD378" s="2" t="str">
        <f t="shared" si="176"/>
        <v/>
      </c>
      <c r="AE378" s="2" t="str">
        <f t="shared" si="177"/>
        <v/>
      </c>
      <c r="AF378" s="2" t="str">
        <f t="shared" si="178"/>
        <v/>
      </c>
    </row>
    <row r="379" spans="1:32" x14ac:dyDescent="0.2">
      <c r="A379" s="2" t="str">
        <f t="shared" si="179"/>
        <v/>
      </c>
      <c r="B379" s="2" t="str">
        <f t="shared" si="160"/>
        <v/>
      </c>
      <c r="C379" s="2" t="str">
        <f t="shared" si="161"/>
        <v/>
      </c>
      <c r="D379" s="2" t="str">
        <f t="shared" si="162"/>
        <v/>
      </c>
      <c r="E379" s="2" t="str">
        <f t="shared" si="163"/>
        <v/>
      </c>
      <c r="F379" s="2" t="str">
        <f t="shared" si="164"/>
        <v/>
      </c>
      <c r="G379" s="2" t="str">
        <f t="shared" si="165"/>
        <v/>
      </c>
      <c r="H379" s="2" t="str">
        <f t="shared" si="180"/>
        <v/>
      </c>
      <c r="I379" s="2" t="str">
        <f t="shared" si="181"/>
        <v/>
      </c>
      <c r="J379" s="2" t="str">
        <f t="shared" si="182"/>
        <v/>
      </c>
      <c r="K379" s="2" t="str">
        <f t="shared" si="166"/>
        <v/>
      </c>
      <c r="L379" s="2" t="str">
        <f t="shared" si="167"/>
        <v/>
      </c>
      <c r="M379" s="2" t="str">
        <f t="shared" si="168"/>
        <v/>
      </c>
      <c r="N379" s="2" t="str">
        <f t="shared" si="183"/>
        <v/>
      </c>
      <c r="O379" s="2" t="str">
        <f t="shared" si="184"/>
        <v/>
      </c>
      <c r="P379" s="2" t="str">
        <f t="shared" si="185"/>
        <v/>
      </c>
      <c r="Q379" s="2" t="str">
        <f t="shared" si="169"/>
        <v/>
      </c>
      <c r="R379" s="2" t="str">
        <f t="shared" si="170"/>
        <v/>
      </c>
      <c r="S379" s="2" t="str">
        <f t="shared" si="171"/>
        <v/>
      </c>
      <c r="T379" s="2" t="str">
        <f t="shared" si="186"/>
        <v/>
      </c>
      <c r="U379" s="2" t="str">
        <f t="shared" si="187"/>
        <v/>
      </c>
      <c r="V379" s="2" t="str">
        <f t="shared" si="188"/>
        <v/>
      </c>
      <c r="W379" s="2" t="str">
        <f t="shared" si="172"/>
        <v/>
      </c>
      <c r="X379" s="2" t="str">
        <f t="shared" si="173"/>
        <v/>
      </c>
      <c r="Y379" s="2" t="str">
        <f t="shared" si="174"/>
        <v/>
      </c>
      <c r="Z379" s="2" t="str">
        <f t="shared" si="189"/>
        <v/>
      </c>
      <c r="AA379" s="2" t="str">
        <f t="shared" si="190"/>
        <v/>
      </c>
      <c r="AB379" s="2" t="str">
        <f t="shared" si="191"/>
        <v/>
      </c>
      <c r="AC379" s="2" t="str">
        <f t="shared" si="175"/>
        <v/>
      </c>
      <c r="AD379" s="2" t="str">
        <f t="shared" si="176"/>
        <v/>
      </c>
      <c r="AE379" s="2" t="str">
        <f t="shared" si="177"/>
        <v/>
      </c>
      <c r="AF379" s="2" t="str">
        <f t="shared" si="178"/>
        <v/>
      </c>
    </row>
    <row r="380" spans="1:32" x14ac:dyDescent="0.2">
      <c r="A380" s="2" t="str">
        <f t="shared" si="179"/>
        <v/>
      </c>
      <c r="B380" s="2" t="str">
        <f t="shared" si="160"/>
        <v/>
      </c>
      <c r="C380" s="2" t="str">
        <f t="shared" si="161"/>
        <v/>
      </c>
      <c r="D380" s="2" t="str">
        <f t="shared" si="162"/>
        <v/>
      </c>
      <c r="E380" s="2" t="str">
        <f t="shared" si="163"/>
        <v/>
      </c>
      <c r="F380" s="2" t="str">
        <f t="shared" si="164"/>
        <v/>
      </c>
      <c r="G380" s="2" t="str">
        <f t="shared" si="165"/>
        <v/>
      </c>
      <c r="H380" s="2" t="str">
        <f t="shared" si="180"/>
        <v/>
      </c>
      <c r="I380" s="2" t="str">
        <f t="shared" si="181"/>
        <v/>
      </c>
      <c r="J380" s="2" t="str">
        <f t="shared" si="182"/>
        <v/>
      </c>
      <c r="K380" s="2" t="str">
        <f t="shared" si="166"/>
        <v/>
      </c>
      <c r="L380" s="2" t="str">
        <f t="shared" si="167"/>
        <v/>
      </c>
      <c r="M380" s="2" t="str">
        <f t="shared" si="168"/>
        <v/>
      </c>
      <c r="N380" s="2" t="str">
        <f t="shared" si="183"/>
        <v/>
      </c>
      <c r="O380" s="2" t="str">
        <f t="shared" si="184"/>
        <v/>
      </c>
      <c r="P380" s="2" t="str">
        <f t="shared" si="185"/>
        <v/>
      </c>
      <c r="Q380" s="2" t="str">
        <f t="shared" si="169"/>
        <v/>
      </c>
      <c r="R380" s="2" t="str">
        <f t="shared" si="170"/>
        <v/>
      </c>
      <c r="S380" s="2" t="str">
        <f t="shared" si="171"/>
        <v/>
      </c>
      <c r="T380" s="2" t="str">
        <f t="shared" si="186"/>
        <v/>
      </c>
      <c r="U380" s="2" t="str">
        <f t="shared" si="187"/>
        <v/>
      </c>
      <c r="V380" s="2" t="str">
        <f t="shared" si="188"/>
        <v/>
      </c>
      <c r="W380" s="2" t="str">
        <f t="shared" si="172"/>
        <v/>
      </c>
      <c r="X380" s="2" t="str">
        <f t="shared" si="173"/>
        <v/>
      </c>
      <c r="Y380" s="2" t="str">
        <f t="shared" si="174"/>
        <v/>
      </c>
      <c r="Z380" s="2" t="str">
        <f t="shared" si="189"/>
        <v/>
      </c>
      <c r="AA380" s="2" t="str">
        <f t="shared" si="190"/>
        <v/>
      </c>
      <c r="AB380" s="2" t="str">
        <f t="shared" si="191"/>
        <v/>
      </c>
      <c r="AC380" s="2" t="str">
        <f t="shared" si="175"/>
        <v/>
      </c>
      <c r="AD380" s="2" t="str">
        <f t="shared" si="176"/>
        <v/>
      </c>
      <c r="AE380" s="2" t="str">
        <f t="shared" si="177"/>
        <v/>
      </c>
      <c r="AF380" s="2" t="str">
        <f t="shared" si="178"/>
        <v/>
      </c>
    </row>
    <row r="381" spans="1:32" x14ac:dyDescent="0.2">
      <c r="A381" s="2" t="str">
        <f t="shared" si="179"/>
        <v/>
      </c>
      <c r="B381" s="2" t="str">
        <f t="shared" si="160"/>
        <v/>
      </c>
      <c r="C381" s="2" t="str">
        <f t="shared" si="161"/>
        <v/>
      </c>
      <c r="D381" s="2" t="str">
        <f t="shared" si="162"/>
        <v/>
      </c>
      <c r="E381" s="2" t="str">
        <f t="shared" si="163"/>
        <v/>
      </c>
      <c r="F381" s="2" t="str">
        <f t="shared" si="164"/>
        <v/>
      </c>
      <c r="G381" s="2" t="str">
        <f t="shared" si="165"/>
        <v/>
      </c>
      <c r="H381" s="2" t="str">
        <f t="shared" si="180"/>
        <v/>
      </c>
      <c r="I381" s="2" t="str">
        <f t="shared" si="181"/>
        <v/>
      </c>
      <c r="J381" s="2" t="str">
        <f t="shared" si="182"/>
        <v/>
      </c>
      <c r="K381" s="2" t="str">
        <f t="shared" si="166"/>
        <v/>
      </c>
      <c r="L381" s="2" t="str">
        <f t="shared" si="167"/>
        <v/>
      </c>
      <c r="M381" s="2" t="str">
        <f t="shared" si="168"/>
        <v/>
      </c>
      <c r="N381" s="2" t="str">
        <f t="shared" si="183"/>
        <v/>
      </c>
      <c r="O381" s="2" t="str">
        <f t="shared" si="184"/>
        <v/>
      </c>
      <c r="P381" s="2" t="str">
        <f t="shared" si="185"/>
        <v/>
      </c>
      <c r="Q381" s="2" t="str">
        <f t="shared" si="169"/>
        <v/>
      </c>
      <c r="R381" s="2" t="str">
        <f t="shared" si="170"/>
        <v/>
      </c>
      <c r="S381" s="2" t="str">
        <f t="shared" si="171"/>
        <v/>
      </c>
      <c r="T381" s="2" t="str">
        <f t="shared" si="186"/>
        <v/>
      </c>
      <c r="U381" s="2" t="str">
        <f t="shared" si="187"/>
        <v/>
      </c>
      <c r="V381" s="2" t="str">
        <f t="shared" si="188"/>
        <v/>
      </c>
      <c r="W381" s="2" t="str">
        <f t="shared" si="172"/>
        <v/>
      </c>
      <c r="X381" s="2" t="str">
        <f t="shared" si="173"/>
        <v/>
      </c>
      <c r="Y381" s="2" t="str">
        <f t="shared" si="174"/>
        <v/>
      </c>
      <c r="Z381" s="2" t="str">
        <f t="shared" si="189"/>
        <v/>
      </c>
      <c r="AA381" s="2" t="str">
        <f t="shared" si="190"/>
        <v/>
      </c>
      <c r="AB381" s="2" t="str">
        <f t="shared" si="191"/>
        <v/>
      </c>
      <c r="AC381" s="2" t="str">
        <f t="shared" si="175"/>
        <v/>
      </c>
      <c r="AD381" s="2" t="str">
        <f t="shared" si="176"/>
        <v/>
      </c>
      <c r="AE381" s="2" t="str">
        <f t="shared" si="177"/>
        <v/>
      </c>
      <c r="AF381" s="2" t="str">
        <f t="shared" si="178"/>
        <v/>
      </c>
    </row>
    <row r="382" spans="1:32" x14ac:dyDescent="0.2">
      <c r="A382" s="2" t="str">
        <f t="shared" si="179"/>
        <v/>
      </c>
      <c r="B382" s="2" t="str">
        <f t="shared" si="160"/>
        <v/>
      </c>
      <c r="C382" s="2" t="str">
        <f t="shared" si="161"/>
        <v/>
      </c>
      <c r="D382" s="2" t="str">
        <f t="shared" si="162"/>
        <v/>
      </c>
      <c r="E382" s="2" t="str">
        <f t="shared" si="163"/>
        <v/>
      </c>
      <c r="F382" s="2" t="str">
        <f t="shared" si="164"/>
        <v/>
      </c>
      <c r="G382" s="2" t="str">
        <f t="shared" si="165"/>
        <v/>
      </c>
      <c r="H382" s="2" t="str">
        <f t="shared" si="180"/>
        <v/>
      </c>
      <c r="I382" s="2" t="str">
        <f t="shared" si="181"/>
        <v/>
      </c>
      <c r="J382" s="2" t="str">
        <f t="shared" si="182"/>
        <v/>
      </c>
      <c r="K382" s="2" t="str">
        <f t="shared" si="166"/>
        <v/>
      </c>
      <c r="L382" s="2" t="str">
        <f t="shared" si="167"/>
        <v/>
      </c>
      <c r="M382" s="2" t="str">
        <f t="shared" si="168"/>
        <v/>
      </c>
      <c r="N382" s="2" t="str">
        <f t="shared" si="183"/>
        <v/>
      </c>
      <c r="O382" s="2" t="str">
        <f t="shared" si="184"/>
        <v/>
      </c>
      <c r="P382" s="2" t="str">
        <f t="shared" si="185"/>
        <v/>
      </c>
      <c r="Q382" s="2" t="str">
        <f t="shared" si="169"/>
        <v/>
      </c>
      <c r="R382" s="2" t="str">
        <f t="shared" si="170"/>
        <v/>
      </c>
      <c r="S382" s="2" t="str">
        <f t="shared" si="171"/>
        <v/>
      </c>
      <c r="T382" s="2" t="str">
        <f t="shared" si="186"/>
        <v/>
      </c>
      <c r="U382" s="2" t="str">
        <f t="shared" si="187"/>
        <v/>
      </c>
      <c r="V382" s="2" t="str">
        <f t="shared" si="188"/>
        <v/>
      </c>
      <c r="W382" s="2" t="str">
        <f t="shared" si="172"/>
        <v/>
      </c>
      <c r="X382" s="2" t="str">
        <f t="shared" si="173"/>
        <v/>
      </c>
      <c r="Y382" s="2" t="str">
        <f t="shared" si="174"/>
        <v/>
      </c>
      <c r="Z382" s="2" t="str">
        <f t="shared" si="189"/>
        <v/>
      </c>
      <c r="AA382" s="2" t="str">
        <f t="shared" si="190"/>
        <v/>
      </c>
      <c r="AB382" s="2" t="str">
        <f t="shared" si="191"/>
        <v/>
      </c>
      <c r="AC382" s="2" t="str">
        <f t="shared" si="175"/>
        <v/>
      </c>
      <c r="AD382" s="2" t="str">
        <f t="shared" si="176"/>
        <v/>
      </c>
      <c r="AE382" s="2" t="str">
        <f t="shared" si="177"/>
        <v/>
      </c>
      <c r="AF382" s="2" t="str">
        <f t="shared" si="178"/>
        <v/>
      </c>
    </row>
    <row r="383" spans="1:32" x14ac:dyDescent="0.2">
      <c r="A383" s="2" t="str">
        <f t="shared" si="179"/>
        <v/>
      </c>
      <c r="B383" s="2" t="str">
        <f t="shared" si="160"/>
        <v/>
      </c>
      <c r="C383" s="2" t="str">
        <f t="shared" si="161"/>
        <v/>
      </c>
      <c r="D383" s="2" t="str">
        <f t="shared" si="162"/>
        <v/>
      </c>
      <c r="E383" s="2" t="str">
        <f t="shared" si="163"/>
        <v/>
      </c>
      <c r="F383" s="2" t="str">
        <f t="shared" si="164"/>
        <v/>
      </c>
      <c r="G383" s="2" t="str">
        <f t="shared" si="165"/>
        <v/>
      </c>
      <c r="H383" s="2" t="str">
        <f t="shared" si="180"/>
        <v/>
      </c>
      <c r="I383" s="2" t="str">
        <f t="shared" si="181"/>
        <v/>
      </c>
      <c r="J383" s="2" t="str">
        <f t="shared" si="182"/>
        <v/>
      </c>
      <c r="K383" s="2" t="str">
        <f t="shared" si="166"/>
        <v/>
      </c>
      <c r="L383" s="2" t="str">
        <f t="shared" si="167"/>
        <v/>
      </c>
      <c r="M383" s="2" t="str">
        <f t="shared" si="168"/>
        <v/>
      </c>
      <c r="N383" s="2" t="str">
        <f t="shared" si="183"/>
        <v/>
      </c>
      <c r="O383" s="2" t="str">
        <f t="shared" si="184"/>
        <v/>
      </c>
      <c r="P383" s="2" t="str">
        <f t="shared" si="185"/>
        <v/>
      </c>
      <c r="Q383" s="2" t="str">
        <f t="shared" si="169"/>
        <v/>
      </c>
      <c r="R383" s="2" t="str">
        <f t="shared" si="170"/>
        <v/>
      </c>
      <c r="S383" s="2" t="str">
        <f t="shared" si="171"/>
        <v/>
      </c>
      <c r="T383" s="2" t="str">
        <f t="shared" si="186"/>
        <v/>
      </c>
      <c r="U383" s="2" t="str">
        <f t="shared" si="187"/>
        <v/>
      </c>
      <c r="V383" s="2" t="str">
        <f t="shared" si="188"/>
        <v/>
      </c>
      <c r="W383" s="2" t="str">
        <f t="shared" si="172"/>
        <v/>
      </c>
      <c r="X383" s="2" t="str">
        <f t="shared" si="173"/>
        <v/>
      </c>
      <c r="Y383" s="2" t="str">
        <f t="shared" si="174"/>
        <v/>
      </c>
      <c r="Z383" s="2" t="str">
        <f t="shared" si="189"/>
        <v/>
      </c>
      <c r="AA383" s="2" t="str">
        <f t="shared" si="190"/>
        <v/>
      </c>
      <c r="AB383" s="2" t="str">
        <f t="shared" si="191"/>
        <v/>
      </c>
      <c r="AC383" s="2" t="str">
        <f t="shared" si="175"/>
        <v/>
      </c>
      <c r="AD383" s="2" t="str">
        <f t="shared" si="176"/>
        <v/>
      </c>
      <c r="AE383" s="2" t="str">
        <f t="shared" si="177"/>
        <v/>
      </c>
      <c r="AF383" s="2" t="str">
        <f t="shared" si="178"/>
        <v/>
      </c>
    </row>
    <row r="384" spans="1:32" x14ac:dyDescent="0.2">
      <c r="A384" s="2" t="str">
        <f t="shared" si="179"/>
        <v/>
      </c>
      <c r="B384" s="2" t="str">
        <f t="shared" si="160"/>
        <v/>
      </c>
      <c r="C384" s="2" t="str">
        <f t="shared" si="161"/>
        <v/>
      </c>
      <c r="D384" s="2" t="str">
        <f t="shared" si="162"/>
        <v/>
      </c>
      <c r="E384" s="2" t="str">
        <f t="shared" si="163"/>
        <v/>
      </c>
      <c r="F384" s="2" t="str">
        <f t="shared" si="164"/>
        <v/>
      </c>
      <c r="G384" s="2" t="str">
        <f t="shared" si="165"/>
        <v/>
      </c>
      <c r="H384" s="2" t="str">
        <f t="shared" si="180"/>
        <v/>
      </c>
      <c r="I384" s="2" t="str">
        <f t="shared" si="181"/>
        <v/>
      </c>
      <c r="J384" s="2" t="str">
        <f t="shared" si="182"/>
        <v/>
      </c>
      <c r="K384" s="2" t="str">
        <f t="shared" si="166"/>
        <v/>
      </c>
      <c r="L384" s="2" t="str">
        <f t="shared" si="167"/>
        <v/>
      </c>
      <c r="M384" s="2" t="str">
        <f t="shared" si="168"/>
        <v/>
      </c>
      <c r="N384" s="2" t="str">
        <f t="shared" si="183"/>
        <v/>
      </c>
      <c r="O384" s="2" t="str">
        <f t="shared" si="184"/>
        <v/>
      </c>
      <c r="P384" s="2" t="str">
        <f t="shared" si="185"/>
        <v/>
      </c>
      <c r="Q384" s="2" t="str">
        <f t="shared" si="169"/>
        <v/>
      </c>
      <c r="R384" s="2" t="str">
        <f t="shared" si="170"/>
        <v/>
      </c>
      <c r="S384" s="2" t="str">
        <f t="shared" si="171"/>
        <v/>
      </c>
      <c r="T384" s="2" t="str">
        <f t="shared" si="186"/>
        <v/>
      </c>
      <c r="U384" s="2" t="str">
        <f t="shared" si="187"/>
        <v/>
      </c>
      <c r="V384" s="2" t="str">
        <f t="shared" si="188"/>
        <v/>
      </c>
      <c r="W384" s="2" t="str">
        <f t="shared" si="172"/>
        <v/>
      </c>
      <c r="X384" s="2" t="str">
        <f t="shared" si="173"/>
        <v/>
      </c>
      <c r="Y384" s="2" t="str">
        <f t="shared" si="174"/>
        <v/>
      </c>
      <c r="Z384" s="2" t="str">
        <f t="shared" si="189"/>
        <v/>
      </c>
      <c r="AA384" s="2" t="str">
        <f t="shared" si="190"/>
        <v/>
      </c>
      <c r="AB384" s="2" t="str">
        <f t="shared" si="191"/>
        <v/>
      </c>
      <c r="AC384" s="2" t="str">
        <f t="shared" si="175"/>
        <v/>
      </c>
      <c r="AD384" s="2" t="str">
        <f t="shared" si="176"/>
        <v/>
      </c>
      <c r="AE384" s="2" t="str">
        <f t="shared" si="177"/>
        <v/>
      </c>
      <c r="AF384" s="2" t="str">
        <f t="shared" si="178"/>
        <v/>
      </c>
    </row>
    <row r="385" spans="1:32" x14ac:dyDescent="0.2">
      <c r="A385" s="2" t="str">
        <f t="shared" si="179"/>
        <v/>
      </c>
      <c r="B385" s="2" t="str">
        <f t="shared" si="160"/>
        <v/>
      </c>
      <c r="C385" s="2" t="str">
        <f t="shared" si="161"/>
        <v/>
      </c>
      <c r="D385" s="2" t="str">
        <f t="shared" si="162"/>
        <v/>
      </c>
      <c r="E385" s="2" t="str">
        <f t="shared" si="163"/>
        <v/>
      </c>
      <c r="F385" s="2" t="str">
        <f t="shared" si="164"/>
        <v/>
      </c>
      <c r="G385" s="2" t="str">
        <f t="shared" si="165"/>
        <v/>
      </c>
      <c r="H385" s="2" t="str">
        <f t="shared" si="180"/>
        <v/>
      </c>
      <c r="I385" s="2" t="str">
        <f t="shared" si="181"/>
        <v/>
      </c>
      <c r="J385" s="2" t="str">
        <f t="shared" si="182"/>
        <v/>
      </c>
      <c r="K385" s="2" t="str">
        <f t="shared" si="166"/>
        <v/>
      </c>
      <c r="L385" s="2" t="str">
        <f t="shared" si="167"/>
        <v/>
      </c>
      <c r="M385" s="2" t="str">
        <f t="shared" si="168"/>
        <v/>
      </c>
      <c r="N385" s="2" t="str">
        <f t="shared" si="183"/>
        <v/>
      </c>
      <c r="O385" s="2" t="str">
        <f t="shared" si="184"/>
        <v/>
      </c>
      <c r="P385" s="2" t="str">
        <f t="shared" si="185"/>
        <v/>
      </c>
      <c r="Q385" s="2" t="str">
        <f t="shared" si="169"/>
        <v/>
      </c>
      <c r="R385" s="2" t="str">
        <f t="shared" si="170"/>
        <v/>
      </c>
      <c r="S385" s="2" t="str">
        <f t="shared" si="171"/>
        <v/>
      </c>
      <c r="T385" s="2" t="str">
        <f t="shared" si="186"/>
        <v/>
      </c>
      <c r="U385" s="2" t="str">
        <f t="shared" si="187"/>
        <v/>
      </c>
      <c r="V385" s="2" t="str">
        <f t="shared" si="188"/>
        <v/>
      </c>
      <c r="W385" s="2" t="str">
        <f t="shared" si="172"/>
        <v/>
      </c>
      <c r="X385" s="2" t="str">
        <f t="shared" si="173"/>
        <v/>
      </c>
      <c r="Y385" s="2" t="str">
        <f t="shared" si="174"/>
        <v/>
      </c>
      <c r="Z385" s="2" t="str">
        <f t="shared" si="189"/>
        <v/>
      </c>
      <c r="AA385" s="2" t="str">
        <f t="shared" si="190"/>
        <v/>
      </c>
      <c r="AB385" s="2" t="str">
        <f t="shared" si="191"/>
        <v/>
      </c>
      <c r="AC385" s="2" t="str">
        <f t="shared" si="175"/>
        <v/>
      </c>
      <c r="AD385" s="2" t="str">
        <f t="shared" si="176"/>
        <v/>
      </c>
      <c r="AE385" s="2" t="str">
        <f t="shared" si="177"/>
        <v/>
      </c>
      <c r="AF385" s="2" t="str">
        <f t="shared" si="178"/>
        <v/>
      </c>
    </row>
    <row r="386" spans="1:32" x14ac:dyDescent="0.2">
      <c r="A386" s="2" t="str">
        <f t="shared" si="179"/>
        <v/>
      </c>
      <c r="B386" s="2" t="str">
        <f t="shared" si="160"/>
        <v/>
      </c>
      <c r="C386" s="2" t="str">
        <f t="shared" si="161"/>
        <v/>
      </c>
      <c r="D386" s="2" t="str">
        <f t="shared" si="162"/>
        <v/>
      </c>
      <c r="E386" s="2" t="str">
        <f t="shared" si="163"/>
        <v/>
      </c>
      <c r="F386" s="2" t="str">
        <f t="shared" si="164"/>
        <v/>
      </c>
      <c r="G386" s="2" t="str">
        <f t="shared" si="165"/>
        <v/>
      </c>
      <c r="H386" s="2" t="str">
        <f t="shared" si="180"/>
        <v/>
      </c>
      <c r="I386" s="2" t="str">
        <f t="shared" si="181"/>
        <v/>
      </c>
      <c r="J386" s="2" t="str">
        <f t="shared" si="182"/>
        <v/>
      </c>
      <c r="K386" s="2" t="str">
        <f t="shared" si="166"/>
        <v/>
      </c>
      <c r="L386" s="2" t="str">
        <f t="shared" si="167"/>
        <v/>
      </c>
      <c r="M386" s="2" t="str">
        <f t="shared" si="168"/>
        <v/>
      </c>
      <c r="N386" s="2" t="str">
        <f t="shared" si="183"/>
        <v/>
      </c>
      <c r="O386" s="2" t="str">
        <f t="shared" si="184"/>
        <v/>
      </c>
      <c r="P386" s="2" t="str">
        <f t="shared" si="185"/>
        <v/>
      </c>
      <c r="Q386" s="2" t="str">
        <f t="shared" si="169"/>
        <v/>
      </c>
      <c r="R386" s="2" t="str">
        <f t="shared" si="170"/>
        <v/>
      </c>
      <c r="S386" s="2" t="str">
        <f t="shared" si="171"/>
        <v/>
      </c>
      <c r="T386" s="2" t="str">
        <f t="shared" si="186"/>
        <v/>
      </c>
      <c r="U386" s="2" t="str">
        <f t="shared" si="187"/>
        <v/>
      </c>
      <c r="V386" s="2" t="str">
        <f t="shared" si="188"/>
        <v/>
      </c>
      <c r="W386" s="2" t="str">
        <f t="shared" si="172"/>
        <v/>
      </c>
      <c r="X386" s="2" t="str">
        <f t="shared" si="173"/>
        <v/>
      </c>
      <c r="Y386" s="2" t="str">
        <f t="shared" si="174"/>
        <v/>
      </c>
      <c r="Z386" s="2" t="str">
        <f t="shared" si="189"/>
        <v/>
      </c>
      <c r="AA386" s="2" t="str">
        <f t="shared" si="190"/>
        <v/>
      </c>
      <c r="AB386" s="2" t="str">
        <f t="shared" si="191"/>
        <v/>
      </c>
      <c r="AC386" s="2" t="str">
        <f t="shared" si="175"/>
        <v/>
      </c>
      <c r="AD386" s="2" t="str">
        <f t="shared" si="176"/>
        <v/>
      </c>
      <c r="AE386" s="2" t="str">
        <f t="shared" si="177"/>
        <v/>
      </c>
      <c r="AF386" s="2" t="str">
        <f t="shared" si="178"/>
        <v/>
      </c>
    </row>
    <row r="387" spans="1:32" x14ac:dyDescent="0.2">
      <c r="A387" s="2" t="str">
        <f t="shared" si="179"/>
        <v/>
      </c>
      <c r="B387" s="2" t="str">
        <f t="shared" si="160"/>
        <v/>
      </c>
      <c r="C387" s="2" t="str">
        <f t="shared" si="161"/>
        <v/>
      </c>
      <c r="D387" s="2" t="str">
        <f t="shared" si="162"/>
        <v/>
      </c>
      <c r="E387" s="2" t="str">
        <f t="shared" si="163"/>
        <v/>
      </c>
      <c r="F387" s="2" t="str">
        <f t="shared" si="164"/>
        <v/>
      </c>
      <c r="G387" s="2" t="str">
        <f t="shared" si="165"/>
        <v/>
      </c>
      <c r="H387" s="2" t="str">
        <f t="shared" si="180"/>
        <v/>
      </c>
      <c r="I387" s="2" t="str">
        <f t="shared" si="181"/>
        <v/>
      </c>
      <c r="J387" s="2" t="str">
        <f t="shared" si="182"/>
        <v/>
      </c>
      <c r="K387" s="2" t="str">
        <f t="shared" si="166"/>
        <v/>
      </c>
      <c r="L387" s="2" t="str">
        <f t="shared" si="167"/>
        <v/>
      </c>
      <c r="M387" s="2" t="str">
        <f t="shared" si="168"/>
        <v/>
      </c>
      <c r="N387" s="2" t="str">
        <f t="shared" si="183"/>
        <v/>
      </c>
      <c r="O387" s="2" t="str">
        <f t="shared" si="184"/>
        <v/>
      </c>
      <c r="P387" s="2" t="str">
        <f t="shared" si="185"/>
        <v/>
      </c>
      <c r="Q387" s="2" t="str">
        <f t="shared" si="169"/>
        <v/>
      </c>
      <c r="R387" s="2" t="str">
        <f t="shared" si="170"/>
        <v/>
      </c>
      <c r="S387" s="2" t="str">
        <f t="shared" si="171"/>
        <v/>
      </c>
      <c r="T387" s="2" t="str">
        <f t="shared" si="186"/>
        <v/>
      </c>
      <c r="U387" s="2" t="str">
        <f t="shared" si="187"/>
        <v/>
      </c>
      <c r="V387" s="2" t="str">
        <f t="shared" si="188"/>
        <v/>
      </c>
      <c r="W387" s="2" t="str">
        <f t="shared" si="172"/>
        <v/>
      </c>
      <c r="X387" s="2" t="str">
        <f t="shared" si="173"/>
        <v/>
      </c>
      <c r="Y387" s="2" t="str">
        <f t="shared" si="174"/>
        <v/>
      </c>
      <c r="Z387" s="2" t="str">
        <f t="shared" si="189"/>
        <v/>
      </c>
      <c r="AA387" s="2" t="str">
        <f t="shared" si="190"/>
        <v/>
      </c>
      <c r="AB387" s="2" t="str">
        <f t="shared" si="191"/>
        <v/>
      </c>
      <c r="AC387" s="2" t="str">
        <f t="shared" si="175"/>
        <v/>
      </c>
      <c r="AD387" s="2" t="str">
        <f t="shared" si="176"/>
        <v/>
      </c>
      <c r="AE387" s="2" t="str">
        <f t="shared" si="177"/>
        <v/>
      </c>
      <c r="AF387" s="2" t="str">
        <f t="shared" si="178"/>
        <v/>
      </c>
    </row>
    <row r="388" spans="1:32" x14ac:dyDescent="0.2">
      <c r="A388" s="2" t="str">
        <f t="shared" si="179"/>
        <v/>
      </c>
      <c r="B388" s="2" t="str">
        <f t="shared" ref="B388:B451" si="192">IF(AI388="","",AI388)</f>
        <v/>
      </c>
      <c r="C388" s="2" t="str">
        <f t="shared" ref="C388:C451" si="193">IF(AJ388="","",AJ388)</f>
        <v/>
      </c>
      <c r="D388" s="2" t="str">
        <f t="shared" ref="D388:D451" si="194">IF(AK388="","",AK388)</f>
        <v/>
      </c>
      <c r="E388" s="2" t="str">
        <f t="shared" ref="E388:E451" si="195">IF(AL388="","",AL388)</f>
        <v/>
      </c>
      <c r="F388" s="2" t="str">
        <f t="shared" ref="F388:F451" si="196">IF(AM388="","",AM388)</f>
        <v/>
      </c>
      <c r="G388" s="2" t="str">
        <f t="shared" ref="G388:G451" si="197">IF(AN388="","",AN388)</f>
        <v/>
      </c>
      <c r="H388" s="2" t="str">
        <f t="shared" si="180"/>
        <v/>
      </c>
      <c r="I388" s="2" t="str">
        <f t="shared" si="181"/>
        <v/>
      </c>
      <c r="J388" s="2" t="str">
        <f t="shared" si="182"/>
        <v/>
      </c>
      <c r="K388" s="2" t="str">
        <f t="shared" ref="K388:K451" si="198">IF(AR388="","",AR388)</f>
        <v/>
      </c>
      <c r="L388" s="2" t="str">
        <f t="shared" ref="L388:L451" si="199">IF(AS388="","",AS388)</f>
        <v/>
      </c>
      <c r="M388" s="2" t="str">
        <f t="shared" ref="M388:M451" si="200">IF(AT388="","",AT388)</f>
        <v/>
      </c>
      <c r="N388" s="2" t="str">
        <f t="shared" si="183"/>
        <v/>
      </c>
      <c r="O388" s="2" t="str">
        <f t="shared" si="184"/>
        <v/>
      </c>
      <c r="P388" s="2" t="str">
        <f t="shared" si="185"/>
        <v/>
      </c>
      <c r="Q388" s="2" t="str">
        <f t="shared" ref="Q388:Q451" si="201">IF(AX388="","",AX388)</f>
        <v/>
      </c>
      <c r="R388" s="2" t="str">
        <f t="shared" ref="R388:R451" si="202">IF(AY388="","",AY388)</f>
        <v/>
      </c>
      <c r="S388" s="2" t="str">
        <f t="shared" ref="S388:S451" si="203">IF(AZ388="","",AZ388)</f>
        <v/>
      </c>
      <c r="T388" s="2" t="str">
        <f t="shared" si="186"/>
        <v/>
      </c>
      <c r="U388" s="2" t="str">
        <f t="shared" si="187"/>
        <v/>
      </c>
      <c r="V388" s="2" t="str">
        <f t="shared" si="188"/>
        <v/>
      </c>
      <c r="W388" s="2" t="str">
        <f t="shared" ref="W388:W451" si="204">IF(BD388="","",BD388)</f>
        <v/>
      </c>
      <c r="X388" s="2" t="str">
        <f t="shared" ref="X388:X451" si="205">IF(BE388="","",BE388)</f>
        <v/>
      </c>
      <c r="Y388" s="2" t="str">
        <f t="shared" ref="Y388:Y451" si="206">IF(BF388="","",BF388)</f>
        <v/>
      </c>
      <c r="Z388" s="2" t="str">
        <f t="shared" si="189"/>
        <v/>
      </c>
      <c r="AA388" s="2" t="str">
        <f t="shared" si="190"/>
        <v/>
      </c>
      <c r="AB388" s="2" t="str">
        <f t="shared" si="191"/>
        <v/>
      </c>
      <c r="AC388" s="2" t="str">
        <f t="shared" ref="AC388:AC451" si="207">IF(BJ388="","",BJ388)</f>
        <v/>
      </c>
      <c r="AD388" s="2" t="str">
        <f t="shared" ref="AD388:AD451" si="208">IF(BK388="","",BK388)</f>
        <v/>
      </c>
      <c r="AE388" s="2" t="str">
        <f t="shared" ref="AE388:AE451" si="209">IF(BL388="","",BL388)</f>
        <v/>
      </c>
      <c r="AF388" s="2" t="str">
        <f t="shared" ref="AF388:AF451" si="210">IF(BM388="","",BM388)</f>
        <v/>
      </c>
    </row>
    <row r="389" spans="1:32" x14ac:dyDescent="0.2">
      <c r="A389" s="2" t="str">
        <f t="shared" ref="A389:A452" si="211">IF(AH389="","",_xlfn.CONCAT(AH389,"_",ROW()-3))</f>
        <v/>
      </c>
      <c r="B389" s="2" t="str">
        <f t="shared" si="192"/>
        <v/>
      </c>
      <c r="C389" s="2" t="str">
        <f t="shared" si="193"/>
        <v/>
      </c>
      <c r="D389" s="2" t="str">
        <f t="shared" si="194"/>
        <v/>
      </c>
      <c r="E389" s="2" t="str">
        <f t="shared" si="195"/>
        <v/>
      </c>
      <c r="F389" s="2" t="str">
        <f t="shared" si="196"/>
        <v/>
      </c>
      <c r="G389" s="2" t="str">
        <f t="shared" si="197"/>
        <v/>
      </c>
      <c r="H389" s="2" t="str">
        <f t="shared" ref="H389:H452" si="212">IF(AO389="","",IF(AQ389&lt;&gt;0,(AO389+AQ389)/2,AO389)-BN389)</f>
        <v/>
      </c>
      <c r="I389" s="2" t="str">
        <f t="shared" ref="I389:I452" si="213">IF(AP389="","",AP389)</f>
        <v/>
      </c>
      <c r="J389" s="2" t="str">
        <f t="shared" ref="J389:J452" si="214">IF(AQ389="","",(AO389+AQ389)/2-BN389)</f>
        <v/>
      </c>
      <c r="K389" s="2" t="str">
        <f t="shared" si="198"/>
        <v/>
      </c>
      <c r="L389" s="2" t="str">
        <f t="shared" si="199"/>
        <v/>
      </c>
      <c r="M389" s="2" t="str">
        <f t="shared" si="200"/>
        <v/>
      </c>
      <c r="N389" s="2" t="str">
        <f t="shared" ref="N389:N452" si="215">IF(AU389="","",IF(AW389&lt;&gt;0,(AU389+AW389)/2,AU389)-BN390)</f>
        <v/>
      </c>
      <c r="O389" s="2" t="str">
        <f t="shared" ref="O389:O452" si="216">IF(AV389="","",AV389)</f>
        <v/>
      </c>
      <c r="P389" s="2" t="str">
        <f t="shared" ref="P389:P452" si="217">IF(AW389="","",(AU389+AW389)/2-BN390)</f>
        <v/>
      </c>
      <c r="Q389" s="2" t="str">
        <f t="shared" si="201"/>
        <v/>
      </c>
      <c r="R389" s="2" t="str">
        <f t="shared" si="202"/>
        <v/>
      </c>
      <c r="S389" s="2" t="str">
        <f t="shared" si="203"/>
        <v/>
      </c>
      <c r="T389" s="2" t="str">
        <f t="shared" ref="T389:T452" si="218">IF(BA389="","",IF(BC389&lt;&gt;0,(BA389+BC389)/2,BA389)-BN391)</f>
        <v/>
      </c>
      <c r="U389" s="2" t="str">
        <f t="shared" ref="U389:U452" si="219">IF(BB389="","",BB389)</f>
        <v/>
      </c>
      <c r="V389" s="2" t="str">
        <f t="shared" ref="V389:V452" si="220">IF(BC389="","",(BA389+BC389)/2-BN391)</f>
        <v/>
      </c>
      <c r="W389" s="2" t="str">
        <f t="shared" si="204"/>
        <v/>
      </c>
      <c r="X389" s="2" t="str">
        <f t="shared" si="205"/>
        <v/>
      </c>
      <c r="Y389" s="2" t="str">
        <f t="shared" si="206"/>
        <v/>
      </c>
      <c r="Z389" s="2" t="str">
        <f t="shared" ref="Z389:Z452" si="221">IF(BG389="","",IF(BI389&lt;&gt;0,(BG389+BI389)/2,BG389)-BN392)</f>
        <v/>
      </c>
      <c r="AA389" s="2" t="str">
        <f t="shared" ref="AA389:AA452" si="222">IF(BH389="","",BH389)</f>
        <v/>
      </c>
      <c r="AB389" s="2" t="str">
        <f t="shared" ref="AB389:AB452" si="223">IF(BI389="","",(BG389+BI389)/2-BN392)</f>
        <v/>
      </c>
      <c r="AC389" s="2" t="str">
        <f t="shared" si="207"/>
        <v/>
      </c>
      <c r="AD389" s="2" t="str">
        <f t="shared" si="208"/>
        <v/>
      </c>
      <c r="AE389" s="2" t="str">
        <f t="shared" si="209"/>
        <v/>
      </c>
      <c r="AF389" s="2" t="str">
        <f t="shared" si="210"/>
        <v/>
      </c>
    </row>
    <row r="390" spans="1:32" x14ac:dyDescent="0.2">
      <c r="A390" s="2" t="str">
        <f t="shared" si="211"/>
        <v/>
      </c>
      <c r="B390" s="2" t="str">
        <f t="shared" si="192"/>
        <v/>
      </c>
      <c r="C390" s="2" t="str">
        <f t="shared" si="193"/>
        <v/>
      </c>
      <c r="D390" s="2" t="str">
        <f t="shared" si="194"/>
        <v/>
      </c>
      <c r="E390" s="2" t="str">
        <f t="shared" si="195"/>
        <v/>
      </c>
      <c r="F390" s="2" t="str">
        <f t="shared" si="196"/>
        <v/>
      </c>
      <c r="G390" s="2" t="str">
        <f t="shared" si="197"/>
        <v/>
      </c>
      <c r="H390" s="2" t="str">
        <f t="shared" si="212"/>
        <v/>
      </c>
      <c r="I390" s="2" t="str">
        <f t="shared" si="213"/>
        <v/>
      </c>
      <c r="J390" s="2" t="str">
        <f t="shared" si="214"/>
        <v/>
      </c>
      <c r="K390" s="2" t="str">
        <f t="shared" si="198"/>
        <v/>
      </c>
      <c r="L390" s="2" t="str">
        <f t="shared" si="199"/>
        <v/>
      </c>
      <c r="M390" s="2" t="str">
        <f t="shared" si="200"/>
        <v/>
      </c>
      <c r="N390" s="2" t="str">
        <f t="shared" si="215"/>
        <v/>
      </c>
      <c r="O390" s="2" t="str">
        <f t="shared" si="216"/>
        <v/>
      </c>
      <c r="P390" s="2" t="str">
        <f t="shared" si="217"/>
        <v/>
      </c>
      <c r="Q390" s="2" t="str">
        <f t="shared" si="201"/>
        <v/>
      </c>
      <c r="R390" s="2" t="str">
        <f t="shared" si="202"/>
        <v/>
      </c>
      <c r="S390" s="2" t="str">
        <f t="shared" si="203"/>
        <v/>
      </c>
      <c r="T390" s="2" t="str">
        <f t="shared" si="218"/>
        <v/>
      </c>
      <c r="U390" s="2" t="str">
        <f t="shared" si="219"/>
        <v/>
      </c>
      <c r="V390" s="2" t="str">
        <f t="shared" si="220"/>
        <v/>
      </c>
      <c r="W390" s="2" t="str">
        <f t="shared" si="204"/>
        <v/>
      </c>
      <c r="X390" s="2" t="str">
        <f t="shared" si="205"/>
        <v/>
      </c>
      <c r="Y390" s="2" t="str">
        <f t="shared" si="206"/>
        <v/>
      </c>
      <c r="Z390" s="2" t="str">
        <f t="shared" si="221"/>
        <v/>
      </c>
      <c r="AA390" s="2" t="str">
        <f t="shared" si="222"/>
        <v/>
      </c>
      <c r="AB390" s="2" t="str">
        <f t="shared" si="223"/>
        <v/>
      </c>
      <c r="AC390" s="2" t="str">
        <f t="shared" si="207"/>
        <v/>
      </c>
      <c r="AD390" s="2" t="str">
        <f t="shared" si="208"/>
        <v/>
      </c>
      <c r="AE390" s="2" t="str">
        <f t="shared" si="209"/>
        <v/>
      </c>
      <c r="AF390" s="2" t="str">
        <f t="shared" si="210"/>
        <v/>
      </c>
    </row>
    <row r="391" spans="1:32" x14ac:dyDescent="0.2">
      <c r="A391" s="2" t="str">
        <f t="shared" si="211"/>
        <v/>
      </c>
      <c r="B391" s="2" t="str">
        <f t="shared" si="192"/>
        <v/>
      </c>
      <c r="C391" s="2" t="str">
        <f t="shared" si="193"/>
        <v/>
      </c>
      <c r="D391" s="2" t="str">
        <f t="shared" si="194"/>
        <v/>
      </c>
      <c r="E391" s="2" t="str">
        <f t="shared" si="195"/>
        <v/>
      </c>
      <c r="F391" s="2" t="str">
        <f t="shared" si="196"/>
        <v/>
      </c>
      <c r="G391" s="2" t="str">
        <f t="shared" si="197"/>
        <v/>
      </c>
      <c r="H391" s="2" t="str">
        <f t="shared" si="212"/>
        <v/>
      </c>
      <c r="I391" s="2" t="str">
        <f t="shared" si="213"/>
        <v/>
      </c>
      <c r="J391" s="2" t="str">
        <f t="shared" si="214"/>
        <v/>
      </c>
      <c r="K391" s="2" t="str">
        <f t="shared" si="198"/>
        <v/>
      </c>
      <c r="L391" s="2" t="str">
        <f t="shared" si="199"/>
        <v/>
      </c>
      <c r="M391" s="2" t="str">
        <f t="shared" si="200"/>
        <v/>
      </c>
      <c r="N391" s="2" t="str">
        <f t="shared" si="215"/>
        <v/>
      </c>
      <c r="O391" s="2" t="str">
        <f t="shared" si="216"/>
        <v/>
      </c>
      <c r="P391" s="2" t="str">
        <f t="shared" si="217"/>
        <v/>
      </c>
      <c r="Q391" s="2" t="str">
        <f t="shared" si="201"/>
        <v/>
      </c>
      <c r="R391" s="2" t="str">
        <f t="shared" si="202"/>
        <v/>
      </c>
      <c r="S391" s="2" t="str">
        <f t="shared" si="203"/>
        <v/>
      </c>
      <c r="T391" s="2" t="str">
        <f t="shared" si="218"/>
        <v/>
      </c>
      <c r="U391" s="2" t="str">
        <f t="shared" si="219"/>
        <v/>
      </c>
      <c r="V391" s="2" t="str">
        <f t="shared" si="220"/>
        <v/>
      </c>
      <c r="W391" s="2" t="str">
        <f t="shared" si="204"/>
        <v/>
      </c>
      <c r="X391" s="2" t="str">
        <f t="shared" si="205"/>
        <v/>
      </c>
      <c r="Y391" s="2" t="str">
        <f t="shared" si="206"/>
        <v/>
      </c>
      <c r="Z391" s="2" t="str">
        <f t="shared" si="221"/>
        <v/>
      </c>
      <c r="AA391" s="2" t="str">
        <f t="shared" si="222"/>
        <v/>
      </c>
      <c r="AB391" s="2" t="str">
        <f t="shared" si="223"/>
        <v/>
      </c>
      <c r="AC391" s="2" t="str">
        <f t="shared" si="207"/>
        <v/>
      </c>
      <c r="AD391" s="2" t="str">
        <f t="shared" si="208"/>
        <v/>
      </c>
      <c r="AE391" s="2" t="str">
        <f t="shared" si="209"/>
        <v/>
      </c>
      <c r="AF391" s="2" t="str">
        <f t="shared" si="210"/>
        <v/>
      </c>
    </row>
    <row r="392" spans="1:32" x14ac:dyDescent="0.2">
      <c r="A392" s="2" t="str">
        <f t="shared" si="211"/>
        <v/>
      </c>
      <c r="B392" s="2" t="str">
        <f t="shared" si="192"/>
        <v/>
      </c>
      <c r="C392" s="2" t="str">
        <f t="shared" si="193"/>
        <v/>
      </c>
      <c r="D392" s="2" t="str">
        <f t="shared" si="194"/>
        <v/>
      </c>
      <c r="E392" s="2" t="str">
        <f t="shared" si="195"/>
        <v/>
      </c>
      <c r="F392" s="2" t="str">
        <f t="shared" si="196"/>
        <v/>
      </c>
      <c r="G392" s="2" t="str">
        <f t="shared" si="197"/>
        <v/>
      </c>
      <c r="H392" s="2" t="str">
        <f t="shared" si="212"/>
        <v/>
      </c>
      <c r="I392" s="2" t="str">
        <f t="shared" si="213"/>
        <v/>
      </c>
      <c r="J392" s="2" t="str">
        <f t="shared" si="214"/>
        <v/>
      </c>
      <c r="K392" s="2" t="str">
        <f t="shared" si="198"/>
        <v/>
      </c>
      <c r="L392" s="2" t="str">
        <f t="shared" si="199"/>
        <v/>
      </c>
      <c r="M392" s="2" t="str">
        <f t="shared" si="200"/>
        <v/>
      </c>
      <c r="N392" s="2" t="str">
        <f t="shared" si="215"/>
        <v/>
      </c>
      <c r="O392" s="2" t="str">
        <f t="shared" si="216"/>
        <v/>
      </c>
      <c r="P392" s="2" t="str">
        <f t="shared" si="217"/>
        <v/>
      </c>
      <c r="Q392" s="2" t="str">
        <f t="shared" si="201"/>
        <v/>
      </c>
      <c r="R392" s="2" t="str">
        <f t="shared" si="202"/>
        <v/>
      </c>
      <c r="S392" s="2" t="str">
        <f t="shared" si="203"/>
        <v/>
      </c>
      <c r="T392" s="2" t="str">
        <f t="shared" si="218"/>
        <v/>
      </c>
      <c r="U392" s="2" t="str">
        <f t="shared" si="219"/>
        <v/>
      </c>
      <c r="V392" s="2" t="str">
        <f t="shared" si="220"/>
        <v/>
      </c>
      <c r="W392" s="2" t="str">
        <f t="shared" si="204"/>
        <v/>
      </c>
      <c r="X392" s="2" t="str">
        <f t="shared" si="205"/>
        <v/>
      </c>
      <c r="Y392" s="2" t="str">
        <f t="shared" si="206"/>
        <v/>
      </c>
      <c r="Z392" s="2" t="str">
        <f t="shared" si="221"/>
        <v/>
      </c>
      <c r="AA392" s="2" t="str">
        <f t="shared" si="222"/>
        <v/>
      </c>
      <c r="AB392" s="2" t="str">
        <f t="shared" si="223"/>
        <v/>
      </c>
      <c r="AC392" s="2" t="str">
        <f t="shared" si="207"/>
        <v/>
      </c>
      <c r="AD392" s="2" t="str">
        <f t="shared" si="208"/>
        <v/>
      </c>
      <c r="AE392" s="2" t="str">
        <f t="shared" si="209"/>
        <v/>
      </c>
      <c r="AF392" s="2" t="str">
        <f t="shared" si="210"/>
        <v/>
      </c>
    </row>
    <row r="393" spans="1:32" x14ac:dyDescent="0.2">
      <c r="A393" s="2" t="str">
        <f t="shared" si="211"/>
        <v/>
      </c>
      <c r="B393" s="2" t="str">
        <f t="shared" si="192"/>
        <v/>
      </c>
      <c r="C393" s="2" t="str">
        <f t="shared" si="193"/>
        <v/>
      </c>
      <c r="D393" s="2" t="str">
        <f t="shared" si="194"/>
        <v/>
      </c>
      <c r="E393" s="2" t="str">
        <f t="shared" si="195"/>
        <v/>
      </c>
      <c r="F393" s="2" t="str">
        <f t="shared" si="196"/>
        <v/>
      </c>
      <c r="G393" s="2" t="str">
        <f t="shared" si="197"/>
        <v/>
      </c>
      <c r="H393" s="2" t="str">
        <f t="shared" si="212"/>
        <v/>
      </c>
      <c r="I393" s="2" t="str">
        <f t="shared" si="213"/>
        <v/>
      </c>
      <c r="J393" s="2" t="str">
        <f t="shared" si="214"/>
        <v/>
      </c>
      <c r="K393" s="2" t="str">
        <f t="shared" si="198"/>
        <v/>
      </c>
      <c r="L393" s="2" t="str">
        <f t="shared" si="199"/>
        <v/>
      </c>
      <c r="M393" s="2" t="str">
        <f t="shared" si="200"/>
        <v/>
      </c>
      <c r="N393" s="2" t="str">
        <f t="shared" si="215"/>
        <v/>
      </c>
      <c r="O393" s="2" t="str">
        <f t="shared" si="216"/>
        <v/>
      </c>
      <c r="P393" s="2" t="str">
        <f t="shared" si="217"/>
        <v/>
      </c>
      <c r="Q393" s="2" t="str">
        <f t="shared" si="201"/>
        <v/>
      </c>
      <c r="R393" s="2" t="str">
        <f t="shared" si="202"/>
        <v/>
      </c>
      <c r="S393" s="2" t="str">
        <f t="shared" si="203"/>
        <v/>
      </c>
      <c r="T393" s="2" t="str">
        <f t="shared" si="218"/>
        <v/>
      </c>
      <c r="U393" s="2" t="str">
        <f t="shared" si="219"/>
        <v/>
      </c>
      <c r="V393" s="2" t="str">
        <f t="shared" si="220"/>
        <v/>
      </c>
      <c r="W393" s="2" t="str">
        <f t="shared" si="204"/>
        <v/>
      </c>
      <c r="X393" s="2" t="str">
        <f t="shared" si="205"/>
        <v/>
      </c>
      <c r="Y393" s="2" t="str">
        <f t="shared" si="206"/>
        <v/>
      </c>
      <c r="Z393" s="2" t="str">
        <f t="shared" si="221"/>
        <v/>
      </c>
      <c r="AA393" s="2" t="str">
        <f t="shared" si="222"/>
        <v/>
      </c>
      <c r="AB393" s="2" t="str">
        <f t="shared" si="223"/>
        <v/>
      </c>
      <c r="AC393" s="2" t="str">
        <f t="shared" si="207"/>
        <v/>
      </c>
      <c r="AD393" s="2" t="str">
        <f t="shared" si="208"/>
        <v/>
      </c>
      <c r="AE393" s="2" t="str">
        <f t="shared" si="209"/>
        <v/>
      </c>
      <c r="AF393" s="2" t="str">
        <f t="shared" si="210"/>
        <v/>
      </c>
    </row>
    <row r="394" spans="1:32" x14ac:dyDescent="0.2">
      <c r="A394" s="2" t="str">
        <f t="shared" si="211"/>
        <v/>
      </c>
      <c r="B394" s="2" t="str">
        <f t="shared" si="192"/>
        <v/>
      </c>
      <c r="C394" s="2" t="str">
        <f t="shared" si="193"/>
        <v/>
      </c>
      <c r="D394" s="2" t="str">
        <f t="shared" si="194"/>
        <v/>
      </c>
      <c r="E394" s="2" t="str">
        <f t="shared" si="195"/>
        <v/>
      </c>
      <c r="F394" s="2" t="str">
        <f t="shared" si="196"/>
        <v/>
      </c>
      <c r="G394" s="2" t="str">
        <f t="shared" si="197"/>
        <v/>
      </c>
      <c r="H394" s="2" t="str">
        <f t="shared" si="212"/>
        <v/>
      </c>
      <c r="I394" s="2" t="str">
        <f t="shared" si="213"/>
        <v/>
      </c>
      <c r="J394" s="2" t="str">
        <f t="shared" si="214"/>
        <v/>
      </c>
      <c r="K394" s="2" t="str">
        <f t="shared" si="198"/>
        <v/>
      </c>
      <c r="L394" s="2" t="str">
        <f t="shared" si="199"/>
        <v/>
      </c>
      <c r="M394" s="2" t="str">
        <f t="shared" si="200"/>
        <v/>
      </c>
      <c r="N394" s="2" t="str">
        <f t="shared" si="215"/>
        <v/>
      </c>
      <c r="O394" s="2" t="str">
        <f t="shared" si="216"/>
        <v/>
      </c>
      <c r="P394" s="2" t="str">
        <f t="shared" si="217"/>
        <v/>
      </c>
      <c r="Q394" s="2" t="str">
        <f t="shared" si="201"/>
        <v/>
      </c>
      <c r="R394" s="2" t="str">
        <f t="shared" si="202"/>
        <v/>
      </c>
      <c r="S394" s="2" t="str">
        <f t="shared" si="203"/>
        <v/>
      </c>
      <c r="T394" s="2" t="str">
        <f t="shared" si="218"/>
        <v/>
      </c>
      <c r="U394" s="2" t="str">
        <f t="shared" si="219"/>
        <v/>
      </c>
      <c r="V394" s="2" t="str">
        <f t="shared" si="220"/>
        <v/>
      </c>
      <c r="W394" s="2" t="str">
        <f t="shared" si="204"/>
        <v/>
      </c>
      <c r="X394" s="2" t="str">
        <f t="shared" si="205"/>
        <v/>
      </c>
      <c r="Y394" s="2" t="str">
        <f t="shared" si="206"/>
        <v/>
      </c>
      <c r="Z394" s="2" t="str">
        <f t="shared" si="221"/>
        <v/>
      </c>
      <c r="AA394" s="2" t="str">
        <f t="shared" si="222"/>
        <v/>
      </c>
      <c r="AB394" s="2" t="str">
        <f t="shared" si="223"/>
        <v/>
      </c>
      <c r="AC394" s="2" t="str">
        <f t="shared" si="207"/>
        <v/>
      </c>
      <c r="AD394" s="2" t="str">
        <f t="shared" si="208"/>
        <v/>
      </c>
      <c r="AE394" s="2" t="str">
        <f t="shared" si="209"/>
        <v/>
      </c>
      <c r="AF394" s="2" t="str">
        <f t="shared" si="210"/>
        <v/>
      </c>
    </row>
    <row r="395" spans="1:32" x14ac:dyDescent="0.2">
      <c r="A395" s="2" t="str">
        <f t="shared" si="211"/>
        <v/>
      </c>
      <c r="B395" s="2" t="str">
        <f t="shared" si="192"/>
        <v/>
      </c>
      <c r="C395" s="2" t="str">
        <f t="shared" si="193"/>
        <v/>
      </c>
      <c r="D395" s="2" t="str">
        <f t="shared" si="194"/>
        <v/>
      </c>
      <c r="E395" s="2" t="str">
        <f t="shared" si="195"/>
        <v/>
      </c>
      <c r="F395" s="2" t="str">
        <f t="shared" si="196"/>
        <v/>
      </c>
      <c r="G395" s="2" t="str">
        <f t="shared" si="197"/>
        <v/>
      </c>
      <c r="H395" s="2" t="str">
        <f t="shared" si="212"/>
        <v/>
      </c>
      <c r="I395" s="2" t="str">
        <f t="shared" si="213"/>
        <v/>
      </c>
      <c r="J395" s="2" t="str">
        <f t="shared" si="214"/>
        <v/>
      </c>
      <c r="K395" s="2" t="str">
        <f t="shared" si="198"/>
        <v/>
      </c>
      <c r="L395" s="2" t="str">
        <f t="shared" si="199"/>
        <v/>
      </c>
      <c r="M395" s="2" t="str">
        <f t="shared" si="200"/>
        <v/>
      </c>
      <c r="N395" s="2" t="str">
        <f t="shared" si="215"/>
        <v/>
      </c>
      <c r="O395" s="2" t="str">
        <f t="shared" si="216"/>
        <v/>
      </c>
      <c r="P395" s="2" t="str">
        <f t="shared" si="217"/>
        <v/>
      </c>
      <c r="Q395" s="2" t="str">
        <f t="shared" si="201"/>
        <v/>
      </c>
      <c r="R395" s="2" t="str">
        <f t="shared" si="202"/>
        <v/>
      </c>
      <c r="S395" s="2" t="str">
        <f t="shared" si="203"/>
        <v/>
      </c>
      <c r="T395" s="2" t="str">
        <f t="shared" si="218"/>
        <v/>
      </c>
      <c r="U395" s="2" t="str">
        <f t="shared" si="219"/>
        <v/>
      </c>
      <c r="V395" s="2" t="str">
        <f t="shared" si="220"/>
        <v/>
      </c>
      <c r="W395" s="2" t="str">
        <f t="shared" si="204"/>
        <v/>
      </c>
      <c r="X395" s="2" t="str">
        <f t="shared" si="205"/>
        <v/>
      </c>
      <c r="Y395" s="2" t="str">
        <f t="shared" si="206"/>
        <v/>
      </c>
      <c r="Z395" s="2" t="str">
        <f t="shared" si="221"/>
        <v/>
      </c>
      <c r="AA395" s="2" t="str">
        <f t="shared" si="222"/>
        <v/>
      </c>
      <c r="AB395" s="2" t="str">
        <f t="shared" si="223"/>
        <v/>
      </c>
      <c r="AC395" s="2" t="str">
        <f t="shared" si="207"/>
        <v/>
      </c>
      <c r="AD395" s="2" t="str">
        <f t="shared" si="208"/>
        <v/>
      </c>
      <c r="AE395" s="2" t="str">
        <f t="shared" si="209"/>
        <v/>
      </c>
      <c r="AF395" s="2" t="str">
        <f t="shared" si="210"/>
        <v/>
      </c>
    </row>
    <row r="396" spans="1:32" x14ac:dyDescent="0.2">
      <c r="A396" s="2" t="str">
        <f t="shared" si="211"/>
        <v/>
      </c>
      <c r="B396" s="2" t="str">
        <f t="shared" si="192"/>
        <v/>
      </c>
      <c r="C396" s="2" t="str">
        <f t="shared" si="193"/>
        <v/>
      </c>
      <c r="D396" s="2" t="str">
        <f t="shared" si="194"/>
        <v/>
      </c>
      <c r="E396" s="2" t="str">
        <f t="shared" si="195"/>
        <v/>
      </c>
      <c r="F396" s="2" t="str">
        <f t="shared" si="196"/>
        <v/>
      </c>
      <c r="G396" s="2" t="str">
        <f t="shared" si="197"/>
        <v/>
      </c>
      <c r="H396" s="2" t="str">
        <f t="shared" si="212"/>
        <v/>
      </c>
      <c r="I396" s="2" t="str">
        <f t="shared" si="213"/>
        <v/>
      </c>
      <c r="J396" s="2" t="str">
        <f t="shared" si="214"/>
        <v/>
      </c>
      <c r="K396" s="2" t="str">
        <f t="shared" si="198"/>
        <v/>
      </c>
      <c r="L396" s="2" t="str">
        <f t="shared" si="199"/>
        <v/>
      </c>
      <c r="M396" s="2" t="str">
        <f t="shared" si="200"/>
        <v/>
      </c>
      <c r="N396" s="2" t="str">
        <f t="shared" si="215"/>
        <v/>
      </c>
      <c r="O396" s="2" t="str">
        <f t="shared" si="216"/>
        <v/>
      </c>
      <c r="P396" s="2" t="str">
        <f t="shared" si="217"/>
        <v/>
      </c>
      <c r="Q396" s="2" t="str">
        <f t="shared" si="201"/>
        <v/>
      </c>
      <c r="R396" s="2" t="str">
        <f t="shared" si="202"/>
        <v/>
      </c>
      <c r="S396" s="2" t="str">
        <f t="shared" si="203"/>
        <v/>
      </c>
      <c r="T396" s="2" t="str">
        <f t="shared" si="218"/>
        <v/>
      </c>
      <c r="U396" s="2" t="str">
        <f t="shared" si="219"/>
        <v/>
      </c>
      <c r="V396" s="2" t="str">
        <f t="shared" si="220"/>
        <v/>
      </c>
      <c r="W396" s="2" t="str">
        <f t="shared" si="204"/>
        <v/>
      </c>
      <c r="X396" s="2" t="str">
        <f t="shared" si="205"/>
        <v/>
      </c>
      <c r="Y396" s="2" t="str">
        <f t="shared" si="206"/>
        <v/>
      </c>
      <c r="Z396" s="2" t="str">
        <f t="shared" si="221"/>
        <v/>
      </c>
      <c r="AA396" s="2" t="str">
        <f t="shared" si="222"/>
        <v/>
      </c>
      <c r="AB396" s="2" t="str">
        <f t="shared" si="223"/>
        <v/>
      </c>
      <c r="AC396" s="2" t="str">
        <f t="shared" si="207"/>
        <v/>
      </c>
      <c r="AD396" s="2" t="str">
        <f t="shared" si="208"/>
        <v/>
      </c>
      <c r="AE396" s="2" t="str">
        <f t="shared" si="209"/>
        <v/>
      </c>
      <c r="AF396" s="2" t="str">
        <f t="shared" si="210"/>
        <v/>
      </c>
    </row>
    <row r="397" spans="1:32" x14ac:dyDescent="0.2">
      <c r="A397" s="2" t="str">
        <f t="shared" si="211"/>
        <v/>
      </c>
      <c r="B397" s="2" t="str">
        <f t="shared" si="192"/>
        <v/>
      </c>
      <c r="C397" s="2" t="str">
        <f t="shared" si="193"/>
        <v/>
      </c>
      <c r="D397" s="2" t="str">
        <f t="shared" si="194"/>
        <v/>
      </c>
      <c r="E397" s="2" t="str">
        <f t="shared" si="195"/>
        <v/>
      </c>
      <c r="F397" s="2" t="str">
        <f t="shared" si="196"/>
        <v/>
      </c>
      <c r="G397" s="2" t="str">
        <f t="shared" si="197"/>
        <v/>
      </c>
      <c r="H397" s="2" t="str">
        <f t="shared" si="212"/>
        <v/>
      </c>
      <c r="I397" s="2" t="str">
        <f t="shared" si="213"/>
        <v/>
      </c>
      <c r="J397" s="2" t="str">
        <f t="shared" si="214"/>
        <v/>
      </c>
      <c r="K397" s="2" t="str">
        <f t="shared" si="198"/>
        <v/>
      </c>
      <c r="L397" s="2" t="str">
        <f t="shared" si="199"/>
        <v/>
      </c>
      <c r="M397" s="2" t="str">
        <f t="shared" si="200"/>
        <v/>
      </c>
      <c r="N397" s="2" t="str">
        <f t="shared" si="215"/>
        <v/>
      </c>
      <c r="O397" s="2" t="str">
        <f t="shared" si="216"/>
        <v/>
      </c>
      <c r="P397" s="2" t="str">
        <f t="shared" si="217"/>
        <v/>
      </c>
      <c r="Q397" s="2" t="str">
        <f t="shared" si="201"/>
        <v/>
      </c>
      <c r="R397" s="2" t="str">
        <f t="shared" si="202"/>
        <v/>
      </c>
      <c r="S397" s="2" t="str">
        <f t="shared" si="203"/>
        <v/>
      </c>
      <c r="T397" s="2" t="str">
        <f t="shared" si="218"/>
        <v/>
      </c>
      <c r="U397" s="2" t="str">
        <f t="shared" si="219"/>
        <v/>
      </c>
      <c r="V397" s="2" t="str">
        <f t="shared" si="220"/>
        <v/>
      </c>
      <c r="W397" s="2" t="str">
        <f t="shared" si="204"/>
        <v/>
      </c>
      <c r="X397" s="2" t="str">
        <f t="shared" si="205"/>
        <v/>
      </c>
      <c r="Y397" s="2" t="str">
        <f t="shared" si="206"/>
        <v/>
      </c>
      <c r="Z397" s="2" t="str">
        <f t="shared" si="221"/>
        <v/>
      </c>
      <c r="AA397" s="2" t="str">
        <f t="shared" si="222"/>
        <v/>
      </c>
      <c r="AB397" s="2" t="str">
        <f t="shared" si="223"/>
        <v/>
      </c>
      <c r="AC397" s="2" t="str">
        <f t="shared" si="207"/>
        <v/>
      </c>
      <c r="AD397" s="2" t="str">
        <f t="shared" si="208"/>
        <v/>
      </c>
      <c r="AE397" s="2" t="str">
        <f t="shared" si="209"/>
        <v/>
      </c>
      <c r="AF397" s="2" t="str">
        <f t="shared" si="210"/>
        <v/>
      </c>
    </row>
    <row r="398" spans="1:32" x14ac:dyDescent="0.2">
      <c r="A398" s="2" t="str">
        <f t="shared" si="211"/>
        <v/>
      </c>
      <c r="B398" s="2" t="str">
        <f t="shared" si="192"/>
        <v/>
      </c>
      <c r="C398" s="2" t="str">
        <f t="shared" si="193"/>
        <v/>
      </c>
      <c r="D398" s="2" t="str">
        <f t="shared" si="194"/>
        <v/>
      </c>
      <c r="E398" s="2" t="str">
        <f t="shared" si="195"/>
        <v/>
      </c>
      <c r="F398" s="2" t="str">
        <f t="shared" si="196"/>
        <v/>
      </c>
      <c r="G398" s="2" t="str">
        <f t="shared" si="197"/>
        <v/>
      </c>
      <c r="H398" s="2" t="str">
        <f t="shared" si="212"/>
        <v/>
      </c>
      <c r="I398" s="2" t="str">
        <f t="shared" si="213"/>
        <v/>
      </c>
      <c r="J398" s="2" t="str">
        <f t="shared" si="214"/>
        <v/>
      </c>
      <c r="K398" s="2" t="str">
        <f t="shared" si="198"/>
        <v/>
      </c>
      <c r="L398" s="2" t="str">
        <f t="shared" si="199"/>
        <v/>
      </c>
      <c r="M398" s="2" t="str">
        <f t="shared" si="200"/>
        <v/>
      </c>
      <c r="N398" s="2" t="str">
        <f t="shared" si="215"/>
        <v/>
      </c>
      <c r="O398" s="2" t="str">
        <f t="shared" si="216"/>
        <v/>
      </c>
      <c r="P398" s="2" t="str">
        <f t="shared" si="217"/>
        <v/>
      </c>
      <c r="Q398" s="2" t="str">
        <f t="shared" si="201"/>
        <v/>
      </c>
      <c r="R398" s="2" t="str">
        <f t="shared" si="202"/>
        <v/>
      </c>
      <c r="S398" s="2" t="str">
        <f t="shared" si="203"/>
        <v/>
      </c>
      <c r="T398" s="2" t="str">
        <f t="shared" si="218"/>
        <v/>
      </c>
      <c r="U398" s="2" t="str">
        <f t="shared" si="219"/>
        <v/>
      </c>
      <c r="V398" s="2" t="str">
        <f t="shared" si="220"/>
        <v/>
      </c>
      <c r="W398" s="2" t="str">
        <f t="shared" si="204"/>
        <v/>
      </c>
      <c r="X398" s="2" t="str">
        <f t="shared" si="205"/>
        <v/>
      </c>
      <c r="Y398" s="2" t="str">
        <f t="shared" si="206"/>
        <v/>
      </c>
      <c r="Z398" s="2" t="str">
        <f t="shared" si="221"/>
        <v/>
      </c>
      <c r="AA398" s="2" t="str">
        <f t="shared" si="222"/>
        <v/>
      </c>
      <c r="AB398" s="2" t="str">
        <f t="shared" si="223"/>
        <v/>
      </c>
      <c r="AC398" s="2" t="str">
        <f t="shared" si="207"/>
        <v/>
      </c>
      <c r="AD398" s="2" t="str">
        <f t="shared" si="208"/>
        <v/>
      </c>
      <c r="AE398" s="2" t="str">
        <f t="shared" si="209"/>
        <v/>
      </c>
      <c r="AF398" s="2" t="str">
        <f t="shared" si="210"/>
        <v/>
      </c>
    </row>
    <row r="399" spans="1:32" x14ac:dyDescent="0.2">
      <c r="A399" s="2" t="str">
        <f t="shared" si="211"/>
        <v/>
      </c>
      <c r="B399" s="2" t="str">
        <f t="shared" si="192"/>
        <v/>
      </c>
      <c r="C399" s="2" t="str">
        <f t="shared" si="193"/>
        <v/>
      </c>
      <c r="D399" s="2" t="str">
        <f t="shared" si="194"/>
        <v/>
      </c>
      <c r="E399" s="2" t="str">
        <f t="shared" si="195"/>
        <v/>
      </c>
      <c r="F399" s="2" t="str">
        <f t="shared" si="196"/>
        <v/>
      </c>
      <c r="G399" s="2" t="str">
        <f t="shared" si="197"/>
        <v/>
      </c>
      <c r="H399" s="2" t="str">
        <f t="shared" si="212"/>
        <v/>
      </c>
      <c r="I399" s="2" t="str">
        <f t="shared" si="213"/>
        <v/>
      </c>
      <c r="J399" s="2" t="str">
        <f t="shared" si="214"/>
        <v/>
      </c>
      <c r="K399" s="2" t="str">
        <f t="shared" si="198"/>
        <v/>
      </c>
      <c r="L399" s="2" t="str">
        <f t="shared" si="199"/>
        <v/>
      </c>
      <c r="M399" s="2" t="str">
        <f t="shared" si="200"/>
        <v/>
      </c>
      <c r="N399" s="2" t="str">
        <f t="shared" si="215"/>
        <v/>
      </c>
      <c r="O399" s="2" t="str">
        <f t="shared" si="216"/>
        <v/>
      </c>
      <c r="P399" s="2" t="str">
        <f t="shared" si="217"/>
        <v/>
      </c>
      <c r="Q399" s="2" t="str">
        <f t="shared" si="201"/>
        <v/>
      </c>
      <c r="R399" s="2" t="str">
        <f t="shared" si="202"/>
        <v/>
      </c>
      <c r="S399" s="2" t="str">
        <f t="shared" si="203"/>
        <v/>
      </c>
      <c r="T399" s="2" t="str">
        <f t="shared" si="218"/>
        <v/>
      </c>
      <c r="U399" s="2" t="str">
        <f t="shared" si="219"/>
        <v/>
      </c>
      <c r="V399" s="2" t="str">
        <f t="shared" si="220"/>
        <v/>
      </c>
      <c r="W399" s="2" t="str">
        <f t="shared" si="204"/>
        <v/>
      </c>
      <c r="X399" s="2" t="str">
        <f t="shared" si="205"/>
        <v/>
      </c>
      <c r="Y399" s="2" t="str">
        <f t="shared" si="206"/>
        <v/>
      </c>
      <c r="Z399" s="2" t="str">
        <f t="shared" si="221"/>
        <v/>
      </c>
      <c r="AA399" s="2" t="str">
        <f t="shared" si="222"/>
        <v/>
      </c>
      <c r="AB399" s="2" t="str">
        <f t="shared" si="223"/>
        <v/>
      </c>
      <c r="AC399" s="2" t="str">
        <f t="shared" si="207"/>
        <v/>
      </c>
      <c r="AD399" s="2" t="str">
        <f t="shared" si="208"/>
        <v/>
      </c>
      <c r="AE399" s="2" t="str">
        <f t="shared" si="209"/>
        <v/>
      </c>
      <c r="AF399" s="2" t="str">
        <f t="shared" si="210"/>
        <v/>
      </c>
    </row>
    <row r="400" spans="1:32" x14ac:dyDescent="0.2">
      <c r="A400" s="2" t="str">
        <f t="shared" si="211"/>
        <v/>
      </c>
      <c r="B400" s="2" t="str">
        <f t="shared" si="192"/>
        <v/>
      </c>
      <c r="C400" s="2" t="str">
        <f t="shared" si="193"/>
        <v/>
      </c>
      <c r="D400" s="2" t="str">
        <f t="shared" si="194"/>
        <v/>
      </c>
      <c r="E400" s="2" t="str">
        <f t="shared" si="195"/>
        <v/>
      </c>
      <c r="F400" s="2" t="str">
        <f t="shared" si="196"/>
        <v/>
      </c>
      <c r="G400" s="2" t="str">
        <f t="shared" si="197"/>
        <v/>
      </c>
      <c r="H400" s="2" t="str">
        <f t="shared" si="212"/>
        <v/>
      </c>
      <c r="I400" s="2" t="str">
        <f t="shared" si="213"/>
        <v/>
      </c>
      <c r="J400" s="2" t="str">
        <f t="shared" si="214"/>
        <v/>
      </c>
      <c r="K400" s="2" t="str">
        <f t="shared" si="198"/>
        <v/>
      </c>
      <c r="L400" s="2" t="str">
        <f t="shared" si="199"/>
        <v/>
      </c>
      <c r="M400" s="2" t="str">
        <f t="shared" si="200"/>
        <v/>
      </c>
      <c r="N400" s="2" t="str">
        <f t="shared" si="215"/>
        <v/>
      </c>
      <c r="O400" s="2" t="str">
        <f t="shared" si="216"/>
        <v/>
      </c>
      <c r="P400" s="2" t="str">
        <f t="shared" si="217"/>
        <v/>
      </c>
      <c r="Q400" s="2" t="str">
        <f t="shared" si="201"/>
        <v/>
      </c>
      <c r="R400" s="2" t="str">
        <f t="shared" si="202"/>
        <v/>
      </c>
      <c r="S400" s="2" t="str">
        <f t="shared" si="203"/>
        <v/>
      </c>
      <c r="T400" s="2" t="str">
        <f t="shared" si="218"/>
        <v/>
      </c>
      <c r="U400" s="2" t="str">
        <f t="shared" si="219"/>
        <v/>
      </c>
      <c r="V400" s="2" t="str">
        <f t="shared" si="220"/>
        <v/>
      </c>
      <c r="W400" s="2" t="str">
        <f t="shared" si="204"/>
        <v/>
      </c>
      <c r="X400" s="2" t="str">
        <f t="shared" si="205"/>
        <v/>
      </c>
      <c r="Y400" s="2" t="str">
        <f t="shared" si="206"/>
        <v/>
      </c>
      <c r="Z400" s="2" t="str">
        <f t="shared" si="221"/>
        <v/>
      </c>
      <c r="AA400" s="2" t="str">
        <f t="shared" si="222"/>
        <v/>
      </c>
      <c r="AB400" s="2" t="str">
        <f t="shared" si="223"/>
        <v/>
      </c>
      <c r="AC400" s="2" t="str">
        <f t="shared" si="207"/>
        <v/>
      </c>
      <c r="AD400" s="2" t="str">
        <f t="shared" si="208"/>
        <v/>
      </c>
      <c r="AE400" s="2" t="str">
        <f t="shared" si="209"/>
        <v/>
      </c>
      <c r="AF400" s="2" t="str">
        <f t="shared" si="210"/>
        <v/>
      </c>
    </row>
    <row r="401" spans="1:32" x14ac:dyDescent="0.2">
      <c r="A401" s="2" t="str">
        <f t="shared" si="211"/>
        <v/>
      </c>
      <c r="B401" s="2" t="str">
        <f t="shared" si="192"/>
        <v/>
      </c>
      <c r="C401" s="2" t="str">
        <f t="shared" si="193"/>
        <v/>
      </c>
      <c r="D401" s="2" t="str">
        <f t="shared" si="194"/>
        <v/>
      </c>
      <c r="E401" s="2" t="str">
        <f t="shared" si="195"/>
        <v/>
      </c>
      <c r="F401" s="2" t="str">
        <f t="shared" si="196"/>
        <v/>
      </c>
      <c r="G401" s="2" t="str">
        <f t="shared" si="197"/>
        <v/>
      </c>
      <c r="H401" s="2" t="str">
        <f t="shared" si="212"/>
        <v/>
      </c>
      <c r="I401" s="2" t="str">
        <f t="shared" si="213"/>
        <v/>
      </c>
      <c r="J401" s="2" t="str">
        <f t="shared" si="214"/>
        <v/>
      </c>
      <c r="K401" s="2" t="str">
        <f t="shared" si="198"/>
        <v/>
      </c>
      <c r="L401" s="2" t="str">
        <f t="shared" si="199"/>
        <v/>
      </c>
      <c r="M401" s="2" t="str">
        <f t="shared" si="200"/>
        <v/>
      </c>
      <c r="N401" s="2" t="str">
        <f t="shared" si="215"/>
        <v/>
      </c>
      <c r="O401" s="2" t="str">
        <f t="shared" si="216"/>
        <v/>
      </c>
      <c r="P401" s="2" t="str">
        <f t="shared" si="217"/>
        <v/>
      </c>
      <c r="Q401" s="2" t="str">
        <f t="shared" si="201"/>
        <v/>
      </c>
      <c r="R401" s="2" t="str">
        <f t="shared" si="202"/>
        <v/>
      </c>
      <c r="S401" s="2" t="str">
        <f t="shared" si="203"/>
        <v/>
      </c>
      <c r="T401" s="2" t="str">
        <f t="shared" si="218"/>
        <v/>
      </c>
      <c r="U401" s="2" t="str">
        <f t="shared" si="219"/>
        <v/>
      </c>
      <c r="V401" s="2" t="str">
        <f t="shared" si="220"/>
        <v/>
      </c>
      <c r="W401" s="2" t="str">
        <f t="shared" si="204"/>
        <v/>
      </c>
      <c r="X401" s="2" t="str">
        <f t="shared" si="205"/>
        <v/>
      </c>
      <c r="Y401" s="2" t="str">
        <f t="shared" si="206"/>
        <v/>
      </c>
      <c r="Z401" s="2" t="str">
        <f t="shared" si="221"/>
        <v/>
      </c>
      <c r="AA401" s="2" t="str">
        <f t="shared" si="222"/>
        <v/>
      </c>
      <c r="AB401" s="2" t="str">
        <f t="shared" si="223"/>
        <v/>
      </c>
      <c r="AC401" s="2" t="str">
        <f t="shared" si="207"/>
        <v/>
      </c>
      <c r="AD401" s="2" t="str">
        <f t="shared" si="208"/>
        <v/>
      </c>
      <c r="AE401" s="2" t="str">
        <f t="shared" si="209"/>
        <v/>
      </c>
      <c r="AF401" s="2" t="str">
        <f t="shared" si="210"/>
        <v/>
      </c>
    </row>
    <row r="402" spans="1:32" x14ac:dyDescent="0.2">
      <c r="A402" s="2" t="str">
        <f t="shared" si="211"/>
        <v/>
      </c>
      <c r="B402" s="2" t="str">
        <f t="shared" si="192"/>
        <v/>
      </c>
      <c r="C402" s="2" t="str">
        <f t="shared" si="193"/>
        <v/>
      </c>
      <c r="D402" s="2" t="str">
        <f t="shared" si="194"/>
        <v/>
      </c>
      <c r="E402" s="2" t="str">
        <f t="shared" si="195"/>
        <v/>
      </c>
      <c r="F402" s="2" t="str">
        <f t="shared" si="196"/>
        <v/>
      </c>
      <c r="G402" s="2" t="str">
        <f t="shared" si="197"/>
        <v/>
      </c>
      <c r="H402" s="2" t="str">
        <f t="shared" si="212"/>
        <v/>
      </c>
      <c r="I402" s="2" t="str">
        <f t="shared" si="213"/>
        <v/>
      </c>
      <c r="J402" s="2" t="str">
        <f t="shared" si="214"/>
        <v/>
      </c>
      <c r="K402" s="2" t="str">
        <f t="shared" si="198"/>
        <v/>
      </c>
      <c r="L402" s="2" t="str">
        <f t="shared" si="199"/>
        <v/>
      </c>
      <c r="M402" s="2" t="str">
        <f t="shared" si="200"/>
        <v/>
      </c>
      <c r="N402" s="2" t="str">
        <f t="shared" si="215"/>
        <v/>
      </c>
      <c r="O402" s="2" t="str">
        <f t="shared" si="216"/>
        <v/>
      </c>
      <c r="P402" s="2" t="str">
        <f t="shared" si="217"/>
        <v/>
      </c>
      <c r="Q402" s="2" t="str">
        <f t="shared" si="201"/>
        <v/>
      </c>
      <c r="R402" s="2" t="str">
        <f t="shared" si="202"/>
        <v/>
      </c>
      <c r="S402" s="2" t="str">
        <f t="shared" si="203"/>
        <v/>
      </c>
      <c r="T402" s="2" t="str">
        <f t="shared" si="218"/>
        <v/>
      </c>
      <c r="U402" s="2" t="str">
        <f t="shared" si="219"/>
        <v/>
      </c>
      <c r="V402" s="2" t="str">
        <f t="shared" si="220"/>
        <v/>
      </c>
      <c r="W402" s="2" t="str">
        <f t="shared" si="204"/>
        <v/>
      </c>
      <c r="X402" s="2" t="str">
        <f t="shared" si="205"/>
        <v/>
      </c>
      <c r="Y402" s="2" t="str">
        <f t="shared" si="206"/>
        <v/>
      </c>
      <c r="Z402" s="2" t="str">
        <f t="shared" si="221"/>
        <v/>
      </c>
      <c r="AA402" s="2" t="str">
        <f t="shared" si="222"/>
        <v/>
      </c>
      <c r="AB402" s="2" t="str">
        <f t="shared" si="223"/>
        <v/>
      </c>
      <c r="AC402" s="2" t="str">
        <f t="shared" si="207"/>
        <v/>
      </c>
      <c r="AD402" s="2" t="str">
        <f t="shared" si="208"/>
        <v/>
      </c>
      <c r="AE402" s="2" t="str">
        <f t="shared" si="209"/>
        <v/>
      </c>
      <c r="AF402" s="2" t="str">
        <f t="shared" si="210"/>
        <v/>
      </c>
    </row>
    <row r="403" spans="1:32" x14ac:dyDescent="0.2">
      <c r="A403" s="2" t="str">
        <f t="shared" si="211"/>
        <v/>
      </c>
      <c r="B403" s="2" t="str">
        <f t="shared" si="192"/>
        <v/>
      </c>
      <c r="C403" s="2" t="str">
        <f t="shared" si="193"/>
        <v/>
      </c>
      <c r="D403" s="2" t="str">
        <f t="shared" si="194"/>
        <v/>
      </c>
      <c r="E403" s="2" t="str">
        <f t="shared" si="195"/>
        <v/>
      </c>
      <c r="F403" s="2" t="str">
        <f t="shared" si="196"/>
        <v/>
      </c>
      <c r="G403" s="2" t="str">
        <f t="shared" si="197"/>
        <v/>
      </c>
      <c r="H403" s="2" t="str">
        <f t="shared" si="212"/>
        <v/>
      </c>
      <c r="I403" s="2" t="str">
        <f t="shared" si="213"/>
        <v/>
      </c>
      <c r="J403" s="2" t="str">
        <f t="shared" si="214"/>
        <v/>
      </c>
      <c r="K403" s="2" t="str">
        <f t="shared" si="198"/>
        <v/>
      </c>
      <c r="L403" s="2" t="str">
        <f t="shared" si="199"/>
        <v/>
      </c>
      <c r="M403" s="2" t="str">
        <f t="shared" si="200"/>
        <v/>
      </c>
      <c r="N403" s="2" t="str">
        <f t="shared" si="215"/>
        <v/>
      </c>
      <c r="O403" s="2" t="str">
        <f t="shared" si="216"/>
        <v/>
      </c>
      <c r="P403" s="2" t="str">
        <f t="shared" si="217"/>
        <v/>
      </c>
      <c r="Q403" s="2" t="str">
        <f t="shared" si="201"/>
        <v/>
      </c>
      <c r="R403" s="2" t="str">
        <f t="shared" si="202"/>
        <v/>
      </c>
      <c r="S403" s="2" t="str">
        <f t="shared" si="203"/>
        <v/>
      </c>
      <c r="T403" s="2" t="str">
        <f t="shared" si="218"/>
        <v/>
      </c>
      <c r="U403" s="2" t="str">
        <f t="shared" si="219"/>
        <v/>
      </c>
      <c r="V403" s="2" t="str">
        <f t="shared" si="220"/>
        <v/>
      </c>
      <c r="W403" s="2" t="str">
        <f t="shared" si="204"/>
        <v/>
      </c>
      <c r="X403" s="2" t="str">
        <f t="shared" si="205"/>
        <v/>
      </c>
      <c r="Y403" s="2" t="str">
        <f t="shared" si="206"/>
        <v/>
      </c>
      <c r="Z403" s="2" t="str">
        <f t="shared" si="221"/>
        <v/>
      </c>
      <c r="AA403" s="2" t="str">
        <f t="shared" si="222"/>
        <v/>
      </c>
      <c r="AB403" s="2" t="str">
        <f t="shared" si="223"/>
        <v/>
      </c>
      <c r="AC403" s="2" t="str">
        <f t="shared" si="207"/>
        <v/>
      </c>
      <c r="AD403" s="2" t="str">
        <f t="shared" si="208"/>
        <v/>
      </c>
      <c r="AE403" s="2" t="str">
        <f t="shared" si="209"/>
        <v/>
      </c>
      <c r="AF403" s="2" t="str">
        <f t="shared" si="210"/>
        <v/>
      </c>
    </row>
    <row r="404" spans="1:32" x14ac:dyDescent="0.2">
      <c r="A404" s="2" t="str">
        <f t="shared" si="211"/>
        <v/>
      </c>
      <c r="B404" s="2" t="str">
        <f t="shared" si="192"/>
        <v/>
      </c>
      <c r="C404" s="2" t="str">
        <f t="shared" si="193"/>
        <v/>
      </c>
      <c r="D404" s="2" t="str">
        <f t="shared" si="194"/>
        <v/>
      </c>
      <c r="E404" s="2" t="str">
        <f t="shared" si="195"/>
        <v/>
      </c>
      <c r="F404" s="2" t="str">
        <f t="shared" si="196"/>
        <v/>
      </c>
      <c r="G404" s="2" t="str">
        <f t="shared" si="197"/>
        <v/>
      </c>
      <c r="H404" s="2" t="str">
        <f t="shared" si="212"/>
        <v/>
      </c>
      <c r="I404" s="2" t="str">
        <f t="shared" si="213"/>
        <v/>
      </c>
      <c r="J404" s="2" t="str">
        <f t="shared" si="214"/>
        <v/>
      </c>
      <c r="K404" s="2" t="str">
        <f t="shared" si="198"/>
        <v/>
      </c>
      <c r="L404" s="2" t="str">
        <f t="shared" si="199"/>
        <v/>
      </c>
      <c r="M404" s="2" t="str">
        <f t="shared" si="200"/>
        <v/>
      </c>
      <c r="N404" s="2" t="str">
        <f t="shared" si="215"/>
        <v/>
      </c>
      <c r="O404" s="2" t="str">
        <f t="shared" si="216"/>
        <v/>
      </c>
      <c r="P404" s="2" t="str">
        <f t="shared" si="217"/>
        <v/>
      </c>
      <c r="Q404" s="2" t="str">
        <f t="shared" si="201"/>
        <v/>
      </c>
      <c r="R404" s="2" t="str">
        <f t="shared" si="202"/>
        <v/>
      </c>
      <c r="S404" s="2" t="str">
        <f t="shared" si="203"/>
        <v/>
      </c>
      <c r="T404" s="2" t="str">
        <f t="shared" si="218"/>
        <v/>
      </c>
      <c r="U404" s="2" t="str">
        <f t="shared" si="219"/>
        <v/>
      </c>
      <c r="V404" s="2" t="str">
        <f t="shared" si="220"/>
        <v/>
      </c>
      <c r="W404" s="2" t="str">
        <f t="shared" si="204"/>
        <v/>
      </c>
      <c r="X404" s="2" t="str">
        <f t="shared" si="205"/>
        <v/>
      </c>
      <c r="Y404" s="2" t="str">
        <f t="shared" si="206"/>
        <v/>
      </c>
      <c r="Z404" s="2" t="str">
        <f t="shared" si="221"/>
        <v/>
      </c>
      <c r="AA404" s="2" t="str">
        <f t="shared" si="222"/>
        <v/>
      </c>
      <c r="AB404" s="2" t="str">
        <f t="shared" si="223"/>
        <v/>
      </c>
      <c r="AC404" s="2" t="str">
        <f t="shared" si="207"/>
        <v/>
      </c>
      <c r="AD404" s="2" t="str">
        <f t="shared" si="208"/>
        <v/>
      </c>
      <c r="AE404" s="2" t="str">
        <f t="shared" si="209"/>
        <v/>
      </c>
      <c r="AF404" s="2" t="str">
        <f t="shared" si="210"/>
        <v/>
      </c>
    </row>
    <row r="405" spans="1:32" x14ac:dyDescent="0.2">
      <c r="A405" s="2" t="str">
        <f t="shared" si="211"/>
        <v/>
      </c>
      <c r="B405" s="2" t="str">
        <f t="shared" si="192"/>
        <v/>
      </c>
      <c r="C405" s="2" t="str">
        <f t="shared" si="193"/>
        <v/>
      </c>
      <c r="D405" s="2" t="str">
        <f t="shared" si="194"/>
        <v/>
      </c>
      <c r="E405" s="2" t="str">
        <f t="shared" si="195"/>
        <v/>
      </c>
      <c r="F405" s="2" t="str">
        <f t="shared" si="196"/>
        <v/>
      </c>
      <c r="G405" s="2" t="str">
        <f t="shared" si="197"/>
        <v/>
      </c>
      <c r="H405" s="2" t="str">
        <f t="shared" si="212"/>
        <v/>
      </c>
      <c r="I405" s="2" t="str">
        <f t="shared" si="213"/>
        <v/>
      </c>
      <c r="J405" s="2" t="str">
        <f t="shared" si="214"/>
        <v/>
      </c>
      <c r="K405" s="2" t="str">
        <f t="shared" si="198"/>
        <v/>
      </c>
      <c r="L405" s="2" t="str">
        <f t="shared" si="199"/>
        <v/>
      </c>
      <c r="M405" s="2" t="str">
        <f t="shared" si="200"/>
        <v/>
      </c>
      <c r="N405" s="2" t="str">
        <f t="shared" si="215"/>
        <v/>
      </c>
      <c r="O405" s="2" t="str">
        <f t="shared" si="216"/>
        <v/>
      </c>
      <c r="P405" s="2" t="str">
        <f t="shared" si="217"/>
        <v/>
      </c>
      <c r="Q405" s="2" t="str">
        <f t="shared" si="201"/>
        <v/>
      </c>
      <c r="R405" s="2" t="str">
        <f t="shared" si="202"/>
        <v/>
      </c>
      <c r="S405" s="2" t="str">
        <f t="shared" si="203"/>
        <v/>
      </c>
      <c r="T405" s="2" t="str">
        <f t="shared" si="218"/>
        <v/>
      </c>
      <c r="U405" s="2" t="str">
        <f t="shared" si="219"/>
        <v/>
      </c>
      <c r="V405" s="2" t="str">
        <f t="shared" si="220"/>
        <v/>
      </c>
      <c r="W405" s="2" t="str">
        <f t="shared" si="204"/>
        <v/>
      </c>
      <c r="X405" s="2" t="str">
        <f t="shared" si="205"/>
        <v/>
      </c>
      <c r="Y405" s="2" t="str">
        <f t="shared" si="206"/>
        <v/>
      </c>
      <c r="Z405" s="2" t="str">
        <f t="shared" si="221"/>
        <v/>
      </c>
      <c r="AA405" s="2" t="str">
        <f t="shared" si="222"/>
        <v/>
      </c>
      <c r="AB405" s="2" t="str">
        <f t="shared" si="223"/>
        <v/>
      </c>
      <c r="AC405" s="2" t="str">
        <f t="shared" si="207"/>
        <v/>
      </c>
      <c r="AD405" s="2" t="str">
        <f t="shared" si="208"/>
        <v/>
      </c>
      <c r="AE405" s="2" t="str">
        <f t="shared" si="209"/>
        <v/>
      </c>
      <c r="AF405" s="2" t="str">
        <f t="shared" si="210"/>
        <v/>
      </c>
    </row>
    <row r="406" spans="1:32" x14ac:dyDescent="0.2">
      <c r="A406" s="2" t="str">
        <f t="shared" si="211"/>
        <v/>
      </c>
      <c r="B406" s="2" t="str">
        <f t="shared" si="192"/>
        <v/>
      </c>
      <c r="C406" s="2" t="str">
        <f t="shared" si="193"/>
        <v/>
      </c>
      <c r="D406" s="2" t="str">
        <f t="shared" si="194"/>
        <v/>
      </c>
      <c r="E406" s="2" t="str">
        <f t="shared" si="195"/>
        <v/>
      </c>
      <c r="F406" s="2" t="str">
        <f t="shared" si="196"/>
        <v/>
      </c>
      <c r="G406" s="2" t="str">
        <f t="shared" si="197"/>
        <v/>
      </c>
      <c r="H406" s="2" t="str">
        <f t="shared" si="212"/>
        <v/>
      </c>
      <c r="I406" s="2" t="str">
        <f t="shared" si="213"/>
        <v/>
      </c>
      <c r="J406" s="2" t="str">
        <f t="shared" si="214"/>
        <v/>
      </c>
      <c r="K406" s="2" t="str">
        <f t="shared" si="198"/>
        <v/>
      </c>
      <c r="L406" s="2" t="str">
        <f t="shared" si="199"/>
        <v/>
      </c>
      <c r="M406" s="2" t="str">
        <f t="shared" si="200"/>
        <v/>
      </c>
      <c r="N406" s="2" t="str">
        <f t="shared" si="215"/>
        <v/>
      </c>
      <c r="O406" s="2" t="str">
        <f t="shared" si="216"/>
        <v/>
      </c>
      <c r="P406" s="2" t="str">
        <f t="shared" si="217"/>
        <v/>
      </c>
      <c r="Q406" s="2" t="str">
        <f t="shared" si="201"/>
        <v/>
      </c>
      <c r="R406" s="2" t="str">
        <f t="shared" si="202"/>
        <v/>
      </c>
      <c r="S406" s="2" t="str">
        <f t="shared" si="203"/>
        <v/>
      </c>
      <c r="T406" s="2" t="str">
        <f t="shared" si="218"/>
        <v/>
      </c>
      <c r="U406" s="2" t="str">
        <f t="shared" si="219"/>
        <v/>
      </c>
      <c r="V406" s="2" t="str">
        <f t="shared" si="220"/>
        <v/>
      </c>
      <c r="W406" s="2" t="str">
        <f t="shared" si="204"/>
        <v/>
      </c>
      <c r="X406" s="2" t="str">
        <f t="shared" si="205"/>
        <v/>
      </c>
      <c r="Y406" s="2" t="str">
        <f t="shared" si="206"/>
        <v/>
      </c>
      <c r="Z406" s="2" t="str">
        <f t="shared" si="221"/>
        <v/>
      </c>
      <c r="AA406" s="2" t="str">
        <f t="shared" si="222"/>
        <v/>
      </c>
      <c r="AB406" s="2" t="str">
        <f t="shared" si="223"/>
        <v/>
      </c>
      <c r="AC406" s="2" t="str">
        <f t="shared" si="207"/>
        <v/>
      </c>
      <c r="AD406" s="2" t="str">
        <f t="shared" si="208"/>
        <v/>
      </c>
      <c r="AE406" s="2" t="str">
        <f t="shared" si="209"/>
        <v/>
      </c>
      <c r="AF406" s="2" t="str">
        <f t="shared" si="210"/>
        <v/>
      </c>
    </row>
    <row r="407" spans="1:32" x14ac:dyDescent="0.2">
      <c r="A407" s="2" t="str">
        <f t="shared" si="211"/>
        <v/>
      </c>
      <c r="B407" s="2" t="str">
        <f t="shared" si="192"/>
        <v/>
      </c>
      <c r="C407" s="2" t="str">
        <f t="shared" si="193"/>
        <v/>
      </c>
      <c r="D407" s="2" t="str">
        <f t="shared" si="194"/>
        <v/>
      </c>
      <c r="E407" s="2" t="str">
        <f t="shared" si="195"/>
        <v/>
      </c>
      <c r="F407" s="2" t="str">
        <f t="shared" si="196"/>
        <v/>
      </c>
      <c r="G407" s="2" t="str">
        <f t="shared" si="197"/>
        <v/>
      </c>
      <c r="H407" s="2" t="str">
        <f t="shared" si="212"/>
        <v/>
      </c>
      <c r="I407" s="2" t="str">
        <f t="shared" si="213"/>
        <v/>
      </c>
      <c r="J407" s="2" t="str">
        <f t="shared" si="214"/>
        <v/>
      </c>
      <c r="K407" s="2" t="str">
        <f t="shared" si="198"/>
        <v/>
      </c>
      <c r="L407" s="2" t="str">
        <f t="shared" si="199"/>
        <v/>
      </c>
      <c r="M407" s="2" t="str">
        <f t="shared" si="200"/>
        <v/>
      </c>
      <c r="N407" s="2" t="str">
        <f t="shared" si="215"/>
        <v/>
      </c>
      <c r="O407" s="2" t="str">
        <f t="shared" si="216"/>
        <v/>
      </c>
      <c r="P407" s="2" t="str">
        <f t="shared" si="217"/>
        <v/>
      </c>
      <c r="Q407" s="2" t="str">
        <f t="shared" si="201"/>
        <v/>
      </c>
      <c r="R407" s="2" t="str">
        <f t="shared" si="202"/>
        <v/>
      </c>
      <c r="S407" s="2" t="str">
        <f t="shared" si="203"/>
        <v/>
      </c>
      <c r="T407" s="2" t="str">
        <f t="shared" si="218"/>
        <v/>
      </c>
      <c r="U407" s="2" t="str">
        <f t="shared" si="219"/>
        <v/>
      </c>
      <c r="V407" s="2" t="str">
        <f t="shared" si="220"/>
        <v/>
      </c>
      <c r="W407" s="2" t="str">
        <f t="shared" si="204"/>
        <v/>
      </c>
      <c r="X407" s="2" t="str">
        <f t="shared" si="205"/>
        <v/>
      </c>
      <c r="Y407" s="2" t="str">
        <f t="shared" si="206"/>
        <v/>
      </c>
      <c r="Z407" s="2" t="str">
        <f t="shared" si="221"/>
        <v/>
      </c>
      <c r="AA407" s="2" t="str">
        <f t="shared" si="222"/>
        <v/>
      </c>
      <c r="AB407" s="2" t="str">
        <f t="shared" si="223"/>
        <v/>
      </c>
      <c r="AC407" s="2" t="str">
        <f t="shared" si="207"/>
        <v/>
      </c>
      <c r="AD407" s="2" t="str">
        <f t="shared" si="208"/>
        <v/>
      </c>
      <c r="AE407" s="2" t="str">
        <f t="shared" si="209"/>
        <v/>
      </c>
      <c r="AF407" s="2" t="str">
        <f t="shared" si="210"/>
        <v/>
      </c>
    </row>
    <row r="408" spans="1:32" x14ac:dyDescent="0.2">
      <c r="A408" s="2" t="str">
        <f t="shared" si="211"/>
        <v/>
      </c>
      <c r="B408" s="2" t="str">
        <f t="shared" si="192"/>
        <v/>
      </c>
      <c r="C408" s="2" t="str">
        <f t="shared" si="193"/>
        <v/>
      </c>
      <c r="D408" s="2" t="str">
        <f t="shared" si="194"/>
        <v/>
      </c>
      <c r="E408" s="2" t="str">
        <f t="shared" si="195"/>
        <v/>
      </c>
      <c r="F408" s="2" t="str">
        <f t="shared" si="196"/>
        <v/>
      </c>
      <c r="G408" s="2" t="str">
        <f t="shared" si="197"/>
        <v/>
      </c>
      <c r="H408" s="2" t="str">
        <f t="shared" si="212"/>
        <v/>
      </c>
      <c r="I408" s="2" t="str">
        <f t="shared" si="213"/>
        <v/>
      </c>
      <c r="J408" s="2" t="str">
        <f t="shared" si="214"/>
        <v/>
      </c>
      <c r="K408" s="2" t="str">
        <f t="shared" si="198"/>
        <v/>
      </c>
      <c r="L408" s="2" t="str">
        <f t="shared" si="199"/>
        <v/>
      </c>
      <c r="M408" s="2" t="str">
        <f t="shared" si="200"/>
        <v/>
      </c>
      <c r="N408" s="2" t="str">
        <f t="shared" si="215"/>
        <v/>
      </c>
      <c r="O408" s="2" t="str">
        <f t="shared" si="216"/>
        <v/>
      </c>
      <c r="P408" s="2" t="str">
        <f t="shared" si="217"/>
        <v/>
      </c>
      <c r="Q408" s="2" t="str">
        <f t="shared" si="201"/>
        <v/>
      </c>
      <c r="R408" s="2" t="str">
        <f t="shared" si="202"/>
        <v/>
      </c>
      <c r="S408" s="2" t="str">
        <f t="shared" si="203"/>
        <v/>
      </c>
      <c r="T408" s="2" t="str">
        <f t="shared" si="218"/>
        <v/>
      </c>
      <c r="U408" s="2" t="str">
        <f t="shared" si="219"/>
        <v/>
      </c>
      <c r="V408" s="2" t="str">
        <f t="shared" si="220"/>
        <v/>
      </c>
      <c r="W408" s="2" t="str">
        <f t="shared" si="204"/>
        <v/>
      </c>
      <c r="X408" s="2" t="str">
        <f t="shared" si="205"/>
        <v/>
      </c>
      <c r="Y408" s="2" t="str">
        <f t="shared" si="206"/>
        <v/>
      </c>
      <c r="Z408" s="2" t="str">
        <f t="shared" si="221"/>
        <v/>
      </c>
      <c r="AA408" s="2" t="str">
        <f t="shared" si="222"/>
        <v/>
      </c>
      <c r="AB408" s="2" t="str">
        <f t="shared" si="223"/>
        <v/>
      </c>
      <c r="AC408" s="2" t="str">
        <f t="shared" si="207"/>
        <v/>
      </c>
      <c r="AD408" s="2" t="str">
        <f t="shared" si="208"/>
        <v/>
      </c>
      <c r="AE408" s="2" t="str">
        <f t="shared" si="209"/>
        <v/>
      </c>
      <c r="AF408" s="2" t="str">
        <f t="shared" si="210"/>
        <v/>
      </c>
    </row>
    <row r="409" spans="1:32" x14ac:dyDescent="0.2">
      <c r="A409" s="2" t="str">
        <f t="shared" si="211"/>
        <v/>
      </c>
      <c r="B409" s="2" t="str">
        <f t="shared" si="192"/>
        <v/>
      </c>
      <c r="C409" s="2" t="str">
        <f t="shared" si="193"/>
        <v/>
      </c>
      <c r="D409" s="2" t="str">
        <f t="shared" si="194"/>
        <v/>
      </c>
      <c r="E409" s="2" t="str">
        <f t="shared" si="195"/>
        <v/>
      </c>
      <c r="F409" s="2" t="str">
        <f t="shared" si="196"/>
        <v/>
      </c>
      <c r="G409" s="2" t="str">
        <f t="shared" si="197"/>
        <v/>
      </c>
      <c r="H409" s="2" t="str">
        <f t="shared" si="212"/>
        <v/>
      </c>
      <c r="I409" s="2" t="str">
        <f t="shared" si="213"/>
        <v/>
      </c>
      <c r="J409" s="2" t="str">
        <f t="shared" si="214"/>
        <v/>
      </c>
      <c r="K409" s="2" t="str">
        <f t="shared" si="198"/>
        <v/>
      </c>
      <c r="L409" s="2" t="str">
        <f t="shared" si="199"/>
        <v/>
      </c>
      <c r="M409" s="2" t="str">
        <f t="shared" si="200"/>
        <v/>
      </c>
      <c r="N409" s="2" t="str">
        <f t="shared" si="215"/>
        <v/>
      </c>
      <c r="O409" s="2" t="str">
        <f t="shared" si="216"/>
        <v/>
      </c>
      <c r="P409" s="2" t="str">
        <f t="shared" si="217"/>
        <v/>
      </c>
      <c r="Q409" s="2" t="str">
        <f t="shared" si="201"/>
        <v/>
      </c>
      <c r="R409" s="2" t="str">
        <f t="shared" si="202"/>
        <v/>
      </c>
      <c r="S409" s="2" t="str">
        <f t="shared" si="203"/>
        <v/>
      </c>
      <c r="T409" s="2" t="str">
        <f t="shared" si="218"/>
        <v/>
      </c>
      <c r="U409" s="2" t="str">
        <f t="shared" si="219"/>
        <v/>
      </c>
      <c r="V409" s="2" t="str">
        <f t="shared" si="220"/>
        <v/>
      </c>
      <c r="W409" s="2" t="str">
        <f t="shared" si="204"/>
        <v/>
      </c>
      <c r="X409" s="2" t="str">
        <f t="shared" si="205"/>
        <v/>
      </c>
      <c r="Y409" s="2" t="str">
        <f t="shared" si="206"/>
        <v/>
      </c>
      <c r="Z409" s="2" t="str">
        <f t="shared" si="221"/>
        <v/>
      </c>
      <c r="AA409" s="2" t="str">
        <f t="shared" si="222"/>
        <v/>
      </c>
      <c r="AB409" s="2" t="str">
        <f t="shared" si="223"/>
        <v/>
      </c>
      <c r="AC409" s="2" t="str">
        <f t="shared" si="207"/>
        <v/>
      </c>
      <c r="AD409" s="2" t="str">
        <f t="shared" si="208"/>
        <v/>
      </c>
      <c r="AE409" s="2" t="str">
        <f t="shared" si="209"/>
        <v/>
      </c>
      <c r="AF409" s="2" t="str">
        <f t="shared" si="210"/>
        <v/>
      </c>
    </row>
    <row r="410" spans="1:32" x14ac:dyDescent="0.2">
      <c r="A410" s="2" t="str">
        <f t="shared" si="211"/>
        <v/>
      </c>
      <c r="B410" s="2" t="str">
        <f t="shared" si="192"/>
        <v/>
      </c>
      <c r="C410" s="2" t="str">
        <f t="shared" si="193"/>
        <v/>
      </c>
      <c r="D410" s="2" t="str">
        <f t="shared" si="194"/>
        <v/>
      </c>
      <c r="E410" s="2" t="str">
        <f t="shared" si="195"/>
        <v/>
      </c>
      <c r="F410" s="2" t="str">
        <f t="shared" si="196"/>
        <v/>
      </c>
      <c r="G410" s="2" t="str">
        <f t="shared" si="197"/>
        <v/>
      </c>
      <c r="H410" s="2" t="str">
        <f t="shared" si="212"/>
        <v/>
      </c>
      <c r="I410" s="2" t="str">
        <f t="shared" si="213"/>
        <v/>
      </c>
      <c r="J410" s="2" t="str">
        <f t="shared" si="214"/>
        <v/>
      </c>
      <c r="K410" s="2" t="str">
        <f t="shared" si="198"/>
        <v/>
      </c>
      <c r="L410" s="2" t="str">
        <f t="shared" si="199"/>
        <v/>
      </c>
      <c r="M410" s="2" t="str">
        <f t="shared" si="200"/>
        <v/>
      </c>
      <c r="N410" s="2" t="str">
        <f t="shared" si="215"/>
        <v/>
      </c>
      <c r="O410" s="2" t="str">
        <f t="shared" si="216"/>
        <v/>
      </c>
      <c r="P410" s="2" t="str">
        <f t="shared" si="217"/>
        <v/>
      </c>
      <c r="Q410" s="2" t="str">
        <f t="shared" si="201"/>
        <v/>
      </c>
      <c r="R410" s="2" t="str">
        <f t="shared" si="202"/>
        <v/>
      </c>
      <c r="S410" s="2" t="str">
        <f t="shared" si="203"/>
        <v/>
      </c>
      <c r="T410" s="2" t="str">
        <f t="shared" si="218"/>
        <v/>
      </c>
      <c r="U410" s="2" t="str">
        <f t="shared" si="219"/>
        <v/>
      </c>
      <c r="V410" s="2" t="str">
        <f t="shared" si="220"/>
        <v/>
      </c>
      <c r="W410" s="2" t="str">
        <f t="shared" si="204"/>
        <v/>
      </c>
      <c r="X410" s="2" t="str">
        <f t="shared" si="205"/>
        <v/>
      </c>
      <c r="Y410" s="2" t="str">
        <f t="shared" si="206"/>
        <v/>
      </c>
      <c r="Z410" s="2" t="str">
        <f t="shared" si="221"/>
        <v/>
      </c>
      <c r="AA410" s="2" t="str">
        <f t="shared" si="222"/>
        <v/>
      </c>
      <c r="AB410" s="2" t="str">
        <f t="shared" si="223"/>
        <v/>
      </c>
      <c r="AC410" s="2" t="str">
        <f t="shared" si="207"/>
        <v/>
      </c>
      <c r="AD410" s="2" t="str">
        <f t="shared" si="208"/>
        <v/>
      </c>
      <c r="AE410" s="2" t="str">
        <f t="shared" si="209"/>
        <v/>
      </c>
      <c r="AF410" s="2" t="str">
        <f t="shared" si="210"/>
        <v/>
      </c>
    </row>
    <row r="411" spans="1:32" x14ac:dyDescent="0.2">
      <c r="A411" s="2" t="str">
        <f t="shared" si="211"/>
        <v/>
      </c>
      <c r="B411" s="2" t="str">
        <f t="shared" si="192"/>
        <v/>
      </c>
      <c r="C411" s="2" t="str">
        <f t="shared" si="193"/>
        <v/>
      </c>
      <c r="D411" s="2" t="str">
        <f t="shared" si="194"/>
        <v/>
      </c>
      <c r="E411" s="2" t="str">
        <f t="shared" si="195"/>
        <v/>
      </c>
      <c r="F411" s="2" t="str">
        <f t="shared" si="196"/>
        <v/>
      </c>
      <c r="G411" s="2" t="str">
        <f t="shared" si="197"/>
        <v/>
      </c>
      <c r="H411" s="2" t="str">
        <f t="shared" si="212"/>
        <v/>
      </c>
      <c r="I411" s="2" t="str">
        <f t="shared" si="213"/>
        <v/>
      </c>
      <c r="J411" s="2" t="str">
        <f t="shared" si="214"/>
        <v/>
      </c>
      <c r="K411" s="2" t="str">
        <f t="shared" si="198"/>
        <v/>
      </c>
      <c r="L411" s="2" t="str">
        <f t="shared" si="199"/>
        <v/>
      </c>
      <c r="M411" s="2" t="str">
        <f t="shared" si="200"/>
        <v/>
      </c>
      <c r="N411" s="2" t="str">
        <f t="shared" si="215"/>
        <v/>
      </c>
      <c r="O411" s="2" t="str">
        <f t="shared" si="216"/>
        <v/>
      </c>
      <c r="P411" s="2" t="str">
        <f t="shared" si="217"/>
        <v/>
      </c>
      <c r="Q411" s="2" t="str">
        <f t="shared" si="201"/>
        <v/>
      </c>
      <c r="R411" s="2" t="str">
        <f t="shared" si="202"/>
        <v/>
      </c>
      <c r="S411" s="2" t="str">
        <f t="shared" si="203"/>
        <v/>
      </c>
      <c r="T411" s="2" t="str">
        <f t="shared" si="218"/>
        <v/>
      </c>
      <c r="U411" s="2" t="str">
        <f t="shared" si="219"/>
        <v/>
      </c>
      <c r="V411" s="2" t="str">
        <f t="shared" si="220"/>
        <v/>
      </c>
      <c r="W411" s="2" t="str">
        <f t="shared" si="204"/>
        <v/>
      </c>
      <c r="X411" s="2" t="str">
        <f t="shared" si="205"/>
        <v/>
      </c>
      <c r="Y411" s="2" t="str">
        <f t="shared" si="206"/>
        <v/>
      </c>
      <c r="Z411" s="2" t="str">
        <f t="shared" si="221"/>
        <v/>
      </c>
      <c r="AA411" s="2" t="str">
        <f t="shared" si="222"/>
        <v/>
      </c>
      <c r="AB411" s="2" t="str">
        <f t="shared" si="223"/>
        <v/>
      </c>
      <c r="AC411" s="2" t="str">
        <f t="shared" si="207"/>
        <v/>
      </c>
      <c r="AD411" s="2" t="str">
        <f t="shared" si="208"/>
        <v/>
      </c>
      <c r="AE411" s="2" t="str">
        <f t="shared" si="209"/>
        <v/>
      </c>
      <c r="AF411" s="2" t="str">
        <f t="shared" si="210"/>
        <v/>
      </c>
    </row>
    <row r="412" spans="1:32" x14ac:dyDescent="0.2">
      <c r="A412" s="2" t="str">
        <f t="shared" si="211"/>
        <v/>
      </c>
      <c r="B412" s="2" t="str">
        <f t="shared" si="192"/>
        <v/>
      </c>
      <c r="C412" s="2" t="str">
        <f t="shared" si="193"/>
        <v/>
      </c>
      <c r="D412" s="2" t="str">
        <f t="shared" si="194"/>
        <v/>
      </c>
      <c r="E412" s="2" t="str">
        <f t="shared" si="195"/>
        <v/>
      </c>
      <c r="F412" s="2" t="str">
        <f t="shared" si="196"/>
        <v/>
      </c>
      <c r="G412" s="2" t="str">
        <f t="shared" si="197"/>
        <v/>
      </c>
      <c r="H412" s="2" t="str">
        <f t="shared" si="212"/>
        <v/>
      </c>
      <c r="I412" s="2" t="str">
        <f t="shared" si="213"/>
        <v/>
      </c>
      <c r="J412" s="2" t="str">
        <f t="shared" si="214"/>
        <v/>
      </c>
      <c r="K412" s="2" t="str">
        <f t="shared" si="198"/>
        <v/>
      </c>
      <c r="L412" s="2" t="str">
        <f t="shared" si="199"/>
        <v/>
      </c>
      <c r="M412" s="2" t="str">
        <f t="shared" si="200"/>
        <v/>
      </c>
      <c r="N412" s="2" t="str">
        <f t="shared" si="215"/>
        <v/>
      </c>
      <c r="O412" s="2" t="str">
        <f t="shared" si="216"/>
        <v/>
      </c>
      <c r="P412" s="2" t="str">
        <f t="shared" si="217"/>
        <v/>
      </c>
      <c r="Q412" s="2" t="str">
        <f t="shared" si="201"/>
        <v/>
      </c>
      <c r="R412" s="2" t="str">
        <f t="shared" si="202"/>
        <v/>
      </c>
      <c r="S412" s="2" t="str">
        <f t="shared" si="203"/>
        <v/>
      </c>
      <c r="T412" s="2" t="str">
        <f t="shared" si="218"/>
        <v/>
      </c>
      <c r="U412" s="2" t="str">
        <f t="shared" si="219"/>
        <v/>
      </c>
      <c r="V412" s="2" t="str">
        <f t="shared" si="220"/>
        <v/>
      </c>
      <c r="W412" s="2" t="str">
        <f t="shared" si="204"/>
        <v/>
      </c>
      <c r="X412" s="2" t="str">
        <f t="shared" si="205"/>
        <v/>
      </c>
      <c r="Y412" s="2" t="str">
        <f t="shared" si="206"/>
        <v/>
      </c>
      <c r="Z412" s="2" t="str">
        <f t="shared" si="221"/>
        <v/>
      </c>
      <c r="AA412" s="2" t="str">
        <f t="shared" si="222"/>
        <v/>
      </c>
      <c r="AB412" s="2" t="str">
        <f t="shared" si="223"/>
        <v/>
      </c>
      <c r="AC412" s="2" t="str">
        <f t="shared" si="207"/>
        <v/>
      </c>
      <c r="AD412" s="2" t="str">
        <f t="shared" si="208"/>
        <v/>
      </c>
      <c r="AE412" s="2" t="str">
        <f t="shared" si="209"/>
        <v/>
      </c>
      <c r="AF412" s="2" t="str">
        <f t="shared" si="210"/>
        <v/>
      </c>
    </row>
    <row r="413" spans="1:32" x14ac:dyDescent="0.2">
      <c r="A413" s="2" t="str">
        <f t="shared" si="211"/>
        <v/>
      </c>
      <c r="B413" s="2" t="str">
        <f t="shared" si="192"/>
        <v/>
      </c>
      <c r="C413" s="2" t="str">
        <f t="shared" si="193"/>
        <v/>
      </c>
      <c r="D413" s="2" t="str">
        <f t="shared" si="194"/>
        <v/>
      </c>
      <c r="E413" s="2" t="str">
        <f t="shared" si="195"/>
        <v/>
      </c>
      <c r="F413" s="2" t="str">
        <f t="shared" si="196"/>
        <v/>
      </c>
      <c r="G413" s="2" t="str">
        <f t="shared" si="197"/>
        <v/>
      </c>
      <c r="H413" s="2" t="str">
        <f t="shared" si="212"/>
        <v/>
      </c>
      <c r="I413" s="2" t="str">
        <f t="shared" si="213"/>
        <v/>
      </c>
      <c r="J413" s="2" t="str">
        <f t="shared" si="214"/>
        <v/>
      </c>
      <c r="K413" s="2" t="str">
        <f t="shared" si="198"/>
        <v/>
      </c>
      <c r="L413" s="2" t="str">
        <f t="shared" si="199"/>
        <v/>
      </c>
      <c r="M413" s="2" t="str">
        <f t="shared" si="200"/>
        <v/>
      </c>
      <c r="N413" s="2" t="str">
        <f t="shared" si="215"/>
        <v/>
      </c>
      <c r="O413" s="2" t="str">
        <f t="shared" si="216"/>
        <v/>
      </c>
      <c r="P413" s="2" t="str">
        <f t="shared" si="217"/>
        <v/>
      </c>
      <c r="Q413" s="2" t="str">
        <f t="shared" si="201"/>
        <v/>
      </c>
      <c r="R413" s="2" t="str">
        <f t="shared" si="202"/>
        <v/>
      </c>
      <c r="S413" s="2" t="str">
        <f t="shared" si="203"/>
        <v/>
      </c>
      <c r="T413" s="2" t="str">
        <f t="shared" si="218"/>
        <v/>
      </c>
      <c r="U413" s="2" t="str">
        <f t="shared" si="219"/>
        <v/>
      </c>
      <c r="V413" s="2" t="str">
        <f t="shared" si="220"/>
        <v/>
      </c>
      <c r="W413" s="2" t="str">
        <f t="shared" si="204"/>
        <v/>
      </c>
      <c r="X413" s="2" t="str">
        <f t="shared" si="205"/>
        <v/>
      </c>
      <c r="Y413" s="2" t="str">
        <f t="shared" si="206"/>
        <v/>
      </c>
      <c r="Z413" s="2" t="str">
        <f t="shared" si="221"/>
        <v/>
      </c>
      <c r="AA413" s="2" t="str">
        <f t="shared" si="222"/>
        <v/>
      </c>
      <c r="AB413" s="2" t="str">
        <f t="shared" si="223"/>
        <v/>
      </c>
      <c r="AC413" s="2" t="str">
        <f t="shared" si="207"/>
        <v/>
      </c>
      <c r="AD413" s="2" t="str">
        <f t="shared" si="208"/>
        <v/>
      </c>
      <c r="AE413" s="2" t="str">
        <f t="shared" si="209"/>
        <v/>
      </c>
      <c r="AF413" s="2" t="str">
        <f t="shared" si="210"/>
        <v/>
      </c>
    </row>
    <row r="414" spans="1:32" x14ac:dyDescent="0.2">
      <c r="A414" s="2" t="str">
        <f t="shared" si="211"/>
        <v/>
      </c>
      <c r="B414" s="2" t="str">
        <f t="shared" si="192"/>
        <v/>
      </c>
      <c r="C414" s="2" t="str">
        <f t="shared" si="193"/>
        <v/>
      </c>
      <c r="D414" s="2" t="str">
        <f t="shared" si="194"/>
        <v/>
      </c>
      <c r="E414" s="2" t="str">
        <f t="shared" si="195"/>
        <v/>
      </c>
      <c r="F414" s="2" t="str">
        <f t="shared" si="196"/>
        <v/>
      </c>
      <c r="G414" s="2" t="str">
        <f t="shared" si="197"/>
        <v/>
      </c>
      <c r="H414" s="2" t="str">
        <f t="shared" si="212"/>
        <v/>
      </c>
      <c r="I414" s="2" t="str">
        <f t="shared" si="213"/>
        <v/>
      </c>
      <c r="J414" s="2" t="str">
        <f t="shared" si="214"/>
        <v/>
      </c>
      <c r="K414" s="2" t="str">
        <f t="shared" si="198"/>
        <v/>
      </c>
      <c r="L414" s="2" t="str">
        <f t="shared" si="199"/>
        <v/>
      </c>
      <c r="M414" s="2" t="str">
        <f t="shared" si="200"/>
        <v/>
      </c>
      <c r="N414" s="2" t="str">
        <f t="shared" si="215"/>
        <v/>
      </c>
      <c r="O414" s="2" t="str">
        <f t="shared" si="216"/>
        <v/>
      </c>
      <c r="P414" s="2" t="str">
        <f t="shared" si="217"/>
        <v/>
      </c>
      <c r="Q414" s="2" t="str">
        <f t="shared" si="201"/>
        <v/>
      </c>
      <c r="R414" s="2" t="str">
        <f t="shared" si="202"/>
        <v/>
      </c>
      <c r="S414" s="2" t="str">
        <f t="shared" si="203"/>
        <v/>
      </c>
      <c r="T414" s="2" t="str">
        <f t="shared" si="218"/>
        <v/>
      </c>
      <c r="U414" s="2" t="str">
        <f t="shared" si="219"/>
        <v/>
      </c>
      <c r="V414" s="2" t="str">
        <f t="shared" si="220"/>
        <v/>
      </c>
      <c r="W414" s="2" t="str">
        <f t="shared" si="204"/>
        <v/>
      </c>
      <c r="X414" s="2" t="str">
        <f t="shared" si="205"/>
        <v/>
      </c>
      <c r="Y414" s="2" t="str">
        <f t="shared" si="206"/>
        <v/>
      </c>
      <c r="Z414" s="2" t="str">
        <f t="shared" si="221"/>
        <v/>
      </c>
      <c r="AA414" s="2" t="str">
        <f t="shared" si="222"/>
        <v/>
      </c>
      <c r="AB414" s="2" t="str">
        <f t="shared" si="223"/>
        <v/>
      </c>
      <c r="AC414" s="2" t="str">
        <f t="shared" si="207"/>
        <v/>
      </c>
      <c r="AD414" s="2" t="str">
        <f t="shared" si="208"/>
        <v/>
      </c>
      <c r="AE414" s="2" t="str">
        <f t="shared" si="209"/>
        <v/>
      </c>
      <c r="AF414" s="2" t="str">
        <f t="shared" si="210"/>
        <v/>
      </c>
    </row>
    <row r="415" spans="1:32" x14ac:dyDescent="0.2">
      <c r="A415" s="2" t="str">
        <f t="shared" si="211"/>
        <v/>
      </c>
      <c r="B415" s="2" t="str">
        <f t="shared" si="192"/>
        <v/>
      </c>
      <c r="C415" s="2" t="str">
        <f t="shared" si="193"/>
        <v/>
      </c>
      <c r="D415" s="2" t="str">
        <f t="shared" si="194"/>
        <v/>
      </c>
      <c r="E415" s="2" t="str">
        <f t="shared" si="195"/>
        <v/>
      </c>
      <c r="F415" s="2" t="str">
        <f t="shared" si="196"/>
        <v/>
      </c>
      <c r="G415" s="2" t="str">
        <f t="shared" si="197"/>
        <v/>
      </c>
      <c r="H415" s="2" t="str">
        <f t="shared" si="212"/>
        <v/>
      </c>
      <c r="I415" s="2" t="str">
        <f t="shared" si="213"/>
        <v/>
      </c>
      <c r="J415" s="2" t="str">
        <f t="shared" si="214"/>
        <v/>
      </c>
      <c r="K415" s="2" t="str">
        <f t="shared" si="198"/>
        <v/>
      </c>
      <c r="L415" s="2" t="str">
        <f t="shared" si="199"/>
        <v/>
      </c>
      <c r="M415" s="2" t="str">
        <f t="shared" si="200"/>
        <v/>
      </c>
      <c r="N415" s="2" t="str">
        <f t="shared" si="215"/>
        <v/>
      </c>
      <c r="O415" s="2" t="str">
        <f t="shared" si="216"/>
        <v/>
      </c>
      <c r="P415" s="2" t="str">
        <f t="shared" si="217"/>
        <v/>
      </c>
      <c r="Q415" s="2" t="str">
        <f t="shared" si="201"/>
        <v/>
      </c>
      <c r="R415" s="2" t="str">
        <f t="shared" si="202"/>
        <v/>
      </c>
      <c r="S415" s="2" t="str">
        <f t="shared" si="203"/>
        <v/>
      </c>
      <c r="T415" s="2" t="str">
        <f t="shared" si="218"/>
        <v/>
      </c>
      <c r="U415" s="2" t="str">
        <f t="shared" si="219"/>
        <v/>
      </c>
      <c r="V415" s="2" t="str">
        <f t="shared" si="220"/>
        <v/>
      </c>
      <c r="W415" s="2" t="str">
        <f t="shared" si="204"/>
        <v/>
      </c>
      <c r="X415" s="2" t="str">
        <f t="shared" si="205"/>
        <v/>
      </c>
      <c r="Y415" s="2" t="str">
        <f t="shared" si="206"/>
        <v/>
      </c>
      <c r="Z415" s="2" t="str">
        <f t="shared" si="221"/>
        <v/>
      </c>
      <c r="AA415" s="2" t="str">
        <f t="shared" si="222"/>
        <v/>
      </c>
      <c r="AB415" s="2" t="str">
        <f t="shared" si="223"/>
        <v/>
      </c>
      <c r="AC415" s="2" t="str">
        <f t="shared" si="207"/>
        <v/>
      </c>
      <c r="AD415" s="2" t="str">
        <f t="shared" si="208"/>
        <v/>
      </c>
      <c r="AE415" s="2" t="str">
        <f t="shared" si="209"/>
        <v/>
      </c>
      <c r="AF415" s="2" t="str">
        <f t="shared" si="210"/>
        <v/>
      </c>
    </row>
    <row r="416" spans="1:32" x14ac:dyDescent="0.2">
      <c r="A416" s="2" t="str">
        <f t="shared" si="211"/>
        <v/>
      </c>
      <c r="B416" s="2" t="str">
        <f t="shared" si="192"/>
        <v/>
      </c>
      <c r="C416" s="2" t="str">
        <f t="shared" si="193"/>
        <v/>
      </c>
      <c r="D416" s="2" t="str">
        <f t="shared" si="194"/>
        <v/>
      </c>
      <c r="E416" s="2" t="str">
        <f t="shared" si="195"/>
        <v/>
      </c>
      <c r="F416" s="2" t="str">
        <f t="shared" si="196"/>
        <v/>
      </c>
      <c r="G416" s="2" t="str">
        <f t="shared" si="197"/>
        <v/>
      </c>
      <c r="H416" s="2" t="str">
        <f t="shared" si="212"/>
        <v/>
      </c>
      <c r="I416" s="2" t="str">
        <f t="shared" si="213"/>
        <v/>
      </c>
      <c r="J416" s="2" t="str">
        <f t="shared" si="214"/>
        <v/>
      </c>
      <c r="K416" s="2" t="str">
        <f t="shared" si="198"/>
        <v/>
      </c>
      <c r="L416" s="2" t="str">
        <f t="shared" si="199"/>
        <v/>
      </c>
      <c r="M416" s="2" t="str">
        <f t="shared" si="200"/>
        <v/>
      </c>
      <c r="N416" s="2" t="str">
        <f t="shared" si="215"/>
        <v/>
      </c>
      <c r="O416" s="2" t="str">
        <f t="shared" si="216"/>
        <v/>
      </c>
      <c r="P416" s="2" t="str">
        <f t="shared" si="217"/>
        <v/>
      </c>
      <c r="Q416" s="2" t="str">
        <f t="shared" si="201"/>
        <v/>
      </c>
      <c r="R416" s="2" t="str">
        <f t="shared" si="202"/>
        <v/>
      </c>
      <c r="S416" s="2" t="str">
        <f t="shared" si="203"/>
        <v/>
      </c>
      <c r="T416" s="2" t="str">
        <f t="shared" si="218"/>
        <v/>
      </c>
      <c r="U416" s="2" t="str">
        <f t="shared" si="219"/>
        <v/>
      </c>
      <c r="V416" s="2" t="str">
        <f t="shared" si="220"/>
        <v/>
      </c>
      <c r="W416" s="2" t="str">
        <f t="shared" si="204"/>
        <v/>
      </c>
      <c r="X416" s="2" t="str">
        <f t="shared" si="205"/>
        <v/>
      </c>
      <c r="Y416" s="2" t="str">
        <f t="shared" si="206"/>
        <v/>
      </c>
      <c r="Z416" s="2" t="str">
        <f t="shared" si="221"/>
        <v/>
      </c>
      <c r="AA416" s="2" t="str">
        <f t="shared" si="222"/>
        <v/>
      </c>
      <c r="AB416" s="2" t="str">
        <f t="shared" si="223"/>
        <v/>
      </c>
      <c r="AC416" s="2" t="str">
        <f t="shared" si="207"/>
        <v/>
      </c>
      <c r="AD416" s="2" t="str">
        <f t="shared" si="208"/>
        <v/>
      </c>
      <c r="AE416" s="2" t="str">
        <f t="shared" si="209"/>
        <v/>
      </c>
      <c r="AF416" s="2" t="str">
        <f t="shared" si="210"/>
        <v/>
      </c>
    </row>
    <row r="417" spans="1:32" x14ac:dyDescent="0.2">
      <c r="A417" s="2" t="str">
        <f t="shared" si="211"/>
        <v/>
      </c>
      <c r="B417" s="2" t="str">
        <f t="shared" si="192"/>
        <v/>
      </c>
      <c r="C417" s="2" t="str">
        <f t="shared" si="193"/>
        <v/>
      </c>
      <c r="D417" s="2" t="str">
        <f t="shared" si="194"/>
        <v/>
      </c>
      <c r="E417" s="2" t="str">
        <f t="shared" si="195"/>
        <v/>
      </c>
      <c r="F417" s="2" t="str">
        <f t="shared" si="196"/>
        <v/>
      </c>
      <c r="G417" s="2" t="str">
        <f t="shared" si="197"/>
        <v/>
      </c>
      <c r="H417" s="2" t="str">
        <f t="shared" si="212"/>
        <v/>
      </c>
      <c r="I417" s="2" t="str">
        <f t="shared" si="213"/>
        <v/>
      </c>
      <c r="J417" s="2" t="str">
        <f t="shared" si="214"/>
        <v/>
      </c>
      <c r="K417" s="2" t="str">
        <f t="shared" si="198"/>
        <v/>
      </c>
      <c r="L417" s="2" t="str">
        <f t="shared" si="199"/>
        <v/>
      </c>
      <c r="M417" s="2" t="str">
        <f t="shared" si="200"/>
        <v/>
      </c>
      <c r="N417" s="2" t="str">
        <f t="shared" si="215"/>
        <v/>
      </c>
      <c r="O417" s="2" t="str">
        <f t="shared" si="216"/>
        <v/>
      </c>
      <c r="P417" s="2" t="str">
        <f t="shared" si="217"/>
        <v/>
      </c>
      <c r="Q417" s="2" t="str">
        <f t="shared" si="201"/>
        <v/>
      </c>
      <c r="R417" s="2" t="str">
        <f t="shared" si="202"/>
        <v/>
      </c>
      <c r="S417" s="2" t="str">
        <f t="shared" si="203"/>
        <v/>
      </c>
      <c r="T417" s="2" t="str">
        <f t="shared" si="218"/>
        <v/>
      </c>
      <c r="U417" s="2" t="str">
        <f t="shared" si="219"/>
        <v/>
      </c>
      <c r="V417" s="2" t="str">
        <f t="shared" si="220"/>
        <v/>
      </c>
      <c r="W417" s="2" t="str">
        <f t="shared" si="204"/>
        <v/>
      </c>
      <c r="X417" s="2" t="str">
        <f t="shared" si="205"/>
        <v/>
      </c>
      <c r="Y417" s="2" t="str">
        <f t="shared" si="206"/>
        <v/>
      </c>
      <c r="Z417" s="2" t="str">
        <f t="shared" si="221"/>
        <v/>
      </c>
      <c r="AA417" s="2" t="str">
        <f t="shared" si="222"/>
        <v/>
      </c>
      <c r="AB417" s="2" t="str">
        <f t="shared" si="223"/>
        <v/>
      </c>
      <c r="AC417" s="2" t="str">
        <f t="shared" si="207"/>
        <v/>
      </c>
      <c r="AD417" s="2" t="str">
        <f t="shared" si="208"/>
        <v/>
      </c>
      <c r="AE417" s="2" t="str">
        <f t="shared" si="209"/>
        <v/>
      </c>
      <c r="AF417" s="2" t="str">
        <f t="shared" si="210"/>
        <v/>
      </c>
    </row>
    <row r="418" spans="1:32" x14ac:dyDescent="0.2">
      <c r="A418" s="2" t="str">
        <f t="shared" si="211"/>
        <v/>
      </c>
      <c r="B418" s="2" t="str">
        <f t="shared" si="192"/>
        <v/>
      </c>
      <c r="C418" s="2" t="str">
        <f t="shared" si="193"/>
        <v/>
      </c>
      <c r="D418" s="2" t="str">
        <f t="shared" si="194"/>
        <v/>
      </c>
      <c r="E418" s="2" t="str">
        <f t="shared" si="195"/>
        <v/>
      </c>
      <c r="F418" s="2" t="str">
        <f t="shared" si="196"/>
        <v/>
      </c>
      <c r="G418" s="2" t="str">
        <f t="shared" si="197"/>
        <v/>
      </c>
      <c r="H418" s="2" t="str">
        <f t="shared" si="212"/>
        <v/>
      </c>
      <c r="I418" s="2" t="str">
        <f t="shared" si="213"/>
        <v/>
      </c>
      <c r="J418" s="2" t="str">
        <f t="shared" si="214"/>
        <v/>
      </c>
      <c r="K418" s="2" t="str">
        <f t="shared" si="198"/>
        <v/>
      </c>
      <c r="L418" s="2" t="str">
        <f t="shared" si="199"/>
        <v/>
      </c>
      <c r="M418" s="2" t="str">
        <f t="shared" si="200"/>
        <v/>
      </c>
      <c r="N418" s="2" t="str">
        <f t="shared" si="215"/>
        <v/>
      </c>
      <c r="O418" s="2" t="str">
        <f t="shared" si="216"/>
        <v/>
      </c>
      <c r="P418" s="2" t="str">
        <f t="shared" si="217"/>
        <v/>
      </c>
      <c r="Q418" s="2" t="str">
        <f t="shared" si="201"/>
        <v/>
      </c>
      <c r="R418" s="2" t="str">
        <f t="shared" si="202"/>
        <v/>
      </c>
      <c r="S418" s="2" t="str">
        <f t="shared" si="203"/>
        <v/>
      </c>
      <c r="T418" s="2" t="str">
        <f t="shared" si="218"/>
        <v/>
      </c>
      <c r="U418" s="2" t="str">
        <f t="shared" si="219"/>
        <v/>
      </c>
      <c r="V418" s="2" t="str">
        <f t="shared" si="220"/>
        <v/>
      </c>
      <c r="W418" s="2" t="str">
        <f t="shared" si="204"/>
        <v/>
      </c>
      <c r="X418" s="2" t="str">
        <f t="shared" si="205"/>
        <v/>
      </c>
      <c r="Y418" s="2" t="str">
        <f t="shared" si="206"/>
        <v/>
      </c>
      <c r="Z418" s="2" t="str">
        <f t="shared" si="221"/>
        <v/>
      </c>
      <c r="AA418" s="2" t="str">
        <f t="shared" si="222"/>
        <v/>
      </c>
      <c r="AB418" s="2" t="str">
        <f t="shared" si="223"/>
        <v/>
      </c>
      <c r="AC418" s="2" t="str">
        <f t="shared" si="207"/>
        <v/>
      </c>
      <c r="AD418" s="2" t="str">
        <f t="shared" si="208"/>
        <v/>
      </c>
      <c r="AE418" s="2" t="str">
        <f t="shared" si="209"/>
        <v/>
      </c>
      <c r="AF418" s="2" t="str">
        <f t="shared" si="210"/>
        <v/>
      </c>
    </row>
    <row r="419" spans="1:32" x14ac:dyDescent="0.2">
      <c r="A419" s="2" t="str">
        <f t="shared" si="211"/>
        <v/>
      </c>
      <c r="B419" s="2" t="str">
        <f t="shared" si="192"/>
        <v/>
      </c>
      <c r="C419" s="2" t="str">
        <f t="shared" si="193"/>
        <v/>
      </c>
      <c r="D419" s="2" t="str">
        <f t="shared" si="194"/>
        <v/>
      </c>
      <c r="E419" s="2" t="str">
        <f t="shared" si="195"/>
        <v/>
      </c>
      <c r="F419" s="2" t="str">
        <f t="shared" si="196"/>
        <v/>
      </c>
      <c r="G419" s="2" t="str">
        <f t="shared" si="197"/>
        <v/>
      </c>
      <c r="H419" s="2" t="str">
        <f t="shared" si="212"/>
        <v/>
      </c>
      <c r="I419" s="2" t="str">
        <f t="shared" si="213"/>
        <v/>
      </c>
      <c r="J419" s="2" t="str">
        <f t="shared" si="214"/>
        <v/>
      </c>
      <c r="K419" s="2" t="str">
        <f t="shared" si="198"/>
        <v/>
      </c>
      <c r="L419" s="2" t="str">
        <f t="shared" si="199"/>
        <v/>
      </c>
      <c r="M419" s="2" t="str">
        <f t="shared" si="200"/>
        <v/>
      </c>
      <c r="N419" s="2" t="str">
        <f t="shared" si="215"/>
        <v/>
      </c>
      <c r="O419" s="2" t="str">
        <f t="shared" si="216"/>
        <v/>
      </c>
      <c r="P419" s="2" t="str">
        <f t="shared" si="217"/>
        <v/>
      </c>
      <c r="Q419" s="2" t="str">
        <f t="shared" si="201"/>
        <v/>
      </c>
      <c r="R419" s="2" t="str">
        <f t="shared" si="202"/>
        <v/>
      </c>
      <c r="S419" s="2" t="str">
        <f t="shared" si="203"/>
        <v/>
      </c>
      <c r="T419" s="2" t="str">
        <f t="shared" si="218"/>
        <v/>
      </c>
      <c r="U419" s="2" t="str">
        <f t="shared" si="219"/>
        <v/>
      </c>
      <c r="V419" s="2" t="str">
        <f t="shared" si="220"/>
        <v/>
      </c>
      <c r="W419" s="2" t="str">
        <f t="shared" si="204"/>
        <v/>
      </c>
      <c r="X419" s="2" t="str">
        <f t="shared" si="205"/>
        <v/>
      </c>
      <c r="Y419" s="2" t="str">
        <f t="shared" si="206"/>
        <v/>
      </c>
      <c r="Z419" s="2" t="str">
        <f t="shared" si="221"/>
        <v/>
      </c>
      <c r="AA419" s="2" t="str">
        <f t="shared" si="222"/>
        <v/>
      </c>
      <c r="AB419" s="2" t="str">
        <f t="shared" si="223"/>
        <v/>
      </c>
      <c r="AC419" s="2" t="str">
        <f t="shared" si="207"/>
        <v/>
      </c>
      <c r="AD419" s="2" t="str">
        <f t="shared" si="208"/>
        <v/>
      </c>
      <c r="AE419" s="2" t="str">
        <f t="shared" si="209"/>
        <v/>
      </c>
      <c r="AF419" s="2" t="str">
        <f t="shared" si="210"/>
        <v/>
      </c>
    </row>
    <row r="420" spans="1:32" x14ac:dyDescent="0.2">
      <c r="A420" s="2" t="str">
        <f t="shared" si="211"/>
        <v/>
      </c>
      <c r="B420" s="2" t="str">
        <f t="shared" si="192"/>
        <v/>
      </c>
      <c r="C420" s="2" t="str">
        <f t="shared" si="193"/>
        <v/>
      </c>
      <c r="D420" s="2" t="str">
        <f t="shared" si="194"/>
        <v/>
      </c>
      <c r="E420" s="2" t="str">
        <f t="shared" si="195"/>
        <v/>
      </c>
      <c r="F420" s="2" t="str">
        <f t="shared" si="196"/>
        <v/>
      </c>
      <c r="G420" s="2" t="str">
        <f t="shared" si="197"/>
        <v/>
      </c>
      <c r="H420" s="2" t="str">
        <f t="shared" si="212"/>
        <v/>
      </c>
      <c r="I420" s="2" t="str">
        <f t="shared" si="213"/>
        <v/>
      </c>
      <c r="J420" s="2" t="str">
        <f t="shared" si="214"/>
        <v/>
      </c>
      <c r="K420" s="2" t="str">
        <f t="shared" si="198"/>
        <v/>
      </c>
      <c r="L420" s="2" t="str">
        <f t="shared" si="199"/>
        <v/>
      </c>
      <c r="M420" s="2" t="str">
        <f t="shared" si="200"/>
        <v/>
      </c>
      <c r="N420" s="2" t="str">
        <f t="shared" si="215"/>
        <v/>
      </c>
      <c r="O420" s="2" t="str">
        <f t="shared" si="216"/>
        <v/>
      </c>
      <c r="P420" s="2" t="str">
        <f t="shared" si="217"/>
        <v/>
      </c>
      <c r="Q420" s="2" t="str">
        <f t="shared" si="201"/>
        <v/>
      </c>
      <c r="R420" s="2" t="str">
        <f t="shared" si="202"/>
        <v/>
      </c>
      <c r="S420" s="2" t="str">
        <f t="shared" si="203"/>
        <v/>
      </c>
      <c r="T420" s="2" t="str">
        <f t="shared" si="218"/>
        <v/>
      </c>
      <c r="U420" s="2" t="str">
        <f t="shared" si="219"/>
        <v/>
      </c>
      <c r="V420" s="2" t="str">
        <f t="shared" si="220"/>
        <v/>
      </c>
      <c r="W420" s="2" t="str">
        <f t="shared" si="204"/>
        <v/>
      </c>
      <c r="X420" s="2" t="str">
        <f t="shared" si="205"/>
        <v/>
      </c>
      <c r="Y420" s="2" t="str">
        <f t="shared" si="206"/>
        <v/>
      </c>
      <c r="Z420" s="2" t="str">
        <f t="shared" si="221"/>
        <v/>
      </c>
      <c r="AA420" s="2" t="str">
        <f t="shared" si="222"/>
        <v/>
      </c>
      <c r="AB420" s="2" t="str">
        <f t="shared" si="223"/>
        <v/>
      </c>
      <c r="AC420" s="2" t="str">
        <f t="shared" si="207"/>
        <v/>
      </c>
      <c r="AD420" s="2" t="str">
        <f t="shared" si="208"/>
        <v/>
      </c>
      <c r="AE420" s="2" t="str">
        <f t="shared" si="209"/>
        <v/>
      </c>
      <c r="AF420" s="2" t="str">
        <f t="shared" si="210"/>
        <v/>
      </c>
    </row>
    <row r="421" spans="1:32" x14ac:dyDescent="0.2">
      <c r="A421" s="2" t="str">
        <f t="shared" si="211"/>
        <v/>
      </c>
      <c r="B421" s="2" t="str">
        <f t="shared" si="192"/>
        <v/>
      </c>
      <c r="C421" s="2" t="str">
        <f t="shared" si="193"/>
        <v/>
      </c>
      <c r="D421" s="2" t="str">
        <f t="shared" si="194"/>
        <v/>
      </c>
      <c r="E421" s="2" t="str">
        <f t="shared" si="195"/>
        <v/>
      </c>
      <c r="F421" s="2" t="str">
        <f t="shared" si="196"/>
        <v/>
      </c>
      <c r="G421" s="2" t="str">
        <f t="shared" si="197"/>
        <v/>
      </c>
      <c r="H421" s="2" t="str">
        <f t="shared" si="212"/>
        <v/>
      </c>
      <c r="I421" s="2" t="str">
        <f t="shared" si="213"/>
        <v/>
      </c>
      <c r="J421" s="2" t="str">
        <f t="shared" si="214"/>
        <v/>
      </c>
      <c r="K421" s="2" t="str">
        <f t="shared" si="198"/>
        <v/>
      </c>
      <c r="L421" s="2" t="str">
        <f t="shared" si="199"/>
        <v/>
      </c>
      <c r="M421" s="2" t="str">
        <f t="shared" si="200"/>
        <v/>
      </c>
      <c r="N421" s="2" t="str">
        <f t="shared" si="215"/>
        <v/>
      </c>
      <c r="O421" s="2" t="str">
        <f t="shared" si="216"/>
        <v/>
      </c>
      <c r="P421" s="2" t="str">
        <f t="shared" si="217"/>
        <v/>
      </c>
      <c r="Q421" s="2" t="str">
        <f t="shared" si="201"/>
        <v/>
      </c>
      <c r="R421" s="2" t="str">
        <f t="shared" si="202"/>
        <v/>
      </c>
      <c r="S421" s="2" t="str">
        <f t="shared" si="203"/>
        <v/>
      </c>
      <c r="T421" s="2" t="str">
        <f t="shared" si="218"/>
        <v/>
      </c>
      <c r="U421" s="2" t="str">
        <f t="shared" si="219"/>
        <v/>
      </c>
      <c r="V421" s="2" t="str">
        <f t="shared" si="220"/>
        <v/>
      </c>
      <c r="W421" s="2" t="str">
        <f t="shared" si="204"/>
        <v/>
      </c>
      <c r="X421" s="2" t="str">
        <f t="shared" si="205"/>
        <v/>
      </c>
      <c r="Y421" s="2" t="str">
        <f t="shared" si="206"/>
        <v/>
      </c>
      <c r="Z421" s="2" t="str">
        <f t="shared" si="221"/>
        <v/>
      </c>
      <c r="AA421" s="2" t="str">
        <f t="shared" si="222"/>
        <v/>
      </c>
      <c r="AB421" s="2" t="str">
        <f t="shared" si="223"/>
        <v/>
      </c>
      <c r="AC421" s="2" t="str">
        <f t="shared" si="207"/>
        <v/>
      </c>
      <c r="AD421" s="2" t="str">
        <f t="shared" si="208"/>
        <v/>
      </c>
      <c r="AE421" s="2" t="str">
        <f t="shared" si="209"/>
        <v/>
      </c>
      <c r="AF421" s="2" t="str">
        <f t="shared" si="210"/>
        <v/>
      </c>
    </row>
    <row r="422" spans="1:32" x14ac:dyDescent="0.2">
      <c r="A422" s="2" t="str">
        <f t="shared" si="211"/>
        <v/>
      </c>
      <c r="B422" s="2" t="str">
        <f t="shared" si="192"/>
        <v/>
      </c>
      <c r="C422" s="2" t="str">
        <f t="shared" si="193"/>
        <v/>
      </c>
      <c r="D422" s="2" t="str">
        <f t="shared" si="194"/>
        <v/>
      </c>
      <c r="E422" s="2" t="str">
        <f t="shared" si="195"/>
        <v/>
      </c>
      <c r="F422" s="2" t="str">
        <f t="shared" si="196"/>
        <v/>
      </c>
      <c r="G422" s="2" t="str">
        <f t="shared" si="197"/>
        <v/>
      </c>
      <c r="H422" s="2" t="str">
        <f t="shared" si="212"/>
        <v/>
      </c>
      <c r="I422" s="2" t="str">
        <f t="shared" si="213"/>
        <v/>
      </c>
      <c r="J422" s="2" t="str">
        <f t="shared" si="214"/>
        <v/>
      </c>
      <c r="K422" s="2" t="str">
        <f t="shared" si="198"/>
        <v/>
      </c>
      <c r="L422" s="2" t="str">
        <f t="shared" si="199"/>
        <v/>
      </c>
      <c r="M422" s="2" t="str">
        <f t="shared" si="200"/>
        <v/>
      </c>
      <c r="N422" s="2" t="str">
        <f t="shared" si="215"/>
        <v/>
      </c>
      <c r="O422" s="2" t="str">
        <f t="shared" si="216"/>
        <v/>
      </c>
      <c r="P422" s="2" t="str">
        <f t="shared" si="217"/>
        <v/>
      </c>
      <c r="Q422" s="2" t="str">
        <f t="shared" si="201"/>
        <v/>
      </c>
      <c r="R422" s="2" t="str">
        <f t="shared" si="202"/>
        <v/>
      </c>
      <c r="S422" s="2" t="str">
        <f t="shared" si="203"/>
        <v/>
      </c>
      <c r="T422" s="2" t="str">
        <f t="shared" si="218"/>
        <v/>
      </c>
      <c r="U422" s="2" t="str">
        <f t="shared" si="219"/>
        <v/>
      </c>
      <c r="V422" s="2" t="str">
        <f t="shared" si="220"/>
        <v/>
      </c>
      <c r="W422" s="2" t="str">
        <f t="shared" si="204"/>
        <v/>
      </c>
      <c r="X422" s="2" t="str">
        <f t="shared" si="205"/>
        <v/>
      </c>
      <c r="Y422" s="2" t="str">
        <f t="shared" si="206"/>
        <v/>
      </c>
      <c r="Z422" s="2" t="str">
        <f t="shared" si="221"/>
        <v/>
      </c>
      <c r="AA422" s="2" t="str">
        <f t="shared" si="222"/>
        <v/>
      </c>
      <c r="AB422" s="2" t="str">
        <f t="shared" si="223"/>
        <v/>
      </c>
      <c r="AC422" s="2" t="str">
        <f t="shared" si="207"/>
        <v/>
      </c>
      <c r="AD422" s="2" t="str">
        <f t="shared" si="208"/>
        <v/>
      </c>
      <c r="AE422" s="2" t="str">
        <f t="shared" si="209"/>
        <v/>
      </c>
      <c r="AF422" s="2" t="str">
        <f t="shared" si="210"/>
        <v/>
      </c>
    </row>
    <row r="423" spans="1:32" x14ac:dyDescent="0.2">
      <c r="A423" s="2" t="str">
        <f t="shared" si="211"/>
        <v/>
      </c>
      <c r="B423" s="2" t="str">
        <f t="shared" si="192"/>
        <v/>
      </c>
      <c r="C423" s="2" t="str">
        <f t="shared" si="193"/>
        <v/>
      </c>
      <c r="D423" s="2" t="str">
        <f t="shared" si="194"/>
        <v/>
      </c>
      <c r="E423" s="2" t="str">
        <f t="shared" si="195"/>
        <v/>
      </c>
      <c r="F423" s="2" t="str">
        <f t="shared" si="196"/>
        <v/>
      </c>
      <c r="G423" s="2" t="str">
        <f t="shared" si="197"/>
        <v/>
      </c>
      <c r="H423" s="2" t="str">
        <f t="shared" si="212"/>
        <v/>
      </c>
      <c r="I423" s="2" t="str">
        <f t="shared" si="213"/>
        <v/>
      </c>
      <c r="J423" s="2" t="str">
        <f t="shared" si="214"/>
        <v/>
      </c>
      <c r="K423" s="2" t="str">
        <f t="shared" si="198"/>
        <v/>
      </c>
      <c r="L423" s="2" t="str">
        <f t="shared" si="199"/>
        <v/>
      </c>
      <c r="M423" s="2" t="str">
        <f t="shared" si="200"/>
        <v/>
      </c>
      <c r="N423" s="2" t="str">
        <f t="shared" si="215"/>
        <v/>
      </c>
      <c r="O423" s="2" t="str">
        <f t="shared" si="216"/>
        <v/>
      </c>
      <c r="P423" s="2" t="str">
        <f t="shared" si="217"/>
        <v/>
      </c>
      <c r="Q423" s="2" t="str">
        <f t="shared" si="201"/>
        <v/>
      </c>
      <c r="R423" s="2" t="str">
        <f t="shared" si="202"/>
        <v/>
      </c>
      <c r="S423" s="2" t="str">
        <f t="shared" si="203"/>
        <v/>
      </c>
      <c r="T423" s="2" t="str">
        <f t="shared" si="218"/>
        <v/>
      </c>
      <c r="U423" s="2" t="str">
        <f t="shared" si="219"/>
        <v/>
      </c>
      <c r="V423" s="2" t="str">
        <f t="shared" si="220"/>
        <v/>
      </c>
      <c r="W423" s="2" t="str">
        <f t="shared" si="204"/>
        <v/>
      </c>
      <c r="X423" s="2" t="str">
        <f t="shared" si="205"/>
        <v/>
      </c>
      <c r="Y423" s="2" t="str">
        <f t="shared" si="206"/>
        <v/>
      </c>
      <c r="Z423" s="2" t="str">
        <f t="shared" si="221"/>
        <v/>
      </c>
      <c r="AA423" s="2" t="str">
        <f t="shared" si="222"/>
        <v/>
      </c>
      <c r="AB423" s="2" t="str">
        <f t="shared" si="223"/>
        <v/>
      </c>
      <c r="AC423" s="2" t="str">
        <f t="shared" si="207"/>
        <v/>
      </c>
      <c r="AD423" s="2" t="str">
        <f t="shared" si="208"/>
        <v/>
      </c>
      <c r="AE423" s="2" t="str">
        <f t="shared" si="209"/>
        <v/>
      </c>
      <c r="AF423" s="2" t="str">
        <f t="shared" si="210"/>
        <v/>
      </c>
    </row>
    <row r="424" spans="1:32" x14ac:dyDescent="0.2">
      <c r="A424" s="2" t="str">
        <f t="shared" si="211"/>
        <v/>
      </c>
      <c r="B424" s="2" t="str">
        <f t="shared" si="192"/>
        <v/>
      </c>
      <c r="C424" s="2" t="str">
        <f t="shared" si="193"/>
        <v/>
      </c>
      <c r="D424" s="2" t="str">
        <f t="shared" si="194"/>
        <v/>
      </c>
      <c r="E424" s="2" t="str">
        <f t="shared" si="195"/>
        <v/>
      </c>
      <c r="F424" s="2" t="str">
        <f t="shared" si="196"/>
        <v/>
      </c>
      <c r="G424" s="2" t="str">
        <f t="shared" si="197"/>
        <v/>
      </c>
      <c r="H424" s="2" t="str">
        <f t="shared" si="212"/>
        <v/>
      </c>
      <c r="I424" s="2" t="str">
        <f t="shared" si="213"/>
        <v/>
      </c>
      <c r="J424" s="2" t="str">
        <f t="shared" si="214"/>
        <v/>
      </c>
      <c r="K424" s="2" t="str">
        <f t="shared" si="198"/>
        <v/>
      </c>
      <c r="L424" s="2" t="str">
        <f t="shared" si="199"/>
        <v/>
      </c>
      <c r="M424" s="2" t="str">
        <f t="shared" si="200"/>
        <v/>
      </c>
      <c r="N424" s="2" t="str">
        <f t="shared" si="215"/>
        <v/>
      </c>
      <c r="O424" s="2" t="str">
        <f t="shared" si="216"/>
        <v/>
      </c>
      <c r="P424" s="2" t="str">
        <f t="shared" si="217"/>
        <v/>
      </c>
      <c r="Q424" s="2" t="str">
        <f t="shared" si="201"/>
        <v/>
      </c>
      <c r="R424" s="2" t="str">
        <f t="shared" si="202"/>
        <v/>
      </c>
      <c r="S424" s="2" t="str">
        <f t="shared" si="203"/>
        <v/>
      </c>
      <c r="T424" s="2" t="str">
        <f t="shared" si="218"/>
        <v/>
      </c>
      <c r="U424" s="2" t="str">
        <f t="shared" si="219"/>
        <v/>
      </c>
      <c r="V424" s="2" t="str">
        <f t="shared" si="220"/>
        <v/>
      </c>
      <c r="W424" s="2" t="str">
        <f t="shared" si="204"/>
        <v/>
      </c>
      <c r="X424" s="2" t="str">
        <f t="shared" si="205"/>
        <v/>
      </c>
      <c r="Y424" s="2" t="str">
        <f t="shared" si="206"/>
        <v/>
      </c>
      <c r="Z424" s="2" t="str">
        <f t="shared" si="221"/>
        <v/>
      </c>
      <c r="AA424" s="2" t="str">
        <f t="shared" si="222"/>
        <v/>
      </c>
      <c r="AB424" s="2" t="str">
        <f t="shared" si="223"/>
        <v/>
      </c>
      <c r="AC424" s="2" t="str">
        <f t="shared" si="207"/>
        <v/>
      </c>
      <c r="AD424" s="2" t="str">
        <f t="shared" si="208"/>
        <v/>
      </c>
      <c r="AE424" s="2" t="str">
        <f t="shared" si="209"/>
        <v/>
      </c>
      <c r="AF424" s="2" t="str">
        <f t="shared" si="210"/>
        <v/>
      </c>
    </row>
    <row r="425" spans="1:32" x14ac:dyDescent="0.2">
      <c r="A425" s="2" t="str">
        <f t="shared" si="211"/>
        <v/>
      </c>
      <c r="B425" s="2" t="str">
        <f t="shared" si="192"/>
        <v/>
      </c>
      <c r="C425" s="2" t="str">
        <f t="shared" si="193"/>
        <v/>
      </c>
      <c r="D425" s="2" t="str">
        <f t="shared" si="194"/>
        <v/>
      </c>
      <c r="E425" s="2" t="str">
        <f t="shared" si="195"/>
        <v/>
      </c>
      <c r="F425" s="2" t="str">
        <f t="shared" si="196"/>
        <v/>
      </c>
      <c r="G425" s="2" t="str">
        <f t="shared" si="197"/>
        <v/>
      </c>
      <c r="H425" s="2" t="str">
        <f t="shared" si="212"/>
        <v/>
      </c>
      <c r="I425" s="2" t="str">
        <f t="shared" si="213"/>
        <v/>
      </c>
      <c r="J425" s="2" t="str">
        <f t="shared" si="214"/>
        <v/>
      </c>
      <c r="K425" s="2" t="str">
        <f t="shared" si="198"/>
        <v/>
      </c>
      <c r="L425" s="2" t="str">
        <f t="shared" si="199"/>
        <v/>
      </c>
      <c r="M425" s="2" t="str">
        <f t="shared" si="200"/>
        <v/>
      </c>
      <c r="N425" s="2" t="str">
        <f t="shared" si="215"/>
        <v/>
      </c>
      <c r="O425" s="2" t="str">
        <f t="shared" si="216"/>
        <v/>
      </c>
      <c r="P425" s="2" t="str">
        <f t="shared" si="217"/>
        <v/>
      </c>
      <c r="Q425" s="2" t="str">
        <f t="shared" si="201"/>
        <v/>
      </c>
      <c r="R425" s="2" t="str">
        <f t="shared" si="202"/>
        <v/>
      </c>
      <c r="S425" s="2" t="str">
        <f t="shared" si="203"/>
        <v/>
      </c>
      <c r="T425" s="2" t="str">
        <f t="shared" si="218"/>
        <v/>
      </c>
      <c r="U425" s="2" t="str">
        <f t="shared" si="219"/>
        <v/>
      </c>
      <c r="V425" s="2" t="str">
        <f t="shared" si="220"/>
        <v/>
      </c>
      <c r="W425" s="2" t="str">
        <f t="shared" si="204"/>
        <v/>
      </c>
      <c r="X425" s="2" t="str">
        <f t="shared" si="205"/>
        <v/>
      </c>
      <c r="Y425" s="2" t="str">
        <f t="shared" si="206"/>
        <v/>
      </c>
      <c r="Z425" s="2" t="str">
        <f t="shared" si="221"/>
        <v/>
      </c>
      <c r="AA425" s="2" t="str">
        <f t="shared" si="222"/>
        <v/>
      </c>
      <c r="AB425" s="2" t="str">
        <f t="shared" si="223"/>
        <v/>
      </c>
      <c r="AC425" s="2" t="str">
        <f t="shared" si="207"/>
        <v/>
      </c>
      <c r="AD425" s="2" t="str">
        <f t="shared" si="208"/>
        <v/>
      </c>
      <c r="AE425" s="2" t="str">
        <f t="shared" si="209"/>
        <v/>
      </c>
      <c r="AF425" s="2" t="str">
        <f t="shared" si="210"/>
        <v/>
      </c>
    </row>
    <row r="426" spans="1:32" x14ac:dyDescent="0.2">
      <c r="A426" s="2" t="str">
        <f t="shared" si="211"/>
        <v/>
      </c>
      <c r="B426" s="2" t="str">
        <f t="shared" si="192"/>
        <v/>
      </c>
      <c r="C426" s="2" t="str">
        <f t="shared" si="193"/>
        <v/>
      </c>
      <c r="D426" s="2" t="str">
        <f t="shared" si="194"/>
        <v/>
      </c>
      <c r="E426" s="2" t="str">
        <f t="shared" si="195"/>
        <v/>
      </c>
      <c r="F426" s="2" t="str">
        <f t="shared" si="196"/>
        <v/>
      </c>
      <c r="G426" s="2" t="str">
        <f t="shared" si="197"/>
        <v/>
      </c>
      <c r="H426" s="2" t="str">
        <f t="shared" si="212"/>
        <v/>
      </c>
      <c r="I426" s="2" t="str">
        <f t="shared" si="213"/>
        <v/>
      </c>
      <c r="J426" s="2" t="str">
        <f t="shared" si="214"/>
        <v/>
      </c>
      <c r="K426" s="2" t="str">
        <f t="shared" si="198"/>
        <v/>
      </c>
      <c r="L426" s="2" t="str">
        <f t="shared" si="199"/>
        <v/>
      </c>
      <c r="M426" s="2" t="str">
        <f t="shared" si="200"/>
        <v/>
      </c>
      <c r="N426" s="2" t="str">
        <f t="shared" si="215"/>
        <v/>
      </c>
      <c r="O426" s="2" t="str">
        <f t="shared" si="216"/>
        <v/>
      </c>
      <c r="P426" s="2" t="str">
        <f t="shared" si="217"/>
        <v/>
      </c>
      <c r="Q426" s="2" t="str">
        <f t="shared" si="201"/>
        <v/>
      </c>
      <c r="R426" s="2" t="str">
        <f t="shared" si="202"/>
        <v/>
      </c>
      <c r="S426" s="2" t="str">
        <f t="shared" si="203"/>
        <v/>
      </c>
      <c r="T426" s="2" t="str">
        <f t="shared" si="218"/>
        <v/>
      </c>
      <c r="U426" s="2" t="str">
        <f t="shared" si="219"/>
        <v/>
      </c>
      <c r="V426" s="2" t="str">
        <f t="shared" si="220"/>
        <v/>
      </c>
      <c r="W426" s="2" t="str">
        <f t="shared" si="204"/>
        <v/>
      </c>
      <c r="X426" s="2" t="str">
        <f t="shared" si="205"/>
        <v/>
      </c>
      <c r="Y426" s="2" t="str">
        <f t="shared" si="206"/>
        <v/>
      </c>
      <c r="Z426" s="2" t="str">
        <f t="shared" si="221"/>
        <v/>
      </c>
      <c r="AA426" s="2" t="str">
        <f t="shared" si="222"/>
        <v/>
      </c>
      <c r="AB426" s="2" t="str">
        <f t="shared" si="223"/>
        <v/>
      </c>
      <c r="AC426" s="2" t="str">
        <f t="shared" si="207"/>
        <v/>
      </c>
      <c r="AD426" s="2" t="str">
        <f t="shared" si="208"/>
        <v/>
      </c>
      <c r="AE426" s="2" t="str">
        <f t="shared" si="209"/>
        <v/>
      </c>
      <c r="AF426" s="2" t="str">
        <f t="shared" si="210"/>
        <v/>
      </c>
    </row>
    <row r="427" spans="1:32" x14ac:dyDescent="0.2">
      <c r="A427" s="2" t="str">
        <f t="shared" si="211"/>
        <v/>
      </c>
      <c r="B427" s="2" t="str">
        <f t="shared" si="192"/>
        <v/>
      </c>
      <c r="C427" s="2" t="str">
        <f t="shared" si="193"/>
        <v/>
      </c>
      <c r="D427" s="2" t="str">
        <f t="shared" si="194"/>
        <v/>
      </c>
      <c r="E427" s="2" t="str">
        <f t="shared" si="195"/>
        <v/>
      </c>
      <c r="F427" s="2" t="str">
        <f t="shared" si="196"/>
        <v/>
      </c>
      <c r="G427" s="2" t="str">
        <f t="shared" si="197"/>
        <v/>
      </c>
      <c r="H427" s="2" t="str">
        <f t="shared" si="212"/>
        <v/>
      </c>
      <c r="I427" s="2" t="str">
        <f t="shared" si="213"/>
        <v/>
      </c>
      <c r="J427" s="2" t="str">
        <f t="shared" si="214"/>
        <v/>
      </c>
      <c r="K427" s="2" t="str">
        <f t="shared" si="198"/>
        <v/>
      </c>
      <c r="L427" s="2" t="str">
        <f t="shared" si="199"/>
        <v/>
      </c>
      <c r="M427" s="2" t="str">
        <f t="shared" si="200"/>
        <v/>
      </c>
      <c r="N427" s="2" t="str">
        <f t="shared" si="215"/>
        <v/>
      </c>
      <c r="O427" s="2" t="str">
        <f t="shared" si="216"/>
        <v/>
      </c>
      <c r="P427" s="2" t="str">
        <f t="shared" si="217"/>
        <v/>
      </c>
      <c r="Q427" s="2" t="str">
        <f t="shared" si="201"/>
        <v/>
      </c>
      <c r="R427" s="2" t="str">
        <f t="shared" si="202"/>
        <v/>
      </c>
      <c r="S427" s="2" t="str">
        <f t="shared" si="203"/>
        <v/>
      </c>
      <c r="T427" s="2" t="str">
        <f t="shared" si="218"/>
        <v/>
      </c>
      <c r="U427" s="2" t="str">
        <f t="shared" si="219"/>
        <v/>
      </c>
      <c r="V427" s="2" t="str">
        <f t="shared" si="220"/>
        <v/>
      </c>
      <c r="W427" s="2" t="str">
        <f t="shared" si="204"/>
        <v/>
      </c>
      <c r="X427" s="2" t="str">
        <f t="shared" si="205"/>
        <v/>
      </c>
      <c r="Y427" s="2" t="str">
        <f t="shared" si="206"/>
        <v/>
      </c>
      <c r="Z427" s="2" t="str">
        <f t="shared" si="221"/>
        <v/>
      </c>
      <c r="AA427" s="2" t="str">
        <f t="shared" si="222"/>
        <v/>
      </c>
      <c r="AB427" s="2" t="str">
        <f t="shared" si="223"/>
        <v/>
      </c>
      <c r="AC427" s="2" t="str">
        <f t="shared" si="207"/>
        <v/>
      </c>
      <c r="AD427" s="2" t="str">
        <f t="shared" si="208"/>
        <v/>
      </c>
      <c r="AE427" s="2" t="str">
        <f t="shared" si="209"/>
        <v/>
      </c>
      <c r="AF427" s="2" t="str">
        <f t="shared" si="210"/>
        <v/>
      </c>
    </row>
    <row r="428" spans="1:32" x14ac:dyDescent="0.2">
      <c r="A428" s="2" t="str">
        <f t="shared" si="211"/>
        <v/>
      </c>
      <c r="B428" s="2" t="str">
        <f t="shared" si="192"/>
        <v/>
      </c>
      <c r="C428" s="2" t="str">
        <f t="shared" si="193"/>
        <v/>
      </c>
      <c r="D428" s="2" t="str">
        <f t="shared" si="194"/>
        <v/>
      </c>
      <c r="E428" s="2" t="str">
        <f t="shared" si="195"/>
        <v/>
      </c>
      <c r="F428" s="2" t="str">
        <f t="shared" si="196"/>
        <v/>
      </c>
      <c r="G428" s="2" t="str">
        <f t="shared" si="197"/>
        <v/>
      </c>
      <c r="H428" s="2" t="str">
        <f t="shared" si="212"/>
        <v/>
      </c>
      <c r="I428" s="2" t="str">
        <f t="shared" si="213"/>
        <v/>
      </c>
      <c r="J428" s="2" t="str">
        <f t="shared" si="214"/>
        <v/>
      </c>
      <c r="K428" s="2" t="str">
        <f t="shared" si="198"/>
        <v/>
      </c>
      <c r="L428" s="2" t="str">
        <f t="shared" si="199"/>
        <v/>
      </c>
      <c r="M428" s="2" t="str">
        <f t="shared" si="200"/>
        <v/>
      </c>
      <c r="N428" s="2" t="str">
        <f t="shared" si="215"/>
        <v/>
      </c>
      <c r="O428" s="2" t="str">
        <f t="shared" si="216"/>
        <v/>
      </c>
      <c r="P428" s="2" t="str">
        <f t="shared" si="217"/>
        <v/>
      </c>
      <c r="Q428" s="2" t="str">
        <f t="shared" si="201"/>
        <v/>
      </c>
      <c r="R428" s="2" t="str">
        <f t="shared" si="202"/>
        <v/>
      </c>
      <c r="S428" s="2" t="str">
        <f t="shared" si="203"/>
        <v/>
      </c>
      <c r="T428" s="2" t="str">
        <f t="shared" si="218"/>
        <v/>
      </c>
      <c r="U428" s="2" t="str">
        <f t="shared" si="219"/>
        <v/>
      </c>
      <c r="V428" s="2" t="str">
        <f t="shared" si="220"/>
        <v/>
      </c>
      <c r="W428" s="2" t="str">
        <f t="shared" si="204"/>
        <v/>
      </c>
      <c r="X428" s="2" t="str">
        <f t="shared" si="205"/>
        <v/>
      </c>
      <c r="Y428" s="2" t="str">
        <f t="shared" si="206"/>
        <v/>
      </c>
      <c r="Z428" s="2" t="str">
        <f t="shared" si="221"/>
        <v/>
      </c>
      <c r="AA428" s="2" t="str">
        <f t="shared" si="222"/>
        <v/>
      </c>
      <c r="AB428" s="2" t="str">
        <f t="shared" si="223"/>
        <v/>
      </c>
      <c r="AC428" s="2" t="str">
        <f t="shared" si="207"/>
        <v/>
      </c>
      <c r="AD428" s="2" t="str">
        <f t="shared" si="208"/>
        <v/>
      </c>
      <c r="AE428" s="2" t="str">
        <f t="shared" si="209"/>
        <v/>
      </c>
      <c r="AF428" s="2" t="str">
        <f t="shared" si="210"/>
        <v/>
      </c>
    </row>
    <row r="429" spans="1:32" x14ac:dyDescent="0.2">
      <c r="A429" s="2" t="str">
        <f t="shared" si="211"/>
        <v/>
      </c>
      <c r="B429" s="2" t="str">
        <f t="shared" si="192"/>
        <v/>
      </c>
      <c r="C429" s="2" t="str">
        <f t="shared" si="193"/>
        <v/>
      </c>
      <c r="D429" s="2" t="str">
        <f t="shared" si="194"/>
        <v/>
      </c>
      <c r="E429" s="2" t="str">
        <f t="shared" si="195"/>
        <v/>
      </c>
      <c r="F429" s="2" t="str">
        <f t="shared" si="196"/>
        <v/>
      </c>
      <c r="G429" s="2" t="str">
        <f t="shared" si="197"/>
        <v/>
      </c>
      <c r="H429" s="2" t="str">
        <f t="shared" si="212"/>
        <v/>
      </c>
      <c r="I429" s="2" t="str">
        <f t="shared" si="213"/>
        <v/>
      </c>
      <c r="J429" s="2" t="str">
        <f t="shared" si="214"/>
        <v/>
      </c>
      <c r="K429" s="2" t="str">
        <f t="shared" si="198"/>
        <v/>
      </c>
      <c r="L429" s="2" t="str">
        <f t="shared" si="199"/>
        <v/>
      </c>
      <c r="M429" s="2" t="str">
        <f t="shared" si="200"/>
        <v/>
      </c>
      <c r="N429" s="2" t="str">
        <f t="shared" si="215"/>
        <v/>
      </c>
      <c r="O429" s="2" t="str">
        <f t="shared" si="216"/>
        <v/>
      </c>
      <c r="P429" s="2" t="str">
        <f t="shared" si="217"/>
        <v/>
      </c>
      <c r="Q429" s="2" t="str">
        <f t="shared" si="201"/>
        <v/>
      </c>
      <c r="R429" s="2" t="str">
        <f t="shared" si="202"/>
        <v/>
      </c>
      <c r="S429" s="2" t="str">
        <f t="shared" si="203"/>
        <v/>
      </c>
      <c r="T429" s="2" t="str">
        <f t="shared" si="218"/>
        <v/>
      </c>
      <c r="U429" s="2" t="str">
        <f t="shared" si="219"/>
        <v/>
      </c>
      <c r="V429" s="2" t="str">
        <f t="shared" si="220"/>
        <v/>
      </c>
      <c r="W429" s="2" t="str">
        <f t="shared" si="204"/>
        <v/>
      </c>
      <c r="X429" s="2" t="str">
        <f t="shared" si="205"/>
        <v/>
      </c>
      <c r="Y429" s="2" t="str">
        <f t="shared" si="206"/>
        <v/>
      </c>
      <c r="Z429" s="2" t="str">
        <f t="shared" si="221"/>
        <v/>
      </c>
      <c r="AA429" s="2" t="str">
        <f t="shared" si="222"/>
        <v/>
      </c>
      <c r="AB429" s="2" t="str">
        <f t="shared" si="223"/>
        <v/>
      </c>
      <c r="AC429" s="2" t="str">
        <f t="shared" si="207"/>
        <v/>
      </c>
      <c r="AD429" s="2" t="str">
        <f t="shared" si="208"/>
        <v/>
      </c>
      <c r="AE429" s="2" t="str">
        <f t="shared" si="209"/>
        <v/>
      </c>
      <c r="AF429" s="2" t="str">
        <f t="shared" si="210"/>
        <v/>
      </c>
    </row>
    <row r="430" spans="1:32" x14ac:dyDescent="0.2">
      <c r="A430" s="2" t="str">
        <f t="shared" si="211"/>
        <v/>
      </c>
      <c r="B430" s="2" t="str">
        <f t="shared" si="192"/>
        <v/>
      </c>
      <c r="C430" s="2" t="str">
        <f t="shared" si="193"/>
        <v/>
      </c>
      <c r="D430" s="2" t="str">
        <f t="shared" si="194"/>
        <v/>
      </c>
      <c r="E430" s="2" t="str">
        <f t="shared" si="195"/>
        <v/>
      </c>
      <c r="F430" s="2" t="str">
        <f t="shared" si="196"/>
        <v/>
      </c>
      <c r="G430" s="2" t="str">
        <f t="shared" si="197"/>
        <v/>
      </c>
      <c r="H430" s="2" t="str">
        <f t="shared" si="212"/>
        <v/>
      </c>
      <c r="I430" s="2" t="str">
        <f t="shared" si="213"/>
        <v/>
      </c>
      <c r="J430" s="2" t="str">
        <f t="shared" si="214"/>
        <v/>
      </c>
      <c r="K430" s="2" t="str">
        <f t="shared" si="198"/>
        <v/>
      </c>
      <c r="L430" s="2" t="str">
        <f t="shared" si="199"/>
        <v/>
      </c>
      <c r="M430" s="2" t="str">
        <f t="shared" si="200"/>
        <v/>
      </c>
      <c r="N430" s="2" t="str">
        <f t="shared" si="215"/>
        <v/>
      </c>
      <c r="O430" s="2" t="str">
        <f t="shared" si="216"/>
        <v/>
      </c>
      <c r="P430" s="2" t="str">
        <f t="shared" si="217"/>
        <v/>
      </c>
      <c r="Q430" s="2" t="str">
        <f t="shared" si="201"/>
        <v/>
      </c>
      <c r="R430" s="2" t="str">
        <f t="shared" si="202"/>
        <v/>
      </c>
      <c r="S430" s="2" t="str">
        <f t="shared" si="203"/>
        <v/>
      </c>
      <c r="T430" s="2" t="str">
        <f t="shared" si="218"/>
        <v/>
      </c>
      <c r="U430" s="2" t="str">
        <f t="shared" si="219"/>
        <v/>
      </c>
      <c r="V430" s="2" t="str">
        <f t="shared" si="220"/>
        <v/>
      </c>
      <c r="W430" s="2" t="str">
        <f t="shared" si="204"/>
        <v/>
      </c>
      <c r="X430" s="2" t="str">
        <f t="shared" si="205"/>
        <v/>
      </c>
      <c r="Y430" s="2" t="str">
        <f t="shared" si="206"/>
        <v/>
      </c>
      <c r="Z430" s="2" t="str">
        <f t="shared" si="221"/>
        <v/>
      </c>
      <c r="AA430" s="2" t="str">
        <f t="shared" si="222"/>
        <v/>
      </c>
      <c r="AB430" s="2" t="str">
        <f t="shared" si="223"/>
        <v/>
      </c>
      <c r="AC430" s="2" t="str">
        <f t="shared" si="207"/>
        <v/>
      </c>
      <c r="AD430" s="2" t="str">
        <f t="shared" si="208"/>
        <v/>
      </c>
      <c r="AE430" s="2" t="str">
        <f t="shared" si="209"/>
        <v/>
      </c>
      <c r="AF430" s="2" t="str">
        <f t="shared" si="210"/>
        <v/>
      </c>
    </row>
    <row r="431" spans="1:32" x14ac:dyDescent="0.2">
      <c r="A431" s="2" t="str">
        <f t="shared" si="211"/>
        <v/>
      </c>
      <c r="B431" s="2" t="str">
        <f t="shared" si="192"/>
        <v/>
      </c>
      <c r="C431" s="2" t="str">
        <f t="shared" si="193"/>
        <v/>
      </c>
      <c r="D431" s="2" t="str">
        <f t="shared" si="194"/>
        <v/>
      </c>
      <c r="E431" s="2" t="str">
        <f t="shared" si="195"/>
        <v/>
      </c>
      <c r="F431" s="2" t="str">
        <f t="shared" si="196"/>
        <v/>
      </c>
      <c r="G431" s="2" t="str">
        <f t="shared" si="197"/>
        <v/>
      </c>
      <c r="H431" s="2" t="str">
        <f t="shared" si="212"/>
        <v/>
      </c>
      <c r="I431" s="2" t="str">
        <f t="shared" si="213"/>
        <v/>
      </c>
      <c r="J431" s="2" t="str">
        <f t="shared" si="214"/>
        <v/>
      </c>
      <c r="K431" s="2" t="str">
        <f t="shared" si="198"/>
        <v/>
      </c>
      <c r="L431" s="2" t="str">
        <f t="shared" si="199"/>
        <v/>
      </c>
      <c r="M431" s="2" t="str">
        <f t="shared" si="200"/>
        <v/>
      </c>
      <c r="N431" s="2" t="str">
        <f t="shared" si="215"/>
        <v/>
      </c>
      <c r="O431" s="2" t="str">
        <f t="shared" si="216"/>
        <v/>
      </c>
      <c r="P431" s="2" t="str">
        <f t="shared" si="217"/>
        <v/>
      </c>
      <c r="Q431" s="2" t="str">
        <f t="shared" si="201"/>
        <v/>
      </c>
      <c r="R431" s="2" t="str">
        <f t="shared" si="202"/>
        <v/>
      </c>
      <c r="S431" s="2" t="str">
        <f t="shared" si="203"/>
        <v/>
      </c>
      <c r="T431" s="2" t="str">
        <f t="shared" si="218"/>
        <v/>
      </c>
      <c r="U431" s="2" t="str">
        <f t="shared" si="219"/>
        <v/>
      </c>
      <c r="V431" s="2" t="str">
        <f t="shared" si="220"/>
        <v/>
      </c>
      <c r="W431" s="2" t="str">
        <f t="shared" si="204"/>
        <v/>
      </c>
      <c r="X431" s="2" t="str">
        <f t="shared" si="205"/>
        <v/>
      </c>
      <c r="Y431" s="2" t="str">
        <f t="shared" si="206"/>
        <v/>
      </c>
      <c r="Z431" s="2" t="str">
        <f t="shared" si="221"/>
        <v/>
      </c>
      <c r="AA431" s="2" t="str">
        <f t="shared" si="222"/>
        <v/>
      </c>
      <c r="AB431" s="2" t="str">
        <f t="shared" si="223"/>
        <v/>
      </c>
      <c r="AC431" s="2" t="str">
        <f t="shared" si="207"/>
        <v/>
      </c>
      <c r="AD431" s="2" t="str">
        <f t="shared" si="208"/>
        <v/>
      </c>
      <c r="AE431" s="2" t="str">
        <f t="shared" si="209"/>
        <v/>
      </c>
      <c r="AF431" s="2" t="str">
        <f t="shared" si="210"/>
        <v/>
      </c>
    </row>
    <row r="432" spans="1:32" x14ac:dyDescent="0.2">
      <c r="A432" s="2" t="str">
        <f t="shared" si="211"/>
        <v/>
      </c>
      <c r="B432" s="2" t="str">
        <f t="shared" si="192"/>
        <v/>
      </c>
      <c r="C432" s="2" t="str">
        <f t="shared" si="193"/>
        <v/>
      </c>
      <c r="D432" s="2" t="str">
        <f t="shared" si="194"/>
        <v/>
      </c>
      <c r="E432" s="2" t="str">
        <f t="shared" si="195"/>
        <v/>
      </c>
      <c r="F432" s="2" t="str">
        <f t="shared" si="196"/>
        <v/>
      </c>
      <c r="G432" s="2" t="str">
        <f t="shared" si="197"/>
        <v/>
      </c>
      <c r="H432" s="2" t="str">
        <f t="shared" si="212"/>
        <v/>
      </c>
      <c r="I432" s="2" t="str">
        <f t="shared" si="213"/>
        <v/>
      </c>
      <c r="J432" s="2" t="str">
        <f t="shared" si="214"/>
        <v/>
      </c>
      <c r="K432" s="2" t="str">
        <f t="shared" si="198"/>
        <v/>
      </c>
      <c r="L432" s="2" t="str">
        <f t="shared" si="199"/>
        <v/>
      </c>
      <c r="M432" s="2" t="str">
        <f t="shared" si="200"/>
        <v/>
      </c>
      <c r="N432" s="2" t="str">
        <f t="shared" si="215"/>
        <v/>
      </c>
      <c r="O432" s="2" t="str">
        <f t="shared" si="216"/>
        <v/>
      </c>
      <c r="P432" s="2" t="str">
        <f t="shared" si="217"/>
        <v/>
      </c>
      <c r="Q432" s="2" t="str">
        <f t="shared" si="201"/>
        <v/>
      </c>
      <c r="R432" s="2" t="str">
        <f t="shared" si="202"/>
        <v/>
      </c>
      <c r="S432" s="2" t="str">
        <f t="shared" si="203"/>
        <v/>
      </c>
      <c r="T432" s="2" t="str">
        <f t="shared" si="218"/>
        <v/>
      </c>
      <c r="U432" s="2" t="str">
        <f t="shared" si="219"/>
        <v/>
      </c>
      <c r="V432" s="2" t="str">
        <f t="shared" si="220"/>
        <v/>
      </c>
      <c r="W432" s="2" t="str">
        <f t="shared" si="204"/>
        <v/>
      </c>
      <c r="X432" s="2" t="str">
        <f t="shared" si="205"/>
        <v/>
      </c>
      <c r="Y432" s="2" t="str">
        <f t="shared" si="206"/>
        <v/>
      </c>
      <c r="Z432" s="2" t="str">
        <f t="shared" si="221"/>
        <v/>
      </c>
      <c r="AA432" s="2" t="str">
        <f t="shared" si="222"/>
        <v/>
      </c>
      <c r="AB432" s="2" t="str">
        <f t="shared" si="223"/>
        <v/>
      </c>
      <c r="AC432" s="2" t="str">
        <f t="shared" si="207"/>
        <v/>
      </c>
      <c r="AD432" s="2" t="str">
        <f t="shared" si="208"/>
        <v/>
      </c>
      <c r="AE432" s="2" t="str">
        <f t="shared" si="209"/>
        <v/>
      </c>
      <c r="AF432" s="2" t="str">
        <f t="shared" si="210"/>
        <v/>
      </c>
    </row>
    <row r="433" spans="1:32" x14ac:dyDescent="0.2">
      <c r="A433" s="2" t="str">
        <f t="shared" si="211"/>
        <v/>
      </c>
      <c r="B433" s="2" t="str">
        <f t="shared" si="192"/>
        <v/>
      </c>
      <c r="C433" s="2" t="str">
        <f t="shared" si="193"/>
        <v/>
      </c>
      <c r="D433" s="2" t="str">
        <f t="shared" si="194"/>
        <v/>
      </c>
      <c r="E433" s="2" t="str">
        <f t="shared" si="195"/>
        <v/>
      </c>
      <c r="F433" s="2" t="str">
        <f t="shared" si="196"/>
        <v/>
      </c>
      <c r="G433" s="2" t="str">
        <f t="shared" si="197"/>
        <v/>
      </c>
      <c r="H433" s="2" t="str">
        <f t="shared" si="212"/>
        <v/>
      </c>
      <c r="I433" s="2" t="str">
        <f t="shared" si="213"/>
        <v/>
      </c>
      <c r="J433" s="2" t="str">
        <f t="shared" si="214"/>
        <v/>
      </c>
      <c r="K433" s="2" t="str">
        <f t="shared" si="198"/>
        <v/>
      </c>
      <c r="L433" s="2" t="str">
        <f t="shared" si="199"/>
        <v/>
      </c>
      <c r="M433" s="2" t="str">
        <f t="shared" si="200"/>
        <v/>
      </c>
      <c r="N433" s="2" t="str">
        <f t="shared" si="215"/>
        <v/>
      </c>
      <c r="O433" s="2" t="str">
        <f t="shared" si="216"/>
        <v/>
      </c>
      <c r="P433" s="2" t="str">
        <f t="shared" si="217"/>
        <v/>
      </c>
      <c r="Q433" s="2" t="str">
        <f t="shared" si="201"/>
        <v/>
      </c>
      <c r="R433" s="2" t="str">
        <f t="shared" si="202"/>
        <v/>
      </c>
      <c r="S433" s="2" t="str">
        <f t="shared" si="203"/>
        <v/>
      </c>
      <c r="T433" s="2" t="str">
        <f t="shared" si="218"/>
        <v/>
      </c>
      <c r="U433" s="2" t="str">
        <f t="shared" si="219"/>
        <v/>
      </c>
      <c r="V433" s="2" t="str">
        <f t="shared" si="220"/>
        <v/>
      </c>
      <c r="W433" s="2" t="str">
        <f t="shared" si="204"/>
        <v/>
      </c>
      <c r="X433" s="2" t="str">
        <f t="shared" si="205"/>
        <v/>
      </c>
      <c r="Y433" s="2" t="str">
        <f t="shared" si="206"/>
        <v/>
      </c>
      <c r="Z433" s="2" t="str">
        <f t="shared" si="221"/>
        <v/>
      </c>
      <c r="AA433" s="2" t="str">
        <f t="shared" si="222"/>
        <v/>
      </c>
      <c r="AB433" s="2" t="str">
        <f t="shared" si="223"/>
        <v/>
      </c>
      <c r="AC433" s="2" t="str">
        <f t="shared" si="207"/>
        <v/>
      </c>
      <c r="AD433" s="2" t="str">
        <f t="shared" si="208"/>
        <v/>
      </c>
      <c r="AE433" s="2" t="str">
        <f t="shared" si="209"/>
        <v/>
      </c>
      <c r="AF433" s="2" t="str">
        <f t="shared" si="210"/>
        <v/>
      </c>
    </row>
    <row r="434" spans="1:32" x14ac:dyDescent="0.2">
      <c r="A434" s="2" t="str">
        <f t="shared" si="211"/>
        <v/>
      </c>
      <c r="B434" s="2" t="str">
        <f t="shared" si="192"/>
        <v/>
      </c>
      <c r="C434" s="2" t="str">
        <f t="shared" si="193"/>
        <v/>
      </c>
      <c r="D434" s="2" t="str">
        <f t="shared" si="194"/>
        <v/>
      </c>
      <c r="E434" s="2" t="str">
        <f t="shared" si="195"/>
        <v/>
      </c>
      <c r="F434" s="2" t="str">
        <f t="shared" si="196"/>
        <v/>
      </c>
      <c r="G434" s="2" t="str">
        <f t="shared" si="197"/>
        <v/>
      </c>
      <c r="H434" s="2" t="str">
        <f t="shared" si="212"/>
        <v/>
      </c>
      <c r="I434" s="2" t="str">
        <f t="shared" si="213"/>
        <v/>
      </c>
      <c r="J434" s="2" t="str">
        <f t="shared" si="214"/>
        <v/>
      </c>
      <c r="K434" s="2" t="str">
        <f t="shared" si="198"/>
        <v/>
      </c>
      <c r="L434" s="2" t="str">
        <f t="shared" si="199"/>
        <v/>
      </c>
      <c r="M434" s="2" t="str">
        <f t="shared" si="200"/>
        <v/>
      </c>
      <c r="N434" s="2" t="str">
        <f t="shared" si="215"/>
        <v/>
      </c>
      <c r="O434" s="2" t="str">
        <f t="shared" si="216"/>
        <v/>
      </c>
      <c r="P434" s="2" t="str">
        <f t="shared" si="217"/>
        <v/>
      </c>
      <c r="Q434" s="2" t="str">
        <f t="shared" si="201"/>
        <v/>
      </c>
      <c r="R434" s="2" t="str">
        <f t="shared" si="202"/>
        <v/>
      </c>
      <c r="S434" s="2" t="str">
        <f t="shared" si="203"/>
        <v/>
      </c>
      <c r="T434" s="2" t="str">
        <f t="shared" si="218"/>
        <v/>
      </c>
      <c r="U434" s="2" t="str">
        <f t="shared" si="219"/>
        <v/>
      </c>
      <c r="V434" s="2" t="str">
        <f t="shared" si="220"/>
        <v/>
      </c>
      <c r="W434" s="2" t="str">
        <f t="shared" si="204"/>
        <v/>
      </c>
      <c r="X434" s="2" t="str">
        <f t="shared" si="205"/>
        <v/>
      </c>
      <c r="Y434" s="2" t="str">
        <f t="shared" si="206"/>
        <v/>
      </c>
      <c r="Z434" s="2" t="str">
        <f t="shared" si="221"/>
        <v/>
      </c>
      <c r="AA434" s="2" t="str">
        <f t="shared" si="222"/>
        <v/>
      </c>
      <c r="AB434" s="2" t="str">
        <f t="shared" si="223"/>
        <v/>
      </c>
      <c r="AC434" s="2" t="str">
        <f t="shared" si="207"/>
        <v/>
      </c>
      <c r="AD434" s="2" t="str">
        <f t="shared" si="208"/>
        <v/>
      </c>
      <c r="AE434" s="2" t="str">
        <f t="shared" si="209"/>
        <v/>
      </c>
      <c r="AF434" s="2" t="str">
        <f t="shared" si="210"/>
        <v/>
      </c>
    </row>
    <row r="435" spans="1:32" x14ac:dyDescent="0.2">
      <c r="A435" s="2" t="str">
        <f t="shared" si="211"/>
        <v/>
      </c>
      <c r="B435" s="2" t="str">
        <f t="shared" si="192"/>
        <v/>
      </c>
      <c r="C435" s="2" t="str">
        <f t="shared" si="193"/>
        <v/>
      </c>
      <c r="D435" s="2" t="str">
        <f t="shared" si="194"/>
        <v/>
      </c>
      <c r="E435" s="2" t="str">
        <f t="shared" si="195"/>
        <v/>
      </c>
      <c r="F435" s="2" t="str">
        <f t="shared" si="196"/>
        <v/>
      </c>
      <c r="G435" s="2" t="str">
        <f t="shared" si="197"/>
        <v/>
      </c>
      <c r="H435" s="2" t="str">
        <f t="shared" si="212"/>
        <v/>
      </c>
      <c r="I435" s="2" t="str">
        <f t="shared" si="213"/>
        <v/>
      </c>
      <c r="J435" s="2" t="str">
        <f t="shared" si="214"/>
        <v/>
      </c>
      <c r="K435" s="2" t="str">
        <f t="shared" si="198"/>
        <v/>
      </c>
      <c r="L435" s="2" t="str">
        <f t="shared" si="199"/>
        <v/>
      </c>
      <c r="M435" s="2" t="str">
        <f t="shared" si="200"/>
        <v/>
      </c>
      <c r="N435" s="2" t="str">
        <f t="shared" si="215"/>
        <v/>
      </c>
      <c r="O435" s="2" t="str">
        <f t="shared" si="216"/>
        <v/>
      </c>
      <c r="P435" s="2" t="str">
        <f t="shared" si="217"/>
        <v/>
      </c>
      <c r="Q435" s="2" t="str">
        <f t="shared" si="201"/>
        <v/>
      </c>
      <c r="R435" s="2" t="str">
        <f t="shared" si="202"/>
        <v/>
      </c>
      <c r="S435" s="2" t="str">
        <f t="shared" si="203"/>
        <v/>
      </c>
      <c r="T435" s="2" t="str">
        <f t="shared" si="218"/>
        <v/>
      </c>
      <c r="U435" s="2" t="str">
        <f t="shared" si="219"/>
        <v/>
      </c>
      <c r="V435" s="2" t="str">
        <f t="shared" si="220"/>
        <v/>
      </c>
      <c r="W435" s="2" t="str">
        <f t="shared" si="204"/>
        <v/>
      </c>
      <c r="X435" s="2" t="str">
        <f t="shared" si="205"/>
        <v/>
      </c>
      <c r="Y435" s="2" t="str">
        <f t="shared" si="206"/>
        <v/>
      </c>
      <c r="Z435" s="2" t="str">
        <f t="shared" si="221"/>
        <v/>
      </c>
      <c r="AA435" s="2" t="str">
        <f t="shared" si="222"/>
        <v/>
      </c>
      <c r="AB435" s="2" t="str">
        <f t="shared" si="223"/>
        <v/>
      </c>
      <c r="AC435" s="2" t="str">
        <f t="shared" si="207"/>
        <v/>
      </c>
      <c r="AD435" s="2" t="str">
        <f t="shared" si="208"/>
        <v/>
      </c>
      <c r="AE435" s="2" t="str">
        <f t="shared" si="209"/>
        <v/>
      </c>
      <c r="AF435" s="2" t="str">
        <f t="shared" si="210"/>
        <v/>
      </c>
    </row>
    <row r="436" spans="1:32" x14ac:dyDescent="0.2">
      <c r="A436" s="2" t="str">
        <f t="shared" si="211"/>
        <v/>
      </c>
      <c r="B436" s="2" t="str">
        <f t="shared" si="192"/>
        <v/>
      </c>
      <c r="C436" s="2" t="str">
        <f t="shared" si="193"/>
        <v/>
      </c>
      <c r="D436" s="2" t="str">
        <f t="shared" si="194"/>
        <v/>
      </c>
      <c r="E436" s="2" t="str">
        <f t="shared" si="195"/>
        <v/>
      </c>
      <c r="F436" s="2" t="str">
        <f t="shared" si="196"/>
        <v/>
      </c>
      <c r="G436" s="2" t="str">
        <f t="shared" si="197"/>
        <v/>
      </c>
      <c r="H436" s="2" t="str">
        <f t="shared" si="212"/>
        <v/>
      </c>
      <c r="I436" s="2" t="str">
        <f t="shared" si="213"/>
        <v/>
      </c>
      <c r="J436" s="2" t="str">
        <f t="shared" si="214"/>
        <v/>
      </c>
      <c r="K436" s="2" t="str">
        <f t="shared" si="198"/>
        <v/>
      </c>
      <c r="L436" s="2" t="str">
        <f t="shared" si="199"/>
        <v/>
      </c>
      <c r="M436" s="2" t="str">
        <f t="shared" si="200"/>
        <v/>
      </c>
      <c r="N436" s="2" t="str">
        <f t="shared" si="215"/>
        <v/>
      </c>
      <c r="O436" s="2" t="str">
        <f t="shared" si="216"/>
        <v/>
      </c>
      <c r="P436" s="2" t="str">
        <f t="shared" si="217"/>
        <v/>
      </c>
      <c r="Q436" s="2" t="str">
        <f t="shared" si="201"/>
        <v/>
      </c>
      <c r="R436" s="2" t="str">
        <f t="shared" si="202"/>
        <v/>
      </c>
      <c r="S436" s="2" t="str">
        <f t="shared" si="203"/>
        <v/>
      </c>
      <c r="T436" s="2" t="str">
        <f t="shared" si="218"/>
        <v/>
      </c>
      <c r="U436" s="2" t="str">
        <f t="shared" si="219"/>
        <v/>
      </c>
      <c r="V436" s="2" t="str">
        <f t="shared" si="220"/>
        <v/>
      </c>
      <c r="W436" s="2" t="str">
        <f t="shared" si="204"/>
        <v/>
      </c>
      <c r="X436" s="2" t="str">
        <f t="shared" si="205"/>
        <v/>
      </c>
      <c r="Y436" s="2" t="str">
        <f t="shared" si="206"/>
        <v/>
      </c>
      <c r="Z436" s="2" t="str">
        <f t="shared" si="221"/>
        <v/>
      </c>
      <c r="AA436" s="2" t="str">
        <f t="shared" si="222"/>
        <v/>
      </c>
      <c r="AB436" s="2" t="str">
        <f t="shared" si="223"/>
        <v/>
      </c>
      <c r="AC436" s="2" t="str">
        <f t="shared" si="207"/>
        <v/>
      </c>
      <c r="AD436" s="2" t="str">
        <f t="shared" si="208"/>
        <v/>
      </c>
      <c r="AE436" s="2" t="str">
        <f t="shared" si="209"/>
        <v/>
      </c>
      <c r="AF436" s="2" t="str">
        <f t="shared" si="210"/>
        <v/>
      </c>
    </row>
    <row r="437" spans="1:32" x14ac:dyDescent="0.2">
      <c r="A437" s="2" t="str">
        <f t="shared" si="211"/>
        <v/>
      </c>
      <c r="B437" s="2" t="str">
        <f t="shared" si="192"/>
        <v/>
      </c>
      <c r="C437" s="2" t="str">
        <f t="shared" si="193"/>
        <v/>
      </c>
      <c r="D437" s="2" t="str">
        <f t="shared" si="194"/>
        <v/>
      </c>
      <c r="E437" s="2" t="str">
        <f t="shared" si="195"/>
        <v/>
      </c>
      <c r="F437" s="2" t="str">
        <f t="shared" si="196"/>
        <v/>
      </c>
      <c r="G437" s="2" t="str">
        <f t="shared" si="197"/>
        <v/>
      </c>
      <c r="H437" s="2" t="str">
        <f t="shared" si="212"/>
        <v/>
      </c>
      <c r="I437" s="2" t="str">
        <f t="shared" si="213"/>
        <v/>
      </c>
      <c r="J437" s="2" t="str">
        <f t="shared" si="214"/>
        <v/>
      </c>
      <c r="K437" s="2" t="str">
        <f t="shared" si="198"/>
        <v/>
      </c>
      <c r="L437" s="2" t="str">
        <f t="shared" si="199"/>
        <v/>
      </c>
      <c r="M437" s="2" t="str">
        <f t="shared" si="200"/>
        <v/>
      </c>
      <c r="N437" s="2" t="str">
        <f t="shared" si="215"/>
        <v/>
      </c>
      <c r="O437" s="2" t="str">
        <f t="shared" si="216"/>
        <v/>
      </c>
      <c r="P437" s="2" t="str">
        <f t="shared" si="217"/>
        <v/>
      </c>
      <c r="Q437" s="2" t="str">
        <f t="shared" si="201"/>
        <v/>
      </c>
      <c r="R437" s="2" t="str">
        <f t="shared" si="202"/>
        <v/>
      </c>
      <c r="S437" s="2" t="str">
        <f t="shared" si="203"/>
        <v/>
      </c>
      <c r="T437" s="2" t="str">
        <f t="shared" si="218"/>
        <v/>
      </c>
      <c r="U437" s="2" t="str">
        <f t="shared" si="219"/>
        <v/>
      </c>
      <c r="V437" s="2" t="str">
        <f t="shared" si="220"/>
        <v/>
      </c>
      <c r="W437" s="2" t="str">
        <f t="shared" si="204"/>
        <v/>
      </c>
      <c r="X437" s="2" t="str">
        <f t="shared" si="205"/>
        <v/>
      </c>
      <c r="Y437" s="2" t="str">
        <f t="shared" si="206"/>
        <v/>
      </c>
      <c r="Z437" s="2" t="str">
        <f t="shared" si="221"/>
        <v/>
      </c>
      <c r="AA437" s="2" t="str">
        <f t="shared" si="222"/>
        <v/>
      </c>
      <c r="AB437" s="2" t="str">
        <f t="shared" si="223"/>
        <v/>
      </c>
      <c r="AC437" s="2" t="str">
        <f t="shared" si="207"/>
        <v/>
      </c>
      <c r="AD437" s="2" t="str">
        <f t="shared" si="208"/>
        <v/>
      </c>
      <c r="AE437" s="2" t="str">
        <f t="shared" si="209"/>
        <v/>
      </c>
      <c r="AF437" s="2" t="str">
        <f t="shared" si="210"/>
        <v/>
      </c>
    </row>
    <row r="438" spans="1:32" x14ac:dyDescent="0.2">
      <c r="A438" s="2" t="str">
        <f t="shared" si="211"/>
        <v/>
      </c>
      <c r="B438" s="2" t="str">
        <f t="shared" si="192"/>
        <v/>
      </c>
      <c r="C438" s="2" t="str">
        <f t="shared" si="193"/>
        <v/>
      </c>
      <c r="D438" s="2" t="str">
        <f t="shared" si="194"/>
        <v/>
      </c>
      <c r="E438" s="2" t="str">
        <f t="shared" si="195"/>
        <v/>
      </c>
      <c r="F438" s="2" t="str">
        <f t="shared" si="196"/>
        <v/>
      </c>
      <c r="G438" s="2" t="str">
        <f t="shared" si="197"/>
        <v/>
      </c>
      <c r="H438" s="2" t="str">
        <f t="shared" si="212"/>
        <v/>
      </c>
      <c r="I438" s="2" t="str">
        <f t="shared" si="213"/>
        <v/>
      </c>
      <c r="J438" s="2" t="str">
        <f t="shared" si="214"/>
        <v/>
      </c>
      <c r="K438" s="2" t="str">
        <f t="shared" si="198"/>
        <v/>
      </c>
      <c r="L438" s="2" t="str">
        <f t="shared" si="199"/>
        <v/>
      </c>
      <c r="M438" s="2" t="str">
        <f t="shared" si="200"/>
        <v/>
      </c>
      <c r="N438" s="2" t="str">
        <f t="shared" si="215"/>
        <v/>
      </c>
      <c r="O438" s="2" t="str">
        <f t="shared" si="216"/>
        <v/>
      </c>
      <c r="P438" s="2" t="str">
        <f t="shared" si="217"/>
        <v/>
      </c>
      <c r="Q438" s="2" t="str">
        <f t="shared" si="201"/>
        <v/>
      </c>
      <c r="R438" s="2" t="str">
        <f t="shared" si="202"/>
        <v/>
      </c>
      <c r="S438" s="2" t="str">
        <f t="shared" si="203"/>
        <v/>
      </c>
      <c r="T438" s="2" t="str">
        <f t="shared" si="218"/>
        <v/>
      </c>
      <c r="U438" s="2" t="str">
        <f t="shared" si="219"/>
        <v/>
      </c>
      <c r="V438" s="2" t="str">
        <f t="shared" si="220"/>
        <v/>
      </c>
      <c r="W438" s="2" t="str">
        <f t="shared" si="204"/>
        <v/>
      </c>
      <c r="X438" s="2" t="str">
        <f t="shared" si="205"/>
        <v/>
      </c>
      <c r="Y438" s="2" t="str">
        <f t="shared" si="206"/>
        <v/>
      </c>
      <c r="Z438" s="2" t="str">
        <f t="shared" si="221"/>
        <v/>
      </c>
      <c r="AA438" s="2" t="str">
        <f t="shared" si="222"/>
        <v/>
      </c>
      <c r="AB438" s="2" t="str">
        <f t="shared" si="223"/>
        <v/>
      </c>
      <c r="AC438" s="2" t="str">
        <f t="shared" si="207"/>
        <v/>
      </c>
      <c r="AD438" s="2" t="str">
        <f t="shared" si="208"/>
        <v/>
      </c>
      <c r="AE438" s="2" t="str">
        <f t="shared" si="209"/>
        <v/>
      </c>
      <c r="AF438" s="2" t="str">
        <f t="shared" si="210"/>
        <v/>
      </c>
    </row>
    <row r="439" spans="1:32" x14ac:dyDescent="0.2">
      <c r="A439" s="2" t="str">
        <f t="shared" si="211"/>
        <v/>
      </c>
      <c r="B439" s="2" t="str">
        <f t="shared" si="192"/>
        <v/>
      </c>
      <c r="C439" s="2" t="str">
        <f t="shared" si="193"/>
        <v/>
      </c>
      <c r="D439" s="2" t="str">
        <f t="shared" si="194"/>
        <v/>
      </c>
      <c r="E439" s="2" t="str">
        <f t="shared" si="195"/>
        <v/>
      </c>
      <c r="F439" s="2" t="str">
        <f t="shared" si="196"/>
        <v/>
      </c>
      <c r="G439" s="2" t="str">
        <f t="shared" si="197"/>
        <v/>
      </c>
      <c r="H439" s="2" t="str">
        <f t="shared" si="212"/>
        <v/>
      </c>
      <c r="I439" s="2" t="str">
        <f t="shared" si="213"/>
        <v/>
      </c>
      <c r="J439" s="2" t="str">
        <f t="shared" si="214"/>
        <v/>
      </c>
      <c r="K439" s="2" t="str">
        <f t="shared" si="198"/>
        <v/>
      </c>
      <c r="L439" s="2" t="str">
        <f t="shared" si="199"/>
        <v/>
      </c>
      <c r="M439" s="2" t="str">
        <f t="shared" si="200"/>
        <v/>
      </c>
      <c r="N439" s="2" t="str">
        <f t="shared" si="215"/>
        <v/>
      </c>
      <c r="O439" s="2" t="str">
        <f t="shared" si="216"/>
        <v/>
      </c>
      <c r="P439" s="2" t="str">
        <f t="shared" si="217"/>
        <v/>
      </c>
      <c r="Q439" s="2" t="str">
        <f t="shared" si="201"/>
        <v/>
      </c>
      <c r="R439" s="2" t="str">
        <f t="shared" si="202"/>
        <v/>
      </c>
      <c r="S439" s="2" t="str">
        <f t="shared" si="203"/>
        <v/>
      </c>
      <c r="T439" s="2" t="str">
        <f t="shared" si="218"/>
        <v/>
      </c>
      <c r="U439" s="2" t="str">
        <f t="shared" si="219"/>
        <v/>
      </c>
      <c r="V439" s="2" t="str">
        <f t="shared" si="220"/>
        <v/>
      </c>
      <c r="W439" s="2" t="str">
        <f t="shared" si="204"/>
        <v/>
      </c>
      <c r="X439" s="2" t="str">
        <f t="shared" si="205"/>
        <v/>
      </c>
      <c r="Y439" s="2" t="str">
        <f t="shared" si="206"/>
        <v/>
      </c>
      <c r="Z439" s="2" t="str">
        <f t="shared" si="221"/>
        <v/>
      </c>
      <c r="AA439" s="2" t="str">
        <f t="shared" si="222"/>
        <v/>
      </c>
      <c r="AB439" s="2" t="str">
        <f t="shared" si="223"/>
        <v/>
      </c>
      <c r="AC439" s="2" t="str">
        <f t="shared" si="207"/>
        <v/>
      </c>
      <c r="AD439" s="2" t="str">
        <f t="shared" si="208"/>
        <v/>
      </c>
      <c r="AE439" s="2" t="str">
        <f t="shared" si="209"/>
        <v/>
      </c>
      <c r="AF439" s="2" t="str">
        <f t="shared" si="210"/>
        <v/>
      </c>
    </row>
    <row r="440" spans="1:32" x14ac:dyDescent="0.2">
      <c r="A440" s="2" t="str">
        <f t="shared" si="211"/>
        <v/>
      </c>
      <c r="B440" s="2" t="str">
        <f t="shared" si="192"/>
        <v/>
      </c>
      <c r="C440" s="2" t="str">
        <f t="shared" si="193"/>
        <v/>
      </c>
      <c r="D440" s="2" t="str">
        <f t="shared" si="194"/>
        <v/>
      </c>
      <c r="E440" s="2" t="str">
        <f t="shared" si="195"/>
        <v/>
      </c>
      <c r="F440" s="2" t="str">
        <f t="shared" si="196"/>
        <v/>
      </c>
      <c r="G440" s="2" t="str">
        <f t="shared" si="197"/>
        <v/>
      </c>
      <c r="H440" s="2" t="str">
        <f t="shared" si="212"/>
        <v/>
      </c>
      <c r="I440" s="2" t="str">
        <f t="shared" si="213"/>
        <v/>
      </c>
      <c r="J440" s="2" t="str">
        <f t="shared" si="214"/>
        <v/>
      </c>
      <c r="K440" s="2" t="str">
        <f t="shared" si="198"/>
        <v/>
      </c>
      <c r="L440" s="2" t="str">
        <f t="shared" si="199"/>
        <v/>
      </c>
      <c r="M440" s="2" t="str">
        <f t="shared" si="200"/>
        <v/>
      </c>
      <c r="N440" s="2" t="str">
        <f t="shared" si="215"/>
        <v/>
      </c>
      <c r="O440" s="2" t="str">
        <f t="shared" si="216"/>
        <v/>
      </c>
      <c r="P440" s="2" t="str">
        <f t="shared" si="217"/>
        <v/>
      </c>
      <c r="Q440" s="2" t="str">
        <f t="shared" si="201"/>
        <v/>
      </c>
      <c r="R440" s="2" t="str">
        <f t="shared" si="202"/>
        <v/>
      </c>
      <c r="S440" s="2" t="str">
        <f t="shared" si="203"/>
        <v/>
      </c>
      <c r="T440" s="2" t="str">
        <f t="shared" si="218"/>
        <v/>
      </c>
      <c r="U440" s="2" t="str">
        <f t="shared" si="219"/>
        <v/>
      </c>
      <c r="V440" s="2" t="str">
        <f t="shared" si="220"/>
        <v/>
      </c>
      <c r="W440" s="2" t="str">
        <f t="shared" si="204"/>
        <v/>
      </c>
      <c r="X440" s="2" t="str">
        <f t="shared" si="205"/>
        <v/>
      </c>
      <c r="Y440" s="2" t="str">
        <f t="shared" si="206"/>
        <v/>
      </c>
      <c r="Z440" s="2" t="str">
        <f t="shared" si="221"/>
        <v/>
      </c>
      <c r="AA440" s="2" t="str">
        <f t="shared" si="222"/>
        <v/>
      </c>
      <c r="AB440" s="2" t="str">
        <f t="shared" si="223"/>
        <v/>
      </c>
      <c r="AC440" s="2" t="str">
        <f t="shared" si="207"/>
        <v/>
      </c>
      <c r="AD440" s="2" t="str">
        <f t="shared" si="208"/>
        <v/>
      </c>
      <c r="AE440" s="2" t="str">
        <f t="shared" si="209"/>
        <v/>
      </c>
      <c r="AF440" s="2" t="str">
        <f t="shared" si="210"/>
        <v/>
      </c>
    </row>
    <row r="441" spans="1:32" x14ac:dyDescent="0.2">
      <c r="A441" s="2" t="str">
        <f t="shared" si="211"/>
        <v/>
      </c>
      <c r="B441" s="2" t="str">
        <f t="shared" si="192"/>
        <v/>
      </c>
      <c r="C441" s="2" t="str">
        <f t="shared" si="193"/>
        <v/>
      </c>
      <c r="D441" s="2" t="str">
        <f t="shared" si="194"/>
        <v/>
      </c>
      <c r="E441" s="2" t="str">
        <f t="shared" si="195"/>
        <v/>
      </c>
      <c r="F441" s="2" t="str">
        <f t="shared" si="196"/>
        <v/>
      </c>
      <c r="G441" s="2" t="str">
        <f t="shared" si="197"/>
        <v/>
      </c>
      <c r="H441" s="2" t="str">
        <f t="shared" si="212"/>
        <v/>
      </c>
      <c r="I441" s="2" t="str">
        <f t="shared" si="213"/>
        <v/>
      </c>
      <c r="J441" s="2" t="str">
        <f t="shared" si="214"/>
        <v/>
      </c>
      <c r="K441" s="2" t="str">
        <f t="shared" si="198"/>
        <v/>
      </c>
      <c r="L441" s="2" t="str">
        <f t="shared" si="199"/>
        <v/>
      </c>
      <c r="M441" s="2" t="str">
        <f t="shared" si="200"/>
        <v/>
      </c>
      <c r="N441" s="2" t="str">
        <f t="shared" si="215"/>
        <v/>
      </c>
      <c r="O441" s="2" t="str">
        <f t="shared" si="216"/>
        <v/>
      </c>
      <c r="P441" s="2" t="str">
        <f t="shared" si="217"/>
        <v/>
      </c>
      <c r="Q441" s="2" t="str">
        <f t="shared" si="201"/>
        <v/>
      </c>
      <c r="R441" s="2" t="str">
        <f t="shared" si="202"/>
        <v/>
      </c>
      <c r="S441" s="2" t="str">
        <f t="shared" si="203"/>
        <v/>
      </c>
      <c r="T441" s="2" t="str">
        <f t="shared" si="218"/>
        <v/>
      </c>
      <c r="U441" s="2" t="str">
        <f t="shared" si="219"/>
        <v/>
      </c>
      <c r="V441" s="2" t="str">
        <f t="shared" si="220"/>
        <v/>
      </c>
      <c r="W441" s="2" t="str">
        <f t="shared" si="204"/>
        <v/>
      </c>
      <c r="X441" s="2" t="str">
        <f t="shared" si="205"/>
        <v/>
      </c>
      <c r="Y441" s="2" t="str">
        <f t="shared" si="206"/>
        <v/>
      </c>
      <c r="Z441" s="2" t="str">
        <f t="shared" si="221"/>
        <v/>
      </c>
      <c r="AA441" s="2" t="str">
        <f t="shared" si="222"/>
        <v/>
      </c>
      <c r="AB441" s="2" t="str">
        <f t="shared" si="223"/>
        <v/>
      </c>
      <c r="AC441" s="2" t="str">
        <f t="shared" si="207"/>
        <v/>
      </c>
      <c r="AD441" s="2" t="str">
        <f t="shared" si="208"/>
        <v/>
      </c>
      <c r="AE441" s="2" t="str">
        <f t="shared" si="209"/>
        <v/>
      </c>
      <c r="AF441" s="2" t="str">
        <f t="shared" si="210"/>
        <v/>
      </c>
    </row>
    <row r="442" spans="1:32" x14ac:dyDescent="0.2">
      <c r="A442" s="2" t="str">
        <f t="shared" si="211"/>
        <v/>
      </c>
      <c r="B442" s="2" t="str">
        <f t="shared" si="192"/>
        <v/>
      </c>
      <c r="C442" s="2" t="str">
        <f t="shared" si="193"/>
        <v/>
      </c>
      <c r="D442" s="2" t="str">
        <f t="shared" si="194"/>
        <v/>
      </c>
      <c r="E442" s="2" t="str">
        <f t="shared" si="195"/>
        <v/>
      </c>
      <c r="F442" s="2" t="str">
        <f t="shared" si="196"/>
        <v/>
      </c>
      <c r="G442" s="2" t="str">
        <f t="shared" si="197"/>
        <v/>
      </c>
      <c r="H442" s="2" t="str">
        <f t="shared" si="212"/>
        <v/>
      </c>
      <c r="I442" s="2" t="str">
        <f t="shared" si="213"/>
        <v/>
      </c>
      <c r="J442" s="2" t="str">
        <f t="shared" si="214"/>
        <v/>
      </c>
      <c r="K442" s="2" t="str">
        <f t="shared" si="198"/>
        <v/>
      </c>
      <c r="L442" s="2" t="str">
        <f t="shared" si="199"/>
        <v/>
      </c>
      <c r="M442" s="2" t="str">
        <f t="shared" si="200"/>
        <v/>
      </c>
      <c r="N442" s="2" t="str">
        <f t="shared" si="215"/>
        <v/>
      </c>
      <c r="O442" s="2" t="str">
        <f t="shared" si="216"/>
        <v/>
      </c>
      <c r="P442" s="2" t="str">
        <f t="shared" si="217"/>
        <v/>
      </c>
      <c r="Q442" s="2" t="str">
        <f t="shared" si="201"/>
        <v/>
      </c>
      <c r="R442" s="2" t="str">
        <f t="shared" si="202"/>
        <v/>
      </c>
      <c r="S442" s="2" t="str">
        <f t="shared" si="203"/>
        <v/>
      </c>
      <c r="T442" s="2" t="str">
        <f t="shared" si="218"/>
        <v/>
      </c>
      <c r="U442" s="2" t="str">
        <f t="shared" si="219"/>
        <v/>
      </c>
      <c r="V442" s="2" t="str">
        <f t="shared" si="220"/>
        <v/>
      </c>
      <c r="W442" s="2" t="str">
        <f t="shared" si="204"/>
        <v/>
      </c>
      <c r="X442" s="2" t="str">
        <f t="shared" si="205"/>
        <v/>
      </c>
      <c r="Y442" s="2" t="str">
        <f t="shared" si="206"/>
        <v/>
      </c>
      <c r="Z442" s="2" t="str">
        <f t="shared" si="221"/>
        <v/>
      </c>
      <c r="AA442" s="2" t="str">
        <f t="shared" si="222"/>
        <v/>
      </c>
      <c r="AB442" s="2" t="str">
        <f t="shared" si="223"/>
        <v/>
      </c>
      <c r="AC442" s="2" t="str">
        <f t="shared" si="207"/>
        <v/>
      </c>
      <c r="AD442" s="2" t="str">
        <f t="shared" si="208"/>
        <v/>
      </c>
      <c r="AE442" s="2" t="str">
        <f t="shared" si="209"/>
        <v/>
      </c>
      <c r="AF442" s="2" t="str">
        <f t="shared" si="210"/>
        <v/>
      </c>
    </row>
    <row r="443" spans="1:32" x14ac:dyDescent="0.2">
      <c r="A443" s="2" t="str">
        <f t="shared" si="211"/>
        <v/>
      </c>
      <c r="B443" s="2" t="str">
        <f t="shared" si="192"/>
        <v/>
      </c>
      <c r="C443" s="2" t="str">
        <f t="shared" si="193"/>
        <v/>
      </c>
      <c r="D443" s="2" t="str">
        <f t="shared" si="194"/>
        <v/>
      </c>
      <c r="E443" s="2" t="str">
        <f t="shared" si="195"/>
        <v/>
      </c>
      <c r="F443" s="2" t="str">
        <f t="shared" si="196"/>
        <v/>
      </c>
      <c r="G443" s="2" t="str">
        <f t="shared" si="197"/>
        <v/>
      </c>
      <c r="H443" s="2" t="str">
        <f t="shared" si="212"/>
        <v/>
      </c>
      <c r="I443" s="2" t="str">
        <f t="shared" si="213"/>
        <v/>
      </c>
      <c r="J443" s="2" t="str">
        <f t="shared" si="214"/>
        <v/>
      </c>
      <c r="K443" s="2" t="str">
        <f t="shared" si="198"/>
        <v/>
      </c>
      <c r="L443" s="2" t="str">
        <f t="shared" si="199"/>
        <v/>
      </c>
      <c r="M443" s="2" t="str">
        <f t="shared" si="200"/>
        <v/>
      </c>
      <c r="N443" s="2" t="str">
        <f t="shared" si="215"/>
        <v/>
      </c>
      <c r="O443" s="2" t="str">
        <f t="shared" si="216"/>
        <v/>
      </c>
      <c r="P443" s="2" t="str">
        <f t="shared" si="217"/>
        <v/>
      </c>
      <c r="Q443" s="2" t="str">
        <f t="shared" si="201"/>
        <v/>
      </c>
      <c r="R443" s="2" t="str">
        <f t="shared" si="202"/>
        <v/>
      </c>
      <c r="S443" s="2" t="str">
        <f t="shared" si="203"/>
        <v/>
      </c>
      <c r="T443" s="2" t="str">
        <f t="shared" si="218"/>
        <v/>
      </c>
      <c r="U443" s="2" t="str">
        <f t="shared" si="219"/>
        <v/>
      </c>
      <c r="V443" s="2" t="str">
        <f t="shared" si="220"/>
        <v/>
      </c>
      <c r="W443" s="2" t="str">
        <f t="shared" si="204"/>
        <v/>
      </c>
      <c r="X443" s="2" t="str">
        <f t="shared" si="205"/>
        <v/>
      </c>
      <c r="Y443" s="2" t="str">
        <f t="shared" si="206"/>
        <v/>
      </c>
      <c r="Z443" s="2" t="str">
        <f t="shared" si="221"/>
        <v/>
      </c>
      <c r="AA443" s="2" t="str">
        <f t="shared" si="222"/>
        <v/>
      </c>
      <c r="AB443" s="2" t="str">
        <f t="shared" si="223"/>
        <v/>
      </c>
      <c r="AC443" s="2" t="str">
        <f t="shared" si="207"/>
        <v/>
      </c>
      <c r="AD443" s="2" t="str">
        <f t="shared" si="208"/>
        <v/>
      </c>
      <c r="AE443" s="2" t="str">
        <f t="shared" si="209"/>
        <v/>
      </c>
      <c r="AF443" s="2" t="str">
        <f t="shared" si="210"/>
        <v/>
      </c>
    </row>
    <row r="444" spans="1:32" x14ac:dyDescent="0.2">
      <c r="A444" s="2" t="str">
        <f t="shared" si="211"/>
        <v/>
      </c>
      <c r="B444" s="2" t="str">
        <f t="shared" si="192"/>
        <v/>
      </c>
      <c r="C444" s="2" t="str">
        <f t="shared" si="193"/>
        <v/>
      </c>
      <c r="D444" s="2" t="str">
        <f t="shared" si="194"/>
        <v/>
      </c>
      <c r="E444" s="2" t="str">
        <f t="shared" si="195"/>
        <v/>
      </c>
      <c r="F444" s="2" t="str">
        <f t="shared" si="196"/>
        <v/>
      </c>
      <c r="G444" s="2" t="str">
        <f t="shared" si="197"/>
        <v/>
      </c>
      <c r="H444" s="2" t="str">
        <f t="shared" si="212"/>
        <v/>
      </c>
      <c r="I444" s="2" t="str">
        <f t="shared" si="213"/>
        <v/>
      </c>
      <c r="J444" s="2" t="str">
        <f t="shared" si="214"/>
        <v/>
      </c>
      <c r="K444" s="2" t="str">
        <f t="shared" si="198"/>
        <v/>
      </c>
      <c r="L444" s="2" t="str">
        <f t="shared" si="199"/>
        <v/>
      </c>
      <c r="M444" s="2" t="str">
        <f t="shared" si="200"/>
        <v/>
      </c>
      <c r="N444" s="2" t="str">
        <f t="shared" si="215"/>
        <v/>
      </c>
      <c r="O444" s="2" t="str">
        <f t="shared" si="216"/>
        <v/>
      </c>
      <c r="P444" s="2" t="str">
        <f t="shared" si="217"/>
        <v/>
      </c>
      <c r="Q444" s="2" t="str">
        <f t="shared" si="201"/>
        <v/>
      </c>
      <c r="R444" s="2" t="str">
        <f t="shared" si="202"/>
        <v/>
      </c>
      <c r="S444" s="2" t="str">
        <f t="shared" si="203"/>
        <v/>
      </c>
      <c r="T444" s="2" t="str">
        <f t="shared" si="218"/>
        <v/>
      </c>
      <c r="U444" s="2" t="str">
        <f t="shared" si="219"/>
        <v/>
      </c>
      <c r="V444" s="2" t="str">
        <f t="shared" si="220"/>
        <v/>
      </c>
      <c r="W444" s="2" t="str">
        <f t="shared" si="204"/>
        <v/>
      </c>
      <c r="X444" s="2" t="str">
        <f t="shared" si="205"/>
        <v/>
      </c>
      <c r="Y444" s="2" t="str">
        <f t="shared" si="206"/>
        <v/>
      </c>
      <c r="Z444" s="2" t="str">
        <f t="shared" si="221"/>
        <v/>
      </c>
      <c r="AA444" s="2" t="str">
        <f t="shared" si="222"/>
        <v/>
      </c>
      <c r="AB444" s="2" t="str">
        <f t="shared" si="223"/>
        <v/>
      </c>
      <c r="AC444" s="2" t="str">
        <f t="shared" si="207"/>
        <v/>
      </c>
      <c r="AD444" s="2" t="str">
        <f t="shared" si="208"/>
        <v/>
      </c>
      <c r="AE444" s="2" t="str">
        <f t="shared" si="209"/>
        <v/>
      </c>
      <c r="AF444" s="2" t="str">
        <f t="shared" si="210"/>
        <v/>
      </c>
    </row>
    <row r="445" spans="1:32" x14ac:dyDescent="0.2">
      <c r="A445" s="2" t="str">
        <f t="shared" si="211"/>
        <v/>
      </c>
      <c r="B445" s="2" t="str">
        <f t="shared" si="192"/>
        <v/>
      </c>
      <c r="C445" s="2" t="str">
        <f t="shared" si="193"/>
        <v/>
      </c>
      <c r="D445" s="2" t="str">
        <f t="shared" si="194"/>
        <v/>
      </c>
      <c r="E445" s="2" t="str">
        <f t="shared" si="195"/>
        <v/>
      </c>
      <c r="F445" s="2" t="str">
        <f t="shared" si="196"/>
        <v/>
      </c>
      <c r="G445" s="2" t="str">
        <f t="shared" si="197"/>
        <v/>
      </c>
      <c r="H445" s="2" t="str">
        <f t="shared" si="212"/>
        <v/>
      </c>
      <c r="I445" s="2" t="str">
        <f t="shared" si="213"/>
        <v/>
      </c>
      <c r="J445" s="2" t="str">
        <f t="shared" si="214"/>
        <v/>
      </c>
      <c r="K445" s="2" t="str">
        <f t="shared" si="198"/>
        <v/>
      </c>
      <c r="L445" s="2" t="str">
        <f t="shared" si="199"/>
        <v/>
      </c>
      <c r="M445" s="2" t="str">
        <f t="shared" si="200"/>
        <v/>
      </c>
      <c r="N445" s="2" t="str">
        <f t="shared" si="215"/>
        <v/>
      </c>
      <c r="O445" s="2" t="str">
        <f t="shared" si="216"/>
        <v/>
      </c>
      <c r="P445" s="2" t="str">
        <f t="shared" si="217"/>
        <v/>
      </c>
      <c r="Q445" s="2" t="str">
        <f t="shared" si="201"/>
        <v/>
      </c>
      <c r="R445" s="2" t="str">
        <f t="shared" si="202"/>
        <v/>
      </c>
      <c r="S445" s="2" t="str">
        <f t="shared" si="203"/>
        <v/>
      </c>
      <c r="T445" s="2" t="str">
        <f t="shared" si="218"/>
        <v/>
      </c>
      <c r="U445" s="2" t="str">
        <f t="shared" si="219"/>
        <v/>
      </c>
      <c r="V445" s="2" t="str">
        <f t="shared" si="220"/>
        <v/>
      </c>
      <c r="W445" s="2" t="str">
        <f t="shared" si="204"/>
        <v/>
      </c>
      <c r="X445" s="2" t="str">
        <f t="shared" si="205"/>
        <v/>
      </c>
      <c r="Y445" s="2" t="str">
        <f t="shared" si="206"/>
        <v/>
      </c>
      <c r="Z445" s="2" t="str">
        <f t="shared" si="221"/>
        <v/>
      </c>
      <c r="AA445" s="2" t="str">
        <f t="shared" si="222"/>
        <v/>
      </c>
      <c r="AB445" s="2" t="str">
        <f t="shared" si="223"/>
        <v/>
      </c>
      <c r="AC445" s="2" t="str">
        <f t="shared" si="207"/>
        <v/>
      </c>
      <c r="AD445" s="2" t="str">
        <f t="shared" si="208"/>
        <v/>
      </c>
      <c r="AE445" s="2" t="str">
        <f t="shared" si="209"/>
        <v/>
      </c>
      <c r="AF445" s="2" t="str">
        <f t="shared" si="210"/>
        <v/>
      </c>
    </row>
    <row r="446" spans="1:32" x14ac:dyDescent="0.2">
      <c r="A446" s="2" t="str">
        <f t="shared" si="211"/>
        <v/>
      </c>
      <c r="B446" s="2" t="str">
        <f t="shared" si="192"/>
        <v/>
      </c>
      <c r="C446" s="2" t="str">
        <f t="shared" si="193"/>
        <v/>
      </c>
      <c r="D446" s="2" t="str">
        <f t="shared" si="194"/>
        <v/>
      </c>
      <c r="E446" s="2" t="str">
        <f t="shared" si="195"/>
        <v/>
      </c>
      <c r="F446" s="2" t="str">
        <f t="shared" si="196"/>
        <v/>
      </c>
      <c r="G446" s="2" t="str">
        <f t="shared" si="197"/>
        <v/>
      </c>
      <c r="H446" s="2" t="str">
        <f t="shared" si="212"/>
        <v/>
      </c>
      <c r="I446" s="2" t="str">
        <f t="shared" si="213"/>
        <v/>
      </c>
      <c r="J446" s="2" t="str">
        <f t="shared" si="214"/>
        <v/>
      </c>
      <c r="K446" s="2" t="str">
        <f t="shared" si="198"/>
        <v/>
      </c>
      <c r="L446" s="2" t="str">
        <f t="shared" si="199"/>
        <v/>
      </c>
      <c r="M446" s="2" t="str">
        <f t="shared" si="200"/>
        <v/>
      </c>
      <c r="N446" s="2" t="str">
        <f t="shared" si="215"/>
        <v/>
      </c>
      <c r="O446" s="2" t="str">
        <f t="shared" si="216"/>
        <v/>
      </c>
      <c r="P446" s="2" t="str">
        <f t="shared" si="217"/>
        <v/>
      </c>
      <c r="Q446" s="2" t="str">
        <f t="shared" si="201"/>
        <v/>
      </c>
      <c r="R446" s="2" t="str">
        <f t="shared" si="202"/>
        <v/>
      </c>
      <c r="S446" s="2" t="str">
        <f t="shared" si="203"/>
        <v/>
      </c>
      <c r="T446" s="2" t="str">
        <f t="shared" si="218"/>
        <v/>
      </c>
      <c r="U446" s="2" t="str">
        <f t="shared" si="219"/>
        <v/>
      </c>
      <c r="V446" s="2" t="str">
        <f t="shared" si="220"/>
        <v/>
      </c>
      <c r="W446" s="2" t="str">
        <f t="shared" si="204"/>
        <v/>
      </c>
      <c r="X446" s="2" t="str">
        <f t="shared" si="205"/>
        <v/>
      </c>
      <c r="Y446" s="2" t="str">
        <f t="shared" si="206"/>
        <v/>
      </c>
      <c r="Z446" s="2" t="str">
        <f t="shared" si="221"/>
        <v/>
      </c>
      <c r="AA446" s="2" t="str">
        <f t="shared" si="222"/>
        <v/>
      </c>
      <c r="AB446" s="2" t="str">
        <f t="shared" si="223"/>
        <v/>
      </c>
      <c r="AC446" s="2" t="str">
        <f t="shared" si="207"/>
        <v/>
      </c>
      <c r="AD446" s="2" t="str">
        <f t="shared" si="208"/>
        <v/>
      </c>
      <c r="AE446" s="2" t="str">
        <f t="shared" si="209"/>
        <v/>
      </c>
      <c r="AF446" s="2" t="str">
        <f t="shared" si="210"/>
        <v/>
      </c>
    </row>
    <row r="447" spans="1:32" x14ac:dyDescent="0.2">
      <c r="A447" s="2" t="str">
        <f t="shared" si="211"/>
        <v/>
      </c>
      <c r="B447" s="2" t="str">
        <f t="shared" si="192"/>
        <v/>
      </c>
      <c r="C447" s="2" t="str">
        <f t="shared" si="193"/>
        <v/>
      </c>
      <c r="D447" s="2" t="str">
        <f t="shared" si="194"/>
        <v/>
      </c>
      <c r="E447" s="2" t="str">
        <f t="shared" si="195"/>
        <v/>
      </c>
      <c r="F447" s="2" t="str">
        <f t="shared" si="196"/>
        <v/>
      </c>
      <c r="G447" s="2" t="str">
        <f t="shared" si="197"/>
        <v/>
      </c>
      <c r="H447" s="2" t="str">
        <f t="shared" si="212"/>
        <v/>
      </c>
      <c r="I447" s="2" t="str">
        <f t="shared" si="213"/>
        <v/>
      </c>
      <c r="J447" s="2" t="str">
        <f t="shared" si="214"/>
        <v/>
      </c>
      <c r="K447" s="2" t="str">
        <f t="shared" si="198"/>
        <v/>
      </c>
      <c r="L447" s="2" t="str">
        <f t="shared" si="199"/>
        <v/>
      </c>
      <c r="M447" s="2" t="str">
        <f t="shared" si="200"/>
        <v/>
      </c>
      <c r="N447" s="2" t="str">
        <f t="shared" si="215"/>
        <v/>
      </c>
      <c r="O447" s="2" t="str">
        <f t="shared" si="216"/>
        <v/>
      </c>
      <c r="P447" s="2" t="str">
        <f t="shared" si="217"/>
        <v/>
      </c>
      <c r="Q447" s="2" t="str">
        <f t="shared" si="201"/>
        <v/>
      </c>
      <c r="R447" s="2" t="str">
        <f t="shared" si="202"/>
        <v/>
      </c>
      <c r="S447" s="2" t="str">
        <f t="shared" si="203"/>
        <v/>
      </c>
      <c r="T447" s="2" t="str">
        <f t="shared" si="218"/>
        <v/>
      </c>
      <c r="U447" s="2" t="str">
        <f t="shared" si="219"/>
        <v/>
      </c>
      <c r="V447" s="2" t="str">
        <f t="shared" si="220"/>
        <v/>
      </c>
      <c r="W447" s="2" t="str">
        <f t="shared" si="204"/>
        <v/>
      </c>
      <c r="X447" s="2" t="str">
        <f t="shared" si="205"/>
        <v/>
      </c>
      <c r="Y447" s="2" t="str">
        <f t="shared" si="206"/>
        <v/>
      </c>
      <c r="Z447" s="2" t="str">
        <f t="shared" si="221"/>
        <v/>
      </c>
      <c r="AA447" s="2" t="str">
        <f t="shared" si="222"/>
        <v/>
      </c>
      <c r="AB447" s="2" t="str">
        <f t="shared" si="223"/>
        <v/>
      </c>
      <c r="AC447" s="2" t="str">
        <f t="shared" si="207"/>
        <v/>
      </c>
      <c r="AD447" s="2" t="str">
        <f t="shared" si="208"/>
        <v/>
      </c>
      <c r="AE447" s="2" t="str">
        <f t="shared" si="209"/>
        <v/>
      </c>
      <c r="AF447" s="2" t="str">
        <f t="shared" si="210"/>
        <v/>
      </c>
    </row>
    <row r="448" spans="1:32" x14ac:dyDescent="0.2">
      <c r="A448" s="2" t="str">
        <f t="shared" si="211"/>
        <v/>
      </c>
      <c r="B448" s="2" t="str">
        <f t="shared" si="192"/>
        <v/>
      </c>
      <c r="C448" s="2" t="str">
        <f t="shared" si="193"/>
        <v/>
      </c>
      <c r="D448" s="2" t="str">
        <f t="shared" si="194"/>
        <v/>
      </c>
      <c r="E448" s="2" t="str">
        <f t="shared" si="195"/>
        <v/>
      </c>
      <c r="F448" s="2" t="str">
        <f t="shared" si="196"/>
        <v/>
      </c>
      <c r="G448" s="2" t="str">
        <f t="shared" si="197"/>
        <v/>
      </c>
      <c r="H448" s="2" t="str">
        <f t="shared" si="212"/>
        <v/>
      </c>
      <c r="I448" s="2" t="str">
        <f t="shared" si="213"/>
        <v/>
      </c>
      <c r="J448" s="2" t="str">
        <f t="shared" si="214"/>
        <v/>
      </c>
      <c r="K448" s="2" t="str">
        <f t="shared" si="198"/>
        <v/>
      </c>
      <c r="L448" s="2" t="str">
        <f t="shared" si="199"/>
        <v/>
      </c>
      <c r="M448" s="2" t="str">
        <f t="shared" si="200"/>
        <v/>
      </c>
      <c r="N448" s="2" t="str">
        <f t="shared" si="215"/>
        <v/>
      </c>
      <c r="O448" s="2" t="str">
        <f t="shared" si="216"/>
        <v/>
      </c>
      <c r="P448" s="2" t="str">
        <f t="shared" si="217"/>
        <v/>
      </c>
      <c r="Q448" s="2" t="str">
        <f t="shared" si="201"/>
        <v/>
      </c>
      <c r="R448" s="2" t="str">
        <f t="shared" si="202"/>
        <v/>
      </c>
      <c r="S448" s="2" t="str">
        <f t="shared" si="203"/>
        <v/>
      </c>
      <c r="T448" s="2" t="str">
        <f t="shared" si="218"/>
        <v/>
      </c>
      <c r="U448" s="2" t="str">
        <f t="shared" si="219"/>
        <v/>
      </c>
      <c r="V448" s="2" t="str">
        <f t="shared" si="220"/>
        <v/>
      </c>
      <c r="W448" s="2" t="str">
        <f t="shared" si="204"/>
        <v/>
      </c>
      <c r="X448" s="2" t="str">
        <f t="shared" si="205"/>
        <v/>
      </c>
      <c r="Y448" s="2" t="str">
        <f t="shared" si="206"/>
        <v/>
      </c>
      <c r="Z448" s="2" t="str">
        <f t="shared" si="221"/>
        <v/>
      </c>
      <c r="AA448" s="2" t="str">
        <f t="shared" si="222"/>
        <v/>
      </c>
      <c r="AB448" s="2" t="str">
        <f t="shared" si="223"/>
        <v/>
      </c>
      <c r="AC448" s="2" t="str">
        <f t="shared" si="207"/>
        <v/>
      </c>
      <c r="AD448" s="2" t="str">
        <f t="shared" si="208"/>
        <v/>
      </c>
      <c r="AE448" s="2" t="str">
        <f t="shared" si="209"/>
        <v/>
      </c>
      <c r="AF448" s="2" t="str">
        <f t="shared" si="210"/>
        <v/>
      </c>
    </row>
    <row r="449" spans="1:32" x14ac:dyDescent="0.2">
      <c r="A449" s="2" t="str">
        <f t="shared" si="211"/>
        <v/>
      </c>
      <c r="B449" s="2" t="str">
        <f t="shared" si="192"/>
        <v/>
      </c>
      <c r="C449" s="2" t="str">
        <f t="shared" si="193"/>
        <v/>
      </c>
      <c r="D449" s="2" t="str">
        <f t="shared" si="194"/>
        <v/>
      </c>
      <c r="E449" s="2" t="str">
        <f t="shared" si="195"/>
        <v/>
      </c>
      <c r="F449" s="2" t="str">
        <f t="shared" si="196"/>
        <v/>
      </c>
      <c r="G449" s="2" t="str">
        <f t="shared" si="197"/>
        <v/>
      </c>
      <c r="H449" s="2" t="str">
        <f t="shared" si="212"/>
        <v/>
      </c>
      <c r="I449" s="2" t="str">
        <f t="shared" si="213"/>
        <v/>
      </c>
      <c r="J449" s="2" t="str">
        <f t="shared" si="214"/>
        <v/>
      </c>
      <c r="K449" s="2" t="str">
        <f t="shared" si="198"/>
        <v/>
      </c>
      <c r="L449" s="2" t="str">
        <f t="shared" si="199"/>
        <v/>
      </c>
      <c r="M449" s="2" t="str">
        <f t="shared" si="200"/>
        <v/>
      </c>
      <c r="N449" s="2" t="str">
        <f t="shared" si="215"/>
        <v/>
      </c>
      <c r="O449" s="2" t="str">
        <f t="shared" si="216"/>
        <v/>
      </c>
      <c r="P449" s="2" t="str">
        <f t="shared" si="217"/>
        <v/>
      </c>
      <c r="Q449" s="2" t="str">
        <f t="shared" si="201"/>
        <v/>
      </c>
      <c r="R449" s="2" t="str">
        <f t="shared" si="202"/>
        <v/>
      </c>
      <c r="S449" s="2" t="str">
        <f t="shared" si="203"/>
        <v/>
      </c>
      <c r="T449" s="2" t="str">
        <f t="shared" si="218"/>
        <v/>
      </c>
      <c r="U449" s="2" t="str">
        <f t="shared" si="219"/>
        <v/>
      </c>
      <c r="V449" s="2" t="str">
        <f t="shared" si="220"/>
        <v/>
      </c>
      <c r="W449" s="2" t="str">
        <f t="shared" si="204"/>
        <v/>
      </c>
      <c r="X449" s="2" t="str">
        <f t="shared" si="205"/>
        <v/>
      </c>
      <c r="Y449" s="2" t="str">
        <f t="shared" si="206"/>
        <v/>
      </c>
      <c r="Z449" s="2" t="str">
        <f t="shared" si="221"/>
        <v/>
      </c>
      <c r="AA449" s="2" t="str">
        <f t="shared" si="222"/>
        <v/>
      </c>
      <c r="AB449" s="2" t="str">
        <f t="shared" si="223"/>
        <v/>
      </c>
      <c r="AC449" s="2" t="str">
        <f t="shared" si="207"/>
        <v/>
      </c>
      <c r="AD449" s="2" t="str">
        <f t="shared" si="208"/>
        <v/>
      </c>
      <c r="AE449" s="2" t="str">
        <f t="shared" si="209"/>
        <v/>
      </c>
      <c r="AF449" s="2" t="str">
        <f t="shared" si="210"/>
        <v/>
      </c>
    </row>
    <row r="450" spans="1:32" x14ac:dyDescent="0.2">
      <c r="A450" s="2" t="str">
        <f t="shared" si="211"/>
        <v/>
      </c>
      <c r="B450" s="2" t="str">
        <f t="shared" si="192"/>
        <v/>
      </c>
      <c r="C450" s="2" t="str">
        <f t="shared" si="193"/>
        <v/>
      </c>
      <c r="D450" s="2" t="str">
        <f t="shared" si="194"/>
        <v/>
      </c>
      <c r="E450" s="2" t="str">
        <f t="shared" si="195"/>
        <v/>
      </c>
      <c r="F450" s="2" t="str">
        <f t="shared" si="196"/>
        <v/>
      </c>
      <c r="G450" s="2" t="str">
        <f t="shared" si="197"/>
        <v/>
      </c>
      <c r="H450" s="2" t="str">
        <f t="shared" si="212"/>
        <v/>
      </c>
      <c r="I450" s="2" t="str">
        <f t="shared" si="213"/>
        <v/>
      </c>
      <c r="J450" s="2" t="str">
        <f t="shared" si="214"/>
        <v/>
      </c>
      <c r="K450" s="2" t="str">
        <f t="shared" si="198"/>
        <v/>
      </c>
      <c r="L450" s="2" t="str">
        <f t="shared" si="199"/>
        <v/>
      </c>
      <c r="M450" s="2" t="str">
        <f t="shared" si="200"/>
        <v/>
      </c>
      <c r="N450" s="2" t="str">
        <f t="shared" si="215"/>
        <v/>
      </c>
      <c r="O450" s="2" t="str">
        <f t="shared" si="216"/>
        <v/>
      </c>
      <c r="P450" s="2" t="str">
        <f t="shared" si="217"/>
        <v/>
      </c>
      <c r="Q450" s="2" t="str">
        <f t="shared" si="201"/>
        <v/>
      </c>
      <c r="R450" s="2" t="str">
        <f t="shared" si="202"/>
        <v/>
      </c>
      <c r="S450" s="2" t="str">
        <f t="shared" si="203"/>
        <v/>
      </c>
      <c r="T450" s="2" t="str">
        <f t="shared" si="218"/>
        <v/>
      </c>
      <c r="U450" s="2" t="str">
        <f t="shared" si="219"/>
        <v/>
      </c>
      <c r="V450" s="2" t="str">
        <f t="shared" si="220"/>
        <v/>
      </c>
      <c r="W450" s="2" t="str">
        <f t="shared" si="204"/>
        <v/>
      </c>
      <c r="X450" s="2" t="str">
        <f t="shared" si="205"/>
        <v/>
      </c>
      <c r="Y450" s="2" t="str">
        <f t="shared" si="206"/>
        <v/>
      </c>
      <c r="Z450" s="2" t="str">
        <f t="shared" si="221"/>
        <v/>
      </c>
      <c r="AA450" s="2" t="str">
        <f t="shared" si="222"/>
        <v/>
      </c>
      <c r="AB450" s="2" t="str">
        <f t="shared" si="223"/>
        <v/>
      </c>
      <c r="AC450" s="2" t="str">
        <f t="shared" si="207"/>
        <v/>
      </c>
      <c r="AD450" s="2" t="str">
        <f t="shared" si="208"/>
        <v/>
      </c>
      <c r="AE450" s="2" t="str">
        <f t="shared" si="209"/>
        <v/>
      </c>
      <c r="AF450" s="2" t="str">
        <f t="shared" si="210"/>
        <v/>
      </c>
    </row>
    <row r="451" spans="1:32" x14ac:dyDescent="0.2">
      <c r="A451" s="2" t="str">
        <f t="shared" si="211"/>
        <v/>
      </c>
      <c r="B451" s="2" t="str">
        <f t="shared" si="192"/>
        <v/>
      </c>
      <c r="C451" s="2" t="str">
        <f t="shared" si="193"/>
        <v/>
      </c>
      <c r="D451" s="2" t="str">
        <f t="shared" si="194"/>
        <v/>
      </c>
      <c r="E451" s="2" t="str">
        <f t="shared" si="195"/>
        <v/>
      </c>
      <c r="F451" s="2" t="str">
        <f t="shared" si="196"/>
        <v/>
      </c>
      <c r="G451" s="2" t="str">
        <f t="shared" si="197"/>
        <v/>
      </c>
      <c r="H451" s="2" t="str">
        <f t="shared" si="212"/>
        <v/>
      </c>
      <c r="I451" s="2" t="str">
        <f t="shared" si="213"/>
        <v/>
      </c>
      <c r="J451" s="2" t="str">
        <f t="shared" si="214"/>
        <v/>
      </c>
      <c r="K451" s="2" t="str">
        <f t="shared" si="198"/>
        <v/>
      </c>
      <c r="L451" s="2" t="str">
        <f t="shared" si="199"/>
        <v/>
      </c>
      <c r="M451" s="2" t="str">
        <f t="shared" si="200"/>
        <v/>
      </c>
      <c r="N451" s="2" t="str">
        <f t="shared" si="215"/>
        <v/>
      </c>
      <c r="O451" s="2" t="str">
        <f t="shared" si="216"/>
        <v/>
      </c>
      <c r="P451" s="2" t="str">
        <f t="shared" si="217"/>
        <v/>
      </c>
      <c r="Q451" s="2" t="str">
        <f t="shared" si="201"/>
        <v/>
      </c>
      <c r="R451" s="2" t="str">
        <f t="shared" si="202"/>
        <v/>
      </c>
      <c r="S451" s="2" t="str">
        <f t="shared" si="203"/>
        <v/>
      </c>
      <c r="T451" s="2" t="str">
        <f t="shared" si="218"/>
        <v/>
      </c>
      <c r="U451" s="2" t="str">
        <f t="shared" si="219"/>
        <v/>
      </c>
      <c r="V451" s="2" t="str">
        <f t="shared" si="220"/>
        <v/>
      </c>
      <c r="W451" s="2" t="str">
        <f t="shared" si="204"/>
        <v/>
      </c>
      <c r="X451" s="2" t="str">
        <f t="shared" si="205"/>
        <v/>
      </c>
      <c r="Y451" s="2" t="str">
        <f t="shared" si="206"/>
        <v/>
      </c>
      <c r="Z451" s="2" t="str">
        <f t="shared" si="221"/>
        <v/>
      </c>
      <c r="AA451" s="2" t="str">
        <f t="shared" si="222"/>
        <v/>
      </c>
      <c r="AB451" s="2" t="str">
        <f t="shared" si="223"/>
        <v/>
      </c>
      <c r="AC451" s="2" t="str">
        <f t="shared" si="207"/>
        <v/>
      </c>
      <c r="AD451" s="2" t="str">
        <f t="shared" si="208"/>
        <v/>
      </c>
      <c r="AE451" s="2" t="str">
        <f t="shared" si="209"/>
        <v/>
      </c>
      <c r="AF451" s="2" t="str">
        <f t="shared" si="210"/>
        <v/>
      </c>
    </row>
    <row r="452" spans="1:32" x14ac:dyDescent="0.2">
      <c r="A452" s="2" t="str">
        <f t="shared" si="211"/>
        <v/>
      </c>
      <c r="B452" s="2" t="str">
        <f t="shared" ref="B452:B503" si="224">IF(AI452="","",AI452)</f>
        <v/>
      </c>
      <c r="C452" s="2" t="str">
        <f t="shared" ref="C452:C503" si="225">IF(AJ452="","",AJ452)</f>
        <v/>
      </c>
      <c r="D452" s="2" t="str">
        <f t="shared" ref="D452:D503" si="226">IF(AK452="","",AK452)</f>
        <v/>
      </c>
      <c r="E452" s="2" t="str">
        <f t="shared" ref="E452:E503" si="227">IF(AL452="","",AL452)</f>
        <v/>
      </c>
      <c r="F452" s="2" t="str">
        <f t="shared" ref="F452:F503" si="228">IF(AM452="","",AM452)</f>
        <v/>
      </c>
      <c r="G452" s="2" t="str">
        <f t="shared" ref="G452:G503" si="229">IF(AN452="","",AN452)</f>
        <v/>
      </c>
      <c r="H452" s="2" t="str">
        <f t="shared" si="212"/>
        <v/>
      </c>
      <c r="I452" s="2" t="str">
        <f t="shared" si="213"/>
        <v/>
      </c>
      <c r="J452" s="2" t="str">
        <f t="shared" si="214"/>
        <v/>
      </c>
      <c r="K452" s="2" t="str">
        <f t="shared" ref="K452:K503" si="230">IF(AR452="","",AR452)</f>
        <v/>
      </c>
      <c r="L452" s="2" t="str">
        <f t="shared" ref="L452:L503" si="231">IF(AS452="","",AS452)</f>
        <v/>
      </c>
      <c r="M452" s="2" t="str">
        <f t="shared" ref="M452:M503" si="232">IF(AT452="","",AT452)</f>
        <v/>
      </c>
      <c r="N452" s="2" t="str">
        <f t="shared" si="215"/>
        <v/>
      </c>
      <c r="O452" s="2" t="str">
        <f t="shared" si="216"/>
        <v/>
      </c>
      <c r="P452" s="2" t="str">
        <f t="shared" si="217"/>
        <v/>
      </c>
      <c r="Q452" s="2" t="str">
        <f t="shared" ref="Q452:Q503" si="233">IF(AX452="","",AX452)</f>
        <v/>
      </c>
      <c r="R452" s="2" t="str">
        <f t="shared" ref="R452:R503" si="234">IF(AY452="","",AY452)</f>
        <v/>
      </c>
      <c r="S452" s="2" t="str">
        <f t="shared" ref="S452:S503" si="235">IF(AZ452="","",AZ452)</f>
        <v/>
      </c>
      <c r="T452" s="2" t="str">
        <f t="shared" si="218"/>
        <v/>
      </c>
      <c r="U452" s="2" t="str">
        <f t="shared" si="219"/>
        <v/>
      </c>
      <c r="V452" s="2" t="str">
        <f t="shared" si="220"/>
        <v/>
      </c>
      <c r="W452" s="2" t="str">
        <f t="shared" ref="W452:W503" si="236">IF(BD452="","",BD452)</f>
        <v/>
      </c>
      <c r="X452" s="2" t="str">
        <f t="shared" ref="X452:X503" si="237">IF(BE452="","",BE452)</f>
        <v/>
      </c>
      <c r="Y452" s="2" t="str">
        <f t="shared" ref="Y452:Y503" si="238">IF(BF452="","",BF452)</f>
        <v/>
      </c>
      <c r="Z452" s="2" t="str">
        <f t="shared" si="221"/>
        <v/>
      </c>
      <c r="AA452" s="2" t="str">
        <f t="shared" si="222"/>
        <v/>
      </c>
      <c r="AB452" s="2" t="str">
        <f t="shared" si="223"/>
        <v/>
      </c>
      <c r="AC452" s="2" t="str">
        <f t="shared" ref="AC452:AC503" si="239">IF(BJ452="","",BJ452)</f>
        <v/>
      </c>
      <c r="AD452" s="2" t="str">
        <f t="shared" ref="AD452:AD503" si="240">IF(BK452="","",BK452)</f>
        <v/>
      </c>
      <c r="AE452" s="2" t="str">
        <f t="shared" ref="AE452:AE503" si="241">IF(BL452="","",BL452)</f>
        <v/>
      </c>
      <c r="AF452" s="2" t="str">
        <f t="shared" ref="AF452:AF503" si="242">IF(BM452="","",BM452)</f>
        <v/>
      </c>
    </row>
    <row r="453" spans="1:32" x14ac:dyDescent="0.2">
      <c r="A453" s="2" t="str">
        <f t="shared" ref="A453:A516" si="243">IF(AH453="","",_xlfn.CONCAT(AH453,"_",ROW()-3))</f>
        <v/>
      </c>
      <c r="B453" s="2" t="str">
        <f t="shared" si="224"/>
        <v/>
      </c>
      <c r="C453" s="2" t="str">
        <f t="shared" si="225"/>
        <v/>
      </c>
      <c r="D453" s="2" t="str">
        <f t="shared" si="226"/>
        <v/>
      </c>
      <c r="E453" s="2" t="str">
        <f t="shared" si="227"/>
        <v/>
      </c>
      <c r="F453" s="2" t="str">
        <f t="shared" si="228"/>
        <v/>
      </c>
      <c r="G453" s="2" t="str">
        <f t="shared" si="229"/>
        <v/>
      </c>
      <c r="H453" s="2" t="str">
        <f t="shared" ref="H453:H516" si="244">IF(AO453="","",IF(AQ453&lt;&gt;0,(AO453+AQ453)/2,AO453)-BN453)</f>
        <v/>
      </c>
      <c r="I453" s="2" t="str">
        <f t="shared" ref="I453:I516" si="245">IF(AP453="","",AP453)</f>
        <v/>
      </c>
      <c r="J453" s="2" t="str">
        <f t="shared" ref="J453:J516" si="246">IF(AQ453="","",(AO453+AQ453)/2-BN453)</f>
        <v/>
      </c>
      <c r="K453" s="2" t="str">
        <f t="shared" si="230"/>
        <v/>
      </c>
      <c r="L453" s="2" t="str">
        <f t="shared" si="231"/>
        <v/>
      </c>
      <c r="M453" s="2" t="str">
        <f t="shared" si="232"/>
        <v/>
      </c>
      <c r="N453" s="2" t="str">
        <f t="shared" ref="N453:N516" si="247">IF(AU453="","",IF(AW453&lt;&gt;0,(AU453+AW453)/2,AU453)-BN454)</f>
        <v/>
      </c>
      <c r="O453" s="2" t="str">
        <f t="shared" ref="O453:O516" si="248">IF(AV453="","",AV453)</f>
        <v/>
      </c>
      <c r="P453" s="2" t="str">
        <f t="shared" ref="P453:P516" si="249">IF(AW453="","",(AU453+AW453)/2-BN454)</f>
        <v/>
      </c>
      <c r="Q453" s="2" t="str">
        <f t="shared" si="233"/>
        <v/>
      </c>
      <c r="R453" s="2" t="str">
        <f t="shared" si="234"/>
        <v/>
      </c>
      <c r="S453" s="2" t="str">
        <f t="shared" si="235"/>
        <v/>
      </c>
      <c r="T453" s="2" t="str">
        <f t="shared" ref="T453:T516" si="250">IF(BA453="","",IF(BC453&lt;&gt;0,(BA453+BC453)/2,BA453)-BN455)</f>
        <v/>
      </c>
      <c r="U453" s="2" t="str">
        <f t="shared" ref="U453:U516" si="251">IF(BB453="","",BB453)</f>
        <v/>
      </c>
      <c r="V453" s="2" t="str">
        <f t="shared" ref="V453:V516" si="252">IF(BC453="","",(BA453+BC453)/2-BN455)</f>
        <v/>
      </c>
      <c r="W453" s="2" t="str">
        <f t="shared" si="236"/>
        <v/>
      </c>
      <c r="X453" s="2" t="str">
        <f t="shared" si="237"/>
        <v/>
      </c>
      <c r="Y453" s="2" t="str">
        <f t="shared" si="238"/>
        <v/>
      </c>
      <c r="Z453" s="2" t="str">
        <f t="shared" ref="Z453:Z516" si="253">IF(BG453="","",IF(BI453&lt;&gt;0,(BG453+BI453)/2,BG453)-BN456)</f>
        <v/>
      </c>
      <c r="AA453" s="2" t="str">
        <f t="shared" ref="AA453:AA516" si="254">IF(BH453="","",BH453)</f>
        <v/>
      </c>
      <c r="AB453" s="2" t="str">
        <f t="shared" ref="AB453:AB516" si="255">IF(BI453="","",(BG453+BI453)/2-BN456)</f>
        <v/>
      </c>
      <c r="AC453" s="2" t="str">
        <f t="shared" si="239"/>
        <v/>
      </c>
      <c r="AD453" s="2" t="str">
        <f t="shared" si="240"/>
        <v/>
      </c>
      <c r="AE453" s="2" t="str">
        <f t="shared" si="241"/>
        <v/>
      </c>
      <c r="AF453" s="2" t="str">
        <f t="shared" si="242"/>
        <v/>
      </c>
    </row>
    <row r="454" spans="1:32" x14ac:dyDescent="0.2">
      <c r="A454" s="2" t="str">
        <f t="shared" si="243"/>
        <v/>
      </c>
      <c r="B454" s="2" t="str">
        <f t="shared" si="224"/>
        <v/>
      </c>
      <c r="C454" s="2" t="str">
        <f t="shared" si="225"/>
        <v/>
      </c>
      <c r="D454" s="2" t="str">
        <f t="shared" si="226"/>
        <v/>
      </c>
      <c r="E454" s="2" t="str">
        <f t="shared" si="227"/>
        <v/>
      </c>
      <c r="F454" s="2" t="str">
        <f t="shared" si="228"/>
        <v/>
      </c>
      <c r="G454" s="2" t="str">
        <f t="shared" si="229"/>
        <v/>
      </c>
      <c r="H454" s="2" t="str">
        <f t="shared" si="244"/>
        <v/>
      </c>
      <c r="I454" s="2" t="str">
        <f t="shared" si="245"/>
        <v/>
      </c>
      <c r="J454" s="2" t="str">
        <f t="shared" si="246"/>
        <v/>
      </c>
      <c r="K454" s="2" t="str">
        <f t="shared" si="230"/>
        <v/>
      </c>
      <c r="L454" s="2" t="str">
        <f t="shared" si="231"/>
        <v/>
      </c>
      <c r="M454" s="2" t="str">
        <f t="shared" si="232"/>
        <v/>
      </c>
      <c r="N454" s="2" t="str">
        <f t="shared" si="247"/>
        <v/>
      </c>
      <c r="O454" s="2" t="str">
        <f t="shared" si="248"/>
        <v/>
      </c>
      <c r="P454" s="2" t="str">
        <f t="shared" si="249"/>
        <v/>
      </c>
      <c r="Q454" s="2" t="str">
        <f t="shared" si="233"/>
        <v/>
      </c>
      <c r="R454" s="2" t="str">
        <f t="shared" si="234"/>
        <v/>
      </c>
      <c r="S454" s="2" t="str">
        <f t="shared" si="235"/>
        <v/>
      </c>
      <c r="T454" s="2" t="str">
        <f t="shared" si="250"/>
        <v/>
      </c>
      <c r="U454" s="2" t="str">
        <f t="shared" si="251"/>
        <v/>
      </c>
      <c r="V454" s="2" t="str">
        <f t="shared" si="252"/>
        <v/>
      </c>
      <c r="W454" s="2" t="str">
        <f t="shared" si="236"/>
        <v/>
      </c>
      <c r="X454" s="2" t="str">
        <f t="shared" si="237"/>
        <v/>
      </c>
      <c r="Y454" s="2" t="str">
        <f t="shared" si="238"/>
        <v/>
      </c>
      <c r="Z454" s="2" t="str">
        <f t="shared" si="253"/>
        <v/>
      </c>
      <c r="AA454" s="2" t="str">
        <f t="shared" si="254"/>
        <v/>
      </c>
      <c r="AB454" s="2" t="str">
        <f t="shared" si="255"/>
        <v/>
      </c>
      <c r="AC454" s="2" t="str">
        <f t="shared" si="239"/>
        <v/>
      </c>
      <c r="AD454" s="2" t="str">
        <f t="shared" si="240"/>
        <v/>
      </c>
      <c r="AE454" s="2" t="str">
        <f t="shared" si="241"/>
        <v/>
      </c>
      <c r="AF454" s="2" t="str">
        <f t="shared" si="242"/>
        <v/>
      </c>
    </row>
    <row r="455" spans="1:32" x14ac:dyDescent="0.2">
      <c r="A455" s="2" t="str">
        <f t="shared" si="243"/>
        <v/>
      </c>
      <c r="B455" s="2" t="str">
        <f t="shared" si="224"/>
        <v/>
      </c>
      <c r="C455" s="2" t="str">
        <f t="shared" si="225"/>
        <v/>
      </c>
      <c r="D455" s="2" t="str">
        <f t="shared" si="226"/>
        <v/>
      </c>
      <c r="E455" s="2" t="str">
        <f t="shared" si="227"/>
        <v/>
      </c>
      <c r="F455" s="2" t="str">
        <f t="shared" si="228"/>
        <v/>
      </c>
      <c r="G455" s="2" t="str">
        <f t="shared" si="229"/>
        <v/>
      </c>
      <c r="H455" s="2" t="str">
        <f t="shared" si="244"/>
        <v/>
      </c>
      <c r="I455" s="2" t="str">
        <f t="shared" si="245"/>
        <v/>
      </c>
      <c r="J455" s="2" t="str">
        <f t="shared" si="246"/>
        <v/>
      </c>
      <c r="K455" s="2" t="str">
        <f t="shared" si="230"/>
        <v/>
      </c>
      <c r="L455" s="2" t="str">
        <f t="shared" si="231"/>
        <v/>
      </c>
      <c r="M455" s="2" t="str">
        <f t="shared" si="232"/>
        <v/>
      </c>
      <c r="N455" s="2" t="str">
        <f t="shared" si="247"/>
        <v/>
      </c>
      <c r="O455" s="2" t="str">
        <f t="shared" si="248"/>
        <v/>
      </c>
      <c r="P455" s="2" t="str">
        <f t="shared" si="249"/>
        <v/>
      </c>
      <c r="Q455" s="2" t="str">
        <f t="shared" si="233"/>
        <v/>
      </c>
      <c r="R455" s="2" t="str">
        <f t="shared" si="234"/>
        <v/>
      </c>
      <c r="S455" s="2" t="str">
        <f t="shared" si="235"/>
        <v/>
      </c>
      <c r="T455" s="2" t="str">
        <f t="shared" si="250"/>
        <v/>
      </c>
      <c r="U455" s="2" t="str">
        <f t="shared" si="251"/>
        <v/>
      </c>
      <c r="V455" s="2" t="str">
        <f t="shared" si="252"/>
        <v/>
      </c>
      <c r="W455" s="2" t="str">
        <f t="shared" si="236"/>
        <v/>
      </c>
      <c r="X455" s="2" t="str">
        <f t="shared" si="237"/>
        <v/>
      </c>
      <c r="Y455" s="2" t="str">
        <f t="shared" si="238"/>
        <v/>
      </c>
      <c r="Z455" s="2" t="str">
        <f t="shared" si="253"/>
        <v/>
      </c>
      <c r="AA455" s="2" t="str">
        <f t="shared" si="254"/>
        <v/>
      </c>
      <c r="AB455" s="2" t="str">
        <f t="shared" si="255"/>
        <v/>
      </c>
      <c r="AC455" s="2" t="str">
        <f t="shared" si="239"/>
        <v/>
      </c>
      <c r="AD455" s="2" t="str">
        <f t="shared" si="240"/>
        <v/>
      </c>
      <c r="AE455" s="2" t="str">
        <f t="shared" si="241"/>
        <v/>
      </c>
      <c r="AF455" s="2" t="str">
        <f t="shared" si="242"/>
        <v/>
      </c>
    </row>
    <row r="456" spans="1:32" x14ac:dyDescent="0.2">
      <c r="A456" s="2" t="str">
        <f t="shared" si="243"/>
        <v/>
      </c>
      <c r="B456" s="2" t="str">
        <f t="shared" si="224"/>
        <v/>
      </c>
      <c r="C456" s="2" t="str">
        <f t="shared" si="225"/>
        <v/>
      </c>
      <c r="D456" s="2" t="str">
        <f t="shared" si="226"/>
        <v/>
      </c>
      <c r="E456" s="2" t="str">
        <f t="shared" si="227"/>
        <v/>
      </c>
      <c r="F456" s="2" t="str">
        <f t="shared" si="228"/>
        <v/>
      </c>
      <c r="G456" s="2" t="str">
        <f t="shared" si="229"/>
        <v/>
      </c>
      <c r="H456" s="2" t="str">
        <f t="shared" si="244"/>
        <v/>
      </c>
      <c r="I456" s="2" t="str">
        <f t="shared" si="245"/>
        <v/>
      </c>
      <c r="J456" s="2" t="str">
        <f t="shared" si="246"/>
        <v/>
      </c>
      <c r="K456" s="2" t="str">
        <f t="shared" si="230"/>
        <v/>
      </c>
      <c r="L456" s="2" t="str">
        <f t="shared" si="231"/>
        <v/>
      </c>
      <c r="M456" s="2" t="str">
        <f t="shared" si="232"/>
        <v/>
      </c>
      <c r="N456" s="2" t="str">
        <f t="shared" si="247"/>
        <v/>
      </c>
      <c r="O456" s="2" t="str">
        <f t="shared" si="248"/>
        <v/>
      </c>
      <c r="P456" s="2" t="str">
        <f t="shared" si="249"/>
        <v/>
      </c>
      <c r="Q456" s="2" t="str">
        <f t="shared" si="233"/>
        <v/>
      </c>
      <c r="R456" s="2" t="str">
        <f t="shared" si="234"/>
        <v/>
      </c>
      <c r="S456" s="2" t="str">
        <f t="shared" si="235"/>
        <v/>
      </c>
      <c r="T456" s="2" t="str">
        <f t="shared" si="250"/>
        <v/>
      </c>
      <c r="U456" s="2" t="str">
        <f t="shared" si="251"/>
        <v/>
      </c>
      <c r="V456" s="2" t="str">
        <f t="shared" si="252"/>
        <v/>
      </c>
      <c r="W456" s="2" t="str">
        <f t="shared" si="236"/>
        <v/>
      </c>
      <c r="X456" s="2" t="str">
        <f t="shared" si="237"/>
        <v/>
      </c>
      <c r="Y456" s="2" t="str">
        <f t="shared" si="238"/>
        <v/>
      </c>
      <c r="Z456" s="2" t="str">
        <f t="shared" si="253"/>
        <v/>
      </c>
      <c r="AA456" s="2" t="str">
        <f t="shared" si="254"/>
        <v/>
      </c>
      <c r="AB456" s="2" t="str">
        <f t="shared" si="255"/>
        <v/>
      </c>
      <c r="AC456" s="2" t="str">
        <f t="shared" si="239"/>
        <v/>
      </c>
      <c r="AD456" s="2" t="str">
        <f t="shared" si="240"/>
        <v/>
      </c>
      <c r="AE456" s="2" t="str">
        <f t="shared" si="241"/>
        <v/>
      </c>
      <c r="AF456" s="2" t="str">
        <f t="shared" si="242"/>
        <v/>
      </c>
    </row>
    <row r="457" spans="1:32" x14ac:dyDescent="0.2">
      <c r="A457" s="2" t="str">
        <f t="shared" si="243"/>
        <v/>
      </c>
      <c r="B457" s="2" t="str">
        <f t="shared" si="224"/>
        <v/>
      </c>
      <c r="C457" s="2" t="str">
        <f t="shared" si="225"/>
        <v/>
      </c>
      <c r="D457" s="2" t="str">
        <f t="shared" si="226"/>
        <v/>
      </c>
      <c r="E457" s="2" t="str">
        <f t="shared" si="227"/>
        <v/>
      </c>
      <c r="F457" s="2" t="str">
        <f t="shared" si="228"/>
        <v/>
      </c>
      <c r="G457" s="2" t="str">
        <f t="shared" si="229"/>
        <v/>
      </c>
      <c r="H457" s="2" t="str">
        <f t="shared" si="244"/>
        <v/>
      </c>
      <c r="I457" s="2" t="str">
        <f t="shared" si="245"/>
        <v/>
      </c>
      <c r="J457" s="2" t="str">
        <f t="shared" si="246"/>
        <v/>
      </c>
      <c r="K457" s="2" t="str">
        <f t="shared" si="230"/>
        <v/>
      </c>
      <c r="L457" s="2" t="str">
        <f t="shared" si="231"/>
        <v/>
      </c>
      <c r="M457" s="2" t="str">
        <f t="shared" si="232"/>
        <v/>
      </c>
      <c r="N457" s="2" t="str">
        <f t="shared" si="247"/>
        <v/>
      </c>
      <c r="O457" s="2" t="str">
        <f t="shared" si="248"/>
        <v/>
      </c>
      <c r="P457" s="2" t="str">
        <f t="shared" si="249"/>
        <v/>
      </c>
      <c r="Q457" s="2" t="str">
        <f t="shared" si="233"/>
        <v/>
      </c>
      <c r="R457" s="2" t="str">
        <f t="shared" si="234"/>
        <v/>
      </c>
      <c r="S457" s="2" t="str">
        <f t="shared" si="235"/>
        <v/>
      </c>
      <c r="T457" s="2" t="str">
        <f t="shared" si="250"/>
        <v/>
      </c>
      <c r="U457" s="2" t="str">
        <f t="shared" si="251"/>
        <v/>
      </c>
      <c r="V457" s="2" t="str">
        <f t="shared" si="252"/>
        <v/>
      </c>
      <c r="W457" s="2" t="str">
        <f t="shared" si="236"/>
        <v/>
      </c>
      <c r="X457" s="2" t="str">
        <f t="shared" si="237"/>
        <v/>
      </c>
      <c r="Y457" s="2" t="str">
        <f t="shared" si="238"/>
        <v/>
      </c>
      <c r="Z457" s="2" t="str">
        <f t="shared" si="253"/>
        <v/>
      </c>
      <c r="AA457" s="2" t="str">
        <f t="shared" si="254"/>
        <v/>
      </c>
      <c r="AB457" s="2" t="str">
        <f t="shared" si="255"/>
        <v/>
      </c>
      <c r="AC457" s="2" t="str">
        <f t="shared" si="239"/>
        <v/>
      </c>
      <c r="AD457" s="2" t="str">
        <f t="shared" si="240"/>
        <v/>
      </c>
      <c r="AE457" s="2" t="str">
        <f t="shared" si="241"/>
        <v/>
      </c>
      <c r="AF457" s="2" t="str">
        <f t="shared" si="242"/>
        <v/>
      </c>
    </row>
    <row r="458" spans="1:32" x14ac:dyDescent="0.2">
      <c r="A458" s="2" t="str">
        <f t="shared" si="243"/>
        <v/>
      </c>
      <c r="B458" s="2" t="str">
        <f t="shared" si="224"/>
        <v/>
      </c>
      <c r="C458" s="2" t="str">
        <f t="shared" si="225"/>
        <v/>
      </c>
      <c r="D458" s="2" t="str">
        <f t="shared" si="226"/>
        <v/>
      </c>
      <c r="E458" s="2" t="str">
        <f t="shared" si="227"/>
        <v/>
      </c>
      <c r="F458" s="2" t="str">
        <f t="shared" si="228"/>
        <v/>
      </c>
      <c r="G458" s="2" t="str">
        <f t="shared" si="229"/>
        <v/>
      </c>
      <c r="H458" s="2" t="str">
        <f t="shared" si="244"/>
        <v/>
      </c>
      <c r="I458" s="2" t="str">
        <f t="shared" si="245"/>
        <v/>
      </c>
      <c r="J458" s="2" t="str">
        <f t="shared" si="246"/>
        <v/>
      </c>
      <c r="K458" s="2" t="str">
        <f t="shared" si="230"/>
        <v/>
      </c>
      <c r="L458" s="2" t="str">
        <f t="shared" si="231"/>
        <v/>
      </c>
      <c r="M458" s="2" t="str">
        <f t="shared" si="232"/>
        <v/>
      </c>
      <c r="N458" s="2" t="str">
        <f t="shared" si="247"/>
        <v/>
      </c>
      <c r="O458" s="2" t="str">
        <f t="shared" si="248"/>
        <v/>
      </c>
      <c r="P458" s="2" t="str">
        <f t="shared" si="249"/>
        <v/>
      </c>
      <c r="Q458" s="2" t="str">
        <f t="shared" si="233"/>
        <v/>
      </c>
      <c r="R458" s="2" t="str">
        <f t="shared" si="234"/>
        <v/>
      </c>
      <c r="S458" s="2" t="str">
        <f t="shared" si="235"/>
        <v/>
      </c>
      <c r="T458" s="2" t="str">
        <f t="shared" si="250"/>
        <v/>
      </c>
      <c r="U458" s="2" t="str">
        <f t="shared" si="251"/>
        <v/>
      </c>
      <c r="V458" s="2" t="str">
        <f t="shared" si="252"/>
        <v/>
      </c>
      <c r="W458" s="2" t="str">
        <f t="shared" si="236"/>
        <v/>
      </c>
      <c r="X458" s="2" t="str">
        <f t="shared" si="237"/>
        <v/>
      </c>
      <c r="Y458" s="2" t="str">
        <f t="shared" si="238"/>
        <v/>
      </c>
      <c r="Z458" s="2" t="str">
        <f t="shared" si="253"/>
        <v/>
      </c>
      <c r="AA458" s="2" t="str">
        <f t="shared" si="254"/>
        <v/>
      </c>
      <c r="AB458" s="2" t="str">
        <f t="shared" si="255"/>
        <v/>
      </c>
      <c r="AC458" s="2" t="str">
        <f t="shared" si="239"/>
        <v/>
      </c>
      <c r="AD458" s="2" t="str">
        <f t="shared" si="240"/>
        <v/>
      </c>
      <c r="AE458" s="2" t="str">
        <f t="shared" si="241"/>
        <v/>
      </c>
      <c r="AF458" s="2" t="str">
        <f t="shared" si="242"/>
        <v/>
      </c>
    </row>
    <row r="459" spans="1:32" x14ac:dyDescent="0.2">
      <c r="A459" s="2" t="str">
        <f t="shared" si="243"/>
        <v/>
      </c>
      <c r="B459" s="2" t="str">
        <f t="shared" si="224"/>
        <v/>
      </c>
      <c r="C459" s="2" t="str">
        <f t="shared" si="225"/>
        <v/>
      </c>
      <c r="D459" s="2" t="str">
        <f t="shared" si="226"/>
        <v/>
      </c>
      <c r="E459" s="2" t="str">
        <f t="shared" si="227"/>
        <v/>
      </c>
      <c r="F459" s="2" t="str">
        <f t="shared" si="228"/>
        <v/>
      </c>
      <c r="G459" s="2" t="str">
        <f t="shared" si="229"/>
        <v/>
      </c>
      <c r="H459" s="2" t="str">
        <f t="shared" si="244"/>
        <v/>
      </c>
      <c r="I459" s="2" t="str">
        <f t="shared" si="245"/>
        <v/>
      </c>
      <c r="J459" s="2" t="str">
        <f t="shared" si="246"/>
        <v/>
      </c>
      <c r="K459" s="2" t="str">
        <f t="shared" si="230"/>
        <v/>
      </c>
      <c r="L459" s="2" t="str">
        <f t="shared" si="231"/>
        <v/>
      </c>
      <c r="M459" s="2" t="str">
        <f t="shared" si="232"/>
        <v/>
      </c>
      <c r="N459" s="2" t="str">
        <f t="shared" si="247"/>
        <v/>
      </c>
      <c r="O459" s="2" t="str">
        <f t="shared" si="248"/>
        <v/>
      </c>
      <c r="P459" s="2" t="str">
        <f t="shared" si="249"/>
        <v/>
      </c>
      <c r="Q459" s="2" t="str">
        <f t="shared" si="233"/>
        <v/>
      </c>
      <c r="R459" s="2" t="str">
        <f t="shared" si="234"/>
        <v/>
      </c>
      <c r="S459" s="2" t="str">
        <f t="shared" si="235"/>
        <v/>
      </c>
      <c r="T459" s="2" t="str">
        <f t="shared" si="250"/>
        <v/>
      </c>
      <c r="U459" s="2" t="str">
        <f t="shared" si="251"/>
        <v/>
      </c>
      <c r="V459" s="2" t="str">
        <f t="shared" si="252"/>
        <v/>
      </c>
      <c r="W459" s="2" t="str">
        <f t="shared" si="236"/>
        <v/>
      </c>
      <c r="X459" s="2" t="str">
        <f t="shared" si="237"/>
        <v/>
      </c>
      <c r="Y459" s="2" t="str">
        <f t="shared" si="238"/>
        <v/>
      </c>
      <c r="Z459" s="2" t="str">
        <f t="shared" si="253"/>
        <v/>
      </c>
      <c r="AA459" s="2" t="str">
        <f t="shared" si="254"/>
        <v/>
      </c>
      <c r="AB459" s="2" t="str">
        <f t="shared" si="255"/>
        <v/>
      </c>
      <c r="AC459" s="2" t="str">
        <f t="shared" si="239"/>
        <v/>
      </c>
      <c r="AD459" s="2" t="str">
        <f t="shared" si="240"/>
        <v/>
      </c>
      <c r="AE459" s="2" t="str">
        <f t="shared" si="241"/>
        <v/>
      </c>
      <c r="AF459" s="2" t="str">
        <f t="shared" si="242"/>
        <v/>
      </c>
    </row>
    <row r="460" spans="1:32" x14ac:dyDescent="0.2">
      <c r="A460" s="2" t="str">
        <f t="shared" si="243"/>
        <v/>
      </c>
      <c r="B460" s="2" t="str">
        <f t="shared" si="224"/>
        <v/>
      </c>
      <c r="C460" s="2" t="str">
        <f t="shared" si="225"/>
        <v/>
      </c>
      <c r="D460" s="2" t="str">
        <f t="shared" si="226"/>
        <v/>
      </c>
      <c r="E460" s="2" t="str">
        <f t="shared" si="227"/>
        <v/>
      </c>
      <c r="F460" s="2" t="str">
        <f t="shared" si="228"/>
        <v/>
      </c>
      <c r="G460" s="2" t="str">
        <f t="shared" si="229"/>
        <v/>
      </c>
      <c r="H460" s="2" t="str">
        <f t="shared" si="244"/>
        <v/>
      </c>
      <c r="I460" s="2" t="str">
        <f t="shared" si="245"/>
        <v/>
      </c>
      <c r="J460" s="2" t="str">
        <f t="shared" si="246"/>
        <v/>
      </c>
      <c r="K460" s="2" t="str">
        <f t="shared" si="230"/>
        <v/>
      </c>
      <c r="L460" s="2" t="str">
        <f t="shared" si="231"/>
        <v/>
      </c>
      <c r="M460" s="2" t="str">
        <f t="shared" si="232"/>
        <v/>
      </c>
      <c r="N460" s="2" t="str">
        <f t="shared" si="247"/>
        <v/>
      </c>
      <c r="O460" s="2" t="str">
        <f t="shared" si="248"/>
        <v/>
      </c>
      <c r="P460" s="2" t="str">
        <f t="shared" si="249"/>
        <v/>
      </c>
      <c r="Q460" s="2" t="str">
        <f t="shared" si="233"/>
        <v/>
      </c>
      <c r="R460" s="2" t="str">
        <f t="shared" si="234"/>
        <v/>
      </c>
      <c r="S460" s="2" t="str">
        <f t="shared" si="235"/>
        <v/>
      </c>
      <c r="T460" s="2" t="str">
        <f t="shared" si="250"/>
        <v/>
      </c>
      <c r="U460" s="2" t="str">
        <f t="shared" si="251"/>
        <v/>
      </c>
      <c r="V460" s="2" t="str">
        <f t="shared" si="252"/>
        <v/>
      </c>
      <c r="W460" s="2" t="str">
        <f t="shared" si="236"/>
        <v/>
      </c>
      <c r="X460" s="2" t="str">
        <f t="shared" si="237"/>
        <v/>
      </c>
      <c r="Y460" s="2" t="str">
        <f t="shared" si="238"/>
        <v/>
      </c>
      <c r="Z460" s="2" t="str">
        <f t="shared" si="253"/>
        <v/>
      </c>
      <c r="AA460" s="2" t="str">
        <f t="shared" si="254"/>
        <v/>
      </c>
      <c r="AB460" s="2" t="str">
        <f t="shared" si="255"/>
        <v/>
      </c>
      <c r="AC460" s="2" t="str">
        <f t="shared" si="239"/>
        <v/>
      </c>
      <c r="AD460" s="2" t="str">
        <f t="shared" si="240"/>
        <v/>
      </c>
      <c r="AE460" s="2" t="str">
        <f t="shared" si="241"/>
        <v/>
      </c>
      <c r="AF460" s="2" t="str">
        <f t="shared" si="242"/>
        <v/>
      </c>
    </row>
    <row r="461" spans="1:32" x14ac:dyDescent="0.2">
      <c r="A461" s="2" t="str">
        <f t="shared" si="243"/>
        <v/>
      </c>
      <c r="B461" s="2" t="str">
        <f t="shared" si="224"/>
        <v/>
      </c>
      <c r="C461" s="2" t="str">
        <f t="shared" si="225"/>
        <v/>
      </c>
      <c r="D461" s="2" t="str">
        <f t="shared" si="226"/>
        <v/>
      </c>
      <c r="E461" s="2" t="str">
        <f t="shared" si="227"/>
        <v/>
      </c>
      <c r="F461" s="2" t="str">
        <f t="shared" si="228"/>
        <v/>
      </c>
      <c r="G461" s="2" t="str">
        <f t="shared" si="229"/>
        <v/>
      </c>
      <c r="H461" s="2" t="str">
        <f t="shared" si="244"/>
        <v/>
      </c>
      <c r="I461" s="2" t="str">
        <f t="shared" si="245"/>
        <v/>
      </c>
      <c r="J461" s="2" t="str">
        <f t="shared" si="246"/>
        <v/>
      </c>
      <c r="K461" s="2" t="str">
        <f t="shared" si="230"/>
        <v/>
      </c>
      <c r="L461" s="2" t="str">
        <f t="shared" si="231"/>
        <v/>
      </c>
      <c r="M461" s="2" t="str">
        <f t="shared" si="232"/>
        <v/>
      </c>
      <c r="N461" s="2" t="str">
        <f t="shared" si="247"/>
        <v/>
      </c>
      <c r="O461" s="2" t="str">
        <f t="shared" si="248"/>
        <v/>
      </c>
      <c r="P461" s="2" t="str">
        <f t="shared" si="249"/>
        <v/>
      </c>
      <c r="Q461" s="2" t="str">
        <f t="shared" si="233"/>
        <v/>
      </c>
      <c r="R461" s="2" t="str">
        <f t="shared" si="234"/>
        <v/>
      </c>
      <c r="S461" s="2" t="str">
        <f t="shared" si="235"/>
        <v/>
      </c>
      <c r="T461" s="2" t="str">
        <f t="shared" si="250"/>
        <v/>
      </c>
      <c r="U461" s="2" t="str">
        <f t="shared" si="251"/>
        <v/>
      </c>
      <c r="V461" s="2" t="str">
        <f t="shared" si="252"/>
        <v/>
      </c>
      <c r="W461" s="2" t="str">
        <f t="shared" si="236"/>
        <v/>
      </c>
      <c r="X461" s="2" t="str">
        <f t="shared" si="237"/>
        <v/>
      </c>
      <c r="Y461" s="2" t="str">
        <f t="shared" si="238"/>
        <v/>
      </c>
      <c r="Z461" s="2" t="str">
        <f t="shared" si="253"/>
        <v/>
      </c>
      <c r="AA461" s="2" t="str">
        <f t="shared" si="254"/>
        <v/>
      </c>
      <c r="AB461" s="2" t="str">
        <f t="shared" si="255"/>
        <v/>
      </c>
      <c r="AC461" s="2" t="str">
        <f t="shared" si="239"/>
        <v/>
      </c>
      <c r="AD461" s="2" t="str">
        <f t="shared" si="240"/>
        <v/>
      </c>
      <c r="AE461" s="2" t="str">
        <f t="shared" si="241"/>
        <v/>
      </c>
      <c r="AF461" s="2" t="str">
        <f t="shared" si="242"/>
        <v/>
      </c>
    </row>
    <row r="462" spans="1:32" x14ac:dyDescent="0.2">
      <c r="A462" s="2" t="str">
        <f t="shared" si="243"/>
        <v/>
      </c>
      <c r="B462" s="2" t="str">
        <f t="shared" si="224"/>
        <v/>
      </c>
      <c r="C462" s="2" t="str">
        <f t="shared" si="225"/>
        <v/>
      </c>
      <c r="D462" s="2" t="str">
        <f t="shared" si="226"/>
        <v/>
      </c>
      <c r="E462" s="2" t="str">
        <f t="shared" si="227"/>
        <v/>
      </c>
      <c r="F462" s="2" t="str">
        <f t="shared" si="228"/>
        <v/>
      </c>
      <c r="G462" s="2" t="str">
        <f t="shared" si="229"/>
        <v/>
      </c>
      <c r="H462" s="2" t="str">
        <f t="shared" si="244"/>
        <v/>
      </c>
      <c r="I462" s="2" t="str">
        <f t="shared" si="245"/>
        <v/>
      </c>
      <c r="J462" s="2" t="str">
        <f t="shared" si="246"/>
        <v/>
      </c>
      <c r="K462" s="2" t="str">
        <f t="shared" si="230"/>
        <v/>
      </c>
      <c r="L462" s="2" t="str">
        <f t="shared" si="231"/>
        <v/>
      </c>
      <c r="M462" s="2" t="str">
        <f t="shared" si="232"/>
        <v/>
      </c>
      <c r="N462" s="2" t="str">
        <f t="shared" si="247"/>
        <v/>
      </c>
      <c r="O462" s="2" t="str">
        <f t="shared" si="248"/>
        <v/>
      </c>
      <c r="P462" s="2" t="str">
        <f t="shared" si="249"/>
        <v/>
      </c>
      <c r="Q462" s="2" t="str">
        <f t="shared" si="233"/>
        <v/>
      </c>
      <c r="R462" s="2" t="str">
        <f t="shared" si="234"/>
        <v/>
      </c>
      <c r="S462" s="2" t="str">
        <f t="shared" si="235"/>
        <v/>
      </c>
      <c r="T462" s="2" t="str">
        <f t="shared" si="250"/>
        <v/>
      </c>
      <c r="U462" s="2" t="str">
        <f t="shared" si="251"/>
        <v/>
      </c>
      <c r="V462" s="2" t="str">
        <f t="shared" si="252"/>
        <v/>
      </c>
      <c r="W462" s="2" t="str">
        <f t="shared" si="236"/>
        <v/>
      </c>
      <c r="X462" s="2" t="str">
        <f t="shared" si="237"/>
        <v/>
      </c>
      <c r="Y462" s="2" t="str">
        <f t="shared" si="238"/>
        <v/>
      </c>
      <c r="Z462" s="2" t="str">
        <f t="shared" si="253"/>
        <v/>
      </c>
      <c r="AA462" s="2" t="str">
        <f t="shared" si="254"/>
        <v/>
      </c>
      <c r="AB462" s="2" t="str">
        <f t="shared" si="255"/>
        <v/>
      </c>
      <c r="AC462" s="2" t="str">
        <f t="shared" si="239"/>
        <v/>
      </c>
      <c r="AD462" s="2" t="str">
        <f t="shared" si="240"/>
        <v/>
      </c>
      <c r="AE462" s="2" t="str">
        <f t="shared" si="241"/>
        <v/>
      </c>
      <c r="AF462" s="2" t="str">
        <f t="shared" si="242"/>
        <v/>
      </c>
    </row>
    <row r="463" spans="1:32" x14ac:dyDescent="0.2">
      <c r="A463" s="2" t="str">
        <f t="shared" si="243"/>
        <v/>
      </c>
      <c r="B463" s="2" t="str">
        <f t="shared" si="224"/>
        <v/>
      </c>
      <c r="C463" s="2" t="str">
        <f t="shared" si="225"/>
        <v/>
      </c>
      <c r="D463" s="2" t="str">
        <f t="shared" si="226"/>
        <v/>
      </c>
      <c r="E463" s="2" t="str">
        <f t="shared" si="227"/>
        <v/>
      </c>
      <c r="F463" s="2" t="str">
        <f t="shared" si="228"/>
        <v/>
      </c>
      <c r="G463" s="2" t="str">
        <f t="shared" si="229"/>
        <v/>
      </c>
      <c r="H463" s="2" t="str">
        <f t="shared" si="244"/>
        <v/>
      </c>
      <c r="I463" s="2" t="str">
        <f t="shared" si="245"/>
        <v/>
      </c>
      <c r="J463" s="2" t="str">
        <f t="shared" si="246"/>
        <v/>
      </c>
      <c r="K463" s="2" t="str">
        <f t="shared" si="230"/>
        <v/>
      </c>
      <c r="L463" s="2" t="str">
        <f t="shared" si="231"/>
        <v/>
      </c>
      <c r="M463" s="2" t="str">
        <f t="shared" si="232"/>
        <v/>
      </c>
      <c r="N463" s="2" t="str">
        <f t="shared" si="247"/>
        <v/>
      </c>
      <c r="O463" s="2" t="str">
        <f t="shared" si="248"/>
        <v/>
      </c>
      <c r="P463" s="2" t="str">
        <f t="shared" si="249"/>
        <v/>
      </c>
      <c r="Q463" s="2" t="str">
        <f t="shared" si="233"/>
        <v/>
      </c>
      <c r="R463" s="2" t="str">
        <f t="shared" si="234"/>
        <v/>
      </c>
      <c r="S463" s="2" t="str">
        <f t="shared" si="235"/>
        <v/>
      </c>
      <c r="T463" s="2" t="str">
        <f t="shared" si="250"/>
        <v/>
      </c>
      <c r="U463" s="2" t="str">
        <f t="shared" si="251"/>
        <v/>
      </c>
      <c r="V463" s="2" t="str">
        <f t="shared" si="252"/>
        <v/>
      </c>
      <c r="W463" s="2" t="str">
        <f t="shared" si="236"/>
        <v/>
      </c>
      <c r="X463" s="2" t="str">
        <f t="shared" si="237"/>
        <v/>
      </c>
      <c r="Y463" s="2" t="str">
        <f t="shared" si="238"/>
        <v/>
      </c>
      <c r="Z463" s="2" t="str">
        <f t="shared" si="253"/>
        <v/>
      </c>
      <c r="AA463" s="2" t="str">
        <f t="shared" si="254"/>
        <v/>
      </c>
      <c r="AB463" s="2" t="str">
        <f t="shared" si="255"/>
        <v/>
      </c>
      <c r="AC463" s="2" t="str">
        <f t="shared" si="239"/>
        <v/>
      </c>
      <c r="AD463" s="2" t="str">
        <f t="shared" si="240"/>
        <v/>
      </c>
      <c r="AE463" s="2" t="str">
        <f t="shared" si="241"/>
        <v/>
      </c>
      <c r="AF463" s="2" t="str">
        <f t="shared" si="242"/>
        <v/>
      </c>
    </row>
    <row r="464" spans="1:32" x14ac:dyDescent="0.2">
      <c r="A464" s="2" t="str">
        <f t="shared" si="243"/>
        <v/>
      </c>
      <c r="B464" s="2" t="str">
        <f t="shared" si="224"/>
        <v/>
      </c>
      <c r="C464" s="2" t="str">
        <f t="shared" si="225"/>
        <v/>
      </c>
      <c r="D464" s="2" t="str">
        <f t="shared" si="226"/>
        <v/>
      </c>
      <c r="E464" s="2" t="str">
        <f t="shared" si="227"/>
        <v/>
      </c>
      <c r="F464" s="2" t="str">
        <f t="shared" si="228"/>
        <v/>
      </c>
      <c r="G464" s="2" t="str">
        <f t="shared" si="229"/>
        <v/>
      </c>
      <c r="H464" s="2" t="str">
        <f t="shared" si="244"/>
        <v/>
      </c>
      <c r="I464" s="2" t="str">
        <f t="shared" si="245"/>
        <v/>
      </c>
      <c r="J464" s="2" t="str">
        <f t="shared" si="246"/>
        <v/>
      </c>
      <c r="K464" s="2" t="str">
        <f t="shared" si="230"/>
        <v/>
      </c>
      <c r="L464" s="2" t="str">
        <f t="shared" si="231"/>
        <v/>
      </c>
      <c r="M464" s="2" t="str">
        <f t="shared" si="232"/>
        <v/>
      </c>
      <c r="N464" s="2" t="str">
        <f t="shared" si="247"/>
        <v/>
      </c>
      <c r="O464" s="2" t="str">
        <f t="shared" si="248"/>
        <v/>
      </c>
      <c r="P464" s="2" t="str">
        <f t="shared" si="249"/>
        <v/>
      </c>
      <c r="Q464" s="2" t="str">
        <f t="shared" si="233"/>
        <v/>
      </c>
      <c r="R464" s="2" t="str">
        <f t="shared" si="234"/>
        <v/>
      </c>
      <c r="S464" s="2" t="str">
        <f t="shared" si="235"/>
        <v/>
      </c>
      <c r="T464" s="2" t="str">
        <f t="shared" si="250"/>
        <v/>
      </c>
      <c r="U464" s="2" t="str">
        <f t="shared" si="251"/>
        <v/>
      </c>
      <c r="V464" s="2" t="str">
        <f t="shared" si="252"/>
        <v/>
      </c>
      <c r="W464" s="2" t="str">
        <f t="shared" si="236"/>
        <v/>
      </c>
      <c r="X464" s="2" t="str">
        <f t="shared" si="237"/>
        <v/>
      </c>
      <c r="Y464" s="2" t="str">
        <f t="shared" si="238"/>
        <v/>
      </c>
      <c r="Z464" s="2" t="str">
        <f t="shared" si="253"/>
        <v/>
      </c>
      <c r="AA464" s="2" t="str">
        <f t="shared" si="254"/>
        <v/>
      </c>
      <c r="AB464" s="2" t="str">
        <f t="shared" si="255"/>
        <v/>
      </c>
      <c r="AC464" s="2" t="str">
        <f t="shared" si="239"/>
        <v/>
      </c>
      <c r="AD464" s="2" t="str">
        <f t="shared" si="240"/>
        <v/>
      </c>
      <c r="AE464" s="2" t="str">
        <f t="shared" si="241"/>
        <v/>
      </c>
      <c r="AF464" s="2" t="str">
        <f t="shared" si="242"/>
        <v/>
      </c>
    </row>
    <row r="465" spans="1:32" x14ac:dyDescent="0.2">
      <c r="A465" s="2" t="str">
        <f t="shared" si="243"/>
        <v/>
      </c>
      <c r="B465" s="2" t="str">
        <f t="shared" si="224"/>
        <v/>
      </c>
      <c r="C465" s="2" t="str">
        <f t="shared" si="225"/>
        <v/>
      </c>
      <c r="D465" s="2" t="str">
        <f t="shared" si="226"/>
        <v/>
      </c>
      <c r="E465" s="2" t="str">
        <f t="shared" si="227"/>
        <v/>
      </c>
      <c r="F465" s="2" t="str">
        <f t="shared" si="228"/>
        <v/>
      </c>
      <c r="G465" s="2" t="str">
        <f t="shared" si="229"/>
        <v/>
      </c>
      <c r="H465" s="2" t="str">
        <f t="shared" si="244"/>
        <v/>
      </c>
      <c r="I465" s="2" t="str">
        <f t="shared" si="245"/>
        <v/>
      </c>
      <c r="J465" s="2" t="str">
        <f t="shared" si="246"/>
        <v/>
      </c>
      <c r="K465" s="2" t="str">
        <f t="shared" si="230"/>
        <v/>
      </c>
      <c r="L465" s="2" t="str">
        <f t="shared" si="231"/>
        <v/>
      </c>
      <c r="M465" s="2" t="str">
        <f t="shared" si="232"/>
        <v/>
      </c>
      <c r="N465" s="2" t="str">
        <f t="shared" si="247"/>
        <v/>
      </c>
      <c r="O465" s="2" t="str">
        <f t="shared" si="248"/>
        <v/>
      </c>
      <c r="P465" s="2" t="str">
        <f t="shared" si="249"/>
        <v/>
      </c>
      <c r="Q465" s="2" t="str">
        <f t="shared" si="233"/>
        <v/>
      </c>
      <c r="R465" s="2" t="str">
        <f t="shared" si="234"/>
        <v/>
      </c>
      <c r="S465" s="2" t="str">
        <f t="shared" si="235"/>
        <v/>
      </c>
      <c r="T465" s="2" t="str">
        <f t="shared" si="250"/>
        <v/>
      </c>
      <c r="U465" s="2" t="str">
        <f t="shared" si="251"/>
        <v/>
      </c>
      <c r="V465" s="2" t="str">
        <f t="shared" si="252"/>
        <v/>
      </c>
      <c r="W465" s="2" t="str">
        <f t="shared" si="236"/>
        <v/>
      </c>
      <c r="X465" s="2" t="str">
        <f t="shared" si="237"/>
        <v/>
      </c>
      <c r="Y465" s="2" t="str">
        <f t="shared" si="238"/>
        <v/>
      </c>
      <c r="Z465" s="2" t="str">
        <f t="shared" si="253"/>
        <v/>
      </c>
      <c r="AA465" s="2" t="str">
        <f t="shared" si="254"/>
        <v/>
      </c>
      <c r="AB465" s="2" t="str">
        <f t="shared" si="255"/>
        <v/>
      </c>
      <c r="AC465" s="2" t="str">
        <f t="shared" si="239"/>
        <v/>
      </c>
      <c r="AD465" s="2" t="str">
        <f t="shared" si="240"/>
        <v/>
      </c>
      <c r="AE465" s="2" t="str">
        <f t="shared" si="241"/>
        <v/>
      </c>
      <c r="AF465" s="2" t="str">
        <f t="shared" si="242"/>
        <v/>
      </c>
    </row>
    <row r="466" spans="1:32" x14ac:dyDescent="0.2">
      <c r="A466" s="2" t="str">
        <f t="shared" si="243"/>
        <v/>
      </c>
      <c r="B466" s="2" t="str">
        <f t="shared" si="224"/>
        <v/>
      </c>
      <c r="C466" s="2" t="str">
        <f t="shared" si="225"/>
        <v/>
      </c>
      <c r="D466" s="2" t="str">
        <f t="shared" si="226"/>
        <v/>
      </c>
      <c r="E466" s="2" t="str">
        <f t="shared" si="227"/>
        <v/>
      </c>
      <c r="F466" s="2" t="str">
        <f t="shared" si="228"/>
        <v/>
      </c>
      <c r="G466" s="2" t="str">
        <f t="shared" si="229"/>
        <v/>
      </c>
      <c r="H466" s="2" t="str">
        <f t="shared" si="244"/>
        <v/>
      </c>
      <c r="I466" s="2" t="str">
        <f t="shared" si="245"/>
        <v/>
      </c>
      <c r="J466" s="2" t="str">
        <f t="shared" si="246"/>
        <v/>
      </c>
      <c r="K466" s="2" t="str">
        <f t="shared" si="230"/>
        <v/>
      </c>
      <c r="L466" s="2" t="str">
        <f t="shared" si="231"/>
        <v/>
      </c>
      <c r="M466" s="2" t="str">
        <f t="shared" si="232"/>
        <v/>
      </c>
      <c r="N466" s="2" t="str">
        <f t="shared" si="247"/>
        <v/>
      </c>
      <c r="O466" s="2" t="str">
        <f t="shared" si="248"/>
        <v/>
      </c>
      <c r="P466" s="2" t="str">
        <f t="shared" si="249"/>
        <v/>
      </c>
      <c r="Q466" s="2" t="str">
        <f t="shared" si="233"/>
        <v/>
      </c>
      <c r="R466" s="2" t="str">
        <f t="shared" si="234"/>
        <v/>
      </c>
      <c r="S466" s="2" t="str">
        <f t="shared" si="235"/>
        <v/>
      </c>
      <c r="T466" s="2" t="str">
        <f t="shared" si="250"/>
        <v/>
      </c>
      <c r="U466" s="2" t="str">
        <f t="shared" si="251"/>
        <v/>
      </c>
      <c r="V466" s="2" t="str">
        <f t="shared" si="252"/>
        <v/>
      </c>
      <c r="W466" s="2" t="str">
        <f t="shared" si="236"/>
        <v/>
      </c>
      <c r="X466" s="2" t="str">
        <f t="shared" si="237"/>
        <v/>
      </c>
      <c r="Y466" s="2" t="str">
        <f t="shared" si="238"/>
        <v/>
      </c>
      <c r="Z466" s="2" t="str">
        <f t="shared" si="253"/>
        <v/>
      </c>
      <c r="AA466" s="2" t="str">
        <f t="shared" si="254"/>
        <v/>
      </c>
      <c r="AB466" s="2" t="str">
        <f t="shared" si="255"/>
        <v/>
      </c>
      <c r="AC466" s="2" t="str">
        <f t="shared" si="239"/>
        <v/>
      </c>
      <c r="AD466" s="2" t="str">
        <f t="shared" si="240"/>
        <v/>
      </c>
      <c r="AE466" s="2" t="str">
        <f t="shared" si="241"/>
        <v/>
      </c>
      <c r="AF466" s="2" t="str">
        <f t="shared" si="242"/>
        <v/>
      </c>
    </row>
    <row r="467" spans="1:32" x14ac:dyDescent="0.2">
      <c r="A467" s="2" t="str">
        <f t="shared" si="243"/>
        <v/>
      </c>
      <c r="B467" s="2" t="str">
        <f t="shared" si="224"/>
        <v/>
      </c>
      <c r="C467" s="2" t="str">
        <f t="shared" si="225"/>
        <v/>
      </c>
      <c r="D467" s="2" t="str">
        <f t="shared" si="226"/>
        <v/>
      </c>
      <c r="E467" s="2" t="str">
        <f t="shared" si="227"/>
        <v/>
      </c>
      <c r="F467" s="2" t="str">
        <f t="shared" si="228"/>
        <v/>
      </c>
      <c r="G467" s="2" t="str">
        <f t="shared" si="229"/>
        <v/>
      </c>
      <c r="H467" s="2" t="str">
        <f t="shared" si="244"/>
        <v/>
      </c>
      <c r="I467" s="2" t="str">
        <f t="shared" si="245"/>
        <v/>
      </c>
      <c r="J467" s="2" t="str">
        <f t="shared" si="246"/>
        <v/>
      </c>
      <c r="K467" s="2" t="str">
        <f t="shared" si="230"/>
        <v/>
      </c>
      <c r="L467" s="2" t="str">
        <f t="shared" si="231"/>
        <v/>
      </c>
      <c r="M467" s="2" t="str">
        <f t="shared" si="232"/>
        <v/>
      </c>
      <c r="N467" s="2" t="str">
        <f t="shared" si="247"/>
        <v/>
      </c>
      <c r="O467" s="2" t="str">
        <f t="shared" si="248"/>
        <v/>
      </c>
      <c r="P467" s="2" t="str">
        <f t="shared" si="249"/>
        <v/>
      </c>
      <c r="Q467" s="2" t="str">
        <f t="shared" si="233"/>
        <v/>
      </c>
      <c r="R467" s="2" t="str">
        <f t="shared" si="234"/>
        <v/>
      </c>
      <c r="S467" s="2" t="str">
        <f t="shared" si="235"/>
        <v/>
      </c>
      <c r="T467" s="2" t="str">
        <f t="shared" si="250"/>
        <v/>
      </c>
      <c r="U467" s="2" t="str">
        <f t="shared" si="251"/>
        <v/>
      </c>
      <c r="V467" s="2" t="str">
        <f t="shared" si="252"/>
        <v/>
      </c>
      <c r="W467" s="2" t="str">
        <f t="shared" si="236"/>
        <v/>
      </c>
      <c r="X467" s="2" t="str">
        <f t="shared" si="237"/>
        <v/>
      </c>
      <c r="Y467" s="2" t="str">
        <f t="shared" si="238"/>
        <v/>
      </c>
      <c r="Z467" s="2" t="str">
        <f t="shared" si="253"/>
        <v/>
      </c>
      <c r="AA467" s="2" t="str">
        <f t="shared" si="254"/>
        <v/>
      </c>
      <c r="AB467" s="2" t="str">
        <f t="shared" si="255"/>
        <v/>
      </c>
      <c r="AC467" s="2" t="str">
        <f t="shared" si="239"/>
        <v/>
      </c>
      <c r="AD467" s="2" t="str">
        <f t="shared" si="240"/>
        <v/>
      </c>
      <c r="AE467" s="2" t="str">
        <f t="shared" si="241"/>
        <v/>
      </c>
      <c r="AF467" s="2" t="str">
        <f t="shared" si="242"/>
        <v/>
      </c>
    </row>
    <row r="468" spans="1:32" x14ac:dyDescent="0.2">
      <c r="A468" s="2" t="str">
        <f t="shared" si="243"/>
        <v/>
      </c>
      <c r="B468" s="2" t="str">
        <f t="shared" si="224"/>
        <v/>
      </c>
      <c r="C468" s="2" t="str">
        <f t="shared" si="225"/>
        <v/>
      </c>
      <c r="D468" s="2" t="str">
        <f t="shared" si="226"/>
        <v/>
      </c>
      <c r="E468" s="2" t="str">
        <f t="shared" si="227"/>
        <v/>
      </c>
      <c r="F468" s="2" t="str">
        <f t="shared" si="228"/>
        <v/>
      </c>
      <c r="G468" s="2" t="str">
        <f t="shared" si="229"/>
        <v/>
      </c>
      <c r="H468" s="2" t="str">
        <f t="shared" si="244"/>
        <v/>
      </c>
      <c r="I468" s="2" t="str">
        <f t="shared" si="245"/>
        <v/>
      </c>
      <c r="J468" s="2" t="str">
        <f t="shared" si="246"/>
        <v/>
      </c>
      <c r="K468" s="2" t="str">
        <f t="shared" si="230"/>
        <v/>
      </c>
      <c r="L468" s="2" t="str">
        <f t="shared" si="231"/>
        <v/>
      </c>
      <c r="M468" s="2" t="str">
        <f t="shared" si="232"/>
        <v/>
      </c>
      <c r="N468" s="2" t="str">
        <f t="shared" si="247"/>
        <v/>
      </c>
      <c r="O468" s="2" t="str">
        <f t="shared" si="248"/>
        <v/>
      </c>
      <c r="P468" s="2" t="str">
        <f t="shared" si="249"/>
        <v/>
      </c>
      <c r="Q468" s="2" t="str">
        <f t="shared" si="233"/>
        <v/>
      </c>
      <c r="R468" s="2" t="str">
        <f t="shared" si="234"/>
        <v/>
      </c>
      <c r="S468" s="2" t="str">
        <f t="shared" si="235"/>
        <v/>
      </c>
      <c r="T468" s="2" t="str">
        <f t="shared" si="250"/>
        <v/>
      </c>
      <c r="U468" s="2" t="str">
        <f t="shared" si="251"/>
        <v/>
      </c>
      <c r="V468" s="2" t="str">
        <f t="shared" si="252"/>
        <v/>
      </c>
      <c r="W468" s="2" t="str">
        <f t="shared" si="236"/>
        <v/>
      </c>
      <c r="X468" s="2" t="str">
        <f t="shared" si="237"/>
        <v/>
      </c>
      <c r="Y468" s="2" t="str">
        <f t="shared" si="238"/>
        <v/>
      </c>
      <c r="Z468" s="2" t="str">
        <f t="shared" si="253"/>
        <v/>
      </c>
      <c r="AA468" s="2" t="str">
        <f t="shared" si="254"/>
        <v/>
      </c>
      <c r="AB468" s="2" t="str">
        <f t="shared" si="255"/>
        <v/>
      </c>
      <c r="AC468" s="2" t="str">
        <f t="shared" si="239"/>
        <v/>
      </c>
      <c r="AD468" s="2" t="str">
        <f t="shared" si="240"/>
        <v/>
      </c>
      <c r="AE468" s="2" t="str">
        <f t="shared" si="241"/>
        <v/>
      </c>
      <c r="AF468" s="2" t="str">
        <f t="shared" si="242"/>
        <v/>
      </c>
    </row>
    <row r="469" spans="1:32" x14ac:dyDescent="0.2">
      <c r="A469" s="2" t="str">
        <f t="shared" si="243"/>
        <v/>
      </c>
      <c r="B469" s="2" t="str">
        <f t="shared" si="224"/>
        <v/>
      </c>
      <c r="C469" s="2" t="str">
        <f t="shared" si="225"/>
        <v/>
      </c>
      <c r="D469" s="2" t="str">
        <f t="shared" si="226"/>
        <v/>
      </c>
      <c r="E469" s="2" t="str">
        <f t="shared" si="227"/>
        <v/>
      </c>
      <c r="F469" s="2" t="str">
        <f t="shared" si="228"/>
        <v/>
      </c>
      <c r="G469" s="2" t="str">
        <f t="shared" si="229"/>
        <v/>
      </c>
      <c r="H469" s="2" t="str">
        <f t="shared" si="244"/>
        <v/>
      </c>
      <c r="I469" s="2" t="str">
        <f t="shared" si="245"/>
        <v/>
      </c>
      <c r="J469" s="2" t="str">
        <f t="shared" si="246"/>
        <v/>
      </c>
      <c r="K469" s="2" t="str">
        <f t="shared" si="230"/>
        <v/>
      </c>
      <c r="L469" s="2" t="str">
        <f t="shared" si="231"/>
        <v/>
      </c>
      <c r="M469" s="2" t="str">
        <f t="shared" si="232"/>
        <v/>
      </c>
      <c r="N469" s="2" t="str">
        <f t="shared" si="247"/>
        <v/>
      </c>
      <c r="O469" s="2" t="str">
        <f t="shared" si="248"/>
        <v/>
      </c>
      <c r="P469" s="2" t="str">
        <f t="shared" si="249"/>
        <v/>
      </c>
      <c r="Q469" s="2" t="str">
        <f t="shared" si="233"/>
        <v/>
      </c>
      <c r="R469" s="2" t="str">
        <f t="shared" si="234"/>
        <v/>
      </c>
      <c r="S469" s="2" t="str">
        <f t="shared" si="235"/>
        <v/>
      </c>
      <c r="T469" s="2" t="str">
        <f t="shared" si="250"/>
        <v/>
      </c>
      <c r="U469" s="2" t="str">
        <f t="shared" si="251"/>
        <v/>
      </c>
      <c r="V469" s="2" t="str">
        <f t="shared" si="252"/>
        <v/>
      </c>
      <c r="W469" s="2" t="str">
        <f t="shared" si="236"/>
        <v/>
      </c>
      <c r="X469" s="2" t="str">
        <f t="shared" si="237"/>
        <v/>
      </c>
      <c r="Y469" s="2" t="str">
        <f t="shared" si="238"/>
        <v/>
      </c>
      <c r="Z469" s="2" t="str">
        <f t="shared" si="253"/>
        <v/>
      </c>
      <c r="AA469" s="2" t="str">
        <f t="shared" si="254"/>
        <v/>
      </c>
      <c r="AB469" s="2" t="str">
        <f t="shared" si="255"/>
        <v/>
      </c>
      <c r="AC469" s="2" t="str">
        <f t="shared" si="239"/>
        <v/>
      </c>
      <c r="AD469" s="2" t="str">
        <f t="shared" si="240"/>
        <v/>
      </c>
      <c r="AE469" s="2" t="str">
        <f t="shared" si="241"/>
        <v/>
      </c>
      <c r="AF469" s="2" t="str">
        <f t="shared" si="242"/>
        <v/>
      </c>
    </row>
    <row r="470" spans="1:32" x14ac:dyDescent="0.2">
      <c r="A470" s="2" t="str">
        <f t="shared" si="243"/>
        <v/>
      </c>
      <c r="B470" s="2" t="str">
        <f t="shared" si="224"/>
        <v/>
      </c>
      <c r="C470" s="2" t="str">
        <f t="shared" si="225"/>
        <v/>
      </c>
      <c r="D470" s="2" t="str">
        <f t="shared" si="226"/>
        <v/>
      </c>
      <c r="E470" s="2" t="str">
        <f t="shared" si="227"/>
        <v/>
      </c>
      <c r="F470" s="2" t="str">
        <f t="shared" si="228"/>
        <v/>
      </c>
      <c r="G470" s="2" t="str">
        <f t="shared" si="229"/>
        <v/>
      </c>
      <c r="H470" s="2" t="str">
        <f t="shared" si="244"/>
        <v/>
      </c>
      <c r="I470" s="2" t="str">
        <f t="shared" si="245"/>
        <v/>
      </c>
      <c r="J470" s="2" t="str">
        <f t="shared" si="246"/>
        <v/>
      </c>
      <c r="K470" s="2" t="str">
        <f t="shared" si="230"/>
        <v/>
      </c>
      <c r="L470" s="2" t="str">
        <f t="shared" si="231"/>
        <v/>
      </c>
      <c r="M470" s="2" t="str">
        <f t="shared" si="232"/>
        <v/>
      </c>
      <c r="N470" s="2" t="str">
        <f t="shared" si="247"/>
        <v/>
      </c>
      <c r="O470" s="2" t="str">
        <f t="shared" si="248"/>
        <v/>
      </c>
      <c r="P470" s="2" t="str">
        <f t="shared" si="249"/>
        <v/>
      </c>
      <c r="Q470" s="2" t="str">
        <f t="shared" si="233"/>
        <v/>
      </c>
      <c r="R470" s="2" t="str">
        <f t="shared" si="234"/>
        <v/>
      </c>
      <c r="S470" s="2" t="str">
        <f t="shared" si="235"/>
        <v/>
      </c>
      <c r="T470" s="2" t="str">
        <f t="shared" si="250"/>
        <v/>
      </c>
      <c r="U470" s="2" t="str">
        <f t="shared" si="251"/>
        <v/>
      </c>
      <c r="V470" s="2" t="str">
        <f t="shared" si="252"/>
        <v/>
      </c>
      <c r="W470" s="2" t="str">
        <f t="shared" si="236"/>
        <v/>
      </c>
      <c r="X470" s="2" t="str">
        <f t="shared" si="237"/>
        <v/>
      </c>
      <c r="Y470" s="2" t="str">
        <f t="shared" si="238"/>
        <v/>
      </c>
      <c r="Z470" s="2" t="str">
        <f t="shared" si="253"/>
        <v/>
      </c>
      <c r="AA470" s="2" t="str">
        <f t="shared" si="254"/>
        <v/>
      </c>
      <c r="AB470" s="2" t="str">
        <f t="shared" si="255"/>
        <v/>
      </c>
      <c r="AC470" s="2" t="str">
        <f t="shared" si="239"/>
        <v/>
      </c>
      <c r="AD470" s="2" t="str">
        <f t="shared" si="240"/>
        <v/>
      </c>
      <c r="AE470" s="2" t="str">
        <f t="shared" si="241"/>
        <v/>
      </c>
      <c r="AF470" s="2" t="str">
        <f t="shared" si="242"/>
        <v/>
      </c>
    </row>
    <row r="471" spans="1:32" x14ac:dyDescent="0.2">
      <c r="A471" s="2" t="str">
        <f t="shared" si="243"/>
        <v/>
      </c>
      <c r="B471" s="2" t="str">
        <f t="shared" si="224"/>
        <v/>
      </c>
      <c r="C471" s="2" t="str">
        <f t="shared" si="225"/>
        <v/>
      </c>
      <c r="D471" s="2" t="str">
        <f t="shared" si="226"/>
        <v/>
      </c>
      <c r="E471" s="2" t="str">
        <f t="shared" si="227"/>
        <v/>
      </c>
      <c r="F471" s="2" t="str">
        <f t="shared" si="228"/>
        <v/>
      </c>
      <c r="G471" s="2" t="str">
        <f t="shared" si="229"/>
        <v/>
      </c>
      <c r="H471" s="2" t="str">
        <f t="shared" si="244"/>
        <v/>
      </c>
      <c r="I471" s="2" t="str">
        <f t="shared" si="245"/>
        <v/>
      </c>
      <c r="J471" s="2" t="str">
        <f t="shared" si="246"/>
        <v/>
      </c>
      <c r="K471" s="2" t="str">
        <f t="shared" si="230"/>
        <v/>
      </c>
      <c r="L471" s="2" t="str">
        <f t="shared" si="231"/>
        <v/>
      </c>
      <c r="M471" s="2" t="str">
        <f t="shared" si="232"/>
        <v/>
      </c>
      <c r="N471" s="2" t="str">
        <f t="shared" si="247"/>
        <v/>
      </c>
      <c r="O471" s="2" t="str">
        <f t="shared" si="248"/>
        <v/>
      </c>
      <c r="P471" s="2" t="str">
        <f t="shared" si="249"/>
        <v/>
      </c>
      <c r="Q471" s="2" t="str">
        <f t="shared" si="233"/>
        <v/>
      </c>
      <c r="R471" s="2" t="str">
        <f t="shared" si="234"/>
        <v/>
      </c>
      <c r="S471" s="2" t="str">
        <f t="shared" si="235"/>
        <v/>
      </c>
      <c r="T471" s="2" t="str">
        <f t="shared" si="250"/>
        <v/>
      </c>
      <c r="U471" s="2" t="str">
        <f t="shared" si="251"/>
        <v/>
      </c>
      <c r="V471" s="2" t="str">
        <f t="shared" si="252"/>
        <v/>
      </c>
      <c r="W471" s="2" t="str">
        <f t="shared" si="236"/>
        <v/>
      </c>
      <c r="X471" s="2" t="str">
        <f t="shared" si="237"/>
        <v/>
      </c>
      <c r="Y471" s="2" t="str">
        <f t="shared" si="238"/>
        <v/>
      </c>
      <c r="Z471" s="2" t="str">
        <f t="shared" si="253"/>
        <v/>
      </c>
      <c r="AA471" s="2" t="str">
        <f t="shared" si="254"/>
        <v/>
      </c>
      <c r="AB471" s="2" t="str">
        <f t="shared" si="255"/>
        <v/>
      </c>
      <c r="AC471" s="2" t="str">
        <f t="shared" si="239"/>
        <v/>
      </c>
      <c r="AD471" s="2" t="str">
        <f t="shared" si="240"/>
        <v/>
      </c>
      <c r="AE471" s="2" t="str">
        <f t="shared" si="241"/>
        <v/>
      </c>
      <c r="AF471" s="2" t="str">
        <f t="shared" si="242"/>
        <v/>
      </c>
    </row>
    <row r="472" spans="1:32" x14ac:dyDescent="0.2">
      <c r="A472" s="2" t="str">
        <f t="shared" si="243"/>
        <v/>
      </c>
      <c r="B472" s="2" t="str">
        <f t="shared" si="224"/>
        <v/>
      </c>
      <c r="C472" s="2" t="str">
        <f t="shared" si="225"/>
        <v/>
      </c>
      <c r="D472" s="2" t="str">
        <f t="shared" si="226"/>
        <v/>
      </c>
      <c r="E472" s="2" t="str">
        <f t="shared" si="227"/>
        <v/>
      </c>
      <c r="F472" s="2" t="str">
        <f t="shared" si="228"/>
        <v/>
      </c>
      <c r="G472" s="2" t="str">
        <f t="shared" si="229"/>
        <v/>
      </c>
      <c r="H472" s="2" t="str">
        <f t="shared" si="244"/>
        <v/>
      </c>
      <c r="I472" s="2" t="str">
        <f t="shared" si="245"/>
        <v/>
      </c>
      <c r="J472" s="2" t="str">
        <f t="shared" si="246"/>
        <v/>
      </c>
      <c r="K472" s="2" t="str">
        <f t="shared" si="230"/>
        <v/>
      </c>
      <c r="L472" s="2" t="str">
        <f t="shared" si="231"/>
        <v/>
      </c>
      <c r="M472" s="2" t="str">
        <f t="shared" si="232"/>
        <v/>
      </c>
      <c r="N472" s="2" t="str">
        <f t="shared" si="247"/>
        <v/>
      </c>
      <c r="O472" s="2" t="str">
        <f t="shared" si="248"/>
        <v/>
      </c>
      <c r="P472" s="2" t="str">
        <f t="shared" si="249"/>
        <v/>
      </c>
      <c r="Q472" s="2" t="str">
        <f t="shared" si="233"/>
        <v/>
      </c>
      <c r="R472" s="2" t="str">
        <f t="shared" si="234"/>
        <v/>
      </c>
      <c r="S472" s="2" t="str">
        <f t="shared" si="235"/>
        <v/>
      </c>
      <c r="T472" s="2" t="str">
        <f t="shared" si="250"/>
        <v/>
      </c>
      <c r="U472" s="2" t="str">
        <f t="shared" si="251"/>
        <v/>
      </c>
      <c r="V472" s="2" t="str">
        <f t="shared" si="252"/>
        <v/>
      </c>
      <c r="W472" s="2" t="str">
        <f t="shared" si="236"/>
        <v/>
      </c>
      <c r="X472" s="2" t="str">
        <f t="shared" si="237"/>
        <v/>
      </c>
      <c r="Y472" s="2" t="str">
        <f t="shared" si="238"/>
        <v/>
      </c>
      <c r="Z472" s="2" t="str">
        <f t="shared" si="253"/>
        <v/>
      </c>
      <c r="AA472" s="2" t="str">
        <f t="shared" si="254"/>
        <v/>
      </c>
      <c r="AB472" s="2" t="str">
        <f t="shared" si="255"/>
        <v/>
      </c>
      <c r="AC472" s="2" t="str">
        <f t="shared" si="239"/>
        <v/>
      </c>
      <c r="AD472" s="2" t="str">
        <f t="shared" si="240"/>
        <v/>
      </c>
      <c r="AE472" s="2" t="str">
        <f t="shared" si="241"/>
        <v/>
      </c>
      <c r="AF472" s="2" t="str">
        <f t="shared" si="242"/>
        <v/>
      </c>
    </row>
    <row r="473" spans="1:32" x14ac:dyDescent="0.2">
      <c r="A473" s="2" t="str">
        <f t="shared" si="243"/>
        <v/>
      </c>
      <c r="B473" s="2" t="str">
        <f t="shared" si="224"/>
        <v/>
      </c>
      <c r="C473" s="2" t="str">
        <f t="shared" si="225"/>
        <v/>
      </c>
      <c r="D473" s="2" t="str">
        <f t="shared" si="226"/>
        <v/>
      </c>
      <c r="E473" s="2" t="str">
        <f t="shared" si="227"/>
        <v/>
      </c>
      <c r="F473" s="2" t="str">
        <f t="shared" si="228"/>
        <v/>
      </c>
      <c r="G473" s="2" t="str">
        <f t="shared" si="229"/>
        <v/>
      </c>
      <c r="H473" s="2" t="str">
        <f t="shared" si="244"/>
        <v/>
      </c>
      <c r="I473" s="2" t="str">
        <f t="shared" si="245"/>
        <v/>
      </c>
      <c r="J473" s="2" t="str">
        <f t="shared" si="246"/>
        <v/>
      </c>
      <c r="K473" s="2" t="str">
        <f t="shared" si="230"/>
        <v/>
      </c>
      <c r="L473" s="2" t="str">
        <f t="shared" si="231"/>
        <v/>
      </c>
      <c r="M473" s="2" t="str">
        <f t="shared" si="232"/>
        <v/>
      </c>
      <c r="N473" s="2" t="str">
        <f t="shared" si="247"/>
        <v/>
      </c>
      <c r="O473" s="2" t="str">
        <f t="shared" si="248"/>
        <v/>
      </c>
      <c r="P473" s="2" t="str">
        <f t="shared" si="249"/>
        <v/>
      </c>
      <c r="Q473" s="2" t="str">
        <f t="shared" si="233"/>
        <v/>
      </c>
      <c r="R473" s="2" t="str">
        <f t="shared" si="234"/>
        <v/>
      </c>
      <c r="S473" s="2" t="str">
        <f t="shared" si="235"/>
        <v/>
      </c>
      <c r="T473" s="2" t="str">
        <f t="shared" si="250"/>
        <v/>
      </c>
      <c r="U473" s="2" t="str">
        <f t="shared" si="251"/>
        <v/>
      </c>
      <c r="V473" s="2" t="str">
        <f t="shared" si="252"/>
        <v/>
      </c>
      <c r="W473" s="2" t="str">
        <f t="shared" si="236"/>
        <v/>
      </c>
      <c r="X473" s="2" t="str">
        <f t="shared" si="237"/>
        <v/>
      </c>
      <c r="Y473" s="2" t="str">
        <f t="shared" si="238"/>
        <v/>
      </c>
      <c r="Z473" s="2" t="str">
        <f t="shared" si="253"/>
        <v/>
      </c>
      <c r="AA473" s="2" t="str">
        <f t="shared" si="254"/>
        <v/>
      </c>
      <c r="AB473" s="2" t="str">
        <f t="shared" si="255"/>
        <v/>
      </c>
      <c r="AC473" s="2" t="str">
        <f t="shared" si="239"/>
        <v/>
      </c>
      <c r="AD473" s="2" t="str">
        <f t="shared" si="240"/>
        <v/>
      </c>
      <c r="AE473" s="2" t="str">
        <f t="shared" si="241"/>
        <v/>
      </c>
      <c r="AF473" s="2" t="str">
        <f t="shared" si="242"/>
        <v/>
      </c>
    </row>
    <row r="474" spans="1:32" x14ac:dyDescent="0.2">
      <c r="A474" s="2" t="str">
        <f t="shared" si="243"/>
        <v/>
      </c>
      <c r="B474" s="2" t="str">
        <f t="shared" si="224"/>
        <v/>
      </c>
      <c r="C474" s="2" t="str">
        <f t="shared" si="225"/>
        <v/>
      </c>
      <c r="D474" s="2" t="str">
        <f t="shared" si="226"/>
        <v/>
      </c>
      <c r="E474" s="2" t="str">
        <f t="shared" si="227"/>
        <v/>
      </c>
      <c r="F474" s="2" t="str">
        <f t="shared" si="228"/>
        <v/>
      </c>
      <c r="G474" s="2" t="str">
        <f t="shared" si="229"/>
        <v/>
      </c>
      <c r="H474" s="2" t="str">
        <f t="shared" si="244"/>
        <v/>
      </c>
      <c r="I474" s="2" t="str">
        <f t="shared" si="245"/>
        <v/>
      </c>
      <c r="J474" s="2" t="str">
        <f t="shared" si="246"/>
        <v/>
      </c>
      <c r="K474" s="2" t="str">
        <f t="shared" si="230"/>
        <v/>
      </c>
      <c r="L474" s="2" t="str">
        <f t="shared" si="231"/>
        <v/>
      </c>
      <c r="M474" s="2" t="str">
        <f t="shared" si="232"/>
        <v/>
      </c>
      <c r="N474" s="2" t="str">
        <f t="shared" si="247"/>
        <v/>
      </c>
      <c r="O474" s="2" t="str">
        <f t="shared" si="248"/>
        <v/>
      </c>
      <c r="P474" s="2" t="str">
        <f t="shared" si="249"/>
        <v/>
      </c>
      <c r="Q474" s="2" t="str">
        <f t="shared" si="233"/>
        <v/>
      </c>
      <c r="R474" s="2" t="str">
        <f t="shared" si="234"/>
        <v/>
      </c>
      <c r="S474" s="2" t="str">
        <f t="shared" si="235"/>
        <v/>
      </c>
      <c r="T474" s="2" t="str">
        <f t="shared" si="250"/>
        <v/>
      </c>
      <c r="U474" s="2" t="str">
        <f t="shared" si="251"/>
        <v/>
      </c>
      <c r="V474" s="2" t="str">
        <f t="shared" si="252"/>
        <v/>
      </c>
      <c r="W474" s="2" t="str">
        <f t="shared" si="236"/>
        <v/>
      </c>
      <c r="X474" s="2" t="str">
        <f t="shared" si="237"/>
        <v/>
      </c>
      <c r="Y474" s="2" t="str">
        <f t="shared" si="238"/>
        <v/>
      </c>
      <c r="Z474" s="2" t="str">
        <f t="shared" si="253"/>
        <v/>
      </c>
      <c r="AA474" s="2" t="str">
        <f t="shared" si="254"/>
        <v/>
      </c>
      <c r="AB474" s="2" t="str">
        <f t="shared" si="255"/>
        <v/>
      </c>
      <c r="AC474" s="2" t="str">
        <f t="shared" si="239"/>
        <v/>
      </c>
      <c r="AD474" s="2" t="str">
        <f t="shared" si="240"/>
        <v/>
      </c>
      <c r="AE474" s="2" t="str">
        <f t="shared" si="241"/>
        <v/>
      </c>
      <c r="AF474" s="2" t="str">
        <f t="shared" si="242"/>
        <v/>
      </c>
    </row>
    <row r="475" spans="1:32" x14ac:dyDescent="0.2">
      <c r="A475" s="2" t="str">
        <f t="shared" si="243"/>
        <v/>
      </c>
      <c r="B475" s="2" t="str">
        <f t="shared" si="224"/>
        <v/>
      </c>
      <c r="C475" s="2" t="str">
        <f t="shared" si="225"/>
        <v/>
      </c>
      <c r="D475" s="2" t="str">
        <f t="shared" si="226"/>
        <v/>
      </c>
      <c r="E475" s="2" t="str">
        <f t="shared" si="227"/>
        <v/>
      </c>
      <c r="F475" s="2" t="str">
        <f t="shared" si="228"/>
        <v/>
      </c>
      <c r="G475" s="2" t="str">
        <f t="shared" si="229"/>
        <v/>
      </c>
      <c r="H475" s="2" t="str">
        <f t="shared" si="244"/>
        <v/>
      </c>
      <c r="I475" s="2" t="str">
        <f t="shared" si="245"/>
        <v/>
      </c>
      <c r="J475" s="2" t="str">
        <f t="shared" si="246"/>
        <v/>
      </c>
      <c r="K475" s="2" t="str">
        <f t="shared" si="230"/>
        <v/>
      </c>
      <c r="L475" s="2" t="str">
        <f t="shared" si="231"/>
        <v/>
      </c>
      <c r="M475" s="2" t="str">
        <f t="shared" si="232"/>
        <v/>
      </c>
      <c r="N475" s="2" t="str">
        <f t="shared" si="247"/>
        <v/>
      </c>
      <c r="O475" s="2" t="str">
        <f t="shared" si="248"/>
        <v/>
      </c>
      <c r="P475" s="2" t="str">
        <f t="shared" si="249"/>
        <v/>
      </c>
      <c r="Q475" s="2" t="str">
        <f t="shared" si="233"/>
        <v/>
      </c>
      <c r="R475" s="2" t="str">
        <f t="shared" si="234"/>
        <v/>
      </c>
      <c r="S475" s="2" t="str">
        <f t="shared" si="235"/>
        <v/>
      </c>
      <c r="T475" s="2" t="str">
        <f t="shared" si="250"/>
        <v/>
      </c>
      <c r="U475" s="2" t="str">
        <f t="shared" si="251"/>
        <v/>
      </c>
      <c r="V475" s="2" t="str">
        <f t="shared" si="252"/>
        <v/>
      </c>
      <c r="W475" s="2" t="str">
        <f t="shared" si="236"/>
        <v/>
      </c>
      <c r="X475" s="2" t="str">
        <f t="shared" si="237"/>
        <v/>
      </c>
      <c r="Y475" s="2" t="str">
        <f t="shared" si="238"/>
        <v/>
      </c>
      <c r="Z475" s="2" t="str">
        <f t="shared" si="253"/>
        <v/>
      </c>
      <c r="AA475" s="2" t="str">
        <f t="shared" si="254"/>
        <v/>
      </c>
      <c r="AB475" s="2" t="str">
        <f t="shared" si="255"/>
        <v/>
      </c>
      <c r="AC475" s="2" t="str">
        <f t="shared" si="239"/>
        <v/>
      </c>
      <c r="AD475" s="2" t="str">
        <f t="shared" si="240"/>
        <v/>
      </c>
      <c r="AE475" s="2" t="str">
        <f t="shared" si="241"/>
        <v/>
      </c>
      <c r="AF475" s="2" t="str">
        <f t="shared" si="242"/>
        <v/>
      </c>
    </row>
    <row r="476" spans="1:32" x14ac:dyDescent="0.2">
      <c r="A476" s="2" t="str">
        <f t="shared" si="243"/>
        <v/>
      </c>
      <c r="B476" s="2" t="str">
        <f t="shared" si="224"/>
        <v/>
      </c>
      <c r="C476" s="2" t="str">
        <f t="shared" si="225"/>
        <v/>
      </c>
      <c r="D476" s="2" t="str">
        <f t="shared" si="226"/>
        <v/>
      </c>
      <c r="E476" s="2" t="str">
        <f t="shared" si="227"/>
        <v/>
      </c>
      <c r="F476" s="2" t="str">
        <f t="shared" si="228"/>
        <v/>
      </c>
      <c r="G476" s="2" t="str">
        <f t="shared" si="229"/>
        <v/>
      </c>
      <c r="H476" s="2" t="str">
        <f t="shared" si="244"/>
        <v/>
      </c>
      <c r="I476" s="2" t="str">
        <f t="shared" si="245"/>
        <v/>
      </c>
      <c r="J476" s="2" t="str">
        <f t="shared" si="246"/>
        <v/>
      </c>
      <c r="K476" s="2" t="str">
        <f t="shared" si="230"/>
        <v/>
      </c>
      <c r="L476" s="2" t="str">
        <f t="shared" si="231"/>
        <v/>
      </c>
      <c r="M476" s="2" t="str">
        <f t="shared" si="232"/>
        <v/>
      </c>
      <c r="N476" s="2" t="str">
        <f t="shared" si="247"/>
        <v/>
      </c>
      <c r="O476" s="2" t="str">
        <f t="shared" si="248"/>
        <v/>
      </c>
      <c r="P476" s="2" t="str">
        <f t="shared" si="249"/>
        <v/>
      </c>
      <c r="Q476" s="2" t="str">
        <f t="shared" si="233"/>
        <v/>
      </c>
      <c r="R476" s="2" t="str">
        <f t="shared" si="234"/>
        <v/>
      </c>
      <c r="S476" s="2" t="str">
        <f t="shared" si="235"/>
        <v/>
      </c>
      <c r="T476" s="2" t="str">
        <f t="shared" si="250"/>
        <v/>
      </c>
      <c r="U476" s="2" t="str">
        <f t="shared" si="251"/>
        <v/>
      </c>
      <c r="V476" s="2" t="str">
        <f t="shared" si="252"/>
        <v/>
      </c>
      <c r="W476" s="2" t="str">
        <f t="shared" si="236"/>
        <v/>
      </c>
      <c r="X476" s="2" t="str">
        <f t="shared" si="237"/>
        <v/>
      </c>
      <c r="Y476" s="2" t="str">
        <f t="shared" si="238"/>
        <v/>
      </c>
      <c r="Z476" s="2" t="str">
        <f t="shared" si="253"/>
        <v/>
      </c>
      <c r="AA476" s="2" t="str">
        <f t="shared" si="254"/>
        <v/>
      </c>
      <c r="AB476" s="2" t="str">
        <f t="shared" si="255"/>
        <v/>
      </c>
      <c r="AC476" s="2" t="str">
        <f t="shared" si="239"/>
        <v/>
      </c>
      <c r="AD476" s="2" t="str">
        <f t="shared" si="240"/>
        <v/>
      </c>
      <c r="AE476" s="2" t="str">
        <f t="shared" si="241"/>
        <v/>
      </c>
      <c r="AF476" s="2" t="str">
        <f t="shared" si="242"/>
        <v/>
      </c>
    </row>
    <row r="477" spans="1:32" x14ac:dyDescent="0.2">
      <c r="A477" s="2" t="str">
        <f t="shared" si="243"/>
        <v/>
      </c>
      <c r="B477" s="2" t="str">
        <f t="shared" si="224"/>
        <v/>
      </c>
      <c r="C477" s="2" t="str">
        <f t="shared" si="225"/>
        <v/>
      </c>
      <c r="D477" s="2" t="str">
        <f t="shared" si="226"/>
        <v/>
      </c>
      <c r="E477" s="2" t="str">
        <f t="shared" si="227"/>
        <v/>
      </c>
      <c r="F477" s="2" t="str">
        <f t="shared" si="228"/>
        <v/>
      </c>
      <c r="G477" s="2" t="str">
        <f t="shared" si="229"/>
        <v/>
      </c>
      <c r="H477" s="2" t="str">
        <f t="shared" si="244"/>
        <v/>
      </c>
      <c r="I477" s="2" t="str">
        <f t="shared" si="245"/>
        <v/>
      </c>
      <c r="J477" s="2" t="str">
        <f t="shared" si="246"/>
        <v/>
      </c>
      <c r="K477" s="2" t="str">
        <f t="shared" si="230"/>
        <v/>
      </c>
      <c r="L477" s="2" t="str">
        <f t="shared" si="231"/>
        <v/>
      </c>
      <c r="M477" s="2" t="str">
        <f t="shared" si="232"/>
        <v/>
      </c>
      <c r="N477" s="2" t="str">
        <f t="shared" si="247"/>
        <v/>
      </c>
      <c r="O477" s="2" t="str">
        <f t="shared" si="248"/>
        <v/>
      </c>
      <c r="P477" s="2" t="str">
        <f t="shared" si="249"/>
        <v/>
      </c>
      <c r="Q477" s="2" t="str">
        <f t="shared" si="233"/>
        <v/>
      </c>
      <c r="R477" s="2" t="str">
        <f t="shared" si="234"/>
        <v/>
      </c>
      <c r="S477" s="2" t="str">
        <f t="shared" si="235"/>
        <v/>
      </c>
      <c r="T477" s="2" t="str">
        <f t="shared" si="250"/>
        <v/>
      </c>
      <c r="U477" s="2" t="str">
        <f t="shared" si="251"/>
        <v/>
      </c>
      <c r="V477" s="2" t="str">
        <f t="shared" si="252"/>
        <v/>
      </c>
      <c r="W477" s="2" t="str">
        <f t="shared" si="236"/>
        <v/>
      </c>
      <c r="X477" s="2" t="str">
        <f t="shared" si="237"/>
        <v/>
      </c>
      <c r="Y477" s="2" t="str">
        <f t="shared" si="238"/>
        <v/>
      </c>
      <c r="Z477" s="2" t="str">
        <f t="shared" si="253"/>
        <v/>
      </c>
      <c r="AA477" s="2" t="str">
        <f t="shared" si="254"/>
        <v/>
      </c>
      <c r="AB477" s="2" t="str">
        <f t="shared" si="255"/>
        <v/>
      </c>
      <c r="AC477" s="2" t="str">
        <f t="shared" si="239"/>
        <v/>
      </c>
      <c r="AD477" s="2" t="str">
        <f t="shared" si="240"/>
        <v/>
      </c>
      <c r="AE477" s="2" t="str">
        <f t="shared" si="241"/>
        <v/>
      </c>
      <c r="AF477" s="2" t="str">
        <f t="shared" si="242"/>
        <v/>
      </c>
    </row>
    <row r="478" spans="1:32" x14ac:dyDescent="0.2">
      <c r="A478" s="2" t="str">
        <f t="shared" si="243"/>
        <v/>
      </c>
      <c r="B478" s="2" t="str">
        <f t="shared" si="224"/>
        <v/>
      </c>
      <c r="C478" s="2" t="str">
        <f t="shared" si="225"/>
        <v/>
      </c>
      <c r="D478" s="2" t="str">
        <f t="shared" si="226"/>
        <v/>
      </c>
      <c r="E478" s="2" t="str">
        <f t="shared" si="227"/>
        <v/>
      </c>
      <c r="F478" s="2" t="str">
        <f t="shared" si="228"/>
        <v/>
      </c>
      <c r="G478" s="2" t="str">
        <f t="shared" si="229"/>
        <v/>
      </c>
      <c r="H478" s="2" t="str">
        <f t="shared" si="244"/>
        <v/>
      </c>
      <c r="I478" s="2" t="str">
        <f t="shared" si="245"/>
        <v/>
      </c>
      <c r="J478" s="2" t="str">
        <f t="shared" si="246"/>
        <v/>
      </c>
      <c r="K478" s="2" t="str">
        <f t="shared" si="230"/>
        <v/>
      </c>
      <c r="L478" s="2" t="str">
        <f t="shared" si="231"/>
        <v/>
      </c>
      <c r="M478" s="2" t="str">
        <f t="shared" si="232"/>
        <v/>
      </c>
      <c r="N478" s="2" t="str">
        <f t="shared" si="247"/>
        <v/>
      </c>
      <c r="O478" s="2" t="str">
        <f t="shared" si="248"/>
        <v/>
      </c>
      <c r="P478" s="2" t="str">
        <f t="shared" si="249"/>
        <v/>
      </c>
      <c r="Q478" s="2" t="str">
        <f t="shared" si="233"/>
        <v/>
      </c>
      <c r="R478" s="2" t="str">
        <f t="shared" si="234"/>
        <v/>
      </c>
      <c r="S478" s="2" t="str">
        <f t="shared" si="235"/>
        <v/>
      </c>
      <c r="T478" s="2" t="str">
        <f t="shared" si="250"/>
        <v/>
      </c>
      <c r="U478" s="2" t="str">
        <f t="shared" si="251"/>
        <v/>
      </c>
      <c r="V478" s="2" t="str">
        <f t="shared" si="252"/>
        <v/>
      </c>
      <c r="W478" s="2" t="str">
        <f t="shared" si="236"/>
        <v/>
      </c>
      <c r="X478" s="2" t="str">
        <f t="shared" si="237"/>
        <v/>
      </c>
      <c r="Y478" s="2" t="str">
        <f t="shared" si="238"/>
        <v/>
      </c>
      <c r="Z478" s="2" t="str">
        <f t="shared" si="253"/>
        <v/>
      </c>
      <c r="AA478" s="2" t="str">
        <f t="shared" si="254"/>
        <v/>
      </c>
      <c r="AB478" s="2" t="str">
        <f t="shared" si="255"/>
        <v/>
      </c>
      <c r="AC478" s="2" t="str">
        <f t="shared" si="239"/>
        <v/>
      </c>
      <c r="AD478" s="2" t="str">
        <f t="shared" si="240"/>
        <v/>
      </c>
      <c r="AE478" s="2" t="str">
        <f t="shared" si="241"/>
        <v/>
      </c>
      <c r="AF478" s="2" t="str">
        <f t="shared" si="242"/>
        <v/>
      </c>
    </row>
    <row r="479" spans="1:32" x14ac:dyDescent="0.2">
      <c r="A479" s="2" t="str">
        <f t="shared" si="243"/>
        <v/>
      </c>
      <c r="B479" s="2" t="str">
        <f t="shared" si="224"/>
        <v/>
      </c>
      <c r="C479" s="2" t="str">
        <f t="shared" si="225"/>
        <v/>
      </c>
      <c r="D479" s="2" t="str">
        <f t="shared" si="226"/>
        <v/>
      </c>
      <c r="E479" s="2" t="str">
        <f t="shared" si="227"/>
        <v/>
      </c>
      <c r="F479" s="2" t="str">
        <f t="shared" si="228"/>
        <v/>
      </c>
      <c r="G479" s="2" t="str">
        <f t="shared" si="229"/>
        <v/>
      </c>
      <c r="H479" s="2" t="str">
        <f t="shared" si="244"/>
        <v/>
      </c>
      <c r="I479" s="2" t="str">
        <f t="shared" si="245"/>
        <v/>
      </c>
      <c r="J479" s="2" t="str">
        <f t="shared" si="246"/>
        <v/>
      </c>
      <c r="K479" s="2" t="str">
        <f t="shared" si="230"/>
        <v/>
      </c>
      <c r="L479" s="2" t="str">
        <f t="shared" si="231"/>
        <v/>
      </c>
      <c r="M479" s="2" t="str">
        <f t="shared" si="232"/>
        <v/>
      </c>
      <c r="N479" s="2" t="str">
        <f t="shared" si="247"/>
        <v/>
      </c>
      <c r="O479" s="2" t="str">
        <f t="shared" si="248"/>
        <v/>
      </c>
      <c r="P479" s="2" t="str">
        <f t="shared" si="249"/>
        <v/>
      </c>
      <c r="Q479" s="2" t="str">
        <f t="shared" si="233"/>
        <v/>
      </c>
      <c r="R479" s="2" t="str">
        <f t="shared" si="234"/>
        <v/>
      </c>
      <c r="S479" s="2" t="str">
        <f t="shared" si="235"/>
        <v/>
      </c>
      <c r="T479" s="2" t="str">
        <f t="shared" si="250"/>
        <v/>
      </c>
      <c r="U479" s="2" t="str">
        <f t="shared" si="251"/>
        <v/>
      </c>
      <c r="V479" s="2" t="str">
        <f t="shared" si="252"/>
        <v/>
      </c>
      <c r="W479" s="2" t="str">
        <f t="shared" si="236"/>
        <v/>
      </c>
      <c r="X479" s="2" t="str">
        <f t="shared" si="237"/>
        <v/>
      </c>
      <c r="Y479" s="2" t="str">
        <f t="shared" si="238"/>
        <v/>
      </c>
      <c r="Z479" s="2" t="str">
        <f t="shared" si="253"/>
        <v/>
      </c>
      <c r="AA479" s="2" t="str">
        <f t="shared" si="254"/>
        <v/>
      </c>
      <c r="AB479" s="2" t="str">
        <f t="shared" si="255"/>
        <v/>
      </c>
      <c r="AC479" s="2" t="str">
        <f t="shared" si="239"/>
        <v/>
      </c>
      <c r="AD479" s="2" t="str">
        <f t="shared" si="240"/>
        <v/>
      </c>
      <c r="AE479" s="2" t="str">
        <f t="shared" si="241"/>
        <v/>
      </c>
      <c r="AF479" s="2" t="str">
        <f t="shared" si="242"/>
        <v/>
      </c>
    </row>
    <row r="480" spans="1:32" x14ac:dyDescent="0.2">
      <c r="A480" s="2" t="str">
        <f t="shared" si="243"/>
        <v/>
      </c>
      <c r="B480" s="2" t="str">
        <f t="shared" si="224"/>
        <v/>
      </c>
      <c r="C480" s="2" t="str">
        <f t="shared" si="225"/>
        <v/>
      </c>
      <c r="D480" s="2" t="str">
        <f t="shared" si="226"/>
        <v/>
      </c>
      <c r="E480" s="2" t="str">
        <f t="shared" si="227"/>
        <v/>
      </c>
      <c r="F480" s="2" t="str">
        <f t="shared" si="228"/>
        <v/>
      </c>
      <c r="G480" s="2" t="str">
        <f t="shared" si="229"/>
        <v/>
      </c>
      <c r="H480" s="2" t="str">
        <f t="shared" si="244"/>
        <v/>
      </c>
      <c r="I480" s="2" t="str">
        <f t="shared" si="245"/>
        <v/>
      </c>
      <c r="J480" s="2" t="str">
        <f t="shared" si="246"/>
        <v/>
      </c>
      <c r="K480" s="2" t="str">
        <f t="shared" si="230"/>
        <v/>
      </c>
      <c r="L480" s="2" t="str">
        <f t="shared" si="231"/>
        <v/>
      </c>
      <c r="M480" s="2" t="str">
        <f t="shared" si="232"/>
        <v/>
      </c>
      <c r="N480" s="2" t="str">
        <f t="shared" si="247"/>
        <v/>
      </c>
      <c r="O480" s="2" t="str">
        <f t="shared" si="248"/>
        <v/>
      </c>
      <c r="P480" s="2" t="str">
        <f t="shared" si="249"/>
        <v/>
      </c>
      <c r="Q480" s="2" t="str">
        <f t="shared" si="233"/>
        <v/>
      </c>
      <c r="R480" s="2" t="str">
        <f t="shared" si="234"/>
        <v/>
      </c>
      <c r="S480" s="2" t="str">
        <f t="shared" si="235"/>
        <v/>
      </c>
      <c r="T480" s="2" t="str">
        <f t="shared" si="250"/>
        <v/>
      </c>
      <c r="U480" s="2" t="str">
        <f t="shared" si="251"/>
        <v/>
      </c>
      <c r="V480" s="2" t="str">
        <f t="shared" si="252"/>
        <v/>
      </c>
      <c r="W480" s="2" t="str">
        <f t="shared" si="236"/>
        <v/>
      </c>
      <c r="X480" s="2" t="str">
        <f t="shared" si="237"/>
        <v/>
      </c>
      <c r="Y480" s="2" t="str">
        <f t="shared" si="238"/>
        <v/>
      </c>
      <c r="Z480" s="2" t="str">
        <f t="shared" si="253"/>
        <v/>
      </c>
      <c r="AA480" s="2" t="str">
        <f t="shared" si="254"/>
        <v/>
      </c>
      <c r="AB480" s="2" t="str">
        <f t="shared" si="255"/>
        <v/>
      </c>
      <c r="AC480" s="2" t="str">
        <f t="shared" si="239"/>
        <v/>
      </c>
      <c r="AD480" s="2" t="str">
        <f t="shared" si="240"/>
        <v/>
      </c>
      <c r="AE480" s="2" t="str">
        <f t="shared" si="241"/>
        <v/>
      </c>
      <c r="AF480" s="2" t="str">
        <f t="shared" si="242"/>
        <v/>
      </c>
    </row>
    <row r="481" spans="1:32" x14ac:dyDescent="0.2">
      <c r="A481" s="2" t="str">
        <f t="shared" si="243"/>
        <v/>
      </c>
      <c r="B481" s="2" t="str">
        <f t="shared" si="224"/>
        <v/>
      </c>
      <c r="C481" s="2" t="str">
        <f t="shared" si="225"/>
        <v/>
      </c>
      <c r="D481" s="2" t="str">
        <f t="shared" si="226"/>
        <v/>
      </c>
      <c r="E481" s="2" t="str">
        <f t="shared" si="227"/>
        <v/>
      </c>
      <c r="F481" s="2" t="str">
        <f t="shared" si="228"/>
        <v/>
      </c>
      <c r="G481" s="2" t="str">
        <f t="shared" si="229"/>
        <v/>
      </c>
      <c r="H481" s="2" t="str">
        <f t="shared" si="244"/>
        <v/>
      </c>
      <c r="I481" s="2" t="str">
        <f t="shared" si="245"/>
        <v/>
      </c>
      <c r="J481" s="2" t="str">
        <f t="shared" si="246"/>
        <v/>
      </c>
      <c r="K481" s="2" t="str">
        <f t="shared" si="230"/>
        <v/>
      </c>
      <c r="L481" s="2" t="str">
        <f t="shared" si="231"/>
        <v/>
      </c>
      <c r="M481" s="2" t="str">
        <f t="shared" si="232"/>
        <v/>
      </c>
      <c r="N481" s="2" t="str">
        <f t="shared" si="247"/>
        <v/>
      </c>
      <c r="O481" s="2" t="str">
        <f t="shared" si="248"/>
        <v/>
      </c>
      <c r="P481" s="2" t="str">
        <f t="shared" si="249"/>
        <v/>
      </c>
      <c r="Q481" s="2" t="str">
        <f t="shared" si="233"/>
        <v/>
      </c>
      <c r="R481" s="2" t="str">
        <f t="shared" si="234"/>
        <v/>
      </c>
      <c r="S481" s="2" t="str">
        <f t="shared" si="235"/>
        <v/>
      </c>
      <c r="T481" s="2" t="str">
        <f t="shared" si="250"/>
        <v/>
      </c>
      <c r="U481" s="2" t="str">
        <f t="shared" si="251"/>
        <v/>
      </c>
      <c r="V481" s="2" t="str">
        <f t="shared" si="252"/>
        <v/>
      </c>
      <c r="W481" s="2" t="str">
        <f t="shared" si="236"/>
        <v/>
      </c>
      <c r="X481" s="2" t="str">
        <f t="shared" si="237"/>
        <v/>
      </c>
      <c r="Y481" s="2" t="str">
        <f t="shared" si="238"/>
        <v/>
      </c>
      <c r="Z481" s="2" t="str">
        <f t="shared" si="253"/>
        <v/>
      </c>
      <c r="AA481" s="2" t="str">
        <f t="shared" si="254"/>
        <v/>
      </c>
      <c r="AB481" s="2" t="str">
        <f t="shared" si="255"/>
        <v/>
      </c>
      <c r="AC481" s="2" t="str">
        <f t="shared" si="239"/>
        <v/>
      </c>
      <c r="AD481" s="2" t="str">
        <f t="shared" si="240"/>
        <v/>
      </c>
      <c r="AE481" s="2" t="str">
        <f t="shared" si="241"/>
        <v/>
      </c>
      <c r="AF481" s="2" t="str">
        <f t="shared" si="242"/>
        <v/>
      </c>
    </row>
    <row r="482" spans="1:32" x14ac:dyDescent="0.2">
      <c r="A482" s="2" t="str">
        <f t="shared" si="243"/>
        <v/>
      </c>
      <c r="B482" s="2" t="str">
        <f t="shared" si="224"/>
        <v/>
      </c>
      <c r="C482" s="2" t="str">
        <f t="shared" si="225"/>
        <v/>
      </c>
      <c r="D482" s="2" t="str">
        <f t="shared" si="226"/>
        <v/>
      </c>
      <c r="E482" s="2" t="str">
        <f t="shared" si="227"/>
        <v/>
      </c>
      <c r="F482" s="2" t="str">
        <f t="shared" si="228"/>
        <v/>
      </c>
      <c r="G482" s="2" t="str">
        <f t="shared" si="229"/>
        <v/>
      </c>
      <c r="H482" s="2" t="str">
        <f t="shared" si="244"/>
        <v/>
      </c>
      <c r="I482" s="2" t="str">
        <f t="shared" si="245"/>
        <v/>
      </c>
      <c r="J482" s="2" t="str">
        <f t="shared" si="246"/>
        <v/>
      </c>
      <c r="K482" s="2" t="str">
        <f t="shared" si="230"/>
        <v/>
      </c>
      <c r="L482" s="2" t="str">
        <f t="shared" si="231"/>
        <v/>
      </c>
      <c r="M482" s="2" t="str">
        <f t="shared" si="232"/>
        <v/>
      </c>
      <c r="N482" s="2" t="str">
        <f t="shared" si="247"/>
        <v/>
      </c>
      <c r="O482" s="2" t="str">
        <f t="shared" si="248"/>
        <v/>
      </c>
      <c r="P482" s="2" t="str">
        <f t="shared" si="249"/>
        <v/>
      </c>
      <c r="Q482" s="2" t="str">
        <f t="shared" si="233"/>
        <v/>
      </c>
      <c r="R482" s="2" t="str">
        <f t="shared" si="234"/>
        <v/>
      </c>
      <c r="S482" s="2" t="str">
        <f t="shared" si="235"/>
        <v/>
      </c>
      <c r="T482" s="2" t="str">
        <f t="shared" si="250"/>
        <v/>
      </c>
      <c r="U482" s="2" t="str">
        <f t="shared" si="251"/>
        <v/>
      </c>
      <c r="V482" s="2" t="str">
        <f t="shared" si="252"/>
        <v/>
      </c>
      <c r="W482" s="2" t="str">
        <f t="shared" si="236"/>
        <v/>
      </c>
      <c r="X482" s="2" t="str">
        <f t="shared" si="237"/>
        <v/>
      </c>
      <c r="Y482" s="2" t="str">
        <f t="shared" si="238"/>
        <v/>
      </c>
      <c r="Z482" s="2" t="str">
        <f t="shared" si="253"/>
        <v/>
      </c>
      <c r="AA482" s="2" t="str">
        <f t="shared" si="254"/>
        <v/>
      </c>
      <c r="AB482" s="2" t="str">
        <f t="shared" si="255"/>
        <v/>
      </c>
      <c r="AC482" s="2" t="str">
        <f t="shared" si="239"/>
        <v/>
      </c>
      <c r="AD482" s="2" t="str">
        <f t="shared" si="240"/>
        <v/>
      </c>
      <c r="AE482" s="2" t="str">
        <f t="shared" si="241"/>
        <v/>
      </c>
      <c r="AF482" s="2" t="str">
        <f t="shared" si="242"/>
        <v/>
      </c>
    </row>
    <row r="483" spans="1:32" x14ac:dyDescent="0.2">
      <c r="A483" s="2" t="str">
        <f t="shared" si="243"/>
        <v/>
      </c>
      <c r="B483" s="2" t="str">
        <f t="shared" si="224"/>
        <v/>
      </c>
      <c r="C483" s="2" t="str">
        <f t="shared" si="225"/>
        <v/>
      </c>
      <c r="D483" s="2" t="str">
        <f t="shared" si="226"/>
        <v/>
      </c>
      <c r="E483" s="2" t="str">
        <f t="shared" si="227"/>
        <v/>
      </c>
      <c r="F483" s="2" t="str">
        <f t="shared" si="228"/>
        <v/>
      </c>
      <c r="G483" s="2" t="str">
        <f t="shared" si="229"/>
        <v/>
      </c>
      <c r="H483" s="2" t="str">
        <f t="shared" si="244"/>
        <v/>
      </c>
      <c r="I483" s="2" t="str">
        <f t="shared" si="245"/>
        <v/>
      </c>
      <c r="J483" s="2" t="str">
        <f t="shared" si="246"/>
        <v/>
      </c>
      <c r="K483" s="2" t="str">
        <f t="shared" si="230"/>
        <v/>
      </c>
      <c r="L483" s="2" t="str">
        <f t="shared" si="231"/>
        <v/>
      </c>
      <c r="M483" s="2" t="str">
        <f t="shared" si="232"/>
        <v/>
      </c>
      <c r="N483" s="2" t="str">
        <f t="shared" si="247"/>
        <v/>
      </c>
      <c r="O483" s="2" t="str">
        <f t="shared" si="248"/>
        <v/>
      </c>
      <c r="P483" s="2" t="str">
        <f t="shared" si="249"/>
        <v/>
      </c>
      <c r="Q483" s="2" t="str">
        <f t="shared" si="233"/>
        <v/>
      </c>
      <c r="R483" s="2" t="str">
        <f t="shared" si="234"/>
        <v/>
      </c>
      <c r="S483" s="2" t="str">
        <f t="shared" si="235"/>
        <v/>
      </c>
      <c r="T483" s="2" t="str">
        <f t="shared" si="250"/>
        <v/>
      </c>
      <c r="U483" s="2" t="str">
        <f t="shared" si="251"/>
        <v/>
      </c>
      <c r="V483" s="2" t="str">
        <f t="shared" si="252"/>
        <v/>
      </c>
      <c r="W483" s="2" t="str">
        <f t="shared" si="236"/>
        <v/>
      </c>
      <c r="X483" s="2" t="str">
        <f t="shared" si="237"/>
        <v/>
      </c>
      <c r="Y483" s="2" t="str">
        <f t="shared" si="238"/>
        <v/>
      </c>
      <c r="Z483" s="2" t="str">
        <f t="shared" si="253"/>
        <v/>
      </c>
      <c r="AA483" s="2" t="str">
        <f t="shared" si="254"/>
        <v/>
      </c>
      <c r="AB483" s="2" t="str">
        <f t="shared" si="255"/>
        <v/>
      </c>
      <c r="AC483" s="2" t="str">
        <f t="shared" si="239"/>
        <v/>
      </c>
      <c r="AD483" s="2" t="str">
        <f t="shared" si="240"/>
        <v/>
      </c>
      <c r="AE483" s="2" t="str">
        <f t="shared" si="241"/>
        <v/>
      </c>
      <c r="AF483" s="2" t="str">
        <f t="shared" si="242"/>
        <v/>
      </c>
    </row>
    <row r="484" spans="1:32" x14ac:dyDescent="0.2">
      <c r="A484" s="2" t="str">
        <f t="shared" si="243"/>
        <v/>
      </c>
      <c r="B484" s="2" t="str">
        <f t="shared" si="224"/>
        <v/>
      </c>
      <c r="C484" s="2" t="str">
        <f t="shared" si="225"/>
        <v/>
      </c>
      <c r="D484" s="2" t="str">
        <f t="shared" si="226"/>
        <v/>
      </c>
      <c r="E484" s="2" t="str">
        <f t="shared" si="227"/>
        <v/>
      </c>
      <c r="F484" s="2" t="str">
        <f t="shared" si="228"/>
        <v/>
      </c>
      <c r="G484" s="2" t="str">
        <f t="shared" si="229"/>
        <v/>
      </c>
      <c r="H484" s="2" t="str">
        <f t="shared" si="244"/>
        <v/>
      </c>
      <c r="I484" s="2" t="str">
        <f t="shared" si="245"/>
        <v/>
      </c>
      <c r="J484" s="2" t="str">
        <f t="shared" si="246"/>
        <v/>
      </c>
      <c r="K484" s="2" t="str">
        <f t="shared" si="230"/>
        <v/>
      </c>
      <c r="L484" s="2" t="str">
        <f t="shared" si="231"/>
        <v/>
      </c>
      <c r="M484" s="2" t="str">
        <f t="shared" si="232"/>
        <v/>
      </c>
      <c r="N484" s="2" t="str">
        <f t="shared" si="247"/>
        <v/>
      </c>
      <c r="O484" s="2" t="str">
        <f t="shared" si="248"/>
        <v/>
      </c>
      <c r="P484" s="2" t="str">
        <f t="shared" si="249"/>
        <v/>
      </c>
      <c r="Q484" s="2" t="str">
        <f t="shared" si="233"/>
        <v/>
      </c>
      <c r="R484" s="2" t="str">
        <f t="shared" si="234"/>
        <v/>
      </c>
      <c r="S484" s="2" t="str">
        <f t="shared" si="235"/>
        <v/>
      </c>
      <c r="T484" s="2" t="str">
        <f t="shared" si="250"/>
        <v/>
      </c>
      <c r="U484" s="2" t="str">
        <f t="shared" si="251"/>
        <v/>
      </c>
      <c r="V484" s="2" t="str">
        <f t="shared" si="252"/>
        <v/>
      </c>
      <c r="W484" s="2" t="str">
        <f t="shared" si="236"/>
        <v/>
      </c>
      <c r="X484" s="2" t="str">
        <f t="shared" si="237"/>
        <v/>
      </c>
      <c r="Y484" s="2" t="str">
        <f t="shared" si="238"/>
        <v/>
      </c>
      <c r="Z484" s="2" t="str">
        <f t="shared" si="253"/>
        <v/>
      </c>
      <c r="AA484" s="2" t="str">
        <f t="shared" si="254"/>
        <v/>
      </c>
      <c r="AB484" s="2" t="str">
        <f t="shared" si="255"/>
        <v/>
      </c>
      <c r="AC484" s="2" t="str">
        <f t="shared" si="239"/>
        <v/>
      </c>
      <c r="AD484" s="2" t="str">
        <f t="shared" si="240"/>
        <v/>
      </c>
      <c r="AE484" s="2" t="str">
        <f t="shared" si="241"/>
        <v/>
      </c>
      <c r="AF484" s="2" t="str">
        <f t="shared" si="242"/>
        <v/>
      </c>
    </row>
    <row r="485" spans="1:32" x14ac:dyDescent="0.2">
      <c r="A485" s="2" t="str">
        <f t="shared" si="243"/>
        <v/>
      </c>
      <c r="B485" s="2" t="str">
        <f t="shared" si="224"/>
        <v/>
      </c>
      <c r="C485" s="2" t="str">
        <f t="shared" si="225"/>
        <v/>
      </c>
      <c r="D485" s="2" t="str">
        <f t="shared" si="226"/>
        <v/>
      </c>
      <c r="E485" s="2" t="str">
        <f t="shared" si="227"/>
        <v/>
      </c>
      <c r="F485" s="2" t="str">
        <f t="shared" si="228"/>
        <v/>
      </c>
      <c r="G485" s="2" t="str">
        <f t="shared" si="229"/>
        <v/>
      </c>
      <c r="H485" s="2" t="str">
        <f t="shared" si="244"/>
        <v/>
      </c>
      <c r="I485" s="2" t="str">
        <f t="shared" si="245"/>
        <v/>
      </c>
      <c r="J485" s="2" t="str">
        <f t="shared" si="246"/>
        <v/>
      </c>
      <c r="K485" s="2" t="str">
        <f t="shared" si="230"/>
        <v/>
      </c>
      <c r="L485" s="2" t="str">
        <f t="shared" si="231"/>
        <v/>
      </c>
      <c r="M485" s="2" t="str">
        <f t="shared" si="232"/>
        <v/>
      </c>
      <c r="N485" s="2" t="str">
        <f t="shared" si="247"/>
        <v/>
      </c>
      <c r="O485" s="2" t="str">
        <f t="shared" si="248"/>
        <v/>
      </c>
      <c r="P485" s="2" t="str">
        <f t="shared" si="249"/>
        <v/>
      </c>
      <c r="Q485" s="2" t="str">
        <f t="shared" si="233"/>
        <v/>
      </c>
      <c r="R485" s="2" t="str">
        <f t="shared" si="234"/>
        <v/>
      </c>
      <c r="S485" s="2" t="str">
        <f t="shared" si="235"/>
        <v/>
      </c>
      <c r="T485" s="2" t="str">
        <f t="shared" si="250"/>
        <v/>
      </c>
      <c r="U485" s="2" t="str">
        <f t="shared" si="251"/>
        <v/>
      </c>
      <c r="V485" s="2" t="str">
        <f t="shared" si="252"/>
        <v/>
      </c>
      <c r="W485" s="2" t="str">
        <f t="shared" si="236"/>
        <v/>
      </c>
      <c r="X485" s="2" t="str">
        <f t="shared" si="237"/>
        <v/>
      </c>
      <c r="Y485" s="2" t="str">
        <f t="shared" si="238"/>
        <v/>
      </c>
      <c r="Z485" s="2" t="str">
        <f t="shared" si="253"/>
        <v/>
      </c>
      <c r="AA485" s="2" t="str">
        <f t="shared" si="254"/>
        <v/>
      </c>
      <c r="AB485" s="2" t="str">
        <f t="shared" si="255"/>
        <v/>
      </c>
      <c r="AC485" s="2" t="str">
        <f t="shared" si="239"/>
        <v/>
      </c>
      <c r="AD485" s="2" t="str">
        <f t="shared" si="240"/>
        <v/>
      </c>
      <c r="AE485" s="2" t="str">
        <f t="shared" si="241"/>
        <v/>
      </c>
      <c r="AF485" s="2" t="str">
        <f t="shared" si="242"/>
        <v/>
      </c>
    </row>
    <row r="486" spans="1:32" x14ac:dyDescent="0.2">
      <c r="A486" s="2" t="str">
        <f t="shared" si="243"/>
        <v/>
      </c>
      <c r="B486" s="2" t="str">
        <f t="shared" si="224"/>
        <v/>
      </c>
      <c r="C486" s="2" t="str">
        <f t="shared" si="225"/>
        <v/>
      </c>
      <c r="D486" s="2" t="str">
        <f t="shared" si="226"/>
        <v/>
      </c>
      <c r="E486" s="2" t="str">
        <f t="shared" si="227"/>
        <v/>
      </c>
      <c r="F486" s="2" t="str">
        <f t="shared" si="228"/>
        <v/>
      </c>
      <c r="G486" s="2" t="str">
        <f t="shared" si="229"/>
        <v/>
      </c>
      <c r="H486" s="2" t="str">
        <f t="shared" si="244"/>
        <v/>
      </c>
      <c r="I486" s="2" t="str">
        <f t="shared" si="245"/>
        <v/>
      </c>
      <c r="J486" s="2" t="str">
        <f t="shared" si="246"/>
        <v/>
      </c>
      <c r="K486" s="2" t="str">
        <f t="shared" si="230"/>
        <v/>
      </c>
      <c r="L486" s="2" t="str">
        <f t="shared" si="231"/>
        <v/>
      </c>
      <c r="M486" s="2" t="str">
        <f t="shared" si="232"/>
        <v/>
      </c>
      <c r="N486" s="2" t="str">
        <f t="shared" si="247"/>
        <v/>
      </c>
      <c r="O486" s="2" t="str">
        <f t="shared" si="248"/>
        <v/>
      </c>
      <c r="P486" s="2" t="str">
        <f t="shared" si="249"/>
        <v/>
      </c>
      <c r="Q486" s="2" t="str">
        <f t="shared" si="233"/>
        <v/>
      </c>
      <c r="R486" s="2" t="str">
        <f t="shared" si="234"/>
        <v/>
      </c>
      <c r="S486" s="2" t="str">
        <f t="shared" si="235"/>
        <v/>
      </c>
      <c r="T486" s="2" t="str">
        <f t="shared" si="250"/>
        <v/>
      </c>
      <c r="U486" s="2" t="str">
        <f t="shared" si="251"/>
        <v/>
      </c>
      <c r="V486" s="2" t="str">
        <f t="shared" si="252"/>
        <v/>
      </c>
      <c r="W486" s="2" t="str">
        <f t="shared" si="236"/>
        <v/>
      </c>
      <c r="X486" s="2" t="str">
        <f t="shared" si="237"/>
        <v/>
      </c>
      <c r="Y486" s="2" t="str">
        <f t="shared" si="238"/>
        <v/>
      </c>
      <c r="Z486" s="2" t="str">
        <f t="shared" si="253"/>
        <v/>
      </c>
      <c r="AA486" s="2" t="str">
        <f t="shared" si="254"/>
        <v/>
      </c>
      <c r="AB486" s="2" t="str">
        <f t="shared" si="255"/>
        <v/>
      </c>
      <c r="AC486" s="2" t="str">
        <f t="shared" si="239"/>
        <v/>
      </c>
      <c r="AD486" s="2" t="str">
        <f t="shared" si="240"/>
        <v/>
      </c>
      <c r="AE486" s="2" t="str">
        <f t="shared" si="241"/>
        <v/>
      </c>
      <c r="AF486" s="2" t="str">
        <f t="shared" si="242"/>
        <v/>
      </c>
    </row>
    <row r="487" spans="1:32" x14ac:dyDescent="0.2">
      <c r="A487" s="2" t="str">
        <f t="shared" si="243"/>
        <v/>
      </c>
      <c r="B487" s="2" t="str">
        <f t="shared" si="224"/>
        <v/>
      </c>
      <c r="C487" s="2" t="str">
        <f t="shared" si="225"/>
        <v/>
      </c>
      <c r="D487" s="2" t="str">
        <f t="shared" si="226"/>
        <v/>
      </c>
      <c r="E487" s="2" t="str">
        <f t="shared" si="227"/>
        <v/>
      </c>
      <c r="F487" s="2" t="str">
        <f t="shared" si="228"/>
        <v/>
      </c>
      <c r="G487" s="2" t="str">
        <f t="shared" si="229"/>
        <v/>
      </c>
      <c r="H487" s="2" t="str">
        <f t="shared" si="244"/>
        <v/>
      </c>
      <c r="I487" s="2" t="str">
        <f t="shared" si="245"/>
        <v/>
      </c>
      <c r="J487" s="2" t="str">
        <f t="shared" si="246"/>
        <v/>
      </c>
      <c r="K487" s="2" t="str">
        <f t="shared" si="230"/>
        <v/>
      </c>
      <c r="L487" s="2" t="str">
        <f t="shared" si="231"/>
        <v/>
      </c>
      <c r="M487" s="2" t="str">
        <f t="shared" si="232"/>
        <v/>
      </c>
      <c r="N487" s="2" t="str">
        <f t="shared" si="247"/>
        <v/>
      </c>
      <c r="O487" s="2" t="str">
        <f t="shared" si="248"/>
        <v/>
      </c>
      <c r="P487" s="2" t="str">
        <f t="shared" si="249"/>
        <v/>
      </c>
      <c r="Q487" s="2" t="str">
        <f t="shared" si="233"/>
        <v/>
      </c>
      <c r="R487" s="2" t="str">
        <f t="shared" si="234"/>
        <v/>
      </c>
      <c r="S487" s="2" t="str">
        <f t="shared" si="235"/>
        <v/>
      </c>
      <c r="T487" s="2" t="str">
        <f t="shared" si="250"/>
        <v/>
      </c>
      <c r="U487" s="2" t="str">
        <f t="shared" si="251"/>
        <v/>
      </c>
      <c r="V487" s="2" t="str">
        <f t="shared" si="252"/>
        <v/>
      </c>
      <c r="W487" s="2" t="str">
        <f t="shared" si="236"/>
        <v/>
      </c>
      <c r="X487" s="2" t="str">
        <f t="shared" si="237"/>
        <v/>
      </c>
      <c r="Y487" s="2" t="str">
        <f t="shared" si="238"/>
        <v/>
      </c>
      <c r="Z487" s="2" t="str">
        <f t="shared" si="253"/>
        <v/>
      </c>
      <c r="AA487" s="2" t="str">
        <f t="shared" si="254"/>
        <v/>
      </c>
      <c r="AB487" s="2" t="str">
        <f t="shared" si="255"/>
        <v/>
      </c>
      <c r="AC487" s="2" t="str">
        <f t="shared" si="239"/>
        <v/>
      </c>
      <c r="AD487" s="2" t="str">
        <f t="shared" si="240"/>
        <v/>
      </c>
      <c r="AE487" s="2" t="str">
        <f t="shared" si="241"/>
        <v/>
      </c>
      <c r="AF487" s="2" t="str">
        <f t="shared" si="242"/>
        <v/>
      </c>
    </row>
    <row r="488" spans="1:32" x14ac:dyDescent="0.2">
      <c r="A488" s="2" t="str">
        <f t="shared" si="243"/>
        <v/>
      </c>
      <c r="B488" s="2" t="str">
        <f t="shared" si="224"/>
        <v/>
      </c>
      <c r="C488" s="2" t="str">
        <f t="shared" si="225"/>
        <v/>
      </c>
      <c r="D488" s="2" t="str">
        <f t="shared" si="226"/>
        <v/>
      </c>
      <c r="E488" s="2" t="str">
        <f t="shared" si="227"/>
        <v/>
      </c>
      <c r="F488" s="2" t="str">
        <f t="shared" si="228"/>
        <v/>
      </c>
      <c r="G488" s="2" t="str">
        <f t="shared" si="229"/>
        <v/>
      </c>
      <c r="H488" s="2" t="str">
        <f t="shared" si="244"/>
        <v/>
      </c>
      <c r="I488" s="2" t="str">
        <f t="shared" si="245"/>
        <v/>
      </c>
      <c r="J488" s="2" t="str">
        <f t="shared" si="246"/>
        <v/>
      </c>
      <c r="K488" s="2" t="str">
        <f t="shared" si="230"/>
        <v/>
      </c>
      <c r="L488" s="2" t="str">
        <f t="shared" si="231"/>
        <v/>
      </c>
      <c r="M488" s="2" t="str">
        <f t="shared" si="232"/>
        <v/>
      </c>
      <c r="N488" s="2" t="str">
        <f t="shared" si="247"/>
        <v/>
      </c>
      <c r="O488" s="2" t="str">
        <f t="shared" si="248"/>
        <v/>
      </c>
      <c r="P488" s="2" t="str">
        <f t="shared" si="249"/>
        <v/>
      </c>
      <c r="Q488" s="2" t="str">
        <f t="shared" si="233"/>
        <v/>
      </c>
      <c r="R488" s="2" t="str">
        <f t="shared" si="234"/>
        <v/>
      </c>
      <c r="S488" s="2" t="str">
        <f t="shared" si="235"/>
        <v/>
      </c>
      <c r="T488" s="2" t="str">
        <f t="shared" si="250"/>
        <v/>
      </c>
      <c r="U488" s="2" t="str">
        <f t="shared" si="251"/>
        <v/>
      </c>
      <c r="V488" s="2" t="str">
        <f t="shared" si="252"/>
        <v/>
      </c>
      <c r="W488" s="2" t="str">
        <f t="shared" si="236"/>
        <v/>
      </c>
      <c r="X488" s="2" t="str">
        <f t="shared" si="237"/>
        <v/>
      </c>
      <c r="Y488" s="2" t="str">
        <f t="shared" si="238"/>
        <v/>
      </c>
      <c r="Z488" s="2" t="str">
        <f t="shared" si="253"/>
        <v/>
      </c>
      <c r="AA488" s="2" t="str">
        <f t="shared" si="254"/>
        <v/>
      </c>
      <c r="AB488" s="2" t="str">
        <f t="shared" si="255"/>
        <v/>
      </c>
      <c r="AC488" s="2" t="str">
        <f t="shared" si="239"/>
        <v/>
      </c>
      <c r="AD488" s="2" t="str">
        <f t="shared" si="240"/>
        <v/>
      </c>
      <c r="AE488" s="2" t="str">
        <f t="shared" si="241"/>
        <v/>
      </c>
      <c r="AF488" s="2" t="str">
        <f t="shared" si="242"/>
        <v/>
      </c>
    </row>
    <row r="489" spans="1:32" x14ac:dyDescent="0.2">
      <c r="A489" s="2" t="str">
        <f t="shared" si="243"/>
        <v/>
      </c>
      <c r="B489" s="2" t="str">
        <f t="shared" si="224"/>
        <v/>
      </c>
      <c r="C489" s="2" t="str">
        <f t="shared" si="225"/>
        <v/>
      </c>
      <c r="D489" s="2" t="str">
        <f t="shared" si="226"/>
        <v/>
      </c>
      <c r="E489" s="2" t="str">
        <f t="shared" si="227"/>
        <v/>
      </c>
      <c r="F489" s="2" t="str">
        <f t="shared" si="228"/>
        <v/>
      </c>
      <c r="G489" s="2" t="str">
        <f t="shared" si="229"/>
        <v/>
      </c>
      <c r="H489" s="2" t="str">
        <f t="shared" si="244"/>
        <v/>
      </c>
      <c r="I489" s="2" t="str">
        <f t="shared" si="245"/>
        <v/>
      </c>
      <c r="J489" s="2" t="str">
        <f t="shared" si="246"/>
        <v/>
      </c>
      <c r="K489" s="2" t="str">
        <f t="shared" si="230"/>
        <v/>
      </c>
      <c r="L489" s="2" t="str">
        <f t="shared" si="231"/>
        <v/>
      </c>
      <c r="M489" s="2" t="str">
        <f t="shared" si="232"/>
        <v/>
      </c>
      <c r="N489" s="2" t="str">
        <f t="shared" si="247"/>
        <v/>
      </c>
      <c r="O489" s="2" t="str">
        <f t="shared" si="248"/>
        <v/>
      </c>
      <c r="P489" s="2" t="str">
        <f t="shared" si="249"/>
        <v/>
      </c>
      <c r="Q489" s="2" t="str">
        <f t="shared" si="233"/>
        <v/>
      </c>
      <c r="R489" s="2" t="str">
        <f t="shared" si="234"/>
        <v/>
      </c>
      <c r="S489" s="2" t="str">
        <f t="shared" si="235"/>
        <v/>
      </c>
      <c r="T489" s="2" t="str">
        <f t="shared" si="250"/>
        <v/>
      </c>
      <c r="U489" s="2" t="str">
        <f t="shared" si="251"/>
        <v/>
      </c>
      <c r="V489" s="2" t="str">
        <f t="shared" si="252"/>
        <v/>
      </c>
      <c r="W489" s="2" t="str">
        <f t="shared" si="236"/>
        <v/>
      </c>
      <c r="X489" s="2" t="str">
        <f t="shared" si="237"/>
        <v/>
      </c>
      <c r="Y489" s="2" t="str">
        <f t="shared" si="238"/>
        <v/>
      </c>
      <c r="Z489" s="2" t="str">
        <f t="shared" si="253"/>
        <v/>
      </c>
      <c r="AA489" s="2" t="str">
        <f t="shared" si="254"/>
        <v/>
      </c>
      <c r="AB489" s="2" t="str">
        <f t="shared" si="255"/>
        <v/>
      </c>
      <c r="AC489" s="2" t="str">
        <f t="shared" si="239"/>
        <v/>
      </c>
      <c r="AD489" s="2" t="str">
        <f t="shared" si="240"/>
        <v/>
      </c>
      <c r="AE489" s="2" t="str">
        <f t="shared" si="241"/>
        <v/>
      </c>
      <c r="AF489" s="2" t="str">
        <f t="shared" si="242"/>
        <v/>
      </c>
    </row>
    <row r="490" spans="1:32" x14ac:dyDescent="0.2">
      <c r="A490" s="2" t="str">
        <f t="shared" si="243"/>
        <v/>
      </c>
      <c r="B490" s="2" t="str">
        <f t="shared" si="224"/>
        <v/>
      </c>
      <c r="C490" s="2" t="str">
        <f t="shared" si="225"/>
        <v/>
      </c>
      <c r="D490" s="2" t="str">
        <f t="shared" si="226"/>
        <v/>
      </c>
      <c r="E490" s="2" t="str">
        <f t="shared" si="227"/>
        <v/>
      </c>
      <c r="F490" s="2" t="str">
        <f t="shared" si="228"/>
        <v/>
      </c>
      <c r="G490" s="2" t="str">
        <f t="shared" si="229"/>
        <v/>
      </c>
      <c r="H490" s="2" t="str">
        <f t="shared" si="244"/>
        <v/>
      </c>
      <c r="I490" s="2" t="str">
        <f t="shared" si="245"/>
        <v/>
      </c>
      <c r="J490" s="2" t="str">
        <f t="shared" si="246"/>
        <v/>
      </c>
      <c r="K490" s="2" t="str">
        <f t="shared" si="230"/>
        <v/>
      </c>
      <c r="L490" s="2" t="str">
        <f t="shared" si="231"/>
        <v/>
      </c>
      <c r="M490" s="2" t="str">
        <f t="shared" si="232"/>
        <v/>
      </c>
      <c r="N490" s="2" t="str">
        <f t="shared" si="247"/>
        <v/>
      </c>
      <c r="O490" s="2" t="str">
        <f t="shared" si="248"/>
        <v/>
      </c>
      <c r="P490" s="2" t="str">
        <f t="shared" si="249"/>
        <v/>
      </c>
      <c r="Q490" s="2" t="str">
        <f t="shared" si="233"/>
        <v/>
      </c>
      <c r="R490" s="2" t="str">
        <f t="shared" si="234"/>
        <v/>
      </c>
      <c r="S490" s="2" t="str">
        <f t="shared" si="235"/>
        <v/>
      </c>
      <c r="T490" s="2" t="str">
        <f t="shared" si="250"/>
        <v/>
      </c>
      <c r="U490" s="2" t="str">
        <f t="shared" si="251"/>
        <v/>
      </c>
      <c r="V490" s="2" t="str">
        <f t="shared" si="252"/>
        <v/>
      </c>
      <c r="W490" s="2" t="str">
        <f t="shared" si="236"/>
        <v/>
      </c>
      <c r="X490" s="2" t="str">
        <f t="shared" si="237"/>
        <v/>
      </c>
      <c r="Y490" s="2" t="str">
        <f t="shared" si="238"/>
        <v/>
      </c>
      <c r="Z490" s="2" t="str">
        <f t="shared" si="253"/>
        <v/>
      </c>
      <c r="AA490" s="2" t="str">
        <f t="shared" si="254"/>
        <v/>
      </c>
      <c r="AB490" s="2" t="str">
        <f t="shared" si="255"/>
        <v/>
      </c>
      <c r="AC490" s="2" t="str">
        <f t="shared" si="239"/>
        <v/>
      </c>
      <c r="AD490" s="2" t="str">
        <f t="shared" si="240"/>
        <v/>
      </c>
      <c r="AE490" s="2" t="str">
        <f t="shared" si="241"/>
        <v/>
      </c>
      <c r="AF490" s="2" t="str">
        <f t="shared" si="242"/>
        <v/>
      </c>
    </row>
    <row r="491" spans="1:32" x14ac:dyDescent="0.2">
      <c r="A491" s="2" t="str">
        <f t="shared" si="243"/>
        <v/>
      </c>
      <c r="B491" s="2" t="str">
        <f t="shared" si="224"/>
        <v/>
      </c>
      <c r="C491" s="2" t="str">
        <f t="shared" si="225"/>
        <v/>
      </c>
      <c r="D491" s="2" t="str">
        <f t="shared" si="226"/>
        <v/>
      </c>
      <c r="E491" s="2" t="str">
        <f t="shared" si="227"/>
        <v/>
      </c>
      <c r="F491" s="2" t="str">
        <f t="shared" si="228"/>
        <v/>
      </c>
      <c r="G491" s="2" t="str">
        <f t="shared" si="229"/>
        <v/>
      </c>
      <c r="H491" s="2" t="str">
        <f t="shared" si="244"/>
        <v/>
      </c>
      <c r="I491" s="2" t="str">
        <f t="shared" si="245"/>
        <v/>
      </c>
      <c r="J491" s="2" t="str">
        <f t="shared" si="246"/>
        <v/>
      </c>
      <c r="K491" s="2" t="str">
        <f t="shared" si="230"/>
        <v/>
      </c>
      <c r="L491" s="2" t="str">
        <f t="shared" si="231"/>
        <v/>
      </c>
      <c r="M491" s="2" t="str">
        <f t="shared" si="232"/>
        <v/>
      </c>
      <c r="N491" s="2" t="str">
        <f t="shared" si="247"/>
        <v/>
      </c>
      <c r="O491" s="2" t="str">
        <f t="shared" si="248"/>
        <v/>
      </c>
      <c r="P491" s="2" t="str">
        <f t="shared" si="249"/>
        <v/>
      </c>
      <c r="Q491" s="2" t="str">
        <f t="shared" si="233"/>
        <v/>
      </c>
      <c r="R491" s="2" t="str">
        <f t="shared" si="234"/>
        <v/>
      </c>
      <c r="S491" s="2" t="str">
        <f t="shared" si="235"/>
        <v/>
      </c>
      <c r="T491" s="2" t="str">
        <f t="shared" si="250"/>
        <v/>
      </c>
      <c r="U491" s="2" t="str">
        <f t="shared" si="251"/>
        <v/>
      </c>
      <c r="V491" s="2" t="str">
        <f t="shared" si="252"/>
        <v/>
      </c>
      <c r="W491" s="2" t="str">
        <f t="shared" si="236"/>
        <v/>
      </c>
      <c r="X491" s="2" t="str">
        <f t="shared" si="237"/>
        <v/>
      </c>
      <c r="Y491" s="2" t="str">
        <f t="shared" si="238"/>
        <v/>
      </c>
      <c r="Z491" s="2" t="str">
        <f t="shared" si="253"/>
        <v/>
      </c>
      <c r="AA491" s="2" t="str">
        <f t="shared" si="254"/>
        <v/>
      </c>
      <c r="AB491" s="2" t="str">
        <f t="shared" si="255"/>
        <v/>
      </c>
      <c r="AC491" s="2" t="str">
        <f t="shared" si="239"/>
        <v/>
      </c>
      <c r="AD491" s="2" t="str">
        <f t="shared" si="240"/>
        <v/>
      </c>
      <c r="AE491" s="2" t="str">
        <f t="shared" si="241"/>
        <v/>
      </c>
      <c r="AF491" s="2" t="str">
        <f t="shared" si="242"/>
        <v/>
      </c>
    </row>
    <row r="492" spans="1:32" x14ac:dyDescent="0.2">
      <c r="A492" s="2" t="str">
        <f t="shared" si="243"/>
        <v/>
      </c>
      <c r="B492" s="2" t="str">
        <f t="shared" si="224"/>
        <v/>
      </c>
      <c r="C492" s="2" t="str">
        <f t="shared" si="225"/>
        <v/>
      </c>
      <c r="D492" s="2" t="str">
        <f t="shared" si="226"/>
        <v/>
      </c>
      <c r="E492" s="2" t="str">
        <f t="shared" si="227"/>
        <v/>
      </c>
      <c r="F492" s="2" t="str">
        <f t="shared" si="228"/>
        <v/>
      </c>
      <c r="G492" s="2" t="str">
        <f t="shared" si="229"/>
        <v/>
      </c>
      <c r="H492" s="2" t="str">
        <f t="shared" si="244"/>
        <v/>
      </c>
      <c r="I492" s="2" t="str">
        <f t="shared" si="245"/>
        <v/>
      </c>
      <c r="J492" s="2" t="str">
        <f t="shared" si="246"/>
        <v/>
      </c>
      <c r="K492" s="2" t="str">
        <f t="shared" si="230"/>
        <v/>
      </c>
      <c r="L492" s="2" t="str">
        <f t="shared" si="231"/>
        <v/>
      </c>
      <c r="M492" s="2" t="str">
        <f t="shared" si="232"/>
        <v/>
      </c>
      <c r="N492" s="2" t="str">
        <f t="shared" si="247"/>
        <v/>
      </c>
      <c r="O492" s="2" t="str">
        <f t="shared" si="248"/>
        <v/>
      </c>
      <c r="P492" s="2" t="str">
        <f t="shared" si="249"/>
        <v/>
      </c>
      <c r="Q492" s="2" t="str">
        <f t="shared" si="233"/>
        <v/>
      </c>
      <c r="R492" s="2" t="str">
        <f t="shared" si="234"/>
        <v/>
      </c>
      <c r="S492" s="2" t="str">
        <f t="shared" si="235"/>
        <v/>
      </c>
      <c r="T492" s="2" t="str">
        <f t="shared" si="250"/>
        <v/>
      </c>
      <c r="U492" s="2" t="str">
        <f t="shared" si="251"/>
        <v/>
      </c>
      <c r="V492" s="2" t="str">
        <f t="shared" si="252"/>
        <v/>
      </c>
      <c r="W492" s="2" t="str">
        <f t="shared" si="236"/>
        <v/>
      </c>
      <c r="X492" s="2" t="str">
        <f t="shared" si="237"/>
        <v/>
      </c>
      <c r="Y492" s="2" t="str">
        <f t="shared" si="238"/>
        <v/>
      </c>
      <c r="Z492" s="2" t="str">
        <f t="shared" si="253"/>
        <v/>
      </c>
      <c r="AA492" s="2" t="str">
        <f t="shared" si="254"/>
        <v/>
      </c>
      <c r="AB492" s="2" t="str">
        <f t="shared" si="255"/>
        <v/>
      </c>
      <c r="AC492" s="2" t="str">
        <f t="shared" si="239"/>
        <v/>
      </c>
      <c r="AD492" s="2" t="str">
        <f t="shared" si="240"/>
        <v/>
      </c>
      <c r="AE492" s="2" t="str">
        <f t="shared" si="241"/>
        <v/>
      </c>
      <c r="AF492" s="2" t="str">
        <f t="shared" si="242"/>
        <v/>
      </c>
    </row>
    <row r="493" spans="1:32" x14ac:dyDescent="0.2">
      <c r="A493" s="2" t="str">
        <f t="shared" si="243"/>
        <v/>
      </c>
      <c r="B493" s="2" t="str">
        <f t="shared" si="224"/>
        <v/>
      </c>
      <c r="C493" s="2" t="str">
        <f t="shared" si="225"/>
        <v/>
      </c>
      <c r="D493" s="2" t="str">
        <f t="shared" si="226"/>
        <v/>
      </c>
      <c r="E493" s="2" t="str">
        <f t="shared" si="227"/>
        <v/>
      </c>
      <c r="F493" s="2" t="str">
        <f t="shared" si="228"/>
        <v/>
      </c>
      <c r="G493" s="2" t="str">
        <f t="shared" si="229"/>
        <v/>
      </c>
      <c r="H493" s="2" t="str">
        <f t="shared" si="244"/>
        <v/>
      </c>
      <c r="I493" s="2" t="str">
        <f t="shared" si="245"/>
        <v/>
      </c>
      <c r="J493" s="2" t="str">
        <f t="shared" si="246"/>
        <v/>
      </c>
      <c r="K493" s="2" t="str">
        <f t="shared" si="230"/>
        <v/>
      </c>
      <c r="L493" s="2" t="str">
        <f t="shared" si="231"/>
        <v/>
      </c>
      <c r="M493" s="2" t="str">
        <f t="shared" si="232"/>
        <v/>
      </c>
      <c r="N493" s="2" t="str">
        <f t="shared" si="247"/>
        <v/>
      </c>
      <c r="O493" s="2" t="str">
        <f t="shared" si="248"/>
        <v/>
      </c>
      <c r="P493" s="2" t="str">
        <f t="shared" si="249"/>
        <v/>
      </c>
      <c r="Q493" s="2" t="str">
        <f t="shared" si="233"/>
        <v/>
      </c>
      <c r="R493" s="2" t="str">
        <f t="shared" si="234"/>
        <v/>
      </c>
      <c r="S493" s="2" t="str">
        <f t="shared" si="235"/>
        <v/>
      </c>
      <c r="T493" s="2" t="str">
        <f t="shared" si="250"/>
        <v/>
      </c>
      <c r="U493" s="2" t="str">
        <f t="shared" si="251"/>
        <v/>
      </c>
      <c r="V493" s="2" t="str">
        <f t="shared" si="252"/>
        <v/>
      </c>
      <c r="W493" s="2" t="str">
        <f t="shared" si="236"/>
        <v/>
      </c>
      <c r="X493" s="2" t="str">
        <f t="shared" si="237"/>
        <v/>
      </c>
      <c r="Y493" s="2" t="str">
        <f t="shared" si="238"/>
        <v/>
      </c>
      <c r="Z493" s="2" t="str">
        <f t="shared" si="253"/>
        <v/>
      </c>
      <c r="AA493" s="2" t="str">
        <f t="shared" si="254"/>
        <v/>
      </c>
      <c r="AB493" s="2" t="str">
        <f t="shared" si="255"/>
        <v/>
      </c>
      <c r="AC493" s="2" t="str">
        <f t="shared" si="239"/>
        <v/>
      </c>
      <c r="AD493" s="2" t="str">
        <f t="shared" si="240"/>
        <v/>
      </c>
      <c r="AE493" s="2" t="str">
        <f t="shared" si="241"/>
        <v/>
      </c>
      <c r="AF493" s="2" t="str">
        <f t="shared" si="242"/>
        <v/>
      </c>
    </row>
    <row r="494" spans="1:32" x14ac:dyDescent="0.2">
      <c r="A494" s="2" t="str">
        <f t="shared" si="243"/>
        <v/>
      </c>
      <c r="B494" s="2" t="str">
        <f t="shared" si="224"/>
        <v/>
      </c>
      <c r="C494" s="2" t="str">
        <f t="shared" si="225"/>
        <v/>
      </c>
      <c r="D494" s="2" t="str">
        <f t="shared" si="226"/>
        <v/>
      </c>
      <c r="E494" s="2" t="str">
        <f t="shared" si="227"/>
        <v/>
      </c>
      <c r="F494" s="2" t="str">
        <f t="shared" si="228"/>
        <v/>
      </c>
      <c r="G494" s="2" t="str">
        <f t="shared" si="229"/>
        <v/>
      </c>
      <c r="H494" s="2" t="str">
        <f t="shared" si="244"/>
        <v/>
      </c>
      <c r="I494" s="2" t="str">
        <f t="shared" si="245"/>
        <v/>
      </c>
      <c r="J494" s="2" t="str">
        <f t="shared" si="246"/>
        <v/>
      </c>
      <c r="K494" s="2" t="str">
        <f t="shared" si="230"/>
        <v/>
      </c>
      <c r="L494" s="2" t="str">
        <f t="shared" si="231"/>
        <v/>
      </c>
      <c r="M494" s="2" t="str">
        <f t="shared" si="232"/>
        <v/>
      </c>
      <c r="N494" s="2" t="str">
        <f t="shared" si="247"/>
        <v/>
      </c>
      <c r="O494" s="2" t="str">
        <f t="shared" si="248"/>
        <v/>
      </c>
      <c r="P494" s="2" t="str">
        <f t="shared" si="249"/>
        <v/>
      </c>
      <c r="Q494" s="2" t="str">
        <f t="shared" si="233"/>
        <v/>
      </c>
      <c r="R494" s="2" t="str">
        <f t="shared" si="234"/>
        <v/>
      </c>
      <c r="S494" s="2" t="str">
        <f t="shared" si="235"/>
        <v/>
      </c>
      <c r="T494" s="2" t="str">
        <f t="shared" si="250"/>
        <v/>
      </c>
      <c r="U494" s="2" t="str">
        <f t="shared" si="251"/>
        <v/>
      </c>
      <c r="V494" s="2" t="str">
        <f t="shared" si="252"/>
        <v/>
      </c>
      <c r="W494" s="2" t="str">
        <f t="shared" si="236"/>
        <v/>
      </c>
      <c r="X494" s="2" t="str">
        <f t="shared" si="237"/>
        <v/>
      </c>
      <c r="Y494" s="2" t="str">
        <f t="shared" si="238"/>
        <v/>
      </c>
      <c r="Z494" s="2" t="str">
        <f t="shared" si="253"/>
        <v/>
      </c>
      <c r="AA494" s="2" t="str">
        <f t="shared" si="254"/>
        <v/>
      </c>
      <c r="AB494" s="2" t="str">
        <f t="shared" si="255"/>
        <v/>
      </c>
      <c r="AC494" s="2" t="str">
        <f t="shared" si="239"/>
        <v/>
      </c>
      <c r="AD494" s="2" t="str">
        <f t="shared" si="240"/>
        <v/>
      </c>
      <c r="AE494" s="2" t="str">
        <f t="shared" si="241"/>
        <v/>
      </c>
      <c r="AF494" s="2" t="str">
        <f t="shared" si="242"/>
        <v/>
      </c>
    </row>
    <row r="495" spans="1:32" x14ac:dyDescent="0.2">
      <c r="A495" s="2" t="str">
        <f t="shared" si="243"/>
        <v/>
      </c>
      <c r="B495" s="2" t="str">
        <f t="shared" si="224"/>
        <v/>
      </c>
      <c r="C495" s="2" t="str">
        <f t="shared" si="225"/>
        <v/>
      </c>
      <c r="D495" s="2" t="str">
        <f t="shared" si="226"/>
        <v/>
      </c>
      <c r="E495" s="2" t="str">
        <f t="shared" si="227"/>
        <v/>
      </c>
      <c r="F495" s="2" t="str">
        <f t="shared" si="228"/>
        <v/>
      </c>
      <c r="G495" s="2" t="str">
        <f t="shared" si="229"/>
        <v/>
      </c>
      <c r="H495" s="2" t="str">
        <f t="shared" si="244"/>
        <v/>
      </c>
      <c r="I495" s="2" t="str">
        <f t="shared" si="245"/>
        <v/>
      </c>
      <c r="J495" s="2" t="str">
        <f t="shared" si="246"/>
        <v/>
      </c>
      <c r="K495" s="2" t="str">
        <f t="shared" si="230"/>
        <v/>
      </c>
      <c r="L495" s="2" t="str">
        <f t="shared" si="231"/>
        <v/>
      </c>
      <c r="M495" s="2" t="str">
        <f t="shared" si="232"/>
        <v/>
      </c>
      <c r="N495" s="2" t="str">
        <f t="shared" si="247"/>
        <v/>
      </c>
      <c r="O495" s="2" t="str">
        <f t="shared" si="248"/>
        <v/>
      </c>
      <c r="P495" s="2" t="str">
        <f t="shared" si="249"/>
        <v/>
      </c>
      <c r="Q495" s="2" t="str">
        <f t="shared" si="233"/>
        <v/>
      </c>
      <c r="R495" s="2" t="str">
        <f t="shared" si="234"/>
        <v/>
      </c>
      <c r="S495" s="2" t="str">
        <f t="shared" si="235"/>
        <v/>
      </c>
      <c r="T495" s="2" t="str">
        <f t="shared" si="250"/>
        <v/>
      </c>
      <c r="U495" s="2" t="str">
        <f t="shared" si="251"/>
        <v/>
      </c>
      <c r="V495" s="2" t="str">
        <f t="shared" si="252"/>
        <v/>
      </c>
      <c r="W495" s="2" t="str">
        <f t="shared" si="236"/>
        <v/>
      </c>
      <c r="X495" s="2" t="str">
        <f t="shared" si="237"/>
        <v/>
      </c>
      <c r="Y495" s="2" t="str">
        <f t="shared" si="238"/>
        <v/>
      </c>
      <c r="Z495" s="2" t="str">
        <f t="shared" si="253"/>
        <v/>
      </c>
      <c r="AA495" s="2" t="str">
        <f t="shared" si="254"/>
        <v/>
      </c>
      <c r="AB495" s="2" t="str">
        <f t="shared" si="255"/>
        <v/>
      </c>
      <c r="AC495" s="2" t="str">
        <f t="shared" si="239"/>
        <v/>
      </c>
      <c r="AD495" s="2" t="str">
        <f t="shared" si="240"/>
        <v/>
      </c>
      <c r="AE495" s="2" t="str">
        <f t="shared" si="241"/>
        <v/>
      </c>
      <c r="AF495" s="2" t="str">
        <f t="shared" si="242"/>
        <v/>
      </c>
    </row>
    <row r="496" spans="1:32" x14ac:dyDescent="0.2">
      <c r="A496" s="2" t="str">
        <f t="shared" si="243"/>
        <v/>
      </c>
      <c r="B496" s="2" t="str">
        <f t="shared" si="224"/>
        <v/>
      </c>
      <c r="C496" s="2" t="str">
        <f t="shared" si="225"/>
        <v/>
      </c>
      <c r="D496" s="2" t="str">
        <f t="shared" si="226"/>
        <v/>
      </c>
      <c r="E496" s="2" t="str">
        <f t="shared" si="227"/>
        <v/>
      </c>
      <c r="F496" s="2" t="str">
        <f t="shared" si="228"/>
        <v/>
      </c>
      <c r="G496" s="2" t="str">
        <f t="shared" si="229"/>
        <v/>
      </c>
      <c r="H496" s="2" t="str">
        <f t="shared" si="244"/>
        <v/>
      </c>
      <c r="I496" s="2" t="str">
        <f t="shared" si="245"/>
        <v/>
      </c>
      <c r="J496" s="2" t="str">
        <f t="shared" si="246"/>
        <v/>
      </c>
      <c r="K496" s="2" t="str">
        <f t="shared" si="230"/>
        <v/>
      </c>
      <c r="L496" s="2" t="str">
        <f t="shared" si="231"/>
        <v/>
      </c>
      <c r="M496" s="2" t="str">
        <f t="shared" si="232"/>
        <v/>
      </c>
      <c r="N496" s="2" t="str">
        <f t="shared" si="247"/>
        <v/>
      </c>
      <c r="O496" s="2" t="str">
        <f t="shared" si="248"/>
        <v/>
      </c>
      <c r="P496" s="2" t="str">
        <f t="shared" si="249"/>
        <v/>
      </c>
      <c r="Q496" s="2" t="str">
        <f t="shared" si="233"/>
        <v/>
      </c>
      <c r="R496" s="2" t="str">
        <f t="shared" si="234"/>
        <v/>
      </c>
      <c r="S496" s="2" t="str">
        <f t="shared" si="235"/>
        <v/>
      </c>
      <c r="T496" s="2" t="str">
        <f t="shared" si="250"/>
        <v/>
      </c>
      <c r="U496" s="2" t="str">
        <f t="shared" si="251"/>
        <v/>
      </c>
      <c r="V496" s="2" t="str">
        <f t="shared" si="252"/>
        <v/>
      </c>
      <c r="W496" s="2" t="str">
        <f t="shared" si="236"/>
        <v/>
      </c>
      <c r="X496" s="2" t="str">
        <f t="shared" si="237"/>
        <v/>
      </c>
      <c r="Y496" s="2" t="str">
        <f t="shared" si="238"/>
        <v/>
      </c>
      <c r="Z496" s="2" t="str">
        <f t="shared" si="253"/>
        <v/>
      </c>
      <c r="AA496" s="2" t="str">
        <f t="shared" si="254"/>
        <v/>
      </c>
      <c r="AB496" s="2" t="str">
        <f t="shared" si="255"/>
        <v/>
      </c>
      <c r="AC496" s="2" t="str">
        <f t="shared" si="239"/>
        <v/>
      </c>
      <c r="AD496" s="2" t="str">
        <f t="shared" si="240"/>
        <v/>
      </c>
      <c r="AE496" s="2" t="str">
        <f t="shared" si="241"/>
        <v/>
      </c>
      <c r="AF496" s="2" t="str">
        <f t="shared" si="242"/>
        <v/>
      </c>
    </row>
    <row r="497" spans="1:32" x14ac:dyDescent="0.2">
      <c r="A497" s="2" t="str">
        <f t="shared" si="243"/>
        <v/>
      </c>
      <c r="B497" s="2" t="str">
        <f t="shared" si="224"/>
        <v/>
      </c>
      <c r="C497" s="2" t="str">
        <f t="shared" si="225"/>
        <v/>
      </c>
      <c r="D497" s="2" t="str">
        <f t="shared" si="226"/>
        <v/>
      </c>
      <c r="E497" s="2" t="str">
        <f t="shared" si="227"/>
        <v/>
      </c>
      <c r="F497" s="2" t="str">
        <f t="shared" si="228"/>
        <v/>
      </c>
      <c r="G497" s="2" t="str">
        <f t="shared" si="229"/>
        <v/>
      </c>
      <c r="H497" s="2" t="str">
        <f t="shared" si="244"/>
        <v/>
      </c>
      <c r="I497" s="2" t="str">
        <f t="shared" si="245"/>
        <v/>
      </c>
      <c r="J497" s="2" t="str">
        <f t="shared" si="246"/>
        <v/>
      </c>
      <c r="K497" s="2" t="str">
        <f t="shared" si="230"/>
        <v/>
      </c>
      <c r="L497" s="2" t="str">
        <f t="shared" si="231"/>
        <v/>
      </c>
      <c r="M497" s="2" t="str">
        <f t="shared" si="232"/>
        <v/>
      </c>
      <c r="N497" s="2" t="str">
        <f t="shared" si="247"/>
        <v/>
      </c>
      <c r="O497" s="2" t="str">
        <f t="shared" si="248"/>
        <v/>
      </c>
      <c r="P497" s="2" t="str">
        <f t="shared" si="249"/>
        <v/>
      </c>
      <c r="Q497" s="2" t="str">
        <f t="shared" si="233"/>
        <v/>
      </c>
      <c r="R497" s="2" t="str">
        <f t="shared" si="234"/>
        <v/>
      </c>
      <c r="S497" s="2" t="str">
        <f t="shared" si="235"/>
        <v/>
      </c>
      <c r="T497" s="2" t="str">
        <f t="shared" si="250"/>
        <v/>
      </c>
      <c r="U497" s="2" t="str">
        <f t="shared" si="251"/>
        <v/>
      </c>
      <c r="V497" s="2" t="str">
        <f t="shared" si="252"/>
        <v/>
      </c>
      <c r="W497" s="2" t="str">
        <f t="shared" si="236"/>
        <v/>
      </c>
      <c r="X497" s="2" t="str">
        <f t="shared" si="237"/>
        <v/>
      </c>
      <c r="Y497" s="2" t="str">
        <f t="shared" si="238"/>
        <v/>
      </c>
      <c r="Z497" s="2" t="str">
        <f t="shared" si="253"/>
        <v/>
      </c>
      <c r="AA497" s="2" t="str">
        <f t="shared" si="254"/>
        <v/>
      </c>
      <c r="AB497" s="2" t="str">
        <f t="shared" si="255"/>
        <v/>
      </c>
      <c r="AC497" s="2" t="str">
        <f t="shared" si="239"/>
        <v/>
      </c>
      <c r="AD497" s="2" t="str">
        <f t="shared" si="240"/>
        <v/>
      </c>
      <c r="AE497" s="2" t="str">
        <f t="shared" si="241"/>
        <v/>
      </c>
      <c r="AF497" s="2" t="str">
        <f t="shared" si="242"/>
        <v/>
      </c>
    </row>
    <row r="498" spans="1:32" x14ac:dyDescent="0.2">
      <c r="A498" s="2" t="str">
        <f t="shared" si="243"/>
        <v/>
      </c>
      <c r="B498" s="2" t="str">
        <f t="shared" si="224"/>
        <v/>
      </c>
      <c r="C498" s="2" t="str">
        <f t="shared" si="225"/>
        <v/>
      </c>
      <c r="D498" s="2" t="str">
        <f t="shared" si="226"/>
        <v/>
      </c>
      <c r="E498" s="2" t="str">
        <f t="shared" si="227"/>
        <v/>
      </c>
      <c r="F498" s="2" t="str">
        <f t="shared" si="228"/>
        <v/>
      </c>
      <c r="G498" s="2" t="str">
        <f t="shared" si="229"/>
        <v/>
      </c>
      <c r="H498" s="2" t="str">
        <f t="shared" si="244"/>
        <v/>
      </c>
      <c r="I498" s="2" t="str">
        <f t="shared" si="245"/>
        <v/>
      </c>
      <c r="J498" s="2" t="str">
        <f t="shared" si="246"/>
        <v/>
      </c>
      <c r="K498" s="2" t="str">
        <f t="shared" si="230"/>
        <v/>
      </c>
      <c r="L498" s="2" t="str">
        <f t="shared" si="231"/>
        <v/>
      </c>
      <c r="M498" s="2" t="str">
        <f t="shared" si="232"/>
        <v/>
      </c>
      <c r="N498" s="2" t="str">
        <f t="shared" si="247"/>
        <v/>
      </c>
      <c r="O498" s="2" t="str">
        <f t="shared" si="248"/>
        <v/>
      </c>
      <c r="P498" s="2" t="str">
        <f t="shared" si="249"/>
        <v/>
      </c>
      <c r="Q498" s="2" t="str">
        <f t="shared" si="233"/>
        <v/>
      </c>
      <c r="R498" s="2" t="str">
        <f t="shared" si="234"/>
        <v/>
      </c>
      <c r="S498" s="2" t="str">
        <f t="shared" si="235"/>
        <v/>
      </c>
      <c r="T498" s="2" t="str">
        <f t="shared" si="250"/>
        <v/>
      </c>
      <c r="U498" s="2" t="str">
        <f t="shared" si="251"/>
        <v/>
      </c>
      <c r="V498" s="2" t="str">
        <f t="shared" si="252"/>
        <v/>
      </c>
      <c r="W498" s="2" t="str">
        <f t="shared" si="236"/>
        <v/>
      </c>
      <c r="X498" s="2" t="str">
        <f t="shared" si="237"/>
        <v/>
      </c>
      <c r="Y498" s="2" t="str">
        <f t="shared" si="238"/>
        <v/>
      </c>
      <c r="Z498" s="2" t="str">
        <f t="shared" si="253"/>
        <v/>
      </c>
      <c r="AA498" s="2" t="str">
        <f t="shared" si="254"/>
        <v/>
      </c>
      <c r="AB498" s="2" t="str">
        <f t="shared" si="255"/>
        <v/>
      </c>
      <c r="AC498" s="2" t="str">
        <f t="shared" si="239"/>
        <v/>
      </c>
      <c r="AD498" s="2" t="str">
        <f t="shared" si="240"/>
        <v/>
      </c>
      <c r="AE498" s="2" t="str">
        <f t="shared" si="241"/>
        <v/>
      </c>
      <c r="AF498" s="2" t="str">
        <f t="shared" si="242"/>
        <v/>
      </c>
    </row>
    <row r="499" spans="1:32" x14ac:dyDescent="0.2">
      <c r="A499" s="2" t="str">
        <f t="shared" si="243"/>
        <v/>
      </c>
      <c r="B499" s="2" t="str">
        <f t="shared" si="224"/>
        <v/>
      </c>
      <c r="C499" s="2" t="str">
        <f t="shared" si="225"/>
        <v/>
      </c>
      <c r="D499" s="2" t="str">
        <f t="shared" si="226"/>
        <v/>
      </c>
      <c r="E499" s="2" t="str">
        <f t="shared" si="227"/>
        <v/>
      </c>
      <c r="F499" s="2" t="str">
        <f t="shared" si="228"/>
        <v/>
      </c>
      <c r="G499" s="2" t="str">
        <f t="shared" si="229"/>
        <v/>
      </c>
      <c r="H499" s="2" t="str">
        <f t="shared" si="244"/>
        <v/>
      </c>
      <c r="I499" s="2" t="str">
        <f t="shared" si="245"/>
        <v/>
      </c>
      <c r="J499" s="2" t="str">
        <f t="shared" si="246"/>
        <v/>
      </c>
      <c r="K499" s="2" t="str">
        <f t="shared" si="230"/>
        <v/>
      </c>
      <c r="L499" s="2" t="str">
        <f t="shared" si="231"/>
        <v/>
      </c>
      <c r="M499" s="2" t="str">
        <f t="shared" si="232"/>
        <v/>
      </c>
      <c r="N499" s="2" t="str">
        <f t="shared" si="247"/>
        <v/>
      </c>
      <c r="O499" s="2" t="str">
        <f t="shared" si="248"/>
        <v/>
      </c>
      <c r="P499" s="2" t="str">
        <f t="shared" si="249"/>
        <v/>
      </c>
      <c r="Q499" s="2" t="str">
        <f t="shared" si="233"/>
        <v/>
      </c>
      <c r="R499" s="2" t="str">
        <f t="shared" si="234"/>
        <v/>
      </c>
      <c r="S499" s="2" t="str">
        <f t="shared" si="235"/>
        <v/>
      </c>
      <c r="T499" s="2" t="str">
        <f t="shared" si="250"/>
        <v/>
      </c>
      <c r="U499" s="2" t="str">
        <f t="shared" si="251"/>
        <v/>
      </c>
      <c r="V499" s="2" t="str">
        <f t="shared" si="252"/>
        <v/>
      </c>
      <c r="W499" s="2" t="str">
        <f t="shared" si="236"/>
        <v/>
      </c>
      <c r="X499" s="2" t="str">
        <f t="shared" si="237"/>
        <v/>
      </c>
      <c r="Y499" s="2" t="str">
        <f t="shared" si="238"/>
        <v/>
      </c>
      <c r="Z499" s="2" t="str">
        <f t="shared" si="253"/>
        <v/>
      </c>
      <c r="AA499" s="2" t="str">
        <f t="shared" si="254"/>
        <v/>
      </c>
      <c r="AB499" s="2" t="str">
        <f t="shared" si="255"/>
        <v/>
      </c>
      <c r="AC499" s="2" t="str">
        <f t="shared" si="239"/>
        <v/>
      </c>
      <c r="AD499" s="2" t="str">
        <f t="shared" si="240"/>
        <v/>
      </c>
      <c r="AE499" s="2" t="str">
        <f t="shared" si="241"/>
        <v/>
      </c>
      <c r="AF499" s="2" t="str">
        <f t="shared" si="242"/>
        <v/>
      </c>
    </row>
    <row r="500" spans="1:32" x14ac:dyDescent="0.2">
      <c r="A500" s="2" t="str">
        <f t="shared" si="243"/>
        <v/>
      </c>
      <c r="B500" s="2" t="str">
        <f t="shared" si="224"/>
        <v/>
      </c>
      <c r="C500" s="2" t="str">
        <f t="shared" si="225"/>
        <v/>
      </c>
      <c r="D500" s="2" t="str">
        <f t="shared" si="226"/>
        <v/>
      </c>
      <c r="E500" s="2" t="str">
        <f t="shared" si="227"/>
        <v/>
      </c>
      <c r="F500" s="2" t="str">
        <f t="shared" si="228"/>
        <v/>
      </c>
      <c r="G500" s="2" t="str">
        <f t="shared" si="229"/>
        <v/>
      </c>
      <c r="H500" s="2" t="str">
        <f t="shared" si="244"/>
        <v/>
      </c>
      <c r="I500" s="2" t="str">
        <f t="shared" si="245"/>
        <v/>
      </c>
      <c r="J500" s="2" t="str">
        <f t="shared" si="246"/>
        <v/>
      </c>
      <c r="K500" s="2" t="str">
        <f t="shared" si="230"/>
        <v/>
      </c>
      <c r="L500" s="2" t="str">
        <f t="shared" si="231"/>
        <v/>
      </c>
      <c r="M500" s="2" t="str">
        <f t="shared" si="232"/>
        <v/>
      </c>
      <c r="N500" s="2" t="str">
        <f t="shared" si="247"/>
        <v/>
      </c>
      <c r="O500" s="2" t="str">
        <f t="shared" si="248"/>
        <v/>
      </c>
      <c r="P500" s="2" t="str">
        <f t="shared" si="249"/>
        <v/>
      </c>
      <c r="Q500" s="2" t="str">
        <f t="shared" si="233"/>
        <v/>
      </c>
      <c r="R500" s="2" t="str">
        <f t="shared" si="234"/>
        <v/>
      </c>
      <c r="S500" s="2" t="str">
        <f t="shared" si="235"/>
        <v/>
      </c>
      <c r="T500" s="2" t="str">
        <f t="shared" si="250"/>
        <v/>
      </c>
      <c r="U500" s="2" t="str">
        <f t="shared" si="251"/>
        <v/>
      </c>
      <c r="V500" s="2" t="str">
        <f t="shared" si="252"/>
        <v/>
      </c>
      <c r="W500" s="2" t="str">
        <f t="shared" si="236"/>
        <v/>
      </c>
      <c r="X500" s="2" t="str">
        <f t="shared" si="237"/>
        <v/>
      </c>
      <c r="Y500" s="2" t="str">
        <f t="shared" si="238"/>
        <v/>
      </c>
      <c r="Z500" s="2" t="str">
        <f t="shared" si="253"/>
        <v/>
      </c>
      <c r="AA500" s="2" t="str">
        <f t="shared" si="254"/>
        <v/>
      </c>
      <c r="AB500" s="2" t="str">
        <f t="shared" si="255"/>
        <v/>
      </c>
      <c r="AC500" s="2" t="str">
        <f t="shared" si="239"/>
        <v/>
      </c>
      <c r="AD500" s="2" t="str">
        <f t="shared" si="240"/>
        <v/>
      </c>
      <c r="AE500" s="2" t="str">
        <f t="shared" si="241"/>
        <v/>
      </c>
      <c r="AF500" s="2" t="str">
        <f t="shared" si="242"/>
        <v/>
      </c>
    </row>
    <row r="501" spans="1:32" x14ac:dyDescent="0.2">
      <c r="A501" s="2" t="str">
        <f t="shared" si="243"/>
        <v/>
      </c>
      <c r="B501" s="2" t="str">
        <f t="shared" si="224"/>
        <v/>
      </c>
      <c r="C501" s="2" t="str">
        <f t="shared" si="225"/>
        <v/>
      </c>
      <c r="D501" s="2" t="str">
        <f t="shared" si="226"/>
        <v/>
      </c>
      <c r="E501" s="2" t="str">
        <f t="shared" si="227"/>
        <v/>
      </c>
      <c r="F501" s="2" t="str">
        <f t="shared" si="228"/>
        <v/>
      </c>
      <c r="G501" s="2" t="str">
        <f t="shared" si="229"/>
        <v/>
      </c>
      <c r="H501" s="2" t="str">
        <f t="shared" si="244"/>
        <v/>
      </c>
      <c r="I501" s="2" t="str">
        <f t="shared" si="245"/>
        <v/>
      </c>
      <c r="J501" s="2" t="str">
        <f t="shared" si="246"/>
        <v/>
      </c>
      <c r="K501" s="2" t="str">
        <f t="shared" si="230"/>
        <v/>
      </c>
      <c r="L501" s="2" t="str">
        <f t="shared" si="231"/>
        <v/>
      </c>
      <c r="M501" s="2" t="str">
        <f t="shared" si="232"/>
        <v/>
      </c>
      <c r="N501" s="2" t="str">
        <f t="shared" si="247"/>
        <v/>
      </c>
      <c r="O501" s="2" t="str">
        <f t="shared" si="248"/>
        <v/>
      </c>
      <c r="P501" s="2" t="str">
        <f t="shared" si="249"/>
        <v/>
      </c>
      <c r="Q501" s="2" t="str">
        <f t="shared" si="233"/>
        <v/>
      </c>
      <c r="R501" s="2" t="str">
        <f t="shared" si="234"/>
        <v/>
      </c>
      <c r="S501" s="2" t="str">
        <f t="shared" si="235"/>
        <v/>
      </c>
      <c r="T501" s="2" t="str">
        <f t="shared" si="250"/>
        <v/>
      </c>
      <c r="U501" s="2" t="str">
        <f t="shared" si="251"/>
        <v/>
      </c>
      <c r="V501" s="2" t="str">
        <f t="shared" si="252"/>
        <v/>
      </c>
      <c r="W501" s="2" t="str">
        <f t="shared" si="236"/>
        <v/>
      </c>
      <c r="X501" s="2" t="str">
        <f t="shared" si="237"/>
        <v/>
      </c>
      <c r="Y501" s="2" t="str">
        <f t="shared" si="238"/>
        <v/>
      </c>
      <c r="Z501" s="2" t="str">
        <f t="shared" si="253"/>
        <v/>
      </c>
      <c r="AA501" s="2" t="str">
        <f t="shared" si="254"/>
        <v/>
      </c>
      <c r="AB501" s="2" t="str">
        <f t="shared" si="255"/>
        <v/>
      </c>
      <c r="AC501" s="2" t="str">
        <f t="shared" si="239"/>
        <v/>
      </c>
      <c r="AD501" s="2" t="str">
        <f t="shared" si="240"/>
        <v/>
      </c>
      <c r="AE501" s="2" t="str">
        <f t="shared" si="241"/>
        <v/>
      </c>
      <c r="AF501" s="2" t="str">
        <f t="shared" si="242"/>
        <v/>
      </c>
    </row>
    <row r="502" spans="1:32" x14ac:dyDescent="0.2">
      <c r="A502" s="2" t="str">
        <f t="shared" si="243"/>
        <v/>
      </c>
      <c r="B502" s="2" t="str">
        <f t="shared" si="224"/>
        <v/>
      </c>
      <c r="C502" s="2" t="str">
        <f t="shared" si="225"/>
        <v/>
      </c>
      <c r="D502" s="2" t="str">
        <f t="shared" si="226"/>
        <v/>
      </c>
      <c r="E502" s="2" t="str">
        <f t="shared" si="227"/>
        <v/>
      </c>
      <c r="F502" s="2" t="str">
        <f t="shared" si="228"/>
        <v/>
      </c>
      <c r="G502" s="2" t="str">
        <f t="shared" si="229"/>
        <v/>
      </c>
      <c r="H502" s="2" t="str">
        <f t="shared" si="244"/>
        <v/>
      </c>
      <c r="I502" s="2" t="str">
        <f t="shared" si="245"/>
        <v/>
      </c>
      <c r="J502" s="2" t="str">
        <f t="shared" si="246"/>
        <v/>
      </c>
      <c r="K502" s="2" t="str">
        <f t="shared" si="230"/>
        <v/>
      </c>
      <c r="L502" s="2" t="str">
        <f t="shared" si="231"/>
        <v/>
      </c>
      <c r="M502" s="2" t="str">
        <f t="shared" si="232"/>
        <v/>
      </c>
      <c r="N502" s="2" t="str">
        <f t="shared" si="247"/>
        <v/>
      </c>
      <c r="O502" s="2" t="str">
        <f t="shared" si="248"/>
        <v/>
      </c>
      <c r="P502" s="2" t="str">
        <f t="shared" si="249"/>
        <v/>
      </c>
      <c r="Q502" s="2" t="str">
        <f t="shared" si="233"/>
        <v/>
      </c>
      <c r="R502" s="2" t="str">
        <f t="shared" si="234"/>
        <v/>
      </c>
      <c r="S502" s="2" t="str">
        <f t="shared" si="235"/>
        <v/>
      </c>
      <c r="T502" s="2" t="str">
        <f t="shared" si="250"/>
        <v/>
      </c>
      <c r="U502" s="2" t="str">
        <f t="shared" si="251"/>
        <v/>
      </c>
      <c r="V502" s="2" t="str">
        <f t="shared" si="252"/>
        <v/>
      </c>
      <c r="W502" s="2" t="str">
        <f t="shared" si="236"/>
        <v/>
      </c>
      <c r="X502" s="2" t="str">
        <f t="shared" si="237"/>
        <v/>
      </c>
      <c r="Y502" s="2" t="str">
        <f t="shared" si="238"/>
        <v/>
      </c>
      <c r="Z502" s="2" t="str">
        <f t="shared" si="253"/>
        <v/>
      </c>
      <c r="AA502" s="2" t="str">
        <f t="shared" si="254"/>
        <v/>
      </c>
      <c r="AB502" s="2" t="str">
        <f t="shared" si="255"/>
        <v/>
      </c>
      <c r="AC502" s="2" t="str">
        <f t="shared" si="239"/>
        <v/>
      </c>
      <c r="AD502" s="2" t="str">
        <f t="shared" si="240"/>
        <v/>
      </c>
      <c r="AE502" s="2" t="str">
        <f t="shared" si="241"/>
        <v/>
      </c>
      <c r="AF502" s="2" t="str">
        <f t="shared" si="242"/>
        <v/>
      </c>
    </row>
    <row r="503" spans="1:32" x14ac:dyDescent="0.2">
      <c r="A503" s="2" t="str">
        <f t="shared" si="243"/>
        <v/>
      </c>
      <c r="B503" s="2" t="str">
        <f t="shared" si="224"/>
        <v/>
      </c>
      <c r="C503" s="2" t="str">
        <f t="shared" si="225"/>
        <v/>
      </c>
      <c r="D503" s="2" t="str">
        <f t="shared" si="226"/>
        <v/>
      </c>
      <c r="E503" s="2" t="str">
        <f t="shared" si="227"/>
        <v/>
      </c>
      <c r="F503" s="2" t="str">
        <f t="shared" si="228"/>
        <v/>
      </c>
      <c r="G503" s="2" t="str">
        <f t="shared" si="229"/>
        <v/>
      </c>
      <c r="H503" s="2" t="str">
        <f t="shared" si="244"/>
        <v/>
      </c>
      <c r="I503" s="2" t="str">
        <f t="shared" si="245"/>
        <v/>
      </c>
      <c r="J503" s="2" t="str">
        <f t="shared" si="246"/>
        <v/>
      </c>
      <c r="K503" s="2" t="str">
        <f t="shared" si="230"/>
        <v/>
      </c>
      <c r="L503" s="2" t="str">
        <f t="shared" si="231"/>
        <v/>
      </c>
      <c r="M503" s="2" t="str">
        <f t="shared" si="232"/>
        <v/>
      </c>
      <c r="N503" s="2" t="str">
        <f t="shared" si="247"/>
        <v/>
      </c>
      <c r="O503" s="2" t="str">
        <f t="shared" si="248"/>
        <v/>
      </c>
      <c r="P503" s="2" t="str">
        <f t="shared" si="249"/>
        <v/>
      </c>
      <c r="Q503" s="2" t="str">
        <f t="shared" si="233"/>
        <v/>
      </c>
      <c r="R503" s="2" t="str">
        <f t="shared" si="234"/>
        <v/>
      </c>
      <c r="S503" s="2" t="str">
        <f t="shared" si="235"/>
        <v/>
      </c>
      <c r="T503" s="2" t="str">
        <f t="shared" si="250"/>
        <v/>
      </c>
      <c r="U503" s="2" t="str">
        <f t="shared" si="251"/>
        <v/>
      </c>
      <c r="V503" s="2" t="str">
        <f t="shared" si="252"/>
        <v/>
      </c>
      <c r="W503" s="2" t="str">
        <f t="shared" si="236"/>
        <v/>
      </c>
      <c r="X503" s="2" t="str">
        <f t="shared" si="237"/>
        <v/>
      </c>
      <c r="Y503" s="2" t="str">
        <f t="shared" si="238"/>
        <v/>
      </c>
      <c r="Z503" s="2" t="str">
        <f t="shared" si="253"/>
        <v/>
      </c>
      <c r="AA503" s="2" t="str">
        <f t="shared" si="254"/>
        <v/>
      </c>
      <c r="AB503" s="2" t="str">
        <f t="shared" si="255"/>
        <v/>
      </c>
      <c r="AC503" s="2" t="str">
        <f t="shared" si="239"/>
        <v/>
      </c>
      <c r="AD503" s="2" t="str">
        <f t="shared" si="240"/>
        <v/>
      </c>
      <c r="AE503" s="2" t="str">
        <f t="shared" si="241"/>
        <v/>
      </c>
      <c r="AF503" s="2" t="str">
        <f t="shared" si="242"/>
        <v/>
      </c>
    </row>
    <row r="504" spans="1:32" x14ac:dyDescent="0.2">
      <c r="A504" s="2" t="str">
        <f t="shared" si="243"/>
        <v/>
      </c>
      <c r="B504" s="2" t="str">
        <f t="shared" ref="B504:B567" si="256">IF(AI504="","",AI504)</f>
        <v/>
      </c>
      <c r="C504" s="2" t="str">
        <f t="shared" ref="C504:C567" si="257">IF(AJ504="","",AJ504)</f>
        <v/>
      </c>
      <c r="D504" s="2" t="str">
        <f t="shared" ref="D504:D567" si="258">IF(AK504="","",AK504)</f>
        <v/>
      </c>
      <c r="E504" s="2" t="str">
        <f t="shared" ref="E504:E567" si="259">IF(AL504="","",AL504)</f>
        <v/>
      </c>
      <c r="F504" s="2" t="str">
        <f t="shared" ref="F504:F567" si="260">IF(AM504="","",AM504)</f>
        <v/>
      </c>
      <c r="G504" s="2" t="str">
        <f t="shared" ref="G504:G567" si="261">IF(AN504="","",AN504)</f>
        <v/>
      </c>
      <c r="H504" s="2" t="str">
        <f t="shared" si="244"/>
        <v/>
      </c>
      <c r="I504" s="2" t="str">
        <f t="shared" si="245"/>
        <v/>
      </c>
      <c r="J504" s="2" t="str">
        <f t="shared" si="246"/>
        <v/>
      </c>
      <c r="K504" s="2" t="str">
        <f t="shared" ref="K504:K567" si="262">IF(AR504="","",AR504)</f>
        <v/>
      </c>
      <c r="L504" s="2" t="str">
        <f t="shared" ref="L504:L567" si="263">IF(AS504="","",AS504)</f>
        <v/>
      </c>
      <c r="M504" s="2" t="str">
        <f t="shared" ref="M504:M567" si="264">IF(AT504="","",AT504)</f>
        <v/>
      </c>
      <c r="N504" s="2" t="str">
        <f t="shared" si="247"/>
        <v/>
      </c>
      <c r="O504" s="2" t="str">
        <f t="shared" si="248"/>
        <v/>
      </c>
      <c r="P504" s="2" t="str">
        <f t="shared" si="249"/>
        <v/>
      </c>
      <c r="Q504" s="2" t="str">
        <f t="shared" ref="Q504:Q567" si="265">IF(AX504="","",AX504)</f>
        <v/>
      </c>
      <c r="R504" s="2" t="str">
        <f t="shared" ref="R504:R567" si="266">IF(AY504="","",AY504)</f>
        <v/>
      </c>
      <c r="S504" s="2" t="str">
        <f t="shared" ref="S504:S567" si="267">IF(AZ504="","",AZ504)</f>
        <v/>
      </c>
      <c r="T504" s="2" t="str">
        <f t="shared" si="250"/>
        <v/>
      </c>
      <c r="U504" s="2" t="str">
        <f t="shared" si="251"/>
        <v/>
      </c>
      <c r="V504" s="2" t="str">
        <f t="shared" si="252"/>
        <v/>
      </c>
      <c r="W504" s="2" t="str">
        <f t="shared" ref="W504:W567" si="268">IF(BD504="","",BD504)</f>
        <v/>
      </c>
      <c r="X504" s="2" t="str">
        <f t="shared" ref="X504:X567" si="269">IF(BE504="","",BE504)</f>
        <v/>
      </c>
      <c r="Y504" s="2" t="str">
        <f t="shared" ref="Y504:Y567" si="270">IF(BF504="","",BF504)</f>
        <v/>
      </c>
      <c r="Z504" s="2" t="str">
        <f t="shared" si="253"/>
        <v/>
      </c>
      <c r="AA504" s="2" t="str">
        <f t="shared" si="254"/>
        <v/>
      </c>
      <c r="AB504" s="2" t="str">
        <f t="shared" si="255"/>
        <v/>
      </c>
      <c r="AC504" s="2" t="str">
        <f t="shared" ref="AC504:AC567" si="271">IF(BJ504="","",BJ504)</f>
        <v/>
      </c>
      <c r="AD504" s="2" t="str">
        <f t="shared" ref="AD504:AD567" si="272">IF(BK504="","",BK504)</f>
        <v/>
      </c>
      <c r="AE504" s="2" t="str">
        <f t="shared" ref="AE504:AE567" si="273">IF(BL504="","",BL504)</f>
        <v/>
      </c>
      <c r="AF504" s="2" t="str">
        <f t="shared" ref="AF504:AF567" si="274">IF(BM504="","",BM504)</f>
        <v/>
      </c>
    </row>
    <row r="505" spans="1:32" x14ac:dyDescent="0.2">
      <c r="A505" s="2" t="str">
        <f t="shared" si="243"/>
        <v/>
      </c>
      <c r="B505" s="2" t="str">
        <f t="shared" si="256"/>
        <v/>
      </c>
      <c r="C505" s="2" t="str">
        <f t="shared" si="257"/>
        <v/>
      </c>
      <c r="D505" s="2" t="str">
        <f t="shared" si="258"/>
        <v/>
      </c>
      <c r="E505" s="2" t="str">
        <f t="shared" si="259"/>
        <v/>
      </c>
      <c r="F505" s="2" t="str">
        <f t="shared" si="260"/>
        <v/>
      </c>
      <c r="G505" s="2" t="str">
        <f t="shared" si="261"/>
        <v/>
      </c>
      <c r="H505" s="2" t="str">
        <f t="shared" si="244"/>
        <v/>
      </c>
      <c r="I505" s="2" t="str">
        <f t="shared" si="245"/>
        <v/>
      </c>
      <c r="J505" s="2" t="str">
        <f t="shared" si="246"/>
        <v/>
      </c>
      <c r="K505" s="2" t="str">
        <f t="shared" si="262"/>
        <v/>
      </c>
      <c r="L505" s="2" t="str">
        <f t="shared" si="263"/>
        <v/>
      </c>
      <c r="M505" s="2" t="str">
        <f t="shared" si="264"/>
        <v/>
      </c>
      <c r="N505" s="2" t="str">
        <f t="shared" si="247"/>
        <v/>
      </c>
      <c r="O505" s="2" t="str">
        <f t="shared" si="248"/>
        <v/>
      </c>
      <c r="P505" s="2" t="str">
        <f t="shared" si="249"/>
        <v/>
      </c>
      <c r="Q505" s="2" t="str">
        <f t="shared" si="265"/>
        <v/>
      </c>
      <c r="R505" s="2" t="str">
        <f t="shared" si="266"/>
        <v/>
      </c>
      <c r="S505" s="2" t="str">
        <f t="shared" si="267"/>
        <v/>
      </c>
      <c r="T505" s="2" t="str">
        <f t="shared" si="250"/>
        <v/>
      </c>
      <c r="U505" s="2" t="str">
        <f t="shared" si="251"/>
        <v/>
      </c>
      <c r="V505" s="2" t="str">
        <f t="shared" si="252"/>
        <v/>
      </c>
      <c r="W505" s="2" t="str">
        <f t="shared" si="268"/>
        <v/>
      </c>
      <c r="X505" s="2" t="str">
        <f t="shared" si="269"/>
        <v/>
      </c>
      <c r="Y505" s="2" t="str">
        <f t="shared" si="270"/>
        <v/>
      </c>
      <c r="Z505" s="2" t="str">
        <f t="shared" si="253"/>
        <v/>
      </c>
      <c r="AA505" s="2" t="str">
        <f t="shared" si="254"/>
        <v/>
      </c>
      <c r="AB505" s="2" t="str">
        <f t="shared" si="255"/>
        <v/>
      </c>
      <c r="AC505" s="2" t="str">
        <f t="shared" si="271"/>
        <v/>
      </c>
      <c r="AD505" s="2" t="str">
        <f t="shared" si="272"/>
        <v/>
      </c>
      <c r="AE505" s="2" t="str">
        <f t="shared" si="273"/>
        <v/>
      </c>
      <c r="AF505" s="2" t="str">
        <f t="shared" si="274"/>
        <v/>
      </c>
    </row>
    <row r="506" spans="1:32" x14ac:dyDescent="0.2">
      <c r="A506" s="2" t="str">
        <f t="shared" si="243"/>
        <v/>
      </c>
      <c r="B506" s="2" t="str">
        <f t="shared" si="256"/>
        <v/>
      </c>
      <c r="C506" s="2" t="str">
        <f t="shared" si="257"/>
        <v/>
      </c>
      <c r="D506" s="2" t="str">
        <f t="shared" si="258"/>
        <v/>
      </c>
      <c r="E506" s="2" t="str">
        <f t="shared" si="259"/>
        <v/>
      </c>
      <c r="F506" s="2" t="str">
        <f t="shared" si="260"/>
        <v/>
      </c>
      <c r="G506" s="2" t="str">
        <f t="shared" si="261"/>
        <v/>
      </c>
      <c r="H506" s="2" t="str">
        <f t="shared" si="244"/>
        <v/>
      </c>
      <c r="I506" s="2" t="str">
        <f t="shared" si="245"/>
        <v/>
      </c>
      <c r="J506" s="2" t="str">
        <f t="shared" si="246"/>
        <v/>
      </c>
      <c r="K506" s="2" t="str">
        <f t="shared" si="262"/>
        <v/>
      </c>
      <c r="L506" s="2" t="str">
        <f t="shared" si="263"/>
        <v/>
      </c>
      <c r="M506" s="2" t="str">
        <f t="shared" si="264"/>
        <v/>
      </c>
      <c r="N506" s="2" t="str">
        <f t="shared" si="247"/>
        <v/>
      </c>
      <c r="O506" s="2" t="str">
        <f t="shared" si="248"/>
        <v/>
      </c>
      <c r="P506" s="2" t="str">
        <f t="shared" si="249"/>
        <v/>
      </c>
      <c r="Q506" s="2" t="str">
        <f t="shared" si="265"/>
        <v/>
      </c>
      <c r="R506" s="2" t="str">
        <f t="shared" si="266"/>
        <v/>
      </c>
      <c r="S506" s="2" t="str">
        <f t="shared" si="267"/>
        <v/>
      </c>
      <c r="T506" s="2" t="str">
        <f t="shared" si="250"/>
        <v/>
      </c>
      <c r="U506" s="2" t="str">
        <f t="shared" si="251"/>
        <v/>
      </c>
      <c r="V506" s="2" t="str">
        <f t="shared" si="252"/>
        <v/>
      </c>
      <c r="W506" s="2" t="str">
        <f t="shared" si="268"/>
        <v/>
      </c>
      <c r="X506" s="2" t="str">
        <f t="shared" si="269"/>
        <v/>
      </c>
      <c r="Y506" s="2" t="str">
        <f t="shared" si="270"/>
        <v/>
      </c>
      <c r="Z506" s="2" t="str">
        <f t="shared" si="253"/>
        <v/>
      </c>
      <c r="AA506" s="2" t="str">
        <f t="shared" si="254"/>
        <v/>
      </c>
      <c r="AB506" s="2" t="str">
        <f t="shared" si="255"/>
        <v/>
      </c>
      <c r="AC506" s="2" t="str">
        <f t="shared" si="271"/>
        <v/>
      </c>
      <c r="AD506" s="2" t="str">
        <f t="shared" si="272"/>
        <v/>
      </c>
      <c r="AE506" s="2" t="str">
        <f t="shared" si="273"/>
        <v/>
      </c>
      <c r="AF506" s="2" t="str">
        <f t="shared" si="274"/>
        <v/>
      </c>
    </row>
    <row r="507" spans="1:32" x14ac:dyDescent="0.2">
      <c r="A507" s="2" t="str">
        <f t="shared" si="243"/>
        <v/>
      </c>
      <c r="B507" s="2" t="str">
        <f t="shared" si="256"/>
        <v/>
      </c>
      <c r="C507" s="2" t="str">
        <f t="shared" si="257"/>
        <v/>
      </c>
      <c r="D507" s="2" t="str">
        <f t="shared" si="258"/>
        <v/>
      </c>
      <c r="E507" s="2" t="str">
        <f t="shared" si="259"/>
        <v/>
      </c>
      <c r="F507" s="2" t="str">
        <f t="shared" si="260"/>
        <v/>
      </c>
      <c r="G507" s="2" t="str">
        <f t="shared" si="261"/>
        <v/>
      </c>
      <c r="H507" s="2" t="str">
        <f t="shared" si="244"/>
        <v/>
      </c>
      <c r="I507" s="2" t="str">
        <f t="shared" si="245"/>
        <v/>
      </c>
      <c r="J507" s="2" t="str">
        <f t="shared" si="246"/>
        <v/>
      </c>
      <c r="K507" s="2" t="str">
        <f t="shared" si="262"/>
        <v/>
      </c>
      <c r="L507" s="2" t="str">
        <f t="shared" si="263"/>
        <v/>
      </c>
      <c r="M507" s="2" t="str">
        <f t="shared" si="264"/>
        <v/>
      </c>
      <c r="N507" s="2" t="str">
        <f t="shared" si="247"/>
        <v/>
      </c>
      <c r="O507" s="2" t="str">
        <f t="shared" si="248"/>
        <v/>
      </c>
      <c r="P507" s="2" t="str">
        <f t="shared" si="249"/>
        <v/>
      </c>
      <c r="Q507" s="2" t="str">
        <f t="shared" si="265"/>
        <v/>
      </c>
      <c r="R507" s="2" t="str">
        <f t="shared" si="266"/>
        <v/>
      </c>
      <c r="S507" s="2" t="str">
        <f t="shared" si="267"/>
        <v/>
      </c>
      <c r="T507" s="2" t="str">
        <f t="shared" si="250"/>
        <v/>
      </c>
      <c r="U507" s="2" t="str">
        <f t="shared" si="251"/>
        <v/>
      </c>
      <c r="V507" s="2" t="str">
        <f t="shared" si="252"/>
        <v/>
      </c>
      <c r="W507" s="2" t="str">
        <f t="shared" si="268"/>
        <v/>
      </c>
      <c r="X507" s="2" t="str">
        <f t="shared" si="269"/>
        <v/>
      </c>
      <c r="Y507" s="2" t="str">
        <f t="shared" si="270"/>
        <v/>
      </c>
      <c r="Z507" s="2" t="str">
        <f t="shared" si="253"/>
        <v/>
      </c>
      <c r="AA507" s="2" t="str">
        <f t="shared" si="254"/>
        <v/>
      </c>
      <c r="AB507" s="2" t="str">
        <f t="shared" si="255"/>
        <v/>
      </c>
      <c r="AC507" s="2" t="str">
        <f t="shared" si="271"/>
        <v/>
      </c>
      <c r="AD507" s="2" t="str">
        <f t="shared" si="272"/>
        <v/>
      </c>
      <c r="AE507" s="2" t="str">
        <f t="shared" si="273"/>
        <v/>
      </c>
      <c r="AF507" s="2" t="str">
        <f t="shared" si="274"/>
        <v/>
      </c>
    </row>
    <row r="508" spans="1:32" x14ac:dyDescent="0.2">
      <c r="A508" s="2" t="str">
        <f t="shared" si="243"/>
        <v/>
      </c>
      <c r="B508" s="2" t="str">
        <f t="shared" si="256"/>
        <v/>
      </c>
      <c r="C508" s="2" t="str">
        <f t="shared" si="257"/>
        <v/>
      </c>
      <c r="D508" s="2" t="str">
        <f t="shared" si="258"/>
        <v/>
      </c>
      <c r="E508" s="2" t="str">
        <f t="shared" si="259"/>
        <v/>
      </c>
      <c r="F508" s="2" t="str">
        <f t="shared" si="260"/>
        <v/>
      </c>
      <c r="G508" s="2" t="str">
        <f t="shared" si="261"/>
        <v/>
      </c>
      <c r="H508" s="2" t="str">
        <f t="shared" si="244"/>
        <v/>
      </c>
      <c r="I508" s="2" t="str">
        <f t="shared" si="245"/>
        <v/>
      </c>
      <c r="J508" s="2" t="str">
        <f t="shared" si="246"/>
        <v/>
      </c>
      <c r="K508" s="2" t="str">
        <f t="shared" si="262"/>
        <v/>
      </c>
      <c r="L508" s="2" t="str">
        <f t="shared" si="263"/>
        <v/>
      </c>
      <c r="M508" s="2" t="str">
        <f t="shared" si="264"/>
        <v/>
      </c>
      <c r="N508" s="2" t="str">
        <f t="shared" si="247"/>
        <v/>
      </c>
      <c r="O508" s="2" t="str">
        <f t="shared" si="248"/>
        <v/>
      </c>
      <c r="P508" s="2" t="str">
        <f t="shared" si="249"/>
        <v/>
      </c>
      <c r="Q508" s="2" t="str">
        <f t="shared" si="265"/>
        <v/>
      </c>
      <c r="R508" s="2" t="str">
        <f t="shared" si="266"/>
        <v/>
      </c>
      <c r="S508" s="2" t="str">
        <f t="shared" si="267"/>
        <v/>
      </c>
      <c r="T508" s="2" t="str">
        <f t="shared" si="250"/>
        <v/>
      </c>
      <c r="U508" s="2" t="str">
        <f t="shared" si="251"/>
        <v/>
      </c>
      <c r="V508" s="2" t="str">
        <f t="shared" si="252"/>
        <v/>
      </c>
      <c r="W508" s="2" t="str">
        <f t="shared" si="268"/>
        <v/>
      </c>
      <c r="X508" s="2" t="str">
        <f t="shared" si="269"/>
        <v/>
      </c>
      <c r="Y508" s="2" t="str">
        <f t="shared" si="270"/>
        <v/>
      </c>
      <c r="Z508" s="2" t="str">
        <f t="shared" si="253"/>
        <v/>
      </c>
      <c r="AA508" s="2" t="str">
        <f t="shared" si="254"/>
        <v/>
      </c>
      <c r="AB508" s="2" t="str">
        <f t="shared" si="255"/>
        <v/>
      </c>
      <c r="AC508" s="2" t="str">
        <f t="shared" si="271"/>
        <v/>
      </c>
      <c r="AD508" s="2" t="str">
        <f t="shared" si="272"/>
        <v/>
      </c>
      <c r="AE508" s="2" t="str">
        <f t="shared" si="273"/>
        <v/>
      </c>
      <c r="AF508" s="2" t="str">
        <f t="shared" si="274"/>
        <v/>
      </c>
    </row>
    <row r="509" spans="1:32" x14ac:dyDescent="0.2">
      <c r="A509" s="2" t="str">
        <f t="shared" si="243"/>
        <v/>
      </c>
      <c r="B509" s="2" t="str">
        <f t="shared" si="256"/>
        <v/>
      </c>
      <c r="C509" s="2" t="str">
        <f t="shared" si="257"/>
        <v/>
      </c>
      <c r="D509" s="2" t="str">
        <f t="shared" si="258"/>
        <v/>
      </c>
      <c r="E509" s="2" t="str">
        <f t="shared" si="259"/>
        <v/>
      </c>
      <c r="F509" s="2" t="str">
        <f t="shared" si="260"/>
        <v/>
      </c>
      <c r="G509" s="2" t="str">
        <f t="shared" si="261"/>
        <v/>
      </c>
      <c r="H509" s="2" t="str">
        <f t="shared" si="244"/>
        <v/>
      </c>
      <c r="I509" s="2" t="str">
        <f t="shared" si="245"/>
        <v/>
      </c>
      <c r="J509" s="2" t="str">
        <f t="shared" si="246"/>
        <v/>
      </c>
      <c r="K509" s="2" t="str">
        <f t="shared" si="262"/>
        <v/>
      </c>
      <c r="L509" s="2" t="str">
        <f t="shared" si="263"/>
        <v/>
      </c>
      <c r="M509" s="2" t="str">
        <f t="shared" si="264"/>
        <v/>
      </c>
      <c r="N509" s="2" t="str">
        <f t="shared" si="247"/>
        <v/>
      </c>
      <c r="O509" s="2" t="str">
        <f t="shared" si="248"/>
        <v/>
      </c>
      <c r="P509" s="2" t="str">
        <f t="shared" si="249"/>
        <v/>
      </c>
      <c r="Q509" s="2" t="str">
        <f t="shared" si="265"/>
        <v/>
      </c>
      <c r="R509" s="2" t="str">
        <f t="shared" si="266"/>
        <v/>
      </c>
      <c r="S509" s="2" t="str">
        <f t="shared" si="267"/>
        <v/>
      </c>
      <c r="T509" s="2" t="str">
        <f t="shared" si="250"/>
        <v/>
      </c>
      <c r="U509" s="2" t="str">
        <f t="shared" si="251"/>
        <v/>
      </c>
      <c r="V509" s="2" t="str">
        <f t="shared" si="252"/>
        <v/>
      </c>
      <c r="W509" s="2" t="str">
        <f t="shared" si="268"/>
        <v/>
      </c>
      <c r="X509" s="2" t="str">
        <f t="shared" si="269"/>
        <v/>
      </c>
      <c r="Y509" s="2" t="str">
        <f t="shared" si="270"/>
        <v/>
      </c>
      <c r="Z509" s="2" t="str">
        <f t="shared" si="253"/>
        <v/>
      </c>
      <c r="AA509" s="2" t="str">
        <f t="shared" si="254"/>
        <v/>
      </c>
      <c r="AB509" s="2" t="str">
        <f t="shared" si="255"/>
        <v/>
      </c>
      <c r="AC509" s="2" t="str">
        <f t="shared" si="271"/>
        <v/>
      </c>
      <c r="AD509" s="2" t="str">
        <f t="shared" si="272"/>
        <v/>
      </c>
      <c r="AE509" s="2" t="str">
        <f t="shared" si="273"/>
        <v/>
      </c>
      <c r="AF509" s="2" t="str">
        <f t="shared" si="274"/>
        <v/>
      </c>
    </row>
    <row r="510" spans="1:32" x14ac:dyDescent="0.2">
      <c r="A510" s="2" t="str">
        <f t="shared" si="243"/>
        <v/>
      </c>
      <c r="B510" s="2" t="str">
        <f t="shared" si="256"/>
        <v/>
      </c>
      <c r="C510" s="2" t="str">
        <f t="shared" si="257"/>
        <v/>
      </c>
      <c r="D510" s="2" t="str">
        <f t="shared" si="258"/>
        <v/>
      </c>
      <c r="E510" s="2" t="str">
        <f t="shared" si="259"/>
        <v/>
      </c>
      <c r="F510" s="2" t="str">
        <f t="shared" si="260"/>
        <v/>
      </c>
      <c r="G510" s="2" t="str">
        <f t="shared" si="261"/>
        <v/>
      </c>
      <c r="H510" s="2" t="str">
        <f t="shared" si="244"/>
        <v/>
      </c>
      <c r="I510" s="2" t="str">
        <f t="shared" si="245"/>
        <v/>
      </c>
      <c r="J510" s="2" t="str">
        <f t="shared" si="246"/>
        <v/>
      </c>
      <c r="K510" s="2" t="str">
        <f t="shared" si="262"/>
        <v/>
      </c>
      <c r="L510" s="2" t="str">
        <f t="shared" si="263"/>
        <v/>
      </c>
      <c r="M510" s="2" t="str">
        <f t="shared" si="264"/>
        <v/>
      </c>
      <c r="N510" s="2" t="str">
        <f t="shared" si="247"/>
        <v/>
      </c>
      <c r="O510" s="2" t="str">
        <f t="shared" si="248"/>
        <v/>
      </c>
      <c r="P510" s="2" t="str">
        <f t="shared" si="249"/>
        <v/>
      </c>
      <c r="Q510" s="2" t="str">
        <f t="shared" si="265"/>
        <v/>
      </c>
      <c r="R510" s="2" t="str">
        <f t="shared" si="266"/>
        <v/>
      </c>
      <c r="S510" s="2" t="str">
        <f t="shared" si="267"/>
        <v/>
      </c>
      <c r="T510" s="2" t="str">
        <f t="shared" si="250"/>
        <v/>
      </c>
      <c r="U510" s="2" t="str">
        <f t="shared" si="251"/>
        <v/>
      </c>
      <c r="V510" s="2" t="str">
        <f t="shared" si="252"/>
        <v/>
      </c>
      <c r="W510" s="2" t="str">
        <f t="shared" si="268"/>
        <v/>
      </c>
      <c r="X510" s="2" t="str">
        <f t="shared" si="269"/>
        <v/>
      </c>
      <c r="Y510" s="2" t="str">
        <f t="shared" si="270"/>
        <v/>
      </c>
      <c r="Z510" s="2" t="str">
        <f t="shared" si="253"/>
        <v/>
      </c>
      <c r="AA510" s="2" t="str">
        <f t="shared" si="254"/>
        <v/>
      </c>
      <c r="AB510" s="2" t="str">
        <f t="shared" si="255"/>
        <v/>
      </c>
      <c r="AC510" s="2" t="str">
        <f t="shared" si="271"/>
        <v/>
      </c>
      <c r="AD510" s="2" t="str">
        <f t="shared" si="272"/>
        <v/>
      </c>
      <c r="AE510" s="2" t="str">
        <f t="shared" si="273"/>
        <v/>
      </c>
      <c r="AF510" s="2" t="str">
        <f t="shared" si="274"/>
        <v/>
      </c>
    </row>
    <row r="511" spans="1:32" x14ac:dyDescent="0.2">
      <c r="A511" s="2" t="str">
        <f t="shared" si="243"/>
        <v/>
      </c>
      <c r="B511" s="2" t="str">
        <f t="shared" si="256"/>
        <v/>
      </c>
      <c r="C511" s="2" t="str">
        <f t="shared" si="257"/>
        <v/>
      </c>
      <c r="D511" s="2" t="str">
        <f t="shared" si="258"/>
        <v/>
      </c>
      <c r="E511" s="2" t="str">
        <f t="shared" si="259"/>
        <v/>
      </c>
      <c r="F511" s="2" t="str">
        <f t="shared" si="260"/>
        <v/>
      </c>
      <c r="G511" s="2" t="str">
        <f t="shared" si="261"/>
        <v/>
      </c>
      <c r="H511" s="2" t="str">
        <f t="shared" si="244"/>
        <v/>
      </c>
      <c r="I511" s="2" t="str">
        <f t="shared" si="245"/>
        <v/>
      </c>
      <c r="J511" s="2" t="str">
        <f t="shared" si="246"/>
        <v/>
      </c>
      <c r="K511" s="2" t="str">
        <f t="shared" si="262"/>
        <v/>
      </c>
      <c r="L511" s="2" t="str">
        <f t="shared" si="263"/>
        <v/>
      </c>
      <c r="M511" s="2" t="str">
        <f t="shared" si="264"/>
        <v/>
      </c>
      <c r="N511" s="2" t="str">
        <f t="shared" si="247"/>
        <v/>
      </c>
      <c r="O511" s="2" t="str">
        <f t="shared" si="248"/>
        <v/>
      </c>
      <c r="P511" s="2" t="str">
        <f t="shared" si="249"/>
        <v/>
      </c>
      <c r="Q511" s="2" t="str">
        <f t="shared" si="265"/>
        <v/>
      </c>
      <c r="R511" s="2" t="str">
        <f t="shared" si="266"/>
        <v/>
      </c>
      <c r="S511" s="2" t="str">
        <f t="shared" si="267"/>
        <v/>
      </c>
      <c r="T511" s="2" t="str">
        <f t="shared" si="250"/>
        <v/>
      </c>
      <c r="U511" s="2" t="str">
        <f t="shared" si="251"/>
        <v/>
      </c>
      <c r="V511" s="2" t="str">
        <f t="shared" si="252"/>
        <v/>
      </c>
      <c r="W511" s="2" t="str">
        <f t="shared" si="268"/>
        <v/>
      </c>
      <c r="X511" s="2" t="str">
        <f t="shared" si="269"/>
        <v/>
      </c>
      <c r="Y511" s="2" t="str">
        <f t="shared" si="270"/>
        <v/>
      </c>
      <c r="Z511" s="2" t="str">
        <f t="shared" si="253"/>
        <v/>
      </c>
      <c r="AA511" s="2" t="str">
        <f t="shared" si="254"/>
        <v/>
      </c>
      <c r="AB511" s="2" t="str">
        <f t="shared" si="255"/>
        <v/>
      </c>
      <c r="AC511" s="2" t="str">
        <f t="shared" si="271"/>
        <v/>
      </c>
      <c r="AD511" s="2" t="str">
        <f t="shared" si="272"/>
        <v/>
      </c>
      <c r="AE511" s="2" t="str">
        <f t="shared" si="273"/>
        <v/>
      </c>
      <c r="AF511" s="2" t="str">
        <f t="shared" si="274"/>
        <v/>
      </c>
    </row>
    <row r="512" spans="1:32" x14ac:dyDescent="0.2">
      <c r="A512" s="2" t="str">
        <f t="shared" si="243"/>
        <v/>
      </c>
      <c r="B512" s="2" t="str">
        <f t="shared" si="256"/>
        <v/>
      </c>
      <c r="C512" s="2" t="str">
        <f t="shared" si="257"/>
        <v/>
      </c>
      <c r="D512" s="2" t="str">
        <f t="shared" si="258"/>
        <v/>
      </c>
      <c r="E512" s="2" t="str">
        <f t="shared" si="259"/>
        <v/>
      </c>
      <c r="F512" s="2" t="str">
        <f t="shared" si="260"/>
        <v/>
      </c>
      <c r="G512" s="2" t="str">
        <f t="shared" si="261"/>
        <v/>
      </c>
      <c r="H512" s="2" t="str">
        <f t="shared" si="244"/>
        <v/>
      </c>
      <c r="I512" s="2" t="str">
        <f t="shared" si="245"/>
        <v/>
      </c>
      <c r="J512" s="2" t="str">
        <f t="shared" si="246"/>
        <v/>
      </c>
      <c r="K512" s="2" t="str">
        <f t="shared" si="262"/>
        <v/>
      </c>
      <c r="L512" s="2" t="str">
        <f t="shared" si="263"/>
        <v/>
      </c>
      <c r="M512" s="2" t="str">
        <f t="shared" si="264"/>
        <v/>
      </c>
      <c r="N512" s="2" t="str">
        <f t="shared" si="247"/>
        <v/>
      </c>
      <c r="O512" s="2" t="str">
        <f t="shared" si="248"/>
        <v/>
      </c>
      <c r="P512" s="2" t="str">
        <f t="shared" si="249"/>
        <v/>
      </c>
      <c r="Q512" s="2" t="str">
        <f t="shared" si="265"/>
        <v/>
      </c>
      <c r="R512" s="2" t="str">
        <f t="shared" si="266"/>
        <v/>
      </c>
      <c r="S512" s="2" t="str">
        <f t="shared" si="267"/>
        <v/>
      </c>
      <c r="T512" s="2" t="str">
        <f t="shared" si="250"/>
        <v/>
      </c>
      <c r="U512" s="2" t="str">
        <f t="shared" si="251"/>
        <v/>
      </c>
      <c r="V512" s="2" t="str">
        <f t="shared" si="252"/>
        <v/>
      </c>
      <c r="W512" s="2" t="str">
        <f t="shared" si="268"/>
        <v/>
      </c>
      <c r="X512" s="2" t="str">
        <f t="shared" si="269"/>
        <v/>
      </c>
      <c r="Y512" s="2" t="str">
        <f t="shared" si="270"/>
        <v/>
      </c>
      <c r="Z512" s="2" t="str">
        <f t="shared" si="253"/>
        <v/>
      </c>
      <c r="AA512" s="2" t="str">
        <f t="shared" si="254"/>
        <v/>
      </c>
      <c r="AB512" s="2" t="str">
        <f t="shared" si="255"/>
        <v/>
      </c>
      <c r="AC512" s="2" t="str">
        <f t="shared" si="271"/>
        <v/>
      </c>
      <c r="AD512" s="2" t="str">
        <f t="shared" si="272"/>
        <v/>
      </c>
      <c r="AE512" s="2" t="str">
        <f t="shared" si="273"/>
        <v/>
      </c>
      <c r="AF512" s="2" t="str">
        <f t="shared" si="274"/>
        <v/>
      </c>
    </row>
    <row r="513" spans="1:32" x14ac:dyDescent="0.2">
      <c r="A513" s="2" t="str">
        <f t="shared" si="243"/>
        <v/>
      </c>
      <c r="B513" s="2" t="str">
        <f t="shared" si="256"/>
        <v/>
      </c>
      <c r="C513" s="2" t="str">
        <f t="shared" si="257"/>
        <v/>
      </c>
      <c r="D513" s="2" t="str">
        <f t="shared" si="258"/>
        <v/>
      </c>
      <c r="E513" s="2" t="str">
        <f t="shared" si="259"/>
        <v/>
      </c>
      <c r="F513" s="2" t="str">
        <f t="shared" si="260"/>
        <v/>
      </c>
      <c r="G513" s="2" t="str">
        <f t="shared" si="261"/>
        <v/>
      </c>
      <c r="H513" s="2" t="str">
        <f t="shared" si="244"/>
        <v/>
      </c>
      <c r="I513" s="2" t="str">
        <f t="shared" si="245"/>
        <v/>
      </c>
      <c r="J513" s="2" t="str">
        <f t="shared" si="246"/>
        <v/>
      </c>
      <c r="K513" s="2" t="str">
        <f t="shared" si="262"/>
        <v/>
      </c>
      <c r="L513" s="2" t="str">
        <f t="shared" si="263"/>
        <v/>
      </c>
      <c r="M513" s="2" t="str">
        <f t="shared" si="264"/>
        <v/>
      </c>
      <c r="N513" s="2" t="str">
        <f t="shared" si="247"/>
        <v/>
      </c>
      <c r="O513" s="2" t="str">
        <f t="shared" si="248"/>
        <v/>
      </c>
      <c r="P513" s="2" t="str">
        <f t="shared" si="249"/>
        <v/>
      </c>
      <c r="Q513" s="2" t="str">
        <f t="shared" si="265"/>
        <v/>
      </c>
      <c r="R513" s="2" t="str">
        <f t="shared" si="266"/>
        <v/>
      </c>
      <c r="S513" s="2" t="str">
        <f t="shared" si="267"/>
        <v/>
      </c>
      <c r="T513" s="2" t="str">
        <f t="shared" si="250"/>
        <v/>
      </c>
      <c r="U513" s="2" t="str">
        <f t="shared" si="251"/>
        <v/>
      </c>
      <c r="V513" s="2" t="str">
        <f t="shared" si="252"/>
        <v/>
      </c>
      <c r="W513" s="2" t="str">
        <f t="shared" si="268"/>
        <v/>
      </c>
      <c r="X513" s="2" t="str">
        <f t="shared" si="269"/>
        <v/>
      </c>
      <c r="Y513" s="2" t="str">
        <f t="shared" si="270"/>
        <v/>
      </c>
      <c r="Z513" s="2" t="str">
        <f t="shared" si="253"/>
        <v/>
      </c>
      <c r="AA513" s="2" t="str">
        <f t="shared" si="254"/>
        <v/>
      </c>
      <c r="AB513" s="2" t="str">
        <f t="shared" si="255"/>
        <v/>
      </c>
      <c r="AC513" s="2" t="str">
        <f t="shared" si="271"/>
        <v/>
      </c>
      <c r="AD513" s="2" t="str">
        <f t="shared" si="272"/>
        <v/>
      </c>
      <c r="AE513" s="2" t="str">
        <f t="shared" si="273"/>
        <v/>
      </c>
      <c r="AF513" s="2" t="str">
        <f t="shared" si="274"/>
        <v/>
      </c>
    </row>
    <row r="514" spans="1:32" x14ac:dyDescent="0.2">
      <c r="A514" s="2" t="str">
        <f t="shared" si="243"/>
        <v/>
      </c>
      <c r="B514" s="2" t="str">
        <f t="shared" si="256"/>
        <v/>
      </c>
      <c r="C514" s="2" t="str">
        <f t="shared" si="257"/>
        <v/>
      </c>
      <c r="D514" s="2" t="str">
        <f t="shared" si="258"/>
        <v/>
      </c>
      <c r="E514" s="2" t="str">
        <f t="shared" si="259"/>
        <v/>
      </c>
      <c r="F514" s="2" t="str">
        <f t="shared" si="260"/>
        <v/>
      </c>
      <c r="G514" s="2" t="str">
        <f t="shared" si="261"/>
        <v/>
      </c>
      <c r="H514" s="2" t="str">
        <f t="shared" si="244"/>
        <v/>
      </c>
      <c r="I514" s="2" t="str">
        <f t="shared" si="245"/>
        <v/>
      </c>
      <c r="J514" s="2" t="str">
        <f t="shared" si="246"/>
        <v/>
      </c>
      <c r="K514" s="2" t="str">
        <f t="shared" si="262"/>
        <v/>
      </c>
      <c r="L514" s="2" t="str">
        <f t="shared" si="263"/>
        <v/>
      </c>
      <c r="M514" s="2" t="str">
        <f t="shared" si="264"/>
        <v/>
      </c>
      <c r="N514" s="2" t="str">
        <f t="shared" si="247"/>
        <v/>
      </c>
      <c r="O514" s="2" t="str">
        <f t="shared" si="248"/>
        <v/>
      </c>
      <c r="P514" s="2" t="str">
        <f t="shared" si="249"/>
        <v/>
      </c>
      <c r="Q514" s="2" t="str">
        <f t="shared" si="265"/>
        <v/>
      </c>
      <c r="R514" s="2" t="str">
        <f t="shared" si="266"/>
        <v/>
      </c>
      <c r="S514" s="2" t="str">
        <f t="shared" si="267"/>
        <v/>
      </c>
      <c r="T514" s="2" t="str">
        <f t="shared" si="250"/>
        <v/>
      </c>
      <c r="U514" s="2" t="str">
        <f t="shared" si="251"/>
        <v/>
      </c>
      <c r="V514" s="2" t="str">
        <f t="shared" si="252"/>
        <v/>
      </c>
      <c r="W514" s="2" t="str">
        <f t="shared" si="268"/>
        <v/>
      </c>
      <c r="X514" s="2" t="str">
        <f t="shared" si="269"/>
        <v/>
      </c>
      <c r="Y514" s="2" t="str">
        <f t="shared" si="270"/>
        <v/>
      </c>
      <c r="Z514" s="2" t="str">
        <f t="shared" si="253"/>
        <v/>
      </c>
      <c r="AA514" s="2" t="str">
        <f t="shared" si="254"/>
        <v/>
      </c>
      <c r="AB514" s="2" t="str">
        <f t="shared" si="255"/>
        <v/>
      </c>
      <c r="AC514" s="2" t="str">
        <f t="shared" si="271"/>
        <v/>
      </c>
      <c r="AD514" s="2" t="str">
        <f t="shared" si="272"/>
        <v/>
      </c>
      <c r="AE514" s="2" t="str">
        <f t="shared" si="273"/>
        <v/>
      </c>
      <c r="AF514" s="2" t="str">
        <f t="shared" si="274"/>
        <v/>
      </c>
    </row>
    <row r="515" spans="1:32" x14ac:dyDescent="0.2">
      <c r="A515" s="2" t="str">
        <f t="shared" si="243"/>
        <v/>
      </c>
      <c r="B515" s="2" t="str">
        <f t="shared" si="256"/>
        <v/>
      </c>
      <c r="C515" s="2" t="str">
        <f t="shared" si="257"/>
        <v/>
      </c>
      <c r="D515" s="2" t="str">
        <f t="shared" si="258"/>
        <v/>
      </c>
      <c r="E515" s="2" t="str">
        <f t="shared" si="259"/>
        <v/>
      </c>
      <c r="F515" s="2" t="str">
        <f t="shared" si="260"/>
        <v/>
      </c>
      <c r="G515" s="2" t="str">
        <f t="shared" si="261"/>
        <v/>
      </c>
      <c r="H515" s="2" t="str">
        <f t="shared" si="244"/>
        <v/>
      </c>
      <c r="I515" s="2" t="str">
        <f t="shared" si="245"/>
        <v/>
      </c>
      <c r="J515" s="2" t="str">
        <f t="shared" si="246"/>
        <v/>
      </c>
      <c r="K515" s="2" t="str">
        <f t="shared" si="262"/>
        <v/>
      </c>
      <c r="L515" s="2" t="str">
        <f t="shared" si="263"/>
        <v/>
      </c>
      <c r="M515" s="2" t="str">
        <f t="shared" si="264"/>
        <v/>
      </c>
      <c r="N515" s="2" t="str">
        <f t="shared" si="247"/>
        <v/>
      </c>
      <c r="O515" s="2" t="str">
        <f t="shared" si="248"/>
        <v/>
      </c>
      <c r="P515" s="2" t="str">
        <f t="shared" si="249"/>
        <v/>
      </c>
      <c r="Q515" s="2" t="str">
        <f t="shared" si="265"/>
        <v/>
      </c>
      <c r="R515" s="2" t="str">
        <f t="shared" si="266"/>
        <v/>
      </c>
      <c r="S515" s="2" t="str">
        <f t="shared" si="267"/>
        <v/>
      </c>
      <c r="T515" s="2" t="str">
        <f t="shared" si="250"/>
        <v/>
      </c>
      <c r="U515" s="2" t="str">
        <f t="shared" si="251"/>
        <v/>
      </c>
      <c r="V515" s="2" t="str">
        <f t="shared" si="252"/>
        <v/>
      </c>
      <c r="W515" s="2" t="str">
        <f t="shared" si="268"/>
        <v/>
      </c>
      <c r="X515" s="2" t="str">
        <f t="shared" si="269"/>
        <v/>
      </c>
      <c r="Y515" s="2" t="str">
        <f t="shared" si="270"/>
        <v/>
      </c>
      <c r="Z515" s="2" t="str">
        <f t="shared" si="253"/>
        <v/>
      </c>
      <c r="AA515" s="2" t="str">
        <f t="shared" si="254"/>
        <v/>
      </c>
      <c r="AB515" s="2" t="str">
        <f t="shared" si="255"/>
        <v/>
      </c>
      <c r="AC515" s="2" t="str">
        <f t="shared" si="271"/>
        <v/>
      </c>
      <c r="AD515" s="2" t="str">
        <f t="shared" si="272"/>
        <v/>
      </c>
      <c r="AE515" s="2" t="str">
        <f t="shared" si="273"/>
        <v/>
      </c>
      <c r="AF515" s="2" t="str">
        <f t="shared" si="274"/>
        <v/>
      </c>
    </row>
    <row r="516" spans="1:32" x14ac:dyDescent="0.2">
      <c r="A516" s="2" t="str">
        <f t="shared" si="243"/>
        <v/>
      </c>
      <c r="B516" s="2" t="str">
        <f t="shared" si="256"/>
        <v/>
      </c>
      <c r="C516" s="2" t="str">
        <f t="shared" si="257"/>
        <v/>
      </c>
      <c r="D516" s="2" t="str">
        <f t="shared" si="258"/>
        <v/>
      </c>
      <c r="E516" s="2" t="str">
        <f t="shared" si="259"/>
        <v/>
      </c>
      <c r="F516" s="2" t="str">
        <f t="shared" si="260"/>
        <v/>
      </c>
      <c r="G516" s="2" t="str">
        <f t="shared" si="261"/>
        <v/>
      </c>
      <c r="H516" s="2" t="str">
        <f t="shared" si="244"/>
        <v/>
      </c>
      <c r="I516" s="2" t="str">
        <f t="shared" si="245"/>
        <v/>
      </c>
      <c r="J516" s="2" t="str">
        <f t="shared" si="246"/>
        <v/>
      </c>
      <c r="K516" s="2" t="str">
        <f t="shared" si="262"/>
        <v/>
      </c>
      <c r="L516" s="2" t="str">
        <f t="shared" si="263"/>
        <v/>
      </c>
      <c r="M516" s="2" t="str">
        <f t="shared" si="264"/>
        <v/>
      </c>
      <c r="N516" s="2" t="str">
        <f t="shared" si="247"/>
        <v/>
      </c>
      <c r="O516" s="2" t="str">
        <f t="shared" si="248"/>
        <v/>
      </c>
      <c r="P516" s="2" t="str">
        <f t="shared" si="249"/>
        <v/>
      </c>
      <c r="Q516" s="2" t="str">
        <f t="shared" si="265"/>
        <v/>
      </c>
      <c r="R516" s="2" t="str">
        <f t="shared" si="266"/>
        <v/>
      </c>
      <c r="S516" s="2" t="str">
        <f t="shared" si="267"/>
        <v/>
      </c>
      <c r="T516" s="2" t="str">
        <f t="shared" si="250"/>
        <v/>
      </c>
      <c r="U516" s="2" t="str">
        <f t="shared" si="251"/>
        <v/>
      </c>
      <c r="V516" s="2" t="str">
        <f t="shared" si="252"/>
        <v/>
      </c>
      <c r="W516" s="2" t="str">
        <f t="shared" si="268"/>
        <v/>
      </c>
      <c r="X516" s="2" t="str">
        <f t="shared" si="269"/>
        <v/>
      </c>
      <c r="Y516" s="2" t="str">
        <f t="shared" si="270"/>
        <v/>
      </c>
      <c r="Z516" s="2" t="str">
        <f t="shared" si="253"/>
        <v/>
      </c>
      <c r="AA516" s="2" t="str">
        <f t="shared" si="254"/>
        <v/>
      </c>
      <c r="AB516" s="2" t="str">
        <f t="shared" si="255"/>
        <v/>
      </c>
      <c r="AC516" s="2" t="str">
        <f t="shared" si="271"/>
        <v/>
      </c>
      <c r="AD516" s="2" t="str">
        <f t="shared" si="272"/>
        <v/>
      </c>
      <c r="AE516" s="2" t="str">
        <f t="shared" si="273"/>
        <v/>
      </c>
      <c r="AF516" s="2" t="str">
        <f t="shared" si="274"/>
        <v/>
      </c>
    </row>
    <row r="517" spans="1:32" x14ac:dyDescent="0.2">
      <c r="A517" s="2" t="str">
        <f t="shared" ref="A517:A580" si="275">IF(AH517="","",_xlfn.CONCAT(AH517,"_",ROW()-3))</f>
        <v/>
      </c>
      <c r="B517" s="2" t="str">
        <f t="shared" si="256"/>
        <v/>
      </c>
      <c r="C517" s="2" t="str">
        <f t="shared" si="257"/>
        <v/>
      </c>
      <c r="D517" s="2" t="str">
        <f t="shared" si="258"/>
        <v/>
      </c>
      <c r="E517" s="2" t="str">
        <f t="shared" si="259"/>
        <v/>
      </c>
      <c r="F517" s="2" t="str">
        <f t="shared" si="260"/>
        <v/>
      </c>
      <c r="G517" s="2" t="str">
        <f t="shared" si="261"/>
        <v/>
      </c>
      <c r="H517" s="2" t="str">
        <f t="shared" ref="H517:H580" si="276">IF(AO517="","",IF(AQ517&lt;&gt;0,(AO517+AQ517)/2,AO517)-BN517)</f>
        <v/>
      </c>
      <c r="I517" s="2" t="str">
        <f t="shared" ref="I517:I580" si="277">IF(AP517="","",AP517)</f>
        <v/>
      </c>
      <c r="J517" s="2" t="str">
        <f t="shared" ref="J517:J580" si="278">IF(AQ517="","",(AO517+AQ517)/2-BN517)</f>
        <v/>
      </c>
      <c r="K517" s="2" t="str">
        <f t="shared" si="262"/>
        <v/>
      </c>
      <c r="L517" s="2" t="str">
        <f t="shared" si="263"/>
        <v/>
      </c>
      <c r="M517" s="2" t="str">
        <f t="shared" si="264"/>
        <v/>
      </c>
      <c r="N517" s="2" t="str">
        <f t="shared" ref="N517:N580" si="279">IF(AU517="","",IF(AW517&lt;&gt;0,(AU517+AW517)/2,AU517)-BN518)</f>
        <v/>
      </c>
      <c r="O517" s="2" t="str">
        <f t="shared" ref="O517:O580" si="280">IF(AV517="","",AV517)</f>
        <v/>
      </c>
      <c r="P517" s="2" t="str">
        <f t="shared" ref="P517:P580" si="281">IF(AW517="","",(AU517+AW517)/2-BN518)</f>
        <v/>
      </c>
      <c r="Q517" s="2" t="str">
        <f t="shared" si="265"/>
        <v/>
      </c>
      <c r="R517" s="2" t="str">
        <f t="shared" si="266"/>
        <v/>
      </c>
      <c r="S517" s="2" t="str">
        <f t="shared" si="267"/>
        <v/>
      </c>
      <c r="T517" s="2" t="str">
        <f t="shared" ref="T517:T580" si="282">IF(BA517="","",IF(BC517&lt;&gt;0,(BA517+BC517)/2,BA517)-BN519)</f>
        <v/>
      </c>
      <c r="U517" s="2" t="str">
        <f t="shared" ref="U517:U580" si="283">IF(BB517="","",BB517)</f>
        <v/>
      </c>
      <c r="V517" s="2" t="str">
        <f t="shared" ref="V517:V580" si="284">IF(BC517="","",(BA517+BC517)/2-BN519)</f>
        <v/>
      </c>
      <c r="W517" s="2" t="str">
        <f t="shared" si="268"/>
        <v/>
      </c>
      <c r="X517" s="2" t="str">
        <f t="shared" si="269"/>
        <v/>
      </c>
      <c r="Y517" s="2" t="str">
        <f t="shared" si="270"/>
        <v/>
      </c>
      <c r="Z517" s="2" t="str">
        <f t="shared" ref="Z517:Z580" si="285">IF(BG517="","",IF(BI517&lt;&gt;0,(BG517+BI517)/2,BG517)-BN520)</f>
        <v/>
      </c>
      <c r="AA517" s="2" t="str">
        <f t="shared" ref="AA517:AA580" si="286">IF(BH517="","",BH517)</f>
        <v/>
      </c>
      <c r="AB517" s="2" t="str">
        <f t="shared" ref="AB517:AB580" si="287">IF(BI517="","",(BG517+BI517)/2-BN520)</f>
        <v/>
      </c>
      <c r="AC517" s="2" t="str">
        <f t="shared" si="271"/>
        <v/>
      </c>
      <c r="AD517" s="2" t="str">
        <f t="shared" si="272"/>
        <v/>
      </c>
      <c r="AE517" s="2" t="str">
        <f t="shared" si="273"/>
        <v/>
      </c>
      <c r="AF517" s="2" t="str">
        <f t="shared" si="274"/>
        <v/>
      </c>
    </row>
    <row r="518" spans="1:32" x14ac:dyDescent="0.2">
      <c r="A518" s="2" t="str">
        <f t="shared" si="275"/>
        <v/>
      </c>
      <c r="B518" s="2" t="str">
        <f t="shared" si="256"/>
        <v/>
      </c>
      <c r="C518" s="2" t="str">
        <f t="shared" si="257"/>
        <v/>
      </c>
      <c r="D518" s="2" t="str">
        <f t="shared" si="258"/>
        <v/>
      </c>
      <c r="E518" s="2" t="str">
        <f t="shared" si="259"/>
        <v/>
      </c>
      <c r="F518" s="2" t="str">
        <f t="shared" si="260"/>
        <v/>
      </c>
      <c r="G518" s="2" t="str">
        <f t="shared" si="261"/>
        <v/>
      </c>
      <c r="H518" s="2" t="str">
        <f t="shared" si="276"/>
        <v/>
      </c>
      <c r="I518" s="2" t="str">
        <f t="shared" si="277"/>
        <v/>
      </c>
      <c r="J518" s="2" t="str">
        <f t="shared" si="278"/>
        <v/>
      </c>
      <c r="K518" s="2" t="str">
        <f t="shared" si="262"/>
        <v/>
      </c>
      <c r="L518" s="2" t="str">
        <f t="shared" si="263"/>
        <v/>
      </c>
      <c r="M518" s="2" t="str">
        <f t="shared" si="264"/>
        <v/>
      </c>
      <c r="N518" s="2" t="str">
        <f t="shared" si="279"/>
        <v/>
      </c>
      <c r="O518" s="2" t="str">
        <f t="shared" si="280"/>
        <v/>
      </c>
      <c r="P518" s="2" t="str">
        <f t="shared" si="281"/>
        <v/>
      </c>
      <c r="Q518" s="2" t="str">
        <f t="shared" si="265"/>
        <v/>
      </c>
      <c r="R518" s="2" t="str">
        <f t="shared" si="266"/>
        <v/>
      </c>
      <c r="S518" s="2" t="str">
        <f t="shared" si="267"/>
        <v/>
      </c>
      <c r="T518" s="2" t="str">
        <f t="shared" si="282"/>
        <v/>
      </c>
      <c r="U518" s="2" t="str">
        <f t="shared" si="283"/>
        <v/>
      </c>
      <c r="V518" s="2" t="str">
        <f t="shared" si="284"/>
        <v/>
      </c>
      <c r="W518" s="2" t="str">
        <f t="shared" si="268"/>
        <v/>
      </c>
      <c r="X518" s="2" t="str">
        <f t="shared" si="269"/>
        <v/>
      </c>
      <c r="Y518" s="2" t="str">
        <f t="shared" si="270"/>
        <v/>
      </c>
      <c r="Z518" s="2" t="str">
        <f t="shared" si="285"/>
        <v/>
      </c>
      <c r="AA518" s="2" t="str">
        <f t="shared" si="286"/>
        <v/>
      </c>
      <c r="AB518" s="2" t="str">
        <f t="shared" si="287"/>
        <v/>
      </c>
      <c r="AC518" s="2" t="str">
        <f t="shared" si="271"/>
        <v/>
      </c>
      <c r="AD518" s="2" t="str">
        <f t="shared" si="272"/>
        <v/>
      </c>
      <c r="AE518" s="2" t="str">
        <f t="shared" si="273"/>
        <v/>
      </c>
      <c r="AF518" s="2" t="str">
        <f t="shared" si="274"/>
        <v/>
      </c>
    </row>
    <row r="519" spans="1:32" x14ac:dyDescent="0.2">
      <c r="A519" s="2" t="str">
        <f t="shared" si="275"/>
        <v/>
      </c>
      <c r="B519" s="2" t="str">
        <f t="shared" si="256"/>
        <v/>
      </c>
      <c r="C519" s="2" t="str">
        <f t="shared" si="257"/>
        <v/>
      </c>
      <c r="D519" s="2" t="str">
        <f t="shared" si="258"/>
        <v/>
      </c>
      <c r="E519" s="2" t="str">
        <f t="shared" si="259"/>
        <v/>
      </c>
      <c r="F519" s="2" t="str">
        <f t="shared" si="260"/>
        <v/>
      </c>
      <c r="G519" s="2" t="str">
        <f t="shared" si="261"/>
        <v/>
      </c>
      <c r="H519" s="2" t="str">
        <f t="shared" si="276"/>
        <v/>
      </c>
      <c r="I519" s="2" t="str">
        <f t="shared" si="277"/>
        <v/>
      </c>
      <c r="J519" s="2" t="str">
        <f t="shared" si="278"/>
        <v/>
      </c>
      <c r="K519" s="2" t="str">
        <f t="shared" si="262"/>
        <v/>
      </c>
      <c r="L519" s="2" t="str">
        <f t="shared" si="263"/>
        <v/>
      </c>
      <c r="M519" s="2" t="str">
        <f t="shared" si="264"/>
        <v/>
      </c>
      <c r="N519" s="2" t="str">
        <f t="shared" si="279"/>
        <v/>
      </c>
      <c r="O519" s="2" t="str">
        <f t="shared" si="280"/>
        <v/>
      </c>
      <c r="P519" s="2" t="str">
        <f t="shared" si="281"/>
        <v/>
      </c>
      <c r="Q519" s="2" t="str">
        <f t="shared" si="265"/>
        <v/>
      </c>
      <c r="R519" s="2" t="str">
        <f t="shared" si="266"/>
        <v/>
      </c>
      <c r="S519" s="2" t="str">
        <f t="shared" si="267"/>
        <v/>
      </c>
      <c r="T519" s="2" t="str">
        <f t="shared" si="282"/>
        <v/>
      </c>
      <c r="U519" s="2" t="str">
        <f t="shared" si="283"/>
        <v/>
      </c>
      <c r="V519" s="2" t="str">
        <f t="shared" si="284"/>
        <v/>
      </c>
      <c r="W519" s="2" t="str">
        <f t="shared" si="268"/>
        <v/>
      </c>
      <c r="X519" s="2" t="str">
        <f t="shared" si="269"/>
        <v/>
      </c>
      <c r="Y519" s="2" t="str">
        <f t="shared" si="270"/>
        <v/>
      </c>
      <c r="Z519" s="2" t="str">
        <f t="shared" si="285"/>
        <v/>
      </c>
      <c r="AA519" s="2" t="str">
        <f t="shared" si="286"/>
        <v/>
      </c>
      <c r="AB519" s="2" t="str">
        <f t="shared" si="287"/>
        <v/>
      </c>
      <c r="AC519" s="2" t="str">
        <f t="shared" si="271"/>
        <v/>
      </c>
      <c r="AD519" s="2" t="str">
        <f t="shared" si="272"/>
        <v/>
      </c>
      <c r="AE519" s="2" t="str">
        <f t="shared" si="273"/>
        <v/>
      </c>
      <c r="AF519" s="2" t="str">
        <f t="shared" si="274"/>
        <v/>
      </c>
    </row>
    <row r="520" spans="1:32" x14ac:dyDescent="0.2">
      <c r="A520" s="2" t="str">
        <f t="shared" si="275"/>
        <v/>
      </c>
      <c r="B520" s="2" t="str">
        <f t="shared" si="256"/>
        <v/>
      </c>
      <c r="C520" s="2" t="str">
        <f t="shared" si="257"/>
        <v/>
      </c>
      <c r="D520" s="2" t="str">
        <f t="shared" si="258"/>
        <v/>
      </c>
      <c r="E520" s="2" t="str">
        <f t="shared" si="259"/>
        <v/>
      </c>
      <c r="F520" s="2" t="str">
        <f t="shared" si="260"/>
        <v/>
      </c>
      <c r="G520" s="2" t="str">
        <f t="shared" si="261"/>
        <v/>
      </c>
      <c r="H520" s="2" t="str">
        <f t="shared" si="276"/>
        <v/>
      </c>
      <c r="I520" s="2" t="str">
        <f t="shared" si="277"/>
        <v/>
      </c>
      <c r="J520" s="2" t="str">
        <f t="shared" si="278"/>
        <v/>
      </c>
      <c r="K520" s="2" t="str">
        <f t="shared" si="262"/>
        <v/>
      </c>
      <c r="L520" s="2" t="str">
        <f t="shared" si="263"/>
        <v/>
      </c>
      <c r="M520" s="2" t="str">
        <f t="shared" si="264"/>
        <v/>
      </c>
      <c r="N520" s="2" t="str">
        <f t="shared" si="279"/>
        <v/>
      </c>
      <c r="O520" s="2" t="str">
        <f t="shared" si="280"/>
        <v/>
      </c>
      <c r="P520" s="2" t="str">
        <f t="shared" si="281"/>
        <v/>
      </c>
      <c r="Q520" s="2" t="str">
        <f t="shared" si="265"/>
        <v/>
      </c>
      <c r="R520" s="2" t="str">
        <f t="shared" si="266"/>
        <v/>
      </c>
      <c r="S520" s="2" t="str">
        <f t="shared" si="267"/>
        <v/>
      </c>
      <c r="T520" s="2" t="str">
        <f t="shared" si="282"/>
        <v/>
      </c>
      <c r="U520" s="2" t="str">
        <f t="shared" si="283"/>
        <v/>
      </c>
      <c r="V520" s="2" t="str">
        <f t="shared" si="284"/>
        <v/>
      </c>
      <c r="W520" s="2" t="str">
        <f t="shared" si="268"/>
        <v/>
      </c>
      <c r="X520" s="2" t="str">
        <f t="shared" si="269"/>
        <v/>
      </c>
      <c r="Y520" s="2" t="str">
        <f t="shared" si="270"/>
        <v/>
      </c>
      <c r="Z520" s="2" t="str">
        <f t="shared" si="285"/>
        <v/>
      </c>
      <c r="AA520" s="2" t="str">
        <f t="shared" si="286"/>
        <v/>
      </c>
      <c r="AB520" s="2" t="str">
        <f t="shared" si="287"/>
        <v/>
      </c>
      <c r="AC520" s="2" t="str">
        <f t="shared" si="271"/>
        <v/>
      </c>
      <c r="AD520" s="2" t="str">
        <f t="shared" si="272"/>
        <v/>
      </c>
      <c r="AE520" s="2" t="str">
        <f t="shared" si="273"/>
        <v/>
      </c>
      <c r="AF520" s="2" t="str">
        <f t="shared" si="274"/>
        <v/>
      </c>
    </row>
    <row r="521" spans="1:32" x14ac:dyDescent="0.2">
      <c r="A521" s="2" t="str">
        <f t="shared" si="275"/>
        <v/>
      </c>
      <c r="B521" s="2" t="str">
        <f t="shared" si="256"/>
        <v/>
      </c>
      <c r="C521" s="2" t="str">
        <f t="shared" si="257"/>
        <v/>
      </c>
      <c r="D521" s="2" t="str">
        <f t="shared" si="258"/>
        <v/>
      </c>
      <c r="E521" s="2" t="str">
        <f t="shared" si="259"/>
        <v/>
      </c>
      <c r="F521" s="2" t="str">
        <f t="shared" si="260"/>
        <v/>
      </c>
      <c r="G521" s="2" t="str">
        <f t="shared" si="261"/>
        <v/>
      </c>
      <c r="H521" s="2" t="str">
        <f t="shared" si="276"/>
        <v/>
      </c>
      <c r="I521" s="2" t="str">
        <f t="shared" si="277"/>
        <v/>
      </c>
      <c r="J521" s="2" t="str">
        <f t="shared" si="278"/>
        <v/>
      </c>
      <c r="K521" s="2" t="str">
        <f t="shared" si="262"/>
        <v/>
      </c>
      <c r="L521" s="2" t="str">
        <f t="shared" si="263"/>
        <v/>
      </c>
      <c r="M521" s="2" t="str">
        <f t="shared" si="264"/>
        <v/>
      </c>
      <c r="N521" s="2" t="str">
        <f t="shared" si="279"/>
        <v/>
      </c>
      <c r="O521" s="2" t="str">
        <f t="shared" si="280"/>
        <v/>
      </c>
      <c r="P521" s="2" t="str">
        <f t="shared" si="281"/>
        <v/>
      </c>
      <c r="Q521" s="2" t="str">
        <f t="shared" si="265"/>
        <v/>
      </c>
      <c r="R521" s="2" t="str">
        <f t="shared" si="266"/>
        <v/>
      </c>
      <c r="S521" s="2" t="str">
        <f t="shared" si="267"/>
        <v/>
      </c>
      <c r="T521" s="2" t="str">
        <f t="shared" si="282"/>
        <v/>
      </c>
      <c r="U521" s="2" t="str">
        <f t="shared" si="283"/>
        <v/>
      </c>
      <c r="V521" s="2" t="str">
        <f t="shared" si="284"/>
        <v/>
      </c>
      <c r="W521" s="2" t="str">
        <f t="shared" si="268"/>
        <v/>
      </c>
      <c r="X521" s="2" t="str">
        <f t="shared" si="269"/>
        <v/>
      </c>
      <c r="Y521" s="2" t="str">
        <f t="shared" si="270"/>
        <v/>
      </c>
      <c r="Z521" s="2" t="str">
        <f t="shared" si="285"/>
        <v/>
      </c>
      <c r="AA521" s="2" t="str">
        <f t="shared" si="286"/>
        <v/>
      </c>
      <c r="AB521" s="2" t="str">
        <f t="shared" si="287"/>
        <v/>
      </c>
      <c r="AC521" s="2" t="str">
        <f t="shared" si="271"/>
        <v/>
      </c>
      <c r="AD521" s="2" t="str">
        <f t="shared" si="272"/>
        <v/>
      </c>
      <c r="AE521" s="2" t="str">
        <f t="shared" si="273"/>
        <v/>
      </c>
      <c r="AF521" s="2" t="str">
        <f t="shared" si="274"/>
        <v/>
      </c>
    </row>
    <row r="522" spans="1:32" x14ac:dyDescent="0.2">
      <c r="A522" s="2" t="str">
        <f t="shared" si="275"/>
        <v/>
      </c>
      <c r="B522" s="2" t="str">
        <f t="shared" si="256"/>
        <v/>
      </c>
      <c r="C522" s="2" t="str">
        <f t="shared" si="257"/>
        <v/>
      </c>
      <c r="D522" s="2" t="str">
        <f t="shared" si="258"/>
        <v/>
      </c>
      <c r="E522" s="2" t="str">
        <f t="shared" si="259"/>
        <v/>
      </c>
      <c r="F522" s="2" t="str">
        <f t="shared" si="260"/>
        <v/>
      </c>
      <c r="G522" s="2" t="str">
        <f t="shared" si="261"/>
        <v/>
      </c>
      <c r="H522" s="2" t="str">
        <f t="shared" si="276"/>
        <v/>
      </c>
      <c r="I522" s="2" t="str">
        <f t="shared" si="277"/>
        <v/>
      </c>
      <c r="J522" s="2" t="str">
        <f t="shared" si="278"/>
        <v/>
      </c>
      <c r="K522" s="2" t="str">
        <f t="shared" si="262"/>
        <v/>
      </c>
      <c r="L522" s="2" t="str">
        <f t="shared" si="263"/>
        <v/>
      </c>
      <c r="M522" s="2" t="str">
        <f t="shared" si="264"/>
        <v/>
      </c>
      <c r="N522" s="2" t="str">
        <f t="shared" si="279"/>
        <v/>
      </c>
      <c r="O522" s="2" t="str">
        <f t="shared" si="280"/>
        <v/>
      </c>
      <c r="P522" s="2" t="str">
        <f t="shared" si="281"/>
        <v/>
      </c>
      <c r="Q522" s="2" t="str">
        <f t="shared" si="265"/>
        <v/>
      </c>
      <c r="R522" s="2" t="str">
        <f t="shared" si="266"/>
        <v/>
      </c>
      <c r="S522" s="2" t="str">
        <f t="shared" si="267"/>
        <v/>
      </c>
      <c r="T522" s="2" t="str">
        <f t="shared" si="282"/>
        <v/>
      </c>
      <c r="U522" s="2" t="str">
        <f t="shared" si="283"/>
        <v/>
      </c>
      <c r="V522" s="2" t="str">
        <f t="shared" si="284"/>
        <v/>
      </c>
      <c r="W522" s="2" t="str">
        <f t="shared" si="268"/>
        <v/>
      </c>
      <c r="X522" s="2" t="str">
        <f t="shared" si="269"/>
        <v/>
      </c>
      <c r="Y522" s="2" t="str">
        <f t="shared" si="270"/>
        <v/>
      </c>
      <c r="Z522" s="2" t="str">
        <f t="shared" si="285"/>
        <v/>
      </c>
      <c r="AA522" s="2" t="str">
        <f t="shared" si="286"/>
        <v/>
      </c>
      <c r="AB522" s="2" t="str">
        <f t="shared" si="287"/>
        <v/>
      </c>
      <c r="AC522" s="2" t="str">
        <f t="shared" si="271"/>
        <v/>
      </c>
      <c r="AD522" s="2" t="str">
        <f t="shared" si="272"/>
        <v/>
      </c>
      <c r="AE522" s="2" t="str">
        <f t="shared" si="273"/>
        <v/>
      </c>
      <c r="AF522" s="2" t="str">
        <f t="shared" si="274"/>
        <v/>
      </c>
    </row>
    <row r="523" spans="1:32" x14ac:dyDescent="0.2">
      <c r="A523" s="2" t="str">
        <f t="shared" si="275"/>
        <v/>
      </c>
      <c r="B523" s="2" t="str">
        <f t="shared" si="256"/>
        <v/>
      </c>
      <c r="C523" s="2" t="str">
        <f t="shared" si="257"/>
        <v/>
      </c>
      <c r="D523" s="2" t="str">
        <f t="shared" si="258"/>
        <v/>
      </c>
      <c r="E523" s="2" t="str">
        <f t="shared" si="259"/>
        <v/>
      </c>
      <c r="F523" s="2" t="str">
        <f t="shared" si="260"/>
        <v/>
      </c>
      <c r="G523" s="2" t="str">
        <f t="shared" si="261"/>
        <v/>
      </c>
      <c r="H523" s="2" t="str">
        <f t="shared" si="276"/>
        <v/>
      </c>
      <c r="I523" s="2" t="str">
        <f t="shared" si="277"/>
        <v/>
      </c>
      <c r="J523" s="2" t="str">
        <f t="shared" si="278"/>
        <v/>
      </c>
      <c r="K523" s="2" t="str">
        <f t="shared" si="262"/>
        <v/>
      </c>
      <c r="L523" s="2" t="str">
        <f t="shared" si="263"/>
        <v/>
      </c>
      <c r="M523" s="2" t="str">
        <f t="shared" si="264"/>
        <v/>
      </c>
      <c r="N523" s="2" t="str">
        <f t="shared" si="279"/>
        <v/>
      </c>
      <c r="O523" s="2" t="str">
        <f t="shared" si="280"/>
        <v/>
      </c>
      <c r="P523" s="2" t="str">
        <f t="shared" si="281"/>
        <v/>
      </c>
      <c r="Q523" s="2" t="str">
        <f t="shared" si="265"/>
        <v/>
      </c>
      <c r="R523" s="2" t="str">
        <f t="shared" si="266"/>
        <v/>
      </c>
      <c r="S523" s="2" t="str">
        <f t="shared" si="267"/>
        <v/>
      </c>
      <c r="T523" s="2" t="str">
        <f t="shared" si="282"/>
        <v/>
      </c>
      <c r="U523" s="2" t="str">
        <f t="shared" si="283"/>
        <v/>
      </c>
      <c r="V523" s="2" t="str">
        <f t="shared" si="284"/>
        <v/>
      </c>
      <c r="W523" s="2" t="str">
        <f t="shared" si="268"/>
        <v/>
      </c>
      <c r="X523" s="2" t="str">
        <f t="shared" si="269"/>
        <v/>
      </c>
      <c r="Y523" s="2" t="str">
        <f t="shared" si="270"/>
        <v/>
      </c>
      <c r="Z523" s="2" t="str">
        <f t="shared" si="285"/>
        <v/>
      </c>
      <c r="AA523" s="2" t="str">
        <f t="shared" si="286"/>
        <v/>
      </c>
      <c r="AB523" s="2" t="str">
        <f t="shared" si="287"/>
        <v/>
      </c>
      <c r="AC523" s="2" t="str">
        <f t="shared" si="271"/>
        <v/>
      </c>
      <c r="AD523" s="2" t="str">
        <f t="shared" si="272"/>
        <v/>
      </c>
      <c r="AE523" s="2" t="str">
        <f t="shared" si="273"/>
        <v/>
      </c>
      <c r="AF523" s="2" t="str">
        <f t="shared" si="274"/>
        <v/>
      </c>
    </row>
    <row r="524" spans="1:32" x14ac:dyDescent="0.2">
      <c r="A524" s="2" t="str">
        <f t="shared" si="275"/>
        <v/>
      </c>
      <c r="B524" s="2" t="str">
        <f t="shared" si="256"/>
        <v/>
      </c>
      <c r="C524" s="2" t="str">
        <f t="shared" si="257"/>
        <v/>
      </c>
      <c r="D524" s="2" t="str">
        <f t="shared" si="258"/>
        <v/>
      </c>
      <c r="E524" s="2" t="str">
        <f t="shared" si="259"/>
        <v/>
      </c>
      <c r="F524" s="2" t="str">
        <f t="shared" si="260"/>
        <v/>
      </c>
      <c r="G524" s="2" t="str">
        <f t="shared" si="261"/>
        <v/>
      </c>
      <c r="H524" s="2" t="str">
        <f t="shared" si="276"/>
        <v/>
      </c>
      <c r="I524" s="2" t="str">
        <f t="shared" si="277"/>
        <v/>
      </c>
      <c r="J524" s="2" t="str">
        <f t="shared" si="278"/>
        <v/>
      </c>
      <c r="K524" s="2" t="str">
        <f t="shared" si="262"/>
        <v/>
      </c>
      <c r="L524" s="2" t="str">
        <f t="shared" si="263"/>
        <v/>
      </c>
      <c r="M524" s="2" t="str">
        <f t="shared" si="264"/>
        <v/>
      </c>
      <c r="N524" s="2" t="str">
        <f t="shared" si="279"/>
        <v/>
      </c>
      <c r="O524" s="2" t="str">
        <f t="shared" si="280"/>
        <v/>
      </c>
      <c r="P524" s="2" t="str">
        <f t="shared" si="281"/>
        <v/>
      </c>
      <c r="Q524" s="2" t="str">
        <f t="shared" si="265"/>
        <v/>
      </c>
      <c r="R524" s="2" t="str">
        <f t="shared" si="266"/>
        <v/>
      </c>
      <c r="S524" s="2" t="str">
        <f t="shared" si="267"/>
        <v/>
      </c>
      <c r="T524" s="2" t="str">
        <f t="shared" si="282"/>
        <v/>
      </c>
      <c r="U524" s="2" t="str">
        <f t="shared" si="283"/>
        <v/>
      </c>
      <c r="V524" s="2" t="str">
        <f t="shared" si="284"/>
        <v/>
      </c>
      <c r="W524" s="2" t="str">
        <f t="shared" si="268"/>
        <v/>
      </c>
      <c r="X524" s="2" t="str">
        <f t="shared" si="269"/>
        <v/>
      </c>
      <c r="Y524" s="2" t="str">
        <f t="shared" si="270"/>
        <v/>
      </c>
      <c r="Z524" s="2" t="str">
        <f t="shared" si="285"/>
        <v/>
      </c>
      <c r="AA524" s="2" t="str">
        <f t="shared" si="286"/>
        <v/>
      </c>
      <c r="AB524" s="2" t="str">
        <f t="shared" si="287"/>
        <v/>
      </c>
      <c r="AC524" s="2" t="str">
        <f t="shared" si="271"/>
        <v/>
      </c>
      <c r="AD524" s="2" t="str">
        <f t="shared" si="272"/>
        <v/>
      </c>
      <c r="AE524" s="2" t="str">
        <f t="shared" si="273"/>
        <v/>
      </c>
      <c r="AF524" s="2" t="str">
        <f t="shared" si="274"/>
        <v/>
      </c>
    </row>
    <row r="525" spans="1:32" x14ac:dyDescent="0.2">
      <c r="A525" s="2" t="str">
        <f t="shared" si="275"/>
        <v/>
      </c>
      <c r="B525" s="2" t="str">
        <f t="shared" si="256"/>
        <v/>
      </c>
      <c r="C525" s="2" t="str">
        <f t="shared" si="257"/>
        <v/>
      </c>
      <c r="D525" s="2" t="str">
        <f t="shared" si="258"/>
        <v/>
      </c>
      <c r="E525" s="2" t="str">
        <f t="shared" si="259"/>
        <v/>
      </c>
      <c r="F525" s="2" t="str">
        <f t="shared" si="260"/>
        <v/>
      </c>
      <c r="G525" s="2" t="str">
        <f t="shared" si="261"/>
        <v/>
      </c>
      <c r="H525" s="2" t="str">
        <f t="shared" si="276"/>
        <v/>
      </c>
      <c r="I525" s="2" t="str">
        <f t="shared" si="277"/>
        <v/>
      </c>
      <c r="J525" s="2" t="str">
        <f t="shared" si="278"/>
        <v/>
      </c>
      <c r="K525" s="2" t="str">
        <f t="shared" si="262"/>
        <v/>
      </c>
      <c r="L525" s="2" t="str">
        <f t="shared" si="263"/>
        <v/>
      </c>
      <c r="M525" s="2" t="str">
        <f t="shared" si="264"/>
        <v/>
      </c>
      <c r="N525" s="2" t="str">
        <f t="shared" si="279"/>
        <v/>
      </c>
      <c r="O525" s="2" t="str">
        <f t="shared" si="280"/>
        <v/>
      </c>
      <c r="P525" s="2" t="str">
        <f t="shared" si="281"/>
        <v/>
      </c>
      <c r="Q525" s="2" t="str">
        <f t="shared" si="265"/>
        <v/>
      </c>
      <c r="R525" s="2" t="str">
        <f t="shared" si="266"/>
        <v/>
      </c>
      <c r="S525" s="2" t="str">
        <f t="shared" si="267"/>
        <v/>
      </c>
      <c r="T525" s="2" t="str">
        <f t="shared" si="282"/>
        <v/>
      </c>
      <c r="U525" s="2" t="str">
        <f t="shared" si="283"/>
        <v/>
      </c>
      <c r="V525" s="2" t="str">
        <f t="shared" si="284"/>
        <v/>
      </c>
      <c r="W525" s="2" t="str">
        <f t="shared" si="268"/>
        <v/>
      </c>
      <c r="X525" s="2" t="str">
        <f t="shared" si="269"/>
        <v/>
      </c>
      <c r="Y525" s="2" t="str">
        <f t="shared" si="270"/>
        <v/>
      </c>
      <c r="Z525" s="2" t="str">
        <f t="shared" si="285"/>
        <v/>
      </c>
      <c r="AA525" s="2" t="str">
        <f t="shared" si="286"/>
        <v/>
      </c>
      <c r="AB525" s="2" t="str">
        <f t="shared" si="287"/>
        <v/>
      </c>
      <c r="AC525" s="2" t="str">
        <f t="shared" si="271"/>
        <v/>
      </c>
      <c r="AD525" s="2" t="str">
        <f t="shared" si="272"/>
        <v/>
      </c>
      <c r="AE525" s="2" t="str">
        <f t="shared" si="273"/>
        <v/>
      </c>
      <c r="AF525" s="2" t="str">
        <f t="shared" si="274"/>
        <v/>
      </c>
    </row>
    <row r="526" spans="1:32" x14ac:dyDescent="0.2">
      <c r="A526" s="2" t="str">
        <f t="shared" si="275"/>
        <v/>
      </c>
      <c r="B526" s="2" t="str">
        <f t="shared" si="256"/>
        <v/>
      </c>
      <c r="C526" s="2" t="str">
        <f t="shared" si="257"/>
        <v/>
      </c>
      <c r="D526" s="2" t="str">
        <f t="shared" si="258"/>
        <v/>
      </c>
      <c r="E526" s="2" t="str">
        <f t="shared" si="259"/>
        <v/>
      </c>
      <c r="F526" s="2" t="str">
        <f t="shared" si="260"/>
        <v/>
      </c>
      <c r="G526" s="2" t="str">
        <f t="shared" si="261"/>
        <v/>
      </c>
      <c r="H526" s="2" t="str">
        <f t="shared" si="276"/>
        <v/>
      </c>
      <c r="I526" s="2" t="str">
        <f t="shared" si="277"/>
        <v/>
      </c>
      <c r="J526" s="2" t="str">
        <f t="shared" si="278"/>
        <v/>
      </c>
      <c r="K526" s="2" t="str">
        <f t="shared" si="262"/>
        <v/>
      </c>
      <c r="L526" s="2" t="str">
        <f t="shared" si="263"/>
        <v/>
      </c>
      <c r="M526" s="2" t="str">
        <f t="shared" si="264"/>
        <v/>
      </c>
      <c r="N526" s="2" t="str">
        <f t="shared" si="279"/>
        <v/>
      </c>
      <c r="O526" s="2" t="str">
        <f t="shared" si="280"/>
        <v/>
      </c>
      <c r="P526" s="2" t="str">
        <f t="shared" si="281"/>
        <v/>
      </c>
      <c r="Q526" s="2" t="str">
        <f t="shared" si="265"/>
        <v/>
      </c>
      <c r="R526" s="2" t="str">
        <f t="shared" si="266"/>
        <v/>
      </c>
      <c r="S526" s="2" t="str">
        <f t="shared" si="267"/>
        <v/>
      </c>
      <c r="T526" s="2" t="str">
        <f t="shared" si="282"/>
        <v/>
      </c>
      <c r="U526" s="2" t="str">
        <f t="shared" si="283"/>
        <v/>
      </c>
      <c r="V526" s="2" t="str">
        <f t="shared" si="284"/>
        <v/>
      </c>
      <c r="W526" s="2" t="str">
        <f t="shared" si="268"/>
        <v/>
      </c>
      <c r="X526" s="2" t="str">
        <f t="shared" si="269"/>
        <v/>
      </c>
      <c r="Y526" s="2" t="str">
        <f t="shared" si="270"/>
        <v/>
      </c>
      <c r="Z526" s="2" t="str">
        <f t="shared" si="285"/>
        <v/>
      </c>
      <c r="AA526" s="2" t="str">
        <f t="shared" si="286"/>
        <v/>
      </c>
      <c r="AB526" s="2" t="str">
        <f t="shared" si="287"/>
        <v/>
      </c>
      <c r="AC526" s="2" t="str">
        <f t="shared" si="271"/>
        <v/>
      </c>
      <c r="AD526" s="2" t="str">
        <f t="shared" si="272"/>
        <v/>
      </c>
      <c r="AE526" s="2" t="str">
        <f t="shared" si="273"/>
        <v/>
      </c>
      <c r="AF526" s="2" t="str">
        <f t="shared" si="274"/>
        <v/>
      </c>
    </row>
    <row r="527" spans="1:32" x14ac:dyDescent="0.2">
      <c r="A527" s="2" t="str">
        <f t="shared" si="275"/>
        <v/>
      </c>
      <c r="B527" s="2" t="str">
        <f t="shared" si="256"/>
        <v/>
      </c>
      <c r="C527" s="2" t="str">
        <f t="shared" si="257"/>
        <v/>
      </c>
      <c r="D527" s="2" t="str">
        <f t="shared" si="258"/>
        <v/>
      </c>
      <c r="E527" s="2" t="str">
        <f t="shared" si="259"/>
        <v/>
      </c>
      <c r="F527" s="2" t="str">
        <f t="shared" si="260"/>
        <v/>
      </c>
      <c r="G527" s="2" t="str">
        <f t="shared" si="261"/>
        <v/>
      </c>
      <c r="H527" s="2" t="str">
        <f t="shared" si="276"/>
        <v/>
      </c>
      <c r="I527" s="2" t="str">
        <f t="shared" si="277"/>
        <v/>
      </c>
      <c r="J527" s="2" t="str">
        <f t="shared" si="278"/>
        <v/>
      </c>
      <c r="K527" s="2" t="str">
        <f t="shared" si="262"/>
        <v/>
      </c>
      <c r="L527" s="2" t="str">
        <f t="shared" si="263"/>
        <v/>
      </c>
      <c r="M527" s="2" t="str">
        <f t="shared" si="264"/>
        <v/>
      </c>
      <c r="N527" s="2" t="str">
        <f t="shared" si="279"/>
        <v/>
      </c>
      <c r="O527" s="2" t="str">
        <f t="shared" si="280"/>
        <v/>
      </c>
      <c r="P527" s="2" t="str">
        <f t="shared" si="281"/>
        <v/>
      </c>
      <c r="Q527" s="2" t="str">
        <f t="shared" si="265"/>
        <v/>
      </c>
      <c r="R527" s="2" t="str">
        <f t="shared" si="266"/>
        <v/>
      </c>
      <c r="S527" s="2" t="str">
        <f t="shared" si="267"/>
        <v/>
      </c>
      <c r="T527" s="2" t="str">
        <f t="shared" si="282"/>
        <v/>
      </c>
      <c r="U527" s="2" t="str">
        <f t="shared" si="283"/>
        <v/>
      </c>
      <c r="V527" s="2" t="str">
        <f t="shared" si="284"/>
        <v/>
      </c>
      <c r="W527" s="2" t="str">
        <f t="shared" si="268"/>
        <v/>
      </c>
      <c r="X527" s="2" t="str">
        <f t="shared" si="269"/>
        <v/>
      </c>
      <c r="Y527" s="2" t="str">
        <f t="shared" si="270"/>
        <v/>
      </c>
      <c r="Z527" s="2" t="str">
        <f t="shared" si="285"/>
        <v/>
      </c>
      <c r="AA527" s="2" t="str">
        <f t="shared" si="286"/>
        <v/>
      </c>
      <c r="AB527" s="2" t="str">
        <f t="shared" si="287"/>
        <v/>
      </c>
      <c r="AC527" s="2" t="str">
        <f t="shared" si="271"/>
        <v/>
      </c>
      <c r="AD527" s="2" t="str">
        <f t="shared" si="272"/>
        <v/>
      </c>
      <c r="AE527" s="2" t="str">
        <f t="shared" si="273"/>
        <v/>
      </c>
      <c r="AF527" s="2" t="str">
        <f t="shared" si="274"/>
        <v/>
      </c>
    </row>
    <row r="528" spans="1:32" x14ac:dyDescent="0.2">
      <c r="A528" s="2" t="str">
        <f t="shared" si="275"/>
        <v/>
      </c>
      <c r="B528" s="2" t="str">
        <f t="shared" si="256"/>
        <v/>
      </c>
      <c r="C528" s="2" t="str">
        <f t="shared" si="257"/>
        <v/>
      </c>
      <c r="D528" s="2" t="str">
        <f t="shared" si="258"/>
        <v/>
      </c>
      <c r="E528" s="2" t="str">
        <f t="shared" si="259"/>
        <v/>
      </c>
      <c r="F528" s="2" t="str">
        <f t="shared" si="260"/>
        <v/>
      </c>
      <c r="G528" s="2" t="str">
        <f t="shared" si="261"/>
        <v/>
      </c>
      <c r="H528" s="2" t="str">
        <f t="shared" si="276"/>
        <v/>
      </c>
      <c r="I528" s="2" t="str">
        <f t="shared" si="277"/>
        <v/>
      </c>
      <c r="J528" s="2" t="str">
        <f t="shared" si="278"/>
        <v/>
      </c>
      <c r="K528" s="2" t="str">
        <f t="shared" si="262"/>
        <v/>
      </c>
      <c r="L528" s="2" t="str">
        <f t="shared" si="263"/>
        <v/>
      </c>
      <c r="M528" s="2" t="str">
        <f t="shared" si="264"/>
        <v/>
      </c>
      <c r="N528" s="2" t="str">
        <f t="shared" si="279"/>
        <v/>
      </c>
      <c r="O528" s="2" t="str">
        <f t="shared" si="280"/>
        <v/>
      </c>
      <c r="P528" s="2" t="str">
        <f t="shared" si="281"/>
        <v/>
      </c>
      <c r="Q528" s="2" t="str">
        <f t="shared" si="265"/>
        <v/>
      </c>
      <c r="R528" s="2" t="str">
        <f t="shared" si="266"/>
        <v/>
      </c>
      <c r="S528" s="2" t="str">
        <f t="shared" si="267"/>
        <v/>
      </c>
      <c r="T528" s="2" t="str">
        <f t="shared" si="282"/>
        <v/>
      </c>
      <c r="U528" s="2" t="str">
        <f t="shared" si="283"/>
        <v/>
      </c>
      <c r="V528" s="2" t="str">
        <f t="shared" si="284"/>
        <v/>
      </c>
      <c r="W528" s="2" t="str">
        <f t="shared" si="268"/>
        <v/>
      </c>
      <c r="X528" s="2" t="str">
        <f t="shared" si="269"/>
        <v/>
      </c>
      <c r="Y528" s="2" t="str">
        <f t="shared" si="270"/>
        <v/>
      </c>
      <c r="Z528" s="2" t="str">
        <f t="shared" si="285"/>
        <v/>
      </c>
      <c r="AA528" s="2" t="str">
        <f t="shared" si="286"/>
        <v/>
      </c>
      <c r="AB528" s="2" t="str">
        <f t="shared" si="287"/>
        <v/>
      </c>
      <c r="AC528" s="2" t="str">
        <f t="shared" si="271"/>
        <v/>
      </c>
      <c r="AD528" s="2" t="str">
        <f t="shared" si="272"/>
        <v/>
      </c>
      <c r="AE528" s="2" t="str">
        <f t="shared" si="273"/>
        <v/>
      </c>
      <c r="AF528" s="2" t="str">
        <f t="shared" si="274"/>
        <v/>
      </c>
    </row>
    <row r="529" spans="1:32" x14ac:dyDescent="0.2">
      <c r="A529" s="2" t="str">
        <f t="shared" si="275"/>
        <v/>
      </c>
      <c r="B529" s="2" t="str">
        <f t="shared" si="256"/>
        <v/>
      </c>
      <c r="C529" s="2" t="str">
        <f t="shared" si="257"/>
        <v/>
      </c>
      <c r="D529" s="2" t="str">
        <f t="shared" si="258"/>
        <v/>
      </c>
      <c r="E529" s="2" t="str">
        <f t="shared" si="259"/>
        <v/>
      </c>
      <c r="F529" s="2" t="str">
        <f t="shared" si="260"/>
        <v/>
      </c>
      <c r="G529" s="2" t="str">
        <f t="shared" si="261"/>
        <v/>
      </c>
      <c r="H529" s="2" t="str">
        <f t="shared" si="276"/>
        <v/>
      </c>
      <c r="I529" s="2" t="str">
        <f t="shared" si="277"/>
        <v/>
      </c>
      <c r="J529" s="2" t="str">
        <f t="shared" si="278"/>
        <v/>
      </c>
      <c r="K529" s="2" t="str">
        <f t="shared" si="262"/>
        <v/>
      </c>
      <c r="L529" s="2" t="str">
        <f t="shared" si="263"/>
        <v/>
      </c>
      <c r="M529" s="2" t="str">
        <f t="shared" si="264"/>
        <v/>
      </c>
      <c r="N529" s="2" t="str">
        <f t="shared" si="279"/>
        <v/>
      </c>
      <c r="O529" s="2" t="str">
        <f t="shared" si="280"/>
        <v/>
      </c>
      <c r="P529" s="2" t="str">
        <f t="shared" si="281"/>
        <v/>
      </c>
      <c r="Q529" s="2" t="str">
        <f t="shared" si="265"/>
        <v/>
      </c>
      <c r="R529" s="2" t="str">
        <f t="shared" si="266"/>
        <v/>
      </c>
      <c r="S529" s="2" t="str">
        <f t="shared" si="267"/>
        <v/>
      </c>
      <c r="T529" s="2" t="str">
        <f t="shared" si="282"/>
        <v/>
      </c>
      <c r="U529" s="2" t="str">
        <f t="shared" si="283"/>
        <v/>
      </c>
      <c r="V529" s="2" t="str">
        <f t="shared" si="284"/>
        <v/>
      </c>
      <c r="W529" s="2" t="str">
        <f t="shared" si="268"/>
        <v/>
      </c>
      <c r="X529" s="2" t="str">
        <f t="shared" si="269"/>
        <v/>
      </c>
      <c r="Y529" s="2" t="str">
        <f t="shared" si="270"/>
        <v/>
      </c>
      <c r="Z529" s="2" t="str">
        <f t="shared" si="285"/>
        <v/>
      </c>
      <c r="AA529" s="2" t="str">
        <f t="shared" si="286"/>
        <v/>
      </c>
      <c r="AB529" s="2" t="str">
        <f t="shared" si="287"/>
        <v/>
      </c>
      <c r="AC529" s="2" t="str">
        <f t="shared" si="271"/>
        <v/>
      </c>
      <c r="AD529" s="2" t="str">
        <f t="shared" si="272"/>
        <v/>
      </c>
      <c r="AE529" s="2" t="str">
        <f t="shared" si="273"/>
        <v/>
      </c>
      <c r="AF529" s="2" t="str">
        <f t="shared" si="274"/>
        <v/>
      </c>
    </row>
    <row r="530" spans="1:32" x14ac:dyDescent="0.2">
      <c r="A530" s="2" t="str">
        <f t="shared" si="275"/>
        <v/>
      </c>
      <c r="B530" s="2" t="str">
        <f t="shared" si="256"/>
        <v/>
      </c>
      <c r="C530" s="2" t="str">
        <f t="shared" si="257"/>
        <v/>
      </c>
      <c r="D530" s="2" t="str">
        <f t="shared" si="258"/>
        <v/>
      </c>
      <c r="E530" s="2" t="str">
        <f t="shared" si="259"/>
        <v/>
      </c>
      <c r="F530" s="2" t="str">
        <f t="shared" si="260"/>
        <v/>
      </c>
      <c r="G530" s="2" t="str">
        <f t="shared" si="261"/>
        <v/>
      </c>
      <c r="H530" s="2" t="str">
        <f t="shared" si="276"/>
        <v/>
      </c>
      <c r="I530" s="2" t="str">
        <f t="shared" si="277"/>
        <v/>
      </c>
      <c r="J530" s="2" t="str">
        <f t="shared" si="278"/>
        <v/>
      </c>
      <c r="K530" s="2" t="str">
        <f t="shared" si="262"/>
        <v/>
      </c>
      <c r="L530" s="2" t="str">
        <f t="shared" si="263"/>
        <v/>
      </c>
      <c r="M530" s="2" t="str">
        <f t="shared" si="264"/>
        <v/>
      </c>
      <c r="N530" s="2" t="str">
        <f t="shared" si="279"/>
        <v/>
      </c>
      <c r="O530" s="2" t="str">
        <f t="shared" si="280"/>
        <v/>
      </c>
      <c r="P530" s="2" t="str">
        <f t="shared" si="281"/>
        <v/>
      </c>
      <c r="Q530" s="2" t="str">
        <f t="shared" si="265"/>
        <v/>
      </c>
      <c r="R530" s="2" t="str">
        <f t="shared" si="266"/>
        <v/>
      </c>
      <c r="S530" s="2" t="str">
        <f t="shared" si="267"/>
        <v/>
      </c>
      <c r="T530" s="2" t="str">
        <f t="shared" si="282"/>
        <v/>
      </c>
      <c r="U530" s="2" t="str">
        <f t="shared" si="283"/>
        <v/>
      </c>
      <c r="V530" s="2" t="str">
        <f t="shared" si="284"/>
        <v/>
      </c>
      <c r="W530" s="2" t="str">
        <f t="shared" si="268"/>
        <v/>
      </c>
      <c r="X530" s="2" t="str">
        <f t="shared" si="269"/>
        <v/>
      </c>
      <c r="Y530" s="2" t="str">
        <f t="shared" si="270"/>
        <v/>
      </c>
      <c r="Z530" s="2" t="str">
        <f t="shared" si="285"/>
        <v/>
      </c>
      <c r="AA530" s="2" t="str">
        <f t="shared" si="286"/>
        <v/>
      </c>
      <c r="AB530" s="2" t="str">
        <f t="shared" si="287"/>
        <v/>
      </c>
      <c r="AC530" s="2" t="str">
        <f t="shared" si="271"/>
        <v/>
      </c>
      <c r="AD530" s="2" t="str">
        <f t="shared" si="272"/>
        <v/>
      </c>
      <c r="AE530" s="2" t="str">
        <f t="shared" si="273"/>
        <v/>
      </c>
      <c r="AF530" s="2" t="str">
        <f t="shared" si="274"/>
        <v/>
      </c>
    </row>
    <row r="531" spans="1:32" x14ac:dyDescent="0.2">
      <c r="A531" s="2" t="str">
        <f t="shared" si="275"/>
        <v/>
      </c>
      <c r="B531" s="2" t="str">
        <f t="shared" si="256"/>
        <v/>
      </c>
      <c r="C531" s="2" t="str">
        <f t="shared" si="257"/>
        <v/>
      </c>
      <c r="D531" s="2" t="str">
        <f t="shared" si="258"/>
        <v/>
      </c>
      <c r="E531" s="2" t="str">
        <f t="shared" si="259"/>
        <v/>
      </c>
      <c r="F531" s="2" t="str">
        <f t="shared" si="260"/>
        <v/>
      </c>
      <c r="G531" s="2" t="str">
        <f t="shared" si="261"/>
        <v/>
      </c>
      <c r="H531" s="2" t="str">
        <f t="shared" si="276"/>
        <v/>
      </c>
      <c r="I531" s="2" t="str">
        <f t="shared" si="277"/>
        <v/>
      </c>
      <c r="J531" s="2" t="str">
        <f t="shared" si="278"/>
        <v/>
      </c>
      <c r="K531" s="2" t="str">
        <f t="shared" si="262"/>
        <v/>
      </c>
      <c r="L531" s="2" t="str">
        <f t="shared" si="263"/>
        <v/>
      </c>
      <c r="M531" s="2" t="str">
        <f t="shared" si="264"/>
        <v/>
      </c>
      <c r="N531" s="2" t="str">
        <f t="shared" si="279"/>
        <v/>
      </c>
      <c r="O531" s="2" t="str">
        <f t="shared" si="280"/>
        <v/>
      </c>
      <c r="P531" s="2" t="str">
        <f t="shared" si="281"/>
        <v/>
      </c>
      <c r="Q531" s="2" t="str">
        <f t="shared" si="265"/>
        <v/>
      </c>
      <c r="R531" s="2" t="str">
        <f t="shared" si="266"/>
        <v/>
      </c>
      <c r="S531" s="2" t="str">
        <f t="shared" si="267"/>
        <v/>
      </c>
      <c r="T531" s="2" t="str">
        <f t="shared" si="282"/>
        <v/>
      </c>
      <c r="U531" s="2" t="str">
        <f t="shared" si="283"/>
        <v/>
      </c>
      <c r="V531" s="2" t="str">
        <f t="shared" si="284"/>
        <v/>
      </c>
      <c r="W531" s="2" t="str">
        <f t="shared" si="268"/>
        <v/>
      </c>
      <c r="X531" s="2" t="str">
        <f t="shared" si="269"/>
        <v/>
      </c>
      <c r="Y531" s="2" t="str">
        <f t="shared" si="270"/>
        <v/>
      </c>
      <c r="Z531" s="2" t="str">
        <f t="shared" si="285"/>
        <v/>
      </c>
      <c r="AA531" s="2" t="str">
        <f t="shared" si="286"/>
        <v/>
      </c>
      <c r="AB531" s="2" t="str">
        <f t="shared" si="287"/>
        <v/>
      </c>
      <c r="AC531" s="2" t="str">
        <f t="shared" si="271"/>
        <v/>
      </c>
      <c r="AD531" s="2" t="str">
        <f t="shared" si="272"/>
        <v/>
      </c>
      <c r="AE531" s="2" t="str">
        <f t="shared" si="273"/>
        <v/>
      </c>
      <c r="AF531" s="2" t="str">
        <f t="shared" si="274"/>
        <v/>
      </c>
    </row>
    <row r="532" spans="1:32" x14ac:dyDescent="0.2">
      <c r="A532" s="2" t="str">
        <f t="shared" si="275"/>
        <v/>
      </c>
      <c r="B532" s="2" t="str">
        <f t="shared" si="256"/>
        <v/>
      </c>
      <c r="C532" s="2" t="str">
        <f t="shared" si="257"/>
        <v/>
      </c>
      <c r="D532" s="2" t="str">
        <f t="shared" si="258"/>
        <v/>
      </c>
      <c r="E532" s="2" t="str">
        <f t="shared" si="259"/>
        <v/>
      </c>
      <c r="F532" s="2" t="str">
        <f t="shared" si="260"/>
        <v/>
      </c>
      <c r="G532" s="2" t="str">
        <f t="shared" si="261"/>
        <v/>
      </c>
      <c r="H532" s="2" t="str">
        <f t="shared" si="276"/>
        <v/>
      </c>
      <c r="I532" s="2" t="str">
        <f t="shared" si="277"/>
        <v/>
      </c>
      <c r="J532" s="2" t="str">
        <f t="shared" si="278"/>
        <v/>
      </c>
      <c r="K532" s="2" t="str">
        <f t="shared" si="262"/>
        <v/>
      </c>
      <c r="L532" s="2" t="str">
        <f t="shared" si="263"/>
        <v/>
      </c>
      <c r="M532" s="2" t="str">
        <f t="shared" si="264"/>
        <v/>
      </c>
      <c r="N532" s="2" t="str">
        <f t="shared" si="279"/>
        <v/>
      </c>
      <c r="O532" s="2" t="str">
        <f t="shared" si="280"/>
        <v/>
      </c>
      <c r="P532" s="2" t="str">
        <f t="shared" si="281"/>
        <v/>
      </c>
      <c r="Q532" s="2" t="str">
        <f t="shared" si="265"/>
        <v/>
      </c>
      <c r="R532" s="2" t="str">
        <f t="shared" si="266"/>
        <v/>
      </c>
      <c r="S532" s="2" t="str">
        <f t="shared" si="267"/>
        <v/>
      </c>
      <c r="T532" s="2" t="str">
        <f t="shared" si="282"/>
        <v/>
      </c>
      <c r="U532" s="2" t="str">
        <f t="shared" si="283"/>
        <v/>
      </c>
      <c r="V532" s="2" t="str">
        <f t="shared" si="284"/>
        <v/>
      </c>
      <c r="W532" s="2" t="str">
        <f t="shared" si="268"/>
        <v/>
      </c>
      <c r="X532" s="2" t="str">
        <f t="shared" si="269"/>
        <v/>
      </c>
      <c r="Y532" s="2" t="str">
        <f t="shared" si="270"/>
        <v/>
      </c>
      <c r="Z532" s="2" t="str">
        <f t="shared" si="285"/>
        <v/>
      </c>
      <c r="AA532" s="2" t="str">
        <f t="shared" si="286"/>
        <v/>
      </c>
      <c r="AB532" s="2" t="str">
        <f t="shared" si="287"/>
        <v/>
      </c>
      <c r="AC532" s="2" t="str">
        <f t="shared" si="271"/>
        <v/>
      </c>
      <c r="AD532" s="2" t="str">
        <f t="shared" si="272"/>
        <v/>
      </c>
      <c r="AE532" s="2" t="str">
        <f t="shared" si="273"/>
        <v/>
      </c>
      <c r="AF532" s="2" t="str">
        <f t="shared" si="274"/>
        <v/>
      </c>
    </row>
    <row r="533" spans="1:32" x14ac:dyDescent="0.2">
      <c r="A533" s="2" t="str">
        <f t="shared" si="275"/>
        <v/>
      </c>
      <c r="B533" s="2" t="str">
        <f t="shared" si="256"/>
        <v/>
      </c>
      <c r="C533" s="2" t="str">
        <f t="shared" si="257"/>
        <v/>
      </c>
      <c r="D533" s="2" t="str">
        <f t="shared" si="258"/>
        <v/>
      </c>
      <c r="E533" s="2" t="str">
        <f t="shared" si="259"/>
        <v/>
      </c>
      <c r="F533" s="2" t="str">
        <f t="shared" si="260"/>
        <v/>
      </c>
      <c r="G533" s="2" t="str">
        <f t="shared" si="261"/>
        <v/>
      </c>
      <c r="H533" s="2" t="str">
        <f t="shared" si="276"/>
        <v/>
      </c>
      <c r="I533" s="2" t="str">
        <f t="shared" si="277"/>
        <v/>
      </c>
      <c r="J533" s="2" t="str">
        <f t="shared" si="278"/>
        <v/>
      </c>
      <c r="K533" s="2" t="str">
        <f t="shared" si="262"/>
        <v/>
      </c>
      <c r="L533" s="2" t="str">
        <f t="shared" si="263"/>
        <v/>
      </c>
      <c r="M533" s="2" t="str">
        <f t="shared" si="264"/>
        <v/>
      </c>
      <c r="N533" s="2" t="str">
        <f t="shared" si="279"/>
        <v/>
      </c>
      <c r="O533" s="2" t="str">
        <f t="shared" si="280"/>
        <v/>
      </c>
      <c r="P533" s="2" t="str">
        <f t="shared" si="281"/>
        <v/>
      </c>
      <c r="Q533" s="2" t="str">
        <f t="shared" si="265"/>
        <v/>
      </c>
      <c r="R533" s="2" t="str">
        <f t="shared" si="266"/>
        <v/>
      </c>
      <c r="S533" s="2" t="str">
        <f t="shared" si="267"/>
        <v/>
      </c>
      <c r="T533" s="2" t="str">
        <f t="shared" si="282"/>
        <v/>
      </c>
      <c r="U533" s="2" t="str">
        <f t="shared" si="283"/>
        <v/>
      </c>
      <c r="V533" s="2" t="str">
        <f t="shared" si="284"/>
        <v/>
      </c>
      <c r="W533" s="2" t="str">
        <f t="shared" si="268"/>
        <v/>
      </c>
      <c r="X533" s="2" t="str">
        <f t="shared" si="269"/>
        <v/>
      </c>
      <c r="Y533" s="2" t="str">
        <f t="shared" si="270"/>
        <v/>
      </c>
      <c r="Z533" s="2" t="str">
        <f t="shared" si="285"/>
        <v/>
      </c>
      <c r="AA533" s="2" t="str">
        <f t="shared" si="286"/>
        <v/>
      </c>
      <c r="AB533" s="2" t="str">
        <f t="shared" si="287"/>
        <v/>
      </c>
      <c r="AC533" s="2" t="str">
        <f t="shared" si="271"/>
        <v/>
      </c>
      <c r="AD533" s="2" t="str">
        <f t="shared" si="272"/>
        <v/>
      </c>
      <c r="AE533" s="2" t="str">
        <f t="shared" si="273"/>
        <v/>
      </c>
      <c r="AF533" s="2" t="str">
        <f t="shared" si="274"/>
        <v/>
      </c>
    </row>
    <row r="534" spans="1:32" x14ac:dyDescent="0.2">
      <c r="A534" s="2" t="str">
        <f t="shared" si="275"/>
        <v/>
      </c>
      <c r="B534" s="2" t="str">
        <f t="shared" si="256"/>
        <v/>
      </c>
      <c r="C534" s="2" t="str">
        <f t="shared" si="257"/>
        <v/>
      </c>
      <c r="D534" s="2" t="str">
        <f t="shared" si="258"/>
        <v/>
      </c>
      <c r="E534" s="2" t="str">
        <f t="shared" si="259"/>
        <v/>
      </c>
      <c r="F534" s="2" t="str">
        <f t="shared" si="260"/>
        <v/>
      </c>
      <c r="G534" s="2" t="str">
        <f t="shared" si="261"/>
        <v/>
      </c>
      <c r="H534" s="2" t="str">
        <f t="shared" si="276"/>
        <v/>
      </c>
      <c r="I534" s="2" t="str">
        <f t="shared" si="277"/>
        <v/>
      </c>
      <c r="J534" s="2" t="str">
        <f t="shared" si="278"/>
        <v/>
      </c>
      <c r="K534" s="2" t="str">
        <f t="shared" si="262"/>
        <v/>
      </c>
      <c r="L534" s="2" t="str">
        <f t="shared" si="263"/>
        <v/>
      </c>
      <c r="M534" s="2" t="str">
        <f t="shared" si="264"/>
        <v/>
      </c>
      <c r="N534" s="2" t="str">
        <f t="shared" si="279"/>
        <v/>
      </c>
      <c r="O534" s="2" t="str">
        <f t="shared" si="280"/>
        <v/>
      </c>
      <c r="P534" s="2" t="str">
        <f t="shared" si="281"/>
        <v/>
      </c>
      <c r="Q534" s="2" t="str">
        <f t="shared" si="265"/>
        <v/>
      </c>
      <c r="R534" s="2" t="str">
        <f t="shared" si="266"/>
        <v/>
      </c>
      <c r="S534" s="2" t="str">
        <f t="shared" si="267"/>
        <v/>
      </c>
      <c r="T534" s="2" t="str">
        <f t="shared" si="282"/>
        <v/>
      </c>
      <c r="U534" s="2" t="str">
        <f t="shared" si="283"/>
        <v/>
      </c>
      <c r="V534" s="2" t="str">
        <f t="shared" si="284"/>
        <v/>
      </c>
      <c r="W534" s="2" t="str">
        <f t="shared" si="268"/>
        <v/>
      </c>
      <c r="X534" s="2" t="str">
        <f t="shared" si="269"/>
        <v/>
      </c>
      <c r="Y534" s="2" t="str">
        <f t="shared" si="270"/>
        <v/>
      </c>
      <c r="Z534" s="2" t="str">
        <f t="shared" si="285"/>
        <v/>
      </c>
      <c r="AA534" s="2" t="str">
        <f t="shared" si="286"/>
        <v/>
      </c>
      <c r="AB534" s="2" t="str">
        <f t="shared" si="287"/>
        <v/>
      </c>
      <c r="AC534" s="2" t="str">
        <f t="shared" si="271"/>
        <v/>
      </c>
      <c r="AD534" s="2" t="str">
        <f t="shared" si="272"/>
        <v/>
      </c>
      <c r="AE534" s="2" t="str">
        <f t="shared" si="273"/>
        <v/>
      </c>
      <c r="AF534" s="2" t="str">
        <f t="shared" si="274"/>
        <v/>
      </c>
    </row>
    <row r="535" spans="1:32" x14ac:dyDescent="0.2">
      <c r="A535" s="2" t="str">
        <f t="shared" si="275"/>
        <v/>
      </c>
      <c r="B535" s="2" t="str">
        <f t="shared" si="256"/>
        <v/>
      </c>
      <c r="C535" s="2" t="str">
        <f t="shared" si="257"/>
        <v/>
      </c>
      <c r="D535" s="2" t="str">
        <f t="shared" si="258"/>
        <v/>
      </c>
      <c r="E535" s="2" t="str">
        <f t="shared" si="259"/>
        <v/>
      </c>
      <c r="F535" s="2" t="str">
        <f t="shared" si="260"/>
        <v/>
      </c>
      <c r="G535" s="2" t="str">
        <f t="shared" si="261"/>
        <v/>
      </c>
      <c r="H535" s="2" t="str">
        <f t="shared" si="276"/>
        <v/>
      </c>
      <c r="I535" s="2" t="str">
        <f t="shared" si="277"/>
        <v/>
      </c>
      <c r="J535" s="2" t="str">
        <f t="shared" si="278"/>
        <v/>
      </c>
      <c r="K535" s="2" t="str">
        <f t="shared" si="262"/>
        <v/>
      </c>
      <c r="L535" s="2" t="str">
        <f t="shared" si="263"/>
        <v/>
      </c>
      <c r="M535" s="2" t="str">
        <f t="shared" si="264"/>
        <v/>
      </c>
      <c r="N535" s="2" t="str">
        <f t="shared" si="279"/>
        <v/>
      </c>
      <c r="O535" s="2" t="str">
        <f t="shared" si="280"/>
        <v/>
      </c>
      <c r="P535" s="2" t="str">
        <f t="shared" si="281"/>
        <v/>
      </c>
      <c r="Q535" s="2" t="str">
        <f t="shared" si="265"/>
        <v/>
      </c>
      <c r="R535" s="2" t="str">
        <f t="shared" si="266"/>
        <v/>
      </c>
      <c r="S535" s="2" t="str">
        <f t="shared" si="267"/>
        <v/>
      </c>
      <c r="T535" s="2" t="str">
        <f t="shared" si="282"/>
        <v/>
      </c>
      <c r="U535" s="2" t="str">
        <f t="shared" si="283"/>
        <v/>
      </c>
      <c r="V535" s="2" t="str">
        <f t="shared" si="284"/>
        <v/>
      </c>
      <c r="W535" s="2" t="str">
        <f t="shared" si="268"/>
        <v/>
      </c>
      <c r="X535" s="2" t="str">
        <f t="shared" si="269"/>
        <v/>
      </c>
      <c r="Y535" s="2" t="str">
        <f t="shared" si="270"/>
        <v/>
      </c>
      <c r="Z535" s="2" t="str">
        <f t="shared" si="285"/>
        <v/>
      </c>
      <c r="AA535" s="2" t="str">
        <f t="shared" si="286"/>
        <v/>
      </c>
      <c r="AB535" s="2" t="str">
        <f t="shared" si="287"/>
        <v/>
      </c>
      <c r="AC535" s="2" t="str">
        <f t="shared" si="271"/>
        <v/>
      </c>
      <c r="AD535" s="2" t="str">
        <f t="shared" si="272"/>
        <v/>
      </c>
      <c r="AE535" s="2" t="str">
        <f t="shared" si="273"/>
        <v/>
      </c>
      <c r="AF535" s="2" t="str">
        <f t="shared" si="274"/>
        <v/>
      </c>
    </row>
    <row r="536" spans="1:32" x14ac:dyDescent="0.2">
      <c r="A536" s="2" t="str">
        <f t="shared" si="275"/>
        <v/>
      </c>
      <c r="B536" s="2" t="str">
        <f t="shared" si="256"/>
        <v/>
      </c>
      <c r="C536" s="2" t="str">
        <f t="shared" si="257"/>
        <v/>
      </c>
      <c r="D536" s="2" t="str">
        <f t="shared" si="258"/>
        <v/>
      </c>
      <c r="E536" s="2" t="str">
        <f t="shared" si="259"/>
        <v/>
      </c>
      <c r="F536" s="2" t="str">
        <f t="shared" si="260"/>
        <v/>
      </c>
      <c r="G536" s="2" t="str">
        <f t="shared" si="261"/>
        <v/>
      </c>
      <c r="H536" s="2" t="str">
        <f t="shared" si="276"/>
        <v/>
      </c>
      <c r="I536" s="2" t="str">
        <f t="shared" si="277"/>
        <v/>
      </c>
      <c r="J536" s="2" t="str">
        <f t="shared" si="278"/>
        <v/>
      </c>
      <c r="K536" s="2" t="str">
        <f t="shared" si="262"/>
        <v/>
      </c>
      <c r="L536" s="2" t="str">
        <f t="shared" si="263"/>
        <v/>
      </c>
      <c r="M536" s="2" t="str">
        <f t="shared" si="264"/>
        <v/>
      </c>
      <c r="N536" s="2" t="str">
        <f t="shared" si="279"/>
        <v/>
      </c>
      <c r="O536" s="2" t="str">
        <f t="shared" si="280"/>
        <v/>
      </c>
      <c r="P536" s="2" t="str">
        <f t="shared" si="281"/>
        <v/>
      </c>
      <c r="Q536" s="2" t="str">
        <f t="shared" si="265"/>
        <v/>
      </c>
      <c r="R536" s="2" t="str">
        <f t="shared" si="266"/>
        <v/>
      </c>
      <c r="S536" s="2" t="str">
        <f t="shared" si="267"/>
        <v/>
      </c>
      <c r="T536" s="2" t="str">
        <f t="shared" si="282"/>
        <v/>
      </c>
      <c r="U536" s="2" t="str">
        <f t="shared" si="283"/>
        <v/>
      </c>
      <c r="V536" s="2" t="str">
        <f t="shared" si="284"/>
        <v/>
      </c>
      <c r="W536" s="2" t="str">
        <f t="shared" si="268"/>
        <v/>
      </c>
      <c r="X536" s="2" t="str">
        <f t="shared" si="269"/>
        <v/>
      </c>
      <c r="Y536" s="2" t="str">
        <f t="shared" si="270"/>
        <v/>
      </c>
      <c r="Z536" s="2" t="str">
        <f t="shared" si="285"/>
        <v/>
      </c>
      <c r="AA536" s="2" t="str">
        <f t="shared" si="286"/>
        <v/>
      </c>
      <c r="AB536" s="2" t="str">
        <f t="shared" si="287"/>
        <v/>
      </c>
      <c r="AC536" s="2" t="str">
        <f t="shared" si="271"/>
        <v/>
      </c>
      <c r="AD536" s="2" t="str">
        <f t="shared" si="272"/>
        <v/>
      </c>
      <c r="AE536" s="2" t="str">
        <f t="shared" si="273"/>
        <v/>
      </c>
      <c r="AF536" s="2" t="str">
        <f t="shared" si="274"/>
        <v/>
      </c>
    </row>
    <row r="537" spans="1:32" x14ac:dyDescent="0.2">
      <c r="A537" s="2" t="str">
        <f t="shared" si="275"/>
        <v/>
      </c>
      <c r="B537" s="2" t="str">
        <f t="shared" si="256"/>
        <v/>
      </c>
      <c r="C537" s="2" t="str">
        <f t="shared" si="257"/>
        <v/>
      </c>
      <c r="D537" s="2" t="str">
        <f t="shared" si="258"/>
        <v/>
      </c>
      <c r="E537" s="2" t="str">
        <f t="shared" si="259"/>
        <v/>
      </c>
      <c r="F537" s="2" t="str">
        <f t="shared" si="260"/>
        <v/>
      </c>
      <c r="G537" s="2" t="str">
        <f t="shared" si="261"/>
        <v/>
      </c>
      <c r="H537" s="2" t="str">
        <f t="shared" si="276"/>
        <v/>
      </c>
      <c r="I537" s="2" t="str">
        <f t="shared" si="277"/>
        <v/>
      </c>
      <c r="J537" s="2" t="str">
        <f t="shared" si="278"/>
        <v/>
      </c>
      <c r="K537" s="2" t="str">
        <f t="shared" si="262"/>
        <v/>
      </c>
      <c r="L537" s="2" t="str">
        <f t="shared" si="263"/>
        <v/>
      </c>
      <c r="M537" s="2" t="str">
        <f t="shared" si="264"/>
        <v/>
      </c>
      <c r="N537" s="2" t="str">
        <f t="shared" si="279"/>
        <v/>
      </c>
      <c r="O537" s="2" t="str">
        <f t="shared" si="280"/>
        <v/>
      </c>
      <c r="P537" s="2" t="str">
        <f t="shared" si="281"/>
        <v/>
      </c>
      <c r="Q537" s="2" t="str">
        <f t="shared" si="265"/>
        <v/>
      </c>
      <c r="R537" s="2" t="str">
        <f t="shared" si="266"/>
        <v/>
      </c>
      <c r="S537" s="2" t="str">
        <f t="shared" si="267"/>
        <v/>
      </c>
      <c r="T537" s="2" t="str">
        <f t="shared" si="282"/>
        <v/>
      </c>
      <c r="U537" s="2" t="str">
        <f t="shared" si="283"/>
        <v/>
      </c>
      <c r="V537" s="2" t="str">
        <f t="shared" si="284"/>
        <v/>
      </c>
      <c r="W537" s="2" t="str">
        <f t="shared" si="268"/>
        <v/>
      </c>
      <c r="X537" s="2" t="str">
        <f t="shared" si="269"/>
        <v/>
      </c>
      <c r="Y537" s="2" t="str">
        <f t="shared" si="270"/>
        <v/>
      </c>
      <c r="Z537" s="2" t="str">
        <f t="shared" si="285"/>
        <v/>
      </c>
      <c r="AA537" s="2" t="str">
        <f t="shared" si="286"/>
        <v/>
      </c>
      <c r="AB537" s="2" t="str">
        <f t="shared" si="287"/>
        <v/>
      </c>
      <c r="AC537" s="2" t="str">
        <f t="shared" si="271"/>
        <v/>
      </c>
      <c r="AD537" s="2" t="str">
        <f t="shared" si="272"/>
        <v/>
      </c>
      <c r="AE537" s="2" t="str">
        <f t="shared" si="273"/>
        <v/>
      </c>
      <c r="AF537" s="2" t="str">
        <f t="shared" si="274"/>
        <v/>
      </c>
    </row>
    <row r="538" spans="1:32" x14ac:dyDescent="0.2">
      <c r="A538" s="2" t="str">
        <f t="shared" si="275"/>
        <v/>
      </c>
      <c r="B538" s="2" t="str">
        <f t="shared" si="256"/>
        <v/>
      </c>
      <c r="C538" s="2" t="str">
        <f t="shared" si="257"/>
        <v/>
      </c>
      <c r="D538" s="2" t="str">
        <f t="shared" si="258"/>
        <v/>
      </c>
      <c r="E538" s="2" t="str">
        <f t="shared" si="259"/>
        <v/>
      </c>
      <c r="F538" s="2" t="str">
        <f t="shared" si="260"/>
        <v/>
      </c>
      <c r="G538" s="2" t="str">
        <f t="shared" si="261"/>
        <v/>
      </c>
      <c r="H538" s="2" t="str">
        <f t="shared" si="276"/>
        <v/>
      </c>
      <c r="I538" s="2" t="str">
        <f t="shared" si="277"/>
        <v/>
      </c>
      <c r="J538" s="2" t="str">
        <f t="shared" si="278"/>
        <v/>
      </c>
      <c r="K538" s="2" t="str">
        <f t="shared" si="262"/>
        <v/>
      </c>
      <c r="L538" s="2" t="str">
        <f t="shared" si="263"/>
        <v/>
      </c>
      <c r="M538" s="2" t="str">
        <f t="shared" si="264"/>
        <v/>
      </c>
      <c r="N538" s="2" t="str">
        <f t="shared" si="279"/>
        <v/>
      </c>
      <c r="O538" s="2" t="str">
        <f t="shared" si="280"/>
        <v/>
      </c>
      <c r="P538" s="2" t="str">
        <f t="shared" si="281"/>
        <v/>
      </c>
      <c r="Q538" s="2" t="str">
        <f t="shared" si="265"/>
        <v/>
      </c>
      <c r="R538" s="2" t="str">
        <f t="shared" si="266"/>
        <v/>
      </c>
      <c r="S538" s="2" t="str">
        <f t="shared" si="267"/>
        <v/>
      </c>
      <c r="T538" s="2" t="str">
        <f t="shared" si="282"/>
        <v/>
      </c>
      <c r="U538" s="2" t="str">
        <f t="shared" si="283"/>
        <v/>
      </c>
      <c r="V538" s="2" t="str">
        <f t="shared" si="284"/>
        <v/>
      </c>
      <c r="W538" s="2" t="str">
        <f t="shared" si="268"/>
        <v/>
      </c>
      <c r="X538" s="2" t="str">
        <f t="shared" si="269"/>
        <v/>
      </c>
      <c r="Y538" s="2" t="str">
        <f t="shared" si="270"/>
        <v/>
      </c>
      <c r="Z538" s="2" t="str">
        <f t="shared" si="285"/>
        <v/>
      </c>
      <c r="AA538" s="2" t="str">
        <f t="shared" si="286"/>
        <v/>
      </c>
      <c r="AB538" s="2" t="str">
        <f t="shared" si="287"/>
        <v/>
      </c>
      <c r="AC538" s="2" t="str">
        <f t="shared" si="271"/>
        <v/>
      </c>
      <c r="AD538" s="2" t="str">
        <f t="shared" si="272"/>
        <v/>
      </c>
      <c r="AE538" s="2" t="str">
        <f t="shared" si="273"/>
        <v/>
      </c>
      <c r="AF538" s="2" t="str">
        <f t="shared" si="274"/>
        <v/>
      </c>
    </row>
    <row r="539" spans="1:32" x14ac:dyDescent="0.2">
      <c r="A539" s="2" t="str">
        <f t="shared" si="275"/>
        <v/>
      </c>
      <c r="B539" s="2" t="str">
        <f t="shared" si="256"/>
        <v/>
      </c>
      <c r="C539" s="2" t="str">
        <f t="shared" si="257"/>
        <v/>
      </c>
      <c r="D539" s="2" t="str">
        <f t="shared" si="258"/>
        <v/>
      </c>
      <c r="E539" s="2" t="str">
        <f t="shared" si="259"/>
        <v/>
      </c>
      <c r="F539" s="2" t="str">
        <f t="shared" si="260"/>
        <v/>
      </c>
      <c r="G539" s="2" t="str">
        <f t="shared" si="261"/>
        <v/>
      </c>
      <c r="H539" s="2" t="str">
        <f t="shared" si="276"/>
        <v/>
      </c>
      <c r="I539" s="2" t="str">
        <f t="shared" si="277"/>
        <v/>
      </c>
      <c r="J539" s="2" t="str">
        <f t="shared" si="278"/>
        <v/>
      </c>
      <c r="K539" s="2" t="str">
        <f t="shared" si="262"/>
        <v/>
      </c>
      <c r="L539" s="2" t="str">
        <f t="shared" si="263"/>
        <v/>
      </c>
      <c r="M539" s="2" t="str">
        <f t="shared" si="264"/>
        <v/>
      </c>
      <c r="N539" s="2" t="str">
        <f t="shared" si="279"/>
        <v/>
      </c>
      <c r="O539" s="2" t="str">
        <f t="shared" si="280"/>
        <v/>
      </c>
      <c r="P539" s="2" t="str">
        <f t="shared" si="281"/>
        <v/>
      </c>
      <c r="Q539" s="2" t="str">
        <f t="shared" si="265"/>
        <v/>
      </c>
      <c r="R539" s="2" t="str">
        <f t="shared" si="266"/>
        <v/>
      </c>
      <c r="S539" s="2" t="str">
        <f t="shared" si="267"/>
        <v/>
      </c>
      <c r="T539" s="2" t="str">
        <f t="shared" si="282"/>
        <v/>
      </c>
      <c r="U539" s="2" t="str">
        <f t="shared" si="283"/>
        <v/>
      </c>
      <c r="V539" s="2" t="str">
        <f t="shared" si="284"/>
        <v/>
      </c>
      <c r="W539" s="2" t="str">
        <f t="shared" si="268"/>
        <v/>
      </c>
      <c r="X539" s="2" t="str">
        <f t="shared" si="269"/>
        <v/>
      </c>
      <c r="Y539" s="2" t="str">
        <f t="shared" si="270"/>
        <v/>
      </c>
      <c r="Z539" s="2" t="str">
        <f t="shared" si="285"/>
        <v/>
      </c>
      <c r="AA539" s="2" t="str">
        <f t="shared" si="286"/>
        <v/>
      </c>
      <c r="AB539" s="2" t="str">
        <f t="shared" si="287"/>
        <v/>
      </c>
      <c r="AC539" s="2" t="str">
        <f t="shared" si="271"/>
        <v/>
      </c>
      <c r="AD539" s="2" t="str">
        <f t="shared" si="272"/>
        <v/>
      </c>
      <c r="AE539" s="2" t="str">
        <f t="shared" si="273"/>
        <v/>
      </c>
      <c r="AF539" s="2" t="str">
        <f t="shared" si="274"/>
        <v/>
      </c>
    </row>
    <row r="540" spans="1:32" x14ac:dyDescent="0.2">
      <c r="A540" s="2" t="str">
        <f t="shared" si="275"/>
        <v/>
      </c>
      <c r="B540" s="2" t="str">
        <f t="shared" si="256"/>
        <v/>
      </c>
      <c r="C540" s="2" t="str">
        <f t="shared" si="257"/>
        <v/>
      </c>
      <c r="D540" s="2" t="str">
        <f t="shared" si="258"/>
        <v/>
      </c>
      <c r="E540" s="2" t="str">
        <f t="shared" si="259"/>
        <v/>
      </c>
      <c r="F540" s="2" t="str">
        <f t="shared" si="260"/>
        <v/>
      </c>
      <c r="G540" s="2" t="str">
        <f t="shared" si="261"/>
        <v/>
      </c>
      <c r="H540" s="2" t="str">
        <f t="shared" si="276"/>
        <v/>
      </c>
      <c r="I540" s="2" t="str">
        <f t="shared" si="277"/>
        <v/>
      </c>
      <c r="J540" s="2" t="str">
        <f t="shared" si="278"/>
        <v/>
      </c>
      <c r="K540" s="2" t="str">
        <f t="shared" si="262"/>
        <v/>
      </c>
      <c r="L540" s="2" t="str">
        <f t="shared" si="263"/>
        <v/>
      </c>
      <c r="M540" s="2" t="str">
        <f t="shared" si="264"/>
        <v/>
      </c>
      <c r="N540" s="2" t="str">
        <f t="shared" si="279"/>
        <v/>
      </c>
      <c r="O540" s="2" t="str">
        <f t="shared" si="280"/>
        <v/>
      </c>
      <c r="P540" s="2" t="str">
        <f t="shared" si="281"/>
        <v/>
      </c>
      <c r="Q540" s="2" t="str">
        <f t="shared" si="265"/>
        <v/>
      </c>
      <c r="R540" s="2" t="str">
        <f t="shared" si="266"/>
        <v/>
      </c>
      <c r="S540" s="2" t="str">
        <f t="shared" si="267"/>
        <v/>
      </c>
      <c r="T540" s="2" t="str">
        <f t="shared" si="282"/>
        <v/>
      </c>
      <c r="U540" s="2" t="str">
        <f t="shared" si="283"/>
        <v/>
      </c>
      <c r="V540" s="2" t="str">
        <f t="shared" si="284"/>
        <v/>
      </c>
      <c r="W540" s="2" t="str">
        <f t="shared" si="268"/>
        <v/>
      </c>
      <c r="X540" s="2" t="str">
        <f t="shared" si="269"/>
        <v/>
      </c>
      <c r="Y540" s="2" t="str">
        <f t="shared" si="270"/>
        <v/>
      </c>
      <c r="Z540" s="2" t="str">
        <f t="shared" si="285"/>
        <v/>
      </c>
      <c r="AA540" s="2" t="str">
        <f t="shared" si="286"/>
        <v/>
      </c>
      <c r="AB540" s="2" t="str">
        <f t="shared" si="287"/>
        <v/>
      </c>
      <c r="AC540" s="2" t="str">
        <f t="shared" si="271"/>
        <v/>
      </c>
      <c r="AD540" s="2" t="str">
        <f t="shared" si="272"/>
        <v/>
      </c>
      <c r="AE540" s="2" t="str">
        <f t="shared" si="273"/>
        <v/>
      </c>
      <c r="AF540" s="2" t="str">
        <f t="shared" si="274"/>
        <v/>
      </c>
    </row>
    <row r="541" spans="1:32" x14ac:dyDescent="0.2">
      <c r="A541" s="2" t="str">
        <f t="shared" si="275"/>
        <v/>
      </c>
      <c r="B541" s="2" t="str">
        <f t="shared" si="256"/>
        <v/>
      </c>
      <c r="C541" s="2" t="str">
        <f t="shared" si="257"/>
        <v/>
      </c>
      <c r="D541" s="2" t="str">
        <f t="shared" si="258"/>
        <v/>
      </c>
      <c r="E541" s="2" t="str">
        <f t="shared" si="259"/>
        <v/>
      </c>
      <c r="F541" s="2" t="str">
        <f t="shared" si="260"/>
        <v/>
      </c>
      <c r="G541" s="2" t="str">
        <f t="shared" si="261"/>
        <v/>
      </c>
      <c r="H541" s="2" t="str">
        <f t="shared" si="276"/>
        <v/>
      </c>
      <c r="I541" s="2" t="str">
        <f t="shared" si="277"/>
        <v/>
      </c>
      <c r="J541" s="2" t="str">
        <f t="shared" si="278"/>
        <v/>
      </c>
      <c r="K541" s="2" t="str">
        <f t="shared" si="262"/>
        <v/>
      </c>
      <c r="L541" s="2" t="str">
        <f t="shared" si="263"/>
        <v/>
      </c>
      <c r="M541" s="2" t="str">
        <f t="shared" si="264"/>
        <v/>
      </c>
      <c r="N541" s="2" t="str">
        <f t="shared" si="279"/>
        <v/>
      </c>
      <c r="O541" s="2" t="str">
        <f t="shared" si="280"/>
        <v/>
      </c>
      <c r="P541" s="2" t="str">
        <f t="shared" si="281"/>
        <v/>
      </c>
      <c r="Q541" s="2" t="str">
        <f t="shared" si="265"/>
        <v/>
      </c>
      <c r="R541" s="2" t="str">
        <f t="shared" si="266"/>
        <v/>
      </c>
      <c r="S541" s="2" t="str">
        <f t="shared" si="267"/>
        <v/>
      </c>
      <c r="T541" s="2" t="str">
        <f t="shared" si="282"/>
        <v/>
      </c>
      <c r="U541" s="2" t="str">
        <f t="shared" si="283"/>
        <v/>
      </c>
      <c r="V541" s="2" t="str">
        <f t="shared" si="284"/>
        <v/>
      </c>
      <c r="W541" s="2" t="str">
        <f t="shared" si="268"/>
        <v/>
      </c>
      <c r="X541" s="2" t="str">
        <f t="shared" si="269"/>
        <v/>
      </c>
      <c r="Y541" s="2" t="str">
        <f t="shared" si="270"/>
        <v/>
      </c>
      <c r="Z541" s="2" t="str">
        <f t="shared" si="285"/>
        <v/>
      </c>
      <c r="AA541" s="2" t="str">
        <f t="shared" si="286"/>
        <v/>
      </c>
      <c r="AB541" s="2" t="str">
        <f t="shared" si="287"/>
        <v/>
      </c>
      <c r="AC541" s="2" t="str">
        <f t="shared" si="271"/>
        <v/>
      </c>
      <c r="AD541" s="2" t="str">
        <f t="shared" si="272"/>
        <v/>
      </c>
      <c r="AE541" s="2" t="str">
        <f t="shared" si="273"/>
        <v/>
      </c>
      <c r="AF541" s="2" t="str">
        <f t="shared" si="274"/>
        <v/>
      </c>
    </row>
    <row r="542" spans="1:32" x14ac:dyDescent="0.2">
      <c r="A542" s="2" t="str">
        <f t="shared" si="275"/>
        <v/>
      </c>
      <c r="B542" s="2" t="str">
        <f t="shared" si="256"/>
        <v/>
      </c>
      <c r="C542" s="2" t="str">
        <f t="shared" si="257"/>
        <v/>
      </c>
      <c r="D542" s="2" t="str">
        <f t="shared" si="258"/>
        <v/>
      </c>
      <c r="E542" s="2" t="str">
        <f t="shared" si="259"/>
        <v/>
      </c>
      <c r="F542" s="2" t="str">
        <f t="shared" si="260"/>
        <v/>
      </c>
      <c r="G542" s="2" t="str">
        <f t="shared" si="261"/>
        <v/>
      </c>
      <c r="H542" s="2" t="str">
        <f t="shared" si="276"/>
        <v/>
      </c>
      <c r="I542" s="2" t="str">
        <f t="shared" si="277"/>
        <v/>
      </c>
      <c r="J542" s="2" t="str">
        <f t="shared" si="278"/>
        <v/>
      </c>
      <c r="K542" s="2" t="str">
        <f t="shared" si="262"/>
        <v/>
      </c>
      <c r="L542" s="2" t="str">
        <f t="shared" si="263"/>
        <v/>
      </c>
      <c r="M542" s="2" t="str">
        <f t="shared" si="264"/>
        <v/>
      </c>
      <c r="N542" s="2" t="str">
        <f t="shared" si="279"/>
        <v/>
      </c>
      <c r="O542" s="2" t="str">
        <f t="shared" si="280"/>
        <v/>
      </c>
      <c r="P542" s="2" t="str">
        <f t="shared" si="281"/>
        <v/>
      </c>
      <c r="Q542" s="2" t="str">
        <f t="shared" si="265"/>
        <v/>
      </c>
      <c r="R542" s="2" t="str">
        <f t="shared" si="266"/>
        <v/>
      </c>
      <c r="S542" s="2" t="str">
        <f t="shared" si="267"/>
        <v/>
      </c>
      <c r="T542" s="2" t="str">
        <f t="shared" si="282"/>
        <v/>
      </c>
      <c r="U542" s="2" t="str">
        <f t="shared" si="283"/>
        <v/>
      </c>
      <c r="V542" s="2" t="str">
        <f t="shared" si="284"/>
        <v/>
      </c>
      <c r="W542" s="2" t="str">
        <f t="shared" si="268"/>
        <v/>
      </c>
      <c r="X542" s="2" t="str">
        <f t="shared" si="269"/>
        <v/>
      </c>
      <c r="Y542" s="2" t="str">
        <f t="shared" si="270"/>
        <v/>
      </c>
      <c r="Z542" s="2" t="str">
        <f t="shared" si="285"/>
        <v/>
      </c>
      <c r="AA542" s="2" t="str">
        <f t="shared" si="286"/>
        <v/>
      </c>
      <c r="AB542" s="2" t="str">
        <f t="shared" si="287"/>
        <v/>
      </c>
      <c r="AC542" s="2" t="str">
        <f t="shared" si="271"/>
        <v/>
      </c>
      <c r="AD542" s="2" t="str">
        <f t="shared" si="272"/>
        <v/>
      </c>
      <c r="AE542" s="2" t="str">
        <f t="shared" si="273"/>
        <v/>
      </c>
      <c r="AF542" s="2" t="str">
        <f t="shared" si="274"/>
        <v/>
      </c>
    </row>
    <row r="543" spans="1:32" x14ac:dyDescent="0.2">
      <c r="A543" s="2" t="str">
        <f t="shared" si="275"/>
        <v/>
      </c>
      <c r="B543" s="2" t="str">
        <f t="shared" si="256"/>
        <v/>
      </c>
      <c r="C543" s="2" t="str">
        <f t="shared" si="257"/>
        <v/>
      </c>
      <c r="D543" s="2" t="str">
        <f t="shared" si="258"/>
        <v/>
      </c>
      <c r="E543" s="2" t="str">
        <f t="shared" si="259"/>
        <v/>
      </c>
      <c r="F543" s="2" t="str">
        <f t="shared" si="260"/>
        <v/>
      </c>
      <c r="G543" s="2" t="str">
        <f t="shared" si="261"/>
        <v/>
      </c>
      <c r="H543" s="2" t="str">
        <f t="shared" si="276"/>
        <v/>
      </c>
      <c r="I543" s="2" t="str">
        <f t="shared" si="277"/>
        <v/>
      </c>
      <c r="J543" s="2" t="str">
        <f t="shared" si="278"/>
        <v/>
      </c>
      <c r="K543" s="2" t="str">
        <f t="shared" si="262"/>
        <v/>
      </c>
      <c r="L543" s="2" t="str">
        <f t="shared" si="263"/>
        <v/>
      </c>
      <c r="M543" s="2" t="str">
        <f t="shared" si="264"/>
        <v/>
      </c>
      <c r="N543" s="2" t="str">
        <f t="shared" si="279"/>
        <v/>
      </c>
      <c r="O543" s="2" t="str">
        <f t="shared" si="280"/>
        <v/>
      </c>
      <c r="P543" s="2" t="str">
        <f t="shared" si="281"/>
        <v/>
      </c>
      <c r="Q543" s="2" t="str">
        <f t="shared" si="265"/>
        <v/>
      </c>
      <c r="R543" s="2" t="str">
        <f t="shared" si="266"/>
        <v/>
      </c>
      <c r="S543" s="2" t="str">
        <f t="shared" si="267"/>
        <v/>
      </c>
      <c r="T543" s="2" t="str">
        <f t="shared" si="282"/>
        <v/>
      </c>
      <c r="U543" s="2" t="str">
        <f t="shared" si="283"/>
        <v/>
      </c>
      <c r="V543" s="2" t="str">
        <f t="shared" si="284"/>
        <v/>
      </c>
      <c r="W543" s="2" t="str">
        <f t="shared" si="268"/>
        <v/>
      </c>
      <c r="X543" s="2" t="str">
        <f t="shared" si="269"/>
        <v/>
      </c>
      <c r="Y543" s="2" t="str">
        <f t="shared" si="270"/>
        <v/>
      </c>
      <c r="Z543" s="2" t="str">
        <f t="shared" si="285"/>
        <v/>
      </c>
      <c r="AA543" s="2" t="str">
        <f t="shared" si="286"/>
        <v/>
      </c>
      <c r="AB543" s="2" t="str">
        <f t="shared" si="287"/>
        <v/>
      </c>
      <c r="AC543" s="2" t="str">
        <f t="shared" si="271"/>
        <v/>
      </c>
      <c r="AD543" s="2" t="str">
        <f t="shared" si="272"/>
        <v/>
      </c>
      <c r="AE543" s="2" t="str">
        <f t="shared" si="273"/>
        <v/>
      </c>
      <c r="AF543" s="2" t="str">
        <f t="shared" si="274"/>
        <v/>
      </c>
    </row>
    <row r="544" spans="1:32" x14ac:dyDescent="0.2">
      <c r="A544" s="2" t="str">
        <f t="shared" si="275"/>
        <v/>
      </c>
      <c r="B544" s="2" t="str">
        <f t="shared" si="256"/>
        <v/>
      </c>
      <c r="C544" s="2" t="str">
        <f t="shared" si="257"/>
        <v/>
      </c>
      <c r="D544" s="2" t="str">
        <f t="shared" si="258"/>
        <v/>
      </c>
      <c r="E544" s="2" t="str">
        <f t="shared" si="259"/>
        <v/>
      </c>
      <c r="F544" s="2" t="str">
        <f t="shared" si="260"/>
        <v/>
      </c>
      <c r="G544" s="2" t="str">
        <f t="shared" si="261"/>
        <v/>
      </c>
      <c r="H544" s="2" t="str">
        <f t="shared" si="276"/>
        <v/>
      </c>
      <c r="I544" s="2" t="str">
        <f t="shared" si="277"/>
        <v/>
      </c>
      <c r="J544" s="2" t="str">
        <f t="shared" si="278"/>
        <v/>
      </c>
      <c r="K544" s="2" t="str">
        <f t="shared" si="262"/>
        <v/>
      </c>
      <c r="L544" s="2" t="str">
        <f t="shared" si="263"/>
        <v/>
      </c>
      <c r="M544" s="2" t="str">
        <f t="shared" si="264"/>
        <v/>
      </c>
      <c r="N544" s="2" t="str">
        <f t="shared" si="279"/>
        <v/>
      </c>
      <c r="O544" s="2" t="str">
        <f t="shared" si="280"/>
        <v/>
      </c>
      <c r="P544" s="2" t="str">
        <f t="shared" si="281"/>
        <v/>
      </c>
      <c r="Q544" s="2" t="str">
        <f t="shared" si="265"/>
        <v/>
      </c>
      <c r="R544" s="2" t="str">
        <f t="shared" si="266"/>
        <v/>
      </c>
      <c r="S544" s="2" t="str">
        <f t="shared" si="267"/>
        <v/>
      </c>
      <c r="T544" s="2" t="str">
        <f t="shared" si="282"/>
        <v/>
      </c>
      <c r="U544" s="2" t="str">
        <f t="shared" si="283"/>
        <v/>
      </c>
      <c r="V544" s="2" t="str">
        <f t="shared" si="284"/>
        <v/>
      </c>
      <c r="W544" s="2" t="str">
        <f t="shared" si="268"/>
        <v/>
      </c>
      <c r="X544" s="2" t="str">
        <f t="shared" si="269"/>
        <v/>
      </c>
      <c r="Y544" s="2" t="str">
        <f t="shared" si="270"/>
        <v/>
      </c>
      <c r="Z544" s="2" t="str">
        <f t="shared" si="285"/>
        <v/>
      </c>
      <c r="AA544" s="2" t="str">
        <f t="shared" si="286"/>
        <v/>
      </c>
      <c r="AB544" s="2" t="str">
        <f t="shared" si="287"/>
        <v/>
      </c>
      <c r="AC544" s="2" t="str">
        <f t="shared" si="271"/>
        <v/>
      </c>
      <c r="AD544" s="2" t="str">
        <f t="shared" si="272"/>
        <v/>
      </c>
      <c r="AE544" s="2" t="str">
        <f t="shared" si="273"/>
        <v/>
      </c>
      <c r="AF544" s="2" t="str">
        <f t="shared" si="274"/>
        <v/>
      </c>
    </row>
    <row r="545" spans="1:32" x14ac:dyDescent="0.2">
      <c r="A545" s="2" t="str">
        <f t="shared" si="275"/>
        <v/>
      </c>
      <c r="B545" s="2" t="str">
        <f t="shared" si="256"/>
        <v/>
      </c>
      <c r="C545" s="2" t="str">
        <f t="shared" si="257"/>
        <v/>
      </c>
      <c r="D545" s="2" t="str">
        <f t="shared" si="258"/>
        <v/>
      </c>
      <c r="E545" s="2" t="str">
        <f t="shared" si="259"/>
        <v/>
      </c>
      <c r="F545" s="2" t="str">
        <f t="shared" si="260"/>
        <v/>
      </c>
      <c r="G545" s="2" t="str">
        <f t="shared" si="261"/>
        <v/>
      </c>
      <c r="H545" s="2" t="str">
        <f t="shared" si="276"/>
        <v/>
      </c>
      <c r="I545" s="2" t="str">
        <f t="shared" si="277"/>
        <v/>
      </c>
      <c r="J545" s="2" t="str">
        <f t="shared" si="278"/>
        <v/>
      </c>
      <c r="K545" s="2" t="str">
        <f t="shared" si="262"/>
        <v/>
      </c>
      <c r="L545" s="2" t="str">
        <f t="shared" si="263"/>
        <v/>
      </c>
      <c r="M545" s="2" t="str">
        <f t="shared" si="264"/>
        <v/>
      </c>
      <c r="N545" s="2" t="str">
        <f t="shared" si="279"/>
        <v/>
      </c>
      <c r="O545" s="2" t="str">
        <f t="shared" si="280"/>
        <v/>
      </c>
      <c r="P545" s="2" t="str">
        <f t="shared" si="281"/>
        <v/>
      </c>
      <c r="Q545" s="2" t="str">
        <f t="shared" si="265"/>
        <v/>
      </c>
      <c r="R545" s="2" t="str">
        <f t="shared" si="266"/>
        <v/>
      </c>
      <c r="S545" s="2" t="str">
        <f t="shared" si="267"/>
        <v/>
      </c>
      <c r="T545" s="2" t="str">
        <f t="shared" si="282"/>
        <v/>
      </c>
      <c r="U545" s="2" t="str">
        <f t="shared" si="283"/>
        <v/>
      </c>
      <c r="V545" s="2" t="str">
        <f t="shared" si="284"/>
        <v/>
      </c>
      <c r="W545" s="2" t="str">
        <f t="shared" si="268"/>
        <v/>
      </c>
      <c r="X545" s="2" t="str">
        <f t="shared" si="269"/>
        <v/>
      </c>
      <c r="Y545" s="2" t="str">
        <f t="shared" si="270"/>
        <v/>
      </c>
      <c r="Z545" s="2" t="str">
        <f t="shared" si="285"/>
        <v/>
      </c>
      <c r="AA545" s="2" t="str">
        <f t="shared" si="286"/>
        <v/>
      </c>
      <c r="AB545" s="2" t="str">
        <f t="shared" si="287"/>
        <v/>
      </c>
      <c r="AC545" s="2" t="str">
        <f t="shared" si="271"/>
        <v/>
      </c>
      <c r="AD545" s="2" t="str">
        <f t="shared" si="272"/>
        <v/>
      </c>
      <c r="AE545" s="2" t="str">
        <f t="shared" si="273"/>
        <v/>
      </c>
      <c r="AF545" s="2" t="str">
        <f t="shared" si="274"/>
        <v/>
      </c>
    </row>
    <row r="546" spans="1:32" x14ac:dyDescent="0.2">
      <c r="A546" s="2" t="str">
        <f t="shared" si="275"/>
        <v/>
      </c>
      <c r="B546" s="2" t="str">
        <f t="shared" si="256"/>
        <v/>
      </c>
      <c r="C546" s="2" t="str">
        <f t="shared" si="257"/>
        <v/>
      </c>
      <c r="D546" s="2" t="str">
        <f t="shared" si="258"/>
        <v/>
      </c>
      <c r="E546" s="2" t="str">
        <f t="shared" si="259"/>
        <v/>
      </c>
      <c r="F546" s="2" t="str">
        <f t="shared" si="260"/>
        <v/>
      </c>
      <c r="G546" s="2" t="str">
        <f t="shared" si="261"/>
        <v/>
      </c>
      <c r="H546" s="2" t="str">
        <f t="shared" si="276"/>
        <v/>
      </c>
      <c r="I546" s="2" t="str">
        <f t="shared" si="277"/>
        <v/>
      </c>
      <c r="J546" s="2" t="str">
        <f t="shared" si="278"/>
        <v/>
      </c>
      <c r="K546" s="2" t="str">
        <f t="shared" si="262"/>
        <v/>
      </c>
      <c r="L546" s="2" t="str">
        <f t="shared" si="263"/>
        <v/>
      </c>
      <c r="M546" s="2" t="str">
        <f t="shared" si="264"/>
        <v/>
      </c>
      <c r="N546" s="2" t="str">
        <f t="shared" si="279"/>
        <v/>
      </c>
      <c r="O546" s="2" t="str">
        <f t="shared" si="280"/>
        <v/>
      </c>
      <c r="P546" s="2" t="str">
        <f t="shared" si="281"/>
        <v/>
      </c>
      <c r="Q546" s="2" t="str">
        <f t="shared" si="265"/>
        <v/>
      </c>
      <c r="R546" s="2" t="str">
        <f t="shared" si="266"/>
        <v/>
      </c>
      <c r="S546" s="2" t="str">
        <f t="shared" si="267"/>
        <v/>
      </c>
      <c r="T546" s="2" t="str">
        <f t="shared" si="282"/>
        <v/>
      </c>
      <c r="U546" s="2" t="str">
        <f t="shared" si="283"/>
        <v/>
      </c>
      <c r="V546" s="2" t="str">
        <f t="shared" si="284"/>
        <v/>
      </c>
      <c r="W546" s="2" t="str">
        <f t="shared" si="268"/>
        <v/>
      </c>
      <c r="X546" s="2" t="str">
        <f t="shared" si="269"/>
        <v/>
      </c>
      <c r="Y546" s="2" t="str">
        <f t="shared" si="270"/>
        <v/>
      </c>
      <c r="Z546" s="2" t="str">
        <f t="shared" si="285"/>
        <v/>
      </c>
      <c r="AA546" s="2" t="str">
        <f t="shared" si="286"/>
        <v/>
      </c>
      <c r="AB546" s="2" t="str">
        <f t="shared" si="287"/>
        <v/>
      </c>
      <c r="AC546" s="2" t="str">
        <f t="shared" si="271"/>
        <v/>
      </c>
      <c r="AD546" s="2" t="str">
        <f t="shared" si="272"/>
        <v/>
      </c>
      <c r="AE546" s="2" t="str">
        <f t="shared" si="273"/>
        <v/>
      </c>
      <c r="AF546" s="2" t="str">
        <f t="shared" si="274"/>
        <v/>
      </c>
    </row>
    <row r="547" spans="1:32" x14ac:dyDescent="0.2">
      <c r="A547" s="2" t="str">
        <f t="shared" si="275"/>
        <v/>
      </c>
      <c r="B547" s="2" t="str">
        <f t="shared" si="256"/>
        <v/>
      </c>
      <c r="C547" s="2" t="str">
        <f t="shared" si="257"/>
        <v/>
      </c>
      <c r="D547" s="2" t="str">
        <f t="shared" si="258"/>
        <v/>
      </c>
      <c r="E547" s="2" t="str">
        <f t="shared" si="259"/>
        <v/>
      </c>
      <c r="F547" s="2" t="str">
        <f t="shared" si="260"/>
        <v/>
      </c>
      <c r="G547" s="2" t="str">
        <f t="shared" si="261"/>
        <v/>
      </c>
      <c r="H547" s="2" t="str">
        <f t="shared" si="276"/>
        <v/>
      </c>
      <c r="I547" s="2" t="str">
        <f t="shared" si="277"/>
        <v/>
      </c>
      <c r="J547" s="2" t="str">
        <f t="shared" si="278"/>
        <v/>
      </c>
      <c r="K547" s="2" t="str">
        <f t="shared" si="262"/>
        <v/>
      </c>
      <c r="L547" s="2" t="str">
        <f t="shared" si="263"/>
        <v/>
      </c>
      <c r="M547" s="2" t="str">
        <f t="shared" si="264"/>
        <v/>
      </c>
      <c r="N547" s="2" t="str">
        <f t="shared" si="279"/>
        <v/>
      </c>
      <c r="O547" s="2" t="str">
        <f t="shared" si="280"/>
        <v/>
      </c>
      <c r="P547" s="2" t="str">
        <f t="shared" si="281"/>
        <v/>
      </c>
      <c r="Q547" s="2" t="str">
        <f t="shared" si="265"/>
        <v/>
      </c>
      <c r="R547" s="2" t="str">
        <f t="shared" si="266"/>
        <v/>
      </c>
      <c r="S547" s="2" t="str">
        <f t="shared" si="267"/>
        <v/>
      </c>
      <c r="T547" s="2" t="str">
        <f t="shared" si="282"/>
        <v/>
      </c>
      <c r="U547" s="2" t="str">
        <f t="shared" si="283"/>
        <v/>
      </c>
      <c r="V547" s="2" t="str">
        <f t="shared" si="284"/>
        <v/>
      </c>
      <c r="W547" s="2" t="str">
        <f t="shared" si="268"/>
        <v/>
      </c>
      <c r="X547" s="2" t="str">
        <f t="shared" si="269"/>
        <v/>
      </c>
      <c r="Y547" s="2" t="str">
        <f t="shared" si="270"/>
        <v/>
      </c>
      <c r="Z547" s="2" t="str">
        <f t="shared" si="285"/>
        <v/>
      </c>
      <c r="AA547" s="2" t="str">
        <f t="shared" si="286"/>
        <v/>
      </c>
      <c r="AB547" s="2" t="str">
        <f t="shared" si="287"/>
        <v/>
      </c>
      <c r="AC547" s="2" t="str">
        <f t="shared" si="271"/>
        <v/>
      </c>
      <c r="AD547" s="2" t="str">
        <f t="shared" si="272"/>
        <v/>
      </c>
      <c r="AE547" s="2" t="str">
        <f t="shared" si="273"/>
        <v/>
      </c>
      <c r="AF547" s="2" t="str">
        <f t="shared" si="274"/>
        <v/>
      </c>
    </row>
    <row r="548" spans="1:32" x14ac:dyDescent="0.2">
      <c r="A548" s="2" t="str">
        <f t="shared" si="275"/>
        <v/>
      </c>
      <c r="B548" s="2" t="str">
        <f t="shared" si="256"/>
        <v/>
      </c>
      <c r="C548" s="2" t="str">
        <f t="shared" si="257"/>
        <v/>
      </c>
      <c r="D548" s="2" t="str">
        <f t="shared" si="258"/>
        <v/>
      </c>
      <c r="E548" s="2" t="str">
        <f t="shared" si="259"/>
        <v/>
      </c>
      <c r="F548" s="2" t="str">
        <f t="shared" si="260"/>
        <v/>
      </c>
      <c r="G548" s="2" t="str">
        <f t="shared" si="261"/>
        <v/>
      </c>
      <c r="H548" s="2" t="str">
        <f t="shared" si="276"/>
        <v/>
      </c>
      <c r="I548" s="2" t="str">
        <f t="shared" si="277"/>
        <v/>
      </c>
      <c r="J548" s="2" t="str">
        <f t="shared" si="278"/>
        <v/>
      </c>
      <c r="K548" s="2" t="str">
        <f t="shared" si="262"/>
        <v/>
      </c>
      <c r="L548" s="2" t="str">
        <f t="shared" si="263"/>
        <v/>
      </c>
      <c r="M548" s="2" t="str">
        <f t="shared" si="264"/>
        <v/>
      </c>
      <c r="N548" s="2" t="str">
        <f t="shared" si="279"/>
        <v/>
      </c>
      <c r="O548" s="2" t="str">
        <f t="shared" si="280"/>
        <v/>
      </c>
      <c r="P548" s="2" t="str">
        <f t="shared" si="281"/>
        <v/>
      </c>
      <c r="Q548" s="2" t="str">
        <f t="shared" si="265"/>
        <v/>
      </c>
      <c r="R548" s="2" t="str">
        <f t="shared" si="266"/>
        <v/>
      </c>
      <c r="S548" s="2" t="str">
        <f t="shared" si="267"/>
        <v/>
      </c>
      <c r="T548" s="2" t="str">
        <f t="shared" si="282"/>
        <v/>
      </c>
      <c r="U548" s="2" t="str">
        <f t="shared" si="283"/>
        <v/>
      </c>
      <c r="V548" s="2" t="str">
        <f t="shared" si="284"/>
        <v/>
      </c>
      <c r="W548" s="2" t="str">
        <f t="shared" si="268"/>
        <v/>
      </c>
      <c r="X548" s="2" t="str">
        <f t="shared" si="269"/>
        <v/>
      </c>
      <c r="Y548" s="2" t="str">
        <f t="shared" si="270"/>
        <v/>
      </c>
      <c r="Z548" s="2" t="str">
        <f t="shared" si="285"/>
        <v/>
      </c>
      <c r="AA548" s="2" t="str">
        <f t="shared" si="286"/>
        <v/>
      </c>
      <c r="AB548" s="2" t="str">
        <f t="shared" si="287"/>
        <v/>
      </c>
      <c r="AC548" s="2" t="str">
        <f t="shared" si="271"/>
        <v/>
      </c>
      <c r="AD548" s="2" t="str">
        <f t="shared" si="272"/>
        <v/>
      </c>
      <c r="AE548" s="2" t="str">
        <f t="shared" si="273"/>
        <v/>
      </c>
      <c r="AF548" s="2" t="str">
        <f t="shared" si="274"/>
        <v/>
      </c>
    </row>
    <row r="549" spans="1:32" x14ac:dyDescent="0.2">
      <c r="A549" s="2" t="str">
        <f t="shared" si="275"/>
        <v/>
      </c>
      <c r="B549" s="2" t="str">
        <f t="shared" si="256"/>
        <v/>
      </c>
      <c r="C549" s="2" t="str">
        <f t="shared" si="257"/>
        <v/>
      </c>
      <c r="D549" s="2" t="str">
        <f t="shared" si="258"/>
        <v/>
      </c>
      <c r="E549" s="2" t="str">
        <f t="shared" si="259"/>
        <v/>
      </c>
      <c r="F549" s="2" t="str">
        <f t="shared" si="260"/>
        <v/>
      </c>
      <c r="G549" s="2" t="str">
        <f t="shared" si="261"/>
        <v/>
      </c>
      <c r="H549" s="2" t="str">
        <f t="shared" si="276"/>
        <v/>
      </c>
      <c r="I549" s="2" t="str">
        <f t="shared" si="277"/>
        <v/>
      </c>
      <c r="J549" s="2" t="str">
        <f t="shared" si="278"/>
        <v/>
      </c>
      <c r="K549" s="2" t="str">
        <f t="shared" si="262"/>
        <v/>
      </c>
      <c r="L549" s="2" t="str">
        <f t="shared" si="263"/>
        <v/>
      </c>
      <c r="M549" s="2" t="str">
        <f t="shared" si="264"/>
        <v/>
      </c>
      <c r="N549" s="2" t="str">
        <f t="shared" si="279"/>
        <v/>
      </c>
      <c r="O549" s="2" t="str">
        <f t="shared" si="280"/>
        <v/>
      </c>
      <c r="P549" s="2" t="str">
        <f t="shared" si="281"/>
        <v/>
      </c>
      <c r="Q549" s="2" t="str">
        <f t="shared" si="265"/>
        <v/>
      </c>
      <c r="R549" s="2" t="str">
        <f t="shared" si="266"/>
        <v/>
      </c>
      <c r="S549" s="2" t="str">
        <f t="shared" si="267"/>
        <v/>
      </c>
      <c r="T549" s="2" t="str">
        <f t="shared" si="282"/>
        <v/>
      </c>
      <c r="U549" s="2" t="str">
        <f t="shared" si="283"/>
        <v/>
      </c>
      <c r="V549" s="2" t="str">
        <f t="shared" si="284"/>
        <v/>
      </c>
      <c r="W549" s="2" t="str">
        <f t="shared" si="268"/>
        <v/>
      </c>
      <c r="X549" s="2" t="str">
        <f t="shared" si="269"/>
        <v/>
      </c>
      <c r="Y549" s="2" t="str">
        <f t="shared" si="270"/>
        <v/>
      </c>
      <c r="Z549" s="2" t="str">
        <f t="shared" si="285"/>
        <v/>
      </c>
      <c r="AA549" s="2" t="str">
        <f t="shared" si="286"/>
        <v/>
      </c>
      <c r="AB549" s="2" t="str">
        <f t="shared" si="287"/>
        <v/>
      </c>
      <c r="AC549" s="2" t="str">
        <f t="shared" si="271"/>
        <v/>
      </c>
      <c r="AD549" s="2" t="str">
        <f t="shared" si="272"/>
        <v/>
      </c>
      <c r="AE549" s="2" t="str">
        <f t="shared" si="273"/>
        <v/>
      </c>
      <c r="AF549" s="2" t="str">
        <f t="shared" si="274"/>
        <v/>
      </c>
    </row>
    <row r="550" spans="1:32" x14ac:dyDescent="0.2">
      <c r="A550" s="2" t="str">
        <f t="shared" si="275"/>
        <v/>
      </c>
      <c r="B550" s="2" t="str">
        <f t="shared" si="256"/>
        <v/>
      </c>
      <c r="C550" s="2" t="str">
        <f t="shared" si="257"/>
        <v/>
      </c>
      <c r="D550" s="2" t="str">
        <f t="shared" si="258"/>
        <v/>
      </c>
      <c r="E550" s="2" t="str">
        <f t="shared" si="259"/>
        <v/>
      </c>
      <c r="F550" s="2" t="str">
        <f t="shared" si="260"/>
        <v/>
      </c>
      <c r="G550" s="2" t="str">
        <f t="shared" si="261"/>
        <v/>
      </c>
      <c r="H550" s="2" t="str">
        <f t="shared" si="276"/>
        <v/>
      </c>
      <c r="I550" s="2" t="str">
        <f t="shared" si="277"/>
        <v/>
      </c>
      <c r="J550" s="2" t="str">
        <f t="shared" si="278"/>
        <v/>
      </c>
      <c r="K550" s="2" t="str">
        <f t="shared" si="262"/>
        <v/>
      </c>
      <c r="L550" s="2" t="str">
        <f t="shared" si="263"/>
        <v/>
      </c>
      <c r="M550" s="2" t="str">
        <f t="shared" si="264"/>
        <v/>
      </c>
      <c r="N550" s="2" t="str">
        <f t="shared" si="279"/>
        <v/>
      </c>
      <c r="O550" s="2" t="str">
        <f t="shared" si="280"/>
        <v/>
      </c>
      <c r="P550" s="2" t="str">
        <f t="shared" si="281"/>
        <v/>
      </c>
      <c r="Q550" s="2" t="str">
        <f t="shared" si="265"/>
        <v/>
      </c>
      <c r="R550" s="2" t="str">
        <f t="shared" si="266"/>
        <v/>
      </c>
      <c r="S550" s="2" t="str">
        <f t="shared" si="267"/>
        <v/>
      </c>
      <c r="T550" s="2" t="str">
        <f t="shared" si="282"/>
        <v/>
      </c>
      <c r="U550" s="2" t="str">
        <f t="shared" si="283"/>
        <v/>
      </c>
      <c r="V550" s="2" t="str">
        <f t="shared" si="284"/>
        <v/>
      </c>
      <c r="W550" s="2" t="str">
        <f t="shared" si="268"/>
        <v/>
      </c>
      <c r="X550" s="2" t="str">
        <f t="shared" si="269"/>
        <v/>
      </c>
      <c r="Y550" s="2" t="str">
        <f t="shared" si="270"/>
        <v/>
      </c>
      <c r="Z550" s="2" t="str">
        <f t="shared" si="285"/>
        <v/>
      </c>
      <c r="AA550" s="2" t="str">
        <f t="shared" si="286"/>
        <v/>
      </c>
      <c r="AB550" s="2" t="str">
        <f t="shared" si="287"/>
        <v/>
      </c>
      <c r="AC550" s="2" t="str">
        <f t="shared" si="271"/>
        <v/>
      </c>
      <c r="AD550" s="2" t="str">
        <f t="shared" si="272"/>
        <v/>
      </c>
      <c r="AE550" s="2" t="str">
        <f t="shared" si="273"/>
        <v/>
      </c>
      <c r="AF550" s="2" t="str">
        <f t="shared" si="274"/>
        <v/>
      </c>
    </row>
    <row r="551" spans="1:32" x14ac:dyDescent="0.2">
      <c r="A551" s="2" t="str">
        <f t="shared" si="275"/>
        <v/>
      </c>
      <c r="B551" s="2" t="str">
        <f t="shared" si="256"/>
        <v/>
      </c>
      <c r="C551" s="2" t="str">
        <f t="shared" si="257"/>
        <v/>
      </c>
      <c r="D551" s="2" t="str">
        <f t="shared" si="258"/>
        <v/>
      </c>
      <c r="E551" s="2" t="str">
        <f t="shared" si="259"/>
        <v/>
      </c>
      <c r="F551" s="2" t="str">
        <f t="shared" si="260"/>
        <v/>
      </c>
      <c r="G551" s="2" t="str">
        <f t="shared" si="261"/>
        <v/>
      </c>
      <c r="H551" s="2" t="str">
        <f t="shared" si="276"/>
        <v/>
      </c>
      <c r="I551" s="2" t="str">
        <f t="shared" si="277"/>
        <v/>
      </c>
      <c r="J551" s="2" t="str">
        <f t="shared" si="278"/>
        <v/>
      </c>
      <c r="K551" s="2" t="str">
        <f t="shared" si="262"/>
        <v/>
      </c>
      <c r="L551" s="2" t="str">
        <f t="shared" si="263"/>
        <v/>
      </c>
      <c r="M551" s="2" t="str">
        <f t="shared" si="264"/>
        <v/>
      </c>
      <c r="N551" s="2" t="str">
        <f t="shared" si="279"/>
        <v/>
      </c>
      <c r="O551" s="2" t="str">
        <f t="shared" si="280"/>
        <v/>
      </c>
      <c r="P551" s="2" t="str">
        <f t="shared" si="281"/>
        <v/>
      </c>
      <c r="Q551" s="2" t="str">
        <f t="shared" si="265"/>
        <v/>
      </c>
      <c r="R551" s="2" t="str">
        <f t="shared" si="266"/>
        <v/>
      </c>
      <c r="S551" s="2" t="str">
        <f t="shared" si="267"/>
        <v/>
      </c>
      <c r="T551" s="2" t="str">
        <f t="shared" si="282"/>
        <v/>
      </c>
      <c r="U551" s="2" t="str">
        <f t="shared" si="283"/>
        <v/>
      </c>
      <c r="V551" s="2" t="str">
        <f t="shared" si="284"/>
        <v/>
      </c>
      <c r="W551" s="2" t="str">
        <f t="shared" si="268"/>
        <v/>
      </c>
      <c r="X551" s="2" t="str">
        <f t="shared" si="269"/>
        <v/>
      </c>
      <c r="Y551" s="2" t="str">
        <f t="shared" si="270"/>
        <v/>
      </c>
      <c r="Z551" s="2" t="str">
        <f t="shared" si="285"/>
        <v/>
      </c>
      <c r="AA551" s="2" t="str">
        <f t="shared" si="286"/>
        <v/>
      </c>
      <c r="AB551" s="2" t="str">
        <f t="shared" si="287"/>
        <v/>
      </c>
      <c r="AC551" s="2" t="str">
        <f t="shared" si="271"/>
        <v/>
      </c>
      <c r="AD551" s="2" t="str">
        <f t="shared" si="272"/>
        <v/>
      </c>
      <c r="AE551" s="2" t="str">
        <f t="shared" si="273"/>
        <v/>
      </c>
      <c r="AF551" s="2" t="str">
        <f t="shared" si="274"/>
        <v/>
      </c>
    </row>
    <row r="552" spans="1:32" x14ac:dyDescent="0.2">
      <c r="A552" s="2" t="str">
        <f t="shared" si="275"/>
        <v/>
      </c>
      <c r="B552" s="2" t="str">
        <f t="shared" si="256"/>
        <v/>
      </c>
      <c r="C552" s="2" t="str">
        <f t="shared" si="257"/>
        <v/>
      </c>
      <c r="D552" s="2" t="str">
        <f t="shared" si="258"/>
        <v/>
      </c>
      <c r="E552" s="2" t="str">
        <f t="shared" si="259"/>
        <v/>
      </c>
      <c r="F552" s="2" t="str">
        <f t="shared" si="260"/>
        <v/>
      </c>
      <c r="G552" s="2" t="str">
        <f t="shared" si="261"/>
        <v/>
      </c>
      <c r="H552" s="2" t="str">
        <f t="shared" si="276"/>
        <v/>
      </c>
      <c r="I552" s="2" t="str">
        <f t="shared" si="277"/>
        <v/>
      </c>
      <c r="J552" s="2" t="str">
        <f t="shared" si="278"/>
        <v/>
      </c>
      <c r="K552" s="2" t="str">
        <f t="shared" si="262"/>
        <v/>
      </c>
      <c r="L552" s="2" t="str">
        <f t="shared" si="263"/>
        <v/>
      </c>
      <c r="M552" s="2" t="str">
        <f t="shared" si="264"/>
        <v/>
      </c>
      <c r="N552" s="2" t="str">
        <f t="shared" si="279"/>
        <v/>
      </c>
      <c r="O552" s="2" t="str">
        <f t="shared" si="280"/>
        <v/>
      </c>
      <c r="P552" s="2" t="str">
        <f t="shared" si="281"/>
        <v/>
      </c>
      <c r="Q552" s="2" t="str">
        <f t="shared" si="265"/>
        <v/>
      </c>
      <c r="R552" s="2" t="str">
        <f t="shared" si="266"/>
        <v/>
      </c>
      <c r="S552" s="2" t="str">
        <f t="shared" si="267"/>
        <v/>
      </c>
      <c r="T552" s="2" t="str">
        <f t="shared" si="282"/>
        <v/>
      </c>
      <c r="U552" s="2" t="str">
        <f t="shared" si="283"/>
        <v/>
      </c>
      <c r="V552" s="2" t="str">
        <f t="shared" si="284"/>
        <v/>
      </c>
      <c r="W552" s="2" t="str">
        <f t="shared" si="268"/>
        <v/>
      </c>
      <c r="X552" s="2" t="str">
        <f t="shared" si="269"/>
        <v/>
      </c>
      <c r="Y552" s="2" t="str">
        <f t="shared" si="270"/>
        <v/>
      </c>
      <c r="Z552" s="2" t="str">
        <f t="shared" si="285"/>
        <v/>
      </c>
      <c r="AA552" s="2" t="str">
        <f t="shared" si="286"/>
        <v/>
      </c>
      <c r="AB552" s="2" t="str">
        <f t="shared" si="287"/>
        <v/>
      </c>
      <c r="AC552" s="2" t="str">
        <f t="shared" si="271"/>
        <v/>
      </c>
      <c r="AD552" s="2" t="str">
        <f t="shared" si="272"/>
        <v/>
      </c>
      <c r="AE552" s="2" t="str">
        <f t="shared" si="273"/>
        <v/>
      </c>
      <c r="AF552" s="2" t="str">
        <f t="shared" si="274"/>
        <v/>
      </c>
    </row>
    <row r="553" spans="1:32" x14ac:dyDescent="0.2">
      <c r="A553" s="2" t="str">
        <f t="shared" si="275"/>
        <v/>
      </c>
      <c r="B553" s="2" t="str">
        <f t="shared" si="256"/>
        <v/>
      </c>
      <c r="C553" s="2" t="str">
        <f t="shared" si="257"/>
        <v/>
      </c>
      <c r="D553" s="2" t="str">
        <f t="shared" si="258"/>
        <v/>
      </c>
      <c r="E553" s="2" t="str">
        <f t="shared" si="259"/>
        <v/>
      </c>
      <c r="F553" s="2" t="str">
        <f t="shared" si="260"/>
        <v/>
      </c>
      <c r="G553" s="2" t="str">
        <f t="shared" si="261"/>
        <v/>
      </c>
      <c r="H553" s="2" t="str">
        <f t="shared" si="276"/>
        <v/>
      </c>
      <c r="I553" s="2" t="str">
        <f t="shared" si="277"/>
        <v/>
      </c>
      <c r="J553" s="2" t="str">
        <f t="shared" si="278"/>
        <v/>
      </c>
      <c r="K553" s="2" t="str">
        <f t="shared" si="262"/>
        <v/>
      </c>
      <c r="L553" s="2" t="str">
        <f t="shared" si="263"/>
        <v/>
      </c>
      <c r="M553" s="2" t="str">
        <f t="shared" si="264"/>
        <v/>
      </c>
      <c r="N553" s="2" t="str">
        <f t="shared" si="279"/>
        <v/>
      </c>
      <c r="O553" s="2" t="str">
        <f t="shared" si="280"/>
        <v/>
      </c>
      <c r="P553" s="2" t="str">
        <f t="shared" si="281"/>
        <v/>
      </c>
      <c r="Q553" s="2" t="str">
        <f t="shared" si="265"/>
        <v/>
      </c>
      <c r="R553" s="2" t="str">
        <f t="shared" si="266"/>
        <v/>
      </c>
      <c r="S553" s="2" t="str">
        <f t="shared" si="267"/>
        <v/>
      </c>
      <c r="T553" s="2" t="str">
        <f t="shared" si="282"/>
        <v/>
      </c>
      <c r="U553" s="2" t="str">
        <f t="shared" si="283"/>
        <v/>
      </c>
      <c r="V553" s="2" t="str">
        <f t="shared" si="284"/>
        <v/>
      </c>
      <c r="W553" s="2" t="str">
        <f t="shared" si="268"/>
        <v/>
      </c>
      <c r="X553" s="2" t="str">
        <f t="shared" si="269"/>
        <v/>
      </c>
      <c r="Y553" s="2" t="str">
        <f t="shared" si="270"/>
        <v/>
      </c>
      <c r="Z553" s="2" t="str">
        <f t="shared" si="285"/>
        <v/>
      </c>
      <c r="AA553" s="2" t="str">
        <f t="shared" si="286"/>
        <v/>
      </c>
      <c r="AB553" s="2" t="str">
        <f t="shared" si="287"/>
        <v/>
      </c>
      <c r="AC553" s="2" t="str">
        <f t="shared" si="271"/>
        <v/>
      </c>
      <c r="AD553" s="2" t="str">
        <f t="shared" si="272"/>
        <v/>
      </c>
      <c r="AE553" s="2" t="str">
        <f t="shared" si="273"/>
        <v/>
      </c>
      <c r="AF553" s="2" t="str">
        <f t="shared" si="274"/>
        <v/>
      </c>
    </row>
    <row r="554" spans="1:32" x14ac:dyDescent="0.2">
      <c r="A554" s="2" t="str">
        <f t="shared" si="275"/>
        <v/>
      </c>
      <c r="B554" s="2" t="str">
        <f t="shared" si="256"/>
        <v/>
      </c>
      <c r="C554" s="2" t="str">
        <f t="shared" si="257"/>
        <v/>
      </c>
      <c r="D554" s="2" t="str">
        <f t="shared" si="258"/>
        <v/>
      </c>
      <c r="E554" s="2" t="str">
        <f t="shared" si="259"/>
        <v/>
      </c>
      <c r="F554" s="2" t="str">
        <f t="shared" si="260"/>
        <v/>
      </c>
      <c r="G554" s="2" t="str">
        <f t="shared" si="261"/>
        <v/>
      </c>
      <c r="H554" s="2" t="str">
        <f t="shared" si="276"/>
        <v/>
      </c>
      <c r="I554" s="2" t="str">
        <f t="shared" si="277"/>
        <v/>
      </c>
      <c r="J554" s="2" t="str">
        <f t="shared" si="278"/>
        <v/>
      </c>
      <c r="K554" s="2" t="str">
        <f t="shared" si="262"/>
        <v/>
      </c>
      <c r="L554" s="2" t="str">
        <f t="shared" si="263"/>
        <v/>
      </c>
      <c r="M554" s="2" t="str">
        <f t="shared" si="264"/>
        <v/>
      </c>
      <c r="N554" s="2" t="str">
        <f t="shared" si="279"/>
        <v/>
      </c>
      <c r="O554" s="2" t="str">
        <f t="shared" si="280"/>
        <v/>
      </c>
      <c r="P554" s="2" t="str">
        <f t="shared" si="281"/>
        <v/>
      </c>
      <c r="Q554" s="2" t="str">
        <f t="shared" si="265"/>
        <v/>
      </c>
      <c r="R554" s="2" t="str">
        <f t="shared" si="266"/>
        <v/>
      </c>
      <c r="S554" s="2" t="str">
        <f t="shared" si="267"/>
        <v/>
      </c>
      <c r="T554" s="2" t="str">
        <f t="shared" si="282"/>
        <v/>
      </c>
      <c r="U554" s="2" t="str">
        <f t="shared" si="283"/>
        <v/>
      </c>
      <c r="V554" s="2" t="str">
        <f t="shared" si="284"/>
        <v/>
      </c>
      <c r="W554" s="2" t="str">
        <f t="shared" si="268"/>
        <v/>
      </c>
      <c r="X554" s="2" t="str">
        <f t="shared" si="269"/>
        <v/>
      </c>
      <c r="Y554" s="2" t="str">
        <f t="shared" si="270"/>
        <v/>
      </c>
      <c r="Z554" s="2" t="str">
        <f t="shared" si="285"/>
        <v/>
      </c>
      <c r="AA554" s="2" t="str">
        <f t="shared" si="286"/>
        <v/>
      </c>
      <c r="AB554" s="2" t="str">
        <f t="shared" si="287"/>
        <v/>
      </c>
      <c r="AC554" s="2" t="str">
        <f t="shared" si="271"/>
        <v/>
      </c>
      <c r="AD554" s="2" t="str">
        <f t="shared" si="272"/>
        <v/>
      </c>
      <c r="AE554" s="2" t="str">
        <f t="shared" si="273"/>
        <v/>
      </c>
      <c r="AF554" s="2" t="str">
        <f t="shared" si="274"/>
        <v/>
      </c>
    </row>
    <row r="555" spans="1:32" x14ac:dyDescent="0.2">
      <c r="A555" s="2" t="str">
        <f t="shared" si="275"/>
        <v/>
      </c>
      <c r="B555" s="2" t="str">
        <f t="shared" si="256"/>
        <v/>
      </c>
      <c r="C555" s="2" t="str">
        <f t="shared" si="257"/>
        <v/>
      </c>
      <c r="D555" s="2" t="str">
        <f t="shared" si="258"/>
        <v/>
      </c>
      <c r="E555" s="2" t="str">
        <f t="shared" si="259"/>
        <v/>
      </c>
      <c r="F555" s="2" t="str">
        <f t="shared" si="260"/>
        <v/>
      </c>
      <c r="G555" s="2" t="str">
        <f t="shared" si="261"/>
        <v/>
      </c>
      <c r="H555" s="2" t="str">
        <f t="shared" si="276"/>
        <v/>
      </c>
      <c r="I555" s="2" t="str">
        <f t="shared" si="277"/>
        <v/>
      </c>
      <c r="J555" s="2" t="str">
        <f t="shared" si="278"/>
        <v/>
      </c>
      <c r="K555" s="2" t="str">
        <f t="shared" si="262"/>
        <v/>
      </c>
      <c r="L555" s="2" t="str">
        <f t="shared" si="263"/>
        <v/>
      </c>
      <c r="M555" s="2" t="str">
        <f t="shared" si="264"/>
        <v/>
      </c>
      <c r="N555" s="2" t="str">
        <f t="shared" si="279"/>
        <v/>
      </c>
      <c r="O555" s="2" t="str">
        <f t="shared" si="280"/>
        <v/>
      </c>
      <c r="P555" s="2" t="str">
        <f t="shared" si="281"/>
        <v/>
      </c>
      <c r="Q555" s="2" t="str">
        <f t="shared" si="265"/>
        <v/>
      </c>
      <c r="R555" s="2" t="str">
        <f t="shared" si="266"/>
        <v/>
      </c>
      <c r="S555" s="2" t="str">
        <f t="shared" si="267"/>
        <v/>
      </c>
      <c r="T555" s="2" t="str">
        <f t="shared" si="282"/>
        <v/>
      </c>
      <c r="U555" s="2" t="str">
        <f t="shared" si="283"/>
        <v/>
      </c>
      <c r="V555" s="2" t="str">
        <f t="shared" si="284"/>
        <v/>
      </c>
      <c r="W555" s="2" t="str">
        <f t="shared" si="268"/>
        <v/>
      </c>
      <c r="X555" s="2" t="str">
        <f t="shared" si="269"/>
        <v/>
      </c>
      <c r="Y555" s="2" t="str">
        <f t="shared" si="270"/>
        <v/>
      </c>
      <c r="Z555" s="2" t="str">
        <f t="shared" si="285"/>
        <v/>
      </c>
      <c r="AA555" s="2" t="str">
        <f t="shared" si="286"/>
        <v/>
      </c>
      <c r="AB555" s="2" t="str">
        <f t="shared" si="287"/>
        <v/>
      </c>
      <c r="AC555" s="2" t="str">
        <f t="shared" si="271"/>
        <v/>
      </c>
      <c r="AD555" s="2" t="str">
        <f t="shared" si="272"/>
        <v/>
      </c>
      <c r="AE555" s="2" t="str">
        <f t="shared" si="273"/>
        <v/>
      </c>
      <c r="AF555" s="2" t="str">
        <f t="shared" si="274"/>
        <v/>
      </c>
    </row>
    <row r="556" spans="1:32" x14ac:dyDescent="0.2">
      <c r="A556" s="2" t="str">
        <f t="shared" si="275"/>
        <v/>
      </c>
      <c r="B556" s="2" t="str">
        <f t="shared" si="256"/>
        <v/>
      </c>
      <c r="C556" s="2" t="str">
        <f t="shared" si="257"/>
        <v/>
      </c>
      <c r="D556" s="2" t="str">
        <f t="shared" si="258"/>
        <v/>
      </c>
      <c r="E556" s="2" t="str">
        <f t="shared" si="259"/>
        <v/>
      </c>
      <c r="F556" s="2" t="str">
        <f t="shared" si="260"/>
        <v/>
      </c>
      <c r="G556" s="2" t="str">
        <f t="shared" si="261"/>
        <v/>
      </c>
      <c r="H556" s="2" t="str">
        <f t="shared" si="276"/>
        <v/>
      </c>
      <c r="I556" s="2" t="str">
        <f t="shared" si="277"/>
        <v/>
      </c>
      <c r="J556" s="2" t="str">
        <f t="shared" si="278"/>
        <v/>
      </c>
      <c r="K556" s="2" t="str">
        <f t="shared" si="262"/>
        <v/>
      </c>
      <c r="L556" s="2" t="str">
        <f t="shared" si="263"/>
        <v/>
      </c>
      <c r="M556" s="2" t="str">
        <f t="shared" si="264"/>
        <v/>
      </c>
      <c r="N556" s="2" t="str">
        <f t="shared" si="279"/>
        <v/>
      </c>
      <c r="O556" s="2" t="str">
        <f t="shared" si="280"/>
        <v/>
      </c>
      <c r="P556" s="2" t="str">
        <f t="shared" si="281"/>
        <v/>
      </c>
      <c r="Q556" s="2" t="str">
        <f t="shared" si="265"/>
        <v/>
      </c>
      <c r="R556" s="2" t="str">
        <f t="shared" si="266"/>
        <v/>
      </c>
      <c r="S556" s="2" t="str">
        <f t="shared" si="267"/>
        <v/>
      </c>
      <c r="T556" s="2" t="str">
        <f t="shared" si="282"/>
        <v/>
      </c>
      <c r="U556" s="2" t="str">
        <f t="shared" si="283"/>
        <v/>
      </c>
      <c r="V556" s="2" t="str">
        <f t="shared" si="284"/>
        <v/>
      </c>
      <c r="W556" s="2" t="str">
        <f t="shared" si="268"/>
        <v/>
      </c>
      <c r="X556" s="2" t="str">
        <f t="shared" si="269"/>
        <v/>
      </c>
      <c r="Y556" s="2" t="str">
        <f t="shared" si="270"/>
        <v/>
      </c>
      <c r="Z556" s="2" t="str">
        <f t="shared" si="285"/>
        <v/>
      </c>
      <c r="AA556" s="2" t="str">
        <f t="shared" si="286"/>
        <v/>
      </c>
      <c r="AB556" s="2" t="str">
        <f t="shared" si="287"/>
        <v/>
      </c>
      <c r="AC556" s="2" t="str">
        <f t="shared" si="271"/>
        <v/>
      </c>
      <c r="AD556" s="2" t="str">
        <f t="shared" si="272"/>
        <v/>
      </c>
      <c r="AE556" s="2" t="str">
        <f t="shared" si="273"/>
        <v/>
      </c>
      <c r="AF556" s="2" t="str">
        <f t="shared" si="274"/>
        <v/>
      </c>
    </row>
    <row r="557" spans="1:32" x14ac:dyDescent="0.2">
      <c r="A557" s="2" t="str">
        <f t="shared" si="275"/>
        <v/>
      </c>
      <c r="B557" s="2" t="str">
        <f t="shared" si="256"/>
        <v/>
      </c>
      <c r="C557" s="2" t="str">
        <f t="shared" si="257"/>
        <v/>
      </c>
      <c r="D557" s="2" t="str">
        <f t="shared" si="258"/>
        <v/>
      </c>
      <c r="E557" s="2" t="str">
        <f t="shared" si="259"/>
        <v/>
      </c>
      <c r="F557" s="2" t="str">
        <f t="shared" si="260"/>
        <v/>
      </c>
      <c r="G557" s="2" t="str">
        <f t="shared" si="261"/>
        <v/>
      </c>
      <c r="H557" s="2" t="str">
        <f t="shared" si="276"/>
        <v/>
      </c>
      <c r="I557" s="2" t="str">
        <f t="shared" si="277"/>
        <v/>
      </c>
      <c r="J557" s="2" t="str">
        <f t="shared" si="278"/>
        <v/>
      </c>
      <c r="K557" s="2" t="str">
        <f t="shared" si="262"/>
        <v/>
      </c>
      <c r="L557" s="2" t="str">
        <f t="shared" si="263"/>
        <v/>
      </c>
      <c r="M557" s="2" t="str">
        <f t="shared" si="264"/>
        <v/>
      </c>
      <c r="N557" s="2" t="str">
        <f t="shared" si="279"/>
        <v/>
      </c>
      <c r="O557" s="2" t="str">
        <f t="shared" si="280"/>
        <v/>
      </c>
      <c r="P557" s="2" t="str">
        <f t="shared" si="281"/>
        <v/>
      </c>
      <c r="Q557" s="2" t="str">
        <f t="shared" si="265"/>
        <v/>
      </c>
      <c r="R557" s="2" t="str">
        <f t="shared" si="266"/>
        <v/>
      </c>
      <c r="S557" s="2" t="str">
        <f t="shared" si="267"/>
        <v/>
      </c>
      <c r="T557" s="2" t="str">
        <f t="shared" si="282"/>
        <v/>
      </c>
      <c r="U557" s="2" t="str">
        <f t="shared" si="283"/>
        <v/>
      </c>
      <c r="V557" s="2" t="str">
        <f t="shared" si="284"/>
        <v/>
      </c>
      <c r="W557" s="2" t="str">
        <f t="shared" si="268"/>
        <v/>
      </c>
      <c r="X557" s="2" t="str">
        <f t="shared" si="269"/>
        <v/>
      </c>
      <c r="Y557" s="2" t="str">
        <f t="shared" si="270"/>
        <v/>
      </c>
      <c r="Z557" s="2" t="str">
        <f t="shared" si="285"/>
        <v/>
      </c>
      <c r="AA557" s="2" t="str">
        <f t="shared" si="286"/>
        <v/>
      </c>
      <c r="AB557" s="2" t="str">
        <f t="shared" si="287"/>
        <v/>
      </c>
      <c r="AC557" s="2" t="str">
        <f t="shared" si="271"/>
        <v/>
      </c>
      <c r="AD557" s="2" t="str">
        <f t="shared" si="272"/>
        <v/>
      </c>
      <c r="AE557" s="2" t="str">
        <f t="shared" si="273"/>
        <v/>
      </c>
      <c r="AF557" s="2" t="str">
        <f t="shared" si="274"/>
        <v/>
      </c>
    </row>
    <row r="558" spans="1:32" x14ac:dyDescent="0.2">
      <c r="A558" s="2" t="str">
        <f t="shared" si="275"/>
        <v/>
      </c>
      <c r="B558" s="2" t="str">
        <f t="shared" si="256"/>
        <v/>
      </c>
      <c r="C558" s="2" t="str">
        <f t="shared" si="257"/>
        <v/>
      </c>
      <c r="D558" s="2" t="str">
        <f t="shared" si="258"/>
        <v/>
      </c>
      <c r="E558" s="2" t="str">
        <f t="shared" si="259"/>
        <v/>
      </c>
      <c r="F558" s="2" t="str">
        <f t="shared" si="260"/>
        <v/>
      </c>
      <c r="G558" s="2" t="str">
        <f t="shared" si="261"/>
        <v/>
      </c>
      <c r="H558" s="2" t="str">
        <f t="shared" si="276"/>
        <v/>
      </c>
      <c r="I558" s="2" t="str">
        <f t="shared" si="277"/>
        <v/>
      </c>
      <c r="J558" s="2" t="str">
        <f t="shared" si="278"/>
        <v/>
      </c>
      <c r="K558" s="2" t="str">
        <f t="shared" si="262"/>
        <v/>
      </c>
      <c r="L558" s="2" t="str">
        <f t="shared" si="263"/>
        <v/>
      </c>
      <c r="M558" s="2" t="str">
        <f t="shared" si="264"/>
        <v/>
      </c>
      <c r="N558" s="2" t="str">
        <f t="shared" si="279"/>
        <v/>
      </c>
      <c r="O558" s="2" t="str">
        <f t="shared" si="280"/>
        <v/>
      </c>
      <c r="P558" s="2" t="str">
        <f t="shared" si="281"/>
        <v/>
      </c>
      <c r="Q558" s="2" t="str">
        <f t="shared" si="265"/>
        <v/>
      </c>
      <c r="R558" s="2" t="str">
        <f t="shared" si="266"/>
        <v/>
      </c>
      <c r="S558" s="2" t="str">
        <f t="shared" si="267"/>
        <v/>
      </c>
      <c r="T558" s="2" t="str">
        <f t="shared" si="282"/>
        <v/>
      </c>
      <c r="U558" s="2" t="str">
        <f t="shared" si="283"/>
        <v/>
      </c>
      <c r="V558" s="2" t="str">
        <f t="shared" si="284"/>
        <v/>
      </c>
      <c r="W558" s="2" t="str">
        <f t="shared" si="268"/>
        <v/>
      </c>
      <c r="X558" s="2" t="str">
        <f t="shared" si="269"/>
        <v/>
      </c>
      <c r="Y558" s="2" t="str">
        <f t="shared" si="270"/>
        <v/>
      </c>
      <c r="Z558" s="2" t="str">
        <f t="shared" si="285"/>
        <v/>
      </c>
      <c r="AA558" s="2" t="str">
        <f t="shared" si="286"/>
        <v/>
      </c>
      <c r="AB558" s="2" t="str">
        <f t="shared" si="287"/>
        <v/>
      </c>
      <c r="AC558" s="2" t="str">
        <f t="shared" si="271"/>
        <v/>
      </c>
      <c r="AD558" s="2" t="str">
        <f t="shared" si="272"/>
        <v/>
      </c>
      <c r="AE558" s="2" t="str">
        <f t="shared" si="273"/>
        <v/>
      </c>
      <c r="AF558" s="2" t="str">
        <f t="shared" si="274"/>
        <v/>
      </c>
    </row>
    <row r="559" spans="1:32" x14ac:dyDescent="0.2">
      <c r="A559" s="2" t="str">
        <f t="shared" si="275"/>
        <v/>
      </c>
      <c r="B559" s="2" t="str">
        <f t="shared" si="256"/>
        <v/>
      </c>
      <c r="C559" s="2" t="str">
        <f t="shared" si="257"/>
        <v/>
      </c>
      <c r="D559" s="2" t="str">
        <f t="shared" si="258"/>
        <v/>
      </c>
      <c r="E559" s="2" t="str">
        <f t="shared" si="259"/>
        <v/>
      </c>
      <c r="F559" s="2" t="str">
        <f t="shared" si="260"/>
        <v/>
      </c>
      <c r="G559" s="2" t="str">
        <f t="shared" si="261"/>
        <v/>
      </c>
      <c r="H559" s="2" t="str">
        <f t="shared" si="276"/>
        <v/>
      </c>
      <c r="I559" s="2" t="str">
        <f t="shared" si="277"/>
        <v/>
      </c>
      <c r="J559" s="2" t="str">
        <f t="shared" si="278"/>
        <v/>
      </c>
      <c r="K559" s="2" t="str">
        <f t="shared" si="262"/>
        <v/>
      </c>
      <c r="L559" s="2" t="str">
        <f t="shared" si="263"/>
        <v/>
      </c>
      <c r="M559" s="2" t="str">
        <f t="shared" si="264"/>
        <v/>
      </c>
      <c r="N559" s="2" t="str">
        <f t="shared" si="279"/>
        <v/>
      </c>
      <c r="O559" s="2" t="str">
        <f t="shared" si="280"/>
        <v/>
      </c>
      <c r="P559" s="2" t="str">
        <f t="shared" si="281"/>
        <v/>
      </c>
      <c r="Q559" s="2" t="str">
        <f t="shared" si="265"/>
        <v/>
      </c>
      <c r="R559" s="2" t="str">
        <f t="shared" si="266"/>
        <v/>
      </c>
      <c r="S559" s="2" t="str">
        <f t="shared" si="267"/>
        <v/>
      </c>
      <c r="T559" s="2" t="str">
        <f t="shared" si="282"/>
        <v/>
      </c>
      <c r="U559" s="2" t="str">
        <f t="shared" si="283"/>
        <v/>
      </c>
      <c r="V559" s="2" t="str">
        <f t="shared" si="284"/>
        <v/>
      </c>
      <c r="W559" s="2" t="str">
        <f t="shared" si="268"/>
        <v/>
      </c>
      <c r="X559" s="2" t="str">
        <f t="shared" si="269"/>
        <v/>
      </c>
      <c r="Y559" s="2" t="str">
        <f t="shared" si="270"/>
        <v/>
      </c>
      <c r="Z559" s="2" t="str">
        <f t="shared" si="285"/>
        <v/>
      </c>
      <c r="AA559" s="2" t="str">
        <f t="shared" si="286"/>
        <v/>
      </c>
      <c r="AB559" s="2" t="str">
        <f t="shared" si="287"/>
        <v/>
      </c>
      <c r="AC559" s="2" t="str">
        <f t="shared" si="271"/>
        <v/>
      </c>
      <c r="AD559" s="2" t="str">
        <f t="shared" si="272"/>
        <v/>
      </c>
      <c r="AE559" s="2" t="str">
        <f t="shared" si="273"/>
        <v/>
      </c>
      <c r="AF559" s="2" t="str">
        <f t="shared" si="274"/>
        <v/>
      </c>
    </row>
    <row r="560" spans="1:32" x14ac:dyDescent="0.2">
      <c r="A560" s="2" t="str">
        <f t="shared" si="275"/>
        <v/>
      </c>
      <c r="B560" s="2" t="str">
        <f t="shared" si="256"/>
        <v/>
      </c>
      <c r="C560" s="2" t="str">
        <f t="shared" si="257"/>
        <v/>
      </c>
      <c r="D560" s="2" t="str">
        <f t="shared" si="258"/>
        <v/>
      </c>
      <c r="E560" s="2" t="str">
        <f t="shared" si="259"/>
        <v/>
      </c>
      <c r="F560" s="2" t="str">
        <f t="shared" si="260"/>
        <v/>
      </c>
      <c r="G560" s="2" t="str">
        <f t="shared" si="261"/>
        <v/>
      </c>
      <c r="H560" s="2" t="str">
        <f t="shared" si="276"/>
        <v/>
      </c>
      <c r="I560" s="2" t="str">
        <f t="shared" si="277"/>
        <v/>
      </c>
      <c r="J560" s="2" t="str">
        <f t="shared" si="278"/>
        <v/>
      </c>
      <c r="K560" s="2" t="str">
        <f t="shared" si="262"/>
        <v/>
      </c>
      <c r="L560" s="2" t="str">
        <f t="shared" si="263"/>
        <v/>
      </c>
      <c r="M560" s="2" t="str">
        <f t="shared" si="264"/>
        <v/>
      </c>
      <c r="N560" s="2" t="str">
        <f t="shared" si="279"/>
        <v/>
      </c>
      <c r="O560" s="2" t="str">
        <f t="shared" si="280"/>
        <v/>
      </c>
      <c r="P560" s="2" t="str">
        <f t="shared" si="281"/>
        <v/>
      </c>
      <c r="Q560" s="2" t="str">
        <f t="shared" si="265"/>
        <v/>
      </c>
      <c r="R560" s="2" t="str">
        <f t="shared" si="266"/>
        <v/>
      </c>
      <c r="S560" s="2" t="str">
        <f t="shared" si="267"/>
        <v/>
      </c>
      <c r="T560" s="2" t="str">
        <f t="shared" si="282"/>
        <v/>
      </c>
      <c r="U560" s="2" t="str">
        <f t="shared" si="283"/>
        <v/>
      </c>
      <c r="V560" s="2" t="str">
        <f t="shared" si="284"/>
        <v/>
      </c>
      <c r="W560" s="2" t="str">
        <f t="shared" si="268"/>
        <v/>
      </c>
      <c r="X560" s="2" t="str">
        <f t="shared" si="269"/>
        <v/>
      </c>
      <c r="Y560" s="2" t="str">
        <f t="shared" si="270"/>
        <v/>
      </c>
      <c r="Z560" s="2" t="str">
        <f t="shared" si="285"/>
        <v/>
      </c>
      <c r="AA560" s="2" t="str">
        <f t="shared" si="286"/>
        <v/>
      </c>
      <c r="AB560" s="2" t="str">
        <f t="shared" si="287"/>
        <v/>
      </c>
      <c r="AC560" s="2" t="str">
        <f t="shared" si="271"/>
        <v/>
      </c>
      <c r="AD560" s="2" t="str">
        <f t="shared" si="272"/>
        <v/>
      </c>
      <c r="AE560" s="2" t="str">
        <f t="shared" si="273"/>
        <v/>
      </c>
      <c r="AF560" s="2" t="str">
        <f t="shared" si="274"/>
        <v/>
      </c>
    </row>
    <row r="561" spans="1:32" x14ac:dyDescent="0.2">
      <c r="A561" s="2" t="str">
        <f t="shared" si="275"/>
        <v/>
      </c>
      <c r="B561" s="2" t="str">
        <f t="shared" si="256"/>
        <v/>
      </c>
      <c r="C561" s="2" t="str">
        <f t="shared" si="257"/>
        <v/>
      </c>
      <c r="D561" s="2" t="str">
        <f t="shared" si="258"/>
        <v/>
      </c>
      <c r="E561" s="2" t="str">
        <f t="shared" si="259"/>
        <v/>
      </c>
      <c r="F561" s="2" t="str">
        <f t="shared" si="260"/>
        <v/>
      </c>
      <c r="G561" s="2" t="str">
        <f t="shared" si="261"/>
        <v/>
      </c>
      <c r="H561" s="2" t="str">
        <f t="shared" si="276"/>
        <v/>
      </c>
      <c r="I561" s="2" t="str">
        <f t="shared" si="277"/>
        <v/>
      </c>
      <c r="J561" s="2" t="str">
        <f t="shared" si="278"/>
        <v/>
      </c>
      <c r="K561" s="2" t="str">
        <f t="shared" si="262"/>
        <v/>
      </c>
      <c r="L561" s="2" t="str">
        <f t="shared" si="263"/>
        <v/>
      </c>
      <c r="M561" s="2" t="str">
        <f t="shared" si="264"/>
        <v/>
      </c>
      <c r="N561" s="2" t="str">
        <f t="shared" si="279"/>
        <v/>
      </c>
      <c r="O561" s="2" t="str">
        <f t="shared" si="280"/>
        <v/>
      </c>
      <c r="P561" s="2" t="str">
        <f t="shared" si="281"/>
        <v/>
      </c>
      <c r="Q561" s="2" t="str">
        <f t="shared" si="265"/>
        <v/>
      </c>
      <c r="R561" s="2" t="str">
        <f t="shared" si="266"/>
        <v/>
      </c>
      <c r="S561" s="2" t="str">
        <f t="shared" si="267"/>
        <v/>
      </c>
      <c r="T561" s="2" t="str">
        <f t="shared" si="282"/>
        <v/>
      </c>
      <c r="U561" s="2" t="str">
        <f t="shared" si="283"/>
        <v/>
      </c>
      <c r="V561" s="2" t="str">
        <f t="shared" si="284"/>
        <v/>
      </c>
      <c r="W561" s="2" t="str">
        <f t="shared" si="268"/>
        <v/>
      </c>
      <c r="X561" s="2" t="str">
        <f t="shared" si="269"/>
        <v/>
      </c>
      <c r="Y561" s="2" t="str">
        <f t="shared" si="270"/>
        <v/>
      </c>
      <c r="Z561" s="2" t="str">
        <f t="shared" si="285"/>
        <v/>
      </c>
      <c r="AA561" s="2" t="str">
        <f t="shared" si="286"/>
        <v/>
      </c>
      <c r="AB561" s="2" t="str">
        <f t="shared" si="287"/>
        <v/>
      </c>
      <c r="AC561" s="2" t="str">
        <f t="shared" si="271"/>
        <v/>
      </c>
      <c r="AD561" s="2" t="str">
        <f t="shared" si="272"/>
        <v/>
      </c>
      <c r="AE561" s="2" t="str">
        <f t="shared" si="273"/>
        <v/>
      </c>
      <c r="AF561" s="2" t="str">
        <f t="shared" si="274"/>
        <v/>
      </c>
    </row>
    <row r="562" spans="1:32" x14ac:dyDescent="0.2">
      <c r="A562" s="2" t="str">
        <f t="shared" si="275"/>
        <v/>
      </c>
      <c r="B562" s="2" t="str">
        <f t="shared" si="256"/>
        <v/>
      </c>
      <c r="C562" s="2" t="str">
        <f t="shared" si="257"/>
        <v/>
      </c>
      <c r="D562" s="2" t="str">
        <f t="shared" si="258"/>
        <v/>
      </c>
      <c r="E562" s="2" t="str">
        <f t="shared" si="259"/>
        <v/>
      </c>
      <c r="F562" s="2" t="str">
        <f t="shared" si="260"/>
        <v/>
      </c>
      <c r="G562" s="2" t="str">
        <f t="shared" si="261"/>
        <v/>
      </c>
      <c r="H562" s="2" t="str">
        <f t="shared" si="276"/>
        <v/>
      </c>
      <c r="I562" s="2" t="str">
        <f t="shared" si="277"/>
        <v/>
      </c>
      <c r="J562" s="2" t="str">
        <f t="shared" si="278"/>
        <v/>
      </c>
      <c r="K562" s="2" t="str">
        <f t="shared" si="262"/>
        <v/>
      </c>
      <c r="L562" s="2" t="str">
        <f t="shared" si="263"/>
        <v/>
      </c>
      <c r="M562" s="2" t="str">
        <f t="shared" si="264"/>
        <v/>
      </c>
      <c r="N562" s="2" t="str">
        <f t="shared" si="279"/>
        <v/>
      </c>
      <c r="O562" s="2" t="str">
        <f t="shared" si="280"/>
        <v/>
      </c>
      <c r="P562" s="2" t="str">
        <f t="shared" si="281"/>
        <v/>
      </c>
      <c r="Q562" s="2" t="str">
        <f t="shared" si="265"/>
        <v/>
      </c>
      <c r="R562" s="2" t="str">
        <f t="shared" si="266"/>
        <v/>
      </c>
      <c r="S562" s="2" t="str">
        <f t="shared" si="267"/>
        <v/>
      </c>
      <c r="T562" s="2" t="str">
        <f t="shared" si="282"/>
        <v/>
      </c>
      <c r="U562" s="2" t="str">
        <f t="shared" si="283"/>
        <v/>
      </c>
      <c r="V562" s="2" t="str">
        <f t="shared" si="284"/>
        <v/>
      </c>
      <c r="W562" s="2" t="str">
        <f t="shared" si="268"/>
        <v/>
      </c>
      <c r="X562" s="2" t="str">
        <f t="shared" si="269"/>
        <v/>
      </c>
      <c r="Y562" s="2" t="str">
        <f t="shared" si="270"/>
        <v/>
      </c>
      <c r="Z562" s="2" t="str">
        <f t="shared" si="285"/>
        <v/>
      </c>
      <c r="AA562" s="2" t="str">
        <f t="shared" si="286"/>
        <v/>
      </c>
      <c r="AB562" s="2" t="str">
        <f t="shared" si="287"/>
        <v/>
      </c>
      <c r="AC562" s="2" t="str">
        <f t="shared" si="271"/>
        <v/>
      </c>
      <c r="AD562" s="2" t="str">
        <f t="shared" si="272"/>
        <v/>
      </c>
      <c r="AE562" s="2" t="str">
        <f t="shared" si="273"/>
        <v/>
      </c>
      <c r="AF562" s="2" t="str">
        <f t="shared" si="274"/>
        <v/>
      </c>
    </row>
    <row r="563" spans="1:32" x14ac:dyDescent="0.2">
      <c r="A563" s="2" t="str">
        <f t="shared" si="275"/>
        <v/>
      </c>
      <c r="B563" s="2" t="str">
        <f t="shared" si="256"/>
        <v/>
      </c>
      <c r="C563" s="2" t="str">
        <f t="shared" si="257"/>
        <v/>
      </c>
      <c r="D563" s="2" t="str">
        <f t="shared" si="258"/>
        <v/>
      </c>
      <c r="E563" s="2" t="str">
        <f t="shared" si="259"/>
        <v/>
      </c>
      <c r="F563" s="2" t="str">
        <f t="shared" si="260"/>
        <v/>
      </c>
      <c r="G563" s="2" t="str">
        <f t="shared" si="261"/>
        <v/>
      </c>
      <c r="H563" s="2" t="str">
        <f t="shared" si="276"/>
        <v/>
      </c>
      <c r="I563" s="2" t="str">
        <f t="shared" si="277"/>
        <v/>
      </c>
      <c r="J563" s="2" t="str">
        <f t="shared" si="278"/>
        <v/>
      </c>
      <c r="K563" s="2" t="str">
        <f t="shared" si="262"/>
        <v/>
      </c>
      <c r="L563" s="2" t="str">
        <f t="shared" si="263"/>
        <v/>
      </c>
      <c r="M563" s="2" t="str">
        <f t="shared" si="264"/>
        <v/>
      </c>
      <c r="N563" s="2" t="str">
        <f t="shared" si="279"/>
        <v/>
      </c>
      <c r="O563" s="2" t="str">
        <f t="shared" si="280"/>
        <v/>
      </c>
      <c r="P563" s="2" t="str">
        <f t="shared" si="281"/>
        <v/>
      </c>
      <c r="Q563" s="2" t="str">
        <f t="shared" si="265"/>
        <v/>
      </c>
      <c r="R563" s="2" t="str">
        <f t="shared" si="266"/>
        <v/>
      </c>
      <c r="S563" s="2" t="str">
        <f t="shared" si="267"/>
        <v/>
      </c>
      <c r="T563" s="2" t="str">
        <f t="shared" si="282"/>
        <v/>
      </c>
      <c r="U563" s="2" t="str">
        <f t="shared" si="283"/>
        <v/>
      </c>
      <c r="V563" s="2" t="str">
        <f t="shared" si="284"/>
        <v/>
      </c>
      <c r="W563" s="2" t="str">
        <f t="shared" si="268"/>
        <v/>
      </c>
      <c r="X563" s="2" t="str">
        <f t="shared" si="269"/>
        <v/>
      </c>
      <c r="Y563" s="2" t="str">
        <f t="shared" si="270"/>
        <v/>
      </c>
      <c r="Z563" s="2" t="str">
        <f t="shared" si="285"/>
        <v/>
      </c>
      <c r="AA563" s="2" t="str">
        <f t="shared" si="286"/>
        <v/>
      </c>
      <c r="AB563" s="2" t="str">
        <f t="shared" si="287"/>
        <v/>
      </c>
      <c r="AC563" s="2" t="str">
        <f t="shared" si="271"/>
        <v/>
      </c>
      <c r="AD563" s="2" t="str">
        <f t="shared" si="272"/>
        <v/>
      </c>
      <c r="AE563" s="2" t="str">
        <f t="shared" si="273"/>
        <v/>
      </c>
      <c r="AF563" s="2" t="str">
        <f t="shared" si="274"/>
        <v/>
      </c>
    </row>
    <row r="564" spans="1:32" x14ac:dyDescent="0.2">
      <c r="A564" s="2" t="str">
        <f t="shared" si="275"/>
        <v/>
      </c>
      <c r="B564" s="2" t="str">
        <f t="shared" si="256"/>
        <v/>
      </c>
      <c r="C564" s="2" t="str">
        <f t="shared" si="257"/>
        <v/>
      </c>
      <c r="D564" s="2" t="str">
        <f t="shared" si="258"/>
        <v/>
      </c>
      <c r="E564" s="2" t="str">
        <f t="shared" si="259"/>
        <v/>
      </c>
      <c r="F564" s="2" t="str">
        <f t="shared" si="260"/>
        <v/>
      </c>
      <c r="G564" s="2" t="str">
        <f t="shared" si="261"/>
        <v/>
      </c>
      <c r="H564" s="2" t="str">
        <f t="shared" si="276"/>
        <v/>
      </c>
      <c r="I564" s="2" t="str">
        <f t="shared" si="277"/>
        <v/>
      </c>
      <c r="J564" s="2" t="str">
        <f t="shared" si="278"/>
        <v/>
      </c>
      <c r="K564" s="2" t="str">
        <f t="shared" si="262"/>
        <v/>
      </c>
      <c r="L564" s="2" t="str">
        <f t="shared" si="263"/>
        <v/>
      </c>
      <c r="M564" s="2" t="str">
        <f t="shared" si="264"/>
        <v/>
      </c>
      <c r="N564" s="2" t="str">
        <f t="shared" si="279"/>
        <v/>
      </c>
      <c r="O564" s="2" t="str">
        <f t="shared" si="280"/>
        <v/>
      </c>
      <c r="P564" s="2" t="str">
        <f t="shared" si="281"/>
        <v/>
      </c>
      <c r="Q564" s="2" t="str">
        <f t="shared" si="265"/>
        <v/>
      </c>
      <c r="R564" s="2" t="str">
        <f t="shared" si="266"/>
        <v/>
      </c>
      <c r="S564" s="2" t="str">
        <f t="shared" si="267"/>
        <v/>
      </c>
      <c r="T564" s="2" t="str">
        <f t="shared" si="282"/>
        <v/>
      </c>
      <c r="U564" s="2" t="str">
        <f t="shared" si="283"/>
        <v/>
      </c>
      <c r="V564" s="2" t="str">
        <f t="shared" si="284"/>
        <v/>
      </c>
      <c r="W564" s="2" t="str">
        <f t="shared" si="268"/>
        <v/>
      </c>
      <c r="X564" s="2" t="str">
        <f t="shared" si="269"/>
        <v/>
      </c>
      <c r="Y564" s="2" t="str">
        <f t="shared" si="270"/>
        <v/>
      </c>
      <c r="Z564" s="2" t="str">
        <f t="shared" si="285"/>
        <v/>
      </c>
      <c r="AA564" s="2" t="str">
        <f t="shared" si="286"/>
        <v/>
      </c>
      <c r="AB564" s="2" t="str">
        <f t="shared" si="287"/>
        <v/>
      </c>
      <c r="AC564" s="2" t="str">
        <f t="shared" si="271"/>
        <v/>
      </c>
      <c r="AD564" s="2" t="str">
        <f t="shared" si="272"/>
        <v/>
      </c>
      <c r="AE564" s="2" t="str">
        <f t="shared" si="273"/>
        <v/>
      </c>
      <c r="AF564" s="2" t="str">
        <f t="shared" si="274"/>
        <v/>
      </c>
    </row>
    <row r="565" spans="1:32" x14ac:dyDescent="0.2">
      <c r="A565" s="2" t="str">
        <f t="shared" si="275"/>
        <v/>
      </c>
      <c r="B565" s="2" t="str">
        <f t="shared" si="256"/>
        <v/>
      </c>
      <c r="C565" s="2" t="str">
        <f t="shared" si="257"/>
        <v/>
      </c>
      <c r="D565" s="2" t="str">
        <f t="shared" si="258"/>
        <v/>
      </c>
      <c r="E565" s="2" t="str">
        <f t="shared" si="259"/>
        <v/>
      </c>
      <c r="F565" s="2" t="str">
        <f t="shared" si="260"/>
        <v/>
      </c>
      <c r="G565" s="2" t="str">
        <f t="shared" si="261"/>
        <v/>
      </c>
      <c r="H565" s="2" t="str">
        <f t="shared" si="276"/>
        <v/>
      </c>
      <c r="I565" s="2" t="str">
        <f t="shared" si="277"/>
        <v/>
      </c>
      <c r="J565" s="2" t="str">
        <f t="shared" si="278"/>
        <v/>
      </c>
      <c r="K565" s="2" t="str">
        <f t="shared" si="262"/>
        <v/>
      </c>
      <c r="L565" s="2" t="str">
        <f t="shared" si="263"/>
        <v/>
      </c>
      <c r="M565" s="2" t="str">
        <f t="shared" si="264"/>
        <v/>
      </c>
      <c r="N565" s="2" t="str">
        <f t="shared" si="279"/>
        <v/>
      </c>
      <c r="O565" s="2" t="str">
        <f t="shared" si="280"/>
        <v/>
      </c>
      <c r="P565" s="2" t="str">
        <f t="shared" si="281"/>
        <v/>
      </c>
      <c r="Q565" s="2" t="str">
        <f t="shared" si="265"/>
        <v/>
      </c>
      <c r="R565" s="2" t="str">
        <f t="shared" si="266"/>
        <v/>
      </c>
      <c r="S565" s="2" t="str">
        <f t="shared" si="267"/>
        <v/>
      </c>
      <c r="T565" s="2" t="str">
        <f t="shared" si="282"/>
        <v/>
      </c>
      <c r="U565" s="2" t="str">
        <f t="shared" si="283"/>
        <v/>
      </c>
      <c r="V565" s="2" t="str">
        <f t="shared" si="284"/>
        <v/>
      </c>
      <c r="W565" s="2" t="str">
        <f t="shared" si="268"/>
        <v/>
      </c>
      <c r="X565" s="2" t="str">
        <f t="shared" si="269"/>
        <v/>
      </c>
      <c r="Y565" s="2" t="str">
        <f t="shared" si="270"/>
        <v/>
      </c>
      <c r="Z565" s="2" t="str">
        <f t="shared" si="285"/>
        <v/>
      </c>
      <c r="AA565" s="2" t="str">
        <f t="shared" si="286"/>
        <v/>
      </c>
      <c r="AB565" s="2" t="str">
        <f t="shared" si="287"/>
        <v/>
      </c>
      <c r="AC565" s="2" t="str">
        <f t="shared" si="271"/>
        <v/>
      </c>
      <c r="AD565" s="2" t="str">
        <f t="shared" si="272"/>
        <v/>
      </c>
      <c r="AE565" s="2" t="str">
        <f t="shared" si="273"/>
        <v/>
      </c>
      <c r="AF565" s="2" t="str">
        <f t="shared" si="274"/>
        <v/>
      </c>
    </row>
    <row r="566" spans="1:32" x14ac:dyDescent="0.2">
      <c r="A566" s="2" t="str">
        <f t="shared" si="275"/>
        <v/>
      </c>
      <c r="B566" s="2" t="str">
        <f t="shared" si="256"/>
        <v/>
      </c>
      <c r="C566" s="2" t="str">
        <f t="shared" si="257"/>
        <v/>
      </c>
      <c r="D566" s="2" t="str">
        <f t="shared" si="258"/>
        <v/>
      </c>
      <c r="E566" s="2" t="str">
        <f t="shared" si="259"/>
        <v/>
      </c>
      <c r="F566" s="2" t="str">
        <f t="shared" si="260"/>
        <v/>
      </c>
      <c r="G566" s="2" t="str">
        <f t="shared" si="261"/>
        <v/>
      </c>
      <c r="H566" s="2" t="str">
        <f t="shared" si="276"/>
        <v/>
      </c>
      <c r="I566" s="2" t="str">
        <f t="shared" si="277"/>
        <v/>
      </c>
      <c r="J566" s="2" t="str">
        <f t="shared" si="278"/>
        <v/>
      </c>
      <c r="K566" s="2" t="str">
        <f t="shared" si="262"/>
        <v/>
      </c>
      <c r="L566" s="2" t="str">
        <f t="shared" si="263"/>
        <v/>
      </c>
      <c r="M566" s="2" t="str">
        <f t="shared" si="264"/>
        <v/>
      </c>
      <c r="N566" s="2" t="str">
        <f t="shared" si="279"/>
        <v/>
      </c>
      <c r="O566" s="2" t="str">
        <f t="shared" si="280"/>
        <v/>
      </c>
      <c r="P566" s="2" t="str">
        <f t="shared" si="281"/>
        <v/>
      </c>
      <c r="Q566" s="2" t="str">
        <f t="shared" si="265"/>
        <v/>
      </c>
      <c r="R566" s="2" t="str">
        <f t="shared" si="266"/>
        <v/>
      </c>
      <c r="S566" s="2" t="str">
        <f t="shared" si="267"/>
        <v/>
      </c>
      <c r="T566" s="2" t="str">
        <f t="shared" si="282"/>
        <v/>
      </c>
      <c r="U566" s="2" t="str">
        <f t="shared" si="283"/>
        <v/>
      </c>
      <c r="V566" s="2" t="str">
        <f t="shared" si="284"/>
        <v/>
      </c>
      <c r="W566" s="2" t="str">
        <f t="shared" si="268"/>
        <v/>
      </c>
      <c r="X566" s="2" t="str">
        <f t="shared" si="269"/>
        <v/>
      </c>
      <c r="Y566" s="2" t="str">
        <f t="shared" si="270"/>
        <v/>
      </c>
      <c r="Z566" s="2" t="str">
        <f t="shared" si="285"/>
        <v/>
      </c>
      <c r="AA566" s="2" t="str">
        <f t="shared" si="286"/>
        <v/>
      </c>
      <c r="AB566" s="2" t="str">
        <f t="shared" si="287"/>
        <v/>
      </c>
      <c r="AC566" s="2" t="str">
        <f t="shared" si="271"/>
        <v/>
      </c>
      <c r="AD566" s="2" t="str">
        <f t="shared" si="272"/>
        <v/>
      </c>
      <c r="AE566" s="2" t="str">
        <f t="shared" si="273"/>
        <v/>
      </c>
      <c r="AF566" s="2" t="str">
        <f t="shared" si="274"/>
        <v/>
      </c>
    </row>
    <row r="567" spans="1:32" x14ac:dyDescent="0.2">
      <c r="A567" s="2" t="str">
        <f t="shared" si="275"/>
        <v/>
      </c>
      <c r="B567" s="2" t="str">
        <f t="shared" si="256"/>
        <v/>
      </c>
      <c r="C567" s="2" t="str">
        <f t="shared" si="257"/>
        <v/>
      </c>
      <c r="D567" s="2" t="str">
        <f t="shared" si="258"/>
        <v/>
      </c>
      <c r="E567" s="2" t="str">
        <f t="shared" si="259"/>
        <v/>
      </c>
      <c r="F567" s="2" t="str">
        <f t="shared" si="260"/>
        <v/>
      </c>
      <c r="G567" s="2" t="str">
        <f t="shared" si="261"/>
        <v/>
      </c>
      <c r="H567" s="2" t="str">
        <f t="shared" si="276"/>
        <v/>
      </c>
      <c r="I567" s="2" t="str">
        <f t="shared" si="277"/>
        <v/>
      </c>
      <c r="J567" s="2" t="str">
        <f t="shared" si="278"/>
        <v/>
      </c>
      <c r="K567" s="2" t="str">
        <f t="shared" si="262"/>
        <v/>
      </c>
      <c r="L567" s="2" t="str">
        <f t="shared" si="263"/>
        <v/>
      </c>
      <c r="M567" s="2" t="str">
        <f t="shared" si="264"/>
        <v/>
      </c>
      <c r="N567" s="2" t="str">
        <f t="shared" si="279"/>
        <v/>
      </c>
      <c r="O567" s="2" t="str">
        <f t="shared" si="280"/>
        <v/>
      </c>
      <c r="P567" s="2" t="str">
        <f t="shared" si="281"/>
        <v/>
      </c>
      <c r="Q567" s="2" t="str">
        <f t="shared" si="265"/>
        <v/>
      </c>
      <c r="R567" s="2" t="str">
        <f t="shared" si="266"/>
        <v/>
      </c>
      <c r="S567" s="2" t="str">
        <f t="shared" si="267"/>
        <v/>
      </c>
      <c r="T567" s="2" t="str">
        <f t="shared" si="282"/>
        <v/>
      </c>
      <c r="U567" s="2" t="str">
        <f t="shared" si="283"/>
        <v/>
      </c>
      <c r="V567" s="2" t="str">
        <f t="shared" si="284"/>
        <v/>
      </c>
      <c r="W567" s="2" t="str">
        <f t="shared" si="268"/>
        <v/>
      </c>
      <c r="X567" s="2" t="str">
        <f t="shared" si="269"/>
        <v/>
      </c>
      <c r="Y567" s="2" t="str">
        <f t="shared" si="270"/>
        <v/>
      </c>
      <c r="Z567" s="2" t="str">
        <f t="shared" si="285"/>
        <v/>
      </c>
      <c r="AA567" s="2" t="str">
        <f t="shared" si="286"/>
        <v/>
      </c>
      <c r="AB567" s="2" t="str">
        <f t="shared" si="287"/>
        <v/>
      </c>
      <c r="AC567" s="2" t="str">
        <f t="shared" si="271"/>
        <v/>
      </c>
      <c r="AD567" s="2" t="str">
        <f t="shared" si="272"/>
        <v/>
      </c>
      <c r="AE567" s="2" t="str">
        <f t="shared" si="273"/>
        <v/>
      </c>
      <c r="AF567" s="2" t="str">
        <f t="shared" si="274"/>
        <v/>
      </c>
    </row>
    <row r="568" spans="1:32" x14ac:dyDescent="0.2">
      <c r="A568" s="2" t="str">
        <f t="shared" si="275"/>
        <v/>
      </c>
      <c r="B568" s="2" t="str">
        <f t="shared" ref="B568:B631" si="288">IF(AI568="","",AI568)</f>
        <v/>
      </c>
      <c r="C568" s="2" t="str">
        <f t="shared" ref="C568:C631" si="289">IF(AJ568="","",AJ568)</f>
        <v/>
      </c>
      <c r="D568" s="2" t="str">
        <f t="shared" ref="D568:D631" si="290">IF(AK568="","",AK568)</f>
        <v/>
      </c>
      <c r="E568" s="2" t="str">
        <f t="shared" ref="E568:E631" si="291">IF(AL568="","",AL568)</f>
        <v/>
      </c>
      <c r="F568" s="2" t="str">
        <f t="shared" ref="F568:F631" si="292">IF(AM568="","",AM568)</f>
        <v/>
      </c>
      <c r="G568" s="2" t="str">
        <f t="shared" ref="G568:G631" si="293">IF(AN568="","",AN568)</f>
        <v/>
      </c>
      <c r="H568" s="2" t="str">
        <f t="shared" si="276"/>
        <v/>
      </c>
      <c r="I568" s="2" t="str">
        <f t="shared" si="277"/>
        <v/>
      </c>
      <c r="J568" s="2" t="str">
        <f t="shared" si="278"/>
        <v/>
      </c>
      <c r="K568" s="2" t="str">
        <f t="shared" ref="K568:K631" si="294">IF(AR568="","",AR568)</f>
        <v/>
      </c>
      <c r="L568" s="2" t="str">
        <f t="shared" ref="L568:L631" si="295">IF(AS568="","",AS568)</f>
        <v/>
      </c>
      <c r="M568" s="2" t="str">
        <f t="shared" ref="M568:M631" si="296">IF(AT568="","",AT568)</f>
        <v/>
      </c>
      <c r="N568" s="2" t="str">
        <f t="shared" si="279"/>
        <v/>
      </c>
      <c r="O568" s="2" t="str">
        <f t="shared" si="280"/>
        <v/>
      </c>
      <c r="P568" s="2" t="str">
        <f t="shared" si="281"/>
        <v/>
      </c>
      <c r="Q568" s="2" t="str">
        <f t="shared" ref="Q568:Q631" si="297">IF(AX568="","",AX568)</f>
        <v/>
      </c>
      <c r="R568" s="2" t="str">
        <f t="shared" ref="R568:R631" si="298">IF(AY568="","",AY568)</f>
        <v/>
      </c>
      <c r="S568" s="2" t="str">
        <f t="shared" ref="S568:S631" si="299">IF(AZ568="","",AZ568)</f>
        <v/>
      </c>
      <c r="T568" s="2" t="str">
        <f t="shared" si="282"/>
        <v/>
      </c>
      <c r="U568" s="2" t="str">
        <f t="shared" si="283"/>
        <v/>
      </c>
      <c r="V568" s="2" t="str">
        <f t="shared" si="284"/>
        <v/>
      </c>
      <c r="W568" s="2" t="str">
        <f t="shared" ref="W568:W631" si="300">IF(BD568="","",BD568)</f>
        <v/>
      </c>
      <c r="X568" s="2" t="str">
        <f t="shared" ref="X568:X631" si="301">IF(BE568="","",BE568)</f>
        <v/>
      </c>
      <c r="Y568" s="2" t="str">
        <f t="shared" ref="Y568:Y631" si="302">IF(BF568="","",BF568)</f>
        <v/>
      </c>
      <c r="Z568" s="2" t="str">
        <f t="shared" si="285"/>
        <v/>
      </c>
      <c r="AA568" s="2" t="str">
        <f t="shared" si="286"/>
        <v/>
      </c>
      <c r="AB568" s="2" t="str">
        <f t="shared" si="287"/>
        <v/>
      </c>
      <c r="AC568" s="2" t="str">
        <f t="shared" ref="AC568:AC631" si="303">IF(BJ568="","",BJ568)</f>
        <v/>
      </c>
      <c r="AD568" s="2" t="str">
        <f t="shared" ref="AD568:AD631" si="304">IF(BK568="","",BK568)</f>
        <v/>
      </c>
      <c r="AE568" s="2" t="str">
        <f t="shared" ref="AE568:AE631" si="305">IF(BL568="","",BL568)</f>
        <v/>
      </c>
      <c r="AF568" s="2" t="str">
        <f t="shared" ref="AF568:AF631" si="306">IF(BM568="","",BM568)</f>
        <v/>
      </c>
    </row>
    <row r="569" spans="1:32" x14ac:dyDescent="0.2">
      <c r="A569" s="2" t="str">
        <f t="shared" si="275"/>
        <v/>
      </c>
      <c r="B569" s="2" t="str">
        <f t="shared" si="288"/>
        <v/>
      </c>
      <c r="C569" s="2" t="str">
        <f t="shared" si="289"/>
        <v/>
      </c>
      <c r="D569" s="2" t="str">
        <f t="shared" si="290"/>
        <v/>
      </c>
      <c r="E569" s="2" t="str">
        <f t="shared" si="291"/>
        <v/>
      </c>
      <c r="F569" s="2" t="str">
        <f t="shared" si="292"/>
        <v/>
      </c>
      <c r="G569" s="2" t="str">
        <f t="shared" si="293"/>
        <v/>
      </c>
      <c r="H569" s="2" t="str">
        <f t="shared" si="276"/>
        <v/>
      </c>
      <c r="I569" s="2" t="str">
        <f t="shared" si="277"/>
        <v/>
      </c>
      <c r="J569" s="2" t="str">
        <f t="shared" si="278"/>
        <v/>
      </c>
      <c r="K569" s="2" t="str">
        <f t="shared" si="294"/>
        <v/>
      </c>
      <c r="L569" s="2" t="str">
        <f t="shared" si="295"/>
        <v/>
      </c>
      <c r="M569" s="2" t="str">
        <f t="shared" si="296"/>
        <v/>
      </c>
      <c r="N569" s="2" t="str">
        <f t="shared" si="279"/>
        <v/>
      </c>
      <c r="O569" s="2" t="str">
        <f t="shared" si="280"/>
        <v/>
      </c>
      <c r="P569" s="2" t="str">
        <f t="shared" si="281"/>
        <v/>
      </c>
      <c r="Q569" s="2" t="str">
        <f t="shared" si="297"/>
        <v/>
      </c>
      <c r="R569" s="2" t="str">
        <f t="shared" si="298"/>
        <v/>
      </c>
      <c r="S569" s="2" t="str">
        <f t="shared" si="299"/>
        <v/>
      </c>
      <c r="T569" s="2" t="str">
        <f t="shared" si="282"/>
        <v/>
      </c>
      <c r="U569" s="2" t="str">
        <f t="shared" si="283"/>
        <v/>
      </c>
      <c r="V569" s="2" t="str">
        <f t="shared" si="284"/>
        <v/>
      </c>
      <c r="W569" s="2" t="str">
        <f t="shared" si="300"/>
        <v/>
      </c>
      <c r="X569" s="2" t="str">
        <f t="shared" si="301"/>
        <v/>
      </c>
      <c r="Y569" s="2" t="str">
        <f t="shared" si="302"/>
        <v/>
      </c>
      <c r="Z569" s="2" t="str">
        <f t="shared" si="285"/>
        <v/>
      </c>
      <c r="AA569" s="2" t="str">
        <f t="shared" si="286"/>
        <v/>
      </c>
      <c r="AB569" s="2" t="str">
        <f t="shared" si="287"/>
        <v/>
      </c>
      <c r="AC569" s="2" t="str">
        <f t="shared" si="303"/>
        <v/>
      </c>
      <c r="AD569" s="2" t="str">
        <f t="shared" si="304"/>
        <v/>
      </c>
      <c r="AE569" s="2" t="str">
        <f t="shared" si="305"/>
        <v/>
      </c>
      <c r="AF569" s="2" t="str">
        <f t="shared" si="306"/>
        <v/>
      </c>
    </row>
    <row r="570" spans="1:32" x14ac:dyDescent="0.2">
      <c r="A570" s="2" t="str">
        <f t="shared" si="275"/>
        <v/>
      </c>
      <c r="B570" s="2" t="str">
        <f t="shared" si="288"/>
        <v/>
      </c>
      <c r="C570" s="2" t="str">
        <f t="shared" si="289"/>
        <v/>
      </c>
      <c r="D570" s="2" t="str">
        <f t="shared" si="290"/>
        <v/>
      </c>
      <c r="E570" s="2" t="str">
        <f t="shared" si="291"/>
        <v/>
      </c>
      <c r="F570" s="2" t="str">
        <f t="shared" si="292"/>
        <v/>
      </c>
      <c r="G570" s="2" t="str">
        <f t="shared" si="293"/>
        <v/>
      </c>
      <c r="H570" s="2" t="str">
        <f t="shared" si="276"/>
        <v/>
      </c>
      <c r="I570" s="2" t="str">
        <f t="shared" si="277"/>
        <v/>
      </c>
      <c r="J570" s="2" t="str">
        <f t="shared" si="278"/>
        <v/>
      </c>
      <c r="K570" s="2" t="str">
        <f t="shared" si="294"/>
        <v/>
      </c>
      <c r="L570" s="2" t="str">
        <f t="shared" si="295"/>
        <v/>
      </c>
      <c r="M570" s="2" t="str">
        <f t="shared" si="296"/>
        <v/>
      </c>
      <c r="N570" s="2" t="str">
        <f t="shared" si="279"/>
        <v/>
      </c>
      <c r="O570" s="2" t="str">
        <f t="shared" si="280"/>
        <v/>
      </c>
      <c r="P570" s="2" t="str">
        <f t="shared" si="281"/>
        <v/>
      </c>
      <c r="Q570" s="2" t="str">
        <f t="shared" si="297"/>
        <v/>
      </c>
      <c r="R570" s="2" t="str">
        <f t="shared" si="298"/>
        <v/>
      </c>
      <c r="S570" s="2" t="str">
        <f t="shared" si="299"/>
        <v/>
      </c>
      <c r="T570" s="2" t="str">
        <f t="shared" si="282"/>
        <v/>
      </c>
      <c r="U570" s="2" t="str">
        <f t="shared" si="283"/>
        <v/>
      </c>
      <c r="V570" s="2" t="str">
        <f t="shared" si="284"/>
        <v/>
      </c>
      <c r="W570" s="2" t="str">
        <f t="shared" si="300"/>
        <v/>
      </c>
      <c r="X570" s="2" t="str">
        <f t="shared" si="301"/>
        <v/>
      </c>
      <c r="Y570" s="2" t="str">
        <f t="shared" si="302"/>
        <v/>
      </c>
      <c r="Z570" s="2" t="str">
        <f t="shared" si="285"/>
        <v/>
      </c>
      <c r="AA570" s="2" t="str">
        <f t="shared" si="286"/>
        <v/>
      </c>
      <c r="AB570" s="2" t="str">
        <f t="shared" si="287"/>
        <v/>
      </c>
      <c r="AC570" s="2" t="str">
        <f t="shared" si="303"/>
        <v/>
      </c>
      <c r="AD570" s="2" t="str">
        <f t="shared" si="304"/>
        <v/>
      </c>
      <c r="AE570" s="2" t="str">
        <f t="shared" si="305"/>
        <v/>
      </c>
      <c r="AF570" s="2" t="str">
        <f t="shared" si="306"/>
        <v/>
      </c>
    </row>
    <row r="571" spans="1:32" x14ac:dyDescent="0.2">
      <c r="A571" s="2" t="str">
        <f t="shared" si="275"/>
        <v/>
      </c>
      <c r="B571" s="2" t="str">
        <f t="shared" si="288"/>
        <v/>
      </c>
      <c r="C571" s="2" t="str">
        <f t="shared" si="289"/>
        <v/>
      </c>
      <c r="D571" s="2" t="str">
        <f t="shared" si="290"/>
        <v/>
      </c>
      <c r="E571" s="2" t="str">
        <f t="shared" si="291"/>
        <v/>
      </c>
      <c r="F571" s="2" t="str">
        <f t="shared" si="292"/>
        <v/>
      </c>
      <c r="G571" s="2" t="str">
        <f t="shared" si="293"/>
        <v/>
      </c>
      <c r="H571" s="2" t="str">
        <f t="shared" si="276"/>
        <v/>
      </c>
      <c r="I571" s="2" t="str">
        <f t="shared" si="277"/>
        <v/>
      </c>
      <c r="J571" s="2" t="str">
        <f t="shared" si="278"/>
        <v/>
      </c>
      <c r="K571" s="2" t="str">
        <f t="shared" si="294"/>
        <v/>
      </c>
      <c r="L571" s="2" t="str">
        <f t="shared" si="295"/>
        <v/>
      </c>
      <c r="M571" s="2" t="str">
        <f t="shared" si="296"/>
        <v/>
      </c>
      <c r="N571" s="2" t="str">
        <f t="shared" si="279"/>
        <v/>
      </c>
      <c r="O571" s="2" t="str">
        <f t="shared" si="280"/>
        <v/>
      </c>
      <c r="P571" s="2" t="str">
        <f t="shared" si="281"/>
        <v/>
      </c>
      <c r="Q571" s="2" t="str">
        <f t="shared" si="297"/>
        <v/>
      </c>
      <c r="R571" s="2" t="str">
        <f t="shared" si="298"/>
        <v/>
      </c>
      <c r="S571" s="2" t="str">
        <f t="shared" si="299"/>
        <v/>
      </c>
      <c r="T571" s="2" t="str">
        <f t="shared" si="282"/>
        <v/>
      </c>
      <c r="U571" s="2" t="str">
        <f t="shared" si="283"/>
        <v/>
      </c>
      <c r="V571" s="2" t="str">
        <f t="shared" si="284"/>
        <v/>
      </c>
      <c r="W571" s="2" t="str">
        <f t="shared" si="300"/>
        <v/>
      </c>
      <c r="X571" s="2" t="str">
        <f t="shared" si="301"/>
        <v/>
      </c>
      <c r="Y571" s="2" t="str">
        <f t="shared" si="302"/>
        <v/>
      </c>
      <c r="Z571" s="2" t="str">
        <f t="shared" si="285"/>
        <v/>
      </c>
      <c r="AA571" s="2" t="str">
        <f t="shared" si="286"/>
        <v/>
      </c>
      <c r="AB571" s="2" t="str">
        <f t="shared" si="287"/>
        <v/>
      </c>
      <c r="AC571" s="2" t="str">
        <f t="shared" si="303"/>
        <v/>
      </c>
      <c r="AD571" s="2" t="str">
        <f t="shared" si="304"/>
        <v/>
      </c>
      <c r="AE571" s="2" t="str">
        <f t="shared" si="305"/>
        <v/>
      </c>
      <c r="AF571" s="2" t="str">
        <f t="shared" si="306"/>
        <v/>
      </c>
    </row>
    <row r="572" spans="1:32" x14ac:dyDescent="0.2">
      <c r="A572" s="2" t="str">
        <f t="shared" si="275"/>
        <v/>
      </c>
      <c r="B572" s="2" t="str">
        <f t="shared" si="288"/>
        <v/>
      </c>
      <c r="C572" s="2" t="str">
        <f t="shared" si="289"/>
        <v/>
      </c>
      <c r="D572" s="2" t="str">
        <f t="shared" si="290"/>
        <v/>
      </c>
      <c r="E572" s="2" t="str">
        <f t="shared" si="291"/>
        <v/>
      </c>
      <c r="F572" s="2" t="str">
        <f t="shared" si="292"/>
        <v/>
      </c>
      <c r="G572" s="2" t="str">
        <f t="shared" si="293"/>
        <v/>
      </c>
      <c r="H572" s="2" t="str">
        <f t="shared" si="276"/>
        <v/>
      </c>
      <c r="I572" s="2" t="str">
        <f t="shared" si="277"/>
        <v/>
      </c>
      <c r="J572" s="2" t="str">
        <f t="shared" si="278"/>
        <v/>
      </c>
      <c r="K572" s="2" t="str">
        <f t="shared" si="294"/>
        <v/>
      </c>
      <c r="L572" s="2" t="str">
        <f t="shared" si="295"/>
        <v/>
      </c>
      <c r="M572" s="2" t="str">
        <f t="shared" si="296"/>
        <v/>
      </c>
      <c r="N572" s="2" t="str">
        <f t="shared" si="279"/>
        <v/>
      </c>
      <c r="O572" s="2" t="str">
        <f t="shared" si="280"/>
        <v/>
      </c>
      <c r="P572" s="2" t="str">
        <f t="shared" si="281"/>
        <v/>
      </c>
      <c r="Q572" s="2" t="str">
        <f t="shared" si="297"/>
        <v/>
      </c>
      <c r="R572" s="2" t="str">
        <f t="shared" si="298"/>
        <v/>
      </c>
      <c r="S572" s="2" t="str">
        <f t="shared" si="299"/>
        <v/>
      </c>
      <c r="T572" s="2" t="str">
        <f t="shared" si="282"/>
        <v/>
      </c>
      <c r="U572" s="2" t="str">
        <f t="shared" si="283"/>
        <v/>
      </c>
      <c r="V572" s="2" t="str">
        <f t="shared" si="284"/>
        <v/>
      </c>
      <c r="W572" s="2" t="str">
        <f t="shared" si="300"/>
        <v/>
      </c>
      <c r="X572" s="2" t="str">
        <f t="shared" si="301"/>
        <v/>
      </c>
      <c r="Y572" s="2" t="str">
        <f t="shared" si="302"/>
        <v/>
      </c>
      <c r="Z572" s="2" t="str">
        <f t="shared" si="285"/>
        <v/>
      </c>
      <c r="AA572" s="2" t="str">
        <f t="shared" si="286"/>
        <v/>
      </c>
      <c r="AB572" s="2" t="str">
        <f t="shared" si="287"/>
        <v/>
      </c>
      <c r="AC572" s="2" t="str">
        <f t="shared" si="303"/>
        <v/>
      </c>
      <c r="AD572" s="2" t="str">
        <f t="shared" si="304"/>
        <v/>
      </c>
      <c r="AE572" s="2" t="str">
        <f t="shared" si="305"/>
        <v/>
      </c>
      <c r="AF572" s="2" t="str">
        <f t="shared" si="306"/>
        <v/>
      </c>
    </row>
    <row r="573" spans="1:32" x14ac:dyDescent="0.2">
      <c r="A573" s="2" t="str">
        <f t="shared" si="275"/>
        <v/>
      </c>
      <c r="B573" s="2" t="str">
        <f t="shared" si="288"/>
        <v/>
      </c>
      <c r="C573" s="2" t="str">
        <f t="shared" si="289"/>
        <v/>
      </c>
      <c r="D573" s="2" t="str">
        <f t="shared" si="290"/>
        <v/>
      </c>
      <c r="E573" s="2" t="str">
        <f t="shared" si="291"/>
        <v/>
      </c>
      <c r="F573" s="2" t="str">
        <f t="shared" si="292"/>
        <v/>
      </c>
      <c r="G573" s="2" t="str">
        <f t="shared" si="293"/>
        <v/>
      </c>
      <c r="H573" s="2" t="str">
        <f t="shared" si="276"/>
        <v/>
      </c>
      <c r="I573" s="2" t="str">
        <f t="shared" si="277"/>
        <v/>
      </c>
      <c r="J573" s="2" t="str">
        <f t="shared" si="278"/>
        <v/>
      </c>
      <c r="K573" s="2" t="str">
        <f t="shared" si="294"/>
        <v/>
      </c>
      <c r="L573" s="2" t="str">
        <f t="shared" si="295"/>
        <v/>
      </c>
      <c r="M573" s="2" t="str">
        <f t="shared" si="296"/>
        <v/>
      </c>
      <c r="N573" s="2" t="str">
        <f t="shared" si="279"/>
        <v/>
      </c>
      <c r="O573" s="2" t="str">
        <f t="shared" si="280"/>
        <v/>
      </c>
      <c r="P573" s="2" t="str">
        <f t="shared" si="281"/>
        <v/>
      </c>
      <c r="Q573" s="2" t="str">
        <f t="shared" si="297"/>
        <v/>
      </c>
      <c r="R573" s="2" t="str">
        <f t="shared" si="298"/>
        <v/>
      </c>
      <c r="S573" s="2" t="str">
        <f t="shared" si="299"/>
        <v/>
      </c>
      <c r="T573" s="2" t="str">
        <f t="shared" si="282"/>
        <v/>
      </c>
      <c r="U573" s="2" t="str">
        <f t="shared" si="283"/>
        <v/>
      </c>
      <c r="V573" s="2" t="str">
        <f t="shared" si="284"/>
        <v/>
      </c>
      <c r="W573" s="2" t="str">
        <f t="shared" si="300"/>
        <v/>
      </c>
      <c r="X573" s="2" t="str">
        <f t="shared" si="301"/>
        <v/>
      </c>
      <c r="Y573" s="2" t="str">
        <f t="shared" si="302"/>
        <v/>
      </c>
      <c r="Z573" s="2" t="str">
        <f t="shared" si="285"/>
        <v/>
      </c>
      <c r="AA573" s="2" t="str">
        <f t="shared" si="286"/>
        <v/>
      </c>
      <c r="AB573" s="2" t="str">
        <f t="shared" si="287"/>
        <v/>
      </c>
      <c r="AC573" s="2" t="str">
        <f t="shared" si="303"/>
        <v/>
      </c>
      <c r="AD573" s="2" t="str">
        <f t="shared" si="304"/>
        <v/>
      </c>
      <c r="AE573" s="2" t="str">
        <f t="shared" si="305"/>
        <v/>
      </c>
      <c r="AF573" s="2" t="str">
        <f t="shared" si="306"/>
        <v/>
      </c>
    </row>
    <row r="574" spans="1:32" x14ac:dyDescent="0.2">
      <c r="A574" s="2" t="str">
        <f t="shared" si="275"/>
        <v/>
      </c>
      <c r="B574" s="2" t="str">
        <f t="shared" si="288"/>
        <v/>
      </c>
      <c r="C574" s="2" t="str">
        <f t="shared" si="289"/>
        <v/>
      </c>
      <c r="D574" s="2" t="str">
        <f t="shared" si="290"/>
        <v/>
      </c>
      <c r="E574" s="2" t="str">
        <f t="shared" si="291"/>
        <v/>
      </c>
      <c r="F574" s="2" t="str">
        <f t="shared" si="292"/>
        <v/>
      </c>
      <c r="G574" s="2" t="str">
        <f t="shared" si="293"/>
        <v/>
      </c>
      <c r="H574" s="2" t="str">
        <f t="shared" si="276"/>
        <v/>
      </c>
      <c r="I574" s="2" t="str">
        <f t="shared" si="277"/>
        <v/>
      </c>
      <c r="J574" s="2" t="str">
        <f t="shared" si="278"/>
        <v/>
      </c>
      <c r="K574" s="2" t="str">
        <f t="shared" si="294"/>
        <v/>
      </c>
      <c r="L574" s="2" t="str">
        <f t="shared" si="295"/>
        <v/>
      </c>
      <c r="M574" s="2" t="str">
        <f t="shared" si="296"/>
        <v/>
      </c>
      <c r="N574" s="2" t="str">
        <f t="shared" si="279"/>
        <v/>
      </c>
      <c r="O574" s="2" t="str">
        <f t="shared" si="280"/>
        <v/>
      </c>
      <c r="P574" s="2" t="str">
        <f t="shared" si="281"/>
        <v/>
      </c>
      <c r="Q574" s="2" t="str">
        <f t="shared" si="297"/>
        <v/>
      </c>
      <c r="R574" s="2" t="str">
        <f t="shared" si="298"/>
        <v/>
      </c>
      <c r="S574" s="2" t="str">
        <f t="shared" si="299"/>
        <v/>
      </c>
      <c r="T574" s="2" t="str">
        <f t="shared" si="282"/>
        <v/>
      </c>
      <c r="U574" s="2" t="str">
        <f t="shared" si="283"/>
        <v/>
      </c>
      <c r="V574" s="2" t="str">
        <f t="shared" si="284"/>
        <v/>
      </c>
      <c r="W574" s="2" t="str">
        <f t="shared" si="300"/>
        <v/>
      </c>
      <c r="X574" s="2" t="str">
        <f t="shared" si="301"/>
        <v/>
      </c>
      <c r="Y574" s="2" t="str">
        <f t="shared" si="302"/>
        <v/>
      </c>
      <c r="Z574" s="2" t="str">
        <f t="shared" si="285"/>
        <v/>
      </c>
      <c r="AA574" s="2" t="str">
        <f t="shared" si="286"/>
        <v/>
      </c>
      <c r="AB574" s="2" t="str">
        <f t="shared" si="287"/>
        <v/>
      </c>
      <c r="AC574" s="2" t="str">
        <f t="shared" si="303"/>
        <v/>
      </c>
      <c r="AD574" s="2" t="str">
        <f t="shared" si="304"/>
        <v/>
      </c>
      <c r="AE574" s="2" t="str">
        <f t="shared" si="305"/>
        <v/>
      </c>
      <c r="AF574" s="2" t="str">
        <f t="shared" si="306"/>
        <v/>
      </c>
    </row>
    <row r="575" spans="1:32" x14ac:dyDescent="0.2">
      <c r="A575" s="2" t="str">
        <f t="shared" si="275"/>
        <v/>
      </c>
      <c r="B575" s="2" t="str">
        <f t="shared" si="288"/>
        <v/>
      </c>
      <c r="C575" s="2" t="str">
        <f t="shared" si="289"/>
        <v/>
      </c>
      <c r="D575" s="2" t="str">
        <f t="shared" si="290"/>
        <v/>
      </c>
      <c r="E575" s="2" t="str">
        <f t="shared" si="291"/>
        <v/>
      </c>
      <c r="F575" s="2" t="str">
        <f t="shared" si="292"/>
        <v/>
      </c>
      <c r="G575" s="2" t="str">
        <f t="shared" si="293"/>
        <v/>
      </c>
      <c r="H575" s="2" t="str">
        <f t="shared" si="276"/>
        <v/>
      </c>
      <c r="I575" s="2" t="str">
        <f t="shared" si="277"/>
        <v/>
      </c>
      <c r="J575" s="2" t="str">
        <f t="shared" si="278"/>
        <v/>
      </c>
      <c r="K575" s="2" t="str">
        <f t="shared" si="294"/>
        <v/>
      </c>
      <c r="L575" s="2" t="str">
        <f t="shared" si="295"/>
        <v/>
      </c>
      <c r="M575" s="2" t="str">
        <f t="shared" si="296"/>
        <v/>
      </c>
      <c r="N575" s="2" t="str">
        <f t="shared" si="279"/>
        <v/>
      </c>
      <c r="O575" s="2" t="str">
        <f t="shared" si="280"/>
        <v/>
      </c>
      <c r="P575" s="2" t="str">
        <f t="shared" si="281"/>
        <v/>
      </c>
      <c r="Q575" s="2" t="str">
        <f t="shared" si="297"/>
        <v/>
      </c>
      <c r="R575" s="2" t="str">
        <f t="shared" si="298"/>
        <v/>
      </c>
      <c r="S575" s="2" t="str">
        <f t="shared" si="299"/>
        <v/>
      </c>
      <c r="T575" s="2" t="str">
        <f t="shared" si="282"/>
        <v/>
      </c>
      <c r="U575" s="2" t="str">
        <f t="shared" si="283"/>
        <v/>
      </c>
      <c r="V575" s="2" t="str">
        <f t="shared" si="284"/>
        <v/>
      </c>
      <c r="W575" s="2" t="str">
        <f t="shared" si="300"/>
        <v/>
      </c>
      <c r="X575" s="2" t="str">
        <f t="shared" si="301"/>
        <v/>
      </c>
      <c r="Y575" s="2" t="str">
        <f t="shared" si="302"/>
        <v/>
      </c>
      <c r="Z575" s="2" t="str">
        <f t="shared" si="285"/>
        <v/>
      </c>
      <c r="AA575" s="2" t="str">
        <f t="shared" si="286"/>
        <v/>
      </c>
      <c r="AB575" s="2" t="str">
        <f t="shared" si="287"/>
        <v/>
      </c>
      <c r="AC575" s="2" t="str">
        <f t="shared" si="303"/>
        <v/>
      </c>
      <c r="AD575" s="2" t="str">
        <f t="shared" si="304"/>
        <v/>
      </c>
      <c r="AE575" s="2" t="str">
        <f t="shared" si="305"/>
        <v/>
      </c>
      <c r="AF575" s="2" t="str">
        <f t="shared" si="306"/>
        <v/>
      </c>
    </row>
    <row r="576" spans="1:32" x14ac:dyDescent="0.2">
      <c r="A576" s="2" t="str">
        <f t="shared" si="275"/>
        <v/>
      </c>
      <c r="B576" s="2" t="str">
        <f t="shared" si="288"/>
        <v/>
      </c>
      <c r="C576" s="2" t="str">
        <f t="shared" si="289"/>
        <v/>
      </c>
      <c r="D576" s="2" t="str">
        <f t="shared" si="290"/>
        <v/>
      </c>
      <c r="E576" s="2" t="str">
        <f t="shared" si="291"/>
        <v/>
      </c>
      <c r="F576" s="2" t="str">
        <f t="shared" si="292"/>
        <v/>
      </c>
      <c r="G576" s="2" t="str">
        <f t="shared" si="293"/>
        <v/>
      </c>
      <c r="H576" s="2" t="str">
        <f t="shared" si="276"/>
        <v/>
      </c>
      <c r="I576" s="2" t="str">
        <f t="shared" si="277"/>
        <v/>
      </c>
      <c r="J576" s="2" t="str">
        <f t="shared" si="278"/>
        <v/>
      </c>
      <c r="K576" s="2" t="str">
        <f t="shared" si="294"/>
        <v/>
      </c>
      <c r="L576" s="2" t="str">
        <f t="shared" si="295"/>
        <v/>
      </c>
      <c r="M576" s="2" t="str">
        <f t="shared" si="296"/>
        <v/>
      </c>
      <c r="N576" s="2" t="str">
        <f t="shared" si="279"/>
        <v/>
      </c>
      <c r="O576" s="2" t="str">
        <f t="shared" si="280"/>
        <v/>
      </c>
      <c r="P576" s="2" t="str">
        <f t="shared" si="281"/>
        <v/>
      </c>
      <c r="Q576" s="2" t="str">
        <f t="shared" si="297"/>
        <v/>
      </c>
      <c r="R576" s="2" t="str">
        <f t="shared" si="298"/>
        <v/>
      </c>
      <c r="S576" s="2" t="str">
        <f t="shared" si="299"/>
        <v/>
      </c>
      <c r="T576" s="2" t="str">
        <f t="shared" si="282"/>
        <v/>
      </c>
      <c r="U576" s="2" t="str">
        <f t="shared" si="283"/>
        <v/>
      </c>
      <c r="V576" s="2" t="str">
        <f t="shared" si="284"/>
        <v/>
      </c>
      <c r="W576" s="2" t="str">
        <f t="shared" si="300"/>
        <v/>
      </c>
      <c r="X576" s="2" t="str">
        <f t="shared" si="301"/>
        <v/>
      </c>
      <c r="Y576" s="2" t="str">
        <f t="shared" si="302"/>
        <v/>
      </c>
      <c r="Z576" s="2" t="str">
        <f t="shared" si="285"/>
        <v/>
      </c>
      <c r="AA576" s="2" t="str">
        <f t="shared" si="286"/>
        <v/>
      </c>
      <c r="AB576" s="2" t="str">
        <f t="shared" si="287"/>
        <v/>
      </c>
      <c r="AC576" s="2" t="str">
        <f t="shared" si="303"/>
        <v/>
      </c>
      <c r="AD576" s="2" t="str">
        <f t="shared" si="304"/>
        <v/>
      </c>
      <c r="AE576" s="2" t="str">
        <f t="shared" si="305"/>
        <v/>
      </c>
      <c r="AF576" s="2" t="str">
        <f t="shared" si="306"/>
        <v/>
      </c>
    </row>
    <row r="577" spans="1:32" x14ac:dyDescent="0.2">
      <c r="A577" s="2" t="str">
        <f t="shared" si="275"/>
        <v/>
      </c>
      <c r="B577" s="2" t="str">
        <f t="shared" si="288"/>
        <v/>
      </c>
      <c r="C577" s="2" t="str">
        <f t="shared" si="289"/>
        <v/>
      </c>
      <c r="D577" s="2" t="str">
        <f t="shared" si="290"/>
        <v/>
      </c>
      <c r="E577" s="2" t="str">
        <f t="shared" si="291"/>
        <v/>
      </c>
      <c r="F577" s="2" t="str">
        <f t="shared" si="292"/>
        <v/>
      </c>
      <c r="G577" s="2" t="str">
        <f t="shared" si="293"/>
        <v/>
      </c>
      <c r="H577" s="2" t="str">
        <f t="shared" si="276"/>
        <v/>
      </c>
      <c r="I577" s="2" t="str">
        <f t="shared" si="277"/>
        <v/>
      </c>
      <c r="J577" s="2" t="str">
        <f t="shared" si="278"/>
        <v/>
      </c>
      <c r="K577" s="2" t="str">
        <f t="shared" si="294"/>
        <v/>
      </c>
      <c r="L577" s="2" t="str">
        <f t="shared" si="295"/>
        <v/>
      </c>
      <c r="M577" s="2" t="str">
        <f t="shared" si="296"/>
        <v/>
      </c>
      <c r="N577" s="2" t="str">
        <f t="shared" si="279"/>
        <v/>
      </c>
      <c r="O577" s="2" t="str">
        <f t="shared" si="280"/>
        <v/>
      </c>
      <c r="P577" s="2" t="str">
        <f t="shared" si="281"/>
        <v/>
      </c>
      <c r="Q577" s="2" t="str">
        <f t="shared" si="297"/>
        <v/>
      </c>
      <c r="R577" s="2" t="str">
        <f t="shared" si="298"/>
        <v/>
      </c>
      <c r="S577" s="2" t="str">
        <f t="shared" si="299"/>
        <v/>
      </c>
      <c r="T577" s="2" t="str">
        <f t="shared" si="282"/>
        <v/>
      </c>
      <c r="U577" s="2" t="str">
        <f t="shared" si="283"/>
        <v/>
      </c>
      <c r="V577" s="2" t="str">
        <f t="shared" si="284"/>
        <v/>
      </c>
      <c r="W577" s="2" t="str">
        <f t="shared" si="300"/>
        <v/>
      </c>
      <c r="X577" s="2" t="str">
        <f t="shared" si="301"/>
        <v/>
      </c>
      <c r="Y577" s="2" t="str">
        <f t="shared" si="302"/>
        <v/>
      </c>
      <c r="Z577" s="2" t="str">
        <f t="shared" si="285"/>
        <v/>
      </c>
      <c r="AA577" s="2" t="str">
        <f t="shared" si="286"/>
        <v/>
      </c>
      <c r="AB577" s="2" t="str">
        <f t="shared" si="287"/>
        <v/>
      </c>
      <c r="AC577" s="2" t="str">
        <f t="shared" si="303"/>
        <v/>
      </c>
      <c r="AD577" s="2" t="str">
        <f t="shared" si="304"/>
        <v/>
      </c>
      <c r="AE577" s="2" t="str">
        <f t="shared" si="305"/>
        <v/>
      </c>
      <c r="AF577" s="2" t="str">
        <f t="shared" si="306"/>
        <v/>
      </c>
    </row>
    <row r="578" spans="1:32" x14ac:dyDescent="0.2">
      <c r="A578" s="2" t="str">
        <f t="shared" si="275"/>
        <v/>
      </c>
      <c r="B578" s="2" t="str">
        <f t="shared" si="288"/>
        <v/>
      </c>
      <c r="C578" s="2" t="str">
        <f t="shared" si="289"/>
        <v/>
      </c>
      <c r="D578" s="2" t="str">
        <f t="shared" si="290"/>
        <v/>
      </c>
      <c r="E578" s="2" t="str">
        <f t="shared" si="291"/>
        <v/>
      </c>
      <c r="F578" s="2" t="str">
        <f t="shared" si="292"/>
        <v/>
      </c>
      <c r="G578" s="2" t="str">
        <f t="shared" si="293"/>
        <v/>
      </c>
      <c r="H578" s="2" t="str">
        <f t="shared" si="276"/>
        <v/>
      </c>
      <c r="I578" s="2" t="str">
        <f t="shared" si="277"/>
        <v/>
      </c>
      <c r="J578" s="2" t="str">
        <f t="shared" si="278"/>
        <v/>
      </c>
      <c r="K578" s="2" t="str">
        <f t="shared" si="294"/>
        <v/>
      </c>
      <c r="L578" s="2" t="str">
        <f t="shared" si="295"/>
        <v/>
      </c>
      <c r="M578" s="2" t="str">
        <f t="shared" si="296"/>
        <v/>
      </c>
      <c r="N578" s="2" t="str">
        <f t="shared" si="279"/>
        <v/>
      </c>
      <c r="O578" s="2" t="str">
        <f t="shared" si="280"/>
        <v/>
      </c>
      <c r="P578" s="2" t="str">
        <f t="shared" si="281"/>
        <v/>
      </c>
      <c r="Q578" s="2" t="str">
        <f t="shared" si="297"/>
        <v/>
      </c>
      <c r="R578" s="2" t="str">
        <f t="shared" si="298"/>
        <v/>
      </c>
      <c r="S578" s="2" t="str">
        <f t="shared" si="299"/>
        <v/>
      </c>
      <c r="T578" s="2" t="str">
        <f t="shared" si="282"/>
        <v/>
      </c>
      <c r="U578" s="2" t="str">
        <f t="shared" si="283"/>
        <v/>
      </c>
      <c r="V578" s="2" t="str">
        <f t="shared" si="284"/>
        <v/>
      </c>
      <c r="W578" s="2" t="str">
        <f t="shared" si="300"/>
        <v/>
      </c>
      <c r="X578" s="2" t="str">
        <f t="shared" si="301"/>
        <v/>
      </c>
      <c r="Y578" s="2" t="str">
        <f t="shared" si="302"/>
        <v/>
      </c>
      <c r="Z578" s="2" t="str">
        <f t="shared" si="285"/>
        <v/>
      </c>
      <c r="AA578" s="2" t="str">
        <f t="shared" si="286"/>
        <v/>
      </c>
      <c r="AB578" s="2" t="str">
        <f t="shared" si="287"/>
        <v/>
      </c>
      <c r="AC578" s="2" t="str">
        <f t="shared" si="303"/>
        <v/>
      </c>
      <c r="AD578" s="2" t="str">
        <f t="shared" si="304"/>
        <v/>
      </c>
      <c r="AE578" s="2" t="str">
        <f t="shared" si="305"/>
        <v/>
      </c>
      <c r="AF578" s="2" t="str">
        <f t="shared" si="306"/>
        <v/>
      </c>
    </row>
    <row r="579" spans="1:32" x14ac:dyDescent="0.2">
      <c r="A579" s="2" t="str">
        <f t="shared" si="275"/>
        <v/>
      </c>
      <c r="B579" s="2" t="str">
        <f t="shared" si="288"/>
        <v/>
      </c>
      <c r="C579" s="2" t="str">
        <f t="shared" si="289"/>
        <v/>
      </c>
      <c r="D579" s="2" t="str">
        <f t="shared" si="290"/>
        <v/>
      </c>
      <c r="E579" s="2" t="str">
        <f t="shared" si="291"/>
        <v/>
      </c>
      <c r="F579" s="2" t="str">
        <f t="shared" si="292"/>
        <v/>
      </c>
      <c r="G579" s="2" t="str">
        <f t="shared" si="293"/>
        <v/>
      </c>
      <c r="H579" s="2" t="str">
        <f t="shared" si="276"/>
        <v/>
      </c>
      <c r="I579" s="2" t="str">
        <f t="shared" si="277"/>
        <v/>
      </c>
      <c r="J579" s="2" t="str">
        <f t="shared" si="278"/>
        <v/>
      </c>
      <c r="K579" s="2" t="str">
        <f t="shared" si="294"/>
        <v/>
      </c>
      <c r="L579" s="2" t="str">
        <f t="shared" si="295"/>
        <v/>
      </c>
      <c r="M579" s="2" t="str">
        <f t="shared" si="296"/>
        <v/>
      </c>
      <c r="N579" s="2" t="str">
        <f t="shared" si="279"/>
        <v/>
      </c>
      <c r="O579" s="2" t="str">
        <f t="shared" si="280"/>
        <v/>
      </c>
      <c r="P579" s="2" t="str">
        <f t="shared" si="281"/>
        <v/>
      </c>
      <c r="Q579" s="2" t="str">
        <f t="shared" si="297"/>
        <v/>
      </c>
      <c r="R579" s="2" t="str">
        <f t="shared" si="298"/>
        <v/>
      </c>
      <c r="S579" s="2" t="str">
        <f t="shared" si="299"/>
        <v/>
      </c>
      <c r="T579" s="2" t="str">
        <f t="shared" si="282"/>
        <v/>
      </c>
      <c r="U579" s="2" t="str">
        <f t="shared" si="283"/>
        <v/>
      </c>
      <c r="V579" s="2" t="str">
        <f t="shared" si="284"/>
        <v/>
      </c>
      <c r="W579" s="2" t="str">
        <f t="shared" si="300"/>
        <v/>
      </c>
      <c r="X579" s="2" t="str">
        <f t="shared" si="301"/>
        <v/>
      </c>
      <c r="Y579" s="2" t="str">
        <f t="shared" si="302"/>
        <v/>
      </c>
      <c r="Z579" s="2" t="str">
        <f t="shared" si="285"/>
        <v/>
      </c>
      <c r="AA579" s="2" t="str">
        <f t="shared" si="286"/>
        <v/>
      </c>
      <c r="AB579" s="2" t="str">
        <f t="shared" si="287"/>
        <v/>
      </c>
      <c r="AC579" s="2" t="str">
        <f t="shared" si="303"/>
        <v/>
      </c>
      <c r="AD579" s="2" t="str">
        <f t="shared" si="304"/>
        <v/>
      </c>
      <c r="AE579" s="2" t="str">
        <f t="shared" si="305"/>
        <v/>
      </c>
      <c r="AF579" s="2" t="str">
        <f t="shared" si="306"/>
        <v/>
      </c>
    </row>
    <row r="580" spans="1:32" x14ac:dyDescent="0.2">
      <c r="A580" s="2" t="str">
        <f t="shared" si="275"/>
        <v/>
      </c>
      <c r="B580" s="2" t="str">
        <f t="shared" si="288"/>
        <v/>
      </c>
      <c r="C580" s="2" t="str">
        <f t="shared" si="289"/>
        <v/>
      </c>
      <c r="D580" s="2" t="str">
        <f t="shared" si="290"/>
        <v/>
      </c>
      <c r="E580" s="2" t="str">
        <f t="shared" si="291"/>
        <v/>
      </c>
      <c r="F580" s="2" t="str">
        <f t="shared" si="292"/>
        <v/>
      </c>
      <c r="G580" s="2" t="str">
        <f t="shared" si="293"/>
        <v/>
      </c>
      <c r="H580" s="2" t="str">
        <f t="shared" si="276"/>
        <v/>
      </c>
      <c r="I580" s="2" t="str">
        <f t="shared" si="277"/>
        <v/>
      </c>
      <c r="J580" s="2" t="str">
        <f t="shared" si="278"/>
        <v/>
      </c>
      <c r="K580" s="2" t="str">
        <f t="shared" si="294"/>
        <v/>
      </c>
      <c r="L580" s="2" t="str">
        <f t="shared" si="295"/>
        <v/>
      </c>
      <c r="M580" s="2" t="str">
        <f t="shared" si="296"/>
        <v/>
      </c>
      <c r="N580" s="2" t="str">
        <f t="shared" si="279"/>
        <v/>
      </c>
      <c r="O580" s="2" t="str">
        <f t="shared" si="280"/>
        <v/>
      </c>
      <c r="P580" s="2" t="str">
        <f t="shared" si="281"/>
        <v/>
      </c>
      <c r="Q580" s="2" t="str">
        <f t="shared" si="297"/>
        <v/>
      </c>
      <c r="R580" s="2" t="str">
        <f t="shared" si="298"/>
        <v/>
      </c>
      <c r="S580" s="2" t="str">
        <f t="shared" si="299"/>
        <v/>
      </c>
      <c r="T580" s="2" t="str">
        <f t="shared" si="282"/>
        <v/>
      </c>
      <c r="U580" s="2" t="str">
        <f t="shared" si="283"/>
        <v/>
      </c>
      <c r="V580" s="2" t="str">
        <f t="shared" si="284"/>
        <v/>
      </c>
      <c r="W580" s="2" t="str">
        <f t="shared" si="300"/>
        <v/>
      </c>
      <c r="X580" s="2" t="str">
        <f t="shared" si="301"/>
        <v/>
      </c>
      <c r="Y580" s="2" t="str">
        <f t="shared" si="302"/>
        <v/>
      </c>
      <c r="Z580" s="2" t="str">
        <f t="shared" si="285"/>
        <v/>
      </c>
      <c r="AA580" s="2" t="str">
        <f t="shared" si="286"/>
        <v/>
      </c>
      <c r="AB580" s="2" t="str">
        <f t="shared" si="287"/>
        <v/>
      </c>
      <c r="AC580" s="2" t="str">
        <f t="shared" si="303"/>
        <v/>
      </c>
      <c r="AD580" s="2" t="str">
        <f t="shared" si="304"/>
        <v/>
      </c>
      <c r="AE580" s="2" t="str">
        <f t="shared" si="305"/>
        <v/>
      </c>
      <c r="AF580" s="2" t="str">
        <f t="shared" si="306"/>
        <v/>
      </c>
    </row>
    <row r="581" spans="1:32" x14ac:dyDescent="0.2">
      <c r="A581" s="2" t="str">
        <f t="shared" ref="A581:A644" si="307">IF(AH581="","",_xlfn.CONCAT(AH581,"_",ROW()-3))</f>
        <v/>
      </c>
      <c r="B581" s="2" t="str">
        <f t="shared" si="288"/>
        <v/>
      </c>
      <c r="C581" s="2" t="str">
        <f t="shared" si="289"/>
        <v/>
      </c>
      <c r="D581" s="2" t="str">
        <f t="shared" si="290"/>
        <v/>
      </c>
      <c r="E581" s="2" t="str">
        <f t="shared" si="291"/>
        <v/>
      </c>
      <c r="F581" s="2" t="str">
        <f t="shared" si="292"/>
        <v/>
      </c>
      <c r="G581" s="2" t="str">
        <f t="shared" si="293"/>
        <v/>
      </c>
      <c r="H581" s="2" t="str">
        <f t="shared" ref="H581:H644" si="308">IF(AO581="","",IF(AQ581&lt;&gt;0,(AO581+AQ581)/2,AO581)-BN581)</f>
        <v/>
      </c>
      <c r="I581" s="2" t="str">
        <f t="shared" ref="I581:I644" si="309">IF(AP581="","",AP581)</f>
        <v/>
      </c>
      <c r="J581" s="2" t="str">
        <f t="shared" ref="J581:J644" si="310">IF(AQ581="","",(AO581+AQ581)/2-BN581)</f>
        <v/>
      </c>
      <c r="K581" s="2" t="str">
        <f t="shared" si="294"/>
        <v/>
      </c>
      <c r="L581" s="2" t="str">
        <f t="shared" si="295"/>
        <v/>
      </c>
      <c r="M581" s="2" t="str">
        <f t="shared" si="296"/>
        <v/>
      </c>
      <c r="N581" s="2" t="str">
        <f t="shared" ref="N581:N644" si="311">IF(AU581="","",IF(AW581&lt;&gt;0,(AU581+AW581)/2,AU581)-BN582)</f>
        <v/>
      </c>
      <c r="O581" s="2" t="str">
        <f t="shared" ref="O581:O644" si="312">IF(AV581="","",AV581)</f>
        <v/>
      </c>
      <c r="P581" s="2" t="str">
        <f t="shared" ref="P581:P644" si="313">IF(AW581="","",(AU581+AW581)/2-BN582)</f>
        <v/>
      </c>
      <c r="Q581" s="2" t="str">
        <f t="shared" si="297"/>
        <v/>
      </c>
      <c r="R581" s="2" t="str">
        <f t="shared" si="298"/>
        <v/>
      </c>
      <c r="S581" s="2" t="str">
        <f t="shared" si="299"/>
        <v/>
      </c>
      <c r="T581" s="2" t="str">
        <f t="shared" ref="T581:T644" si="314">IF(BA581="","",IF(BC581&lt;&gt;0,(BA581+BC581)/2,BA581)-BN583)</f>
        <v/>
      </c>
      <c r="U581" s="2" t="str">
        <f t="shared" ref="U581:U644" si="315">IF(BB581="","",BB581)</f>
        <v/>
      </c>
      <c r="V581" s="2" t="str">
        <f t="shared" ref="V581:V644" si="316">IF(BC581="","",(BA581+BC581)/2-BN583)</f>
        <v/>
      </c>
      <c r="W581" s="2" t="str">
        <f t="shared" si="300"/>
        <v/>
      </c>
      <c r="X581" s="2" t="str">
        <f t="shared" si="301"/>
        <v/>
      </c>
      <c r="Y581" s="2" t="str">
        <f t="shared" si="302"/>
        <v/>
      </c>
      <c r="Z581" s="2" t="str">
        <f t="shared" ref="Z581:Z644" si="317">IF(BG581="","",IF(BI581&lt;&gt;0,(BG581+BI581)/2,BG581)-BN584)</f>
        <v/>
      </c>
      <c r="AA581" s="2" t="str">
        <f t="shared" ref="AA581:AA644" si="318">IF(BH581="","",BH581)</f>
        <v/>
      </c>
      <c r="AB581" s="2" t="str">
        <f t="shared" ref="AB581:AB644" si="319">IF(BI581="","",(BG581+BI581)/2-BN584)</f>
        <v/>
      </c>
      <c r="AC581" s="2" t="str">
        <f t="shared" si="303"/>
        <v/>
      </c>
      <c r="AD581" s="2" t="str">
        <f t="shared" si="304"/>
        <v/>
      </c>
      <c r="AE581" s="2" t="str">
        <f t="shared" si="305"/>
        <v/>
      </c>
      <c r="AF581" s="2" t="str">
        <f t="shared" si="306"/>
        <v/>
      </c>
    </row>
    <row r="582" spans="1:32" x14ac:dyDescent="0.2">
      <c r="A582" s="2" t="str">
        <f t="shared" si="307"/>
        <v/>
      </c>
      <c r="B582" s="2" t="str">
        <f t="shared" si="288"/>
        <v/>
      </c>
      <c r="C582" s="2" t="str">
        <f t="shared" si="289"/>
        <v/>
      </c>
      <c r="D582" s="2" t="str">
        <f t="shared" si="290"/>
        <v/>
      </c>
      <c r="E582" s="2" t="str">
        <f t="shared" si="291"/>
        <v/>
      </c>
      <c r="F582" s="2" t="str">
        <f t="shared" si="292"/>
        <v/>
      </c>
      <c r="G582" s="2" t="str">
        <f t="shared" si="293"/>
        <v/>
      </c>
      <c r="H582" s="2" t="str">
        <f t="shared" si="308"/>
        <v/>
      </c>
      <c r="I582" s="2" t="str">
        <f t="shared" si="309"/>
        <v/>
      </c>
      <c r="J582" s="2" t="str">
        <f t="shared" si="310"/>
        <v/>
      </c>
      <c r="K582" s="2" t="str">
        <f t="shared" si="294"/>
        <v/>
      </c>
      <c r="L582" s="2" t="str">
        <f t="shared" si="295"/>
        <v/>
      </c>
      <c r="M582" s="2" t="str">
        <f t="shared" si="296"/>
        <v/>
      </c>
      <c r="N582" s="2" t="str">
        <f t="shared" si="311"/>
        <v/>
      </c>
      <c r="O582" s="2" t="str">
        <f t="shared" si="312"/>
        <v/>
      </c>
      <c r="P582" s="2" t="str">
        <f t="shared" si="313"/>
        <v/>
      </c>
      <c r="Q582" s="2" t="str">
        <f t="shared" si="297"/>
        <v/>
      </c>
      <c r="R582" s="2" t="str">
        <f t="shared" si="298"/>
        <v/>
      </c>
      <c r="S582" s="2" t="str">
        <f t="shared" si="299"/>
        <v/>
      </c>
      <c r="T582" s="2" t="str">
        <f t="shared" si="314"/>
        <v/>
      </c>
      <c r="U582" s="2" t="str">
        <f t="shared" si="315"/>
        <v/>
      </c>
      <c r="V582" s="2" t="str">
        <f t="shared" si="316"/>
        <v/>
      </c>
      <c r="W582" s="2" t="str">
        <f t="shared" si="300"/>
        <v/>
      </c>
      <c r="X582" s="2" t="str">
        <f t="shared" si="301"/>
        <v/>
      </c>
      <c r="Y582" s="2" t="str">
        <f t="shared" si="302"/>
        <v/>
      </c>
      <c r="Z582" s="2" t="str">
        <f t="shared" si="317"/>
        <v/>
      </c>
      <c r="AA582" s="2" t="str">
        <f t="shared" si="318"/>
        <v/>
      </c>
      <c r="AB582" s="2" t="str">
        <f t="shared" si="319"/>
        <v/>
      </c>
      <c r="AC582" s="2" t="str">
        <f t="shared" si="303"/>
        <v/>
      </c>
      <c r="AD582" s="2" t="str">
        <f t="shared" si="304"/>
        <v/>
      </c>
      <c r="AE582" s="2" t="str">
        <f t="shared" si="305"/>
        <v/>
      </c>
      <c r="AF582" s="2" t="str">
        <f t="shared" si="306"/>
        <v/>
      </c>
    </row>
    <row r="583" spans="1:32" x14ac:dyDescent="0.2">
      <c r="A583" s="2" t="str">
        <f t="shared" si="307"/>
        <v/>
      </c>
      <c r="B583" s="2" t="str">
        <f t="shared" si="288"/>
        <v/>
      </c>
      <c r="C583" s="2" t="str">
        <f t="shared" si="289"/>
        <v/>
      </c>
      <c r="D583" s="2" t="str">
        <f t="shared" si="290"/>
        <v/>
      </c>
      <c r="E583" s="2" t="str">
        <f t="shared" si="291"/>
        <v/>
      </c>
      <c r="F583" s="2" t="str">
        <f t="shared" si="292"/>
        <v/>
      </c>
      <c r="G583" s="2" t="str">
        <f t="shared" si="293"/>
        <v/>
      </c>
      <c r="H583" s="2" t="str">
        <f t="shared" si="308"/>
        <v/>
      </c>
      <c r="I583" s="2" t="str">
        <f t="shared" si="309"/>
        <v/>
      </c>
      <c r="J583" s="2" t="str">
        <f t="shared" si="310"/>
        <v/>
      </c>
      <c r="K583" s="2" t="str">
        <f t="shared" si="294"/>
        <v/>
      </c>
      <c r="L583" s="2" t="str">
        <f t="shared" si="295"/>
        <v/>
      </c>
      <c r="M583" s="2" t="str">
        <f t="shared" si="296"/>
        <v/>
      </c>
      <c r="N583" s="2" t="str">
        <f t="shared" si="311"/>
        <v/>
      </c>
      <c r="O583" s="2" t="str">
        <f t="shared" si="312"/>
        <v/>
      </c>
      <c r="P583" s="2" t="str">
        <f t="shared" si="313"/>
        <v/>
      </c>
      <c r="Q583" s="2" t="str">
        <f t="shared" si="297"/>
        <v/>
      </c>
      <c r="R583" s="2" t="str">
        <f t="shared" si="298"/>
        <v/>
      </c>
      <c r="S583" s="2" t="str">
        <f t="shared" si="299"/>
        <v/>
      </c>
      <c r="T583" s="2" t="str">
        <f t="shared" si="314"/>
        <v/>
      </c>
      <c r="U583" s="2" t="str">
        <f t="shared" si="315"/>
        <v/>
      </c>
      <c r="V583" s="2" t="str">
        <f t="shared" si="316"/>
        <v/>
      </c>
      <c r="W583" s="2" t="str">
        <f t="shared" si="300"/>
        <v/>
      </c>
      <c r="X583" s="2" t="str">
        <f t="shared" si="301"/>
        <v/>
      </c>
      <c r="Y583" s="2" t="str">
        <f t="shared" si="302"/>
        <v/>
      </c>
      <c r="Z583" s="2" t="str">
        <f t="shared" si="317"/>
        <v/>
      </c>
      <c r="AA583" s="2" t="str">
        <f t="shared" si="318"/>
        <v/>
      </c>
      <c r="AB583" s="2" t="str">
        <f t="shared" si="319"/>
        <v/>
      </c>
      <c r="AC583" s="2" t="str">
        <f t="shared" si="303"/>
        <v/>
      </c>
      <c r="AD583" s="2" t="str">
        <f t="shared" si="304"/>
        <v/>
      </c>
      <c r="AE583" s="2" t="str">
        <f t="shared" si="305"/>
        <v/>
      </c>
      <c r="AF583" s="2" t="str">
        <f t="shared" si="306"/>
        <v/>
      </c>
    </row>
    <row r="584" spans="1:32" x14ac:dyDescent="0.2">
      <c r="A584" s="2" t="str">
        <f t="shared" si="307"/>
        <v/>
      </c>
      <c r="B584" s="2" t="str">
        <f t="shared" si="288"/>
        <v/>
      </c>
      <c r="C584" s="2" t="str">
        <f t="shared" si="289"/>
        <v/>
      </c>
      <c r="D584" s="2" t="str">
        <f t="shared" si="290"/>
        <v/>
      </c>
      <c r="E584" s="2" t="str">
        <f t="shared" si="291"/>
        <v/>
      </c>
      <c r="F584" s="2" t="str">
        <f t="shared" si="292"/>
        <v/>
      </c>
      <c r="G584" s="2" t="str">
        <f t="shared" si="293"/>
        <v/>
      </c>
      <c r="H584" s="2" t="str">
        <f t="shared" si="308"/>
        <v/>
      </c>
      <c r="I584" s="2" t="str">
        <f t="shared" si="309"/>
        <v/>
      </c>
      <c r="J584" s="2" t="str">
        <f t="shared" si="310"/>
        <v/>
      </c>
      <c r="K584" s="2" t="str">
        <f t="shared" si="294"/>
        <v/>
      </c>
      <c r="L584" s="2" t="str">
        <f t="shared" si="295"/>
        <v/>
      </c>
      <c r="M584" s="2" t="str">
        <f t="shared" si="296"/>
        <v/>
      </c>
      <c r="N584" s="2" t="str">
        <f t="shared" si="311"/>
        <v/>
      </c>
      <c r="O584" s="2" t="str">
        <f t="shared" si="312"/>
        <v/>
      </c>
      <c r="P584" s="2" t="str">
        <f t="shared" si="313"/>
        <v/>
      </c>
      <c r="Q584" s="2" t="str">
        <f t="shared" si="297"/>
        <v/>
      </c>
      <c r="R584" s="2" t="str">
        <f t="shared" si="298"/>
        <v/>
      </c>
      <c r="S584" s="2" t="str">
        <f t="shared" si="299"/>
        <v/>
      </c>
      <c r="T584" s="2" t="str">
        <f t="shared" si="314"/>
        <v/>
      </c>
      <c r="U584" s="2" t="str">
        <f t="shared" si="315"/>
        <v/>
      </c>
      <c r="V584" s="2" t="str">
        <f t="shared" si="316"/>
        <v/>
      </c>
      <c r="W584" s="2" t="str">
        <f t="shared" si="300"/>
        <v/>
      </c>
      <c r="X584" s="2" t="str">
        <f t="shared" si="301"/>
        <v/>
      </c>
      <c r="Y584" s="2" t="str">
        <f t="shared" si="302"/>
        <v/>
      </c>
      <c r="Z584" s="2" t="str">
        <f t="shared" si="317"/>
        <v/>
      </c>
      <c r="AA584" s="2" t="str">
        <f t="shared" si="318"/>
        <v/>
      </c>
      <c r="AB584" s="2" t="str">
        <f t="shared" si="319"/>
        <v/>
      </c>
      <c r="AC584" s="2" t="str">
        <f t="shared" si="303"/>
        <v/>
      </c>
      <c r="AD584" s="2" t="str">
        <f t="shared" si="304"/>
        <v/>
      </c>
      <c r="AE584" s="2" t="str">
        <f t="shared" si="305"/>
        <v/>
      </c>
      <c r="AF584" s="2" t="str">
        <f t="shared" si="306"/>
        <v/>
      </c>
    </row>
    <row r="585" spans="1:32" x14ac:dyDescent="0.2">
      <c r="A585" s="2" t="str">
        <f t="shared" si="307"/>
        <v/>
      </c>
      <c r="B585" s="2" t="str">
        <f t="shared" si="288"/>
        <v/>
      </c>
      <c r="C585" s="2" t="str">
        <f t="shared" si="289"/>
        <v/>
      </c>
      <c r="D585" s="2" t="str">
        <f t="shared" si="290"/>
        <v/>
      </c>
      <c r="E585" s="2" t="str">
        <f t="shared" si="291"/>
        <v/>
      </c>
      <c r="F585" s="2" t="str">
        <f t="shared" si="292"/>
        <v/>
      </c>
      <c r="G585" s="2" t="str">
        <f t="shared" si="293"/>
        <v/>
      </c>
      <c r="H585" s="2" t="str">
        <f t="shared" si="308"/>
        <v/>
      </c>
      <c r="I585" s="2" t="str">
        <f t="shared" si="309"/>
        <v/>
      </c>
      <c r="J585" s="2" t="str">
        <f t="shared" si="310"/>
        <v/>
      </c>
      <c r="K585" s="2" t="str">
        <f t="shared" si="294"/>
        <v/>
      </c>
      <c r="L585" s="2" t="str">
        <f t="shared" si="295"/>
        <v/>
      </c>
      <c r="M585" s="2" t="str">
        <f t="shared" si="296"/>
        <v/>
      </c>
      <c r="N585" s="2" t="str">
        <f t="shared" si="311"/>
        <v/>
      </c>
      <c r="O585" s="2" t="str">
        <f t="shared" si="312"/>
        <v/>
      </c>
      <c r="P585" s="2" t="str">
        <f t="shared" si="313"/>
        <v/>
      </c>
      <c r="Q585" s="2" t="str">
        <f t="shared" si="297"/>
        <v/>
      </c>
      <c r="R585" s="2" t="str">
        <f t="shared" si="298"/>
        <v/>
      </c>
      <c r="S585" s="2" t="str">
        <f t="shared" si="299"/>
        <v/>
      </c>
      <c r="T585" s="2" t="str">
        <f t="shared" si="314"/>
        <v/>
      </c>
      <c r="U585" s="2" t="str">
        <f t="shared" si="315"/>
        <v/>
      </c>
      <c r="V585" s="2" t="str">
        <f t="shared" si="316"/>
        <v/>
      </c>
      <c r="W585" s="2" t="str">
        <f t="shared" si="300"/>
        <v/>
      </c>
      <c r="X585" s="2" t="str">
        <f t="shared" si="301"/>
        <v/>
      </c>
      <c r="Y585" s="2" t="str">
        <f t="shared" si="302"/>
        <v/>
      </c>
      <c r="Z585" s="2" t="str">
        <f t="shared" si="317"/>
        <v/>
      </c>
      <c r="AA585" s="2" t="str">
        <f t="shared" si="318"/>
        <v/>
      </c>
      <c r="AB585" s="2" t="str">
        <f t="shared" si="319"/>
        <v/>
      </c>
      <c r="AC585" s="2" t="str">
        <f t="shared" si="303"/>
        <v/>
      </c>
      <c r="AD585" s="2" t="str">
        <f t="shared" si="304"/>
        <v/>
      </c>
      <c r="AE585" s="2" t="str">
        <f t="shared" si="305"/>
        <v/>
      </c>
      <c r="AF585" s="2" t="str">
        <f t="shared" si="306"/>
        <v/>
      </c>
    </row>
    <row r="586" spans="1:32" x14ac:dyDescent="0.2">
      <c r="A586" s="2" t="str">
        <f t="shared" si="307"/>
        <v/>
      </c>
      <c r="B586" s="2" t="str">
        <f t="shared" si="288"/>
        <v/>
      </c>
      <c r="C586" s="2" t="str">
        <f t="shared" si="289"/>
        <v/>
      </c>
      <c r="D586" s="2" t="str">
        <f t="shared" si="290"/>
        <v/>
      </c>
      <c r="E586" s="2" t="str">
        <f t="shared" si="291"/>
        <v/>
      </c>
      <c r="F586" s="2" t="str">
        <f t="shared" si="292"/>
        <v/>
      </c>
      <c r="G586" s="2" t="str">
        <f t="shared" si="293"/>
        <v/>
      </c>
      <c r="H586" s="2" t="str">
        <f t="shared" si="308"/>
        <v/>
      </c>
      <c r="I586" s="2" t="str">
        <f t="shared" si="309"/>
        <v/>
      </c>
      <c r="J586" s="2" t="str">
        <f t="shared" si="310"/>
        <v/>
      </c>
      <c r="K586" s="2" t="str">
        <f t="shared" si="294"/>
        <v/>
      </c>
      <c r="L586" s="2" t="str">
        <f t="shared" si="295"/>
        <v/>
      </c>
      <c r="M586" s="2" t="str">
        <f t="shared" si="296"/>
        <v/>
      </c>
      <c r="N586" s="2" t="str">
        <f t="shared" si="311"/>
        <v/>
      </c>
      <c r="O586" s="2" t="str">
        <f t="shared" si="312"/>
        <v/>
      </c>
      <c r="P586" s="2" t="str">
        <f t="shared" si="313"/>
        <v/>
      </c>
      <c r="Q586" s="2" t="str">
        <f t="shared" si="297"/>
        <v/>
      </c>
      <c r="R586" s="2" t="str">
        <f t="shared" si="298"/>
        <v/>
      </c>
      <c r="S586" s="2" t="str">
        <f t="shared" si="299"/>
        <v/>
      </c>
      <c r="T586" s="2" t="str">
        <f t="shared" si="314"/>
        <v/>
      </c>
      <c r="U586" s="2" t="str">
        <f t="shared" si="315"/>
        <v/>
      </c>
      <c r="V586" s="2" t="str">
        <f t="shared" si="316"/>
        <v/>
      </c>
      <c r="W586" s="2" t="str">
        <f t="shared" si="300"/>
        <v/>
      </c>
      <c r="X586" s="2" t="str">
        <f t="shared" si="301"/>
        <v/>
      </c>
      <c r="Y586" s="2" t="str">
        <f t="shared" si="302"/>
        <v/>
      </c>
      <c r="Z586" s="2" t="str">
        <f t="shared" si="317"/>
        <v/>
      </c>
      <c r="AA586" s="2" t="str">
        <f t="shared" si="318"/>
        <v/>
      </c>
      <c r="AB586" s="2" t="str">
        <f t="shared" si="319"/>
        <v/>
      </c>
      <c r="AC586" s="2" t="str">
        <f t="shared" si="303"/>
        <v/>
      </c>
      <c r="AD586" s="2" t="str">
        <f t="shared" si="304"/>
        <v/>
      </c>
      <c r="AE586" s="2" t="str">
        <f t="shared" si="305"/>
        <v/>
      </c>
      <c r="AF586" s="2" t="str">
        <f t="shared" si="306"/>
        <v/>
      </c>
    </row>
    <row r="587" spans="1:32" x14ac:dyDescent="0.2">
      <c r="A587" s="2" t="str">
        <f t="shared" si="307"/>
        <v/>
      </c>
      <c r="B587" s="2" t="str">
        <f t="shared" si="288"/>
        <v/>
      </c>
      <c r="C587" s="2" t="str">
        <f t="shared" si="289"/>
        <v/>
      </c>
      <c r="D587" s="2" t="str">
        <f t="shared" si="290"/>
        <v/>
      </c>
      <c r="E587" s="2" t="str">
        <f t="shared" si="291"/>
        <v/>
      </c>
      <c r="F587" s="2" t="str">
        <f t="shared" si="292"/>
        <v/>
      </c>
      <c r="G587" s="2" t="str">
        <f t="shared" si="293"/>
        <v/>
      </c>
      <c r="H587" s="2" t="str">
        <f t="shared" si="308"/>
        <v/>
      </c>
      <c r="I587" s="2" t="str">
        <f t="shared" si="309"/>
        <v/>
      </c>
      <c r="J587" s="2" t="str">
        <f t="shared" si="310"/>
        <v/>
      </c>
      <c r="K587" s="2" t="str">
        <f t="shared" si="294"/>
        <v/>
      </c>
      <c r="L587" s="2" t="str">
        <f t="shared" si="295"/>
        <v/>
      </c>
      <c r="M587" s="2" t="str">
        <f t="shared" si="296"/>
        <v/>
      </c>
      <c r="N587" s="2" t="str">
        <f t="shared" si="311"/>
        <v/>
      </c>
      <c r="O587" s="2" t="str">
        <f t="shared" si="312"/>
        <v/>
      </c>
      <c r="P587" s="2" t="str">
        <f t="shared" si="313"/>
        <v/>
      </c>
      <c r="Q587" s="2" t="str">
        <f t="shared" si="297"/>
        <v/>
      </c>
      <c r="R587" s="2" t="str">
        <f t="shared" si="298"/>
        <v/>
      </c>
      <c r="S587" s="2" t="str">
        <f t="shared" si="299"/>
        <v/>
      </c>
      <c r="T587" s="2" t="str">
        <f t="shared" si="314"/>
        <v/>
      </c>
      <c r="U587" s="2" t="str">
        <f t="shared" si="315"/>
        <v/>
      </c>
      <c r="V587" s="2" t="str">
        <f t="shared" si="316"/>
        <v/>
      </c>
      <c r="W587" s="2" t="str">
        <f t="shared" si="300"/>
        <v/>
      </c>
      <c r="X587" s="2" t="str">
        <f t="shared" si="301"/>
        <v/>
      </c>
      <c r="Y587" s="2" t="str">
        <f t="shared" si="302"/>
        <v/>
      </c>
      <c r="Z587" s="2" t="str">
        <f t="shared" si="317"/>
        <v/>
      </c>
      <c r="AA587" s="2" t="str">
        <f t="shared" si="318"/>
        <v/>
      </c>
      <c r="AB587" s="2" t="str">
        <f t="shared" si="319"/>
        <v/>
      </c>
      <c r="AC587" s="2" t="str">
        <f t="shared" si="303"/>
        <v/>
      </c>
      <c r="AD587" s="2" t="str">
        <f t="shared" si="304"/>
        <v/>
      </c>
      <c r="AE587" s="2" t="str">
        <f t="shared" si="305"/>
        <v/>
      </c>
      <c r="AF587" s="2" t="str">
        <f t="shared" si="306"/>
        <v/>
      </c>
    </row>
    <row r="588" spans="1:32" x14ac:dyDescent="0.2">
      <c r="A588" s="2" t="str">
        <f t="shared" si="307"/>
        <v/>
      </c>
      <c r="B588" s="2" t="str">
        <f t="shared" si="288"/>
        <v/>
      </c>
      <c r="C588" s="2" t="str">
        <f t="shared" si="289"/>
        <v/>
      </c>
      <c r="D588" s="2" t="str">
        <f t="shared" si="290"/>
        <v/>
      </c>
      <c r="E588" s="2" t="str">
        <f t="shared" si="291"/>
        <v/>
      </c>
      <c r="F588" s="2" t="str">
        <f t="shared" si="292"/>
        <v/>
      </c>
      <c r="G588" s="2" t="str">
        <f t="shared" si="293"/>
        <v/>
      </c>
      <c r="H588" s="2" t="str">
        <f t="shared" si="308"/>
        <v/>
      </c>
      <c r="I588" s="2" t="str">
        <f t="shared" si="309"/>
        <v/>
      </c>
      <c r="J588" s="2" t="str">
        <f t="shared" si="310"/>
        <v/>
      </c>
      <c r="K588" s="2" t="str">
        <f t="shared" si="294"/>
        <v/>
      </c>
      <c r="L588" s="2" t="str">
        <f t="shared" si="295"/>
        <v/>
      </c>
      <c r="M588" s="2" t="str">
        <f t="shared" si="296"/>
        <v/>
      </c>
      <c r="N588" s="2" t="str">
        <f t="shared" si="311"/>
        <v/>
      </c>
      <c r="O588" s="2" t="str">
        <f t="shared" si="312"/>
        <v/>
      </c>
      <c r="P588" s="2" t="str">
        <f t="shared" si="313"/>
        <v/>
      </c>
      <c r="Q588" s="2" t="str">
        <f t="shared" si="297"/>
        <v/>
      </c>
      <c r="R588" s="2" t="str">
        <f t="shared" si="298"/>
        <v/>
      </c>
      <c r="S588" s="2" t="str">
        <f t="shared" si="299"/>
        <v/>
      </c>
      <c r="T588" s="2" t="str">
        <f t="shared" si="314"/>
        <v/>
      </c>
      <c r="U588" s="2" t="str">
        <f t="shared" si="315"/>
        <v/>
      </c>
      <c r="V588" s="2" t="str">
        <f t="shared" si="316"/>
        <v/>
      </c>
      <c r="W588" s="2" t="str">
        <f t="shared" si="300"/>
        <v/>
      </c>
      <c r="X588" s="2" t="str">
        <f t="shared" si="301"/>
        <v/>
      </c>
      <c r="Y588" s="2" t="str">
        <f t="shared" si="302"/>
        <v/>
      </c>
      <c r="Z588" s="2" t="str">
        <f t="shared" si="317"/>
        <v/>
      </c>
      <c r="AA588" s="2" t="str">
        <f t="shared" si="318"/>
        <v/>
      </c>
      <c r="AB588" s="2" t="str">
        <f t="shared" si="319"/>
        <v/>
      </c>
      <c r="AC588" s="2" t="str">
        <f t="shared" si="303"/>
        <v/>
      </c>
      <c r="AD588" s="2" t="str">
        <f t="shared" si="304"/>
        <v/>
      </c>
      <c r="AE588" s="2" t="str">
        <f t="shared" si="305"/>
        <v/>
      </c>
      <c r="AF588" s="2" t="str">
        <f t="shared" si="306"/>
        <v/>
      </c>
    </row>
    <row r="589" spans="1:32" x14ac:dyDescent="0.2">
      <c r="A589" s="2" t="str">
        <f t="shared" si="307"/>
        <v/>
      </c>
      <c r="B589" s="2" t="str">
        <f t="shared" si="288"/>
        <v/>
      </c>
      <c r="C589" s="2" t="str">
        <f t="shared" si="289"/>
        <v/>
      </c>
      <c r="D589" s="2" t="str">
        <f t="shared" si="290"/>
        <v/>
      </c>
      <c r="E589" s="2" t="str">
        <f t="shared" si="291"/>
        <v/>
      </c>
      <c r="F589" s="2" t="str">
        <f t="shared" si="292"/>
        <v/>
      </c>
      <c r="G589" s="2" t="str">
        <f t="shared" si="293"/>
        <v/>
      </c>
      <c r="H589" s="2" t="str">
        <f t="shared" si="308"/>
        <v/>
      </c>
      <c r="I589" s="2" t="str">
        <f t="shared" si="309"/>
        <v/>
      </c>
      <c r="J589" s="2" t="str">
        <f t="shared" si="310"/>
        <v/>
      </c>
      <c r="K589" s="2" t="str">
        <f t="shared" si="294"/>
        <v/>
      </c>
      <c r="L589" s="2" t="str">
        <f t="shared" si="295"/>
        <v/>
      </c>
      <c r="M589" s="2" t="str">
        <f t="shared" si="296"/>
        <v/>
      </c>
      <c r="N589" s="2" t="str">
        <f t="shared" si="311"/>
        <v/>
      </c>
      <c r="O589" s="2" t="str">
        <f t="shared" si="312"/>
        <v/>
      </c>
      <c r="P589" s="2" t="str">
        <f t="shared" si="313"/>
        <v/>
      </c>
      <c r="Q589" s="2" t="str">
        <f t="shared" si="297"/>
        <v/>
      </c>
      <c r="R589" s="2" t="str">
        <f t="shared" si="298"/>
        <v/>
      </c>
      <c r="S589" s="2" t="str">
        <f t="shared" si="299"/>
        <v/>
      </c>
      <c r="T589" s="2" t="str">
        <f t="shared" si="314"/>
        <v/>
      </c>
      <c r="U589" s="2" t="str">
        <f t="shared" si="315"/>
        <v/>
      </c>
      <c r="V589" s="2" t="str">
        <f t="shared" si="316"/>
        <v/>
      </c>
      <c r="W589" s="2" t="str">
        <f t="shared" si="300"/>
        <v/>
      </c>
      <c r="X589" s="2" t="str">
        <f t="shared" si="301"/>
        <v/>
      </c>
      <c r="Y589" s="2" t="str">
        <f t="shared" si="302"/>
        <v/>
      </c>
      <c r="Z589" s="2" t="str">
        <f t="shared" si="317"/>
        <v/>
      </c>
      <c r="AA589" s="2" t="str">
        <f t="shared" si="318"/>
        <v/>
      </c>
      <c r="AB589" s="2" t="str">
        <f t="shared" si="319"/>
        <v/>
      </c>
      <c r="AC589" s="2" t="str">
        <f t="shared" si="303"/>
        <v/>
      </c>
      <c r="AD589" s="2" t="str">
        <f t="shared" si="304"/>
        <v/>
      </c>
      <c r="AE589" s="2" t="str">
        <f t="shared" si="305"/>
        <v/>
      </c>
      <c r="AF589" s="2" t="str">
        <f t="shared" si="306"/>
        <v/>
      </c>
    </row>
    <row r="590" spans="1:32" x14ac:dyDescent="0.2">
      <c r="A590" s="2" t="str">
        <f t="shared" si="307"/>
        <v/>
      </c>
      <c r="B590" s="2" t="str">
        <f t="shared" si="288"/>
        <v/>
      </c>
      <c r="C590" s="2" t="str">
        <f t="shared" si="289"/>
        <v/>
      </c>
      <c r="D590" s="2" t="str">
        <f t="shared" si="290"/>
        <v/>
      </c>
      <c r="E590" s="2" t="str">
        <f t="shared" si="291"/>
        <v/>
      </c>
      <c r="F590" s="2" t="str">
        <f t="shared" si="292"/>
        <v/>
      </c>
      <c r="G590" s="2" t="str">
        <f t="shared" si="293"/>
        <v/>
      </c>
      <c r="H590" s="2" t="str">
        <f t="shared" si="308"/>
        <v/>
      </c>
      <c r="I590" s="2" t="str">
        <f t="shared" si="309"/>
        <v/>
      </c>
      <c r="J590" s="2" t="str">
        <f t="shared" si="310"/>
        <v/>
      </c>
      <c r="K590" s="2" t="str">
        <f t="shared" si="294"/>
        <v/>
      </c>
      <c r="L590" s="2" t="str">
        <f t="shared" si="295"/>
        <v/>
      </c>
      <c r="M590" s="2" t="str">
        <f t="shared" si="296"/>
        <v/>
      </c>
      <c r="N590" s="2" t="str">
        <f t="shared" si="311"/>
        <v/>
      </c>
      <c r="O590" s="2" t="str">
        <f t="shared" si="312"/>
        <v/>
      </c>
      <c r="P590" s="2" t="str">
        <f t="shared" si="313"/>
        <v/>
      </c>
      <c r="Q590" s="2" t="str">
        <f t="shared" si="297"/>
        <v/>
      </c>
      <c r="R590" s="2" t="str">
        <f t="shared" si="298"/>
        <v/>
      </c>
      <c r="S590" s="2" t="str">
        <f t="shared" si="299"/>
        <v/>
      </c>
      <c r="T590" s="2" t="str">
        <f t="shared" si="314"/>
        <v/>
      </c>
      <c r="U590" s="2" t="str">
        <f t="shared" si="315"/>
        <v/>
      </c>
      <c r="V590" s="2" t="str">
        <f t="shared" si="316"/>
        <v/>
      </c>
      <c r="W590" s="2" t="str">
        <f t="shared" si="300"/>
        <v/>
      </c>
      <c r="X590" s="2" t="str">
        <f t="shared" si="301"/>
        <v/>
      </c>
      <c r="Y590" s="2" t="str">
        <f t="shared" si="302"/>
        <v/>
      </c>
      <c r="Z590" s="2" t="str">
        <f t="shared" si="317"/>
        <v/>
      </c>
      <c r="AA590" s="2" t="str">
        <f t="shared" si="318"/>
        <v/>
      </c>
      <c r="AB590" s="2" t="str">
        <f t="shared" si="319"/>
        <v/>
      </c>
      <c r="AC590" s="2" t="str">
        <f t="shared" si="303"/>
        <v/>
      </c>
      <c r="AD590" s="2" t="str">
        <f t="shared" si="304"/>
        <v/>
      </c>
      <c r="AE590" s="2" t="str">
        <f t="shared" si="305"/>
        <v/>
      </c>
      <c r="AF590" s="2" t="str">
        <f t="shared" si="306"/>
        <v/>
      </c>
    </row>
    <row r="591" spans="1:32" x14ac:dyDescent="0.2">
      <c r="A591" s="2" t="str">
        <f t="shared" si="307"/>
        <v/>
      </c>
      <c r="B591" s="2" t="str">
        <f t="shared" si="288"/>
        <v/>
      </c>
      <c r="C591" s="2" t="str">
        <f t="shared" si="289"/>
        <v/>
      </c>
      <c r="D591" s="2" t="str">
        <f t="shared" si="290"/>
        <v/>
      </c>
      <c r="E591" s="2" t="str">
        <f t="shared" si="291"/>
        <v/>
      </c>
      <c r="F591" s="2" t="str">
        <f t="shared" si="292"/>
        <v/>
      </c>
      <c r="G591" s="2" t="str">
        <f t="shared" si="293"/>
        <v/>
      </c>
      <c r="H591" s="2" t="str">
        <f t="shared" si="308"/>
        <v/>
      </c>
      <c r="I591" s="2" t="str">
        <f t="shared" si="309"/>
        <v/>
      </c>
      <c r="J591" s="2" t="str">
        <f t="shared" si="310"/>
        <v/>
      </c>
      <c r="K591" s="2" t="str">
        <f t="shared" si="294"/>
        <v/>
      </c>
      <c r="L591" s="2" t="str">
        <f t="shared" si="295"/>
        <v/>
      </c>
      <c r="M591" s="2" t="str">
        <f t="shared" si="296"/>
        <v/>
      </c>
      <c r="N591" s="2" t="str">
        <f t="shared" si="311"/>
        <v/>
      </c>
      <c r="O591" s="2" t="str">
        <f t="shared" si="312"/>
        <v/>
      </c>
      <c r="P591" s="2" t="str">
        <f t="shared" si="313"/>
        <v/>
      </c>
      <c r="Q591" s="2" t="str">
        <f t="shared" si="297"/>
        <v/>
      </c>
      <c r="R591" s="2" t="str">
        <f t="shared" si="298"/>
        <v/>
      </c>
      <c r="S591" s="2" t="str">
        <f t="shared" si="299"/>
        <v/>
      </c>
      <c r="T591" s="2" t="str">
        <f t="shared" si="314"/>
        <v/>
      </c>
      <c r="U591" s="2" t="str">
        <f t="shared" si="315"/>
        <v/>
      </c>
      <c r="V591" s="2" t="str">
        <f t="shared" si="316"/>
        <v/>
      </c>
      <c r="W591" s="2" t="str">
        <f t="shared" si="300"/>
        <v/>
      </c>
      <c r="X591" s="2" t="str">
        <f t="shared" si="301"/>
        <v/>
      </c>
      <c r="Y591" s="2" t="str">
        <f t="shared" si="302"/>
        <v/>
      </c>
      <c r="Z591" s="2" t="str">
        <f t="shared" si="317"/>
        <v/>
      </c>
      <c r="AA591" s="2" t="str">
        <f t="shared" si="318"/>
        <v/>
      </c>
      <c r="AB591" s="2" t="str">
        <f t="shared" si="319"/>
        <v/>
      </c>
      <c r="AC591" s="2" t="str">
        <f t="shared" si="303"/>
        <v/>
      </c>
      <c r="AD591" s="2" t="str">
        <f t="shared" si="304"/>
        <v/>
      </c>
      <c r="AE591" s="2" t="str">
        <f t="shared" si="305"/>
        <v/>
      </c>
      <c r="AF591" s="2" t="str">
        <f t="shared" si="306"/>
        <v/>
      </c>
    </row>
    <row r="592" spans="1:32" x14ac:dyDescent="0.2">
      <c r="A592" s="2" t="str">
        <f t="shared" si="307"/>
        <v/>
      </c>
      <c r="B592" s="2" t="str">
        <f t="shared" si="288"/>
        <v/>
      </c>
      <c r="C592" s="2" t="str">
        <f t="shared" si="289"/>
        <v/>
      </c>
      <c r="D592" s="2" t="str">
        <f t="shared" si="290"/>
        <v/>
      </c>
      <c r="E592" s="2" t="str">
        <f t="shared" si="291"/>
        <v/>
      </c>
      <c r="F592" s="2" t="str">
        <f t="shared" si="292"/>
        <v/>
      </c>
      <c r="G592" s="2" t="str">
        <f t="shared" si="293"/>
        <v/>
      </c>
      <c r="H592" s="2" t="str">
        <f t="shared" si="308"/>
        <v/>
      </c>
      <c r="I592" s="2" t="str">
        <f t="shared" si="309"/>
        <v/>
      </c>
      <c r="J592" s="2" t="str">
        <f t="shared" si="310"/>
        <v/>
      </c>
      <c r="K592" s="2" t="str">
        <f t="shared" si="294"/>
        <v/>
      </c>
      <c r="L592" s="2" t="str">
        <f t="shared" si="295"/>
        <v/>
      </c>
      <c r="M592" s="2" t="str">
        <f t="shared" si="296"/>
        <v/>
      </c>
      <c r="N592" s="2" t="str">
        <f t="shared" si="311"/>
        <v/>
      </c>
      <c r="O592" s="2" t="str">
        <f t="shared" si="312"/>
        <v/>
      </c>
      <c r="P592" s="2" t="str">
        <f t="shared" si="313"/>
        <v/>
      </c>
      <c r="Q592" s="2" t="str">
        <f t="shared" si="297"/>
        <v/>
      </c>
      <c r="R592" s="2" t="str">
        <f t="shared" si="298"/>
        <v/>
      </c>
      <c r="S592" s="2" t="str">
        <f t="shared" si="299"/>
        <v/>
      </c>
      <c r="T592" s="2" t="str">
        <f t="shared" si="314"/>
        <v/>
      </c>
      <c r="U592" s="2" t="str">
        <f t="shared" si="315"/>
        <v/>
      </c>
      <c r="V592" s="2" t="str">
        <f t="shared" si="316"/>
        <v/>
      </c>
      <c r="W592" s="2" t="str">
        <f t="shared" si="300"/>
        <v/>
      </c>
      <c r="X592" s="2" t="str">
        <f t="shared" si="301"/>
        <v/>
      </c>
      <c r="Y592" s="2" t="str">
        <f t="shared" si="302"/>
        <v/>
      </c>
      <c r="Z592" s="2" t="str">
        <f t="shared" si="317"/>
        <v/>
      </c>
      <c r="AA592" s="2" t="str">
        <f t="shared" si="318"/>
        <v/>
      </c>
      <c r="AB592" s="2" t="str">
        <f t="shared" si="319"/>
        <v/>
      </c>
      <c r="AC592" s="2" t="str">
        <f t="shared" si="303"/>
        <v/>
      </c>
      <c r="AD592" s="2" t="str">
        <f t="shared" si="304"/>
        <v/>
      </c>
      <c r="AE592" s="2" t="str">
        <f t="shared" si="305"/>
        <v/>
      </c>
      <c r="AF592" s="2" t="str">
        <f t="shared" si="306"/>
        <v/>
      </c>
    </row>
    <row r="593" spans="1:32" x14ac:dyDescent="0.2">
      <c r="A593" s="2" t="str">
        <f t="shared" si="307"/>
        <v/>
      </c>
      <c r="B593" s="2" t="str">
        <f t="shared" si="288"/>
        <v/>
      </c>
      <c r="C593" s="2" t="str">
        <f t="shared" si="289"/>
        <v/>
      </c>
      <c r="D593" s="2" t="str">
        <f t="shared" si="290"/>
        <v/>
      </c>
      <c r="E593" s="2" t="str">
        <f t="shared" si="291"/>
        <v/>
      </c>
      <c r="F593" s="2" t="str">
        <f t="shared" si="292"/>
        <v/>
      </c>
      <c r="G593" s="2" t="str">
        <f t="shared" si="293"/>
        <v/>
      </c>
      <c r="H593" s="2" t="str">
        <f t="shared" si="308"/>
        <v/>
      </c>
      <c r="I593" s="2" t="str">
        <f t="shared" si="309"/>
        <v/>
      </c>
      <c r="J593" s="2" t="str">
        <f t="shared" si="310"/>
        <v/>
      </c>
      <c r="K593" s="2" t="str">
        <f t="shared" si="294"/>
        <v/>
      </c>
      <c r="L593" s="2" t="str">
        <f t="shared" si="295"/>
        <v/>
      </c>
      <c r="M593" s="2" t="str">
        <f t="shared" si="296"/>
        <v/>
      </c>
      <c r="N593" s="2" t="str">
        <f t="shared" si="311"/>
        <v/>
      </c>
      <c r="O593" s="2" t="str">
        <f t="shared" si="312"/>
        <v/>
      </c>
      <c r="P593" s="2" t="str">
        <f t="shared" si="313"/>
        <v/>
      </c>
      <c r="Q593" s="2" t="str">
        <f t="shared" si="297"/>
        <v/>
      </c>
      <c r="R593" s="2" t="str">
        <f t="shared" si="298"/>
        <v/>
      </c>
      <c r="S593" s="2" t="str">
        <f t="shared" si="299"/>
        <v/>
      </c>
      <c r="T593" s="2" t="str">
        <f t="shared" si="314"/>
        <v/>
      </c>
      <c r="U593" s="2" t="str">
        <f t="shared" si="315"/>
        <v/>
      </c>
      <c r="V593" s="2" t="str">
        <f t="shared" si="316"/>
        <v/>
      </c>
      <c r="W593" s="2" t="str">
        <f t="shared" si="300"/>
        <v/>
      </c>
      <c r="X593" s="2" t="str">
        <f t="shared" si="301"/>
        <v/>
      </c>
      <c r="Y593" s="2" t="str">
        <f t="shared" si="302"/>
        <v/>
      </c>
      <c r="Z593" s="2" t="str">
        <f t="shared" si="317"/>
        <v/>
      </c>
      <c r="AA593" s="2" t="str">
        <f t="shared" si="318"/>
        <v/>
      </c>
      <c r="AB593" s="2" t="str">
        <f t="shared" si="319"/>
        <v/>
      </c>
      <c r="AC593" s="2" t="str">
        <f t="shared" si="303"/>
        <v/>
      </c>
      <c r="AD593" s="2" t="str">
        <f t="shared" si="304"/>
        <v/>
      </c>
      <c r="AE593" s="2" t="str">
        <f t="shared" si="305"/>
        <v/>
      </c>
      <c r="AF593" s="2" t="str">
        <f t="shared" si="306"/>
        <v/>
      </c>
    </row>
    <row r="594" spans="1:32" x14ac:dyDescent="0.2">
      <c r="A594" s="2" t="str">
        <f t="shared" si="307"/>
        <v/>
      </c>
      <c r="B594" s="2" t="str">
        <f t="shared" si="288"/>
        <v/>
      </c>
      <c r="C594" s="2" t="str">
        <f t="shared" si="289"/>
        <v/>
      </c>
      <c r="D594" s="2" t="str">
        <f t="shared" si="290"/>
        <v/>
      </c>
      <c r="E594" s="2" t="str">
        <f t="shared" si="291"/>
        <v/>
      </c>
      <c r="F594" s="2" t="str">
        <f t="shared" si="292"/>
        <v/>
      </c>
      <c r="G594" s="2" t="str">
        <f t="shared" si="293"/>
        <v/>
      </c>
      <c r="H594" s="2" t="str">
        <f t="shared" si="308"/>
        <v/>
      </c>
      <c r="I594" s="2" t="str">
        <f t="shared" si="309"/>
        <v/>
      </c>
      <c r="J594" s="2" t="str">
        <f t="shared" si="310"/>
        <v/>
      </c>
      <c r="K594" s="2" t="str">
        <f t="shared" si="294"/>
        <v/>
      </c>
      <c r="L594" s="2" t="str">
        <f t="shared" si="295"/>
        <v/>
      </c>
      <c r="M594" s="2" t="str">
        <f t="shared" si="296"/>
        <v/>
      </c>
      <c r="N594" s="2" t="str">
        <f t="shared" si="311"/>
        <v/>
      </c>
      <c r="O594" s="2" t="str">
        <f t="shared" si="312"/>
        <v/>
      </c>
      <c r="P594" s="2" t="str">
        <f t="shared" si="313"/>
        <v/>
      </c>
      <c r="Q594" s="2" t="str">
        <f t="shared" si="297"/>
        <v/>
      </c>
      <c r="R594" s="2" t="str">
        <f t="shared" si="298"/>
        <v/>
      </c>
      <c r="S594" s="2" t="str">
        <f t="shared" si="299"/>
        <v/>
      </c>
      <c r="T594" s="2" t="str">
        <f t="shared" si="314"/>
        <v/>
      </c>
      <c r="U594" s="2" t="str">
        <f t="shared" si="315"/>
        <v/>
      </c>
      <c r="V594" s="2" t="str">
        <f t="shared" si="316"/>
        <v/>
      </c>
      <c r="W594" s="2" t="str">
        <f t="shared" si="300"/>
        <v/>
      </c>
      <c r="X594" s="2" t="str">
        <f t="shared" si="301"/>
        <v/>
      </c>
      <c r="Y594" s="2" t="str">
        <f t="shared" si="302"/>
        <v/>
      </c>
      <c r="Z594" s="2" t="str">
        <f t="shared" si="317"/>
        <v/>
      </c>
      <c r="AA594" s="2" t="str">
        <f t="shared" si="318"/>
        <v/>
      </c>
      <c r="AB594" s="2" t="str">
        <f t="shared" si="319"/>
        <v/>
      </c>
      <c r="AC594" s="2" t="str">
        <f t="shared" si="303"/>
        <v/>
      </c>
      <c r="AD594" s="2" t="str">
        <f t="shared" si="304"/>
        <v/>
      </c>
      <c r="AE594" s="2" t="str">
        <f t="shared" si="305"/>
        <v/>
      </c>
      <c r="AF594" s="2" t="str">
        <f t="shared" si="306"/>
        <v/>
      </c>
    </row>
    <row r="595" spans="1:32" x14ac:dyDescent="0.2">
      <c r="A595" s="2" t="str">
        <f t="shared" si="307"/>
        <v/>
      </c>
      <c r="B595" s="2" t="str">
        <f t="shared" si="288"/>
        <v/>
      </c>
      <c r="C595" s="2" t="str">
        <f t="shared" si="289"/>
        <v/>
      </c>
      <c r="D595" s="2" t="str">
        <f t="shared" si="290"/>
        <v/>
      </c>
      <c r="E595" s="2" t="str">
        <f t="shared" si="291"/>
        <v/>
      </c>
      <c r="F595" s="2" t="str">
        <f t="shared" si="292"/>
        <v/>
      </c>
      <c r="G595" s="2" t="str">
        <f t="shared" si="293"/>
        <v/>
      </c>
      <c r="H595" s="2" t="str">
        <f t="shared" si="308"/>
        <v/>
      </c>
      <c r="I595" s="2" t="str">
        <f t="shared" si="309"/>
        <v/>
      </c>
      <c r="J595" s="2" t="str">
        <f t="shared" si="310"/>
        <v/>
      </c>
      <c r="K595" s="2" t="str">
        <f t="shared" si="294"/>
        <v/>
      </c>
      <c r="L595" s="2" t="str">
        <f t="shared" si="295"/>
        <v/>
      </c>
      <c r="M595" s="2" t="str">
        <f t="shared" si="296"/>
        <v/>
      </c>
      <c r="N595" s="2" t="str">
        <f t="shared" si="311"/>
        <v/>
      </c>
      <c r="O595" s="2" t="str">
        <f t="shared" si="312"/>
        <v/>
      </c>
      <c r="P595" s="2" t="str">
        <f t="shared" si="313"/>
        <v/>
      </c>
      <c r="Q595" s="2" t="str">
        <f t="shared" si="297"/>
        <v/>
      </c>
      <c r="R595" s="2" t="str">
        <f t="shared" si="298"/>
        <v/>
      </c>
      <c r="S595" s="2" t="str">
        <f t="shared" si="299"/>
        <v/>
      </c>
      <c r="T595" s="2" t="str">
        <f t="shared" si="314"/>
        <v/>
      </c>
      <c r="U595" s="2" t="str">
        <f t="shared" si="315"/>
        <v/>
      </c>
      <c r="V595" s="2" t="str">
        <f t="shared" si="316"/>
        <v/>
      </c>
      <c r="W595" s="2" t="str">
        <f t="shared" si="300"/>
        <v/>
      </c>
      <c r="X595" s="2" t="str">
        <f t="shared" si="301"/>
        <v/>
      </c>
      <c r="Y595" s="2" t="str">
        <f t="shared" si="302"/>
        <v/>
      </c>
      <c r="Z595" s="2" t="str">
        <f t="shared" si="317"/>
        <v/>
      </c>
      <c r="AA595" s="2" t="str">
        <f t="shared" si="318"/>
        <v/>
      </c>
      <c r="AB595" s="2" t="str">
        <f t="shared" si="319"/>
        <v/>
      </c>
      <c r="AC595" s="2" t="str">
        <f t="shared" si="303"/>
        <v/>
      </c>
      <c r="AD595" s="2" t="str">
        <f t="shared" si="304"/>
        <v/>
      </c>
      <c r="AE595" s="2" t="str">
        <f t="shared" si="305"/>
        <v/>
      </c>
      <c r="AF595" s="2" t="str">
        <f t="shared" si="306"/>
        <v/>
      </c>
    </row>
    <row r="596" spans="1:32" x14ac:dyDescent="0.2">
      <c r="A596" s="2" t="str">
        <f t="shared" si="307"/>
        <v/>
      </c>
      <c r="B596" s="2" t="str">
        <f t="shared" si="288"/>
        <v/>
      </c>
      <c r="C596" s="2" t="str">
        <f t="shared" si="289"/>
        <v/>
      </c>
      <c r="D596" s="2" t="str">
        <f t="shared" si="290"/>
        <v/>
      </c>
      <c r="E596" s="2" t="str">
        <f t="shared" si="291"/>
        <v/>
      </c>
      <c r="F596" s="2" t="str">
        <f t="shared" si="292"/>
        <v/>
      </c>
      <c r="G596" s="2" t="str">
        <f t="shared" si="293"/>
        <v/>
      </c>
      <c r="H596" s="2" t="str">
        <f t="shared" si="308"/>
        <v/>
      </c>
      <c r="I596" s="2" t="str">
        <f t="shared" si="309"/>
        <v/>
      </c>
      <c r="J596" s="2" t="str">
        <f t="shared" si="310"/>
        <v/>
      </c>
      <c r="K596" s="2" t="str">
        <f t="shared" si="294"/>
        <v/>
      </c>
      <c r="L596" s="2" t="str">
        <f t="shared" si="295"/>
        <v/>
      </c>
      <c r="M596" s="2" t="str">
        <f t="shared" si="296"/>
        <v/>
      </c>
      <c r="N596" s="2" t="str">
        <f t="shared" si="311"/>
        <v/>
      </c>
      <c r="O596" s="2" t="str">
        <f t="shared" si="312"/>
        <v/>
      </c>
      <c r="P596" s="2" t="str">
        <f t="shared" si="313"/>
        <v/>
      </c>
      <c r="Q596" s="2" t="str">
        <f t="shared" si="297"/>
        <v/>
      </c>
      <c r="R596" s="2" t="str">
        <f t="shared" si="298"/>
        <v/>
      </c>
      <c r="S596" s="2" t="str">
        <f t="shared" si="299"/>
        <v/>
      </c>
      <c r="T596" s="2" t="str">
        <f t="shared" si="314"/>
        <v/>
      </c>
      <c r="U596" s="2" t="str">
        <f t="shared" si="315"/>
        <v/>
      </c>
      <c r="V596" s="2" t="str">
        <f t="shared" si="316"/>
        <v/>
      </c>
      <c r="W596" s="2" t="str">
        <f t="shared" si="300"/>
        <v/>
      </c>
      <c r="X596" s="2" t="str">
        <f t="shared" si="301"/>
        <v/>
      </c>
      <c r="Y596" s="2" t="str">
        <f t="shared" si="302"/>
        <v/>
      </c>
      <c r="Z596" s="2" t="str">
        <f t="shared" si="317"/>
        <v/>
      </c>
      <c r="AA596" s="2" t="str">
        <f t="shared" si="318"/>
        <v/>
      </c>
      <c r="AB596" s="2" t="str">
        <f t="shared" si="319"/>
        <v/>
      </c>
      <c r="AC596" s="2" t="str">
        <f t="shared" si="303"/>
        <v/>
      </c>
      <c r="AD596" s="2" t="str">
        <f t="shared" si="304"/>
        <v/>
      </c>
      <c r="AE596" s="2" t="str">
        <f t="shared" si="305"/>
        <v/>
      </c>
      <c r="AF596" s="2" t="str">
        <f t="shared" si="306"/>
        <v/>
      </c>
    </row>
    <row r="597" spans="1:32" x14ac:dyDescent="0.2">
      <c r="A597" s="2" t="str">
        <f t="shared" si="307"/>
        <v/>
      </c>
      <c r="B597" s="2" t="str">
        <f t="shared" si="288"/>
        <v/>
      </c>
      <c r="C597" s="2" t="str">
        <f t="shared" si="289"/>
        <v/>
      </c>
      <c r="D597" s="2" t="str">
        <f t="shared" si="290"/>
        <v/>
      </c>
      <c r="E597" s="2" t="str">
        <f t="shared" si="291"/>
        <v/>
      </c>
      <c r="F597" s="2" t="str">
        <f t="shared" si="292"/>
        <v/>
      </c>
      <c r="G597" s="2" t="str">
        <f t="shared" si="293"/>
        <v/>
      </c>
      <c r="H597" s="2" t="str">
        <f t="shared" si="308"/>
        <v/>
      </c>
      <c r="I597" s="2" t="str">
        <f t="shared" si="309"/>
        <v/>
      </c>
      <c r="J597" s="2" t="str">
        <f t="shared" si="310"/>
        <v/>
      </c>
      <c r="K597" s="2" t="str">
        <f t="shared" si="294"/>
        <v/>
      </c>
      <c r="L597" s="2" t="str">
        <f t="shared" si="295"/>
        <v/>
      </c>
      <c r="M597" s="2" t="str">
        <f t="shared" si="296"/>
        <v/>
      </c>
      <c r="N597" s="2" t="str">
        <f t="shared" si="311"/>
        <v/>
      </c>
      <c r="O597" s="2" t="str">
        <f t="shared" si="312"/>
        <v/>
      </c>
      <c r="P597" s="2" t="str">
        <f t="shared" si="313"/>
        <v/>
      </c>
      <c r="Q597" s="2" t="str">
        <f t="shared" si="297"/>
        <v/>
      </c>
      <c r="R597" s="2" t="str">
        <f t="shared" si="298"/>
        <v/>
      </c>
      <c r="S597" s="2" t="str">
        <f t="shared" si="299"/>
        <v/>
      </c>
      <c r="T597" s="2" t="str">
        <f t="shared" si="314"/>
        <v/>
      </c>
      <c r="U597" s="2" t="str">
        <f t="shared" si="315"/>
        <v/>
      </c>
      <c r="V597" s="2" t="str">
        <f t="shared" si="316"/>
        <v/>
      </c>
      <c r="W597" s="2" t="str">
        <f t="shared" si="300"/>
        <v/>
      </c>
      <c r="X597" s="2" t="str">
        <f t="shared" si="301"/>
        <v/>
      </c>
      <c r="Y597" s="2" t="str">
        <f t="shared" si="302"/>
        <v/>
      </c>
      <c r="Z597" s="2" t="str">
        <f t="shared" si="317"/>
        <v/>
      </c>
      <c r="AA597" s="2" t="str">
        <f t="shared" si="318"/>
        <v/>
      </c>
      <c r="AB597" s="2" t="str">
        <f t="shared" si="319"/>
        <v/>
      </c>
      <c r="AC597" s="2" t="str">
        <f t="shared" si="303"/>
        <v/>
      </c>
      <c r="AD597" s="2" t="str">
        <f t="shared" si="304"/>
        <v/>
      </c>
      <c r="AE597" s="2" t="str">
        <f t="shared" si="305"/>
        <v/>
      </c>
      <c r="AF597" s="2" t="str">
        <f t="shared" si="306"/>
        <v/>
      </c>
    </row>
    <row r="598" spans="1:32" x14ac:dyDescent="0.2">
      <c r="A598" s="2" t="str">
        <f t="shared" si="307"/>
        <v/>
      </c>
      <c r="B598" s="2" t="str">
        <f t="shared" si="288"/>
        <v/>
      </c>
      <c r="C598" s="2" t="str">
        <f t="shared" si="289"/>
        <v/>
      </c>
      <c r="D598" s="2" t="str">
        <f t="shared" si="290"/>
        <v/>
      </c>
      <c r="E598" s="2" t="str">
        <f t="shared" si="291"/>
        <v/>
      </c>
      <c r="F598" s="2" t="str">
        <f t="shared" si="292"/>
        <v/>
      </c>
      <c r="G598" s="2" t="str">
        <f t="shared" si="293"/>
        <v/>
      </c>
      <c r="H598" s="2" t="str">
        <f t="shared" si="308"/>
        <v/>
      </c>
      <c r="I598" s="2" t="str">
        <f t="shared" si="309"/>
        <v/>
      </c>
      <c r="J598" s="2" t="str">
        <f t="shared" si="310"/>
        <v/>
      </c>
      <c r="K598" s="2" t="str">
        <f t="shared" si="294"/>
        <v/>
      </c>
      <c r="L598" s="2" t="str">
        <f t="shared" si="295"/>
        <v/>
      </c>
      <c r="M598" s="2" t="str">
        <f t="shared" si="296"/>
        <v/>
      </c>
      <c r="N598" s="2" t="str">
        <f t="shared" si="311"/>
        <v/>
      </c>
      <c r="O598" s="2" t="str">
        <f t="shared" si="312"/>
        <v/>
      </c>
      <c r="P598" s="2" t="str">
        <f t="shared" si="313"/>
        <v/>
      </c>
      <c r="Q598" s="2" t="str">
        <f t="shared" si="297"/>
        <v/>
      </c>
      <c r="R598" s="2" t="str">
        <f t="shared" si="298"/>
        <v/>
      </c>
      <c r="S598" s="2" t="str">
        <f t="shared" si="299"/>
        <v/>
      </c>
      <c r="T598" s="2" t="str">
        <f t="shared" si="314"/>
        <v/>
      </c>
      <c r="U598" s="2" t="str">
        <f t="shared" si="315"/>
        <v/>
      </c>
      <c r="V598" s="2" t="str">
        <f t="shared" si="316"/>
        <v/>
      </c>
      <c r="W598" s="2" t="str">
        <f t="shared" si="300"/>
        <v/>
      </c>
      <c r="X598" s="2" t="str">
        <f t="shared" si="301"/>
        <v/>
      </c>
      <c r="Y598" s="2" t="str">
        <f t="shared" si="302"/>
        <v/>
      </c>
      <c r="Z598" s="2" t="str">
        <f t="shared" si="317"/>
        <v/>
      </c>
      <c r="AA598" s="2" t="str">
        <f t="shared" si="318"/>
        <v/>
      </c>
      <c r="AB598" s="2" t="str">
        <f t="shared" si="319"/>
        <v/>
      </c>
      <c r="AC598" s="2" t="str">
        <f t="shared" si="303"/>
        <v/>
      </c>
      <c r="AD598" s="2" t="str">
        <f t="shared" si="304"/>
        <v/>
      </c>
      <c r="AE598" s="2" t="str">
        <f t="shared" si="305"/>
        <v/>
      </c>
      <c r="AF598" s="2" t="str">
        <f t="shared" si="306"/>
        <v/>
      </c>
    </row>
    <row r="599" spans="1:32" x14ac:dyDescent="0.2">
      <c r="A599" s="2" t="str">
        <f t="shared" si="307"/>
        <v/>
      </c>
      <c r="B599" s="2" t="str">
        <f t="shared" si="288"/>
        <v/>
      </c>
      <c r="C599" s="2" t="str">
        <f t="shared" si="289"/>
        <v/>
      </c>
      <c r="D599" s="2" t="str">
        <f t="shared" si="290"/>
        <v/>
      </c>
      <c r="E599" s="2" t="str">
        <f t="shared" si="291"/>
        <v/>
      </c>
      <c r="F599" s="2" t="str">
        <f t="shared" si="292"/>
        <v/>
      </c>
      <c r="G599" s="2" t="str">
        <f t="shared" si="293"/>
        <v/>
      </c>
      <c r="H599" s="2" t="str">
        <f t="shared" si="308"/>
        <v/>
      </c>
      <c r="I599" s="2" t="str">
        <f t="shared" si="309"/>
        <v/>
      </c>
      <c r="J599" s="2" t="str">
        <f t="shared" si="310"/>
        <v/>
      </c>
      <c r="K599" s="2" t="str">
        <f t="shared" si="294"/>
        <v/>
      </c>
      <c r="L599" s="2" t="str">
        <f t="shared" si="295"/>
        <v/>
      </c>
      <c r="M599" s="2" t="str">
        <f t="shared" si="296"/>
        <v/>
      </c>
      <c r="N599" s="2" t="str">
        <f t="shared" si="311"/>
        <v/>
      </c>
      <c r="O599" s="2" t="str">
        <f t="shared" si="312"/>
        <v/>
      </c>
      <c r="P599" s="2" t="str">
        <f t="shared" si="313"/>
        <v/>
      </c>
      <c r="Q599" s="2" t="str">
        <f t="shared" si="297"/>
        <v/>
      </c>
      <c r="R599" s="2" t="str">
        <f t="shared" si="298"/>
        <v/>
      </c>
      <c r="S599" s="2" t="str">
        <f t="shared" si="299"/>
        <v/>
      </c>
      <c r="T599" s="2" t="str">
        <f t="shared" si="314"/>
        <v/>
      </c>
      <c r="U599" s="2" t="str">
        <f t="shared" si="315"/>
        <v/>
      </c>
      <c r="V599" s="2" t="str">
        <f t="shared" si="316"/>
        <v/>
      </c>
      <c r="W599" s="2" t="str">
        <f t="shared" si="300"/>
        <v/>
      </c>
      <c r="X599" s="2" t="str">
        <f t="shared" si="301"/>
        <v/>
      </c>
      <c r="Y599" s="2" t="str">
        <f t="shared" si="302"/>
        <v/>
      </c>
      <c r="Z599" s="2" t="str">
        <f t="shared" si="317"/>
        <v/>
      </c>
      <c r="AA599" s="2" t="str">
        <f t="shared" si="318"/>
        <v/>
      </c>
      <c r="AB599" s="2" t="str">
        <f t="shared" si="319"/>
        <v/>
      </c>
      <c r="AC599" s="2" t="str">
        <f t="shared" si="303"/>
        <v/>
      </c>
      <c r="AD599" s="2" t="str">
        <f t="shared" si="304"/>
        <v/>
      </c>
      <c r="AE599" s="2" t="str">
        <f t="shared" si="305"/>
        <v/>
      </c>
      <c r="AF599" s="2" t="str">
        <f t="shared" si="306"/>
        <v/>
      </c>
    </row>
    <row r="600" spans="1:32" x14ac:dyDescent="0.2">
      <c r="A600" s="2" t="str">
        <f t="shared" si="307"/>
        <v/>
      </c>
      <c r="B600" s="2" t="str">
        <f t="shared" si="288"/>
        <v/>
      </c>
      <c r="C600" s="2" t="str">
        <f t="shared" si="289"/>
        <v/>
      </c>
      <c r="D600" s="2" t="str">
        <f t="shared" si="290"/>
        <v/>
      </c>
      <c r="E600" s="2" t="str">
        <f t="shared" si="291"/>
        <v/>
      </c>
      <c r="F600" s="2" t="str">
        <f t="shared" si="292"/>
        <v/>
      </c>
      <c r="G600" s="2" t="str">
        <f t="shared" si="293"/>
        <v/>
      </c>
      <c r="H600" s="2" t="str">
        <f t="shared" si="308"/>
        <v/>
      </c>
      <c r="I600" s="2" t="str">
        <f t="shared" si="309"/>
        <v/>
      </c>
      <c r="J600" s="2" t="str">
        <f t="shared" si="310"/>
        <v/>
      </c>
      <c r="K600" s="2" t="str">
        <f t="shared" si="294"/>
        <v/>
      </c>
      <c r="L600" s="2" t="str">
        <f t="shared" si="295"/>
        <v/>
      </c>
      <c r="M600" s="2" t="str">
        <f t="shared" si="296"/>
        <v/>
      </c>
      <c r="N600" s="2" t="str">
        <f t="shared" si="311"/>
        <v/>
      </c>
      <c r="O600" s="2" t="str">
        <f t="shared" si="312"/>
        <v/>
      </c>
      <c r="P600" s="2" t="str">
        <f t="shared" si="313"/>
        <v/>
      </c>
      <c r="Q600" s="2" t="str">
        <f t="shared" si="297"/>
        <v/>
      </c>
      <c r="R600" s="2" t="str">
        <f t="shared" si="298"/>
        <v/>
      </c>
      <c r="S600" s="2" t="str">
        <f t="shared" si="299"/>
        <v/>
      </c>
      <c r="T600" s="2" t="str">
        <f t="shared" si="314"/>
        <v/>
      </c>
      <c r="U600" s="2" t="str">
        <f t="shared" si="315"/>
        <v/>
      </c>
      <c r="V600" s="2" t="str">
        <f t="shared" si="316"/>
        <v/>
      </c>
      <c r="W600" s="2" t="str">
        <f t="shared" si="300"/>
        <v/>
      </c>
      <c r="X600" s="2" t="str">
        <f t="shared" si="301"/>
        <v/>
      </c>
      <c r="Y600" s="2" t="str">
        <f t="shared" si="302"/>
        <v/>
      </c>
      <c r="Z600" s="2" t="str">
        <f t="shared" si="317"/>
        <v/>
      </c>
      <c r="AA600" s="2" t="str">
        <f t="shared" si="318"/>
        <v/>
      </c>
      <c r="AB600" s="2" t="str">
        <f t="shared" si="319"/>
        <v/>
      </c>
      <c r="AC600" s="2" t="str">
        <f t="shared" si="303"/>
        <v/>
      </c>
      <c r="AD600" s="2" t="str">
        <f t="shared" si="304"/>
        <v/>
      </c>
      <c r="AE600" s="2" t="str">
        <f t="shared" si="305"/>
        <v/>
      </c>
      <c r="AF600" s="2" t="str">
        <f t="shared" si="306"/>
        <v/>
      </c>
    </row>
    <row r="601" spans="1:32" x14ac:dyDescent="0.2">
      <c r="A601" s="2" t="str">
        <f t="shared" si="307"/>
        <v/>
      </c>
      <c r="B601" s="2" t="str">
        <f t="shared" si="288"/>
        <v/>
      </c>
      <c r="C601" s="2" t="str">
        <f t="shared" si="289"/>
        <v/>
      </c>
      <c r="D601" s="2" t="str">
        <f t="shared" si="290"/>
        <v/>
      </c>
      <c r="E601" s="2" t="str">
        <f t="shared" si="291"/>
        <v/>
      </c>
      <c r="F601" s="2" t="str">
        <f t="shared" si="292"/>
        <v/>
      </c>
      <c r="G601" s="2" t="str">
        <f t="shared" si="293"/>
        <v/>
      </c>
      <c r="H601" s="2" t="str">
        <f t="shared" si="308"/>
        <v/>
      </c>
      <c r="I601" s="2" t="str">
        <f t="shared" si="309"/>
        <v/>
      </c>
      <c r="J601" s="2" t="str">
        <f t="shared" si="310"/>
        <v/>
      </c>
      <c r="K601" s="2" t="str">
        <f t="shared" si="294"/>
        <v/>
      </c>
      <c r="L601" s="2" t="str">
        <f t="shared" si="295"/>
        <v/>
      </c>
      <c r="M601" s="2" t="str">
        <f t="shared" si="296"/>
        <v/>
      </c>
      <c r="N601" s="2" t="str">
        <f t="shared" si="311"/>
        <v/>
      </c>
      <c r="O601" s="2" t="str">
        <f t="shared" si="312"/>
        <v/>
      </c>
      <c r="P601" s="2" t="str">
        <f t="shared" si="313"/>
        <v/>
      </c>
      <c r="Q601" s="2" t="str">
        <f t="shared" si="297"/>
        <v/>
      </c>
      <c r="R601" s="2" t="str">
        <f t="shared" si="298"/>
        <v/>
      </c>
      <c r="S601" s="2" t="str">
        <f t="shared" si="299"/>
        <v/>
      </c>
      <c r="T601" s="2" t="str">
        <f t="shared" si="314"/>
        <v/>
      </c>
      <c r="U601" s="2" t="str">
        <f t="shared" si="315"/>
        <v/>
      </c>
      <c r="V601" s="2" t="str">
        <f t="shared" si="316"/>
        <v/>
      </c>
      <c r="W601" s="2" t="str">
        <f t="shared" si="300"/>
        <v/>
      </c>
      <c r="X601" s="2" t="str">
        <f t="shared" si="301"/>
        <v/>
      </c>
      <c r="Y601" s="2" t="str">
        <f t="shared" si="302"/>
        <v/>
      </c>
      <c r="Z601" s="2" t="str">
        <f t="shared" si="317"/>
        <v/>
      </c>
      <c r="AA601" s="2" t="str">
        <f t="shared" si="318"/>
        <v/>
      </c>
      <c r="AB601" s="2" t="str">
        <f t="shared" si="319"/>
        <v/>
      </c>
      <c r="AC601" s="2" t="str">
        <f t="shared" si="303"/>
        <v/>
      </c>
      <c r="AD601" s="2" t="str">
        <f t="shared" si="304"/>
        <v/>
      </c>
      <c r="AE601" s="2" t="str">
        <f t="shared" si="305"/>
        <v/>
      </c>
      <c r="AF601" s="2" t="str">
        <f t="shared" si="306"/>
        <v/>
      </c>
    </row>
    <row r="602" spans="1:32" x14ac:dyDescent="0.2">
      <c r="A602" s="2" t="str">
        <f t="shared" si="307"/>
        <v/>
      </c>
      <c r="B602" s="2" t="str">
        <f t="shared" si="288"/>
        <v/>
      </c>
      <c r="C602" s="2" t="str">
        <f t="shared" si="289"/>
        <v/>
      </c>
      <c r="D602" s="2" t="str">
        <f t="shared" si="290"/>
        <v/>
      </c>
      <c r="E602" s="2" t="str">
        <f t="shared" si="291"/>
        <v/>
      </c>
      <c r="F602" s="2" t="str">
        <f t="shared" si="292"/>
        <v/>
      </c>
      <c r="G602" s="2" t="str">
        <f t="shared" si="293"/>
        <v/>
      </c>
      <c r="H602" s="2" t="str">
        <f t="shared" si="308"/>
        <v/>
      </c>
      <c r="I602" s="2" t="str">
        <f t="shared" si="309"/>
        <v/>
      </c>
      <c r="J602" s="2" t="str">
        <f t="shared" si="310"/>
        <v/>
      </c>
      <c r="K602" s="2" t="str">
        <f t="shared" si="294"/>
        <v/>
      </c>
      <c r="L602" s="2" t="str">
        <f t="shared" si="295"/>
        <v/>
      </c>
      <c r="M602" s="2" t="str">
        <f t="shared" si="296"/>
        <v/>
      </c>
      <c r="N602" s="2" t="str">
        <f t="shared" si="311"/>
        <v/>
      </c>
      <c r="O602" s="2" t="str">
        <f t="shared" si="312"/>
        <v/>
      </c>
      <c r="P602" s="2" t="str">
        <f t="shared" si="313"/>
        <v/>
      </c>
      <c r="Q602" s="2" t="str">
        <f t="shared" si="297"/>
        <v/>
      </c>
      <c r="R602" s="2" t="str">
        <f t="shared" si="298"/>
        <v/>
      </c>
      <c r="S602" s="2" t="str">
        <f t="shared" si="299"/>
        <v/>
      </c>
      <c r="T602" s="2" t="str">
        <f t="shared" si="314"/>
        <v/>
      </c>
      <c r="U602" s="2" t="str">
        <f t="shared" si="315"/>
        <v/>
      </c>
      <c r="V602" s="2" t="str">
        <f t="shared" si="316"/>
        <v/>
      </c>
      <c r="W602" s="2" t="str">
        <f t="shared" si="300"/>
        <v/>
      </c>
      <c r="X602" s="2" t="str">
        <f t="shared" si="301"/>
        <v/>
      </c>
      <c r="Y602" s="2" t="str">
        <f t="shared" si="302"/>
        <v/>
      </c>
      <c r="Z602" s="2" t="str">
        <f t="shared" si="317"/>
        <v/>
      </c>
      <c r="AA602" s="2" t="str">
        <f t="shared" si="318"/>
        <v/>
      </c>
      <c r="AB602" s="2" t="str">
        <f t="shared" si="319"/>
        <v/>
      </c>
      <c r="AC602" s="2" t="str">
        <f t="shared" si="303"/>
        <v/>
      </c>
      <c r="AD602" s="2" t="str">
        <f t="shared" si="304"/>
        <v/>
      </c>
      <c r="AE602" s="2" t="str">
        <f t="shared" si="305"/>
        <v/>
      </c>
      <c r="AF602" s="2" t="str">
        <f t="shared" si="306"/>
        <v/>
      </c>
    </row>
    <row r="603" spans="1:32" x14ac:dyDescent="0.2">
      <c r="A603" s="2" t="str">
        <f t="shared" si="307"/>
        <v/>
      </c>
      <c r="B603" s="2" t="str">
        <f t="shared" si="288"/>
        <v/>
      </c>
      <c r="C603" s="2" t="str">
        <f t="shared" si="289"/>
        <v/>
      </c>
      <c r="D603" s="2" t="str">
        <f t="shared" si="290"/>
        <v/>
      </c>
      <c r="E603" s="2" t="str">
        <f t="shared" si="291"/>
        <v/>
      </c>
      <c r="F603" s="2" t="str">
        <f t="shared" si="292"/>
        <v/>
      </c>
      <c r="G603" s="2" t="str">
        <f t="shared" si="293"/>
        <v/>
      </c>
      <c r="H603" s="2" t="str">
        <f t="shared" si="308"/>
        <v/>
      </c>
      <c r="I603" s="2" t="str">
        <f t="shared" si="309"/>
        <v/>
      </c>
      <c r="J603" s="2" t="str">
        <f t="shared" si="310"/>
        <v/>
      </c>
      <c r="K603" s="2" t="str">
        <f t="shared" si="294"/>
        <v/>
      </c>
      <c r="L603" s="2" t="str">
        <f t="shared" si="295"/>
        <v/>
      </c>
      <c r="M603" s="2" t="str">
        <f t="shared" si="296"/>
        <v/>
      </c>
      <c r="N603" s="2" t="str">
        <f t="shared" si="311"/>
        <v/>
      </c>
      <c r="O603" s="2" t="str">
        <f t="shared" si="312"/>
        <v/>
      </c>
      <c r="P603" s="2" t="str">
        <f t="shared" si="313"/>
        <v/>
      </c>
      <c r="Q603" s="2" t="str">
        <f t="shared" si="297"/>
        <v/>
      </c>
      <c r="R603" s="2" t="str">
        <f t="shared" si="298"/>
        <v/>
      </c>
      <c r="S603" s="2" t="str">
        <f t="shared" si="299"/>
        <v/>
      </c>
      <c r="T603" s="2" t="str">
        <f t="shared" si="314"/>
        <v/>
      </c>
      <c r="U603" s="2" t="str">
        <f t="shared" si="315"/>
        <v/>
      </c>
      <c r="V603" s="2" t="str">
        <f t="shared" si="316"/>
        <v/>
      </c>
      <c r="W603" s="2" t="str">
        <f t="shared" si="300"/>
        <v/>
      </c>
      <c r="X603" s="2" t="str">
        <f t="shared" si="301"/>
        <v/>
      </c>
      <c r="Y603" s="2" t="str">
        <f t="shared" si="302"/>
        <v/>
      </c>
      <c r="Z603" s="2" t="str">
        <f t="shared" si="317"/>
        <v/>
      </c>
      <c r="AA603" s="2" t="str">
        <f t="shared" si="318"/>
        <v/>
      </c>
      <c r="AB603" s="2" t="str">
        <f t="shared" si="319"/>
        <v/>
      </c>
      <c r="AC603" s="2" t="str">
        <f t="shared" si="303"/>
        <v/>
      </c>
      <c r="AD603" s="2" t="str">
        <f t="shared" si="304"/>
        <v/>
      </c>
      <c r="AE603" s="2" t="str">
        <f t="shared" si="305"/>
        <v/>
      </c>
      <c r="AF603" s="2" t="str">
        <f t="shared" si="306"/>
        <v/>
      </c>
    </row>
    <row r="604" spans="1:32" x14ac:dyDescent="0.2">
      <c r="A604" s="2" t="str">
        <f t="shared" si="307"/>
        <v/>
      </c>
      <c r="B604" s="2" t="str">
        <f t="shared" si="288"/>
        <v/>
      </c>
      <c r="C604" s="2" t="str">
        <f t="shared" si="289"/>
        <v/>
      </c>
      <c r="D604" s="2" t="str">
        <f t="shared" si="290"/>
        <v/>
      </c>
      <c r="E604" s="2" t="str">
        <f t="shared" si="291"/>
        <v/>
      </c>
      <c r="F604" s="2" t="str">
        <f t="shared" si="292"/>
        <v/>
      </c>
      <c r="G604" s="2" t="str">
        <f t="shared" si="293"/>
        <v/>
      </c>
      <c r="H604" s="2" t="str">
        <f t="shared" si="308"/>
        <v/>
      </c>
      <c r="I604" s="2" t="str">
        <f t="shared" si="309"/>
        <v/>
      </c>
      <c r="J604" s="2" t="str">
        <f t="shared" si="310"/>
        <v/>
      </c>
      <c r="K604" s="2" t="str">
        <f t="shared" si="294"/>
        <v/>
      </c>
      <c r="L604" s="2" t="str">
        <f t="shared" si="295"/>
        <v/>
      </c>
      <c r="M604" s="2" t="str">
        <f t="shared" si="296"/>
        <v/>
      </c>
      <c r="N604" s="2" t="str">
        <f t="shared" si="311"/>
        <v/>
      </c>
      <c r="O604" s="2" t="str">
        <f t="shared" si="312"/>
        <v/>
      </c>
      <c r="P604" s="2" t="str">
        <f t="shared" si="313"/>
        <v/>
      </c>
      <c r="Q604" s="2" t="str">
        <f t="shared" si="297"/>
        <v/>
      </c>
      <c r="R604" s="2" t="str">
        <f t="shared" si="298"/>
        <v/>
      </c>
      <c r="S604" s="2" t="str">
        <f t="shared" si="299"/>
        <v/>
      </c>
      <c r="T604" s="2" t="str">
        <f t="shared" si="314"/>
        <v/>
      </c>
      <c r="U604" s="2" t="str">
        <f t="shared" si="315"/>
        <v/>
      </c>
      <c r="V604" s="2" t="str">
        <f t="shared" si="316"/>
        <v/>
      </c>
      <c r="W604" s="2" t="str">
        <f t="shared" si="300"/>
        <v/>
      </c>
      <c r="X604" s="2" t="str">
        <f t="shared" si="301"/>
        <v/>
      </c>
      <c r="Y604" s="2" t="str">
        <f t="shared" si="302"/>
        <v/>
      </c>
      <c r="Z604" s="2" t="str">
        <f t="shared" si="317"/>
        <v/>
      </c>
      <c r="AA604" s="2" t="str">
        <f t="shared" si="318"/>
        <v/>
      </c>
      <c r="AB604" s="2" t="str">
        <f t="shared" si="319"/>
        <v/>
      </c>
      <c r="AC604" s="2" t="str">
        <f t="shared" si="303"/>
        <v/>
      </c>
      <c r="AD604" s="2" t="str">
        <f t="shared" si="304"/>
        <v/>
      </c>
      <c r="AE604" s="2" t="str">
        <f t="shared" si="305"/>
        <v/>
      </c>
      <c r="AF604" s="2" t="str">
        <f t="shared" si="306"/>
        <v/>
      </c>
    </row>
    <row r="605" spans="1:32" x14ac:dyDescent="0.2">
      <c r="A605" s="2" t="str">
        <f t="shared" si="307"/>
        <v/>
      </c>
      <c r="B605" s="2" t="str">
        <f t="shared" si="288"/>
        <v/>
      </c>
      <c r="C605" s="2" t="str">
        <f t="shared" si="289"/>
        <v/>
      </c>
      <c r="D605" s="2" t="str">
        <f t="shared" si="290"/>
        <v/>
      </c>
      <c r="E605" s="2" t="str">
        <f t="shared" si="291"/>
        <v/>
      </c>
      <c r="F605" s="2" t="str">
        <f t="shared" si="292"/>
        <v/>
      </c>
      <c r="G605" s="2" t="str">
        <f t="shared" si="293"/>
        <v/>
      </c>
      <c r="H605" s="2" t="str">
        <f t="shared" si="308"/>
        <v/>
      </c>
      <c r="I605" s="2" t="str">
        <f t="shared" si="309"/>
        <v/>
      </c>
      <c r="J605" s="2" t="str">
        <f t="shared" si="310"/>
        <v/>
      </c>
      <c r="K605" s="2" t="str">
        <f t="shared" si="294"/>
        <v/>
      </c>
      <c r="L605" s="2" t="str">
        <f t="shared" si="295"/>
        <v/>
      </c>
      <c r="M605" s="2" t="str">
        <f t="shared" si="296"/>
        <v/>
      </c>
      <c r="N605" s="2" t="str">
        <f t="shared" si="311"/>
        <v/>
      </c>
      <c r="O605" s="2" t="str">
        <f t="shared" si="312"/>
        <v/>
      </c>
      <c r="P605" s="2" t="str">
        <f t="shared" si="313"/>
        <v/>
      </c>
      <c r="Q605" s="2" t="str">
        <f t="shared" si="297"/>
        <v/>
      </c>
      <c r="R605" s="2" t="str">
        <f t="shared" si="298"/>
        <v/>
      </c>
      <c r="S605" s="2" t="str">
        <f t="shared" si="299"/>
        <v/>
      </c>
      <c r="T605" s="2" t="str">
        <f t="shared" si="314"/>
        <v/>
      </c>
      <c r="U605" s="2" t="str">
        <f t="shared" si="315"/>
        <v/>
      </c>
      <c r="V605" s="2" t="str">
        <f t="shared" si="316"/>
        <v/>
      </c>
      <c r="W605" s="2" t="str">
        <f t="shared" si="300"/>
        <v/>
      </c>
      <c r="X605" s="2" t="str">
        <f t="shared" si="301"/>
        <v/>
      </c>
      <c r="Y605" s="2" t="str">
        <f t="shared" si="302"/>
        <v/>
      </c>
      <c r="Z605" s="2" t="str">
        <f t="shared" si="317"/>
        <v/>
      </c>
      <c r="AA605" s="2" t="str">
        <f t="shared" si="318"/>
        <v/>
      </c>
      <c r="AB605" s="2" t="str">
        <f t="shared" si="319"/>
        <v/>
      </c>
      <c r="AC605" s="2" t="str">
        <f t="shared" si="303"/>
        <v/>
      </c>
      <c r="AD605" s="2" t="str">
        <f t="shared" si="304"/>
        <v/>
      </c>
      <c r="AE605" s="2" t="str">
        <f t="shared" si="305"/>
        <v/>
      </c>
      <c r="AF605" s="2" t="str">
        <f t="shared" si="306"/>
        <v/>
      </c>
    </row>
    <row r="606" spans="1:32" x14ac:dyDescent="0.2">
      <c r="A606" s="2" t="str">
        <f t="shared" si="307"/>
        <v/>
      </c>
      <c r="B606" s="2" t="str">
        <f t="shared" si="288"/>
        <v/>
      </c>
      <c r="C606" s="2" t="str">
        <f t="shared" si="289"/>
        <v/>
      </c>
      <c r="D606" s="2" t="str">
        <f t="shared" si="290"/>
        <v/>
      </c>
      <c r="E606" s="2" t="str">
        <f t="shared" si="291"/>
        <v/>
      </c>
      <c r="F606" s="2" t="str">
        <f t="shared" si="292"/>
        <v/>
      </c>
      <c r="G606" s="2" t="str">
        <f t="shared" si="293"/>
        <v/>
      </c>
      <c r="H606" s="2" t="str">
        <f t="shared" si="308"/>
        <v/>
      </c>
      <c r="I606" s="2" t="str">
        <f t="shared" si="309"/>
        <v/>
      </c>
      <c r="J606" s="2" t="str">
        <f t="shared" si="310"/>
        <v/>
      </c>
      <c r="K606" s="2" t="str">
        <f t="shared" si="294"/>
        <v/>
      </c>
      <c r="L606" s="2" t="str">
        <f t="shared" si="295"/>
        <v/>
      </c>
      <c r="M606" s="2" t="str">
        <f t="shared" si="296"/>
        <v/>
      </c>
      <c r="N606" s="2" t="str">
        <f t="shared" si="311"/>
        <v/>
      </c>
      <c r="O606" s="2" t="str">
        <f t="shared" si="312"/>
        <v/>
      </c>
      <c r="P606" s="2" t="str">
        <f t="shared" si="313"/>
        <v/>
      </c>
      <c r="Q606" s="2" t="str">
        <f t="shared" si="297"/>
        <v/>
      </c>
      <c r="R606" s="2" t="str">
        <f t="shared" si="298"/>
        <v/>
      </c>
      <c r="S606" s="2" t="str">
        <f t="shared" si="299"/>
        <v/>
      </c>
      <c r="T606" s="2" t="str">
        <f t="shared" si="314"/>
        <v/>
      </c>
      <c r="U606" s="2" t="str">
        <f t="shared" si="315"/>
        <v/>
      </c>
      <c r="V606" s="2" t="str">
        <f t="shared" si="316"/>
        <v/>
      </c>
      <c r="W606" s="2" t="str">
        <f t="shared" si="300"/>
        <v/>
      </c>
      <c r="X606" s="2" t="str">
        <f t="shared" si="301"/>
        <v/>
      </c>
      <c r="Y606" s="2" t="str">
        <f t="shared" si="302"/>
        <v/>
      </c>
      <c r="Z606" s="2" t="str">
        <f t="shared" si="317"/>
        <v/>
      </c>
      <c r="AA606" s="2" t="str">
        <f t="shared" si="318"/>
        <v/>
      </c>
      <c r="AB606" s="2" t="str">
        <f t="shared" si="319"/>
        <v/>
      </c>
      <c r="AC606" s="2" t="str">
        <f t="shared" si="303"/>
        <v/>
      </c>
      <c r="AD606" s="2" t="str">
        <f t="shared" si="304"/>
        <v/>
      </c>
      <c r="AE606" s="2" t="str">
        <f t="shared" si="305"/>
        <v/>
      </c>
      <c r="AF606" s="2" t="str">
        <f t="shared" si="306"/>
        <v/>
      </c>
    </row>
    <row r="607" spans="1:32" x14ac:dyDescent="0.2">
      <c r="A607" s="2" t="str">
        <f t="shared" si="307"/>
        <v/>
      </c>
      <c r="B607" s="2" t="str">
        <f t="shared" si="288"/>
        <v/>
      </c>
      <c r="C607" s="2" t="str">
        <f t="shared" si="289"/>
        <v/>
      </c>
      <c r="D607" s="2" t="str">
        <f t="shared" si="290"/>
        <v/>
      </c>
      <c r="E607" s="2" t="str">
        <f t="shared" si="291"/>
        <v/>
      </c>
      <c r="F607" s="2" t="str">
        <f t="shared" si="292"/>
        <v/>
      </c>
      <c r="G607" s="2" t="str">
        <f t="shared" si="293"/>
        <v/>
      </c>
      <c r="H607" s="2" t="str">
        <f t="shared" si="308"/>
        <v/>
      </c>
      <c r="I607" s="2" t="str">
        <f t="shared" si="309"/>
        <v/>
      </c>
      <c r="J607" s="2" t="str">
        <f t="shared" si="310"/>
        <v/>
      </c>
      <c r="K607" s="2" t="str">
        <f t="shared" si="294"/>
        <v/>
      </c>
      <c r="L607" s="2" t="str">
        <f t="shared" si="295"/>
        <v/>
      </c>
      <c r="M607" s="2" t="str">
        <f t="shared" si="296"/>
        <v/>
      </c>
      <c r="N607" s="2" t="str">
        <f t="shared" si="311"/>
        <v/>
      </c>
      <c r="O607" s="2" t="str">
        <f t="shared" si="312"/>
        <v/>
      </c>
      <c r="P607" s="2" t="str">
        <f t="shared" si="313"/>
        <v/>
      </c>
      <c r="Q607" s="2" t="str">
        <f t="shared" si="297"/>
        <v/>
      </c>
      <c r="R607" s="2" t="str">
        <f t="shared" si="298"/>
        <v/>
      </c>
      <c r="S607" s="2" t="str">
        <f t="shared" si="299"/>
        <v/>
      </c>
      <c r="T607" s="2" t="str">
        <f t="shared" si="314"/>
        <v/>
      </c>
      <c r="U607" s="2" t="str">
        <f t="shared" si="315"/>
        <v/>
      </c>
      <c r="V607" s="2" t="str">
        <f t="shared" si="316"/>
        <v/>
      </c>
      <c r="W607" s="2" t="str">
        <f t="shared" si="300"/>
        <v/>
      </c>
      <c r="X607" s="2" t="str">
        <f t="shared" si="301"/>
        <v/>
      </c>
      <c r="Y607" s="2" t="str">
        <f t="shared" si="302"/>
        <v/>
      </c>
      <c r="Z607" s="2" t="str">
        <f t="shared" si="317"/>
        <v/>
      </c>
      <c r="AA607" s="2" t="str">
        <f t="shared" si="318"/>
        <v/>
      </c>
      <c r="AB607" s="2" t="str">
        <f t="shared" si="319"/>
        <v/>
      </c>
      <c r="AC607" s="2" t="str">
        <f t="shared" si="303"/>
        <v/>
      </c>
      <c r="AD607" s="2" t="str">
        <f t="shared" si="304"/>
        <v/>
      </c>
      <c r="AE607" s="2" t="str">
        <f t="shared" si="305"/>
        <v/>
      </c>
      <c r="AF607" s="2" t="str">
        <f t="shared" si="306"/>
        <v/>
      </c>
    </row>
    <row r="608" spans="1:32" x14ac:dyDescent="0.2">
      <c r="A608" s="2" t="str">
        <f t="shared" si="307"/>
        <v/>
      </c>
      <c r="B608" s="2" t="str">
        <f t="shared" si="288"/>
        <v/>
      </c>
      <c r="C608" s="2" t="str">
        <f t="shared" si="289"/>
        <v/>
      </c>
      <c r="D608" s="2" t="str">
        <f t="shared" si="290"/>
        <v/>
      </c>
      <c r="E608" s="2" t="str">
        <f t="shared" si="291"/>
        <v/>
      </c>
      <c r="F608" s="2" t="str">
        <f t="shared" si="292"/>
        <v/>
      </c>
      <c r="G608" s="2" t="str">
        <f t="shared" si="293"/>
        <v/>
      </c>
      <c r="H608" s="2" t="str">
        <f t="shared" si="308"/>
        <v/>
      </c>
      <c r="I608" s="2" t="str">
        <f t="shared" si="309"/>
        <v/>
      </c>
      <c r="J608" s="2" t="str">
        <f t="shared" si="310"/>
        <v/>
      </c>
      <c r="K608" s="2" t="str">
        <f t="shared" si="294"/>
        <v/>
      </c>
      <c r="L608" s="2" t="str">
        <f t="shared" si="295"/>
        <v/>
      </c>
      <c r="M608" s="2" t="str">
        <f t="shared" si="296"/>
        <v/>
      </c>
      <c r="N608" s="2" t="str">
        <f t="shared" si="311"/>
        <v/>
      </c>
      <c r="O608" s="2" t="str">
        <f t="shared" si="312"/>
        <v/>
      </c>
      <c r="P608" s="2" t="str">
        <f t="shared" si="313"/>
        <v/>
      </c>
      <c r="Q608" s="2" t="str">
        <f t="shared" si="297"/>
        <v/>
      </c>
      <c r="R608" s="2" t="str">
        <f t="shared" si="298"/>
        <v/>
      </c>
      <c r="S608" s="2" t="str">
        <f t="shared" si="299"/>
        <v/>
      </c>
      <c r="T608" s="2" t="str">
        <f t="shared" si="314"/>
        <v/>
      </c>
      <c r="U608" s="2" t="str">
        <f t="shared" si="315"/>
        <v/>
      </c>
      <c r="V608" s="2" t="str">
        <f t="shared" si="316"/>
        <v/>
      </c>
      <c r="W608" s="2" t="str">
        <f t="shared" si="300"/>
        <v/>
      </c>
      <c r="X608" s="2" t="str">
        <f t="shared" si="301"/>
        <v/>
      </c>
      <c r="Y608" s="2" t="str">
        <f t="shared" si="302"/>
        <v/>
      </c>
      <c r="Z608" s="2" t="str">
        <f t="shared" si="317"/>
        <v/>
      </c>
      <c r="AA608" s="2" t="str">
        <f t="shared" si="318"/>
        <v/>
      </c>
      <c r="AB608" s="2" t="str">
        <f t="shared" si="319"/>
        <v/>
      </c>
      <c r="AC608" s="2" t="str">
        <f t="shared" si="303"/>
        <v/>
      </c>
      <c r="AD608" s="2" t="str">
        <f t="shared" si="304"/>
        <v/>
      </c>
      <c r="AE608" s="2" t="str">
        <f t="shared" si="305"/>
        <v/>
      </c>
      <c r="AF608" s="2" t="str">
        <f t="shared" si="306"/>
        <v/>
      </c>
    </row>
    <row r="609" spans="1:32" x14ac:dyDescent="0.2">
      <c r="A609" s="2" t="str">
        <f t="shared" si="307"/>
        <v/>
      </c>
      <c r="B609" s="2" t="str">
        <f t="shared" si="288"/>
        <v/>
      </c>
      <c r="C609" s="2" t="str">
        <f t="shared" si="289"/>
        <v/>
      </c>
      <c r="D609" s="2" t="str">
        <f t="shared" si="290"/>
        <v/>
      </c>
      <c r="E609" s="2" t="str">
        <f t="shared" si="291"/>
        <v/>
      </c>
      <c r="F609" s="2" t="str">
        <f t="shared" si="292"/>
        <v/>
      </c>
      <c r="G609" s="2" t="str">
        <f t="shared" si="293"/>
        <v/>
      </c>
      <c r="H609" s="2" t="str">
        <f t="shared" si="308"/>
        <v/>
      </c>
      <c r="I609" s="2" t="str">
        <f t="shared" si="309"/>
        <v/>
      </c>
      <c r="J609" s="2" t="str">
        <f t="shared" si="310"/>
        <v/>
      </c>
      <c r="K609" s="2" t="str">
        <f t="shared" si="294"/>
        <v/>
      </c>
      <c r="L609" s="2" t="str">
        <f t="shared" si="295"/>
        <v/>
      </c>
      <c r="M609" s="2" t="str">
        <f t="shared" si="296"/>
        <v/>
      </c>
      <c r="N609" s="2" t="str">
        <f t="shared" si="311"/>
        <v/>
      </c>
      <c r="O609" s="2" t="str">
        <f t="shared" si="312"/>
        <v/>
      </c>
      <c r="P609" s="2" t="str">
        <f t="shared" si="313"/>
        <v/>
      </c>
      <c r="Q609" s="2" t="str">
        <f t="shared" si="297"/>
        <v/>
      </c>
      <c r="R609" s="2" t="str">
        <f t="shared" si="298"/>
        <v/>
      </c>
      <c r="S609" s="2" t="str">
        <f t="shared" si="299"/>
        <v/>
      </c>
      <c r="T609" s="2" t="str">
        <f t="shared" si="314"/>
        <v/>
      </c>
      <c r="U609" s="2" t="str">
        <f t="shared" si="315"/>
        <v/>
      </c>
      <c r="V609" s="2" t="str">
        <f t="shared" si="316"/>
        <v/>
      </c>
      <c r="W609" s="2" t="str">
        <f t="shared" si="300"/>
        <v/>
      </c>
      <c r="X609" s="2" t="str">
        <f t="shared" si="301"/>
        <v/>
      </c>
      <c r="Y609" s="2" t="str">
        <f t="shared" si="302"/>
        <v/>
      </c>
      <c r="Z609" s="2" t="str">
        <f t="shared" si="317"/>
        <v/>
      </c>
      <c r="AA609" s="2" t="str">
        <f t="shared" si="318"/>
        <v/>
      </c>
      <c r="AB609" s="2" t="str">
        <f t="shared" si="319"/>
        <v/>
      </c>
      <c r="AC609" s="2" t="str">
        <f t="shared" si="303"/>
        <v/>
      </c>
      <c r="AD609" s="2" t="str">
        <f t="shared" si="304"/>
        <v/>
      </c>
      <c r="AE609" s="2" t="str">
        <f t="shared" si="305"/>
        <v/>
      </c>
      <c r="AF609" s="2" t="str">
        <f t="shared" si="306"/>
        <v/>
      </c>
    </row>
    <row r="610" spans="1:32" x14ac:dyDescent="0.2">
      <c r="A610" s="2" t="str">
        <f t="shared" si="307"/>
        <v/>
      </c>
      <c r="B610" s="2" t="str">
        <f t="shared" si="288"/>
        <v/>
      </c>
      <c r="C610" s="2" t="str">
        <f t="shared" si="289"/>
        <v/>
      </c>
      <c r="D610" s="2" t="str">
        <f t="shared" si="290"/>
        <v/>
      </c>
      <c r="E610" s="2" t="str">
        <f t="shared" si="291"/>
        <v/>
      </c>
      <c r="F610" s="2" t="str">
        <f t="shared" si="292"/>
        <v/>
      </c>
      <c r="G610" s="2" t="str">
        <f t="shared" si="293"/>
        <v/>
      </c>
      <c r="H610" s="2" t="str">
        <f t="shared" si="308"/>
        <v/>
      </c>
      <c r="I610" s="2" t="str">
        <f t="shared" si="309"/>
        <v/>
      </c>
      <c r="J610" s="2" t="str">
        <f t="shared" si="310"/>
        <v/>
      </c>
      <c r="K610" s="2" t="str">
        <f t="shared" si="294"/>
        <v/>
      </c>
      <c r="L610" s="2" t="str">
        <f t="shared" si="295"/>
        <v/>
      </c>
      <c r="M610" s="2" t="str">
        <f t="shared" si="296"/>
        <v/>
      </c>
      <c r="N610" s="2" t="str">
        <f t="shared" si="311"/>
        <v/>
      </c>
      <c r="O610" s="2" t="str">
        <f t="shared" si="312"/>
        <v/>
      </c>
      <c r="P610" s="2" t="str">
        <f t="shared" si="313"/>
        <v/>
      </c>
      <c r="Q610" s="2" t="str">
        <f t="shared" si="297"/>
        <v/>
      </c>
      <c r="R610" s="2" t="str">
        <f t="shared" si="298"/>
        <v/>
      </c>
      <c r="S610" s="2" t="str">
        <f t="shared" si="299"/>
        <v/>
      </c>
      <c r="T610" s="2" t="str">
        <f t="shared" si="314"/>
        <v/>
      </c>
      <c r="U610" s="2" t="str">
        <f t="shared" si="315"/>
        <v/>
      </c>
      <c r="V610" s="2" t="str">
        <f t="shared" si="316"/>
        <v/>
      </c>
      <c r="W610" s="2" t="str">
        <f t="shared" si="300"/>
        <v/>
      </c>
      <c r="X610" s="2" t="str">
        <f t="shared" si="301"/>
        <v/>
      </c>
      <c r="Y610" s="2" t="str">
        <f t="shared" si="302"/>
        <v/>
      </c>
      <c r="Z610" s="2" t="str">
        <f t="shared" si="317"/>
        <v/>
      </c>
      <c r="AA610" s="2" t="str">
        <f t="shared" si="318"/>
        <v/>
      </c>
      <c r="AB610" s="2" t="str">
        <f t="shared" si="319"/>
        <v/>
      </c>
      <c r="AC610" s="2" t="str">
        <f t="shared" si="303"/>
        <v/>
      </c>
      <c r="AD610" s="2" t="str">
        <f t="shared" si="304"/>
        <v/>
      </c>
      <c r="AE610" s="2" t="str">
        <f t="shared" si="305"/>
        <v/>
      </c>
      <c r="AF610" s="2" t="str">
        <f t="shared" si="306"/>
        <v/>
      </c>
    </row>
    <row r="611" spans="1:32" x14ac:dyDescent="0.2">
      <c r="A611" s="2" t="str">
        <f t="shared" si="307"/>
        <v/>
      </c>
      <c r="B611" s="2" t="str">
        <f t="shared" si="288"/>
        <v/>
      </c>
      <c r="C611" s="2" t="str">
        <f t="shared" si="289"/>
        <v/>
      </c>
      <c r="D611" s="2" t="str">
        <f t="shared" si="290"/>
        <v/>
      </c>
      <c r="E611" s="2" t="str">
        <f t="shared" si="291"/>
        <v/>
      </c>
      <c r="F611" s="2" t="str">
        <f t="shared" si="292"/>
        <v/>
      </c>
      <c r="G611" s="2" t="str">
        <f t="shared" si="293"/>
        <v/>
      </c>
      <c r="H611" s="2" t="str">
        <f t="shared" si="308"/>
        <v/>
      </c>
      <c r="I611" s="2" t="str">
        <f t="shared" si="309"/>
        <v/>
      </c>
      <c r="J611" s="2" t="str">
        <f t="shared" si="310"/>
        <v/>
      </c>
      <c r="K611" s="2" t="str">
        <f t="shared" si="294"/>
        <v/>
      </c>
      <c r="L611" s="2" t="str">
        <f t="shared" si="295"/>
        <v/>
      </c>
      <c r="M611" s="2" t="str">
        <f t="shared" si="296"/>
        <v/>
      </c>
      <c r="N611" s="2" t="str">
        <f t="shared" si="311"/>
        <v/>
      </c>
      <c r="O611" s="2" t="str">
        <f t="shared" si="312"/>
        <v/>
      </c>
      <c r="P611" s="2" t="str">
        <f t="shared" si="313"/>
        <v/>
      </c>
      <c r="Q611" s="2" t="str">
        <f t="shared" si="297"/>
        <v/>
      </c>
      <c r="R611" s="2" t="str">
        <f t="shared" si="298"/>
        <v/>
      </c>
      <c r="S611" s="2" t="str">
        <f t="shared" si="299"/>
        <v/>
      </c>
      <c r="T611" s="2" t="str">
        <f t="shared" si="314"/>
        <v/>
      </c>
      <c r="U611" s="2" t="str">
        <f t="shared" si="315"/>
        <v/>
      </c>
      <c r="V611" s="2" t="str">
        <f t="shared" si="316"/>
        <v/>
      </c>
      <c r="W611" s="2" t="str">
        <f t="shared" si="300"/>
        <v/>
      </c>
      <c r="X611" s="2" t="str">
        <f t="shared" si="301"/>
        <v/>
      </c>
      <c r="Y611" s="2" t="str">
        <f t="shared" si="302"/>
        <v/>
      </c>
      <c r="Z611" s="2" t="str">
        <f t="shared" si="317"/>
        <v/>
      </c>
      <c r="AA611" s="2" t="str">
        <f t="shared" si="318"/>
        <v/>
      </c>
      <c r="AB611" s="2" t="str">
        <f t="shared" si="319"/>
        <v/>
      </c>
      <c r="AC611" s="2" t="str">
        <f t="shared" si="303"/>
        <v/>
      </c>
      <c r="AD611" s="2" t="str">
        <f t="shared" si="304"/>
        <v/>
      </c>
      <c r="AE611" s="2" t="str">
        <f t="shared" si="305"/>
        <v/>
      </c>
      <c r="AF611" s="2" t="str">
        <f t="shared" si="306"/>
        <v/>
      </c>
    </row>
    <row r="612" spans="1:32" x14ac:dyDescent="0.2">
      <c r="A612" s="2" t="str">
        <f t="shared" si="307"/>
        <v/>
      </c>
      <c r="B612" s="2" t="str">
        <f t="shared" si="288"/>
        <v/>
      </c>
      <c r="C612" s="2" t="str">
        <f t="shared" si="289"/>
        <v/>
      </c>
      <c r="D612" s="2" t="str">
        <f t="shared" si="290"/>
        <v/>
      </c>
      <c r="E612" s="2" t="str">
        <f t="shared" si="291"/>
        <v/>
      </c>
      <c r="F612" s="2" t="str">
        <f t="shared" si="292"/>
        <v/>
      </c>
      <c r="G612" s="2" t="str">
        <f t="shared" si="293"/>
        <v/>
      </c>
      <c r="H612" s="2" t="str">
        <f t="shared" si="308"/>
        <v/>
      </c>
      <c r="I612" s="2" t="str">
        <f t="shared" si="309"/>
        <v/>
      </c>
      <c r="J612" s="2" t="str">
        <f t="shared" si="310"/>
        <v/>
      </c>
      <c r="K612" s="2" t="str">
        <f t="shared" si="294"/>
        <v/>
      </c>
      <c r="L612" s="2" t="str">
        <f t="shared" si="295"/>
        <v/>
      </c>
      <c r="M612" s="2" t="str">
        <f t="shared" si="296"/>
        <v/>
      </c>
      <c r="N612" s="2" t="str">
        <f t="shared" si="311"/>
        <v/>
      </c>
      <c r="O612" s="2" t="str">
        <f t="shared" si="312"/>
        <v/>
      </c>
      <c r="P612" s="2" t="str">
        <f t="shared" si="313"/>
        <v/>
      </c>
      <c r="Q612" s="2" t="str">
        <f t="shared" si="297"/>
        <v/>
      </c>
      <c r="R612" s="2" t="str">
        <f t="shared" si="298"/>
        <v/>
      </c>
      <c r="S612" s="2" t="str">
        <f t="shared" si="299"/>
        <v/>
      </c>
      <c r="T612" s="2" t="str">
        <f t="shared" si="314"/>
        <v/>
      </c>
      <c r="U612" s="2" t="str">
        <f t="shared" si="315"/>
        <v/>
      </c>
      <c r="V612" s="2" t="str">
        <f t="shared" si="316"/>
        <v/>
      </c>
      <c r="W612" s="2" t="str">
        <f t="shared" si="300"/>
        <v/>
      </c>
      <c r="X612" s="2" t="str">
        <f t="shared" si="301"/>
        <v/>
      </c>
      <c r="Y612" s="2" t="str">
        <f t="shared" si="302"/>
        <v/>
      </c>
      <c r="Z612" s="2" t="str">
        <f t="shared" si="317"/>
        <v/>
      </c>
      <c r="AA612" s="2" t="str">
        <f t="shared" si="318"/>
        <v/>
      </c>
      <c r="AB612" s="2" t="str">
        <f t="shared" si="319"/>
        <v/>
      </c>
      <c r="AC612" s="2" t="str">
        <f t="shared" si="303"/>
        <v/>
      </c>
      <c r="AD612" s="2" t="str">
        <f t="shared" si="304"/>
        <v/>
      </c>
      <c r="AE612" s="2" t="str">
        <f t="shared" si="305"/>
        <v/>
      </c>
      <c r="AF612" s="2" t="str">
        <f t="shared" si="306"/>
        <v/>
      </c>
    </row>
    <row r="613" spans="1:32" x14ac:dyDescent="0.2">
      <c r="A613" s="2" t="str">
        <f t="shared" si="307"/>
        <v/>
      </c>
      <c r="B613" s="2" t="str">
        <f t="shared" si="288"/>
        <v/>
      </c>
      <c r="C613" s="2" t="str">
        <f t="shared" si="289"/>
        <v/>
      </c>
      <c r="D613" s="2" t="str">
        <f t="shared" si="290"/>
        <v/>
      </c>
      <c r="E613" s="2" t="str">
        <f t="shared" si="291"/>
        <v/>
      </c>
      <c r="F613" s="2" t="str">
        <f t="shared" si="292"/>
        <v/>
      </c>
      <c r="G613" s="2" t="str">
        <f t="shared" si="293"/>
        <v/>
      </c>
      <c r="H613" s="2" t="str">
        <f t="shared" si="308"/>
        <v/>
      </c>
      <c r="I613" s="2" t="str">
        <f t="shared" si="309"/>
        <v/>
      </c>
      <c r="J613" s="2" t="str">
        <f t="shared" si="310"/>
        <v/>
      </c>
      <c r="K613" s="2" t="str">
        <f t="shared" si="294"/>
        <v/>
      </c>
      <c r="L613" s="2" t="str">
        <f t="shared" si="295"/>
        <v/>
      </c>
      <c r="M613" s="2" t="str">
        <f t="shared" si="296"/>
        <v/>
      </c>
      <c r="N613" s="2" t="str">
        <f t="shared" si="311"/>
        <v/>
      </c>
      <c r="O613" s="2" t="str">
        <f t="shared" si="312"/>
        <v/>
      </c>
      <c r="P613" s="2" t="str">
        <f t="shared" si="313"/>
        <v/>
      </c>
      <c r="Q613" s="2" t="str">
        <f t="shared" si="297"/>
        <v/>
      </c>
      <c r="R613" s="2" t="str">
        <f t="shared" si="298"/>
        <v/>
      </c>
      <c r="S613" s="2" t="str">
        <f t="shared" si="299"/>
        <v/>
      </c>
      <c r="T613" s="2" t="str">
        <f t="shared" si="314"/>
        <v/>
      </c>
      <c r="U613" s="2" t="str">
        <f t="shared" si="315"/>
        <v/>
      </c>
      <c r="V613" s="2" t="str">
        <f t="shared" si="316"/>
        <v/>
      </c>
      <c r="W613" s="2" t="str">
        <f t="shared" si="300"/>
        <v/>
      </c>
      <c r="X613" s="2" t="str">
        <f t="shared" si="301"/>
        <v/>
      </c>
      <c r="Y613" s="2" t="str">
        <f t="shared" si="302"/>
        <v/>
      </c>
      <c r="Z613" s="2" t="str">
        <f t="shared" si="317"/>
        <v/>
      </c>
      <c r="AA613" s="2" t="str">
        <f t="shared" si="318"/>
        <v/>
      </c>
      <c r="AB613" s="2" t="str">
        <f t="shared" si="319"/>
        <v/>
      </c>
      <c r="AC613" s="2" t="str">
        <f t="shared" si="303"/>
        <v/>
      </c>
      <c r="AD613" s="2" t="str">
        <f t="shared" si="304"/>
        <v/>
      </c>
      <c r="AE613" s="2" t="str">
        <f t="shared" si="305"/>
        <v/>
      </c>
      <c r="AF613" s="2" t="str">
        <f t="shared" si="306"/>
        <v/>
      </c>
    </row>
    <row r="614" spans="1:32" x14ac:dyDescent="0.2">
      <c r="A614" s="2" t="str">
        <f t="shared" si="307"/>
        <v/>
      </c>
      <c r="B614" s="2" t="str">
        <f t="shared" si="288"/>
        <v/>
      </c>
      <c r="C614" s="2" t="str">
        <f t="shared" si="289"/>
        <v/>
      </c>
      <c r="D614" s="2" t="str">
        <f t="shared" si="290"/>
        <v/>
      </c>
      <c r="E614" s="2" t="str">
        <f t="shared" si="291"/>
        <v/>
      </c>
      <c r="F614" s="2" t="str">
        <f t="shared" si="292"/>
        <v/>
      </c>
      <c r="G614" s="2" t="str">
        <f t="shared" si="293"/>
        <v/>
      </c>
      <c r="H614" s="2" t="str">
        <f t="shared" si="308"/>
        <v/>
      </c>
      <c r="I614" s="2" t="str">
        <f t="shared" si="309"/>
        <v/>
      </c>
      <c r="J614" s="2" t="str">
        <f t="shared" si="310"/>
        <v/>
      </c>
      <c r="K614" s="2" t="str">
        <f t="shared" si="294"/>
        <v/>
      </c>
      <c r="L614" s="2" t="str">
        <f t="shared" si="295"/>
        <v/>
      </c>
      <c r="M614" s="2" t="str">
        <f t="shared" si="296"/>
        <v/>
      </c>
      <c r="N614" s="2" t="str">
        <f t="shared" si="311"/>
        <v/>
      </c>
      <c r="O614" s="2" t="str">
        <f t="shared" si="312"/>
        <v/>
      </c>
      <c r="P614" s="2" t="str">
        <f t="shared" si="313"/>
        <v/>
      </c>
      <c r="Q614" s="2" t="str">
        <f t="shared" si="297"/>
        <v/>
      </c>
      <c r="R614" s="2" t="str">
        <f t="shared" si="298"/>
        <v/>
      </c>
      <c r="S614" s="2" t="str">
        <f t="shared" si="299"/>
        <v/>
      </c>
      <c r="T614" s="2" t="str">
        <f t="shared" si="314"/>
        <v/>
      </c>
      <c r="U614" s="2" t="str">
        <f t="shared" si="315"/>
        <v/>
      </c>
      <c r="V614" s="2" t="str">
        <f t="shared" si="316"/>
        <v/>
      </c>
      <c r="W614" s="2" t="str">
        <f t="shared" si="300"/>
        <v/>
      </c>
      <c r="X614" s="2" t="str">
        <f t="shared" si="301"/>
        <v/>
      </c>
      <c r="Y614" s="2" t="str">
        <f t="shared" si="302"/>
        <v/>
      </c>
      <c r="Z614" s="2" t="str">
        <f t="shared" si="317"/>
        <v/>
      </c>
      <c r="AA614" s="2" t="str">
        <f t="shared" si="318"/>
        <v/>
      </c>
      <c r="AB614" s="2" t="str">
        <f t="shared" si="319"/>
        <v/>
      </c>
      <c r="AC614" s="2" t="str">
        <f t="shared" si="303"/>
        <v/>
      </c>
      <c r="AD614" s="2" t="str">
        <f t="shared" si="304"/>
        <v/>
      </c>
      <c r="AE614" s="2" t="str">
        <f t="shared" si="305"/>
        <v/>
      </c>
      <c r="AF614" s="2" t="str">
        <f t="shared" si="306"/>
        <v/>
      </c>
    </row>
    <row r="615" spans="1:32" x14ac:dyDescent="0.2">
      <c r="A615" s="2" t="str">
        <f t="shared" si="307"/>
        <v/>
      </c>
      <c r="B615" s="2" t="str">
        <f t="shared" si="288"/>
        <v/>
      </c>
      <c r="C615" s="2" t="str">
        <f t="shared" si="289"/>
        <v/>
      </c>
      <c r="D615" s="2" t="str">
        <f t="shared" si="290"/>
        <v/>
      </c>
      <c r="E615" s="2" t="str">
        <f t="shared" si="291"/>
        <v/>
      </c>
      <c r="F615" s="2" t="str">
        <f t="shared" si="292"/>
        <v/>
      </c>
      <c r="G615" s="2" t="str">
        <f t="shared" si="293"/>
        <v/>
      </c>
      <c r="H615" s="2" t="str">
        <f t="shared" si="308"/>
        <v/>
      </c>
      <c r="I615" s="2" t="str">
        <f t="shared" si="309"/>
        <v/>
      </c>
      <c r="J615" s="2" t="str">
        <f t="shared" si="310"/>
        <v/>
      </c>
      <c r="K615" s="2" t="str">
        <f t="shared" si="294"/>
        <v/>
      </c>
      <c r="L615" s="2" t="str">
        <f t="shared" si="295"/>
        <v/>
      </c>
      <c r="M615" s="2" t="str">
        <f t="shared" si="296"/>
        <v/>
      </c>
      <c r="N615" s="2" t="str">
        <f t="shared" si="311"/>
        <v/>
      </c>
      <c r="O615" s="2" t="str">
        <f t="shared" si="312"/>
        <v/>
      </c>
      <c r="P615" s="2" t="str">
        <f t="shared" si="313"/>
        <v/>
      </c>
      <c r="Q615" s="2" t="str">
        <f t="shared" si="297"/>
        <v/>
      </c>
      <c r="R615" s="2" t="str">
        <f t="shared" si="298"/>
        <v/>
      </c>
      <c r="S615" s="2" t="str">
        <f t="shared" si="299"/>
        <v/>
      </c>
      <c r="T615" s="2" t="str">
        <f t="shared" si="314"/>
        <v/>
      </c>
      <c r="U615" s="2" t="str">
        <f t="shared" si="315"/>
        <v/>
      </c>
      <c r="V615" s="2" t="str">
        <f t="shared" si="316"/>
        <v/>
      </c>
      <c r="W615" s="2" t="str">
        <f t="shared" si="300"/>
        <v/>
      </c>
      <c r="X615" s="2" t="str">
        <f t="shared" si="301"/>
        <v/>
      </c>
      <c r="Y615" s="2" t="str">
        <f t="shared" si="302"/>
        <v/>
      </c>
      <c r="Z615" s="2" t="str">
        <f t="shared" si="317"/>
        <v/>
      </c>
      <c r="AA615" s="2" t="str">
        <f t="shared" si="318"/>
        <v/>
      </c>
      <c r="AB615" s="2" t="str">
        <f t="shared" si="319"/>
        <v/>
      </c>
      <c r="AC615" s="2" t="str">
        <f t="shared" si="303"/>
        <v/>
      </c>
      <c r="AD615" s="2" t="str">
        <f t="shared" si="304"/>
        <v/>
      </c>
      <c r="AE615" s="2" t="str">
        <f t="shared" si="305"/>
        <v/>
      </c>
      <c r="AF615" s="2" t="str">
        <f t="shared" si="306"/>
        <v/>
      </c>
    </row>
    <row r="616" spans="1:32" x14ac:dyDescent="0.2">
      <c r="A616" s="2" t="str">
        <f t="shared" si="307"/>
        <v/>
      </c>
      <c r="B616" s="2" t="str">
        <f t="shared" si="288"/>
        <v/>
      </c>
      <c r="C616" s="2" t="str">
        <f t="shared" si="289"/>
        <v/>
      </c>
      <c r="D616" s="2" t="str">
        <f t="shared" si="290"/>
        <v/>
      </c>
      <c r="E616" s="2" t="str">
        <f t="shared" si="291"/>
        <v/>
      </c>
      <c r="F616" s="2" t="str">
        <f t="shared" si="292"/>
        <v/>
      </c>
      <c r="G616" s="2" t="str">
        <f t="shared" si="293"/>
        <v/>
      </c>
      <c r="H616" s="2" t="str">
        <f t="shared" si="308"/>
        <v/>
      </c>
      <c r="I616" s="2" t="str">
        <f t="shared" si="309"/>
        <v/>
      </c>
      <c r="J616" s="2" t="str">
        <f t="shared" si="310"/>
        <v/>
      </c>
      <c r="K616" s="2" t="str">
        <f t="shared" si="294"/>
        <v/>
      </c>
      <c r="L616" s="2" t="str">
        <f t="shared" si="295"/>
        <v/>
      </c>
      <c r="M616" s="2" t="str">
        <f t="shared" si="296"/>
        <v/>
      </c>
      <c r="N616" s="2" t="str">
        <f t="shared" si="311"/>
        <v/>
      </c>
      <c r="O616" s="2" t="str">
        <f t="shared" si="312"/>
        <v/>
      </c>
      <c r="P616" s="2" t="str">
        <f t="shared" si="313"/>
        <v/>
      </c>
      <c r="Q616" s="2" t="str">
        <f t="shared" si="297"/>
        <v/>
      </c>
      <c r="R616" s="2" t="str">
        <f t="shared" si="298"/>
        <v/>
      </c>
      <c r="S616" s="2" t="str">
        <f t="shared" si="299"/>
        <v/>
      </c>
      <c r="T616" s="2" t="str">
        <f t="shared" si="314"/>
        <v/>
      </c>
      <c r="U616" s="2" t="str">
        <f t="shared" si="315"/>
        <v/>
      </c>
      <c r="V616" s="2" t="str">
        <f t="shared" si="316"/>
        <v/>
      </c>
      <c r="W616" s="2" t="str">
        <f t="shared" si="300"/>
        <v/>
      </c>
      <c r="X616" s="2" t="str">
        <f t="shared" si="301"/>
        <v/>
      </c>
      <c r="Y616" s="2" t="str">
        <f t="shared" si="302"/>
        <v/>
      </c>
      <c r="Z616" s="2" t="str">
        <f t="shared" si="317"/>
        <v/>
      </c>
      <c r="AA616" s="2" t="str">
        <f t="shared" si="318"/>
        <v/>
      </c>
      <c r="AB616" s="2" t="str">
        <f t="shared" si="319"/>
        <v/>
      </c>
      <c r="AC616" s="2" t="str">
        <f t="shared" si="303"/>
        <v/>
      </c>
      <c r="AD616" s="2" t="str">
        <f t="shared" si="304"/>
        <v/>
      </c>
      <c r="AE616" s="2" t="str">
        <f t="shared" si="305"/>
        <v/>
      </c>
      <c r="AF616" s="2" t="str">
        <f t="shared" si="306"/>
        <v/>
      </c>
    </row>
    <row r="617" spans="1:32" x14ac:dyDescent="0.2">
      <c r="A617" s="2" t="str">
        <f t="shared" si="307"/>
        <v/>
      </c>
      <c r="B617" s="2" t="str">
        <f t="shared" si="288"/>
        <v/>
      </c>
      <c r="C617" s="2" t="str">
        <f t="shared" si="289"/>
        <v/>
      </c>
      <c r="D617" s="2" t="str">
        <f t="shared" si="290"/>
        <v/>
      </c>
      <c r="E617" s="2" t="str">
        <f t="shared" si="291"/>
        <v/>
      </c>
      <c r="F617" s="2" t="str">
        <f t="shared" si="292"/>
        <v/>
      </c>
      <c r="G617" s="2" t="str">
        <f t="shared" si="293"/>
        <v/>
      </c>
      <c r="H617" s="2" t="str">
        <f t="shared" si="308"/>
        <v/>
      </c>
      <c r="I617" s="2" t="str">
        <f t="shared" si="309"/>
        <v/>
      </c>
      <c r="J617" s="2" t="str">
        <f t="shared" si="310"/>
        <v/>
      </c>
      <c r="K617" s="2" t="str">
        <f t="shared" si="294"/>
        <v/>
      </c>
      <c r="L617" s="2" t="str">
        <f t="shared" si="295"/>
        <v/>
      </c>
      <c r="M617" s="2" t="str">
        <f t="shared" si="296"/>
        <v/>
      </c>
      <c r="N617" s="2" t="str">
        <f t="shared" si="311"/>
        <v/>
      </c>
      <c r="O617" s="2" t="str">
        <f t="shared" si="312"/>
        <v/>
      </c>
      <c r="P617" s="2" t="str">
        <f t="shared" si="313"/>
        <v/>
      </c>
      <c r="Q617" s="2" t="str">
        <f t="shared" si="297"/>
        <v/>
      </c>
      <c r="R617" s="2" t="str">
        <f t="shared" si="298"/>
        <v/>
      </c>
      <c r="S617" s="2" t="str">
        <f t="shared" si="299"/>
        <v/>
      </c>
      <c r="T617" s="2" t="str">
        <f t="shared" si="314"/>
        <v/>
      </c>
      <c r="U617" s="2" t="str">
        <f t="shared" si="315"/>
        <v/>
      </c>
      <c r="V617" s="2" t="str">
        <f t="shared" si="316"/>
        <v/>
      </c>
      <c r="W617" s="2" t="str">
        <f t="shared" si="300"/>
        <v/>
      </c>
      <c r="X617" s="2" t="str">
        <f t="shared" si="301"/>
        <v/>
      </c>
      <c r="Y617" s="2" t="str">
        <f t="shared" si="302"/>
        <v/>
      </c>
      <c r="Z617" s="2" t="str">
        <f t="shared" si="317"/>
        <v/>
      </c>
      <c r="AA617" s="2" t="str">
        <f t="shared" si="318"/>
        <v/>
      </c>
      <c r="AB617" s="2" t="str">
        <f t="shared" si="319"/>
        <v/>
      </c>
      <c r="AC617" s="2" t="str">
        <f t="shared" si="303"/>
        <v/>
      </c>
      <c r="AD617" s="2" t="str">
        <f t="shared" si="304"/>
        <v/>
      </c>
      <c r="AE617" s="2" t="str">
        <f t="shared" si="305"/>
        <v/>
      </c>
      <c r="AF617" s="2" t="str">
        <f t="shared" si="306"/>
        <v/>
      </c>
    </row>
    <row r="618" spans="1:32" x14ac:dyDescent="0.2">
      <c r="A618" s="2" t="str">
        <f t="shared" si="307"/>
        <v/>
      </c>
      <c r="B618" s="2" t="str">
        <f t="shared" si="288"/>
        <v/>
      </c>
      <c r="C618" s="2" t="str">
        <f t="shared" si="289"/>
        <v/>
      </c>
      <c r="D618" s="2" t="str">
        <f t="shared" si="290"/>
        <v/>
      </c>
      <c r="E618" s="2" t="str">
        <f t="shared" si="291"/>
        <v/>
      </c>
      <c r="F618" s="2" t="str">
        <f t="shared" si="292"/>
        <v/>
      </c>
      <c r="G618" s="2" t="str">
        <f t="shared" si="293"/>
        <v/>
      </c>
      <c r="H618" s="2" t="str">
        <f t="shared" si="308"/>
        <v/>
      </c>
      <c r="I618" s="2" t="str">
        <f t="shared" si="309"/>
        <v/>
      </c>
      <c r="J618" s="2" t="str">
        <f t="shared" si="310"/>
        <v/>
      </c>
      <c r="K618" s="2" t="str">
        <f t="shared" si="294"/>
        <v/>
      </c>
      <c r="L618" s="2" t="str">
        <f t="shared" si="295"/>
        <v/>
      </c>
      <c r="M618" s="2" t="str">
        <f t="shared" si="296"/>
        <v/>
      </c>
      <c r="N618" s="2" t="str">
        <f t="shared" si="311"/>
        <v/>
      </c>
      <c r="O618" s="2" t="str">
        <f t="shared" si="312"/>
        <v/>
      </c>
      <c r="P618" s="2" t="str">
        <f t="shared" si="313"/>
        <v/>
      </c>
      <c r="Q618" s="2" t="str">
        <f t="shared" si="297"/>
        <v/>
      </c>
      <c r="R618" s="2" t="str">
        <f t="shared" si="298"/>
        <v/>
      </c>
      <c r="S618" s="2" t="str">
        <f t="shared" si="299"/>
        <v/>
      </c>
      <c r="T618" s="2" t="str">
        <f t="shared" si="314"/>
        <v/>
      </c>
      <c r="U618" s="2" t="str">
        <f t="shared" si="315"/>
        <v/>
      </c>
      <c r="V618" s="2" t="str">
        <f t="shared" si="316"/>
        <v/>
      </c>
      <c r="W618" s="2" t="str">
        <f t="shared" si="300"/>
        <v/>
      </c>
      <c r="X618" s="2" t="str">
        <f t="shared" si="301"/>
        <v/>
      </c>
      <c r="Y618" s="2" t="str">
        <f t="shared" si="302"/>
        <v/>
      </c>
      <c r="Z618" s="2" t="str">
        <f t="shared" si="317"/>
        <v/>
      </c>
      <c r="AA618" s="2" t="str">
        <f t="shared" si="318"/>
        <v/>
      </c>
      <c r="AB618" s="2" t="str">
        <f t="shared" si="319"/>
        <v/>
      </c>
      <c r="AC618" s="2" t="str">
        <f t="shared" si="303"/>
        <v/>
      </c>
      <c r="AD618" s="2" t="str">
        <f t="shared" si="304"/>
        <v/>
      </c>
      <c r="AE618" s="2" t="str">
        <f t="shared" si="305"/>
        <v/>
      </c>
      <c r="AF618" s="2" t="str">
        <f t="shared" si="306"/>
        <v/>
      </c>
    </row>
    <row r="619" spans="1:32" x14ac:dyDescent="0.2">
      <c r="A619" s="2" t="str">
        <f t="shared" si="307"/>
        <v/>
      </c>
      <c r="B619" s="2" t="str">
        <f t="shared" si="288"/>
        <v/>
      </c>
      <c r="C619" s="2" t="str">
        <f t="shared" si="289"/>
        <v/>
      </c>
      <c r="D619" s="2" t="str">
        <f t="shared" si="290"/>
        <v/>
      </c>
      <c r="E619" s="2" t="str">
        <f t="shared" si="291"/>
        <v/>
      </c>
      <c r="F619" s="2" t="str">
        <f t="shared" si="292"/>
        <v/>
      </c>
      <c r="G619" s="2" t="str">
        <f t="shared" si="293"/>
        <v/>
      </c>
      <c r="H619" s="2" t="str">
        <f t="shared" si="308"/>
        <v/>
      </c>
      <c r="I619" s="2" t="str">
        <f t="shared" si="309"/>
        <v/>
      </c>
      <c r="J619" s="2" t="str">
        <f t="shared" si="310"/>
        <v/>
      </c>
      <c r="K619" s="2" t="str">
        <f t="shared" si="294"/>
        <v/>
      </c>
      <c r="L619" s="2" t="str">
        <f t="shared" si="295"/>
        <v/>
      </c>
      <c r="M619" s="2" t="str">
        <f t="shared" si="296"/>
        <v/>
      </c>
      <c r="N619" s="2" t="str">
        <f t="shared" si="311"/>
        <v/>
      </c>
      <c r="O619" s="2" t="str">
        <f t="shared" si="312"/>
        <v/>
      </c>
      <c r="P619" s="2" t="str">
        <f t="shared" si="313"/>
        <v/>
      </c>
      <c r="Q619" s="2" t="str">
        <f t="shared" si="297"/>
        <v/>
      </c>
      <c r="R619" s="2" t="str">
        <f t="shared" si="298"/>
        <v/>
      </c>
      <c r="S619" s="2" t="str">
        <f t="shared" si="299"/>
        <v/>
      </c>
      <c r="T619" s="2" t="str">
        <f t="shared" si="314"/>
        <v/>
      </c>
      <c r="U619" s="2" t="str">
        <f t="shared" si="315"/>
        <v/>
      </c>
      <c r="V619" s="2" t="str">
        <f t="shared" si="316"/>
        <v/>
      </c>
      <c r="W619" s="2" t="str">
        <f t="shared" si="300"/>
        <v/>
      </c>
      <c r="X619" s="2" t="str">
        <f t="shared" si="301"/>
        <v/>
      </c>
      <c r="Y619" s="2" t="str">
        <f t="shared" si="302"/>
        <v/>
      </c>
      <c r="Z619" s="2" t="str">
        <f t="shared" si="317"/>
        <v/>
      </c>
      <c r="AA619" s="2" t="str">
        <f t="shared" si="318"/>
        <v/>
      </c>
      <c r="AB619" s="2" t="str">
        <f t="shared" si="319"/>
        <v/>
      </c>
      <c r="AC619" s="2" t="str">
        <f t="shared" si="303"/>
        <v/>
      </c>
      <c r="AD619" s="2" t="str">
        <f t="shared" si="304"/>
        <v/>
      </c>
      <c r="AE619" s="2" t="str">
        <f t="shared" si="305"/>
        <v/>
      </c>
      <c r="AF619" s="2" t="str">
        <f t="shared" si="306"/>
        <v/>
      </c>
    </row>
    <row r="620" spans="1:32" x14ac:dyDescent="0.2">
      <c r="A620" s="2" t="str">
        <f t="shared" si="307"/>
        <v/>
      </c>
      <c r="B620" s="2" t="str">
        <f t="shared" si="288"/>
        <v/>
      </c>
      <c r="C620" s="2" t="str">
        <f t="shared" si="289"/>
        <v/>
      </c>
      <c r="D620" s="2" t="str">
        <f t="shared" si="290"/>
        <v/>
      </c>
      <c r="E620" s="2" t="str">
        <f t="shared" si="291"/>
        <v/>
      </c>
      <c r="F620" s="2" t="str">
        <f t="shared" si="292"/>
        <v/>
      </c>
      <c r="G620" s="2" t="str">
        <f t="shared" si="293"/>
        <v/>
      </c>
      <c r="H620" s="2" t="str">
        <f t="shared" si="308"/>
        <v/>
      </c>
      <c r="I620" s="2" t="str">
        <f t="shared" si="309"/>
        <v/>
      </c>
      <c r="J620" s="2" t="str">
        <f t="shared" si="310"/>
        <v/>
      </c>
      <c r="K620" s="2" t="str">
        <f t="shared" si="294"/>
        <v/>
      </c>
      <c r="L620" s="2" t="str">
        <f t="shared" si="295"/>
        <v/>
      </c>
      <c r="M620" s="2" t="str">
        <f t="shared" si="296"/>
        <v/>
      </c>
      <c r="N620" s="2" t="str">
        <f t="shared" si="311"/>
        <v/>
      </c>
      <c r="O620" s="2" t="str">
        <f t="shared" si="312"/>
        <v/>
      </c>
      <c r="P620" s="2" t="str">
        <f t="shared" si="313"/>
        <v/>
      </c>
      <c r="Q620" s="2" t="str">
        <f t="shared" si="297"/>
        <v/>
      </c>
      <c r="R620" s="2" t="str">
        <f t="shared" si="298"/>
        <v/>
      </c>
      <c r="S620" s="2" t="str">
        <f t="shared" si="299"/>
        <v/>
      </c>
      <c r="T620" s="2" t="str">
        <f t="shared" si="314"/>
        <v/>
      </c>
      <c r="U620" s="2" t="str">
        <f t="shared" si="315"/>
        <v/>
      </c>
      <c r="V620" s="2" t="str">
        <f t="shared" si="316"/>
        <v/>
      </c>
      <c r="W620" s="2" t="str">
        <f t="shared" si="300"/>
        <v/>
      </c>
      <c r="X620" s="2" t="str">
        <f t="shared" si="301"/>
        <v/>
      </c>
      <c r="Y620" s="2" t="str">
        <f t="shared" si="302"/>
        <v/>
      </c>
      <c r="Z620" s="2" t="str">
        <f t="shared" si="317"/>
        <v/>
      </c>
      <c r="AA620" s="2" t="str">
        <f t="shared" si="318"/>
        <v/>
      </c>
      <c r="AB620" s="2" t="str">
        <f t="shared" si="319"/>
        <v/>
      </c>
      <c r="AC620" s="2" t="str">
        <f t="shared" si="303"/>
        <v/>
      </c>
      <c r="AD620" s="2" t="str">
        <f t="shared" si="304"/>
        <v/>
      </c>
      <c r="AE620" s="2" t="str">
        <f t="shared" si="305"/>
        <v/>
      </c>
      <c r="AF620" s="2" t="str">
        <f t="shared" si="306"/>
        <v/>
      </c>
    </row>
    <row r="621" spans="1:32" x14ac:dyDescent="0.2">
      <c r="A621" s="2" t="str">
        <f t="shared" si="307"/>
        <v/>
      </c>
      <c r="B621" s="2" t="str">
        <f t="shared" si="288"/>
        <v/>
      </c>
      <c r="C621" s="2" t="str">
        <f t="shared" si="289"/>
        <v/>
      </c>
      <c r="D621" s="2" t="str">
        <f t="shared" si="290"/>
        <v/>
      </c>
      <c r="E621" s="2" t="str">
        <f t="shared" si="291"/>
        <v/>
      </c>
      <c r="F621" s="2" t="str">
        <f t="shared" si="292"/>
        <v/>
      </c>
      <c r="G621" s="2" t="str">
        <f t="shared" si="293"/>
        <v/>
      </c>
      <c r="H621" s="2" t="str">
        <f t="shared" si="308"/>
        <v/>
      </c>
      <c r="I621" s="2" t="str">
        <f t="shared" si="309"/>
        <v/>
      </c>
      <c r="J621" s="2" t="str">
        <f t="shared" si="310"/>
        <v/>
      </c>
      <c r="K621" s="2" t="str">
        <f t="shared" si="294"/>
        <v/>
      </c>
      <c r="L621" s="2" t="str">
        <f t="shared" si="295"/>
        <v/>
      </c>
      <c r="M621" s="2" t="str">
        <f t="shared" si="296"/>
        <v/>
      </c>
      <c r="N621" s="2" t="str">
        <f t="shared" si="311"/>
        <v/>
      </c>
      <c r="O621" s="2" t="str">
        <f t="shared" si="312"/>
        <v/>
      </c>
      <c r="P621" s="2" t="str">
        <f t="shared" si="313"/>
        <v/>
      </c>
      <c r="Q621" s="2" t="str">
        <f t="shared" si="297"/>
        <v/>
      </c>
      <c r="R621" s="2" t="str">
        <f t="shared" si="298"/>
        <v/>
      </c>
      <c r="S621" s="2" t="str">
        <f t="shared" si="299"/>
        <v/>
      </c>
      <c r="T621" s="2" t="str">
        <f t="shared" si="314"/>
        <v/>
      </c>
      <c r="U621" s="2" t="str">
        <f t="shared" si="315"/>
        <v/>
      </c>
      <c r="V621" s="2" t="str">
        <f t="shared" si="316"/>
        <v/>
      </c>
      <c r="W621" s="2" t="str">
        <f t="shared" si="300"/>
        <v/>
      </c>
      <c r="X621" s="2" t="str">
        <f t="shared" si="301"/>
        <v/>
      </c>
      <c r="Y621" s="2" t="str">
        <f t="shared" si="302"/>
        <v/>
      </c>
      <c r="Z621" s="2" t="str">
        <f t="shared" si="317"/>
        <v/>
      </c>
      <c r="AA621" s="2" t="str">
        <f t="shared" si="318"/>
        <v/>
      </c>
      <c r="AB621" s="2" t="str">
        <f t="shared" si="319"/>
        <v/>
      </c>
      <c r="AC621" s="2" t="str">
        <f t="shared" si="303"/>
        <v/>
      </c>
      <c r="AD621" s="2" t="str">
        <f t="shared" si="304"/>
        <v/>
      </c>
      <c r="AE621" s="2" t="str">
        <f t="shared" si="305"/>
        <v/>
      </c>
      <c r="AF621" s="2" t="str">
        <f t="shared" si="306"/>
        <v/>
      </c>
    </row>
    <row r="622" spans="1:32" x14ac:dyDescent="0.2">
      <c r="A622" s="2" t="str">
        <f t="shared" si="307"/>
        <v/>
      </c>
      <c r="B622" s="2" t="str">
        <f t="shared" si="288"/>
        <v/>
      </c>
      <c r="C622" s="2" t="str">
        <f t="shared" si="289"/>
        <v/>
      </c>
      <c r="D622" s="2" t="str">
        <f t="shared" si="290"/>
        <v/>
      </c>
      <c r="E622" s="2" t="str">
        <f t="shared" si="291"/>
        <v/>
      </c>
      <c r="F622" s="2" t="str">
        <f t="shared" si="292"/>
        <v/>
      </c>
      <c r="G622" s="2" t="str">
        <f t="shared" si="293"/>
        <v/>
      </c>
      <c r="H622" s="2" t="str">
        <f t="shared" si="308"/>
        <v/>
      </c>
      <c r="I622" s="2" t="str">
        <f t="shared" si="309"/>
        <v/>
      </c>
      <c r="J622" s="2" t="str">
        <f t="shared" si="310"/>
        <v/>
      </c>
      <c r="K622" s="2" t="str">
        <f t="shared" si="294"/>
        <v/>
      </c>
      <c r="L622" s="2" t="str">
        <f t="shared" si="295"/>
        <v/>
      </c>
      <c r="M622" s="2" t="str">
        <f t="shared" si="296"/>
        <v/>
      </c>
      <c r="N622" s="2" t="str">
        <f t="shared" si="311"/>
        <v/>
      </c>
      <c r="O622" s="2" t="str">
        <f t="shared" si="312"/>
        <v/>
      </c>
      <c r="P622" s="2" t="str">
        <f t="shared" si="313"/>
        <v/>
      </c>
      <c r="Q622" s="2" t="str">
        <f t="shared" si="297"/>
        <v/>
      </c>
      <c r="R622" s="2" t="str">
        <f t="shared" si="298"/>
        <v/>
      </c>
      <c r="S622" s="2" t="str">
        <f t="shared" si="299"/>
        <v/>
      </c>
      <c r="T622" s="2" t="str">
        <f t="shared" si="314"/>
        <v/>
      </c>
      <c r="U622" s="2" t="str">
        <f t="shared" si="315"/>
        <v/>
      </c>
      <c r="V622" s="2" t="str">
        <f t="shared" si="316"/>
        <v/>
      </c>
      <c r="W622" s="2" t="str">
        <f t="shared" si="300"/>
        <v/>
      </c>
      <c r="X622" s="2" t="str">
        <f t="shared" si="301"/>
        <v/>
      </c>
      <c r="Y622" s="2" t="str">
        <f t="shared" si="302"/>
        <v/>
      </c>
      <c r="Z622" s="2" t="str">
        <f t="shared" si="317"/>
        <v/>
      </c>
      <c r="AA622" s="2" t="str">
        <f t="shared" si="318"/>
        <v/>
      </c>
      <c r="AB622" s="2" t="str">
        <f t="shared" si="319"/>
        <v/>
      </c>
      <c r="AC622" s="2" t="str">
        <f t="shared" si="303"/>
        <v/>
      </c>
      <c r="AD622" s="2" t="str">
        <f t="shared" si="304"/>
        <v/>
      </c>
      <c r="AE622" s="2" t="str">
        <f t="shared" si="305"/>
        <v/>
      </c>
      <c r="AF622" s="2" t="str">
        <f t="shared" si="306"/>
        <v/>
      </c>
    </row>
    <row r="623" spans="1:32" x14ac:dyDescent="0.2">
      <c r="A623" s="2" t="str">
        <f t="shared" si="307"/>
        <v/>
      </c>
      <c r="B623" s="2" t="str">
        <f t="shared" si="288"/>
        <v/>
      </c>
      <c r="C623" s="2" t="str">
        <f t="shared" si="289"/>
        <v/>
      </c>
      <c r="D623" s="2" t="str">
        <f t="shared" si="290"/>
        <v/>
      </c>
      <c r="E623" s="2" t="str">
        <f t="shared" si="291"/>
        <v/>
      </c>
      <c r="F623" s="2" t="str">
        <f t="shared" si="292"/>
        <v/>
      </c>
      <c r="G623" s="2" t="str">
        <f t="shared" si="293"/>
        <v/>
      </c>
      <c r="H623" s="2" t="str">
        <f t="shared" si="308"/>
        <v/>
      </c>
      <c r="I623" s="2" t="str">
        <f t="shared" si="309"/>
        <v/>
      </c>
      <c r="J623" s="2" t="str">
        <f t="shared" si="310"/>
        <v/>
      </c>
      <c r="K623" s="2" t="str">
        <f t="shared" si="294"/>
        <v/>
      </c>
      <c r="L623" s="2" t="str">
        <f t="shared" si="295"/>
        <v/>
      </c>
      <c r="M623" s="2" t="str">
        <f t="shared" si="296"/>
        <v/>
      </c>
      <c r="N623" s="2" t="str">
        <f t="shared" si="311"/>
        <v/>
      </c>
      <c r="O623" s="2" t="str">
        <f t="shared" si="312"/>
        <v/>
      </c>
      <c r="P623" s="2" t="str">
        <f t="shared" si="313"/>
        <v/>
      </c>
      <c r="Q623" s="2" t="str">
        <f t="shared" si="297"/>
        <v/>
      </c>
      <c r="R623" s="2" t="str">
        <f t="shared" si="298"/>
        <v/>
      </c>
      <c r="S623" s="2" t="str">
        <f t="shared" si="299"/>
        <v/>
      </c>
      <c r="T623" s="2" t="str">
        <f t="shared" si="314"/>
        <v/>
      </c>
      <c r="U623" s="2" t="str">
        <f t="shared" si="315"/>
        <v/>
      </c>
      <c r="V623" s="2" t="str">
        <f t="shared" si="316"/>
        <v/>
      </c>
      <c r="W623" s="2" t="str">
        <f t="shared" si="300"/>
        <v/>
      </c>
      <c r="X623" s="2" t="str">
        <f t="shared" si="301"/>
        <v/>
      </c>
      <c r="Y623" s="2" t="str">
        <f t="shared" si="302"/>
        <v/>
      </c>
      <c r="Z623" s="2" t="str">
        <f t="shared" si="317"/>
        <v/>
      </c>
      <c r="AA623" s="2" t="str">
        <f t="shared" si="318"/>
        <v/>
      </c>
      <c r="AB623" s="2" t="str">
        <f t="shared" si="319"/>
        <v/>
      </c>
      <c r="AC623" s="2" t="str">
        <f t="shared" si="303"/>
        <v/>
      </c>
      <c r="AD623" s="2" t="str">
        <f t="shared" si="304"/>
        <v/>
      </c>
      <c r="AE623" s="2" t="str">
        <f t="shared" si="305"/>
        <v/>
      </c>
      <c r="AF623" s="2" t="str">
        <f t="shared" si="306"/>
        <v/>
      </c>
    </row>
    <row r="624" spans="1:32" x14ac:dyDescent="0.2">
      <c r="A624" s="2" t="str">
        <f t="shared" si="307"/>
        <v/>
      </c>
      <c r="B624" s="2" t="str">
        <f t="shared" si="288"/>
        <v/>
      </c>
      <c r="C624" s="2" t="str">
        <f t="shared" si="289"/>
        <v/>
      </c>
      <c r="D624" s="2" t="str">
        <f t="shared" si="290"/>
        <v/>
      </c>
      <c r="E624" s="2" t="str">
        <f t="shared" si="291"/>
        <v/>
      </c>
      <c r="F624" s="2" t="str">
        <f t="shared" si="292"/>
        <v/>
      </c>
      <c r="G624" s="2" t="str">
        <f t="shared" si="293"/>
        <v/>
      </c>
      <c r="H624" s="2" t="str">
        <f t="shared" si="308"/>
        <v/>
      </c>
      <c r="I624" s="2" t="str">
        <f t="shared" si="309"/>
        <v/>
      </c>
      <c r="J624" s="2" t="str">
        <f t="shared" si="310"/>
        <v/>
      </c>
      <c r="K624" s="2" t="str">
        <f t="shared" si="294"/>
        <v/>
      </c>
      <c r="L624" s="2" t="str">
        <f t="shared" si="295"/>
        <v/>
      </c>
      <c r="M624" s="2" t="str">
        <f t="shared" si="296"/>
        <v/>
      </c>
      <c r="N624" s="2" t="str">
        <f t="shared" si="311"/>
        <v/>
      </c>
      <c r="O624" s="2" t="str">
        <f t="shared" si="312"/>
        <v/>
      </c>
      <c r="P624" s="2" t="str">
        <f t="shared" si="313"/>
        <v/>
      </c>
      <c r="Q624" s="2" t="str">
        <f t="shared" si="297"/>
        <v/>
      </c>
      <c r="R624" s="2" t="str">
        <f t="shared" si="298"/>
        <v/>
      </c>
      <c r="S624" s="2" t="str">
        <f t="shared" si="299"/>
        <v/>
      </c>
      <c r="T624" s="2" t="str">
        <f t="shared" si="314"/>
        <v/>
      </c>
      <c r="U624" s="2" t="str">
        <f t="shared" si="315"/>
        <v/>
      </c>
      <c r="V624" s="2" t="str">
        <f t="shared" si="316"/>
        <v/>
      </c>
      <c r="W624" s="2" t="str">
        <f t="shared" si="300"/>
        <v/>
      </c>
      <c r="X624" s="2" t="str">
        <f t="shared" si="301"/>
        <v/>
      </c>
      <c r="Y624" s="2" t="str">
        <f t="shared" si="302"/>
        <v/>
      </c>
      <c r="Z624" s="2" t="str">
        <f t="shared" si="317"/>
        <v/>
      </c>
      <c r="AA624" s="2" t="str">
        <f t="shared" si="318"/>
        <v/>
      </c>
      <c r="AB624" s="2" t="str">
        <f t="shared" si="319"/>
        <v/>
      </c>
      <c r="AC624" s="2" t="str">
        <f t="shared" si="303"/>
        <v/>
      </c>
      <c r="AD624" s="2" t="str">
        <f t="shared" si="304"/>
        <v/>
      </c>
      <c r="AE624" s="2" t="str">
        <f t="shared" si="305"/>
        <v/>
      </c>
      <c r="AF624" s="2" t="str">
        <f t="shared" si="306"/>
        <v/>
      </c>
    </row>
    <row r="625" spans="1:32" x14ac:dyDescent="0.2">
      <c r="A625" s="2" t="str">
        <f t="shared" si="307"/>
        <v/>
      </c>
      <c r="B625" s="2" t="str">
        <f t="shared" si="288"/>
        <v/>
      </c>
      <c r="C625" s="2" t="str">
        <f t="shared" si="289"/>
        <v/>
      </c>
      <c r="D625" s="2" t="str">
        <f t="shared" si="290"/>
        <v/>
      </c>
      <c r="E625" s="2" t="str">
        <f t="shared" si="291"/>
        <v/>
      </c>
      <c r="F625" s="2" t="str">
        <f t="shared" si="292"/>
        <v/>
      </c>
      <c r="G625" s="2" t="str">
        <f t="shared" si="293"/>
        <v/>
      </c>
      <c r="H625" s="2" t="str">
        <f t="shared" si="308"/>
        <v/>
      </c>
      <c r="I625" s="2" t="str">
        <f t="shared" si="309"/>
        <v/>
      </c>
      <c r="J625" s="2" t="str">
        <f t="shared" si="310"/>
        <v/>
      </c>
      <c r="K625" s="2" t="str">
        <f t="shared" si="294"/>
        <v/>
      </c>
      <c r="L625" s="2" t="str">
        <f t="shared" si="295"/>
        <v/>
      </c>
      <c r="M625" s="2" t="str">
        <f t="shared" si="296"/>
        <v/>
      </c>
      <c r="N625" s="2" t="str">
        <f t="shared" si="311"/>
        <v/>
      </c>
      <c r="O625" s="2" t="str">
        <f t="shared" si="312"/>
        <v/>
      </c>
      <c r="P625" s="2" t="str">
        <f t="shared" si="313"/>
        <v/>
      </c>
      <c r="Q625" s="2" t="str">
        <f t="shared" si="297"/>
        <v/>
      </c>
      <c r="R625" s="2" t="str">
        <f t="shared" si="298"/>
        <v/>
      </c>
      <c r="S625" s="2" t="str">
        <f t="shared" si="299"/>
        <v/>
      </c>
      <c r="T625" s="2" t="str">
        <f t="shared" si="314"/>
        <v/>
      </c>
      <c r="U625" s="2" t="str">
        <f t="shared" si="315"/>
        <v/>
      </c>
      <c r="V625" s="2" t="str">
        <f t="shared" si="316"/>
        <v/>
      </c>
      <c r="W625" s="2" t="str">
        <f t="shared" si="300"/>
        <v/>
      </c>
      <c r="X625" s="2" t="str">
        <f t="shared" si="301"/>
        <v/>
      </c>
      <c r="Y625" s="2" t="str">
        <f t="shared" si="302"/>
        <v/>
      </c>
      <c r="Z625" s="2" t="str">
        <f t="shared" si="317"/>
        <v/>
      </c>
      <c r="AA625" s="2" t="str">
        <f t="shared" si="318"/>
        <v/>
      </c>
      <c r="AB625" s="2" t="str">
        <f t="shared" si="319"/>
        <v/>
      </c>
      <c r="AC625" s="2" t="str">
        <f t="shared" si="303"/>
        <v/>
      </c>
      <c r="AD625" s="2" t="str">
        <f t="shared" si="304"/>
        <v/>
      </c>
      <c r="AE625" s="2" t="str">
        <f t="shared" si="305"/>
        <v/>
      </c>
      <c r="AF625" s="2" t="str">
        <f t="shared" si="306"/>
        <v/>
      </c>
    </row>
    <row r="626" spans="1:32" x14ac:dyDescent="0.2">
      <c r="A626" s="2" t="str">
        <f t="shared" si="307"/>
        <v/>
      </c>
      <c r="B626" s="2" t="str">
        <f t="shared" si="288"/>
        <v/>
      </c>
      <c r="C626" s="2" t="str">
        <f t="shared" si="289"/>
        <v/>
      </c>
      <c r="D626" s="2" t="str">
        <f t="shared" si="290"/>
        <v/>
      </c>
      <c r="E626" s="2" t="str">
        <f t="shared" si="291"/>
        <v/>
      </c>
      <c r="F626" s="2" t="str">
        <f t="shared" si="292"/>
        <v/>
      </c>
      <c r="G626" s="2" t="str">
        <f t="shared" si="293"/>
        <v/>
      </c>
      <c r="H626" s="2" t="str">
        <f t="shared" si="308"/>
        <v/>
      </c>
      <c r="I626" s="2" t="str">
        <f t="shared" si="309"/>
        <v/>
      </c>
      <c r="J626" s="2" t="str">
        <f t="shared" si="310"/>
        <v/>
      </c>
      <c r="K626" s="2" t="str">
        <f t="shared" si="294"/>
        <v/>
      </c>
      <c r="L626" s="2" t="str">
        <f t="shared" si="295"/>
        <v/>
      </c>
      <c r="M626" s="2" t="str">
        <f t="shared" si="296"/>
        <v/>
      </c>
      <c r="N626" s="2" t="str">
        <f t="shared" si="311"/>
        <v/>
      </c>
      <c r="O626" s="2" t="str">
        <f t="shared" si="312"/>
        <v/>
      </c>
      <c r="P626" s="2" t="str">
        <f t="shared" si="313"/>
        <v/>
      </c>
      <c r="Q626" s="2" t="str">
        <f t="shared" si="297"/>
        <v/>
      </c>
      <c r="R626" s="2" t="str">
        <f t="shared" si="298"/>
        <v/>
      </c>
      <c r="S626" s="2" t="str">
        <f t="shared" si="299"/>
        <v/>
      </c>
      <c r="T626" s="2" t="str">
        <f t="shared" si="314"/>
        <v/>
      </c>
      <c r="U626" s="2" t="str">
        <f t="shared" si="315"/>
        <v/>
      </c>
      <c r="V626" s="2" t="str">
        <f t="shared" si="316"/>
        <v/>
      </c>
      <c r="W626" s="2" t="str">
        <f t="shared" si="300"/>
        <v/>
      </c>
      <c r="X626" s="2" t="str">
        <f t="shared" si="301"/>
        <v/>
      </c>
      <c r="Y626" s="2" t="str">
        <f t="shared" si="302"/>
        <v/>
      </c>
      <c r="Z626" s="2" t="str">
        <f t="shared" si="317"/>
        <v/>
      </c>
      <c r="AA626" s="2" t="str">
        <f t="shared" si="318"/>
        <v/>
      </c>
      <c r="AB626" s="2" t="str">
        <f t="shared" si="319"/>
        <v/>
      </c>
      <c r="AC626" s="2" t="str">
        <f t="shared" si="303"/>
        <v/>
      </c>
      <c r="AD626" s="2" t="str">
        <f t="shared" si="304"/>
        <v/>
      </c>
      <c r="AE626" s="2" t="str">
        <f t="shared" si="305"/>
        <v/>
      </c>
      <c r="AF626" s="2" t="str">
        <f t="shared" si="306"/>
        <v/>
      </c>
    </row>
    <row r="627" spans="1:32" x14ac:dyDescent="0.2">
      <c r="A627" s="2" t="str">
        <f t="shared" si="307"/>
        <v/>
      </c>
      <c r="B627" s="2" t="str">
        <f t="shared" si="288"/>
        <v/>
      </c>
      <c r="C627" s="2" t="str">
        <f t="shared" si="289"/>
        <v/>
      </c>
      <c r="D627" s="2" t="str">
        <f t="shared" si="290"/>
        <v/>
      </c>
      <c r="E627" s="2" t="str">
        <f t="shared" si="291"/>
        <v/>
      </c>
      <c r="F627" s="2" t="str">
        <f t="shared" si="292"/>
        <v/>
      </c>
      <c r="G627" s="2" t="str">
        <f t="shared" si="293"/>
        <v/>
      </c>
      <c r="H627" s="2" t="str">
        <f t="shared" si="308"/>
        <v/>
      </c>
      <c r="I627" s="2" t="str">
        <f t="shared" si="309"/>
        <v/>
      </c>
      <c r="J627" s="2" t="str">
        <f t="shared" si="310"/>
        <v/>
      </c>
      <c r="K627" s="2" t="str">
        <f t="shared" si="294"/>
        <v/>
      </c>
      <c r="L627" s="2" t="str">
        <f t="shared" si="295"/>
        <v/>
      </c>
      <c r="M627" s="2" t="str">
        <f t="shared" si="296"/>
        <v/>
      </c>
      <c r="N627" s="2" t="str">
        <f t="shared" si="311"/>
        <v/>
      </c>
      <c r="O627" s="2" t="str">
        <f t="shared" si="312"/>
        <v/>
      </c>
      <c r="P627" s="2" t="str">
        <f t="shared" si="313"/>
        <v/>
      </c>
      <c r="Q627" s="2" t="str">
        <f t="shared" si="297"/>
        <v/>
      </c>
      <c r="R627" s="2" t="str">
        <f t="shared" si="298"/>
        <v/>
      </c>
      <c r="S627" s="2" t="str">
        <f t="shared" si="299"/>
        <v/>
      </c>
      <c r="T627" s="2" t="str">
        <f t="shared" si="314"/>
        <v/>
      </c>
      <c r="U627" s="2" t="str">
        <f t="shared" si="315"/>
        <v/>
      </c>
      <c r="V627" s="2" t="str">
        <f t="shared" si="316"/>
        <v/>
      </c>
      <c r="W627" s="2" t="str">
        <f t="shared" si="300"/>
        <v/>
      </c>
      <c r="X627" s="2" t="str">
        <f t="shared" si="301"/>
        <v/>
      </c>
      <c r="Y627" s="2" t="str">
        <f t="shared" si="302"/>
        <v/>
      </c>
      <c r="Z627" s="2" t="str">
        <f t="shared" si="317"/>
        <v/>
      </c>
      <c r="AA627" s="2" t="str">
        <f t="shared" si="318"/>
        <v/>
      </c>
      <c r="AB627" s="2" t="str">
        <f t="shared" si="319"/>
        <v/>
      </c>
      <c r="AC627" s="2" t="str">
        <f t="shared" si="303"/>
        <v/>
      </c>
      <c r="AD627" s="2" t="str">
        <f t="shared" si="304"/>
        <v/>
      </c>
      <c r="AE627" s="2" t="str">
        <f t="shared" si="305"/>
        <v/>
      </c>
      <c r="AF627" s="2" t="str">
        <f t="shared" si="306"/>
        <v/>
      </c>
    </row>
    <row r="628" spans="1:32" x14ac:dyDescent="0.2">
      <c r="A628" s="2" t="str">
        <f t="shared" si="307"/>
        <v/>
      </c>
      <c r="B628" s="2" t="str">
        <f t="shared" si="288"/>
        <v/>
      </c>
      <c r="C628" s="2" t="str">
        <f t="shared" si="289"/>
        <v/>
      </c>
      <c r="D628" s="2" t="str">
        <f t="shared" si="290"/>
        <v/>
      </c>
      <c r="E628" s="2" t="str">
        <f t="shared" si="291"/>
        <v/>
      </c>
      <c r="F628" s="2" t="str">
        <f t="shared" si="292"/>
        <v/>
      </c>
      <c r="G628" s="2" t="str">
        <f t="shared" si="293"/>
        <v/>
      </c>
      <c r="H628" s="2" t="str">
        <f t="shared" si="308"/>
        <v/>
      </c>
      <c r="I628" s="2" t="str">
        <f t="shared" si="309"/>
        <v/>
      </c>
      <c r="J628" s="2" t="str">
        <f t="shared" si="310"/>
        <v/>
      </c>
      <c r="K628" s="2" t="str">
        <f t="shared" si="294"/>
        <v/>
      </c>
      <c r="L628" s="2" t="str">
        <f t="shared" si="295"/>
        <v/>
      </c>
      <c r="M628" s="2" t="str">
        <f t="shared" si="296"/>
        <v/>
      </c>
      <c r="N628" s="2" t="str">
        <f t="shared" si="311"/>
        <v/>
      </c>
      <c r="O628" s="2" t="str">
        <f t="shared" si="312"/>
        <v/>
      </c>
      <c r="P628" s="2" t="str">
        <f t="shared" si="313"/>
        <v/>
      </c>
      <c r="Q628" s="2" t="str">
        <f t="shared" si="297"/>
        <v/>
      </c>
      <c r="R628" s="2" t="str">
        <f t="shared" si="298"/>
        <v/>
      </c>
      <c r="S628" s="2" t="str">
        <f t="shared" si="299"/>
        <v/>
      </c>
      <c r="T628" s="2" t="str">
        <f t="shared" si="314"/>
        <v/>
      </c>
      <c r="U628" s="2" t="str">
        <f t="shared" si="315"/>
        <v/>
      </c>
      <c r="V628" s="2" t="str">
        <f t="shared" si="316"/>
        <v/>
      </c>
      <c r="W628" s="2" t="str">
        <f t="shared" si="300"/>
        <v/>
      </c>
      <c r="X628" s="2" t="str">
        <f t="shared" si="301"/>
        <v/>
      </c>
      <c r="Y628" s="2" t="str">
        <f t="shared" si="302"/>
        <v/>
      </c>
      <c r="Z628" s="2" t="str">
        <f t="shared" si="317"/>
        <v/>
      </c>
      <c r="AA628" s="2" t="str">
        <f t="shared" si="318"/>
        <v/>
      </c>
      <c r="AB628" s="2" t="str">
        <f t="shared" si="319"/>
        <v/>
      </c>
      <c r="AC628" s="2" t="str">
        <f t="shared" si="303"/>
        <v/>
      </c>
      <c r="AD628" s="2" t="str">
        <f t="shared" si="304"/>
        <v/>
      </c>
      <c r="AE628" s="2" t="str">
        <f t="shared" si="305"/>
        <v/>
      </c>
      <c r="AF628" s="2" t="str">
        <f t="shared" si="306"/>
        <v/>
      </c>
    </row>
    <row r="629" spans="1:32" x14ac:dyDescent="0.2">
      <c r="A629" s="2" t="str">
        <f t="shared" si="307"/>
        <v/>
      </c>
      <c r="B629" s="2" t="str">
        <f t="shared" si="288"/>
        <v/>
      </c>
      <c r="C629" s="2" t="str">
        <f t="shared" si="289"/>
        <v/>
      </c>
      <c r="D629" s="2" t="str">
        <f t="shared" si="290"/>
        <v/>
      </c>
      <c r="E629" s="2" t="str">
        <f t="shared" si="291"/>
        <v/>
      </c>
      <c r="F629" s="2" t="str">
        <f t="shared" si="292"/>
        <v/>
      </c>
      <c r="G629" s="2" t="str">
        <f t="shared" si="293"/>
        <v/>
      </c>
      <c r="H629" s="2" t="str">
        <f t="shared" si="308"/>
        <v/>
      </c>
      <c r="I629" s="2" t="str">
        <f t="shared" si="309"/>
        <v/>
      </c>
      <c r="J629" s="2" t="str">
        <f t="shared" si="310"/>
        <v/>
      </c>
      <c r="K629" s="2" t="str">
        <f t="shared" si="294"/>
        <v/>
      </c>
      <c r="L629" s="2" t="str">
        <f t="shared" si="295"/>
        <v/>
      </c>
      <c r="M629" s="2" t="str">
        <f t="shared" si="296"/>
        <v/>
      </c>
      <c r="N629" s="2" t="str">
        <f t="shared" si="311"/>
        <v/>
      </c>
      <c r="O629" s="2" t="str">
        <f t="shared" si="312"/>
        <v/>
      </c>
      <c r="P629" s="2" t="str">
        <f t="shared" si="313"/>
        <v/>
      </c>
      <c r="Q629" s="2" t="str">
        <f t="shared" si="297"/>
        <v/>
      </c>
      <c r="R629" s="2" t="str">
        <f t="shared" si="298"/>
        <v/>
      </c>
      <c r="S629" s="2" t="str">
        <f t="shared" si="299"/>
        <v/>
      </c>
      <c r="T629" s="2" t="str">
        <f t="shared" si="314"/>
        <v/>
      </c>
      <c r="U629" s="2" t="str">
        <f t="shared" si="315"/>
        <v/>
      </c>
      <c r="V629" s="2" t="str">
        <f t="shared" si="316"/>
        <v/>
      </c>
      <c r="W629" s="2" t="str">
        <f t="shared" si="300"/>
        <v/>
      </c>
      <c r="X629" s="2" t="str">
        <f t="shared" si="301"/>
        <v/>
      </c>
      <c r="Y629" s="2" t="str">
        <f t="shared" si="302"/>
        <v/>
      </c>
      <c r="Z629" s="2" t="str">
        <f t="shared" si="317"/>
        <v/>
      </c>
      <c r="AA629" s="2" t="str">
        <f t="shared" si="318"/>
        <v/>
      </c>
      <c r="AB629" s="2" t="str">
        <f t="shared" si="319"/>
        <v/>
      </c>
      <c r="AC629" s="2" t="str">
        <f t="shared" si="303"/>
        <v/>
      </c>
      <c r="AD629" s="2" t="str">
        <f t="shared" si="304"/>
        <v/>
      </c>
      <c r="AE629" s="2" t="str">
        <f t="shared" si="305"/>
        <v/>
      </c>
      <c r="AF629" s="2" t="str">
        <f t="shared" si="306"/>
        <v/>
      </c>
    </row>
    <row r="630" spans="1:32" x14ac:dyDescent="0.2">
      <c r="A630" s="2" t="str">
        <f t="shared" si="307"/>
        <v/>
      </c>
      <c r="B630" s="2" t="str">
        <f t="shared" si="288"/>
        <v/>
      </c>
      <c r="C630" s="2" t="str">
        <f t="shared" si="289"/>
        <v/>
      </c>
      <c r="D630" s="2" t="str">
        <f t="shared" si="290"/>
        <v/>
      </c>
      <c r="E630" s="2" t="str">
        <f t="shared" si="291"/>
        <v/>
      </c>
      <c r="F630" s="2" t="str">
        <f t="shared" si="292"/>
        <v/>
      </c>
      <c r="G630" s="2" t="str">
        <f t="shared" si="293"/>
        <v/>
      </c>
      <c r="H630" s="2" t="str">
        <f t="shared" si="308"/>
        <v/>
      </c>
      <c r="I630" s="2" t="str">
        <f t="shared" si="309"/>
        <v/>
      </c>
      <c r="J630" s="2" t="str">
        <f t="shared" si="310"/>
        <v/>
      </c>
      <c r="K630" s="2" t="str">
        <f t="shared" si="294"/>
        <v/>
      </c>
      <c r="L630" s="2" t="str">
        <f t="shared" si="295"/>
        <v/>
      </c>
      <c r="M630" s="2" t="str">
        <f t="shared" si="296"/>
        <v/>
      </c>
      <c r="N630" s="2" t="str">
        <f t="shared" si="311"/>
        <v/>
      </c>
      <c r="O630" s="2" t="str">
        <f t="shared" si="312"/>
        <v/>
      </c>
      <c r="P630" s="2" t="str">
        <f t="shared" si="313"/>
        <v/>
      </c>
      <c r="Q630" s="2" t="str">
        <f t="shared" si="297"/>
        <v/>
      </c>
      <c r="R630" s="2" t="str">
        <f t="shared" si="298"/>
        <v/>
      </c>
      <c r="S630" s="2" t="str">
        <f t="shared" si="299"/>
        <v/>
      </c>
      <c r="T630" s="2" t="str">
        <f t="shared" si="314"/>
        <v/>
      </c>
      <c r="U630" s="2" t="str">
        <f t="shared" si="315"/>
        <v/>
      </c>
      <c r="V630" s="2" t="str">
        <f t="shared" si="316"/>
        <v/>
      </c>
      <c r="W630" s="2" t="str">
        <f t="shared" si="300"/>
        <v/>
      </c>
      <c r="X630" s="2" t="str">
        <f t="shared" si="301"/>
        <v/>
      </c>
      <c r="Y630" s="2" t="str">
        <f t="shared" si="302"/>
        <v/>
      </c>
      <c r="Z630" s="2" t="str">
        <f t="shared" si="317"/>
        <v/>
      </c>
      <c r="AA630" s="2" t="str">
        <f t="shared" si="318"/>
        <v/>
      </c>
      <c r="AB630" s="2" t="str">
        <f t="shared" si="319"/>
        <v/>
      </c>
      <c r="AC630" s="2" t="str">
        <f t="shared" si="303"/>
        <v/>
      </c>
      <c r="AD630" s="2" t="str">
        <f t="shared" si="304"/>
        <v/>
      </c>
      <c r="AE630" s="2" t="str">
        <f t="shared" si="305"/>
        <v/>
      </c>
      <c r="AF630" s="2" t="str">
        <f t="shared" si="306"/>
        <v/>
      </c>
    </row>
    <row r="631" spans="1:32" x14ac:dyDescent="0.2">
      <c r="A631" s="2" t="str">
        <f t="shared" si="307"/>
        <v/>
      </c>
      <c r="B631" s="2" t="str">
        <f t="shared" si="288"/>
        <v/>
      </c>
      <c r="C631" s="2" t="str">
        <f t="shared" si="289"/>
        <v/>
      </c>
      <c r="D631" s="2" t="str">
        <f t="shared" si="290"/>
        <v/>
      </c>
      <c r="E631" s="2" t="str">
        <f t="shared" si="291"/>
        <v/>
      </c>
      <c r="F631" s="2" t="str">
        <f t="shared" si="292"/>
        <v/>
      </c>
      <c r="G631" s="2" t="str">
        <f t="shared" si="293"/>
        <v/>
      </c>
      <c r="H631" s="2" t="str">
        <f t="shared" si="308"/>
        <v/>
      </c>
      <c r="I631" s="2" t="str">
        <f t="shared" si="309"/>
        <v/>
      </c>
      <c r="J631" s="2" t="str">
        <f t="shared" si="310"/>
        <v/>
      </c>
      <c r="K631" s="2" t="str">
        <f t="shared" si="294"/>
        <v/>
      </c>
      <c r="L631" s="2" t="str">
        <f t="shared" si="295"/>
        <v/>
      </c>
      <c r="M631" s="2" t="str">
        <f t="shared" si="296"/>
        <v/>
      </c>
      <c r="N631" s="2" t="str">
        <f t="shared" si="311"/>
        <v/>
      </c>
      <c r="O631" s="2" t="str">
        <f t="shared" si="312"/>
        <v/>
      </c>
      <c r="P631" s="2" t="str">
        <f t="shared" si="313"/>
        <v/>
      </c>
      <c r="Q631" s="2" t="str">
        <f t="shared" si="297"/>
        <v/>
      </c>
      <c r="R631" s="2" t="str">
        <f t="shared" si="298"/>
        <v/>
      </c>
      <c r="S631" s="2" t="str">
        <f t="shared" si="299"/>
        <v/>
      </c>
      <c r="T631" s="2" t="str">
        <f t="shared" si="314"/>
        <v/>
      </c>
      <c r="U631" s="2" t="str">
        <f t="shared" si="315"/>
        <v/>
      </c>
      <c r="V631" s="2" t="str">
        <f t="shared" si="316"/>
        <v/>
      </c>
      <c r="W631" s="2" t="str">
        <f t="shared" si="300"/>
        <v/>
      </c>
      <c r="X631" s="2" t="str">
        <f t="shared" si="301"/>
        <v/>
      </c>
      <c r="Y631" s="2" t="str">
        <f t="shared" si="302"/>
        <v/>
      </c>
      <c r="Z631" s="2" t="str">
        <f t="shared" si="317"/>
        <v/>
      </c>
      <c r="AA631" s="2" t="str">
        <f t="shared" si="318"/>
        <v/>
      </c>
      <c r="AB631" s="2" t="str">
        <f t="shared" si="319"/>
        <v/>
      </c>
      <c r="AC631" s="2" t="str">
        <f t="shared" si="303"/>
        <v/>
      </c>
      <c r="AD631" s="2" t="str">
        <f t="shared" si="304"/>
        <v/>
      </c>
      <c r="AE631" s="2" t="str">
        <f t="shared" si="305"/>
        <v/>
      </c>
      <c r="AF631" s="2" t="str">
        <f t="shared" si="306"/>
        <v/>
      </c>
    </row>
    <row r="632" spans="1:32" x14ac:dyDescent="0.2">
      <c r="A632" s="2" t="str">
        <f t="shared" si="307"/>
        <v/>
      </c>
      <c r="B632" s="2" t="str">
        <f t="shared" ref="B632:B695" si="320">IF(AI632="","",AI632)</f>
        <v/>
      </c>
      <c r="C632" s="2" t="str">
        <f t="shared" ref="C632:C695" si="321">IF(AJ632="","",AJ632)</f>
        <v/>
      </c>
      <c r="D632" s="2" t="str">
        <f t="shared" ref="D632:D695" si="322">IF(AK632="","",AK632)</f>
        <v/>
      </c>
      <c r="E632" s="2" t="str">
        <f t="shared" ref="E632:E695" si="323">IF(AL632="","",AL632)</f>
        <v/>
      </c>
      <c r="F632" s="2" t="str">
        <f t="shared" ref="F632:F695" si="324">IF(AM632="","",AM632)</f>
        <v/>
      </c>
      <c r="G632" s="2" t="str">
        <f t="shared" ref="G632:G695" si="325">IF(AN632="","",AN632)</f>
        <v/>
      </c>
      <c r="H632" s="2" t="str">
        <f t="shared" si="308"/>
        <v/>
      </c>
      <c r="I632" s="2" t="str">
        <f t="shared" si="309"/>
        <v/>
      </c>
      <c r="J632" s="2" t="str">
        <f t="shared" si="310"/>
        <v/>
      </c>
      <c r="K632" s="2" t="str">
        <f t="shared" ref="K632:K695" si="326">IF(AR632="","",AR632)</f>
        <v/>
      </c>
      <c r="L632" s="2" t="str">
        <f t="shared" ref="L632:L695" si="327">IF(AS632="","",AS632)</f>
        <v/>
      </c>
      <c r="M632" s="2" t="str">
        <f t="shared" ref="M632:M695" si="328">IF(AT632="","",AT632)</f>
        <v/>
      </c>
      <c r="N632" s="2" t="str">
        <f t="shared" si="311"/>
        <v/>
      </c>
      <c r="O632" s="2" t="str">
        <f t="shared" si="312"/>
        <v/>
      </c>
      <c r="P632" s="2" t="str">
        <f t="shared" si="313"/>
        <v/>
      </c>
      <c r="Q632" s="2" t="str">
        <f t="shared" ref="Q632:Q695" si="329">IF(AX632="","",AX632)</f>
        <v/>
      </c>
      <c r="R632" s="2" t="str">
        <f t="shared" ref="R632:R695" si="330">IF(AY632="","",AY632)</f>
        <v/>
      </c>
      <c r="S632" s="2" t="str">
        <f t="shared" ref="S632:S695" si="331">IF(AZ632="","",AZ632)</f>
        <v/>
      </c>
      <c r="T632" s="2" t="str">
        <f t="shared" si="314"/>
        <v/>
      </c>
      <c r="U632" s="2" t="str">
        <f t="shared" si="315"/>
        <v/>
      </c>
      <c r="V632" s="2" t="str">
        <f t="shared" si="316"/>
        <v/>
      </c>
      <c r="W632" s="2" t="str">
        <f t="shared" ref="W632:W695" si="332">IF(BD632="","",BD632)</f>
        <v/>
      </c>
      <c r="X632" s="2" t="str">
        <f t="shared" ref="X632:X695" si="333">IF(BE632="","",BE632)</f>
        <v/>
      </c>
      <c r="Y632" s="2" t="str">
        <f t="shared" ref="Y632:Y695" si="334">IF(BF632="","",BF632)</f>
        <v/>
      </c>
      <c r="Z632" s="2" t="str">
        <f t="shared" si="317"/>
        <v/>
      </c>
      <c r="AA632" s="2" t="str">
        <f t="shared" si="318"/>
        <v/>
      </c>
      <c r="AB632" s="2" t="str">
        <f t="shared" si="319"/>
        <v/>
      </c>
      <c r="AC632" s="2" t="str">
        <f t="shared" ref="AC632:AC695" si="335">IF(BJ632="","",BJ632)</f>
        <v/>
      </c>
      <c r="AD632" s="2" t="str">
        <f t="shared" ref="AD632:AD695" si="336">IF(BK632="","",BK632)</f>
        <v/>
      </c>
      <c r="AE632" s="2" t="str">
        <f t="shared" ref="AE632:AE695" si="337">IF(BL632="","",BL632)</f>
        <v/>
      </c>
      <c r="AF632" s="2" t="str">
        <f t="shared" ref="AF632:AF695" si="338">IF(BM632="","",BM632)</f>
        <v/>
      </c>
    </row>
    <row r="633" spans="1:32" x14ac:dyDescent="0.2">
      <c r="A633" s="2" t="str">
        <f t="shared" si="307"/>
        <v/>
      </c>
      <c r="B633" s="2" t="str">
        <f t="shared" si="320"/>
        <v/>
      </c>
      <c r="C633" s="2" t="str">
        <f t="shared" si="321"/>
        <v/>
      </c>
      <c r="D633" s="2" t="str">
        <f t="shared" si="322"/>
        <v/>
      </c>
      <c r="E633" s="2" t="str">
        <f t="shared" si="323"/>
        <v/>
      </c>
      <c r="F633" s="2" t="str">
        <f t="shared" si="324"/>
        <v/>
      </c>
      <c r="G633" s="2" t="str">
        <f t="shared" si="325"/>
        <v/>
      </c>
      <c r="H633" s="2" t="str">
        <f t="shared" si="308"/>
        <v/>
      </c>
      <c r="I633" s="2" t="str">
        <f t="shared" si="309"/>
        <v/>
      </c>
      <c r="J633" s="2" t="str">
        <f t="shared" si="310"/>
        <v/>
      </c>
      <c r="K633" s="2" t="str">
        <f t="shared" si="326"/>
        <v/>
      </c>
      <c r="L633" s="2" t="str">
        <f t="shared" si="327"/>
        <v/>
      </c>
      <c r="M633" s="2" t="str">
        <f t="shared" si="328"/>
        <v/>
      </c>
      <c r="N633" s="2" t="str">
        <f t="shared" si="311"/>
        <v/>
      </c>
      <c r="O633" s="2" t="str">
        <f t="shared" si="312"/>
        <v/>
      </c>
      <c r="P633" s="2" t="str">
        <f t="shared" si="313"/>
        <v/>
      </c>
      <c r="Q633" s="2" t="str">
        <f t="shared" si="329"/>
        <v/>
      </c>
      <c r="R633" s="2" t="str">
        <f t="shared" si="330"/>
        <v/>
      </c>
      <c r="S633" s="2" t="str">
        <f t="shared" si="331"/>
        <v/>
      </c>
      <c r="T633" s="2" t="str">
        <f t="shared" si="314"/>
        <v/>
      </c>
      <c r="U633" s="2" t="str">
        <f t="shared" si="315"/>
        <v/>
      </c>
      <c r="V633" s="2" t="str">
        <f t="shared" si="316"/>
        <v/>
      </c>
      <c r="W633" s="2" t="str">
        <f t="shared" si="332"/>
        <v/>
      </c>
      <c r="X633" s="2" t="str">
        <f t="shared" si="333"/>
        <v/>
      </c>
      <c r="Y633" s="2" t="str">
        <f t="shared" si="334"/>
        <v/>
      </c>
      <c r="Z633" s="2" t="str">
        <f t="shared" si="317"/>
        <v/>
      </c>
      <c r="AA633" s="2" t="str">
        <f t="shared" si="318"/>
        <v/>
      </c>
      <c r="AB633" s="2" t="str">
        <f t="shared" si="319"/>
        <v/>
      </c>
      <c r="AC633" s="2" t="str">
        <f t="shared" si="335"/>
        <v/>
      </c>
      <c r="AD633" s="2" t="str">
        <f t="shared" si="336"/>
        <v/>
      </c>
      <c r="AE633" s="2" t="str">
        <f t="shared" si="337"/>
        <v/>
      </c>
      <c r="AF633" s="2" t="str">
        <f t="shared" si="338"/>
        <v/>
      </c>
    </row>
    <row r="634" spans="1:32" x14ac:dyDescent="0.2">
      <c r="A634" s="2" t="str">
        <f t="shared" si="307"/>
        <v/>
      </c>
      <c r="B634" s="2" t="str">
        <f t="shared" si="320"/>
        <v/>
      </c>
      <c r="C634" s="2" t="str">
        <f t="shared" si="321"/>
        <v/>
      </c>
      <c r="D634" s="2" t="str">
        <f t="shared" si="322"/>
        <v/>
      </c>
      <c r="E634" s="2" t="str">
        <f t="shared" si="323"/>
        <v/>
      </c>
      <c r="F634" s="2" t="str">
        <f t="shared" si="324"/>
        <v/>
      </c>
      <c r="G634" s="2" t="str">
        <f t="shared" si="325"/>
        <v/>
      </c>
      <c r="H634" s="2" t="str">
        <f t="shared" si="308"/>
        <v/>
      </c>
      <c r="I634" s="2" t="str">
        <f t="shared" si="309"/>
        <v/>
      </c>
      <c r="J634" s="2" t="str">
        <f t="shared" si="310"/>
        <v/>
      </c>
      <c r="K634" s="2" t="str">
        <f t="shared" si="326"/>
        <v/>
      </c>
      <c r="L634" s="2" t="str">
        <f t="shared" si="327"/>
        <v/>
      </c>
      <c r="M634" s="2" t="str">
        <f t="shared" si="328"/>
        <v/>
      </c>
      <c r="N634" s="2" t="str">
        <f t="shared" si="311"/>
        <v/>
      </c>
      <c r="O634" s="2" t="str">
        <f t="shared" si="312"/>
        <v/>
      </c>
      <c r="P634" s="2" t="str">
        <f t="shared" si="313"/>
        <v/>
      </c>
      <c r="Q634" s="2" t="str">
        <f t="shared" si="329"/>
        <v/>
      </c>
      <c r="R634" s="2" t="str">
        <f t="shared" si="330"/>
        <v/>
      </c>
      <c r="S634" s="2" t="str">
        <f t="shared" si="331"/>
        <v/>
      </c>
      <c r="T634" s="2" t="str">
        <f t="shared" si="314"/>
        <v/>
      </c>
      <c r="U634" s="2" t="str">
        <f t="shared" si="315"/>
        <v/>
      </c>
      <c r="V634" s="2" t="str">
        <f t="shared" si="316"/>
        <v/>
      </c>
      <c r="W634" s="2" t="str">
        <f t="shared" si="332"/>
        <v/>
      </c>
      <c r="X634" s="2" t="str">
        <f t="shared" si="333"/>
        <v/>
      </c>
      <c r="Y634" s="2" t="str">
        <f t="shared" si="334"/>
        <v/>
      </c>
      <c r="Z634" s="2" t="str">
        <f t="shared" si="317"/>
        <v/>
      </c>
      <c r="AA634" s="2" t="str">
        <f t="shared" si="318"/>
        <v/>
      </c>
      <c r="AB634" s="2" t="str">
        <f t="shared" si="319"/>
        <v/>
      </c>
      <c r="AC634" s="2" t="str">
        <f t="shared" si="335"/>
        <v/>
      </c>
      <c r="AD634" s="2" t="str">
        <f t="shared" si="336"/>
        <v/>
      </c>
      <c r="AE634" s="2" t="str">
        <f t="shared" si="337"/>
        <v/>
      </c>
      <c r="AF634" s="2" t="str">
        <f t="shared" si="338"/>
        <v/>
      </c>
    </row>
    <row r="635" spans="1:32" x14ac:dyDescent="0.2">
      <c r="A635" s="2" t="str">
        <f t="shared" si="307"/>
        <v/>
      </c>
      <c r="B635" s="2" t="str">
        <f t="shared" si="320"/>
        <v/>
      </c>
      <c r="C635" s="2" t="str">
        <f t="shared" si="321"/>
        <v/>
      </c>
      <c r="D635" s="2" t="str">
        <f t="shared" si="322"/>
        <v/>
      </c>
      <c r="E635" s="2" t="str">
        <f t="shared" si="323"/>
        <v/>
      </c>
      <c r="F635" s="2" t="str">
        <f t="shared" si="324"/>
        <v/>
      </c>
      <c r="G635" s="2" t="str">
        <f t="shared" si="325"/>
        <v/>
      </c>
      <c r="H635" s="2" t="str">
        <f t="shared" si="308"/>
        <v/>
      </c>
      <c r="I635" s="2" t="str">
        <f t="shared" si="309"/>
        <v/>
      </c>
      <c r="J635" s="2" t="str">
        <f t="shared" si="310"/>
        <v/>
      </c>
      <c r="K635" s="2" t="str">
        <f t="shared" si="326"/>
        <v/>
      </c>
      <c r="L635" s="2" t="str">
        <f t="shared" si="327"/>
        <v/>
      </c>
      <c r="M635" s="2" t="str">
        <f t="shared" si="328"/>
        <v/>
      </c>
      <c r="N635" s="2" t="str">
        <f t="shared" si="311"/>
        <v/>
      </c>
      <c r="O635" s="2" t="str">
        <f t="shared" si="312"/>
        <v/>
      </c>
      <c r="P635" s="2" t="str">
        <f t="shared" si="313"/>
        <v/>
      </c>
      <c r="Q635" s="2" t="str">
        <f t="shared" si="329"/>
        <v/>
      </c>
      <c r="R635" s="2" t="str">
        <f t="shared" si="330"/>
        <v/>
      </c>
      <c r="S635" s="2" t="str">
        <f t="shared" si="331"/>
        <v/>
      </c>
      <c r="T635" s="2" t="str">
        <f t="shared" si="314"/>
        <v/>
      </c>
      <c r="U635" s="2" t="str">
        <f t="shared" si="315"/>
        <v/>
      </c>
      <c r="V635" s="2" t="str">
        <f t="shared" si="316"/>
        <v/>
      </c>
      <c r="W635" s="2" t="str">
        <f t="shared" si="332"/>
        <v/>
      </c>
      <c r="X635" s="2" t="str">
        <f t="shared" si="333"/>
        <v/>
      </c>
      <c r="Y635" s="2" t="str">
        <f t="shared" si="334"/>
        <v/>
      </c>
      <c r="Z635" s="2" t="str">
        <f t="shared" si="317"/>
        <v/>
      </c>
      <c r="AA635" s="2" t="str">
        <f t="shared" si="318"/>
        <v/>
      </c>
      <c r="AB635" s="2" t="str">
        <f t="shared" si="319"/>
        <v/>
      </c>
      <c r="AC635" s="2" t="str">
        <f t="shared" si="335"/>
        <v/>
      </c>
      <c r="AD635" s="2" t="str">
        <f t="shared" si="336"/>
        <v/>
      </c>
      <c r="AE635" s="2" t="str">
        <f t="shared" si="337"/>
        <v/>
      </c>
      <c r="AF635" s="2" t="str">
        <f t="shared" si="338"/>
        <v/>
      </c>
    </row>
    <row r="636" spans="1:32" x14ac:dyDescent="0.2">
      <c r="A636" s="2" t="str">
        <f t="shared" si="307"/>
        <v/>
      </c>
      <c r="B636" s="2" t="str">
        <f t="shared" si="320"/>
        <v/>
      </c>
      <c r="C636" s="2" t="str">
        <f t="shared" si="321"/>
        <v/>
      </c>
      <c r="D636" s="2" t="str">
        <f t="shared" si="322"/>
        <v/>
      </c>
      <c r="E636" s="2" t="str">
        <f t="shared" si="323"/>
        <v/>
      </c>
      <c r="F636" s="2" t="str">
        <f t="shared" si="324"/>
        <v/>
      </c>
      <c r="G636" s="2" t="str">
        <f t="shared" si="325"/>
        <v/>
      </c>
      <c r="H636" s="2" t="str">
        <f t="shared" si="308"/>
        <v/>
      </c>
      <c r="I636" s="2" t="str">
        <f t="shared" si="309"/>
        <v/>
      </c>
      <c r="J636" s="2" t="str">
        <f t="shared" si="310"/>
        <v/>
      </c>
      <c r="K636" s="2" t="str">
        <f t="shared" si="326"/>
        <v/>
      </c>
      <c r="L636" s="2" t="str">
        <f t="shared" si="327"/>
        <v/>
      </c>
      <c r="M636" s="2" t="str">
        <f t="shared" si="328"/>
        <v/>
      </c>
      <c r="N636" s="2" t="str">
        <f t="shared" si="311"/>
        <v/>
      </c>
      <c r="O636" s="2" t="str">
        <f t="shared" si="312"/>
        <v/>
      </c>
      <c r="P636" s="2" t="str">
        <f t="shared" si="313"/>
        <v/>
      </c>
      <c r="Q636" s="2" t="str">
        <f t="shared" si="329"/>
        <v/>
      </c>
      <c r="R636" s="2" t="str">
        <f t="shared" si="330"/>
        <v/>
      </c>
      <c r="S636" s="2" t="str">
        <f t="shared" si="331"/>
        <v/>
      </c>
      <c r="T636" s="2" t="str">
        <f t="shared" si="314"/>
        <v/>
      </c>
      <c r="U636" s="2" t="str">
        <f t="shared" si="315"/>
        <v/>
      </c>
      <c r="V636" s="2" t="str">
        <f t="shared" si="316"/>
        <v/>
      </c>
      <c r="W636" s="2" t="str">
        <f t="shared" si="332"/>
        <v/>
      </c>
      <c r="X636" s="2" t="str">
        <f t="shared" si="333"/>
        <v/>
      </c>
      <c r="Y636" s="2" t="str">
        <f t="shared" si="334"/>
        <v/>
      </c>
      <c r="Z636" s="2" t="str">
        <f t="shared" si="317"/>
        <v/>
      </c>
      <c r="AA636" s="2" t="str">
        <f t="shared" si="318"/>
        <v/>
      </c>
      <c r="AB636" s="2" t="str">
        <f t="shared" si="319"/>
        <v/>
      </c>
      <c r="AC636" s="2" t="str">
        <f t="shared" si="335"/>
        <v/>
      </c>
      <c r="AD636" s="2" t="str">
        <f t="shared" si="336"/>
        <v/>
      </c>
      <c r="AE636" s="2" t="str">
        <f t="shared" si="337"/>
        <v/>
      </c>
      <c r="AF636" s="2" t="str">
        <f t="shared" si="338"/>
        <v/>
      </c>
    </row>
    <row r="637" spans="1:32" x14ac:dyDescent="0.2">
      <c r="A637" s="2" t="str">
        <f t="shared" si="307"/>
        <v/>
      </c>
      <c r="B637" s="2" t="str">
        <f t="shared" si="320"/>
        <v/>
      </c>
      <c r="C637" s="2" t="str">
        <f t="shared" si="321"/>
        <v/>
      </c>
      <c r="D637" s="2" t="str">
        <f t="shared" si="322"/>
        <v/>
      </c>
      <c r="E637" s="2" t="str">
        <f t="shared" si="323"/>
        <v/>
      </c>
      <c r="F637" s="2" t="str">
        <f t="shared" si="324"/>
        <v/>
      </c>
      <c r="G637" s="2" t="str">
        <f t="shared" si="325"/>
        <v/>
      </c>
      <c r="H637" s="2" t="str">
        <f t="shared" si="308"/>
        <v/>
      </c>
      <c r="I637" s="2" t="str">
        <f t="shared" si="309"/>
        <v/>
      </c>
      <c r="J637" s="2" t="str">
        <f t="shared" si="310"/>
        <v/>
      </c>
      <c r="K637" s="2" t="str">
        <f t="shared" si="326"/>
        <v/>
      </c>
      <c r="L637" s="2" t="str">
        <f t="shared" si="327"/>
        <v/>
      </c>
      <c r="M637" s="2" t="str">
        <f t="shared" si="328"/>
        <v/>
      </c>
      <c r="N637" s="2" t="str">
        <f t="shared" si="311"/>
        <v/>
      </c>
      <c r="O637" s="2" t="str">
        <f t="shared" si="312"/>
        <v/>
      </c>
      <c r="P637" s="2" t="str">
        <f t="shared" si="313"/>
        <v/>
      </c>
      <c r="Q637" s="2" t="str">
        <f t="shared" si="329"/>
        <v/>
      </c>
      <c r="R637" s="2" t="str">
        <f t="shared" si="330"/>
        <v/>
      </c>
      <c r="S637" s="2" t="str">
        <f t="shared" si="331"/>
        <v/>
      </c>
      <c r="T637" s="2" t="str">
        <f t="shared" si="314"/>
        <v/>
      </c>
      <c r="U637" s="2" t="str">
        <f t="shared" si="315"/>
        <v/>
      </c>
      <c r="V637" s="2" t="str">
        <f t="shared" si="316"/>
        <v/>
      </c>
      <c r="W637" s="2" t="str">
        <f t="shared" si="332"/>
        <v/>
      </c>
      <c r="X637" s="2" t="str">
        <f t="shared" si="333"/>
        <v/>
      </c>
      <c r="Y637" s="2" t="str">
        <f t="shared" si="334"/>
        <v/>
      </c>
      <c r="Z637" s="2" t="str">
        <f t="shared" si="317"/>
        <v/>
      </c>
      <c r="AA637" s="2" t="str">
        <f t="shared" si="318"/>
        <v/>
      </c>
      <c r="AB637" s="2" t="str">
        <f t="shared" si="319"/>
        <v/>
      </c>
      <c r="AC637" s="2" t="str">
        <f t="shared" si="335"/>
        <v/>
      </c>
      <c r="AD637" s="2" t="str">
        <f t="shared" si="336"/>
        <v/>
      </c>
      <c r="AE637" s="2" t="str">
        <f t="shared" si="337"/>
        <v/>
      </c>
      <c r="AF637" s="2" t="str">
        <f t="shared" si="338"/>
        <v/>
      </c>
    </row>
    <row r="638" spans="1:32" x14ac:dyDescent="0.2">
      <c r="A638" s="2" t="str">
        <f t="shared" si="307"/>
        <v/>
      </c>
      <c r="B638" s="2" t="str">
        <f t="shared" si="320"/>
        <v/>
      </c>
      <c r="C638" s="2" t="str">
        <f t="shared" si="321"/>
        <v/>
      </c>
      <c r="D638" s="2" t="str">
        <f t="shared" si="322"/>
        <v/>
      </c>
      <c r="E638" s="2" t="str">
        <f t="shared" si="323"/>
        <v/>
      </c>
      <c r="F638" s="2" t="str">
        <f t="shared" si="324"/>
        <v/>
      </c>
      <c r="G638" s="2" t="str">
        <f t="shared" si="325"/>
        <v/>
      </c>
      <c r="H638" s="2" t="str">
        <f t="shared" si="308"/>
        <v/>
      </c>
      <c r="I638" s="2" t="str">
        <f t="shared" si="309"/>
        <v/>
      </c>
      <c r="J638" s="2" t="str">
        <f t="shared" si="310"/>
        <v/>
      </c>
      <c r="K638" s="2" t="str">
        <f t="shared" si="326"/>
        <v/>
      </c>
      <c r="L638" s="2" t="str">
        <f t="shared" si="327"/>
        <v/>
      </c>
      <c r="M638" s="2" t="str">
        <f t="shared" si="328"/>
        <v/>
      </c>
      <c r="N638" s="2" t="str">
        <f t="shared" si="311"/>
        <v/>
      </c>
      <c r="O638" s="2" t="str">
        <f t="shared" si="312"/>
        <v/>
      </c>
      <c r="P638" s="2" t="str">
        <f t="shared" si="313"/>
        <v/>
      </c>
      <c r="Q638" s="2" t="str">
        <f t="shared" si="329"/>
        <v/>
      </c>
      <c r="R638" s="2" t="str">
        <f t="shared" si="330"/>
        <v/>
      </c>
      <c r="S638" s="2" t="str">
        <f t="shared" si="331"/>
        <v/>
      </c>
      <c r="T638" s="2" t="str">
        <f t="shared" si="314"/>
        <v/>
      </c>
      <c r="U638" s="2" t="str">
        <f t="shared" si="315"/>
        <v/>
      </c>
      <c r="V638" s="2" t="str">
        <f t="shared" si="316"/>
        <v/>
      </c>
      <c r="W638" s="2" t="str">
        <f t="shared" si="332"/>
        <v/>
      </c>
      <c r="X638" s="2" t="str">
        <f t="shared" si="333"/>
        <v/>
      </c>
      <c r="Y638" s="2" t="str">
        <f t="shared" si="334"/>
        <v/>
      </c>
      <c r="Z638" s="2" t="str">
        <f t="shared" si="317"/>
        <v/>
      </c>
      <c r="AA638" s="2" t="str">
        <f t="shared" si="318"/>
        <v/>
      </c>
      <c r="AB638" s="2" t="str">
        <f t="shared" si="319"/>
        <v/>
      </c>
      <c r="AC638" s="2" t="str">
        <f t="shared" si="335"/>
        <v/>
      </c>
      <c r="AD638" s="2" t="str">
        <f t="shared" si="336"/>
        <v/>
      </c>
      <c r="AE638" s="2" t="str">
        <f t="shared" si="337"/>
        <v/>
      </c>
      <c r="AF638" s="2" t="str">
        <f t="shared" si="338"/>
        <v/>
      </c>
    </row>
    <row r="639" spans="1:32" x14ac:dyDescent="0.2">
      <c r="A639" s="2" t="str">
        <f t="shared" si="307"/>
        <v/>
      </c>
      <c r="B639" s="2" t="str">
        <f t="shared" si="320"/>
        <v/>
      </c>
      <c r="C639" s="2" t="str">
        <f t="shared" si="321"/>
        <v/>
      </c>
      <c r="D639" s="2" t="str">
        <f t="shared" si="322"/>
        <v/>
      </c>
      <c r="E639" s="2" t="str">
        <f t="shared" si="323"/>
        <v/>
      </c>
      <c r="F639" s="2" t="str">
        <f t="shared" si="324"/>
        <v/>
      </c>
      <c r="G639" s="2" t="str">
        <f t="shared" si="325"/>
        <v/>
      </c>
      <c r="H639" s="2" t="str">
        <f t="shared" si="308"/>
        <v/>
      </c>
      <c r="I639" s="2" t="str">
        <f t="shared" si="309"/>
        <v/>
      </c>
      <c r="J639" s="2" t="str">
        <f t="shared" si="310"/>
        <v/>
      </c>
      <c r="K639" s="2" t="str">
        <f t="shared" si="326"/>
        <v/>
      </c>
      <c r="L639" s="2" t="str">
        <f t="shared" si="327"/>
        <v/>
      </c>
      <c r="M639" s="2" t="str">
        <f t="shared" si="328"/>
        <v/>
      </c>
      <c r="N639" s="2" t="str">
        <f t="shared" si="311"/>
        <v/>
      </c>
      <c r="O639" s="2" t="str">
        <f t="shared" si="312"/>
        <v/>
      </c>
      <c r="P639" s="2" t="str">
        <f t="shared" si="313"/>
        <v/>
      </c>
      <c r="Q639" s="2" t="str">
        <f t="shared" si="329"/>
        <v/>
      </c>
      <c r="R639" s="2" t="str">
        <f t="shared" si="330"/>
        <v/>
      </c>
      <c r="S639" s="2" t="str">
        <f t="shared" si="331"/>
        <v/>
      </c>
      <c r="T639" s="2" t="str">
        <f t="shared" si="314"/>
        <v/>
      </c>
      <c r="U639" s="2" t="str">
        <f t="shared" si="315"/>
        <v/>
      </c>
      <c r="V639" s="2" t="str">
        <f t="shared" si="316"/>
        <v/>
      </c>
      <c r="W639" s="2" t="str">
        <f t="shared" si="332"/>
        <v/>
      </c>
      <c r="X639" s="2" t="str">
        <f t="shared" si="333"/>
        <v/>
      </c>
      <c r="Y639" s="2" t="str">
        <f t="shared" si="334"/>
        <v/>
      </c>
      <c r="Z639" s="2" t="str">
        <f t="shared" si="317"/>
        <v/>
      </c>
      <c r="AA639" s="2" t="str">
        <f t="shared" si="318"/>
        <v/>
      </c>
      <c r="AB639" s="2" t="str">
        <f t="shared" si="319"/>
        <v/>
      </c>
      <c r="AC639" s="2" t="str">
        <f t="shared" si="335"/>
        <v/>
      </c>
      <c r="AD639" s="2" t="str">
        <f t="shared" si="336"/>
        <v/>
      </c>
      <c r="AE639" s="2" t="str">
        <f t="shared" si="337"/>
        <v/>
      </c>
      <c r="AF639" s="2" t="str">
        <f t="shared" si="338"/>
        <v/>
      </c>
    </row>
    <row r="640" spans="1:32" x14ac:dyDescent="0.2">
      <c r="A640" s="2" t="str">
        <f t="shared" si="307"/>
        <v/>
      </c>
      <c r="B640" s="2" t="str">
        <f t="shared" si="320"/>
        <v/>
      </c>
      <c r="C640" s="2" t="str">
        <f t="shared" si="321"/>
        <v/>
      </c>
      <c r="D640" s="2" t="str">
        <f t="shared" si="322"/>
        <v/>
      </c>
      <c r="E640" s="2" t="str">
        <f t="shared" si="323"/>
        <v/>
      </c>
      <c r="F640" s="2" t="str">
        <f t="shared" si="324"/>
        <v/>
      </c>
      <c r="G640" s="2" t="str">
        <f t="shared" si="325"/>
        <v/>
      </c>
      <c r="H640" s="2" t="str">
        <f t="shared" si="308"/>
        <v/>
      </c>
      <c r="I640" s="2" t="str">
        <f t="shared" si="309"/>
        <v/>
      </c>
      <c r="J640" s="2" t="str">
        <f t="shared" si="310"/>
        <v/>
      </c>
      <c r="K640" s="2" t="str">
        <f t="shared" si="326"/>
        <v/>
      </c>
      <c r="L640" s="2" t="str">
        <f t="shared" si="327"/>
        <v/>
      </c>
      <c r="M640" s="2" t="str">
        <f t="shared" si="328"/>
        <v/>
      </c>
      <c r="N640" s="2" t="str">
        <f t="shared" si="311"/>
        <v/>
      </c>
      <c r="O640" s="2" t="str">
        <f t="shared" si="312"/>
        <v/>
      </c>
      <c r="P640" s="2" t="str">
        <f t="shared" si="313"/>
        <v/>
      </c>
      <c r="Q640" s="2" t="str">
        <f t="shared" si="329"/>
        <v/>
      </c>
      <c r="R640" s="2" t="str">
        <f t="shared" si="330"/>
        <v/>
      </c>
      <c r="S640" s="2" t="str">
        <f t="shared" si="331"/>
        <v/>
      </c>
      <c r="T640" s="2" t="str">
        <f t="shared" si="314"/>
        <v/>
      </c>
      <c r="U640" s="2" t="str">
        <f t="shared" si="315"/>
        <v/>
      </c>
      <c r="V640" s="2" t="str">
        <f t="shared" si="316"/>
        <v/>
      </c>
      <c r="W640" s="2" t="str">
        <f t="shared" si="332"/>
        <v/>
      </c>
      <c r="X640" s="2" t="str">
        <f t="shared" si="333"/>
        <v/>
      </c>
      <c r="Y640" s="2" t="str">
        <f t="shared" si="334"/>
        <v/>
      </c>
      <c r="Z640" s="2" t="str">
        <f t="shared" si="317"/>
        <v/>
      </c>
      <c r="AA640" s="2" t="str">
        <f t="shared" si="318"/>
        <v/>
      </c>
      <c r="AB640" s="2" t="str">
        <f t="shared" si="319"/>
        <v/>
      </c>
      <c r="AC640" s="2" t="str">
        <f t="shared" si="335"/>
        <v/>
      </c>
      <c r="AD640" s="2" t="str">
        <f t="shared" si="336"/>
        <v/>
      </c>
      <c r="AE640" s="2" t="str">
        <f t="shared" si="337"/>
        <v/>
      </c>
      <c r="AF640" s="2" t="str">
        <f t="shared" si="338"/>
        <v/>
      </c>
    </row>
    <row r="641" spans="1:32" x14ac:dyDescent="0.2">
      <c r="A641" s="2" t="str">
        <f t="shared" si="307"/>
        <v/>
      </c>
      <c r="B641" s="2" t="str">
        <f t="shared" si="320"/>
        <v/>
      </c>
      <c r="C641" s="2" t="str">
        <f t="shared" si="321"/>
        <v/>
      </c>
      <c r="D641" s="2" t="str">
        <f t="shared" si="322"/>
        <v/>
      </c>
      <c r="E641" s="2" t="str">
        <f t="shared" si="323"/>
        <v/>
      </c>
      <c r="F641" s="2" t="str">
        <f t="shared" si="324"/>
        <v/>
      </c>
      <c r="G641" s="2" t="str">
        <f t="shared" si="325"/>
        <v/>
      </c>
      <c r="H641" s="2" t="str">
        <f t="shared" si="308"/>
        <v/>
      </c>
      <c r="I641" s="2" t="str">
        <f t="shared" si="309"/>
        <v/>
      </c>
      <c r="J641" s="2" t="str">
        <f t="shared" si="310"/>
        <v/>
      </c>
      <c r="K641" s="2" t="str">
        <f t="shared" si="326"/>
        <v/>
      </c>
      <c r="L641" s="2" t="str">
        <f t="shared" si="327"/>
        <v/>
      </c>
      <c r="M641" s="2" t="str">
        <f t="shared" si="328"/>
        <v/>
      </c>
      <c r="N641" s="2" t="str">
        <f t="shared" si="311"/>
        <v/>
      </c>
      <c r="O641" s="2" t="str">
        <f t="shared" si="312"/>
        <v/>
      </c>
      <c r="P641" s="2" t="str">
        <f t="shared" si="313"/>
        <v/>
      </c>
      <c r="Q641" s="2" t="str">
        <f t="shared" si="329"/>
        <v/>
      </c>
      <c r="R641" s="2" t="str">
        <f t="shared" si="330"/>
        <v/>
      </c>
      <c r="S641" s="2" t="str">
        <f t="shared" si="331"/>
        <v/>
      </c>
      <c r="T641" s="2" t="str">
        <f t="shared" si="314"/>
        <v/>
      </c>
      <c r="U641" s="2" t="str">
        <f t="shared" si="315"/>
        <v/>
      </c>
      <c r="V641" s="2" t="str">
        <f t="shared" si="316"/>
        <v/>
      </c>
      <c r="W641" s="2" t="str">
        <f t="shared" si="332"/>
        <v/>
      </c>
      <c r="X641" s="2" t="str">
        <f t="shared" si="333"/>
        <v/>
      </c>
      <c r="Y641" s="2" t="str">
        <f t="shared" si="334"/>
        <v/>
      </c>
      <c r="Z641" s="2" t="str">
        <f t="shared" si="317"/>
        <v/>
      </c>
      <c r="AA641" s="2" t="str">
        <f t="shared" si="318"/>
        <v/>
      </c>
      <c r="AB641" s="2" t="str">
        <f t="shared" si="319"/>
        <v/>
      </c>
      <c r="AC641" s="2" t="str">
        <f t="shared" si="335"/>
        <v/>
      </c>
      <c r="AD641" s="2" t="str">
        <f t="shared" si="336"/>
        <v/>
      </c>
      <c r="AE641" s="2" t="str">
        <f t="shared" si="337"/>
        <v/>
      </c>
      <c r="AF641" s="2" t="str">
        <f t="shared" si="338"/>
        <v/>
      </c>
    </row>
    <row r="642" spans="1:32" x14ac:dyDescent="0.2">
      <c r="A642" s="2" t="str">
        <f t="shared" si="307"/>
        <v/>
      </c>
      <c r="B642" s="2" t="str">
        <f t="shared" si="320"/>
        <v/>
      </c>
      <c r="C642" s="2" t="str">
        <f t="shared" si="321"/>
        <v/>
      </c>
      <c r="D642" s="2" t="str">
        <f t="shared" si="322"/>
        <v/>
      </c>
      <c r="E642" s="2" t="str">
        <f t="shared" si="323"/>
        <v/>
      </c>
      <c r="F642" s="2" t="str">
        <f t="shared" si="324"/>
        <v/>
      </c>
      <c r="G642" s="2" t="str">
        <f t="shared" si="325"/>
        <v/>
      </c>
      <c r="H642" s="2" t="str">
        <f t="shared" si="308"/>
        <v/>
      </c>
      <c r="I642" s="2" t="str">
        <f t="shared" si="309"/>
        <v/>
      </c>
      <c r="J642" s="2" t="str">
        <f t="shared" si="310"/>
        <v/>
      </c>
      <c r="K642" s="2" t="str">
        <f t="shared" si="326"/>
        <v/>
      </c>
      <c r="L642" s="2" t="str">
        <f t="shared" si="327"/>
        <v/>
      </c>
      <c r="M642" s="2" t="str">
        <f t="shared" si="328"/>
        <v/>
      </c>
      <c r="N642" s="2" t="str">
        <f t="shared" si="311"/>
        <v/>
      </c>
      <c r="O642" s="2" t="str">
        <f t="shared" si="312"/>
        <v/>
      </c>
      <c r="P642" s="2" t="str">
        <f t="shared" si="313"/>
        <v/>
      </c>
      <c r="Q642" s="2" t="str">
        <f t="shared" si="329"/>
        <v/>
      </c>
      <c r="R642" s="2" t="str">
        <f t="shared" si="330"/>
        <v/>
      </c>
      <c r="S642" s="2" t="str">
        <f t="shared" si="331"/>
        <v/>
      </c>
      <c r="T642" s="2" t="str">
        <f t="shared" si="314"/>
        <v/>
      </c>
      <c r="U642" s="2" t="str">
        <f t="shared" si="315"/>
        <v/>
      </c>
      <c r="V642" s="2" t="str">
        <f t="shared" si="316"/>
        <v/>
      </c>
      <c r="W642" s="2" t="str">
        <f t="shared" si="332"/>
        <v/>
      </c>
      <c r="X642" s="2" t="str">
        <f t="shared" si="333"/>
        <v/>
      </c>
      <c r="Y642" s="2" t="str">
        <f t="shared" si="334"/>
        <v/>
      </c>
      <c r="Z642" s="2" t="str">
        <f t="shared" si="317"/>
        <v/>
      </c>
      <c r="AA642" s="2" t="str">
        <f t="shared" si="318"/>
        <v/>
      </c>
      <c r="AB642" s="2" t="str">
        <f t="shared" si="319"/>
        <v/>
      </c>
      <c r="AC642" s="2" t="str">
        <f t="shared" si="335"/>
        <v/>
      </c>
      <c r="AD642" s="2" t="str">
        <f t="shared" si="336"/>
        <v/>
      </c>
      <c r="AE642" s="2" t="str">
        <f t="shared" si="337"/>
        <v/>
      </c>
      <c r="AF642" s="2" t="str">
        <f t="shared" si="338"/>
        <v/>
      </c>
    </row>
    <row r="643" spans="1:32" x14ac:dyDescent="0.2">
      <c r="A643" s="2" t="str">
        <f t="shared" si="307"/>
        <v/>
      </c>
      <c r="B643" s="2" t="str">
        <f t="shared" si="320"/>
        <v/>
      </c>
      <c r="C643" s="2" t="str">
        <f t="shared" si="321"/>
        <v/>
      </c>
      <c r="D643" s="2" t="str">
        <f t="shared" si="322"/>
        <v/>
      </c>
      <c r="E643" s="2" t="str">
        <f t="shared" si="323"/>
        <v/>
      </c>
      <c r="F643" s="2" t="str">
        <f t="shared" si="324"/>
        <v/>
      </c>
      <c r="G643" s="2" t="str">
        <f t="shared" si="325"/>
        <v/>
      </c>
      <c r="H643" s="2" t="str">
        <f t="shared" si="308"/>
        <v/>
      </c>
      <c r="I643" s="2" t="str">
        <f t="shared" si="309"/>
        <v/>
      </c>
      <c r="J643" s="2" t="str">
        <f t="shared" si="310"/>
        <v/>
      </c>
      <c r="K643" s="2" t="str">
        <f t="shared" si="326"/>
        <v/>
      </c>
      <c r="L643" s="2" t="str">
        <f t="shared" si="327"/>
        <v/>
      </c>
      <c r="M643" s="2" t="str">
        <f t="shared" si="328"/>
        <v/>
      </c>
      <c r="N643" s="2" t="str">
        <f t="shared" si="311"/>
        <v/>
      </c>
      <c r="O643" s="2" t="str">
        <f t="shared" si="312"/>
        <v/>
      </c>
      <c r="P643" s="2" t="str">
        <f t="shared" si="313"/>
        <v/>
      </c>
      <c r="Q643" s="2" t="str">
        <f t="shared" si="329"/>
        <v/>
      </c>
      <c r="R643" s="2" t="str">
        <f t="shared" si="330"/>
        <v/>
      </c>
      <c r="S643" s="2" t="str">
        <f t="shared" si="331"/>
        <v/>
      </c>
      <c r="T643" s="2" t="str">
        <f t="shared" si="314"/>
        <v/>
      </c>
      <c r="U643" s="2" t="str">
        <f t="shared" si="315"/>
        <v/>
      </c>
      <c r="V643" s="2" t="str">
        <f t="shared" si="316"/>
        <v/>
      </c>
      <c r="W643" s="2" t="str">
        <f t="shared" si="332"/>
        <v/>
      </c>
      <c r="X643" s="2" t="str">
        <f t="shared" si="333"/>
        <v/>
      </c>
      <c r="Y643" s="2" t="str">
        <f t="shared" si="334"/>
        <v/>
      </c>
      <c r="Z643" s="2" t="str">
        <f t="shared" si="317"/>
        <v/>
      </c>
      <c r="AA643" s="2" t="str">
        <f t="shared" si="318"/>
        <v/>
      </c>
      <c r="AB643" s="2" t="str">
        <f t="shared" si="319"/>
        <v/>
      </c>
      <c r="AC643" s="2" t="str">
        <f t="shared" si="335"/>
        <v/>
      </c>
      <c r="AD643" s="2" t="str">
        <f t="shared" si="336"/>
        <v/>
      </c>
      <c r="AE643" s="2" t="str">
        <f t="shared" si="337"/>
        <v/>
      </c>
      <c r="AF643" s="2" t="str">
        <f t="shared" si="338"/>
        <v/>
      </c>
    </row>
    <row r="644" spans="1:32" x14ac:dyDescent="0.2">
      <c r="A644" s="2" t="str">
        <f t="shared" si="307"/>
        <v/>
      </c>
      <c r="B644" s="2" t="str">
        <f t="shared" si="320"/>
        <v/>
      </c>
      <c r="C644" s="2" t="str">
        <f t="shared" si="321"/>
        <v/>
      </c>
      <c r="D644" s="2" t="str">
        <f t="shared" si="322"/>
        <v/>
      </c>
      <c r="E644" s="2" t="str">
        <f t="shared" si="323"/>
        <v/>
      </c>
      <c r="F644" s="2" t="str">
        <f t="shared" si="324"/>
        <v/>
      </c>
      <c r="G644" s="2" t="str">
        <f t="shared" si="325"/>
        <v/>
      </c>
      <c r="H644" s="2" t="str">
        <f t="shared" si="308"/>
        <v/>
      </c>
      <c r="I644" s="2" t="str">
        <f t="shared" si="309"/>
        <v/>
      </c>
      <c r="J644" s="2" t="str">
        <f t="shared" si="310"/>
        <v/>
      </c>
      <c r="K644" s="2" t="str">
        <f t="shared" si="326"/>
        <v/>
      </c>
      <c r="L644" s="2" t="str">
        <f t="shared" si="327"/>
        <v/>
      </c>
      <c r="M644" s="2" t="str">
        <f t="shared" si="328"/>
        <v/>
      </c>
      <c r="N644" s="2" t="str">
        <f t="shared" si="311"/>
        <v/>
      </c>
      <c r="O644" s="2" t="str">
        <f t="shared" si="312"/>
        <v/>
      </c>
      <c r="P644" s="2" t="str">
        <f t="shared" si="313"/>
        <v/>
      </c>
      <c r="Q644" s="2" t="str">
        <f t="shared" si="329"/>
        <v/>
      </c>
      <c r="R644" s="2" t="str">
        <f t="shared" si="330"/>
        <v/>
      </c>
      <c r="S644" s="2" t="str">
        <f t="shared" si="331"/>
        <v/>
      </c>
      <c r="T644" s="2" t="str">
        <f t="shared" si="314"/>
        <v/>
      </c>
      <c r="U644" s="2" t="str">
        <f t="shared" si="315"/>
        <v/>
      </c>
      <c r="V644" s="2" t="str">
        <f t="shared" si="316"/>
        <v/>
      </c>
      <c r="W644" s="2" t="str">
        <f t="shared" si="332"/>
        <v/>
      </c>
      <c r="X644" s="2" t="str">
        <f t="shared" si="333"/>
        <v/>
      </c>
      <c r="Y644" s="2" t="str">
        <f t="shared" si="334"/>
        <v/>
      </c>
      <c r="Z644" s="2" t="str">
        <f t="shared" si="317"/>
        <v/>
      </c>
      <c r="AA644" s="2" t="str">
        <f t="shared" si="318"/>
        <v/>
      </c>
      <c r="AB644" s="2" t="str">
        <f t="shared" si="319"/>
        <v/>
      </c>
      <c r="AC644" s="2" t="str">
        <f t="shared" si="335"/>
        <v/>
      </c>
      <c r="AD644" s="2" t="str">
        <f t="shared" si="336"/>
        <v/>
      </c>
      <c r="AE644" s="2" t="str">
        <f t="shared" si="337"/>
        <v/>
      </c>
      <c r="AF644" s="2" t="str">
        <f t="shared" si="338"/>
        <v/>
      </c>
    </row>
    <row r="645" spans="1:32" x14ac:dyDescent="0.2">
      <c r="A645" s="2" t="str">
        <f t="shared" ref="A645:A708" si="339">IF(AH645="","",_xlfn.CONCAT(AH645,"_",ROW()-3))</f>
        <v/>
      </c>
      <c r="B645" s="2" t="str">
        <f t="shared" si="320"/>
        <v/>
      </c>
      <c r="C645" s="2" t="str">
        <f t="shared" si="321"/>
        <v/>
      </c>
      <c r="D645" s="2" t="str">
        <f t="shared" si="322"/>
        <v/>
      </c>
      <c r="E645" s="2" t="str">
        <f t="shared" si="323"/>
        <v/>
      </c>
      <c r="F645" s="2" t="str">
        <f t="shared" si="324"/>
        <v/>
      </c>
      <c r="G645" s="2" t="str">
        <f t="shared" si="325"/>
        <v/>
      </c>
      <c r="H645" s="2" t="str">
        <f t="shared" ref="H645:H708" si="340">IF(AO645="","",IF(AQ645&lt;&gt;0,(AO645+AQ645)/2,AO645)-BN645)</f>
        <v/>
      </c>
      <c r="I645" s="2" t="str">
        <f t="shared" ref="I645:I708" si="341">IF(AP645="","",AP645)</f>
        <v/>
      </c>
      <c r="J645" s="2" t="str">
        <f t="shared" ref="J645:J708" si="342">IF(AQ645="","",(AO645+AQ645)/2-BN645)</f>
        <v/>
      </c>
      <c r="K645" s="2" t="str">
        <f t="shared" si="326"/>
        <v/>
      </c>
      <c r="L645" s="2" t="str">
        <f t="shared" si="327"/>
        <v/>
      </c>
      <c r="M645" s="2" t="str">
        <f t="shared" si="328"/>
        <v/>
      </c>
      <c r="N645" s="2" t="str">
        <f t="shared" ref="N645:N708" si="343">IF(AU645="","",IF(AW645&lt;&gt;0,(AU645+AW645)/2,AU645)-BN646)</f>
        <v/>
      </c>
      <c r="O645" s="2" t="str">
        <f t="shared" ref="O645:O708" si="344">IF(AV645="","",AV645)</f>
        <v/>
      </c>
      <c r="P645" s="2" t="str">
        <f t="shared" ref="P645:P708" si="345">IF(AW645="","",(AU645+AW645)/2-BN646)</f>
        <v/>
      </c>
      <c r="Q645" s="2" t="str">
        <f t="shared" si="329"/>
        <v/>
      </c>
      <c r="R645" s="2" t="str">
        <f t="shared" si="330"/>
        <v/>
      </c>
      <c r="S645" s="2" t="str">
        <f t="shared" si="331"/>
        <v/>
      </c>
      <c r="T645" s="2" t="str">
        <f t="shared" ref="T645:T708" si="346">IF(BA645="","",IF(BC645&lt;&gt;0,(BA645+BC645)/2,BA645)-BN647)</f>
        <v/>
      </c>
      <c r="U645" s="2" t="str">
        <f t="shared" ref="U645:U708" si="347">IF(BB645="","",BB645)</f>
        <v/>
      </c>
      <c r="V645" s="2" t="str">
        <f t="shared" ref="V645:V708" si="348">IF(BC645="","",(BA645+BC645)/2-BN647)</f>
        <v/>
      </c>
      <c r="W645" s="2" t="str">
        <f t="shared" si="332"/>
        <v/>
      </c>
      <c r="X645" s="2" t="str">
        <f t="shared" si="333"/>
        <v/>
      </c>
      <c r="Y645" s="2" t="str">
        <f t="shared" si="334"/>
        <v/>
      </c>
      <c r="Z645" s="2" t="str">
        <f t="shared" ref="Z645:Z708" si="349">IF(BG645="","",IF(BI645&lt;&gt;0,(BG645+BI645)/2,BG645)-BN648)</f>
        <v/>
      </c>
      <c r="AA645" s="2" t="str">
        <f t="shared" ref="AA645:AA708" si="350">IF(BH645="","",BH645)</f>
        <v/>
      </c>
      <c r="AB645" s="2" t="str">
        <f t="shared" ref="AB645:AB708" si="351">IF(BI645="","",(BG645+BI645)/2-BN648)</f>
        <v/>
      </c>
      <c r="AC645" s="2" t="str">
        <f t="shared" si="335"/>
        <v/>
      </c>
      <c r="AD645" s="2" t="str">
        <f t="shared" si="336"/>
        <v/>
      </c>
      <c r="AE645" s="2" t="str">
        <f t="shared" si="337"/>
        <v/>
      </c>
      <c r="AF645" s="2" t="str">
        <f t="shared" si="338"/>
        <v/>
      </c>
    </row>
    <row r="646" spans="1:32" x14ac:dyDescent="0.2">
      <c r="A646" s="2" t="str">
        <f t="shared" si="339"/>
        <v/>
      </c>
      <c r="B646" s="2" t="str">
        <f t="shared" si="320"/>
        <v/>
      </c>
      <c r="C646" s="2" t="str">
        <f t="shared" si="321"/>
        <v/>
      </c>
      <c r="D646" s="2" t="str">
        <f t="shared" si="322"/>
        <v/>
      </c>
      <c r="E646" s="2" t="str">
        <f t="shared" si="323"/>
        <v/>
      </c>
      <c r="F646" s="2" t="str">
        <f t="shared" si="324"/>
        <v/>
      </c>
      <c r="G646" s="2" t="str">
        <f t="shared" si="325"/>
        <v/>
      </c>
      <c r="H646" s="2" t="str">
        <f t="shared" si="340"/>
        <v/>
      </c>
      <c r="I646" s="2" t="str">
        <f t="shared" si="341"/>
        <v/>
      </c>
      <c r="J646" s="2" t="str">
        <f t="shared" si="342"/>
        <v/>
      </c>
      <c r="K646" s="2" t="str">
        <f t="shared" si="326"/>
        <v/>
      </c>
      <c r="L646" s="2" t="str">
        <f t="shared" si="327"/>
        <v/>
      </c>
      <c r="M646" s="2" t="str">
        <f t="shared" si="328"/>
        <v/>
      </c>
      <c r="N646" s="2" t="str">
        <f t="shared" si="343"/>
        <v/>
      </c>
      <c r="O646" s="2" t="str">
        <f t="shared" si="344"/>
        <v/>
      </c>
      <c r="P646" s="2" t="str">
        <f t="shared" si="345"/>
        <v/>
      </c>
      <c r="Q646" s="2" t="str">
        <f t="shared" si="329"/>
        <v/>
      </c>
      <c r="R646" s="2" t="str">
        <f t="shared" si="330"/>
        <v/>
      </c>
      <c r="S646" s="2" t="str">
        <f t="shared" si="331"/>
        <v/>
      </c>
      <c r="T646" s="2" t="str">
        <f t="shared" si="346"/>
        <v/>
      </c>
      <c r="U646" s="2" t="str">
        <f t="shared" si="347"/>
        <v/>
      </c>
      <c r="V646" s="2" t="str">
        <f t="shared" si="348"/>
        <v/>
      </c>
      <c r="W646" s="2" t="str">
        <f t="shared" si="332"/>
        <v/>
      </c>
      <c r="X646" s="2" t="str">
        <f t="shared" si="333"/>
        <v/>
      </c>
      <c r="Y646" s="2" t="str">
        <f t="shared" si="334"/>
        <v/>
      </c>
      <c r="Z646" s="2" t="str">
        <f t="shared" si="349"/>
        <v/>
      </c>
      <c r="AA646" s="2" t="str">
        <f t="shared" si="350"/>
        <v/>
      </c>
      <c r="AB646" s="2" t="str">
        <f t="shared" si="351"/>
        <v/>
      </c>
      <c r="AC646" s="2" t="str">
        <f t="shared" si="335"/>
        <v/>
      </c>
      <c r="AD646" s="2" t="str">
        <f t="shared" si="336"/>
        <v/>
      </c>
      <c r="AE646" s="2" t="str">
        <f t="shared" si="337"/>
        <v/>
      </c>
      <c r="AF646" s="2" t="str">
        <f t="shared" si="338"/>
        <v/>
      </c>
    </row>
    <row r="647" spans="1:32" x14ac:dyDescent="0.2">
      <c r="A647" s="2" t="str">
        <f t="shared" si="339"/>
        <v/>
      </c>
      <c r="B647" s="2" t="str">
        <f t="shared" si="320"/>
        <v/>
      </c>
      <c r="C647" s="2" t="str">
        <f t="shared" si="321"/>
        <v/>
      </c>
      <c r="D647" s="2" t="str">
        <f t="shared" si="322"/>
        <v/>
      </c>
      <c r="E647" s="2" t="str">
        <f t="shared" si="323"/>
        <v/>
      </c>
      <c r="F647" s="2" t="str">
        <f t="shared" si="324"/>
        <v/>
      </c>
      <c r="G647" s="2" t="str">
        <f t="shared" si="325"/>
        <v/>
      </c>
      <c r="H647" s="2" t="str">
        <f t="shared" si="340"/>
        <v/>
      </c>
      <c r="I647" s="2" t="str">
        <f t="shared" si="341"/>
        <v/>
      </c>
      <c r="J647" s="2" t="str">
        <f t="shared" si="342"/>
        <v/>
      </c>
      <c r="K647" s="2" t="str">
        <f t="shared" si="326"/>
        <v/>
      </c>
      <c r="L647" s="2" t="str">
        <f t="shared" si="327"/>
        <v/>
      </c>
      <c r="M647" s="2" t="str">
        <f t="shared" si="328"/>
        <v/>
      </c>
      <c r="N647" s="2" t="str">
        <f t="shared" si="343"/>
        <v/>
      </c>
      <c r="O647" s="2" t="str">
        <f t="shared" si="344"/>
        <v/>
      </c>
      <c r="P647" s="2" t="str">
        <f t="shared" si="345"/>
        <v/>
      </c>
      <c r="Q647" s="2" t="str">
        <f t="shared" si="329"/>
        <v/>
      </c>
      <c r="R647" s="2" t="str">
        <f t="shared" si="330"/>
        <v/>
      </c>
      <c r="S647" s="2" t="str">
        <f t="shared" si="331"/>
        <v/>
      </c>
      <c r="T647" s="2" t="str">
        <f t="shared" si="346"/>
        <v/>
      </c>
      <c r="U647" s="2" t="str">
        <f t="shared" si="347"/>
        <v/>
      </c>
      <c r="V647" s="2" t="str">
        <f t="shared" si="348"/>
        <v/>
      </c>
      <c r="W647" s="2" t="str">
        <f t="shared" si="332"/>
        <v/>
      </c>
      <c r="X647" s="2" t="str">
        <f t="shared" si="333"/>
        <v/>
      </c>
      <c r="Y647" s="2" t="str">
        <f t="shared" si="334"/>
        <v/>
      </c>
      <c r="Z647" s="2" t="str">
        <f t="shared" si="349"/>
        <v/>
      </c>
      <c r="AA647" s="2" t="str">
        <f t="shared" si="350"/>
        <v/>
      </c>
      <c r="AB647" s="2" t="str">
        <f t="shared" si="351"/>
        <v/>
      </c>
      <c r="AC647" s="2" t="str">
        <f t="shared" si="335"/>
        <v/>
      </c>
      <c r="AD647" s="2" t="str">
        <f t="shared" si="336"/>
        <v/>
      </c>
      <c r="AE647" s="2" t="str">
        <f t="shared" si="337"/>
        <v/>
      </c>
      <c r="AF647" s="2" t="str">
        <f t="shared" si="338"/>
        <v/>
      </c>
    </row>
    <row r="648" spans="1:32" x14ac:dyDescent="0.2">
      <c r="A648" s="2" t="str">
        <f t="shared" si="339"/>
        <v/>
      </c>
      <c r="B648" s="2" t="str">
        <f t="shared" si="320"/>
        <v/>
      </c>
      <c r="C648" s="2" t="str">
        <f t="shared" si="321"/>
        <v/>
      </c>
      <c r="D648" s="2" t="str">
        <f t="shared" si="322"/>
        <v/>
      </c>
      <c r="E648" s="2" t="str">
        <f t="shared" si="323"/>
        <v/>
      </c>
      <c r="F648" s="2" t="str">
        <f t="shared" si="324"/>
        <v/>
      </c>
      <c r="G648" s="2" t="str">
        <f t="shared" si="325"/>
        <v/>
      </c>
      <c r="H648" s="2" t="str">
        <f t="shared" si="340"/>
        <v/>
      </c>
      <c r="I648" s="2" t="str">
        <f t="shared" si="341"/>
        <v/>
      </c>
      <c r="J648" s="2" t="str">
        <f t="shared" si="342"/>
        <v/>
      </c>
      <c r="K648" s="2" t="str">
        <f t="shared" si="326"/>
        <v/>
      </c>
      <c r="L648" s="2" t="str">
        <f t="shared" si="327"/>
        <v/>
      </c>
      <c r="M648" s="2" t="str">
        <f t="shared" si="328"/>
        <v/>
      </c>
      <c r="N648" s="2" t="str">
        <f t="shared" si="343"/>
        <v/>
      </c>
      <c r="O648" s="2" t="str">
        <f t="shared" si="344"/>
        <v/>
      </c>
      <c r="P648" s="2" t="str">
        <f t="shared" si="345"/>
        <v/>
      </c>
      <c r="Q648" s="2" t="str">
        <f t="shared" si="329"/>
        <v/>
      </c>
      <c r="R648" s="2" t="str">
        <f t="shared" si="330"/>
        <v/>
      </c>
      <c r="S648" s="2" t="str">
        <f t="shared" si="331"/>
        <v/>
      </c>
      <c r="T648" s="2" t="str">
        <f t="shared" si="346"/>
        <v/>
      </c>
      <c r="U648" s="2" t="str">
        <f t="shared" si="347"/>
        <v/>
      </c>
      <c r="V648" s="2" t="str">
        <f t="shared" si="348"/>
        <v/>
      </c>
      <c r="W648" s="2" t="str">
        <f t="shared" si="332"/>
        <v/>
      </c>
      <c r="X648" s="2" t="str">
        <f t="shared" si="333"/>
        <v/>
      </c>
      <c r="Y648" s="2" t="str">
        <f t="shared" si="334"/>
        <v/>
      </c>
      <c r="Z648" s="2" t="str">
        <f t="shared" si="349"/>
        <v/>
      </c>
      <c r="AA648" s="2" t="str">
        <f t="shared" si="350"/>
        <v/>
      </c>
      <c r="AB648" s="2" t="str">
        <f t="shared" si="351"/>
        <v/>
      </c>
      <c r="AC648" s="2" t="str">
        <f t="shared" si="335"/>
        <v/>
      </c>
      <c r="AD648" s="2" t="str">
        <f t="shared" si="336"/>
        <v/>
      </c>
      <c r="AE648" s="2" t="str">
        <f t="shared" si="337"/>
        <v/>
      </c>
      <c r="AF648" s="2" t="str">
        <f t="shared" si="338"/>
        <v/>
      </c>
    </row>
    <row r="649" spans="1:32" x14ac:dyDescent="0.2">
      <c r="A649" s="2" t="str">
        <f t="shared" si="339"/>
        <v/>
      </c>
      <c r="B649" s="2" t="str">
        <f t="shared" si="320"/>
        <v/>
      </c>
      <c r="C649" s="2" t="str">
        <f t="shared" si="321"/>
        <v/>
      </c>
      <c r="D649" s="2" t="str">
        <f t="shared" si="322"/>
        <v/>
      </c>
      <c r="E649" s="2" t="str">
        <f t="shared" si="323"/>
        <v/>
      </c>
      <c r="F649" s="2" t="str">
        <f t="shared" si="324"/>
        <v/>
      </c>
      <c r="G649" s="2" t="str">
        <f t="shared" si="325"/>
        <v/>
      </c>
      <c r="H649" s="2" t="str">
        <f t="shared" si="340"/>
        <v/>
      </c>
      <c r="I649" s="2" t="str">
        <f t="shared" si="341"/>
        <v/>
      </c>
      <c r="J649" s="2" t="str">
        <f t="shared" si="342"/>
        <v/>
      </c>
      <c r="K649" s="2" t="str">
        <f t="shared" si="326"/>
        <v/>
      </c>
      <c r="L649" s="2" t="str">
        <f t="shared" si="327"/>
        <v/>
      </c>
      <c r="M649" s="2" t="str">
        <f t="shared" si="328"/>
        <v/>
      </c>
      <c r="N649" s="2" t="str">
        <f t="shared" si="343"/>
        <v/>
      </c>
      <c r="O649" s="2" t="str">
        <f t="shared" si="344"/>
        <v/>
      </c>
      <c r="P649" s="2" t="str">
        <f t="shared" si="345"/>
        <v/>
      </c>
      <c r="Q649" s="2" t="str">
        <f t="shared" si="329"/>
        <v/>
      </c>
      <c r="R649" s="2" t="str">
        <f t="shared" si="330"/>
        <v/>
      </c>
      <c r="S649" s="2" t="str">
        <f t="shared" si="331"/>
        <v/>
      </c>
      <c r="T649" s="2" t="str">
        <f t="shared" si="346"/>
        <v/>
      </c>
      <c r="U649" s="2" t="str">
        <f t="shared" si="347"/>
        <v/>
      </c>
      <c r="V649" s="2" t="str">
        <f t="shared" si="348"/>
        <v/>
      </c>
      <c r="W649" s="2" t="str">
        <f t="shared" si="332"/>
        <v/>
      </c>
      <c r="X649" s="2" t="str">
        <f t="shared" si="333"/>
        <v/>
      </c>
      <c r="Y649" s="2" t="str">
        <f t="shared" si="334"/>
        <v/>
      </c>
      <c r="Z649" s="2" t="str">
        <f t="shared" si="349"/>
        <v/>
      </c>
      <c r="AA649" s="2" t="str">
        <f t="shared" si="350"/>
        <v/>
      </c>
      <c r="AB649" s="2" t="str">
        <f t="shared" si="351"/>
        <v/>
      </c>
      <c r="AC649" s="2" t="str">
        <f t="shared" si="335"/>
        <v/>
      </c>
      <c r="AD649" s="2" t="str">
        <f t="shared" si="336"/>
        <v/>
      </c>
      <c r="AE649" s="2" t="str">
        <f t="shared" si="337"/>
        <v/>
      </c>
      <c r="AF649" s="2" t="str">
        <f t="shared" si="338"/>
        <v/>
      </c>
    </row>
    <row r="650" spans="1:32" x14ac:dyDescent="0.2">
      <c r="A650" s="2" t="str">
        <f t="shared" si="339"/>
        <v/>
      </c>
      <c r="B650" s="2" t="str">
        <f t="shared" si="320"/>
        <v/>
      </c>
      <c r="C650" s="2" t="str">
        <f t="shared" si="321"/>
        <v/>
      </c>
      <c r="D650" s="2" t="str">
        <f t="shared" si="322"/>
        <v/>
      </c>
      <c r="E650" s="2" t="str">
        <f t="shared" si="323"/>
        <v/>
      </c>
      <c r="F650" s="2" t="str">
        <f t="shared" si="324"/>
        <v/>
      </c>
      <c r="G650" s="2" t="str">
        <f t="shared" si="325"/>
        <v/>
      </c>
      <c r="H650" s="2" t="str">
        <f t="shared" si="340"/>
        <v/>
      </c>
      <c r="I650" s="2" t="str">
        <f t="shared" si="341"/>
        <v/>
      </c>
      <c r="J650" s="2" t="str">
        <f t="shared" si="342"/>
        <v/>
      </c>
      <c r="K650" s="2" t="str">
        <f t="shared" si="326"/>
        <v/>
      </c>
      <c r="L650" s="2" t="str">
        <f t="shared" si="327"/>
        <v/>
      </c>
      <c r="M650" s="2" t="str">
        <f t="shared" si="328"/>
        <v/>
      </c>
      <c r="N650" s="2" t="str">
        <f t="shared" si="343"/>
        <v/>
      </c>
      <c r="O650" s="2" t="str">
        <f t="shared" si="344"/>
        <v/>
      </c>
      <c r="P650" s="2" t="str">
        <f t="shared" si="345"/>
        <v/>
      </c>
      <c r="Q650" s="2" t="str">
        <f t="shared" si="329"/>
        <v/>
      </c>
      <c r="R650" s="2" t="str">
        <f t="shared" si="330"/>
        <v/>
      </c>
      <c r="S650" s="2" t="str">
        <f t="shared" si="331"/>
        <v/>
      </c>
      <c r="T650" s="2" t="str">
        <f t="shared" si="346"/>
        <v/>
      </c>
      <c r="U650" s="2" t="str">
        <f t="shared" si="347"/>
        <v/>
      </c>
      <c r="V650" s="2" t="str">
        <f t="shared" si="348"/>
        <v/>
      </c>
      <c r="W650" s="2" t="str">
        <f t="shared" si="332"/>
        <v/>
      </c>
      <c r="X650" s="2" t="str">
        <f t="shared" si="333"/>
        <v/>
      </c>
      <c r="Y650" s="2" t="str">
        <f t="shared" si="334"/>
        <v/>
      </c>
      <c r="Z650" s="2" t="str">
        <f t="shared" si="349"/>
        <v/>
      </c>
      <c r="AA650" s="2" t="str">
        <f t="shared" si="350"/>
        <v/>
      </c>
      <c r="AB650" s="2" t="str">
        <f t="shared" si="351"/>
        <v/>
      </c>
      <c r="AC650" s="2" t="str">
        <f t="shared" si="335"/>
        <v/>
      </c>
      <c r="AD650" s="2" t="str">
        <f t="shared" si="336"/>
        <v/>
      </c>
      <c r="AE650" s="2" t="str">
        <f t="shared" si="337"/>
        <v/>
      </c>
      <c r="AF650" s="2" t="str">
        <f t="shared" si="338"/>
        <v/>
      </c>
    </row>
    <row r="651" spans="1:32" x14ac:dyDescent="0.2">
      <c r="A651" s="2" t="str">
        <f t="shared" si="339"/>
        <v/>
      </c>
      <c r="B651" s="2" t="str">
        <f t="shared" si="320"/>
        <v/>
      </c>
      <c r="C651" s="2" t="str">
        <f t="shared" si="321"/>
        <v/>
      </c>
      <c r="D651" s="2" t="str">
        <f t="shared" si="322"/>
        <v/>
      </c>
      <c r="E651" s="2" t="str">
        <f t="shared" si="323"/>
        <v/>
      </c>
      <c r="F651" s="2" t="str">
        <f t="shared" si="324"/>
        <v/>
      </c>
      <c r="G651" s="2" t="str">
        <f t="shared" si="325"/>
        <v/>
      </c>
      <c r="H651" s="2" t="str">
        <f t="shared" si="340"/>
        <v/>
      </c>
      <c r="I651" s="2" t="str">
        <f t="shared" si="341"/>
        <v/>
      </c>
      <c r="J651" s="2" t="str">
        <f t="shared" si="342"/>
        <v/>
      </c>
      <c r="K651" s="2" t="str">
        <f t="shared" si="326"/>
        <v/>
      </c>
      <c r="L651" s="2" t="str">
        <f t="shared" si="327"/>
        <v/>
      </c>
      <c r="M651" s="2" t="str">
        <f t="shared" si="328"/>
        <v/>
      </c>
      <c r="N651" s="2" t="str">
        <f t="shared" si="343"/>
        <v/>
      </c>
      <c r="O651" s="2" t="str">
        <f t="shared" si="344"/>
        <v/>
      </c>
      <c r="P651" s="2" t="str">
        <f t="shared" si="345"/>
        <v/>
      </c>
      <c r="Q651" s="2" t="str">
        <f t="shared" si="329"/>
        <v/>
      </c>
      <c r="R651" s="2" t="str">
        <f t="shared" si="330"/>
        <v/>
      </c>
      <c r="S651" s="2" t="str">
        <f t="shared" si="331"/>
        <v/>
      </c>
      <c r="T651" s="2" t="str">
        <f t="shared" si="346"/>
        <v/>
      </c>
      <c r="U651" s="2" t="str">
        <f t="shared" si="347"/>
        <v/>
      </c>
      <c r="V651" s="2" t="str">
        <f t="shared" si="348"/>
        <v/>
      </c>
      <c r="W651" s="2" t="str">
        <f t="shared" si="332"/>
        <v/>
      </c>
      <c r="X651" s="2" t="str">
        <f t="shared" si="333"/>
        <v/>
      </c>
      <c r="Y651" s="2" t="str">
        <f t="shared" si="334"/>
        <v/>
      </c>
      <c r="Z651" s="2" t="str">
        <f t="shared" si="349"/>
        <v/>
      </c>
      <c r="AA651" s="2" t="str">
        <f t="shared" si="350"/>
        <v/>
      </c>
      <c r="AB651" s="2" t="str">
        <f t="shared" si="351"/>
        <v/>
      </c>
      <c r="AC651" s="2" t="str">
        <f t="shared" si="335"/>
        <v/>
      </c>
      <c r="AD651" s="2" t="str">
        <f t="shared" si="336"/>
        <v/>
      </c>
      <c r="AE651" s="2" t="str">
        <f t="shared" si="337"/>
        <v/>
      </c>
      <c r="AF651" s="2" t="str">
        <f t="shared" si="338"/>
        <v/>
      </c>
    </row>
    <row r="652" spans="1:32" x14ac:dyDescent="0.2">
      <c r="A652" s="2" t="str">
        <f t="shared" si="339"/>
        <v/>
      </c>
      <c r="B652" s="2" t="str">
        <f t="shared" si="320"/>
        <v/>
      </c>
      <c r="C652" s="2" t="str">
        <f t="shared" si="321"/>
        <v/>
      </c>
      <c r="D652" s="2" t="str">
        <f t="shared" si="322"/>
        <v/>
      </c>
      <c r="E652" s="2" t="str">
        <f t="shared" si="323"/>
        <v/>
      </c>
      <c r="F652" s="2" t="str">
        <f t="shared" si="324"/>
        <v/>
      </c>
      <c r="G652" s="2" t="str">
        <f t="shared" si="325"/>
        <v/>
      </c>
      <c r="H652" s="2" t="str">
        <f t="shared" si="340"/>
        <v/>
      </c>
      <c r="I652" s="2" t="str">
        <f t="shared" si="341"/>
        <v/>
      </c>
      <c r="J652" s="2" t="str">
        <f t="shared" si="342"/>
        <v/>
      </c>
      <c r="K652" s="2" t="str">
        <f t="shared" si="326"/>
        <v/>
      </c>
      <c r="L652" s="2" t="str">
        <f t="shared" si="327"/>
        <v/>
      </c>
      <c r="M652" s="2" t="str">
        <f t="shared" si="328"/>
        <v/>
      </c>
      <c r="N652" s="2" t="str">
        <f t="shared" si="343"/>
        <v/>
      </c>
      <c r="O652" s="2" t="str">
        <f t="shared" si="344"/>
        <v/>
      </c>
      <c r="P652" s="2" t="str">
        <f t="shared" si="345"/>
        <v/>
      </c>
      <c r="Q652" s="2" t="str">
        <f t="shared" si="329"/>
        <v/>
      </c>
      <c r="R652" s="2" t="str">
        <f t="shared" si="330"/>
        <v/>
      </c>
      <c r="S652" s="2" t="str">
        <f t="shared" si="331"/>
        <v/>
      </c>
      <c r="T652" s="2" t="str">
        <f t="shared" si="346"/>
        <v/>
      </c>
      <c r="U652" s="2" t="str">
        <f t="shared" si="347"/>
        <v/>
      </c>
      <c r="V652" s="2" t="str">
        <f t="shared" si="348"/>
        <v/>
      </c>
      <c r="W652" s="2" t="str">
        <f t="shared" si="332"/>
        <v/>
      </c>
      <c r="X652" s="2" t="str">
        <f t="shared" si="333"/>
        <v/>
      </c>
      <c r="Y652" s="2" t="str">
        <f t="shared" si="334"/>
        <v/>
      </c>
      <c r="Z652" s="2" t="str">
        <f t="shared" si="349"/>
        <v/>
      </c>
      <c r="AA652" s="2" t="str">
        <f t="shared" si="350"/>
        <v/>
      </c>
      <c r="AB652" s="2" t="str">
        <f t="shared" si="351"/>
        <v/>
      </c>
      <c r="AC652" s="2" t="str">
        <f t="shared" si="335"/>
        <v/>
      </c>
      <c r="AD652" s="2" t="str">
        <f t="shared" si="336"/>
        <v/>
      </c>
      <c r="AE652" s="2" t="str">
        <f t="shared" si="337"/>
        <v/>
      </c>
      <c r="AF652" s="2" t="str">
        <f t="shared" si="338"/>
        <v/>
      </c>
    </row>
    <row r="653" spans="1:32" x14ac:dyDescent="0.2">
      <c r="A653" s="2" t="str">
        <f t="shared" si="339"/>
        <v/>
      </c>
      <c r="B653" s="2" t="str">
        <f t="shared" si="320"/>
        <v/>
      </c>
      <c r="C653" s="2" t="str">
        <f t="shared" si="321"/>
        <v/>
      </c>
      <c r="D653" s="2" t="str">
        <f t="shared" si="322"/>
        <v/>
      </c>
      <c r="E653" s="2" t="str">
        <f t="shared" si="323"/>
        <v/>
      </c>
      <c r="F653" s="2" t="str">
        <f t="shared" si="324"/>
        <v/>
      </c>
      <c r="G653" s="2" t="str">
        <f t="shared" si="325"/>
        <v/>
      </c>
      <c r="H653" s="2" t="str">
        <f t="shared" si="340"/>
        <v/>
      </c>
      <c r="I653" s="2" t="str">
        <f t="shared" si="341"/>
        <v/>
      </c>
      <c r="J653" s="2" t="str">
        <f t="shared" si="342"/>
        <v/>
      </c>
      <c r="K653" s="2" t="str">
        <f t="shared" si="326"/>
        <v/>
      </c>
      <c r="L653" s="2" t="str">
        <f t="shared" si="327"/>
        <v/>
      </c>
      <c r="M653" s="2" t="str">
        <f t="shared" si="328"/>
        <v/>
      </c>
      <c r="N653" s="2" t="str">
        <f t="shared" si="343"/>
        <v/>
      </c>
      <c r="O653" s="2" t="str">
        <f t="shared" si="344"/>
        <v/>
      </c>
      <c r="P653" s="2" t="str">
        <f t="shared" si="345"/>
        <v/>
      </c>
      <c r="Q653" s="2" t="str">
        <f t="shared" si="329"/>
        <v/>
      </c>
      <c r="R653" s="2" t="str">
        <f t="shared" si="330"/>
        <v/>
      </c>
      <c r="S653" s="2" t="str">
        <f t="shared" si="331"/>
        <v/>
      </c>
      <c r="T653" s="2" t="str">
        <f t="shared" si="346"/>
        <v/>
      </c>
      <c r="U653" s="2" t="str">
        <f t="shared" si="347"/>
        <v/>
      </c>
      <c r="V653" s="2" t="str">
        <f t="shared" si="348"/>
        <v/>
      </c>
      <c r="W653" s="2" t="str">
        <f t="shared" si="332"/>
        <v/>
      </c>
      <c r="X653" s="2" t="str">
        <f t="shared" si="333"/>
        <v/>
      </c>
      <c r="Y653" s="2" t="str">
        <f t="shared" si="334"/>
        <v/>
      </c>
      <c r="Z653" s="2" t="str">
        <f t="shared" si="349"/>
        <v/>
      </c>
      <c r="AA653" s="2" t="str">
        <f t="shared" si="350"/>
        <v/>
      </c>
      <c r="AB653" s="2" t="str">
        <f t="shared" si="351"/>
        <v/>
      </c>
      <c r="AC653" s="2" t="str">
        <f t="shared" si="335"/>
        <v/>
      </c>
      <c r="AD653" s="2" t="str">
        <f t="shared" si="336"/>
        <v/>
      </c>
      <c r="AE653" s="2" t="str">
        <f t="shared" si="337"/>
        <v/>
      </c>
      <c r="AF653" s="2" t="str">
        <f t="shared" si="338"/>
        <v/>
      </c>
    </row>
    <row r="654" spans="1:32" x14ac:dyDescent="0.2">
      <c r="A654" s="2" t="str">
        <f t="shared" si="339"/>
        <v/>
      </c>
      <c r="B654" s="2" t="str">
        <f t="shared" si="320"/>
        <v/>
      </c>
      <c r="C654" s="2" t="str">
        <f t="shared" si="321"/>
        <v/>
      </c>
      <c r="D654" s="2" t="str">
        <f t="shared" si="322"/>
        <v/>
      </c>
      <c r="E654" s="2" t="str">
        <f t="shared" si="323"/>
        <v/>
      </c>
      <c r="F654" s="2" t="str">
        <f t="shared" si="324"/>
        <v/>
      </c>
      <c r="G654" s="2" t="str">
        <f t="shared" si="325"/>
        <v/>
      </c>
      <c r="H654" s="2" t="str">
        <f t="shared" si="340"/>
        <v/>
      </c>
      <c r="I654" s="2" t="str">
        <f t="shared" si="341"/>
        <v/>
      </c>
      <c r="J654" s="2" t="str">
        <f t="shared" si="342"/>
        <v/>
      </c>
      <c r="K654" s="2" t="str">
        <f t="shared" si="326"/>
        <v/>
      </c>
      <c r="L654" s="2" t="str">
        <f t="shared" si="327"/>
        <v/>
      </c>
      <c r="M654" s="2" t="str">
        <f t="shared" si="328"/>
        <v/>
      </c>
      <c r="N654" s="2" t="str">
        <f t="shared" si="343"/>
        <v/>
      </c>
      <c r="O654" s="2" t="str">
        <f t="shared" si="344"/>
        <v/>
      </c>
      <c r="P654" s="2" t="str">
        <f t="shared" si="345"/>
        <v/>
      </c>
      <c r="Q654" s="2" t="str">
        <f t="shared" si="329"/>
        <v/>
      </c>
      <c r="R654" s="2" t="str">
        <f t="shared" si="330"/>
        <v/>
      </c>
      <c r="S654" s="2" t="str">
        <f t="shared" si="331"/>
        <v/>
      </c>
      <c r="T654" s="2" t="str">
        <f t="shared" si="346"/>
        <v/>
      </c>
      <c r="U654" s="2" t="str">
        <f t="shared" si="347"/>
        <v/>
      </c>
      <c r="V654" s="2" t="str">
        <f t="shared" si="348"/>
        <v/>
      </c>
      <c r="W654" s="2" t="str">
        <f t="shared" si="332"/>
        <v/>
      </c>
      <c r="X654" s="2" t="str">
        <f t="shared" si="333"/>
        <v/>
      </c>
      <c r="Y654" s="2" t="str">
        <f t="shared" si="334"/>
        <v/>
      </c>
      <c r="Z654" s="2" t="str">
        <f t="shared" si="349"/>
        <v/>
      </c>
      <c r="AA654" s="2" t="str">
        <f t="shared" si="350"/>
        <v/>
      </c>
      <c r="AB654" s="2" t="str">
        <f t="shared" si="351"/>
        <v/>
      </c>
      <c r="AC654" s="2" t="str">
        <f t="shared" si="335"/>
        <v/>
      </c>
      <c r="AD654" s="2" t="str">
        <f t="shared" si="336"/>
        <v/>
      </c>
      <c r="AE654" s="2" t="str">
        <f t="shared" si="337"/>
        <v/>
      </c>
      <c r="AF654" s="2" t="str">
        <f t="shared" si="338"/>
        <v/>
      </c>
    </row>
    <row r="655" spans="1:32" x14ac:dyDescent="0.2">
      <c r="A655" s="2" t="str">
        <f t="shared" si="339"/>
        <v/>
      </c>
      <c r="B655" s="2" t="str">
        <f t="shared" si="320"/>
        <v/>
      </c>
      <c r="C655" s="2" t="str">
        <f t="shared" si="321"/>
        <v/>
      </c>
      <c r="D655" s="2" t="str">
        <f t="shared" si="322"/>
        <v/>
      </c>
      <c r="E655" s="2" t="str">
        <f t="shared" si="323"/>
        <v/>
      </c>
      <c r="F655" s="2" t="str">
        <f t="shared" si="324"/>
        <v/>
      </c>
      <c r="G655" s="2" t="str">
        <f t="shared" si="325"/>
        <v/>
      </c>
      <c r="H655" s="2" t="str">
        <f t="shared" si="340"/>
        <v/>
      </c>
      <c r="I655" s="2" t="str">
        <f t="shared" si="341"/>
        <v/>
      </c>
      <c r="J655" s="2" t="str">
        <f t="shared" si="342"/>
        <v/>
      </c>
      <c r="K655" s="2" t="str">
        <f t="shared" si="326"/>
        <v/>
      </c>
      <c r="L655" s="2" t="str">
        <f t="shared" si="327"/>
        <v/>
      </c>
      <c r="M655" s="2" t="str">
        <f t="shared" si="328"/>
        <v/>
      </c>
      <c r="N655" s="2" t="str">
        <f t="shared" si="343"/>
        <v/>
      </c>
      <c r="O655" s="2" t="str">
        <f t="shared" si="344"/>
        <v/>
      </c>
      <c r="P655" s="2" t="str">
        <f t="shared" si="345"/>
        <v/>
      </c>
      <c r="Q655" s="2" t="str">
        <f t="shared" si="329"/>
        <v/>
      </c>
      <c r="R655" s="2" t="str">
        <f t="shared" si="330"/>
        <v/>
      </c>
      <c r="S655" s="2" t="str">
        <f t="shared" si="331"/>
        <v/>
      </c>
      <c r="T655" s="2" t="str">
        <f t="shared" si="346"/>
        <v/>
      </c>
      <c r="U655" s="2" t="str">
        <f t="shared" si="347"/>
        <v/>
      </c>
      <c r="V655" s="2" t="str">
        <f t="shared" si="348"/>
        <v/>
      </c>
      <c r="W655" s="2" t="str">
        <f t="shared" si="332"/>
        <v/>
      </c>
      <c r="X655" s="2" t="str">
        <f t="shared" si="333"/>
        <v/>
      </c>
      <c r="Y655" s="2" t="str">
        <f t="shared" si="334"/>
        <v/>
      </c>
      <c r="Z655" s="2" t="str">
        <f t="shared" si="349"/>
        <v/>
      </c>
      <c r="AA655" s="2" t="str">
        <f t="shared" si="350"/>
        <v/>
      </c>
      <c r="AB655" s="2" t="str">
        <f t="shared" si="351"/>
        <v/>
      </c>
      <c r="AC655" s="2" t="str">
        <f t="shared" si="335"/>
        <v/>
      </c>
      <c r="AD655" s="2" t="str">
        <f t="shared" si="336"/>
        <v/>
      </c>
      <c r="AE655" s="2" t="str">
        <f t="shared" si="337"/>
        <v/>
      </c>
      <c r="AF655" s="2" t="str">
        <f t="shared" si="338"/>
        <v/>
      </c>
    </row>
    <row r="656" spans="1:32" x14ac:dyDescent="0.2">
      <c r="A656" s="2" t="str">
        <f t="shared" si="339"/>
        <v/>
      </c>
      <c r="B656" s="2" t="str">
        <f t="shared" si="320"/>
        <v/>
      </c>
      <c r="C656" s="2" t="str">
        <f t="shared" si="321"/>
        <v/>
      </c>
      <c r="D656" s="2" t="str">
        <f t="shared" si="322"/>
        <v/>
      </c>
      <c r="E656" s="2" t="str">
        <f t="shared" si="323"/>
        <v/>
      </c>
      <c r="F656" s="2" t="str">
        <f t="shared" si="324"/>
        <v/>
      </c>
      <c r="G656" s="2" t="str">
        <f t="shared" si="325"/>
        <v/>
      </c>
      <c r="H656" s="2" t="str">
        <f t="shared" si="340"/>
        <v/>
      </c>
      <c r="I656" s="2" t="str">
        <f t="shared" si="341"/>
        <v/>
      </c>
      <c r="J656" s="2" t="str">
        <f t="shared" si="342"/>
        <v/>
      </c>
      <c r="K656" s="2" t="str">
        <f t="shared" si="326"/>
        <v/>
      </c>
      <c r="L656" s="2" t="str">
        <f t="shared" si="327"/>
        <v/>
      </c>
      <c r="M656" s="2" t="str">
        <f t="shared" si="328"/>
        <v/>
      </c>
      <c r="N656" s="2" t="str">
        <f t="shared" si="343"/>
        <v/>
      </c>
      <c r="O656" s="2" t="str">
        <f t="shared" si="344"/>
        <v/>
      </c>
      <c r="P656" s="2" t="str">
        <f t="shared" si="345"/>
        <v/>
      </c>
      <c r="Q656" s="2" t="str">
        <f t="shared" si="329"/>
        <v/>
      </c>
      <c r="R656" s="2" t="str">
        <f t="shared" si="330"/>
        <v/>
      </c>
      <c r="S656" s="2" t="str">
        <f t="shared" si="331"/>
        <v/>
      </c>
      <c r="T656" s="2" t="str">
        <f t="shared" si="346"/>
        <v/>
      </c>
      <c r="U656" s="2" t="str">
        <f t="shared" si="347"/>
        <v/>
      </c>
      <c r="V656" s="2" t="str">
        <f t="shared" si="348"/>
        <v/>
      </c>
      <c r="W656" s="2" t="str">
        <f t="shared" si="332"/>
        <v/>
      </c>
      <c r="X656" s="2" t="str">
        <f t="shared" si="333"/>
        <v/>
      </c>
      <c r="Y656" s="2" t="str">
        <f t="shared" si="334"/>
        <v/>
      </c>
      <c r="Z656" s="2" t="str">
        <f t="shared" si="349"/>
        <v/>
      </c>
      <c r="AA656" s="2" t="str">
        <f t="shared" si="350"/>
        <v/>
      </c>
      <c r="AB656" s="2" t="str">
        <f t="shared" si="351"/>
        <v/>
      </c>
      <c r="AC656" s="2" t="str">
        <f t="shared" si="335"/>
        <v/>
      </c>
      <c r="AD656" s="2" t="str">
        <f t="shared" si="336"/>
        <v/>
      </c>
      <c r="AE656" s="2" t="str">
        <f t="shared" si="337"/>
        <v/>
      </c>
      <c r="AF656" s="2" t="str">
        <f t="shared" si="338"/>
        <v/>
      </c>
    </row>
    <row r="657" spans="1:32" x14ac:dyDescent="0.2">
      <c r="A657" s="2" t="str">
        <f t="shared" si="339"/>
        <v/>
      </c>
      <c r="B657" s="2" t="str">
        <f t="shared" si="320"/>
        <v/>
      </c>
      <c r="C657" s="2" t="str">
        <f t="shared" si="321"/>
        <v/>
      </c>
      <c r="D657" s="2" t="str">
        <f t="shared" si="322"/>
        <v/>
      </c>
      <c r="E657" s="2" t="str">
        <f t="shared" si="323"/>
        <v/>
      </c>
      <c r="F657" s="2" t="str">
        <f t="shared" si="324"/>
        <v/>
      </c>
      <c r="G657" s="2" t="str">
        <f t="shared" si="325"/>
        <v/>
      </c>
      <c r="H657" s="2" t="str">
        <f t="shared" si="340"/>
        <v/>
      </c>
      <c r="I657" s="2" t="str">
        <f t="shared" si="341"/>
        <v/>
      </c>
      <c r="J657" s="2" t="str">
        <f t="shared" si="342"/>
        <v/>
      </c>
      <c r="K657" s="2" t="str">
        <f t="shared" si="326"/>
        <v/>
      </c>
      <c r="L657" s="2" t="str">
        <f t="shared" si="327"/>
        <v/>
      </c>
      <c r="M657" s="2" t="str">
        <f t="shared" si="328"/>
        <v/>
      </c>
      <c r="N657" s="2" t="str">
        <f t="shared" si="343"/>
        <v/>
      </c>
      <c r="O657" s="2" t="str">
        <f t="shared" si="344"/>
        <v/>
      </c>
      <c r="P657" s="2" t="str">
        <f t="shared" si="345"/>
        <v/>
      </c>
      <c r="Q657" s="2" t="str">
        <f t="shared" si="329"/>
        <v/>
      </c>
      <c r="R657" s="2" t="str">
        <f t="shared" si="330"/>
        <v/>
      </c>
      <c r="S657" s="2" t="str">
        <f t="shared" si="331"/>
        <v/>
      </c>
      <c r="T657" s="2" t="str">
        <f t="shared" si="346"/>
        <v/>
      </c>
      <c r="U657" s="2" t="str">
        <f t="shared" si="347"/>
        <v/>
      </c>
      <c r="V657" s="2" t="str">
        <f t="shared" si="348"/>
        <v/>
      </c>
      <c r="W657" s="2" t="str">
        <f t="shared" si="332"/>
        <v/>
      </c>
      <c r="X657" s="2" t="str">
        <f t="shared" si="333"/>
        <v/>
      </c>
      <c r="Y657" s="2" t="str">
        <f t="shared" si="334"/>
        <v/>
      </c>
      <c r="Z657" s="2" t="str">
        <f t="shared" si="349"/>
        <v/>
      </c>
      <c r="AA657" s="2" t="str">
        <f t="shared" si="350"/>
        <v/>
      </c>
      <c r="AB657" s="2" t="str">
        <f t="shared" si="351"/>
        <v/>
      </c>
      <c r="AC657" s="2" t="str">
        <f t="shared" si="335"/>
        <v/>
      </c>
      <c r="AD657" s="2" t="str">
        <f t="shared" si="336"/>
        <v/>
      </c>
      <c r="AE657" s="2" t="str">
        <f t="shared" si="337"/>
        <v/>
      </c>
      <c r="AF657" s="2" t="str">
        <f t="shared" si="338"/>
        <v/>
      </c>
    </row>
    <row r="658" spans="1:32" x14ac:dyDescent="0.2">
      <c r="A658" s="2" t="str">
        <f t="shared" si="339"/>
        <v/>
      </c>
      <c r="B658" s="2" t="str">
        <f t="shared" si="320"/>
        <v/>
      </c>
      <c r="C658" s="2" t="str">
        <f t="shared" si="321"/>
        <v/>
      </c>
      <c r="D658" s="2" t="str">
        <f t="shared" si="322"/>
        <v/>
      </c>
      <c r="E658" s="2" t="str">
        <f t="shared" si="323"/>
        <v/>
      </c>
      <c r="F658" s="2" t="str">
        <f t="shared" si="324"/>
        <v/>
      </c>
      <c r="G658" s="2" t="str">
        <f t="shared" si="325"/>
        <v/>
      </c>
      <c r="H658" s="2" t="str">
        <f t="shared" si="340"/>
        <v/>
      </c>
      <c r="I658" s="2" t="str">
        <f t="shared" si="341"/>
        <v/>
      </c>
      <c r="J658" s="2" t="str">
        <f t="shared" si="342"/>
        <v/>
      </c>
      <c r="K658" s="2" t="str">
        <f t="shared" si="326"/>
        <v/>
      </c>
      <c r="L658" s="2" t="str">
        <f t="shared" si="327"/>
        <v/>
      </c>
      <c r="M658" s="2" t="str">
        <f t="shared" si="328"/>
        <v/>
      </c>
      <c r="N658" s="2" t="str">
        <f t="shared" si="343"/>
        <v/>
      </c>
      <c r="O658" s="2" t="str">
        <f t="shared" si="344"/>
        <v/>
      </c>
      <c r="P658" s="2" t="str">
        <f t="shared" si="345"/>
        <v/>
      </c>
      <c r="Q658" s="2" t="str">
        <f t="shared" si="329"/>
        <v/>
      </c>
      <c r="R658" s="2" t="str">
        <f t="shared" si="330"/>
        <v/>
      </c>
      <c r="S658" s="2" t="str">
        <f t="shared" si="331"/>
        <v/>
      </c>
      <c r="T658" s="2" t="str">
        <f t="shared" si="346"/>
        <v/>
      </c>
      <c r="U658" s="2" t="str">
        <f t="shared" si="347"/>
        <v/>
      </c>
      <c r="V658" s="2" t="str">
        <f t="shared" si="348"/>
        <v/>
      </c>
      <c r="W658" s="2" t="str">
        <f t="shared" si="332"/>
        <v/>
      </c>
      <c r="X658" s="2" t="str">
        <f t="shared" si="333"/>
        <v/>
      </c>
      <c r="Y658" s="2" t="str">
        <f t="shared" si="334"/>
        <v/>
      </c>
      <c r="Z658" s="2" t="str">
        <f t="shared" si="349"/>
        <v/>
      </c>
      <c r="AA658" s="2" t="str">
        <f t="shared" si="350"/>
        <v/>
      </c>
      <c r="AB658" s="2" t="str">
        <f t="shared" si="351"/>
        <v/>
      </c>
      <c r="AC658" s="2" t="str">
        <f t="shared" si="335"/>
        <v/>
      </c>
      <c r="AD658" s="2" t="str">
        <f t="shared" si="336"/>
        <v/>
      </c>
      <c r="AE658" s="2" t="str">
        <f t="shared" si="337"/>
        <v/>
      </c>
      <c r="AF658" s="2" t="str">
        <f t="shared" si="338"/>
        <v/>
      </c>
    </row>
    <row r="659" spans="1:32" x14ac:dyDescent="0.2">
      <c r="A659" s="2" t="str">
        <f t="shared" si="339"/>
        <v/>
      </c>
      <c r="B659" s="2" t="str">
        <f t="shared" si="320"/>
        <v/>
      </c>
      <c r="C659" s="2" t="str">
        <f t="shared" si="321"/>
        <v/>
      </c>
      <c r="D659" s="2" t="str">
        <f t="shared" si="322"/>
        <v/>
      </c>
      <c r="E659" s="2" t="str">
        <f t="shared" si="323"/>
        <v/>
      </c>
      <c r="F659" s="2" t="str">
        <f t="shared" si="324"/>
        <v/>
      </c>
      <c r="G659" s="2" t="str">
        <f t="shared" si="325"/>
        <v/>
      </c>
      <c r="H659" s="2" t="str">
        <f t="shared" si="340"/>
        <v/>
      </c>
      <c r="I659" s="2" t="str">
        <f t="shared" si="341"/>
        <v/>
      </c>
      <c r="J659" s="2" t="str">
        <f t="shared" si="342"/>
        <v/>
      </c>
      <c r="K659" s="2" t="str">
        <f t="shared" si="326"/>
        <v/>
      </c>
      <c r="L659" s="2" t="str">
        <f t="shared" si="327"/>
        <v/>
      </c>
      <c r="M659" s="2" t="str">
        <f t="shared" si="328"/>
        <v/>
      </c>
      <c r="N659" s="2" t="str">
        <f t="shared" si="343"/>
        <v/>
      </c>
      <c r="O659" s="2" t="str">
        <f t="shared" si="344"/>
        <v/>
      </c>
      <c r="P659" s="2" t="str">
        <f t="shared" si="345"/>
        <v/>
      </c>
      <c r="Q659" s="2" t="str">
        <f t="shared" si="329"/>
        <v/>
      </c>
      <c r="R659" s="2" t="str">
        <f t="shared" si="330"/>
        <v/>
      </c>
      <c r="S659" s="2" t="str">
        <f t="shared" si="331"/>
        <v/>
      </c>
      <c r="T659" s="2" t="str">
        <f t="shared" si="346"/>
        <v/>
      </c>
      <c r="U659" s="2" t="str">
        <f t="shared" si="347"/>
        <v/>
      </c>
      <c r="V659" s="2" t="str">
        <f t="shared" si="348"/>
        <v/>
      </c>
      <c r="W659" s="2" t="str">
        <f t="shared" si="332"/>
        <v/>
      </c>
      <c r="X659" s="2" t="str">
        <f t="shared" si="333"/>
        <v/>
      </c>
      <c r="Y659" s="2" t="str">
        <f t="shared" si="334"/>
        <v/>
      </c>
      <c r="Z659" s="2" t="str">
        <f t="shared" si="349"/>
        <v/>
      </c>
      <c r="AA659" s="2" t="str">
        <f t="shared" si="350"/>
        <v/>
      </c>
      <c r="AB659" s="2" t="str">
        <f t="shared" si="351"/>
        <v/>
      </c>
      <c r="AC659" s="2" t="str">
        <f t="shared" si="335"/>
        <v/>
      </c>
      <c r="AD659" s="2" t="str">
        <f t="shared" si="336"/>
        <v/>
      </c>
      <c r="AE659" s="2" t="str">
        <f t="shared" si="337"/>
        <v/>
      </c>
      <c r="AF659" s="2" t="str">
        <f t="shared" si="338"/>
        <v/>
      </c>
    </row>
    <row r="660" spans="1:32" x14ac:dyDescent="0.2">
      <c r="A660" s="2" t="str">
        <f t="shared" si="339"/>
        <v/>
      </c>
      <c r="B660" s="2" t="str">
        <f t="shared" si="320"/>
        <v/>
      </c>
      <c r="C660" s="2" t="str">
        <f t="shared" si="321"/>
        <v/>
      </c>
      <c r="D660" s="2" t="str">
        <f t="shared" si="322"/>
        <v/>
      </c>
      <c r="E660" s="2" t="str">
        <f t="shared" si="323"/>
        <v/>
      </c>
      <c r="F660" s="2" t="str">
        <f t="shared" si="324"/>
        <v/>
      </c>
      <c r="G660" s="2" t="str">
        <f t="shared" si="325"/>
        <v/>
      </c>
      <c r="H660" s="2" t="str">
        <f t="shared" si="340"/>
        <v/>
      </c>
      <c r="I660" s="2" t="str">
        <f t="shared" si="341"/>
        <v/>
      </c>
      <c r="J660" s="2" t="str">
        <f t="shared" si="342"/>
        <v/>
      </c>
      <c r="K660" s="2" t="str">
        <f t="shared" si="326"/>
        <v/>
      </c>
      <c r="L660" s="2" t="str">
        <f t="shared" si="327"/>
        <v/>
      </c>
      <c r="M660" s="2" t="str">
        <f t="shared" si="328"/>
        <v/>
      </c>
      <c r="N660" s="2" t="str">
        <f t="shared" si="343"/>
        <v/>
      </c>
      <c r="O660" s="2" t="str">
        <f t="shared" si="344"/>
        <v/>
      </c>
      <c r="P660" s="2" t="str">
        <f t="shared" si="345"/>
        <v/>
      </c>
      <c r="Q660" s="2" t="str">
        <f t="shared" si="329"/>
        <v/>
      </c>
      <c r="R660" s="2" t="str">
        <f t="shared" si="330"/>
        <v/>
      </c>
      <c r="S660" s="2" t="str">
        <f t="shared" si="331"/>
        <v/>
      </c>
      <c r="T660" s="2" t="str">
        <f t="shared" si="346"/>
        <v/>
      </c>
      <c r="U660" s="2" t="str">
        <f t="shared" si="347"/>
        <v/>
      </c>
      <c r="V660" s="2" t="str">
        <f t="shared" si="348"/>
        <v/>
      </c>
      <c r="W660" s="2" t="str">
        <f t="shared" si="332"/>
        <v/>
      </c>
      <c r="X660" s="2" t="str">
        <f t="shared" si="333"/>
        <v/>
      </c>
      <c r="Y660" s="2" t="str">
        <f t="shared" si="334"/>
        <v/>
      </c>
      <c r="Z660" s="2" t="str">
        <f t="shared" si="349"/>
        <v/>
      </c>
      <c r="AA660" s="2" t="str">
        <f t="shared" si="350"/>
        <v/>
      </c>
      <c r="AB660" s="2" t="str">
        <f t="shared" si="351"/>
        <v/>
      </c>
      <c r="AC660" s="2" t="str">
        <f t="shared" si="335"/>
        <v/>
      </c>
      <c r="AD660" s="2" t="str">
        <f t="shared" si="336"/>
        <v/>
      </c>
      <c r="AE660" s="2" t="str">
        <f t="shared" si="337"/>
        <v/>
      </c>
      <c r="AF660" s="2" t="str">
        <f t="shared" si="338"/>
        <v/>
      </c>
    </row>
    <row r="661" spans="1:32" x14ac:dyDescent="0.2">
      <c r="A661" s="2" t="str">
        <f t="shared" si="339"/>
        <v/>
      </c>
      <c r="B661" s="2" t="str">
        <f t="shared" si="320"/>
        <v/>
      </c>
      <c r="C661" s="2" t="str">
        <f t="shared" si="321"/>
        <v/>
      </c>
      <c r="D661" s="2" t="str">
        <f t="shared" si="322"/>
        <v/>
      </c>
      <c r="E661" s="2" t="str">
        <f t="shared" si="323"/>
        <v/>
      </c>
      <c r="F661" s="2" t="str">
        <f t="shared" si="324"/>
        <v/>
      </c>
      <c r="G661" s="2" t="str">
        <f t="shared" si="325"/>
        <v/>
      </c>
      <c r="H661" s="2" t="str">
        <f t="shared" si="340"/>
        <v/>
      </c>
      <c r="I661" s="2" t="str">
        <f t="shared" si="341"/>
        <v/>
      </c>
      <c r="J661" s="2" t="str">
        <f t="shared" si="342"/>
        <v/>
      </c>
      <c r="K661" s="2" t="str">
        <f t="shared" si="326"/>
        <v/>
      </c>
      <c r="L661" s="2" t="str">
        <f t="shared" si="327"/>
        <v/>
      </c>
      <c r="M661" s="2" t="str">
        <f t="shared" si="328"/>
        <v/>
      </c>
      <c r="N661" s="2" t="str">
        <f t="shared" si="343"/>
        <v/>
      </c>
      <c r="O661" s="2" t="str">
        <f t="shared" si="344"/>
        <v/>
      </c>
      <c r="P661" s="2" t="str">
        <f t="shared" si="345"/>
        <v/>
      </c>
      <c r="Q661" s="2" t="str">
        <f t="shared" si="329"/>
        <v/>
      </c>
      <c r="R661" s="2" t="str">
        <f t="shared" si="330"/>
        <v/>
      </c>
      <c r="S661" s="2" t="str">
        <f t="shared" si="331"/>
        <v/>
      </c>
      <c r="T661" s="2" t="str">
        <f t="shared" si="346"/>
        <v/>
      </c>
      <c r="U661" s="2" t="str">
        <f t="shared" si="347"/>
        <v/>
      </c>
      <c r="V661" s="2" t="str">
        <f t="shared" si="348"/>
        <v/>
      </c>
      <c r="W661" s="2" t="str">
        <f t="shared" si="332"/>
        <v/>
      </c>
      <c r="X661" s="2" t="str">
        <f t="shared" si="333"/>
        <v/>
      </c>
      <c r="Y661" s="2" t="str">
        <f t="shared" si="334"/>
        <v/>
      </c>
      <c r="Z661" s="2" t="str">
        <f t="shared" si="349"/>
        <v/>
      </c>
      <c r="AA661" s="2" t="str">
        <f t="shared" si="350"/>
        <v/>
      </c>
      <c r="AB661" s="2" t="str">
        <f t="shared" si="351"/>
        <v/>
      </c>
      <c r="AC661" s="2" t="str">
        <f t="shared" si="335"/>
        <v/>
      </c>
      <c r="AD661" s="2" t="str">
        <f t="shared" si="336"/>
        <v/>
      </c>
      <c r="AE661" s="2" t="str">
        <f t="shared" si="337"/>
        <v/>
      </c>
      <c r="AF661" s="2" t="str">
        <f t="shared" si="338"/>
        <v/>
      </c>
    </row>
    <row r="662" spans="1:32" x14ac:dyDescent="0.2">
      <c r="A662" s="2" t="str">
        <f t="shared" si="339"/>
        <v/>
      </c>
      <c r="B662" s="2" t="str">
        <f t="shared" si="320"/>
        <v/>
      </c>
      <c r="C662" s="2" t="str">
        <f t="shared" si="321"/>
        <v/>
      </c>
      <c r="D662" s="2" t="str">
        <f t="shared" si="322"/>
        <v/>
      </c>
      <c r="E662" s="2" t="str">
        <f t="shared" si="323"/>
        <v/>
      </c>
      <c r="F662" s="2" t="str">
        <f t="shared" si="324"/>
        <v/>
      </c>
      <c r="G662" s="2" t="str">
        <f t="shared" si="325"/>
        <v/>
      </c>
      <c r="H662" s="2" t="str">
        <f t="shared" si="340"/>
        <v/>
      </c>
      <c r="I662" s="2" t="str">
        <f t="shared" si="341"/>
        <v/>
      </c>
      <c r="J662" s="2" t="str">
        <f t="shared" si="342"/>
        <v/>
      </c>
      <c r="K662" s="2" t="str">
        <f t="shared" si="326"/>
        <v/>
      </c>
      <c r="L662" s="2" t="str">
        <f t="shared" si="327"/>
        <v/>
      </c>
      <c r="M662" s="2" t="str">
        <f t="shared" si="328"/>
        <v/>
      </c>
      <c r="N662" s="2" t="str">
        <f t="shared" si="343"/>
        <v/>
      </c>
      <c r="O662" s="2" t="str">
        <f t="shared" si="344"/>
        <v/>
      </c>
      <c r="P662" s="2" t="str">
        <f t="shared" si="345"/>
        <v/>
      </c>
      <c r="Q662" s="2" t="str">
        <f t="shared" si="329"/>
        <v/>
      </c>
      <c r="R662" s="2" t="str">
        <f t="shared" si="330"/>
        <v/>
      </c>
      <c r="S662" s="2" t="str">
        <f t="shared" si="331"/>
        <v/>
      </c>
      <c r="T662" s="2" t="str">
        <f t="shared" si="346"/>
        <v/>
      </c>
      <c r="U662" s="2" t="str">
        <f t="shared" si="347"/>
        <v/>
      </c>
      <c r="V662" s="2" t="str">
        <f t="shared" si="348"/>
        <v/>
      </c>
      <c r="W662" s="2" t="str">
        <f t="shared" si="332"/>
        <v/>
      </c>
      <c r="X662" s="2" t="str">
        <f t="shared" si="333"/>
        <v/>
      </c>
      <c r="Y662" s="2" t="str">
        <f t="shared" si="334"/>
        <v/>
      </c>
      <c r="Z662" s="2" t="str">
        <f t="shared" si="349"/>
        <v/>
      </c>
      <c r="AA662" s="2" t="str">
        <f t="shared" si="350"/>
        <v/>
      </c>
      <c r="AB662" s="2" t="str">
        <f t="shared" si="351"/>
        <v/>
      </c>
      <c r="AC662" s="2" t="str">
        <f t="shared" si="335"/>
        <v/>
      </c>
      <c r="AD662" s="2" t="str">
        <f t="shared" si="336"/>
        <v/>
      </c>
      <c r="AE662" s="2" t="str">
        <f t="shared" si="337"/>
        <v/>
      </c>
      <c r="AF662" s="2" t="str">
        <f t="shared" si="338"/>
        <v/>
      </c>
    </row>
    <row r="663" spans="1:32" x14ac:dyDescent="0.2">
      <c r="A663" s="2" t="str">
        <f t="shared" si="339"/>
        <v/>
      </c>
      <c r="B663" s="2" t="str">
        <f t="shared" si="320"/>
        <v/>
      </c>
      <c r="C663" s="2" t="str">
        <f t="shared" si="321"/>
        <v/>
      </c>
      <c r="D663" s="2" t="str">
        <f t="shared" si="322"/>
        <v/>
      </c>
      <c r="E663" s="2" t="str">
        <f t="shared" si="323"/>
        <v/>
      </c>
      <c r="F663" s="2" t="str">
        <f t="shared" si="324"/>
        <v/>
      </c>
      <c r="G663" s="2" t="str">
        <f t="shared" si="325"/>
        <v/>
      </c>
      <c r="H663" s="2" t="str">
        <f t="shared" si="340"/>
        <v/>
      </c>
      <c r="I663" s="2" t="str">
        <f t="shared" si="341"/>
        <v/>
      </c>
      <c r="J663" s="2" t="str">
        <f t="shared" si="342"/>
        <v/>
      </c>
      <c r="K663" s="2" t="str">
        <f t="shared" si="326"/>
        <v/>
      </c>
      <c r="L663" s="2" t="str">
        <f t="shared" si="327"/>
        <v/>
      </c>
      <c r="M663" s="2" t="str">
        <f t="shared" si="328"/>
        <v/>
      </c>
      <c r="N663" s="2" t="str">
        <f t="shared" si="343"/>
        <v/>
      </c>
      <c r="O663" s="2" t="str">
        <f t="shared" si="344"/>
        <v/>
      </c>
      <c r="P663" s="2" t="str">
        <f t="shared" si="345"/>
        <v/>
      </c>
      <c r="Q663" s="2" t="str">
        <f t="shared" si="329"/>
        <v/>
      </c>
      <c r="R663" s="2" t="str">
        <f t="shared" si="330"/>
        <v/>
      </c>
      <c r="S663" s="2" t="str">
        <f t="shared" si="331"/>
        <v/>
      </c>
      <c r="T663" s="2" t="str">
        <f t="shared" si="346"/>
        <v/>
      </c>
      <c r="U663" s="2" t="str">
        <f t="shared" si="347"/>
        <v/>
      </c>
      <c r="V663" s="2" t="str">
        <f t="shared" si="348"/>
        <v/>
      </c>
      <c r="W663" s="2" t="str">
        <f t="shared" si="332"/>
        <v/>
      </c>
      <c r="X663" s="2" t="str">
        <f t="shared" si="333"/>
        <v/>
      </c>
      <c r="Y663" s="2" t="str">
        <f t="shared" si="334"/>
        <v/>
      </c>
      <c r="Z663" s="2" t="str">
        <f t="shared" si="349"/>
        <v/>
      </c>
      <c r="AA663" s="2" t="str">
        <f t="shared" si="350"/>
        <v/>
      </c>
      <c r="AB663" s="2" t="str">
        <f t="shared" si="351"/>
        <v/>
      </c>
      <c r="AC663" s="2" t="str">
        <f t="shared" si="335"/>
        <v/>
      </c>
      <c r="AD663" s="2" t="str">
        <f t="shared" si="336"/>
        <v/>
      </c>
      <c r="AE663" s="2" t="str">
        <f t="shared" si="337"/>
        <v/>
      </c>
      <c r="AF663" s="2" t="str">
        <f t="shared" si="338"/>
        <v/>
      </c>
    </row>
    <row r="664" spans="1:32" x14ac:dyDescent="0.2">
      <c r="A664" s="2" t="str">
        <f t="shared" si="339"/>
        <v/>
      </c>
      <c r="B664" s="2" t="str">
        <f t="shared" si="320"/>
        <v/>
      </c>
      <c r="C664" s="2" t="str">
        <f t="shared" si="321"/>
        <v/>
      </c>
      <c r="D664" s="2" t="str">
        <f t="shared" si="322"/>
        <v/>
      </c>
      <c r="E664" s="2" t="str">
        <f t="shared" si="323"/>
        <v/>
      </c>
      <c r="F664" s="2" t="str">
        <f t="shared" si="324"/>
        <v/>
      </c>
      <c r="G664" s="2" t="str">
        <f t="shared" si="325"/>
        <v/>
      </c>
      <c r="H664" s="2" t="str">
        <f t="shared" si="340"/>
        <v/>
      </c>
      <c r="I664" s="2" t="str">
        <f t="shared" si="341"/>
        <v/>
      </c>
      <c r="J664" s="2" t="str">
        <f t="shared" si="342"/>
        <v/>
      </c>
      <c r="K664" s="2" t="str">
        <f t="shared" si="326"/>
        <v/>
      </c>
      <c r="L664" s="2" t="str">
        <f t="shared" si="327"/>
        <v/>
      </c>
      <c r="M664" s="2" t="str">
        <f t="shared" si="328"/>
        <v/>
      </c>
      <c r="N664" s="2" t="str">
        <f t="shared" si="343"/>
        <v/>
      </c>
      <c r="O664" s="2" t="str">
        <f t="shared" si="344"/>
        <v/>
      </c>
      <c r="P664" s="2" t="str">
        <f t="shared" si="345"/>
        <v/>
      </c>
      <c r="Q664" s="2" t="str">
        <f t="shared" si="329"/>
        <v/>
      </c>
      <c r="R664" s="2" t="str">
        <f t="shared" si="330"/>
        <v/>
      </c>
      <c r="S664" s="2" t="str">
        <f t="shared" si="331"/>
        <v/>
      </c>
      <c r="T664" s="2" t="str">
        <f t="shared" si="346"/>
        <v/>
      </c>
      <c r="U664" s="2" t="str">
        <f t="shared" si="347"/>
        <v/>
      </c>
      <c r="V664" s="2" t="str">
        <f t="shared" si="348"/>
        <v/>
      </c>
      <c r="W664" s="2" t="str">
        <f t="shared" si="332"/>
        <v/>
      </c>
      <c r="X664" s="2" t="str">
        <f t="shared" si="333"/>
        <v/>
      </c>
      <c r="Y664" s="2" t="str">
        <f t="shared" si="334"/>
        <v/>
      </c>
      <c r="Z664" s="2" t="str">
        <f t="shared" si="349"/>
        <v/>
      </c>
      <c r="AA664" s="2" t="str">
        <f t="shared" si="350"/>
        <v/>
      </c>
      <c r="AB664" s="2" t="str">
        <f t="shared" si="351"/>
        <v/>
      </c>
      <c r="AC664" s="2" t="str">
        <f t="shared" si="335"/>
        <v/>
      </c>
      <c r="AD664" s="2" t="str">
        <f t="shared" si="336"/>
        <v/>
      </c>
      <c r="AE664" s="2" t="str">
        <f t="shared" si="337"/>
        <v/>
      </c>
      <c r="AF664" s="2" t="str">
        <f t="shared" si="338"/>
        <v/>
      </c>
    </row>
    <row r="665" spans="1:32" x14ac:dyDescent="0.2">
      <c r="A665" s="2" t="str">
        <f t="shared" si="339"/>
        <v/>
      </c>
      <c r="B665" s="2" t="str">
        <f t="shared" si="320"/>
        <v/>
      </c>
      <c r="C665" s="2" t="str">
        <f t="shared" si="321"/>
        <v/>
      </c>
      <c r="D665" s="2" t="str">
        <f t="shared" si="322"/>
        <v/>
      </c>
      <c r="E665" s="2" t="str">
        <f t="shared" si="323"/>
        <v/>
      </c>
      <c r="F665" s="2" t="str">
        <f t="shared" si="324"/>
        <v/>
      </c>
      <c r="G665" s="2" t="str">
        <f t="shared" si="325"/>
        <v/>
      </c>
      <c r="H665" s="2" t="str">
        <f t="shared" si="340"/>
        <v/>
      </c>
      <c r="I665" s="2" t="str">
        <f t="shared" si="341"/>
        <v/>
      </c>
      <c r="J665" s="2" t="str">
        <f t="shared" si="342"/>
        <v/>
      </c>
      <c r="K665" s="2" t="str">
        <f t="shared" si="326"/>
        <v/>
      </c>
      <c r="L665" s="2" t="str">
        <f t="shared" si="327"/>
        <v/>
      </c>
      <c r="M665" s="2" t="str">
        <f t="shared" si="328"/>
        <v/>
      </c>
      <c r="N665" s="2" t="str">
        <f t="shared" si="343"/>
        <v/>
      </c>
      <c r="O665" s="2" t="str">
        <f t="shared" si="344"/>
        <v/>
      </c>
      <c r="P665" s="2" t="str">
        <f t="shared" si="345"/>
        <v/>
      </c>
      <c r="Q665" s="2" t="str">
        <f t="shared" si="329"/>
        <v/>
      </c>
      <c r="R665" s="2" t="str">
        <f t="shared" si="330"/>
        <v/>
      </c>
      <c r="S665" s="2" t="str">
        <f t="shared" si="331"/>
        <v/>
      </c>
      <c r="T665" s="2" t="str">
        <f t="shared" si="346"/>
        <v/>
      </c>
      <c r="U665" s="2" t="str">
        <f t="shared" si="347"/>
        <v/>
      </c>
      <c r="V665" s="2" t="str">
        <f t="shared" si="348"/>
        <v/>
      </c>
      <c r="W665" s="2" t="str">
        <f t="shared" si="332"/>
        <v/>
      </c>
      <c r="X665" s="2" t="str">
        <f t="shared" si="333"/>
        <v/>
      </c>
      <c r="Y665" s="2" t="str">
        <f t="shared" si="334"/>
        <v/>
      </c>
      <c r="Z665" s="2" t="str">
        <f t="shared" si="349"/>
        <v/>
      </c>
      <c r="AA665" s="2" t="str">
        <f t="shared" si="350"/>
        <v/>
      </c>
      <c r="AB665" s="2" t="str">
        <f t="shared" si="351"/>
        <v/>
      </c>
      <c r="AC665" s="2" t="str">
        <f t="shared" si="335"/>
        <v/>
      </c>
      <c r="AD665" s="2" t="str">
        <f t="shared" si="336"/>
        <v/>
      </c>
      <c r="AE665" s="2" t="str">
        <f t="shared" si="337"/>
        <v/>
      </c>
      <c r="AF665" s="2" t="str">
        <f t="shared" si="338"/>
        <v/>
      </c>
    </row>
    <row r="666" spans="1:32" x14ac:dyDescent="0.2">
      <c r="A666" s="2" t="str">
        <f t="shared" si="339"/>
        <v/>
      </c>
      <c r="B666" s="2" t="str">
        <f t="shared" si="320"/>
        <v/>
      </c>
      <c r="C666" s="2" t="str">
        <f t="shared" si="321"/>
        <v/>
      </c>
      <c r="D666" s="2" t="str">
        <f t="shared" si="322"/>
        <v/>
      </c>
      <c r="E666" s="2" t="str">
        <f t="shared" si="323"/>
        <v/>
      </c>
      <c r="F666" s="2" t="str">
        <f t="shared" si="324"/>
        <v/>
      </c>
      <c r="G666" s="2" t="str">
        <f t="shared" si="325"/>
        <v/>
      </c>
      <c r="H666" s="2" t="str">
        <f t="shared" si="340"/>
        <v/>
      </c>
      <c r="I666" s="2" t="str">
        <f t="shared" si="341"/>
        <v/>
      </c>
      <c r="J666" s="2" t="str">
        <f t="shared" si="342"/>
        <v/>
      </c>
      <c r="K666" s="2" t="str">
        <f t="shared" si="326"/>
        <v/>
      </c>
      <c r="L666" s="2" t="str">
        <f t="shared" si="327"/>
        <v/>
      </c>
      <c r="M666" s="2" t="str">
        <f t="shared" si="328"/>
        <v/>
      </c>
      <c r="N666" s="2" t="str">
        <f t="shared" si="343"/>
        <v/>
      </c>
      <c r="O666" s="2" t="str">
        <f t="shared" si="344"/>
        <v/>
      </c>
      <c r="P666" s="2" t="str">
        <f t="shared" si="345"/>
        <v/>
      </c>
      <c r="Q666" s="2" t="str">
        <f t="shared" si="329"/>
        <v/>
      </c>
      <c r="R666" s="2" t="str">
        <f t="shared" si="330"/>
        <v/>
      </c>
      <c r="S666" s="2" t="str">
        <f t="shared" si="331"/>
        <v/>
      </c>
      <c r="T666" s="2" t="str">
        <f t="shared" si="346"/>
        <v/>
      </c>
      <c r="U666" s="2" t="str">
        <f t="shared" si="347"/>
        <v/>
      </c>
      <c r="V666" s="2" t="str">
        <f t="shared" si="348"/>
        <v/>
      </c>
      <c r="W666" s="2" t="str">
        <f t="shared" si="332"/>
        <v/>
      </c>
      <c r="X666" s="2" t="str">
        <f t="shared" si="333"/>
        <v/>
      </c>
      <c r="Y666" s="2" t="str">
        <f t="shared" si="334"/>
        <v/>
      </c>
      <c r="Z666" s="2" t="str">
        <f t="shared" si="349"/>
        <v/>
      </c>
      <c r="AA666" s="2" t="str">
        <f t="shared" si="350"/>
        <v/>
      </c>
      <c r="AB666" s="2" t="str">
        <f t="shared" si="351"/>
        <v/>
      </c>
      <c r="AC666" s="2" t="str">
        <f t="shared" si="335"/>
        <v/>
      </c>
      <c r="AD666" s="2" t="str">
        <f t="shared" si="336"/>
        <v/>
      </c>
      <c r="AE666" s="2" t="str">
        <f t="shared" si="337"/>
        <v/>
      </c>
      <c r="AF666" s="2" t="str">
        <f t="shared" si="338"/>
        <v/>
      </c>
    </row>
    <row r="667" spans="1:32" x14ac:dyDescent="0.2">
      <c r="A667" s="2" t="str">
        <f t="shared" si="339"/>
        <v/>
      </c>
      <c r="B667" s="2" t="str">
        <f t="shared" si="320"/>
        <v/>
      </c>
      <c r="C667" s="2" t="str">
        <f t="shared" si="321"/>
        <v/>
      </c>
      <c r="D667" s="2" t="str">
        <f t="shared" si="322"/>
        <v/>
      </c>
      <c r="E667" s="2" t="str">
        <f t="shared" si="323"/>
        <v/>
      </c>
      <c r="F667" s="2" t="str">
        <f t="shared" si="324"/>
        <v/>
      </c>
      <c r="G667" s="2" t="str">
        <f t="shared" si="325"/>
        <v/>
      </c>
      <c r="H667" s="2" t="str">
        <f t="shared" si="340"/>
        <v/>
      </c>
      <c r="I667" s="2" t="str">
        <f t="shared" si="341"/>
        <v/>
      </c>
      <c r="J667" s="2" t="str">
        <f t="shared" si="342"/>
        <v/>
      </c>
      <c r="K667" s="2" t="str">
        <f t="shared" si="326"/>
        <v/>
      </c>
      <c r="L667" s="2" t="str">
        <f t="shared" si="327"/>
        <v/>
      </c>
      <c r="M667" s="2" t="str">
        <f t="shared" si="328"/>
        <v/>
      </c>
      <c r="N667" s="2" t="str">
        <f t="shared" si="343"/>
        <v/>
      </c>
      <c r="O667" s="2" t="str">
        <f t="shared" si="344"/>
        <v/>
      </c>
      <c r="P667" s="2" t="str">
        <f t="shared" si="345"/>
        <v/>
      </c>
      <c r="Q667" s="2" t="str">
        <f t="shared" si="329"/>
        <v/>
      </c>
      <c r="R667" s="2" t="str">
        <f t="shared" si="330"/>
        <v/>
      </c>
      <c r="S667" s="2" t="str">
        <f t="shared" si="331"/>
        <v/>
      </c>
      <c r="T667" s="2" t="str">
        <f t="shared" si="346"/>
        <v/>
      </c>
      <c r="U667" s="2" t="str">
        <f t="shared" si="347"/>
        <v/>
      </c>
      <c r="V667" s="2" t="str">
        <f t="shared" si="348"/>
        <v/>
      </c>
      <c r="W667" s="2" t="str">
        <f t="shared" si="332"/>
        <v/>
      </c>
      <c r="X667" s="2" t="str">
        <f t="shared" si="333"/>
        <v/>
      </c>
      <c r="Y667" s="2" t="str">
        <f t="shared" si="334"/>
        <v/>
      </c>
      <c r="Z667" s="2" t="str">
        <f t="shared" si="349"/>
        <v/>
      </c>
      <c r="AA667" s="2" t="str">
        <f t="shared" si="350"/>
        <v/>
      </c>
      <c r="AB667" s="2" t="str">
        <f t="shared" si="351"/>
        <v/>
      </c>
      <c r="AC667" s="2" t="str">
        <f t="shared" si="335"/>
        <v/>
      </c>
      <c r="AD667" s="2" t="str">
        <f t="shared" si="336"/>
        <v/>
      </c>
      <c r="AE667" s="2" t="str">
        <f t="shared" si="337"/>
        <v/>
      </c>
      <c r="AF667" s="2" t="str">
        <f t="shared" si="338"/>
        <v/>
      </c>
    </row>
    <row r="668" spans="1:32" x14ac:dyDescent="0.2">
      <c r="A668" s="2" t="str">
        <f t="shared" si="339"/>
        <v/>
      </c>
      <c r="B668" s="2" t="str">
        <f t="shared" si="320"/>
        <v/>
      </c>
      <c r="C668" s="2" t="str">
        <f t="shared" si="321"/>
        <v/>
      </c>
      <c r="D668" s="2" t="str">
        <f t="shared" si="322"/>
        <v/>
      </c>
      <c r="E668" s="2" t="str">
        <f t="shared" si="323"/>
        <v/>
      </c>
      <c r="F668" s="2" t="str">
        <f t="shared" si="324"/>
        <v/>
      </c>
      <c r="G668" s="2" t="str">
        <f t="shared" si="325"/>
        <v/>
      </c>
      <c r="H668" s="2" t="str">
        <f t="shared" si="340"/>
        <v/>
      </c>
      <c r="I668" s="2" t="str">
        <f t="shared" si="341"/>
        <v/>
      </c>
      <c r="J668" s="2" t="str">
        <f t="shared" si="342"/>
        <v/>
      </c>
      <c r="K668" s="2" t="str">
        <f t="shared" si="326"/>
        <v/>
      </c>
      <c r="L668" s="2" t="str">
        <f t="shared" si="327"/>
        <v/>
      </c>
      <c r="M668" s="2" t="str">
        <f t="shared" si="328"/>
        <v/>
      </c>
      <c r="N668" s="2" t="str">
        <f t="shared" si="343"/>
        <v/>
      </c>
      <c r="O668" s="2" t="str">
        <f t="shared" si="344"/>
        <v/>
      </c>
      <c r="P668" s="2" t="str">
        <f t="shared" si="345"/>
        <v/>
      </c>
      <c r="Q668" s="2" t="str">
        <f t="shared" si="329"/>
        <v/>
      </c>
      <c r="R668" s="2" t="str">
        <f t="shared" si="330"/>
        <v/>
      </c>
      <c r="S668" s="2" t="str">
        <f t="shared" si="331"/>
        <v/>
      </c>
      <c r="T668" s="2" t="str">
        <f t="shared" si="346"/>
        <v/>
      </c>
      <c r="U668" s="2" t="str">
        <f t="shared" si="347"/>
        <v/>
      </c>
      <c r="V668" s="2" t="str">
        <f t="shared" si="348"/>
        <v/>
      </c>
      <c r="W668" s="2" t="str">
        <f t="shared" si="332"/>
        <v/>
      </c>
      <c r="X668" s="2" t="str">
        <f t="shared" si="333"/>
        <v/>
      </c>
      <c r="Y668" s="2" t="str">
        <f t="shared" si="334"/>
        <v/>
      </c>
      <c r="Z668" s="2" t="str">
        <f t="shared" si="349"/>
        <v/>
      </c>
      <c r="AA668" s="2" t="str">
        <f t="shared" si="350"/>
        <v/>
      </c>
      <c r="AB668" s="2" t="str">
        <f t="shared" si="351"/>
        <v/>
      </c>
      <c r="AC668" s="2" t="str">
        <f t="shared" si="335"/>
        <v/>
      </c>
      <c r="AD668" s="2" t="str">
        <f t="shared" si="336"/>
        <v/>
      </c>
      <c r="AE668" s="2" t="str">
        <f t="shared" si="337"/>
        <v/>
      </c>
      <c r="AF668" s="2" t="str">
        <f t="shared" si="338"/>
        <v/>
      </c>
    </row>
    <row r="669" spans="1:32" x14ac:dyDescent="0.2">
      <c r="A669" s="2" t="str">
        <f t="shared" si="339"/>
        <v/>
      </c>
      <c r="B669" s="2" t="str">
        <f t="shared" si="320"/>
        <v/>
      </c>
      <c r="C669" s="2" t="str">
        <f t="shared" si="321"/>
        <v/>
      </c>
      <c r="D669" s="2" t="str">
        <f t="shared" si="322"/>
        <v/>
      </c>
      <c r="E669" s="2" t="str">
        <f t="shared" si="323"/>
        <v/>
      </c>
      <c r="F669" s="2" t="str">
        <f t="shared" si="324"/>
        <v/>
      </c>
      <c r="G669" s="2" t="str">
        <f t="shared" si="325"/>
        <v/>
      </c>
      <c r="H669" s="2" t="str">
        <f t="shared" si="340"/>
        <v/>
      </c>
      <c r="I669" s="2" t="str">
        <f t="shared" si="341"/>
        <v/>
      </c>
      <c r="J669" s="2" t="str">
        <f t="shared" si="342"/>
        <v/>
      </c>
      <c r="K669" s="2" t="str">
        <f t="shared" si="326"/>
        <v/>
      </c>
      <c r="L669" s="2" t="str">
        <f t="shared" si="327"/>
        <v/>
      </c>
      <c r="M669" s="2" t="str">
        <f t="shared" si="328"/>
        <v/>
      </c>
      <c r="N669" s="2" t="str">
        <f t="shared" si="343"/>
        <v/>
      </c>
      <c r="O669" s="2" t="str">
        <f t="shared" si="344"/>
        <v/>
      </c>
      <c r="P669" s="2" t="str">
        <f t="shared" si="345"/>
        <v/>
      </c>
      <c r="Q669" s="2" t="str">
        <f t="shared" si="329"/>
        <v/>
      </c>
      <c r="R669" s="2" t="str">
        <f t="shared" si="330"/>
        <v/>
      </c>
      <c r="S669" s="2" t="str">
        <f t="shared" si="331"/>
        <v/>
      </c>
      <c r="T669" s="2" t="str">
        <f t="shared" si="346"/>
        <v/>
      </c>
      <c r="U669" s="2" t="str">
        <f t="shared" si="347"/>
        <v/>
      </c>
      <c r="V669" s="2" t="str">
        <f t="shared" si="348"/>
        <v/>
      </c>
      <c r="W669" s="2" t="str">
        <f t="shared" si="332"/>
        <v/>
      </c>
      <c r="X669" s="2" t="str">
        <f t="shared" si="333"/>
        <v/>
      </c>
      <c r="Y669" s="2" t="str">
        <f t="shared" si="334"/>
        <v/>
      </c>
      <c r="Z669" s="2" t="str">
        <f t="shared" si="349"/>
        <v/>
      </c>
      <c r="AA669" s="2" t="str">
        <f t="shared" si="350"/>
        <v/>
      </c>
      <c r="AB669" s="2" t="str">
        <f t="shared" si="351"/>
        <v/>
      </c>
      <c r="AC669" s="2" t="str">
        <f t="shared" si="335"/>
        <v/>
      </c>
      <c r="AD669" s="2" t="str">
        <f t="shared" si="336"/>
        <v/>
      </c>
      <c r="AE669" s="2" t="str">
        <f t="shared" si="337"/>
        <v/>
      </c>
      <c r="AF669" s="2" t="str">
        <f t="shared" si="338"/>
        <v/>
      </c>
    </row>
    <row r="670" spans="1:32" x14ac:dyDescent="0.2">
      <c r="A670" s="2" t="str">
        <f t="shared" si="339"/>
        <v/>
      </c>
      <c r="B670" s="2" t="str">
        <f t="shared" si="320"/>
        <v/>
      </c>
      <c r="C670" s="2" t="str">
        <f t="shared" si="321"/>
        <v/>
      </c>
      <c r="D670" s="2" t="str">
        <f t="shared" si="322"/>
        <v/>
      </c>
      <c r="E670" s="2" t="str">
        <f t="shared" si="323"/>
        <v/>
      </c>
      <c r="F670" s="2" t="str">
        <f t="shared" si="324"/>
        <v/>
      </c>
      <c r="G670" s="2" t="str">
        <f t="shared" si="325"/>
        <v/>
      </c>
      <c r="H670" s="2" t="str">
        <f t="shared" si="340"/>
        <v/>
      </c>
      <c r="I670" s="2" t="str">
        <f t="shared" si="341"/>
        <v/>
      </c>
      <c r="J670" s="2" t="str">
        <f t="shared" si="342"/>
        <v/>
      </c>
      <c r="K670" s="2" t="str">
        <f t="shared" si="326"/>
        <v/>
      </c>
      <c r="L670" s="2" t="str">
        <f t="shared" si="327"/>
        <v/>
      </c>
      <c r="M670" s="2" t="str">
        <f t="shared" si="328"/>
        <v/>
      </c>
      <c r="N670" s="2" t="str">
        <f t="shared" si="343"/>
        <v/>
      </c>
      <c r="O670" s="2" t="str">
        <f t="shared" si="344"/>
        <v/>
      </c>
      <c r="P670" s="2" t="str">
        <f t="shared" si="345"/>
        <v/>
      </c>
      <c r="Q670" s="2" t="str">
        <f t="shared" si="329"/>
        <v/>
      </c>
      <c r="R670" s="2" t="str">
        <f t="shared" si="330"/>
        <v/>
      </c>
      <c r="S670" s="2" t="str">
        <f t="shared" si="331"/>
        <v/>
      </c>
      <c r="T670" s="2" t="str">
        <f t="shared" si="346"/>
        <v/>
      </c>
      <c r="U670" s="2" t="str">
        <f t="shared" si="347"/>
        <v/>
      </c>
      <c r="V670" s="2" t="str">
        <f t="shared" si="348"/>
        <v/>
      </c>
      <c r="W670" s="2" t="str">
        <f t="shared" si="332"/>
        <v/>
      </c>
      <c r="X670" s="2" t="str">
        <f t="shared" si="333"/>
        <v/>
      </c>
      <c r="Y670" s="2" t="str">
        <f t="shared" si="334"/>
        <v/>
      </c>
      <c r="Z670" s="2" t="str">
        <f t="shared" si="349"/>
        <v/>
      </c>
      <c r="AA670" s="2" t="str">
        <f t="shared" si="350"/>
        <v/>
      </c>
      <c r="AB670" s="2" t="str">
        <f t="shared" si="351"/>
        <v/>
      </c>
      <c r="AC670" s="2" t="str">
        <f t="shared" si="335"/>
        <v/>
      </c>
      <c r="AD670" s="2" t="str">
        <f t="shared" si="336"/>
        <v/>
      </c>
      <c r="AE670" s="2" t="str">
        <f t="shared" si="337"/>
        <v/>
      </c>
      <c r="AF670" s="2" t="str">
        <f t="shared" si="338"/>
        <v/>
      </c>
    </row>
    <row r="671" spans="1:32" x14ac:dyDescent="0.2">
      <c r="A671" s="2" t="str">
        <f t="shared" si="339"/>
        <v/>
      </c>
      <c r="B671" s="2" t="str">
        <f t="shared" si="320"/>
        <v/>
      </c>
      <c r="C671" s="2" t="str">
        <f t="shared" si="321"/>
        <v/>
      </c>
      <c r="D671" s="2" t="str">
        <f t="shared" si="322"/>
        <v/>
      </c>
      <c r="E671" s="2" t="str">
        <f t="shared" si="323"/>
        <v/>
      </c>
      <c r="F671" s="2" t="str">
        <f t="shared" si="324"/>
        <v/>
      </c>
      <c r="G671" s="2" t="str">
        <f t="shared" si="325"/>
        <v/>
      </c>
      <c r="H671" s="2" t="str">
        <f t="shared" si="340"/>
        <v/>
      </c>
      <c r="I671" s="2" t="str">
        <f t="shared" si="341"/>
        <v/>
      </c>
      <c r="J671" s="2" t="str">
        <f t="shared" si="342"/>
        <v/>
      </c>
      <c r="K671" s="2" t="str">
        <f t="shared" si="326"/>
        <v/>
      </c>
      <c r="L671" s="2" t="str">
        <f t="shared" si="327"/>
        <v/>
      </c>
      <c r="M671" s="2" t="str">
        <f t="shared" si="328"/>
        <v/>
      </c>
      <c r="N671" s="2" t="str">
        <f t="shared" si="343"/>
        <v/>
      </c>
      <c r="O671" s="2" t="str">
        <f t="shared" si="344"/>
        <v/>
      </c>
      <c r="P671" s="2" t="str">
        <f t="shared" si="345"/>
        <v/>
      </c>
      <c r="Q671" s="2" t="str">
        <f t="shared" si="329"/>
        <v/>
      </c>
      <c r="R671" s="2" t="str">
        <f t="shared" si="330"/>
        <v/>
      </c>
      <c r="S671" s="2" t="str">
        <f t="shared" si="331"/>
        <v/>
      </c>
      <c r="T671" s="2" t="str">
        <f t="shared" si="346"/>
        <v/>
      </c>
      <c r="U671" s="2" t="str">
        <f t="shared" si="347"/>
        <v/>
      </c>
      <c r="V671" s="2" t="str">
        <f t="shared" si="348"/>
        <v/>
      </c>
      <c r="W671" s="2" t="str">
        <f t="shared" si="332"/>
        <v/>
      </c>
      <c r="X671" s="2" t="str">
        <f t="shared" si="333"/>
        <v/>
      </c>
      <c r="Y671" s="2" t="str">
        <f t="shared" si="334"/>
        <v/>
      </c>
      <c r="Z671" s="2" t="str">
        <f t="shared" si="349"/>
        <v/>
      </c>
      <c r="AA671" s="2" t="str">
        <f t="shared" si="350"/>
        <v/>
      </c>
      <c r="AB671" s="2" t="str">
        <f t="shared" si="351"/>
        <v/>
      </c>
      <c r="AC671" s="2" t="str">
        <f t="shared" si="335"/>
        <v/>
      </c>
      <c r="AD671" s="2" t="str">
        <f t="shared" si="336"/>
        <v/>
      </c>
      <c r="AE671" s="2" t="str">
        <f t="shared" si="337"/>
        <v/>
      </c>
      <c r="AF671" s="2" t="str">
        <f t="shared" si="338"/>
        <v/>
      </c>
    </row>
    <row r="672" spans="1:32" x14ac:dyDescent="0.2">
      <c r="A672" s="2" t="str">
        <f t="shared" si="339"/>
        <v/>
      </c>
      <c r="B672" s="2" t="str">
        <f t="shared" si="320"/>
        <v/>
      </c>
      <c r="C672" s="2" t="str">
        <f t="shared" si="321"/>
        <v/>
      </c>
      <c r="D672" s="2" t="str">
        <f t="shared" si="322"/>
        <v/>
      </c>
      <c r="E672" s="2" t="str">
        <f t="shared" si="323"/>
        <v/>
      </c>
      <c r="F672" s="2" t="str">
        <f t="shared" si="324"/>
        <v/>
      </c>
      <c r="G672" s="2" t="str">
        <f t="shared" si="325"/>
        <v/>
      </c>
      <c r="H672" s="2" t="str">
        <f t="shared" si="340"/>
        <v/>
      </c>
      <c r="I672" s="2" t="str">
        <f t="shared" si="341"/>
        <v/>
      </c>
      <c r="J672" s="2" t="str">
        <f t="shared" si="342"/>
        <v/>
      </c>
      <c r="K672" s="2" t="str">
        <f t="shared" si="326"/>
        <v/>
      </c>
      <c r="L672" s="2" t="str">
        <f t="shared" si="327"/>
        <v/>
      </c>
      <c r="M672" s="2" t="str">
        <f t="shared" si="328"/>
        <v/>
      </c>
      <c r="N672" s="2" t="str">
        <f t="shared" si="343"/>
        <v/>
      </c>
      <c r="O672" s="2" t="str">
        <f t="shared" si="344"/>
        <v/>
      </c>
      <c r="P672" s="2" t="str">
        <f t="shared" si="345"/>
        <v/>
      </c>
      <c r="Q672" s="2" t="str">
        <f t="shared" si="329"/>
        <v/>
      </c>
      <c r="R672" s="2" t="str">
        <f t="shared" si="330"/>
        <v/>
      </c>
      <c r="S672" s="2" t="str">
        <f t="shared" si="331"/>
        <v/>
      </c>
      <c r="T672" s="2" t="str">
        <f t="shared" si="346"/>
        <v/>
      </c>
      <c r="U672" s="2" t="str">
        <f t="shared" si="347"/>
        <v/>
      </c>
      <c r="V672" s="2" t="str">
        <f t="shared" si="348"/>
        <v/>
      </c>
      <c r="W672" s="2" t="str">
        <f t="shared" si="332"/>
        <v/>
      </c>
      <c r="X672" s="2" t="str">
        <f t="shared" si="333"/>
        <v/>
      </c>
      <c r="Y672" s="2" t="str">
        <f t="shared" si="334"/>
        <v/>
      </c>
      <c r="Z672" s="2" t="str">
        <f t="shared" si="349"/>
        <v/>
      </c>
      <c r="AA672" s="2" t="str">
        <f t="shared" si="350"/>
        <v/>
      </c>
      <c r="AB672" s="2" t="str">
        <f t="shared" si="351"/>
        <v/>
      </c>
      <c r="AC672" s="2" t="str">
        <f t="shared" si="335"/>
        <v/>
      </c>
      <c r="AD672" s="2" t="str">
        <f t="shared" si="336"/>
        <v/>
      </c>
      <c r="AE672" s="2" t="str">
        <f t="shared" si="337"/>
        <v/>
      </c>
      <c r="AF672" s="2" t="str">
        <f t="shared" si="338"/>
        <v/>
      </c>
    </row>
    <row r="673" spans="1:32" x14ac:dyDescent="0.2">
      <c r="A673" s="2" t="str">
        <f t="shared" si="339"/>
        <v/>
      </c>
      <c r="B673" s="2" t="str">
        <f t="shared" si="320"/>
        <v/>
      </c>
      <c r="C673" s="2" t="str">
        <f t="shared" si="321"/>
        <v/>
      </c>
      <c r="D673" s="2" t="str">
        <f t="shared" si="322"/>
        <v/>
      </c>
      <c r="E673" s="2" t="str">
        <f t="shared" si="323"/>
        <v/>
      </c>
      <c r="F673" s="2" t="str">
        <f t="shared" si="324"/>
        <v/>
      </c>
      <c r="G673" s="2" t="str">
        <f t="shared" si="325"/>
        <v/>
      </c>
      <c r="H673" s="2" t="str">
        <f t="shared" si="340"/>
        <v/>
      </c>
      <c r="I673" s="2" t="str">
        <f t="shared" si="341"/>
        <v/>
      </c>
      <c r="J673" s="2" t="str">
        <f t="shared" si="342"/>
        <v/>
      </c>
      <c r="K673" s="2" t="str">
        <f t="shared" si="326"/>
        <v/>
      </c>
      <c r="L673" s="2" t="str">
        <f t="shared" si="327"/>
        <v/>
      </c>
      <c r="M673" s="2" t="str">
        <f t="shared" si="328"/>
        <v/>
      </c>
      <c r="N673" s="2" t="str">
        <f t="shared" si="343"/>
        <v/>
      </c>
      <c r="O673" s="2" t="str">
        <f t="shared" si="344"/>
        <v/>
      </c>
      <c r="P673" s="2" t="str">
        <f t="shared" si="345"/>
        <v/>
      </c>
      <c r="Q673" s="2" t="str">
        <f t="shared" si="329"/>
        <v/>
      </c>
      <c r="R673" s="2" t="str">
        <f t="shared" si="330"/>
        <v/>
      </c>
      <c r="S673" s="2" t="str">
        <f t="shared" si="331"/>
        <v/>
      </c>
      <c r="T673" s="2" t="str">
        <f t="shared" si="346"/>
        <v/>
      </c>
      <c r="U673" s="2" t="str">
        <f t="shared" si="347"/>
        <v/>
      </c>
      <c r="V673" s="2" t="str">
        <f t="shared" si="348"/>
        <v/>
      </c>
      <c r="W673" s="2" t="str">
        <f t="shared" si="332"/>
        <v/>
      </c>
      <c r="X673" s="2" t="str">
        <f t="shared" si="333"/>
        <v/>
      </c>
      <c r="Y673" s="2" t="str">
        <f t="shared" si="334"/>
        <v/>
      </c>
      <c r="Z673" s="2" t="str">
        <f t="shared" si="349"/>
        <v/>
      </c>
      <c r="AA673" s="2" t="str">
        <f t="shared" si="350"/>
        <v/>
      </c>
      <c r="AB673" s="2" t="str">
        <f t="shared" si="351"/>
        <v/>
      </c>
      <c r="AC673" s="2" t="str">
        <f t="shared" si="335"/>
        <v/>
      </c>
      <c r="AD673" s="2" t="str">
        <f t="shared" si="336"/>
        <v/>
      </c>
      <c r="AE673" s="2" t="str">
        <f t="shared" si="337"/>
        <v/>
      </c>
      <c r="AF673" s="2" t="str">
        <f t="shared" si="338"/>
        <v/>
      </c>
    </row>
    <row r="674" spans="1:32" x14ac:dyDescent="0.2">
      <c r="A674" s="2" t="str">
        <f t="shared" si="339"/>
        <v/>
      </c>
      <c r="B674" s="2" t="str">
        <f t="shared" si="320"/>
        <v/>
      </c>
      <c r="C674" s="2" t="str">
        <f t="shared" si="321"/>
        <v/>
      </c>
      <c r="D674" s="2" t="str">
        <f t="shared" si="322"/>
        <v/>
      </c>
      <c r="E674" s="2" t="str">
        <f t="shared" si="323"/>
        <v/>
      </c>
      <c r="F674" s="2" t="str">
        <f t="shared" si="324"/>
        <v/>
      </c>
      <c r="G674" s="2" t="str">
        <f t="shared" si="325"/>
        <v/>
      </c>
      <c r="H674" s="2" t="str">
        <f t="shared" si="340"/>
        <v/>
      </c>
      <c r="I674" s="2" t="str">
        <f t="shared" si="341"/>
        <v/>
      </c>
      <c r="J674" s="2" t="str">
        <f t="shared" si="342"/>
        <v/>
      </c>
      <c r="K674" s="2" t="str">
        <f t="shared" si="326"/>
        <v/>
      </c>
      <c r="L674" s="2" t="str">
        <f t="shared" si="327"/>
        <v/>
      </c>
      <c r="M674" s="2" t="str">
        <f t="shared" si="328"/>
        <v/>
      </c>
      <c r="N674" s="2" t="str">
        <f t="shared" si="343"/>
        <v/>
      </c>
      <c r="O674" s="2" t="str">
        <f t="shared" si="344"/>
        <v/>
      </c>
      <c r="P674" s="2" t="str">
        <f t="shared" si="345"/>
        <v/>
      </c>
      <c r="Q674" s="2" t="str">
        <f t="shared" si="329"/>
        <v/>
      </c>
      <c r="R674" s="2" t="str">
        <f t="shared" si="330"/>
        <v/>
      </c>
      <c r="S674" s="2" t="str">
        <f t="shared" si="331"/>
        <v/>
      </c>
      <c r="T674" s="2" t="str">
        <f t="shared" si="346"/>
        <v/>
      </c>
      <c r="U674" s="2" t="str">
        <f t="shared" si="347"/>
        <v/>
      </c>
      <c r="V674" s="2" t="str">
        <f t="shared" si="348"/>
        <v/>
      </c>
      <c r="W674" s="2" t="str">
        <f t="shared" si="332"/>
        <v/>
      </c>
      <c r="X674" s="2" t="str">
        <f t="shared" si="333"/>
        <v/>
      </c>
      <c r="Y674" s="2" t="str">
        <f t="shared" si="334"/>
        <v/>
      </c>
      <c r="Z674" s="2" t="str">
        <f t="shared" si="349"/>
        <v/>
      </c>
      <c r="AA674" s="2" t="str">
        <f t="shared" si="350"/>
        <v/>
      </c>
      <c r="AB674" s="2" t="str">
        <f t="shared" si="351"/>
        <v/>
      </c>
      <c r="AC674" s="2" t="str">
        <f t="shared" si="335"/>
        <v/>
      </c>
      <c r="AD674" s="2" t="str">
        <f t="shared" si="336"/>
        <v/>
      </c>
      <c r="AE674" s="2" t="str">
        <f t="shared" si="337"/>
        <v/>
      </c>
      <c r="AF674" s="2" t="str">
        <f t="shared" si="338"/>
        <v/>
      </c>
    </row>
    <row r="675" spans="1:32" x14ac:dyDescent="0.2">
      <c r="A675" s="2" t="str">
        <f t="shared" si="339"/>
        <v/>
      </c>
      <c r="B675" s="2" t="str">
        <f t="shared" si="320"/>
        <v/>
      </c>
      <c r="C675" s="2" t="str">
        <f t="shared" si="321"/>
        <v/>
      </c>
      <c r="D675" s="2" t="str">
        <f t="shared" si="322"/>
        <v/>
      </c>
      <c r="E675" s="2" t="str">
        <f t="shared" si="323"/>
        <v/>
      </c>
      <c r="F675" s="2" t="str">
        <f t="shared" si="324"/>
        <v/>
      </c>
      <c r="G675" s="2" t="str">
        <f t="shared" si="325"/>
        <v/>
      </c>
      <c r="H675" s="2" t="str">
        <f t="shared" si="340"/>
        <v/>
      </c>
      <c r="I675" s="2" t="str">
        <f t="shared" si="341"/>
        <v/>
      </c>
      <c r="J675" s="2" t="str">
        <f t="shared" si="342"/>
        <v/>
      </c>
      <c r="K675" s="2" t="str">
        <f t="shared" si="326"/>
        <v/>
      </c>
      <c r="L675" s="2" t="str">
        <f t="shared" si="327"/>
        <v/>
      </c>
      <c r="M675" s="2" t="str">
        <f t="shared" si="328"/>
        <v/>
      </c>
      <c r="N675" s="2" t="str">
        <f t="shared" si="343"/>
        <v/>
      </c>
      <c r="O675" s="2" t="str">
        <f t="shared" si="344"/>
        <v/>
      </c>
      <c r="P675" s="2" t="str">
        <f t="shared" si="345"/>
        <v/>
      </c>
      <c r="Q675" s="2" t="str">
        <f t="shared" si="329"/>
        <v/>
      </c>
      <c r="R675" s="2" t="str">
        <f t="shared" si="330"/>
        <v/>
      </c>
      <c r="S675" s="2" t="str">
        <f t="shared" si="331"/>
        <v/>
      </c>
      <c r="T675" s="2" t="str">
        <f t="shared" si="346"/>
        <v/>
      </c>
      <c r="U675" s="2" t="str">
        <f t="shared" si="347"/>
        <v/>
      </c>
      <c r="V675" s="2" t="str">
        <f t="shared" si="348"/>
        <v/>
      </c>
      <c r="W675" s="2" t="str">
        <f t="shared" si="332"/>
        <v/>
      </c>
      <c r="X675" s="2" t="str">
        <f t="shared" si="333"/>
        <v/>
      </c>
      <c r="Y675" s="2" t="str">
        <f t="shared" si="334"/>
        <v/>
      </c>
      <c r="Z675" s="2" t="str">
        <f t="shared" si="349"/>
        <v/>
      </c>
      <c r="AA675" s="2" t="str">
        <f t="shared" si="350"/>
        <v/>
      </c>
      <c r="AB675" s="2" t="str">
        <f t="shared" si="351"/>
        <v/>
      </c>
      <c r="AC675" s="2" t="str">
        <f t="shared" si="335"/>
        <v/>
      </c>
      <c r="AD675" s="2" t="str">
        <f t="shared" si="336"/>
        <v/>
      </c>
      <c r="AE675" s="2" t="str">
        <f t="shared" si="337"/>
        <v/>
      </c>
      <c r="AF675" s="2" t="str">
        <f t="shared" si="338"/>
        <v/>
      </c>
    </row>
    <row r="676" spans="1:32" x14ac:dyDescent="0.2">
      <c r="A676" s="2" t="str">
        <f t="shared" si="339"/>
        <v/>
      </c>
      <c r="B676" s="2" t="str">
        <f t="shared" si="320"/>
        <v/>
      </c>
      <c r="C676" s="2" t="str">
        <f t="shared" si="321"/>
        <v/>
      </c>
      <c r="D676" s="2" t="str">
        <f t="shared" si="322"/>
        <v/>
      </c>
      <c r="E676" s="2" t="str">
        <f t="shared" si="323"/>
        <v/>
      </c>
      <c r="F676" s="2" t="str">
        <f t="shared" si="324"/>
        <v/>
      </c>
      <c r="G676" s="2" t="str">
        <f t="shared" si="325"/>
        <v/>
      </c>
      <c r="H676" s="2" t="str">
        <f t="shared" si="340"/>
        <v/>
      </c>
      <c r="I676" s="2" t="str">
        <f t="shared" si="341"/>
        <v/>
      </c>
      <c r="J676" s="2" t="str">
        <f t="shared" si="342"/>
        <v/>
      </c>
      <c r="K676" s="2" t="str">
        <f t="shared" si="326"/>
        <v/>
      </c>
      <c r="L676" s="2" t="str">
        <f t="shared" si="327"/>
        <v/>
      </c>
      <c r="M676" s="2" t="str">
        <f t="shared" si="328"/>
        <v/>
      </c>
      <c r="N676" s="2" t="str">
        <f t="shared" si="343"/>
        <v/>
      </c>
      <c r="O676" s="2" t="str">
        <f t="shared" si="344"/>
        <v/>
      </c>
      <c r="P676" s="2" t="str">
        <f t="shared" si="345"/>
        <v/>
      </c>
      <c r="Q676" s="2" t="str">
        <f t="shared" si="329"/>
        <v/>
      </c>
      <c r="R676" s="2" t="str">
        <f t="shared" si="330"/>
        <v/>
      </c>
      <c r="S676" s="2" t="str">
        <f t="shared" si="331"/>
        <v/>
      </c>
      <c r="T676" s="2" t="str">
        <f t="shared" si="346"/>
        <v/>
      </c>
      <c r="U676" s="2" t="str">
        <f t="shared" si="347"/>
        <v/>
      </c>
      <c r="V676" s="2" t="str">
        <f t="shared" si="348"/>
        <v/>
      </c>
      <c r="W676" s="2" t="str">
        <f t="shared" si="332"/>
        <v/>
      </c>
      <c r="X676" s="2" t="str">
        <f t="shared" si="333"/>
        <v/>
      </c>
      <c r="Y676" s="2" t="str">
        <f t="shared" si="334"/>
        <v/>
      </c>
      <c r="Z676" s="2" t="str">
        <f t="shared" si="349"/>
        <v/>
      </c>
      <c r="AA676" s="2" t="str">
        <f t="shared" si="350"/>
        <v/>
      </c>
      <c r="AB676" s="2" t="str">
        <f t="shared" si="351"/>
        <v/>
      </c>
      <c r="AC676" s="2" t="str">
        <f t="shared" si="335"/>
        <v/>
      </c>
      <c r="AD676" s="2" t="str">
        <f t="shared" si="336"/>
        <v/>
      </c>
      <c r="AE676" s="2" t="str">
        <f t="shared" si="337"/>
        <v/>
      </c>
      <c r="AF676" s="2" t="str">
        <f t="shared" si="338"/>
        <v/>
      </c>
    </row>
    <row r="677" spans="1:32" x14ac:dyDescent="0.2">
      <c r="A677" s="2" t="str">
        <f t="shared" si="339"/>
        <v/>
      </c>
      <c r="B677" s="2" t="str">
        <f t="shared" si="320"/>
        <v/>
      </c>
      <c r="C677" s="2" t="str">
        <f t="shared" si="321"/>
        <v/>
      </c>
      <c r="D677" s="2" t="str">
        <f t="shared" si="322"/>
        <v/>
      </c>
      <c r="E677" s="2" t="str">
        <f t="shared" si="323"/>
        <v/>
      </c>
      <c r="F677" s="2" t="str">
        <f t="shared" si="324"/>
        <v/>
      </c>
      <c r="G677" s="2" t="str">
        <f t="shared" si="325"/>
        <v/>
      </c>
      <c r="H677" s="2" t="str">
        <f t="shared" si="340"/>
        <v/>
      </c>
      <c r="I677" s="2" t="str">
        <f t="shared" si="341"/>
        <v/>
      </c>
      <c r="J677" s="2" t="str">
        <f t="shared" si="342"/>
        <v/>
      </c>
      <c r="K677" s="2" t="str">
        <f t="shared" si="326"/>
        <v/>
      </c>
      <c r="L677" s="2" t="str">
        <f t="shared" si="327"/>
        <v/>
      </c>
      <c r="M677" s="2" t="str">
        <f t="shared" si="328"/>
        <v/>
      </c>
      <c r="N677" s="2" t="str">
        <f t="shared" si="343"/>
        <v/>
      </c>
      <c r="O677" s="2" t="str">
        <f t="shared" si="344"/>
        <v/>
      </c>
      <c r="P677" s="2" t="str">
        <f t="shared" si="345"/>
        <v/>
      </c>
      <c r="Q677" s="2" t="str">
        <f t="shared" si="329"/>
        <v/>
      </c>
      <c r="R677" s="2" t="str">
        <f t="shared" si="330"/>
        <v/>
      </c>
      <c r="S677" s="2" t="str">
        <f t="shared" si="331"/>
        <v/>
      </c>
      <c r="T677" s="2" t="str">
        <f t="shared" si="346"/>
        <v/>
      </c>
      <c r="U677" s="2" t="str">
        <f t="shared" si="347"/>
        <v/>
      </c>
      <c r="V677" s="2" t="str">
        <f t="shared" si="348"/>
        <v/>
      </c>
      <c r="W677" s="2" t="str">
        <f t="shared" si="332"/>
        <v/>
      </c>
      <c r="X677" s="2" t="str">
        <f t="shared" si="333"/>
        <v/>
      </c>
      <c r="Y677" s="2" t="str">
        <f t="shared" si="334"/>
        <v/>
      </c>
      <c r="Z677" s="2" t="str">
        <f t="shared" si="349"/>
        <v/>
      </c>
      <c r="AA677" s="2" t="str">
        <f t="shared" si="350"/>
        <v/>
      </c>
      <c r="AB677" s="2" t="str">
        <f t="shared" si="351"/>
        <v/>
      </c>
      <c r="AC677" s="2" t="str">
        <f t="shared" si="335"/>
        <v/>
      </c>
      <c r="AD677" s="2" t="str">
        <f t="shared" si="336"/>
        <v/>
      </c>
      <c r="AE677" s="2" t="str">
        <f t="shared" si="337"/>
        <v/>
      </c>
      <c r="AF677" s="2" t="str">
        <f t="shared" si="338"/>
        <v/>
      </c>
    </row>
    <row r="678" spans="1:32" x14ac:dyDescent="0.2">
      <c r="A678" s="2" t="str">
        <f t="shared" si="339"/>
        <v/>
      </c>
      <c r="B678" s="2" t="str">
        <f t="shared" si="320"/>
        <v/>
      </c>
      <c r="C678" s="2" t="str">
        <f t="shared" si="321"/>
        <v/>
      </c>
      <c r="D678" s="2" t="str">
        <f t="shared" si="322"/>
        <v/>
      </c>
      <c r="E678" s="2" t="str">
        <f t="shared" si="323"/>
        <v/>
      </c>
      <c r="F678" s="2" t="str">
        <f t="shared" si="324"/>
        <v/>
      </c>
      <c r="G678" s="2" t="str">
        <f t="shared" si="325"/>
        <v/>
      </c>
      <c r="H678" s="2" t="str">
        <f t="shared" si="340"/>
        <v/>
      </c>
      <c r="I678" s="2" t="str">
        <f t="shared" si="341"/>
        <v/>
      </c>
      <c r="J678" s="2" t="str">
        <f t="shared" si="342"/>
        <v/>
      </c>
      <c r="K678" s="2" t="str">
        <f t="shared" si="326"/>
        <v/>
      </c>
      <c r="L678" s="2" t="str">
        <f t="shared" si="327"/>
        <v/>
      </c>
      <c r="M678" s="2" t="str">
        <f t="shared" si="328"/>
        <v/>
      </c>
      <c r="N678" s="2" t="str">
        <f t="shared" si="343"/>
        <v/>
      </c>
      <c r="O678" s="2" t="str">
        <f t="shared" si="344"/>
        <v/>
      </c>
      <c r="P678" s="2" t="str">
        <f t="shared" si="345"/>
        <v/>
      </c>
      <c r="Q678" s="2" t="str">
        <f t="shared" si="329"/>
        <v/>
      </c>
      <c r="R678" s="2" t="str">
        <f t="shared" si="330"/>
        <v/>
      </c>
      <c r="S678" s="2" t="str">
        <f t="shared" si="331"/>
        <v/>
      </c>
      <c r="T678" s="2" t="str">
        <f t="shared" si="346"/>
        <v/>
      </c>
      <c r="U678" s="2" t="str">
        <f t="shared" si="347"/>
        <v/>
      </c>
      <c r="V678" s="2" t="str">
        <f t="shared" si="348"/>
        <v/>
      </c>
      <c r="W678" s="2" t="str">
        <f t="shared" si="332"/>
        <v/>
      </c>
      <c r="X678" s="2" t="str">
        <f t="shared" si="333"/>
        <v/>
      </c>
      <c r="Y678" s="2" t="str">
        <f t="shared" si="334"/>
        <v/>
      </c>
      <c r="Z678" s="2" t="str">
        <f t="shared" si="349"/>
        <v/>
      </c>
      <c r="AA678" s="2" t="str">
        <f t="shared" si="350"/>
        <v/>
      </c>
      <c r="AB678" s="2" t="str">
        <f t="shared" si="351"/>
        <v/>
      </c>
      <c r="AC678" s="2" t="str">
        <f t="shared" si="335"/>
        <v/>
      </c>
      <c r="AD678" s="2" t="str">
        <f t="shared" si="336"/>
        <v/>
      </c>
      <c r="AE678" s="2" t="str">
        <f t="shared" si="337"/>
        <v/>
      </c>
      <c r="AF678" s="2" t="str">
        <f t="shared" si="338"/>
        <v/>
      </c>
    </row>
    <row r="679" spans="1:32" x14ac:dyDescent="0.2">
      <c r="A679" s="2" t="str">
        <f t="shared" si="339"/>
        <v/>
      </c>
      <c r="B679" s="2" t="str">
        <f t="shared" si="320"/>
        <v/>
      </c>
      <c r="C679" s="2" t="str">
        <f t="shared" si="321"/>
        <v/>
      </c>
      <c r="D679" s="2" t="str">
        <f t="shared" si="322"/>
        <v/>
      </c>
      <c r="E679" s="2" t="str">
        <f t="shared" si="323"/>
        <v/>
      </c>
      <c r="F679" s="2" t="str">
        <f t="shared" si="324"/>
        <v/>
      </c>
      <c r="G679" s="2" t="str">
        <f t="shared" si="325"/>
        <v/>
      </c>
      <c r="H679" s="2" t="str">
        <f t="shared" si="340"/>
        <v/>
      </c>
      <c r="I679" s="2" t="str">
        <f t="shared" si="341"/>
        <v/>
      </c>
      <c r="J679" s="2" t="str">
        <f t="shared" si="342"/>
        <v/>
      </c>
      <c r="K679" s="2" t="str">
        <f t="shared" si="326"/>
        <v/>
      </c>
      <c r="L679" s="2" t="str">
        <f t="shared" si="327"/>
        <v/>
      </c>
      <c r="M679" s="2" t="str">
        <f t="shared" si="328"/>
        <v/>
      </c>
      <c r="N679" s="2" t="str">
        <f t="shared" si="343"/>
        <v/>
      </c>
      <c r="O679" s="2" t="str">
        <f t="shared" si="344"/>
        <v/>
      </c>
      <c r="P679" s="2" t="str">
        <f t="shared" si="345"/>
        <v/>
      </c>
      <c r="Q679" s="2" t="str">
        <f t="shared" si="329"/>
        <v/>
      </c>
      <c r="R679" s="2" t="str">
        <f t="shared" si="330"/>
        <v/>
      </c>
      <c r="S679" s="2" t="str">
        <f t="shared" si="331"/>
        <v/>
      </c>
      <c r="T679" s="2" t="str">
        <f t="shared" si="346"/>
        <v/>
      </c>
      <c r="U679" s="2" t="str">
        <f t="shared" si="347"/>
        <v/>
      </c>
      <c r="V679" s="2" t="str">
        <f t="shared" si="348"/>
        <v/>
      </c>
      <c r="W679" s="2" t="str">
        <f t="shared" si="332"/>
        <v/>
      </c>
      <c r="X679" s="2" t="str">
        <f t="shared" si="333"/>
        <v/>
      </c>
      <c r="Y679" s="2" t="str">
        <f t="shared" si="334"/>
        <v/>
      </c>
      <c r="Z679" s="2" t="str">
        <f t="shared" si="349"/>
        <v/>
      </c>
      <c r="AA679" s="2" t="str">
        <f t="shared" si="350"/>
        <v/>
      </c>
      <c r="AB679" s="2" t="str">
        <f t="shared" si="351"/>
        <v/>
      </c>
      <c r="AC679" s="2" t="str">
        <f t="shared" si="335"/>
        <v/>
      </c>
      <c r="AD679" s="2" t="str">
        <f t="shared" si="336"/>
        <v/>
      </c>
      <c r="AE679" s="2" t="str">
        <f t="shared" si="337"/>
        <v/>
      </c>
      <c r="AF679" s="2" t="str">
        <f t="shared" si="338"/>
        <v/>
      </c>
    </row>
    <row r="680" spans="1:32" x14ac:dyDescent="0.2">
      <c r="A680" s="2" t="str">
        <f t="shared" si="339"/>
        <v/>
      </c>
      <c r="B680" s="2" t="str">
        <f t="shared" si="320"/>
        <v/>
      </c>
      <c r="C680" s="2" t="str">
        <f t="shared" si="321"/>
        <v/>
      </c>
      <c r="D680" s="2" t="str">
        <f t="shared" si="322"/>
        <v/>
      </c>
      <c r="E680" s="2" t="str">
        <f t="shared" si="323"/>
        <v/>
      </c>
      <c r="F680" s="2" t="str">
        <f t="shared" si="324"/>
        <v/>
      </c>
      <c r="G680" s="2" t="str">
        <f t="shared" si="325"/>
        <v/>
      </c>
      <c r="H680" s="2" t="str">
        <f t="shared" si="340"/>
        <v/>
      </c>
      <c r="I680" s="2" t="str">
        <f t="shared" si="341"/>
        <v/>
      </c>
      <c r="J680" s="2" t="str">
        <f t="shared" si="342"/>
        <v/>
      </c>
      <c r="K680" s="2" t="str">
        <f t="shared" si="326"/>
        <v/>
      </c>
      <c r="L680" s="2" t="str">
        <f t="shared" si="327"/>
        <v/>
      </c>
      <c r="M680" s="2" t="str">
        <f t="shared" si="328"/>
        <v/>
      </c>
      <c r="N680" s="2" t="str">
        <f t="shared" si="343"/>
        <v/>
      </c>
      <c r="O680" s="2" t="str">
        <f t="shared" si="344"/>
        <v/>
      </c>
      <c r="P680" s="2" t="str">
        <f t="shared" si="345"/>
        <v/>
      </c>
      <c r="Q680" s="2" t="str">
        <f t="shared" si="329"/>
        <v/>
      </c>
      <c r="R680" s="2" t="str">
        <f t="shared" si="330"/>
        <v/>
      </c>
      <c r="S680" s="2" t="str">
        <f t="shared" si="331"/>
        <v/>
      </c>
      <c r="T680" s="2" t="str">
        <f t="shared" si="346"/>
        <v/>
      </c>
      <c r="U680" s="2" t="str">
        <f t="shared" si="347"/>
        <v/>
      </c>
      <c r="V680" s="2" t="str">
        <f t="shared" si="348"/>
        <v/>
      </c>
      <c r="W680" s="2" t="str">
        <f t="shared" si="332"/>
        <v/>
      </c>
      <c r="X680" s="2" t="str">
        <f t="shared" si="333"/>
        <v/>
      </c>
      <c r="Y680" s="2" t="str">
        <f t="shared" si="334"/>
        <v/>
      </c>
      <c r="Z680" s="2" t="str">
        <f t="shared" si="349"/>
        <v/>
      </c>
      <c r="AA680" s="2" t="str">
        <f t="shared" si="350"/>
        <v/>
      </c>
      <c r="AB680" s="2" t="str">
        <f t="shared" si="351"/>
        <v/>
      </c>
      <c r="AC680" s="2" t="str">
        <f t="shared" si="335"/>
        <v/>
      </c>
      <c r="AD680" s="2" t="str">
        <f t="shared" si="336"/>
        <v/>
      </c>
      <c r="AE680" s="2" t="str">
        <f t="shared" si="337"/>
        <v/>
      </c>
      <c r="AF680" s="2" t="str">
        <f t="shared" si="338"/>
        <v/>
      </c>
    </row>
    <row r="681" spans="1:32" x14ac:dyDescent="0.2">
      <c r="A681" s="2" t="str">
        <f t="shared" si="339"/>
        <v/>
      </c>
      <c r="B681" s="2" t="str">
        <f t="shared" si="320"/>
        <v/>
      </c>
      <c r="C681" s="2" t="str">
        <f t="shared" si="321"/>
        <v/>
      </c>
      <c r="D681" s="2" t="str">
        <f t="shared" si="322"/>
        <v/>
      </c>
      <c r="E681" s="2" t="str">
        <f t="shared" si="323"/>
        <v/>
      </c>
      <c r="F681" s="2" t="str">
        <f t="shared" si="324"/>
        <v/>
      </c>
      <c r="G681" s="2" t="str">
        <f t="shared" si="325"/>
        <v/>
      </c>
      <c r="H681" s="2" t="str">
        <f t="shared" si="340"/>
        <v/>
      </c>
      <c r="I681" s="2" t="str">
        <f t="shared" si="341"/>
        <v/>
      </c>
      <c r="J681" s="2" t="str">
        <f t="shared" si="342"/>
        <v/>
      </c>
      <c r="K681" s="2" t="str">
        <f t="shared" si="326"/>
        <v/>
      </c>
      <c r="L681" s="2" t="str">
        <f t="shared" si="327"/>
        <v/>
      </c>
      <c r="M681" s="2" t="str">
        <f t="shared" si="328"/>
        <v/>
      </c>
      <c r="N681" s="2" t="str">
        <f t="shared" si="343"/>
        <v/>
      </c>
      <c r="O681" s="2" t="str">
        <f t="shared" si="344"/>
        <v/>
      </c>
      <c r="P681" s="2" t="str">
        <f t="shared" si="345"/>
        <v/>
      </c>
      <c r="Q681" s="2" t="str">
        <f t="shared" si="329"/>
        <v/>
      </c>
      <c r="R681" s="2" t="str">
        <f t="shared" si="330"/>
        <v/>
      </c>
      <c r="S681" s="2" t="str">
        <f t="shared" si="331"/>
        <v/>
      </c>
      <c r="T681" s="2" t="str">
        <f t="shared" si="346"/>
        <v/>
      </c>
      <c r="U681" s="2" t="str">
        <f t="shared" si="347"/>
        <v/>
      </c>
      <c r="V681" s="2" t="str">
        <f t="shared" si="348"/>
        <v/>
      </c>
      <c r="W681" s="2" t="str">
        <f t="shared" si="332"/>
        <v/>
      </c>
      <c r="X681" s="2" t="str">
        <f t="shared" si="333"/>
        <v/>
      </c>
      <c r="Y681" s="2" t="str">
        <f t="shared" si="334"/>
        <v/>
      </c>
      <c r="Z681" s="2" t="str">
        <f t="shared" si="349"/>
        <v/>
      </c>
      <c r="AA681" s="2" t="str">
        <f t="shared" si="350"/>
        <v/>
      </c>
      <c r="AB681" s="2" t="str">
        <f t="shared" si="351"/>
        <v/>
      </c>
      <c r="AC681" s="2" t="str">
        <f t="shared" si="335"/>
        <v/>
      </c>
      <c r="AD681" s="2" t="str">
        <f t="shared" si="336"/>
        <v/>
      </c>
      <c r="AE681" s="2" t="str">
        <f t="shared" si="337"/>
        <v/>
      </c>
      <c r="AF681" s="2" t="str">
        <f t="shared" si="338"/>
        <v/>
      </c>
    </row>
    <row r="682" spans="1:32" x14ac:dyDescent="0.2">
      <c r="A682" s="2" t="str">
        <f t="shared" si="339"/>
        <v/>
      </c>
      <c r="B682" s="2" t="str">
        <f t="shared" si="320"/>
        <v/>
      </c>
      <c r="C682" s="2" t="str">
        <f t="shared" si="321"/>
        <v/>
      </c>
      <c r="D682" s="2" t="str">
        <f t="shared" si="322"/>
        <v/>
      </c>
      <c r="E682" s="2" t="str">
        <f t="shared" si="323"/>
        <v/>
      </c>
      <c r="F682" s="2" t="str">
        <f t="shared" si="324"/>
        <v/>
      </c>
      <c r="G682" s="2" t="str">
        <f t="shared" si="325"/>
        <v/>
      </c>
      <c r="H682" s="2" t="str">
        <f t="shared" si="340"/>
        <v/>
      </c>
      <c r="I682" s="2" t="str">
        <f t="shared" si="341"/>
        <v/>
      </c>
      <c r="J682" s="2" t="str">
        <f t="shared" si="342"/>
        <v/>
      </c>
      <c r="K682" s="2" t="str">
        <f t="shared" si="326"/>
        <v/>
      </c>
      <c r="L682" s="2" t="str">
        <f t="shared" si="327"/>
        <v/>
      </c>
      <c r="M682" s="2" t="str">
        <f t="shared" si="328"/>
        <v/>
      </c>
      <c r="N682" s="2" t="str">
        <f t="shared" si="343"/>
        <v/>
      </c>
      <c r="O682" s="2" t="str">
        <f t="shared" si="344"/>
        <v/>
      </c>
      <c r="P682" s="2" t="str">
        <f t="shared" si="345"/>
        <v/>
      </c>
      <c r="Q682" s="2" t="str">
        <f t="shared" si="329"/>
        <v/>
      </c>
      <c r="R682" s="2" t="str">
        <f t="shared" si="330"/>
        <v/>
      </c>
      <c r="S682" s="2" t="str">
        <f t="shared" si="331"/>
        <v/>
      </c>
      <c r="T682" s="2" t="str">
        <f t="shared" si="346"/>
        <v/>
      </c>
      <c r="U682" s="2" t="str">
        <f t="shared" si="347"/>
        <v/>
      </c>
      <c r="V682" s="2" t="str">
        <f t="shared" si="348"/>
        <v/>
      </c>
      <c r="W682" s="2" t="str">
        <f t="shared" si="332"/>
        <v/>
      </c>
      <c r="X682" s="2" t="str">
        <f t="shared" si="333"/>
        <v/>
      </c>
      <c r="Y682" s="2" t="str">
        <f t="shared" si="334"/>
        <v/>
      </c>
      <c r="Z682" s="2" t="str">
        <f t="shared" si="349"/>
        <v/>
      </c>
      <c r="AA682" s="2" t="str">
        <f t="shared" si="350"/>
        <v/>
      </c>
      <c r="AB682" s="2" t="str">
        <f t="shared" si="351"/>
        <v/>
      </c>
      <c r="AC682" s="2" t="str">
        <f t="shared" si="335"/>
        <v/>
      </c>
      <c r="AD682" s="2" t="str">
        <f t="shared" si="336"/>
        <v/>
      </c>
      <c r="AE682" s="2" t="str">
        <f t="shared" si="337"/>
        <v/>
      </c>
      <c r="AF682" s="2" t="str">
        <f t="shared" si="338"/>
        <v/>
      </c>
    </row>
    <row r="683" spans="1:32" x14ac:dyDescent="0.2">
      <c r="A683" s="2" t="str">
        <f t="shared" si="339"/>
        <v/>
      </c>
      <c r="B683" s="2" t="str">
        <f t="shared" si="320"/>
        <v/>
      </c>
      <c r="C683" s="2" t="str">
        <f t="shared" si="321"/>
        <v/>
      </c>
      <c r="D683" s="2" t="str">
        <f t="shared" si="322"/>
        <v/>
      </c>
      <c r="E683" s="2" t="str">
        <f t="shared" si="323"/>
        <v/>
      </c>
      <c r="F683" s="2" t="str">
        <f t="shared" si="324"/>
        <v/>
      </c>
      <c r="G683" s="2" t="str">
        <f t="shared" si="325"/>
        <v/>
      </c>
      <c r="H683" s="2" t="str">
        <f t="shared" si="340"/>
        <v/>
      </c>
      <c r="I683" s="2" t="str">
        <f t="shared" si="341"/>
        <v/>
      </c>
      <c r="J683" s="2" t="str">
        <f t="shared" si="342"/>
        <v/>
      </c>
      <c r="K683" s="2" t="str">
        <f t="shared" si="326"/>
        <v/>
      </c>
      <c r="L683" s="2" t="str">
        <f t="shared" si="327"/>
        <v/>
      </c>
      <c r="M683" s="2" t="str">
        <f t="shared" si="328"/>
        <v/>
      </c>
      <c r="N683" s="2" t="str">
        <f t="shared" si="343"/>
        <v/>
      </c>
      <c r="O683" s="2" t="str">
        <f t="shared" si="344"/>
        <v/>
      </c>
      <c r="P683" s="2" t="str">
        <f t="shared" si="345"/>
        <v/>
      </c>
      <c r="Q683" s="2" t="str">
        <f t="shared" si="329"/>
        <v/>
      </c>
      <c r="R683" s="2" t="str">
        <f t="shared" si="330"/>
        <v/>
      </c>
      <c r="S683" s="2" t="str">
        <f t="shared" si="331"/>
        <v/>
      </c>
      <c r="T683" s="2" t="str">
        <f t="shared" si="346"/>
        <v/>
      </c>
      <c r="U683" s="2" t="str">
        <f t="shared" si="347"/>
        <v/>
      </c>
      <c r="V683" s="2" t="str">
        <f t="shared" si="348"/>
        <v/>
      </c>
      <c r="W683" s="2" t="str">
        <f t="shared" si="332"/>
        <v/>
      </c>
      <c r="X683" s="2" t="str">
        <f t="shared" si="333"/>
        <v/>
      </c>
      <c r="Y683" s="2" t="str">
        <f t="shared" si="334"/>
        <v/>
      </c>
      <c r="Z683" s="2" t="str">
        <f t="shared" si="349"/>
        <v/>
      </c>
      <c r="AA683" s="2" t="str">
        <f t="shared" si="350"/>
        <v/>
      </c>
      <c r="AB683" s="2" t="str">
        <f t="shared" si="351"/>
        <v/>
      </c>
      <c r="AC683" s="2" t="str">
        <f t="shared" si="335"/>
        <v/>
      </c>
      <c r="AD683" s="2" t="str">
        <f t="shared" si="336"/>
        <v/>
      </c>
      <c r="AE683" s="2" t="str">
        <f t="shared" si="337"/>
        <v/>
      </c>
      <c r="AF683" s="2" t="str">
        <f t="shared" si="338"/>
        <v/>
      </c>
    </row>
    <row r="684" spans="1:32" x14ac:dyDescent="0.2">
      <c r="A684" s="2" t="str">
        <f t="shared" si="339"/>
        <v/>
      </c>
      <c r="B684" s="2" t="str">
        <f t="shared" si="320"/>
        <v/>
      </c>
      <c r="C684" s="2" t="str">
        <f t="shared" si="321"/>
        <v/>
      </c>
      <c r="D684" s="2" t="str">
        <f t="shared" si="322"/>
        <v/>
      </c>
      <c r="E684" s="2" t="str">
        <f t="shared" si="323"/>
        <v/>
      </c>
      <c r="F684" s="2" t="str">
        <f t="shared" si="324"/>
        <v/>
      </c>
      <c r="G684" s="2" t="str">
        <f t="shared" si="325"/>
        <v/>
      </c>
      <c r="H684" s="2" t="str">
        <f t="shared" si="340"/>
        <v/>
      </c>
      <c r="I684" s="2" t="str">
        <f t="shared" si="341"/>
        <v/>
      </c>
      <c r="J684" s="2" t="str">
        <f t="shared" si="342"/>
        <v/>
      </c>
      <c r="K684" s="2" t="str">
        <f t="shared" si="326"/>
        <v/>
      </c>
      <c r="L684" s="2" t="str">
        <f t="shared" si="327"/>
        <v/>
      </c>
      <c r="M684" s="2" t="str">
        <f t="shared" si="328"/>
        <v/>
      </c>
      <c r="N684" s="2" t="str">
        <f t="shared" si="343"/>
        <v/>
      </c>
      <c r="O684" s="2" t="str">
        <f t="shared" si="344"/>
        <v/>
      </c>
      <c r="P684" s="2" t="str">
        <f t="shared" si="345"/>
        <v/>
      </c>
      <c r="Q684" s="2" t="str">
        <f t="shared" si="329"/>
        <v/>
      </c>
      <c r="R684" s="2" t="str">
        <f t="shared" si="330"/>
        <v/>
      </c>
      <c r="S684" s="2" t="str">
        <f t="shared" si="331"/>
        <v/>
      </c>
      <c r="T684" s="2" t="str">
        <f t="shared" si="346"/>
        <v/>
      </c>
      <c r="U684" s="2" t="str">
        <f t="shared" si="347"/>
        <v/>
      </c>
      <c r="V684" s="2" t="str">
        <f t="shared" si="348"/>
        <v/>
      </c>
      <c r="W684" s="2" t="str">
        <f t="shared" si="332"/>
        <v/>
      </c>
      <c r="X684" s="2" t="str">
        <f t="shared" si="333"/>
        <v/>
      </c>
      <c r="Y684" s="2" t="str">
        <f t="shared" si="334"/>
        <v/>
      </c>
      <c r="Z684" s="2" t="str">
        <f t="shared" si="349"/>
        <v/>
      </c>
      <c r="AA684" s="2" t="str">
        <f t="shared" si="350"/>
        <v/>
      </c>
      <c r="AB684" s="2" t="str">
        <f t="shared" si="351"/>
        <v/>
      </c>
      <c r="AC684" s="2" t="str">
        <f t="shared" si="335"/>
        <v/>
      </c>
      <c r="AD684" s="2" t="str">
        <f t="shared" si="336"/>
        <v/>
      </c>
      <c r="AE684" s="2" t="str">
        <f t="shared" si="337"/>
        <v/>
      </c>
      <c r="AF684" s="2" t="str">
        <f t="shared" si="338"/>
        <v/>
      </c>
    </row>
    <row r="685" spans="1:32" x14ac:dyDescent="0.2">
      <c r="A685" s="2" t="str">
        <f t="shared" si="339"/>
        <v/>
      </c>
      <c r="B685" s="2" t="str">
        <f t="shared" si="320"/>
        <v/>
      </c>
      <c r="C685" s="2" t="str">
        <f t="shared" si="321"/>
        <v/>
      </c>
      <c r="D685" s="2" t="str">
        <f t="shared" si="322"/>
        <v/>
      </c>
      <c r="E685" s="2" t="str">
        <f t="shared" si="323"/>
        <v/>
      </c>
      <c r="F685" s="2" t="str">
        <f t="shared" si="324"/>
        <v/>
      </c>
      <c r="G685" s="2" t="str">
        <f t="shared" si="325"/>
        <v/>
      </c>
      <c r="H685" s="2" t="str">
        <f t="shared" si="340"/>
        <v/>
      </c>
      <c r="I685" s="2" t="str">
        <f t="shared" si="341"/>
        <v/>
      </c>
      <c r="J685" s="2" t="str">
        <f t="shared" si="342"/>
        <v/>
      </c>
      <c r="K685" s="2" t="str">
        <f t="shared" si="326"/>
        <v/>
      </c>
      <c r="L685" s="2" t="str">
        <f t="shared" si="327"/>
        <v/>
      </c>
      <c r="M685" s="2" t="str">
        <f t="shared" si="328"/>
        <v/>
      </c>
      <c r="N685" s="2" t="str">
        <f t="shared" si="343"/>
        <v/>
      </c>
      <c r="O685" s="2" t="str">
        <f t="shared" si="344"/>
        <v/>
      </c>
      <c r="P685" s="2" t="str">
        <f t="shared" si="345"/>
        <v/>
      </c>
      <c r="Q685" s="2" t="str">
        <f t="shared" si="329"/>
        <v/>
      </c>
      <c r="R685" s="2" t="str">
        <f t="shared" si="330"/>
        <v/>
      </c>
      <c r="S685" s="2" t="str">
        <f t="shared" si="331"/>
        <v/>
      </c>
      <c r="T685" s="2" t="str">
        <f t="shared" si="346"/>
        <v/>
      </c>
      <c r="U685" s="2" t="str">
        <f t="shared" si="347"/>
        <v/>
      </c>
      <c r="V685" s="2" t="str">
        <f t="shared" si="348"/>
        <v/>
      </c>
      <c r="W685" s="2" t="str">
        <f t="shared" si="332"/>
        <v/>
      </c>
      <c r="X685" s="2" t="str">
        <f t="shared" si="333"/>
        <v/>
      </c>
      <c r="Y685" s="2" t="str">
        <f t="shared" si="334"/>
        <v/>
      </c>
      <c r="Z685" s="2" t="str">
        <f t="shared" si="349"/>
        <v/>
      </c>
      <c r="AA685" s="2" t="str">
        <f t="shared" si="350"/>
        <v/>
      </c>
      <c r="AB685" s="2" t="str">
        <f t="shared" si="351"/>
        <v/>
      </c>
      <c r="AC685" s="2" t="str">
        <f t="shared" si="335"/>
        <v/>
      </c>
      <c r="AD685" s="2" t="str">
        <f t="shared" si="336"/>
        <v/>
      </c>
      <c r="AE685" s="2" t="str">
        <f t="shared" si="337"/>
        <v/>
      </c>
      <c r="AF685" s="2" t="str">
        <f t="shared" si="338"/>
        <v/>
      </c>
    </row>
    <row r="686" spans="1:32" x14ac:dyDescent="0.2">
      <c r="A686" s="2" t="str">
        <f t="shared" si="339"/>
        <v/>
      </c>
      <c r="B686" s="2" t="str">
        <f t="shared" si="320"/>
        <v/>
      </c>
      <c r="C686" s="2" t="str">
        <f t="shared" si="321"/>
        <v/>
      </c>
      <c r="D686" s="2" t="str">
        <f t="shared" si="322"/>
        <v/>
      </c>
      <c r="E686" s="2" t="str">
        <f t="shared" si="323"/>
        <v/>
      </c>
      <c r="F686" s="2" t="str">
        <f t="shared" si="324"/>
        <v/>
      </c>
      <c r="G686" s="2" t="str">
        <f t="shared" si="325"/>
        <v/>
      </c>
      <c r="H686" s="2" t="str">
        <f t="shared" si="340"/>
        <v/>
      </c>
      <c r="I686" s="2" t="str">
        <f t="shared" si="341"/>
        <v/>
      </c>
      <c r="J686" s="2" t="str">
        <f t="shared" si="342"/>
        <v/>
      </c>
      <c r="K686" s="2" t="str">
        <f t="shared" si="326"/>
        <v/>
      </c>
      <c r="L686" s="2" t="str">
        <f t="shared" si="327"/>
        <v/>
      </c>
      <c r="M686" s="2" t="str">
        <f t="shared" si="328"/>
        <v/>
      </c>
      <c r="N686" s="2" t="str">
        <f t="shared" si="343"/>
        <v/>
      </c>
      <c r="O686" s="2" t="str">
        <f t="shared" si="344"/>
        <v/>
      </c>
      <c r="P686" s="2" t="str">
        <f t="shared" si="345"/>
        <v/>
      </c>
      <c r="Q686" s="2" t="str">
        <f t="shared" si="329"/>
        <v/>
      </c>
      <c r="R686" s="2" t="str">
        <f t="shared" si="330"/>
        <v/>
      </c>
      <c r="S686" s="2" t="str">
        <f t="shared" si="331"/>
        <v/>
      </c>
      <c r="T686" s="2" t="str">
        <f t="shared" si="346"/>
        <v/>
      </c>
      <c r="U686" s="2" t="str">
        <f t="shared" si="347"/>
        <v/>
      </c>
      <c r="V686" s="2" t="str">
        <f t="shared" si="348"/>
        <v/>
      </c>
      <c r="W686" s="2" t="str">
        <f t="shared" si="332"/>
        <v/>
      </c>
      <c r="X686" s="2" t="str">
        <f t="shared" si="333"/>
        <v/>
      </c>
      <c r="Y686" s="2" t="str">
        <f t="shared" si="334"/>
        <v/>
      </c>
      <c r="Z686" s="2" t="str">
        <f t="shared" si="349"/>
        <v/>
      </c>
      <c r="AA686" s="2" t="str">
        <f t="shared" si="350"/>
        <v/>
      </c>
      <c r="AB686" s="2" t="str">
        <f t="shared" si="351"/>
        <v/>
      </c>
      <c r="AC686" s="2" t="str">
        <f t="shared" si="335"/>
        <v/>
      </c>
      <c r="AD686" s="2" t="str">
        <f t="shared" si="336"/>
        <v/>
      </c>
      <c r="AE686" s="2" t="str">
        <f t="shared" si="337"/>
        <v/>
      </c>
      <c r="AF686" s="2" t="str">
        <f t="shared" si="338"/>
        <v/>
      </c>
    </row>
    <row r="687" spans="1:32" x14ac:dyDescent="0.2">
      <c r="A687" s="2" t="str">
        <f t="shared" si="339"/>
        <v/>
      </c>
      <c r="B687" s="2" t="str">
        <f t="shared" si="320"/>
        <v/>
      </c>
      <c r="C687" s="2" t="str">
        <f t="shared" si="321"/>
        <v/>
      </c>
      <c r="D687" s="2" t="str">
        <f t="shared" si="322"/>
        <v/>
      </c>
      <c r="E687" s="2" t="str">
        <f t="shared" si="323"/>
        <v/>
      </c>
      <c r="F687" s="2" t="str">
        <f t="shared" si="324"/>
        <v/>
      </c>
      <c r="G687" s="2" t="str">
        <f t="shared" si="325"/>
        <v/>
      </c>
      <c r="H687" s="2" t="str">
        <f t="shared" si="340"/>
        <v/>
      </c>
      <c r="I687" s="2" t="str">
        <f t="shared" si="341"/>
        <v/>
      </c>
      <c r="J687" s="2" t="str">
        <f t="shared" si="342"/>
        <v/>
      </c>
      <c r="K687" s="2" t="str">
        <f t="shared" si="326"/>
        <v/>
      </c>
      <c r="L687" s="2" t="str">
        <f t="shared" si="327"/>
        <v/>
      </c>
      <c r="M687" s="2" t="str">
        <f t="shared" si="328"/>
        <v/>
      </c>
      <c r="N687" s="2" t="str">
        <f t="shared" si="343"/>
        <v/>
      </c>
      <c r="O687" s="2" t="str">
        <f t="shared" si="344"/>
        <v/>
      </c>
      <c r="P687" s="2" t="str">
        <f t="shared" si="345"/>
        <v/>
      </c>
      <c r="Q687" s="2" t="str">
        <f t="shared" si="329"/>
        <v/>
      </c>
      <c r="R687" s="2" t="str">
        <f t="shared" si="330"/>
        <v/>
      </c>
      <c r="S687" s="2" t="str">
        <f t="shared" si="331"/>
        <v/>
      </c>
      <c r="T687" s="2" t="str">
        <f t="shared" si="346"/>
        <v/>
      </c>
      <c r="U687" s="2" t="str">
        <f t="shared" si="347"/>
        <v/>
      </c>
      <c r="V687" s="2" t="str">
        <f t="shared" si="348"/>
        <v/>
      </c>
      <c r="W687" s="2" t="str">
        <f t="shared" si="332"/>
        <v/>
      </c>
      <c r="X687" s="2" t="str">
        <f t="shared" si="333"/>
        <v/>
      </c>
      <c r="Y687" s="2" t="str">
        <f t="shared" si="334"/>
        <v/>
      </c>
      <c r="Z687" s="2" t="str">
        <f t="shared" si="349"/>
        <v/>
      </c>
      <c r="AA687" s="2" t="str">
        <f t="shared" si="350"/>
        <v/>
      </c>
      <c r="AB687" s="2" t="str">
        <f t="shared" si="351"/>
        <v/>
      </c>
      <c r="AC687" s="2" t="str">
        <f t="shared" si="335"/>
        <v/>
      </c>
      <c r="AD687" s="2" t="str">
        <f t="shared" si="336"/>
        <v/>
      </c>
      <c r="AE687" s="2" t="str">
        <f t="shared" si="337"/>
        <v/>
      </c>
      <c r="AF687" s="2" t="str">
        <f t="shared" si="338"/>
        <v/>
      </c>
    </row>
    <row r="688" spans="1:32" x14ac:dyDescent="0.2">
      <c r="A688" s="2" t="str">
        <f t="shared" si="339"/>
        <v/>
      </c>
      <c r="B688" s="2" t="str">
        <f t="shared" si="320"/>
        <v/>
      </c>
      <c r="C688" s="2" t="str">
        <f t="shared" si="321"/>
        <v/>
      </c>
      <c r="D688" s="2" t="str">
        <f t="shared" si="322"/>
        <v/>
      </c>
      <c r="E688" s="2" t="str">
        <f t="shared" si="323"/>
        <v/>
      </c>
      <c r="F688" s="2" t="str">
        <f t="shared" si="324"/>
        <v/>
      </c>
      <c r="G688" s="2" t="str">
        <f t="shared" si="325"/>
        <v/>
      </c>
      <c r="H688" s="2" t="str">
        <f t="shared" si="340"/>
        <v/>
      </c>
      <c r="I688" s="2" t="str">
        <f t="shared" si="341"/>
        <v/>
      </c>
      <c r="J688" s="2" t="str">
        <f t="shared" si="342"/>
        <v/>
      </c>
      <c r="K688" s="2" t="str">
        <f t="shared" si="326"/>
        <v/>
      </c>
      <c r="L688" s="2" t="str">
        <f t="shared" si="327"/>
        <v/>
      </c>
      <c r="M688" s="2" t="str">
        <f t="shared" si="328"/>
        <v/>
      </c>
      <c r="N688" s="2" t="str">
        <f t="shared" si="343"/>
        <v/>
      </c>
      <c r="O688" s="2" t="str">
        <f t="shared" si="344"/>
        <v/>
      </c>
      <c r="P688" s="2" t="str">
        <f t="shared" si="345"/>
        <v/>
      </c>
      <c r="Q688" s="2" t="str">
        <f t="shared" si="329"/>
        <v/>
      </c>
      <c r="R688" s="2" t="str">
        <f t="shared" si="330"/>
        <v/>
      </c>
      <c r="S688" s="2" t="str">
        <f t="shared" si="331"/>
        <v/>
      </c>
      <c r="T688" s="2" t="str">
        <f t="shared" si="346"/>
        <v/>
      </c>
      <c r="U688" s="2" t="str">
        <f t="shared" si="347"/>
        <v/>
      </c>
      <c r="V688" s="2" t="str">
        <f t="shared" si="348"/>
        <v/>
      </c>
      <c r="W688" s="2" t="str">
        <f t="shared" si="332"/>
        <v/>
      </c>
      <c r="X688" s="2" t="str">
        <f t="shared" si="333"/>
        <v/>
      </c>
      <c r="Y688" s="2" t="str">
        <f t="shared" si="334"/>
        <v/>
      </c>
      <c r="Z688" s="2" t="str">
        <f t="shared" si="349"/>
        <v/>
      </c>
      <c r="AA688" s="2" t="str">
        <f t="shared" si="350"/>
        <v/>
      </c>
      <c r="AB688" s="2" t="str">
        <f t="shared" si="351"/>
        <v/>
      </c>
      <c r="AC688" s="2" t="str">
        <f t="shared" si="335"/>
        <v/>
      </c>
      <c r="AD688" s="2" t="str">
        <f t="shared" si="336"/>
        <v/>
      </c>
      <c r="AE688" s="2" t="str">
        <f t="shared" si="337"/>
        <v/>
      </c>
      <c r="AF688" s="2" t="str">
        <f t="shared" si="338"/>
        <v/>
      </c>
    </row>
    <row r="689" spans="1:32" x14ac:dyDescent="0.2">
      <c r="A689" s="2" t="str">
        <f t="shared" si="339"/>
        <v/>
      </c>
      <c r="B689" s="2" t="str">
        <f t="shared" si="320"/>
        <v/>
      </c>
      <c r="C689" s="2" t="str">
        <f t="shared" si="321"/>
        <v/>
      </c>
      <c r="D689" s="2" t="str">
        <f t="shared" si="322"/>
        <v/>
      </c>
      <c r="E689" s="2" t="str">
        <f t="shared" si="323"/>
        <v/>
      </c>
      <c r="F689" s="2" t="str">
        <f t="shared" si="324"/>
        <v/>
      </c>
      <c r="G689" s="2" t="str">
        <f t="shared" si="325"/>
        <v/>
      </c>
      <c r="H689" s="2" t="str">
        <f t="shared" si="340"/>
        <v/>
      </c>
      <c r="I689" s="2" t="str">
        <f t="shared" si="341"/>
        <v/>
      </c>
      <c r="J689" s="2" t="str">
        <f t="shared" si="342"/>
        <v/>
      </c>
      <c r="K689" s="2" t="str">
        <f t="shared" si="326"/>
        <v/>
      </c>
      <c r="L689" s="2" t="str">
        <f t="shared" si="327"/>
        <v/>
      </c>
      <c r="M689" s="2" t="str">
        <f t="shared" si="328"/>
        <v/>
      </c>
      <c r="N689" s="2" t="str">
        <f t="shared" si="343"/>
        <v/>
      </c>
      <c r="O689" s="2" t="str">
        <f t="shared" si="344"/>
        <v/>
      </c>
      <c r="P689" s="2" t="str">
        <f t="shared" si="345"/>
        <v/>
      </c>
      <c r="Q689" s="2" t="str">
        <f t="shared" si="329"/>
        <v/>
      </c>
      <c r="R689" s="2" t="str">
        <f t="shared" si="330"/>
        <v/>
      </c>
      <c r="S689" s="2" t="str">
        <f t="shared" si="331"/>
        <v/>
      </c>
      <c r="T689" s="2" t="str">
        <f t="shared" si="346"/>
        <v/>
      </c>
      <c r="U689" s="2" t="str">
        <f t="shared" si="347"/>
        <v/>
      </c>
      <c r="V689" s="2" t="str">
        <f t="shared" si="348"/>
        <v/>
      </c>
      <c r="W689" s="2" t="str">
        <f t="shared" si="332"/>
        <v/>
      </c>
      <c r="X689" s="2" t="str">
        <f t="shared" si="333"/>
        <v/>
      </c>
      <c r="Y689" s="2" t="str">
        <f t="shared" si="334"/>
        <v/>
      </c>
      <c r="Z689" s="2" t="str">
        <f t="shared" si="349"/>
        <v/>
      </c>
      <c r="AA689" s="2" t="str">
        <f t="shared" si="350"/>
        <v/>
      </c>
      <c r="AB689" s="2" t="str">
        <f t="shared" si="351"/>
        <v/>
      </c>
      <c r="AC689" s="2" t="str">
        <f t="shared" si="335"/>
        <v/>
      </c>
      <c r="AD689" s="2" t="str">
        <f t="shared" si="336"/>
        <v/>
      </c>
      <c r="AE689" s="2" t="str">
        <f t="shared" si="337"/>
        <v/>
      </c>
      <c r="AF689" s="2" t="str">
        <f t="shared" si="338"/>
        <v/>
      </c>
    </row>
    <row r="690" spans="1:32" x14ac:dyDescent="0.2">
      <c r="A690" s="2" t="str">
        <f t="shared" si="339"/>
        <v/>
      </c>
      <c r="B690" s="2" t="str">
        <f t="shared" si="320"/>
        <v/>
      </c>
      <c r="C690" s="2" t="str">
        <f t="shared" si="321"/>
        <v/>
      </c>
      <c r="D690" s="2" t="str">
        <f t="shared" si="322"/>
        <v/>
      </c>
      <c r="E690" s="2" t="str">
        <f t="shared" si="323"/>
        <v/>
      </c>
      <c r="F690" s="2" t="str">
        <f t="shared" si="324"/>
        <v/>
      </c>
      <c r="G690" s="2" t="str">
        <f t="shared" si="325"/>
        <v/>
      </c>
      <c r="H690" s="2" t="str">
        <f t="shared" si="340"/>
        <v/>
      </c>
      <c r="I690" s="2" t="str">
        <f t="shared" si="341"/>
        <v/>
      </c>
      <c r="J690" s="2" t="str">
        <f t="shared" si="342"/>
        <v/>
      </c>
      <c r="K690" s="2" t="str">
        <f t="shared" si="326"/>
        <v/>
      </c>
      <c r="L690" s="2" t="str">
        <f t="shared" si="327"/>
        <v/>
      </c>
      <c r="M690" s="2" t="str">
        <f t="shared" si="328"/>
        <v/>
      </c>
      <c r="N690" s="2" t="str">
        <f t="shared" si="343"/>
        <v/>
      </c>
      <c r="O690" s="2" t="str">
        <f t="shared" si="344"/>
        <v/>
      </c>
      <c r="P690" s="2" t="str">
        <f t="shared" si="345"/>
        <v/>
      </c>
      <c r="Q690" s="2" t="str">
        <f t="shared" si="329"/>
        <v/>
      </c>
      <c r="R690" s="2" t="str">
        <f t="shared" si="330"/>
        <v/>
      </c>
      <c r="S690" s="2" t="str">
        <f t="shared" si="331"/>
        <v/>
      </c>
      <c r="T690" s="2" t="str">
        <f t="shared" si="346"/>
        <v/>
      </c>
      <c r="U690" s="2" t="str">
        <f t="shared" si="347"/>
        <v/>
      </c>
      <c r="V690" s="2" t="str">
        <f t="shared" si="348"/>
        <v/>
      </c>
      <c r="W690" s="2" t="str">
        <f t="shared" si="332"/>
        <v/>
      </c>
      <c r="X690" s="2" t="str">
        <f t="shared" si="333"/>
        <v/>
      </c>
      <c r="Y690" s="2" t="str">
        <f t="shared" si="334"/>
        <v/>
      </c>
      <c r="Z690" s="2" t="str">
        <f t="shared" si="349"/>
        <v/>
      </c>
      <c r="AA690" s="2" t="str">
        <f t="shared" si="350"/>
        <v/>
      </c>
      <c r="AB690" s="2" t="str">
        <f t="shared" si="351"/>
        <v/>
      </c>
      <c r="AC690" s="2" t="str">
        <f t="shared" si="335"/>
        <v/>
      </c>
      <c r="AD690" s="2" t="str">
        <f t="shared" si="336"/>
        <v/>
      </c>
      <c r="AE690" s="2" t="str">
        <f t="shared" si="337"/>
        <v/>
      </c>
      <c r="AF690" s="2" t="str">
        <f t="shared" si="338"/>
        <v/>
      </c>
    </row>
    <row r="691" spans="1:32" x14ac:dyDescent="0.2">
      <c r="A691" s="2" t="str">
        <f t="shared" si="339"/>
        <v/>
      </c>
      <c r="B691" s="2" t="str">
        <f t="shared" si="320"/>
        <v/>
      </c>
      <c r="C691" s="2" t="str">
        <f t="shared" si="321"/>
        <v/>
      </c>
      <c r="D691" s="2" t="str">
        <f t="shared" si="322"/>
        <v/>
      </c>
      <c r="E691" s="2" t="str">
        <f t="shared" si="323"/>
        <v/>
      </c>
      <c r="F691" s="2" t="str">
        <f t="shared" si="324"/>
        <v/>
      </c>
      <c r="G691" s="2" t="str">
        <f t="shared" si="325"/>
        <v/>
      </c>
      <c r="H691" s="2" t="str">
        <f t="shared" si="340"/>
        <v/>
      </c>
      <c r="I691" s="2" t="str">
        <f t="shared" si="341"/>
        <v/>
      </c>
      <c r="J691" s="2" t="str">
        <f t="shared" si="342"/>
        <v/>
      </c>
      <c r="K691" s="2" t="str">
        <f t="shared" si="326"/>
        <v/>
      </c>
      <c r="L691" s="2" t="str">
        <f t="shared" si="327"/>
        <v/>
      </c>
      <c r="M691" s="2" t="str">
        <f t="shared" si="328"/>
        <v/>
      </c>
      <c r="N691" s="2" t="str">
        <f t="shared" si="343"/>
        <v/>
      </c>
      <c r="O691" s="2" t="str">
        <f t="shared" si="344"/>
        <v/>
      </c>
      <c r="P691" s="2" t="str">
        <f t="shared" si="345"/>
        <v/>
      </c>
      <c r="Q691" s="2" t="str">
        <f t="shared" si="329"/>
        <v/>
      </c>
      <c r="R691" s="2" t="str">
        <f t="shared" si="330"/>
        <v/>
      </c>
      <c r="S691" s="2" t="str">
        <f t="shared" si="331"/>
        <v/>
      </c>
      <c r="T691" s="2" t="str">
        <f t="shared" si="346"/>
        <v/>
      </c>
      <c r="U691" s="2" t="str">
        <f t="shared" si="347"/>
        <v/>
      </c>
      <c r="V691" s="2" t="str">
        <f t="shared" si="348"/>
        <v/>
      </c>
      <c r="W691" s="2" t="str">
        <f t="shared" si="332"/>
        <v/>
      </c>
      <c r="X691" s="2" t="str">
        <f t="shared" si="333"/>
        <v/>
      </c>
      <c r="Y691" s="2" t="str">
        <f t="shared" si="334"/>
        <v/>
      </c>
      <c r="Z691" s="2" t="str">
        <f t="shared" si="349"/>
        <v/>
      </c>
      <c r="AA691" s="2" t="str">
        <f t="shared" si="350"/>
        <v/>
      </c>
      <c r="AB691" s="2" t="str">
        <f t="shared" si="351"/>
        <v/>
      </c>
      <c r="AC691" s="2" t="str">
        <f t="shared" si="335"/>
        <v/>
      </c>
      <c r="AD691" s="2" t="str">
        <f t="shared" si="336"/>
        <v/>
      </c>
      <c r="AE691" s="2" t="str">
        <f t="shared" si="337"/>
        <v/>
      </c>
      <c r="AF691" s="2" t="str">
        <f t="shared" si="338"/>
        <v/>
      </c>
    </row>
    <row r="692" spans="1:32" x14ac:dyDescent="0.2">
      <c r="A692" s="2" t="str">
        <f t="shared" si="339"/>
        <v/>
      </c>
      <c r="B692" s="2" t="str">
        <f t="shared" si="320"/>
        <v/>
      </c>
      <c r="C692" s="2" t="str">
        <f t="shared" si="321"/>
        <v/>
      </c>
      <c r="D692" s="2" t="str">
        <f t="shared" si="322"/>
        <v/>
      </c>
      <c r="E692" s="2" t="str">
        <f t="shared" si="323"/>
        <v/>
      </c>
      <c r="F692" s="2" t="str">
        <f t="shared" si="324"/>
        <v/>
      </c>
      <c r="G692" s="2" t="str">
        <f t="shared" si="325"/>
        <v/>
      </c>
      <c r="H692" s="2" t="str">
        <f t="shared" si="340"/>
        <v/>
      </c>
      <c r="I692" s="2" t="str">
        <f t="shared" si="341"/>
        <v/>
      </c>
      <c r="J692" s="2" t="str">
        <f t="shared" si="342"/>
        <v/>
      </c>
      <c r="K692" s="2" t="str">
        <f t="shared" si="326"/>
        <v/>
      </c>
      <c r="L692" s="2" t="str">
        <f t="shared" si="327"/>
        <v/>
      </c>
      <c r="M692" s="2" t="str">
        <f t="shared" si="328"/>
        <v/>
      </c>
      <c r="N692" s="2" t="str">
        <f t="shared" si="343"/>
        <v/>
      </c>
      <c r="O692" s="2" t="str">
        <f t="shared" si="344"/>
        <v/>
      </c>
      <c r="P692" s="2" t="str">
        <f t="shared" si="345"/>
        <v/>
      </c>
      <c r="Q692" s="2" t="str">
        <f t="shared" si="329"/>
        <v/>
      </c>
      <c r="R692" s="2" t="str">
        <f t="shared" si="330"/>
        <v/>
      </c>
      <c r="S692" s="2" t="str">
        <f t="shared" si="331"/>
        <v/>
      </c>
      <c r="T692" s="2" t="str">
        <f t="shared" si="346"/>
        <v/>
      </c>
      <c r="U692" s="2" t="str">
        <f t="shared" si="347"/>
        <v/>
      </c>
      <c r="V692" s="2" t="str">
        <f t="shared" si="348"/>
        <v/>
      </c>
      <c r="W692" s="2" t="str">
        <f t="shared" si="332"/>
        <v/>
      </c>
      <c r="X692" s="2" t="str">
        <f t="shared" si="333"/>
        <v/>
      </c>
      <c r="Y692" s="2" t="str">
        <f t="shared" si="334"/>
        <v/>
      </c>
      <c r="Z692" s="2" t="str">
        <f t="shared" si="349"/>
        <v/>
      </c>
      <c r="AA692" s="2" t="str">
        <f t="shared" si="350"/>
        <v/>
      </c>
      <c r="AB692" s="2" t="str">
        <f t="shared" si="351"/>
        <v/>
      </c>
      <c r="AC692" s="2" t="str">
        <f t="shared" si="335"/>
        <v/>
      </c>
      <c r="AD692" s="2" t="str">
        <f t="shared" si="336"/>
        <v/>
      </c>
      <c r="AE692" s="2" t="str">
        <f t="shared" si="337"/>
        <v/>
      </c>
      <c r="AF692" s="2" t="str">
        <f t="shared" si="338"/>
        <v/>
      </c>
    </row>
    <row r="693" spans="1:32" x14ac:dyDescent="0.2">
      <c r="A693" s="2" t="str">
        <f t="shared" si="339"/>
        <v/>
      </c>
      <c r="B693" s="2" t="str">
        <f t="shared" si="320"/>
        <v/>
      </c>
      <c r="C693" s="2" t="str">
        <f t="shared" si="321"/>
        <v/>
      </c>
      <c r="D693" s="2" t="str">
        <f t="shared" si="322"/>
        <v/>
      </c>
      <c r="E693" s="2" t="str">
        <f t="shared" si="323"/>
        <v/>
      </c>
      <c r="F693" s="2" t="str">
        <f t="shared" si="324"/>
        <v/>
      </c>
      <c r="G693" s="2" t="str">
        <f t="shared" si="325"/>
        <v/>
      </c>
      <c r="H693" s="2" t="str">
        <f t="shared" si="340"/>
        <v/>
      </c>
      <c r="I693" s="2" t="str">
        <f t="shared" si="341"/>
        <v/>
      </c>
      <c r="J693" s="2" t="str">
        <f t="shared" si="342"/>
        <v/>
      </c>
      <c r="K693" s="2" t="str">
        <f t="shared" si="326"/>
        <v/>
      </c>
      <c r="L693" s="2" t="str">
        <f t="shared" si="327"/>
        <v/>
      </c>
      <c r="M693" s="2" t="str">
        <f t="shared" si="328"/>
        <v/>
      </c>
      <c r="N693" s="2" t="str">
        <f t="shared" si="343"/>
        <v/>
      </c>
      <c r="O693" s="2" t="str">
        <f t="shared" si="344"/>
        <v/>
      </c>
      <c r="P693" s="2" t="str">
        <f t="shared" si="345"/>
        <v/>
      </c>
      <c r="Q693" s="2" t="str">
        <f t="shared" si="329"/>
        <v/>
      </c>
      <c r="R693" s="2" t="str">
        <f t="shared" si="330"/>
        <v/>
      </c>
      <c r="S693" s="2" t="str">
        <f t="shared" si="331"/>
        <v/>
      </c>
      <c r="T693" s="2" t="str">
        <f t="shared" si="346"/>
        <v/>
      </c>
      <c r="U693" s="2" t="str">
        <f t="shared" si="347"/>
        <v/>
      </c>
      <c r="V693" s="2" t="str">
        <f t="shared" si="348"/>
        <v/>
      </c>
      <c r="W693" s="2" t="str">
        <f t="shared" si="332"/>
        <v/>
      </c>
      <c r="X693" s="2" t="str">
        <f t="shared" si="333"/>
        <v/>
      </c>
      <c r="Y693" s="2" t="str">
        <f t="shared" si="334"/>
        <v/>
      </c>
      <c r="Z693" s="2" t="str">
        <f t="shared" si="349"/>
        <v/>
      </c>
      <c r="AA693" s="2" t="str">
        <f t="shared" si="350"/>
        <v/>
      </c>
      <c r="AB693" s="2" t="str">
        <f t="shared" si="351"/>
        <v/>
      </c>
      <c r="AC693" s="2" t="str">
        <f t="shared" si="335"/>
        <v/>
      </c>
      <c r="AD693" s="2" t="str">
        <f t="shared" si="336"/>
        <v/>
      </c>
      <c r="AE693" s="2" t="str">
        <f t="shared" si="337"/>
        <v/>
      </c>
      <c r="AF693" s="2" t="str">
        <f t="shared" si="338"/>
        <v/>
      </c>
    </row>
    <row r="694" spans="1:32" x14ac:dyDescent="0.2">
      <c r="A694" s="2" t="str">
        <f t="shared" si="339"/>
        <v/>
      </c>
      <c r="B694" s="2" t="str">
        <f t="shared" si="320"/>
        <v/>
      </c>
      <c r="C694" s="2" t="str">
        <f t="shared" si="321"/>
        <v/>
      </c>
      <c r="D694" s="2" t="str">
        <f t="shared" si="322"/>
        <v/>
      </c>
      <c r="E694" s="2" t="str">
        <f t="shared" si="323"/>
        <v/>
      </c>
      <c r="F694" s="2" t="str">
        <f t="shared" si="324"/>
        <v/>
      </c>
      <c r="G694" s="2" t="str">
        <f t="shared" si="325"/>
        <v/>
      </c>
      <c r="H694" s="2" t="str">
        <f t="shared" si="340"/>
        <v/>
      </c>
      <c r="I694" s="2" t="str">
        <f t="shared" si="341"/>
        <v/>
      </c>
      <c r="J694" s="2" t="str">
        <f t="shared" si="342"/>
        <v/>
      </c>
      <c r="K694" s="2" t="str">
        <f t="shared" si="326"/>
        <v/>
      </c>
      <c r="L694" s="2" t="str">
        <f t="shared" si="327"/>
        <v/>
      </c>
      <c r="M694" s="2" t="str">
        <f t="shared" si="328"/>
        <v/>
      </c>
      <c r="N694" s="2" t="str">
        <f t="shared" si="343"/>
        <v/>
      </c>
      <c r="O694" s="2" t="str">
        <f t="shared" si="344"/>
        <v/>
      </c>
      <c r="P694" s="2" t="str">
        <f t="shared" si="345"/>
        <v/>
      </c>
      <c r="Q694" s="2" t="str">
        <f t="shared" si="329"/>
        <v/>
      </c>
      <c r="R694" s="2" t="str">
        <f t="shared" si="330"/>
        <v/>
      </c>
      <c r="S694" s="2" t="str">
        <f t="shared" si="331"/>
        <v/>
      </c>
      <c r="T694" s="2" t="str">
        <f t="shared" si="346"/>
        <v/>
      </c>
      <c r="U694" s="2" t="str">
        <f t="shared" si="347"/>
        <v/>
      </c>
      <c r="V694" s="2" t="str">
        <f t="shared" si="348"/>
        <v/>
      </c>
      <c r="W694" s="2" t="str">
        <f t="shared" si="332"/>
        <v/>
      </c>
      <c r="X694" s="2" t="str">
        <f t="shared" si="333"/>
        <v/>
      </c>
      <c r="Y694" s="2" t="str">
        <f t="shared" si="334"/>
        <v/>
      </c>
      <c r="Z694" s="2" t="str">
        <f t="shared" si="349"/>
        <v/>
      </c>
      <c r="AA694" s="2" t="str">
        <f t="shared" si="350"/>
        <v/>
      </c>
      <c r="AB694" s="2" t="str">
        <f t="shared" si="351"/>
        <v/>
      </c>
      <c r="AC694" s="2" t="str">
        <f t="shared" si="335"/>
        <v/>
      </c>
      <c r="AD694" s="2" t="str">
        <f t="shared" si="336"/>
        <v/>
      </c>
      <c r="AE694" s="2" t="str">
        <f t="shared" si="337"/>
        <v/>
      </c>
      <c r="AF694" s="2" t="str">
        <f t="shared" si="338"/>
        <v/>
      </c>
    </row>
    <row r="695" spans="1:32" x14ac:dyDescent="0.2">
      <c r="A695" s="2" t="str">
        <f t="shared" si="339"/>
        <v/>
      </c>
      <c r="B695" s="2" t="str">
        <f t="shared" si="320"/>
        <v/>
      </c>
      <c r="C695" s="2" t="str">
        <f t="shared" si="321"/>
        <v/>
      </c>
      <c r="D695" s="2" t="str">
        <f t="shared" si="322"/>
        <v/>
      </c>
      <c r="E695" s="2" t="str">
        <f t="shared" si="323"/>
        <v/>
      </c>
      <c r="F695" s="2" t="str">
        <f t="shared" si="324"/>
        <v/>
      </c>
      <c r="G695" s="2" t="str">
        <f t="shared" si="325"/>
        <v/>
      </c>
      <c r="H695" s="2" t="str">
        <f t="shared" si="340"/>
        <v/>
      </c>
      <c r="I695" s="2" t="str">
        <f t="shared" si="341"/>
        <v/>
      </c>
      <c r="J695" s="2" t="str">
        <f t="shared" si="342"/>
        <v/>
      </c>
      <c r="K695" s="2" t="str">
        <f t="shared" si="326"/>
        <v/>
      </c>
      <c r="L695" s="2" t="str">
        <f t="shared" si="327"/>
        <v/>
      </c>
      <c r="M695" s="2" t="str">
        <f t="shared" si="328"/>
        <v/>
      </c>
      <c r="N695" s="2" t="str">
        <f t="shared" si="343"/>
        <v/>
      </c>
      <c r="O695" s="2" t="str">
        <f t="shared" si="344"/>
        <v/>
      </c>
      <c r="P695" s="2" t="str">
        <f t="shared" si="345"/>
        <v/>
      </c>
      <c r="Q695" s="2" t="str">
        <f t="shared" si="329"/>
        <v/>
      </c>
      <c r="R695" s="2" t="str">
        <f t="shared" si="330"/>
        <v/>
      </c>
      <c r="S695" s="2" t="str">
        <f t="shared" si="331"/>
        <v/>
      </c>
      <c r="T695" s="2" t="str">
        <f t="shared" si="346"/>
        <v/>
      </c>
      <c r="U695" s="2" t="str">
        <f t="shared" si="347"/>
        <v/>
      </c>
      <c r="V695" s="2" t="str">
        <f t="shared" si="348"/>
        <v/>
      </c>
      <c r="W695" s="2" t="str">
        <f t="shared" si="332"/>
        <v/>
      </c>
      <c r="X695" s="2" t="str">
        <f t="shared" si="333"/>
        <v/>
      </c>
      <c r="Y695" s="2" t="str">
        <f t="shared" si="334"/>
        <v/>
      </c>
      <c r="Z695" s="2" t="str">
        <f t="shared" si="349"/>
        <v/>
      </c>
      <c r="AA695" s="2" t="str">
        <f t="shared" si="350"/>
        <v/>
      </c>
      <c r="AB695" s="2" t="str">
        <f t="shared" si="351"/>
        <v/>
      </c>
      <c r="AC695" s="2" t="str">
        <f t="shared" si="335"/>
        <v/>
      </c>
      <c r="AD695" s="2" t="str">
        <f t="shared" si="336"/>
        <v/>
      </c>
      <c r="AE695" s="2" t="str">
        <f t="shared" si="337"/>
        <v/>
      </c>
      <c r="AF695" s="2" t="str">
        <f t="shared" si="338"/>
        <v/>
      </c>
    </row>
    <row r="696" spans="1:32" x14ac:dyDescent="0.2">
      <c r="A696" s="2" t="str">
        <f t="shared" si="339"/>
        <v/>
      </c>
      <c r="B696" s="2" t="str">
        <f t="shared" ref="B696:B759" si="352">IF(AI696="","",AI696)</f>
        <v/>
      </c>
      <c r="C696" s="2" t="str">
        <f t="shared" ref="C696:C759" si="353">IF(AJ696="","",AJ696)</f>
        <v/>
      </c>
      <c r="D696" s="2" t="str">
        <f t="shared" ref="D696:D759" si="354">IF(AK696="","",AK696)</f>
        <v/>
      </c>
      <c r="E696" s="2" t="str">
        <f t="shared" ref="E696:E759" si="355">IF(AL696="","",AL696)</f>
        <v/>
      </c>
      <c r="F696" s="2" t="str">
        <f t="shared" ref="F696:F759" si="356">IF(AM696="","",AM696)</f>
        <v/>
      </c>
      <c r="G696" s="2" t="str">
        <f t="shared" ref="G696:G759" si="357">IF(AN696="","",AN696)</f>
        <v/>
      </c>
      <c r="H696" s="2" t="str">
        <f t="shared" si="340"/>
        <v/>
      </c>
      <c r="I696" s="2" t="str">
        <f t="shared" si="341"/>
        <v/>
      </c>
      <c r="J696" s="2" t="str">
        <f t="shared" si="342"/>
        <v/>
      </c>
      <c r="K696" s="2" t="str">
        <f t="shared" ref="K696:K759" si="358">IF(AR696="","",AR696)</f>
        <v/>
      </c>
      <c r="L696" s="2" t="str">
        <f t="shared" ref="L696:L759" si="359">IF(AS696="","",AS696)</f>
        <v/>
      </c>
      <c r="M696" s="2" t="str">
        <f t="shared" ref="M696:M759" si="360">IF(AT696="","",AT696)</f>
        <v/>
      </c>
      <c r="N696" s="2" t="str">
        <f t="shared" si="343"/>
        <v/>
      </c>
      <c r="O696" s="2" t="str">
        <f t="shared" si="344"/>
        <v/>
      </c>
      <c r="P696" s="2" t="str">
        <f t="shared" si="345"/>
        <v/>
      </c>
      <c r="Q696" s="2" t="str">
        <f t="shared" ref="Q696:Q759" si="361">IF(AX696="","",AX696)</f>
        <v/>
      </c>
      <c r="R696" s="2" t="str">
        <f t="shared" ref="R696:R759" si="362">IF(AY696="","",AY696)</f>
        <v/>
      </c>
      <c r="S696" s="2" t="str">
        <f t="shared" ref="S696:S759" si="363">IF(AZ696="","",AZ696)</f>
        <v/>
      </c>
      <c r="T696" s="2" t="str">
        <f t="shared" si="346"/>
        <v/>
      </c>
      <c r="U696" s="2" t="str">
        <f t="shared" si="347"/>
        <v/>
      </c>
      <c r="V696" s="2" t="str">
        <f t="shared" si="348"/>
        <v/>
      </c>
      <c r="W696" s="2" t="str">
        <f t="shared" ref="W696:W759" si="364">IF(BD696="","",BD696)</f>
        <v/>
      </c>
      <c r="X696" s="2" t="str">
        <f t="shared" ref="X696:X759" si="365">IF(BE696="","",BE696)</f>
        <v/>
      </c>
      <c r="Y696" s="2" t="str">
        <f t="shared" ref="Y696:Y759" si="366">IF(BF696="","",BF696)</f>
        <v/>
      </c>
      <c r="Z696" s="2" t="str">
        <f t="shared" si="349"/>
        <v/>
      </c>
      <c r="AA696" s="2" t="str">
        <f t="shared" si="350"/>
        <v/>
      </c>
      <c r="AB696" s="2" t="str">
        <f t="shared" si="351"/>
        <v/>
      </c>
      <c r="AC696" s="2" t="str">
        <f t="shared" ref="AC696:AC759" si="367">IF(BJ696="","",BJ696)</f>
        <v/>
      </c>
      <c r="AD696" s="2" t="str">
        <f t="shared" ref="AD696:AD759" si="368">IF(BK696="","",BK696)</f>
        <v/>
      </c>
      <c r="AE696" s="2" t="str">
        <f t="shared" ref="AE696:AE759" si="369">IF(BL696="","",BL696)</f>
        <v/>
      </c>
      <c r="AF696" s="2" t="str">
        <f t="shared" ref="AF696:AF759" si="370">IF(BM696="","",BM696)</f>
        <v/>
      </c>
    </row>
    <row r="697" spans="1:32" x14ac:dyDescent="0.2">
      <c r="A697" s="2" t="str">
        <f t="shared" si="339"/>
        <v/>
      </c>
      <c r="B697" s="2" t="str">
        <f t="shared" si="352"/>
        <v/>
      </c>
      <c r="C697" s="2" t="str">
        <f t="shared" si="353"/>
        <v/>
      </c>
      <c r="D697" s="2" t="str">
        <f t="shared" si="354"/>
        <v/>
      </c>
      <c r="E697" s="2" t="str">
        <f t="shared" si="355"/>
        <v/>
      </c>
      <c r="F697" s="2" t="str">
        <f t="shared" si="356"/>
        <v/>
      </c>
      <c r="G697" s="2" t="str">
        <f t="shared" si="357"/>
        <v/>
      </c>
      <c r="H697" s="2" t="str">
        <f t="shared" si="340"/>
        <v/>
      </c>
      <c r="I697" s="2" t="str">
        <f t="shared" si="341"/>
        <v/>
      </c>
      <c r="J697" s="2" t="str">
        <f t="shared" si="342"/>
        <v/>
      </c>
      <c r="K697" s="2" t="str">
        <f t="shared" si="358"/>
        <v/>
      </c>
      <c r="L697" s="2" t="str">
        <f t="shared" si="359"/>
        <v/>
      </c>
      <c r="M697" s="2" t="str">
        <f t="shared" si="360"/>
        <v/>
      </c>
      <c r="N697" s="2" t="str">
        <f t="shared" si="343"/>
        <v/>
      </c>
      <c r="O697" s="2" t="str">
        <f t="shared" si="344"/>
        <v/>
      </c>
      <c r="P697" s="2" t="str">
        <f t="shared" si="345"/>
        <v/>
      </c>
      <c r="Q697" s="2" t="str">
        <f t="shared" si="361"/>
        <v/>
      </c>
      <c r="R697" s="2" t="str">
        <f t="shared" si="362"/>
        <v/>
      </c>
      <c r="S697" s="2" t="str">
        <f t="shared" si="363"/>
        <v/>
      </c>
      <c r="T697" s="2" t="str">
        <f t="shared" si="346"/>
        <v/>
      </c>
      <c r="U697" s="2" t="str">
        <f t="shared" si="347"/>
        <v/>
      </c>
      <c r="V697" s="2" t="str">
        <f t="shared" si="348"/>
        <v/>
      </c>
      <c r="W697" s="2" t="str">
        <f t="shared" si="364"/>
        <v/>
      </c>
      <c r="X697" s="2" t="str">
        <f t="shared" si="365"/>
        <v/>
      </c>
      <c r="Y697" s="2" t="str">
        <f t="shared" si="366"/>
        <v/>
      </c>
      <c r="Z697" s="2" t="str">
        <f t="shared" si="349"/>
        <v/>
      </c>
      <c r="AA697" s="2" t="str">
        <f t="shared" si="350"/>
        <v/>
      </c>
      <c r="AB697" s="2" t="str">
        <f t="shared" si="351"/>
        <v/>
      </c>
      <c r="AC697" s="2" t="str">
        <f t="shared" si="367"/>
        <v/>
      </c>
      <c r="AD697" s="2" t="str">
        <f t="shared" si="368"/>
        <v/>
      </c>
      <c r="AE697" s="2" t="str">
        <f t="shared" si="369"/>
        <v/>
      </c>
      <c r="AF697" s="2" t="str">
        <f t="shared" si="370"/>
        <v/>
      </c>
    </row>
    <row r="698" spans="1:32" x14ac:dyDescent="0.2">
      <c r="A698" s="2" t="str">
        <f t="shared" si="339"/>
        <v/>
      </c>
      <c r="B698" s="2" t="str">
        <f t="shared" si="352"/>
        <v/>
      </c>
      <c r="C698" s="2" t="str">
        <f t="shared" si="353"/>
        <v/>
      </c>
      <c r="D698" s="2" t="str">
        <f t="shared" si="354"/>
        <v/>
      </c>
      <c r="E698" s="2" t="str">
        <f t="shared" si="355"/>
        <v/>
      </c>
      <c r="F698" s="2" t="str">
        <f t="shared" si="356"/>
        <v/>
      </c>
      <c r="G698" s="2" t="str">
        <f t="shared" si="357"/>
        <v/>
      </c>
      <c r="H698" s="2" t="str">
        <f t="shared" si="340"/>
        <v/>
      </c>
      <c r="I698" s="2" t="str">
        <f t="shared" si="341"/>
        <v/>
      </c>
      <c r="J698" s="2" t="str">
        <f t="shared" si="342"/>
        <v/>
      </c>
      <c r="K698" s="2" t="str">
        <f t="shared" si="358"/>
        <v/>
      </c>
      <c r="L698" s="2" t="str">
        <f t="shared" si="359"/>
        <v/>
      </c>
      <c r="M698" s="2" t="str">
        <f t="shared" si="360"/>
        <v/>
      </c>
      <c r="N698" s="2" t="str">
        <f t="shared" si="343"/>
        <v/>
      </c>
      <c r="O698" s="2" t="str">
        <f t="shared" si="344"/>
        <v/>
      </c>
      <c r="P698" s="2" t="str">
        <f t="shared" si="345"/>
        <v/>
      </c>
      <c r="Q698" s="2" t="str">
        <f t="shared" si="361"/>
        <v/>
      </c>
      <c r="R698" s="2" t="str">
        <f t="shared" si="362"/>
        <v/>
      </c>
      <c r="S698" s="2" t="str">
        <f t="shared" si="363"/>
        <v/>
      </c>
      <c r="T698" s="2" t="str">
        <f t="shared" si="346"/>
        <v/>
      </c>
      <c r="U698" s="2" t="str">
        <f t="shared" si="347"/>
        <v/>
      </c>
      <c r="V698" s="2" t="str">
        <f t="shared" si="348"/>
        <v/>
      </c>
      <c r="W698" s="2" t="str">
        <f t="shared" si="364"/>
        <v/>
      </c>
      <c r="X698" s="2" t="str">
        <f t="shared" si="365"/>
        <v/>
      </c>
      <c r="Y698" s="2" t="str">
        <f t="shared" si="366"/>
        <v/>
      </c>
      <c r="Z698" s="2" t="str">
        <f t="shared" si="349"/>
        <v/>
      </c>
      <c r="AA698" s="2" t="str">
        <f t="shared" si="350"/>
        <v/>
      </c>
      <c r="AB698" s="2" t="str">
        <f t="shared" si="351"/>
        <v/>
      </c>
      <c r="AC698" s="2" t="str">
        <f t="shared" si="367"/>
        <v/>
      </c>
      <c r="AD698" s="2" t="str">
        <f t="shared" si="368"/>
        <v/>
      </c>
      <c r="AE698" s="2" t="str">
        <f t="shared" si="369"/>
        <v/>
      </c>
      <c r="AF698" s="2" t="str">
        <f t="shared" si="370"/>
        <v/>
      </c>
    </row>
    <row r="699" spans="1:32" x14ac:dyDescent="0.2">
      <c r="A699" s="2" t="str">
        <f t="shared" si="339"/>
        <v/>
      </c>
      <c r="B699" s="2" t="str">
        <f t="shared" si="352"/>
        <v/>
      </c>
      <c r="C699" s="2" t="str">
        <f t="shared" si="353"/>
        <v/>
      </c>
      <c r="D699" s="2" t="str">
        <f t="shared" si="354"/>
        <v/>
      </c>
      <c r="E699" s="2" t="str">
        <f t="shared" si="355"/>
        <v/>
      </c>
      <c r="F699" s="2" t="str">
        <f t="shared" si="356"/>
        <v/>
      </c>
      <c r="G699" s="2" t="str">
        <f t="shared" si="357"/>
        <v/>
      </c>
      <c r="H699" s="2" t="str">
        <f t="shared" si="340"/>
        <v/>
      </c>
      <c r="I699" s="2" t="str">
        <f t="shared" si="341"/>
        <v/>
      </c>
      <c r="J699" s="2" t="str">
        <f t="shared" si="342"/>
        <v/>
      </c>
      <c r="K699" s="2" t="str">
        <f t="shared" si="358"/>
        <v/>
      </c>
      <c r="L699" s="2" t="str">
        <f t="shared" si="359"/>
        <v/>
      </c>
      <c r="M699" s="2" t="str">
        <f t="shared" si="360"/>
        <v/>
      </c>
      <c r="N699" s="2" t="str">
        <f t="shared" si="343"/>
        <v/>
      </c>
      <c r="O699" s="2" t="str">
        <f t="shared" si="344"/>
        <v/>
      </c>
      <c r="P699" s="2" t="str">
        <f t="shared" si="345"/>
        <v/>
      </c>
      <c r="Q699" s="2" t="str">
        <f t="shared" si="361"/>
        <v/>
      </c>
      <c r="R699" s="2" t="str">
        <f t="shared" si="362"/>
        <v/>
      </c>
      <c r="S699" s="2" t="str">
        <f t="shared" si="363"/>
        <v/>
      </c>
      <c r="T699" s="2" t="str">
        <f t="shared" si="346"/>
        <v/>
      </c>
      <c r="U699" s="2" t="str">
        <f t="shared" si="347"/>
        <v/>
      </c>
      <c r="V699" s="2" t="str">
        <f t="shared" si="348"/>
        <v/>
      </c>
      <c r="W699" s="2" t="str">
        <f t="shared" si="364"/>
        <v/>
      </c>
      <c r="X699" s="2" t="str">
        <f t="shared" si="365"/>
        <v/>
      </c>
      <c r="Y699" s="2" t="str">
        <f t="shared" si="366"/>
        <v/>
      </c>
      <c r="Z699" s="2" t="str">
        <f t="shared" si="349"/>
        <v/>
      </c>
      <c r="AA699" s="2" t="str">
        <f t="shared" si="350"/>
        <v/>
      </c>
      <c r="AB699" s="2" t="str">
        <f t="shared" si="351"/>
        <v/>
      </c>
      <c r="AC699" s="2" t="str">
        <f t="shared" si="367"/>
        <v/>
      </c>
      <c r="AD699" s="2" t="str">
        <f t="shared" si="368"/>
        <v/>
      </c>
      <c r="AE699" s="2" t="str">
        <f t="shared" si="369"/>
        <v/>
      </c>
      <c r="AF699" s="2" t="str">
        <f t="shared" si="370"/>
        <v/>
      </c>
    </row>
    <row r="700" spans="1:32" x14ac:dyDescent="0.2">
      <c r="A700" s="2" t="str">
        <f t="shared" si="339"/>
        <v/>
      </c>
      <c r="B700" s="2" t="str">
        <f t="shared" si="352"/>
        <v/>
      </c>
      <c r="C700" s="2" t="str">
        <f t="shared" si="353"/>
        <v/>
      </c>
      <c r="D700" s="2" t="str">
        <f t="shared" si="354"/>
        <v/>
      </c>
      <c r="E700" s="2" t="str">
        <f t="shared" si="355"/>
        <v/>
      </c>
      <c r="F700" s="2" t="str">
        <f t="shared" si="356"/>
        <v/>
      </c>
      <c r="G700" s="2" t="str">
        <f t="shared" si="357"/>
        <v/>
      </c>
      <c r="H700" s="2" t="str">
        <f t="shared" si="340"/>
        <v/>
      </c>
      <c r="I700" s="2" t="str">
        <f t="shared" si="341"/>
        <v/>
      </c>
      <c r="J700" s="2" t="str">
        <f t="shared" si="342"/>
        <v/>
      </c>
      <c r="K700" s="2" t="str">
        <f t="shared" si="358"/>
        <v/>
      </c>
      <c r="L700" s="2" t="str">
        <f t="shared" si="359"/>
        <v/>
      </c>
      <c r="M700" s="2" t="str">
        <f t="shared" si="360"/>
        <v/>
      </c>
      <c r="N700" s="2" t="str">
        <f t="shared" si="343"/>
        <v/>
      </c>
      <c r="O700" s="2" t="str">
        <f t="shared" si="344"/>
        <v/>
      </c>
      <c r="P700" s="2" t="str">
        <f t="shared" si="345"/>
        <v/>
      </c>
      <c r="Q700" s="2" t="str">
        <f t="shared" si="361"/>
        <v/>
      </c>
      <c r="R700" s="2" t="str">
        <f t="shared" si="362"/>
        <v/>
      </c>
      <c r="S700" s="2" t="str">
        <f t="shared" si="363"/>
        <v/>
      </c>
      <c r="T700" s="2" t="str">
        <f t="shared" si="346"/>
        <v/>
      </c>
      <c r="U700" s="2" t="str">
        <f t="shared" si="347"/>
        <v/>
      </c>
      <c r="V700" s="2" t="str">
        <f t="shared" si="348"/>
        <v/>
      </c>
      <c r="W700" s="2" t="str">
        <f t="shared" si="364"/>
        <v/>
      </c>
      <c r="X700" s="2" t="str">
        <f t="shared" si="365"/>
        <v/>
      </c>
      <c r="Y700" s="2" t="str">
        <f t="shared" si="366"/>
        <v/>
      </c>
      <c r="Z700" s="2" t="str">
        <f t="shared" si="349"/>
        <v/>
      </c>
      <c r="AA700" s="2" t="str">
        <f t="shared" si="350"/>
        <v/>
      </c>
      <c r="AB700" s="2" t="str">
        <f t="shared" si="351"/>
        <v/>
      </c>
      <c r="AC700" s="2" t="str">
        <f t="shared" si="367"/>
        <v/>
      </c>
      <c r="AD700" s="2" t="str">
        <f t="shared" si="368"/>
        <v/>
      </c>
      <c r="AE700" s="2" t="str">
        <f t="shared" si="369"/>
        <v/>
      </c>
      <c r="AF700" s="2" t="str">
        <f t="shared" si="370"/>
        <v/>
      </c>
    </row>
    <row r="701" spans="1:32" x14ac:dyDescent="0.2">
      <c r="A701" s="2" t="str">
        <f t="shared" si="339"/>
        <v/>
      </c>
      <c r="B701" s="2" t="str">
        <f t="shared" si="352"/>
        <v/>
      </c>
      <c r="C701" s="2" t="str">
        <f t="shared" si="353"/>
        <v/>
      </c>
      <c r="D701" s="2" t="str">
        <f t="shared" si="354"/>
        <v/>
      </c>
      <c r="E701" s="2" t="str">
        <f t="shared" si="355"/>
        <v/>
      </c>
      <c r="F701" s="2" t="str">
        <f t="shared" si="356"/>
        <v/>
      </c>
      <c r="G701" s="2" t="str">
        <f t="shared" si="357"/>
        <v/>
      </c>
      <c r="H701" s="2" t="str">
        <f t="shared" si="340"/>
        <v/>
      </c>
      <c r="I701" s="2" t="str">
        <f t="shared" si="341"/>
        <v/>
      </c>
      <c r="J701" s="2" t="str">
        <f t="shared" si="342"/>
        <v/>
      </c>
      <c r="K701" s="2" t="str">
        <f t="shared" si="358"/>
        <v/>
      </c>
      <c r="L701" s="2" t="str">
        <f t="shared" si="359"/>
        <v/>
      </c>
      <c r="M701" s="2" t="str">
        <f t="shared" si="360"/>
        <v/>
      </c>
      <c r="N701" s="2" t="str">
        <f t="shared" si="343"/>
        <v/>
      </c>
      <c r="O701" s="2" t="str">
        <f t="shared" si="344"/>
        <v/>
      </c>
      <c r="P701" s="2" t="str">
        <f t="shared" si="345"/>
        <v/>
      </c>
      <c r="Q701" s="2" t="str">
        <f t="shared" si="361"/>
        <v/>
      </c>
      <c r="R701" s="2" t="str">
        <f t="shared" si="362"/>
        <v/>
      </c>
      <c r="S701" s="2" t="str">
        <f t="shared" si="363"/>
        <v/>
      </c>
      <c r="T701" s="2" t="str">
        <f t="shared" si="346"/>
        <v/>
      </c>
      <c r="U701" s="2" t="str">
        <f t="shared" si="347"/>
        <v/>
      </c>
      <c r="V701" s="2" t="str">
        <f t="shared" si="348"/>
        <v/>
      </c>
      <c r="W701" s="2" t="str">
        <f t="shared" si="364"/>
        <v/>
      </c>
      <c r="X701" s="2" t="str">
        <f t="shared" si="365"/>
        <v/>
      </c>
      <c r="Y701" s="2" t="str">
        <f t="shared" si="366"/>
        <v/>
      </c>
      <c r="Z701" s="2" t="str">
        <f t="shared" si="349"/>
        <v/>
      </c>
      <c r="AA701" s="2" t="str">
        <f t="shared" si="350"/>
        <v/>
      </c>
      <c r="AB701" s="2" t="str">
        <f t="shared" si="351"/>
        <v/>
      </c>
      <c r="AC701" s="2" t="str">
        <f t="shared" si="367"/>
        <v/>
      </c>
      <c r="AD701" s="2" t="str">
        <f t="shared" si="368"/>
        <v/>
      </c>
      <c r="AE701" s="2" t="str">
        <f t="shared" si="369"/>
        <v/>
      </c>
      <c r="AF701" s="2" t="str">
        <f t="shared" si="370"/>
        <v/>
      </c>
    </row>
    <row r="702" spans="1:32" x14ac:dyDescent="0.2">
      <c r="A702" s="2" t="str">
        <f t="shared" si="339"/>
        <v/>
      </c>
      <c r="B702" s="2" t="str">
        <f t="shared" si="352"/>
        <v/>
      </c>
      <c r="C702" s="2" t="str">
        <f t="shared" si="353"/>
        <v/>
      </c>
      <c r="D702" s="2" t="str">
        <f t="shared" si="354"/>
        <v/>
      </c>
      <c r="E702" s="2" t="str">
        <f t="shared" si="355"/>
        <v/>
      </c>
      <c r="F702" s="2" t="str">
        <f t="shared" si="356"/>
        <v/>
      </c>
      <c r="G702" s="2" t="str">
        <f t="shared" si="357"/>
        <v/>
      </c>
      <c r="H702" s="2" t="str">
        <f t="shared" si="340"/>
        <v/>
      </c>
      <c r="I702" s="2" t="str">
        <f t="shared" si="341"/>
        <v/>
      </c>
      <c r="J702" s="2" t="str">
        <f t="shared" si="342"/>
        <v/>
      </c>
      <c r="K702" s="2" t="str">
        <f t="shared" si="358"/>
        <v/>
      </c>
      <c r="L702" s="2" t="str">
        <f t="shared" si="359"/>
        <v/>
      </c>
      <c r="M702" s="2" t="str">
        <f t="shared" si="360"/>
        <v/>
      </c>
      <c r="N702" s="2" t="str">
        <f t="shared" si="343"/>
        <v/>
      </c>
      <c r="O702" s="2" t="str">
        <f t="shared" si="344"/>
        <v/>
      </c>
      <c r="P702" s="2" t="str">
        <f t="shared" si="345"/>
        <v/>
      </c>
      <c r="Q702" s="2" t="str">
        <f t="shared" si="361"/>
        <v/>
      </c>
      <c r="R702" s="2" t="str">
        <f t="shared" si="362"/>
        <v/>
      </c>
      <c r="S702" s="2" t="str">
        <f t="shared" si="363"/>
        <v/>
      </c>
      <c r="T702" s="2" t="str">
        <f t="shared" si="346"/>
        <v/>
      </c>
      <c r="U702" s="2" t="str">
        <f t="shared" si="347"/>
        <v/>
      </c>
      <c r="V702" s="2" t="str">
        <f t="shared" si="348"/>
        <v/>
      </c>
      <c r="W702" s="2" t="str">
        <f t="shared" si="364"/>
        <v/>
      </c>
      <c r="X702" s="2" t="str">
        <f t="shared" si="365"/>
        <v/>
      </c>
      <c r="Y702" s="2" t="str">
        <f t="shared" si="366"/>
        <v/>
      </c>
      <c r="Z702" s="2" t="str">
        <f t="shared" si="349"/>
        <v/>
      </c>
      <c r="AA702" s="2" t="str">
        <f t="shared" si="350"/>
        <v/>
      </c>
      <c r="AB702" s="2" t="str">
        <f t="shared" si="351"/>
        <v/>
      </c>
      <c r="AC702" s="2" t="str">
        <f t="shared" si="367"/>
        <v/>
      </c>
      <c r="AD702" s="2" t="str">
        <f t="shared" si="368"/>
        <v/>
      </c>
      <c r="AE702" s="2" t="str">
        <f t="shared" si="369"/>
        <v/>
      </c>
      <c r="AF702" s="2" t="str">
        <f t="shared" si="370"/>
        <v/>
      </c>
    </row>
    <row r="703" spans="1:32" x14ac:dyDescent="0.2">
      <c r="A703" s="2" t="str">
        <f t="shared" si="339"/>
        <v/>
      </c>
      <c r="B703" s="2" t="str">
        <f t="shared" si="352"/>
        <v/>
      </c>
      <c r="C703" s="2" t="str">
        <f t="shared" si="353"/>
        <v/>
      </c>
      <c r="D703" s="2" t="str">
        <f t="shared" si="354"/>
        <v/>
      </c>
      <c r="E703" s="2" t="str">
        <f t="shared" si="355"/>
        <v/>
      </c>
      <c r="F703" s="2" t="str">
        <f t="shared" si="356"/>
        <v/>
      </c>
      <c r="G703" s="2" t="str">
        <f t="shared" si="357"/>
        <v/>
      </c>
      <c r="H703" s="2" t="str">
        <f t="shared" si="340"/>
        <v/>
      </c>
      <c r="I703" s="2" t="str">
        <f t="shared" si="341"/>
        <v/>
      </c>
      <c r="J703" s="2" t="str">
        <f t="shared" si="342"/>
        <v/>
      </c>
      <c r="K703" s="2" t="str">
        <f t="shared" si="358"/>
        <v/>
      </c>
      <c r="L703" s="2" t="str">
        <f t="shared" si="359"/>
        <v/>
      </c>
      <c r="M703" s="2" t="str">
        <f t="shared" si="360"/>
        <v/>
      </c>
      <c r="N703" s="2" t="str">
        <f t="shared" si="343"/>
        <v/>
      </c>
      <c r="O703" s="2" t="str">
        <f t="shared" si="344"/>
        <v/>
      </c>
      <c r="P703" s="2" t="str">
        <f t="shared" si="345"/>
        <v/>
      </c>
      <c r="Q703" s="2" t="str">
        <f t="shared" si="361"/>
        <v/>
      </c>
      <c r="R703" s="2" t="str">
        <f t="shared" si="362"/>
        <v/>
      </c>
      <c r="S703" s="2" t="str">
        <f t="shared" si="363"/>
        <v/>
      </c>
      <c r="T703" s="2" t="str">
        <f t="shared" si="346"/>
        <v/>
      </c>
      <c r="U703" s="2" t="str">
        <f t="shared" si="347"/>
        <v/>
      </c>
      <c r="V703" s="2" t="str">
        <f t="shared" si="348"/>
        <v/>
      </c>
      <c r="W703" s="2" t="str">
        <f t="shared" si="364"/>
        <v/>
      </c>
      <c r="X703" s="2" t="str">
        <f t="shared" si="365"/>
        <v/>
      </c>
      <c r="Y703" s="2" t="str">
        <f t="shared" si="366"/>
        <v/>
      </c>
      <c r="Z703" s="2" t="str">
        <f t="shared" si="349"/>
        <v/>
      </c>
      <c r="AA703" s="2" t="str">
        <f t="shared" si="350"/>
        <v/>
      </c>
      <c r="AB703" s="2" t="str">
        <f t="shared" si="351"/>
        <v/>
      </c>
      <c r="AC703" s="2" t="str">
        <f t="shared" si="367"/>
        <v/>
      </c>
      <c r="AD703" s="2" t="str">
        <f t="shared" si="368"/>
        <v/>
      </c>
      <c r="AE703" s="2" t="str">
        <f t="shared" si="369"/>
        <v/>
      </c>
      <c r="AF703" s="2" t="str">
        <f t="shared" si="370"/>
        <v/>
      </c>
    </row>
    <row r="704" spans="1:32" x14ac:dyDescent="0.2">
      <c r="A704" s="2" t="str">
        <f t="shared" si="339"/>
        <v/>
      </c>
      <c r="B704" s="2" t="str">
        <f t="shared" si="352"/>
        <v/>
      </c>
      <c r="C704" s="2" t="str">
        <f t="shared" si="353"/>
        <v/>
      </c>
      <c r="D704" s="2" t="str">
        <f t="shared" si="354"/>
        <v/>
      </c>
      <c r="E704" s="2" t="str">
        <f t="shared" si="355"/>
        <v/>
      </c>
      <c r="F704" s="2" t="str">
        <f t="shared" si="356"/>
        <v/>
      </c>
      <c r="G704" s="2" t="str">
        <f t="shared" si="357"/>
        <v/>
      </c>
      <c r="H704" s="2" t="str">
        <f t="shared" si="340"/>
        <v/>
      </c>
      <c r="I704" s="2" t="str">
        <f t="shared" si="341"/>
        <v/>
      </c>
      <c r="J704" s="2" t="str">
        <f t="shared" si="342"/>
        <v/>
      </c>
      <c r="K704" s="2" t="str">
        <f t="shared" si="358"/>
        <v/>
      </c>
      <c r="L704" s="2" t="str">
        <f t="shared" si="359"/>
        <v/>
      </c>
      <c r="M704" s="2" t="str">
        <f t="shared" si="360"/>
        <v/>
      </c>
      <c r="N704" s="2" t="str">
        <f t="shared" si="343"/>
        <v/>
      </c>
      <c r="O704" s="2" t="str">
        <f t="shared" si="344"/>
        <v/>
      </c>
      <c r="P704" s="2" t="str">
        <f t="shared" si="345"/>
        <v/>
      </c>
      <c r="Q704" s="2" t="str">
        <f t="shared" si="361"/>
        <v/>
      </c>
      <c r="R704" s="2" t="str">
        <f t="shared" si="362"/>
        <v/>
      </c>
      <c r="S704" s="2" t="str">
        <f t="shared" si="363"/>
        <v/>
      </c>
      <c r="T704" s="2" t="str">
        <f t="shared" si="346"/>
        <v/>
      </c>
      <c r="U704" s="2" t="str">
        <f t="shared" si="347"/>
        <v/>
      </c>
      <c r="V704" s="2" t="str">
        <f t="shared" si="348"/>
        <v/>
      </c>
      <c r="W704" s="2" t="str">
        <f t="shared" si="364"/>
        <v/>
      </c>
      <c r="X704" s="2" t="str">
        <f t="shared" si="365"/>
        <v/>
      </c>
      <c r="Y704" s="2" t="str">
        <f t="shared" si="366"/>
        <v/>
      </c>
      <c r="Z704" s="2" t="str">
        <f t="shared" si="349"/>
        <v/>
      </c>
      <c r="AA704" s="2" t="str">
        <f t="shared" si="350"/>
        <v/>
      </c>
      <c r="AB704" s="2" t="str">
        <f t="shared" si="351"/>
        <v/>
      </c>
      <c r="AC704" s="2" t="str">
        <f t="shared" si="367"/>
        <v/>
      </c>
      <c r="AD704" s="2" t="str">
        <f t="shared" si="368"/>
        <v/>
      </c>
      <c r="AE704" s="2" t="str">
        <f t="shared" si="369"/>
        <v/>
      </c>
      <c r="AF704" s="2" t="str">
        <f t="shared" si="370"/>
        <v/>
      </c>
    </row>
    <row r="705" spans="1:32" x14ac:dyDescent="0.2">
      <c r="A705" s="2" t="str">
        <f t="shared" si="339"/>
        <v/>
      </c>
      <c r="B705" s="2" t="str">
        <f t="shared" si="352"/>
        <v/>
      </c>
      <c r="C705" s="2" t="str">
        <f t="shared" si="353"/>
        <v/>
      </c>
      <c r="D705" s="2" t="str">
        <f t="shared" si="354"/>
        <v/>
      </c>
      <c r="E705" s="2" t="str">
        <f t="shared" si="355"/>
        <v/>
      </c>
      <c r="F705" s="2" t="str">
        <f t="shared" si="356"/>
        <v/>
      </c>
      <c r="G705" s="2" t="str">
        <f t="shared" si="357"/>
        <v/>
      </c>
      <c r="H705" s="2" t="str">
        <f t="shared" si="340"/>
        <v/>
      </c>
      <c r="I705" s="2" t="str">
        <f t="shared" si="341"/>
        <v/>
      </c>
      <c r="J705" s="2" t="str">
        <f t="shared" si="342"/>
        <v/>
      </c>
      <c r="K705" s="2" t="str">
        <f t="shared" si="358"/>
        <v/>
      </c>
      <c r="L705" s="2" t="str">
        <f t="shared" si="359"/>
        <v/>
      </c>
      <c r="M705" s="2" t="str">
        <f t="shared" si="360"/>
        <v/>
      </c>
      <c r="N705" s="2" t="str">
        <f t="shared" si="343"/>
        <v/>
      </c>
      <c r="O705" s="2" t="str">
        <f t="shared" si="344"/>
        <v/>
      </c>
      <c r="P705" s="2" t="str">
        <f t="shared" si="345"/>
        <v/>
      </c>
      <c r="Q705" s="2" t="str">
        <f t="shared" si="361"/>
        <v/>
      </c>
      <c r="R705" s="2" t="str">
        <f t="shared" si="362"/>
        <v/>
      </c>
      <c r="S705" s="2" t="str">
        <f t="shared" si="363"/>
        <v/>
      </c>
      <c r="T705" s="2" t="str">
        <f t="shared" si="346"/>
        <v/>
      </c>
      <c r="U705" s="2" t="str">
        <f t="shared" si="347"/>
        <v/>
      </c>
      <c r="V705" s="2" t="str">
        <f t="shared" si="348"/>
        <v/>
      </c>
      <c r="W705" s="2" t="str">
        <f t="shared" si="364"/>
        <v/>
      </c>
      <c r="X705" s="2" t="str">
        <f t="shared" si="365"/>
        <v/>
      </c>
      <c r="Y705" s="2" t="str">
        <f t="shared" si="366"/>
        <v/>
      </c>
      <c r="Z705" s="2" t="str">
        <f t="shared" si="349"/>
        <v/>
      </c>
      <c r="AA705" s="2" t="str">
        <f t="shared" si="350"/>
        <v/>
      </c>
      <c r="AB705" s="2" t="str">
        <f t="shared" si="351"/>
        <v/>
      </c>
      <c r="AC705" s="2" t="str">
        <f t="shared" si="367"/>
        <v/>
      </c>
      <c r="AD705" s="2" t="str">
        <f t="shared" si="368"/>
        <v/>
      </c>
      <c r="AE705" s="2" t="str">
        <f t="shared" si="369"/>
        <v/>
      </c>
      <c r="AF705" s="2" t="str">
        <f t="shared" si="370"/>
        <v/>
      </c>
    </row>
    <row r="706" spans="1:32" x14ac:dyDescent="0.2">
      <c r="A706" s="2" t="str">
        <f t="shared" si="339"/>
        <v/>
      </c>
      <c r="B706" s="2" t="str">
        <f t="shared" si="352"/>
        <v/>
      </c>
      <c r="C706" s="2" t="str">
        <f t="shared" si="353"/>
        <v/>
      </c>
      <c r="D706" s="2" t="str">
        <f t="shared" si="354"/>
        <v/>
      </c>
      <c r="E706" s="2" t="str">
        <f t="shared" si="355"/>
        <v/>
      </c>
      <c r="F706" s="2" t="str">
        <f t="shared" si="356"/>
        <v/>
      </c>
      <c r="G706" s="2" t="str">
        <f t="shared" si="357"/>
        <v/>
      </c>
      <c r="H706" s="2" t="str">
        <f t="shared" si="340"/>
        <v/>
      </c>
      <c r="I706" s="2" t="str">
        <f t="shared" si="341"/>
        <v/>
      </c>
      <c r="J706" s="2" t="str">
        <f t="shared" si="342"/>
        <v/>
      </c>
      <c r="K706" s="2" t="str">
        <f t="shared" si="358"/>
        <v/>
      </c>
      <c r="L706" s="2" t="str">
        <f t="shared" si="359"/>
        <v/>
      </c>
      <c r="M706" s="2" t="str">
        <f t="shared" si="360"/>
        <v/>
      </c>
      <c r="N706" s="2" t="str">
        <f t="shared" si="343"/>
        <v/>
      </c>
      <c r="O706" s="2" t="str">
        <f t="shared" si="344"/>
        <v/>
      </c>
      <c r="P706" s="2" t="str">
        <f t="shared" si="345"/>
        <v/>
      </c>
      <c r="Q706" s="2" t="str">
        <f t="shared" si="361"/>
        <v/>
      </c>
      <c r="R706" s="2" t="str">
        <f t="shared" si="362"/>
        <v/>
      </c>
      <c r="S706" s="2" t="str">
        <f t="shared" si="363"/>
        <v/>
      </c>
      <c r="T706" s="2" t="str">
        <f t="shared" si="346"/>
        <v/>
      </c>
      <c r="U706" s="2" t="str">
        <f t="shared" si="347"/>
        <v/>
      </c>
      <c r="V706" s="2" t="str">
        <f t="shared" si="348"/>
        <v/>
      </c>
      <c r="W706" s="2" t="str">
        <f t="shared" si="364"/>
        <v/>
      </c>
      <c r="X706" s="2" t="str">
        <f t="shared" si="365"/>
        <v/>
      </c>
      <c r="Y706" s="2" t="str">
        <f t="shared" si="366"/>
        <v/>
      </c>
      <c r="Z706" s="2" t="str">
        <f t="shared" si="349"/>
        <v/>
      </c>
      <c r="AA706" s="2" t="str">
        <f t="shared" si="350"/>
        <v/>
      </c>
      <c r="AB706" s="2" t="str">
        <f t="shared" si="351"/>
        <v/>
      </c>
      <c r="AC706" s="2" t="str">
        <f t="shared" si="367"/>
        <v/>
      </c>
      <c r="AD706" s="2" t="str">
        <f t="shared" si="368"/>
        <v/>
      </c>
      <c r="AE706" s="2" t="str">
        <f t="shared" si="369"/>
        <v/>
      </c>
      <c r="AF706" s="2" t="str">
        <f t="shared" si="370"/>
        <v/>
      </c>
    </row>
    <row r="707" spans="1:32" x14ac:dyDescent="0.2">
      <c r="A707" s="2" t="str">
        <f t="shared" si="339"/>
        <v/>
      </c>
      <c r="B707" s="2" t="str">
        <f t="shared" si="352"/>
        <v/>
      </c>
      <c r="C707" s="2" t="str">
        <f t="shared" si="353"/>
        <v/>
      </c>
      <c r="D707" s="2" t="str">
        <f t="shared" si="354"/>
        <v/>
      </c>
      <c r="E707" s="2" t="str">
        <f t="shared" si="355"/>
        <v/>
      </c>
      <c r="F707" s="2" t="str">
        <f t="shared" si="356"/>
        <v/>
      </c>
      <c r="G707" s="2" t="str">
        <f t="shared" si="357"/>
        <v/>
      </c>
      <c r="H707" s="2" t="str">
        <f t="shared" si="340"/>
        <v/>
      </c>
      <c r="I707" s="2" t="str">
        <f t="shared" si="341"/>
        <v/>
      </c>
      <c r="J707" s="2" t="str">
        <f t="shared" si="342"/>
        <v/>
      </c>
      <c r="K707" s="2" t="str">
        <f t="shared" si="358"/>
        <v/>
      </c>
      <c r="L707" s="2" t="str">
        <f t="shared" si="359"/>
        <v/>
      </c>
      <c r="M707" s="2" t="str">
        <f t="shared" si="360"/>
        <v/>
      </c>
      <c r="N707" s="2" t="str">
        <f t="shared" si="343"/>
        <v/>
      </c>
      <c r="O707" s="2" t="str">
        <f t="shared" si="344"/>
        <v/>
      </c>
      <c r="P707" s="2" t="str">
        <f t="shared" si="345"/>
        <v/>
      </c>
      <c r="Q707" s="2" t="str">
        <f t="shared" si="361"/>
        <v/>
      </c>
      <c r="R707" s="2" t="str">
        <f t="shared" si="362"/>
        <v/>
      </c>
      <c r="S707" s="2" t="str">
        <f t="shared" si="363"/>
        <v/>
      </c>
      <c r="T707" s="2" t="str">
        <f t="shared" si="346"/>
        <v/>
      </c>
      <c r="U707" s="2" t="str">
        <f t="shared" si="347"/>
        <v/>
      </c>
      <c r="V707" s="2" t="str">
        <f t="shared" si="348"/>
        <v/>
      </c>
      <c r="W707" s="2" t="str">
        <f t="shared" si="364"/>
        <v/>
      </c>
      <c r="X707" s="2" t="str">
        <f t="shared" si="365"/>
        <v/>
      </c>
      <c r="Y707" s="2" t="str">
        <f t="shared" si="366"/>
        <v/>
      </c>
      <c r="Z707" s="2" t="str">
        <f t="shared" si="349"/>
        <v/>
      </c>
      <c r="AA707" s="2" t="str">
        <f t="shared" si="350"/>
        <v/>
      </c>
      <c r="AB707" s="2" t="str">
        <f t="shared" si="351"/>
        <v/>
      </c>
      <c r="AC707" s="2" t="str">
        <f t="shared" si="367"/>
        <v/>
      </c>
      <c r="AD707" s="2" t="str">
        <f t="shared" si="368"/>
        <v/>
      </c>
      <c r="AE707" s="2" t="str">
        <f t="shared" si="369"/>
        <v/>
      </c>
      <c r="AF707" s="2" t="str">
        <f t="shared" si="370"/>
        <v/>
      </c>
    </row>
    <row r="708" spans="1:32" x14ac:dyDescent="0.2">
      <c r="A708" s="2" t="str">
        <f t="shared" si="339"/>
        <v/>
      </c>
      <c r="B708" s="2" t="str">
        <f t="shared" si="352"/>
        <v/>
      </c>
      <c r="C708" s="2" t="str">
        <f t="shared" si="353"/>
        <v/>
      </c>
      <c r="D708" s="2" t="str">
        <f t="shared" si="354"/>
        <v/>
      </c>
      <c r="E708" s="2" t="str">
        <f t="shared" si="355"/>
        <v/>
      </c>
      <c r="F708" s="2" t="str">
        <f t="shared" si="356"/>
        <v/>
      </c>
      <c r="G708" s="2" t="str">
        <f t="shared" si="357"/>
        <v/>
      </c>
      <c r="H708" s="2" t="str">
        <f t="shared" si="340"/>
        <v/>
      </c>
      <c r="I708" s="2" t="str">
        <f t="shared" si="341"/>
        <v/>
      </c>
      <c r="J708" s="2" t="str">
        <f t="shared" si="342"/>
        <v/>
      </c>
      <c r="K708" s="2" t="str">
        <f t="shared" si="358"/>
        <v/>
      </c>
      <c r="L708" s="2" t="str">
        <f t="shared" si="359"/>
        <v/>
      </c>
      <c r="M708" s="2" t="str">
        <f t="shared" si="360"/>
        <v/>
      </c>
      <c r="N708" s="2" t="str">
        <f t="shared" si="343"/>
        <v/>
      </c>
      <c r="O708" s="2" t="str">
        <f t="shared" si="344"/>
        <v/>
      </c>
      <c r="P708" s="2" t="str">
        <f t="shared" si="345"/>
        <v/>
      </c>
      <c r="Q708" s="2" t="str">
        <f t="shared" si="361"/>
        <v/>
      </c>
      <c r="R708" s="2" t="str">
        <f t="shared" si="362"/>
        <v/>
      </c>
      <c r="S708" s="2" t="str">
        <f t="shared" si="363"/>
        <v/>
      </c>
      <c r="T708" s="2" t="str">
        <f t="shared" si="346"/>
        <v/>
      </c>
      <c r="U708" s="2" t="str">
        <f t="shared" si="347"/>
        <v/>
      </c>
      <c r="V708" s="2" t="str">
        <f t="shared" si="348"/>
        <v/>
      </c>
      <c r="W708" s="2" t="str">
        <f t="shared" si="364"/>
        <v/>
      </c>
      <c r="X708" s="2" t="str">
        <f t="shared" si="365"/>
        <v/>
      </c>
      <c r="Y708" s="2" t="str">
        <f t="shared" si="366"/>
        <v/>
      </c>
      <c r="Z708" s="2" t="str">
        <f t="shared" si="349"/>
        <v/>
      </c>
      <c r="AA708" s="2" t="str">
        <f t="shared" si="350"/>
        <v/>
      </c>
      <c r="AB708" s="2" t="str">
        <f t="shared" si="351"/>
        <v/>
      </c>
      <c r="AC708" s="2" t="str">
        <f t="shared" si="367"/>
        <v/>
      </c>
      <c r="AD708" s="2" t="str">
        <f t="shared" si="368"/>
        <v/>
      </c>
      <c r="AE708" s="2" t="str">
        <f t="shared" si="369"/>
        <v/>
      </c>
      <c r="AF708" s="2" t="str">
        <f t="shared" si="370"/>
        <v/>
      </c>
    </row>
    <row r="709" spans="1:32" x14ac:dyDescent="0.2">
      <c r="A709" s="2" t="str">
        <f t="shared" ref="A709:A772" si="371">IF(AH709="","",_xlfn.CONCAT(AH709,"_",ROW()-3))</f>
        <v/>
      </c>
      <c r="B709" s="2" t="str">
        <f t="shared" si="352"/>
        <v/>
      </c>
      <c r="C709" s="2" t="str">
        <f t="shared" si="353"/>
        <v/>
      </c>
      <c r="D709" s="2" t="str">
        <f t="shared" si="354"/>
        <v/>
      </c>
      <c r="E709" s="2" t="str">
        <f t="shared" si="355"/>
        <v/>
      </c>
      <c r="F709" s="2" t="str">
        <f t="shared" si="356"/>
        <v/>
      </c>
      <c r="G709" s="2" t="str">
        <f t="shared" si="357"/>
        <v/>
      </c>
      <c r="H709" s="2" t="str">
        <f t="shared" ref="H709:H772" si="372">IF(AO709="","",IF(AQ709&lt;&gt;0,(AO709+AQ709)/2,AO709)-BN709)</f>
        <v/>
      </c>
      <c r="I709" s="2" t="str">
        <f t="shared" ref="I709:I772" si="373">IF(AP709="","",AP709)</f>
        <v/>
      </c>
      <c r="J709" s="2" t="str">
        <f t="shared" ref="J709:J772" si="374">IF(AQ709="","",(AO709+AQ709)/2-BN709)</f>
        <v/>
      </c>
      <c r="K709" s="2" t="str">
        <f t="shared" si="358"/>
        <v/>
      </c>
      <c r="L709" s="2" t="str">
        <f t="shared" si="359"/>
        <v/>
      </c>
      <c r="M709" s="2" t="str">
        <f t="shared" si="360"/>
        <v/>
      </c>
      <c r="N709" s="2" t="str">
        <f t="shared" ref="N709:N772" si="375">IF(AU709="","",IF(AW709&lt;&gt;0,(AU709+AW709)/2,AU709)-BN710)</f>
        <v/>
      </c>
      <c r="O709" s="2" t="str">
        <f t="shared" ref="O709:O772" si="376">IF(AV709="","",AV709)</f>
        <v/>
      </c>
      <c r="P709" s="2" t="str">
        <f t="shared" ref="P709:P772" si="377">IF(AW709="","",(AU709+AW709)/2-BN710)</f>
        <v/>
      </c>
      <c r="Q709" s="2" t="str">
        <f t="shared" si="361"/>
        <v/>
      </c>
      <c r="R709" s="2" t="str">
        <f t="shared" si="362"/>
        <v/>
      </c>
      <c r="S709" s="2" t="str">
        <f t="shared" si="363"/>
        <v/>
      </c>
      <c r="T709" s="2" t="str">
        <f t="shared" ref="T709:T772" si="378">IF(BA709="","",IF(BC709&lt;&gt;0,(BA709+BC709)/2,BA709)-BN711)</f>
        <v/>
      </c>
      <c r="U709" s="2" t="str">
        <f t="shared" ref="U709:U772" si="379">IF(BB709="","",BB709)</f>
        <v/>
      </c>
      <c r="V709" s="2" t="str">
        <f t="shared" ref="V709:V772" si="380">IF(BC709="","",(BA709+BC709)/2-BN711)</f>
        <v/>
      </c>
      <c r="W709" s="2" t="str">
        <f t="shared" si="364"/>
        <v/>
      </c>
      <c r="X709" s="2" t="str">
        <f t="shared" si="365"/>
        <v/>
      </c>
      <c r="Y709" s="2" t="str">
        <f t="shared" si="366"/>
        <v/>
      </c>
      <c r="Z709" s="2" t="str">
        <f t="shared" ref="Z709:Z772" si="381">IF(BG709="","",IF(BI709&lt;&gt;0,(BG709+BI709)/2,BG709)-BN712)</f>
        <v/>
      </c>
      <c r="AA709" s="2" t="str">
        <f t="shared" ref="AA709:AA772" si="382">IF(BH709="","",BH709)</f>
        <v/>
      </c>
      <c r="AB709" s="2" t="str">
        <f t="shared" ref="AB709:AB772" si="383">IF(BI709="","",(BG709+BI709)/2-BN712)</f>
        <v/>
      </c>
      <c r="AC709" s="2" t="str">
        <f t="shared" si="367"/>
        <v/>
      </c>
      <c r="AD709" s="2" t="str">
        <f t="shared" si="368"/>
        <v/>
      </c>
      <c r="AE709" s="2" t="str">
        <f t="shared" si="369"/>
        <v/>
      </c>
      <c r="AF709" s="2" t="str">
        <f t="shared" si="370"/>
        <v/>
      </c>
    </row>
    <row r="710" spans="1:32" x14ac:dyDescent="0.2">
      <c r="A710" s="2" t="str">
        <f t="shared" si="371"/>
        <v/>
      </c>
      <c r="B710" s="2" t="str">
        <f t="shared" si="352"/>
        <v/>
      </c>
      <c r="C710" s="2" t="str">
        <f t="shared" si="353"/>
        <v/>
      </c>
      <c r="D710" s="2" t="str">
        <f t="shared" si="354"/>
        <v/>
      </c>
      <c r="E710" s="2" t="str">
        <f t="shared" si="355"/>
        <v/>
      </c>
      <c r="F710" s="2" t="str">
        <f t="shared" si="356"/>
        <v/>
      </c>
      <c r="G710" s="2" t="str">
        <f t="shared" si="357"/>
        <v/>
      </c>
      <c r="H710" s="2" t="str">
        <f t="shared" si="372"/>
        <v/>
      </c>
      <c r="I710" s="2" t="str">
        <f t="shared" si="373"/>
        <v/>
      </c>
      <c r="J710" s="2" t="str">
        <f t="shared" si="374"/>
        <v/>
      </c>
      <c r="K710" s="2" t="str">
        <f t="shared" si="358"/>
        <v/>
      </c>
      <c r="L710" s="2" t="str">
        <f t="shared" si="359"/>
        <v/>
      </c>
      <c r="M710" s="2" t="str">
        <f t="shared" si="360"/>
        <v/>
      </c>
      <c r="N710" s="2" t="str">
        <f t="shared" si="375"/>
        <v/>
      </c>
      <c r="O710" s="2" t="str">
        <f t="shared" si="376"/>
        <v/>
      </c>
      <c r="P710" s="2" t="str">
        <f t="shared" si="377"/>
        <v/>
      </c>
      <c r="Q710" s="2" t="str">
        <f t="shared" si="361"/>
        <v/>
      </c>
      <c r="R710" s="2" t="str">
        <f t="shared" si="362"/>
        <v/>
      </c>
      <c r="S710" s="2" t="str">
        <f t="shared" si="363"/>
        <v/>
      </c>
      <c r="T710" s="2" t="str">
        <f t="shared" si="378"/>
        <v/>
      </c>
      <c r="U710" s="2" t="str">
        <f t="shared" si="379"/>
        <v/>
      </c>
      <c r="V710" s="2" t="str">
        <f t="shared" si="380"/>
        <v/>
      </c>
      <c r="W710" s="2" t="str">
        <f t="shared" si="364"/>
        <v/>
      </c>
      <c r="X710" s="2" t="str">
        <f t="shared" si="365"/>
        <v/>
      </c>
      <c r="Y710" s="2" t="str">
        <f t="shared" si="366"/>
        <v/>
      </c>
      <c r="Z710" s="2" t="str">
        <f t="shared" si="381"/>
        <v/>
      </c>
      <c r="AA710" s="2" t="str">
        <f t="shared" si="382"/>
        <v/>
      </c>
      <c r="AB710" s="2" t="str">
        <f t="shared" si="383"/>
        <v/>
      </c>
      <c r="AC710" s="2" t="str">
        <f t="shared" si="367"/>
        <v/>
      </c>
      <c r="AD710" s="2" t="str">
        <f t="shared" si="368"/>
        <v/>
      </c>
      <c r="AE710" s="2" t="str">
        <f t="shared" si="369"/>
        <v/>
      </c>
      <c r="AF710" s="2" t="str">
        <f t="shared" si="370"/>
        <v/>
      </c>
    </row>
    <row r="711" spans="1:32" x14ac:dyDescent="0.2">
      <c r="A711" s="2" t="str">
        <f t="shared" si="371"/>
        <v/>
      </c>
      <c r="B711" s="2" t="str">
        <f t="shared" si="352"/>
        <v/>
      </c>
      <c r="C711" s="2" t="str">
        <f t="shared" si="353"/>
        <v/>
      </c>
      <c r="D711" s="2" t="str">
        <f t="shared" si="354"/>
        <v/>
      </c>
      <c r="E711" s="2" t="str">
        <f t="shared" si="355"/>
        <v/>
      </c>
      <c r="F711" s="2" t="str">
        <f t="shared" si="356"/>
        <v/>
      </c>
      <c r="G711" s="2" t="str">
        <f t="shared" si="357"/>
        <v/>
      </c>
      <c r="H711" s="2" t="str">
        <f t="shared" si="372"/>
        <v/>
      </c>
      <c r="I711" s="2" t="str">
        <f t="shared" si="373"/>
        <v/>
      </c>
      <c r="J711" s="2" t="str">
        <f t="shared" si="374"/>
        <v/>
      </c>
      <c r="K711" s="2" t="str">
        <f t="shared" si="358"/>
        <v/>
      </c>
      <c r="L711" s="2" t="str">
        <f t="shared" si="359"/>
        <v/>
      </c>
      <c r="M711" s="2" t="str">
        <f t="shared" si="360"/>
        <v/>
      </c>
      <c r="N711" s="2" t="str">
        <f t="shared" si="375"/>
        <v/>
      </c>
      <c r="O711" s="2" t="str">
        <f t="shared" si="376"/>
        <v/>
      </c>
      <c r="P711" s="2" t="str">
        <f t="shared" si="377"/>
        <v/>
      </c>
      <c r="Q711" s="2" t="str">
        <f t="shared" si="361"/>
        <v/>
      </c>
      <c r="R711" s="2" t="str">
        <f t="shared" si="362"/>
        <v/>
      </c>
      <c r="S711" s="2" t="str">
        <f t="shared" si="363"/>
        <v/>
      </c>
      <c r="T711" s="2" t="str">
        <f t="shared" si="378"/>
        <v/>
      </c>
      <c r="U711" s="2" t="str">
        <f t="shared" si="379"/>
        <v/>
      </c>
      <c r="V711" s="2" t="str">
        <f t="shared" si="380"/>
        <v/>
      </c>
      <c r="W711" s="2" t="str">
        <f t="shared" si="364"/>
        <v/>
      </c>
      <c r="X711" s="2" t="str">
        <f t="shared" si="365"/>
        <v/>
      </c>
      <c r="Y711" s="2" t="str">
        <f t="shared" si="366"/>
        <v/>
      </c>
      <c r="Z711" s="2" t="str">
        <f t="shared" si="381"/>
        <v/>
      </c>
      <c r="AA711" s="2" t="str">
        <f t="shared" si="382"/>
        <v/>
      </c>
      <c r="AB711" s="2" t="str">
        <f t="shared" si="383"/>
        <v/>
      </c>
      <c r="AC711" s="2" t="str">
        <f t="shared" si="367"/>
        <v/>
      </c>
      <c r="AD711" s="2" t="str">
        <f t="shared" si="368"/>
        <v/>
      </c>
      <c r="AE711" s="2" t="str">
        <f t="shared" si="369"/>
        <v/>
      </c>
      <c r="AF711" s="2" t="str">
        <f t="shared" si="370"/>
        <v/>
      </c>
    </row>
    <row r="712" spans="1:32" x14ac:dyDescent="0.2">
      <c r="A712" s="2" t="str">
        <f t="shared" si="371"/>
        <v/>
      </c>
      <c r="B712" s="2" t="str">
        <f t="shared" si="352"/>
        <v/>
      </c>
      <c r="C712" s="2" t="str">
        <f t="shared" si="353"/>
        <v/>
      </c>
      <c r="D712" s="2" t="str">
        <f t="shared" si="354"/>
        <v/>
      </c>
      <c r="E712" s="2" t="str">
        <f t="shared" si="355"/>
        <v/>
      </c>
      <c r="F712" s="2" t="str">
        <f t="shared" si="356"/>
        <v/>
      </c>
      <c r="G712" s="2" t="str">
        <f t="shared" si="357"/>
        <v/>
      </c>
      <c r="H712" s="2" t="str">
        <f t="shared" si="372"/>
        <v/>
      </c>
      <c r="I712" s="2" t="str">
        <f t="shared" si="373"/>
        <v/>
      </c>
      <c r="J712" s="2" t="str">
        <f t="shared" si="374"/>
        <v/>
      </c>
      <c r="K712" s="2" t="str">
        <f t="shared" si="358"/>
        <v/>
      </c>
      <c r="L712" s="2" t="str">
        <f t="shared" si="359"/>
        <v/>
      </c>
      <c r="M712" s="2" t="str">
        <f t="shared" si="360"/>
        <v/>
      </c>
      <c r="N712" s="2" t="str">
        <f t="shared" si="375"/>
        <v/>
      </c>
      <c r="O712" s="2" t="str">
        <f t="shared" si="376"/>
        <v/>
      </c>
      <c r="P712" s="2" t="str">
        <f t="shared" si="377"/>
        <v/>
      </c>
      <c r="Q712" s="2" t="str">
        <f t="shared" si="361"/>
        <v/>
      </c>
      <c r="R712" s="2" t="str">
        <f t="shared" si="362"/>
        <v/>
      </c>
      <c r="S712" s="2" t="str">
        <f t="shared" si="363"/>
        <v/>
      </c>
      <c r="T712" s="2" t="str">
        <f t="shared" si="378"/>
        <v/>
      </c>
      <c r="U712" s="2" t="str">
        <f t="shared" si="379"/>
        <v/>
      </c>
      <c r="V712" s="2" t="str">
        <f t="shared" si="380"/>
        <v/>
      </c>
      <c r="W712" s="2" t="str">
        <f t="shared" si="364"/>
        <v/>
      </c>
      <c r="X712" s="2" t="str">
        <f t="shared" si="365"/>
        <v/>
      </c>
      <c r="Y712" s="2" t="str">
        <f t="shared" si="366"/>
        <v/>
      </c>
      <c r="Z712" s="2" t="str">
        <f t="shared" si="381"/>
        <v/>
      </c>
      <c r="AA712" s="2" t="str">
        <f t="shared" si="382"/>
        <v/>
      </c>
      <c r="AB712" s="2" t="str">
        <f t="shared" si="383"/>
        <v/>
      </c>
      <c r="AC712" s="2" t="str">
        <f t="shared" si="367"/>
        <v/>
      </c>
      <c r="AD712" s="2" t="str">
        <f t="shared" si="368"/>
        <v/>
      </c>
      <c r="AE712" s="2" t="str">
        <f t="shared" si="369"/>
        <v/>
      </c>
      <c r="AF712" s="2" t="str">
        <f t="shared" si="370"/>
        <v/>
      </c>
    </row>
    <row r="713" spans="1:32" x14ac:dyDescent="0.2">
      <c r="A713" s="2" t="str">
        <f t="shared" si="371"/>
        <v/>
      </c>
      <c r="B713" s="2" t="str">
        <f t="shared" si="352"/>
        <v/>
      </c>
      <c r="C713" s="2" t="str">
        <f t="shared" si="353"/>
        <v/>
      </c>
      <c r="D713" s="2" t="str">
        <f t="shared" si="354"/>
        <v/>
      </c>
      <c r="E713" s="2" t="str">
        <f t="shared" si="355"/>
        <v/>
      </c>
      <c r="F713" s="2" t="str">
        <f t="shared" si="356"/>
        <v/>
      </c>
      <c r="G713" s="2" t="str">
        <f t="shared" si="357"/>
        <v/>
      </c>
      <c r="H713" s="2" t="str">
        <f t="shared" si="372"/>
        <v/>
      </c>
      <c r="I713" s="2" t="str">
        <f t="shared" si="373"/>
        <v/>
      </c>
      <c r="J713" s="2" t="str">
        <f t="shared" si="374"/>
        <v/>
      </c>
      <c r="K713" s="2" t="str">
        <f t="shared" si="358"/>
        <v/>
      </c>
      <c r="L713" s="2" t="str">
        <f t="shared" si="359"/>
        <v/>
      </c>
      <c r="M713" s="2" t="str">
        <f t="shared" si="360"/>
        <v/>
      </c>
      <c r="N713" s="2" t="str">
        <f t="shared" si="375"/>
        <v/>
      </c>
      <c r="O713" s="2" t="str">
        <f t="shared" si="376"/>
        <v/>
      </c>
      <c r="P713" s="2" t="str">
        <f t="shared" si="377"/>
        <v/>
      </c>
      <c r="Q713" s="2" t="str">
        <f t="shared" si="361"/>
        <v/>
      </c>
      <c r="R713" s="2" t="str">
        <f t="shared" si="362"/>
        <v/>
      </c>
      <c r="S713" s="2" t="str">
        <f t="shared" si="363"/>
        <v/>
      </c>
      <c r="T713" s="2" t="str">
        <f t="shared" si="378"/>
        <v/>
      </c>
      <c r="U713" s="2" t="str">
        <f t="shared" si="379"/>
        <v/>
      </c>
      <c r="V713" s="2" t="str">
        <f t="shared" si="380"/>
        <v/>
      </c>
      <c r="W713" s="2" t="str">
        <f t="shared" si="364"/>
        <v/>
      </c>
      <c r="X713" s="2" t="str">
        <f t="shared" si="365"/>
        <v/>
      </c>
      <c r="Y713" s="2" t="str">
        <f t="shared" si="366"/>
        <v/>
      </c>
      <c r="Z713" s="2" t="str">
        <f t="shared" si="381"/>
        <v/>
      </c>
      <c r="AA713" s="2" t="str">
        <f t="shared" si="382"/>
        <v/>
      </c>
      <c r="AB713" s="2" t="str">
        <f t="shared" si="383"/>
        <v/>
      </c>
      <c r="AC713" s="2" t="str">
        <f t="shared" si="367"/>
        <v/>
      </c>
      <c r="AD713" s="2" t="str">
        <f t="shared" si="368"/>
        <v/>
      </c>
      <c r="AE713" s="2" t="str">
        <f t="shared" si="369"/>
        <v/>
      </c>
      <c r="AF713" s="2" t="str">
        <f t="shared" si="370"/>
        <v/>
      </c>
    </row>
    <row r="714" spans="1:32" x14ac:dyDescent="0.2">
      <c r="A714" s="2" t="str">
        <f t="shared" si="371"/>
        <v/>
      </c>
      <c r="B714" s="2" t="str">
        <f t="shared" si="352"/>
        <v/>
      </c>
      <c r="C714" s="2" t="str">
        <f t="shared" si="353"/>
        <v/>
      </c>
      <c r="D714" s="2" t="str">
        <f t="shared" si="354"/>
        <v/>
      </c>
      <c r="E714" s="2" t="str">
        <f t="shared" si="355"/>
        <v/>
      </c>
      <c r="F714" s="2" t="str">
        <f t="shared" si="356"/>
        <v/>
      </c>
      <c r="G714" s="2" t="str">
        <f t="shared" si="357"/>
        <v/>
      </c>
      <c r="H714" s="2" t="str">
        <f t="shared" si="372"/>
        <v/>
      </c>
      <c r="I714" s="2" t="str">
        <f t="shared" si="373"/>
        <v/>
      </c>
      <c r="J714" s="2" t="str">
        <f t="shared" si="374"/>
        <v/>
      </c>
      <c r="K714" s="2" t="str">
        <f t="shared" si="358"/>
        <v/>
      </c>
      <c r="L714" s="2" t="str">
        <f t="shared" si="359"/>
        <v/>
      </c>
      <c r="M714" s="2" t="str">
        <f t="shared" si="360"/>
        <v/>
      </c>
      <c r="N714" s="2" t="str">
        <f t="shared" si="375"/>
        <v/>
      </c>
      <c r="O714" s="2" t="str">
        <f t="shared" si="376"/>
        <v/>
      </c>
      <c r="P714" s="2" t="str">
        <f t="shared" si="377"/>
        <v/>
      </c>
      <c r="Q714" s="2" t="str">
        <f t="shared" si="361"/>
        <v/>
      </c>
      <c r="R714" s="2" t="str">
        <f t="shared" si="362"/>
        <v/>
      </c>
      <c r="S714" s="2" t="str">
        <f t="shared" si="363"/>
        <v/>
      </c>
      <c r="T714" s="2" t="str">
        <f t="shared" si="378"/>
        <v/>
      </c>
      <c r="U714" s="2" t="str">
        <f t="shared" si="379"/>
        <v/>
      </c>
      <c r="V714" s="2" t="str">
        <f t="shared" si="380"/>
        <v/>
      </c>
      <c r="W714" s="2" t="str">
        <f t="shared" si="364"/>
        <v/>
      </c>
      <c r="X714" s="2" t="str">
        <f t="shared" si="365"/>
        <v/>
      </c>
      <c r="Y714" s="2" t="str">
        <f t="shared" si="366"/>
        <v/>
      </c>
      <c r="Z714" s="2" t="str">
        <f t="shared" si="381"/>
        <v/>
      </c>
      <c r="AA714" s="2" t="str">
        <f t="shared" si="382"/>
        <v/>
      </c>
      <c r="AB714" s="2" t="str">
        <f t="shared" si="383"/>
        <v/>
      </c>
      <c r="AC714" s="2" t="str">
        <f t="shared" si="367"/>
        <v/>
      </c>
      <c r="AD714" s="2" t="str">
        <f t="shared" si="368"/>
        <v/>
      </c>
      <c r="AE714" s="2" t="str">
        <f t="shared" si="369"/>
        <v/>
      </c>
      <c r="AF714" s="2" t="str">
        <f t="shared" si="370"/>
        <v/>
      </c>
    </row>
    <row r="715" spans="1:32" x14ac:dyDescent="0.2">
      <c r="A715" s="2" t="str">
        <f t="shared" si="371"/>
        <v/>
      </c>
      <c r="B715" s="2" t="str">
        <f t="shared" si="352"/>
        <v/>
      </c>
      <c r="C715" s="2" t="str">
        <f t="shared" si="353"/>
        <v/>
      </c>
      <c r="D715" s="2" t="str">
        <f t="shared" si="354"/>
        <v/>
      </c>
      <c r="E715" s="2" t="str">
        <f t="shared" si="355"/>
        <v/>
      </c>
      <c r="F715" s="2" t="str">
        <f t="shared" si="356"/>
        <v/>
      </c>
      <c r="G715" s="2" t="str">
        <f t="shared" si="357"/>
        <v/>
      </c>
      <c r="H715" s="2" t="str">
        <f t="shared" si="372"/>
        <v/>
      </c>
      <c r="I715" s="2" t="str">
        <f t="shared" si="373"/>
        <v/>
      </c>
      <c r="J715" s="2" t="str">
        <f t="shared" si="374"/>
        <v/>
      </c>
      <c r="K715" s="2" t="str">
        <f t="shared" si="358"/>
        <v/>
      </c>
      <c r="L715" s="2" t="str">
        <f t="shared" si="359"/>
        <v/>
      </c>
      <c r="M715" s="2" t="str">
        <f t="shared" si="360"/>
        <v/>
      </c>
      <c r="N715" s="2" t="str">
        <f t="shared" si="375"/>
        <v/>
      </c>
      <c r="O715" s="2" t="str">
        <f t="shared" si="376"/>
        <v/>
      </c>
      <c r="P715" s="2" t="str">
        <f t="shared" si="377"/>
        <v/>
      </c>
      <c r="Q715" s="2" t="str">
        <f t="shared" si="361"/>
        <v/>
      </c>
      <c r="R715" s="2" t="str">
        <f t="shared" si="362"/>
        <v/>
      </c>
      <c r="S715" s="2" t="str">
        <f t="shared" si="363"/>
        <v/>
      </c>
      <c r="T715" s="2" t="str">
        <f t="shared" si="378"/>
        <v/>
      </c>
      <c r="U715" s="2" t="str">
        <f t="shared" si="379"/>
        <v/>
      </c>
      <c r="V715" s="2" t="str">
        <f t="shared" si="380"/>
        <v/>
      </c>
      <c r="W715" s="2" t="str">
        <f t="shared" si="364"/>
        <v/>
      </c>
      <c r="X715" s="2" t="str">
        <f t="shared" si="365"/>
        <v/>
      </c>
      <c r="Y715" s="2" t="str">
        <f t="shared" si="366"/>
        <v/>
      </c>
      <c r="Z715" s="2" t="str">
        <f t="shared" si="381"/>
        <v/>
      </c>
      <c r="AA715" s="2" t="str">
        <f t="shared" si="382"/>
        <v/>
      </c>
      <c r="AB715" s="2" t="str">
        <f t="shared" si="383"/>
        <v/>
      </c>
      <c r="AC715" s="2" t="str">
        <f t="shared" si="367"/>
        <v/>
      </c>
      <c r="AD715" s="2" t="str">
        <f t="shared" si="368"/>
        <v/>
      </c>
      <c r="AE715" s="2" t="str">
        <f t="shared" si="369"/>
        <v/>
      </c>
      <c r="AF715" s="2" t="str">
        <f t="shared" si="370"/>
        <v/>
      </c>
    </row>
    <row r="716" spans="1:32" x14ac:dyDescent="0.2">
      <c r="A716" s="2" t="str">
        <f t="shared" si="371"/>
        <v/>
      </c>
      <c r="B716" s="2" t="str">
        <f t="shared" si="352"/>
        <v/>
      </c>
      <c r="C716" s="2" t="str">
        <f t="shared" si="353"/>
        <v/>
      </c>
      <c r="D716" s="2" t="str">
        <f t="shared" si="354"/>
        <v/>
      </c>
      <c r="E716" s="2" t="str">
        <f t="shared" si="355"/>
        <v/>
      </c>
      <c r="F716" s="2" t="str">
        <f t="shared" si="356"/>
        <v/>
      </c>
      <c r="G716" s="2" t="str">
        <f t="shared" si="357"/>
        <v/>
      </c>
      <c r="H716" s="2" t="str">
        <f t="shared" si="372"/>
        <v/>
      </c>
      <c r="I716" s="2" t="str">
        <f t="shared" si="373"/>
        <v/>
      </c>
      <c r="J716" s="2" t="str">
        <f t="shared" si="374"/>
        <v/>
      </c>
      <c r="K716" s="2" t="str">
        <f t="shared" si="358"/>
        <v/>
      </c>
      <c r="L716" s="2" t="str">
        <f t="shared" si="359"/>
        <v/>
      </c>
      <c r="M716" s="2" t="str">
        <f t="shared" si="360"/>
        <v/>
      </c>
      <c r="N716" s="2" t="str">
        <f t="shared" si="375"/>
        <v/>
      </c>
      <c r="O716" s="2" t="str">
        <f t="shared" si="376"/>
        <v/>
      </c>
      <c r="P716" s="2" t="str">
        <f t="shared" si="377"/>
        <v/>
      </c>
      <c r="Q716" s="2" t="str">
        <f t="shared" si="361"/>
        <v/>
      </c>
      <c r="R716" s="2" t="str">
        <f t="shared" si="362"/>
        <v/>
      </c>
      <c r="S716" s="2" t="str">
        <f t="shared" si="363"/>
        <v/>
      </c>
      <c r="T716" s="2" t="str">
        <f t="shared" si="378"/>
        <v/>
      </c>
      <c r="U716" s="2" t="str">
        <f t="shared" si="379"/>
        <v/>
      </c>
      <c r="V716" s="2" t="str">
        <f t="shared" si="380"/>
        <v/>
      </c>
      <c r="W716" s="2" t="str">
        <f t="shared" si="364"/>
        <v/>
      </c>
      <c r="X716" s="2" t="str">
        <f t="shared" si="365"/>
        <v/>
      </c>
      <c r="Y716" s="2" t="str">
        <f t="shared" si="366"/>
        <v/>
      </c>
      <c r="Z716" s="2" t="str">
        <f t="shared" si="381"/>
        <v/>
      </c>
      <c r="AA716" s="2" t="str">
        <f t="shared" si="382"/>
        <v/>
      </c>
      <c r="AB716" s="2" t="str">
        <f t="shared" si="383"/>
        <v/>
      </c>
      <c r="AC716" s="2" t="str">
        <f t="shared" si="367"/>
        <v/>
      </c>
      <c r="AD716" s="2" t="str">
        <f t="shared" si="368"/>
        <v/>
      </c>
      <c r="AE716" s="2" t="str">
        <f t="shared" si="369"/>
        <v/>
      </c>
      <c r="AF716" s="2" t="str">
        <f t="shared" si="370"/>
        <v/>
      </c>
    </row>
    <row r="717" spans="1:32" x14ac:dyDescent="0.2">
      <c r="A717" s="2" t="str">
        <f t="shared" si="371"/>
        <v/>
      </c>
      <c r="B717" s="2" t="str">
        <f t="shared" si="352"/>
        <v/>
      </c>
      <c r="C717" s="2" t="str">
        <f t="shared" si="353"/>
        <v/>
      </c>
      <c r="D717" s="2" t="str">
        <f t="shared" si="354"/>
        <v/>
      </c>
      <c r="E717" s="2" t="str">
        <f t="shared" si="355"/>
        <v/>
      </c>
      <c r="F717" s="2" t="str">
        <f t="shared" si="356"/>
        <v/>
      </c>
      <c r="G717" s="2" t="str">
        <f t="shared" si="357"/>
        <v/>
      </c>
      <c r="H717" s="2" t="str">
        <f t="shared" si="372"/>
        <v/>
      </c>
      <c r="I717" s="2" t="str">
        <f t="shared" si="373"/>
        <v/>
      </c>
      <c r="J717" s="2" t="str">
        <f t="shared" si="374"/>
        <v/>
      </c>
      <c r="K717" s="2" t="str">
        <f t="shared" si="358"/>
        <v/>
      </c>
      <c r="L717" s="2" t="str">
        <f t="shared" si="359"/>
        <v/>
      </c>
      <c r="M717" s="2" t="str">
        <f t="shared" si="360"/>
        <v/>
      </c>
      <c r="N717" s="2" t="str">
        <f t="shared" si="375"/>
        <v/>
      </c>
      <c r="O717" s="2" t="str">
        <f t="shared" si="376"/>
        <v/>
      </c>
      <c r="P717" s="2" t="str">
        <f t="shared" si="377"/>
        <v/>
      </c>
      <c r="Q717" s="2" t="str">
        <f t="shared" si="361"/>
        <v/>
      </c>
      <c r="R717" s="2" t="str">
        <f t="shared" si="362"/>
        <v/>
      </c>
      <c r="S717" s="2" t="str">
        <f t="shared" si="363"/>
        <v/>
      </c>
      <c r="T717" s="2" t="str">
        <f t="shared" si="378"/>
        <v/>
      </c>
      <c r="U717" s="2" t="str">
        <f t="shared" si="379"/>
        <v/>
      </c>
      <c r="V717" s="2" t="str">
        <f t="shared" si="380"/>
        <v/>
      </c>
      <c r="W717" s="2" t="str">
        <f t="shared" si="364"/>
        <v/>
      </c>
      <c r="X717" s="2" t="str">
        <f t="shared" si="365"/>
        <v/>
      </c>
      <c r="Y717" s="2" t="str">
        <f t="shared" si="366"/>
        <v/>
      </c>
      <c r="Z717" s="2" t="str">
        <f t="shared" si="381"/>
        <v/>
      </c>
      <c r="AA717" s="2" t="str">
        <f t="shared" si="382"/>
        <v/>
      </c>
      <c r="AB717" s="2" t="str">
        <f t="shared" si="383"/>
        <v/>
      </c>
      <c r="AC717" s="2" t="str">
        <f t="shared" si="367"/>
        <v/>
      </c>
      <c r="AD717" s="2" t="str">
        <f t="shared" si="368"/>
        <v/>
      </c>
      <c r="AE717" s="2" t="str">
        <f t="shared" si="369"/>
        <v/>
      </c>
      <c r="AF717" s="2" t="str">
        <f t="shared" si="370"/>
        <v/>
      </c>
    </row>
    <row r="718" spans="1:32" x14ac:dyDescent="0.2">
      <c r="A718" s="2" t="str">
        <f t="shared" si="371"/>
        <v/>
      </c>
      <c r="B718" s="2" t="str">
        <f t="shared" si="352"/>
        <v/>
      </c>
      <c r="C718" s="2" t="str">
        <f t="shared" si="353"/>
        <v/>
      </c>
      <c r="D718" s="2" t="str">
        <f t="shared" si="354"/>
        <v/>
      </c>
      <c r="E718" s="2" t="str">
        <f t="shared" si="355"/>
        <v/>
      </c>
      <c r="F718" s="2" t="str">
        <f t="shared" si="356"/>
        <v/>
      </c>
      <c r="G718" s="2" t="str">
        <f t="shared" si="357"/>
        <v/>
      </c>
      <c r="H718" s="2" t="str">
        <f t="shared" si="372"/>
        <v/>
      </c>
      <c r="I718" s="2" t="str">
        <f t="shared" si="373"/>
        <v/>
      </c>
      <c r="J718" s="2" t="str">
        <f t="shared" si="374"/>
        <v/>
      </c>
      <c r="K718" s="2" t="str">
        <f t="shared" si="358"/>
        <v/>
      </c>
      <c r="L718" s="2" t="str">
        <f t="shared" si="359"/>
        <v/>
      </c>
      <c r="M718" s="2" t="str">
        <f t="shared" si="360"/>
        <v/>
      </c>
      <c r="N718" s="2" t="str">
        <f t="shared" si="375"/>
        <v/>
      </c>
      <c r="O718" s="2" t="str">
        <f t="shared" si="376"/>
        <v/>
      </c>
      <c r="P718" s="2" t="str">
        <f t="shared" si="377"/>
        <v/>
      </c>
      <c r="Q718" s="2" t="str">
        <f t="shared" si="361"/>
        <v/>
      </c>
      <c r="R718" s="2" t="str">
        <f t="shared" si="362"/>
        <v/>
      </c>
      <c r="S718" s="2" t="str">
        <f t="shared" si="363"/>
        <v/>
      </c>
      <c r="T718" s="2" t="str">
        <f t="shared" si="378"/>
        <v/>
      </c>
      <c r="U718" s="2" t="str">
        <f t="shared" si="379"/>
        <v/>
      </c>
      <c r="V718" s="2" t="str">
        <f t="shared" si="380"/>
        <v/>
      </c>
      <c r="W718" s="2" t="str">
        <f t="shared" si="364"/>
        <v/>
      </c>
      <c r="X718" s="2" t="str">
        <f t="shared" si="365"/>
        <v/>
      </c>
      <c r="Y718" s="2" t="str">
        <f t="shared" si="366"/>
        <v/>
      </c>
      <c r="Z718" s="2" t="str">
        <f t="shared" si="381"/>
        <v/>
      </c>
      <c r="AA718" s="2" t="str">
        <f t="shared" si="382"/>
        <v/>
      </c>
      <c r="AB718" s="2" t="str">
        <f t="shared" si="383"/>
        <v/>
      </c>
      <c r="AC718" s="2" t="str">
        <f t="shared" si="367"/>
        <v/>
      </c>
      <c r="AD718" s="2" t="str">
        <f t="shared" si="368"/>
        <v/>
      </c>
      <c r="AE718" s="2" t="str">
        <f t="shared" si="369"/>
        <v/>
      </c>
      <c r="AF718" s="2" t="str">
        <f t="shared" si="370"/>
        <v/>
      </c>
    </row>
    <row r="719" spans="1:32" x14ac:dyDescent="0.2">
      <c r="A719" s="2" t="str">
        <f t="shared" si="371"/>
        <v/>
      </c>
      <c r="B719" s="2" t="str">
        <f t="shared" si="352"/>
        <v/>
      </c>
      <c r="C719" s="2" t="str">
        <f t="shared" si="353"/>
        <v/>
      </c>
      <c r="D719" s="2" t="str">
        <f t="shared" si="354"/>
        <v/>
      </c>
      <c r="E719" s="2" t="str">
        <f t="shared" si="355"/>
        <v/>
      </c>
      <c r="F719" s="2" t="str">
        <f t="shared" si="356"/>
        <v/>
      </c>
      <c r="G719" s="2" t="str">
        <f t="shared" si="357"/>
        <v/>
      </c>
      <c r="H719" s="2" t="str">
        <f t="shared" si="372"/>
        <v/>
      </c>
      <c r="I719" s="2" t="str">
        <f t="shared" si="373"/>
        <v/>
      </c>
      <c r="J719" s="2" t="str">
        <f t="shared" si="374"/>
        <v/>
      </c>
      <c r="K719" s="2" t="str">
        <f t="shared" si="358"/>
        <v/>
      </c>
      <c r="L719" s="2" t="str">
        <f t="shared" si="359"/>
        <v/>
      </c>
      <c r="M719" s="2" t="str">
        <f t="shared" si="360"/>
        <v/>
      </c>
      <c r="N719" s="2" t="str">
        <f t="shared" si="375"/>
        <v/>
      </c>
      <c r="O719" s="2" t="str">
        <f t="shared" si="376"/>
        <v/>
      </c>
      <c r="P719" s="2" t="str">
        <f t="shared" si="377"/>
        <v/>
      </c>
      <c r="Q719" s="2" t="str">
        <f t="shared" si="361"/>
        <v/>
      </c>
      <c r="R719" s="2" t="str">
        <f t="shared" si="362"/>
        <v/>
      </c>
      <c r="S719" s="2" t="str">
        <f t="shared" si="363"/>
        <v/>
      </c>
      <c r="T719" s="2" t="str">
        <f t="shared" si="378"/>
        <v/>
      </c>
      <c r="U719" s="2" t="str">
        <f t="shared" si="379"/>
        <v/>
      </c>
      <c r="V719" s="2" t="str">
        <f t="shared" si="380"/>
        <v/>
      </c>
      <c r="W719" s="2" t="str">
        <f t="shared" si="364"/>
        <v/>
      </c>
      <c r="X719" s="2" t="str">
        <f t="shared" si="365"/>
        <v/>
      </c>
      <c r="Y719" s="2" t="str">
        <f t="shared" si="366"/>
        <v/>
      </c>
      <c r="Z719" s="2" t="str">
        <f t="shared" si="381"/>
        <v/>
      </c>
      <c r="AA719" s="2" t="str">
        <f t="shared" si="382"/>
        <v/>
      </c>
      <c r="AB719" s="2" t="str">
        <f t="shared" si="383"/>
        <v/>
      </c>
      <c r="AC719" s="2" t="str">
        <f t="shared" si="367"/>
        <v/>
      </c>
      <c r="AD719" s="2" t="str">
        <f t="shared" si="368"/>
        <v/>
      </c>
      <c r="AE719" s="2" t="str">
        <f t="shared" si="369"/>
        <v/>
      </c>
      <c r="AF719" s="2" t="str">
        <f t="shared" si="370"/>
        <v/>
      </c>
    </row>
    <row r="720" spans="1:32" x14ac:dyDescent="0.2">
      <c r="A720" s="2" t="str">
        <f t="shared" si="371"/>
        <v/>
      </c>
      <c r="B720" s="2" t="str">
        <f t="shared" si="352"/>
        <v/>
      </c>
      <c r="C720" s="2" t="str">
        <f t="shared" si="353"/>
        <v/>
      </c>
      <c r="D720" s="2" t="str">
        <f t="shared" si="354"/>
        <v/>
      </c>
      <c r="E720" s="2" t="str">
        <f t="shared" si="355"/>
        <v/>
      </c>
      <c r="F720" s="2" t="str">
        <f t="shared" si="356"/>
        <v/>
      </c>
      <c r="G720" s="2" t="str">
        <f t="shared" si="357"/>
        <v/>
      </c>
      <c r="H720" s="2" t="str">
        <f t="shared" si="372"/>
        <v/>
      </c>
      <c r="I720" s="2" t="str">
        <f t="shared" si="373"/>
        <v/>
      </c>
      <c r="J720" s="2" t="str">
        <f t="shared" si="374"/>
        <v/>
      </c>
      <c r="K720" s="2" t="str">
        <f t="shared" si="358"/>
        <v/>
      </c>
      <c r="L720" s="2" t="str">
        <f t="shared" si="359"/>
        <v/>
      </c>
      <c r="M720" s="2" t="str">
        <f t="shared" si="360"/>
        <v/>
      </c>
      <c r="N720" s="2" t="str">
        <f t="shared" si="375"/>
        <v/>
      </c>
      <c r="O720" s="2" t="str">
        <f t="shared" si="376"/>
        <v/>
      </c>
      <c r="P720" s="2" t="str">
        <f t="shared" si="377"/>
        <v/>
      </c>
      <c r="Q720" s="2" t="str">
        <f t="shared" si="361"/>
        <v/>
      </c>
      <c r="R720" s="2" t="str">
        <f t="shared" si="362"/>
        <v/>
      </c>
      <c r="S720" s="2" t="str">
        <f t="shared" si="363"/>
        <v/>
      </c>
      <c r="T720" s="2" t="str">
        <f t="shared" si="378"/>
        <v/>
      </c>
      <c r="U720" s="2" t="str">
        <f t="shared" si="379"/>
        <v/>
      </c>
      <c r="V720" s="2" t="str">
        <f t="shared" si="380"/>
        <v/>
      </c>
      <c r="W720" s="2" t="str">
        <f t="shared" si="364"/>
        <v/>
      </c>
      <c r="X720" s="2" t="str">
        <f t="shared" si="365"/>
        <v/>
      </c>
      <c r="Y720" s="2" t="str">
        <f t="shared" si="366"/>
        <v/>
      </c>
      <c r="Z720" s="2" t="str">
        <f t="shared" si="381"/>
        <v/>
      </c>
      <c r="AA720" s="2" t="str">
        <f t="shared" si="382"/>
        <v/>
      </c>
      <c r="AB720" s="2" t="str">
        <f t="shared" si="383"/>
        <v/>
      </c>
      <c r="AC720" s="2" t="str">
        <f t="shared" si="367"/>
        <v/>
      </c>
      <c r="AD720" s="2" t="str">
        <f t="shared" si="368"/>
        <v/>
      </c>
      <c r="AE720" s="2" t="str">
        <f t="shared" si="369"/>
        <v/>
      </c>
      <c r="AF720" s="2" t="str">
        <f t="shared" si="370"/>
        <v/>
      </c>
    </row>
    <row r="721" spans="1:32" x14ac:dyDescent="0.2">
      <c r="A721" s="2" t="str">
        <f t="shared" si="371"/>
        <v/>
      </c>
      <c r="B721" s="2" t="str">
        <f t="shared" si="352"/>
        <v/>
      </c>
      <c r="C721" s="2" t="str">
        <f t="shared" si="353"/>
        <v/>
      </c>
      <c r="D721" s="2" t="str">
        <f t="shared" si="354"/>
        <v/>
      </c>
      <c r="E721" s="2" t="str">
        <f t="shared" si="355"/>
        <v/>
      </c>
      <c r="F721" s="2" t="str">
        <f t="shared" si="356"/>
        <v/>
      </c>
      <c r="G721" s="2" t="str">
        <f t="shared" si="357"/>
        <v/>
      </c>
      <c r="H721" s="2" t="str">
        <f t="shared" si="372"/>
        <v/>
      </c>
      <c r="I721" s="2" t="str">
        <f t="shared" si="373"/>
        <v/>
      </c>
      <c r="J721" s="2" t="str">
        <f t="shared" si="374"/>
        <v/>
      </c>
      <c r="K721" s="2" t="str">
        <f t="shared" si="358"/>
        <v/>
      </c>
      <c r="L721" s="2" t="str">
        <f t="shared" si="359"/>
        <v/>
      </c>
      <c r="M721" s="2" t="str">
        <f t="shared" si="360"/>
        <v/>
      </c>
      <c r="N721" s="2" t="str">
        <f t="shared" si="375"/>
        <v/>
      </c>
      <c r="O721" s="2" t="str">
        <f t="shared" si="376"/>
        <v/>
      </c>
      <c r="P721" s="2" t="str">
        <f t="shared" si="377"/>
        <v/>
      </c>
      <c r="Q721" s="2" t="str">
        <f t="shared" si="361"/>
        <v/>
      </c>
      <c r="R721" s="2" t="str">
        <f t="shared" si="362"/>
        <v/>
      </c>
      <c r="S721" s="2" t="str">
        <f t="shared" si="363"/>
        <v/>
      </c>
      <c r="T721" s="2" t="str">
        <f t="shared" si="378"/>
        <v/>
      </c>
      <c r="U721" s="2" t="str">
        <f t="shared" si="379"/>
        <v/>
      </c>
      <c r="V721" s="2" t="str">
        <f t="shared" si="380"/>
        <v/>
      </c>
      <c r="W721" s="2" t="str">
        <f t="shared" si="364"/>
        <v/>
      </c>
      <c r="X721" s="2" t="str">
        <f t="shared" si="365"/>
        <v/>
      </c>
      <c r="Y721" s="2" t="str">
        <f t="shared" si="366"/>
        <v/>
      </c>
      <c r="Z721" s="2" t="str">
        <f t="shared" si="381"/>
        <v/>
      </c>
      <c r="AA721" s="2" t="str">
        <f t="shared" si="382"/>
        <v/>
      </c>
      <c r="AB721" s="2" t="str">
        <f t="shared" si="383"/>
        <v/>
      </c>
      <c r="AC721" s="2" t="str">
        <f t="shared" si="367"/>
        <v/>
      </c>
      <c r="AD721" s="2" t="str">
        <f t="shared" si="368"/>
        <v/>
      </c>
      <c r="AE721" s="2" t="str">
        <f t="shared" si="369"/>
        <v/>
      </c>
      <c r="AF721" s="2" t="str">
        <f t="shared" si="370"/>
        <v/>
      </c>
    </row>
    <row r="722" spans="1:32" x14ac:dyDescent="0.2">
      <c r="A722" s="2" t="str">
        <f t="shared" si="371"/>
        <v/>
      </c>
      <c r="B722" s="2" t="str">
        <f t="shared" si="352"/>
        <v/>
      </c>
      <c r="C722" s="2" t="str">
        <f t="shared" si="353"/>
        <v/>
      </c>
      <c r="D722" s="2" t="str">
        <f t="shared" si="354"/>
        <v/>
      </c>
      <c r="E722" s="2" t="str">
        <f t="shared" si="355"/>
        <v/>
      </c>
      <c r="F722" s="2" t="str">
        <f t="shared" si="356"/>
        <v/>
      </c>
      <c r="G722" s="2" t="str">
        <f t="shared" si="357"/>
        <v/>
      </c>
      <c r="H722" s="2" t="str">
        <f t="shared" si="372"/>
        <v/>
      </c>
      <c r="I722" s="2" t="str">
        <f t="shared" si="373"/>
        <v/>
      </c>
      <c r="J722" s="2" t="str">
        <f t="shared" si="374"/>
        <v/>
      </c>
      <c r="K722" s="2" t="str">
        <f t="shared" si="358"/>
        <v/>
      </c>
      <c r="L722" s="2" t="str">
        <f t="shared" si="359"/>
        <v/>
      </c>
      <c r="M722" s="2" t="str">
        <f t="shared" si="360"/>
        <v/>
      </c>
      <c r="N722" s="2" t="str">
        <f t="shared" si="375"/>
        <v/>
      </c>
      <c r="O722" s="2" t="str">
        <f t="shared" si="376"/>
        <v/>
      </c>
      <c r="P722" s="2" t="str">
        <f t="shared" si="377"/>
        <v/>
      </c>
      <c r="Q722" s="2" t="str">
        <f t="shared" si="361"/>
        <v/>
      </c>
      <c r="R722" s="2" t="str">
        <f t="shared" si="362"/>
        <v/>
      </c>
      <c r="S722" s="2" t="str">
        <f t="shared" si="363"/>
        <v/>
      </c>
      <c r="T722" s="2" t="str">
        <f t="shared" si="378"/>
        <v/>
      </c>
      <c r="U722" s="2" t="str">
        <f t="shared" si="379"/>
        <v/>
      </c>
      <c r="V722" s="2" t="str">
        <f t="shared" si="380"/>
        <v/>
      </c>
      <c r="W722" s="2" t="str">
        <f t="shared" si="364"/>
        <v/>
      </c>
      <c r="X722" s="2" t="str">
        <f t="shared" si="365"/>
        <v/>
      </c>
      <c r="Y722" s="2" t="str">
        <f t="shared" si="366"/>
        <v/>
      </c>
      <c r="Z722" s="2" t="str">
        <f t="shared" si="381"/>
        <v/>
      </c>
      <c r="AA722" s="2" t="str">
        <f t="shared" si="382"/>
        <v/>
      </c>
      <c r="AB722" s="2" t="str">
        <f t="shared" si="383"/>
        <v/>
      </c>
      <c r="AC722" s="2" t="str">
        <f t="shared" si="367"/>
        <v/>
      </c>
      <c r="AD722" s="2" t="str">
        <f t="shared" si="368"/>
        <v/>
      </c>
      <c r="AE722" s="2" t="str">
        <f t="shared" si="369"/>
        <v/>
      </c>
      <c r="AF722" s="2" t="str">
        <f t="shared" si="370"/>
        <v/>
      </c>
    </row>
    <row r="723" spans="1:32" x14ac:dyDescent="0.2">
      <c r="A723" s="2" t="str">
        <f t="shared" si="371"/>
        <v/>
      </c>
      <c r="B723" s="2" t="str">
        <f t="shared" si="352"/>
        <v/>
      </c>
      <c r="C723" s="2" t="str">
        <f t="shared" si="353"/>
        <v/>
      </c>
      <c r="D723" s="2" t="str">
        <f t="shared" si="354"/>
        <v/>
      </c>
      <c r="E723" s="2" t="str">
        <f t="shared" si="355"/>
        <v/>
      </c>
      <c r="F723" s="2" t="str">
        <f t="shared" si="356"/>
        <v/>
      </c>
      <c r="G723" s="2" t="str">
        <f t="shared" si="357"/>
        <v/>
      </c>
      <c r="H723" s="2" t="str">
        <f t="shared" si="372"/>
        <v/>
      </c>
      <c r="I723" s="2" t="str">
        <f t="shared" si="373"/>
        <v/>
      </c>
      <c r="J723" s="2" t="str">
        <f t="shared" si="374"/>
        <v/>
      </c>
      <c r="K723" s="2" t="str">
        <f t="shared" si="358"/>
        <v/>
      </c>
      <c r="L723" s="2" t="str">
        <f t="shared" si="359"/>
        <v/>
      </c>
      <c r="M723" s="2" t="str">
        <f t="shared" si="360"/>
        <v/>
      </c>
      <c r="N723" s="2" t="str">
        <f t="shared" si="375"/>
        <v/>
      </c>
      <c r="O723" s="2" t="str">
        <f t="shared" si="376"/>
        <v/>
      </c>
      <c r="P723" s="2" t="str">
        <f t="shared" si="377"/>
        <v/>
      </c>
      <c r="Q723" s="2" t="str">
        <f t="shared" si="361"/>
        <v/>
      </c>
      <c r="R723" s="2" t="str">
        <f t="shared" si="362"/>
        <v/>
      </c>
      <c r="S723" s="2" t="str">
        <f t="shared" si="363"/>
        <v/>
      </c>
      <c r="T723" s="2" t="str">
        <f t="shared" si="378"/>
        <v/>
      </c>
      <c r="U723" s="2" t="str">
        <f t="shared" si="379"/>
        <v/>
      </c>
      <c r="V723" s="2" t="str">
        <f t="shared" si="380"/>
        <v/>
      </c>
      <c r="W723" s="2" t="str">
        <f t="shared" si="364"/>
        <v/>
      </c>
      <c r="X723" s="2" t="str">
        <f t="shared" si="365"/>
        <v/>
      </c>
      <c r="Y723" s="2" t="str">
        <f t="shared" si="366"/>
        <v/>
      </c>
      <c r="Z723" s="2" t="str">
        <f t="shared" si="381"/>
        <v/>
      </c>
      <c r="AA723" s="2" t="str">
        <f t="shared" si="382"/>
        <v/>
      </c>
      <c r="AB723" s="2" t="str">
        <f t="shared" si="383"/>
        <v/>
      </c>
      <c r="AC723" s="2" t="str">
        <f t="shared" si="367"/>
        <v/>
      </c>
      <c r="AD723" s="2" t="str">
        <f t="shared" si="368"/>
        <v/>
      </c>
      <c r="AE723" s="2" t="str">
        <f t="shared" si="369"/>
        <v/>
      </c>
      <c r="AF723" s="2" t="str">
        <f t="shared" si="370"/>
        <v/>
      </c>
    </row>
    <row r="724" spans="1:32" x14ac:dyDescent="0.2">
      <c r="A724" s="2" t="str">
        <f t="shared" si="371"/>
        <v/>
      </c>
      <c r="B724" s="2" t="str">
        <f t="shared" si="352"/>
        <v/>
      </c>
      <c r="C724" s="2" t="str">
        <f t="shared" si="353"/>
        <v/>
      </c>
      <c r="D724" s="2" t="str">
        <f t="shared" si="354"/>
        <v/>
      </c>
      <c r="E724" s="2" t="str">
        <f t="shared" si="355"/>
        <v/>
      </c>
      <c r="F724" s="2" t="str">
        <f t="shared" si="356"/>
        <v/>
      </c>
      <c r="G724" s="2" t="str">
        <f t="shared" si="357"/>
        <v/>
      </c>
      <c r="H724" s="2" t="str">
        <f t="shared" si="372"/>
        <v/>
      </c>
      <c r="I724" s="2" t="str">
        <f t="shared" si="373"/>
        <v/>
      </c>
      <c r="J724" s="2" t="str">
        <f t="shared" si="374"/>
        <v/>
      </c>
      <c r="K724" s="2" t="str">
        <f t="shared" si="358"/>
        <v/>
      </c>
      <c r="L724" s="2" t="str">
        <f t="shared" si="359"/>
        <v/>
      </c>
      <c r="M724" s="2" t="str">
        <f t="shared" si="360"/>
        <v/>
      </c>
      <c r="N724" s="2" t="str">
        <f t="shared" si="375"/>
        <v/>
      </c>
      <c r="O724" s="2" t="str">
        <f t="shared" si="376"/>
        <v/>
      </c>
      <c r="P724" s="2" t="str">
        <f t="shared" si="377"/>
        <v/>
      </c>
      <c r="Q724" s="2" t="str">
        <f t="shared" si="361"/>
        <v/>
      </c>
      <c r="R724" s="2" t="str">
        <f t="shared" si="362"/>
        <v/>
      </c>
      <c r="S724" s="2" t="str">
        <f t="shared" si="363"/>
        <v/>
      </c>
      <c r="T724" s="2" t="str">
        <f t="shared" si="378"/>
        <v/>
      </c>
      <c r="U724" s="2" t="str">
        <f t="shared" si="379"/>
        <v/>
      </c>
      <c r="V724" s="2" t="str">
        <f t="shared" si="380"/>
        <v/>
      </c>
      <c r="W724" s="2" t="str">
        <f t="shared" si="364"/>
        <v/>
      </c>
      <c r="X724" s="2" t="str">
        <f t="shared" si="365"/>
        <v/>
      </c>
      <c r="Y724" s="2" t="str">
        <f t="shared" si="366"/>
        <v/>
      </c>
      <c r="Z724" s="2" t="str">
        <f t="shared" si="381"/>
        <v/>
      </c>
      <c r="AA724" s="2" t="str">
        <f t="shared" si="382"/>
        <v/>
      </c>
      <c r="AB724" s="2" t="str">
        <f t="shared" si="383"/>
        <v/>
      </c>
      <c r="AC724" s="2" t="str">
        <f t="shared" si="367"/>
        <v/>
      </c>
      <c r="AD724" s="2" t="str">
        <f t="shared" si="368"/>
        <v/>
      </c>
      <c r="AE724" s="2" t="str">
        <f t="shared" si="369"/>
        <v/>
      </c>
      <c r="AF724" s="2" t="str">
        <f t="shared" si="370"/>
        <v/>
      </c>
    </row>
    <row r="725" spans="1:32" x14ac:dyDescent="0.2">
      <c r="A725" s="2" t="str">
        <f t="shared" si="371"/>
        <v/>
      </c>
      <c r="B725" s="2" t="str">
        <f t="shared" si="352"/>
        <v/>
      </c>
      <c r="C725" s="2" t="str">
        <f t="shared" si="353"/>
        <v/>
      </c>
      <c r="D725" s="2" t="str">
        <f t="shared" si="354"/>
        <v/>
      </c>
      <c r="E725" s="2" t="str">
        <f t="shared" si="355"/>
        <v/>
      </c>
      <c r="F725" s="2" t="str">
        <f t="shared" si="356"/>
        <v/>
      </c>
      <c r="G725" s="2" t="str">
        <f t="shared" si="357"/>
        <v/>
      </c>
      <c r="H725" s="2" t="str">
        <f t="shared" si="372"/>
        <v/>
      </c>
      <c r="I725" s="2" t="str">
        <f t="shared" si="373"/>
        <v/>
      </c>
      <c r="J725" s="2" t="str">
        <f t="shared" si="374"/>
        <v/>
      </c>
      <c r="K725" s="2" t="str">
        <f t="shared" si="358"/>
        <v/>
      </c>
      <c r="L725" s="2" t="str">
        <f t="shared" si="359"/>
        <v/>
      </c>
      <c r="M725" s="2" t="str">
        <f t="shared" si="360"/>
        <v/>
      </c>
      <c r="N725" s="2" t="str">
        <f t="shared" si="375"/>
        <v/>
      </c>
      <c r="O725" s="2" t="str">
        <f t="shared" si="376"/>
        <v/>
      </c>
      <c r="P725" s="2" t="str">
        <f t="shared" si="377"/>
        <v/>
      </c>
      <c r="Q725" s="2" t="str">
        <f t="shared" si="361"/>
        <v/>
      </c>
      <c r="R725" s="2" t="str">
        <f t="shared" si="362"/>
        <v/>
      </c>
      <c r="S725" s="2" t="str">
        <f t="shared" si="363"/>
        <v/>
      </c>
      <c r="T725" s="2" t="str">
        <f t="shared" si="378"/>
        <v/>
      </c>
      <c r="U725" s="2" t="str">
        <f t="shared" si="379"/>
        <v/>
      </c>
      <c r="V725" s="2" t="str">
        <f t="shared" si="380"/>
        <v/>
      </c>
      <c r="W725" s="2" t="str">
        <f t="shared" si="364"/>
        <v/>
      </c>
      <c r="X725" s="2" t="str">
        <f t="shared" si="365"/>
        <v/>
      </c>
      <c r="Y725" s="2" t="str">
        <f t="shared" si="366"/>
        <v/>
      </c>
      <c r="Z725" s="2" t="str">
        <f t="shared" si="381"/>
        <v/>
      </c>
      <c r="AA725" s="2" t="str">
        <f t="shared" si="382"/>
        <v/>
      </c>
      <c r="AB725" s="2" t="str">
        <f t="shared" si="383"/>
        <v/>
      </c>
      <c r="AC725" s="2" t="str">
        <f t="shared" si="367"/>
        <v/>
      </c>
      <c r="AD725" s="2" t="str">
        <f t="shared" si="368"/>
        <v/>
      </c>
      <c r="AE725" s="2" t="str">
        <f t="shared" si="369"/>
        <v/>
      </c>
      <c r="AF725" s="2" t="str">
        <f t="shared" si="370"/>
        <v/>
      </c>
    </row>
    <row r="726" spans="1:32" x14ac:dyDescent="0.2">
      <c r="A726" s="2" t="str">
        <f t="shared" si="371"/>
        <v/>
      </c>
      <c r="B726" s="2" t="str">
        <f t="shared" si="352"/>
        <v/>
      </c>
      <c r="C726" s="2" t="str">
        <f t="shared" si="353"/>
        <v/>
      </c>
      <c r="D726" s="2" t="str">
        <f t="shared" si="354"/>
        <v/>
      </c>
      <c r="E726" s="2" t="str">
        <f t="shared" si="355"/>
        <v/>
      </c>
      <c r="F726" s="2" t="str">
        <f t="shared" si="356"/>
        <v/>
      </c>
      <c r="G726" s="2" t="str">
        <f t="shared" si="357"/>
        <v/>
      </c>
      <c r="H726" s="2" t="str">
        <f t="shared" si="372"/>
        <v/>
      </c>
      <c r="I726" s="2" t="str">
        <f t="shared" si="373"/>
        <v/>
      </c>
      <c r="J726" s="2" t="str">
        <f t="shared" si="374"/>
        <v/>
      </c>
      <c r="K726" s="2" t="str">
        <f t="shared" si="358"/>
        <v/>
      </c>
      <c r="L726" s="2" t="str">
        <f t="shared" si="359"/>
        <v/>
      </c>
      <c r="M726" s="2" t="str">
        <f t="shared" si="360"/>
        <v/>
      </c>
      <c r="N726" s="2" t="str">
        <f t="shared" si="375"/>
        <v/>
      </c>
      <c r="O726" s="2" t="str">
        <f t="shared" si="376"/>
        <v/>
      </c>
      <c r="P726" s="2" t="str">
        <f t="shared" si="377"/>
        <v/>
      </c>
      <c r="Q726" s="2" t="str">
        <f t="shared" si="361"/>
        <v/>
      </c>
      <c r="R726" s="2" t="str">
        <f t="shared" si="362"/>
        <v/>
      </c>
      <c r="S726" s="2" t="str">
        <f t="shared" si="363"/>
        <v/>
      </c>
      <c r="T726" s="2" t="str">
        <f t="shared" si="378"/>
        <v/>
      </c>
      <c r="U726" s="2" t="str">
        <f t="shared" si="379"/>
        <v/>
      </c>
      <c r="V726" s="2" t="str">
        <f t="shared" si="380"/>
        <v/>
      </c>
      <c r="W726" s="2" t="str">
        <f t="shared" si="364"/>
        <v/>
      </c>
      <c r="X726" s="2" t="str">
        <f t="shared" si="365"/>
        <v/>
      </c>
      <c r="Y726" s="2" t="str">
        <f t="shared" si="366"/>
        <v/>
      </c>
      <c r="Z726" s="2" t="str">
        <f t="shared" si="381"/>
        <v/>
      </c>
      <c r="AA726" s="2" t="str">
        <f t="shared" si="382"/>
        <v/>
      </c>
      <c r="AB726" s="2" t="str">
        <f t="shared" si="383"/>
        <v/>
      </c>
      <c r="AC726" s="2" t="str">
        <f t="shared" si="367"/>
        <v/>
      </c>
      <c r="AD726" s="2" t="str">
        <f t="shared" si="368"/>
        <v/>
      </c>
      <c r="AE726" s="2" t="str">
        <f t="shared" si="369"/>
        <v/>
      </c>
      <c r="AF726" s="2" t="str">
        <f t="shared" si="370"/>
        <v/>
      </c>
    </row>
    <row r="727" spans="1:32" x14ac:dyDescent="0.2">
      <c r="A727" s="2" t="str">
        <f t="shared" si="371"/>
        <v/>
      </c>
      <c r="B727" s="2" t="str">
        <f t="shared" si="352"/>
        <v/>
      </c>
      <c r="C727" s="2" t="str">
        <f t="shared" si="353"/>
        <v/>
      </c>
      <c r="D727" s="2" t="str">
        <f t="shared" si="354"/>
        <v/>
      </c>
      <c r="E727" s="2" t="str">
        <f t="shared" si="355"/>
        <v/>
      </c>
      <c r="F727" s="2" t="str">
        <f t="shared" si="356"/>
        <v/>
      </c>
      <c r="G727" s="2" t="str">
        <f t="shared" si="357"/>
        <v/>
      </c>
      <c r="H727" s="2" t="str">
        <f t="shared" si="372"/>
        <v/>
      </c>
      <c r="I727" s="2" t="str">
        <f t="shared" si="373"/>
        <v/>
      </c>
      <c r="J727" s="2" t="str">
        <f t="shared" si="374"/>
        <v/>
      </c>
      <c r="K727" s="2" t="str">
        <f t="shared" si="358"/>
        <v/>
      </c>
      <c r="L727" s="2" t="str">
        <f t="shared" si="359"/>
        <v/>
      </c>
      <c r="M727" s="2" t="str">
        <f t="shared" si="360"/>
        <v/>
      </c>
      <c r="N727" s="2" t="str">
        <f t="shared" si="375"/>
        <v/>
      </c>
      <c r="O727" s="2" t="str">
        <f t="shared" si="376"/>
        <v/>
      </c>
      <c r="P727" s="2" t="str">
        <f t="shared" si="377"/>
        <v/>
      </c>
      <c r="Q727" s="2" t="str">
        <f t="shared" si="361"/>
        <v/>
      </c>
      <c r="R727" s="2" t="str">
        <f t="shared" si="362"/>
        <v/>
      </c>
      <c r="S727" s="2" t="str">
        <f t="shared" si="363"/>
        <v/>
      </c>
      <c r="T727" s="2" t="str">
        <f t="shared" si="378"/>
        <v/>
      </c>
      <c r="U727" s="2" t="str">
        <f t="shared" si="379"/>
        <v/>
      </c>
      <c r="V727" s="2" t="str">
        <f t="shared" si="380"/>
        <v/>
      </c>
      <c r="W727" s="2" t="str">
        <f t="shared" si="364"/>
        <v/>
      </c>
      <c r="X727" s="2" t="str">
        <f t="shared" si="365"/>
        <v/>
      </c>
      <c r="Y727" s="2" t="str">
        <f t="shared" si="366"/>
        <v/>
      </c>
      <c r="Z727" s="2" t="str">
        <f t="shared" si="381"/>
        <v/>
      </c>
      <c r="AA727" s="2" t="str">
        <f t="shared" si="382"/>
        <v/>
      </c>
      <c r="AB727" s="2" t="str">
        <f t="shared" si="383"/>
        <v/>
      </c>
      <c r="AC727" s="2" t="str">
        <f t="shared" si="367"/>
        <v/>
      </c>
      <c r="AD727" s="2" t="str">
        <f t="shared" si="368"/>
        <v/>
      </c>
      <c r="AE727" s="2" t="str">
        <f t="shared" si="369"/>
        <v/>
      </c>
      <c r="AF727" s="2" t="str">
        <f t="shared" si="370"/>
        <v/>
      </c>
    </row>
    <row r="728" spans="1:32" x14ac:dyDescent="0.2">
      <c r="A728" s="2" t="str">
        <f t="shared" si="371"/>
        <v/>
      </c>
      <c r="B728" s="2" t="str">
        <f t="shared" si="352"/>
        <v/>
      </c>
      <c r="C728" s="2" t="str">
        <f t="shared" si="353"/>
        <v/>
      </c>
      <c r="D728" s="2" t="str">
        <f t="shared" si="354"/>
        <v/>
      </c>
      <c r="E728" s="2" t="str">
        <f t="shared" si="355"/>
        <v/>
      </c>
      <c r="F728" s="2" t="str">
        <f t="shared" si="356"/>
        <v/>
      </c>
      <c r="G728" s="2" t="str">
        <f t="shared" si="357"/>
        <v/>
      </c>
      <c r="H728" s="2" t="str">
        <f t="shared" si="372"/>
        <v/>
      </c>
      <c r="I728" s="2" t="str">
        <f t="shared" si="373"/>
        <v/>
      </c>
      <c r="J728" s="2" t="str">
        <f t="shared" si="374"/>
        <v/>
      </c>
      <c r="K728" s="2" t="str">
        <f t="shared" si="358"/>
        <v/>
      </c>
      <c r="L728" s="2" t="str">
        <f t="shared" si="359"/>
        <v/>
      </c>
      <c r="M728" s="2" t="str">
        <f t="shared" si="360"/>
        <v/>
      </c>
      <c r="N728" s="2" t="str">
        <f t="shared" si="375"/>
        <v/>
      </c>
      <c r="O728" s="2" t="str">
        <f t="shared" si="376"/>
        <v/>
      </c>
      <c r="P728" s="2" t="str">
        <f t="shared" si="377"/>
        <v/>
      </c>
      <c r="Q728" s="2" t="str">
        <f t="shared" si="361"/>
        <v/>
      </c>
      <c r="R728" s="2" t="str">
        <f t="shared" si="362"/>
        <v/>
      </c>
      <c r="S728" s="2" t="str">
        <f t="shared" si="363"/>
        <v/>
      </c>
      <c r="T728" s="2" t="str">
        <f t="shared" si="378"/>
        <v/>
      </c>
      <c r="U728" s="2" t="str">
        <f t="shared" si="379"/>
        <v/>
      </c>
      <c r="V728" s="2" t="str">
        <f t="shared" si="380"/>
        <v/>
      </c>
      <c r="W728" s="2" t="str">
        <f t="shared" si="364"/>
        <v/>
      </c>
      <c r="X728" s="2" t="str">
        <f t="shared" si="365"/>
        <v/>
      </c>
      <c r="Y728" s="2" t="str">
        <f t="shared" si="366"/>
        <v/>
      </c>
      <c r="Z728" s="2" t="str">
        <f t="shared" si="381"/>
        <v/>
      </c>
      <c r="AA728" s="2" t="str">
        <f t="shared" si="382"/>
        <v/>
      </c>
      <c r="AB728" s="2" t="str">
        <f t="shared" si="383"/>
        <v/>
      </c>
      <c r="AC728" s="2" t="str">
        <f t="shared" si="367"/>
        <v/>
      </c>
      <c r="AD728" s="2" t="str">
        <f t="shared" si="368"/>
        <v/>
      </c>
      <c r="AE728" s="2" t="str">
        <f t="shared" si="369"/>
        <v/>
      </c>
      <c r="AF728" s="2" t="str">
        <f t="shared" si="370"/>
        <v/>
      </c>
    </row>
    <row r="729" spans="1:32" x14ac:dyDescent="0.2">
      <c r="A729" s="2" t="str">
        <f t="shared" si="371"/>
        <v/>
      </c>
      <c r="B729" s="2" t="str">
        <f t="shared" si="352"/>
        <v/>
      </c>
      <c r="C729" s="2" t="str">
        <f t="shared" si="353"/>
        <v/>
      </c>
      <c r="D729" s="2" t="str">
        <f t="shared" si="354"/>
        <v/>
      </c>
      <c r="E729" s="2" t="str">
        <f t="shared" si="355"/>
        <v/>
      </c>
      <c r="F729" s="2" t="str">
        <f t="shared" si="356"/>
        <v/>
      </c>
      <c r="G729" s="2" t="str">
        <f t="shared" si="357"/>
        <v/>
      </c>
      <c r="H729" s="2" t="str">
        <f t="shared" si="372"/>
        <v/>
      </c>
      <c r="I729" s="2" t="str">
        <f t="shared" si="373"/>
        <v/>
      </c>
      <c r="J729" s="2" t="str">
        <f t="shared" si="374"/>
        <v/>
      </c>
      <c r="K729" s="2" t="str">
        <f t="shared" si="358"/>
        <v/>
      </c>
      <c r="L729" s="2" t="str">
        <f t="shared" si="359"/>
        <v/>
      </c>
      <c r="M729" s="2" t="str">
        <f t="shared" si="360"/>
        <v/>
      </c>
      <c r="N729" s="2" t="str">
        <f t="shared" si="375"/>
        <v/>
      </c>
      <c r="O729" s="2" t="str">
        <f t="shared" si="376"/>
        <v/>
      </c>
      <c r="P729" s="2" t="str">
        <f t="shared" si="377"/>
        <v/>
      </c>
      <c r="Q729" s="2" t="str">
        <f t="shared" si="361"/>
        <v/>
      </c>
      <c r="R729" s="2" t="str">
        <f t="shared" si="362"/>
        <v/>
      </c>
      <c r="S729" s="2" t="str">
        <f t="shared" si="363"/>
        <v/>
      </c>
      <c r="T729" s="2" t="str">
        <f t="shared" si="378"/>
        <v/>
      </c>
      <c r="U729" s="2" t="str">
        <f t="shared" si="379"/>
        <v/>
      </c>
      <c r="V729" s="2" t="str">
        <f t="shared" si="380"/>
        <v/>
      </c>
      <c r="W729" s="2" t="str">
        <f t="shared" si="364"/>
        <v/>
      </c>
      <c r="X729" s="2" t="str">
        <f t="shared" si="365"/>
        <v/>
      </c>
      <c r="Y729" s="2" t="str">
        <f t="shared" si="366"/>
        <v/>
      </c>
      <c r="Z729" s="2" t="str">
        <f t="shared" si="381"/>
        <v/>
      </c>
      <c r="AA729" s="2" t="str">
        <f t="shared" si="382"/>
        <v/>
      </c>
      <c r="AB729" s="2" t="str">
        <f t="shared" si="383"/>
        <v/>
      </c>
      <c r="AC729" s="2" t="str">
        <f t="shared" si="367"/>
        <v/>
      </c>
      <c r="AD729" s="2" t="str">
        <f t="shared" si="368"/>
        <v/>
      </c>
      <c r="AE729" s="2" t="str">
        <f t="shared" si="369"/>
        <v/>
      </c>
      <c r="AF729" s="2" t="str">
        <f t="shared" si="370"/>
        <v/>
      </c>
    </row>
    <row r="730" spans="1:32" x14ac:dyDescent="0.2">
      <c r="A730" s="2" t="str">
        <f t="shared" si="371"/>
        <v/>
      </c>
      <c r="B730" s="2" t="str">
        <f t="shared" si="352"/>
        <v/>
      </c>
      <c r="C730" s="2" t="str">
        <f t="shared" si="353"/>
        <v/>
      </c>
      <c r="D730" s="2" t="str">
        <f t="shared" si="354"/>
        <v/>
      </c>
      <c r="E730" s="2" t="str">
        <f t="shared" si="355"/>
        <v/>
      </c>
      <c r="F730" s="2" t="str">
        <f t="shared" si="356"/>
        <v/>
      </c>
      <c r="G730" s="2" t="str">
        <f t="shared" si="357"/>
        <v/>
      </c>
      <c r="H730" s="2" t="str">
        <f t="shared" si="372"/>
        <v/>
      </c>
      <c r="I730" s="2" t="str">
        <f t="shared" si="373"/>
        <v/>
      </c>
      <c r="J730" s="2" t="str">
        <f t="shared" si="374"/>
        <v/>
      </c>
      <c r="K730" s="2" t="str">
        <f t="shared" si="358"/>
        <v/>
      </c>
      <c r="L730" s="2" t="str">
        <f t="shared" si="359"/>
        <v/>
      </c>
      <c r="M730" s="2" t="str">
        <f t="shared" si="360"/>
        <v/>
      </c>
      <c r="N730" s="2" t="str">
        <f t="shared" si="375"/>
        <v/>
      </c>
      <c r="O730" s="2" t="str">
        <f t="shared" si="376"/>
        <v/>
      </c>
      <c r="P730" s="2" t="str">
        <f t="shared" si="377"/>
        <v/>
      </c>
      <c r="Q730" s="2" t="str">
        <f t="shared" si="361"/>
        <v/>
      </c>
      <c r="R730" s="2" t="str">
        <f t="shared" si="362"/>
        <v/>
      </c>
      <c r="S730" s="2" t="str">
        <f t="shared" si="363"/>
        <v/>
      </c>
      <c r="T730" s="2" t="str">
        <f t="shared" si="378"/>
        <v/>
      </c>
      <c r="U730" s="2" t="str">
        <f t="shared" si="379"/>
        <v/>
      </c>
      <c r="V730" s="2" t="str">
        <f t="shared" si="380"/>
        <v/>
      </c>
      <c r="W730" s="2" t="str">
        <f t="shared" si="364"/>
        <v/>
      </c>
      <c r="X730" s="2" t="str">
        <f t="shared" si="365"/>
        <v/>
      </c>
      <c r="Y730" s="2" t="str">
        <f t="shared" si="366"/>
        <v/>
      </c>
      <c r="Z730" s="2" t="str">
        <f t="shared" si="381"/>
        <v/>
      </c>
      <c r="AA730" s="2" t="str">
        <f t="shared" si="382"/>
        <v/>
      </c>
      <c r="AB730" s="2" t="str">
        <f t="shared" si="383"/>
        <v/>
      </c>
      <c r="AC730" s="2" t="str">
        <f t="shared" si="367"/>
        <v/>
      </c>
      <c r="AD730" s="2" t="str">
        <f t="shared" si="368"/>
        <v/>
      </c>
      <c r="AE730" s="2" t="str">
        <f t="shared" si="369"/>
        <v/>
      </c>
      <c r="AF730" s="2" t="str">
        <f t="shared" si="370"/>
        <v/>
      </c>
    </row>
    <row r="731" spans="1:32" x14ac:dyDescent="0.2">
      <c r="A731" s="2" t="str">
        <f t="shared" si="371"/>
        <v/>
      </c>
      <c r="B731" s="2" t="str">
        <f t="shared" si="352"/>
        <v/>
      </c>
      <c r="C731" s="2" t="str">
        <f t="shared" si="353"/>
        <v/>
      </c>
      <c r="D731" s="2" t="str">
        <f t="shared" si="354"/>
        <v/>
      </c>
      <c r="E731" s="2" t="str">
        <f t="shared" si="355"/>
        <v/>
      </c>
      <c r="F731" s="2" t="str">
        <f t="shared" si="356"/>
        <v/>
      </c>
      <c r="G731" s="2" t="str">
        <f t="shared" si="357"/>
        <v/>
      </c>
      <c r="H731" s="2" t="str">
        <f t="shared" si="372"/>
        <v/>
      </c>
      <c r="I731" s="2" t="str">
        <f t="shared" si="373"/>
        <v/>
      </c>
      <c r="J731" s="2" t="str">
        <f t="shared" si="374"/>
        <v/>
      </c>
      <c r="K731" s="2" t="str">
        <f t="shared" si="358"/>
        <v/>
      </c>
      <c r="L731" s="2" t="str">
        <f t="shared" si="359"/>
        <v/>
      </c>
      <c r="M731" s="2" t="str">
        <f t="shared" si="360"/>
        <v/>
      </c>
      <c r="N731" s="2" t="str">
        <f t="shared" si="375"/>
        <v/>
      </c>
      <c r="O731" s="2" t="str">
        <f t="shared" si="376"/>
        <v/>
      </c>
      <c r="P731" s="2" t="str">
        <f t="shared" si="377"/>
        <v/>
      </c>
      <c r="Q731" s="2" t="str">
        <f t="shared" si="361"/>
        <v/>
      </c>
      <c r="R731" s="2" t="str">
        <f t="shared" si="362"/>
        <v/>
      </c>
      <c r="S731" s="2" t="str">
        <f t="shared" si="363"/>
        <v/>
      </c>
      <c r="T731" s="2" t="str">
        <f t="shared" si="378"/>
        <v/>
      </c>
      <c r="U731" s="2" t="str">
        <f t="shared" si="379"/>
        <v/>
      </c>
      <c r="V731" s="2" t="str">
        <f t="shared" si="380"/>
        <v/>
      </c>
      <c r="W731" s="2" t="str">
        <f t="shared" si="364"/>
        <v/>
      </c>
      <c r="X731" s="2" t="str">
        <f t="shared" si="365"/>
        <v/>
      </c>
      <c r="Y731" s="2" t="str">
        <f t="shared" si="366"/>
        <v/>
      </c>
      <c r="Z731" s="2" t="str">
        <f t="shared" si="381"/>
        <v/>
      </c>
      <c r="AA731" s="2" t="str">
        <f t="shared" si="382"/>
        <v/>
      </c>
      <c r="AB731" s="2" t="str">
        <f t="shared" si="383"/>
        <v/>
      </c>
      <c r="AC731" s="2" t="str">
        <f t="shared" si="367"/>
        <v/>
      </c>
      <c r="AD731" s="2" t="str">
        <f t="shared" si="368"/>
        <v/>
      </c>
      <c r="AE731" s="2" t="str">
        <f t="shared" si="369"/>
        <v/>
      </c>
      <c r="AF731" s="2" t="str">
        <f t="shared" si="370"/>
        <v/>
      </c>
    </row>
    <row r="732" spans="1:32" x14ac:dyDescent="0.2">
      <c r="A732" s="2" t="str">
        <f t="shared" si="371"/>
        <v/>
      </c>
      <c r="B732" s="2" t="str">
        <f t="shared" si="352"/>
        <v/>
      </c>
      <c r="C732" s="2" t="str">
        <f t="shared" si="353"/>
        <v/>
      </c>
      <c r="D732" s="2" t="str">
        <f t="shared" si="354"/>
        <v/>
      </c>
      <c r="E732" s="2" t="str">
        <f t="shared" si="355"/>
        <v/>
      </c>
      <c r="F732" s="2" t="str">
        <f t="shared" si="356"/>
        <v/>
      </c>
      <c r="G732" s="2" t="str">
        <f t="shared" si="357"/>
        <v/>
      </c>
      <c r="H732" s="2" t="str">
        <f t="shared" si="372"/>
        <v/>
      </c>
      <c r="I732" s="2" t="str">
        <f t="shared" si="373"/>
        <v/>
      </c>
      <c r="J732" s="2" t="str">
        <f t="shared" si="374"/>
        <v/>
      </c>
      <c r="K732" s="2" t="str">
        <f t="shared" si="358"/>
        <v/>
      </c>
      <c r="L732" s="2" t="str">
        <f t="shared" si="359"/>
        <v/>
      </c>
      <c r="M732" s="2" t="str">
        <f t="shared" si="360"/>
        <v/>
      </c>
      <c r="N732" s="2" t="str">
        <f t="shared" si="375"/>
        <v/>
      </c>
      <c r="O732" s="2" t="str">
        <f t="shared" si="376"/>
        <v/>
      </c>
      <c r="P732" s="2" t="str">
        <f t="shared" si="377"/>
        <v/>
      </c>
      <c r="Q732" s="2" t="str">
        <f t="shared" si="361"/>
        <v/>
      </c>
      <c r="R732" s="2" t="str">
        <f t="shared" si="362"/>
        <v/>
      </c>
      <c r="S732" s="2" t="str">
        <f t="shared" si="363"/>
        <v/>
      </c>
      <c r="T732" s="2" t="str">
        <f t="shared" si="378"/>
        <v/>
      </c>
      <c r="U732" s="2" t="str">
        <f t="shared" si="379"/>
        <v/>
      </c>
      <c r="V732" s="2" t="str">
        <f t="shared" si="380"/>
        <v/>
      </c>
      <c r="W732" s="2" t="str">
        <f t="shared" si="364"/>
        <v/>
      </c>
      <c r="X732" s="2" t="str">
        <f t="shared" si="365"/>
        <v/>
      </c>
      <c r="Y732" s="2" t="str">
        <f t="shared" si="366"/>
        <v/>
      </c>
      <c r="Z732" s="2" t="str">
        <f t="shared" si="381"/>
        <v/>
      </c>
      <c r="AA732" s="2" t="str">
        <f t="shared" si="382"/>
        <v/>
      </c>
      <c r="AB732" s="2" t="str">
        <f t="shared" si="383"/>
        <v/>
      </c>
      <c r="AC732" s="2" t="str">
        <f t="shared" si="367"/>
        <v/>
      </c>
      <c r="AD732" s="2" t="str">
        <f t="shared" si="368"/>
        <v/>
      </c>
      <c r="AE732" s="2" t="str">
        <f t="shared" si="369"/>
        <v/>
      </c>
      <c r="AF732" s="2" t="str">
        <f t="shared" si="370"/>
        <v/>
      </c>
    </row>
    <row r="733" spans="1:32" x14ac:dyDescent="0.2">
      <c r="A733" s="2" t="str">
        <f t="shared" si="371"/>
        <v/>
      </c>
      <c r="B733" s="2" t="str">
        <f t="shared" si="352"/>
        <v/>
      </c>
      <c r="C733" s="2" t="str">
        <f t="shared" si="353"/>
        <v/>
      </c>
      <c r="D733" s="2" t="str">
        <f t="shared" si="354"/>
        <v/>
      </c>
      <c r="E733" s="2" t="str">
        <f t="shared" si="355"/>
        <v/>
      </c>
      <c r="F733" s="2" t="str">
        <f t="shared" si="356"/>
        <v/>
      </c>
      <c r="G733" s="2" t="str">
        <f t="shared" si="357"/>
        <v/>
      </c>
      <c r="H733" s="2" t="str">
        <f t="shared" si="372"/>
        <v/>
      </c>
      <c r="I733" s="2" t="str">
        <f t="shared" si="373"/>
        <v/>
      </c>
      <c r="J733" s="2" t="str">
        <f t="shared" si="374"/>
        <v/>
      </c>
      <c r="K733" s="2" t="str">
        <f t="shared" si="358"/>
        <v/>
      </c>
      <c r="L733" s="2" t="str">
        <f t="shared" si="359"/>
        <v/>
      </c>
      <c r="M733" s="2" t="str">
        <f t="shared" si="360"/>
        <v/>
      </c>
      <c r="N733" s="2" t="str">
        <f t="shared" si="375"/>
        <v/>
      </c>
      <c r="O733" s="2" t="str">
        <f t="shared" si="376"/>
        <v/>
      </c>
      <c r="P733" s="2" t="str">
        <f t="shared" si="377"/>
        <v/>
      </c>
      <c r="Q733" s="2" t="str">
        <f t="shared" si="361"/>
        <v/>
      </c>
      <c r="R733" s="2" t="str">
        <f t="shared" si="362"/>
        <v/>
      </c>
      <c r="S733" s="2" t="str">
        <f t="shared" si="363"/>
        <v/>
      </c>
      <c r="T733" s="2" t="str">
        <f t="shared" si="378"/>
        <v/>
      </c>
      <c r="U733" s="2" t="str">
        <f t="shared" si="379"/>
        <v/>
      </c>
      <c r="V733" s="2" t="str">
        <f t="shared" si="380"/>
        <v/>
      </c>
      <c r="W733" s="2" t="str">
        <f t="shared" si="364"/>
        <v/>
      </c>
      <c r="X733" s="2" t="str">
        <f t="shared" si="365"/>
        <v/>
      </c>
      <c r="Y733" s="2" t="str">
        <f t="shared" si="366"/>
        <v/>
      </c>
      <c r="Z733" s="2" t="str">
        <f t="shared" si="381"/>
        <v/>
      </c>
      <c r="AA733" s="2" t="str">
        <f t="shared" si="382"/>
        <v/>
      </c>
      <c r="AB733" s="2" t="str">
        <f t="shared" si="383"/>
        <v/>
      </c>
      <c r="AC733" s="2" t="str">
        <f t="shared" si="367"/>
        <v/>
      </c>
      <c r="AD733" s="2" t="str">
        <f t="shared" si="368"/>
        <v/>
      </c>
      <c r="AE733" s="2" t="str">
        <f t="shared" si="369"/>
        <v/>
      </c>
      <c r="AF733" s="2" t="str">
        <f t="shared" si="370"/>
        <v/>
      </c>
    </row>
    <row r="734" spans="1:32" x14ac:dyDescent="0.2">
      <c r="A734" s="2" t="str">
        <f t="shared" si="371"/>
        <v/>
      </c>
      <c r="B734" s="2" t="str">
        <f t="shared" si="352"/>
        <v/>
      </c>
      <c r="C734" s="2" t="str">
        <f t="shared" si="353"/>
        <v/>
      </c>
      <c r="D734" s="2" t="str">
        <f t="shared" si="354"/>
        <v/>
      </c>
      <c r="E734" s="2" t="str">
        <f t="shared" si="355"/>
        <v/>
      </c>
      <c r="F734" s="2" t="str">
        <f t="shared" si="356"/>
        <v/>
      </c>
      <c r="G734" s="2" t="str">
        <f t="shared" si="357"/>
        <v/>
      </c>
      <c r="H734" s="2" t="str">
        <f t="shared" si="372"/>
        <v/>
      </c>
      <c r="I734" s="2" t="str">
        <f t="shared" si="373"/>
        <v/>
      </c>
      <c r="J734" s="2" t="str">
        <f t="shared" si="374"/>
        <v/>
      </c>
      <c r="K734" s="2" t="str">
        <f t="shared" si="358"/>
        <v/>
      </c>
      <c r="L734" s="2" t="str">
        <f t="shared" si="359"/>
        <v/>
      </c>
      <c r="M734" s="2" t="str">
        <f t="shared" si="360"/>
        <v/>
      </c>
      <c r="N734" s="2" t="str">
        <f t="shared" si="375"/>
        <v/>
      </c>
      <c r="O734" s="2" t="str">
        <f t="shared" si="376"/>
        <v/>
      </c>
      <c r="P734" s="2" t="str">
        <f t="shared" si="377"/>
        <v/>
      </c>
      <c r="Q734" s="2" t="str">
        <f t="shared" si="361"/>
        <v/>
      </c>
      <c r="R734" s="2" t="str">
        <f t="shared" si="362"/>
        <v/>
      </c>
      <c r="S734" s="2" t="str">
        <f t="shared" si="363"/>
        <v/>
      </c>
      <c r="T734" s="2" t="str">
        <f t="shared" si="378"/>
        <v/>
      </c>
      <c r="U734" s="2" t="str">
        <f t="shared" si="379"/>
        <v/>
      </c>
      <c r="V734" s="2" t="str">
        <f t="shared" si="380"/>
        <v/>
      </c>
      <c r="W734" s="2" t="str">
        <f t="shared" si="364"/>
        <v/>
      </c>
      <c r="X734" s="2" t="str">
        <f t="shared" si="365"/>
        <v/>
      </c>
      <c r="Y734" s="2" t="str">
        <f t="shared" si="366"/>
        <v/>
      </c>
      <c r="Z734" s="2" t="str">
        <f t="shared" si="381"/>
        <v/>
      </c>
      <c r="AA734" s="2" t="str">
        <f t="shared" si="382"/>
        <v/>
      </c>
      <c r="AB734" s="2" t="str">
        <f t="shared" si="383"/>
        <v/>
      </c>
      <c r="AC734" s="2" t="str">
        <f t="shared" si="367"/>
        <v/>
      </c>
      <c r="AD734" s="2" t="str">
        <f t="shared" si="368"/>
        <v/>
      </c>
      <c r="AE734" s="2" t="str">
        <f t="shared" si="369"/>
        <v/>
      </c>
      <c r="AF734" s="2" t="str">
        <f t="shared" si="370"/>
        <v/>
      </c>
    </row>
    <row r="735" spans="1:32" x14ac:dyDescent="0.2">
      <c r="A735" s="2" t="str">
        <f t="shared" si="371"/>
        <v/>
      </c>
      <c r="B735" s="2" t="str">
        <f t="shared" si="352"/>
        <v/>
      </c>
      <c r="C735" s="2" t="str">
        <f t="shared" si="353"/>
        <v/>
      </c>
      <c r="D735" s="2" t="str">
        <f t="shared" si="354"/>
        <v/>
      </c>
      <c r="E735" s="2" t="str">
        <f t="shared" si="355"/>
        <v/>
      </c>
      <c r="F735" s="2" t="str">
        <f t="shared" si="356"/>
        <v/>
      </c>
      <c r="G735" s="2" t="str">
        <f t="shared" si="357"/>
        <v/>
      </c>
      <c r="H735" s="2" t="str">
        <f t="shared" si="372"/>
        <v/>
      </c>
      <c r="I735" s="2" t="str">
        <f t="shared" si="373"/>
        <v/>
      </c>
      <c r="J735" s="2" t="str">
        <f t="shared" si="374"/>
        <v/>
      </c>
      <c r="K735" s="2" t="str">
        <f t="shared" si="358"/>
        <v/>
      </c>
      <c r="L735" s="2" t="str">
        <f t="shared" si="359"/>
        <v/>
      </c>
      <c r="M735" s="2" t="str">
        <f t="shared" si="360"/>
        <v/>
      </c>
      <c r="N735" s="2" t="str">
        <f t="shared" si="375"/>
        <v/>
      </c>
      <c r="O735" s="2" t="str">
        <f t="shared" si="376"/>
        <v/>
      </c>
      <c r="P735" s="2" t="str">
        <f t="shared" si="377"/>
        <v/>
      </c>
      <c r="Q735" s="2" t="str">
        <f t="shared" si="361"/>
        <v/>
      </c>
      <c r="R735" s="2" t="str">
        <f t="shared" si="362"/>
        <v/>
      </c>
      <c r="S735" s="2" t="str">
        <f t="shared" si="363"/>
        <v/>
      </c>
      <c r="T735" s="2" t="str">
        <f t="shared" si="378"/>
        <v/>
      </c>
      <c r="U735" s="2" t="str">
        <f t="shared" si="379"/>
        <v/>
      </c>
      <c r="V735" s="2" t="str">
        <f t="shared" si="380"/>
        <v/>
      </c>
      <c r="W735" s="2" t="str">
        <f t="shared" si="364"/>
        <v/>
      </c>
      <c r="X735" s="2" t="str">
        <f t="shared" si="365"/>
        <v/>
      </c>
      <c r="Y735" s="2" t="str">
        <f t="shared" si="366"/>
        <v/>
      </c>
      <c r="Z735" s="2" t="str">
        <f t="shared" si="381"/>
        <v/>
      </c>
      <c r="AA735" s="2" t="str">
        <f t="shared" si="382"/>
        <v/>
      </c>
      <c r="AB735" s="2" t="str">
        <f t="shared" si="383"/>
        <v/>
      </c>
      <c r="AC735" s="2" t="str">
        <f t="shared" si="367"/>
        <v/>
      </c>
      <c r="AD735" s="2" t="str">
        <f t="shared" si="368"/>
        <v/>
      </c>
      <c r="AE735" s="2" t="str">
        <f t="shared" si="369"/>
        <v/>
      </c>
      <c r="AF735" s="2" t="str">
        <f t="shared" si="370"/>
        <v/>
      </c>
    </row>
    <row r="736" spans="1:32" x14ac:dyDescent="0.2">
      <c r="A736" s="2" t="str">
        <f t="shared" si="371"/>
        <v/>
      </c>
      <c r="B736" s="2" t="str">
        <f t="shared" si="352"/>
        <v/>
      </c>
      <c r="C736" s="2" t="str">
        <f t="shared" si="353"/>
        <v/>
      </c>
      <c r="D736" s="2" t="str">
        <f t="shared" si="354"/>
        <v/>
      </c>
      <c r="E736" s="2" t="str">
        <f t="shared" si="355"/>
        <v/>
      </c>
      <c r="F736" s="2" t="str">
        <f t="shared" si="356"/>
        <v/>
      </c>
      <c r="G736" s="2" t="str">
        <f t="shared" si="357"/>
        <v/>
      </c>
      <c r="H736" s="2" t="str">
        <f t="shared" si="372"/>
        <v/>
      </c>
      <c r="I736" s="2" t="str">
        <f t="shared" si="373"/>
        <v/>
      </c>
      <c r="J736" s="2" t="str">
        <f t="shared" si="374"/>
        <v/>
      </c>
      <c r="K736" s="2" t="str">
        <f t="shared" si="358"/>
        <v/>
      </c>
      <c r="L736" s="2" t="str">
        <f t="shared" si="359"/>
        <v/>
      </c>
      <c r="M736" s="2" t="str">
        <f t="shared" si="360"/>
        <v/>
      </c>
      <c r="N736" s="2" t="str">
        <f t="shared" si="375"/>
        <v/>
      </c>
      <c r="O736" s="2" t="str">
        <f t="shared" si="376"/>
        <v/>
      </c>
      <c r="P736" s="2" t="str">
        <f t="shared" si="377"/>
        <v/>
      </c>
      <c r="Q736" s="2" t="str">
        <f t="shared" si="361"/>
        <v/>
      </c>
      <c r="R736" s="2" t="str">
        <f t="shared" si="362"/>
        <v/>
      </c>
      <c r="S736" s="2" t="str">
        <f t="shared" si="363"/>
        <v/>
      </c>
      <c r="T736" s="2" t="str">
        <f t="shared" si="378"/>
        <v/>
      </c>
      <c r="U736" s="2" t="str">
        <f t="shared" si="379"/>
        <v/>
      </c>
      <c r="V736" s="2" t="str">
        <f t="shared" si="380"/>
        <v/>
      </c>
      <c r="W736" s="2" t="str">
        <f t="shared" si="364"/>
        <v/>
      </c>
      <c r="X736" s="2" t="str">
        <f t="shared" si="365"/>
        <v/>
      </c>
      <c r="Y736" s="2" t="str">
        <f t="shared" si="366"/>
        <v/>
      </c>
      <c r="Z736" s="2" t="str">
        <f t="shared" si="381"/>
        <v/>
      </c>
      <c r="AA736" s="2" t="str">
        <f t="shared" si="382"/>
        <v/>
      </c>
      <c r="AB736" s="2" t="str">
        <f t="shared" si="383"/>
        <v/>
      </c>
      <c r="AC736" s="2" t="str">
        <f t="shared" si="367"/>
        <v/>
      </c>
      <c r="AD736" s="2" t="str">
        <f t="shared" si="368"/>
        <v/>
      </c>
      <c r="AE736" s="2" t="str">
        <f t="shared" si="369"/>
        <v/>
      </c>
      <c r="AF736" s="2" t="str">
        <f t="shared" si="370"/>
        <v/>
      </c>
    </row>
    <row r="737" spans="1:32" x14ac:dyDescent="0.2">
      <c r="A737" s="2" t="str">
        <f t="shared" si="371"/>
        <v/>
      </c>
      <c r="B737" s="2" t="str">
        <f t="shared" si="352"/>
        <v/>
      </c>
      <c r="C737" s="2" t="str">
        <f t="shared" si="353"/>
        <v/>
      </c>
      <c r="D737" s="2" t="str">
        <f t="shared" si="354"/>
        <v/>
      </c>
      <c r="E737" s="2" t="str">
        <f t="shared" si="355"/>
        <v/>
      </c>
      <c r="F737" s="2" t="str">
        <f t="shared" si="356"/>
        <v/>
      </c>
      <c r="G737" s="2" t="str">
        <f t="shared" si="357"/>
        <v/>
      </c>
      <c r="H737" s="2" t="str">
        <f t="shared" si="372"/>
        <v/>
      </c>
      <c r="I737" s="2" t="str">
        <f t="shared" si="373"/>
        <v/>
      </c>
      <c r="J737" s="2" t="str">
        <f t="shared" si="374"/>
        <v/>
      </c>
      <c r="K737" s="2" t="str">
        <f t="shared" si="358"/>
        <v/>
      </c>
      <c r="L737" s="2" t="str">
        <f t="shared" si="359"/>
        <v/>
      </c>
      <c r="M737" s="2" t="str">
        <f t="shared" si="360"/>
        <v/>
      </c>
      <c r="N737" s="2" t="str">
        <f t="shared" si="375"/>
        <v/>
      </c>
      <c r="O737" s="2" t="str">
        <f t="shared" si="376"/>
        <v/>
      </c>
      <c r="P737" s="2" t="str">
        <f t="shared" si="377"/>
        <v/>
      </c>
      <c r="Q737" s="2" t="str">
        <f t="shared" si="361"/>
        <v/>
      </c>
      <c r="R737" s="2" t="str">
        <f t="shared" si="362"/>
        <v/>
      </c>
      <c r="S737" s="2" t="str">
        <f t="shared" si="363"/>
        <v/>
      </c>
      <c r="T737" s="2" t="str">
        <f t="shared" si="378"/>
        <v/>
      </c>
      <c r="U737" s="2" t="str">
        <f t="shared" si="379"/>
        <v/>
      </c>
      <c r="V737" s="2" t="str">
        <f t="shared" si="380"/>
        <v/>
      </c>
      <c r="W737" s="2" t="str">
        <f t="shared" si="364"/>
        <v/>
      </c>
      <c r="X737" s="2" t="str">
        <f t="shared" si="365"/>
        <v/>
      </c>
      <c r="Y737" s="2" t="str">
        <f t="shared" si="366"/>
        <v/>
      </c>
      <c r="Z737" s="2" t="str">
        <f t="shared" si="381"/>
        <v/>
      </c>
      <c r="AA737" s="2" t="str">
        <f t="shared" si="382"/>
        <v/>
      </c>
      <c r="AB737" s="2" t="str">
        <f t="shared" si="383"/>
        <v/>
      </c>
      <c r="AC737" s="2" t="str">
        <f t="shared" si="367"/>
        <v/>
      </c>
      <c r="AD737" s="2" t="str">
        <f t="shared" si="368"/>
        <v/>
      </c>
      <c r="AE737" s="2" t="str">
        <f t="shared" si="369"/>
        <v/>
      </c>
      <c r="AF737" s="2" t="str">
        <f t="shared" si="370"/>
        <v/>
      </c>
    </row>
    <row r="738" spans="1:32" x14ac:dyDescent="0.2">
      <c r="A738" s="2" t="str">
        <f t="shared" si="371"/>
        <v/>
      </c>
      <c r="B738" s="2" t="str">
        <f t="shared" si="352"/>
        <v/>
      </c>
      <c r="C738" s="2" t="str">
        <f t="shared" si="353"/>
        <v/>
      </c>
      <c r="D738" s="2" t="str">
        <f t="shared" si="354"/>
        <v/>
      </c>
      <c r="E738" s="2" t="str">
        <f t="shared" si="355"/>
        <v/>
      </c>
      <c r="F738" s="2" t="str">
        <f t="shared" si="356"/>
        <v/>
      </c>
      <c r="G738" s="2" t="str">
        <f t="shared" si="357"/>
        <v/>
      </c>
      <c r="H738" s="2" t="str">
        <f t="shared" si="372"/>
        <v/>
      </c>
      <c r="I738" s="2" t="str">
        <f t="shared" si="373"/>
        <v/>
      </c>
      <c r="J738" s="2" t="str">
        <f t="shared" si="374"/>
        <v/>
      </c>
      <c r="K738" s="2" t="str">
        <f t="shared" si="358"/>
        <v/>
      </c>
      <c r="L738" s="2" t="str">
        <f t="shared" si="359"/>
        <v/>
      </c>
      <c r="M738" s="2" t="str">
        <f t="shared" si="360"/>
        <v/>
      </c>
      <c r="N738" s="2" t="str">
        <f t="shared" si="375"/>
        <v/>
      </c>
      <c r="O738" s="2" t="str">
        <f t="shared" si="376"/>
        <v/>
      </c>
      <c r="P738" s="2" t="str">
        <f t="shared" si="377"/>
        <v/>
      </c>
      <c r="Q738" s="2" t="str">
        <f t="shared" si="361"/>
        <v/>
      </c>
      <c r="R738" s="2" t="str">
        <f t="shared" si="362"/>
        <v/>
      </c>
      <c r="S738" s="2" t="str">
        <f t="shared" si="363"/>
        <v/>
      </c>
      <c r="T738" s="2" t="str">
        <f t="shared" si="378"/>
        <v/>
      </c>
      <c r="U738" s="2" t="str">
        <f t="shared" si="379"/>
        <v/>
      </c>
      <c r="V738" s="2" t="str">
        <f t="shared" si="380"/>
        <v/>
      </c>
      <c r="W738" s="2" t="str">
        <f t="shared" si="364"/>
        <v/>
      </c>
      <c r="X738" s="2" t="str">
        <f t="shared" si="365"/>
        <v/>
      </c>
      <c r="Y738" s="2" t="str">
        <f t="shared" si="366"/>
        <v/>
      </c>
      <c r="Z738" s="2" t="str">
        <f t="shared" si="381"/>
        <v/>
      </c>
      <c r="AA738" s="2" t="str">
        <f t="shared" si="382"/>
        <v/>
      </c>
      <c r="AB738" s="2" t="str">
        <f t="shared" si="383"/>
        <v/>
      </c>
      <c r="AC738" s="2" t="str">
        <f t="shared" si="367"/>
        <v/>
      </c>
      <c r="AD738" s="2" t="str">
        <f t="shared" si="368"/>
        <v/>
      </c>
      <c r="AE738" s="2" t="str">
        <f t="shared" si="369"/>
        <v/>
      </c>
      <c r="AF738" s="2" t="str">
        <f t="shared" si="370"/>
        <v/>
      </c>
    </row>
    <row r="739" spans="1:32" x14ac:dyDescent="0.2">
      <c r="A739" s="2" t="str">
        <f t="shared" si="371"/>
        <v/>
      </c>
      <c r="B739" s="2" t="str">
        <f t="shared" si="352"/>
        <v/>
      </c>
      <c r="C739" s="2" t="str">
        <f t="shared" si="353"/>
        <v/>
      </c>
      <c r="D739" s="2" t="str">
        <f t="shared" si="354"/>
        <v/>
      </c>
      <c r="E739" s="2" t="str">
        <f t="shared" si="355"/>
        <v/>
      </c>
      <c r="F739" s="2" t="str">
        <f t="shared" si="356"/>
        <v/>
      </c>
      <c r="G739" s="2" t="str">
        <f t="shared" si="357"/>
        <v/>
      </c>
      <c r="H739" s="2" t="str">
        <f t="shared" si="372"/>
        <v/>
      </c>
      <c r="I739" s="2" t="str">
        <f t="shared" si="373"/>
        <v/>
      </c>
      <c r="J739" s="2" t="str">
        <f t="shared" si="374"/>
        <v/>
      </c>
      <c r="K739" s="2" t="str">
        <f t="shared" si="358"/>
        <v/>
      </c>
      <c r="L739" s="2" t="str">
        <f t="shared" si="359"/>
        <v/>
      </c>
      <c r="M739" s="2" t="str">
        <f t="shared" si="360"/>
        <v/>
      </c>
      <c r="N739" s="2" t="str">
        <f t="shared" si="375"/>
        <v/>
      </c>
      <c r="O739" s="2" t="str">
        <f t="shared" si="376"/>
        <v/>
      </c>
      <c r="P739" s="2" t="str">
        <f t="shared" si="377"/>
        <v/>
      </c>
      <c r="Q739" s="2" t="str">
        <f t="shared" si="361"/>
        <v/>
      </c>
      <c r="R739" s="2" t="str">
        <f t="shared" si="362"/>
        <v/>
      </c>
      <c r="S739" s="2" t="str">
        <f t="shared" si="363"/>
        <v/>
      </c>
      <c r="T739" s="2" t="str">
        <f t="shared" si="378"/>
        <v/>
      </c>
      <c r="U739" s="2" t="str">
        <f t="shared" si="379"/>
        <v/>
      </c>
      <c r="V739" s="2" t="str">
        <f t="shared" si="380"/>
        <v/>
      </c>
      <c r="W739" s="2" t="str">
        <f t="shared" si="364"/>
        <v/>
      </c>
      <c r="X739" s="2" t="str">
        <f t="shared" si="365"/>
        <v/>
      </c>
      <c r="Y739" s="2" t="str">
        <f t="shared" si="366"/>
        <v/>
      </c>
      <c r="Z739" s="2" t="str">
        <f t="shared" si="381"/>
        <v/>
      </c>
      <c r="AA739" s="2" t="str">
        <f t="shared" si="382"/>
        <v/>
      </c>
      <c r="AB739" s="2" t="str">
        <f t="shared" si="383"/>
        <v/>
      </c>
      <c r="AC739" s="2" t="str">
        <f t="shared" si="367"/>
        <v/>
      </c>
      <c r="AD739" s="2" t="str">
        <f t="shared" si="368"/>
        <v/>
      </c>
      <c r="AE739" s="2" t="str">
        <f t="shared" si="369"/>
        <v/>
      </c>
      <c r="AF739" s="2" t="str">
        <f t="shared" si="370"/>
        <v/>
      </c>
    </row>
    <row r="740" spans="1:32" x14ac:dyDescent="0.2">
      <c r="A740" s="2" t="str">
        <f t="shared" si="371"/>
        <v/>
      </c>
      <c r="B740" s="2" t="str">
        <f t="shared" si="352"/>
        <v/>
      </c>
      <c r="C740" s="2" t="str">
        <f t="shared" si="353"/>
        <v/>
      </c>
      <c r="D740" s="2" t="str">
        <f t="shared" si="354"/>
        <v/>
      </c>
      <c r="E740" s="2" t="str">
        <f t="shared" si="355"/>
        <v/>
      </c>
      <c r="F740" s="2" t="str">
        <f t="shared" si="356"/>
        <v/>
      </c>
      <c r="G740" s="2" t="str">
        <f t="shared" si="357"/>
        <v/>
      </c>
      <c r="H740" s="2" t="str">
        <f t="shared" si="372"/>
        <v/>
      </c>
      <c r="I740" s="2" t="str">
        <f t="shared" si="373"/>
        <v/>
      </c>
      <c r="J740" s="2" t="str">
        <f t="shared" si="374"/>
        <v/>
      </c>
      <c r="K740" s="2" t="str">
        <f t="shared" si="358"/>
        <v/>
      </c>
      <c r="L740" s="2" t="str">
        <f t="shared" si="359"/>
        <v/>
      </c>
      <c r="M740" s="2" t="str">
        <f t="shared" si="360"/>
        <v/>
      </c>
      <c r="N740" s="2" t="str">
        <f t="shared" si="375"/>
        <v/>
      </c>
      <c r="O740" s="2" t="str">
        <f t="shared" si="376"/>
        <v/>
      </c>
      <c r="P740" s="2" t="str">
        <f t="shared" si="377"/>
        <v/>
      </c>
      <c r="Q740" s="2" t="str">
        <f t="shared" si="361"/>
        <v/>
      </c>
      <c r="R740" s="2" t="str">
        <f t="shared" si="362"/>
        <v/>
      </c>
      <c r="S740" s="2" t="str">
        <f t="shared" si="363"/>
        <v/>
      </c>
      <c r="T740" s="2" t="str">
        <f t="shared" si="378"/>
        <v/>
      </c>
      <c r="U740" s="2" t="str">
        <f t="shared" si="379"/>
        <v/>
      </c>
      <c r="V740" s="2" t="str">
        <f t="shared" si="380"/>
        <v/>
      </c>
      <c r="W740" s="2" t="str">
        <f t="shared" si="364"/>
        <v/>
      </c>
      <c r="X740" s="2" t="str">
        <f t="shared" si="365"/>
        <v/>
      </c>
      <c r="Y740" s="2" t="str">
        <f t="shared" si="366"/>
        <v/>
      </c>
      <c r="Z740" s="2" t="str">
        <f t="shared" si="381"/>
        <v/>
      </c>
      <c r="AA740" s="2" t="str">
        <f t="shared" si="382"/>
        <v/>
      </c>
      <c r="AB740" s="2" t="str">
        <f t="shared" si="383"/>
        <v/>
      </c>
      <c r="AC740" s="2" t="str">
        <f t="shared" si="367"/>
        <v/>
      </c>
      <c r="AD740" s="2" t="str">
        <f t="shared" si="368"/>
        <v/>
      </c>
      <c r="AE740" s="2" t="str">
        <f t="shared" si="369"/>
        <v/>
      </c>
      <c r="AF740" s="2" t="str">
        <f t="shared" si="370"/>
        <v/>
      </c>
    </row>
    <row r="741" spans="1:32" x14ac:dyDescent="0.2">
      <c r="A741" s="2" t="str">
        <f t="shared" si="371"/>
        <v/>
      </c>
      <c r="B741" s="2" t="str">
        <f t="shared" si="352"/>
        <v/>
      </c>
      <c r="C741" s="2" t="str">
        <f t="shared" si="353"/>
        <v/>
      </c>
      <c r="D741" s="2" t="str">
        <f t="shared" si="354"/>
        <v/>
      </c>
      <c r="E741" s="2" t="str">
        <f t="shared" si="355"/>
        <v/>
      </c>
      <c r="F741" s="2" t="str">
        <f t="shared" si="356"/>
        <v/>
      </c>
      <c r="G741" s="2" t="str">
        <f t="shared" si="357"/>
        <v/>
      </c>
      <c r="H741" s="2" t="str">
        <f t="shared" si="372"/>
        <v/>
      </c>
      <c r="I741" s="2" t="str">
        <f t="shared" si="373"/>
        <v/>
      </c>
      <c r="J741" s="2" t="str">
        <f t="shared" si="374"/>
        <v/>
      </c>
      <c r="K741" s="2" t="str">
        <f t="shared" si="358"/>
        <v/>
      </c>
      <c r="L741" s="2" t="str">
        <f t="shared" si="359"/>
        <v/>
      </c>
      <c r="M741" s="2" t="str">
        <f t="shared" si="360"/>
        <v/>
      </c>
      <c r="N741" s="2" t="str">
        <f t="shared" si="375"/>
        <v/>
      </c>
      <c r="O741" s="2" t="str">
        <f t="shared" si="376"/>
        <v/>
      </c>
      <c r="P741" s="2" t="str">
        <f t="shared" si="377"/>
        <v/>
      </c>
      <c r="Q741" s="2" t="str">
        <f t="shared" si="361"/>
        <v/>
      </c>
      <c r="R741" s="2" t="str">
        <f t="shared" si="362"/>
        <v/>
      </c>
      <c r="S741" s="2" t="str">
        <f t="shared" si="363"/>
        <v/>
      </c>
      <c r="T741" s="2" t="str">
        <f t="shared" si="378"/>
        <v/>
      </c>
      <c r="U741" s="2" t="str">
        <f t="shared" si="379"/>
        <v/>
      </c>
      <c r="V741" s="2" t="str">
        <f t="shared" si="380"/>
        <v/>
      </c>
      <c r="W741" s="2" t="str">
        <f t="shared" si="364"/>
        <v/>
      </c>
      <c r="X741" s="2" t="str">
        <f t="shared" si="365"/>
        <v/>
      </c>
      <c r="Y741" s="2" t="str">
        <f t="shared" si="366"/>
        <v/>
      </c>
      <c r="Z741" s="2" t="str">
        <f t="shared" si="381"/>
        <v/>
      </c>
      <c r="AA741" s="2" t="str">
        <f t="shared" si="382"/>
        <v/>
      </c>
      <c r="AB741" s="2" t="str">
        <f t="shared" si="383"/>
        <v/>
      </c>
      <c r="AC741" s="2" t="str">
        <f t="shared" si="367"/>
        <v/>
      </c>
      <c r="AD741" s="2" t="str">
        <f t="shared" si="368"/>
        <v/>
      </c>
      <c r="AE741" s="2" t="str">
        <f t="shared" si="369"/>
        <v/>
      </c>
      <c r="AF741" s="2" t="str">
        <f t="shared" si="370"/>
        <v/>
      </c>
    </row>
    <row r="742" spans="1:32" x14ac:dyDescent="0.2">
      <c r="A742" s="2" t="str">
        <f t="shared" si="371"/>
        <v/>
      </c>
      <c r="B742" s="2" t="str">
        <f t="shared" si="352"/>
        <v/>
      </c>
      <c r="C742" s="2" t="str">
        <f t="shared" si="353"/>
        <v/>
      </c>
      <c r="D742" s="2" t="str">
        <f t="shared" si="354"/>
        <v/>
      </c>
      <c r="E742" s="2" t="str">
        <f t="shared" si="355"/>
        <v/>
      </c>
      <c r="F742" s="2" t="str">
        <f t="shared" si="356"/>
        <v/>
      </c>
      <c r="G742" s="2" t="str">
        <f t="shared" si="357"/>
        <v/>
      </c>
      <c r="H742" s="2" t="str">
        <f t="shared" si="372"/>
        <v/>
      </c>
      <c r="I742" s="2" t="str">
        <f t="shared" si="373"/>
        <v/>
      </c>
      <c r="J742" s="2" t="str">
        <f t="shared" si="374"/>
        <v/>
      </c>
      <c r="K742" s="2" t="str">
        <f t="shared" si="358"/>
        <v/>
      </c>
      <c r="L742" s="2" t="str">
        <f t="shared" si="359"/>
        <v/>
      </c>
      <c r="M742" s="2" t="str">
        <f t="shared" si="360"/>
        <v/>
      </c>
      <c r="N742" s="2" t="str">
        <f t="shared" si="375"/>
        <v/>
      </c>
      <c r="O742" s="2" t="str">
        <f t="shared" si="376"/>
        <v/>
      </c>
      <c r="P742" s="2" t="str">
        <f t="shared" si="377"/>
        <v/>
      </c>
      <c r="Q742" s="2" t="str">
        <f t="shared" si="361"/>
        <v/>
      </c>
      <c r="R742" s="2" t="str">
        <f t="shared" si="362"/>
        <v/>
      </c>
      <c r="S742" s="2" t="str">
        <f t="shared" si="363"/>
        <v/>
      </c>
      <c r="T742" s="2" t="str">
        <f t="shared" si="378"/>
        <v/>
      </c>
      <c r="U742" s="2" t="str">
        <f t="shared" si="379"/>
        <v/>
      </c>
      <c r="V742" s="2" t="str">
        <f t="shared" si="380"/>
        <v/>
      </c>
      <c r="W742" s="2" t="str">
        <f t="shared" si="364"/>
        <v/>
      </c>
      <c r="X742" s="2" t="str">
        <f t="shared" si="365"/>
        <v/>
      </c>
      <c r="Y742" s="2" t="str">
        <f t="shared" si="366"/>
        <v/>
      </c>
      <c r="Z742" s="2" t="str">
        <f t="shared" si="381"/>
        <v/>
      </c>
      <c r="AA742" s="2" t="str">
        <f t="shared" si="382"/>
        <v/>
      </c>
      <c r="AB742" s="2" t="str">
        <f t="shared" si="383"/>
        <v/>
      </c>
      <c r="AC742" s="2" t="str">
        <f t="shared" si="367"/>
        <v/>
      </c>
      <c r="AD742" s="2" t="str">
        <f t="shared" si="368"/>
        <v/>
      </c>
      <c r="AE742" s="2" t="str">
        <f t="shared" si="369"/>
        <v/>
      </c>
      <c r="AF742" s="2" t="str">
        <f t="shared" si="370"/>
        <v/>
      </c>
    </row>
    <row r="743" spans="1:32" x14ac:dyDescent="0.2">
      <c r="A743" s="2" t="str">
        <f t="shared" si="371"/>
        <v/>
      </c>
      <c r="B743" s="2" t="str">
        <f t="shared" si="352"/>
        <v/>
      </c>
      <c r="C743" s="2" t="str">
        <f t="shared" si="353"/>
        <v/>
      </c>
      <c r="D743" s="2" t="str">
        <f t="shared" si="354"/>
        <v/>
      </c>
      <c r="E743" s="2" t="str">
        <f t="shared" si="355"/>
        <v/>
      </c>
      <c r="F743" s="2" t="str">
        <f t="shared" si="356"/>
        <v/>
      </c>
      <c r="G743" s="2" t="str">
        <f t="shared" si="357"/>
        <v/>
      </c>
      <c r="H743" s="2" t="str">
        <f t="shared" si="372"/>
        <v/>
      </c>
      <c r="I743" s="2" t="str">
        <f t="shared" si="373"/>
        <v/>
      </c>
      <c r="J743" s="2" t="str">
        <f t="shared" si="374"/>
        <v/>
      </c>
      <c r="K743" s="2" t="str">
        <f t="shared" si="358"/>
        <v/>
      </c>
      <c r="L743" s="2" t="str">
        <f t="shared" si="359"/>
        <v/>
      </c>
      <c r="M743" s="2" t="str">
        <f t="shared" si="360"/>
        <v/>
      </c>
      <c r="N743" s="2" t="str">
        <f t="shared" si="375"/>
        <v/>
      </c>
      <c r="O743" s="2" t="str">
        <f t="shared" si="376"/>
        <v/>
      </c>
      <c r="P743" s="2" t="str">
        <f t="shared" si="377"/>
        <v/>
      </c>
      <c r="Q743" s="2" t="str">
        <f t="shared" si="361"/>
        <v/>
      </c>
      <c r="R743" s="2" t="str">
        <f t="shared" si="362"/>
        <v/>
      </c>
      <c r="S743" s="2" t="str">
        <f t="shared" si="363"/>
        <v/>
      </c>
      <c r="T743" s="2" t="str">
        <f t="shared" si="378"/>
        <v/>
      </c>
      <c r="U743" s="2" t="str">
        <f t="shared" si="379"/>
        <v/>
      </c>
      <c r="V743" s="2" t="str">
        <f t="shared" si="380"/>
        <v/>
      </c>
      <c r="W743" s="2" t="str">
        <f t="shared" si="364"/>
        <v/>
      </c>
      <c r="X743" s="2" t="str">
        <f t="shared" si="365"/>
        <v/>
      </c>
      <c r="Y743" s="2" t="str">
        <f t="shared" si="366"/>
        <v/>
      </c>
      <c r="Z743" s="2" t="str">
        <f t="shared" si="381"/>
        <v/>
      </c>
      <c r="AA743" s="2" t="str">
        <f t="shared" si="382"/>
        <v/>
      </c>
      <c r="AB743" s="2" t="str">
        <f t="shared" si="383"/>
        <v/>
      </c>
      <c r="AC743" s="2" t="str">
        <f t="shared" si="367"/>
        <v/>
      </c>
      <c r="AD743" s="2" t="str">
        <f t="shared" si="368"/>
        <v/>
      </c>
      <c r="AE743" s="2" t="str">
        <f t="shared" si="369"/>
        <v/>
      </c>
      <c r="AF743" s="2" t="str">
        <f t="shared" si="370"/>
        <v/>
      </c>
    </row>
    <row r="744" spans="1:32" x14ac:dyDescent="0.2">
      <c r="A744" s="2" t="str">
        <f t="shared" si="371"/>
        <v/>
      </c>
      <c r="B744" s="2" t="str">
        <f t="shared" si="352"/>
        <v/>
      </c>
      <c r="C744" s="2" t="str">
        <f t="shared" si="353"/>
        <v/>
      </c>
      <c r="D744" s="2" t="str">
        <f t="shared" si="354"/>
        <v/>
      </c>
      <c r="E744" s="2" t="str">
        <f t="shared" si="355"/>
        <v/>
      </c>
      <c r="F744" s="2" t="str">
        <f t="shared" si="356"/>
        <v/>
      </c>
      <c r="G744" s="2" t="str">
        <f t="shared" si="357"/>
        <v/>
      </c>
      <c r="H744" s="2" t="str">
        <f t="shared" si="372"/>
        <v/>
      </c>
      <c r="I744" s="2" t="str">
        <f t="shared" si="373"/>
        <v/>
      </c>
      <c r="J744" s="2" t="str">
        <f t="shared" si="374"/>
        <v/>
      </c>
      <c r="K744" s="2" t="str">
        <f t="shared" si="358"/>
        <v/>
      </c>
      <c r="L744" s="2" t="str">
        <f t="shared" si="359"/>
        <v/>
      </c>
      <c r="M744" s="2" t="str">
        <f t="shared" si="360"/>
        <v/>
      </c>
      <c r="N744" s="2" t="str">
        <f t="shared" si="375"/>
        <v/>
      </c>
      <c r="O744" s="2" t="str">
        <f t="shared" si="376"/>
        <v/>
      </c>
      <c r="P744" s="2" t="str">
        <f t="shared" si="377"/>
        <v/>
      </c>
      <c r="Q744" s="2" t="str">
        <f t="shared" si="361"/>
        <v/>
      </c>
      <c r="R744" s="2" t="str">
        <f t="shared" si="362"/>
        <v/>
      </c>
      <c r="S744" s="2" t="str">
        <f t="shared" si="363"/>
        <v/>
      </c>
      <c r="T744" s="2" t="str">
        <f t="shared" si="378"/>
        <v/>
      </c>
      <c r="U744" s="2" t="str">
        <f t="shared" si="379"/>
        <v/>
      </c>
      <c r="V744" s="2" t="str">
        <f t="shared" si="380"/>
        <v/>
      </c>
      <c r="W744" s="2" t="str">
        <f t="shared" si="364"/>
        <v/>
      </c>
      <c r="X744" s="2" t="str">
        <f t="shared" si="365"/>
        <v/>
      </c>
      <c r="Y744" s="2" t="str">
        <f t="shared" si="366"/>
        <v/>
      </c>
      <c r="Z744" s="2" t="str">
        <f t="shared" si="381"/>
        <v/>
      </c>
      <c r="AA744" s="2" t="str">
        <f t="shared" si="382"/>
        <v/>
      </c>
      <c r="AB744" s="2" t="str">
        <f t="shared" si="383"/>
        <v/>
      </c>
      <c r="AC744" s="2" t="str">
        <f t="shared" si="367"/>
        <v/>
      </c>
      <c r="AD744" s="2" t="str">
        <f t="shared" si="368"/>
        <v/>
      </c>
      <c r="AE744" s="2" t="str">
        <f t="shared" si="369"/>
        <v/>
      </c>
      <c r="AF744" s="2" t="str">
        <f t="shared" si="370"/>
        <v/>
      </c>
    </row>
    <row r="745" spans="1:32" x14ac:dyDescent="0.2">
      <c r="A745" s="2" t="str">
        <f t="shared" si="371"/>
        <v/>
      </c>
      <c r="B745" s="2" t="str">
        <f t="shared" si="352"/>
        <v/>
      </c>
      <c r="C745" s="2" t="str">
        <f t="shared" si="353"/>
        <v/>
      </c>
      <c r="D745" s="2" t="str">
        <f t="shared" si="354"/>
        <v/>
      </c>
      <c r="E745" s="2" t="str">
        <f t="shared" si="355"/>
        <v/>
      </c>
      <c r="F745" s="2" t="str">
        <f t="shared" si="356"/>
        <v/>
      </c>
      <c r="G745" s="2" t="str">
        <f t="shared" si="357"/>
        <v/>
      </c>
      <c r="H745" s="2" t="str">
        <f t="shared" si="372"/>
        <v/>
      </c>
      <c r="I745" s="2" t="str">
        <f t="shared" si="373"/>
        <v/>
      </c>
      <c r="J745" s="2" t="str">
        <f t="shared" si="374"/>
        <v/>
      </c>
      <c r="K745" s="2" t="str">
        <f t="shared" si="358"/>
        <v/>
      </c>
      <c r="L745" s="2" t="str">
        <f t="shared" si="359"/>
        <v/>
      </c>
      <c r="M745" s="2" t="str">
        <f t="shared" si="360"/>
        <v/>
      </c>
      <c r="N745" s="2" t="str">
        <f t="shared" si="375"/>
        <v/>
      </c>
      <c r="O745" s="2" t="str">
        <f t="shared" si="376"/>
        <v/>
      </c>
      <c r="P745" s="2" t="str">
        <f t="shared" si="377"/>
        <v/>
      </c>
      <c r="Q745" s="2" t="str">
        <f t="shared" si="361"/>
        <v/>
      </c>
      <c r="R745" s="2" t="str">
        <f t="shared" si="362"/>
        <v/>
      </c>
      <c r="S745" s="2" t="str">
        <f t="shared" si="363"/>
        <v/>
      </c>
      <c r="T745" s="2" t="str">
        <f t="shared" si="378"/>
        <v/>
      </c>
      <c r="U745" s="2" t="str">
        <f t="shared" si="379"/>
        <v/>
      </c>
      <c r="V745" s="2" t="str">
        <f t="shared" si="380"/>
        <v/>
      </c>
      <c r="W745" s="2" t="str">
        <f t="shared" si="364"/>
        <v/>
      </c>
      <c r="X745" s="2" t="str">
        <f t="shared" si="365"/>
        <v/>
      </c>
      <c r="Y745" s="2" t="str">
        <f t="shared" si="366"/>
        <v/>
      </c>
      <c r="Z745" s="2" t="str">
        <f t="shared" si="381"/>
        <v/>
      </c>
      <c r="AA745" s="2" t="str">
        <f t="shared" si="382"/>
        <v/>
      </c>
      <c r="AB745" s="2" t="str">
        <f t="shared" si="383"/>
        <v/>
      </c>
      <c r="AC745" s="2" t="str">
        <f t="shared" si="367"/>
        <v/>
      </c>
      <c r="AD745" s="2" t="str">
        <f t="shared" si="368"/>
        <v/>
      </c>
      <c r="AE745" s="2" t="str">
        <f t="shared" si="369"/>
        <v/>
      </c>
      <c r="AF745" s="2" t="str">
        <f t="shared" si="370"/>
        <v/>
      </c>
    </row>
    <row r="746" spans="1:32" x14ac:dyDescent="0.2">
      <c r="A746" s="2" t="str">
        <f t="shared" si="371"/>
        <v/>
      </c>
      <c r="B746" s="2" t="str">
        <f t="shared" si="352"/>
        <v/>
      </c>
      <c r="C746" s="2" t="str">
        <f t="shared" si="353"/>
        <v/>
      </c>
      <c r="D746" s="2" t="str">
        <f t="shared" si="354"/>
        <v/>
      </c>
      <c r="E746" s="2" t="str">
        <f t="shared" si="355"/>
        <v/>
      </c>
      <c r="F746" s="2" t="str">
        <f t="shared" si="356"/>
        <v/>
      </c>
      <c r="G746" s="2" t="str">
        <f t="shared" si="357"/>
        <v/>
      </c>
      <c r="H746" s="2" t="str">
        <f t="shared" si="372"/>
        <v/>
      </c>
      <c r="I746" s="2" t="str">
        <f t="shared" si="373"/>
        <v/>
      </c>
      <c r="J746" s="2" t="str">
        <f t="shared" si="374"/>
        <v/>
      </c>
      <c r="K746" s="2" t="str">
        <f t="shared" si="358"/>
        <v/>
      </c>
      <c r="L746" s="2" t="str">
        <f t="shared" si="359"/>
        <v/>
      </c>
      <c r="M746" s="2" t="str">
        <f t="shared" si="360"/>
        <v/>
      </c>
      <c r="N746" s="2" t="str">
        <f t="shared" si="375"/>
        <v/>
      </c>
      <c r="O746" s="2" t="str">
        <f t="shared" si="376"/>
        <v/>
      </c>
      <c r="P746" s="2" t="str">
        <f t="shared" si="377"/>
        <v/>
      </c>
      <c r="Q746" s="2" t="str">
        <f t="shared" si="361"/>
        <v/>
      </c>
      <c r="R746" s="2" t="str">
        <f t="shared" si="362"/>
        <v/>
      </c>
      <c r="S746" s="2" t="str">
        <f t="shared" si="363"/>
        <v/>
      </c>
      <c r="T746" s="2" t="str">
        <f t="shared" si="378"/>
        <v/>
      </c>
      <c r="U746" s="2" t="str">
        <f t="shared" si="379"/>
        <v/>
      </c>
      <c r="V746" s="2" t="str">
        <f t="shared" si="380"/>
        <v/>
      </c>
      <c r="W746" s="2" t="str">
        <f t="shared" si="364"/>
        <v/>
      </c>
      <c r="X746" s="2" t="str">
        <f t="shared" si="365"/>
        <v/>
      </c>
      <c r="Y746" s="2" t="str">
        <f t="shared" si="366"/>
        <v/>
      </c>
      <c r="Z746" s="2" t="str">
        <f t="shared" si="381"/>
        <v/>
      </c>
      <c r="AA746" s="2" t="str">
        <f t="shared" si="382"/>
        <v/>
      </c>
      <c r="AB746" s="2" t="str">
        <f t="shared" si="383"/>
        <v/>
      </c>
      <c r="AC746" s="2" t="str">
        <f t="shared" si="367"/>
        <v/>
      </c>
      <c r="AD746" s="2" t="str">
        <f t="shared" si="368"/>
        <v/>
      </c>
      <c r="AE746" s="2" t="str">
        <f t="shared" si="369"/>
        <v/>
      </c>
      <c r="AF746" s="2" t="str">
        <f t="shared" si="370"/>
        <v/>
      </c>
    </row>
    <row r="747" spans="1:32" x14ac:dyDescent="0.2">
      <c r="A747" s="2" t="str">
        <f t="shared" si="371"/>
        <v/>
      </c>
      <c r="B747" s="2" t="str">
        <f t="shared" si="352"/>
        <v/>
      </c>
      <c r="C747" s="2" t="str">
        <f t="shared" si="353"/>
        <v/>
      </c>
      <c r="D747" s="2" t="str">
        <f t="shared" si="354"/>
        <v/>
      </c>
      <c r="E747" s="2" t="str">
        <f t="shared" si="355"/>
        <v/>
      </c>
      <c r="F747" s="2" t="str">
        <f t="shared" si="356"/>
        <v/>
      </c>
      <c r="G747" s="2" t="str">
        <f t="shared" si="357"/>
        <v/>
      </c>
      <c r="H747" s="2" t="str">
        <f t="shared" si="372"/>
        <v/>
      </c>
      <c r="I747" s="2" t="str">
        <f t="shared" si="373"/>
        <v/>
      </c>
      <c r="J747" s="2" t="str">
        <f t="shared" si="374"/>
        <v/>
      </c>
      <c r="K747" s="2" t="str">
        <f t="shared" si="358"/>
        <v/>
      </c>
      <c r="L747" s="2" t="str">
        <f t="shared" si="359"/>
        <v/>
      </c>
      <c r="M747" s="2" t="str">
        <f t="shared" si="360"/>
        <v/>
      </c>
      <c r="N747" s="2" t="str">
        <f t="shared" si="375"/>
        <v/>
      </c>
      <c r="O747" s="2" t="str">
        <f t="shared" si="376"/>
        <v/>
      </c>
      <c r="P747" s="2" t="str">
        <f t="shared" si="377"/>
        <v/>
      </c>
      <c r="Q747" s="2" t="str">
        <f t="shared" si="361"/>
        <v/>
      </c>
      <c r="R747" s="2" t="str">
        <f t="shared" si="362"/>
        <v/>
      </c>
      <c r="S747" s="2" t="str">
        <f t="shared" si="363"/>
        <v/>
      </c>
      <c r="T747" s="2" t="str">
        <f t="shared" si="378"/>
        <v/>
      </c>
      <c r="U747" s="2" t="str">
        <f t="shared" si="379"/>
        <v/>
      </c>
      <c r="V747" s="2" t="str">
        <f t="shared" si="380"/>
        <v/>
      </c>
      <c r="W747" s="2" t="str">
        <f t="shared" si="364"/>
        <v/>
      </c>
      <c r="X747" s="2" t="str">
        <f t="shared" si="365"/>
        <v/>
      </c>
      <c r="Y747" s="2" t="str">
        <f t="shared" si="366"/>
        <v/>
      </c>
      <c r="Z747" s="2" t="str">
        <f t="shared" si="381"/>
        <v/>
      </c>
      <c r="AA747" s="2" t="str">
        <f t="shared" si="382"/>
        <v/>
      </c>
      <c r="AB747" s="2" t="str">
        <f t="shared" si="383"/>
        <v/>
      </c>
      <c r="AC747" s="2" t="str">
        <f t="shared" si="367"/>
        <v/>
      </c>
      <c r="AD747" s="2" t="str">
        <f t="shared" si="368"/>
        <v/>
      </c>
      <c r="AE747" s="2" t="str">
        <f t="shared" si="369"/>
        <v/>
      </c>
      <c r="AF747" s="2" t="str">
        <f t="shared" si="370"/>
        <v/>
      </c>
    </row>
    <row r="748" spans="1:32" x14ac:dyDescent="0.2">
      <c r="A748" s="2" t="str">
        <f t="shared" si="371"/>
        <v/>
      </c>
      <c r="B748" s="2" t="str">
        <f t="shared" si="352"/>
        <v/>
      </c>
      <c r="C748" s="2" t="str">
        <f t="shared" si="353"/>
        <v/>
      </c>
      <c r="D748" s="2" t="str">
        <f t="shared" si="354"/>
        <v/>
      </c>
      <c r="E748" s="2" t="str">
        <f t="shared" si="355"/>
        <v/>
      </c>
      <c r="F748" s="2" t="str">
        <f t="shared" si="356"/>
        <v/>
      </c>
      <c r="G748" s="2" t="str">
        <f t="shared" si="357"/>
        <v/>
      </c>
      <c r="H748" s="2" t="str">
        <f t="shared" si="372"/>
        <v/>
      </c>
      <c r="I748" s="2" t="str">
        <f t="shared" si="373"/>
        <v/>
      </c>
      <c r="J748" s="2" t="str">
        <f t="shared" si="374"/>
        <v/>
      </c>
      <c r="K748" s="2" t="str">
        <f t="shared" si="358"/>
        <v/>
      </c>
      <c r="L748" s="2" t="str">
        <f t="shared" si="359"/>
        <v/>
      </c>
      <c r="M748" s="2" t="str">
        <f t="shared" si="360"/>
        <v/>
      </c>
      <c r="N748" s="2" t="str">
        <f t="shared" si="375"/>
        <v/>
      </c>
      <c r="O748" s="2" t="str">
        <f t="shared" si="376"/>
        <v/>
      </c>
      <c r="P748" s="2" t="str">
        <f t="shared" si="377"/>
        <v/>
      </c>
      <c r="Q748" s="2" t="str">
        <f t="shared" si="361"/>
        <v/>
      </c>
      <c r="R748" s="2" t="str">
        <f t="shared" si="362"/>
        <v/>
      </c>
      <c r="S748" s="2" t="str">
        <f t="shared" si="363"/>
        <v/>
      </c>
      <c r="T748" s="2" t="str">
        <f t="shared" si="378"/>
        <v/>
      </c>
      <c r="U748" s="2" t="str">
        <f t="shared" si="379"/>
        <v/>
      </c>
      <c r="V748" s="2" t="str">
        <f t="shared" si="380"/>
        <v/>
      </c>
      <c r="W748" s="2" t="str">
        <f t="shared" si="364"/>
        <v/>
      </c>
      <c r="X748" s="2" t="str">
        <f t="shared" si="365"/>
        <v/>
      </c>
      <c r="Y748" s="2" t="str">
        <f t="shared" si="366"/>
        <v/>
      </c>
      <c r="Z748" s="2" t="str">
        <f t="shared" si="381"/>
        <v/>
      </c>
      <c r="AA748" s="2" t="str">
        <f t="shared" si="382"/>
        <v/>
      </c>
      <c r="AB748" s="2" t="str">
        <f t="shared" si="383"/>
        <v/>
      </c>
      <c r="AC748" s="2" t="str">
        <f t="shared" si="367"/>
        <v/>
      </c>
      <c r="AD748" s="2" t="str">
        <f t="shared" si="368"/>
        <v/>
      </c>
      <c r="AE748" s="2" t="str">
        <f t="shared" si="369"/>
        <v/>
      </c>
      <c r="AF748" s="2" t="str">
        <f t="shared" si="370"/>
        <v/>
      </c>
    </row>
    <row r="749" spans="1:32" x14ac:dyDescent="0.2">
      <c r="A749" s="2" t="str">
        <f t="shared" si="371"/>
        <v/>
      </c>
      <c r="B749" s="2" t="str">
        <f t="shared" si="352"/>
        <v/>
      </c>
      <c r="C749" s="2" t="str">
        <f t="shared" si="353"/>
        <v/>
      </c>
      <c r="D749" s="2" t="str">
        <f t="shared" si="354"/>
        <v/>
      </c>
      <c r="E749" s="2" t="str">
        <f t="shared" si="355"/>
        <v/>
      </c>
      <c r="F749" s="2" t="str">
        <f t="shared" si="356"/>
        <v/>
      </c>
      <c r="G749" s="2" t="str">
        <f t="shared" si="357"/>
        <v/>
      </c>
      <c r="H749" s="2" t="str">
        <f t="shared" si="372"/>
        <v/>
      </c>
      <c r="I749" s="2" t="str">
        <f t="shared" si="373"/>
        <v/>
      </c>
      <c r="J749" s="2" t="str">
        <f t="shared" si="374"/>
        <v/>
      </c>
      <c r="K749" s="2" t="str">
        <f t="shared" si="358"/>
        <v/>
      </c>
      <c r="L749" s="2" t="str">
        <f t="shared" si="359"/>
        <v/>
      </c>
      <c r="M749" s="2" t="str">
        <f t="shared" si="360"/>
        <v/>
      </c>
      <c r="N749" s="2" t="str">
        <f t="shared" si="375"/>
        <v/>
      </c>
      <c r="O749" s="2" t="str">
        <f t="shared" si="376"/>
        <v/>
      </c>
      <c r="P749" s="2" t="str">
        <f t="shared" si="377"/>
        <v/>
      </c>
      <c r="Q749" s="2" t="str">
        <f t="shared" si="361"/>
        <v/>
      </c>
      <c r="R749" s="2" t="str">
        <f t="shared" si="362"/>
        <v/>
      </c>
      <c r="S749" s="2" t="str">
        <f t="shared" si="363"/>
        <v/>
      </c>
      <c r="T749" s="2" t="str">
        <f t="shared" si="378"/>
        <v/>
      </c>
      <c r="U749" s="2" t="str">
        <f t="shared" si="379"/>
        <v/>
      </c>
      <c r="V749" s="2" t="str">
        <f t="shared" si="380"/>
        <v/>
      </c>
      <c r="W749" s="2" t="str">
        <f t="shared" si="364"/>
        <v/>
      </c>
      <c r="X749" s="2" t="str">
        <f t="shared" si="365"/>
        <v/>
      </c>
      <c r="Y749" s="2" t="str">
        <f t="shared" si="366"/>
        <v/>
      </c>
      <c r="Z749" s="2" t="str">
        <f t="shared" si="381"/>
        <v/>
      </c>
      <c r="AA749" s="2" t="str">
        <f t="shared" si="382"/>
        <v/>
      </c>
      <c r="AB749" s="2" t="str">
        <f t="shared" si="383"/>
        <v/>
      </c>
      <c r="AC749" s="2" t="str">
        <f t="shared" si="367"/>
        <v/>
      </c>
      <c r="AD749" s="2" t="str">
        <f t="shared" si="368"/>
        <v/>
      </c>
      <c r="AE749" s="2" t="str">
        <f t="shared" si="369"/>
        <v/>
      </c>
      <c r="AF749" s="2" t="str">
        <f t="shared" si="370"/>
        <v/>
      </c>
    </row>
    <row r="750" spans="1:32" x14ac:dyDescent="0.2">
      <c r="A750" s="2" t="str">
        <f t="shared" si="371"/>
        <v/>
      </c>
      <c r="B750" s="2" t="str">
        <f t="shared" si="352"/>
        <v/>
      </c>
      <c r="C750" s="2" t="str">
        <f t="shared" si="353"/>
        <v/>
      </c>
      <c r="D750" s="2" t="str">
        <f t="shared" si="354"/>
        <v/>
      </c>
      <c r="E750" s="2" t="str">
        <f t="shared" si="355"/>
        <v/>
      </c>
      <c r="F750" s="2" t="str">
        <f t="shared" si="356"/>
        <v/>
      </c>
      <c r="G750" s="2" t="str">
        <f t="shared" si="357"/>
        <v/>
      </c>
      <c r="H750" s="2" t="str">
        <f t="shared" si="372"/>
        <v/>
      </c>
      <c r="I750" s="2" t="str">
        <f t="shared" si="373"/>
        <v/>
      </c>
      <c r="J750" s="2" t="str">
        <f t="shared" si="374"/>
        <v/>
      </c>
      <c r="K750" s="2" t="str">
        <f t="shared" si="358"/>
        <v/>
      </c>
      <c r="L750" s="2" t="str">
        <f t="shared" si="359"/>
        <v/>
      </c>
      <c r="M750" s="2" t="str">
        <f t="shared" si="360"/>
        <v/>
      </c>
      <c r="N750" s="2" t="str">
        <f t="shared" si="375"/>
        <v/>
      </c>
      <c r="O750" s="2" t="str">
        <f t="shared" si="376"/>
        <v/>
      </c>
      <c r="P750" s="2" t="str">
        <f t="shared" si="377"/>
        <v/>
      </c>
      <c r="Q750" s="2" t="str">
        <f t="shared" si="361"/>
        <v/>
      </c>
      <c r="R750" s="2" t="str">
        <f t="shared" si="362"/>
        <v/>
      </c>
      <c r="S750" s="2" t="str">
        <f t="shared" si="363"/>
        <v/>
      </c>
      <c r="T750" s="2" t="str">
        <f t="shared" si="378"/>
        <v/>
      </c>
      <c r="U750" s="2" t="str">
        <f t="shared" si="379"/>
        <v/>
      </c>
      <c r="V750" s="2" t="str">
        <f t="shared" si="380"/>
        <v/>
      </c>
      <c r="W750" s="2" t="str">
        <f t="shared" si="364"/>
        <v/>
      </c>
      <c r="X750" s="2" t="str">
        <f t="shared" si="365"/>
        <v/>
      </c>
      <c r="Y750" s="2" t="str">
        <f t="shared" si="366"/>
        <v/>
      </c>
      <c r="Z750" s="2" t="str">
        <f t="shared" si="381"/>
        <v/>
      </c>
      <c r="AA750" s="2" t="str">
        <f t="shared" si="382"/>
        <v/>
      </c>
      <c r="AB750" s="2" t="str">
        <f t="shared" si="383"/>
        <v/>
      </c>
      <c r="AC750" s="2" t="str">
        <f t="shared" si="367"/>
        <v/>
      </c>
      <c r="AD750" s="2" t="str">
        <f t="shared" si="368"/>
        <v/>
      </c>
      <c r="AE750" s="2" t="str">
        <f t="shared" si="369"/>
        <v/>
      </c>
      <c r="AF750" s="2" t="str">
        <f t="shared" si="370"/>
        <v/>
      </c>
    </row>
    <row r="751" spans="1:32" x14ac:dyDescent="0.2">
      <c r="A751" s="2" t="str">
        <f t="shared" si="371"/>
        <v/>
      </c>
      <c r="B751" s="2" t="str">
        <f t="shared" si="352"/>
        <v/>
      </c>
      <c r="C751" s="2" t="str">
        <f t="shared" si="353"/>
        <v/>
      </c>
      <c r="D751" s="2" t="str">
        <f t="shared" si="354"/>
        <v/>
      </c>
      <c r="E751" s="2" t="str">
        <f t="shared" si="355"/>
        <v/>
      </c>
      <c r="F751" s="2" t="str">
        <f t="shared" si="356"/>
        <v/>
      </c>
      <c r="G751" s="2" t="str">
        <f t="shared" si="357"/>
        <v/>
      </c>
      <c r="H751" s="2" t="str">
        <f t="shared" si="372"/>
        <v/>
      </c>
      <c r="I751" s="2" t="str">
        <f t="shared" si="373"/>
        <v/>
      </c>
      <c r="J751" s="2" t="str">
        <f t="shared" si="374"/>
        <v/>
      </c>
      <c r="K751" s="2" t="str">
        <f t="shared" si="358"/>
        <v/>
      </c>
      <c r="L751" s="2" t="str">
        <f t="shared" si="359"/>
        <v/>
      </c>
      <c r="M751" s="2" t="str">
        <f t="shared" si="360"/>
        <v/>
      </c>
      <c r="N751" s="2" t="str">
        <f t="shared" si="375"/>
        <v/>
      </c>
      <c r="O751" s="2" t="str">
        <f t="shared" si="376"/>
        <v/>
      </c>
      <c r="P751" s="2" t="str">
        <f t="shared" si="377"/>
        <v/>
      </c>
      <c r="Q751" s="2" t="str">
        <f t="shared" si="361"/>
        <v/>
      </c>
      <c r="R751" s="2" t="str">
        <f t="shared" si="362"/>
        <v/>
      </c>
      <c r="S751" s="2" t="str">
        <f t="shared" si="363"/>
        <v/>
      </c>
      <c r="T751" s="2" t="str">
        <f t="shared" si="378"/>
        <v/>
      </c>
      <c r="U751" s="2" t="str">
        <f t="shared" si="379"/>
        <v/>
      </c>
      <c r="V751" s="2" t="str">
        <f t="shared" si="380"/>
        <v/>
      </c>
      <c r="W751" s="2" t="str">
        <f t="shared" si="364"/>
        <v/>
      </c>
      <c r="X751" s="2" t="str">
        <f t="shared" si="365"/>
        <v/>
      </c>
      <c r="Y751" s="2" t="str">
        <f t="shared" si="366"/>
        <v/>
      </c>
      <c r="Z751" s="2" t="str">
        <f t="shared" si="381"/>
        <v/>
      </c>
      <c r="AA751" s="2" t="str">
        <f t="shared" si="382"/>
        <v/>
      </c>
      <c r="AB751" s="2" t="str">
        <f t="shared" si="383"/>
        <v/>
      </c>
      <c r="AC751" s="2" t="str">
        <f t="shared" si="367"/>
        <v/>
      </c>
      <c r="AD751" s="2" t="str">
        <f t="shared" si="368"/>
        <v/>
      </c>
      <c r="AE751" s="2" t="str">
        <f t="shared" si="369"/>
        <v/>
      </c>
      <c r="AF751" s="2" t="str">
        <f t="shared" si="370"/>
        <v/>
      </c>
    </row>
    <row r="752" spans="1:32" x14ac:dyDescent="0.2">
      <c r="A752" s="2" t="str">
        <f t="shared" si="371"/>
        <v/>
      </c>
      <c r="B752" s="2" t="str">
        <f t="shared" si="352"/>
        <v/>
      </c>
      <c r="C752" s="2" t="str">
        <f t="shared" si="353"/>
        <v/>
      </c>
      <c r="D752" s="2" t="str">
        <f t="shared" si="354"/>
        <v/>
      </c>
      <c r="E752" s="2" t="str">
        <f t="shared" si="355"/>
        <v/>
      </c>
      <c r="F752" s="2" t="str">
        <f t="shared" si="356"/>
        <v/>
      </c>
      <c r="G752" s="2" t="str">
        <f t="shared" si="357"/>
        <v/>
      </c>
      <c r="H752" s="2" t="str">
        <f t="shared" si="372"/>
        <v/>
      </c>
      <c r="I752" s="2" t="str">
        <f t="shared" si="373"/>
        <v/>
      </c>
      <c r="J752" s="2" t="str">
        <f t="shared" si="374"/>
        <v/>
      </c>
      <c r="K752" s="2" t="str">
        <f t="shared" si="358"/>
        <v/>
      </c>
      <c r="L752" s="2" t="str">
        <f t="shared" si="359"/>
        <v/>
      </c>
      <c r="M752" s="2" t="str">
        <f t="shared" si="360"/>
        <v/>
      </c>
      <c r="N752" s="2" t="str">
        <f t="shared" si="375"/>
        <v/>
      </c>
      <c r="O752" s="2" t="str">
        <f t="shared" si="376"/>
        <v/>
      </c>
      <c r="P752" s="2" t="str">
        <f t="shared" si="377"/>
        <v/>
      </c>
      <c r="Q752" s="2" t="str">
        <f t="shared" si="361"/>
        <v/>
      </c>
      <c r="R752" s="2" t="str">
        <f t="shared" si="362"/>
        <v/>
      </c>
      <c r="S752" s="2" t="str">
        <f t="shared" si="363"/>
        <v/>
      </c>
      <c r="T752" s="2" t="str">
        <f t="shared" si="378"/>
        <v/>
      </c>
      <c r="U752" s="2" t="str">
        <f t="shared" si="379"/>
        <v/>
      </c>
      <c r="V752" s="2" t="str">
        <f t="shared" si="380"/>
        <v/>
      </c>
      <c r="W752" s="2" t="str">
        <f t="shared" si="364"/>
        <v/>
      </c>
      <c r="X752" s="2" t="str">
        <f t="shared" si="365"/>
        <v/>
      </c>
      <c r="Y752" s="2" t="str">
        <f t="shared" si="366"/>
        <v/>
      </c>
      <c r="Z752" s="2" t="str">
        <f t="shared" si="381"/>
        <v/>
      </c>
      <c r="AA752" s="2" t="str">
        <f t="shared" si="382"/>
        <v/>
      </c>
      <c r="AB752" s="2" t="str">
        <f t="shared" si="383"/>
        <v/>
      </c>
      <c r="AC752" s="2" t="str">
        <f t="shared" si="367"/>
        <v/>
      </c>
      <c r="AD752" s="2" t="str">
        <f t="shared" si="368"/>
        <v/>
      </c>
      <c r="AE752" s="2" t="str">
        <f t="shared" si="369"/>
        <v/>
      </c>
      <c r="AF752" s="2" t="str">
        <f t="shared" si="370"/>
        <v/>
      </c>
    </row>
    <row r="753" spans="1:32" x14ac:dyDescent="0.2">
      <c r="A753" s="2" t="str">
        <f t="shared" si="371"/>
        <v/>
      </c>
      <c r="B753" s="2" t="str">
        <f t="shared" si="352"/>
        <v/>
      </c>
      <c r="C753" s="2" t="str">
        <f t="shared" si="353"/>
        <v/>
      </c>
      <c r="D753" s="2" t="str">
        <f t="shared" si="354"/>
        <v/>
      </c>
      <c r="E753" s="2" t="str">
        <f t="shared" si="355"/>
        <v/>
      </c>
      <c r="F753" s="2" t="str">
        <f t="shared" si="356"/>
        <v/>
      </c>
      <c r="G753" s="2" t="str">
        <f t="shared" si="357"/>
        <v/>
      </c>
      <c r="H753" s="2" t="str">
        <f t="shared" si="372"/>
        <v/>
      </c>
      <c r="I753" s="2" t="str">
        <f t="shared" si="373"/>
        <v/>
      </c>
      <c r="J753" s="2" t="str">
        <f t="shared" si="374"/>
        <v/>
      </c>
      <c r="K753" s="2" t="str">
        <f t="shared" si="358"/>
        <v/>
      </c>
      <c r="L753" s="2" t="str">
        <f t="shared" si="359"/>
        <v/>
      </c>
      <c r="M753" s="2" t="str">
        <f t="shared" si="360"/>
        <v/>
      </c>
      <c r="N753" s="2" t="str">
        <f t="shared" si="375"/>
        <v/>
      </c>
      <c r="O753" s="2" t="str">
        <f t="shared" si="376"/>
        <v/>
      </c>
      <c r="P753" s="2" t="str">
        <f t="shared" si="377"/>
        <v/>
      </c>
      <c r="Q753" s="2" t="str">
        <f t="shared" si="361"/>
        <v/>
      </c>
      <c r="R753" s="2" t="str">
        <f t="shared" si="362"/>
        <v/>
      </c>
      <c r="S753" s="2" t="str">
        <f t="shared" si="363"/>
        <v/>
      </c>
      <c r="T753" s="2" t="str">
        <f t="shared" si="378"/>
        <v/>
      </c>
      <c r="U753" s="2" t="str">
        <f t="shared" si="379"/>
        <v/>
      </c>
      <c r="V753" s="2" t="str">
        <f t="shared" si="380"/>
        <v/>
      </c>
      <c r="W753" s="2" t="str">
        <f t="shared" si="364"/>
        <v/>
      </c>
      <c r="X753" s="2" t="str">
        <f t="shared" si="365"/>
        <v/>
      </c>
      <c r="Y753" s="2" t="str">
        <f t="shared" si="366"/>
        <v/>
      </c>
      <c r="Z753" s="2" t="str">
        <f t="shared" si="381"/>
        <v/>
      </c>
      <c r="AA753" s="2" t="str">
        <f t="shared" si="382"/>
        <v/>
      </c>
      <c r="AB753" s="2" t="str">
        <f t="shared" si="383"/>
        <v/>
      </c>
      <c r="AC753" s="2" t="str">
        <f t="shared" si="367"/>
        <v/>
      </c>
      <c r="AD753" s="2" t="str">
        <f t="shared" si="368"/>
        <v/>
      </c>
      <c r="AE753" s="2" t="str">
        <f t="shared" si="369"/>
        <v/>
      </c>
      <c r="AF753" s="2" t="str">
        <f t="shared" si="370"/>
        <v/>
      </c>
    </row>
    <row r="754" spans="1:32" x14ac:dyDescent="0.2">
      <c r="A754" s="2" t="str">
        <f t="shared" si="371"/>
        <v/>
      </c>
      <c r="B754" s="2" t="str">
        <f t="shared" si="352"/>
        <v/>
      </c>
      <c r="C754" s="2" t="str">
        <f t="shared" si="353"/>
        <v/>
      </c>
      <c r="D754" s="2" t="str">
        <f t="shared" si="354"/>
        <v/>
      </c>
      <c r="E754" s="2" t="str">
        <f t="shared" si="355"/>
        <v/>
      </c>
      <c r="F754" s="2" t="str">
        <f t="shared" si="356"/>
        <v/>
      </c>
      <c r="G754" s="2" t="str">
        <f t="shared" si="357"/>
        <v/>
      </c>
      <c r="H754" s="2" t="str">
        <f t="shared" si="372"/>
        <v/>
      </c>
      <c r="I754" s="2" t="str">
        <f t="shared" si="373"/>
        <v/>
      </c>
      <c r="J754" s="2" t="str">
        <f t="shared" si="374"/>
        <v/>
      </c>
      <c r="K754" s="2" t="str">
        <f t="shared" si="358"/>
        <v/>
      </c>
      <c r="L754" s="2" t="str">
        <f t="shared" si="359"/>
        <v/>
      </c>
      <c r="M754" s="2" t="str">
        <f t="shared" si="360"/>
        <v/>
      </c>
      <c r="N754" s="2" t="str">
        <f t="shared" si="375"/>
        <v/>
      </c>
      <c r="O754" s="2" t="str">
        <f t="shared" si="376"/>
        <v/>
      </c>
      <c r="P754" s="2" t="str">
        <f t="shared" si="377"/>
        <v/>
      </c>
      <c r="Q754" s="2" t="str">
        <f t="shared" si="361"/>
        <v/>
      </c>
      <c r="R754" s="2" t="str">
        <f t="shared" si="362"/>
        <v/>
      </c>
      <c r="S754" s="2" t="str">
        <f t="shared" si="363"/>
        <v/>
      </c>
      <c r="T754" s="2" t="str">
        <f t="shared" si="378"/>
        <v/>
      </c>
      <c r="U754" s="2" t="str">
        <f t="shared" si="379"/>
        <v/>
      </c>
      <c r="V754" s="2" t="str">
        <f t="shared" si="380"/>
        <v/>
      </c>
      <c r="W754" s="2" t="str">
        <f t="shared" si="364"/>
        <v/>
      </c>
      <c r="X754" s="2" t="str">
        <f t="shared" si="365"/>
        <v/>
      </c>
      <c r="Y754" s="2" t="str">
        <f t="shared" si="366"/>
        <v/>
      </c>
      <c r="Z754" s="2" t="str">
        <f t="shared" si="381"/>
        <v/>
      </c>
      <c r="AA754" s="2" t="str">
        <f t="shared" si="382"/>
        <v/>
      </c>
      <c r="AB754" s="2" t="str">
        <f t="shared" si="383"/>
        <v/>
      </c>
      <c r="AC754" s="2" t="str">
        <f t="shared" si="367"/>
        <v/>
      </c>
      <c r="AD754" s="2" t="str">
        <f t="shared" si="368"/>
        <v/>
      </c>
      <c r="AE754" s="2" t="str">
        <f t="shared" si="369"/>
        <v/>
      </c>
      <c r="AF754" s="2" t="str">
        <f t="shared" si="370"/>
        <v/>
      </c>
    </row>
    <row r="755" spans="1:32" x14ac:dyDescent="0.2">
      <c r="A755" s="2" t="str">
        <f t="shared" si="371"/>
        <v/>
      </c>
      <c r="B755" s="2" t="str">
        <f t="shared" si="352"/>
        <v/>
      </c>
      <c r="C755" s="2" t="str">
        <f t="shared" si="353"/>
        <v/>
      </c>
      <c r="D755" s="2" t="str">
        <f t="shared" si="354"/>
        <v/>
      </c>
      <c r="E755" s="2" t="str">
        <f t="shared" si="355"/>
        <v/>
      </c>
      <c r="F755" s="2" t="str">
        <f t="shared" si="356"/>
        <v/>
      </c>
      <c r="G755" s="2" t="str">
        <f t="shared" si="357"/>
        <v/>
      </c>
      <c r="H755" s="2" t="str">
        <f t="shared" si="372"/>
        <v/>
      </c>
      <c r="I755" s="2" t="str">
        <f t="shared" si="373"/>
        <v/>
      </c>
      <c r="J755" s="2" t="str">
        <f t="shared" si="374"/>
        <v/>
      </c>
      <c r="K755" s="2" t="str">
        <f t="shared" si="358"/>
        <v/>
      </c>
      <c r="L755" s="2" t="str">
        <f t="shared" si="359"/>
        <v/>
      </c>
      <c r="M755" s="2" t="str">
        <f t="shared" si="360"/>
        <v/>
      </c>
      <c r="N755" s="2" t="str">
        <f t="shared" si="375"/>
        <v/>
      </c>
      <c r="O755" s="2" t="str">
        <f t="shared" si="376"/>
        <v/>
      </c>
      <c r="P755" s="2" t="str">
        <f t="shared" si="377"/>
        <v/>
      </c>
      <c r="Q755" s="2" t="str">
        <f t="shared" si="361"/>
        <v/>
      </c>
      <c r="R755" s="2" t="str">
        <f t="shared" si="362"/>
        <v/>
      </c>
      <c r="S755" s="2" t="str">
        <f t="shared" si="363"/>
        <v/>
      </c>
      <c r="T755" s="2" t="str">
        <f t="shared" si="378"/>
        <v/>
      </c>
      <c r="U755" s="2" t="str">
        <f t="shared" si="379"/>
        <v/>
      </c>
      <c r="V755" s="2" t="str">
        <f t="shared" si="380"/>
        <v/>
      </c>
      <c r="W755" s="2" t="str">
        <f t="shared" si="364"/>
        <v/>
      </c>
      <c r="X755" s="2" t="str">
        <f t="shared" si="365"/>
        <v/>
      </c>
      <c r="Y755" s="2" t="str">
        <f t="shared" si="366"/>
        <v/>
      </c>
      <c r="Z755" s="2" t="str">
        <f t="shared" si="381"/>
        <v/>
      </c>
      <c r="AA755" s="2" t="str">
        <f t="shared" si="382"/>
        <v/>
      </c>
      <c r="AB755" s="2" t="str">
        <f t="shared" si="383"/>
        <v/>
      </c>
      <c r="AC755" s="2" t="str">
        <f t="shared" si="367"/>
        <v/>
      </c>
      <c r="AD755" s="2" t="str">
        <f t="shared" si="368"/>
        <v/>
      </c>
      <c r="AE755" s="2" t="str">
        <f t="shared" si="369"/>
        <v/>
      </c>
      <c r="AF755" s="2" t="str">
        <f t="shared" si="370"/>
        <v/>
      </c>
    </row>
    <row r="756" spans="1:32" x14ac:dyDescent="0.2">
      <c r="A756" s="2" t="str">
        <f t="shared" si="371"/>
        <v/>
      </c>
      <c r="B756" s="2" t="str">
        <f t="shared" si="352"/>
        <v/>
      </c>
      <c r="C756" s="2" t="str">
        <f t="shared" si="353"/>
        <v/>
      </c>
      <c r="D756" s="2" t="str">
        <f t="shared" si="354"/>
        <v/>
      </c>
      <c r="E756" s="2" t="str">
        <f t="shared" si="355"/>
        <v/>
      </c>
      <c r="F756" s="2" t="str">
        <f t="shared" si="356"/>
        <v/>
      </c>
      <c r="G756" s="2" t="str">
        <f t="shared" si="357"/>
        <v/>
      </c>
      <c r="H756" s="2" t="str">
        <f t="shared" si="372"/>
        <v/>
      </c>
      <c r="I756" s="2" t="str">
        <f t="shared" si="373"/>
        <v/>
      </c>
      <c r="J756" s="2" t="str">
        <f t="shared" si="374"/>
        <v/>
      </c>
      <c r="K756" s="2" t="str">
        <f t="shared" si="358"/>
        <v/>
      </c>
      <c r="L756" s="2" t="str">
        <f t="shared" si="359"/>
        <v/>
      </c>
      <c r="M756" s="2" t="str">
        <f t="shared" si="360"/>
        <v/>
      </c>
      <c r="N756" s="2" t="str">
        <f t="shared" si="375"/>
        <v/>
      </c>
      <c r="O756" s="2" t="str">
        <f t="shared" si="376"/>
        <v/>
      </c>
      <c r="P756" s="2" t="str">
        <f t="shared" si="377"/>
        <v/>
      </c>
      <c r="Q756" s="2" t="str">
        <f t="shared" si="361"/>
        <v/>
      </c>
      <c r="R756" s="2" t="str">
        <f t="shared" si="362"/>
        <v/>
      </c>
      <c r="S756" s="2" t="str">
        <f t="shared" si="363"/>
        <v/>
      </c>
      <c r="T756" s="2" t="str">
        <f t="shared" si="378"/>
        <v/>
      </c>
      <c r="U756" s="2" t="str">
        <f t="shared" si="379"/>
        <v/>
      </c>
      <c r="V756" s="2" t="str">
        <f t="shared" si="380"/>
        <v/>
      </c>
      <c r="W756" s="2" t="str">
        <f t="shared" si="364"/>
        <v/>
      </c>
      <c r="X756" s="2" t="str">
        <f t="shared" si="365"/>
        <v/>
      </c>
      <c r="Y756" s="2" t="str">
        <f t="shared" si="366"/>
        <v/>
      </c>
      <c r="Z756" s="2" t="str">
        <f t="shared" si="381"/>
        <v/>
      </c>
      <c r="AA756" s="2" t="str">
        <f t="shared" si="382"/>
        <v/>
      </c>
      <c r="AB756" s="2" t="str">
        <f t="shared" si="383"/>
        <v/>
      </c>
      <c r="AC756" s="2" t="str">
        <f t="shared" si="367"/>
        <v/>
      </c>
      <c r="AD756" s="2" t="str">
        <f t="shared" si="368"/>
        <v/>
      </c>
      <c r="AE756" s="2" t="str">
        <f t="shared" si="369"/>
        <v/>
      </c>
      <c r="AF756" s="2" t="str">
        <f t="shared" si="370"/>
        <v/>
      </c>
    </row>
    <row r="757" spans="1:32" x14ac:dyDescent="0.2">
      <c r="A757" s="2" t="str">
        <f t="shared" si="371"/>
        <v/>
      </c>
      <c r="B757" s="2" t="str">
        <f t="shared" si="352"/>
        <v/>
      </c>
      <c r="C757" s="2" t="str">
        <f t="shared" si="353"/>
        <v/>
      </c>
      <c r="D757" s="2" t="str">
        <f t="shared" si="354"/>
        <v/>
      </c>
      <c r="E757" s="2" t="str">
        <f t="shared" si="355"/>
        <v/>
      </c>
      <c r="F757" s="2" t="str">
        <f t="shared" si="356"/>
        <v/>
      </c>
      <c r="G757" s="2" t="str">
        <f t="shared" si="357"/>
        <v/>
      </c>
      <c r="H757" s="2" t="str">
        <f t="shared" si="372"/>
        <v/>
      </c>
      <c r="I757" s="2" t="str">
        <f t="shared" si="373"/>
        <v/>
      </c>
      <c r="J757" s="2" t="str">
        <f t="shared" si="374"/>
        <v/>
      </c>
      <c r="K757" s="2" t="str">
        <f t="shared" si="358"/>
        <v/>
      </c>
      <c r="L757" s="2" t="str">
        <f t="shared" si="359"/>
        <v/>
      </c>
      <c r="M757" s="2" t="str">
        <f t="shared" si="360"/>
        <v/>
      </c>
      <c r="N757" s="2" t="str">
        <f t="shared" si="375"/>
        <v/>
      </c>
      <c r="O757" s="2" t="str">
        <f t="shared" si="376"/>
        <v/>
      </c>
      <c r="P757" s="2" t="str">
        <f t="shared" si="377"/>
        <v/>
      </c>
      <c r="Q757" s="2" t="str">
        <f t="shared" si="361"/>
        <v/>
      </c>
      <c r="R757" s="2" t="str">
        <f t="shared" si="362"/>
        <v/>
      </c>
      <c r="S757" s="2" t="str">
        <f t="shared" si="363"/>
        <v/>
      </c>
      <c r="T757" s="2" t="str">
        <f t="shared" si="378"/>
        <v/>
      </c>
      <c r="U757" s="2" t="str">
        <f t="shared" si="379"/>
        <v/>
      </c>
      <c r="V757" s="2" t="str">
        <f t="shared" si="380"/>
        <v/>
      </c>
      <c r="W757" s="2" t="str">
        <f t="shared" si="364"/>
        <v/>
      </c>
      <c r="X757" s="2" t="str">
        <f t="shared" si="365"/>
        <v/>
      </c>
      <c r="Y757" s="2" t="str">
        <f t="shared" si="366"/>
        <v/>
      </c>
      <c r="Z757" s="2" t="str">
        <f t="shared" si="381"/>
        <v/>
      </c>
      <c r="AA757" s="2" t="str">
        <f t="shared" si="382"/>
        <v/>
      </c>
      <c r="AB757" s="2" t="str">
        <f t="shared" si="383"/>
        <v/>
      </c>
      <c r="AC757" s="2" t="str">
        <f t="shared" si="367"/>
        <v/>
      </c>
      <c r="AD757" s="2" t="str">
        <f t="shared" si="368"/>
        <v/>
      </c>
      <c r="AE757" s="2" t="str">
        <f t="shared" si="369"/>
        <v/>
      </c>
      <c r="AF757" s="2" t="str">
        <f t="shared" si="370"/>
        <v/>
      </c>
    </row>
    <row r="758" spans="1:32" x14ac:dyDescent="0.2">
      <c r="A758" s="2" t="str">
        <f t="shared" si="371"/>
        <v/>
      </c>
      <c r="B758" s="2" t="str">
        <f t="shared" si="352"/>
        <v/>
      </c>
      <c r="C758" s="2" t="str">
        <f t="shared" si="353"/>
        <v/>
      </c>
      <c r="D758" s="2" t="str">
        <f t="shared" si="354"/>
        <v/>
      </c>
      <c r="E758" s="2" t="str">
        <f t="shared" si="355"/>
        <v/>
      </c>
      <c r="F758" s="2" t="str">
        <f t="shared" si="356"/>
        <v/>
      </c>
      <c r="G758" s="2" t="str">
        <f t="shared" si="357"/>
        <v/>
      </c>
      <c r="H758" s="2" t="str">
        <f t="shared" si="372"/>
        <v/>
      </c>
      <c r="I758" s="2" t="str">
        <f t="shared" si="373"/>
        <v/>
      </c>
      <c r="J758" s="2" t="str">
        <f t="shared" si="374"/>
        <v/>
      </c>
      <c r="K758" s="2" t="str">
        <f t="shared" si="358"/>
        <v/>
      </c>
      <c r="L758" s="2" t="str">
        <f t="shared" si="359"/>
        <v/>
      </c>
      <c r="M758" s="2" t="str">
        <f t="shared" si="360"/>
        <v/>
      </c>
      <c r="N758" s="2" t="str">
        <f t="shared" si="375"/>
        <v/>
      </c>
      <c r="O758" s="2" t="str">
        <f t="shared" si="376"/>
        <v/>
      </c>
      <c r="P758" s="2" t="str">
        <f t="shared" si="377"/>
        <v/>
      </c>
      <c r="Q758" s="2" t="str">
        <f t="shared" si="361"/>
        <v/>
      </c>
      <c r="R758" s="2" t="str">
        <f t="shared" si="362"/>
        <v/>
      </c>
      <c r="S758" s="2" t="str">
        <f t="shared" si="363"/>
        <v/>
      </c>
      <c r="T758" s="2" t="str">
        <f t="shared" si="378"/>
        <v/>
      </c>
      <c r="U758" s="2" t="str">
        <f t="shared" si="379"/>
        <v/>
      </c>
      <c r="V758" s="2" t="str">
        <f t="shared" si="380"/>
        <v/>
      </c>
      <c r="W758" s="2" t="str">
        <f t="shared" si="364"/>
        <v/>
      </c>
      <c r="X758" s="2" t="str">
        <f t="shared" si="365"/>
        <v/>
      </c>
      <c r="Y758" s="2" t="str">
        <f t="shared" si="366"/>
        <v/>
      </c>
      <c r="Z758" s="2" t="str">
        <f t="shared" si="381"/>
        <v/>
      </c>
      <c r="AA758" s="2" t="str">
        <f t="shared" si="382"/>
        <v/>
      </c>
      <c r="AB758" s="2" t="str">
        <f t="shared" si="383"/>
        <v/>
      </c>
      <c r="AC758" s="2" t="str">
        <f t="shared" si="367"/>
        <v/>
      </c>
      <c r="AD758" s="2" t="str">
        <f t="shared" si="368"/>
        <v/>
      </c>
      <c r="AE758" s="2" t="str">
        <f t="shared" si="369"/>
        <v/>
      </c>
      <c r="AF758" s="2" t="str">
        <f t="shared" si="370"/>
        <v/>
      </c>
    </row>
    <row r="759" spans="1:32" x14ac:dyDescent="0.2">
      <c r="A759" s="2" t="str">
        <f t="shared" si="371"/>
        <v/>
      </c>
      <c r="B759" s="2" t="str">
        <f t="shared" si="352"/>
        <v/>
      </c>
      <c r="C759" s="2" t="str">
        <f t="shared" si="353"/>
        <v/>
      </c>
      <c r="D759" s="2" t="str">
        <f t="shared" si="354"/>
        <v/>
      </c>
      <c r="E759" s="2" t="str">
        <f t="shared" si="355"/>
        <v/>
      </c>
      <c r="F759" s="2" t="str">
        <f t="shared" si="356"/>
        <v/>
      </c>
      <c r="G759" s="2" t="str">
        <f t="shared" si="357"/>
        <v/>
      </c>
      <c r="H759" s="2" t="str">
        <f t="shared" si="372"/>
        <v/>
      </c>
      <c r="I759" s="2" t="str">
        <f t="shared" si="373"/>
        <v/>
      </c>
      <c r="J759" s="2" t="str">
        <f t="shared" si="374"/>
        <v/>
      </c>
      <c r="K759" s="2" t="str">
        <f t="shared" si="358"/>
        <v/>
      </c>
      <c r="L759" s="2" t="str">
        <f t="shared" si="359"/>
        <v/>
      </c>
      <c r="M759" s="2" t="str">
        <f t="shared" si="360"/>
        <v/>
      </c>
      <c r="N759" s="2" t="str">
        <f t="shared" si="375"/>
        <v/>
      </c>
      <c r="O759" s="2" t="str">
        <f t="shared" si="376"/>
        <v/>
      </c>
      <c r="P759" s="2" t="str">
        <f t="shared" si="377"/>
        <v/>
      </c>
      <c r="Q759" s="2" t="str">
        <f t="shared" si="361"/>
        <v/>
      </c>
      <c r="R759" s="2" t="str">
        <f t="shared" si="362"/>
        <v/>
      </c>
      <c r="S759" s="2" t="str">
        <f t="shared" si="363"/>
        <v/>
      </c>
      <c r="T759" s="2" t="str">
        <f t="shared" si="378"/>
        <v/>
      </c>
      <c r="U759" s="2" t="str">
        <f t="shared" si="379"/>
        <v/>
      </c>
      <c r="V759" s="2" t="str">
        <f t="shared" si="380"/>
        <v/>
      </c>
      <c r="W759" s="2" t="str">
        <f t="shared" si="364"/>
        <v/>
      </c>
      <c r="X759" s="2" t="str">
        <f t="shared" si="365"/>
        <v/>
      </c>
      <c r="Y759" s="2" t="str">
        <f t="shared" si="366"/>
        <v/>
      </c>
      <c r="Z759" s="2" t="str">
        <f t="shared" si="381"/>
        <v/>
      </c>
      <c r="AA759" s="2" t="str">
        <f t="shared" si="382"/>
        <v/>
      </c>
      <c r="AB759" s="2" t="str">
        <f t="shared" si="383"/>
        <v/>
      </c>
      <c r="AC759" s="2" t="str">
        <f t="shared" si="367"/>
        <v/>
      </c>
      <c r="AD759" s="2" t="str">
        <f t="shared" si="368"/>
        <v/>
      </c>
      <c r="AE759" s="2" t="str">
        <f t="shared" si="369"/>
        <v/>
      </c>
      <c r="AF759" s="2" t="str">
        <f t="shared" si="370"/>
        <v/>
      </c>
    </row>
    <row r="760" spans="1:32" x14ac:dyDescent="0.2">
      <c r="A760" s="2" t="str">
        <f t="shared" si="371"/>
        <v/>
      </c>
      <c r="B760" s="2" t="str">
        <f t="shared" ref="B760:B823" si="384">IF(AI760="","",AI760)</f>
        <v/>
      </c>
      <c r="C760" s="2" t="str">
        <f t="shared" ref="C760:C823" si="385">IF(AJ760="","",AJ760)</f>
        <v/>
      </c>
      <c r="D760" s="2" t="str">
        <f t="shared" ref="D760:D823" si="386">IF(AK760="","",AK760)</f>
        <v/>
      </c>
      <c r="E760" s="2" t="str">
        <f t="shared" ref="E760:E823" si="387">IF(AL760="","",AL760)</f>
        <v/>
      </c>
      <c r="F760" s="2" t="str">
        <f t="shared" ref="F760:F823" si="388">IF(AM760="","",AM760)</f>
        <v/>
      </c>
      <c r="G760" s="2" t="str">
        <f t="shared" ref="G760:G823" si="389">IF(AN760="","",AN760)</f>
        <v/>
      </c>
      <c r="H760" s="2" t="str">
        <f t="shared" si="372"/>
        <v/>
      </c>
      <c r="I760" s="2" t="str">
        <f t="shared" si="373"/>
        <v/>
      </c>
      <c r="J760" s="2" t="str">
        <f t="shared" si="374"/>
        <v/>
      </c>
      <c r="K760" s="2" t="str">
        <f t="shared" ref="K760:K823" si="390">IF(AR760="","",AR760)</f>
        <v/>
      </c>
      <c r="L760" s="2" t="str">
        <f t="shared" ref="L760:L823" si="391">IF(AS760="","",AS760)</f>
        <v/>
      </c>
      <c r="M760" s="2" t="str">
        <f t="shared" ref="M760:M823" si="392">IF(AT760="","",AT760)</f>
        <v/>
      </c>
      <c r="N760" s="2" t="str">
        <f t="shared" si="375"/>
        <v/>
      </c>
      <c r="O760" s="2" t="str">
        <f t="shared" si="376"/>
        <v/>
      </c>
      <c r="P760" s="2" t="str">
        <f t="shared" si="377"/>
        <v/>
      </c>
      <c r="Q760" s="2" t="str">
        <f t="shared" ref="Q760:Q823" si="393">IF(AX760="","",AX760)</f>
        <v/>
      </c>
      <c r="R760" s="2" t="str">
        <f t="shared" ref="R760:R823" si="394">IF(AY760="","",AY760)</f>
        <v/>
      </c>
      <c r="S760" s="2" t="str">
        <f t="shared" ref="S760:S823" si="395">IF(AZ760="","",AZ760)</f>
        <v/>
      </c>
      <c r="T760" s="2" t="str">
        <f t="shared" si="378"/>
        <v/>
      </c>
      <c r="U760" s="2" t="str">
        <f t="shared" si="379"/>
        <v/>
      </c>
      <c r="V760" s="2" t="str">
        <f t="shared" si="380"/>
        <v/>
      </c>
      <c r="W760" s="2" t="str">
        <f t="shared" ref="W760:W823" si="396">IF(BD760="","",BD760)</f>
        <v/>
      </c>
      <c r="X760" s="2" t="str">
        <f t="shared" ref="X760:X823" si="397">IF(BE760="","",BE760)</f>
        <v/>
      </c>
      <c r="Y760" s="2" t="str">
        <f t="shared" ref="Y760:Y823" si="398">IF(BF760="","",BF760)</f>
        <v/>
      </c>
      <c r="Z760" s="2" t="str">
        <f t="shared" si="381"/>
        <v/>
      </c>
      <c r="AA760" s="2" t="str">
        <f t="shared" si="382"/>
        <v/>
      </c>
      <c r="AB760" s="2" t="str">
        <f t="shared" si="383"/>
        <v/>
      </c>
      <c r="AC760" s="2" t="str">
        <f t="shared" ref="AC760:AC823" si="399">IF(BJ760="","",BJ760)</f>
        <v/>
      </c>
      <c r="AD760" s="2" t="str">
        <f t="shared" ref="AD760:AD823" si="400">IF(BK760="","",BK760)</f>
        <v/>
      </c>
      <c r="AE760" s="2" t="str">
        <f t="shared" ref="AE760:AE823" si="401">IF(BL760="","",BL760)</f>
        <v/>
      </c>
      <c r="AF760" s="2" t="str">
        <f t="shared" ref="AF760:AF823" si="402">IF(BM760="","",BM760)</f>
        <v/>
      </c>
    </row>
    <row r="761" spans="1:32" x14ac:dyDescent="0.2">
      <c r="A761" s="2" t="str">
        <f t="shared" si="371"/>
        <v/>
      </c>
      <c r="B761" s="2" t="str">
        <f t="shared" si="384"/>
        <v/>
      </c>
      <c r="C761" s="2" t="str">
        <f t="shared" si="385"/>
        <v/>
      </c>
      <c r="D761" s="2" t="str">
        <f t="shared" si="386"/>
        <v/>
      </c>
      <c r="E761" s="2" t="str">
        <f t="shared" si="387"/>
        <v/>
      </c>
      <c r="F761" s="2" t="str">
        <f t="shared" si="388"/>
        <v/>
      </c>
      <c r="G761" s="2" t="str">
        <f t="shared" si="389"/>
        <v/>
      </c>
      <c r="H761" s="2" t="str">
        <f t="shared" si="372"/>
        <v/>
      </c>
      <c r="I761" s="2" t="str">
        <f t="shared" si="373"/>
        <v/>
      </c>
      <c r="J761" s="2" t="str">
        <f t="shared" si="374"/>
        <v/>
      </c>
      <c r="K761" s="2" t="str">
        <f t="shared" si="390"/>
        <v/>
      </c>
      <c r="L761" s="2" t="str">
        <f t="shared" si="391"/>
        <v/>
      </c>
      <c r="M761" s="2" t="str">
        <f t="shared" si="392"/>
        <v/>
      </c>
      <c r="N761" s="2" t="str">
        <f t="shared" si="375"/>
        <v/>
      </c>
      <c r="O761" s="2" t="str">
        <f t="shared" si="376"/>
        <v/>
      </c>
      <c r="P761" s="2" t="str">
        <f t="shared" si="377"/>
        <v/>
      </c>
      <c r="Q761" s="2" t="str">
        <f t="shared" si="393"/>
        <v/>
      </c>
      <c r="R761" s="2" t="str">
        <f t="shared" si="394"/>
        <v/>
      </c>
      <c r="S761" s="2" t="str">
        <f t="shared" si="395"/>
        <v/>
      </c>
      <c r="T761" s="2" t="str">
        <f t="shared" si="378"/>
        <v/>
      </c>
      <c r="U761" s="2" t="str">
        <f t="shared" si="379"/>
        <v/>
      </c>
      <c r="V761" s="2" t="str">
        <f t="shared" si="380"/>
        <v/>
      </c>
      <c r="W761" s="2" t="str">
        <f t="shared" si="396"/>
        <v/>
      </c>
      <c r="X761" s="2" t="str">
        <f t="shared" si="397"/>
        <v/>
      </c>
      <c r="Y761" s="2" t="str">
        <f t="shared" si="398"/>
        <v/>
      </c>
      <c r="Z761" s="2" t="str">
        <f t="shared" si="381"/>
        <v/>
      </c>
      <c r="AA761" s="2" t="str">
        <f t="shared" si="382"/>
        <v/>
      </c>
      <c r="AB761" s="2" t="str">
        <f t="shared" si="383"/>
        <v/>
      </c>
      <c r="AC761" s="2" t="str">
        <f t="shared" si="399"/>
        <v/>
      </c>
      <c r="AD761" s="2" t="str">
        <f t="shared" si="400"/>
        <v/>
      </c>
      <c r="AE761" s="2" t="str">
        <f t="shared" si="401"/>
        <v/>
      </c>
      <c r="AF761" s="2" t="str">
        <f t="shared" si="402"/>
        <v/>
      </c>
    </row>
    <row r="762" spans="1:32" x14ac:dyDescent="0.2">
      <c r="A762" s="2" t="str">
        <f t="shared" si="371"/>
        <v/>
      </c>
      <c r="B762" s="2" t="str">
        <f t="shared" si="384"/>
        <v/>
      </c>
      <c r="C762" s="2" t="str">
        <f t="shared" si="385"/>
        <v/>
      </c>
      <c r="D762" s="2" t="str">
        <f t="shared" si="386"/>
        <v/>
      </c>
      <c r="E762" s="2" t="str">
        <f t="shared" si="387"/>
        <v/>
      </c>
      <c r="F762" s="2" t="str">
        <f t="shared" si="388"/>
        <v/>
      </c>
      <c r="G762" s="2" t="str">
        <f t="shared" si="389"/>
        <v/>
      </c>
      <c r="H762" s="2" t="str">
        <f t="shared" si="372"/>
        <v/>
      </c>
      <c r="I762" s="2" t="str">
        <f t="shared" si="373"/>
        <v/>
      </c>
      <c r="J762" s="2" t="str">
        <f t="shared" si="374"/>
        <v/>
      </c>
      <c r="K762" s="2" t="str">
        <f t="shared" si="390"/>
        <v/>
      </c>
      <c r="L762" s="2" t="str">
        <f t="shared" si="391"/>
        <v/>
      </c>
      <c r="M762" s="2" t="str">
        <f t="shared" si="392"/>
        <v/>
      </c>
      <c r="N762" s="2" t="str">
        <f t="shared" si="375"/>
        <v/>
      </c>
      <c r="O762" s="2" t="str">
        <f t="shared" si="376"/>
        <v/>
      </c>
      <c r="P762" s="2" t="str">
        <f t="shared" si="377"/>
        <v/>
      </c>
      <c r="Q762" s="2" t="str">
        <f t="shared" si="393"/>
        <v/>
      </c>
      <c r="R762" s="2" t="str">
        <f t="shared" si="394"/>
        <v/>
      </c>
      <c r="S762" s="2" t="str">
        <f t="shared" si="395"/>
        <v/>
      </c>
      <c r="T762" s="2" t="str">
        <f t="shared" si="378"/>
        <v/>
      </c>
      <c r="U762" s="2" t="str">
        <f t="shared" si="379"/>
        <v/>
      </c>
      <c r="V762" s="2" t="str">
        <f t="shared" si="380"/>
        <v/>
      </c>
      <c r="W762" s="2" t="str">
        <f t="shared" si="396"/>
        <v/>
      </c>
      <c r="X762" s="2" t="str">
        <f t="shared" si="397"/>
        <v/>
      </c>
      <c r="Y762" s="2" t="str">
        <f t="shared" si="398"/>
        <v/>
      </c>
      <c r="Z762" s="2" t="str">
        <f t="shared" si="381"/>
        <v/>
      </c>
      <c r="AA762" s="2" t="str">
        <f t="shared" si="382"/>
        <v/>
      </c>
      <c r="AB762" s="2" t="str">
        <f t="shared" si="383"/>
        <v/>
      </c>
      <c r="AC762" s="2" t="str">
        <f t="shared" si="399"/>
        <v/>
      </c>
      <c r="AD762" s="2" t="str">
        <f t="shared" si="400"/>
        <v/>
      </c>
      <c r="AE762" s="2" t="str">
        <f t="shared" si="401"/>
        <v/>
      </c>
      <c r="AF762" s="2" t="str">
        <f t="shared" si="402"/>
        <v/>
      </c>
    </row>
    <row r="763" spans="1:32" x14ac:dyDescent="0.2">
      <c r="A763" s="2" t="str">
        <f t="shared" si="371"/>
        <v/>
      </c>
      <c r="B763" s="2" t="str">
        <f t="shared" si="384"/>
        <v/>
      </c>
      <c r="C763" s="2" t="str">
        <f t="shared" si="385"/>
        <v/>
      </c>
      <c r="D763" s="2" t="str">
        <f t="shared" si="386"/>
        <v/>
      </c>
      <c r="E763" s="2" t="str">
        <f t="shared" si="387"/>
        <v/>
      </c>
      <c r="F763" s="2" t="str">
        <f t="shared" si="388"/>
        <v/>
      </c>
      <c r="G763" s="2" t="str">
        <f t="shared" si="389"/>
        <v/>
      </c>
      <c r="H763" s="2" t="str">
        <f t="shared" si="372"/>
        <v/>
      </c>
      <c r="I763" s="2" t="str">
        <f t="shared" si="373"/>
        <v/>
      </c>
      <c r="J763" s="2" t="str">
        <f t="shared" si="374"/>
        <v/>
      </c>
      <c r="K763" s="2" t="str">
        <f t="shared" si="390"/>
        <v/>
      </c>
      <c r="L763" s="2" t="str">
        <f t="shared" si="391"/>
        <v/>
      </c>
      <c r="M763" s="2" t="str">
        <f t="shared" si="392"/>
        <v/>
      </c>
      <c r="N763" s="2" t="str">
        <f t="shared" si="375"/>
        <v/>
      </c>
      <c r="O763" s="2" t="str">
        <f t="shared" si="376"/>
        <v/>
      </c>
      <c r="P763" s="2" t="str">
        <f t="shared" si="377"/>
        <v/>
      </c>
      <c r="Q763" s="2" t="str">
        <f t="shared" si="393"/>
        <v/>
      </c>
      <c r="R763" s="2" t="str">
        <f t="shared" si="394"/>
        <v/>
      </c>
      <c r="S763" s="2" t="str">
        <f t="shared" si="395"/>
        <v/>
      </c>
      <c r="T763" s="2" t="str">
        <f t="shared" si="378"/>
        <v/>
      </c>
      <c r="U763" s="2" t="str">
        <f t="shared" si="379"/>
        <v/>
      </c>
      <c r="V763" s="2" t="str">
        <f t="shared" si="380"/>
        <v/>
      </c>
      <c r="W763" s="2" t="str">
        <f t="shared" si="396"/>
        <v/>
      </c>
      <c r="X763" s="2" t="str">
        <f t="shared" si="397"/>
        <v/>
      </c>
      <c r="Y763" s="2" t="str">
        <f t="shared" si="398"/>
        <v/>
      </c>
      <c r="Z763" s="2" t="str">
        <f t="shared" si="381"/>
        <v/>
      </c>
      <c r="AA763" s="2" t="str">
        <f t="shared" si="382"/>
        <v/>
      </c>
      <c r="AB763" s="2" t="str">
        <f t="shared" si="383"/>
        <v/>
      </c>
      <c r="AC763" s="2" t="str">
        <f t="shared" si="399"/>
        <v/>
      </c>
      <c r="AD763" s="2" t="str">
        <f t="shared" si="400"/>
        <v/>
      </c>
      <c r="AE763" s="2" t="str">
        <f t="shared" si="401"/>
        <v/>
      </c>
      <c r="AF763" s="2" t="str">
        <f t="shared" si="402"/>
        <v/>
      </c>
    </row>
    <row r="764" spans="1:32" x14ac:dyDescent="0.2">
      <c r="A764" s="2" t="str">
        <f t="shared" si="371"/>
        <v/>
      </c>
      <c r="B764" s="2" t="str">
        <f t="shared" si="384"/>
        <v/>
      </c>
      <c r="C764" s="2" t="str">
        <f t="shared" si="385"/>
        <v/>
      </c>
      <c r="D764" s="2" t="str">
        <f t="shared" si="386"/>
        <v/>
      </c>
      <c r="E764" s="2" t="str">
        <f t="shared" si="387"/>
        <v/>
      </c>
      <c r="F764" s="2" t="str">
        <f t="shared" si="388"/>
        <v/>
      </c>
      <c r="G764" s="2" t="str">
        <f t="shared" si="389"/>
        <v/>
      </c>
      <c r="H764" s="2" t="str">
        <f t="shared" si="372"/>
        <v/>
      </c>
      <c r="I764" s="2" t="str">
        <f t="shared" si="373"/>
        <v/>
      </c>
      <c r="J764" s="2" t="str">
        <f t="shared" si="374"/>
        <v/>
      </c>
      <c r="K764" s="2" t="str">
        <f t="shared" si="390"/>
        <v/>
      </c>
      <c r="L764" s="2" t="str">
        <f t="shared" si="391"/>
        <v/>
      </c>
      <c r="M764" s="2" t="str">
        <f t="shared" si="392"/>
        <v/>
      </c>
      <c r="N764" s="2" t="str">
        <f t="shared" si="375"/>
        <v/>
      </c>
      <c r="O764" s="2" t="str">
        <f t="shared" si="376"/>
        <v/>
      </c>
      <c r="P764" s="2" t="str">
        <f t="shared" si="377"/>
        <v/>
      </c>
      <c r="Q764" s="2" t="str">
        <f t="shared" si="393"/>
        <v/>
      </c>
      <c r="R764" s="2" t="str">
        <f t="shared" si="394"/>
        <v/>
      </c>
      <c r="S764" s="2" t="str">
        <f t="shared" si="395"/>
        <v/>
      </c>
      <c r="T764" s="2" t="str">
        <f t="shared" si="378"/>
        <v/>
      </c>
      <c r="U764" s="2" t="str">
        <f t="shared" si="379"/>
        <v/>
      </c>
      <c r="V764" s="2" t="str">
        <f t="shared" si="380"/>
        <v/>
      </c>
      <c r="W764" s="2" t="str">
        <f t="shared" si="396"/>
        <v/>
      </c>
      <c r="X764" s="2" t="str">
        <f t="shared" si="397"/>
        <v/>
      </c>
      <c r="Y764" s="2" t="str">
        <f t="shared" si="398"/>
        <v/>
      </c>
      <c r="Z764" s="2" t="str">
        <f t="shared" si="381"/>
        <v/>
      </c>
      <c r="AA764" s="2" t="str">
        <f t="shared" si="382"/>
        <v/>
      </c>
      <c r="AB764" s="2" t="str">
        <f t="shared" si="383"/>
        <v/>
      </c>
      <c r="AC764" s="2" t="str">
        <f t="shared" si="399"/>
        <v/>
      </c>
      <c r="AD764" s="2" t="str">
        <f t="shared" si="400"/>
        <v/>
      </c>
      <c r="AE764" s="2" t="str">
        <f t="shared" si="401"/>
        <v/>
      </c>
      <c r="AF764" s="2" t="str">
        <f t="shared" si="402"/>
        <v/>
      </c>
    </row>
    <row r="765" spans="1:32" x14ac:dyDescent="0.2">
      <c r="A765" s="2" t="str">
        <f t="shared" si="371"/>
        <v/>
      </c>
      <c r="B765" s="2" t="str">
        <f t="shared" si="384"/>
        <v/>
      </c>
      <c r="C765" s="2" t="str">
        <f t="shared" si="385"/>
        <v/>
      </c>
      <c r="D765" s="2" t="str">
        <f t="shared" si="386"/>
        <v/>
      </c>
      <c r="E765" s="2" t="str">
        <f t="shared" si="387"/>
        <v/>
      </c>
      <c r="F765" s="2" t="str">
        <f t="shared" si="388"/>
        <v/>
      </c>
      <c r="G765" s="2" t="str">
        <f t="shared" si="389"/>
        <v/>
      </c>
      <c r="H765" s="2" t="str">
        <f t="shared" si="372"/>
        <v/>
      </c>
      <c r="I765" s="2" t="str">
        <f t="shared" si="373"/>
        <v/>
      </c>
      <c r="J765" s="2" t="str">
        <f t="shared" si="374"/>
        <v/>
      </c>
      <c r="K765" s="2" t="str">
        <f t="shared" si="390"/>
        <v/>
      </c>
      <c r="L765" s="2" t="str">
        <f t="shared" si="391"/>
        <v/>
      </c>
      <c r="M765" s="2" t="str">
        <f t="shared" si="392"/>
        <v/>
      </c>
      <c r="N765" s="2" t="str">
        <f t="shared" si="375"/>
        <v/>
      </c>
      <c r="O765" s="2" t="str">
        <f t="shared" si="376"/>
        <v/>
      </c>
      <c r="P765" s="2" t="str">
        <f t="shared" si="377"/>
        <v/>
      </c>
      <c r="Q765" s="2" t="str">
        <f t="shared" si="393"/>
        <v/>
      </c>
      <c r="R765" s="2" t="str">
        <f t="shared" si="394"/>
        <v/>
      </c>
      <c r="S765" s="2" t="str">
        <f t="shared" si="395"/>
        <v/>
      </c>
      <c r="T765" s="2" t="str">
        <f t="shared" si="378"/>
        <v/>
      </c>
      <c r="U765" s="2" t="str">
        <f t="shared" si="379"/>
        <v/>
      </c>
      <c r="V765" s="2" t="str">
        <f t="shared" si="380"/>
        <v/>
      </c>
      <c r="W765" s="2" t="str">
        <f t="shared" si="396"/>
        <v/>
      </c>
      <c r="X765" s="2" t="str">
        <f t="shared" si="397"/>
        <v/>
      </c>
      <c r="Y765" s="2" t="str">
        <f t="shared" si="398"/>
        <v/>
      </c>
      <c r="Z765" s="2" t="str">
        <f t="shared" si="381"/>
        <v/>
      </c>
      <c r="AA765" s="2" t="str">
        <f t="shared" si="382"/>
        <v/>
      </c>
      <c r="AB765" s="2" t="str">
        <f t="shared" si="383"/>
        <v/>
      </c>
      <c r="AC765" s="2" t="str">
        <f t="shared" si="399"/>
        <v/>
      </c>
      <c r="AD765" s="2" t="str">
        <f t="shared" si="400"/>
        <v/>
      </c>
      <c r="AE765" s="2" t="str">
        <f t="shared" si="401"/>
        <v/>
      </c>
      <c r="AF765" s="2" t="str">
        <f t="shared" si="402"/>
        <v/>
      </c>
    </row>
    <row r="766" spans="1:32" x14ac:dyDescent="0.2">
      <c r="A766" s="2" t="str">
        <f t="shared" si="371"/>
        <v/>
      </c>
      <c r="B766" s="2" t="str">
        <f t="shared" si="384"/>
        <v/>
      </c>
      <c r="C766" s="2" t="str">
        <f t="shared" si="385"/>
        <v/>
      </c>
      <c r="D766" s="2" t="str">
        <f t="shared" si="386"/>
        <v/>
      </c>
      <c r="E766" s="2" t="str">
        <f t="shared" si="387"/>
        <v/>
      </c>
      <c r="F766" s="2" t="str">
        <f t="shared" si="388"/>
        <v/>
      </c>
      <c r="G766" s="2" t="str">
        <f t="shared" si="389"/>
        <v/>
      </c>
      <c r="H766" s="2" t="str">
        <f t="shared" si="372"/>
        <v/>
      </c>
      <c r="I766" s="2" t="str">
        <f t="shared" si="373"/>
        <v/>
      </c>
      <c r="J766" s="2" t="str">
        <f t="shared" si="374"/>
        <v/>
      </c>
      <c r="K766" s="2" t="str">
        <f t="shared" si="390"/>
        <v/>
      </c>
      <c r="L766" s="2" t="str">
        <f t="shared" si="391"/>
        <v/>
      </c>
      <c r="M766" s="2" t="str">
        <f t="shared" si="392"/>
        <v/>
      </c>
      <c r="N766" s="2" t="str">
        <f t="shared" si="375"/>
        <v/>
      </c>
      <c r="O766" s="2" t="str">
        <f t="shared" si="376"/>
        <v/>
      </c>
      <c r="P766" s="2" t="str">
        <f t="shared" si="377"/>
        <v/>
      </c>
      <c r="Q766" s="2" t="str">
        <f t="shared" si="393"/>
        <v/>
      </c>
      <c r="R766" s="2" t="str">
        <f t="shared" si="394"/>
        <v/>
      </c>
      <c r="S766" s="2" t="str">
        <f t="shared" si="395"/>
        <v/>
      </c>
      <c r="T766" s="2" t="str">
        <f t="shared" si="378"/>
        <v/>
      </c>
      <c r="U766" s="2" t="str">
        <f t="shared" si="379"/>
        <v/>
      </c>
      <c r="V766" s="2" t="str">
        <f t="shared" si="380"/>
        <v/>
      </c>
      <c r="W766" s="2" t="str">
        <f t="shared" si="396"/>
        <v/>
      </c>
      <c r="X766" s="2" t="str">
        <f t="shared" si="397"/>
        <v/>
      </c>
      <c r="Y766" s="2" t="str">
        <f t="shared" si="398"/>
        <v/>
      </c>
      <c r="Z766" s="2" t="str">
        <f t="shared" si="381"/>
        <v/>
      </c>
      <c r="AA766" s="2" t="str">
        <f t="shared" si="382"/>
        <v/>
      </c>
      <c r="AB766" s="2" t="str">
        <f t="shared" si="383"/>
        <v/>
      </c>
      <c r="AC766" s="2" t="str">
        <f t="shared" si="399"/>
        <v/>
      </c>
      <c r="AD766" s="2" t="str">
        <f t="shared" si="400"/>
        <v/>
      </c>
      <c r="AE766" s="2" t="str">
        <f t="shared" si="401"/>
        <v/>
      </c>
      <c r="AF766" s="2" t="str">
        <f t="shared" si="402"/>
        <v/>
      </c>
    </row>
    <row r="767" spans="1:32" x14ac:dyDescent="0.2">
      <c r="A767" s="2" t="str">
        <f t="shared" si="371"/>
        <v/>
      </c>
      <c r="B767" s="2" t="str">
        <f t="shared" si="384"/>
        <v/>
      </c>
      <c r="C767" s="2" t="str">
        <f t="shared" si="385"/>
        <v/>
      </c>
      <c r="D767" s="2" t="str">
        <f t="shared" si="386"/>
        <v/>
      </c>
      <c r="E767" s="2" t="str">
        <f t="shared" si="387"/>
        <v/>
      </c>
      <c r="F767" s="2" t="str">
        <f t="shared" si="388"/>
        <v/>
      </c>
      <c r="G767" s="2" t="str">
        <f t="shared" si="389"/>
        <v/>
      </c>
      <c r="H767" s="2" t="str">
        <f t="shared" si="372"/>
        <v/>
      </c>
      <c r="I767" s="2" t="str">
        <f t="shared" si="373"/>
        <v/>
      </c>
      <c r="J767" s="2" t="str">
        <f t="shared" si="374"/>
        <v/>
      </c>
      <c r="K767" s="2" t="str">
        <f t="shared" si="390"/>
        <v/>
      </c>
      <c r="L767" s="2" t="str">
        <f t="shared" si="391"/>
        <v/>
      </c>
      <c r="M767" s="2" t="str">
        <f t="shared" si="392"/>
        <v/>
      </c>
      <c r="N767" s="2" t="str">
        <f t="shared" si="375"/>
        <v/>
      </c>
      <c r="O767" s="2" t="str">
        <f t="shared" si="376"/>
        <v/>
      </c>
      <c r="P767" s="2" t="str">
        <f t="shared" si="377"/>
        <v/>
      </c>
      <c r="Q767" s="2" t="str">
        <f t="shared" si="393"/>
        <v/>
      </c>
      <c r="R767" s="2" t="str">
        <f t="shared" si="394"/>
        <v/>
      </c>
      <c r="S767" s="2" t="str">
        <f t="shared" si="395"/>
        <v/>
      </c>
      <c r="T767" s="2" t="str">
        <f t="shared" si="378"/>
        <v/>
      </c>
      <c r="U767" s="2" t="str">
        <f t="shared" si="379"/>
        <v/>
      </c>
      <c r="V767" s="2" t="str">
        <f t="shared" si="380"/>
        <v/>
      </c>
      <c r="W767" s="2" t="str">
        <f t="shared" si="396"/>
        <v/>
      </c>
      <c r="X767" s="2" t="str">
        <f t="shared" si="397"/>
        <v/>
      </c>
      <c r="Y767" s="2" t="str">
        <f t="shared" si="398"/>
        <v/>
      </c>
      <c r="Z767" s="2" t="str">
        <f t="shared" si="381"/>
        <v/>
      </c>
      <c r="AA767" s="2" t="str">
        <f t="shared" si="382"/>
        <v/>
      </c>
      <c r="AB767" s="2" t="str">
        <f t="shared" si="383"/>
        <v/>
      </c>
      <c r="AC767" s="2" t="str">
        <f t="shared" si="399"/>
        <v/>
      </c>
      <c r="AD767" s="2" t="str">
        <f t="shared" si="400"/>
        <v/>
      </c>
      <c r="AE767" s="2" t="str">
        <f t="shared" si="401"/>
        <v/>
      </c>
      <c r="AF767" s="2" t="str">
        <f t="shared" si="402"/>
        <v/>
      </c>
    </row>
    <row r="768" spans="1:32" x14ac:dyDescent="0.2">
      <c r="A768" s="2" t="str">
        <f t="shared" si="371"/>
        <v/>
      </c>
      <c r="B768" s="2" t="str">
        <f t="shared" si="384"/>
        <v/>
      </c>
      <c r="C768" s="2" t="str">
        <f t="shared" si="385"/>
        <v/>
      </c>
      <c r="D768" s="2" t="str">
        <f t="shared" si="386"/>
        <v/>
      </c>
      <c r="E768" s="2" t="str">
        <f t="shared" si="387"/>
        <v/>
      </c>
      <c r="F768" s="2" t="str">
        <f t="shared" si="388"/>
        <v/>
      </c>
      <c r="G768" s="2" t="str">
        <f t="shared" si="389"/>
        <v/>
      </c>
      <c r="H768" s="2" t="str">
        <f t="shared" si="372"/>
        <v/>
      </c>
      <c r="I768" s="2" t="str">
        <f t="shared" si="373"/>
        <v/>
      </c>
      <c r="J768" s="2" t="str">
        <f t="shared" si="374"/>
        <v/>
      </c>
      <c r="K768" s="2" t="str">
        <f t="shared" si="390"/>
        <v/>
      </c>
      <c r="L768" s="2" t="str">
        <f t="shared" si="391"/>
        <v/>
      </c>
      <c r="M768" s="2" t="str">
        <f t="shared" si="392"/>
        <v/>
      </c>
      <c r="N768" s="2" t="str">
        <f t="shared" si="375"/>
        <v/>
      </c>
      <c r="O768" s="2" t="str">
        <f t="shared" si="376"/>
        <v/>
      </c>
      <c r="P768" s="2" t="str">
        <f t="shared" si="377"/>
        <v/>
      </c>
      <c r="Q768" s="2" t="str">
        <f t="shared" si="393"/>
        <v/>
      </c>
      <c r="R768" s="2" t="str">
        <f t="shared" si="394"/>
        <v/>
      </c>
      <c r="S768" s="2" t="str">
        <f t="shared" si="395"/>
        <v/>
      </c>
      <c r="T768" s="2" t="str">
        <f t="shared" si="378"/>
        <v/>
      </c>
      <c r="U768" s="2" t="str">
        <f t="shared" si="379"/>
        <v/>
      </c>
      <c r="V768" s="2" t="str">
        <f t="shared" si="380"/>
        <v/>
      </c>
      <c r="W768" s="2" t="str">
        <f t="shared" si="396"/>
        <v/>
      </c>
      <c r="X768" s="2" t="str">
        <f t="shared" si="397"/>
        <v/>
      </c>
      <c r="Y768" s="2" t="str">
        <f t="shared" si="398"/>
        <v/>
      </c>
      <c r="Z768" s="2" t="str">
        <f t="shared" si="381"/>
        <v/>
      </c>
      <c r="AA768" s="2" t="str">
        <f t="shared" si="382"/>
        <v/>
      </c>
      <c r="AB768" s="2" t="str">
        <f t="shared" si="383"/>
        <v/>
      </c>
      <c r="AC768" s="2" t="str">
        <f t="shared" si="399"/>
        <v/>
      </c>
      <c r="AD768" s="2" t="str">
        <f t="shared" si="400"/>
        <v/>
      </c>
      <c r="AE768" s="2" t="str">
        <f t="shared" si="401"/>
        <v/>
      </c>
      <c r="AF768" s="2" t="str">
        <f t="shared" si="402"/>
        <v/>
      </c>
    </row>
    <row r="769" spans="1:32" x14ac:dyDescent="0.2">
      <c r="A769" s="2" t="str">
        <f t="shared" si="371"/>
        <v/>
      </c>
      <c r="B769" s="2" t="str">
        <f t="shared" si="384"/>
        <v/>
      </c>
      <c r="C769" s="2" t="str">
        <f t="shared" si="385"/>
        <v/>
      </c>
      <c r="D769" s="2" t="str">
        <f t="shared" si="386"/>
        <v/>
      </c>
      <c r="E769" s="2" t="str">
        <f t="shared" si="387"/>
        <v/>
      </c>
      <c r="F769" s="2" t="str">
        <f t="shared" si="388"/>
        <v/>
      </c>
      <c r="G769" s="2" t="str">
        <f t="shared" si="389"/>
        <v/>
      </c>
      <c r="H769" s="2" t="str">
        <f t="shared" si="372"/>
        <v/>
      </c>
      <c r="I769" s="2" t="str">
        <f t="shared" si="373"/>
        <v/>
      </c>
      <c r="J769" s="2" t="str">
        <f t="shared" si="374"/>
        <v/>
      </c>
      <c r="K769" s="2" t="str">
        <f t="shared" si="390"/>
        <v/>
      </c>
      <c r="L769" s="2" t="str">
        <f t="shared" si="391"/>
        <v/>
      </c>
      <c r="M769" s="2" t="str">
        <f t="shared" si="392"/>
        <v/>
      </c>
      <c r="N769" s="2" t="str">
        <f t="shared" si="375"/>
        <v/>
      </c>
      <c r="O769" s="2" t="str">
        <f t="shared" si="376"/>
        <v/>
      </c>
      <c r="P769" s="2" t="str">
        <f t="shared" si="377"/>
        <v/>
      </c>
      <c r="Q769" s="2" t="str">
        <f t="shared" si="393"/>
        <v/>
      </c>
      <c r="R769" s="2" t="str">
        <f t="shared" si="394"/>
        <v/>
      </c>
      <c r="S769" s="2" t="str">
        <f t="shared" si="395"/>
        <v/>
      </c>
      <c r="T769" s="2" t="str">
        <f t="shared" si="378"/>
        <v/>
      </c>
      <c r="U769" s="2" t="str">
        <f t="shared" si="379"/>
        <v/>
      </c>
      <c r="V769" s="2" t="str">
        <f t="shared" si="380"/>
        <v/>
      </c>
      <c r="W769" s="2" t="str">
        <f t="shared" si="396"/>
        <v/>
      </c>
      <c r="X769" s="2" t="str">
        <f t="shared" si="397"/>
        <v/>
      </c>
      <c r="Y769" s="2" t="str">
        <f t="shared" si="398"/>
        <v/>
      </c>
      <c r="Z769" s="2" t="str">
        <f t="shared" si="381"/>
        <v/>
      </c>
      <c r="AA769" s="2" t="str">
        <f t="shared" si="382"/>
        <v/>
      </c>
      <c r="AB769" s="2" t="str">
        <f t="shared" si="383"/>
        <v/>
      </c>
      <c r="AC769" s="2" t="str">
        <f t="shared" si="399"/>
        <v/>
      </c>
      <c r="AD769" s="2" t="str">
        <f t="shared" si="400"/>
        <v/>
      </c>
      <c r="AE769" s="2" t="str">
        <f t="shared" si="401"/>
        <v/>
      </c>
      <c r="AF769" s="2" t="str">
        <f t="shared" si="402"/>
        <v/>
      </c>
    </row>
    <row r="770" spans="1:32" x14ac:dyDescent="0.2">
      <c r="A770" s="2" t="str">
        <f t="shared" si="371"/>
        <v/>
      </c>
      <c r="B770" s="2" t="str">
        <f t="shared" si="384"/>
        <v/>
      </c>
      <c r="C770" s="2" t="str">
        <f t="shared" si="385"/>
        <v/>
      </c>
      <c r="D770" s="2" t="str">
        <f t="shared" si="386"/>
        <v/>
      </c>
      <c r="E770" s="2" t="str">
        <f t="shared" si="387"/>
        <v/>
      </c>
      <c r="F770" s="2" t="str">
        <f t="shared" si="388"/>
        <v/>
      </c>
      <c r="G770" s="2" t="str">
        <f t="shared" si="389"/>
        <v/>
      </c>
      <c r="H770" s="2" t="str">
        <f t="shared" si="372"/>
        <v/>
      </c>
      <c r="I770" s="2" t="str">
        <f t="shared" si="373"/>
        <v/>
      </c>
      <c r="J770" s="2" t="str">
        <f t="shared" si="374"/>
        <v/>
      </c>
      <c r="K770" s="2" t="str">
        <f t="shared" si="390"/>
        <v/>
      </c>
      <c r="L770" s="2" t="str">
        <f t="shared" si="391"/>
        <v/>
      </c>
      <c r="M770" s="2" t="str">
        <f t="shared" si="392"/>
        <v/>
      </c>
      <c r="N770" s="2" t="str">
        <f t="shared" si="375"/>
        <v/>
      </c>
      <c r="O770" s="2" t="str">
        <f t="shared" si="376"/>
        <v/>
      </c>
      <c r="P770" s="2" t="str">
        <f t="shared" si="377"/>
        <v/>
      </c>
      <c r="Q770" s="2" t="str">
        <f t="shared" si="393"/>
        <v/>
      </c>
      <c r="R770" s="2" t="str">
        <f t="shared" si="394"/>
        <v/>
      </c>
      <c r="S770" s="2" t="str">
        <f t="shared" si="395"/>
        <v/>
      </c>
      <c r="T770" s="2" t="str">
        <f t="shared" si="378"/>
        <v/>
      </c>
      <c r="U770" s="2" t="str">
        <f t="shared" si="379"/>
        <v/>
      </c>
      <c r="V770" s="2" t="str">
        <f t="shared" si="380"/>
        <v/>
      </c>
      <c r="W770" s="2" t="str">
        <f t="shared" si="396"/>
        <v/>
      </c>
      <c r="X770" s="2" t="str">
        <f t="shared" si="397"/>
        <v/>
      </c>
      <c r="Y770" s="2" t="str">
        <f t="shared" si="398"/>
        <v/>
      </c>
      <c r="Z770" s="2" t="str">
        <f t="shared" si="381"/>
        <v/>
      </c>
      <c r="AA770" s="2" t="str">
        <f t="shared" si="382"/>
        <v/>
      </c>
      <c r="AB770" s="2" t="str">
        <f t="shared" si="383"/>
        <v/>
      </c>
      <c r="AC770" s="2" t="str">
        <f t="shared" si="399"/>
        <v/>
      </c>
      <c r="AD770" s="2" t="str">
        <f t="shared" si="400"/>
        <v/>
      </c>
      <c r="AE770" s="2" t="str">
        <f t="shared" si="401"/>
        <v/>
      </c>
      <c r="AF770" s="2" t="str">
        <f t="shared" si="402"/>
        <v/>
      </c>
    </row>
    <row r="771" spans="1:32" x14ac:dyDescent="0.2">
      <c r="A771" s="2" t="str">
        <f t="shared" si="371"/>
        <v/>
      </c>
      <c r="B771" s="2" t="str">
        <f t="shared" si="384"/>
        <v/>
      </c>
      <c r="C771" s="2" t="str">
        <f t="shared" si="385"/>
        <v/>
      </c>
      <c r="D771" s="2" t="str">
        <f t="shared" si="386"/>
        <v/>
      </c>
      <c r="E771" s="2" t="str">
        <f t="shared" si="387"/>
        <v/>
      </c>
      <c r="F771" s="2" t="str">
        <f t="shared" si="388"/>
        <v/>
      </c>
      <c r="G771" s="2" t="str">
        <f t="shared" si="389"/>
        <v/>
      </c>
      <c r="H771" s="2" t="str">
        <f t="shared" si="372"/>
        <v/>
      </c>
      <c r="I771" s="2" t="str">
        <f t="shared" si="373"/>
        <v/>
      </c>
      <c r="J771" s="2" t="str">
        <f t="shared" si="374"/>
        <v/>
      </c>
      <c r="K771" s="2" t="str">
        <f t="shared" si="390"/>
        <v/>
      </c>
      <c r="L771" s="2" t="str">
        <f t="shared" si="391"/>
        <v/>
      </c>
      <c r="M771" s="2" t="str">
        <f t="shared" si="392"/>
        <v/>
      </c>
      <c r="N771" s="2" t="str">
        <f t="shared" si="375"/>
        <v/>
      </c>
      <c r="O771" s="2" t="str">
        <f t="shared" si="376"/>
        <v/>
      </c>
      <c r="P771" s="2" t="str">
        <f t="shared" si="377"/>
        <v/>
      </c>
      <c r="Q771" s="2" t="str">
        <f t="shared" si="393"/>
        <v/>
      </c>
      <c r="R771" s="2" t="str">
        <f t="shared" si="394"/>
        <v/>
      </c>
      <c r="S771" s="2" t="str">
        <f t="shared" si="395"/>
        <v/>
      </c>
      <c r="T771" s="2" t="str">
        <f t="shared" si="378"/>
        <v/>
      </c>
      <c r="U771" s="2" t="str">
        <f t="shared" si="379"/>
        <v/>
      </c>
      <c r="V771" s="2" t="str">
        <f t="shared" si="380"/>
        <v/>
      </c>
      <c r="W771" s="2" t="str">
        <f t="shared" si="396"/>
        <v/>
      </c>
      <c r="X771" s="2" t="str">
        <f t="shared" si="397"/>
        <v/>
      </c>
      <c r="Y771" s="2" t="str">
        <f t="shared" si="398"/>
        <v/>
      </c>
      <c r="Z771" s="2" t="str">
        <f t="shared" si="381"/>
        <v/>
      </c>
      <c r="AA771" s="2" t="str">
        <f t="shared" si="382"/>
        <v/>
      </c>
      <c r="AB771" s="2" t="str">
        <f t="shared" si="383"/>
        <v/>
      </c>
      <c r="AC771" s="2" t="str">
        <f t="shared" si="399"/>
        <v/>
      </c>
      <c r="AD771" s="2" t="str">
        <f t="shared" si="400"/>
        <v/>
      </c>
      <c r="AE771" s="2" t="str">
        <f t="shared" si="401"/>
        <v/>
      </c>
      <c r="AF771" s="2" t="str">
        <f t="shared" si="402"/>
        <v/>
      </c>
    </row>
    <row r="772" spans="1:32" x14ac:dyDescent="0.2">
      <c r="A772" s="2" t="str">
        <f t="shared" si="371"/>
        <v/>
      </c>
      <c r="B772" s="2" t="str">
        <f t="shared" si="384"/>
        <v/>
      </c>
      <c r="C772" s="2" t="str">
        <f t="shared" si="385"/>
        <v/>
      </c>
      <c r="D772" s="2" t="str">
        <f t="shared" si="386"/>
        <v/>
      </c>
      <c r="E772" s="2" t="str">
        <f t="shared" si="387"/>
        <v/>
      </c>
      <c r="F772" s="2" t="str">
        <f t="shared" si="388"/>
        <v/>
      </c>
      <c r="G772" s="2" t="str">
        <f t="shared" si="389"/>
        <v/>
      </c>
      <c r="H772" s="2" t="str">
        <f t="shared" si="372"/>
        <v/>
      </c>
      <c r="I772" s="2" t="str">
        <f t="shared" si="373"/>
        <v/>
      </c>
      <c r="J772" s="2" t="str">
        <f t="shared" si="374"/>
        <v/>
      </c>
      <c r="K772" s="2" t="str">
        <f t="shared" si="390"/>
        <v/>
      </c>
      <c r="L772" s="2" t="str">
        <f t="shared" si="391"/>
        <v/>
      </c>
      <c r="M772" s="2" t="str">
        <f t="shared" si="392"/>
        <v/>
      </c>
      <c r="N772" s="2" t="str">
        <f t="shared" si="375"/>
        <v/>
      </c>
      <c r="O772" s="2" t="str">
        <f t="shared" si="376"/>
        <v/>
      </c>
      <c r="P772" s="2" t="str">
        <f t="shared" si="377"/>
        <v/>
      </c>
      <c r="Q772" s="2" t="str">
        <f t="shared" si="393"/>
        <v/>
      </c>
      <c r="R772" s="2" t="str">
        <f t="shared" si="394"/>
        <v/>
      </c>
      <c r="S772" s="2" t="str">
        <f t="shared" si="395"/>
        <v/>
      </c>
      <c r="T772" s="2" t="str">
        <f t="shared" si="378"/>
        <v/>
      </c>
      <c r="U772" s="2" t="str">
        <f t="shared" si="379"/>
        <v/>
      </c>
      <c r="V772" s="2" t="str">
        <f t="shared" si="380"/>
        <v/>
      </c>
      <c r="W772" s="2" t="str">
        <f t="shared" si="396"/>
        <v/>
      </c>
      <c r="X772" s="2" t="str">
        <f t="shared" si="397"/>
        <v/>
      </c>
      <c r="Y772" s="2" t="str">
        <f t="shared" si="398"/>
        <v/>
      </c>
      <c r="Z772" s="2" t="str">
        <f t="shared" si="381"/>
        <v/>
      </c>
      <c r="AA772" s="2" t="str">
        <f t="shared" si="382"/>
        <v/>
      </c>
      <c r="AB772" s="2" t="str">
        <f t="shared" si="383"/>
        <v/>
      </c>
      <c r="AC772" s="2" t="str">
        <f t="shared" si="399"/>
        <v/>
      </c>
      <c r="AD772" s="2" t="str">
        <f t="shared" si="400"/>
        <v/>
      </c>
      <c r="AE772" s="2" t="str">
        <f t="shared" si="401"/>
        <v/>
      </c>
      <c r="AF772" s="2" t="str">
        <f t="shared" si="402"/>
        <v/>
      </c>
    </row>
    <row r="773" spans="1:32" x14ac:dyDescent="0.2">
      <c r="A773" s="2" t="str">
        <f t="shared" ref="A773:A836" si="403">IF(AH773="","",_xlfn.CONCAT(AH773,"_",ROW()-3))</f>
        <v/>
      </c>
      <c r="B773" s="2" t="str">
        <f t="shared" si="384"/>
        <v/>
      </c>
      <c r="C773" s="2" t="str">
        <f t="shared" si="385"/>
        <v/>
      </c>
      <c r="D773" s="2" t="str">
        <f t="shared" si="386"/>
        <v/>
      </c>
      <c r="E773" s="2" t="str">
        <f t="shared" si="387"/>
        <v/>
      </c>
      <c r="F773" s="2" t="str">
        <f t="shared" si="388"/>
        <v/>
      </c>
      <c r="G773" s="2" t="str">
        <f t="shared" si="389"/>
        <v/>
      </c>
      <c r="H773" s="2" t="str">
        <f t="shared" ref="H773:H836" si="404">IF(AO773="","",IF(AQ773&lt;&gt;0,(AO773+AQ773)/2,AO773)-BN773)</f>
        <v/>
      </c>
      <c r="I773" s="2" t="str">
        <f t="shared" ref="I773:I836" si="405">IF(AP773="","",AP773)</f>
        <v/>
      </c>
      <c r="J773" s="2" t="str">
        <f t="shared" ref="J773:J836" si="406">IF(AQ773="","",(AO773+AQ773)/2-BN773)</f>
        <v/>
      </c>
      <c r="K773" s="2" t="str">
        <f t="shared" si="390"/>
        <v/>
      </c>
      <c r="L773" s="2" t="str">
        <f t="shared" si="391"/>
        <v/>
      </c>
      <c r="M773" s="2" t="str">
        <f t="shared" si="392"/>
        <v/>
      </c>
      <c r="N773" s="2" t="str">
        <f t="shared" ref="N773:N836" si="407">IF(AU773="","",IF(AW773&lt;&gt;0,(AU773+AW773)/2,AU773)-BN774)</f>
        <v/>
      </c>
      <c r="O773" s="2" t="str">
        <f t="shared" ref="O773:O836" si="408">IF(AV773="","",AV773)</f>
        <v/>
      </c>
      <c r="P773" s="2" t="str">
        <f t="shared" ref="P773:P836" si="409">IF(AW773="","",(AU773+AW773)/2-BN774)</f>
        <v/>
      </c>
      <c r="Q773" s="2" t="str">
        <f t="shared" si="393"/>
        <v/>
      </c>
      <c r="R773" s="2" t="str">
        <f t="shared" si="394"/>
        <v/>
      </c>
      <c r="S773" s="2" t="str">
        <f t="shared" si="395"/>
        <v/>
      </c>
      <c r="T773" s="2" t="str">
        <f t="shared" ref="T773:T836" si="410">IF(BA773="","",IF(BC773&lt;&gt;0,(BA773+BC773)/2,BA773)-BN775)</f>
        <v/>
      </c>
      <c r="U773" s="2" t="str">
        <f t="shared" ref="U773:U836" si="411">IF(BB773="","",BB773)</f>
        <v/>
      </c>
      <c r="V773" s="2" t="str">
        <f t="shared" ref="V773:V836" si="412">IF(BC773="","",(BA773+BC773)/2-BN775)</f>
        <v/>
      </c>
      <c r="W773" s="2" t="str">
        <f t="shared" si="396"/>
        <v/>
      </c>
      <c r="X773" s="2" t="str">
        <f t="shared" si="397"/>
        <v/>
      </c>
      <c r="Y773" s="2" t="str">
        <f t="shared" si="398"/>
        <v/>
      </c>
      <c r="Z773" s="2" t="str">
        <f t="shared" ref="Z773:Z836" si="413">IF(BG773="","",IF(BI773&lt;&gt;0,(BG773+BI773)/2,BG773)-BN776)</f>
        <v/>
      </c>
      <c r="AA773" s="2" t="str">
        <f t="shared" ref="AA773:AA836" si="414">IF(BH773="","",BH773)</f>
        <v/>
      </c>
      <c r="AB773" s="2" t="str">
        <f t="shared" ref="AB773:AB836" si="415">IF(BI773="","",(BG773+BI773)/2-BN776)</f>
        <v/>
      </c>
      <c r="AC773" s="2" t="str">
        <f t="shared" si="399"/>
        <v/>
      </c>
      <c r="AD773" s="2" t="str">
        <f t="shared" si="400"/>
        <v/>
      </c>
      <c r="AE773" s="2" t="str">
        <f t="shared" si="401"/>
        <v/>
      </c>
      <c r="AF773" s="2" t="str">
        <f t="shared" si="402"/>
        <v/>
      </c>
    </row>
    <row r="774" spans="1:32" x14ac:dyDescent="0.2">
      <c r="A774" s="2" t="str">
        <f t="shared" si="403"/>
        <v/>
      </c>
      <c r="B774" s="2" t="str">
        <f t="shared" si="384"/>
        <v/>
      </c>
      <c r="C774" s="2" t="str">
        <f t="shared" si="385"/>
        <v/>
      </c>
      <c r="D774" s="2" t="str">
        <f t="shared" si="386"/>
        <v/>
      </c>
      <c r="E774" s="2" t="str">
        <f t="shared" si="387"/>
        <v/>
      </c>
      <c r="F774" s="2" t="str">
        <f t="shared" si="388"/>
        <v/>
      </c>
      <c r="G774" s="2" t="str">
        <f t="shared" si="389"/>
        <v/>
      </c>
      <c r="H774" s="2" t="str">
        <f t="shared" si="404"/>
        <v/>
      </c>
      <c r="I774" s="2" t="str">
        <f t="shared" si="405"/>
        <v/>
      </c>
      <c r="J774" s="2" t="str">
        <f t="shared" si="406"/>
        <v/>
      </c>
      <c r="K774" s="2" t="str">
        <f t="shared" si="390"/>
        <v/>
      </c>
      <c r="L774" s="2" t="str">
        <f t="shared" si="391"/>
        <v/>
      </c>
      <c r="M774" s="2" t="str">
        <f t="shared" si="392"/>
        <v/>
      </c>
      <c r="N774" s="2" t="str">
        <f t="shared" si="407"/>
        <v/>
      </c>
      <c r="O774" s="2" t="str">
        <f t="shared" si="408"/>
        <v/>
      </c>
      <c r="P774" s="2" t="str">
        <f t="shared" si="409"/>
        <v/>
      </c>
      <c r="Q774" s="2" t="str">
        <f t="shared" si="393"/>
        <v/>
      </c>
      <c r="R774" s="2" t="str">
        <f t="shared" si="394"/>
        <v/>
      </c>
      <c r="S774" s="2" t="str">
        <f t="shared" si="395"/>
        <v/>
      </c>
      <c r="T774" s="2" t="str">
        <f t="shared" si="410"/>
        <v/>
      </c>
      <c r="U774" s="2" t="str">
        <f t="shared" si="411"/>
        <v/>
      </c>
      <c r="V774" s="2" t="str">
        <f t="shared" si="412"/>
        <v/>
      </c>
      <c r="W774" s="2" t="str">
        <f t="shared" si="396"/>
        <v/>
      </c>
      <c r="X774" s="2" t="str">
        <f t="shared" si="397"/>
        <v/>
      </c>
      <c r="Y774" s="2" t="str">
        <f t="shared" si="398"/>
        <v/>
      </c>
      <c r="Z774" s="2" t="str">
        <f t="shared" si="413"/>
        <v/>
      </c>
      <c r="AA774" s="2" t="str">
        <f t="shared" si="414"/>
        <v/>
      </c>
      <c r="AB774" s="2" t="str">
        <f t="shared" si="415"/>
        <v/>
      </c>
      <c r="AC774" s="2" t="str">
        <f t="shared" si="399"/>
        <v/>
      </c>
      <c r="AD774" s="2" t="str">
        <f t="shared" si="400"/>
        <v/>
      </c>
      <c r="AE774" s="2" t="str">
        <f t="shared" si="401"/>
        <v/>
      </c>
      <c r="AF774" s="2" t="str">
        <f t="shared" si="402"/>
        <v/>
      </c>
    </row>
    <row r="775" spans="1:32" x14ac:dyDescent="0.2">
      <c r="A775" s="2" t="str">
        <f t="shared" si="403"/>
        <v/>
      </c>
      <c r="B775" s="2" t="str">
        <f t="shared" si="384"/>
        <v/>
      </c>
      <c r="C775" s="2" t="str">
        <f t="shared" si="385"/>
        <v/>
      </c>
      <c r="D775" s="2" t="str">
        <f t="shared" si="386"/>
        <v/>
      </c>
      <c r="E775" s="2" t="str">
        <f t="shared" si="387"/>
        <v/>
      </c>
      <c r="F775" s="2" t="str">
        <f t="shared" si="388"/>
        <v/>
      </c>
      <c r="G775" s="2" t="str">
        <f t="shared" si="389"/>
        <v/>
      </c>
      <c r="H775" s="2" t="str">
        <f t="shared" si="404"/>
        <v/>
      </c>
      <c r="I775" s="2" t="str">
        <f t="shared" si="405"/>
        <v/>
      </c>
      <c r="J775" s="2" t="str">
        <f t="shared" si="406"/>
        <v/>
      </c>
      <c r="K775" s="2" t="str">
        <f t="shared" si="390"/>
        <v/>
      </c>
      <c r="L775" s="2" t="str">
        <f t="shared" si="391"/>
        <v/>
      </c>
      <c r="M775" s="2" t="str">
        <f t="shared" si="392"/>
        <v/>
      </c>
      <c r="N775" s="2" t="str">
        <f t="shared" si="407"/>
        <v/>
      </c>
      <c r="O775" s="2" t="str">
        <f t="shared" si="408"/>
        <v/>
      </c>
      <c r="P775" s="2" t="str">
        <f t="shared" si="409"/>
        <v/>
      </c>
      <c r="Q775" s="2" t="str">
        <f t="shared" si="393"/>
        <v/>
      </c>
      <c r="R775" s="2" t="str">
        <f t="shared" si="394"/>
        <v/>
      </c>
      <c r="S775" s="2" t="str">
        <f t="shared" si="395"/>
        <v/>
      </c>
      <c r="T775" s="2" t="str">
        <f t="shared" si="410"/>
        <v/>
      </c>
      <c r="U775" s="2" t="str">
        <f t="shared" si="411"/>
        <v/>
      </c>
      <c r="V775" s="2" t="str">
        <f t="shared" si="412"/>
        <v/>
      </c>
      <c r="W775" s="2" t="str">
        <f t="shared" si="396"/>
        <v/>
      </c>
      <c r="X775" s="2" t="str">
        <f t="shared" si="397"/>
        <v/>
      </c>
      <c r="Y775" s="2" t="str">
        <f t="shared" si="398"/>
        <v/>
      </c>
      <c r="Z775" s="2" t="str">
        <f t="shared" si="413"/>
        <v/>
      </c>
      <c r="AA775" s="2" t="str">
        <f t="shared" si="414"/>
        <v/>
      </c>
      <c r="AB775" s="2" t="str">
        <f t="shared" si="415"/>
        <v/>
      </c>
      <c r="AC775" s="2" t="str">
        <f t="shared" si="399"/>
        <v/>
      </c>
      <c r="AD775" s="2" t="str">
        <f t="shared" si="400"/>
        <v/>
      </c>
      <c r="AE775" s="2" t="str">
        <f t="shared" si="401"/>
        <v/>
      </c>
      <c r="AF775" s="2" t="str">
        <f t="shared" si="402"/>
        <v/>
      </c>
    </row>
    <row r="776" spans="1:32" x14ac:dyDescent="0.2">
      <c r="A776" s="2" t="str">
        <f t="shared" si="403"/>
        <v/>
      </c>
      <c r="B776" s="2" t="str">
        <f t="shared" si="384"/>
        <v/>
      </c>
      <c r="C776" s="2" t="str">
        <f t="shared" si="385"/>
        <v/>
      </c>
      <c r="D776" s="2" t="str">
        <f t="shared" si="386"/>
        <v/>
      </c>
      <c r="E776" s="2" t="str">
        <f t="shared" si="387"/>
        <v/>
      </c>
      <c r="F776" s="2" t="str">
        <f t="shared" si="388"/>
        <v/>
      </c>
      <c r="G776" s="2" t="str">
        <f t="shared" si="389"/>
        <v/>
      </c>
      <c r="H776" s="2" t="str">
        <f t="shared" si="404"/>
        <v/>
      </c>
      <c r="I776" s="2" t="str">
        <f t="shared" si="405"/>
        <v/>
      </c>
      <c r="J776" s="2" t="str">
        <f t="shared" si="406"/>
        <v/>
      </c>
      <c r="K776" s="2" t="str">
        <f t="shared" si="390"/>
        <v/>
      </c>
      <c r="L776" s="2" t="str">
        <f t="shared" si="391"/>
        <v/>
      </c>
      <c r="M776" s="2" t="str">
        <f t="shared" si="392"/>
        <v/>
      </c>
      <c r="N776" s="2" t="str">
        <f t="shared" si="407"/>
        <v/>
      </c>
      <c r="O776" s="2" t="str">
        <f t="shared" si="408"/>
        <v/>
      </c>
      <c r="P776" s="2" t="str">
        <f t="shared" si="409"/>
        <v/>
      </c>
      <c r="Q776" s="2" t="str">
        <f t="shared" si="393"/>
        <v/>
      </c>
      <c r="R776" s="2" t="str">
        <f t="shared" si="394"/>
        <v/>
      </c>
      <c r="S776" s="2" t="str">
        <f t="shared" si="395"/>
        <v/>
      </c>
      <c r="T776" s="2" t="str">
        <f t="shared" si="410"/>
        <v/>
      </c>
      <c r="U776" s="2" t="str">
        <f t="shared" si="411"/>
        <v/>
      </c>
      <c r="V776" s="2" t="str">
        <f t="shared" si="412"/>
        <v/>
      </c>
      <c r="W776" s="2" t="str">
        <f t="shared" si="396"/>
        <v/>
      </c>
      <c r="X776" s="2" t="str">
        <f t="shared" si="397"/>
        <v/>
      </c>
      <c r="Y776" s="2" t="str">
        <f t="shared" si="398"/>
        <v/>
      </c>
      <c r="Z776" s="2" t="str">
        <f t="shared" si="413"/>
        <v/>
      </c>
      <c r="AA776" s="2" t="str">
        <f t="shared" si="414"/>
        <v/>
      </c>
      <c r="AB776" s="2" t="str">
        <f t="shared" si="415"/>
        <v/>
      </c>
      <c r="AC776" s="2" t="str">
        <f t="shared" si="399"/>
        <v/>
      </c>
      <c r="AD776" s="2" t="str">
        <f t="shared" si="400"/>
        <v/>
      </c>
      <c r="AE776" s="2" t="str">
        <f t="shared" si="401"/>
        <v/>
      </c>
      <c r="AF776" s="2" t="str">
        <f t="shared" si="402"/>
        <v/>
      </c>
    </row>
    <row r="777" spans="1:32" x14ac:dyDescent="0.2">
      <c r="A777" s="2" t="str">
        <f t="shared" si="403"/>
        <v/>
      </c>
      <c r="B777" s="2" t="str">
        <f t="shared" si="384"/>
        <v/>
      </c>
      <c r="C777" s="2" t="str">
        <f t="shared" si="385"/>
        <v/>
      </c>
      <c r="D777" s="2" t="str">
        <f t="shared" si="386"/>
        <v/>
      </c>
      <c r="E777" s="2" t="str">
        <f t="shared" si="387"/>
        <v/>
      </c>
      <c r="F777" s="2" t="str">
        <f t="shared" si="388"/>
        <v/>
      </c>
      <c r="G777" s="2" t="str">
        <f t="shared" si="389"/>
        <v/>
      </c>
      <c r="H777" s="2" t="str">
        <f t="shared" si="404"/>
        <v/>
      </c>
      <c r="I777" s="2" t="str">
        <f t="shared" si="405"/>
        <v/>
      </c>
      <c r="J777" s="2" t="str">
        <f t="shared" si="406"/>
        <v/>
      </c>
      <c r="K777" s="2" t="str">
        <f t="shared" si="390"/>
        <v/>
      </c>
      <c r="L777" s="2" t="str">
        <f t="shared" si="391"/>
        <v/>
      </c>
      <c r="M777" s="2" t="str">
        <f t="shared" si="392"/>
        <v/>
      </c>
      <c r="N777" s="2" t="str">
        <f t="shared" si="407"/>
        <v/>
      </c>
      <c r="O777" s="2" t="str">
        <f t="shared" si="408"/>
        <v/>
      </c>
      <c r="P777" s="2" t="str">
        <f t="shared" si="409"/>
        <v/>
      </c>
      <c r="Q777" s="2" t="str">
        <f t="shared" si="393"/>
        <v/>
      </c>
      <c r="R777" s="2" t="str">
        <f t="shared" si="394"/>
        <v/>
      </c>
      <c r="S777" s="2" t="str">
        <f t="shared" si="395"/>
        <v/>
      </c>
      <c r="T777" s="2" t="str">
        <f t="shared" si="410"/>
        <v/>
      </c>
      <c r="U777" s="2" t="str">
        <f t="shared" si="411"/>
        <v/>
      </c>
      <c r="V777" s="2" t="str">
        <f t="shared" si="412"/>
        <v/>
      </c>
      <c r="W777" s="2" t="str">
        <f t="shared" si="396"/>
        <v/>
      </c>
      <c r="X777" s="2" t="str">
        <f t="shared" si="397"/>
        <v/>
      </c>
      <c r="Y777" s="2" t="str">
        <f t="shared" si="398"/>
        <v/>
      </c>
      <c r="Z777" s="2" t="str">
        <f t="shared" si="413"/>
        <v/>
      </c>
      <c r="AA777" s="2" t="str">
        <f t="shared" si="414"/>
        <v/>
      </c>
      <c r="AB777" s="2" t="str">
        <f t="shared" si="415"/>
        <v/>
      </c>
      <c r="AC777" s="2" t="str">
        <f t="shared" si="399"/>
        <v/>
      </c>
      <c r="AD777" s="2" t="str">
        <f t="shared" si="400"/>
        <v/>
      </c>
      <c r="AE777" s="2" t="str">
        <f t="shared" si="401"/>
        <v/>
      </c>
      <c r="AF777" s="2" t="str">
        <f t="shared" si="402"/>
        <v/>
      </c>
    </row>
    <row r="778" spans="1:32" x14ac:dyDescent="0.2">
      <c r="A778" s="2" t="str">
        <f t="shared" si="403"/>
        <v/>
      </c>
      <c r="B778" s="2" t="str">
        <f t="shared" si="384"/>
        <v/>
      </c>
      <c r="C778" s="2" t="str">
        <f t="shared" si="385"/>
        <v/>
      </c>
      <c r="D778" s="2" t="str">
        <f t="shared" si="386"/>
        <v/>
      </c>
      <c r="E778" s="2" t="str">
        <f t="shared" si="387"/>
        <v/>
      </c>
      <c r="F778" s="2" t="str">
        <f t="shared" si="388"/>
        <v/>
      </c>
      <c r="G778" s="2" t="str">
        <f t="shared" si="389"/>
        <v/>
      </c>
      <c r="H778" s="2" t="str">
        <f t="shared" si="404"/>
        <v/>
      </c>
      <c r="I778" s="2" t="str">
        <f t="shared" si="405"/>
        <v/>
      </c>
      <c r="J778" s="2" t="str">
        <f t="shared" si="406"/>
        <v/>
      </c>
      <c r="K778" s="2" t="str">
        <f t="shared" si="390"/>
        <v/>
      </c>
      <c r="L778" s="2" t="str">
        <f t="shared" si="391"/>
        <v/>
      </c>
      <c r="M778" s="2" t="str">
        <f t="shared" si="392"/>
        <v/>
      </c>
      <c r="N778" s="2" t="str">
        <f t="shared" si="407"/>
        <v/>
      </c>
      <c r="O778" s="2" t="str">
        <f t="shared" si="408"/>
        <v/>
      </c>
      <c r="P778" s="2" t="str">
        <f t="shared" si="409"/>
        <v/>
      </c>
      <c r="Q778" s="2" t="str">
        <f t="shared" si="393"/>
        <v/>
      </c>
      <c r="R778" s="2" t="str">
        <f t="shared" si="394"/>
        <v/>
      </c>
      <c r="S778" s="2" t="str">
        <f t="shared" si="395"/>
        <v/>
      </c>
      <c r="T778" s="2" t="str">
        <f t="shared" si="410"/>
        <v/>
      </c>
      <c r="U778" s="2" t="str">
        <f t="shared" si="411"/>
        <v/>
      </c>
      <c r="V778" s="2" t="str">
        <f t="shared" si="412"/>
        <v/>
      </c>
      <c r="W778" s="2" t="str">
        <f t="shared" si="396"/>
        <v/>
      </c>
      <c r="X778" s="2" t="str">
        <f t="shared" si="397"/>
        <v/>
      </c>
      <c r="Y778" s="2" t="str">
        <f t="shared" si="398"/>
        <v/>
      </c>
      <c r="Z778" s="2" t="str">
        <f t="shared" si="413"/>
        <v/>
      </c>
      <c r="AA778" s="2" t="str">
        <f t="shared" si="414"/>
        <v/>
      </c>
      <c r="AB778" s="2" t="str">
        <f t="shared" si="415"/>
        <v/>
      </c>
      <c r="AC778" s="2" t="str">
        <f t="shared" si="399"/>
        <v/>
      </c>
      <c r="AD778" s="2" t="str">
        <f t="shared" si="400"/>
        <v/>
      </c>
      <c r="AE778" s="2" t="str">
        <f t="shared" si="401"/>
        <v/>
      </c>
      <c r="AF778" s="2" t="str">
        <f t="shared" si="402"/>
        <v/>
      </c>
    </row>
    <row r="779" spans="1:32" x14ac:dyDescent="0.2">
      <c r="A779" s="2" t="str">
        <f t="shared" si="403"/>
        <v/>
      </c>
      <c r="B779" s="2" t="str">
        <f t="shared" si="384"/>
        <v/>
      </c>
      <c r="C779" s="2" t="str">
        <f t="shared" si="385"/>
        <v/>
      </c>
      <c r="D779" s="2" t="str">
        <f t="shared" si="386"/>
        <v/>
      </c>
      <c r="E779" s="2" t="str">
        <f t="shared" si="387"/>
        <v/>
      </c>
      <c r="F779" s="2" t="str">
        <f t="shared" si="388"/>
        <v/>
      </c>
      <c r="G779" s="2" t="str">
        <f t="shared" si="389"/>
        <v/>
      </c>
      <c r="H779" s="2" t="str">
        <f t="shared" si="404"/>
        <v/>
      </c>
      <c r="I779" s="2" t="str">
        <f t="shared" si="405"/>
        <v/>
      </c>
      <c r="J779" s="2" t="str">
        <f t="shared" si="406"/>
        <v/>
      </c>
      <c r="K779" s="2" t="str">
        <f t="shared" si="390"/>
        <v/>
      </c>
      <c r="L779" s="2" t="str">
        <f t="shared" si="391"/>
        <v/>
      </c>
      <c r="M779" s="2" t="str">
        <f t="shared" si="392"/>
        <v/>
      </c>
      <c r="N779" s="2" t="str">
        <f t="shared" si="407"/>
        <v/>
      </c>
      <c r="O779" s="2" t="str">
        <f t="shared" si="408"/>
        <v/>
      </c>
      <c r="P779" s="2" t="str">
        <f t="shared" si="409"/>
        <v/>
      </c>
      <c r="Q779" s="2" t="str">
        <f t="shared" si="393"/>
        <v/>
      </c>
      <c r="R779" s="2" t="str">
        <f t="shared" si="394"/>
        <v/>
      </c>
      <c r="S779" s="2" t="str">
        <f t="shared" si="395"/>
        <v/>
      </c>
      <c r="T779" s="2" t="str">
        <f t="shared" si="410"/>
        <v/>
      </c>
      <c r="U779" s="2" t="str">
        <f t="shared" si="411"/>
        <v/>
      </c>
      <c r="V779" s="2" t="str">
        <f t="shared" si="412"/>
        <v/>
      </c>
      <c r="W779" s="2" t="str">
        <f t="shared" si="396"/>
        <v/>
      </c>
      <c r="X779" s="2" t="str">
        <f t="shared" si="397"/>
        <v/>
      </c>
      <c r="Y779" s="2" t="str">
        <f t="shared" si="398"/>
        <v/>
      </c>
      <c r="Z779" s="2" t="str">
        <f t="shared" si="413"/>
        <v/>
      </c>
      <c r="AA779" s="2" t="str">
        <f t="shared" si="414"/>
        <v/>
      </c>
      <c r="AB779" s="2" t="str">
        <f t="shared" si="415"/>
        <v/>
      </c>
      <c r="AC779" s="2" t="str">
        <f t="shared" si="399"/>
        <v/>
      </c>
      <c r="AD779" s="2" t="str">
        <f t="shared" si="400"/>
        <v/>
      </c>
      <c r="AE779" s="2" t="str">
        <f t="shared" si="401"/>
        <v/>
      </c>
      <c r="AF779" s="2" t="str">
        <f t="shared" si="402"/>
        <v/>
      </c>
    </row>
    <row r="780" spans="1:32" x14ac:dyDescent="0.2">
      <c r="A780" s="2" t="str">
        <f t="shared" si="403"/>
        <v/>
      </c>
      <c r="B780" s="2" t="str">
        <f t="shared" si="384"/>
        <v/>
      </c>
      <c r="C780" s="2" t="str">
        <f t="shared" si="385"/>
        <v/>
      </c>
      <c r="D780" s="2" t="str">
        <f t="shared" si="386"/>
        <v/>
      </c>
      <c r="E780" s="2" t="str">
        <f t="shared" si="387"/>
        <v/>
      </c>
      <c r="F780" s="2" t="str">
        <f t="shared" si="388"/>
        <v/>
      </c>
      <c r="G780" s="2" t="str">
        <f t="shared" si="389"/>
        <v/>
      </c>
      <c r="H780" s="2" t="str">
        <f t="shared" si="404"/>
        <v/>
      </c>
      <c r="I780" s="2" t="str">
        <f t="shared" si="405"/>
        <v/>
      </c>
      <c r="J780" s="2" t="str">
        <f t="shared" si="406"/>
        <v/>
      </c>
      <c r="K780" s="2" t="str">
        <f t="shared" si="390"/>
        <v/>
      </c>
      <c r="L780" s="2" t="str">
        <f t="shared" si="391"/>
        <v/>
      </c>
      <c r="M780" s="2" t="str">
        <f t="shared" si="392"/>
        <v/>
      </c>
      <c r="N780" s="2" t="str">
        <f t="shared" si="407"/>
        <v/>
      </c>
      <c r="O780" s="2" t="str">
        <f t="shared" si="408"/>
        <v/>
      </c>
      <c r="P780" s="2" t="str">
        <f t="shared" si="409"/>
        <v/>
      </c>
      <c r="Q780" s="2" t="str">
        <f t="shared" si="393"/>
        <v/>
      </c>
      <c r="R780" s="2" t="str">
        <f t="shared" si="394"/>
        <v/>
      </c>
      <c r="S780" s="2" t="str">
        <f t="shared" si="395"/>
        <v/>
      </c>
      <c r="T780" s="2" t="str">
        <f t="shared" si="410"/>
        <v/>
      </c>
      <c r="U780" s="2" t="str">
        <f t="shared" si="411"/>
        <v/>
      </c>
      <c r="V780" s="2" t="str">
        <f t="shared" si="412"/>
        <v/>
      </c>
      <c r="W780" s="2" t="str">
        <f t="shared" si="396"/>
        <v/>
      </c>
      <c r="X780" s="2" t="str">
        <f t="shared" si="397"/>
        <v/>
      </c>
      <c r="Y780" s="2" t="str">
        <f t="shared" si="398"/>
        <v/>
      </c>
      <c r="Z780" s="2" t="str">
        <f t="shared" si="413"/>
        <v/>
      </c>
      <c r="AA780" s="2" t="str">
        <f t="shared" si="414"/>
        <v/>
      </c>
      <c r="AB780" s="2" t="str">
        <f t="shared" si="415"/>
        <v/>
      </c>
      <c r="AC780" s="2" t="str">
        <f t="shared" si="399"/>
        <v/>
      </c>
      <c r="AD780" s="2" t="str">
        <f t="shared" si="400"/>
        <v/>
      </c>
      <c r="AE780" s="2" t="str">
        <f t="shared" si="401"/>
        <v/>
      </c>
      <c r="AF780" s="2" t="str">
        <f t="shared" si="402"/>
        <v/>
      </c>
    </row>
    <row r="781" spans="1:32" x14ac:dyDescent="0.2">
      <c r="A781" s="2" t="str">
        <f t="shared" si="403"/>
        <v/>
      </c>
      <c r="B781" s="2" t="str">
        <f t="shared" si="384"/>
        <v/>
      </c>
      <c r="C781" s="2" t="str">
        <f t="shared" si="385"/>
        <v/>
      </c>
      <c r="D781" s="2" t="str">
        <f t="shared" si="386"/>
        <v/>
      </c>
      <c r="E781" s="2" t="str">
        <f t="shared" si="387"/>
        <v/>
      </c>
      <c r="F781" s="2" t="str">
        <f t="shared" si="388"/>
        <v/>
      </c>
      <c r="G781" s="2" t="str">
        <f t="shared" si="389"/>
        <v/>
      </c>
      <c r="H781" s="2" t="str">
        <f t="shared" si="404"/>
        <v/>
      </c>
      <c r="I781" s="2" t="str">
        <f t="shared" si="405"/>
        <v/>
      </c>
      <c r="J781" s="2" t="str">
        <f t="shared" si="406"/>
        <v/>
      </c>
      <c r="K781" s="2" t="str">
        <f t="shared" si="390"/>
        <v/>
      </c>
      <c r="L781" s="2" t="str">
        <f t="shared" si="391"/>
        <v/>
      </c>
      <c r="M781" s="2" t="str">
        <f t="shared" si="392"/>
        <v/>
      </c>
      <c r="N781" s="2" t="str">
        <f t="shared" si="407"/>
        <v/>
      </c>
      <c r="O781" s="2" t="str">
        <f t="shared" si="408"/>
        <v/>
      </c>
      <c r="P781" s="2" t="str">
        <f t="shared" si="409"/>
        <v/>
      </c>
      <c r="Q781" s="2" t="str">
        <f t="shared" si="393"/>
        <v/>
      </c>
      <c r="R781" s="2" t="str">
        <f t="shared" si="394"/>
        <v/>
      </c>
      <c r="S781" s="2" t="str">
        <f t="shared" si="395"/>
        <v/>
      </c>
      <c r="T781" s="2" t="str">
        <f t="shared" si="410"/>
        <v/>
      </c>
      <c r="U781" s="2" t="str">
        <f t="shared" si="411"/>
        <v/>
      </c>
      <c r="V781" s="2" t="str">
        <f t="shared" si="412"/>
        <v/>
      </c>
      <c r="W781" s="2" t="str">
        <f t="shared" si="396"/>
        <v/>
      </c>
      <c r="X781" s="2" t="str">
        <f t="shared" si="397"/>
        <v/>
      </c>
      <c r="Y781" s="2" t="str">
        <f t="shared" si="398"/>
        <v/>
      </c>
      <c r="Z781" s="2" t="str">
        <f t="shared" si="413"/>
        <v/>
      </c>
      <c r="AA781" s="2" t="str">
        <f t="shared" si="414"/>
        <v/>
      </c>
      <c r="AB781" s="2" t="str">
        <f t="shared" si="415"/>
        <v/>
      </c>
      <c r="AC781" s="2" t="str">
        <f t="shared" si="399"/>
        <v/>
      </c>
      <c r="AD781" s="2" t="str">
        <f t="shared" si="400"/>
        <v/>
      </c>
      <c r="AE781" s="2" t="str">
        <f t="shared" si="401"/>
        <v/>
      </c>
      <c r="AF781" s="2" t="str">
        <f t="shared" si="402"/>
        <v/>
      </c>
    </row>
    <row r="782" spans="1:32" x14ac:dyDescent="0.2">
      <c r="A782" s="2" t="str">
        <f t="shared" si="403"/>
        <v/>
      </c>
      <c r="B782" s="2" t="str">
        <f t="shared" si="384"/>
        <v/>
      </c>
      <c r="C782" s="2" t="str">
        <f t="shared" si="385"/>
        <v/>
      </c>
      <c r="D782" s="2" t="str">
        <f t="shared" si="386"/>
        <v/>
      </c>
      <c r="E782" s="2" t="str">
        <f t="shared" si="387"/>
        <v/>
      </c>
      <c r="F782" s="2" t="str">
        <f t="shared" si="388"/>
        <v/>
      </c>
      <c r="G782" s="2" t="str">
        <f t="shared" si="389"/>
        <v/>
      </c>
      <c r="H782" s="2" t="str">
        <f t="shared" si="404"/>
        <v/>
      </c>
      <c r="I782" s="2" t="str">
        <f t="shared" si="405"/>
        <v/>
      </c>
      <c r="J782" s="2" t="str">
        <f t="shared" si="406"/>
        <v/>
      </c>
      <c r="K782" s="2" t="str">
        <f t="shared" si="390"/>
        <v/>
      </c>
      <c r="L782" s="2" t="str">
        <f t="shared" si="391"/>
        <v/>
      </c>
      <c r="M782" s="2" t="str">
        <f t="shared" si="392"/>
        <v/>
      </c>
      <c r="N782" s="2" t="str">
        <f t="shared" si="407"/>
        <v/>
      </c>
      <c r="O782" s="2" t="str">
        <f t="shared" si="408"/>
        <v/>
      </c>
      <c r="P782" s="2" t="str">
        <f t="shared" si="409"/>
        <v/>
      </c>
      <c r="Q782" s="2" t="str">
        <f t="shared" si="393"/>
        <v/>
      </c>
      <c r="R782" s="2" t="str">
        <f t="shared" si="394"/>
        <v/>
      </c>
      <c r="S782" s="2" t="str">
        <f t="shared" si="395"/>
        <v/>
      </c>
      <c r="T782" s="2" t="str">
        <f t="shared" si="410"/>
        <v/>
      </c>
      <c r="U782" s="2" t="str">
        <f t="shared" si="411"/>
        <v/>
      </c>
      <c r="V782" s="2" t="str">
        <f t="shared" si="412"/>
        <v/>
      </c>
      <c r="W782" s="2" t="str">
        <f t="shared" si="396"/>
        <v/>
      </c>
      <c r="X782" s="2" t="str">
        <f t="shared" si="397"/>
        <v/>
      </c>
      <c r="Y782" s="2" t="str">
        <f t="shared" si="398"/>
        <v/>
      </c>
      <c r="Z782" s="2" t="str">
        <f t="shared" si="413"/>
        <v/>
      </c>
      <c r="AA782" s="2" t="str">
        <f t="shared" si="414"/>
        <v/>
      </c>
      <c r="AB782" s="2" t="str">
        <f t="shared" si="415"/>
        <v/>
      </c>
      <c r="AC782" s="2" t="str">
        <f t="shared" si="399"/>
        <v/>
      </c>
      <c r="AD782" s="2" t="str">
        <f t="shared" si="400"/>
        <v/>
      </c>
      <c r="AE782" s="2" t="str">
        <f t="shared" si="401"/>
        <v/>
      </c>
      <c r="AF782" s="2" t="str">
        <f t="shared" si="402"/>
        <v/>
      </c>
    </row>
    <row r="783" spans="1:32" x14ac:dyDescent="0.2">
      <c r="A783" s="2" t="str">
        <f t="shared" si="403"/>
        <v/>
      </c>
      <c r="B783" s="2" t="str">
        <f t="shared" si="384"/>
        <v/>
      </c>
      <c r="C783" s="2" t="str">
        <f t="shared" si="385"/>
        <v/>
      </c>
      <c r="D783" s="2" t="str">
        <f t="shared" si="386"/>
        <v/>
      </c>
      <c r="E783" s="2" t="str">
        <f t="shared" si="387"/>
        <v/>
      </c>
      <c r="F783" s="2" t="str">
        <f t="shared" si="388"/>
        <v/>
      </c>
      <c r="G783" s="2" t="str">
        <f t="shared" si="389"/>
        <v/>
      </c>
      <c r="H783" s="2" t="str">
        <f t="shared" si="404"/>
        <v/>
      </c>
      <c r="I783" s="2" t="str">
        <f t="shared" si="405"/>
        <v/>
      </c>
      <c r="J783" s="2" t="str">
        <f t="shared" si="406"/>
        <v/>
      </c>
      <c r="K783" s="2" t="str">
        <f t="shared" si="390"/>
        <v/>
      </c>
      <c r="L783" s="2" t="str">
        <f t="shared" si="391"/>
        <v/>
      </c>
      <c r="M783" s="2" t="str">
        <f t="shared" si="392"/>
        <v/>
      </c>
      <c r="N783" s="2" t="str">
        <f t="shared" si="407"/>
        <v/>
      </c>
      <c r="O783" s="2" t="str">
        <f t="shared" si="408"/>
        <v/>
      </c>
      <c r="P783" s="2" t="str">
        <f t="shared" si="409"/>
        <v/>
      </c>
      <c r="Q783" s="2" t="str">
        <f t="shared" si="393"/>
        <v/>
      </c>
      <c r="R783" s="2" t="str">
        <f t="shared" si="394"/>
        <v/>
      </c>
      <c r="S783" s="2" t="str">
        <f t="shared" si="395"/>
        <v/>
      </c>
      <c r="T783" s="2" t="str">
        <f t="shared" si="410"/>
        <v/>
      </c>
      <c r="U783" s="2" t="str">
        <f t="shared" si="411"/>
        <v/>
      </c>
      <c r="V783" s="2" t="str">
        <f t="shared" si="412"/>
        <v/>
      </c>
      <c r="W783" s="2" t="str">
        <f t="shared" si="396"/>
        <v/>
      </c>
      <c r="X783" s="2" t="str">
        <f t="shared" si="397"/>
        <v/>
      </c>
      <c r="Y783" s="2" t="str">
        <f t="shared" si="398"/>
        <v/>
      </c>
      <c r="Z783" s="2" t="str">
        <f t="shared" si="413"/>
        <v/>
      </c>
      <c r="AA783" s="2" t="str">
        <f t="shared" si="414"/>
        <v/>
      </c>
      <c r="AB783" s="2" t="str">
        <f t="shared" si="415"/>
        <v/>
      </c>
      <c r="AC783" s="2" t="str">
        <f t="shared" si="399"/>
        <v/>
      </c>
      <c r="AD783" s="2" t="str">
        <f t="shared" si="400"/>
        <v/>
      </c>
      <c r="AE783" s="2" t="str">
        <f t="shared" si="401"/>
        <v/>
      </c>
      <c r="AF783" s="2" t="str">
        <f t="shared" si="402"/>
        <v/>
      </c>
    </row>
    <row r="784" spans="1:32" x14ac:dyDescent="0.2">
      <c r="A784" s="2" t="str">
        <f t="shared" si="403"/>
        <v/>
      </c>
      <c r="B784" s="2" t="str">
        <f t="shared" si="384"/>
        <v/>
      </c>
      <c r="C784" s="2" t="str">
        <f t="shared" si="385"/>
        <v/>
      </c>
      <c r="D784" s="2" t="str">
        <f t="shared" si="386"/>
        <v/>
      </c>
      <c r="E784" s="2" t="str">
        <f t="shared" si="387"/>
        <v/>
      </c>
      <c r="F784" s="2" t="str">
        <f t="shared" si="388"/>
        <v/>
      </c>
      <c r="G784" s="2" t="str">
        <f t="shared" si="389"/>
        <v/>
      </c>
      <c r="H784" s="2" t="str">
        <f t="shared" si="404"/>
        <v/>
      </c>
      <c r="I784" s="2" t="str">
        <f t="shared" si="405"/>
        <v/>
      </c>
      <c r="J784" s="2" t="str">
        <f t="shared" si="406"/>
        <v/>
      </c>
      <c r="K784" s="2" t="str">
        <f t="shared" si="390"/>
        <v/>
      </c>
      <c r="L784" s="2" t="str">
        <f t="shared" si="391"/>
        <v/>
      </c>
      <c r="M784" s="2" t="str">
        <f t="shared" si="392"/>
        <v/>
      </c>
      <c r="N784" s="2" t="str">
        <f t="shared" si="407"/>
        <v/>
      </c>
      <c r="O784" s="2" t="str">
        <f t="shared" si="408"/>
        <v/>
      </c>
      <c r="P784" s="2" t="str">
        <f t="shared" si="409"/>
        <v/>
      </c>
      <c r="Q784" s="2" t="str">
        <f t="shared" si="393"/>
        <v/>
      </c>
      <c r="R784" s="2" t="str">
        <f t="shared" si="394"/>
        <v/>
      </c>
      <c r="S784" s="2" t="str">
        <f t="shared" si="395"/>
        <v/>
      </c>
      <c r="T784" s="2" t="str">
        <f t="shared" si="410"/>
        <v/>
      </c>
      <c r="U784" s="2" t="str">
        <f t="shared" si="411"/>
        <v/>
      </c>
      <c r="V784" s="2" t="str">
        <f t="shared" si="412"/>
        <v/>
      </c>
      <c r="W784" s="2" t="str">
        <f t="shared" si="396"/>
        <v/>
      </c>
      <c r="X784" s="2" t="str">
        <f t="shared" si="397"/>
        <v/>
      </c>
      <c r="Y784" s="2" t="str">
        <f t="shared" si="398"/>
        <v/>
      </c>
      <c r="Z784" s="2" t="str">
        <f t="shared" si="413"/>
        <v/>
      </c>
      <c r="AA784" s="2" t="str">
        <f t="shared" si="414"/>
        <v/>
      </c>
      <c r="AB784" s="2" t="str">
        <f t="shared" si="415"/>
        <v/>
      </c>
      <c r="AC784" s="2" t="str">
        <f t="shared" si="399"/>
        <v/>
      </c>
      <c r="AD784" s="2" t="str">
        <f t="shared" si="400"/>
        <v/>
      </c>
      <c r="AE784" s="2" t="str">
        <f t="shared" si="401"/>
        <v/>
      </c>
      <c r="AF784" s="2" t="str">
        <f t="shared" si="402"/>
        <v/>
      </c>
    </row>
    <row r="785" spans="1:32" x14ac:dyDescent="0.2">
      <c r="A785" s="2" t="str">
        <f t="shared" si="403"/>
        <v/>
      </c>
      <c r="B785" s="2" t="str">
        <f t="shared" si="384"/>
        <v/>
      </c>
      <c r="C785" s="2" t="str">
        <f t="shared" si="385"/>
        <v/>
      </c>
      <c r="D785" s="2" t="str">
        <f t="shared" si="386"/>
        <v/>
      </c>
      <c r="E785" s="2" t="str">
        <f t="shared" si="387"/>
        <v/>
      </c>
      <c r="F785" s="2" t="str">
        <f t="shared" si="388"/>
        <v/>
      </c>
      <c r="G785" s="2" t="str">
        <f t="shared" si="389"/>
        <v/>
      </c>
      <c r="H785" s="2" t="str">
        <f t="shared" si="404"/>
        <v/>
      </c>
      <c r="I785" s="2" t="str">
        <f t="shared" si="405"/>
        <v/>
      </c>
      <c r="J785" s="2" t="str">
        <f t="shared" si="406"/>
        <v/>
      </c>
      <c r="K785" s="2" t="str">
        <f t="shared" si="390"/>
        <v/>
      </c>
      <c r="L785" s="2" t="str">
        <f t="shared" si="391"/>
        <v/>
      </c>
      <c r="M785" s="2" t="str">
        <f t="shared" si="392"/>
        <v/>
      </c>
      <c r="N785" s="2" t="str">
        <f t="shared" si="407"/>
        <v/>
      </c>
      <c r="O785" s="2" t="str">
        <f t="shared" si="408"/>
        <v/>
      </c>
      <c r="P785" s="2" t="str">
        <f t="shared" si="409"/>
        <v/>
      </c>
      <c r="Q785" s="2" t="str">
        <f t="shared" si="393"/>
        <v/>
      </c>
      <c r="R785" s="2" t="str">
        <f t="shared" si="394"/>
        <v/>
      </c>
      <c r="S785" s="2" t="str">
        <f t="shared" si="395"/>
        <v/>
      </c>
      <c r="T785" s="2" t="str">
        <f t="shared" si="410"/>
        <v/>
      </c>
      <c r="U785" s="2" t="str">
        <f t="shared" si="411"/>
        <v/>
      </c>
      <c r="V785" s="2" t="str">
        <f t="shared" si="412"/>
        <v/>
      </c>
      <c r="W785" s="2" t="str">
        <f t="shared" si="396"/>
        <v/>
      </c>
      <c r="X785" s="2" t="str">
        <f t="shared" si="397"/>
        <v/>
      </c>
      <c r="Y785" s="2" t="str">
        <f t="shared" si="398"/>
        <v/>
      </c>
      <c r="Z785" s="2" t="str">
        <f t="shared" si="413"/>
        <v/>
      </c>
      <c r="AA785" s="2" t="str">
        <f t="shared" si="414"/>
        <v/>
      </c>
      <c r="AB785" s="2" t="str">
        <f t="shared" si="415"/>
        <v/>
      </c>
      <c r="AC785" s="2" t="str">
        <f t="shared" si="399"/>
        <v/>
      </c>
      <c r="AD785" s="2" t="str">
        <f t="shared" si="400"/>
        <v/>
      </c>
      <c r="AE785" s="2" t="str">
        <f t="shared" si="401"/>
        <v/>
      </c>
      <c r="AF785" s="2" t="str">
        <f t="shared" si="402"/>
        <v/>
      </c>
    </row>
    <row r="786" spans="1:32" x14ac:dyDescent="0.2">
      <c r="A786" s="2" t="str">
        <f t="shared" si="403"/>
        <v/>
      </c>
      <c r="B786" s="2" t="str">
        <f t="shared" si="384"/>
        <v/>
      </c>
      <c r="C786" s="2" t="str">
        <f t="shared" si="385"/>
        <v/>
      </c>
      <c r="D786" s="2" t="str">
        <f t="shared" si="386"/>
        <v/>
      </c>
      <c r="E786" s="2" t="str">
        <f t="shared" si="387"/>
        <v/>
      </c>
      <c r="F786" s="2" t="str">
        <f t="shared" si="388"/>
        <v/>
      </c>
      <c r="G786" s="2" t="str">
        <f t="shared" si="389"/>
        <v/>
      </c>
      <c r="H786" s="2" t="str">
        <f t="shared" si="404"/>
        <v/>
      </c>
      <c r="I786" s="2" t="str">
        <f t="shared" si="405"/>
        <v/>
      </c>
      <c r="J786" s="2" t="str">
        <f t="shared" si="406"/>
        <v/>
      </c>
      <c r="K786" s="2" t="str">
        <f t="shared" si="390"/>
        <v/>
      </c>
      <c r="L786" s="2" t="str">
        <f t="shared" si="391"/>
        <v/>
      </c>
      <c r="M786" s="2" t="str">
        <f t="shared" si="392"/>
        <v/>
      </c>
      <c r="N786" s="2" t="str">
        <f t="shared" si="407"/>
        <v/>
      </c>
      <c r="O786" s="2" t="str">
        <f t="shared" si="408"/>
        <v/>
      </c>
      <c r="P786" s="2" t="str">
        <f t="shared" si="409"/>
        <v/>
      </c>
      <c r="Q786" s="2" t="str">
        <f t="shared" si="393"/>
        <v/>
      </c>
      <c r="R786" s="2" t="str">
        <f t="shared" si="394"/>
        <v/>
      </c>
      <c r="S786" s="2" t="str">
        <f t="shared" si="395"/>
        <v/>
      </c>
      <c r="T786" s="2" t="str">
        <f t="shared" si="410"/>
        <v/>
      </c>
      <c r="U786" s="2" t="str">
        <f t="shared" si="411"/>
        <v/>
      </c>
      <c r="V786" s="2" t="str">
        <f t="shared" si="412"/>
        <v/>
      </c>
      <c r="W786" s="2" t="str">
        <f t="shared" si="396"/>
        <v/>
      </c>
      <c r="X786" s="2" t="str">
        <f t="shared" si="397"/>
        <v/>
      </c>
      <c r="Y786" s="2" t="str">
        <f t="shared" si="398"/>
        <v/>
      </c>
      <c r="Z786" s="2" t="str">
        <f t="shared" si="413"/>
        <v/>
      </c>
      <c r="AA786" s="2" t="str">
        <f t="shared" si="414"/>
        <v/>
      </c>
      <c r="AB786" s="2" t="str">
        <f t="shared" si="415"/>
        <v/>
      </c>
      <c r="AC786" s="2" t="str">
        <f t="shared" si="399"/>
        <v/>
      </c>
      <c r="AD786" s="2" t="str">
        <f t="shared" si="400"/>
        <v/>
      </c>
      <c r="AE786" s="2" t="str">
        <f t="shared" si="401"/>
        <v/>
      </c>
      <c r="AF786" s="2" t="str">
        <f t="shared" si="402"/>
        <v/>
      </c>
    </row>
    <row r="787" spans="1:32" x14ac:dyDescent="0.2">
      <c r="A787" s="2" t="str">
        <f t="shared" si="403"/>
        <v/>
      </c>
      <c r="B787" s="2" t="str">
        <f t="shared" si="384"/>
        <v/>
      </c>
      <c r="C787" s="2" t="str">
        <f t="shared" si="385"/>
        <v/>
      </c>
      <c r="D787" s="2" t="str">
        <f t="shared" si="386"/>
        <v/>
      </c>
      <c r="E787" s="2" t="str">
        <f t="shared" si="387"/>
        <v/>
      </c>
      <c r="F787" s="2" t="str">
        <f t="shared" si="388"/>
        <v/>
      </c>
      <c r="G787" s="2" t="str">
        <f t="shared" si="389"/>
        <v/>
      </c>
      <c r="H787" s="2" t="str">
        <f t="shared" si="404"/>
        <v/>
      </c>
      <c r="I787" s="2" t="str">
        <f t="shared" si="405"/>
        <v/>
      </c>
      <c r="J787" s="2" t="str">
        <f t="shared" si="406"/>
        <v/>
      </c>
      <c r="K787" s="2" t="str">
        <f t="shared" si="390"/>
        <v/>
      </c>
      <c r="L787" s="2" t="str">
        <f t="shared" si="391"/>
        <v/>
      </c>
      <c r="M787" s="2" t="str">
        <f t="shared" si="392"/>
        <v/>
      </c>
      <c r="N787" s="2" t="str">
        <f t="shared" si="407"/>
        <v/>
      </c>
      <c r="O787" s="2" t="str">
        <f t="shared" si="408"/>
        <v/>
      </c>
      <c r="P787" s="2" t="str">
        <f t="shared" si="409"/>
        <v/>
      </c>
      <c r="Q787" s="2" t="str">
        <f t="shared" si="393"/>
        <v/>
      </c>
      <c r="R787" s="2" t="str">
        <f t="shared" si="394"/>
        <v/>
      </c>
      <c r="S787" s="2" t="str">
        <f t="shared" si="395"/>
        <v/>
      </c>
      <c r="T787" s="2" t="str">
        <f t="shared" si="410"/>
        <v/>
      </c>
      <c r="U787" s="2" t="str">
        <f t="shared" si="411"/>
        <v/>
      </c>
      <c r="V787" s="2" t="str">
        <f t="shared" si="412"/>
        <v/>
      </c>
      <c r="W787" s="2" t="str">
        <f t="shared" si="396"/>
        <v/>
      </c>
      <c r="X787" s="2" t="str">
        <f t="shared" si="397"/>
        <v/>
      </c>
      <c r="Y787" s="2" t="str">
        <f t="shared" si="398"/>
        <v/>
      </c>
      <c r="Z787" s="2" t="str">
        <f t="shared" si="413"/>
        <v/>
      </c>
      <c r="AA787" s="2" t="str">
        <f t="shared" si="414"/>
        <v/>
      </c>
      <c r="AB787" s="2" t="str">
        <f t="shared" si="415"/>
        <v/>
      </c>
      <c r="AC787" s="2" t="str">
        <f t="shared" si="399"/>
        <v/>
      </c>
      <c r="AD787" s="2" t="str">
        <f t="shared" si="400"/>
        <v/>
      </c>
      <c r="AE787" s="2" t="str">
        <f t="shared" si="401"/>
        <v/>
      </c>
      <c r="AF787" s="2" t="str">
        <f t="shared" si="402"/>
        <v/>
      </c>
    </row>
    <row r="788" spans="1:32" x14ac:dyDescent="0.2">
      <c r="A788" s="2" t="str">
        <f t="shared" si="403"/>
        <v/>
      </c>
      <c r="B788" s="2" t="str">
        <f t="shared" si="384"/>
        <v/>
      </c>
      <c r="C788" s="2" t="str">
        <f t="shared" si="385"/>
        <v/>
      </c>
      <c r="D788" s="2" t="str">
        <f t="shared" si="386"/>
        <v/>
      </c>
      <c r="E788" s="2" t="str">
        <f t="shared" si="387"/>
        <v/>
      </c>
      <c r="F788" s="2" t="str">
        <f t="shared" si="388"/>
        <v/>
      </c>
      <c r="G788" s="2" t="str">
        <f t="shared" si="389"/>
        <v/>
      </c>
      <c r="H788" s="2" t="str">
        <f t="shared" si="404"/>
        <v/>
      </c>
      <c r="I788" s="2" t="str">
        <f t="shared" si="405"/>
        <v/>
      </c>
      <c r="J788" s="2" t="str">
        <f t="shared" si="406"/>
        <v/>
      </c>
      <c r="K788" s="2" t="str">
        <f t="shared" si="390"/>
        <v/>
      </c>
      <c r="L788" s="2" t="str">
        <f t="shared" si="391"/>
        <v/>
      </c>
      <c r="M788" s="2" t="str">
        <f t="shared" si="392"/>
        <v/>
      </c>
      <c r="N788" s="2" t="str">
        <f t="shared" si="407"/>
        <v/>
      </c>
      <c r="O788" s="2" t="str">
        <f t="shared" si="408"/>
        <v/>
      </c>
      <c r="P788" s="2" t="str">
        <f t="shared" si="409"/>
        <v/>
      </c>
      <c r="Q788" s="2" t="str">
        <f t="shared" si="393"/>
        <v/>
      </c>
      <c r="R788" s="2" t="str">
        <f t="shared" si="394"/>
        <v/>
      </c>
      <c r="S788" s="2" t="str">
        <f t="shared" si="395"/>
        <v/>
      </c>
      <c r="T788" s="2" t="str">
        <f t="shared" si="410"/>
        <v/>
      </c>
      <c r="U788" s="2" t="str">
        <f t="shared" si="411"/>
        <v/>
      </c>
      <c r="V788" s="2" t="str">
        <f t="shared" si="412"/>
        <v/>
      </c>
      <c r="W788" s="2" t="str">
        <f t="shared" si="396"/>
        <v/>
      </c>
      <c r="X788" s="2" t="str">
        <f t="shared" si="397"/>
        <v/>
      </c>
      <c r="Y788" s="2" t="str">
        <f t="shared" si="398"/>
        <v/>
      </c>
      <c r="Z788" s="2" t="str">
        <f t="shared" si="413"/>
        <v/>
      </c>
      <c r="AA788" s="2" t="str">
        <f t="shared" si="414"/>
        <v/>
      </c>
      <c r="AB788" s="2" t="str">
        <f t="shared" si="415"/>
        <v/>
      </c>
      <c r="AC788" s="2" t="str">
        <f t="shared" si="399"/>
        <v/>
      </c>
      <c r="AD788" s="2" t="str">
        <f t="shared" si="400"/>
        <v/>
      </c>
      <c r="AE788" s="2" t="str">
        <f t="shared" si="401"/>
        <v/>
      </c>
      <c r="AF788" s="2" t="str">
        <f t="shared" si="402"/>
        <v/>
      </c>
    </row>
    <row r="789" spans="1:32" x14ac:dyDescent="0.2">
      <c r="A789" s="2" t="str">
        <f t="shared" si="403"/>
        <v/>
      </c>
      <c r="B789" s="2" t="str">
        <f t="shared" si="384"/>
        <v/>
      </c>
      <c r="C789" s="2" t="str">
        <f t="shared" si="385"/>
        <v/>
      </c>
      <c r="D789" s="2" t="str">
        <f t="shared" si="386"/>
        <v/>
      </c>
      <c r="E789" s="2" t="str">
        <f t="shared" si="387"/>
        <v/>
      </c>
      <c r="F789" s="2" t="str">
        <f t="shared" si="388"/>
        <v/>
      </c>
      <c r="G789" s="2" t="str">
        <f t="shared" si="389"/>
        <v/>
      </c>
      <c r="H789" s="2" t="str">
        <f t="shared" si="404"/>
        <v/>
      </c>
      <c r="I789" s="2" t="str">
        <f t="shared" si="405"/>
        <v/>
      </c>
      <c r="J789" s="2" t="str">
        <f t="shared" si="406"/>
        <v/>
      </c>
      <c r="K789" s="2" t="str">
        <f t="shared" si="390"/>
        <v/>
      </c>
      <c r="L789" s="2" t="str">
        <f t="shared" si="391"/>
        <v/>
      </c>
      <c r="M789" s="2" t="str">
        <f t="shared" si="392"/>
        <v/>
      </c>
      <c r="N789" s="2" t="str">
        <f t="shared" si="407"/>
        <v/>
      </c>
      <c r="O789" s="2" t="str">
        <f t="shared" si="408"/>
        <v/>
      </c>
      <c r="P789" s="2" t="str">
        <f t="shared" si="409"/>
        <v/>
      </c>
      <c r="Q789" s="2" t="str">
        <f t="shared" si="393"/>
        <v/>
      </c>
      <c r="R789" s="2" t="str">
        <f t="shared" si="394"/>
        <v/>
      </c>
      <c r="S789" s="2" t="str">
        <f t="shared" si="395"/>
        <v/>
      </c>
      <c r="T789" s="2" t="str">
        <f t="shared" si="410"/>
        <v/>
      </c>
      <c r="U789" s="2" t="str">
        <f t="shared" si="411"/>
        <v/>
      </c>
      <c r="V789" s="2" t="str">
        <f t="shared" si="412"/>
        <v/>
      </c>
      <c r="W789" s="2" t="str">
        <f t="shared" si="396"/>
        <v/>
      </c>
      <c r="X789" s="2" t="str">
        <f t="shared" si="397"/>
        <v/>
      </c>
      <c r="Y789" s="2" t="str">
        <f t="shared" si="398"/>
        <v/>
      </c>
      <c r="Z789" s="2" t="str">
        <f t="shared" si="413"/>
        <v/>
      </c>
      <c r="AA789" s="2" t="str">
        <f t="shared" si="414"/>
        <v/>
      </c>
      <c r="AB789" s="2" t="str">
        <f t="shared" si="415"/>
        <v/>
      </c>
      <c r="AC789" s="2" t="str">
        <f t="shared" si="399"/>
        <v/>
      </c>
      <c r="AD789" s="2" t="str">
        <f t="shared" si="400"/>
        <v/>
      </c>
      <c r="AE789" s="2" t="str">
        <f t="shared" si="401"/>
        <v/>
      </c>
      <c r="AF789" s="2" t="str">
        <f t="shared" si="402"/>
        <v/>
      </c>
    </row>
    <row r="790" spans="1:32" x14ac:dyDescent="0.2">
      <c r="A790" s="2" t="str">
        <f t="shared" si="403"/>
        <v/>
      </c>
      <c r="B790" s="2" t="str">
        <f t="shared" si="384"/>
        <v/>
      </c>
      <c r="C790" s="2" t="str">
        <f t="shared" si="385"/>
        <v/>
      </c>
      <c r="D790" s="2" t="str">
        <f t="shared" si="386"/>
        <v/>
      </c>
      <c r="E790" s="2" t="str">
        <f t="shared" si="387"/>
        <v/>
      </c>
      <c r="F790" s="2" t="str">
        <f t="shared" si="388"/>
        <v/>
      </c>
      <c r="G790" s="2" t="str">
        <f t="shared" si="389"/>
        <v/>
      </c>
      <c r="H790" s="2" t="str">
        <f t="shared" si="404"/>
        <v/>
      </c>
      <c r="I790" s="2" t="str">
        <f t="shared" si="405"/>
        <v/>
      </c>
      <c r="J790" s="2" t="str">
        <f t="shared" si="406"/>
        <v/>
      </c>
      <c r="K790" s="2" t="str">
        <f t="shared" si="390"/>
        <v/>
      </c>
      <c r="L790" s="2" t="str">
        <f t="shared" si="391"/>
        <v/>
      </c>
      <c r="M790" s="2" t="str">
        <f t="shared" si="392"/>
        <v/>
      </c>
      <c r="N790" s="2" t="str">
        <f t="shared" si="407"/>
        <v/>
      </c>
      <c r="O790" s="2" t="str">
        <f t="shared" si="408"/>
        <v/>
      </c>
      <c r="P790" s="2" t="str">
        <f t="shared" si="409"/>
        <v/>
      </c>
      <c r="Q790" s="2" t="str">
        <f t="shared" si="393"/>
        <v/>
      </c>
      <c r="R790" s="2" t="str">
        <f t="shared" si="394"/>
        <v/>
      </c>
      <c r="S790" s="2" t="str">
        <f t="shared" si="395"/>
        <v/>
      </c>
      <c r="T790" s="2" t="str">
        <f t="shared" si="410"/>
        <v/>
      </c>
      <c r="U790" s="2" t="str">
        <f t="shared" si="411"/>
        <v/>
      </c>
      <c r="V790" s="2" t="str">
        <f t="shared" si="412"/>
        <v/>
      </c>
      <c r="W790" s="2" t="str">
        <f t="shared" si="396"/>
        <v/>
      </c>
      <c r="X790" s="2" t="str">
        <f t="shared" si="397"/>
        <v/>
      </c>
      <c r="Y790" s="2" t="str">
        <f t="shared" si="398"/>
        <v/>
      </c>
      <c r="Z790" s="2" t="str">
        <f t="shared" si="413"/>
        <v/>
      </c>
      <c r="AA790" s="2" t="str">
        <f t="shared" si="414"/>
        <v/>
      </c>
      <c r="AB790" s="2" t="str">
        <f t="shared" si="415"/>
        <v/>
      </c>
      <c r="AC790" s="2" t="str">
        <f t="shared" si="399"/>
        <v/>
      </c>
      <c r="AD790" s="2" t="str">
        <f t="shared" si="400"/>
        <v/>
      </c>
      <c r="AE790" s="2" t="str">
        <f t="shared" si="401"/>
        <v/>
      </c>
      <c r="AF790" s="2" t="str">
        <f t="shared" si="402"/>
        <v/>
      </c>
    </row>
    <row r="791" spans="1:32" x14ac:dyDescent="0.2">
      <c r="A791" s="2" t="str">
        <f t="shared" si="403"/>
        <v/>
      </c>
      <c r="B791" s="2" t="str">
        <f t="shared" si="384"/>
        <v/>
      </c>
      <c r="C791" s="2" t="str">
        <f t="shared" si="385"/>
        <v/>
      </c>
      <c r="D791" s="2" t="str">
        <f t="shared" si="386"/>
        <v/>
      </c>
      <c r="E791" s="2" t="str">
        <f t="shared" si="387"/>
        <v/>
      </c>
      <c r="F791" s="2" t="str">
        <f t="shared" si="388"/>
        <v/>
      </c>
      <c r="G791" s="2" t="str">
        <f t="shared" si="389"/>
        <v/>
      </c>
      <c r="H791" s="2" t="str">
        <f t="shared" si="404"/>
        <v/>
      </c>
      <c r="I791" s="2" t="str">
        <f t="shared" si="405"/>
        <v/>
      </c>
      <c r="J791" s="2" t="str">
        <f t="shared" si="406"/>
        <v/>
      </c>
      <c r="K791" s="2" t="str">
        <f t="shared" si="390"/>
        <v/>
      </c>
      <c r="L791" s="2" t="str">
        <f t="shared" si="391"/>
        <v/>
      </c>
      <c r="M791" s="2" t="str">
        <f t="shared" si="392"/>
        <v/>
      </c>
      <c r="N791" s="2" t="str">
        <f t="shared" si="407"/>
        <v/>
      </c>
      <c r="O791" s="2" t="str">
        <f t="shared" si="408"/>
        <v/>
      </c>
      <c r="P791" s="2" t="str">
        <f t="shared" si="409"/>
        <v/>
      </c>
      <c r="Q791" s="2" t="str">
        <f t="shared" si="393"/>
        <v/>
      </c>
      <c r="R791" s="2" t="str">
        <f t="shared" si="394"/>
        <v/>
      </c>
      <c r="S791" s="2" t="str">
        <f t="shared" si="395"/>
        <v/>
      </c>
      <c r="T791" s="2" t="str">
        <f t="shared" si="410"/>
        <v/>
      </c>
      <c r="U791" s="2" t="str">
        <f t="shared" si="411"/>
        <v/>
      </c>
      <c r="V791" s="2" t="str">
        <f t="shared" si="412"/>
        <v/>
      </c>
      <c r="W791" s="2" t="str">
        <f t="shared" si="396"/>
        <v/>
      </c>
      <c r="X791" s="2" t="str">
        <f t="shared" si="397"/>
        <v/>
      </c>
      <c r="Y791" s="2" t="str">
        <f t="shared" si="398"/>
        <v/>
      </c>
      <c r="Z791" s="2" t="str">
        <f t="shared" si="413"/>
        <v/>
      </c>
      <c r="AA791" s="2" t="str">
        <f t="shared" si="414"/>
        <v/>
      </c>
      <c r="AB791" s="2" t="str">
        <f t="shared" si="415"/>
        <v/>
      </c>
      <c r="AC791" s="2" t="str">
        <f t="shared" si="399"/>
        <v/>
      </c>
      <c r="AD791" s="2" t="str">
        <f t="shared" si="400"/>
        <v/>
      </c>
      <c r="AE791" s="2" t="str">
        <f t="shared" si="401"/>
        <v/>
      </c>
      <c r="AF791" s="2" t="str">
        <f t="shared" si="402"/>
        <v/>
      </c>
    </row>
    <row r="792" spans="1:32" x14ac:dyDescent="0.2">
      <c r="A792" s="2" t="str">
        <f t="shared" si="403"/>
        <v/>
      </c>
      <c r="B792" s="2" t="str">
        <f t="shared" si="384"/>
        <v/>
      </c>
      <c r="C792" s="2" t="str">
        <f t="shared" si="385"/>
        <v/>
      </c>
      <c r="D792" s="2" t="str">
        <f t="shared" si="386"/>
        <v/>
      </c>
      <c r="E792" s="2" t="str">
        <f t="shared" si="387"/>
        <v/>
      </c>
      <c r="F792" s="2" t="str">
        <f t="shared" si="388"/>
        <v/>
      </c>
      <c r="G792" s="2" t="str">
        <f t="shared" si="389"/>
        <v/>
      </c>
      <c r="H792" s="2" t="str">
        <f t="shared" si="404"/>
        <v/>
      </c>
      <c r="I792" s="2" t="str">
        <f t="shared" si="405"/>
        <v/>
      </c>
      <c r="J792" s="2" t="str">
        <f t="shared" si="406"/>
        <v/>
      </c>
      <c r="K792" s="2" t="str">
        <f t="shared" si="390"/>
        <v/>
      </c>
      <c r="L792" s="2" t="str">
        <f t="shared" si="391"/>
        <v/>
      </c>
      <c r="M792" s="2" t="str">
        <f t="shared" si="392"/>
        <v/>
      </c>
      <c r="N792" s="2" t="str">
        <f t="shared" si="407"/>
        <v/>
      </c>
      <c r="O792" s="2" t="str">
        <f t="shared" si="408"/>
        <v/>
      </c>
      <c r="P792" s="2" t="str">
        <f t="shared" si="409"/>
        <v/>
      </c>
      <c r="Q792" s="2" t="str">
        <f t="shared" si="393"/>
        <v/>
      </c>
      <c r="R792" s="2" t="str">
        <f t="shared" si="394"/>
        <v/>
      </c>
      <c r="S792" s="2" t="str">
        <f t="shared" si="395"/>
        <v/>
      </c>
      <c r="T792" s="2" t="str">
        <f t="shared" si="410"/>
        <v/>
      </c>
      <c r="U792" s="2" t="str">
        <f t="shared" si="411"/>
        <v/>
      </c>
      <c r="V792" s="2" t="str">
        <f t="shared" si="412"/>
        <v/>
      </c>
      <c r="W792" s="2" t="str">
        <f t="shared" si="396"/>
        <v/>
      </c>
      <c r="X792" s="2" t="str">
        <f t="shared" si="397"/>
        <v/>
      </c>
      <c r="Y792" s="2" t="str">
        <f t="shared" si="398"/>
        <v/>
      </c>
      <c r="Z792" s="2" t="str">
        <f t="shared" si="413"/>
        <v/>
      </c>
      <c r="AA792" s="2" t="str">
        <f t="shared" si="414"/>
        <v/>
      </c>
      <c r="AB792" s="2" t="str">
        <f t="shared" si="415"/>
        <v/>
      </c>
      <c r="AC792" s="2" t="str">
        <f t="shared" si="399"/>
        <v/>
      </c>
      <c r="AD792" s="2" t="str">
        <f t="shared" si="400"/>
        <v/>
      </c>
      <c r="AE792" s="2" t="str">
        <f t="shared" si="401"/>
        <v/>
      </c>
      <c r="AF792" s="2" t="str">
        <f t="shared" si="402"/>
        <v/>
      </c>
    </row>
    <row r="793" spans="1:32" x14ac:dyDescent="0.2">
      <c r="A793" s="2" t="str">
        <f t="shared" si="403"/>
        <v/>
      </c>
      <c r="B793" s="2" t="str">
        <f t="shared" si="384"/>
        <v/>
      </c>
      <c r="C793" s="2" t="str">
        <f t="shared" si="385"/>
        <v/>
      </c>
      <c r="D793" s="2" t="str">
        <f t="shared" si="386"/>
        <v/>
      </c>
      <c r="E793" s="2" t="str">
        <f t="shared" si="387"/>
        <v/>
      </c>
      <c r="F793" s="2" t="str">
        <f t="shared" si="388"/>
        <v/>
      </c>
      <c r="G793" s="2" t="str">
        <f t="shared" si="389"/>
        <v/>
      </c>
      <c r="H793" s="2" t="str">
        <f t="shared" si="404"/>
        <v/>
      </c>
      <c r="I793" s="2" t="str">
        <f t="shared" si="405"/>
        <v/>
      </c>
      <c r="J793" s="2" t="str">
        <f t="shared" si="406"/>
        <v/>
      </c>
      <c r="K793" s="2" t="str">
        <f t="shared" si="390"/>
        <v/>
      </c>
      <c r="L793" s="2" t="str">
        <f t="shared" si="391"/>
        <v/>
      </c>
      <c r="M793" s="2" t="str">
        <f t="shared" si="392"/>
        <v/>
      </c>
      <c r="N793" s="2" t="str">
        <f t="shared" si="407"/>
        <v/>
      </c>
      <c r="O793" s="2" t="str">
        <f t="shared" si="408"/>
        <v/>
      </c>
      <c r="P793" s="2" t="str">
        <f t="shared" si="409"/>
        <v/>
      </c>
      <c r="Q793" s="2" t="str">
        <f t="shared" si="393"/>
        <v/>
      </c>
      <c r="R793" s="2" t="str">
        <f t="shared" si="394"/>
        <v/>
      </c>
      <c r="S793" s="2" t="str">
        <f t="shared" si="395"/>
        <v/>
      </c>
      <c r="T793" s="2" t="str">
        <f t="shared" si="410"/>
        <v/>
      </c>
      <c r="U793" s="2" t="str">
        <f t="shared" si="411"/>
        <v/>
      </c>
      <c r="V793" s="2" t="str">
        <f t="shared" si="412"/>
        <v/>
      </c>
      <c r="W793" s="2" t="str">
        <f t="shared" si="396"/>
        <v/>
      </c>
      <c r="X793" s="2" t="str">
        <f t="shared" si="397"/>
        <v/>
      </c>
      <c r="Y793" s="2" t="str">
        <f t="shared" si="398"/>
        <v/>
      </c>
      <c r="Z793" s="2" t="str">
        <f t="shared" si="413"/>
        <v/>
      </c>
      <c r="AA793" s="2" t="str">
        <f t="shared" si="414"/>
        <v/>
      </c>
      <c r="AB793" s="2" t="str">
        <f t="shared" si="415"/>
        <v/>
      </c>
      <c r="AC793" s="2" t="str">
        <f t="shared" si="399"/>
        <v/>
      </c>
      <c r="AD793" s="2" t="str">
        <f t="shared" si="400"/>
        <v/>
      </c>
      <c r="AE793" s="2" t="str">
        <f t="shared" si="401"/>
        <v/>
      </c>
      <c r="AF793" s="2" t="str">
        <f t="shared" si="402"/>
        <v/>
      </c>
    </row>
    <row r="794" spans="1:32" x14ac:dyDescent="0.2">
      <c r="A794" s="2" t="str">
        <f t="shared" si="403"/>
        <v/>
      </c>
      <c r="B794" s="2" t="str">
        <f t="shared" si="384"/>
        <v/>
      </c>
      <c r="C794" s="2" t="str">
        <f t="shared" si="385"/>
        <v/>
      </c>
      <c r="D794" s="2" t="str">
        <f t="shared" si="386"/>
        <v/>
      </c>
      <c r="E794" s="2" t="str">
        <f t="shared" si="387"/>
        <v/>
      </c>
      <c r="F794" s="2" t="str">
        <f t="shared" si="388"/>
        <v/>
      </c>
      <c r="G794" s="2" t="str">
        <f t="shared" si="389"/>
        <v/>
      </c>
      <c r="H794" s="2" t="str">
        <f t="shared" si="404"/>
        <v/>
      </c>
      <c r="I794" s="2" t="str">
        <f t="shared" si="405"/>
        <v/>
      </c>
      <c r="J794" s="2" t="str">
        <f t="shared" si="406"/>
        <v/>
      </c>
      <c r="K794" s="2" t="str">
        <f t="shared" si="390"/>
        <v/>
      </c>
      <c r="L794" s="2" t="str">
        <f t="shared" si="391"/>
        <v/>
      </c>
      <c r="M794" s="2" t="str">
        <f t="shared" si="392"/>
        <v/>
      </c>
      <c r="N794" s="2" t="str">
        <f t="shared" si="407"/>
        <v/>
      </c>
      <c r="O794" s="2" t="str">
        <f t="shared" si="408"/>
        <v/>
      </c>
      <c r="P794" s="2" t="str">
        <f t="shared" si="409"/>
        <v/>
      </c>
      <c r="Q794" s="2" t="str">
        <f t="shared" si="393"/>
        <v/>
      </c>
      <c r="R794" s="2" t="str">
        <f t="shared" si="394"/>
        <v/>
      </c>
      <c r="S794" s="2" t="str">
        <f t="shared" si="395"/>
        <v/>
      </c>
      <c r="T794" s="2" t="str">
        <f t="shared" si="410"/>
        <v/>
      </c>
      <c r="U794" s="2" t="str">
        <f t="shared" si="411"/>
        <v/>
      </c>
      <c r="V794" s="2" t="str">
        <f t="shared" si="412"/>
        <v/>
      </c>
      <c r="W794" s="2" t="str">
        <f t="shared" si="396"/>
        <v/>
      </c>
      <c r="X794" s="2" t="str">
        <f t="shared" si="397"/>
        <v/>
      </c>
      <c r="Y794" s="2" t="str">
        <f t="shared" si="398"/>
        <v/>
      </c>
      <c r="Z794" s="2" t="str">
        <f t="shared" si="413"/>
        <v/>
      </c>
      <c r="AA794" s="2" t="str">
        <f t="shared" si="414"/>
        <v/>
      </c>
      <c r="AB794" s="2" t="str">
        <f t="shared" si="415"/>
        <v/>
      </c>
      <c r="AC794" s="2" t="str">
        <f t="shared" si="399"/>
        <v/>
      </c>
      <c r="AD794" s="2" t="str">
        <f t="shared" si="400"/>
        <v/>
      </c>
      <c r="AE794" s="2" t="str">
        <f t="shared" si="401"/>
        <v/>
      </c>
      <c r="AF794" s="2" t="str">
        <f t="shared" si="402"/>
        <v/>
      </c>
    </row>
    <row r="795" spans="1:32" x14ac:dyDescent="0.2">
      <c r="A795" s="2" t="str">
        <f t="shared" si="403"/>
        <v/>
      </c>
      <c r="B795" s="2" t="str">
        <f t="shared" si="384"/>
        <v/>
      </c>
      <c r="C795" s="2" t="str">
        <f t="shared" si="385"/>
        <v/>
      </c>
      <c r="D795" s="2" t="str">
        <f t="shared" si="386"/>
        <v/>
      </c>
      <c r="E795" s="2" t="str">
        <f t="shared" si="387"/>
        <v/>
      </c>
      <c r="F795" s="2" t="str">
        <f t="shared" si="388"/>
        <v/>
      </c>
      <c r="G795" s="2" t="str">
        <f t="shared" si="389"/>
        <v/>
      </c>
      <c r="H795" s="2" t="str">
        <f t="shared" si="404"/>
        <v/>
      </c>
      <c r="I795" s="2" t="str">
        <f t="shared" si="405"/>
        <v/>
      </c>
      <c r="J795" s="2" t="str">
        <f t="shared" si="406"/>
        <v/>
      </c>
      <c r="K795" s="2" t="str">
        <f t="shared" si="390"/>
        <v/>
      </c>
      <c r="L795" s="2" t="str">
        <f t="shared" si="391"/>
        <v/>
      </c>
      <c r="M795" s="2" t="str">
        <f t="shared" si="392"/>
        <v/>
      </c>
      <c r="N795" s="2" t="str">
        <f t="shared" si="407"/>
        <v/>
      </c>
      <c r="O795" s="2" t="str">
        <f t="shared" si="408"/>
        <v/>
      </c>
      <c r="P795" s="2" t="str">
        <f t="shared" si="409"/>
        <v/>
      </c>
      <c r="Q795" s="2" t="str">
        <f t="shared" si="393"/>
        <v/>
      </c>
      <c r="R795" s="2" t="str">
        <f t="shared" si="394"/>
        <v/>
      </c>
      <c r="S795" s="2" t="str">
        <f t="shared" si="395"/>
        <v/>
      </c>
      <c r="T795" s="2" t="str">
        <f t="shared" si="410"/>
        <v/>
      </c>
      <c r="U795" s="2" t="str">
        <f t="shared" si="411"/>
        <v/>
      </c>
      <c r="V795" s="2" t="str">
        <f t="shared" si="412"/>
        <v/>
      </c>
      <c r="W795" s="2" t="str">
        <f t="shared" si="396"/>
        <v/>
      </c>
      <c r="X795" s="2" t="str">
        <f t="shared" si="397"/>
        <v/>
      </c>
      <c r="Y795" s="2" t="str">
        <f t="shared" si="398"/>
        <v/>
      </c>
      <c r="Z795" s="2" t="str">
        <f t="shared" si="413"/>
        <v/>
      </c>
      <c r="AA795" s="2" t="str">
        <f t="shared" si="414"/>
        <v/>
      </c>
      <c r="AB795" s="2" t="str">
        <f t="shared" si="415"/>
        <v/>
      </c>
      <c r="AC795" s="2" t="str">
        <f t="shared" si="399"/>
        <v/>
      </c>
      <c r="AD795" s="2" t="str">
        <f t="shared" si="400"/>
        <v/>
      </c>
      <c r="AE795" s="2" t="str">
        <f t="shared" si="401"/>
        <v/>
      </c>
      <c r="AF795" s="2" t="str">
        <f t="shared" si="402"/>
        <v/>
      </c>
    </row>
    <row r="796" spans="1:32" x14ac:dyDescent="0.2">
      <c r="A796" s="2" t="str">
        <f t="shared" si="403"/>
        <v/>
      </c>
      <c r="B796" s="2" t="str">
        <f t="shared" si="384"/>
        <v/>
      </c>
      <c r="C796" s="2" t="str">
        <f t="shared" si="385"/>
        <v/>
      </c>
      <c r="D796" s="2" t="str">
        <f t="shared" si="386"/>
        <v/>
      </c>
      <c r="E796" s="2" t="str">
        <f t="shared" si="387"/>
        <v/>
      </c>
      <c r="F796" s="2" t="str">
        <f t="shared" si="388"/>
        <v/>
      </c>
      <c r="G796" s="2" t="str">
        <f t="shared" si="389"/>
        <v/>
      </c>
      <c r="H796" s="2" t="str">
        <f t="shared" si="404"/>
        <v/>
      </c>
      <c r="I796" s="2" t="str">
        <f t="shared" si="405"/>
        <v/>
      </c>
      <c r="J796" s="2" t="str">
        <f t="shared" si="406"/>
        <v/>
      </c>
      <c r="K796" s="2" t="str">
        <f t="shared" si="390"/>
        <v/>
      </c>
      <c r="L796" s="2" t="str">
        <f t="shared" si="391"/>
        <v/>
      </c>
      <c r="M796" s="2" t="str">
        <f t="shared" si="392"/>
        <v/>
      </c>
      <c r="N796" s="2" t="str">
        <f t="shared" si="407"/>
        <v/>
      </c>
      <c r="O796" s="2" t="str">
        <f t="shared" si="408"/>
        <v/>
      </c>
      <c r="P796" s="2" t="str">
        <f t="shared" si="409"/>
        <v/>
      </c>
      <c r="Q796" s="2" t="str">
        <f t="shared" si="393"/>
        <v/>
      </c>
      <c r="R796" s="2" t="str">
        <f t="shared" si="394"/>
        <v/>
      </c>
      <c r="S796" s="2" t="str">
        <f t="shared" si="395"/>
        <v/>
      </c>
      <c r="T796" s="2" t="str">
        <f t="shared" si="410"/>
        <v/>
      </c>
      <c r="U796" s="2" t="str">
        <f t="shared" si="411"/>
        <v/>
      </c>
      <c r="V796" s="2" t="str">
        <f t="shared" si="412"/>
        <v/>
      </c>
      <c r="W796" s="2" t="str">
        <f t="shared" si="396"/>
        <v/>
      </c>
      <c r="X796" s="2" t="str">
        <f t="shared" si="397"/>
        <v/>
      </c>
      <c r="Y796" s="2" t="str">
        <f t="shared" si="398"/>
        <v/>
      </c>
      <c r="Z796" s="2" t="str">
        <f t="shared" si="413"/>
        <v/>
      </c>
      <c r="AA796" s="2" t="str">
        <f t="shared" si="414"/>
        <v/>
      </c>
      <c r="AB796" s="2" t="str">
        <f t="shared" si="415"/>
        <v/>
      </c>
      <c r="AC796" s="2" t="str">
        <f t="shared" si="399"/>
        <v/>
      </c>
      <c r="AD796" s="2" t="str">
        <f t="shared" si="400"/>
        <v/>
      </c>
      <c r="AE796" s="2" t="str">
        <f t="shared" si="401"/>
        <v/>
      </c>
      <c r="AF796" s="2" t="str">
        <f t="shared" si="402"/>
        <v/>
      </c>
    </row>
    <row r="797" spans="1:32" x14ac:dyDescent="0.2">
      <c r="A797" s="2" t="str">
        <f t="shared" si="403"/>
        <v/>
      </c>
      <c r="B797" s="2" t="str">
        <f t="shared" si="384"/>
        <v/>
      </c>
      <c r="C797" s="2" t="str">
        <f t="shared" si="385"/>
        <v/>
      </c>
      <c r="D797" s="2" t="str">
        <f t="shared" si="386"/>
        <v/>
      </c>
      <c r="E797" s="2" t="str">
        <f t="shared" si="387"/>
        <v/>
      </c>
      <c r="F797" s="2" t="str">
        <f t="shared" si="388"/>
        <v/>
      </c>
      <c r="G797" s="2" t="str">
        <f t="shared" si="389"/>
        <v/>
      </c>
      <c r="H797" s="2" t="str">
        <f t="shared" si="404"/>
        <v/>
      </c>
      <c r="I797" s="2" t="str">
        <f t="shared" si="405"/>
        <v/>
      </c>
      <c r="J797" s="2" t="str">
        <f t="shared" si="406"/>
        <v/>
      </c>
      <c r="K797" s="2" t="str">
        <f t="shared" si="390"/>
        <v/>
      </c>
      <c r="L797" s="2" t="str">
        <f t="shared" si="391"/>
        <v/>
      </c>
      <c r="M797" s="2" t="str">
        <f t="shared" si="392"/>
        <v/>
      </c>
      <c r="N797" s="2" t="str">
        <f t="shared" si="407"/>
        <v/>
      </c>
      <c r="O797" s="2" t="str">
        <f t="shared" si="408"/>
        <v/>
      </c>
      <c r="P797" s="2" t="str">
        <f t="shared" si="409"/>
        <v/>
      </c>
      <c r="Q797" s="2" t="str">
        <f t="shared" si="393"/>
        <v/>
      </c>
      <c r="R797" s="2" t="str">
        <f t="shared" si="394"/>
        <v/>
      </c>
      <c r="S797" s="2" t="str">
        <f t="shared" si="395"/>
        <v/>
      </c>
      <c r="T797" s="2" t="str">
        <f t="shared" si="410"/>
        <v/>
      </c>
      <c r="U797" s="2" t="str">
        <f t="shared" si="411"/>
        <v/>
      </c>
      <c r="V797" s="2" t="str">
        <f t="shared" si="412"/>
        <v/>
      </c>
      <c r="W797" s="2" t="str">
        <f t="shared" si="396"/>
        <v/>
      </c>
      <c r="X797" s="2" t="str">
        <f t="shared" si="397"/>
        <v/>
      </c>
      <c r="Y797" s="2" t="str">
        <f t="shared" si="398"/>
        <v/>
      </c>
      <c r="Z797" s="2" t="str">
        <f t="shared" si="413"/>
        <v/>
      </c>
      <c r="AA797" s="2" t="str">
        <f t="shared" si="414"/>
        <v/>
      </c>
      <c r="AB797" s="2" t="str">
        <f t="shared" si="415"/>
        <v/>
      </c>
      <c r="AC797" s="2" t="str">
        <f t="shared" si="399"/>
        <v/>
      </c>
      <c r="AD797" s="2" t="str">
        <f t="shared" si="400"/>
        <v/>
      </c>
      <c r="AE797" s="2" t="str">
        <f t="shared" si="401"/>
        <v/>
      </c>
      <c r="AF797" s="2" t="str">
        <f t="shared" si="402"/>
        <v/>
      </c>
    </row>
    <row r="798" spans="1:32" x14ac:dyDescent="0.2">
      <c r="A798" s="2" t="str">
        <f t="shared" si="403"/>
        <v/>
      </c>
      <c r="B798" s="2" t="str">
        <f t="shared" si="384"/>
        <v/>
      </c>
      <c r="C798" s="2" t="str">
        <f t="shared" si="385"/>
        <v/>
      </c>
      <c r="D798" s="2" t="str">
        <f t="shared" si="386"/>
        <v/>
      </c>
      <c r="E798" s="2" t="str">
        <f t="shared" si="387"/>
        <v/>
      </c>
      <c r="F798" s="2" t="str">
        <f t="shared" si="388"/>
        <v/>
      </c>
      <c r="G798" s="2" t="str">
        <f t="shared" si="389"/>
        <v/>
      </c>
      <c r="H798" s="2" t="str">
        <f t="shared" si="404"/>
        <v/>
      </c>
      <c r="I798" s="2" t="str">
        <f t="shared" si="405"/>
        <v/>
      </c>
      <c r="J798" s="2" t="str">
        <f t="shared" si="406"/>
        <v/>
      </c>
      <c r="K798" s="2" t="str">
        <f t="shared" si="390"/>
        <v/>
      </c>
      <c r="L798" s="2" t="str">
        <f t="shared" si="391"/>
        <v/>
      </c>
      <c r="M798" s="2" t="str">
        <f t="shared" si="392"/>
        <v/>
      </c>
      <c r="N798" s="2" t="str">
        <f t="shared" si="407"/>
        <v/>
      </c>
      <c r="O798" s="2" t="str">
        <f t="shared" si="408"/>
        <v/>
      </c>
      <c r="P798" s="2" t="str">
        <f t="shared" si="409"/>
        <v/>
      </c>
      <c r="Q798" s="2" t="str">
        <f t="shared" si="393"/>
        <v/>
      </c>
      <c r="R798" s="2" t="str">
        <f t="shared" si="394"/>
        <v/>
      </c>
      <c r="S798" s="2" t="str">
        <f t="shared" si="395"/>
        <v/>
      </c>
      <c r="T798" s="2" t="str">
        <f t="shared" si="410"/>
        <v/>
      </c>
      <c r="U798" s="2" t="str">
        <f t="shared" si="411"/>
        <v/>
      </c>
      <c r="V798" s="2" t="str">
        <f t="shared" si="412"/>
        <v/>
      </c>
      <c r="W798" s="2" t="str">
        <f t="shared" si="396"/>
        <v/>
      </c>
      <c r="X798" s="2" t="str">
        <f t="shared" si="397"/>
        <v/>
      </c>
      <c r="Y798" s="2" t="str">
        <f t="shared" si="398"/>
        <v/>
      </c>
      <c r="Z798" s="2" t="str">
        <f t="shared" si="413"/>
        <v/>
      </c>
      <c r="AA798" s="2" t="str">
        <f t="shared" si="414"/>
        <v/>
      </c>
      <c r="AB798" s="2" t="str">
        <f t="shared" si="415"/>
        <v/>
      </c>
      <c r="AC798" s="2" t="str">
        <f t="shared" si="399"/>
        <v/>
      </c>
      <c r="AD798" s="2" t="str">
        <f t="shared" si="400"/>
        <v/>
      </c>
      <c r="AE798" s="2" t="str">
        <f t="shared" si="401"/>
        <v/>
      </c>
      <c r="AF798" s="2" t="str">
        <f t="shared" si="402"/>
        <v/>
      </c>
    </row>
    <row r="799" spans="1:32" x14ac:dyDescent="0.2">
      <c r="A799" s="2" t="str">
        <f t="shared" si="403"/>
        <v/>
      </c>
      <c r="B799" s="2" t="str">
        <f t="shared" si="384"/>
        <v/>
      </c>
      <c r="C799" s="2" t="str">
        <f t="shared" si="385"/>
        <v/>
      </c>
      <c r="D799" s="2" t="str">
        <f t="shared" si="386"/>
        <v/>
      </c>
      <c r="E799" s="2" t="str">
        <f t="shared" si="387"/>
        <v/>
      </c>
      <c r="F799" s="2" t="str">
        <f t="shared" si="388"/>
        <v/>
      </c>
      <c r="G799" s="2" t="str">
        <f t="shared" si="389"/>
        <v/>
      </c>
      <c r="H799" s="2" t="str">
        <f t="shared" si="404"/>
        <v/>
      </c>
      <c r="I799" s="2" t="str">
        <f t="shared" si="405"/>
        <v/>
      </c>
      <c r="J799" s="2" t="str">
        <f t="shared" si="406"/>
        <v/>
      </c>
      <c r="K799" s="2" t="str">
        <f t="shared" si="390"/>
        <v/>
      </c>
      <c r="L799" s="2" t="str">
        <f t="shared" si="391"/>
        <v/>
      </c>
      <c r="M799" s="2" t="str">
        <f t="shared" si="392"/>
        <v/>
      </c>
      <c r="N799" s="2" t="str">
        <f t="shared" si="407"/>
        <v/>
      </c>
      <c r="O799" s="2" t="str">
        <f t="shared" si="408"/>
        <v/>
      </c>
      <c r="P799" s="2" t="str">
        <f t="shared" si="409"/>
        <v/>
      </c>
      <c r="Q799" s="2" t="str">
        <f t="shared" si="393"/>
        <v/>
      </c>
      <c r="R799" s="2" t="str">
        <f t="shared" si="394"/>
        <v/>
      </c>
      <c r="S799" s="2" t="str">
        <f t="shared" si="395"/>
        <v/>
      </c>
      <c r="T799" s="2" t="str">
        <f t="shared" si="410"/>
        <v/>
      </c>
      <c r="U799" s="2" t="str">
        <f t="shared" si="411"/>
        <v/>
      </c>
      <c r="V799" s="2" t="str">
        <f t="shared" si="412"/>
        <v/>
      </c>
      <c r="W799" s="2" t="str">
        <f t="shared" si="396"/>
        <v/>
      </c>
      <c r="X799" s="2" t="str">
        <f t="shared" si="397"/>
        <v/>
      </c>
      <c r="Y799" s="2" t="str">
        <f t="shared" si="398"/>
        <v/>
      </c>
      <c r="Z799" s="2" t="str">
        <f t="shared" si="413"/>
        <v/>
      </c>
      <c r="AA799" s="2" t="str">
        <f t="shared" si="414"/>
        <v/>
      </c>
      <c r="AB799" s="2" t="str">
        <f t="shared" si="415"/>
        <v/>
      </c>
      <c r="AC799" s="2" t="str">
        <f t="shared" si="399"/>
        <v/>
      </c>
      <c r="AD799" s="2" t="str">
        <f t="shared" si="400"/>
        <v/>
      </c>
      <c r="AE799" s="2" t="str">
        <f t="shared" si="401"/>
        <v/>
      </c>
      <c r="AF799" s="2" t="str">
        <f t="shared" si="402"/>
        <v/>
      </c>
    </row>
    <row r="800" spans="1:32" x14ac:dyDescent="0.2">
      <c r="A800" s="2" t="str">
        <f t="shared" si="403"/>
        <v/>
      </c>
      <c r="B800" s="2" t="str">
        <f t="shared" si="384"/>
        <v/>
      </c>
      <c r="C800" s="2" t="str">
        <f t="shared" si="385"/>
        <v/>
      </c>
      <c r="D800" s="2" t="str">
        <f t="shared" si="386"/>
        <v/>
      </c>
      <c r="E800" s="2" t="str">
        <f t="shared" si="387"/>
        <v/>
      </c>
      <c r="F800" s="2" t="str">
        <f t="shared" si="388"/>
        <v/>
      </c>
      <c r="G800" s="2" t="str">
        <f t="shared" si="389"/>
        <v/>
      </c>
      <c r="H800" s="2" t="str">
        <f t="shared" si="404"/>
        <v/>
      </c>
      <c r="I800" s="2" t="str">
        <f t="shared" si="405"/>
        <v/>
      </c>
      <c r="J800" s="2" t="str">
        <f t="shared" si="406"/>
        <v/>
      </c>
      <c r="K800" s="2" t="str">
        <f t="shared" si="390"/>
        <v/>
      </c>
      <c r="L800" s="2" t="str">
        <f t="shared" si="391"/>
        <v/>
      </c>
      <c r="M800" s="2" t="str">
        <f t="shared" si="392"/>
        <v/>
      </c>
      <c r="N800" s="2" t="str">
        <f t="shared" si="407"/>
        <v/>
      </c>
      <c r="O800" s="2" t="str">
        <f t="shared" si="408"/>
        <v/>
      </c>
      <c r="P800" s="2" t="str">
        <f t="shared" si="409"/>
        <v/>
      </c>
      <c r="Q800" s="2" t="str">
        <f t="shared" si="393"/>
        <v/>
      </c>
      <c r="R800" s="2" t="str">
        <f t="shared" si="394"/>
        <v/>
      </c>
      <c r="S800" s="2" t="str">
        <f t="shared" si="395"/>
        <v/>
      </c>
      <c r="T800" s="2" t="str">
        <f t="shared" si="410"/>
        <v/>
      </c>
      <c r="U800" s="2" t="str">
        <f t="shared" si="411"/>
        <v/>
      </c>
      <c r="V800" s="2" t="str">
        <f t="shared" si="412"/>
        <v/>
      </c>
      <c r="W800" s="2" t="str">
        <f t="shared" si="396"/>
        <v/>
      </c>
      <c r="X800" s="2" t="str">
        <f t="shared" si="397"/>
        <v/>
      </c>
      <c r="Y800" s="2" t="str">
        <f t="shared" si="398"/>
        <v/>
      </c>
      <c r="Z800" s="2" t="str">
        <f t="shared" si="413"/>
        <v/>
      </c>
      <c r="AA800" s="2" t="str">
        <f t="shared" si="414"/>
        <v/>
      </c>
      <c r="AB800" s="2" t="str">
        <f t="shared" si="415"/>
        <v/>
      </c>
      <c r="AC800" s="2" t="str">
        <f t="shared" si="399"/>
        <v/>
      </c>
      <c r="AD800" s="2" t="str">
        <f t="shared" si="400"/>
        <v/>
      </c>
      <c r="AE800" s="2" t="str">
        <f t="shared" si="401"/>
        <v/>
      </c>
      <c r="AF800" s="2" t="str">
        <f t="shared" si="402"/>
        <v/>
      </c>
    </row>
    <row r="801" spans="1:32" x14ac:dyDescent="0.2">
      <c r="A801" s="2" t="str">
        <f t="shared" si="403"/>
        <v/>
      </c>
      <c r="B801" s="2" t="str">
        <f t="shared" si="384"/>
        <v/>
      </c>
      <c r="C801" s="2" t="str">
        <f t="shared" si="385"/>
        <v/>
      </c>
      <c r="D801" s="2" t="str">
        <f t="shared" si="386"/>
        <v/>
      </c>
      <c r="E801" s="2" t="str">
        <f t="shared" si="387"/>
        <v/>
      </c>
      <c r="F801" s="2" t="str">
        <f t="shared" si="388"/>
        <v/>
      </c>
      <c r="G801" s="2" t="str">
        <f t="shared" si="389"/>
        <v/>
      </c>
      <c r="H801" s="2" t="str">
        <f t="shared" si="404"/>
        <v/>
      </c>
      <c r="I801" s="2" t="str">
        <f t="shared" si="405"/>
        <v/>
      </c>
      <c r="J801" s="2" t="str">
        <f t="shared" si="406"/>
        <v/>
      </c>
      <c r="K801" s="2" t="str">
        <f t="shared" si="390"/>
        <v/>
      </c>
      <c r="L801" s="2" t="str">
        <f t="shared" si="391"/>
        <v/>
      </c>
      <c r="M801" s="2" t="str">
        <f t="shared" si="392"/>
        <v/>
      </c>
      <c r="N801" s="2" t="str">
        <f t="shared" si="407"/>
        <v/>
      </c>
      <c r="O801" s="2" t="str">
        <f t="shared" si="408"/>
        <v/>
      </c>
      <c r="P801" s="2" t="str">
        <f t="shared" si="409"/>
        <v/>
      </c>
      <c r="Q801" s="2" t="str">
        <f t="shared" si="393"/>
        <v/>
      </c>
      <c r="R801" s="2" t="str">
        <f t="shared" si="394"/>
        <v/>
      </c>
      <c r="S801" s="2" t="str">
        <f t="shared" si="395"/>
        <v/>
      </c>
      <c r="T801" s="2" t="str">
        <f t="shared" si="410"/>
        <v/>
      </c>
      <c r="U801" s="2" t="str">
        <f t="shared" si="411"/>
        <v/>
      </c>
      <c r="V801" s="2" t="str">
        <f t="shared" si="412"/>
        <v/>
      </c>
      <c r="W801" s="2" t="str">
        <f t="shared" si="396"/>
        <v/>
      </c>
      <c r="X801" s="2" t="str">
        <f t="shared" si="397"/>
        <v/>
      </c>
      <c r="Y801" s="2" t="str">
        <f t="shared" si="398"/>
        <v/>
      </c>
      <c r="Z801" s="2" t="str">
        <f t="shared" si="413"/>
        <v/>
      </c>
      <c r="AA801" s="2" t="str">
        <f t="shared" si="414"/>
        <v/>
      </c>
      <c r="AB801" s="2" t="str">
        <f t="shared" si="415"/>
        <v/>
      </c>
      <c r="AC801" s="2" t="str">
        <f t="shared" si="399"/>
        <v/>
      </c>
      <c r="AD801" s="2" t="str">
        <f t="shared" si="400"/>
        <v/>
      </c>
      <c r="AE801" s="2" t="str">
        <f t="shared" si="401"/>
        <v/>
      </c>
      <c r="AF801" s="2" t="str">
        <f t="shared" si="402"/>
        <v/>
      </c>
    </row>
    <row r="802" spans="1:32" x14ac:dyDescent="0.2">
      <c r="A802" s="2" t="str">
        <f t="shared" si="403"/>
        <v/>
      </c>
      <c r="B802" s="2" t="str">
        <f t="shared" si="384"/>
        <v/>
      </c>
      <c r="C802" s="2" t="str">
        <f t="shared" si="385"/>
        <v/>
      </c>
      <c r="D802" s="2" t="str">
        <f t="shared" si="386"/>
        <v/>
      </c>
      <c r="E802" s="2" t="str">
        <f t="shared" si="387"/>
        <v/>
      </c>
      <c r="F802" s="2" t="str">
        <f t="shared" si="388"/>
        <v/>
      </c>
      <c r="G802" s="2" t="str">
        <f t="shared" si="389"/>
        <v/>
      </c>
      <c r="H802" s="2" t="str">
        <f t="shared" si="404"/>
        <v/>
      </c>
      <c r="I802" s="2" t="str">
        <f t="shared" si="405"/>
        <v/>
      </c>
      <c r="J802" s="2" t="str">
        <f t="shared" si="406"/>
        <v/>
      </c>
      <c r="K802" s="2" t="str">
        <f t="shared" si="390"/>
        <v/>
      </c>
      <c r="L802" s="2" t="str">
        <f t="shared" si="391"/>
        <v/>
      </c>
      <c r="M802" s="2" t="str">
        <f t="shared" si="392"/>
        <v/>
      </c>
      <c r="N802" s="2" t="str">
        <f t="shared" si="407"/>
        <v/>
      </c>
      <c r="O802" s="2" t="str">
        <f t="shared" si="408"/>
        <v/>
      </c>
      <c r="P802" s="2" t="str">
        <f t="shared" si="409"/>
        <v/>
      </c>
      <c r="Q802" s="2" t="str">
        <f t="shared" si="393"/>
        <v/>
      </c>
      <c r="R802" s="2" t="str">
        <f t="shared" si="394"/>
        <v/>
      </c>
      <c r="S802" s="2" t="str">
        <f t="shared" si="395"/>
        <v/>
      </c>
      <c r="T802" s="2" t="str">
        <f t="shared" si="410"/>
        <v/>
      </c>
      <c r="U802" s="2" t="str">
        <f t="shared" si="411"/>
        <v/>
      </c>
      <c r="V802" s="2" t="str">
        <f t="shared" si="412"/>
        <v/>
      </c>
      <c r="W802" s="2" t="str">
        <f t="shared" si="396"/>
        <v/>
      </c>
      <c r="X802" s="2" t="str">
        <f t="shared" si="397"/>
        <v/>
      </c>
      <c r="Y802" s="2" t="str">
        <f t="shared" si="398"/>
        <v/>
      </c>
      <c r="Z802" s="2" t="str">
        <f t="shared" si="413"/>
        <v/>
      </c>
      <c r="AA802" s="2" t="str">
        <f t="shared" si="414"/>
        <v/>
      </c>
      <c r="AB802" s="2" t="str">
        <f t="shared" si="415"/>
        <v/>
      </c>
      <c r="AC802" s="2" t="str">
        <f t="shared" si="399"/>
        <v/>
      </c>
      <c r="AD802" s="2" t="str">
        <f t="shared" si="400"/>
        <v/>
      </c>
      <c r="AE802" s="2" t="str">
        <f t="shared" si="401"/>
        <v/>
      </c>
      <c r="AF802" s="2" t="str">
        <f t="shared" si="402"/>
        <v/>
      </c>
    </row>
    <row r="803" spans="1:32" x14ac:dyDescent="0.2">
      <c r="A803" s="2" t="str">
        <f t="shared" si="403"/>
        <v/>
      </c>
      <c r="B803" s="2" t="str">
        <f t="shared" si="384"/>
        <v/>
      </c>
      <c r="C803" s="2" t="str">
        <f t="shared" si="385"/>
        <v/>
      </c>
      <c r="D803" s="2" t="str">
        <f t="shared" si="386"/>
        <v/>
      </c>
      <c r="E803" s="2" t="str">
        <f t="shared" si="387"/>
        <v/>
      </c>
      <c r="F803" s="2" t="str">
        <f t="shared" si="388"/>
        <v/>
      </c>
      <c r="G803" s="2" t="str">
        <f t="shared" si="389"/>
        <v/>
      </c>
      <c r="H803" s="2" t="str">
        <f t="shared" si="404"/>
        <v/>
      </c>
      <c r="I803" s="2" t="str">
        <f t="shared" si="405"/>
        <v/>
      </c>
      <c r="J803" s="2" t="str">
        <f t="shared" si="406"/>
        <v/>
      </c>
      <c r="K803" s="2" t="str">
        <f t="shared" si="390"/>
        <v/>
      </c>
      <c r="L803" s="2" t="str">
        <f t="shared" si="391"/>
        <v/>
      </c>
      <c r="M803" s="2" t="str">
        <f t="shared" si="392"/>
        <v/>
      </c>
      <c r="N803" s="2" t="str">
        <f t="shared" si="407"/>
        <v/>
      </c>
      <c r="O803" s="2" t="str">
        <f t="shared" si="408"/>
        <v/>
      </c>
      <c r="P803" s="2" t="str">
        <f t="shared" si="409"/>
        <v/>
      </c>
      <c r="Q803" s="2" t="str">
        <f t="shared" si="393"/>
        <v/>
      </c>
      <c r="R803" s="2" t="str">
        <f t="shared" si="394"/>
        <v/>
      </c>
      <c r="S803" s="2" t="str">
        <f t="shared" si="395"/>
        <v/>
      </c>
      <c r="T803" s="2" t="str">
        <f t="shared" si="410"/>
        <v/>
      </c>
      <c r="U803" s="2" t="str">
        <f t="shared" si="411"/>
        <v/>
      </c>
      <c r="V803" s="2" t="str">
        <f t="shared" si="412"/>
        <v/>
      </c>
      <c r="W803" s="2" t="str">
        <f t="shared" si="396"/>
        <v/>
      </c>
      <c r="X803" s="2" t="str">
        <f t="shared" si="397"/>
        <v/>
      </c>
      <c r="Y803" s="2" t="str">
        <f t="shared" si="398"/>
        <v/>
      </c>
      <c r="Z803" s="2" t="str">
        <f t="shared" si="413"/>
        <v/>
      </c>
      <c r="AA803" s="2" t="str">
        <f t="shared" si="414"/>
        <v/>
      </c>
      <c r="AB803" s="2" t="str">
        <f t="shared" si="415"/>
        <v/>
      </c>
      <c r="AC803" s="2" t="str">
        <f t="shared" si="399"/>
        <v/>
      </c>
      <c r="AD803" s="2" t="str">
        <f t="shared" si="400"/>
        <v/>
      </c>
      <c r="AE803" s="2" t="str">
        <f t="shared" si="401"/>
        <v/>
      </c>
      <c r="AF803" s="2" t="str">
        <f t="shared" si="402"/>
        <v/>
      </c>
    </row>
    <row r="804" spans="1:32" x14ac:dyDescent="0.2">
      <c r="A804" s="2" t="str">
        <f t="shared" si="403"/>
        <v/>
      </c>
      <c r="B804" s="2" t="str">
        <f t="shared" si="384"/>
        <v/>
      </c>
      <c r="C804" s="2" t="str">
        <f t="shared" si="385"/>
        <v/>
      </c>
      <c r="D804" s="2" t="str">
        <f t="shared" si="386"/>
        <v/>
      </c>
      <c r="E804" s="2" t="str">
        <f t="shared" si="387"/>
        <v/>
      </c>
      <c r="F804" s="2" t="str">
        <f t="shared" si="388"/>
        <v/>
      </c>
      <c r="G804" s="2" t="str">
        <f t="shared" si="389"/>
        <v/>
      </c>
      <c r="H804" s="2" t="str">
        <f t="shared" si="404"/>
        <v/>
      </c>
      <c r="I804" s="2" t="str">
        <f t="shared" si="405"/>
        <v/>
      </c>
      <c r="J804" s="2" t="str">
        <f t="shared" si="406"/>
        <v/>
      </c>
      <c r="K804" s="2" t="str">
        <f t="shared" si="390"/>
        <v/>
      </c>
      <c r="L804" s="2" t="str">
        <f t="shared" si="391"/>
        <v/>
      </c>
      <c r="M804" s="2" t="str">
        <f t="shared" si="392"/>
        <v/>
      </c>
      <c r="N804" s="2" t="str">
        <f t="shared" si="407"/>
        <v/>
      </c>
      <c r="O804" s="2" t="str">
        <f t="shared" si="408"/>
        <v/>
      </c>
      <c r="P804" s="2" t="str">
        <f t="shared" si="409"/>
        <v/>
      </c>
      <c r="Q804" s="2" t="str">
        <f t="shared" si="393"/>
        <v/>
      </c>
      <c r="R804" s="2" t="str">
        <f t="shared" si="394"/>
        <v/>
      </c>
      <c r="S804" s="2" t="str">
        <f t="shared" si="395"/>
        <v/>
      </c>
      <c r="T804" s="2" t="str">
        <f t="shared" si="410"/>
        <v/>
      </c>
      <c r="U804" s="2" t="str">
        <f t="shared" si="411"/>
        <v/>
      </c>
      <c r="V804" s="2" t="str">
        <f t="shared" si="412"/>
        <v/>
      </c>
      <c r="W804" s="2" t="str">
        <f t="shared" si="396"/>
        <v/>
      </c>
      <c r="X804" s="2" t="str">
        <f t="shared" si="397"/>
        <v/>
      </c>
      <c r="Y804" s="2" t="str">
        <f t="shared" si="398"/>
        <v/>
      </c>
      <c r="Z804" s="2" t="str">
        <f t="shared" si="413"/>
        <v/>
      </c>
      <c r="AA804" s="2" t="str">
        <f t="shared" si="414"/>
        <v/>
      </c>
      <c r="AB804" s="2" t="str">
        <f t="shared" si="415"/>
        <v/>
      </c>
      <c r="AC804" s="2" t="str">
        <f t="shared" si="399"/>
        <v/>
      </c>
      <c r="AD804" s="2" t="str">
        <f t="shared" si="400"/>
        <v/>
      </c>
      <c r="AE804" s="2" t="str">
        <f t="shared" si="401"/>
        <v/>
      </c>
      <c r="AF804" s="2" t="str">
        <f t="shared" si="402"/>
        <v/>
      </c>
    </row>
    <row r="805" spans="1:32" x14ac:dyDescent="0.2">
      <c r="A805" s="2" t="str">
        <f t="shared" si="403"/>
        <v/>
      </c>
      <c r="B805" s="2" t="str">
        <f t="shared" si="384"/>
        <v/>
      </c>
      <c r="C805" s="2" t="str">
        <f t="shared" si="385"/>
        <v/>
      </c>
      <c r="D805" s="2" t="str">
        <f t="shared" si="386"/>
        <v/>
      </c>
      <c r="E805" s="2" t="str">
        <f t="shared" si="387"/>
        <v/>
      </c>
      <c r="F805" s="2" t="str">
        <f t="shared" si="388"/>
        <v/>
      </c>
      <c r="G805" s="2" t="str">
        <f t="shared" si="389"/>
        <v/>
      </c>
      <c r="H805" s="2" t="str">
        <f t="shared" si="404"/>
        <v/>
      </c>
      <c r="I805" s="2" t="str">
        <f t="shared" si="405"/>
        <v/>
      </c>
      <c r="J805" s="2" t="str">
        <f t="shared" si="406"/>
        <v/>
      </c>
      <c r="K805" s="2" t="str">
        <f t="shared" si="390"/>
        <v/>
      </c>
      <c r="L805" s="2" t="str">
        <f t="shared" si="391"/>
        <v/>
      </c>
      <c r="M805" s="2" t="str">
        <f t="shared" si="392"/>
        <v/>
      </c>
      <c r="N805" s="2" t="str">
        <f t="shared" si="407"/>
        <v/>
      </c>
      <c r="O805" s="2" t="str">
        <f t="shared" si="408"/>
        <v/>
      </c>
      <c r="P805" s="2" t="str">
        <f t="shared" si="409"/>
        <v/>
      </c>
      <c r="Q805" s="2" t="str">
        <f t="shared" si="393"/>
        <v/>
      </c>
      <c r="R805" s="2" t="str">
        <f t="shared" si="394"/>
        <v/>
      </c>
      <c r="S805" s="2" t="str">
        <f t="shared" si="395"/>
        <v/>
      </c>
      <c r="T805" s="2" t="str">
        <f t="shared" si="410"/>
        <v/>
      </c>
      <c r="U805" s="2" t="str">
        <f t="shared" si="411"/>
        <v/>
      </c>
      <c r="V805" s="2" t="str">
        <f t="shared" si="412"/>
        <v/>
      </c>
      <c r="W805" s="2" t="str">
        <f t="shared" si="396"/>
        <v/>
      </c>
      <c r="X805" s="2" t="str">
        <f t="shared" si="397"/>
        <v/>
      </c>
      <c r="Y805" s="2" t="str">
        <f t="shared" si="398"/>
        <v/>
      </c>
      <c r="Z805" s="2" t="str">
        <f t="shared" si="413"/>
        <v/>
      </c>
      <c r="AA805" s="2" t="str">
        <f t="shared" si="414"/>
        <v/>
      </c>
      <c r="AB805" s="2" t="str">
        <f t="shared" si="415"/>
        <v/>
      </c>
      <c r="AC805" s="2" t="str">
        <f t="shared" si="399"/>
        <v/>
      </c>
      <c r="AD805" s="2" t="str">
        <f t="shared" si="400"/>
        <v/>
      </c>
      <c r="AE805" s="2" t="str">
        <f t="shared" si="401"/>
        <v/>
      </c>
      <c r="AF805" s="2" t="str">
        <f t="shared" si="402"/>
        <v/>
      </c>
    </row>
    <row r="806" spans="1:32" x14ac:dyDescent="0.2">
      <c r="A806" s="2" t="str">
        <f t="shared" si="403"/>
        <v/>
      </c>
      <c r="B806" s="2" t="str">
        <f t="shared" si="384"/>
        <v/>
      </c>
      <c r="C806" s="2" t="str">
        <f t="shared" si="385"/>
        <v/>
      </c>
      <c r="D806" s="2" t="str">
        <f t="shared" si="386"/>
        <v/>
      </c>
      <c r="E806" s="2" t="str">
        <f t="shared" si="387"/>
        <v/>
      </c>
      <c r="F806" s="2" t="str">
        <f t="shared" si="388"/>
        <v/>
      </c>
      <c r="G806" s="2" t="str">
        <f t="shared" si="389"/>
        <v/>
      </c>
      <c r="H806" s="2" t="str">
        <f t="shared" si="404"/>
        <v/>
      </c>
      <c r="I806" s="2" t="str">
        <f t="shared" si="405"/>
        <v/>
      </c>
      <c r="J806" s="2" t="str">
        <f t="shared" si="406"/>
        <v/>
      </c>
      <c r="K806" s="2" t="str">
        <f t="shared" si="390"/>
        <v/>
      </c>
      <c r="L806" s="2" t="str">
        <f t="shared" si="391"/>
        <v/>
      </c>
      <c r="M806" s="2" t="str">
        <f t="shared" si="392"/>
        <v/>
      </c>
      <c r="N806" s="2" t="str">
        <f t="shared" si="407"/>
        <v/>
      </c>
      <c r="O806" s="2" t="str">
        <f t="shared" si="408"/>
        <v/>
      </c>
      <c r="P806" s="2" t="str">
        <f t="shared" si="409"/>
        <v/>
      </c>
      <c r="Q806" s="2" t="str">
        <f t="shared" si="393"/>
        <v/>
      </c>
      <c r="R806" s="2" t="str">
        <f t="shared" si="394"/>
        <v/>
      </c>
      <c r="S806" s="2" t="str">
        <f t="shared" si="395"/>
        <v/>
      </c>
      <c r="T806" s="2" t="str">
        <f t="shared" si="410"/>
        <v/>
      </c>
      <c r="U806" s="2" t="str">
        <f t="shared" si="411"/>
        <v/>
      </c>
      <c r="V806" s="2" t="str">
        <f t="shared" si="412"/>
        <v/>
      </c>
      <c r="W806" s="2" t="str">
        <f t="shared" si="396"/>
        <v/>
      </c>
      <c r="X806" s="2" t="str">
        <f t="shared" si="397"/>
        <v/>
      </c>
      <c r="Y806" s="2" t="str">
        <f t="shared" si="398"/>
        <v/>
      </c>
      <c r="Z806" s="2" t="str">
        <f t="shared" si="413"/>
        <v/>
      </c>
      <c r="AA806" s="2" t="str">
        <f t="shared" si="414"/>
        <v/>
      </c>
      <c r="AB806" s="2" t="str">
        <f t="shared" si="415"/>
        <v/>
      </c>
      <c r="AC806" s="2" t="str">
        <f t="shared" si="399"/>
        <v/>
      </c>
      <c r="AD806" s="2" t="str">
        <f t="shared" si="400"/>
        <v/>
      </c>
      <c r="AE806" s="2" t="str">
        <f t="shared" si="401"/>
        <v/>
      </c>
      <c r="AF806" s="2" t="str">
        <f t="shared" si="402"/>
        <v/>
      </c>
    </row>
    <row r="807" spans="1:32" x14ac:dyDescent="0.2">
      <c r="A807" s="2" t="str">
        <f t="shared" si="403"/>
        <v/>
      </c>
      <c r="B807" s="2" t="str">
        <f t="shared" si="384"/>
        <v/>
      </c>
      <c r="C807" s="2" t="str">
        <f t="shared" si="385"/>
        <v/>
      </c>
      <c r="D807" s="2" t="str">
        <f t="shared" si="386"/>
        <v/>
      </c>
      <c r="E807" s="2" t="str">
        <f t="shared" si="387"/>
        <v/>
      </c>
      <c r="F807" s="2" t="str">
        <f t="shared" si="388"/>
        <v/>
      </c>
      <c r="G807" s="2" t="str">
        <f t="shared" si="389"/>
        <v/>
      </c>
      <c r="H807" s="2" t="str">
        <f t="shared" si="404"/>
        <v/>
      </c>
      <c r="I807" s="2" t="str">
        <f t="shared" si="405"/>
        <v/>
      </c>
      <c r="J807" s="2" t="str">
        <f t="shared" si="406"/>
        <v/>
      </c>
      <c r="K807" s="2" t="str">
        <f t="shared" si="390"/>
        <v/>
      </c>
      <c r="L807" s="2" t="str">
        <f t="shared" si="391"/>
        <v/>
      </c>
      <c r="M807" s="2" t="str">
        <f t="shared" si="392"/>
        <v/>
      </c>
      <c r="N807" s="2" t="str">
        <f t="shared" si="407"/>
        <v/>
      </c>
      <c r="O807" s="2" t="str">
        <f t="shared" si="408"/>
        <v/>
      </c>
      <c r="P807" s="2" t="str">
        <f t="shared" si="409"/>
        <v/>
      </c>
      <c r="Q807" s="2" t="str">
        <f t="shared" si="393"/>
        <v/>
      </c>
      <c r="R807" s="2" t="str">
        <f t="shared" si="394"/>
        <v/>
      </c>
      <c r="S807" s="2" t="str">
        <f t="shared" si="395"/>
        <v/>
      </c>
      <c r="T807" s="2" t="str">
        <f t="shared" si="410"/>
        <v/>
      </c>
      <c r="U807" s="2" t="str">
        <f t="shared" si="411"/>
        <v/>
      </c>
      <c r="V807" s="2" t="str">
        <f t="shared" si="412"/>
        <v/>
      </c>
      <c r="W807" s="2" t="str">
        <f t="shared" si="396"/>
        <v/>
      </c>
      <c r="X807" s="2" t="str">
        <f t="shared" si="397"/>
        <v/>
      </c>
      <c r="Y807" s="2" t="str">
        <f t="shared" si="398"/>
        <v/>
      </c>
      <c r="Z807" s="2" t="str">
        <f t="shared" si="413"/>
        <v/>
      </c>
      <c r="AA807" s="2" t="str">
        <f t="shared" si="414"/>
        <v/>
      </c>
      <c r="AB807" s="2" t="str">
        <f t="shared" si="415"/>
        <v/>
      </c>
      <c r="AC807" s="2" t="str">
        <f t="shared" si="399"/>
        <v/>
      </c>
      <c r="AD807" s="2" t="str">
        <f t="shared" si="400"/>
        <v/>
      </c>
      <c r="AE807" s="2" t="str">
        <f t="shared" si="401"/>
        <v/>
      </c>
      <c r="AF807" s="2" t="str">
        <f t="shared" si="402"/>
        <v/>
      </c>
    </row>
    <row r="808" spans="1:32" x14ac:dyDescent="0.2">
      <c r="A808" s="2" t="str">
        <f t="shared" si="403"/>
        <v/>
      </c>
      <c r="B808" s="2" t="str">
        <f t="shared" si="384"/>
        <v/>
      </c>
      <c r="C808" s="2" t="str">
        <f t="shared" si="385"/>
        <v/>
      </c>
      <c r="D808" s="2" t="str">
        <f t="shared" si="386"/>
        <v/>
      </c>
      <c r="E808" s="2" t="str">
        <f t="shared" si="387"/>
        <v/>
      </c>
      <c r="F808" s="2" t="str">
        <f t="shared" si="388"/>
        <v/>
      </c>
      <c r="G808" s="2" t="str">
        <f t="shared" si="389"/>
        <v/>
      </c>
      <c r="H808" s="2" t="str">
        <f t="shared" si="404"/>
        <v/>
      </c>
      <c r="I808" s="2" t="str">
        <f t="shared" si="405"/>
        <v/>
      </c>
      <c r="J808" s="2" t="str">
        <f t="shared" si="406"/>
        <v/>
      </c>
      <c r="K808" s="2" t="str">
        <f t="shared" si="390"/>
        <v/>
      </c>
      <c r="L808" s="2" t="str">
        <f t="shared" si="391"/>
        <v/>
      </c>
      <c r="M808" s="2" t="str">
        <f t="shared" si="392"/>
        <v/>
      </c>
      <c r="N808" s="2" t="str">
        <f t="shared" si="407"/>
        <v/>
      </c>
      <c r="O808" s="2" t="str">
        <f t="shared" si="408"/>
        <v/>
      </c>
      <c r="P808" s="2" t="str">
        <f t="shared" si="409"/>
        <v/>
      </c>
      <c r="Q808" s="2" t="str">
        <f t="shared" si="393"/>
        <v/>
      </c>
      <c r="R808" s="2" t="str">
        <f t="shared" si="394"/>
        <v/>
      </c>
      <c r="S808" s="2" t="str">
        <f t="shared" si="395"/>
        <v/>
      </c>
      <c r="T808" s="2" t="str">
        <f t="shared" si="410"/>
        <v/>
      </c>
      <c r="U808" s="2" t="str">
        <f t="shared" si="411"/>
        <v/>
      </c>
      <c r="V808" s="2" t="str">
        <f t="shared" si="412"/>
        <v/>
      </c>
      <c r="W808" s="2" t="str">
        <f t="shared" si="396"/>
        <v/>
      </c>
      <c r="X808" s="2" t="str">
        <f t="shared" si="397"/>
        <v/>
      </c>
      <c r="Y808" s="2" t="str">
        <f t="shared" si="398"/>
        <v/>
      </c>
      <c r="Z808" s="2" t="str">
        <f t="shared" si="413"/>
        <v/>
      </c>
      <c r="AA808" s="2" t="str">
        <f t="shared" si="414"/>
        <v/>
      </c>
      <c r="AB808" s="2" t="str">
        <f t="shared" si="415"/>
        <v/>
      </c>
      <c r="AC808" s="2" t="str">
        <f t="shared" si="399"/>
        <v/>
      </c>
      <c r="AD808" s="2" t="str">
        <f t="shared" si="400"/>
        <v/>
      </c>
      <c r="AE808" s="2" t="str">
        <f t="shared" si="401"/>
        <v/>
      </c>
      <c r="AF808" s="2" t="str">
        <f t="shared" si="402"/>
        <v/>
      </c>
    </row>
    <row r="809" spans="1:32" x14ac:dyDescent="0.2">
      <c r="A809" s="2" t="str">
        <f t="shared" si="403"/>
        <v/>
      </c>
      <c r="B809" s="2" t="str">
        <f t="shared" si="384"/>
        <v/>
      </c>
      <c r="C809" s="2" t="str">
        <f t="shared" si="385"/>
        <v/>
      </c>
      <c r="D809" s="2" t="str">
        <f t="shared" si="386"/>
        <v/>
      </c>
      <c r="E809" s="2" t="str">
        <f t="shared" si="387"/>
        <v/>
      </c>
      <c r="F809" s="2" t="str">
        <f t="shared" si="388"/>
        <v/>
      </c>
      <c r="G809" s="2" t="str">
        <f t="shared" si="389"/>
        <v/>
      </c>
      <c r="H809" s="2" t="str">
        <f t="shared" si="404"/>
        <v/>
      </c>
      <c r="I809" s="2" t="str">
        <f t="shared" si="405"/>
        <v/>
      </c>
      <c r="J809" s="2" t="str">
        <f t="shared" si="406"/>
        <v/>
      </c>
      <c r="K809" s="2" t="str">
        <f t="shared" si="390"/>
        <v/>
      </c>
      <c r="L809" s="2" t="str">
        <f t="shared" si="391"/>
        <v/>
      </c>
      <c r="M809" s="2" t="str">
        <f t="shared" si="392"/>
        <v/>
      </c>
      <c r="N809" s="2" t="str">
        <f t="shared" si="407"/>
        <v/>
      </c>
      <c r="O809" s="2" t="str">
        <f t="shared" si="408"/>
        <v/>
      </c>
      <c r="P809" s="2" t="str">
        <f t="shared" si="409"/>
        <v/>
      </c>
      <c r="Q809" s="2" t="str">
        <f t="shared" si="393"/>
        <v/>
      </c>
      <c r="R809" s="2" t="str">
        <f t="shared" si="394"/>
        <v/>
      </c>
      <c r="S809" s="2" t="str">
        <f t="shared" si="395"/>
        <v/>
      </c>
      <c r="T809" s="2" t="str">
        <f t="shared" si="410"/>
        <v/>
      </c>
      <c r="U809" s="2" t="str">
        <f t="shared" si="411"/>
        <v/>
      </c>
      <c r="V809" s="2" t="str">
        <f t="shared" si="412"/>
        <v/>
      </c>
      <c r="W809" s="2" t="str">
        <f t="shared" si="396"/>
        <v/>
      </c>
      <c r="X809" s="2" t="str">
        <f t="shared" si="397"/>
        <v/>
      </c>
      <c r="Y809" s="2" t="str">
        <f t="shared" si="398"/>
        <v/>
      </c>
      <c r="Z809" s="2" t="str">
        <f t="shared" si="413"/>
        <v/>
      </c>
      <c r="AA809" s="2" t="str">
        <f t="shared" si="414"/>
        <v/>
      </c>
      <c r="AB809" s="2" t="str">
        <f t="shared" si="415"/>
        <v/>
      </c>
      <c r="AC809" s="2" t="str">
        <f t="shared" si="399"/>
        <v/>
      </c>
      <c r="AD809" s="2" t="str">
        <f t="shared" si="400"/>
        <v/>
      </c>
      <c r="AE809" s="2" t="str">
        <f t="shared" si="401"/>
        <v/>
      </c>
      <c r="AF809" s="2" t="str">
        <f t="shared" si="402"/>
        <v/>
      </c>
    </row>
    <row r="810" spans="1:32" x14ac:dyDescent="0.2">
      <c r="A810" s="2" t="str">
        <f t="shared" si="403"/>
        <v/>
      </c>
      <c r="B810" s="2" t="str">
        <f t="shared" si="384"/>
        <v/>
      </c>
      <c r="C810" s="2" t="str">
        <f t="shared" si="385"/>
        <v/>
      </c>
      <c r="D810" s="2" t="str">
        <f t="shared" si="386"/>
        <v/>
      </c>
      <c r="E810" s="2" t="str">
        <f t="shared" si="387"/>
        <v/>
      </c>
      <c r="F810" s="2" t="str">
        <f t="shared" si="388"/>
        <v/>
      </c>
      <c r="G810" s="2" t="str">
        <f t="shared" si="389"/>
        <v/>
      </c>
      <c r="H810" s="2" t="str">
        <f t="shared" si="404"/>
        <v/>
      </c>
      <c r="I810" s="2" t="str">
        <f t="shared" si="405"/>
        <v/>
      </c>
      <c r="J810" s="2" t="str">
        <f t="shared" si="406"/>
        <v/>
      </c>
      <c r="K810" s="2" t="str">
        <f t="shared" si="390"/>
        <v/>
      </c>
      <c r="L810" s="2" t="str">
        <f t="shared" si="391"/>
        <v/>
      </c>
      <c r="M810" s="2" t="str">
        <f t="shared" si="392"/>
        <v/>
      </c>
      <c r="N810" s="2" t="str">
        <f t="shared" si="407"/>
        <v/>
      </c>
      <c r="O810" s="2" t="str">
        <f t="shared" si="408"/>
        <v/>
      </c>
      <c r="P810" s="2" t="str">
        <f t="shared" si="409"/>
        <v/>
      </c>
      <c r="Q810" s="2" t="str">
        <f t="shared" si="393"/>
        <v/>
      </c>
      <c r="R810" s="2" t="str">
        <f t="shared" si="394"/>
        <v/>
      </c>
      <c r="S810" s="2" t="str">
        <f t="shared" si="395"/>
        <v/>
      </c>
      <c r="T810" s="2" t="str">
        <f t="shared" si="410"/>
        <v/>
      </c>
      <c r="U810" s="2" t="str">
        <f t="shared" si="411"/>
        <v/>
      </c>
      <c r="V810" s="2" t="str">
        <f t="shared" si="412"/>
        <v/>
      </c>
      <c r="W810" s="2" t="str">
        <f t="shared" si="396"/>
        <v/>
      </c>
      <c r="X810" s="2" t="str">
        <f t="shared" si="397"/>
        <v/>
      </c>
      <c r="Y810" s="2" t="str">
        <f t="shared" si="398"/>
        <v/>
      </c>
      <c r="Z810" s="2" t="str">
        <f t="shared" si="413"/>
        <v/>
      </c>
      <c r="AA810" s="2" t="str">
        <f t="shared" si="414"/>
        <v/>
      </c>
      <c r="AB810" s="2" t="str">
        <f t="shared" si="415"/>
        <v/>
      </c>
      <c r="AC810" s="2" t="str">
        <f t="shared" si="399"/>
        <v/>
      </c>
      <c r="AD810" s="2" t="str">
        <f t="shared" si="400"/>
        <v/>
      </c>
      <c r="AE810" s="2" t="str">
        <f t="shared" si="401"/>
        <v/>
      </c>
      <c r="AF810" s="2" t="str">
        <f t="shared" si="402"/>
        <v/>
      </c>
    </row>
    <row r="811" spans="1:32" x14ac:dyDescent="0.2">
      <c r="A811" s="2" t="str">
        <f t="shared" si="403"/>
        <v/>
      </c>
      <c r="B811" s="2" t="str">
        <f t="shared" si="384"/>
        <v/>
      </c>
      <c r="C811" s="2" t="str">
        <f t="shared" si="385"/>
        <v/>
      </c>
      <c r="D811" s="2" t="str">
        <f t="shared" si="386"/>
        <v/>
      </c>
      <c r="E811" s="2" t="str">
        <f t="shared" si="387"/>
        <v/>
      </c>
      <c r="F811" s="2" t="str">
        <f t="shared" si="388"/>
        <v/>
      </c>
      <c r="G811" s="2" t="str">
        <f t="shared" si="389"/>
        <v/>
      </c>
      <c r="H811" s="2" t="str">
        <f t="shared" si="404"/>
        <v/>
      </c>
      <c r="I811" s="2" t="str">
        <f t="shared" si="405"/>
        <v/>
      </c>
      <c r="J811" s="2" t="str">
        <f t="shared" si="406"/>
        <v/>
      </c>
      <c r="K811" s="2" t="str">
        <f t="shared" si="390"/>
        <v/>
      </c>
      <c r="L811" s="2" t="str">
        <f t="shared" si="391"/>
        <v/>
      </c>
      <c r="M811" s="2" t="str">
        <f t="shared" si="392"/>
        <v/>
      </c>
      <c r="N811" s="2" t="str">
        <f t="shared" si="407"/>
        <v/>
      </c>
      <c r="O811" s="2" t="str">
        <f t="shared" si="408"/>
        <v/>
      </c>
      <c r="P811" s="2" t="str">
        <f t="shared" si="409"/>
        <v/>
      </c>
      <c r="Q811" s="2" t="str">
        <f t="shared" si="393"/>
        <v/>
      </c>
      <c r="R811" s="2" t="str">
        <f t="shared" si="394"/>
        <v/>
      </c>
      <c r="S811" s="2" t="str">
        <f t="shared" si="395"/>
        <v/>
      </c>
      <c r="T811" s="2" t="str">
        <f t="shared" si="410"/>
        <v/>
      </c>
      <c r="U811" s="2" t="str">
        <f t="shared" si="411"/>
        <v/>
      </c>
      <c r="V811" s="2" t="str">
        <f t="shared" si="412"/>
        <v/>
      </c>
      <c r="W811" s="2" t="str">
        <f t="shared" si="396"/>
        <v/>
      </c>
      <c r="X811" s="2" t="str">
        <f t="shared" si="397"/>
        <v/>
      </c>
      <c r="Y811" s="2" t="str">
        <f t="shared" si="398"/>
        <v/>
      </c>
      <c r="Z811" s="2" t="str">
        <f t="shared" si="413"/>
        <v/>
      </c>
      <c r="AA811" s="2" t="str">
        <f t="shared" si="414"/>
        <v/>
      </c>
      <c r="AB811" s="2" t="str">
        <f t="shared" si="415"/>
        <v/>
      </c>
      <c r="AC811" s="2" t="str">
        <f t="shared" si="399"/>
        <v/>
      </c>
      <c r="AD811" s="2" t="str">
        <f t="shared" si="400"/>
        <v/>
      </c>
      <c r="AE811" s="2" t="str">
        <f t="shared" si="401"/>
        <v/>
      </c>
      <c r="AF811" s="2" t="str">
        <f t="shared" si="402"/>
        <v/>
      </c>
    </row>
    <row r="812" spans="1:32" x14ac:dyDescent="0.2">
      <c r="A812" s="2" t="str">
        <f t="shared" si="403"/>
        <v/>
      </c>
      <c r="B812" s="2" t="str">
        <f t="shared" si="384"/>
        <v/>
      </c>
      <c r="C812" s="2" t="str">
        <f t="shared" si="385"/>
        <v/>
      </c>
      <c r="D812" s="2" t="str">
        <f t="shared" si="386"/>
        <v/>
      </c>
      <c r="E812" s="2" t="str">
        <f t="shared" si="387"/>
        <v/>
      </c>
      <c r="F812" s="2" t="str">
        <f t="shared" si="388"/>
        <v/>
      </c>
      <c r="G812" s="2" t="str">
        <f t="shared" si="389"/>
        <v/>
      </c>
      <c r="H812" s="2" t="str">
        <f t="shared" si="404"/>
        <v/>
      </c>
      <c r="I812" s="2" t="str">
        <f t="shared" si="405"/>
        <v/>
      </c>
      <c r="J812" s="2" t="str">
        <f t="shared" si="406"/>
        <v/>
      </c>
      <c r="K812" s="2" t="str">
        <f t="shared" si="390"/>
        <v/>
      </c>
      <c r="L812" s="2" t="str">
        <f t="shared" si="391"/>
        <v/>
      </c>
      <c r="M812" s="2" t="str">
        <f t="shared" si="392"/>
        <v/>
      </c>
      <c r="N812" s="2" t="str">
        <f t="shared" si="407"/>
        <v/>
      </c>
      <c r="O812" s="2" t="str">
        <f t="shared" si="408"/>
        <v/>
      </c>
      <c r="P812" s="2" t="str">
        <f t="shared" si="409"/>
        <v/>
      </c>
      <c r="Q812" s="2" t="str">
        <f t="shared" si="393"/>
        <v/>
      </c>
      <c r="R812" s="2" t="str">
        <f t="shared" si="394"/>
        <v/>
      </c>
      <c r="S812" s="2" t="str">
        <f t="shared" si="395"/>
        <v/>
      </c>
      <c r="T812" s="2" t="str">
        <f t="shared" si="410"/>
        <v/>
      </c>
      <c r="U812" s="2" t="str">
        <f t="shared" si="411"/>
        <v/>
      </c>
      <c r="V812" s="2" t="str">
        <f t="shared" si="412"/>
        <v/>
      </c>
      <c r="W812" s="2" t="str">
        <f t="shared" si="396"/>
        <v/>
      </c>
      <c r="X812" s="2" t="str">
        <f t="shared" si="397"/>
        <v/>
      </c>
      <c r="Y812" s="2" t="str">
        <f t="shared" si="398"/>
        <v/>
      </c>
      <c r="Z812" s="2" t="str">
        <f t="shared" si="413"/>
        <v/>
      </c>
      <c r="AA812" s="2" t="str">
        <f t="shared" si="414"/>
        <v/>
      </c>
      <c r="AB812" s="2" t="str">
        <f t="shared" si="415"/>
        <v/>
      </c>
      <c r="AC812" s="2" t="str">
        <f t="shared" si="399"/>
        <v/>
      </c>
      <c r="AD812" s="2" t="str">
        <f t="shared" si="400"/>
        <v/>
      </c>
      <c r="AE812" s="2" t="str">
        <f t="shared" si="401"/>
        <v/>
      </c>
      <c r="AF812" s="2" t="str">
        <f t="shared" si="402"/>
        <v/>
      </c>
    </row>
    <row r="813" spans="1:32" x14ac:dyDescent="0.2">
      <c r="A813" s="2" t="str">
        <f t="shared" si="403"/>
        <v/>
      </c>
      <c r="B813" s="2" t="str">
        <f t="shared" si="384"/>
        <v/>
      </c>
      <c r="C813" s="2" t="str">
        <f t="shared" si="385"/>
        <v/>
      </c>
      <c r="D813" s="2" t="str">
        <f t="shared" si="386"/>
        <v/>
      </c>
      <c r="E813" s="2" t="str">
        <f t="shared" si="387"/>
        <v/>
      </c>
      <c r="F813" s="2" t="str">
        <f t="shared" si="388"/>
        <v/>
      </c>
      <c r="G813" s="2" t="str">
        <f t="shared" si="389"/>
        <v/>
      </c>
      <c r="H813" s="2" t="str">
        <f t="shared" si="404"/>
        <v/>
      </c>
      <c r="I813" s="2" t="str">
        <f t="shared" si="405"/>
        <v/>
      </c>
      <c r="J813" s="2" t="str">
        <f t="shared" si="406"/>
        <v/>
      </c>
      <c r="K813" s="2" t="str">
        <f t="shared" si="390"/>
        <v/>
      </c>
      <c r="L813" s="2" t="str">
        <f t="shared" si="391"/>
        <v/>
      </c>
      <c r="M813" s="2" t="str">
        <f t="shared" si="392"/>
        <v/>
      </c>
      <c r="N813" s="2" t="str">
        <f t="shared" si="407"/>
        <v/>
      </c>
      <c r="O813" s="2" t="str">
        <f t="shared" si="408"/>
        <v/>
      </c>
      <c r="P813" s="2" t="str">
        <f t="shared" si="409"/>
        <v/>
      </c>
      <c r="Q813" s="2" t="str">
        <f t="shared" si="393"/>
        <v/>
      </c>
      <c r="R813" s="2" t="str">
        <f t="shared" si="394"/>
        <v/>
      </c>
      <c r="S813" s="2" t="str">
        <f t="shared" si="395"/>
        <v/>
      </c>
      <c r="T813" s="2" t="str">
        <f t="shared" si="410"/>
        <v/>
      </c>
      <c r="U813" s="2" t="str">
        <f t="shared" si="411"/>
        <v/>
      </c>
      <c r="V813" s="2" t="str">
        <f t="shared" si="412"/>
        <v/>
      </c>
      <c r="W813" s="2" t="str">
        <f t="shared" si="396"/>
        <v/>
      </c>
      <c r="X813" s="2" t="str">
        <f t="shared" si="397"/>
        <v/>
      </c>
      <c r="Y813" s="2" t="str">
        <f t="shared" si="398"/>
        <v/>
      </c>
      <c r="Z813" s="2" t="str">
        <f t="shared" si="413"/>
        <v/>
      </c>
      <c r="AA813" s="2" t="str">
        <f t="shared" si="414"/>
        <v/>
      </c>
      <c r="AB813" s="2" t="str">
        <f t="shared" si="415"/>
        <v/>
      </c>
      <c r="AC813" s="2" t="str">
        <f t="shared" si="399"/>
        <v/>
      </c>
      <c r="AD813" s="2" t="str">
        <f t="shared" si="400"/>
        <v/>
      </c>
      <c r="AE813" s="2" t="str">
        <f t="shared" si="401"/>
        <v/>
      </c>
      <c r="AF813" s="2" t="str">
        <f t="shared" si="402"/>
        <v/>
      </c>
    </row>
    <row r="814" spans="1:32" x14ac:dyDescent="0.2">
      <c r="A814" s="2" t="str">
        <f t="shared" si="403"/>
        <v/>
      </c>
      <c r="B814" s="2" t="str">
        <f t="shared" si="384"/>
        <v/>
      </c>
      <c r="C814" s="2" t="str">
        <f t="shared" si="385"/>
        <v/>
      </c>
      <c r="D814" s="2" t="str">
        <f t="shared" si="386"/>
        <v/>
      </c>
      <c r="E814" s="2" t="str">
        <f t="shared" si="387"/>
        <v/>
      </c>
      <c r="F814" s="2" t="str">
        <f t="shared" si="388"/>
        <v/>
      </c>
      <c r="G814" s="2" t="str">
        <f t="shared" si="389"/>
        <v/>
      </c>
      <c r="H814" s="2" t="str">
        <f t="shared" si="404"/>
        <v/>
      </c>
      <c r="I814" s="2" t="str">
        <f t="shared" si="405"/>
        <v/>
      </c>
      <c r="J814" s="2" t="str">
        <f t="shared" si="406"/>
        <v/>
      </c>
      <c r="K814" s="2" t="str">
        <f t="shared" si="390"/>
        <v/>
      </c>
      <c r="L814" s="2" t="str">
        <f t="shared" si="391"/>
        <v/>
      </c>
      <c r="M814" s="2" t="str">
        <f t="shared" si="392"/>
        <v/>
      </c>
      <c r="N814" s="2" t="str">
        <f t="shared" si="407"/>
        <v/>
      </c>
      <c r="O814" s="2" t="str">
        <f t="shared" si="408"/>
        <v/>
      </c>
      <c r="P814" s="2" t="str">
        <f t="shared" si="409"/>
        <v/>
      </c>
      <c r="Q814" s="2" t="str">
        <f t="shared" si="393"/>
        <v/>
      </c>
      <c r="R814" s="2" t="str">
        <f t="shared" si="394"/>
        <v/>
      </c>
      <c r="S814" s="2" t="str">
        <f t="shared" si="395"/>
        <v/>
      </c>
      <c r="T814" s="2" t="str">
        <f t="shared" si="410"/>
        <v/>
      </c>
      <c r="U814" s="2" t="str">
        <f t="shared" si="411"/>
        <v/>
      </c>
      <c r="V814" s="2" t="str">
        <f t="shared" si="412"/>
        <v/>
      </c>
      <c r="W814" s="2" t="str">
        <f t="shared" si="396"/>
        <v/>
      </c>
      <c r="X814" s="2" t="str">
        <f t="shared" si="397"/>
        <v/>
      </c>
      <c r="Y814" s="2" t="str">
        <f t="shared" si="398"/>
        <v/>
      </c>
      <c r="Z814" s="2" t="str">
        <f t="shared" si="413"/>
        <v/>
      </c>
      <c r="AA814" s="2" t="str">
        <f t="shared" si="414"/>
        <v/>
      </c>
      <c r="AB814" s="2" t="str">
        <f t="shared" si="415"/>
        <v/>
      </c>
      <c r="AC814" s="2" t="str">
        <f t="shared" si="399"/>
        <v/>
      </c>
      <c r="AD814" s="2" t="str">
        <f t="shared" si="400"/>
        <v/>
      </c>
      <c r="AE814" s="2" t="str">
        <f t="shared" si="401"/>
        <v/>
      </c>
      <c r="AF814" s="2" t="str">
        <f t="shared" si="402"/>
        <v/>
      </c>
    </row>
    <row r="815" spans="1:32" x14ac:dyDescent="0.2">
      <c r="A815" s="2" t="str">
        <f t="shared" si="403"/>
        <v/>
      </c>
      <c r="B815" s="2" t="str">
        <f t="shared" si="384"/>
        <v/>
      </c>
      <c r="C815" s="2" t="str">
        <f t="shared" si="385"/>
        <v/>
      </c>
      <c r="D815" s="2" t="str">
        <f t="shared" si="386"/>
        <v/>
      </c>
      <c r="E815" s="2" t="str">
        <f t="shared" si="387"/>
        <v/>
      </c>
      <c r="F815" s="2" t="str">
        <f t="shared" si="388"/>
        <v/>
      </c>
      <c r="G815" s="2" t="str">
        <f t="shared" si="389"/>
        <v/>
      </c>
      <c r="H815" s="2" t="str">
        <f t="shared" si="404"/>
        <v/>
      </c>
      <c r="I815" s="2" t="str">
        <f t="shared" si="405"/>
        <v/>
      </c>
      <c r="J815" s="2" t="str">
        <f t="shared" si="406"/>
        <v/>
      </c>
      <c r="K815" s="2" t="str">
        <f t="shared" si="390"/>
        <v/>
      </c>
      <c r="L815" s="2" t="str">
        <f t="shared" si="391"/>
        <v/>
      </c>
      <c r="M815" s="2" t="str">
        <f t="shared" si="392"/>
        <v/>
      </c>
      <c r="N815" s="2" t="str">
        <f t="shared" si="407"/>
        <v/>
      </c>
      <c r="O815" s="2" t="str">
        <f t="shared" si="408"/>
        <v/>
      </c>
      <c r="P815" s="2" t="str">
        <f t="shared" si="409"/>
        <v/>
      </c>
      <c r="Q815" s="2" t="str">
        <f t="shared" si="393"/>
        <v/>
      </c>
      <c r="R815" s="2" t="str">
        <f t="shared" si="394"/>
        <v/>
      </c>
      <c r="S815" s="2" t="str">
        <f t="shared" si="395"/>
        <v/>
      </c>
      <c r="T815" s="2" t="str">
        <f t="shared" si="410"/>
        <v/>
      </c>
      <c r="U815" s="2" t="str">
        <f t="shared" si="411"/>
        <v/>
      </c>
      <c r="V815" s="2" t="str">
        <f t="shared" si="412"/>
        <v/>
      </c>
      <c r="W815" s="2" t="str">
        <f t="shared" si="396"/>
        <v/>
      </c>
      <c r="X815" s="2" t="str">
        <f t="shared" si="397"/>
        <v/>
      </c>
      <c r="Y815" s="2" t="str">
        <f t="shared" si="398"/>
        <v/>
      </c>
      <c r="Z815" s="2" t="str">
        <f t="shared" si="413"/>
        <v/>
      </c>
      <c r="AA815" s="2" t="str">
        <f t="shared" si="414"/>
        <v/>
      </c>
      <c r="AB815" s="2" t="str">
        <f t="shared" si="415"/>
        <v/>
      </c>
      <c r="AC815" s="2" t="str">
        <f t="shared" si="399"/>
        <v/>
      </c>
      <c r="AD815" s="2" t="str">
        <f t="shared" si="400"/>
        <v/>
      </c>
      <c r="AE815" s="2" t="str">
        <f t="shared" si="401"/>
        <v/>
      </c>
      <c r="AF815" s="2" t="str">
        <f t="shared" si="402"/>
        <v/>
      </c>
    </row>
    <row r="816" spans="1:32" x14ac:dyDescent="0.2">
      <c r="A816" s="2" t="str">
        <f t="shared" si="403"/>
        <v/>
      </c>
      <c r="B816" s="2" t="str">
        <f t="shared" si="384"/>
        <v/>
      </c>
      <c r="C816" s="2" t="str">
        <f t="shared" si="385"/>
        <v/>
      </c>
      <c r="D816" s="2" t="str">
        <f t="shared" si="386"/>
        <v/>
      </c>
      <c r="E816" s="2" t="str">
        <f t="shared" si="387"/>
        <v/>
      </c>
      <c r="F816" s="2" t="str">
        <f t="shared" si="388"/>
        <v/>
      </c>
      <c r="G816" s="2" t="str">
        <f t="shared" si="389"/>
        <v/>
      </c>
      <c r="H816" s="2" t="str">
        <f t="shared" si="404"/>
        <v/>
      </c>
      <c r="I816" s="2" t="str">
        <f t="shared" si="405"/>
        <v/>
      </c>
      <c r="J816" s="2" t="str">
        <f t="shared" si="406"/>
        <v/>
      </c>
      <c r="K816" s="2" t="str">
        <f t="shared" si="390"/>
        <v/>
      </c>
      <c r="L816" s="2" t="str">
        <f t="shared" si="391"/>
        <v/>
      </c>
      <c r="M816" s="2" t="str">
        <f t="shared" si="392"/>
        <v/>
      </c>
      <c r="N816" s="2" t="str">
        <f t="shared" si="407"/>
        <v/>
      </c>
      <c r="O816" s="2" t="str">
        <f t="shared" si="408"/>
        <v/>
      </c>
      <c r="P816" s="2" t="str">
        <f t="shared" si="409"/>
        <v/>
      </c>
      <c r="Q816" s="2" t="str">
        <f t="shared" si="393"/>
        <v/>
      </c>
      <c r="R816" s="2" t="str">
        <f t="shared" si="394"/>
        <v/>
      </c>
      <c r="S816" s="2" t="str">
        <f t="shared" si="395"/>
        <v/>
      </c>
      <c r="T816" s="2" t="str">
        <f t="shared" si="410"/>
        <v/>
      </c>
      <c r="U816" s="2" t="str">
        <f t="shared" si="411"/>
        <v/>
      </c>
      <c r="V816" s="2" t="str">
        <f t="shared" si="412"/>
        <v/>
      </c>
      <c r="W816" s="2" t="str">
        <f t="shared" si="396"/>
        <v/>
      </c>
      <c r="X816" s="2" t="str">
        <f t="shared" si="397"/>
        <v/>
      </c>
      <c r="Y816" s="2" t="str">
        <f t="shared" si="398"/>
        <v/>
      </c>
      <c r="Z816" s="2" t="str">
        <f t="shared" si="413"/>
        <v/>
      </c>
      <c r="AA816" s="2" t="str">
        <f t="shared" si="414"/>
        <v/>
      </c>
      <c r="AB816" s="2" t="str">
        <f t="shared" si="415"/>
        <v/>
      </c>
      <c r="AC816" s="2" t="str">
        <f t="shared" si="399"/>
        <v/>
      </c>
      <c r="AD816" s="2" t="str">
        <f t="shared" si="400"/>
        <v/>
      </c>
      <c r="AE816" s="2" t="str">
        <f t="shared" si="401"/>
        <v/>
      </c>
      <c r="AF816" s="2" t="str">
        <f t="shared" si="402"/>
        <v/>
      </c>
    </row>
    <row r="817" spans="1:32" x14ac:dyDescent="0.2">
      <c r="A817" s="2" t="str">
        <f t="shared" si="403"/>
        <v/>
      </c>
      <c r="B817" s="2" t="str">
        <f t="shared" si="384"/>
        <v/>
      </c>
      <c r="C817" s="2" t="str">
        <f t="shared" si="385"/>
        <v/>
      </c>
      <c r="D817" s="2" t="str">
        <f t="shared" si="386"/>
        <v/>
      </c>
      <c r="E817" s="2" t="str">
        <f t="shared" si="387"/>
        <v/>
      </c>
      <c r="F817" s="2" t="str">
        <f t="shared" si="388"/>
        <v/>
      </c>
      <c r="G817" s="2" t="str">
        <f t="shared" si="389"/>
        <v/>
      </c>
      <c r="H817" s="2" t="str">
        <f t="shared" si="404"/>
        <v/>
      </c>
      <c r="I817" s="2" t="str">
        <f t="shared" si="405"/>
        <v/>
      </c>
      <c r="J817" s="2" t="str">
        <f t="shared" si="406"/>
        <v/>
      </c>
      <c r="K817" s="2" t="str">
        <f t="shared" si="390"/>
        <v/>
      </c>
      <c r="L817" s="2" t="str">
        <f t="shared" si="391"/>
        <v/>
      </c>
      <c r="M817" s="2" t="str">
        <f t="shared" si="392"/>
        <v/>
      </c>
      <c r="N817" s="2" t="str">
        <f t="shared" si="407"/>
        <v/>
      </c>
      <c r="O817" s="2" t="str">
        <f t="shared" si="408"/>
        <v/>
      </c>
      <c r="P817" s="2" t="str">
        <f t="shared" si="409"/>
        <v/>
      </c>
      <c r="Q817" s="2" t="str">
        <f t="shared" si="393"/>
        <v/>
      </c>
      <c r="R817" s="2" t="str">
        <f t="shared" si="394"/>
        <v/>
      </c>
      <c r="S817" s="2" t="str">
        <f t="shared" si="395"/>
        <v/>
      </c>
      <c r="T817" s="2" t="str">
        <f t="shared" si="410"/>
        <v/>
      </c>
      <c r="U817" s="2" t="str">
        <f t="shared" si="411"/>
        <v/>
      </c>
      <c r="V817" s="2" t="str">
        <f t="shared" si="412"/>
        <v/>
      </c>
      <c r="W817" s="2" t="str">
        <f t="shared" si="396"/>
        <v/>
      </c>
      <c r="X817" s="2" t="str">
        <f t="shared" si="397"/>
        <v/>
      </c>
      <c r="Y817" s="2" t="str">
        <f t="shared" si="398"/>
        <v/>
      </c>
      <c r="Z817" s="2" t="str">
        <f t="shared" si="413"/>
        <v/>
      </c>
      <c r="AA817" s="2" t="str">
        <f t="shared" si="414"/>
        <v/>
      </c>
      <c r="AB817" s="2" t="str">
        <f t="shared" si="415"/>
        <v/>
      </c>
      <c r="AC817" s="2" t="str">
        <f t="shared" si="399"/>
        <v/>
      </c>
      <c r="AD817" s="2" t="str">
        <f t="shared" si="400"/>
        <v/>
      </c>
      <c r="AE817" s="2" t="str">
        <f t="shared" si="401"/>
        <v/>
      </c>
      <c r="AF817" s="2" t="str">
        <f t="shared" si="402"/>
        <v/>
      </c>
    </row>
    <row r="818" spans="1:32" x14ac:dyDescent="0.2">
      <c r="A818" s="2" t="str">
        <f t="shared" si="403"/>
        <v/>
      </c>
      <c r="B818" s="2" t="str">
        <f t="shared" si="384"/>
        <v/>
      </c>
      <c r="C818" s="2" t="str">
        <f t="shared" si="385"/>
        <v/>
      </c>
      <c r="D818" s="2" t="str">
        <f t="shared" si="386"/>
        <v/>
      </c>
      <c r="E818" s="2" t="str">
        <f t="shared" si="387"/>
        <v/>
      </c>
      <c r="F818" s="2" t="str">
        <f t="shared" si="388"/>
        <v/>
      </c>
      <c r="G818" s="2" t="str">
        <f t="shared" si="389"/>
        <v/>
      </c>
      <c r="H818" s="2" t="str">
        <f t="shared" si="404"/>
        <v/>
      </c>
      <c r="I818" s="2" t="str">
        <f t="shared" si="405"/>
        <v/>
      </c>
      <c r="J818" s="2" t="str">
        <f t="shared" si="406"/>
        <v/>
      </c>
      <c r="K818" s="2" t="str">
        <f t="shared" si="390"/>
        <v/>
      </c>
      <c r="L818" s="2" t="str">
        <f t="shared" si="391"/>
        <v/>
      </c>
      <c r="M818" s="2" t="str">
        <f t="shared" si="392"/>
        <v/>
      </c>
      <c r="N818" s="2" t="str">
        <f t="shared" si="407"/>
        <v/>
      </c>
      <c r="O818" s="2" t="str">
        <f t="shared" si="408"/>
        <v/>
      </c>
      <c r="P818" s="2" t="str">
        <f t="shared" si="409"/>
        <v/>
      </c>
      <c r="Q818" s="2" t="str">
        <f t="shared" si="393"/>
        <v/>
      </c>
      <c r="R818" s="2" t="str">
        <f t="shared" si="394"/>
        <v/>
      </c>
      <c r="S818" s="2" t="str">
        <f t="shared" si="395"/>
        <v/>
      </c>
      <c r="T818" s="2" t="str">
        <f t="shared" si="410"/>
        <v/>
      </c>
      <c r="U818" s="2" t="str">
        <f t="shared" si="411"/>
        <v/>
      </c>
      <c r="V818" s="2" t="str">
        <f t="shared" si="412"/>
        <v/>
      </c>
      <c r="W818" s="2" t="str">
        <f t="shared" si="396"/>
        <v/>
      </c>
      <c r="X818" s="2" t="str">
        <f t="shared" si="397"/>
        <v/>
      </c>
      <c r="Y818" s="2" t="str">
        <f t="shared" si="398"/>
        <v/>
      </c>
      <c r="Z818" s="2" t="str">
        <f t="shared" si="413"/>
        <v/>
      </c>
      <c r="AA818" s="2" t="str">
        <f t="shared" si="414"/>
        <v/>
      </c>
      <c r="AB818" s="2" t="str">
        <f t="shared" si="415"/>
        <v/>
      </c>
      <c r="AC818" s="2" t="str">
        <f t="shared" si="399"/>
        <v/>
      </c>
      <c r="AD818" s="2" t="str">
        <f t="shared" si="400"/>
        <v/>
      </c>
      <c r="AE818" s="2" t="str">
        <f t="shared" si="401"/>
        <v/>
      </c>
      <c r="AF818" s="2" t="str">
        <f t="shared" si="402"/>
        <v/>
      </c>
    </row>
    <row r="819" spans="1:32" x14ac:dyDescent="0.2">
      <c r="A819" s="2" t="str">
        <f t="shared" si="403"/>
        <v/>
      </c>
      <c r="B819" s="2" t="str">
        <f t="shared" si="384"/>
        <v/>
      </c>
      <c r="C819" s="2" t="str">
        <f t="shared" si="385"/>
        <v/>
      </c>
      <c r="D819" s="2" t="str">
        <f t="shared" si="386"/>
        <v/>
      </c>
      <c r="E819" s="2" t="str">
        <f t="shared" si="387"/>
        <v/>
      </c>
      <c r="F819" s="2" t="str">
        <f t="shared" si="388"/>
        <v/>
      </c>
      <c r="G819" s="2" t="str">
        <f t="shared" si="389"/>
        <v/>
      </c>
      <c r="H819" s="2" t="str">
        <f t="shared" si="404"/>
        <v/>
      </c>
      <c r="I819" s="2" t="str">
        <f t="shared" si="405"/>
        <v/>
      </c>
      <c r="J819" s="2" t="str">
        <f t="shared" si="406"/>
        <v/>
      </c>
      <c r="K819" s="2" t="str">
        <f t="shared" si="390"/>
        <v/>
      </c>
      <c r="L819" s="2" t="str">
        <f t="shared" si="391"/>
        <v/>
      </c>
      <c r="M819" s="2" t="str">
        <f t="shared" si="392"/>
        <v/>
      </c>
      <c r="N819" s="2" t="str">
        <f t="shared" si="407"/>
        <v/>
      </c>
      <c r="O819" s="2" t="str">
        <f t="shared" si="408"/>
        <v/>
      </c>
      <c r="P819" s="2" t="str">
        <f t="shared" si="409"/>
        <v/>
      </c>
      <c r="Q819" s="2" t="str">
        <f t="shared" si="393"/>
        <v/>
      </c>
      <c r="R819" s="2" t="str">
        <f t="shared" si="394"/>
        <v/>
      </c>
      <c r="S819" s="2" t="str">
        <f t="shared" si="395"/>
        <v/>
      </c>
      <c r="T819" s="2" t="str">
        <f t="shared" si="410"/>
        <v/>
      </c>
      <c r="U819" s="2" t="str">
        <f t="shared" si="411"/>
        <v/>
      </c>
      <c r="V819" s="2" t="str">
        <f t="shared" si="412"/>
        <v/>
      </c>
      <c r="W819" s="2" t="str">
        <f t="shared" si="396"/>
        <v/>
      </c>
      <c r="X819" s="2" t="str">
        <f t="shared" si="397"/>
        <v/>
      </c>
      <c r="Y819" s="2" t="str">
        <f t="shared" si="398"/>
        <v/>
      </c>
      <c r="Z819" s="2" t="str">
        <f t="shared" si="413"/>
        <v/>
      </c>
      <c r="AA819" s="2" t="str">
        <f t="shared" si="414"/>
        <v/>
      </c>
      <c r="AB819" s="2" t="str">
        <f t="shared" si="415"/>
        <v/>
      </c>
      <c r="AC819" s="2" t="str">
        <f t="shared" si="399"/>
        <v/>
      </c>
      <c r="AD819" s="2" t="str">
        <f t="shared" si="400"/>
        <v/>
      </c>
      <c r="AE819" s="2" t="str">
        <f t="shared" si="401"/>
        <v/>
      </c>
      <c r="AF819" s="2" t="str">
        <f t="shared" si="402"/>
        <v/>
      </c>
    </row>
    <row r="820" spans="1:32" x14ac:dyDescent="0.2">
      <c r="A820" s="2" t="str">
        <f t="shared" si="403"/>
        <v/>
      </c>
      <c r="B820" s="2" t="str">
        <f t="shared" si="384"/>
        <v/>
      </c>
      <c r="C820" s="2" t="str">
        <f t="shared" si="385"/>
        <v/>
      </c>
      <c r="D820" s="2" t="str">
        <f t="shared" si="386"/>
        <v/>
      </c>
      <c r="E820" s="2" t="str">
        <f t="shared" si="387"/>
        <v/>
      </c>
      <c r="F820" s="2" t="str">
        <f t="shared" si="388"/>
        <v/>
      </c>
      <c r="G820" s="2" t="str">
        <f t="shared" si="389"/>
        <v/>
      </c>
      <c r="H820" s="2" t="str">
        <f t="shared" si="404"/>
        <v/>
      </c>
      <c r="I820" s="2" t="str">
        <f t="shared" si="405"/>
        <v/>
      </c>
      <c r="J820" s="2" t="str">
        <f t="shared" si="406"/>
        <v/>
      </c>
      <c r="K820" s="2" t="str">
        <f t="shared" si="390"/>
        <v/>
      </c>
      <c r="L820" s="2" t="str">
        <f t="shared" si="391"/>
        <v/>
      </c>
      <c r="M820" s="2" t="str">
        <f t="shared" si="392"/>
        <v/>
      </c>
      <c r="N820" s="2" t="str">
        <f t="shared" si="407"/>
        <v/>
      </c>
      <c r="O820" s="2" t="str">
        <f t="shared" si="408"/>
        <v/>
      </c>
      <c r="P820" s="2" t="str">
        <f t="shared" si="409"/>
        <v/>
      </c>
      <c r="Q820" s="2" t="str">
        <f t="shared" si="393"/>
        <v/>
      </c>
      <c r="R820" s="2" t="str">
        <f t="shared" si="394"/>
        <v/>
      </c>
      <c r="S820" s="2" t="str">
        <f t="shared" si="395"/>
        <v/>
      </c>
      <c r="T820" s="2" t="str">
        <f t="shared" si="410"/>
        <v/>
      </c>
      <c r="U820" s="2" t="str">
        <f t="shared" si="411"/>
        <v/>
      </c>
      <c r="V820" s="2" t="str">
        <f t="shared" si="412"/>
        <v/>
      </c>
      <c r="W820" s="2" t="str">
        <f t="shared" si="396"/>
        <v/>
      </c>
      <c r="X820" s="2" t="str">
        <f t="shared" si="397"/>
        <v/>
      </c>
      <c r="Y820" s="2" t="str">
        <f t="shared" si="398"/>
        <v/>
      </c>
      <c r="Z820" s="2" t="str">
        <f t="shared" si="413"/>
        <v/>
      </c>
      <c r="AA820" s="2" t="str">
        <f t="shared" si="414"/>
        <v/>
      </c>
      <c r="AB820" s="2" t="str">
        <f t="shared" si="415"/>
        <v/>
      </c>
      <c r="AC820" s="2" t="str">
        <f t="shared" si="399"/>
        <v/>
      </c>
      <c r="AD820" s="2" t="str">
        <f t="shared" si="400"/>
        <v/>
      </c>
      <c r="AE820" s="2" t="str">
        <f t="shared" si="401"/>
        <v/>
      </c>
      <c r="AF820" s="2" t="str">
        <f t="shared" si="402"/>
        <v/>
      </c>
    </row>
    <row r="821" spans="1:32" x14ac:dyDescent="0.2">
      <c r="A821" s="2" t="str">
        <f t="shared" si="403"/>
        <v/>
      </c>
      <c r="B821" s="2" t="str">
        <f t="shared" si="384"/>
        <v/>
      </c>
      <c r="C821" s="2" t="str">
        <f t="shared" si="385"/>
        <v/>
      </c>
      <c r="D821" s="2" t="str">
        <f t="shared" si="386"/>
        <v/>
      </c>
      <c r="E821" s="2" t="str">
        <f t="shared" si="387"/>
        <v/>
      </c>
      <c r="F821" s="2" t="str">
        <f t="shared" si="388"/>
        <v/>
      </c>
      <c r="G821" s="2" t="str">
        <f t="shared" si="389"/>
        <v/>
      </c>
      <c r="H821" s="2" t="str">
        <f t="shared" si="404"/>
        <v/>
      </c>
      <c r="I821" s="2" t="str">
        <f t="shared" si="405"/>
        <v/>
      </c>
      <c r="J821" s="2" t="str">
        <f t="shared" si="406"/>
        <v/>
      </c>
      <c r="K821" s="2" t="str">
        <f t="shared" si="390"/>
        <v/>
      </c>
      <c r="L821" s="2" t="str">
        <f t="shared" si="391"/>
        <v/>
      </c>
      <c r="M821" s="2" t="str">
        <f t="shared" si="392"/>
        <v/>
      </c>
      <c r="N821" s="2" t="str">
        <f t="shared" si="407"/>
        <v/>
      </c>
      <c r="O821" s="2" t="str">
        <f t="shared" si="408"/>
        <v/>
      </c>
      <c r="P821" s="2" t="str">
        <f t="shared" si="409"/>
        <v/>
      </c>
      <c r="Q821" s="2" t="str">
        <f t="shared" si="393"/>
        <v/>
      </c>
      <c r="R821" s="2" t="str">
        <f t="shared" si="394"/>
        <v/>
      </c>
      <c r="S821" s="2" t="str">
        <f t="shared" si="395"/>
        <v/>
      </c>
      <c r="T821" s="2" t="str">
        <f t="shared" si="410"/>
        <v/>
      </c>
      <c r="U821" s="2" t="str">
        <f t="shared" si="411"/>
        <v/>
      </c>
      <c r="V821" s="2" t="str">
        <f t="shared" si="412"/>
        <v/>
      </c>
      <c r="W821" s="2" t="str">
        <f t="shared" si="396"/>
        <v/>
      </c>
      <c r="X821" s="2" t="str">
        <f t="shared" si="397"/>
        <v/>
      </c>
      <c r="Y821" s="2" t="str">
        <f t="shared" si="398"/>
        <v/>
      </c>
      <c r="Z821" s="2" t="str">
        <f t="shared" si="413"/>
        <v/>
      </c>
      <c r="AA821" s="2" t="str">
        <f t="shared" si="414"/>
        <v/>
      </c>
      <c r="AB821" s="2" t="str">
        <f t="shared" si="415"/>
        <v/>
      </c>
      <c r="AC821" s="2" t="str">
        <f t="shared" si="399"/>
        <v/>
      </c>
      <c r="AD821" s="2" t="str">
        <f t="shared" si="400"/>
        <v/>
      </c>
      <c r="AE821" s="2" t="str">
        <f t="shared" si="401"/>
        <v/>
      </c>
      <c r="AF821" s="2" t="str">
        <f t="shared" si="402"/>
        <v/>
      </c>
    </row>
    <row r="822" spans="1:32" x14ac:dyDescent="0.2">
      <c r="A822" s="2" t="str">
        <f t="shared" si="403"/>
        <v/>
      </c>
      <c r="B822" s="2" t="str">
        <f t="shared" si="384"/>
        <v/>
      </c>
      <c r="C822" s="2" t="str">
        <f t="shared" si="385"/>
        <v/>
      </c>
      <c r="D822" s="2" t="str">
        <f t="shared" si="386"/>
        <v/>
      </c>
      <c r="E822" s="2" t="str">
        <f t="shared" si="387"/>
        <v/>
      </c>
      <c r="F822" s="2" t="str">
        <f t="shared" si="388"/>
        <v/>
      </c>
      <c r="G822" s="2" t="str">
        <f t="shared" si="389"/>
        <v/>
      </c>
      <c r="H822" s="2" t="str">
        <f t="shared" si="404"/>
        <v/>
      </c>
      <c r="I822" s="2" t="str">
        <f t="shared" si="405"/>
        <v/>
      </c>
      <c r="J822" s="2" t="str">
        <f t="shared" si="406"/>
        <v/>
      </c>
      <c r="K822" s="2" t="str">
        <f t="shared" si="390"/>
        <v/>
      </c>
      <c r="L822" s="2" t="str">
        <f t="shared" si="391"/>
        <v/>
      </c>
      <c r="M822" s="2" t="str">
        <f t="shared" si="392"/>
        <v/>
      </c>
      <c r="N822" s="2" t="str">
        <f t="shared" si="407"/>
        <v/>
      </c>
      <c r="O822" s="2" t="str">
        <f t="shared" si="408"/>
        <v/>
      </c>
      <c r="P822" s="2" t="str">
        <f t="shared" si="409"/>
        <v/>
      </c>
      <c r="Q822" s="2" t="str">
        <f t="shared" si="393"/>
        <v/>
      </c>
      <c r="R822" s="2" t="str">
        <f t="shared" si="394"/>
        <v/>
      </c>
      <c r="S822" s="2" t="str">
        <f t="shared" si="395"/>
        <v/>
      </c>
      <c r="T822" s="2" t="str">
        <f t="shared" si="410"/>
        <v/>
      </c>
      <c r="U822" s="2" t="str">
        <f t="shared" si="411"/>
        <v/>
      </c>
      <c r="V822" s="2" t="str">
        <f t="shared" si="412"/>
        <v/>
      </c>
      <c r="W822" s="2" t="str">
        <f t="shared" si="396"/>
        <v/>
      </c>
      <c r="X822" s="2" t="str">
        <f t="shared" si="397"/>
        <v/>
      </c>
      <c r="Y822" s="2" t="str">
        <f t="shared" si="398"/>
        <v/>
      </c>
      <c r="Z822" s="2" t="str">
        <f t="shared" si="413"/>
        <v/>
      </c>
      <c r="AA822" s="2" t="str">
        <f t="shared" si="414"/>
        <v/>
      </c>
      <c r="AB822" s="2" t="str">
        <f t="shared" si="415"/>
        <v/>
      </c>
      <c r="AC822" s="2" t="str">
        <f t="shared" si="399"/>
        <v/>
      </c>
      <c r="AD822" s="2" t="str">
        <f t="shared" si="400"/>
        <v/>
      </c>
      <c r="AE822" s="2" t="str">
        <f t="shared" si="401"/>
        <v/>
      </c>
      <c r="AF822" s="2" t="str">
        <f t="shared" si="402"/>
        <v/>
      </c>
    </row>
    <row r="823" spans="1:32" x14ac:dyDescent="0.2">
      <c r="A823" s="2" t="str">
        <f t="shared" si="403"/>
        <v/>
      </c>
      <c r="B823" s="2" t="str">
        <f t="shared" si="384"/>
        <v/>
      </c>
      <c r="C823" s="2" t="str">
        <f t="shared" si="385"/>
        <v/>
      </c>
      <c r="D823" s="2" t="str">
        <f t="shared" si="386"/>
        <v/>
      </c>
      <c r="E823" s="2" t="str">
        <f t="shared" si="387"/>
        <v/>
      </c>
      <c r="F823" s="2" t="str">
        <f t="shared" si="388"/>
        <v/>
      </c>
      <c r="G823" s="2" t="str">
        <f t="shared" si="389"/>
        <v/>
      </c>
      <c r="H823" s="2" t="str">
        <f t="shared" si="404"/>
        <v/>
      </c>
      <c r="I823" s="2" t="str">
        <f t="shared" si="405"/>
        <v/>
      </c>
      <c r="J823" s="2" t="str">
        <f t="shared" si="406"/>
        <v/>
      </c>
      <c r="K823" s="2" t="str">
        <f t="shared" si="390"/>
        <v/>
      </c>
      <c r="L823" s="2" t="str">
        <f t="shared" si="391"/>
        <v/>
      </c>
      <c r="M823" s="2" t="str">
        <f t="shared" si="392"/>
        <v/>
      </c>
      <c r="N823" s="2" t="str">
        <f t="shared" si="407"/>
        <v/>
      </c>
      <c r="O823" s="2" t="str">
        <f t="shared" si="408"/>
        <v/>
      </c>
      <c r="P823" s="2" t="str">
        <f t="shared" si="409"/>
        <v/>
      </c>
      <c r="Q823" s="2" t="str">
        <f t="shared" si="393"/>
        <v/>
      </c>
      <c r="R823" s="2" t="str">
        <f t="shared" si="394"/>
        <v/>
      </c>
      <c r="S823" s="2" t="str">
        <f t="shared" si="395"/>
        <v/>
      </c>
      <c r="T823" s="2" t="str">
        <f t="shared" si="410"/>
        <v/>
      </c>
      <c r="U823" s="2" t="str">
        <f t="shared" si="411"/>
        <v/>
      </c>
      <c r="V823" s="2" t="str">
        <f t="shared" si="412"/>
        <v/>
      </c>
      <c r="W823" s="2" t="str">
        <f t="shared" si="396"/>
        <v/>
      </c>
      <c r="X823" s="2" t="str">
        <f t="shared" si="397"/>
        <v/>
      </c>
      <c r="Y823" s="2" t="str">
        <f t="shared" si="398"/>
        <v/>
      </c>
      <c r="Z823" s="2" t="str">
        <f t="shared" si="413"/>
        <v/>
      </c>
      <c r="AA823" s="2" t="str">
        <f t="shared" si="414"/>
        <v/>
      </c>
      <c r="AB823" s="2" t="str">
        <f t="shared" si="415"/>
        <v/>
      </c>
      <c r="AC823" s="2" t="str">
        <f t="shared" si="399"/>
        <v/>
      </c>
      <c r="AD823" s="2" t="str">
        <f t="shared" si="400"/>
        <v/>
      </c>
      <c r="AE823" s="2" t="str">
        <f t="shared" si="401"/>
        <v/>
      </c>
      <c r="AF823" s="2" t="str">
        <f t="shared" si="402"/>
        <v/>
      </c>
    </row>
    <row r="824" spans="1:32" x14ac:dyDescent="0.2">
      <c r="A824" s="2" t="str">
        <f t="shared" si="403"/>
        <v/>
      </c>
      <c r="B824" s="2" t="str">
        <f t="shared" ref="B824:B887" si="416">IF(AI824="","",AI824)</f>
        <v/>
      </c>
      <c r="C824" s="2" t="str">
        <f t="shared" ref="C824:C887" si="417">IF(AJ824="","",AJ824)</f>
        <v/>
      </c>
      <c r="D824" s="2" t="str">
        <f t="shared" ref="D824:D887" si="418">IF(AK824="","",AK824)</f>
        <v/>
      </c>
      <c r="E824" s="2" t="str">
        <f t="shared" ref="E824:E887" si="419">IF(AL824="","",AL824)</f>
        <v/>
      </c>
      <c r="F824" s="2" t="str">
        <f t="shared" ref="F824:F887" si="420">IF(AM824="","",AM824)</f>
        <v/>
      </c>
      <c r="G824" s="2" t="str">
        <f t="shared" ref="G824:G887" si="421">IF(AN824="","",AN824)</f>
        <v/>
      </c>
      <c r="H824" s="2" t="str">
        <f t="shared" si="404"/>
        <v/>
      </c>
      <c r="I824" s="2" t="str">
        <f t="shared" si="405"/>
        <v/>
      </c>
      <c r="J824" s="2" t="str">
        <f t="shared" si="406"/>
        <v/>
      </c>
      <c r="K824" s="2" t="str">
        <f t="shared" ref="K824:K887" si="422">IF(AR824="","",AR824)</f>
        <v/>
      </c>
      <c r="L824" s="2" t="str">
        <f t="shared" ref="L824:L887" si="423">IF(AS824="","",AS824)</f>
        <v/>
      </c>
      <c r="M824" s="2" t="str">
        <f t="shared" ref="M824:M887" si="424">IF(AT824="","",AT824)</f>
        <v/>
      </c>
      <c r="N824" s="2" t="str">
        <f t="shared" si="407"/>
        <v/>
      </c>
      <c r="O824" s="2" t="str">
        <f t="shared" si="408"/>
        <v/>
      </c>
      <c r="P824" s="2" t="str">
        <f t="shared" si="409"/>
        <v/>
      </c>
      <c r="Q824" s="2" t="str">
        <f t="shared" ref="Q824:Q887" si="425">IF(AX824="","",AX824)</f>
        <v/>
      </c>
      <c r="R824" s="2" t="str">
        <f t="shared" ref="R824:R887" si="426">IF(AY824="","",AY824)</f>
        <v/>
      </c>
      <c r="S824" s="2" t="str">
        <f t="shared" ref="S824:S887" si="427">IF(AZ824="","",AZ824)</f>
        <v/>
      </c>
      <c r="T824" s="2" t="str">
        <f t="shared" si="410"/>
        <v/>
      </c>
      <c r="U824" s="2" t="str">
        <f t="shared" si="411"/>
        <v/>
      </c>
      <c r="V824" s="2" t="str">
        <f t="shared" si="412"/>
        <v/>
      </c>
      <c r="W824" s="2" t="str">
        <f t="shared" ref="W824:W887" si="428">IF(BD824="","",BD824)</f>
        <v/>
      </c>
      <c r="X824" s="2" t="str">
        <f t="shared" ref="X824:X887" si="429">IF(BE824="","",BE824)</f>
        <v/>
      </c>
      <c r="Y824" s="2" t="str">
        <f t="shared" ref="Y824:Y887" si="430">IF(BF824="","",BF824)</f>
        <v/>
      </c>
      <c r="Z824" s="2" t="str">
        <f t="shared" si="413"/>
        <v/>
      </c>
      <c r="AA824" s="2" t="str">
        <f t="shared" si="414"/>
        <v/>
      </c>
      <c r="AB824" s="2" t="str">
        <f t="shared" si="415"/>
        <v/>
      </c>
      <c r="AC824" s="2" t="str">
        <f t="shared" ref="AC824:AC887" si="431">IF(BJ824="","",BJ824)</f>
        <v/>
      </c>
      <c r="AD824" s="2" t="str">
        <f t="shared" ref="AD824:AD887" si="432">IF(BK824="","",BK824)</f>
        <v/>
      </c>
      <c r="AE824" s="2" t="str">
        <f t="shared" ref="AE824:AE887" si="433">IF(BL824="","",BL824)</f>
        <v/>
      </c>
      <c r="AF824" s="2" t="str">
        <f t="shared" ref="AF824:AF887" si="434">IF(BM824="","",BM824)</f>
        <v/>
      </c>
    </row>
    <row r="825" spans="1:32" x14ac:dyDescent="0.2">
      <c r="A825" s="2" t="str">
        <f t="shared" si="403"/>
        <v/>
      </c>
      <c r="B825" s="2" t="str">
        <f t="shared" si="416"/>
        <v/>
      </c>
      <c r="C825" s="2" t="str">
        <f t="shared" si="417"/>
        <v/>
      </c>
      <c r="D825" s="2" t="str">
        <f t="shared" si="418"/>
        <v/>
      </c>
      <c r="E825" s="2" t="str">
        <f t="shared" si="419"/>
        <v/>
      </c>
      <c r="F825" s="2" t="str">
        <f t="shared" si="420"/>
        <v/>
      </c>
      <c r="G825" s="2" t="str">
        <f t="shared" si="421"/>
        <v/>
      </c>
      <c r="H825" s="2" t="str">
        <f t="shared" si="404"/>
        <v/>
      </c>
      <c r="I825" s="2" t="str">
        <f t="shared" si="405"/>
        <v/>
      </c>
      <c r="J825" s="2" t="str">
        <f t="shared" si="406"/>
        <v/>
      </c>
      <c r="K825" s="2" t="str">
        <f t="shared" si="422"/>
        <v/>
      </c>
      <c r="L825" s="2" t="str">
        <f t="shared" si="423"/>
        <v/>
      </c>
      <c r="M825" s="2" t="str">
        <f t="shared" si="424"/>
        <v/>
      </c>
      <c r="N825" s="2" t="str">
        <f t="shared" si="407"/>
        <v/>
      </c>
      <c r="O825" s="2" t="str">
        <f t="shared" si="408"/>
        <v/>
      </c>
      <c r="P825" s="2" t="str">
        <f t="shared" si="409"/>
        <v/>
      </c>
      <c r="Q825" s="2" t="str">
        <f t="shared" si="425"/>
        <v/>
      </c>
      <c r="R825" s="2" t="str">
        <f t="shared" si="426"/>
        <v/>
      </c>
      <c r="S825" s="2" t="str">
        <f t="shared" si="427"/>
        <v/>
      </c>
      <c r="T825" s="2" t="str">
        <f t="shared" si="410"/>
        <v/>
      </c>
      <c r="U825" s="2" t="str">
        <f t="shared" si="411"/>
        <v/>
      </c>
      <c r="V825" s="2" t="str">
        <f t="shared" si="412"/>
        <v/>
      </c>
      <c r="W825" s="2" t="str">
        <f t="shared" si="428"/>
        <v/>
      </c>
      <c r="X825" s="2" t="str">
        <f t="shared" si="429"/>
        <v/>
      </c>
      <c r="Y825" s="2" t="str">
        <f t="shared" si="430"/>
        <v/>
      </c>
      <c r="Z825" s="2" t="str">
        <f t="shared" si="413"/>
        <v/>
      </c>
      <c r="AA825" s="2" t="str">
        <f t="shared" si="414"/>
        <v/>
      </c>
      <c r="AB825" s="2" t="str">
        <f t="shared" si="415"/>
        <v/>
      </c>
      <c r="AC825" s="2" t="str">
        <f t="shared" si="431"/>
        <v/>
      </c>
      <c r="AD825" s="2" t="str">
        <f t="shared" si="432"/>
        <v/>
      </c>
      <c r="AE825" s="2" t="str">
        <f t="shared" si="433"/>
        <v/>
      </c>
      <c r="AF825" s="2" t="str">
        <f t="shared" si="434"/>
        <v/>
      </c>
    </row>
    <row r="826" spans="1:32" x14ac:dyDescent="0.2">
      <c r="A826" s="2" t="str">
        <f t="shared" si="403"/>
        <v/>
      </c>
      <c r="B826" s="2" t="str">
        <f t="shared" si="416"/>
        <v/>
      </c>
      <c r="C826" s="2" t="str">
        <f t="shared" si="417"/>
        <v/>
      </c>
      <c r="D826" s="2" t="str">
        <f t="shared" si="418"/>
        <v/>
      </c>
      <c r="E826" s="2" t="str">
        <f t="shared" si="419"/>
        <v/>
      </c>
      <c r="F826" s="2" t="str">
        <f t="shared" si="420"/>
        <v/>
      </c>
      <c r="G826" s="2" t="str">
        <f t="shared" si="421"/>
        <v/>
      </c>
      <c r="H826" s="2" t="str">
        <f t="shared" si="404"/>
        <v/>
      </c>
      <c r="I826" s="2" t="str">
        <f t="shared" si="405"/>
        <v/>
      </c>
      <c r="J826" s="2" t="str">
        <f t="shared" si="406"/>
        <v/>
      </c>
      <c r="K826" s="2" t="str">
        <f t="shared" si="422"/>
        <v/>
      </c>
      <c r="L826" s="2" t="str">
        <f t="shared" si="423"/>
        <v/>
      </c>
      <c r="M826" s="2" t="str">
        <f t="shared" si="424"/>
        <v/>
      </c>
      <c r="N826" s="2" t="str">
        <f t="shared" si="407"/>
        <v/>
      </c>
      <c r="O826" s="2" t="str">
        <f t="shared" si="408"/>
        <v/>
      </c>
      <c r="P826" s="2" t="str">
        <f t="shared" si="409"/>
        <v/>
      </c>
      <c r="Q826" s="2" t="str">
        <f t="shared" si="425"/>
        <v/>
      </c>
      <c r="R826" s="2" t="str">
        <f t="shared" si="426"/>
        <v/>
      </c>
      <c r="S826" s="2" t="str">
        <f t="shared" si="427"/>
        <v/>
      </c>
      <c r="T826" s="2" t="str">
        <f t="shared" si="410"/>
        <v/>
      </c>
      <c r="U826" s="2" t="str">
        <f t="shared" si="411"/>
        <v/>
      </c>
      <c r="V826" s="2" t="str">
        <f t="shared" si="412"/>
        <v/>
      </c>
      <c r="W826" s="2" t="str">
        <f t="shared" si="428"/>
        <v/>
      </c>
      <c r="X826" s="2" t="str">
        <f t="shared" si="429"/>
        <v/>
      </c>
      <c r="Y826" s="2" t="str">
        <f t="shared" si="430"/>
        <v/>
      </c>
      <c r="Z826" s="2" t="str">
        <f t="shared" si="413"/>
        <v/>
      </c>
      <c r="AA826" s="2" t="str">
        <f t="shared" si="414"/>
        <v/>
      </c>
      <c r="AB826" s="2" t="str">
        <f t="shared" si="415"/>
        <v/>
      </c>
      <c r="AC826" s="2" t="str">
        <f t="shared" si="431"/>
        <v/>
      </c>
      <c r="AD826" s="2" t="str">
        <f t="shared" si="432"/>
        <v/>
      </c>
      <c r="AE826" s="2" t="str">
        <f t="shared" si="433"/>
        <v/>
      </c>
      <c r="AF826" s="2" t="str">
        <f t="shared" si="434"/>
        <v/>
      </c>
    </row>
    <row r="827" spans="1:32" x14ac:dyDescent="0.2">
      <c r="A827" s="2" t="str">
        <f t="shared" si="403"/>
        <v/>
      </c>
      <c r="B827" s="2" t="str">
        <f t="shared" si="416"/>
        <v/>
      </c>
      <c r="C827" s="2" t="str">
        <f t="shared" si="417"/>
        <v/>
      </c>
      <c r="D827" s="2" t="str">
        <f t="shared" si="418"/>
        <v/>
      </c>
      <c r="E827" s="2" t="str">
        <f t="shared" si="419"/>
        <v/>
      </c>
      <c r="F827" s="2" t="str">
        <f t="shared" si="420"/>
        <v/>
      </c>
      <c r="G827" s="2" t="str">
        <f t="shared" si="421"/>
        <v/>
      </c>
      <c r="H827" s="2" t="str">
        <f t="shared" si="404"/>
        <v/>
      </c>
      <c r="I827" s="2" t="str">
        <f t="shared" si="405"/>
        <v/>
      </c>
      <c r="J827" s="2" t="str">
        <f t="shared" si="406"/>
        <v/>
      </c>
      <c r="K827" s="2" t="str">
        <f t="shared" si="422"/>
        <v/>
      </c>
      <c r="L827" s="2" t="str">
        <f t="shared" si="423"/>
        <v/>
      </c>
      <c r="M827" s="2" t="str">
        <f t="shared" si="424"/>
        <v/>
      </c>
      <c r="N827" s="2" t="str">
        <f t="shared" si="407"/>
        <v/>
      </c>
      <c r="O827" s="2" t="str">
        <f t="shared" si="408"/>
        <v/>
      </c>
      <c r="P827" s="2" t="str">
        <f t="shared" si="409"/>
        <v/>
      </c>
      <c r="Q827" s="2" t="str">
        <f t="shared" si="425"/>
        <v/>
      </c>
      <c r="R827" s="2" t="str">
        <f t="shared" si="426"/>
        <v/>
      </c>
      <c r="S827" s="2" t="str">
        <f t="shared" si="427"/>
        <v/>
      </c>
      <c r="T827" s="2" t="str">
        <f t="shared" si="410"/>
        <v/>
      </c>
      <c r="U827" s="2" t="str">
        <f t="shared" si="411"/>
        <v/>
      </c>
      <c r="V827" s="2" t="str">
        <f t="shared" si="412"/>
        <v/>
      </c>
      <c r="W827" s="2" t="str">
        <f t="shared" si="428"/>
        <v/>
      </c>
      <c r="X827" s="2" t="str">
        <f t="shared" si="429"/>
        <v/>
      </c>
      <c r="Y827" s="2" t="str">
        <f t="shared" si="430"/>
        <v/>
      </c>
      <c r="Z827" s="2" t="str">
        <f t="shared" si="413"/>
        <v/>
      </c>
      <c r="AA827" s="2" t="str">
        <f t="shared" si="414"/>
        <v/>
      </c>
      <c r="AB827" s="2" t="str">
        <f t="shared" si="415"/>
        <v/>
      </c>
      <c r="AC827" s="2" t="str">
        <f t="shared" si="431"/>
        <v/>
      </c>
      <c r="AD827" s="2" t="str">
        <f t="shared" si="432"/>
        <v/>
      </c>
      <c r="AE827" s="2" t="str">
        <f t="shared" si="433"/>
        <v/>
      </c>
      <c r="AF827" s="2" t="str">
        <f t="shared" si="434"/>
        <v/>
      </c>
    </row>
    <row r="828" spans="1:32" x14ac:dyDescent="0.2">
      <c r="A828" s="2" t="str">
        <f t="shared" si="403"/>
        <v/>
      </c>
      <c r="B828" s="2" t="str">
        <f t="shared" si="416"/>
        <v/>
      </c>
      <c r="C828" s="2" t="str">
        <f t="shared" si="417"/>
        <v/>
      </c>
      <c r="D828" s="2" t="str">
        <f t="shared" si="418"/>
        <v/>
      </c>
      <c r="E828" s="2" t="str">
        <f t="shared" si="419"/>
        <v/>
      </c>
      <c r="F828" s="2" t="str">
        <f t="shared" si="420"/>
        <v/>
      </c>
      <c r="G828" s="2" t="str">
        <f t="shared" si="421"/>
        <v/>
      </c>
      <c r="H828" s="2" t="str">
        <f t="shared" si="404"/>
        <v/>
      </c>
      <c r="I828" s="2" t="str">
        <f t="shared" si="405"/>
        <v/>
      </c>
      <c r="J828" s="2" t="str">
        <f t="shared" si="406"/>
        <v/>
      </c>
      <c r="K828" s="2" t="str">
        <f t="shared" si="422"/>
        <v/>
      </c>
      <c r="L828" s="2" t="str">
        <f t="shared" si="423"/>
        <v/>
      </c>
      <c r="M828" s="2" t="str">
        <f t="shared" si="424"/>
        <v/>
      </c>
      <c r="N828" s="2" t="str">
        <f t="shared" si="407"/>
        <v/>
      </c>
      <c r="O828" s="2" t="str">
        <f t="shared" si="408"/>
        <v/>
      </c>
      <c r="P828" s="2" t="str">
        <f t="shared" si="409"/>
        <v/>
      </c>
      <c r="Q828" s="2" t="str">
        <f t="shared" si="425"/>
        <v/>
      </c>
      <c r="R828" s="2" t="str">
        <f t="shared" si="426"/>
        <v/>
      </c>
      <c r="S828" s="2" t="str">
        <f t="shared" si="427"/>
        <v/>
      </c>
      <c r="T828" s="2" t="str">
        <f t="shared" si="410"/>
        <v/>
      </c>
      <c r="U828" s="2" t="str">
        <f t="shared" si="411"/>
        <v/>
      </c>
      <c r="V828" s="2" t="str">
        <f t="shared" si="412"/>
        <v/>
      </c>
      <c r="W828" s="2" t="str">
        <f t="shared" si="428"/>
        <v/>
      </c>
      <c r="X828" s="2" t="str">
        <f t="shared" si="429"/>
        <v/>
      </c>
      <c r="Y828" s="2" t="str">
        <f t="shared" si="430"/>
        <v/>
      </c>
      <c r="Z828" s="2" t="str">
        <f t="shared" si="413"/>
        <v/>
      </c>
      <c r="AA828" s="2" t="str">
        <f t="shared" si="414"/>
        <v/>
      </c>
      <c r="AB828" s="2" t="str">
        <f t="shared" si="415"/>
        <v/>
      </c>
      <c r="AC828" s="2" t="str">
        <f t="shared" si="431"/>
        <v/>
      </c>
      <c r="AD828" s="2" t="str">
        <f t="shared" si="432"/>
        <v/>
      </c>
      <c r="AE828" s="2" t="str">
        <f t="shared" si="433"/>
        <v/>
      </c>
      <c r="AF828" s="2" t="str">
        <f t="shared" si="434"/>
        <v/>
      </c>
    </row>
    <row r="829" spans="1:32" x14ac:dyDescent="0.2">
      <c r="A829" s="2" t="str">
        <f t="shared" si="403"/>
        <v/>
      </c>
      <c r="B829" s="2" t="str">
        <f t="shared" si="416"/>
        <v/>
      </c>
      <c r="C829" s="2" t="str">
        <f t="shared" si="417"/>
        <v/>
      </c>
      <c r="D829" s="2" t="str">
        <f t="shared" si="418"/>
        <v/>
      </c>
      <c r="E829" s="2" t="str">
        <f t="shared" si="419"/>
        <v/>
      </c>
      <c r="F829" s="2" t="str">
        <f t="shared" si="420"/>
        <v/>
      </c>
      <c r="G829" s="2" t="str">
        <f t="shared" si="421"/>
        <v/>
      </c>
      <c r="H829" s="2" t="str">
        <f t="shared" si="404"/>
        <v/>
      </c>
      <c r="I829" s="2" t="str">
        <f t="shared" si="405"/>
        <v/>
      </c>
      <c r="J829" s="2" t="str">
        <f t="shared" si="406"/>
        <v/>
      </c>
      <c r="K829" s="2" t="str">
        <f t="shared" si="422"/>
        <v/>
      </c>
      <c r="L829" s="2" t="str">
        <f t="shared" si="423"/>
        <v/>
      </c>
      <c r="M829" s="2" t="str">
        <f t="shared" si="424"/>
        <v/>
      </c>
      <c r="N829" s="2" t="str">
        <f t="shared" si="407"/>
        <v/>
      </c>
      <c r="O829" s="2" t="str">
        <f t="shared" si="408"/>
        <v/>
      </c>
      <c r="P829" s="2" t="str">
        <f t="shared" si="409"/>
        <v/>
      </c>
      <c r="Q829" s="2" t="str">
        <f t="shared" si="425"/>
        <v/>
      </c>
      <c r="R829" s="2" t="str">
        <f t="shared" si="426"/>
        <v/>
      </c>
      <c r="S829" s="2" t="str">
        <f t="shared" si="427"/>
        <v/>
      </c>
      <c r="T829" s="2" t="str">
        <f t="shared" si="410"/>
        <v/>
      </c>
      <c r="U829" s="2" t="str">
        <f t="shared" si="411"/>
        <v/>
      </c>
      <c r="V829" s="2" t="str">
        <f t="shared" si="412"/>
        <v/>
      </c>
      <c r="W829" s="2" t="str">
        <f t="shared" si="428"/>
        <v/>
      </c>
      <c r="X829" s="2" t="str">
        <f t="shared" si="429"/>
        <v/>
      </c>
      <c r="Y829" s="2" t="str">
        <f t="shared" si="430"/>
        <v/>
      </c>
      <c r="Z829" s="2" t="str">
        <f t="shared" si="413"/>
        <v/>
      </c>
      <c r="AA829" s="2" t="str">
        <f t="shared" si="414"/>
        <v/>
      </c>
      <c r="AB829" s="2" t="str">
        <f t="shared" si="415"/>
        <v/>
      </c>
      <c r="AC829" s="2" t="str">
        <f t="shared" si="431"/>
        <v/>
      </c>
      <c r="AD829" s="2" t="str">
        <f t="shared" si="432"/>
        <v/>
      </c>
      <c r="AE829" s="2" t="str">
        <f t="shared" si="433"/>
        <v/>
      </c>
      <c r="AF829" s="2" t="str">
        <f t="shared" si="434"/>
        <v/>
      </c>
    </row>
    <row r="830" spans="1:32" x14ac:dyDescent="0.2">
      <c r="A830" s="2" t="str">
        <f t="shared" si="403"/>
        <v/>
      </c>
      <c r="B830" s="2" t="str">
        <f t="shared" si="416"/>
        <v/>
      </c>
      <c r="C830" s="2" t="str">
        <f t="shared" si="417"/>
        <v/>
      </c>
      <c r="D830" s="2" t="str">
        <f t="shared" si="418"/>
        <v/>
      </c>
      <c r="E830" s="2" t="str">
        <f t="shared" si="419"/>
        <v/>
      </c>
      <c r="F830" s="2" t="str">
        <f t="shared" si="420"/>
        <v/>
      </c>
      <c r="G830" s="2" t="str">
        <f t="shared" si="421"/>
        <v/>
      </c>
      <c r="H830" s="2" t="str">
        <f t="shared" si="404"/>
        <v/>
      </c>
      <c r="I830" s="2" t="str">
        <f t="shared" si="405"/>
        <v/>
      </c>
      <c r="J830" s="2" t="str">
        <f t="shared" si="406"/>
        <v/>
      </c>
      <c r="K830" s="2" t="str">
        <f t="shared" si="422"/>
        <v/>
      </c>
      <c r="L830" s="2" t="str">
        <f t="shared" si="423"/>
        <v/>
      </c>
      <c r="M830" s="2" t="str">
        <f t="shared" si="424"/>
        <v/>
      </c>
      <c r="N830" s="2" t="str">
        <f t="shared" si="407"/>
        <v/>
      </c>
      <c r="O830" s="2" t="str">
        <f t="shared" si="408"/>
        <v/>
      </c>
      <c r="P830" s="2" t="str">
        <f t="shared" si="409"/>
        <v/>
      </c>
      <c r="Q830" s="2" t="str">
        <f t="shared" si="425"/>
        <v/>
      </c>
      <c r="R830" s="2" t="str">
        <f t="shared" si="426"/>
        <v/>
      </c>
      <c r="S830" s="2" t="str">
        <f t="shared" si="427"/>
        <v/>
      </c>
      <c r="T830" s="2" t="str">
        <f t="shared" si="410"/>
        <v/>
      </c>
      <c r="U830" s="2" t="str">
        <f t="shared" si="411"/>
        <v/>
      </c>
      <c r="V830" s="2" t="str">
        <f t="shared" si="412"/>
        <v/>
      </c>
      <c r="W830" s="2" t="str">
        <f t="shared" si="428"/>
        <v/>
      </c>
      <c r="X830" s="2" t="str">
        <f t="shared" si="429"/>
        <v/>
      </c>
      <c r="Y830" s="2" t="str">
        <f t="shared" si="430"/>
        <v/>
      </c>
      <c r="Z830" s="2" t="str">
        <f t="shared" si="413"/>
        <v/>
      </c>
      <c r="AA830" s="2" t="str">
        <f t="shared" si="414"/>
        <v/>
      </c>
      <c r="AB830" s="2" t="str">
        <f t="shared" si="415"/>
        <v/>
      </c>
      <c r="AC830" s="2" t="str">
        <f t="shared" si="431"/>
        <v/>
      </c>
      <c r="AD830" s="2" t="str">
        <f t="shared" si="432"/>
        <v/>
      </c>
      <c r="AE830" s="2" t="str">
        <f t="shared" si="433"/>
        <v/>
      </c>
      <c r="AF830" s="2" t="str">
        <f t="shared" si="434"/>
        <v/>
      </c>
    </row>
    <row r="831" spans="1:32" x14ac:dyDescent="0.2">
      <c r="A831" s="2" t="str">
        <f t="shared" si="403"/>
        <v/>
      </c>
      <c r="B831" s="2" t="str">
        <f t="shared" si="416"/>
        <v/>
      </c>
      <c r="C831" s="2" t="str">
        <f t="shared" si="417"/>
        <v/>
      </c>
      <c r="D831" s="2" t="str">
        <f t="shared" si="418"/>
        <v/>
      </c>
      <c r="E831" s="2" t="str">
        <f t="shared" si="419"/>
        <v/>
      </c>
      <c r="F831" s="2" t="str">
        <f t="shared" si="420"/>
        <v/>
      </c>
      <c r="G831" s="2" t="str">
        <f t="shared" si="421"/>
        <v/>
      </c>
      <c r="H831" s="2" t="str">
        <f t="shared" si="404"/>
        <v/>
      </c>
      <c r="I831" s="2" t="str">
        <f t="shared" si="405"/>
        <v/>
      </c>
      <c r="J831" s="2" t="str">
        <f t="shared" si="406"/>
        <v/>
      </c>
      <c r="K831" s="2" t="str">
        <f t="shared" si="422"/>
        <v/>
      </c>
      <c r="L831" s="2" t="str">
        <f t="shared" si="423"/>
        <v/>
      </c>
      <c r="M831" s="2" t="str">
        <f t="shared" si="424"/>
        <v/>
      </c>
      <c r="N831" s="2" t="str">
        <f t="shared" si="407"/>
        <v/>
      </c>
      <c r="O831" s="2" t="str">
        <f t="shared" si="408"/>
        <v/>
      </c>
      <c r="P831" s="2" t="str">
        <f t="shared" si="409"/>
        <v/>
      </c>
      <c r="Q831" s="2" t="str">
        <f t="shared" si="425"/>
        <v/>
      </c>
      <c r="R831" s="2" t="str">
        <f t="shared" si="426"/>
        <v/>
      </c>
      <c r="S831" s="2" t="str">
        <f t="shared" si="427"/>
        <v/>
      </c>
      <c r="T831" s="2" t="str">
        <f t="shared" si="410"/>
        <v/>
      </c>
      <c r="U831" s="2" t="str">
        <f t="shared" si="411"/>
        <v/>
      </c>
      <c r="V831" s="2" t="str">
        <f t="shared" si="412"/>
        <v/>
      </c>
      <c r="W831" s="2" t="str">
        <f t="shared" si="428"/>
        <v/>
      </c>
      <c r="X831" s="2" t="str">
        <f t="shared" si="429"/>
        <v/>
      </c>
      <c r="Y831" s="2" t="str">
        <f t="shared" si="430"/>
        <v/>
      </c>
      <c r="Z831" s="2" t="str">
        <f t="shared" si="413"/>
        <v/>
      </c>
      <c r="AA831" s="2" t="str">
        <f t="shared" si="414"/>
        <v/>
      </c>
      <c r="AB831" s="2" t="str">
        <f t="shared" si="415"/>
        <v/>
      </c>
      <c r="AC831" s="2" t="str">
        <f t="shared" si="431"/>
        <v/>
      </c>
      <c r="AD831" s="2" t="str">
        <f t="shared" si="432"/>
        <v/>
      </c>
      <c r="AE831" s="2" t="str">
        <f t="shared" si="433"/>
        <v/>
      </c>
      <c r="AF831" s="2" t="str">
        <f t="shared" si="434"/>
        <v/>
      </c>
    </row>
    <row r="832" spans="1:32" x14ac:dyDescent="0.2">
      <c r="A832" s="2" t="str">
        <f t="shared" si="403"/>
        <v/>
      </c>
      <c r="B832" s="2" t="str">
        <f t="shared" si="416"/>
        <v/>
      </c>
      <c r="C832" s="2" t="str">
        <f t="shared" si="417"/>
        <v/>
      </c>
      <c r="D832" s="2" t="str">
        <f t="shared" si="418"/>
        <v/>
      </c>
      <c r="E832" s="2" t="str">
        <f t="shared" si="419"/>
        <v/>
      </c>
      <c r="F832" s="2" t="str">
        <f t="shared" si="420"/>
        <v/>
      </c>
      <c r="G832" s="2" t="str">
        <f t="shared" si="421"/>
        <v/>
      </c>
      <c r="H832" s="2" t="str">
        <f t="shared" si="404"/>
        <v/>
      </c>
      <c r="I832" s="2" t="str">
        <f t="shared" si="405"/>
        <v/>
      </c>
      <c r="J832" s="2" t="str">
        <f t="shared" si="406"/>
        <v/>
      </c>
      <c r="K832" s="2" t="str">
        <f t="shared" si="422"/>
        <v/>
      </c>
      <c r="L832" s="2" t="str">
        <f t="shared" si="423"/>
        <v/>
      </c>
      <c r="M832" s="2" t="str">
        <f t="shared" si="424"/>
        <v/>
      </c>
      <c r="N832" s="2" t="str">
        <f t="shared" si="407"/>
        <v/>
      </c>
      <c r="O832" s="2" t="str">
        <f t="shared" si="408"/>
        <v/>
      </c>
      <c r="P832" s="2" t="str">
        <f t="shared" si="409"/>
        <v/>
      </c>
      <c r="Q832" s="2" t="str">
        <f t="shared" si="425"/>
        <v/>
      </c>
      <c r="R832" s="2" t="str">
        <f t="shared" si="426"/>
        <v/>
      </c>
      <c r="S832" s="2" t="str">
        <f t="shared" si="427"/>
        <v/>
      </c>
      <c r="T832" s="2" t="str">
        <f t="shared" si="410"/>
        <v/>
      </c>
      <c r="U832" s="2" t="str">
        <f t="shared" si="411"/>
        <v/>
      </c>
      <c r="V832" s="2" t="str">
        <f t="shared" si="412"/>
        <v/>
      </c>
      <c r="W832" s="2" t="str">
        <f t="shared" si="428"/>
        <v/>
      </c>
      <c r="X832" s="2" t="str">
        <f t="shared" si="429"/>
        <v/>
      </c>
      <c r="Y832" s="2" t="str">
        <f t="shared" si="430"/>
        <v/>
      </c>
      <c r="Z832" s="2" t="str">
        <f t="shared" si="413"/>
        <v/>
      </c>
      <c r="AA832" s="2" t="str">
        <f t="shared" si="414"/>
        <v/>
      </c>
      <c r="AB832" s="2" t="str">
        <f t="shared" si="415"/>
        <v/>
      </c>
      <c r="AC832" s="2" t="str">
        <f t="shared" si="431"/>
        <v/>
      </c>
      <c r="AD832" s="2" t="str">
        <f t="shared" si="432"/>
        <v/>
      </c>
      <c r="AE832" s="2" t="str">
        <f t="shared" si="433"/>
        <v/>
      </c>
      <c r="AF832" s="2" t="str">
        <f t="shared" si="434"/>
        <v/>
      </c>
    </row>
    <row r="833" spans="1:32" x14ac:dyDescent="0.2">
      <c r="A833" s="2" t="str">
        <f t="shared" si="403"/>
        <v/>
      </c>
      <c r="B833" s="2" t="str">
        <f t="shared" si="416"/>
        <v/>
      </c>
      <c r="C833" s="2" t="str">
        <f t="shared" si="417"/>
        <v/>
      </c>
      <c r="D833" s="2" t="str">
        <f t="shared" si="418"/>
        <v/>
      </c>
      <c r="E833" s="2" t="str">
        <f t="shared" si="419"/>
        <v/>
      </c>
      <c r="F833" s="2" t="str">
        <f t="shared" si="420"/>
        <v/>
      </c>
      <c r="G833" s="2" t="str">
        <f t="shared" si="421"/>
        <v/>
      </c>
      <c r="H833" s="2" t="str">
        <f t="shared" si="404"/>
        <v/>
      </c>
      <c r="I833" s="2" t="str">
        <f t="shared" si="405"/>
        <v/>
      </c>
      <c r="J833" s="2" t="str">
        <f t="shared" si="406"/>
        <v/>
      </c>
      <c r="K833" s="2" t="str">
        <f t="shared" si="422"/>
        <v/>
      </c>
      <c r="L833" s="2" t="str">
        <f t="shared" si="423"/>
        <v/>
      </c>
      <c r="M833" s="2" t="str">
        <f t="shared" si="424"/>
        <v/>
      </c>
      <c r="N833" s="2" t="str">
        <f t="shared" si="407"/>
        <v/>
      </c>
      <c r="O833" s="2" t="str">
        <f t="shared" si="408"/>
        <v/>
      </c>
      <c r="P833" s="2" t="str">
        <f t="shared" si="409"/>
        <v/>
      </c>
      <c r="Q833" s="2" t="str">
        <f t="shared" si="425"/>
        <v/>
      </c>
      <c r="R833" s="2" t="str">
        <f t="shared" si="426"/>
        <v/>
      </c>
      <c r="S833" s="2" t="str">
        <f t="shared" si="427"/>
        <v/>
      </c>
      <c r="T833" s="2" t="str">
        <f t="shared" si="410"/>
        <v/>
      </c>
      <c r="U833" s="2" t="str">
        <f t="shared" si="411"/>
        <v/>
      </c>
      <c r="V833" s="2" t="str">
        <f t="shared" si="412"/>
        <v/>
      </c>
      <c r="W833" s="2" t="str">
        <f t="shared" si="428"/>
        <v/>
      </c>
      <c r="X833" s="2" t="str">
        <f t="shared" si="429"/>
        <v/>
      </c>
      <c r="Y833" s="2" t="str">
        <f t="shared" si="430"/>
        <v/>
      </c>
      <c r="Z833" s="2" t="str">
        <f t="shared" si="413"/>
        <v/>
      </c>
      <c r="AA833" s="2" t="str">
        <f t="shared" si="414"/>
        <v/>
      </c>
      <c r="AB833" s="2" t="str">
        <f t="shared" si="415"/>
        <v/>
      </c>
      <c r="AC833" s="2" t="str">
        <f t="shared" si="431"/>
        <v/>
      </c>
      <c r="AD833" s="2" t="str">
        <f t="shared" si="432"/>
        <v/>
      </c>
      <c r="AE833" s="2" t="str">
        <f t="shared" si="433"/>
        <v/>
      </c>
      <c r="AF833" s="2" t="str">
        <f t="shared" si="434"/>
        <v/>
      </c>
    </row>
    <row r="834" spans="1:32" x14ac:dyDescent="0.2">
      <c r="A834" s="2" t="str">
        <f t="shared" si="403"/>
        <v/>
      </c>
      <c r="B834" s="2" t="str">
        <f t="shared" si="416"/>
        <v/>
      </c>
      <c r="C834" s="2" t="str">
        <f t="shared" si="417"/>
        <v/>
      </c>
      <c r="D834" s="2" t="str">
        <f t="shared" si="418"/>
        <v/>
      </c>
      <c r="E834" s="2" t="str">
        <f t="shared" si="419"/>
        <v/>
      </c>
      <c r="F834" s="2" t="str">
        <f t="shared" si="420"/>
        <v/>
      </c>
      <c r="G834" s="2" t="str">
        <f t="shared" si="421"/>
        <v/>
      </c>
      <c r="H834" s="2" t="str">
        <f t="shared" si="404"/>
        <v/>
      </c>
      <c r="I834" s="2" t="str">
        <f t="shared" si="405"/>
        <v/>
      </c>
      <c r="J834" s="2" t="str">
        <f t="shared" si="406"/>
        <v/>
      </c>
      <c r="K834" s="2" t="str">
        <f t="shared" si="422"/>
        <v/>
      </c>
      <c r="L834" s="2" t="str">
        <f t="shared" si="423"/>
        <v/>
      </c>
      <c r="M834" s="2" t="str">
        <f t="shared" si="424"/>
        <v/>
      </c>
      <c r="N834" s="2" t="str">
        <f t="shared" si="407"/>
        <v/>
      </c>
      <c r="O834" s="2" t="str">
        <f t="shared" si="408"/>
        <v/>
      </c>
      <c r="P834" s="2" t="str">
        <f t="shared" si="409"/>
        <v/>
      </c>
      <c r="Q834" s="2" t="str">
        <f t="shared" si="425"/>
        <v/>
      </c>
      <c r="R834" s="2" t="str">
        <f t="shared" si="426"/>
        <v/>
      </c>
      <c r="S834" s="2" t="str">
        <f t="shared" si="427"/>
        <v/>
      </c>
      <c r="T834" s="2" t="str">
        <f t="shared" si="410"/>
        <v/>
      </c>
      <c r="U834" s="2" t="str">
        <f t="shared" si="411"/>
        <v/>
      </c>
      <c r="V834" s="2" t="str">
        <f t="shared" si="412"/>
        <v/>
      </c>
      <c r="W834" s="2" t="str">
        <f t="shared" si="428"/>
        <v/>
      </c>
      <c r="X834" s="2" t="str">
        <f t="shared" si="429"/>
        <v/>
      </c>
      <c r="Y834" s="2" t="str">
        <f t="shared" si="430"/>
        <v/>
      </c>
      <c r="Z834" s="2" t="str">
        <f t="shared" si="413"/>
        <v/>
      </c>
      <c r="AA834" s="2" t="str">
        <f t="shared" si="414"/>
        <v/>
      </c>
      <c r="AB834" s="2" t="str">
        <f t="shared" si="415"/>
        <v/>
      </c>
      <c r="AC834" s="2" t="str">
        <f t="shared" si="431"/>
        <v/>
      </c>
      <c r="AD834" s="2" t="str">
        <f t="shared" si="432"/>
        <v/>
      </c>
      <c r="AE834" s="2" t="str">
        <f t="shared" si="433"/>
        <v/>
      </c>
      <c r="AF834" s="2" t="str">
        <f t="shared" si="434"/>
        <v/>
      </c>
    </row>
    <row r="835" spans="1:32" x14ac:dyDescent="0.2">
      <c r="A835" s="2" t="str">
        <f t="shared" si="403"/>
        <v/>
      </c>
      <c r="B835" s="2" t="str">
        <f t="shared" si="416"/>
        <v/>
      </c>
      <c r="C835" s="2" t="str">
        <f t="shared" si="417"/>
        <v/>
      </c>
      <c r="D835" s="2" t="str">
        <f t="shared" si="418"/>
        <v/>
      </c>
      <c r="E835" s="2" t="str">
        <f t="shared" si="419"/>
        <v/>
      </c>
      <c r="F835" s="2" t="str">
        <f t="shared" si="420"/>
        <v/>
      </c>
      <c r="G835" s="2" t="str">
        <f t="shared" si="421"/>
        <v/>
      </c>
      <c r="H835" s="2" t="str">
        <f t="shared" si="404"/>
        <v/>
      </c>
      <c r="I835" s="2" t="str">
        <f t="shared" si="405"/>
        <v/>
      </c>
      <c r="J835" s="2" t="str">
        <f t="shared" si="406"/>
        <v/>
      </c>
      <c r="K835" s="2" t="str">
        <f t="shared" si="422"/>
        <v/>
      </c>
      <c r="L835" s="2" t="str">
        <f t="shared" si="423"/>
        <v/>
      </c>
      <c r="M835" s="2" t="str">
        <f t="shared" si="424"/>
        <v/>
      </c>
      <c r="N835" s="2" t="str">
        <f t="shared" si="407"/>
        <v/>
      </c>
      <c r="O835" s="2" t="str">
        <f t="shared" si="408"/>
        <v/>
      </c>
      <c r="P835" s="2" t="str">
        <f t="shared" si="409"/>
        <v/>
      </c>
      <c r="Q835" s="2" t="str">
        <f t="shared" si="425"/>
        <v/>
      </c>
      <c r="R835" s="2" t="str">
        <f t="shared" si="426"/>
        <v/>
      </c>
      <c r="S835" s="2" t="str">
        <f t="shared" si="427"/>
        <v/>
      </c>
      <c r="T835" s="2" t="str">
        <f t="shared" si="410"/>
        <v/>
      </c>
      <c r="U835" s="2" t="str">
        <f t="shared" si="411"/>
        <v/>
      </c>
      <c r="V835" s="2" t="str">
        <f t="shared" si="412"/>
        <v/>
      </c>
      <c r="W835" s="2" t="str">
        <f t="shared" si="428"/>
        <v/>
      </c>
      <c r="X835" s="2" t="str">
        <f t="shared" si="429"/>
        <v/>
      </c>
      <c r="Y835" s="2" t="str">
        <f t="shared" si="430"/>
        <v/>
      </c>
      <c r="Z835" s="2" t="str">
        <f t="shared" si="413"/>
        <v/>
      </c>
      <c r="AA835" s="2" t="str">
        <f t="shared" si="414"/>
        <v/>
      </c>
      <c r="AB835" s="2" t="str">
        <f t="shared" si="415"/>
        <v/>
      </c>
      <c r="AC835" s="2" t="str">
        <f t="shared" si="431"/>
        <v/>
      </c>
      <c r="AD835" s="2" t="str">
        <f t="shared" si="432"/>
        <v/>
      </c>
      <c r="AE835" s="2" t="str">
        <f t="shared" si="433"/>
        <v/>
      </c>
      <c r="AF835" s="2" t="str">
        <f t="shared" si="434"/>
        <v/>
      </c>
    </row>
    <row r="836" spans="1:32" x14ac:dyDescent="0.2">
      <c r="A836" s="2" t="str">
        <f t="shared" si="403"/>
        <v/>
      </c>
      <c r="B836" s="2" t="str">
        <f t="shared" si="416"/>
        <v/>
      </c>
      <c r="C836" s="2" t="str">
        <f t="shared" si="417"/>
        <v/>
      </c>
      <c r="D836" s="2" t="str">
        <f t="shared" si="418"/>
        <v/>
      </c>
      <c r="E836" s="2" t="str">
        <f t="shared" si="419"/>
        <v/>
      </c>
      <c r="F836" s="2" t="str">
        <f t="shared" si="420"/>
        <v/>
      </c>
      <c r="G836" s="2" t="str">
        <f t="shared" si="421"/>
        <v/>
      </c>
      <c r="H836" s="2" t="str">
        <f t="shared" si="404"/>
        <v/>
      </c>
      <c r="I836" s="2" t="str">
        <f t="shared" si="405"/>
        <v/>
      </c>
      <c r="J836" s="2" t="str">
        <f t="shared" si="406"/>
        <v/>
      </c>
      <c r="K836" s="2" t="str">
        <f t="shared" si="422"/>
        <v/>
      </c>
      <c r="L836" s="2" t="str">
        <f t="shared" si="423"/>
        <v/>
      </c>
      <c r="M836" s="2" t="str">
        <f t="shared" si="424"/>
        <v/>
      </c>
      <c r="N836" s="2" t="str">
        <f t="shared" si="407"/>
        <v/>
      </c>
      <c r="O836" s="2" t="str">
        <f t="shared" si="408"/>
        <v/>
      </c>
      <c r="P836" s="2" t="str">
        <f t="shared" si="409"/>
        <v/>
      </c>
      <c r="Q836" s="2" t="str">
        <f t="shared" si="425"/>
        <v/>
      </c>
      <c r="R836" s="2" t="str">
        <f t="shared" si="426"/>
        <v/>
      </c>
      <c r="S836" s="2" t="str">
        <f t="shared" si="427"/>
        <v/>
      </c>
      <c r="T836" s="2" t="str">
        <f t="shared" si="410"/>
        <v/>
      </c>
      <c r="U836" s="2" t="str">
        <f t="shared" si="411"/>
        <v/>
      </c>
      <c r="V836" s="2" t="str">
        <f t="shared" si="412"/>
        <v/>
      </c>
      <c r="W836" s="2" t="str">
        <f t="shared" si="428"/>
        <v/>
      </c>
      <c r="X836" s="2" t="str">
        <f t="shared" si="429"/>
        <v/>
      </c>
      <c r="Y836" s="2" t="str">
        <f t="shared" si="430"/>
        <v/>
      </c>
      <c r="Z836" s="2" t="str">
        <f t="shared" si="413"/>
        <v/>
      </c>
      <c r="AA836" s="2" t="str">
        <f t="shared" si="414"/>
        <v/>
      </c>
      <c r="AB836" s="2" t="str">
        <f t="shared" si="415"/>
        <v/>
      </c>
      <c r="AC836" s="2" t="str">
        <f t="shared" si="431"/>
        <v/>
      </c>
      <c r="AD836" s="2" t="str">
        <f t="shared" si="432"/>
        <v/>
      </c>
      <c r="AE836" s="2" t="str">
        <f t="shared" si="433"/>
        <v/>
      </c>
      <c r="AF836" s="2" t="str">
        <f t="shared" si="434"/>
        <v/>
      </c>
    </row>
    <row r="837" spans="1:32" x14ac:dyDescent="0.2">
      <c r="A837" s="2" t="str">
        <f t="shared" ref="A837:A900" si="435">IF(AH837="","",_xlfn.CONCAT(AH837,"_",ROW()-3))</f>
        <v/>
      </c>
      <c r="B837" s="2" t="str">
        <f t="shared" si="416"/>
        <v/>
      </c>
      <c r="C837" s="2" t="str">
        <f t="shared" si="417"/>
        <v/>
      </c>
      <c r="D837" s="2" t="str">
        <f t="shared" si="418"/>
        <v/>
      </c>
      <c r="E837" s="2" t="str">
        <f t="shared" si="419"/>
        <v/>
      </c>
      <c r="F837" s="2" t="str">
        <f t="shared" si="420"/>
        <v/>
      </c>
      <c r="G837" s="2" t="str">
        <f t="shared" si="421"/>
        <v/>
      </c>
      <c r="H837" s="2" t="str">
        <f t="shared" ref="H837:H900" si="436">IF(AO837="","",IF(AQ837&lt;&gt;0,(AO837+AQ837)/2,AO837)-BN837)</f>
        <v/>
      </c>
      <c r="I837" s="2" t="str">
        <f t="shared" ref="I837:I900" si="437">IF(AP837="","",AP837)</f>
        <v/>
      </c>
      <c r="J837" s="2" t="str">
        <f t="shared" ref="J837:J900" si="438">IF(AQ837="","",(AO837+AQ837)/2-BN837)</f>
        <v/>
      </c>
      <c r="K837" s="2" t="str">
        <f t="shared" si="422"/>
        <v/>
      </c>
      <c r="L837" s="2" t="str">
        <f t="shared" si="423"/>
        <v/>
      </c>
      <c r="M837" s="2" t="str">
        <f t="shared" si="424"/>
        <v/>
      </c>
      <c r="N837" s="2" t="str">
        <f t="shared" ref="N837:N900" si="439">IF(AU837="","",IF(AW837&lt;&gt;0,(AU837+AW837)/2,AU837)-BN838)</f>
        <v/>
      </c>
      <c r="O837" s="2" t="str">
        <f t="shared" ref="O837:O900" si="440">IF(AV837="","",AV837)</f>
        <v/>
      </c>
      <c r="P837" s="2" t="str">
        <f t="shared" ref="P837:P900" si="441">IF(AW837="","",(AU837+AW837)/2-BN838)</f>
        <v/>
      </c>
      <c r="Q837" s="2" t="str">
        <f t="shared" si="425"/>
        <v/>
      </c>
      <c r="R837" s="2" t="str">
        <f t="shared" si="426"/>
        <v/>
      </c>
      <c r="S837" s="2" t="str">
        <f t="shared" si="427"/>
        <v/>
      </c>
      <c r="T837" s="2" t="str">
        <f t="shared" ref="T837:T900" si="442">IF(BA837="","",IF(BC837&lt;&gt;0,(BA837+BC837)/2,BA837)-BN839)</f>
        <v/>
      </c>
      <c r="U837" s="2" t="str">
        <f t="shared" ref="U837:U900" si="443">IF(BB837="","",BB837)</f>
        <v/>
      </c>
      <c r="V837" s="2" t="str">
        <f t="shared" ref="V837:V900" si="444">IF(BC837="","",(BA837+BC837)/2-BN839)</f>
        <v/>
      </c>
      <c r="W837" s="2" t="str">
        <f t="shared" si="428"/>
        <v/>
      </c>
      <c r="X837" s="2" t="str">
        <f t="shared" si="429"/>
        <v/>
      </c>
      <c r="Y837" s="2" t="str">
        <f t="shared" si="430"/>
        <v/>
      </c>
      <c r="Z837" s="2" t="str">
        <f t="shared" ref="Z837:Z900" si="445">IF(BG837="","",IF(BI837&lt;&gt;0,(BG837+BI837)/2,BG837)-BN840)</f>
        <v/>
      </c>
      <c r="AA837" s="2" t="str">
        <f t="shared" ref="AA837:AA900" si="446">IF(BH837="","",BH837)</f>
        <v/>
      </c>
      <c r="AB837" s="2" t="str">
        <f t="shared" ref="AB837:AB900" si="447">IF(BI837="","",(BG837+BI837)/2-BN840)</f>
        <v/>
      </c>
      <c r="AC837" s="2" t="str">
        <f t="shared" si="431"/>
        <v/>
      </c>
      <c r="AD837" s="2" t="str">
        <f t="shared" si="432"/>
        <v/>
      </c>
      <c r="AE837" s="2" t="str">
        <f t="shared" si="433"/>
        <v/>
      </c>
      <c r="AF837" s="2" t="str">
        <f t="shared" si="434"/>
        <v/>
      </c>
    </row>
    <row r="838" spans="1:32" x14ac:dyDescent="0.2">
      <c r="A838" s="2" t="str">
        <f t="shared" si="435"/>
        <v/>
      </c>
      <c r="B838" s="2" t="str">
        <f t="shared" si="416"/>
        <v/>
      </c>
      <c r="C838" s="2" t="str">
        <f t="shared" si="417"/>
        <v/>
      </c>
      <c r="D838" s="2" t="str">
        <f t="shared" si="418"/>
        <v/>
      </c>
      <c r="E838" s="2" t="str">
        <f t="shared" si="419"/>
        <v/>
      </c>
      <c r="F838" s="2" t="str">
        <f t="shared" si="420"/>
        <v/>
      </c>
      <c r="G838" s="2" t="str">
        <f t="shared" si="421"/>
        <v/>
      </c>
      <c r="H838" s="2" t="str">
        <f t="shared" si="436"/>
        <v/>
      </c>
      <c r="I838" s="2" t="str">
        <f t="shared" si="437"/>
        <v/>
      </c>
      <c r="J838" s="2" t="str">
        <f t="shared" si="438"/>
        <v/>
      </c>
      <c r="K838" s="2" t="str">
        <f t="shared" si="422"/>
        <v/>
      </c>
      <c r="L838" s="2" t="str">
        <f t="shared" si="423"/>
        <v/>
      </c>
      <c r="M838" s="2" t="str">
        <f t="shared" si="424"/>
        <v/>
      </c>
      <c r="N838" s="2" t="str">
        <f t="shared" si="439"/>
        <v/>
      </c>
      <c r="O838" s="2" t="str">
        <f t="shared" si="440"/>
        <v/>
      </c>
      <c r="P838" s="2" t="str">
        <f t="shared" si="441"/>
        <v/>
      </c>
      <c r="Q838" s="2" t="str">
        <f t="shared" si="425"/>
        <v/>
      </c>
      <c r="R838" s="2" t="str">
        <f t="shared" si="426"/>
        <v/>
      </c>
      <c r="S838" s="2" t="str">
        <f t="shared" si="427"/>
        <v/>
      </c>
      <c r="T838" s="2" t="str">
        <f t="shared" si="442"/>
        <v/>
      </c>
      <c r="U838" s="2" t="str">
        <f t="shared" si="443"/>
        <v/>
      </c>
      <c r="V838" s="2" t="str">
        <f t="shared" si="444"/>
        <v/>
      </c>
      <c r="W838" s="2" t="str">
        <f t="shared" si="428"/>
        <v/>
      </c>
      <c r="X838" s="2" t="str">
        <f t="shared" si="429"/>
        <v/>
      </c>
      <c r="Y838" s="2" t="str">
        <f t="shared" si="430"/>
        <v/>
      </c>
      <c r="Z838" s="2" t="str">
        <f t="shared" si="445"/>
        <v/>
      </c>
      <c r="AA838" s="2" t="str">
        <f t="shared" si="446"/>
        <v/>
      </c>
      <c r="AB838" s="2" t="str">
        <f t="shared" si="447"/>
        <v/>
      </c>
      <c r="AC838" s="2" t="str">
        <f t="shared" si="431"/>
        <v/>
      </c>
      <c r="AD838" s="2" t="str">
        <f t="shared" si="432"/>
        <v/>
      </c>
      <c r="AE838" s="2" t="str">
        <f t="shared" si="433"/>
        <v/>
      </c>
      <c r="AF838" s="2" t="str">
        <f t="shared" si="434"/>
        <v/>
      </c>
    </row>
    <row r="839" spans="1:32" x14ac:dyDescent="0.2">
      <c r="A839" s="2" t="str">
        <f t="shared" si="435"/>
        <v/>
      </c>
      <c r="B839" s="2" t="str">
        <f t="shared" si="416"/>
        <v/>
      </c>
      <c r="C839" s="2" t="str">
        <f t="shared" si="417"/>
        <v/>
      </c>
      <c r="D839" s="2" t="str">
        <f t="shared" si="418"/>
        <v/>
      </c>
      <c r="E839" s="2" t="str">
        <f t="shared" si="419"/>
        <v/>
      </c>
      <c r="F839" s="2" t="str">
        <f t="shared" si="420"/>
        <v/>
      </c>
      <c r="G839" s="2" t="str">
        <f t="shared" si="421"/>
        <v/>
      </c>
      <c r="H839" s="2" t="str">
        <f t="shared" si="436"/>
        <v/>
      </c>
      <c r="I839" s="2" t="str">
        <f t="shared" si="437"/>
        <v/>
      </c>
      <c r="J839" s="2" t="str">
        <f t="shared" si="438"/>
        <v/>
      </c>
      <c r="K839" s="2" t="str">
        <f t="shared" si="422"/>
        <v/>
      </c>
      <c r="L839" s="2" t="str">
        <f t="shared" si="423"/>
        <v/>
      </c>
      <c r="M839" s="2" t="str">
        <f t="shared" si="424"/>
        <v/>
      </c>
      <c r="N839" s="2" t="str">
        <f t="shared" si="439"/>
        <v/>
      </c>
      <c r="O839" s="2" t="str">
        <f t="shared" si="440"/>
        <v/>
      </c>
      <c r="P839" s="2" t="str">
        <f t="shared" si="441"/>
        <v/>
      </c>
      <c r="Q839" s="2" t="str">
        <f t="shared" si="425"/>
        <v/>
      </c>
      <c r="R839" s="2" t="str">
        <f t="shared" si="426"/>
        <v/>
      </c>
      <c r="S839" s="2" t="str">
        <f t="shared" si="427"/>
        <v/>
      </c>
      <c r="T839" s="2" t="str">
        <f t="shared" si="442"/>
        <v/>
      </c>
      <c r="U839" s="2" t="str">
        <f t="shared" si="443"/>
        <v/>
      </c>
      <c r="V839" s="2" t="str">
        <f t="shared" si="444"/>
        <v/>
      </c>
      <c r="W839" s="2" t="str">
        <f t="shared" si="428"/>
        <v/>
      </c>
      <c r="X839" s="2" t="str">
        <f t="shared" si="429"/>
        <v/>
      </c>
      <c r="Y839" s="2" t="str">
        <f t="shared" si="430"/>
        <v/>
      </c>
      <c r="Z839" s="2" t="str">
        <f t="shared" si="445"/>
        <v/>
      </c>
      <c r="AA839" s="2" t="str">
        <f t="shared" si="446"/>
        <v/>
      </c>
      <c r="AB839" s="2" t="str">
        <f t="shared" si="447"/>
        <v/>
      </c>
      <c r="AC839" s="2" t="str">
        <f t="shared" si="431"/>
        <v/>
      </c>
      <c r="AD839" s="2" t="str">
        <f t="shared" si="432"/>
        <v/>
      </c>
      <c r="AE839" s="2" t="str">
        <f t="shared" si="433"/>
        <v/>
      </c>
      <c r="AF839" s="2" t="str">
        <f t="shared" si="434"/>
        <v/>
      </c>
    </row>
    <row r="840" spans="1:32" x14ac:dyDescent="0.2">
      <c r="A840" s="2" t="str">
        <f t="shared" si="435"/>
        <v/>
      </c>
      <c r="B840" s="2" t="str">
        <f t="shared" si="416"/>
        <v/>
      </c>
      <c r="C840" s="2" t="str">
        <f t="shared" si="417"/>
        <v/>
      </c>
      <c r="D840" s="2" t="str">
        <f t="shared" si="418"/>
        <v/>
      </c>
      <c r="E840" s="2" t="str">
        <f t="shared" si="419"/>
        <v/>
      </c>
      <c r="F840" s="2" t="str">
        <f t="shared" si="420"/>
        <v/>
      </c>
      <c r="G840" s="2" t="str">
        <f t="shared" si="421"/>
        <v/>
      </c>
      <c r="H840" s="2" t="str">
        <f t="shared" si="436"/>
        <v/>
      </c>
      <c r="I840" s="2" t="str">
        <f t="shared" si="437"/>
        <v/>
      </c>
      <c r="J840" s="2" t="str">
        <f t="shared" si="438"/>
        <v/>
      </c>
      <c r="K840" s="2" t="str">
        <f t="shared" si="422"/>
        <v/>
      </c>
      <c r="L840" s="2" t="str">
        <f t="shared" si="423"/>
        <v/>
      </c>
      <c r="M840" s="2" t="str">
        <f t="shared" si="424"/>
        <v/>
      </c>
      <c r="N840" s="2" t="str">
        <f t="shared" si="439"/>
        <v/>
      </c>
      <c r="O840" s="2" t="str">
        <f t="shared" si="440"/>
        <v/>
      </c>
      <c r="P840" s="2" t="str">
        <f t="shared" si="441"/>
        <v/>
      </c>
      <c r="Q840" s="2" t="str">
        <f t="shared" si="425"/>
        <v/>
      </c>
      <c r="R840" s="2" t="str">
        <f t="shared" si="426"/>
        <v/>
      </c>
      <c r="S840" s="2" t="str">
        <f t="shared" si="427"/>
        <v/>
      </c>
      <c r="T840" s="2" t="str">
        <f t="shared" si="442"/>
        <v/>
      </c>
      <c r="U840" s="2" t="str">
        <f t="shared" si="443"/>
        <v/>
      </c>
      <c r="V840" s="2" t="str">
        <f t="shared" si="444"/>
        <v/>
      </c>
      <c r="W840" s="2" t="str">
        <f t="shared" si="428"/>
        <v/>
      </c>
      <c r="X840" s="2" t="str">
        <f t="shared" si="429"/>
        <v/>
      </c>
      <c r="Y840" s="2" t="str">
        <f t="shared" si="430"/>
        <v/>
      </c>
      <c r="Z840" s="2" t="str">
        <f t="shared" si="445"/>
        <v/>
      </c>
      <c r="AA840" s="2" t="str">
        <f t="shared" si="446"/>
        <v/>
      </c>
      <c r="AB840" s="2" t="str">
        <f t="shared" si="447"/>
        <v/>
      </c>
      <c r="AC840" s="2" t="str">
        <f t="shared" si="431"/>
        <v/>
      </c>
      <c r="AD840" s="2" t="str">
        <f t="shared" si="432"/>
        <v/>
      </c>
      <c r="AE840" s="2" t="str">
        <f t="shared" si="433"/>
        <v/>
      </c>
      <c r="AF840" s="2" t="str">
        <f t="shared" si="434"/>
        <v/>
      </c>
    </row>
    <row r="841" spans="1:32" x14ac:dyDescent="0.2">
      <c r="A841" s="2" t="str">
        <f t="shared" si="435"/>
        <v/>
      </c>
      <c r="B841" s="2" t="str">
        <f t="shared" si="416"/>
        <v/>
      </c>
      <c r="C841" s="2" t="str">
        <f t="shared" si="417"/>
        <v/>
      </c>
      <c r="D841" s="2" t="str">
        <f t="shared" si="418"/>
        <v/>
      </c>
      <c r="E841" s="2" t="str">
        <f t="shared" si="419"/>
        <v/>
      </c>
      <c r="F841" s="2" t="str">
        <f t="shared" si="420"/>
        <v/>
      </c>
      <c r="G841" s="2" t="str">
        <f t="shared" si="421"/>
        <v/>
      </c>
      <c r="H841" s="2" t="str">
        <f t="shared" si="436"/>
        <v/>
      </c>
      <c r="I841" s="2" t="str">
        <f t="shared" si="437"/>
        <v/>
      </c>
      <c r="J841" s="2" t="str">
        <f t="shared" si="438"/>
        <v/>
      </c>
      <c r="K841" s="2" t="str">
        <f t="shared" si="422"/>
        <v/>
      </c>
      <c r="L841" s="2" t="str">
        <f t="shared" si="423"/>
        <v/>
      </c>
      <c r="M841" s="2" t="str">
        <f t="shared" si="424"/>
        <v/>
      </c>
      <c r="N841" s="2" t="str">
        <f t="shared" si="439"/>
        <v/>
      </c>
      <c r="O841" s="2" t="str">
        <f t="shared" si="440"/>
        <v/>
      </c>
      <c r="P841" s="2" t="str">
        <f t="shared" si="441"/>
        <v/>
      </c>
      <c r="Q841" s="2" t="str">
        <f t="shared" si="425"/>
        <v/>
      </c>
      <c r="R841" s="2" t="str">
        <f t="shared" si="426"/>
        <v/>
      </c>
      <c r="S841" s="2" t="str">
        <f t="shared" si="427"/>
        <v/>
      </c>
      <c r="T841" s="2" t="str">
        <f t="shared" si="442"/>
        <v/>
      </c>
      <c r="U841" s="2" t="str">
        <f t="shared" si="443"/>
        <v/>
      </c>
      <c r="V841" s="2" t="str">
        <f t="shared" si="444"/>
        <v/>
      </c>
      <c r="W841" s="2" t="str">
        <f t="shared" si="428"/>
        <v/>
      </c>
      <c r="X841" s="2" t="str">
        <f t="shared" si="429"/>
        <v/>
      </c>
      <c r="Y841" s="2" t="str">
        <f t="shared" si="430"/>
        <v/>
      </c>
      <c r="Z841" s="2" t="str">
        <f t="shared" si="445"/>
        <v/>
      </c>
      <c r="AA841" s="2" t="str">
        <f t="shared" si="446"/>
        <v/>
      </c>
      <c r="AB841" s="2" t="str">
        <f t="shared" si="447"/>
        <v/>
      </c>
      <c r="AC841" s="2" t="str">
        <f t="shared" si="431"/>
        <v/>
      </c>
      <c r="AD841" s="2" t="str">
        <f t="shared" si="432"/>
        <v/>
      </c>
      <c r="AE841" s="2" t="str">
        <f t="shared" si="433"/>
        <v/>
      </c>
      <c r="AF841" s="2" t="str">
        <f t="shared" si="434"/>
        <v/>
      </c>
    </row>
    <row r="842" spans="1:32" x14ac:dyDescent="0.2">
      <c r="A842" s="2" t="str">
        <f t="shared" si="435"/>
        <v/>
      </c>
      <c r="B842" s="2" t="str">
        <f t="shared" si="416"/>
        <v/>
      </c>
      <c r="C842" s="2" t="str">
        <f t="shared" si="417"/>
        <v/>
      </c>
      <c r="D842" s="2" t="str">
        <f t="shared" si="418"/>
        <v/>
      </c>
      <c r="E842" s="2" t="str">
        <f t="shared" si="419"/>
        <v/>
      </c>
      <c r="F842" s="2" t="str">
        <f t="shared" si="420"/>
        <v/>
      </c>
      <c r="G842" s="2" t="str">
        <f t="shared" si="421"/>
        <v/>
      </c>
      <c r="H842" s="2" t="str">
        <f t="shared" si="436"/>
        <v/>
      </c>
      <c r="I842" s="2" t="str">
        <f t="shared" si="437"/>
        <v/>
      </c>
      <c r="J842" s="2" t="str">
        <f t="shared" si="438"/>
        <v/>
      </c>
      <c r="K842" s="2" t="str">
        <f t="shared" si="422"/>
        <v/>
      </c>
      <c r="L842" s="2" t="str">
        <f t="shared" si="423"/>
        <v/>
      </c>
      <c r="M842" s="2" t="str">
        <f t="shared" si="424"/>
        <v/>
      </c>
      <c r="N842" s="2" t="str">
        <f t="shared" si="439"/>
        <v/>
      </c>
      <c r="O842" s="2" t="str">
        <f t="shared" si="440"/>
        <v/>
      </c>
      <c r="P842" s="2" t="str">
        <f t="shared" si="441"/>
        <v/>
      </c>
      <c r="Q842" s="2" t="str">
        <f t="shared" si="425"/>
        <v/>
      </c>
      <c r="R842" s="2" t="str">
        <f t="shared" si="426"/>
        <v/>
      </c>
      <c r="S842" s="2" t="str">
        <f t="shared" si="427"/>
        <v/>
      </c>
      <c r="T842" s="2" t="str">
        <f t="shared" si="442"/>
        <v/>
      </c>
      <c r="U842" s="2" t="str">
        <f t="shared" si="443"/>
        <v/>
      </c>
      <c r="V842" s="2" t="str">
        <f t="shared" si="444"/>
        <v/>
      </c>
      <c r="W842" s="2" t="str">
        <f t="shared" si="428"/>
        <v/>
      </c>
      <c r="X842" s="2" t="str">
        <f t="shared" si="429"/>
        <v/>
      </c>
      <c r="Y842" s="2" t="str">
        <f t="shared" si="430"/>
        <v/>
      </c>
      <c r="Z842" s="2" t="str">
        <f t="shared" si="445"/>
        <v/>
      </c>
      <c r="AA842" s="2" t="str">
        <f t="shared" si="446"/>
        <v/>
      </c>
      <c r="AB842" s="2" t="str">
        <f t="shared" si="447"/>
        <v/>
      </c>
      <c r="AC842" s="2" t="str">
        <f t="shared" si="431"/>
        <v/>
      </c>
      <c r="AD842" s="2" t="str">
        <f t="shared" si="432"/>
        <v/>
      </c>
      <c r="AE842" s="2" t="str">
        <f t="shared" si="433"/>
        <v/>
      </c>
      <c r="AF842" s="2" t="str">
        <f t="shared" si="434"/>
        <v/>
      </c>
    </row>
    <row r="843" spans="1:32" x14ac:dyDescent="0.2">
      <c r="A843" s="2" t="str">
        <f t="shared" si="435"/>
        <v/>
      </c>
      <c r="B843" s="2" t="str">
        <f t="shared" si="416"/>
        <v/>
      </c>
      <c r="C843" s="2" t="str">
        <f t="shared" si="417"/>
        <v/>
      </c>
      <c r="D843" s="2" t="str">
        <f t="shared" si="418"/>
        <v/>
      </c>
      <c r="E843" s="2" t="str">
        <f t="shared" si="419"/>
        <v/>
      </c>
      <c r="F843" s="2" t="str">
        <f t="shared" si="420"/>
        <v/>
      </c>
      <c r="G843" s="2" t="str">
        <f t="shared" si="421"/>
        <v/>
      </c>
      <c r="H843" s="2" t="str">
        <f t="shared" si="436"/>
        <v/>
      </c>
      <c r="I843" s="2" t="str">
        <f t="shared" si="437"/>
        <v/>
      </c>
      <c r="J843" s="2" t="str">
        <f t="shared" si="438"/>
        <v/>
      </c>
      <c r="K843" s="2" t="str">
        <f t="shared" si="422"/>
        <v/>
      </c>
      <c r="L843" s="2" t="str">
        <f t="shared" si="423"/>
        <v/>
      </c>
      <c r="M843" s="2" t="str">
        <f t="shared" si="424"/>
        <v/>
      </c>
      <c r="N843" s="2" t="str">
        <f t="shared" si="439"/>
        <v/>
      </c>
      <c r="O843" s="2" t="str">
        <f t="shared" si="440"/>
        <v/>
      </c>
      <c r="P843" s="2" t="str">
        <f t="shared" si="441"/>
        <v/>
      </c>
      <c r="Q843" s="2" t="str">
        <f t="shared" si="425"/>
        <v/>
      </c>
      <c r="R843" s="2" t="str">
        <f t="shared" si="426"/>
        <v/>
      </c>
      <c r="S843" s="2" t="str">
        <f t="shared" si="427"/>
        <v/>
      </c>
      <c r="T843" s="2" t="str">
        <f t="shared" si="442"/>
        <v/>
      </c>
      <c r="U843" s="2" t="str">
        <f t="shared" si="443"/>
        <v/>
      </c>
      <c r="V843" s="2" t="str">
        <f t="shared" si="444"/>
        <v/>
      </c>
      <c r="W843" s="2" t="str">
        <f t="shared" si="428"/>
        <v/>
      </c>
      <c r="X843" s="2" t="str">
        <f t="shared" si="429"/>
        <v/>
      </c>
      <c r="Y843" s="2" t="str">
        <f t="shared" si="430"/>
        <v/>
      </c>
      <c r="Z843" s="2" t="str">
        <f t="shared" si="445"/>
        <v/>
      </c>
      <c r="AA843" s="2" t="str">
        <f t="shared" si="446"/>
        <v/>
      </c>
      <c r="AB843" s="2" t="str">
        <f t="shared" si="447"/>
        <v/>
      </c>
      <c r="AC843" s="2" t="str">
        <f t="shared" si="431"/>
        <v/>
      </c>
      <c r="AD843" s="2" t="str">
        <f t="shared" si="432"/>
        <v/>
      </c>
      <c r="AE843" s="2" t="str">
        <f t="shared" si="433"/>
        <v/>
      </c>
      <c r="AF843" s="2" t="str">
        <f t="shared" si="434"/>
        <v/>
      </c>
    </row>
    <row r="844" spans="1:32" x14ac:dyDescent="0.2">
      <c r="A844" s="2" t="str">
        <f t="shared" si="435"/>
        <v/>
      </c>
      <c r="B844" s="2" t="str">
        <f t="shared" si="416"/>
        <v/>
      </c>
      <c r="C844" s="2" t="str">
        <f t="shared" si="417"/>
        <v/>
      </c>
      <c r="D844" s="2" t="str">
        <f t="shared" si="418"/>
        <v/>
      </c>
      <c r="E844" s="2" t="str">
        <f t="shared" si="419"/>
        <v/>
      </c>
      <c r="F844" s="2" t="str">
        <f t="shared" si="420"/>
        <v/>
      </c>
      <c r="G844" s="2" t="str">
        <f t="shared" si="421"/>
        <v/>
      </c>
      <c r="H844" s="2" t="str">
        <f t="shared" si="436"/>
        <v/>
      </c>
      <c r="I844" s="2" t="str">
        <f t="shared" si="437"/>
        <v/>
      </c>
      <c r="J844" s="2" t="str">
        <f t="shared" si="438"/>
        <v/>
      </c>
      <c r="K844" s="2" t="str">
        <f t="shared" si="422"/>
        <v/>
      </c>
      <c r="L844" s="2" t="str">
        <f t="shared" si="423"/>
        <v/>
      </c>
      <c r="M844" s="2" t="str">
        <f t="shared" si="424"/>
        <v/>
      </c>
      <c r="N844" s="2" t="str">
        <f t="shared" si="439"/>
        <v/>
      </c>
      <c r="O844" s="2" t="str">
        <f t="shared" si="440"/>
        <v/>
      </c>
      <c r="P844" s="2" t="str">
        <f t="shared" si="441"/>
        <v/>
      </c>
      <c r="Q844" s="2" t="str">
        <f t="shared" si="425"/>
        <v/>
      </c>
      <c r="R844" s="2" t="str">
        <f t="shared" si="426"/>
        <v/>
      </c>
      <c r="S844" s="2" t="str">
        <f t="shared" si="427"/>
        <v/>
      </c>
      <c r="T844" s="2" t="str">
        <f t="shared" si="442"/>
        <v/>
      </c>
      <c r="U844" s="2" t="str">
        <f t="shared" si="443"/>
        <v/>
      </c>
      <c r="V844" s="2" t="str">
        <f t="shared" si="444"/>
        <v/>
      </c>
      <c r="W844" s="2" t="str">
        <f t="shared" si="428"/>
        <v/>
      </c>
      <c r="X844" s="2" t="str">
        <f t="shared" si="429"/>
        <v/>
      </c>
      <c r="Y844" s="2" t="str">
        <f t="shared" si="430"/>
        <v/>
      </c>
      <c r="Z844" s="2" t="str">
        <f t="shared" si="445"/>
        <v/>
      </c>
      <c r="AA844" s="2" t="str">
        <f t="shared" si="446"/>
        <v/>
      </c>
      <c r="AB844" s="2" t="str">
        <f t="shared" si="447"/>
        <v/>
      </c>
      <c r="AC844" s="2" t="str">
        <f t="shared" si="431"/>
        <v/>
      </c>
      <c r="AD844" s="2" t="str">
        <f t="shared" si="432"/>
        <v/>
      </c>
      <c r="AE844" s="2" t="str">
        <f t="shared" si="433"/>
        <v/>
      </c>
      <c r="AF844" s="2" t="str">
        <f t="shared" si="434"/>
        <v/>
      </c>
    </row>
    <row r="845" spans="1:32" x14ac:dyDescent="0.2">
      <c r="A845" s="2" t="str">
        <f t="shared" si="435"/>
        <v/>
      </c>
      <c r="B845" s="2" t="str">
        <f t="shared" si="416"/>
        <v/>
      </c>
      <c r="C845" s="2" t="str">
        <f t="shared" si="417"/>
        <v/>
      </c>
      <c r="D845" s="2" t="str">
        <f t="shared" si="418"/>
        <v/>
      </c>
      <c r="E845" s="2" t="str">
        <f t="shared" si="419"/>
        <v/>
      </c>
      <c r="F845" s="2" t="str">
        <f t="shared" si="420"/>
        <v/>
      </c>
      <c r="G845" s="2" t="str">
        <f t="shared" si="421"/>
        <v/>
      </c>
      <c r="H845" s="2" t="str">
        <f t="shared" si="436"/>
        <v/>
      </c>
      <c r="I845" s="2" t="str">
        <f t="shared" si="437"/>
        <v/>
      </c>
      <c r="J845" s="2" t="str">
        <f t="shared" si="438"/>
        <v/>
      </c>
      <c r="K845" s="2" t="str">
        <f t="shared" si="422"/>
        <v/>
      </c>
      <c r="L845" s="2" t="str">
        <f t="shared" si="423"/>
        <v/>
      </c>
      <c r="M845" s="2" t="str">
        <f t="shared" si="424"/>
        <v/>
      </c>
      <c r="N845" s="2" t="str">
        <f t="shared" si="439"/>
        <v/>
      </c>
      <c r="O845" s="2" t="str">
        <f t="shared" si="440"/>
        <v/>
      </c>
      <c r="P845" s="2" t="str">
        <f t="shared" si="441"/>
        <v/>
      </c>
      <c r="Q845" s="2" t="str">
        <f t="shared" si="425"/>
        <v/>
      </c>
      <c r="R845" s="2" t="str">
        <f t="shared" si="426"/>
        <v/>
      </c>
      <c r="S845" s="2" t="str">
        <f t="shared" si="427"/>
        <v/>
      </c>
      <c r="T845" s="2" t="str">
        <f t="shared" si="442"/>
        <v/>
      </c>
      <c r="U845" s="2" t="str">
        <f t="shared" si="443"/>
        <v/>
      </c>
      <c r="V845" s="2" t="str">
        <f t="shared" si="444"/>
        <v/>
      </c>
      <c r="W845" s="2" t="str">
        <f t="shared" si="428"/>
        <v/>
      </c>
      <c r="X845" s="2" t="str">
        <f t="shared" si="429"/>
        <v/>
      </c>
      <c r="Y845" s="2" t="str">
        <f t="shared" si="430"/>
        <v/>
      </c>
      <c r="Z845" s="2" t="str">
        <f t="shared" si="445"/>
        <v/>
      </c>
      <c r="AA845" s="2" t="str">
        <f t="shared" si="446"/>
        <v/>
      </c>
      <c r="AB845" s="2" t="str">
        <f t="shared" si="447"/>
        <v/>
      </c>
      <c r="AC845" s="2" t="str">
        <f t="shared" si="431"/>
        <v/>
      </c>
      <c r="AD845" s="2" t="str">
        <f t="shared" si="432"/>
        <v/>
      </c>
      <c r="AE845" s="2" t="str">
        <f t="shared" si="433"/>
        <v/>
      </c>
      <c r="AF845" s="2" t="str">
        <f t="shared" si="434"/>
        <v/>
      </c>
    </row>
    <row r="846" spans="1:32" x14ac:dyDescent="0.2">
      <c r="A846" s="2" t="str">
        <f t="shared" si="435"/>
        <v/>
      </c>
      <c r="B846" s="2" t="str">
        <f t="shared" si="416"/>
        <v/>
      </c>
      <c r="C846" s="2" t="str">
        <f t="shared" si="417"/>
        <v/>
      </c>
      <c r="D846" s="2" t="str">
        <f t="shared" si="418"/>
        <v/>
      </c>
      <c r="E846" s="2" t="str">
        <f t="shared" si="419"/>
        <v/>
      </c>
      <c r="F846" s="2" t="str">
        <f t="shared" si="420"/>
        <v/>
      </c>
      <c r="G846" s="2" t="str">
        <f t="shared" si="421"/>
        <v/>
      </c>
      <c r="H846" s="2" t="str">
        <f t="shared" si="436"/>
        <v/>
      </c>
      <c r="I846" s="2" t="str">
        <f t="shared" si="437"/>
        <v/>
      </c>
      <c r="J846" s="2" t="str">
        <f t="shared" si="438"/>
        <v/>
      </c>
      <c r="K846" s="2" t="str">
        <f t="shared" si="422"/>
        <v/>
      </c>
      <c r="L846" s="2" t="str">
        <f t="shared" si="423"/>
        <v/>
      </c>
      <c r="M846" s="2" t="str">
        <f t="shared" si="424"/>
        <v/>
      </c>
      <c r="N846" s="2" t="str">
        <f t="shared" si="439"/>
        <v/>
      </c>
      <c r="O846" s="2" t="str">
        <f t="shared" si="440"/>
        <v/>
      </c>
      <c r="P846" s="2" t="str">
        <f t="shared" si="441"/>
        <v/>
      </c>
      <c r="Q846" s="2" t="str">
        <f t="shared" si="425"/>
        <v/>
      </c>
      <c r="R846" s="2" t="str">
        <f t="shared" si="426"/>
        <v/>
      </c>
      <c r="S846" s="2" t="str">
        <f t="shared" si="427"/>
        <v/>
      </c>
      <c r="T846" s="2" t="str">
        <f t="shared" si="442"/>
        <v/>
      </c>
      <c r="U846" s="2" t="str">
        <f t="shared" si="443"/>
        <v/>
      </c>
      <c r="V846" s="2" t="str">
        <f t="shared" si="444"/>
        <v/>
      </c>
      <c r="W846" s="2" t="str">
        <f t="shared" si="428"/>
        <v/>
      </c>
      <c r="X846" s="2" t="str">
        <f t="shared" si="429"/>
        <v/>
      </c>
      <c r="Y846" s="2" t="str">
        <f t="shared" si="430"/>
        <v/>
      </c>
      <c r="Z846" s="2" t="str">
        <f t="shared" si="445"/>
        <v/>
      </c>
      <c r="AA846" s="2" t="str">
        <f t="shared" si="446"/>
        <v/>
      </c>
      <c r="AB846" s="2" t="str">
        <f t="shared" si="447"/>
        <v/>
      </c>
      <c r="AC846" s="2" t="str">
        <f t="shared" si="431"/>
        <v/>
      </c>
      <c r="AD846" s="2" t="str">
        <f t="shared" si="432"/>
        <v/>
      </c>
      <c r="AE846" s="2" t="str">
        <f t="shared" si="433"/>
        <v/>
      </c>
      <c r="AF846" s="2" t="str">
        <f t="shared" si="434"/>
        <v/>
      </c>
    </row>
    <row r="847" spans="1:32" x14ac:dyDescent="0.2">
      <c r="A847" s="2" t="str">
        <f t="shared" si="435"/>
        <v/>
      </c>
      <c r="B847" s="2" t="str">
        <f t="shared" si="416"/>
        <v/>
      </c>
      <c r="C847" s="2" t="str">
        <f t="shared" si="417"/>
        <v/>
      </c>
      <c r="D847" s="2" t="str">
        <f t="shared" si="418"/>
        <v/>
      </c>
      <c r="E847" s="2" t="str">
        <f t="shared" si="419"/>
        <v/>
      </c>
      <c r="F847" s="2" t="str">
        <f t="shared" si="420"/>
        <v/>
      </c>
      <c r="G847" s="2" t="str">
        <f t="shared" si="421"/>
        <v/>
      </c>
      <c r="H847" s="2" t="str">
        <f t="shared" si="436"/>
        <v/>
      </c>
      <c r="I847" s="2" t="str">
        <f t="shared" si="437"/>
        <v/>
      </c>
      <c r="J847" s="2" t="str">
        <f t="shared" si="438"/>
        <v/>
      </c>
      <c r="K847" s="2" t="str">
        <f t="shared" si="422"/>
        <v/>
      </c>
      <c r="L847" s="2" t="str">
        <f t="shared" si="423"/>
        <v/>
      </c>
      <c r="M847" s="2" t="str">
        <f t="shared" si="424"/>
        <v/>
      </c>
      <c r="N847" s="2" t="str">
        <f t="shared" si="439"/>
        <v/>
      </c>
      <c r="O847" s="2" t="str">
        <f t="shared" si="440"/>
        <v/>
      </c>
      <c r="P847" s="2" t="str">
        <f t="shared" si="441"/>
        <v/>
      </c>
      <c r="Q847" s="2" t="str">
        <f t="shared" si="425"/>
        <v/>
      </c>
      <c r="R847" s="2" t="str">
        <f t="shared" si="426"/>
        <v/>
      </c>
      <c r="S847" s="2" t="str">
        <f t="shared" si="427"/>
        <v/>
      </c>
      <c r="T847" s="2" t="str">
        <f t="shared" si="442"/>
        <v/>
      </c>
      <c r="U847" s="2" t="str">
        <f t="shared" si="443"/>
        <v/>
      </c>
      <c r="V847" s="2" t="str">
        <f t="shared" si="444"/>
        <v/>
      </c>
      <c r="W847" s="2" t="str">
        <f t="shared" si="428"/>
        <v/>
      </c>
      <c r="X847" s="2" t="str">
        <f t="shared" si="429"/>
        <v/>
      </c>
      <c r="Y847" s="2" t="str">
        <f t="shared" si="430"/>
        <v/>
      </c>
      <c r="Z847" s="2" t="str">
        <f t="shared" si="445"/>
        <v/>
      </c>
      <c r="AA847" s="2" t="str">
        <f t="shared" si="446"/>
        <v/>
      </c>
      <c r="AB847" s="2" t="str">
        <f t="shared" si="447"/>
        <v/>
      </c>
      <c r="AC847" s="2" t="str">
        <f t="shared" si="431"/>
        <v/>
      </c>
      <c r="AD847" s="2" t="str">
        <f t="shared" si="432"/>
        <v/>
      </c>
      <c r="AE847" s="2" t="str">
        <f t="shared" si="433"/>
        <v/>
      </c>
      <c r="AF847" s="2" t="str">
        <f t="shared" si="434"/>
        <v/>
      </c>
    </row>
    <row r="848" spans="1:32" x14ac:dyDescent="0.2">
      <c r="A848" s="2" t="str">
        <f t="shared" si="435"/>
        <v/>
      </c>
      <c r="B848" s="2" t="str">
        <f t="shared" si="416"/>
        <v/>
      </c>
      <c r="C848" s="2" t="str">
        <f t="shared" si="417"/>
        <v/>
      </c>
      <c r="D848" s="2" t="str">
        <f t="shared" si="418"/>
        <v/>
      </c>
      <c r="E848" s="2" t="str">
        <f t="shared" si="419"/>
        <v/>
      </c>
      <c r="F848" s="2" t="str">
        <f t="shared" si="420"/>
        <v/>
      </c>
      <c r="G848" s="2" t="str">
        <f t="shared" si="421"/>
        <v/>
      </c>
      <c r="H848" s="2" t="str">
        <f t="shared" si="436"/>
        <v/>
      </c>
      <c r="I848" s="2" t="str">
        <f t="shared" si="437"/>
        <v/>
      </c>
      <c r="J848" s="2" t="str">
        <f t="shared" si="438"/>
        <v/>
      </c>
      <c r="K848" s="2" t="str">
        <f t="shared" si="422"/>
        <v/>
      </c>
      <c r="L848" s="2" t="str">
        <f t="shared" si="423"/>
        <v/>
      </c>
      <c r="M848" s="2" t="str">
        <f t="shared" si="424"/>
        <v/>
      </c>
      <c r="N848" s="2" t="str">
        <f t="shared" si="439"/>
        <v/>
      </c>
      <c r="O848" s="2" t="str">
        <f t="shared" si="440"/>
        <v/>
      </c>
      <c r="P848" s="2" t="str">
        <f t="shared" si="441"/>
        <v/>
      </c>
      <c r="Q848" s="2" t="str">
        <f t="shared" si="425"/>
        <v/>
      </c>
      <c r="R848" s="2" t="str">
        <f t="shared" si="426"/>
        <v/>
      </c>
      <c r="S848" s="2" t="str">
        <f t="shared" si="427"/>
        <v/>
      </c>
      <c r="T848" s="2" t="str">
        <f t="shared" si="442"/>
        <v/>
      </c>
      <c r="U848" s="2" t="str">
        <f t="shared" si="443"/>
        <v/>
      </c>
      <c r="V848" s="2" t="str">
        <f t="shared" si="444"/>
        <v/>
      </c>
      <c r="W848" s="2" t="str">
        <f t="shared" si="428"/>
        <v/>
      </c>
      <c r="X848" s="2" t="str">
        <f t="shared" si="429"/>
        <v/>
      </c>
      <c r="Y848" s="2" t="str">
        <f t="shared" si="430"/>
        <v/>
      </c>
      <c r="Z848" s="2" t="str">
        <f t="shared" si="445"/>
        <v/>
      </c>
      <c r="AA848" s="2" t="str">
        <f t="shared" si="446"/>
        <v/>
      </c>
      <c r="AB848" s="2" t="str">
        <f t="shared" si="447"/>
        <v/>
      </c>
      <c r="AC848" s="2" t="str">
        <f t="shared" si="431"/>
        <v/>
      </c>
      <c r="AD848" s="2" t="str">
        <f t="shared" si="432"/>
        <v/>
      </c>
      <c r="AE848" s="2" t="str">
        <f t="shared" si="433"/>
        <v/>
      </c>
      <c r="AF848" s="2" t="str">
        <f t="shared" si="434"/>
        <v/>
      </c>
    </row>
    <row r="849" spans="1:32" x14ac:dyDescent="0.2">
      <c r="A849" s="2" t="str">
        <f t="shared" si="435"/>
        <v/>
      </c>
      <c r="B849" s="2" t="str">
        <f t="shared" si="416"/>
        <v/>
      </c>
      <c r="C849" s="2" t="str">
        <f t="shared" si="417"/>
        <v/>
      </c>
      <c r="D849" s="2" t="str">
        <f t="shared" si="418"/>
        <v/>
      </c>
      <c r="E849" s="2" t="str">
        <f t="shared" si="419"/>
        <v/>
      </c>
      <c r="F849" s="2" t="str">
        <f t="shared" si="420"/>
        <v/>
      </c>
      <c r="G849" s="2" t="str">
        <f t="shared" si="421"/>
        <v/>
      </c>
      <c r="H849" s="2" t="str">
        <f t="shared" si="436"/>
        <v/>
      </c>
      <c r="I849" s="2" t="str">
        <f t="shared" si="437"/>
        <v/>
      </c>
      <c r="J849" s="2" t="str">
        <f t="shared" si="438"/>
        <v/>
      </c>
      <c r="K849" s="2" t="str">
        <f t="shared" si="422"/>
        <v/>
      </c>
      <c r="L849" s="2" t="str">
        <f t="shared" si="423"/>
        <v/>
      </c>
      <c r="M849" s="2" t="str">
        <f t="shared" si="424"/>
        <v/>
      </c>
      <c r="N849" s="2" t="str">
        <f t="shared" si="439"/>
        <v/>
      </c>
      <c r="O849" s="2" t="str">
        <f t="shared" si="440"/>
        <v/>
      </c>
      <c r="P849" s="2" t="str">
        <f t="shared" si="441"/>
        <v/>
      </c>
      <c r="Q849" s="2" t="str">
        <f t="shared" si="425"/>
        <v/>
      </c>
      <c r="R849" s="2" t="str">
        <f t="shared" si="426"/>
        <v/>
      </c>
      <c r="S849" s="2" t="str">
        <f t="shared" si="427"/>
        <v/>
      </c>
      <c r="T849" s="2" t="str">
        <f t="shared" si="442"/>
        <v/>
      </c>
      <c r="U849" s="2" t="str">
        <f t="shared" si="443"/>
        <v/>
      </c>
      <c r="V849" s="2" t="str">
        <f t="shared" si="444"/>
        <v/>
      </c>
      <c r="W849" s="2" t="str">
        <f t="shared" si="428"/>
        <v/>
      </c>
      <c r="X849" s="2" t="str">
        <f t="shared" si="429"/>
        <v/>
      </c>
      <c r="Y849" s="2" t="str">
        <f t="shared" si="430"/>
        <v/>
      </c>
      <c r="Z849" s="2" t="str">
        <f t="shared" si="445"/>
        <v/>
      </c>
      <c r="AA849" s="2" t="str">
        <f t="shared" si="446"/>
        <v/>
      </c>
      <c r="AB849" s="2" t="str">
        <f t="shared" si="447"/>
        <v/>
      </c>
      <c r="AC849" s="2" t="str">
        <f t="shared" si="431"/>
        <v/>
      </c>
      <c r="AD849" s="2" t="str">
        <f t="shared" si="432"/>
        <v/>
      </c>
      <c r="AE849" s="2" t="str">
        <f t="shared" si="433"/>
        <v/>
      </c>
      <c r="AF849" s="2" t="str">
        <f t="shared" si="434"/>
        <v/>
      </c>
    </row>
    <row r="850" spans="1:32" x14ac:dyDescent="0.2">
      <c r="A850" s="2" t="str">
        <f t="shared" si="435"/>
        <v/>
      </c>
      <c r="B850" s="2" t="str">
        <f t="shared" si="416"/>
        <v/>
      </c>
      <c r="C850" s="2" t="str">
        <f t="shared" si="417"/>
        <v/>
      </c>
      <c r="D850" s="2" t="str">
        <f t="shared" si="418"/>
        <v/>
      </c>
      <c r="E850" s="2" t="str">
        <f t="shared" si="419"/>
        <v/>
      </c>
      <c r="F850" s="2" t="str">
        <f t="shared" si="420"/>
        <v/>
      </c>
      <c r="G850" s="2" t="str">
        <f t="shared" si="421"/>
        <v/>
      </c>
      <c r="H850" s="2" t="str">
        <f t="shared" si="436"/>
        <v/>
      </c>
      <c r="I850" s="2" t="str">
        <f t="shared" si="437"/>
        <v/>
      </c>
      <c r="J850" s="2" t="str">
        <f t="shared" si="438"/>
        <v/>
      </c>
      <c r="K850" s="2" t="str">
        <f t="shared" si="422"/>
        <v/>
      </c>
      <c r="L850" s="2" t="str">
        <f t="shared" si="423"/>
        <v/>
      </c>
      <c r="M850" s="2" t="str">
        <f t="shared" si="424"/>
        <v/>
      </c>
      <c r="N850" s="2" t="str">
        <f t="shared" si="439"/>
        <v/>
      </c>
      <c r="O850" s="2" t="str">
        <f t="shared" si="440"/>
        <v/>
      </c>
      <c r="P850" s="2" t="str">
        <f t="shared" si="441"/>
        <v/>
      </c>
      <c r="Q850" s="2" t="str">
        <f t="shared" si="425"/>
        <v/>
      </c>
      <c r="R850" s="2" t="str">
        <f t="shared" si="426"/>
        <v/>
      </c>
      <c r="S850" s="2" t="str">
        <f t="shared" si="427"/>
        <v/>
      </c>
      <c r="T850" s="2" t="str">
        <f t="shared" si="442"/>
        <v/>
      </c>
      <c r="U850" s="2" t="str">
        <f t="shared" si="443"/>
        <v/>
      </c>
      <c r="V850" s="2" t="str">
        <f t="shared" si="444"/>
        <v/>
      </c>
      <c r="W850" s="2" t="str">
        <f t="shared" si="428"/>
        <v/>
      </c>
      <c r="X850" s="2" t="str">
        <f t="shared" si="429"/>
        <v/>
      </c>
      <c r="Y850" s="2" t="str">
        <f t="shared" si="430"/>
        <v/>
      </c>
      <c r="Z850" s="2" t="str">
        <f t="shared" si="445"/>
        <v/>
      </c>
      <c r="AA850" s="2" t="str">
        <f t="shared" si="446"/>
        <v/>
      </c>
      <c r="AB850" s="2" t="str">
        <f t="shared" si="447"/>
        <v/>
      </c>
      <c r="AC850" s="2" t="str">
        <f t="shared" si="431"/>
        <v/>
      </c>
      <c r="AD850" s="2" t="str">
        <f t="shared" si="432"/>
        <v/>
      </c>
      <c r="AE850" s="2" t="str">
        <f t="shared" si="433"/>
        <v/>
      </c>
      <c r="AF850" s="2" t="str">
        <f t="shared" si="434"/>
        <v/>
      </c>
    </row>
    <row r="851" spans="1:32" x14ac:dyDescent="0.2">
      <c r="A851" s="2" t="str">
        <f t="shared" si="435"/>
        <v/>
      </c>
      <c r="B851" s="2" t="str">
        <f t="shared" si="416"/>
        <v/>
      </c>
      <c r="C851" s="2" t="str">
        <f t="shared" si="417"/>
        <v/>
      </c>
      <c r="D851" s="2" t="str">
        <f t="shared" si="418"/>
        <v/>
      </c>
      <c r="E851" s="2" t="str">
        <f t="shared" si="419"/>
        <v/>
      </c>
      <c r="F851" s="2" t="str">
        <f t="shared" si="420"/>
        <v/>
      </c>
      <c r="G851" s="2" t="str">
        <f t="shared" si="421"/>
        <v/>
      </c>
      <c r="H851" s="2" t="str">
        <f t="shared" si="436"/>
        <v/>
      </c>
      <c r="I851" s="2" t="str">
        <f t="shared" si="437"/>
        <v/>
      </c>
      <c r="J851" s="2" t="str">
        <f t="shared" si="438"/>
        <v/>
      </c>
      <c r="K851" s="2" t="str">
        <f t="shared" si="422"/>
        <v/>
      </c>
      <c r="L851" s="2" t="str">
        <f t="shared" si="423"/>
        <v/>
      </c>
      <c r="M851" s="2" t="str">
        <f t="shared" si="424"/>
        <v/>
      </c>
      <c r="N851" s="2" t="str">
        <f t="shared" si="439"/>
        <v/>
      </c>
      <c r="O851" s="2" t="str">
        <f t="shared" si="440"/>
        <v/>
      </c>
      <c r="P851" s="2" t="str">
        <f t="shared" si="441"/>
        <v/>
      </c>
      <c r="Q851" s="2" t="str">
        <f t="shared" si="425"/>
        <v/>
      </c>
      <c r="R851" s="2" t="str">
        <f t="shared" si="426"/>
        <v/>
      </c>
      <c r="S851" s="2" t="str">
        <f t="shared" si="427"/>
        <v/>
      </c>
      <c r="T851" s="2" t="str">
        <f t="shared" si="442"/>
        <v/>
      </c>
      <c r="U851" s="2" t="str">
        <f t="shared" si="443"/>
        <v/>
      </c>
      <c r="V851" s="2" t="str">
        <f t="shared" si="444"/>
        <v/>
      </c>
      <c r="W851" s="2" t="str">
        <f t="shared" si="428"/>
        <v/>
      </c>
      <c r="X851" s="2" t="str">
        <f t="shared" si="429"/>
        <v/>
      </c>
      <c r="Y851" s="2" t="str">
        <f t="shared" si="430"/>
        <v/>
      </c>
      <c r="Z851" s="2" t="str">
        <f t="shared" si="445"/>
        <v/>
      </c>
      <c r="AA851" s="2" t="str">
        <f t="shared" si="446"/>
        <v/>
      </c>
      <c r="AB851" s="2" t="str">
        <f t="shared" si="447"/>
        <v/>
      </c>
      <c r="AC851" s="2" t="str">
        <f t="shared" si="431"/>
        <v/>
      </c>
      <c r="AD851" s="2" t="str">
        <f t="shared" si="432"/>
        <v/>
      </c>
      <c r="AE851" s="2" t="str">
        <f t="shared" si="433"/>
        <v/>
      </c>
      <c r="AF851" s="2" t="str">
        <f t="shared" si="434"/>
        <v/>
      </c>
    </row>
    <row r="852" spans="1:32" x14ac:dyDescent="0.2">
      <c r="A852" s="2" t="str">
        <f t="shared" si="435"/>
        <v/>
      </c>
      <c r="B852" s="2" t="str">
        <f t="shared" si="416"/>
        <v/>
      </c>
      <c r="C852" s="2" t="str">
        <f t="shared" si="417"/>
        <v/>
      </c>
      <c r="D852" s="2" t="str">
        <f t="shared" si="418"/>
        <v/>
      </c>
      <c r="E852" s="2" t="str">
        <f t="shared" si="419"/>
        <v/>
      </c>
      <c r="F852" s="2" t="str">
        <f t="shared" si="420"/>
        <v/>
      </c>
      <c r="G852" s="2" t="str">
        <f t="shared" si="421"/>
        <v/>
      </c>
      <c r="H852" s="2" t="str">
        <f t="shared" si="436"/>
        <v/>
      </c>
      <c r="I852" s="2" t="str">
        <f t="shared" si="437"/>
        <v/>
      </c>
      <c r="J852" s="2" t="str">
        <f t="shared" si="438"/>
        <v/>
      </c>
      <c r="K852" s="2" t="str">
        <f t="shared" si="422"/>
        <v/>
      </c>
      <c r="L852" s="2" t="str">
        <f t="shared" si="423"/>
        <v/>
      </c>
      <c r="M852" s="2" t="str">
        <f t="shared" si="424"/>
        <v/>
      </c>
      <c r="N852" s="2" t="str">
        <f t="shared" si="439"/>
        <v/>
      </c>
      <c r="O852" s="2" t="str">
        <f t="shared" si="440"/>
        <v/>
      </c>
      <c r="P852" s="2" t="str">
        <f t="shared" si="441"/>
        <v/>
      </c>
      <c r="Q852" s="2" t="str">
        <f t="shared" si="425"/>
        <v/>
      </c>
      <c r="R852" s="2" t="str">
        <f t="shared" si="426"/>
        <v/>
      </c>
      <c r="S852" s="2" t="str">
        <f t="shared" si="427"/>
        <v/>
      </c>
      <c r="T852" s="2" t="str">
        <f t="shared" si="442"/>
        <v/>
      </c>
      <c r="U852" s="2" t="str">
        <f t="shared" si="443"/>
        <v/>
      </c>
      <c r="V852" s="2" t="str">
        <f t="shared" si="444"/>
        <v/>
      </c>
      <c r="W852" s="2" t="str">
        <f t="shared" si="428"/>
        <v/>
      </c>
      <c r="X852" s="2" t="str">
        <f t="shared" si="429"/>
        <v/>
      </c>
      <c r="Y852" s="2" t="str">
        <f t="shared" si="430"/>
        <v/>
      </c>
      <c r="Z852" s="2" t="str">
        <f t="shared" si="445"/>
        <v/>
      </c>
      <c r="AA852" s="2" t="str">
        <f t="shared" si="446"/>
        <v/>
      </c>
      <c r="AB852" s="2" t="str">
        <f t="shared" si="447"/>
        <v/>
      </c>
      <c r="AC852" s="2" t="str">
        <f t="shared" si="431"/>
        <v/>
      </c>
      <c r="AD852" s="2" t="str">
        <f t="shared" si="432"/>
        <v/>
      </c>
      <c r="AE852" s="2" t="str">
        <f t="shared" si="433"/>
        <v/>
      </c>
      <c r="AF852" s="2" t="str">
        <f t="shared" si="434"/>
        <v/>
      </c>
    </row>
    <row r="853" spans="1:32" x14ac:dyDescent="0.2">
      <c r="A853" s="2" t="str">
        <f t="shared" si="435"/>
        <v/>
      </c>
      <c r="B853" s="2" t="str">
        <f t="shared" si="416"/>
        <v/>
      </c>
      <c r="C853" s="2" t="str">
        <f t="shared" si="417"/>
        <v/>
      </c>
      <c r="D853" s="2" t="str">
        <f t="shared" si="418"/>
        <v/>
      </c>
      <c r="E853" s="2" t="str">
        <f t="shared" si="419"/>
        <v/>
      </c>
      <c r="F853" s="2" t="str">
        <f t="shared" si="420"/>
        <v/>
      </c>
      <c r="G853" s="2" t="str">
        <f t="shared" si="421"/>
        <v/>
      </c>
      <c r="H853" s="2" t="str">
        <f t="shared" si="436"/>
        <v/>
      </c>
      <c r="I853" s="2" t="str">
        <f t="shared" si="437"/>
        <v/>
      </c>
      <c r="J853" s="2" t="str">
        <f t="shared" si="438"/>
        <v/>
      </c>
      <c r="K853" s="2" t="str">
        <f t="shared" si="422"/>
        <v/>
      </c>
      <c r="L853" s="2" t="str">
        <f t="shared" si="423"/>
        <v/>
      </c>
      <c r="M853" s="2" t="str">
        <f t="shared" si="424"/>
        <v/>
      </c>
      <c r="N853" s="2" t="str">
        <f t="shared" si="439"/>
        <v/>
      </c>
      <c r="O853" s="2" t="str">
        <f t="shared" si="440"/>
        <v/>
      </c>
      <c r="P853" s="2" t="str">
        <f t="shared" si="441"/>
        <v/>
      </c>
      <c r="Q853" s="2" t="str">
        <f t="shared" si="425"/>
        <v/>
      </c>
      <c r="R853" s="2" t="str">
        <f t="shared" si="426"/>
        <v/>
      </c>
      <c r="S853" s="2" t="str">
        <f t="shared" si="427"/>
        <v/>
      </c>
      <c r="T853" s="2" t="str">
        <f t="shared" si="442"/>
        <v/>
      </c>
      <c r="U853" s="2" t="str">
        <f t="shared" si="443"/>
        <v/>
      </c>
      <c r="V853" s="2" t="str">
        <f t="shared" si="444"/>
        <v/>
      </c>
      <c r="W853" s="2" t="str">
        <f t="shared" si="428"/>
        <v/>
      </c>
      <c r="X853" s="2" t="str">
        <f t="shared" si="429"/>
        <v/>
      </c>
      <c r="Y853" s="2" t="str">
        <f t="shared" si="430"/>
        <v/>
      </c>
      <c r="Z853" s="2" t="str">
        <f t="shared" si="445"/>
        <v/>
      </c>
      <c r="AA853" s="2" t="str">
        <f t="shared" si="446"/>
        <v/>
      </c>
      <c r="AB853" s="2" t="str">
        <f t="shared" si="447"/>
        <v/>
      </c>
      <c r="AC853" s="2" t="str">
        <f t="shared" si="431"/>
        <v/>
      </c>
      <c r="AD853" s="2" t="str">
        <f t="shared" si="432"/>
        <v/>
      </c>
      <c r="AE853" s="2" t="str">
        <f t="shared" si="433"/>
        <v/>
      </c>
      <c r="AF853" s="2" t="str">
        <f t="shared" si="434"/>
        <v/>
      </c>
    </row>
    <row r="854" spans="1:32" x14ac:dyDescent="0.2">
      <c r="A854" s="2" t="str">
        <f t="shared" si="435"/>
        <v/>
      </c>
      <c r="B854" s="2" t="str">
        <f t="shared" si="416"/>
        <v/>
      </c>
      <c r="C854" s="2" t="str">
        <f t="shared" si="417"/>
        <v/>
      </c>
      <c r="D854" s="2" t="str">
        <f t="shared" si="418"/>
        <v/>
      </c>
      <c r="E854" s="2" t="str">
        <f t="shared" si="419"/>
        <v/>
      </c>
      <c r="F854" s="2" t="str">
        <f t="shared" si="420"/>
        <v/>
      </c>
      <c r="G854" s="2" t="str">
        <f t="shared" si="421"/>
        <v/>
      </c>
      <c r="H854" s="2" t="str">
        <f t="shared" si="436"/>
        <v/>
      </c>
      <c r="I854" s="2" t="str">
        <f t="shared" si="437"/>
        <v/>
      </c>
      <c r="J854" s="2" t="str">
        <f t="shared" si="438"/>
        <v/>
      </c>
      <c r="K854" s="2" t="str">
        <f t="shared" si="422"/>
        <v/>
      </c>
      <c r="L854" s="2" t="str">
        <f t="shared" si="423"/>
        <v/>
      </c>
      <c r="M854" s="2" t="str">
        <f t="shared" si="424"/>
        <v/>
      </c>
      <c r="N854" s="2" t="str">
        <f t="shared" si="439"/>
        <v/>
      </c>
      <c r="O854" s="2" t="str">
        <f t="shared" si="440"/>
        <v/>
      </c>
      <c r="P854" s="2" t="str">
        <f t="shared" si="441"/>
        <v/>
      </c>
      <c r="Q854" s="2" t="str">
        <f t="shared" si="425"/>
        <v/>
      </c>
      <c r="R854" s="2" t="str">
        <f t="shared" si="426"/>
        <v/>
      </c>
      <c r="S854" s="2" t="str">
        <f t="shared" si="427"/>
        <v/>
      </c>
      <c r="T854" s="2" t="str">
        <f t="shared" si="442"/>
        <v/>
      </c>
      <c r="U854" s="2" t="str">
        <f t="shared" si="443"/>
        <v/>
      </c>
      <c r="V854" s="2" t="str">
        <f t="shared" si="444"/>
        <v/>
      </c>
      <c r="W854" s="2" t="str">
        <f t="shared" si="428"/>
        <v/>
      </c>
      <c r="X854" s="2" t="str">
        <f t="shared" si="429"/>
        <v/>
      </c>
      <c r="Y854" s="2" t="str">
        <f t="shared" si="430"/>
        <v/>
      </c>
      <c r="Z854" s="2" t="str">
        <f t="shared" si="445"/>
        <v/>
      </c>
      <c r="AA854" s="2" t="str">
        <f t="shared" si="446"/>
        <v/>
      </c>
      <c r="AB854" s="2" t="str">
        <f t="shared" si="447"/>
        <v/>
      </c>
      <c r="AC854" s="2" t="str">
        <f t="shared" si="431"/>
        <v/>
      </c>
      <c r="AD854" s="2" t="str">
        <f t="shared" si="432"/>
        <v/>
      </c>
      <c r="AE854" s="2" t="str">
        <f t="shared" si="433"/>
        <v/>
      </c>
      <c r="AF854" s="2" t="str">
        <f t="shared" si="434"/>
        <v/>
      </c>
    </row>
    <row r="855" spans="1:32" x14ac:dyDescent="0.2">
      <c r="A855" s="2" t="str">
        <f t="shared" si="435"/>
        <v/>
      </c>
      <c r="B855" s="2" t="str">
        <f t="shared" si="416"/>
        <v/>
      </c>
      <c r="C855" s="2" t="str">
        <f t="shared" si="417"/>
        <v/>
      </c>
      <c r="D855" s="2" t="str">
        <f t="shared" si="418"/>
        <v/>
      </c>
      <c r="E855" s="2" t="str">
        <f t="shared" si="419"/>
        <v/>
      </c>
      <c r="F855" s="2" t="str">
        <f t="shared" si="420"/>
        <v/>
      </c>
      <c r="G855" s="2" t="str">
        <f t="shared" si="421"/>
        <v/>
      </c>
      <c r="H855" s="2" t="str">
        <f t="shared" si="436"/>
        <v/>
      </c>
      <c r="I855" s="2" t="str">
        <f t="shared" si="437"/>
        <v/>
      </c>
      <c r="J855" s="2" t="str">
        <f t="shared" si="438"/>
        <v/>
      </c>
      <c r="K855" s="2" t="str">
        <f t="shared" si="422"/>
        <v/>
      </c>
      <c r="L855" s="2" t="str">
        <f t="shared" si="423"/>
        <v/>
      </c>
      <c r="M855" s="2" t="str">
        <f t="shared" si="424"/>
        <v/>
      </c>
      <c r="N855" s="2" t="str">
        <f t="shared" si="439"/>
        <v/>
      </c>
      <c r="O855" s="2" t="str">
        <f t="shared" si="440"/>
        <v/>
      </c>
      <c r="P855" s="2" t="str">
        <f t="shared" si="441"/>
        <v/>
      </c>
      <c r="Q855" s="2" t="str">
        <f t="shared" si="425"/>
        <v/>
      </c>
      <c r="R855" s="2" t="str">
        <f t="shared" si="426"/>
        <v/>
      </c>
      <c r="S855" s="2" t="str">
        <f t="shared" si="427"/>
        <v/>
      </c>
      <c r="T855" s="2" t="str">
        <f t="shared" si="442"/>
        <v/>
      </c>
      <c r="U855" s="2" t="str">
        <f t="shared" si="443"/>
        <v/>
      </c>
      <c r="V855" s="2" t="str">
        <f t="shared" si="444"/>
        <v/>
      </c>
      <c r="W855" s="2" t="str">
        <f t="shared" si="428"/>
        <v/>
      </c>
      <c r="X855" s="2" t="str">
        <f t="shared" si="429"/>
        <v/>
      </c>
      <c r="Y855" s="2" t="str">
        <f t="shared" si="430"/>
        <v/>
      </c>
      <c r="Z855" s="2" t="str">
        <f t="shared" si="445"/>
        <v/>
      </c>
      <c r="AA855" s="2" t="str">
        <f t="shared" si="446"/>
        <v/>
      </c>
      <c r="AB855" s="2" t="str">
        <f t="shared" si="447"/>
        <v/>
      </c>
      <c r="AC855" s="2" t="str">
        <f t="shared" si="431"/>
        <v/>
      </c>
      <c r="AD855" s="2" t="str">
        <f t="shared" si="432"/>
        <v/>
      </c>
      <c r="AE855" s="2" t="str">
        <f t="shared" si="433"/>
        <v/>
      </c>
      <c r="AF855" s="2" t="str">
        <f t="shared" si="434"/>
        <v/>
      </c>
    </row>
    <row r="856" spans="1:32" x14ac:dyDescent="0.2">
      <c r="A856" s="2" t="str">
        <f t="shared" si="435"/>
        <v/>
      </c>
      <c r="B856" s="2" t="str">
        <f t="shared" si="416"/>
        <v/>
      </c>
      <c r="C856" s="2" t="str">
        <f t="shared" si="417"/>
        <v/>
      </c>
      <c r="D856" s="2" t="str">
        <f t="shared" si="418"/>
        <v/>
      </c>
      <c r="E856" s="2" t="str">
        <f t="shared" si="419"/>
        <v/>
      </c>
      <c r="F856" s="2" t="str">
        <f t="shared" si="420"/>
        <v/>
      </c>
      <c r="G856" s="2" t="str">
        <f t="shared" si="421"/>
        <v/>
      </c>
      <c r="H856" s="2" t="str">
        <f t="shared" si="436"/>
        <v/>
      </c>
      <c r="I856" s="2" t="str">
        <f t="shared" si="437"/>
        <v/>
      </c>
      <c r="J856" s="2" t="str">
        <f t="shared" si="438"/>
        <v/>
      </c>
      <c r="K856" s="2" t="str">
        <f t="shared" si="422"/>
        <v/>
      </c>
      <c r="L856" s="2" t="str">
        <f t="shared" si="423"/>
        <v/>
      </c>
      <c r="M856" s="2" t="str">
        <f t="shared" si="424"/>
        <v/>
      </c>
      <c r="N856" s="2" t="str">
        <f t="shared" si="439"/>
        <v/>
      </c>
      <c r="O856" s="2" t="str">
        <f t="shared" si="440"/>
        <v/>
      </c>
      <c r="P856" s="2" t="str">
        <f t="shared" si="441"/>
        <v/>
      </c>
      <c r="Q856" s="2" t="str">
        <f t="shared" si="425"/>
        <v/>
      </c>
      <c r="R856" s="2" t="str">
        <f t="shared" si="426"/>
        <v/>
      </c>
      <c r="S856" s="2" t="str">
        <f t="shared" si="427"/>
        <v/>
      </c>
      <c r="T856" s="2" t="str">
        <f t="shared" si="442"/>
        <v/>
      </c>
      <c r="U856" s="2" t="str">
        <f t="shared" si="443"/>
        <v/>
      </c>
      <c r="V856" s="2" t="str">
        <f t="shared" si="444"/>
        <v/>
      </c>
      <c r="W856" s="2" t="str">
        <f t="shared" si="428"/>
        <v/>
      </c>
      <c r="X856" s="2" t="str">
        <f t="shared" si="429"/>
        <v/>
      </c>
      <c r="Y856" s="2" t="str">
        <f t="shared" si="430"/>
        <v/>
      </c>
      <c r="Z856" s="2" t="str">
        <f t="shared" si="445"/>
        <v/>
      </c>
      <c r="AA856" s="2" t="str">
        <f t="shared" si="446"/>
        <v/>
      </c>
      <c r="AB856" s="2" t="str">
        <f t="shared" si="447"/>
        <v/>
      </c>
      <c r="AC856" s="2" t="str">
        <f t="shared" si="431"/>
        <v/>
      </c>
      <c r="AD856" s="2" t="str">
        <f t="shared" si="432"/>
        <v/>
      </c>
      <c r="AE856" s="2" t="str">
        <f t="shared" si="433"/>
        <v/>
      </c>
      <c r="AF856" s="2" t="str">
        <f t="shared" si="434"/>
        <v/>
      </c>
    </row>
    <row r="857" spans="1:32" x14ac:dyDescent="0.2">
      <c r="A857" s="2" t="str">
        <f t="shared" si="435"/>
        <v/>
      </c>
      <c r="B857" s="2" t="str">
        <f t="shared" si="416"/>
        <v/>
      </c>
      <c r="C857" s="2" t="str">
        <f t="shared" si="417"/>
        <v/>
      </c>
      <c r="D857" s="2" t="str">
        <f t="shared" si="418"/>
        <v/>
      </c>
      <c r="E857" s="2" t="str">
        <f t="shared" si="419"/>
        <v/>
      </c>
      <c r="F857" s="2" t="str">
        <f t="shared" si="420"/>
        <v/>
      </c>
      <c r="G857" s="2" t="str">
        <f t="shared" si="421"/>
        <v/>
      </c>
      <c r="H857" s="2" t="str">
        <f t="shared" si="436"/>
        <v/>
      </c>
      <c r="I857" s="2" t="str">
        <f t="shared" si="437"/>
        <v/>
      </c>
      <c r="J857" s="2" t="str">
        <f t="shared" si="438"/>
        <v/>
      </c>
      <c r="K857" s="2" t="str">
        <f t="shared" si="422"/>
        <v/>
      </c>
      <c r="L857" s="2" t="str">
        <f t="shared" si="423"/>
        <v/>
      </c>
      <c r="M857" s="2" t="str">
        <f t="shared" si="424"/>
        <v/>
      </c>
      <c r="N857" s="2" t="str">
        <f t="shared" si="439"/>
        <v/>
      </c>
      <c r="O857" s="2" t="str">
        <f t="shared" si="440"/>
        <v/>
      </c>
      <c r="P857" s="2" t="str">
        <f t="shared" si="441"/>
        <v/>
      </c>
      <c r="Q857" s="2" t="str">
        <f t="shared" si="425"/>
        <v/>
      </c>
      <c r="R857" s="2" t="str">
        <f t="shared" si="426"/>
        <v/>
      </c>
      <c r="S857" s="2" t="str">
        <f t="shared" si="427"/>
        <v/>
      </c>
      <c r="T857" s="2" t="str">
        <f t="shared" si="442"/>
        <v/>
      </c>
      <c r="U857" s="2" t="str">
        <f t="shared" si="443"/>
        <v/>
      </c>
      <c r="V857" s="2" t="str">
        <f t="shared" si="444"/>
        <v/>
      </c>
      <c r="W857" s="2" t="str">
        <f t="shared" si="428"/>
        <v/>
      </c>
      <c r="X857" s="2" t="str">
        <f t="shared" si="429"/>
        <v/>
      </c>
      <c r="Y857" s="2" t="str">
        <f t="shared" si="430"/>
        <v/>
      </c>
      <c r="Z857" s="2" t="str">
        <f t="shared" si="445"/>
        <v/>
      </c>
      <c r="AA857" s="2" t="str">
        <f t="shared" si="446"/>
        <v/>
      </c>
      <c r="AB857" s="2" t="str">
        <f t="shared" si="447"/>
        <v/>
      </c>
      <c r="AC857" s="2" t="str">
        <f t="shared" si="431"/>
        <v/>
      </c>
      <c r="AD857" s="2" t="str">
        <f t="shared" si="432"/>
        <v/>
      </c>
      <c r="AE857" s="2" t="str">
        <f t="shared" si="433"/>
        <v/>
      </c>
      <c r="AF857" s="2" t="str">
        <f t="shared" si="434"/>
        <v/>
      </c>
    </row>
    <row r="858" spans="1:32" x14ac:dyDescent="0.2">
      <c r="A858" s="2" t="str">
        <f t="shared" si="435"/>
        <v/>
      </c>
      <c r="B858" s="2" t="str">
        <f t="shared" si="416"/>
        <v/>
      </c>
      <c r="C858" s="2" t="str">
        <f t="shared" si="417"/>
        <v/>
      </c>
      <c r="D858" s="2" t="str">
        <f t="shared" si="418"/>
        <v/>
      </c>
      <c r="E858" s="2" t="str">
        <f t="shared" si="419"/>
        <v/>
      </c>
      <c r="F858" s="2" t="str">
        <f t="shared" si="420"/>
        <v/>
      </c>
      <c r="G858" s="2" t="str">
        <f t="shared" si="421"/>
        <v/>
      </c>
      <c r="H858" s="2" t="str">
        <f t="shared" si="436"/>
        <v/>
      </c>
      <c r="I858" s="2" t="str">
        <f t="shared" si="437"/>
        <v/>
      </c>
      <c r="J858" s="2" t="str">
        <f t="shared" si="438"/>
        <v/>
      </c>
      <c r="K858" s="2" t="str">
        <f t="shared" si="422"/>
        <v/>
      </c>
      <c r="L858" s="2" t="str">
        <f t="shared" si="423"/>
        <v/>
      </c>
      <c r="M858" s="2" t="str">
        <f t="shared" si="424"/>
        <v/>
      </c>
      <c r="N858" s="2" t="str">
        <f t="shared" si="439"/>
        <v/>
      </c>
      <c r="O858" s="2" t="str">
        <f t="shared" si="440"/>
        <v/>
      </c>
      <c r="P858" s="2" t="str">
        <f t="shared" si="441"/>
        <v/>
      </c>
      <c r="Q858" s="2" t="str">
        <f t="shared" si="425"/>
        <v/>
      </c>
      <c r="R858" s="2" t="str">
        <f t="shared" si="426"/>
        <v/>
      </c>
      <c r="S858" s="2" t="str">
        <f t="shared" si="427"/>
        <v/>
      </c>
      <c r="T858" s="2" t="str">
        <f t="shared" si="442"/>
        <v/>
      </c>
      <c r="U858" s="2" t="str">
        <f t="shared" si="443"/>
        <v/>
      </c>
      <c r="V858" s="2" t="str">
        <f t="shared" si="444"/>
        <v/>
      </c>
      <c r="W858" s="2" t="str">
        <f t="shared" si="428"/>
        <v/>
      </c>
      <c r="X858" s="2" t="str">
        <f t="shared" si="429"/>
        <v/>
      </c>
      <c r="Y858" s="2" t="str">
        <f t="shared" si="430"/>
        <v/>
      </c>
      <c r="Z858" s="2" t="str">
        <f t="shared" si="445"/>
        <v/>
      </c>
      <c r="AA858" s="2" t="str">
        <f t="shared" si="446"/>
        <v/>
      </c>
      <c r="AB858" s="2" t="str">
        <f t="shared" si="447"/>
        <v/>
      </c>
      <c r="AC858" s="2" t="str">
        <f t="shared" si="431"/>
        <v/>
      </c>
      <c r="AD858" s="2" t="str">
        <f t="shared" si="432"/>
        <v/>
      </c>
      <c r="AE858" s="2" t="str">
        <f t="shared" si="433"/>
        <v/>
      </c>
      <c r="AF858" s="2" t="str">
        <f t="shared" si="434"/>
        <v/>
      </c>
    </row>
    <row r="859" spans="1:32" x14ac:dyDescent="0.2">
      <c r="A859" s="2" t="str">
        <f t="shared" si="435"/>
        <v/>
      </c>
      <c r="B859" s="2" t="str">
        <f t="shared" si="416"/>
        <v/>
      </c>
      <c r="C859" s="2" t="str">
        <f t="shared" si="417"/>
        <v/>
      </c>
      <c r="D859" s="2" t="str">
        <f t="shared" si="418"/>
        <v/>
      </c>
      <c r="E859" s="2" t="str">
        <f t="shared" si="419"/>
        <v/>
      </c>
      <c r="F859" s="2" t="str">
        <f t="shared" si="420"/>
        <v/>
      </c>
      <c r="G859" s="2" t="str">
        <f t="shared" si="421"/>
        <v/>
      </c>
      <c r="H859" s="2" t="str">
        <f t="shared" si="436"/>
        <v/>
      </c>
      <c r="I859" s="2" t="str">
        <f t="shared" si="437"/>
        <v/>
      </c>
      <c r="J859" s="2" t="str">
        <f t="shared" si="438"/>
        <v/>
      </c>
      <c r="K859" s="2" t="str">
        <f t="shared" si="422"/>
        <v/>
      </c>
      <c r="L859" s="2" t="str">
        <f t="shared" si="423"/>
        <v/>
      </c>
      <c r="M859" s="2" t="str">
        <f t="shared" si="424"/>
        <v/>
      </c>
      <c r="N859" s="2" t="str">
        <f t="shared" si="439"/>
        <v/>
      </c>
      <c r="O859" s="2" t="str">
        <f t="shared" si="440"/>
        <v/>
      </c>
      <c r="P859" s="2" t="str">
        <f t="shared" si="441"/>
        <v/>
      </c>
      <c r="Q859" s="2" t="str">
        <f t="shared" si="425"/>
        <v/>
      </c>
      <c r="R859" s="2" t="str">
        <f t="shared" si="426"/>
        <v/>
      </c>
      <c r="S859" s="2" t="str">
        <f t="shared" si="427"/>
        <v/>
      </c>
      <c r="T859" s="2" t="str">
        <f t="shared" si="442"/>
        <v/>
      </c>
      <c r="U859" s="2" t="str">
        <f t="shared" si="443"/>
        <v/>
      </c>
      <c r="V859" s="2" t="str">
        <f t="shared" si="444"/>
        <v/>
      </c>
      <c r="W859" s="2" t="str">
        <f t="shared" si="428"/>
        <v/>
      </c>
      <c r="X859" s="2" t="str">
        <f t="shared" si="429"/>
        <v/>
      </c>
      <c r="Y859" s="2" t="str">
        <f t="shared" si="430"/>
        <v/>
      </c>
      <c r="Z859" s="2" t="str">
        <f t="shared" si="445"/>
        <v/>
      </c>
      <c r="AA859" s="2" t="str">
        <f t="shared" si="446"/>
        <v/>
      </c>
      <c r="AB859" s="2" t="str">
        <f t="shared" si="447"/>
        <v/>
      </c>
      <c r="AC859" s="2" t="str">
        <f t="shared" si="431"/>
        <v/>
      </c>
      <c r="AD859" s="2" t="str">
        <f t="shared" si="432"/>
        <v/>
      </c>
      <c r="AE859" s="2" t="str">
        <f t="shared" si="433"/>
        <v/>
      </c>
      <c r="AF859" s="2" t="str">
        <f t="shared" si="434"/>
        <v/>
      </c>
    </row>
    <row r="860" spans="1:32" x14ac:dyDescent="0.2">
      <c r="A860" s="2" t="str">
        <f t="shared" si="435"/>
        <v/>
      </c>
      <c r="B860" s="2" t="str">
        <f t="shared" si="416"/>
        <v/>
      </c>
      <c r="C860" s="2" t="str">
        <f t="shared" si="417"/>
        <v/>
      </c>
      <c r="D860" s="2" t="str">
        <f t="shared" si="418"/>
        <v/>
      </c>
      <c r="E860" s="2" t="str">
        <f t="shared" si="419"/>
        <v/>
      </c>
      <c r="F860" s="2" t="str">
        <f t="shared" si="420"/>
        <v/>
      </c>
      <c r="G860" s="2" t="str">
        <f t="shared" si="421"/>
        <v/>
      </c>
      <c r="H860" s="2" t="str">
        <f t="shared" si="436"/>
        <v/>
      </c>
      <c r="I860" s="2" t="str">
        <f t="shared" si="437"/>
        <v/>
      </c>
      <c r="J860" s="2" t="str">
        <f t="shared" si="438"/>
        <v/>
      </c>
      <c r="K860" s="2" t="str">
        <f t="shared" si="422"/>
        <v/>
      </c>
      <c r="L860" s="2" t="str">
        <f t="shared" si="423"/>
        <v/>
      </c>
      <c r="M860" s="2" t="str">
        <f t="shared" si="424"/>
        <v/>
      </c>
      <c r="N860" s="2" t="str">
        <f t="shared" si="439"/>
        <v/>
      </c>
      <c r="O860" s="2" t="str">
        <f t="shared" si="440"/>
        <v/>
      </c>
      <c r="P860" s="2" t="str">
        <f t="shared" si="441"/>
        <v/>
      </c>
      <c r="Q860" s="2" t="str">
        <f t="shared" si="425"/>
        <v/>
      </c>
      <c r="R860" s="2" t="str">
        <f t="shared" si="426"/>
        <v/>
      </c>
      <c r="S860" s="2" t="str">
        <f t="shared" si="427"/>
        <v/>
      </c>
      <c r="T860" s="2" t="str">
        <f t="shared" si="442"/>
        <v/>
      </c>
      <c r="U860" s="2" t="str">
        <f t="shared" si="443"/>
        <v/>
      </c>
      <c r="V860" s="2" t="str">
        <f t="shared" si="444"/>
        <v/>
      </c>
      <c r="W860" s="2" t="str">
        <f t="shared" si="428"/>
        <v/>
      </c>
      <c r="X860" s="2" t="str">
        <f t="shared" si="429"/>
        <v/>
      </c>
      <c r="Y860" s="2" t="str">
        <f t="shared" si="430"/>
        <v/>
      </c>
      <c r="Z860" s="2" t="str">
        <f t="shared" si="445"/>
        <v/>
      </c>
      <c r="AA860" s="2" t="str">
        <f t="shared" si="446"/>
        <v/>
      </c>
      <c r="AB860" s="2" t="str">
        <f t="shared" si="447"/>
        <v/>
      </c>
      <c r="AC860" s="2" t="str">
        <f t="shared" si="431"/>
        <v/>
      </c>
      <c r="AD860" s="2" t="str">
        <f t="shared" si="432"/>
        <v/>
      </c>
      <c r="AE860" s="2" t="str">
        <f t="shared" si="433"/>
        <v/>
      </c>
      <c r="AF860" s="2" t="str">
        <f t="shared" si="434"/>
        <v/>
      </c>
    </row>
    <row r="861" spans="1:32" x14ac:dyDescent="0.2">
      <c r="A861" s="2" t="str">
        <f t="shared" si="435"/>
        <v/>
      </c>
      <c r="B861" s="2" t="str">
        <f t="shared" si="416"/>
        <v/>
      </c>
      <c r="C861" s="2" t="str">
        <f t="shared" si="417"/>
        <v/>
      </c>
      <c r="D861" s="2" t="str">
        <f t="shared" si="418"/>
        <v/>
      </c>
      <c r="E861" s="2" t="str">
        <f t="shared" si="419"/>
        <v/>
      </c>
      <c r="F861" s="2" t="str">
        <f t="shared" si="420"/>
        <v/>
      </c>
      <c r="G861" s="2" t="str">
        <f t="shared" si="421"/>
        <v/>
      </c>
      <c r="H861" s="2" t="str">
        <f t="shared" si="436"/>
        <v/>
      </c>
      <c r="I861" s="2" t="str">
        <f t="shared" si="437"/>
        <v/>
      </c>
      <c r="J861" s="2" t="str">
        <f t="shared" si="438"/>
        <v/>
      </c>
      <c r="K861" s="2" t="str">
        <f t="shared" si="422"/>
        <v/>
      </c>
      <c r="L861" s="2" t="str">
        <f t="shared" si="423"/>
        <v/>
      </c>
      <c r="M861" s="2" t="str">
        <f t="shared" si="424"/>
        <v/>
      </c>
      <c r="N861" s="2" t="str">
        <f t="shared" si="439"/>
        <v/>
      </c>
      <c r="O861" s="2" t="str">
        <f t="shared" si="440"/>
        <v/>
      </c>
      <c r="P861" s="2" t="str">
        <f t="shared" si="441"/>
        <v/>
      </c>
      <c r="Q861" s="2" t="str">
        <f t="shared" si="425"/>
        <v/>
      </c>
      <c r="R861" s="2" t="str">
        <f t="shared" si="426"/>
        <v/>
      </c>
      <c r="S861" s="2" t="str">
        <f t="shared" si="427"/>
        <v/>
      </c>
      <c r="T861" s="2" t="str">
        <f t="shared" si="442"/>
        <v/>
      </c>
      <c r="U861" s="2" t="str">
        <f t="shared" si="443"/>
        <v/>
      </c>
      <c r="V861" s="2" t="str">
        <f t="shared" si="444"/>
        <v/>
      </c>
      <c r="W861" s="2" t="str">
        <f t="shared" si="428"/>
        <v/>
      </c>
      <c r="X861" s="2" t="str">
        <f t="shared" si="429"/>
        <v/>
      </c>
      <c r="Y861" s="2" t="str">
        <f t="shared" si="430"/>
        <v/>
      </c>
      <c r="Z861" s="2" t="str">
        <f t="shared" si="445"/>
        <v/>
      </c>
      <c r="AA861" s="2" t="str">
        <f t="shared" si="446"/>
        <v/>
      </c>
      <c r="AB861" s="2" t="str">
        <f t="shared" si="447"/>
        <v/>
      </c>
      <c r="AC861" s="2" t="str">
        <f t="shared" si="431"/>
        <v/>
      </c>
      <c r="AD861" s="2" t="str">
        <f t="shared" si="432"/>
        <v/>
      </c>
      <c r="AE861" s="2" t="str">
        <f t="shared" si="433"/>
        <v/>
      </c>
      <c r="AF861" s="2" t="str">
        <f t="shared" si="434"/>
        <v/>
      </c>
    </row>
    <row r="862" spans="1:32" x14ac:dyDescent="0.2">
      <c r="A862" s="2" t="str">
        <f t="shared" si="435"/>
        <v/>
      </c>
      <c r="B862" s="2" t="str">
        <f t="shared" si="416"/>
        <v/>
      </c>
      <c r="C862" s="2" t="str">
        <f t="shared" si="417"/>
        <v/>
      </c>
      <c r="D862" s="2" t="str">
        <f t="shared" si="418"/>
        <v/>
      </c>
      <c r="E862" s="2" t="str">
        <f t="shared" si="419"/>
        <v/>
      </c>
      <c r="F862" s="2" t="str">
        <f t="shared" si="420"/>
        <v/>
      </c>
      <c r="G862" s="2" t="str">
        <f t="shared" si="421"/>
        <v/>
      </c>
      <c r="H862" s="2" t="str">
        <f t="shared" si="436"/>
        <v/>
      </c>
      <c r="I862" s="2" t="str">
        <f t="shared" si="437"/>
        <v/>
      </c>
      <c r="J862" s="2" t="str">
        <f t="shared" si="438"/>
        <v/>
      </c>
      <c r="K862" s="2" t="str">
        <f t="shared" si="422"/>
        <v/>
      </c>
      <c r="L862" s="2" t="str">
        <f t="shared" si="423"/>
        <v/>
      </c>
      <c r="M862" s="2" t="str">
        <f t="shared" si="424"/>
        <v/>
      </c>
      <c r="N862" s="2" t="str">
        <f t="shared" si="439"/>
        <v/>
      </c>
      <c r="O862" s="2" t="str">
        <f t="shared" si="440"/>
        <v/>
      </c>
      <c r="P862" s="2" t="str">
        <f t="shared" si="441"/>
        <v/>
      </c>
      <c r="Q862" s="2" t="str">
        <f t="shared" si="425"/>
        <v/>
      </c>
      <c r="R862" s="2" t="str">
        <f t="shared" si="426"/>
        <v/>
      </c>
      <c r="S862" s="2" t="str">
        <f t="shared" si="427"/>
        <v/>
      </c>
      <c r="T862" s="2" t="str">
        <f t="shared" si="442"/>
        <v/>
      </c>
      <c r="U862" s="2" t="str">
        <f t="shared" si="443"/>
        <v/>
      </c>
      <c r="V862" s="2" t="str">
        <f t="shared" si="444"/>
        <v/>
      </c>
      <c r="W862" s="2" t="str">
        <f t="shared" si="428"/>
        <v/>
      </c>
      <c r="X862" s="2" t="str">
        <f t="shared" si="429"/>
        <v/>
      </c>
      <c r="Y862" s="2" t="str">
        <f t="shared" si="430"/>
        <v/>
      </c>
      <c r="Z862" s="2" t="str">
        <f t="shared" si="445"/>
        <v/>
      </c>
      <c r="AA862" s="2" t="str">
        <f t="shared" si="446"/>
        <v/>
      </c>
      <c r="AB862" s="2" t="str">
        <f t="shared" si="447"/>
        <v/>
      </c>
      <c r="AC862" s="2" t="str">
        <f t="shared" si="431"/>
        <v/>
      </c>
      <c r="AD862" s="2" t="str">
        <f t="shared" si="432"/>
        <v/>
      </c>
      <c r="AE862" s="2" t="str">
        <f t="shared" si="433"/>
        <v/>
      </c>
      <c r="AF862" s="2" t="str">
        <f t="shared" si="434"/>
        <v/>
      </c>
    </row>
    <row r="863" spans="1:32" x14ac:dyDescent="0.2">
      <c r="A863" s="2" t="str">
        <f t="shared" si="435"/>
        <v/>
      </c>
      <c r="B863" s="2" t="str">
        <f t="shared" si="416"/>
        <v/>
      </c>
      <c r="C863" s="2" t="str">
        <f t="shared" si="417"/>
        <v/>
      </c>
      <c r="D863" s="2" t="str">
        <f t="shared" si="418"/>
        <v/>
      </c>
      <c r="E863" s="2" t="str">
        <f t="shared" si="419"/>
        <v/>
      </c>
      <c r="F863" s="2" t="str">
        <f t="shared" si="420"/>
        <v/>
      </c>
      <c r="G863" s="2" t="str">
        <f t="shared" si="421"/>
        <v/>
      </c>
      <c r="H863" s="2" t="str">
        <f t="shared" si="436"/>
        <v/>
      </c>
      <c r="I863" s="2" t="str">
        <f t="shared" si="437"/>
        <v/>
      </c>
      <c r="J863" s="2" t="str">
        <f t="shared" si="438"/>
        <v/>
      </c>
      <c r="K863" s="2" t="str">
        <f t="shared" si="422"/>
        <v/>
      </c>
      <c r="L863" s="2" t="str">
        <f t="shared" si="423"/>
        <v/>
      </c>
      <c r="M863" s="2" t="str">
        <f t="shared" si="424"/>
        <v/>
      </c>
      <c r="N863" s="2" t="str">
        <f t="shared" si="439"/>
        <v/>
      </c>
      <c r="O863" s="2" t="str">
        <f t="shared" si="440"/>
        <v/>
      </c>
      <c r="P863" s="2" t="str">
        <f t="shared" si="441"/>
        <v/>
      </c>
      <c r="Q863" s="2" t="str">
        <f t="shared" si="425"/>
        <v/>
      </c>
      <c r="R863" s="2" t="str">
        <f t="shared" si="426"/>
        <v/>
      </c>
      <c r="S863" s="2" t="str">
        <f t="shared" si="427"/>
        <v/>
      </c>
      <c r="T863" s="2" t="str">
        <f t="shared" si="442"/>
        <v/>
      </c>
      <c r="U863" s="2" t="str">
        <f t="shared" si="443"/>
        <v/>
      </c>
      <c r="V863" s="2" t="str">
        <f t="shared" si="444"/>
        <v/>
      </c>
      <c r="W863" s="2" t="str">
        <f t="shared" si="428"/>
        <v/>
      </c>
      <c r="X863" s="2" t="str">
        <f t="shared" si="429"/>
        <v/>
      </c>
      <c r="Y863" s="2" t="str">
        <f t="shared" si="430"/>
        <v/>
      </c>
      <c r="Z863" s="2" t="str">
        <f t="shared" si="445"/>
        <v/>
      </c>
      <c r="AA863" s="2" t="str">
        <f t="shared" si="446"/>
        <v/>
      </c>
      <c r="AB863" s="2" t="str">
        <f t="shared" si="447"/>
        <v/>
      </c>
      <c r="AC863" s="2" t="str">
        <f t="shared" si="431"/>
        <v/>
      </c>
      <c r="AD863" s="2" t="str">
        <f t="shared" si="432"/>
        <v/>
      </c>
      <c r="AE863" s="2" t="str">
        <f t="shared" si="433"/>
        <v/>
      </c>
      <c r="AF863" s="2" t="str">
        <f t="shared" si="434"/>
        <v/>
      </c>
    </row>
    <row r="864" spans="1:32" x14ac:dyDescent="0.2">
      <c r="A864" s="2" t="str">
        <f t="shared" si="435"/>
        <v/>
      </c>
      <c r="B864" s="2" t="str">
        <f t="shared" si="416"/>
        <v/>
      </c>
      <c r="C864" s="2" t="str">
        <f t="shared" si="417"/>
        <v/>
      </c>
      <c r="D864" s="2" t="str">
        <f t="shared" si="418"/>
        <v/>
      </c>
      <c r="E864" s="2" t="str">
        <f t="shared" si="419"/>
        <v/>
      </c>
      <c r="F864" s="2" t="str">
        <f t="shared" si="420"/>
        <v/>
      </c>
      <c r="G864" s="2" t="str">
        <f t="shared" si="421"/>
        <v/>
      </c>
      <c r="H864" s="2" t="str">
        <f t="shared" si="436"/>
        <v/>
      </c>
      <c r="I864" s="2" t="str">
        <f t="shared" si="437"/>
        <v/>
      </c>
      <c r="J864" s="2" t="str">
        <f t="shared" si="438"/>
        <v/>
      </c>
      <c r="K864" s="2" t="str">
        <f t="shared" si="422"/>
        <v/>
      </c>
      <c r="L864" s="2" t="str">
        <f t="shared" si="423"/>
        <v/>
      </c>
      <c r="M864" s="2" t="str">
        <f t="shared" si="424"/>
        <v/>
      </c>
      <c r="N864" s="2" t="str">
        <f t="shared" si="439"/>
        <v/>
      </c>
      <c r="O864" s="2" t="str">
        <f t="shared" si="440"/>
        <v/>
      </c>
      <c r="P864" s="2" t="str">
        <f t="shared" si="441"/>
        <v/>
      </c>
      <c r="Q864" s="2" t="str">
        <f t="shared" si="425"/>
        <v/>
      </c>
      <c r="R864" s="2" t="str">
        <f t="shared" si="426"/>
        <v/>
      </c>
      <c r="S864" s="2" t="str">
        <f t="shared" si="427"/>
        <v/>
      </c>
      <c r="T864" s="2" t="str">
        <f t="shared" si="442"/>
        <v/>
      </c>
      <c r="U864" s="2" t="str">
        <f t="shared" si="443"/>
        <v/>
      </c>
      <c r="V864" s="2" t="str">
        <f t="shared" si="444"/>
        <v/>
      </c>
      <c r="W864" s="2" t="str">
        <f t="shared" si="428"/>
        <v/>
      </c>
      <c r="X864" s="2" t="str">
        <f t="shared" si="429"/>
        <v/>
      </c>
      <c r="Y864" s="2" t="str">
        <f t="shared" si="430"/>
        <v/>
      </c>
      <c r="Z864" s="2" t="str">
        <f t="shared" si="445"/>
        <v/>
      </c>
      <c r="AA864" s="2" t="str">
        <f t="shared" si="446"/>
        <v/>
      </c>
      <c r="AB864" s="2" t="str">
        <f t="shared" si="447"/>
        <v/>
      </c>
      <c r="AC864" s="2" t="str">
        <f t="shared" si="431"/>
        <v/>
      </c>
      <c r="AD864" s="2" t="str">
        <f t="shared" si="432"/>
        <v/>
      </c>
      <c r="AE864" s="2" t="str">
        <f t="shared" si="433"/>
        <v/>
      </c>
      <c r="AF864" s="2" t="str">
        <f t="shared" si="434"/>
        <v/>
      </c>
    </row>
    <row r="865" spans="1:32" x14ac:dyDescent="0.2">
      <c r="A865" s="2" t="str">
        <f t="shared" si="435"/>
        <v/>
      </c>
      <c r="B865" s="2" t="str">
        <f t="shared" si="416"/>
        <v/>
      </c>
      <c r="C865" s="2" t="str">
        <f t="shared" si="417"/>
        <v/>
      </c>
      <c r="D865" s="2" t="str">
        <f t="shared" si="418"/>
        <v/>
      </c>
      <c r="E865" s="2" t="str">
        <f t="shared" si="419"/>
        <v/>
      </c>
      <c r="F865" s="2" t="str">
        <f t="shared" si="420"/>
        <v/>
      </c>
      <c r="G865" s="2" t="str">
        <f t="shared" si="421"/>
        <v/>
      </c>
      <c r="H865" s="2" t="str">
        <f t="shared" si="436"/>
        <v/>
      </c>
      <c r="I865" s="2" t="str">
        <f t="shared" si="437"/>
        <v/>
      </c>
      <c r="J865" s="2" t="str">
        <f t="shared" si="438"/>
        <v/>
      </c>
      <c r="K865" s="2" t="str">
        <f t="shared" si="422"/>
        <v/>
      </c>
      <c r="L865" s="2" t="str">
        <f t="shared" si="423"/>
        <v/>
      </c>
      <c r="M865" s="2" t="str">
        <f t="shared" si="424"/>
        <v/>
      </c>
      <c r="N865" s="2" t="str">
        <f t="shared" si="439"/>
        <v/>
      </c>
      <c r="O865" s="2" t="str">
        <f t="shared" si="440"/>
        <v/>
      </c>
      <c r="P865" s="2" t="str">
        <f t="shared" si="441"/>
        <v/>
      </c>
      <c r="Q865" s="2" t="str">
        <f t="shared" si="425"/>
        <v/>
      </c>
      <c r="R865" s="2" t="str">
        <f t="shared" si="426"/>
        <v/>
      </c>
      <c r="S865" s="2" t="str">
        <f t="shared" si="427"/>
        <v/>
      </c>
      <c r="T865" s="2" t="str">
        <f t="shared" si="442"/>
        <v/>
      </c>
      <c r="U865" s="2" t="str">
        <f t="shared" si="443"/>
        <v/>
      </c>
      <c r="V865" s="2" t="str">
        <f t="shared" si="444"/>
        <v/>
      </c>
      <c r="W865" s="2" t="str">
        <f t="shared" si="428"/>
        <v/>
      </c>
      <c r="X865" s="2" t="str">
        <f t="shared" si="429"/>
        <v/>
      </c>
      <c r="Y865" s="2" t="str">
        <f t="shared" si="430"/>
        <v/>
      </c>
      <c r="Z865" s="2" t="str">
        <f t="shared" si="445"/>
        <v/>
      </c>
      <c r="AA865" s="2" t="str">
        <f t="shared" si="446"/>
        <v/>
      </c>
      <c r="AB865" s="2" t="str">
        <f t="shared" si="447"/>
        <v/>
      </c>
      <c r="AC865" s="2" t="str">
        <f t="shared" si="431"/>
        <v/>
      </c>
      <c r="AD865" s="2" t="str">
        <f t="shared" si="432"/>
        <v/>
      </c>
      <c r="AE865" s="2" t="str">
        <f t="shared" si="433"/>
        <v/>
      </c>
      <c r="AF865" s="2" t="str">
        <f t="shared" si="434"/>
        <v/>
      </c>
    </row>
    <row r="866" spans="1:32" x14ac:dyDescent="0.2">
      <c r="A866" s="2" t="str">
        <f t="shared" si="435"/>
        <v/>
      </c>
      <c r="B866" s="2" t="str">
        <f t="shared" si="416"/>
        <v/>
      </c>
      <c r="C866" s="2" t="str">
        <f t="shared" si="417"/>
        <v/>
      </c>
      <c r="D866" s="2" t="str">
        <f t="shared" si="418"/>
        <v/>
      </c>
      <c r="E866" s="2" t="str">
        <f t="shared" si="419"/>
        <v/>
      </c>
      <c r="F866" s="2" t="str">
        <f t="shared" si="420"/>
        <v/>
      </c>
      <c r="G866" s="2" t="str">
        <f t="shared" si="421"/>
        <v/>
      </c>
      <c r="H866" s="2" t="str">
        <f t="shared" si="436"/>
        <v/>
      </c>
      <c r="I866" s="2" t="str">
        <f t="shared" si="437"/>
        <v/>
      </c>
      <c r="J866" s="2" t="str">
        <f t="shared" si="438"/>
        <v/>
      </c>
      <c r="K866" s="2" t="str">
        <f t="shared" si="422"/>
        <v/>
      </c>
      <c r="L866" s="2" t="str">
        <f t="shared" si="423"/>
        <v/>
      </c>
      <c r="M866" s="2" t="str">
        <f t="shared" si="424"/>
        <v/>
      </c>
      <c r="N866" s="2" t="str">
        <f t="shared" si="439"/>
        <v/>
      </c>
      <c r="O866" s="2" t="str">
        <f t="shared" si="440"/>
        <v/>
      </c>
      <c r="P866" s="2" t="str">
        <f t="shared" si="441"/>
        <v/>
      </c>
      <c r="Q866" s="2" t="str">
        <f t="shared" si="425"/>
        <v/>
      </c>
      <c r="R866" s="2" t="str">
        <f t="shared" si="426"/>
        <v/>
      </c>
      <c r="S866" s="2" t="str">
        <f t="shared" si="427"/>
        <v/>
      </c>
      <c r="T866" s="2" t="str">
        <f t="shared" si="442"/>
        <v/>
      </c>
      <c r="U866" s="2" t="str">
        <f t="shared" si="443"/>
        <v/>
      </c>
      <c r="V866" s="2" t="str">
        <f t="shared" si="444"/>
        <v/>
      </c>
      <c r="W866" s="2" t="str">
        <f t="shared" si="428"/>
        <v/>
      </c>
      <c r="X866" s="2" t="str">
        <f t="shared" si="429"/>
        <v/>
      </c>
      <c r="Y866" s="2" t="str">
        <f t="shared" si="430"/>
        <v/>
      </c>
      <c r="Z866" s="2" t="str">
        <f t="shared" si="445"/>
        <v/>
      </c>
      <c r="AA866" s="2" t="str">
        <f t="shared" si="446"/>
        <v/>
      </c>
      <c r="AB866" s="2" t="str">
        <f t="shared" si="447"/>
        <v/>
      </c>
      <c r="AC866" s="2" t="str">
        <f t="shared" si="431"/>
        <v/>
      </c>
      <c r="AD866" s="2" t="str">
        <f t="shared" si="432"/>
        <v/>
      </c>
      <c r="AE866" s="2" t="str">
        <f t="shared" si="433"/>
        <v/>
      </c>
      <c r="AF866" s="2" t="str">
        <f t="shared" si="434"/>
        <v/>
      </c>
    </row>
    <row r="867" spans="1:32" x14ac:dyDescent="0.2">
      <c r="A867" s="2" t="str">
        <f t="shared" si="435"/>
        <v/>
      </c>
      <c r="B867" s="2" t="str">
        <f t="shared" si="416"/>
        <v/>
      </c>
      <c r="C867" s="2" t="str">
        <f t="shared" si="417"/>
        <v/>
      </c>
      <c r="D867" s="2" t="str">
        <f t="shared" si="418"/>
        <v/>
      </c>
      <c r="E867" s="2" t="str">
        <f t="shared" si="419"/>
        <v/>
      </c>
      <c r="F867" s="2" t="str">
        <f t="shared" si="420"/>
        <v/>
      </c>
      <c r="G867" s="2" t="str">
        <f t="shared" si="421"/>
        <v/>
      </c>
      <c r="H867" s="2" t="str">
        <f t="shared" si="436"/>
        <v/>
      </c>
      <c r="I867" s="2" t="str">
        <f t="shared" si="437"/>
        <v/>
      </c>
      <c r="J867" s="2" t="str">
        <f t="shared" si="438"/>
        <v/>
      </c>
      <c r="K867" s="2" t="str">
        <f t="shared" si="422"/>
        <v/>
      </c>
      <c r="L867" s="2" t="str">
        <f t="shared" si="423"/>
        <v/>
      </c>
      <c r="M867" s="2" t="str">
        <f t="shared" si="424"/>
        <v/>
      </c>
      <c r="N867" s="2" t="str">
        <f t="shared" si="439"/>
        <v/>
      </c>
      <c r="O867" s="2" t="str">
        <f t="shared" si="440"/>
        <v/>
      </c>
      <c r="P867" s="2" t="str">
        <f t="shared" si="441"/>
        <v/>
      </c>
      <c r="Q867" s="2" t="str">
        <f t="shared" si="425"/>
        <v/>
      </c>
      <c r="R867" s="2" t="str">
        <f t="shared" si="426"/>
        <v/>
      </c>
      <c r="S867" s="2" t="str">
        <f t="shared" si="427"/>
        <v/>
      </c>
      <c r="T867" s="2" t="str">
        <f t="shared" si="442"/>
        <v/>
      </c>
      <c r="U867" s="2" t="str">
        <f t="shared" si="443"/>
        <v/>
      </c>
      <c r="V867" s="2" t="str">
        <f t="shared" si="444"/>
        <v/>
      </c>
      <c r="W867" s="2" t="str">
        <f t="shared" si="428"/>
        <v/>
      </c>
      <c r="X867" s="2" t="str">
        <f t="shared" si="429"/>
        <v/>
      </c>
      <c r="Y867" s="2" t="str">
        <f t="shared" si="430"/>
        <v/>
      </c>
      <c r="Z867" s="2" t="str">
        <f t="shared" si="445"/>
        <v/>
      </c>
      <c r="AA867" s="2" t="str">
        <f t="shared" si="446"/>
        <v/>
      </c>
      <c r="AB867" s="2" t="str">
        <f t="shared" si="447"/>
        <v/>
      </c>
      <c r="AC867" s="2" t="str">
        <f t="shared" si="431"/>
        <v/>
      </c>
      <c r="AD867" s="2" t="str">
        <f t="shared" si="432"/>
        <v/>
      </c>
      <c r="AE867" s="2" t="str">
        <f t="shared" si="433"/>
        <v/>
      </c>
      <c r="AF867" s="2" t="str">
        <f t="shared" si="434"/>
        <v/>
      </c>
    </row>
    <row r="868" spans="1:32" x14ac:dyDescent="0.2">
      <c r="A868" s="2" t="str">
        <f t="shared" si="435"/>
        <v/>
      </c>
      <c r="B868" s="2" t="str">
        <f t="shared" si="416"/>
        <v/>
      </c>
      <c r="C868" s="2" t="str">
        <f t="shared" si="417"/>
        <v/>
      </c>
      <c r="D868" s="2" t="str">
        <f t="shared" si="418"/>
        <v/>
      </c>
      <c r="E868" s="2" t="str">
        <f t="shared" si="419"/>
        <v/>
      </c>
      <c r="F868" s="2" t="str">
        <f t="shared" si="420"/>
        <v/>
      </c>
      <c r="G868" s="2" t="str">
        <f t="shared" si="421"/>
        <v/>
      </c>
      <c r="H868" s="2" t="str">
        <f t="shared" si="436"/>
        <v/>
      </c>
      <c r="I868" s="2" t="str">
        <f t="shared" si="437"/>
        <v/>
      </c>
      <c r="J868" s="2" t="str">
        <f t="shared" si="438"/>
        <v/>
      </c>
      <c r="K868" s="2" t="str">
        <f t="shared" si="422"/>
        <v/>
      </c>
      <c r="L868" s="2" t="str">
        <f t="shared" si="423"/>
        <v/>
      </c>
      <c r="M868" s="2" t="str">
        <f t="shared" si="424"/>
        <v/>
      </c>
      <c r="N868" s="2" t="str">
        <f t="shared" si="439"/>
        <v/>
      </c>
      <c r="O868" s="2" t="str">
        <f t="shared" si="440"/>
        <v/>
      </c>
      <c r="P868" s="2" t="str">
        <f t="shared" si="441"/>
        <v/>
      </c>
      <c r="Q868" s="2" t="str">
        <f t="shared" si="425"/>
        <v/>
      </c>
      <c r="R868" s="2" t="str">
        <f t="shared" si="426"/>
        <v/>
      </c>
      <c r="S868" s="2" t="str">
        <f t="shared" si="427"/>
        <v/>
      </c>
      <c r="T868" s="2" t="str">
        <f t="shared" si="442"/>
        <v/>
      </c>
      <c r="U868" s="2" t="str">
        <f t="shared" si="443"/>
        <v/>
      </c>
      <c r="V868" s="2" t="str">
        <f t="shared" si="444"/>
        <v/>
      </c>
      <c r="W868" s="2" t="str">
        <f t="shared" si="428"/>
        <v/>
      </c>
      <c r="X868" s="2" t="str">
        <f t="shared" si="429"/>
        <v/>
      </c>
      <c r="Y868" s="2" t="str">
        <f t="shared" si="430"/>
        <v/>
      </c>
      <c r="Z868" s="2" t="str">
        <f t="shared" si="445"/>
        <v/>
      </c>
      <c r="AA868" s="2" t="str">
        <f t="shared" si="446"/>
        <v/>
      </c>
      <c r="AB868" s="2" t="str">
        <f t="shared" si="447"/>
        <v/>
      </c>
      <c r="AC868" s="2" t="str">
        <f t="shared" si="431"/>
        <v/>
      </c>
      <c r="AD868" s="2" t="str">
        <f t="shared" si="432"/>
        <v/>
      </c>
      <c r="AE868" s="2" t="str">
        <f t="shared" si="433"/>
        <v/>
      </c>
      <c r="AF868" s="2" t="str">
        <f t="shared" si="434"/>
        <v/>
      </c>
    </row>
    <row r="869" spans="1:32" x14ac:dyDescent="0.2">
      <c r="A869" s="2" t="str">
        <f t="shared" si="435"/>
        <v/>
      </c>
      <c r="B869" s="2" t="str">
        <f t="shared" si="416"/>
        <v/>
      </c>
      <c r="C869" s="2" t="str">
        <f t="shared" si="417"/>
        <v/>
      </c>
      <c r="D869" s="2" t="str">
        <f t="shared" si="418"/>
        <v/>
      </c>
      <c r="E869" s="2" t="str">
        <f t="shared" si="419"/>
        <v/>
      </c>
      <c r="F869" s="2" t="str">
        <f t="shared" si="420"/>
        <v/>
      </c>
      <c r="G869" s="2" t="str">
        <f t="shared" si="421"/>
        <v/>
      </c>
      <c r="H869" s="2" t="str">
        <f t="shared" si="436"/>
        <v/>
      </c>
      <c r="I869" s="2" t="str">
        <f t="shared" si="437"/>
        <v/>
      </c>
      <c r="J869" s="2" t="str">
        <f t="shared" si="438"/>
        <v/>
      </c>
      <c r="K869" s="2" t="str">
        <f t="shared" si="422"/>
        <v/>
      </c>
      <c r="L869" s="2" t="str">
        <f t="shared" si="423"/>
        <v/>
      </c>
      <c r="M869" s="2" t="str">
        <f t="shared" si="424"/>
        <v/>
      </c>
      <c r="N869" s="2" t="str">
        <f t="shared" si="439"/>
        <v/>
      </c>
      <c r="O869" s="2" t="str">
        <f t="shared" si="440"/>
        <v/>
      </c>
      <c r="P869" s="2" t="str">
        <f t="shared" si="441"/>
        <v/>
      </c>
      <c r="Q869" s="2" t="str">
        <f t="shared" si="425"/>
        <v/>
      </c>
      <c r="R869" s="2" t="str">
        <f t="shared" si="426"/>
        <v/>
      </c>
      <c r="S869" s="2" t="str">
        <f t="shared" si="427"/>
        <v/>
      </c>
      <c r="T869" s="2" t="str">
        <f t="shared" si="442"/>
        <v/>
      </c>
      <c r="U869" s="2" t="str">
        <f t="shared" si="443"/>
        <v/>
      </c>
      <c r="V869" s="2" t="str">
        <f t="shared" si="444"/>
        <v/>
      </c>
      <c r="W869" s="2" t="str">
        <f t="shared" si="428"/>
        <v/>
      </c>
      <c r="X869" s="2" t="str">
        <f t="shared" si="429"/>
        <v/>
      </c>
      <c r="Y869" s="2" t="str">
        <f t="shared" si="430"/>
        <v/>
      </c>
      <c r="Z869" s="2" t="str">
        <f t="shared" si="445"/>
        <v/>
      </c>
      <c r="AA869" s="2" t="str">
        <f t="shared" si="446"/>
        <v/>
      </c>
      <c r="AB869" s="2" t="str">
        <f t="shared" si="447"/>
        <v/>
      </c>
      <c r="AC869" s="2" t="str">
        <f t="shared" si="431"/>
        <v/>
      </c>
      <c r="AD869" s="2" t="str">
        <f t="shared" si="432"/>
        <v/>
      </c>
      <c r="AE869" s="2" t="str">
        <f t="shared" si="433"/>
        <v/>
      </c>
      <c r="AF869" s="2" t="str">
        <f t="shared" si="434"/>
        <v/>
      </c>
    </row>
    <row r="870" spans="1:32" x14ac:dyDescent="0.2">
      <c r="A870" s="2" t="str">
        <f t="shared" si="435"/>
        <v/>
      </c>
      <c r="B870" s="2" t="str">
        <f t="shared" si="416"/>
        <v/>
      </c>
      <c r="C870" s="2" t="str">
        <f t="shared" si="417"/>
        <v/>
      </c>
      <c r="D870" s="2" t="str">
        <f t="shared" si="418"/>
        <v/>
      </c>
      <c r="E870" s="2" t="str">
        <f t="shared" si="419"/>
        <v/>
      </c>
      <c r="F870" s="2" t="str">
        <f t="shared" si="420"/>
        <v/>
      </c>
      <c r="G870" s="2" t="str">
        <f t="shared" si="421"/>
        <v/>
      </c>
      <c r="H870" s="2" t="str">
        <f t="shared" si="436"/>
        <v/>
      </c>
      <c r="I870" s="2" t="str">
        <f t="shared" si="437"/>
        <v/>
      </c>
      <c r="J870" s="2" t="str">
        <f t="shared" si="438"/>
        <v/>
      </c>
      <c r="K870" s="2" t="str">
        <f t="shared" si="422"/>
        <v/>
      </c>
      <c r="L870" s="2" t="str">
        <f t="shared" si="423"/>
        <v/>
      </c>
      <c r="M870" s="2" t="str">
        <f t="shared" si="424"/>
        <v/>
      </c>
      <c r="N870" s="2" t="str">
        <f t="shared" si="439"/>
        <v/>
      </c>
      <c r="O870" s="2" t="str">
        <f t="shared" si="440"/>
        <v/>
      </c>
      <c r="P870" s="2" t="str">
        <f t="shared" si="441"/>
        <v/>
      </c>
      <c r="Q870" s="2" t="str">
        <f t="shared" si="425"/>
        <v/>
      </c>
      <c r="R870" s="2" t="str">
        <f t="shared" si="426"/>
        <v/>
      </c>
      <c r="S870" s="2" t="str">
        <f t="shared" si="427"/>
        <v/>
      </c>
      <c r="T870" s="2" t="str">
        <f t="shared" si="442"/>
        <v/>
      </c>
      <c r="U870" s="2" t="str">
        <f t="shared" si="443"/>
        <v/>
      </c>
      <c r="V870" s="2" t="str">
        <f t="shared" si="444"/>
        <v/>
      </c>
      <c r="W870" s="2" t="str">
        <f t="shared" si="428"/>
        <v/>
      </c>
      <c r="X870" s="2" t="str">
        <f t="shared" si="429"/>
        <v/>
      </c>
      <c r="Y870" s="2" t="str">
        <f t="shared" si="430"/>
        <v/>
      </c>
      <c r="Z870" s="2" t="str">
        <f t="shared" si="445"/>
        <v/>
      </c>
      <c r="AA870" s="2" t="str">
        <f t="shared" si="446"/>
        <v/>
      </c>
      <c r="AB870" s="2" t="str">
        <f t="shared" si="447"/>
        <v/>
      </c>
      <c r="AC870" s="2" t="str">
        <f t="shared" si="431"/>
        <v/>
      </c>
      <c r="AD870" s="2" t="str">
        <f t="shared" si="432"/>
        <v/>
      </c>
      <c r="AE870" s="2" t="str">
        <f t="shared" si="433"/>
        <v/>
      </c>
      <c r="AF870" s="2" t="str">
        <f t="shared" si="434"/>
        <v/>
      </c>
    </row>
    <row r="871" spans="1:32" x14ac:dyDescent="0.2">
      <c r="A871" s="2" t="str">
        <f t="shared" si="435"/>
        <v/>
      </c>
      <c r="B871" s="2" t="str">
        <f t="shared" si="416"/>
        <v/>
      </c>
      <c r="C871" s="2" t="str">
        <f t="shared" si="417"/>
        <v/>
      </c>
      <c r="D871" s="2" t="str">
        <f t="shared" si="418"/>
        <v/>
      </c>
      <c r="E871" s="2" t="str">
        <f t="shared" si="419"/>
        <v/>
      </c>
      <c r="F871" s="2" t="str">
        <f t="shared" si="420"/>
        <v/>
      </c>
      <c r="G871" s="2" t="str">
        <f t="shared" si="421"/>
        <v/>
      </c>
      <c r="H871" s="2" t="str">
        <f t="shared" si="436"/>
        <v/>
      </c>
      <c r="I871" s="2" t="str">
        <f t="shared" si="437"/>
        <v/>
      </c>
      <c r="J871" s="2" t="str">
        <f t="shared" si="438"/>
        <v/>
      </c>
      <c r="K871" s="2" t="str">
        <f t="shared" si="422"/>
        <v/>
      </c>
      <c r="L871" s="2" t="str">
        <f t="shared" si="423"/>
        <v/>
      </c>
      <c r="M871" s="2" t="str">
        <f t="shared" si="424"/>
        <v/>
      </c>
      <c r="N871" s="2" t="str">
        <f t="shared" si="439"/>
        <v/>
      </c>
      <c r="O871" s="2" t="str">
        <f t="shared" si="440"/>
        <v/>
      </c>
      <c r="P871" s="2" t="str">
        <f t="shared" si="441"/>
        <v/>
      </c>
      <c r="Q871" s="2" t="str">
        <f t="shared" si="425"/>
        <v/>
      </c>
      <c r="R871" s="2" t="str">
        <f t="shared" si="426"/>
        <v/>
      </c>
      <c r="S871" s="2" t="str">
        <f t="shared" si="427"/>
        <v/>
      </c>
      <c r="T871" s="2" t="str">
        <f t="shared" si="442"/>
        <v/>
      </c>
      <c r="U871" s="2" t="str">
        <f t="shared" si="443"/>
        <v/>
      </c>
      <c r="V871" s="2" t="str">
        <f t="shared" si="444"/>
        <v/>
      </c>
      <c r="W871" s="2" t="str">
        <f t="shared" si="428"/>
        <v/>
      </c>
      <c r="X871" s="2" t="str">
        <f t="shared" si="429"/>
        <v/>
      </c>
      <c r="Y871" s="2" t="str">
        <f t="shared" si="430"/>
        <v/>
      </c>
      <c r="Z871" s="2" t="str">
        <f t="shared" si="445"/>
        <v/>
      </c>
      <c r="AA871" s="2" t="str">
        <f t="shared" si="446"/>
        <v/>
      </c>
      <c r="AB871" s="2" t="str">
        <f t="shared" si="447"/>
        <v/>
      </c>
      <c r="AC871" s="2" t="str">
        <f t="shared" si="431"/>
        <v/>
      </c>
      <c r="AD871" s="2" t="str">
        <f t="shared" si="432"/>
        <v/>
      </c>
      <c r="AE871" s="2" t="str">
        <f t="shared" si="433"/>
        <v/>
      </c>
      <c r="AF871" s="2" t="str">
        <f t="shared" si="434"/>
        <v/>
      </c>
    </row>
    <row r="872" spans="1:32" x14ac:dyDescent="0.2">
      <c r="A872" s="2" t="str">
        <f t="shared" si="435"/>
        <v/>
      </c>
      <c r="B872" s="2" t="str">
        <f t="shared" si="416"/>
        <v/>
      </c>
      <c r="C872" s="2" t="str">
        <f t="shared" si="417"/>
        <v/>
      </c>
      <c r="D872" s="2" t="str">
        <f t="shared" si="418"/>
        <v/>
      </c>
      <c r="E872" s="2" t="str">
        <f t="shared" si="419"/>
        <v/>
      </c>
      <c r="F872" s="2" t="str">
        <f t="shared" si="420"/>
        <v/>
      </c>
      <c r="G872" s="2" t="str">
        <f t="shared" si="421"/>
        <v/>
      </c>
      <c r="H872" s="2" t="str">
        <f t="shared" si="436"/>
        <v/>
      </c>
      <c r="I872" s="2" t="str">
        <f t="shared" si="437"/>
        <v/>
      </c>
      <c r="J872" s="2" t="str">
        <f t="shared" si="438"/>
        <v/>
      </c>
      <c r="K872" s="2" t="str">
        <f t="shared" si="422"/>
        <v/>
      </c>
      <c r="L872" s="2" t="str">
        <f t="shared" si="423"/>
        <v/>
      </c>
      <c r="M872" s="2" t="str">
        <f t="shared" si="424"/>
        <v/>
      </c>
      <c r="N872" s="2" t="str">
        <f t="shared" si="439"/>
        <v/>
      </c>
      <c r="O872" s="2" t="str">
        <f t="shared" si="440"/>
        <v/>
      </c>
      <c r="P872" s="2" t="str">
        <f t="shared" si="441"/>
        <v/>
      </c>
      <c r="Q872" s="2" t="str">
        <f t="shared" si="425"/>
        <v/>
      </c>
      <c r="R872" s="2" t="str">
        <f t="shared" si="426"/>
        <v/>
      </c>
      <c r="S872" s="2" t="str">
        <f t="shared" si="427"/>
        <v/>
      </c>
      <c r="T872" s="2" t="str">
        <f t="shared" si="442"/>
        <v/>
      </c>
      <c r="U872" s="2" t="str">
        <f t="shared" si="443"/>
        <v/>
      </c>
      <c r="V872" s="2" t="str">
        <f t="shared" si="444"/>
        <v/>
      </c>
      <c r="W872" s="2" t="str">
        <f t="shared" si="428"/>
        <v/>
      </c>
      <c r="X872" s="2" t="str">
        <f t="shared" si="429"/>
        <v/>
      </c>
      <c r="Y872" s="2" t="str">
        <f t="shared" si="430"/>
        <v/>
      </c>
      <c r="Z872" s="2" t="str">
        <f t="shared" si="445"/>
        <v/>
      </c>
      <c r="AA872" s="2" t="str">
        <f t="shared" si="446"/>
        <v/>
      </c>
      <c r="AB872" s="2" t="str">
        <f t="shared" si="447"/>
        <v/>
      </c>
      <c r="AC872" s="2" t="str">
        <f t="shared" si="431"/>
        <v/>
      </c>
      <c r="AD872" s="2" t="str">
        <f t="shared" si="432"/>
        <v/>
      </c>
      <c r="AE872" s="2" t="str">
        <f t="shared" si="433"/>
        <v/>
      </c>
      <c r="AF872" s="2" t="str">
        <f t="shared" si="434"/>
        <v/>
      </c>
    </row>
    <row r="873" spans="1:32" x14ac:dyDescent="0.2">
      <c r="A873" s="2" t="str">
        <f t="shared" si="435"/>
        <v/>
      </c>
      <c r="B873" s="2" t="str">
        <f t="shared" si="416"/>
        <v/>
      </c>
      <c r="C873" s="2" t="str">
        <f t="shared" si="417"/>
        <v/>
      </c>
      <c r="D873" s="2" t="str">
        <f t="shared" si="418"/>
        <v/>
      </c>
      <c r="E873" s="2" t="str">
        <f t="shared" si="419"/>
        <v/>
      </c>
      <c r="F873" s="2" t="str">
        <f t="shared" si="420"/>
        <v/>
      </c>
      <c r="G873" s="2" t="str">
        <f t="shared" si="421"/>
        <v/>
      </c>
      <c r="H873" s="2" t="str">
        <f t="shared" si="436"/>
        <v/>
      </c>
      <c r="I873" s="2" t="str">
        <f t="shared" si="437"/>
        <v/>
      </c>
      <c r="J873" s="2" t="str">
        <f t="shared" si="438"/>
        <v/>
      </c>
      <c r="K873" s="2" t="str">
        <f t="shared" si="422"/>
        <v/>
      </c>
      <c r="L873" s="2" t="str">
        <f t="shared" si="423"/>
        <v/>
      </c>
      <c r="M873" s="2" t="str">
        <f t="shared" si="424"/>
        <v/>
      </c>
      <c r="N873" s="2" t="str">
        <f t="shared" si="439"/>
        <v/>
      </c>
      <c r="O873" s="2" t="str">
        <f t="shared" si="440"/>
        <v/>
      </c>
      <c r="P873" s="2" t="str">
        <f t="shared" si="441"/>
        <v/>
      </c>
      <c r="Q873" s="2" t="str">
        <f t="shared" si="425"/>
        <v/>
      </c>
      <c r="R873" s="2" t="str">
        <f t="shared" si="426"/>
        <v/>
      </c>
      <c r="S873" s="2" t="str">
        <f t="shared" si="427"/>
        <v/>
      </c>
      <c r="T873" s="2" t="str">
        <f t="shared" si="442"/>
        <v/>
      </c>
      <c r="U873" s="2" t="str">
        <f t="shared" si="443"/>
        <v/>
      </c>
      <c r="V873" s="2" t="str">
        <f t="shared" si="444"/>
        <v/>
      </c>
      <c r="W873" s="2" t="str">
        <f t="shared" si="428"/>
        <v/>
      </c>
      <c r="X873" s="2" t="str">
        <f t="shared" si="429"/>
        <v/>
      </c>
      <c r="Y873" s="2" t="str">
        <f t="shared" si="430"/>
        <v/>
      </c>
      <c r="Z873" s="2" t="str">
        <f t="shared" si="445"/>
        <v/>
      </c>
      <c r="AA873" s="2" t="str">
        <f t="shared" si="446"/>
        <v/>
      </c>
      <c r="AB873" s="2" t="str">
        <f t="shared" si="447"/>
        <v/>
      </c>
      <c r="AC873" s="2" t="str">
        <f t="shared" si="431"/>
        <v/>
      </c>
      <c r="AD873" s="2" t="str">
        <f t="shared" si="432"/>
        <v/>
      </c>
      <c r="AE873" s="2" t="str">
        <f t="shared" si="433"/>
        <v/>
      </c>
      <c r="AF873" s="2" t="str">
        <f t="shared" si="434"/>
        <v/>
      </c>
    </row>
    <row r="874" spans="1:32" x14ac:dyDescent="0.2">
      <c r="A874" s="2" t="str">
        <f t="shared" si="435"/>
        <v/>
      </c>
      <c r="B874" s="2" t="str">
        <f t="shared" si="416"/>
        <v/>
      </c>
      <c r="C874" s="2" t="str">
        <f t="shared" si="417"/>
        <v/>
      </c>
      <c r="D874" s="2" t="str">
        <f t="shared" si="418"/>
        <v/>
      </c>
      <c r="E874" s="2" t="str">
        <f t="shared" si="419"/>
        <v/>
      </c>
      <c r="F874" s="2" t="str">
        <f t="shared" si="420"/>
        <v/>
      </c>
      <c r="G874" s="2" t="str">
        <f t="shared" si="421"/>
        <v/>
      </c>
      <c r="H874" s="2" t="str">
        <f t="shared" si="436"/>
        <v/>
      </c>
      <c r="I874" s="2" t="str">
        <f t="shared" si="437"/>
        <v/>
      </c>
      <c r="J874" s="2" t="str">
        <f t="shared" si="438"/>
        <v/>
      </c>
      <c r="K874" s="2" t="str">
        <f t="shared" si="422"/>
        <v/>
      </c>
      <c r="L874" s="2" t="str">
        <f t="shared" si="423"/>
        <v/>
      </c>
      <c r="M874" s="2" t="str">
        <f t="shared" si="424"/>
        <v/>
      </c>
      <c r="N874" s="2" t="str">
        <f t="shared" si="439"/>
        <v/>
      </c>
      <c r="O874" s="2" t="str">
        <f t="shared" si="440"/>
        <v/>
      </c>
      <c r="P874" s="2" t="str">
        <f t="shared" si="441"/>
        <v/>
      </c>
      <c r="Q874" s="2" t="str">
        <f t="shared" si="425"/>
        <v/>
      </c>
      <c r="R874" s="2" t="str">
        <f t="shared" si="426"/>
        <v/>
      </c>
      <c r="S874" s="2" t="str">
        <f t="shared" si="427"/>
        <v/>
      </c>
      <c r="T874" s="2" t="str">
        <f t="shared" si="442"/>
        <v/>
      </c>
      <c r="U874" s="2" t="str">
        <f t="shared" si="443"/>
        <v/>
      </c>
      <c r="V874" s="2" t="str">
        <f t="shared" si="444"/>
        <v/>
      </c>
      <c r="W874" s="2" t="str">
        <f t="shared" si="428"/>
        <v/>
      </c>
      <c r="X874" s="2" t="str">
        <f t="shared" si="429"/>
        <v/>
      </c>
      <c r="Y874" s="2" t="str">
        <f t="shared" si="430"/>
        <v/>
      </c>
      <c r="Z874" s="2" t="str">
        <f t="shared" si="445"/>
        <v/>
      </c>
      <c r="AA874" s="2" t="str">
        <f t="shared" si="446"/>
        <v/>
      </c>
      <c r="AB874" s="2" t="str">
        <f t="shared" si="447"/>
        <v/>
      </c>
      <c r="AC874" s="2" t="str">
        <f t="shared" si="431"/>
        <v/>
      </c>
      <c r="AD874" s="2" t="str">
        <f t="shared" si="432"/>
        <v/>
      </c>
      <c r="AE874" s="2" t="str">
        <f t="shared" si="433"/>
        <v/>
      </c>
      <c r="AF874" s="2" t="str">
        <f t="shared" si="434"/>
        <v/>
      </c>
    </row>
    <row r="875" spans="1:32" x14ac:dyDescent="0.2">
      <c r="A875" s="2" t="str">
        <f t="shared" si="435"/>
        <v/>
      </c>
      <c r="B875" s="2" t="str">
        <f t="shared" si="416"/>
        <v/>
      </c>
      <c r="C875" s="2" t="str">
        <f t="shared" si="417"/>
        <v/>
      </c>
      <c r="D875" s="2" t="str">
        <f t="shared" si="418"/>
        <v/>
      </c>
      <c r="E875" s="2" t="str">
        <f t="shared" si="419"/>
        <v/>
      </c>
      <c r="F875" s="2" t="str">
        <f t="shared" si="420"/>
        <v/>
      </c>
      <c r="G875" s="2" t="str">
        <f t="shared" si="421"/>
        <v/>
      </c>
      <c r="H875" s="2" t="str">
        <f t="shared" si="436"/>
        <v/>
      </c>
      <c r="I875" s="2" t="str">
        <f t="shared" si="437"/>
        <v/>
      </c>
      <c r="J875" s="2" t="str">
        <f t="shared" si="438"/>
        <v/>
      </c>
      <c r="K875" s="2" t="str">
        <f t="shared" si="422"/>
        <v/>
      </c>
      <c r="L875" s="2" t="str">
        <f t="shared" si="423"/>
        <v/>
      </c>
      <c r="M875" s="2" t="str">
        <f t="shared" si="424"/>
        <v/>
      </c>
      <c r="N875" s="2" t="str">
        <f t="shared" si="439"/>
        <v/>
      </c>
      <c r="O875" s="2" t="str">
        <f t="shared" si="440"/>
        <v/>
      </c>
      <c r="P875" s="2" t="str">
        <f t="shared" si="441"/>
        <v/>
      </c>
      <c r="Q875" s="2" t="str">
        <f t="shared" si="425"/>
        <v/>
      </c>
      <c r="R875" s="2" t="str">
        <f t="shared" si="426"/>
        <v/>
      </c>
      <c r="S875" s="2" t="str">
        <f t="shared" si="427"/>
        <v/>
      </c>
      <c r="T875" s="2" t="str">
        <f t="shared" si="442"/>
        <v/>
      </c>
      <c r="U875" s="2" t="str">
        <f t="shared" si="443"/>
        <v/>
      </c>
      <c r="V875" s="2" t="str">
        <f t="shared" si="444"/>
        <v/>
      </c>
      <c r="W875" s="2" t="str">
        <f t="shared" si="428"/>
        <v/>
      </c>
      <c r="X875" s="2" t="str">
        <f t="shared" si="429"/>
        <v/>
      </c>
      <c r="Y875" s="2" t="str">
        <f t="shared" si="430"/>
        <v/>
      </c>
      <c r="Z875" s="2" t="str">
        <f t="shared" si="445"/>
        <v/>
      </c>
      <c r="AA875" s="2" t="str">
        <f t="shared" si="446"/>
        <v/>
      </c>
      <c r="AB875" s="2" t="str">
        <f t="shared" si="447"/>
        <v/>
      </c>
      <c r="AC875" s="2" t="str">
        <f t="shared" si="431"/>
        <v/>
      </c>
      <c r="AD875" s="2" t="str">
        <f t="shared" si="432"/>
        <v/>
      </c>
      <c r="AE875" s="2" t="str">
        <f t="shared" si="433"/>
        <v/>
      </c>
      <c r="AF875" s="2" t="str">
        <f t="shared" si="434"/>
        <v/>
      </c>
    </row>
    <row r="876" spans="1:32" x14ac:dyDescent="0.2">
      <c r="A876" s="2" t="str">
        <f t="shared" si="435"/>
        <v/>
      </c>
      <c r="B876" s="2" t="str">
        <f t="shared" si="416"/>
        <v/>
      </c>
      <c r="C876" s="2" t="str">
        <f t="shared" si="417"/>
        <v/>
      </c>
      <c r="D876" s="2" t="str">
        <f t="shared" si="418"/>
        <v/>
      </c>
      <c r="E876" s="2" t="str">
        <f t="shared" si="419"/>
        <v/>
      </c>
      <c r="F876" s="2" t="str">
        <f t="shared" si="420"/>
        <v/>
      </c>
      <c r="G876" s="2" t="str">
        <f t="shared" si="421"/>
        <v/>
      </c>
      <c r="H876" s="2" t="str">
        <f t="shared" si="436"/>
        <v/>
      </c>
      <c r="I876" s="2" t="str">
        <f t="shared" si="437"/>
        <v/>
      </c>
      <c r="J876" s="2" t="str">
        <f t="shared" si="438"/>
        <v/>
      </c>
      <c r="K876" s="2" t="str">
        <f t="shared" si="422"/>
        <v/>
      </c>
      <c r="L876" s="2" t="str">
        <f t="shared" si="423"/>
        <v/>
      </c>
      <c r="M876" s="2" t="str">
        <f t="shared" si="424"/>
        <v/>
      </c>
      <c r="N876" s="2" t="str">
        <f t="shared" si="439"/>
        <v/>
      </c>
      <c r="O876" s="2" t="str">
        <f t="shared" si="440"/>
        <v/>
      </c>
      <c r="P876" s="2" t="str">
        <f t="shared" si="441"/>
        <v/>
      </c>
      <c r="Q876" s="2" t="str">
        <f t="shared" si="425"/>
        <v/>
      </c>
      <c r="R876" s="2" t="str">
        <f t="shared" si="426"/>
        <v/>
      </c>
      <c r="S876" s="2" t="str">
        <f t="shared" si="427"/>
        <v/>
      </c>
      <c r="T876" s="2" t="str">
        <f t="shared" si="442"/>
        <v/>
      </c>
      <c r="U876" s="2" t="str">
        <f t="shared" si="443"/>
        <v/>
      </c>
      <c r="V876" s="2" t="str">
        <f t="shared" si="444"/>
        <v/>
      </c>
      <c r="W876" s="2" t="str">
        <f t="shared" si="428"/>
        <v/>
      </c>
      <c r="X876" s="2" t="str">
        <f t="shared" si="429"/>
        <v/>
      </c>
      <c r="Y876" s="2" t="str">
        <f t="shared" si="430"/>
        <v/>
      </c>
      <c r="Z876" s="2" t="str">
        <f t="shared" si="445"/>
        <v/>
      </c>
      <c r="AA876" s="2" t="str">
        <f t="shared" si="446"/>
        <v/>
      </c>
      <c r="AB876" s="2" t="str">
        <f t="shared" si="447"/>
        <v/>
      </c>
      <c r="AC876" s="2" t="str">
        <f t="shared" si="431"/>
        <v/>
      </c>
      <c r="AD876" s="2" t="str">
        <f t="shared" si="432"/>
        <v/>
      </c>
      <c r="AE876" s="2" t="str">
        <f t="shared" si="433"/>
        <v/>
      </c>
      <c r="AF876" s="2" t="str">
        <f t="shared" si="434"/>
        <v/>
      </c>
    </row>
    <row r="877" spans="1:32" x14ac:dyDescent="0.2">
      <c r="A877" s="2" t="str">
        <f t="shared" si="435"/>
        <v/>
      </c>
      <c r="B877" s="2" t="str">
        <f t="shared" si="416"/>
        <v/>
      </c>
      <c r="C877" s="2" t="str">
        <f t="shared" si="417"/>
        <v/>
      </c>
      <c r="D877" s="2" t="str">
        <f t="shared" si="418"/>
        <v/>
      </c>
      <c r="E877" s="2" t="str">
        <f t="shared" si="419"/>
        <v/>
      </c>
      <c r="F877" s="2" t="str">
        <f t="shared" si="420"/>
        <v/>
      </c>
      <c r="G877" s="2" t="str">
        <f t="shared" si="421"/>
        <v/>
      </c>
      <c r="H877" s="2" t="str">
        <f t="shared" si="436"/>
        <v/>
      </c>
      <c r="I877" s="2" t="str">
        <f t="shared" si="437"/>
        <v/>
      </c>
      <c r="J877" s="2" t="str">
        <f t="shared" si="438"/>
        <v/>
      </c>
      <c r="K877" s="2" t="str">
        <f t="shared" si="422"/>
        <v/>
      </c>
      <c r="L877" s="2" t="str">
        <f t="shared" si="423"/>
        <v/>
      </c>
      <c r="M877" s="2" t="str">
        <f t="shared" si="424"/>
        <v/>
      </c>
      <c r="N877" s="2" t="str">
        <f t="shared" si="439"/>
        <v/>
      </c>
      <c r="O877" s="2" t="str">
        <f t="shared" si="440"/>
        <v/>
      </c>
      <c r="P877" s="2" t="str">
        <f t="shared" si="441"/>
        <v/>
      </c>
      <c r="Q877" s="2" t="str">
        <f t="shared" si="425"/>
        <v/>
      </c>
      <c r="R877" s="2" t="str">
        <f t="shared" si="426"/>
        <v/>
      </c>
      <c r="S877" s="2" t="str">
        <f t="shared" si="427"/>
        <v/>
      </c>
      <c r="T877" s="2" t="str">
        <f t="shared" si="442"/>
        <v/>
      </c>
      <c r="U877" s="2" t="str">
        <f t="shared" si="443"/>
        <v/>
      </c>
      <c r="V877" s="2" t="str">
        <f t="shared" si="444"/>
        <v/>
      </c>
      <c r="W877" s="2" t="str">
        <f t="shared" si="428"/>
        <v/>
      </c>
      <c r="X877" s="2" t="str">
        <f t="shared" si="429"/>
        <v/>
      </c>
      <c r="Y877" s="2" t="str">
        <f t="shared" si="430"/>
        <v/>
      </c>
      <c r="Z877" s="2" t="str">
        <f t="shared" si="445"/>
        <v/>
      </c>
      <c r="AA877" s="2" t="str">
        <f t="shared" si="446"/>
        <v/>
      </c>
      <c r="AB877" s="2" t="str">
        <f t="shared" si="447"/>
        <v/>
      </c>
      <c r="AC877" s="2" t="str">
        <f t="shared" si="431"/>
        <v/>
      </c>
      <c r="AD877" s="2" t="str">
        <f t="shared" si="432"/>
        <v/>
      </c>
      <c r="AE877" s="2" t="str">
        <f t="shared" si="433"/>
        <v/>
      </c>
      <c r="AF877" s="2" t="str">
        <f t="shared" si="434"/>
        <v/>
      </c>
    </row>
    <row r="878" spans="1:32" x14ac:dyDescent="0.2">
      <c r="A878" s="2" t="str">
        <f t="shared" si="435"/>
        <v/>
      </c>
      <c r="B878" s="2" t="str">
        <f t="shared" si="416"/>
        <v/>
      </c>
      <c r="C878" s="2" t="str">
        <f t="shared" si="417"/>
        <v/>
      </c>
      <c r="D878" s="2" t="str">
        <f t="shared" si="418"/>
        <v/>
      </c>
      <c r="E878" s="2" t="str">
        <f t="shared" si="419"/>
        <v/>
      </c>
      <c r="F878" s="2" t="str">
        <f t="shared" si="420"/>
        <v/>
      </c>
      <c r="G878" s="2" t="str">
        <f t="shared" si="421"/>
        <v/>
      </c>
      <c r="H878" s="2" t="str">
        <f t="shared" si="436"/>
        <v/>
      </c>
      <c r="I878" s="2" t="str">
        <f t="shared" si="437"/>
        <v/>
      </c>
      <c r="J878" s="2" t="str">
        <f t="shared" si="438"/>
        <v/>
      </c>
      <c r="K878" s="2" t="str">
        <f t="shared" si="422"/>
        <v/>
      </c>
      <c r="L878" s="2" t="str">
        <f t="shared" si="423"/>
        <v/>
      </c>
      <c r="M878" s="2" t="str">
        <f t="shared" si="424"/>
        <v/>
      </c>
      <c r="N878" s="2" t="str">
        <f t="shared" si="439"/>
        <v/>
      </c>
      <c r="O878" s="2" t="str">
        <f t="shared" si="440"/>
        <v/>
      </c>
      <c r="P878" s="2" t="str">
        <f t="shared" si="441"/>
        <v/>
      </c>
      <c r="Q878" s="2" t="str">
        <f t="shared" si="425"/>
        <v/>
      </c>
      <c r="R878" s="2" t="str">
        <f t="shared" si="426"/>
        <v/>
      </c>
      <c r="S878" s="2" t="str">
        <f t="shared" si="427"/>
        <v/>
      </c>
      <c r="T878" s="2" t="str">
        <f t="shared" si="442"/>
        <v/>
      </c>
      <c r="U878" s="2" t="str">
        <f t="shared" si="443"/>
        <v/>
      </c>
      <c r="V878" s="2" t="str">
        <f t="shared" si="444"/>
        <v/>
      </c>
      <c r="W878" s="2" t="str">
        <f t="shared" si="428"/>
        <v/>
      </c>
      <c r="X878" s="2" t="str">
        <f t="shared" si="429"/>
        <v/>
      </c>
      <c r="Y878" s="2" t="str">
        <f t="shared" si="430"/>
        <v/>
      </c>
      <c r="Z878" s="2" t="str">
        <f t="shared" si="445"/>
        <v/>
      </c>
      <c r="AA878" s="2" t="str">
        <f t="shared" si="446"/>
        <v/>
      </c>
      <c r="AB878" s="2" t="str">
        <f t="shared" si="447"/>
        <v/>
      </c>
      <c r="AC878" s="2" t="str">
        <f t="shared" si="431"/>
        <v/>
      </c>
      <c r="AD878" s="2" t="str">
        <f t="shared" si="432"/>
        <v/>
      </c>
      <c r="AE878" s="2" t="str">
        <f t="shared" si="433"/>
        <v/>
      </c>
      <c r="AF878" s="2" t="str">
        <f t="shared" si="434"/>
        <v/>
      </c>
    </row>
    <row r="879" spans="1:32" x14ac:dyDescent="0.2">
      <c r="A879" s="2" t="str">
        <f t="shared" si="435"/>
        <v/>
      </c>
      <c r="B879" s="2" t="str">
        <f t="shared" si="416"/>
        <v/>
      </c>
      <c r="C879" s="2" t="str">
        <f t="shared" si="417"/>
        <v/>
      </c>
      <c r="D879" s="2" t="str">
        <f t="shared" si="418"/>
        <v/>
      </c>
      <c r="E879" s="2" t="str">
        <f t="shared" si="419"/>
        <v/>
      </c>
      <c r="F879" s="2" t="str">
        <f t="shared" si="420"/>
        <v/>
      </c>
      <c r="G879" s="2" t="str">
        <f t="shared" si="421"/>
        <v/>
      </c>
      <c r="H879" s="2" t="str">
        <f t="shared" si="436"/>
        <v/>
      </c>
      <c r="I879" s="2" t="str">
        <f t="shared" si="437"/>
        <v/>
      </c>
      <c r="J879" s="2" t="str">
        <f t="shared" si="438"/>
        <v/>
      </c>
      <c r="K879" s="2" t="str">
        <f t="shared" si="422"/>
        <v/>
      </c>
      <c r="L879" s="2" t="str">
        <f t="shared" si="423"/>
        <v/>
      </c>
      <c r="M879" s="2" t="str">
        <f t="shared" si="424"/>
        <v/>
      </c>
      <c r="N879" s="2" t="str">
        <f t="shared" si="439"/>
        <v/>
      </c>
      <c r="O879" s="2" t="str">
        <f t="shared" si="440"/>
        <v/>
      </c>
      <c r="P879" s="2" t="str">
        <f t="shared" si="441"/>
        <v/>
      </c>
      <c r="Q879" s="2" t="str">
        <f t="shared" si="425"/>
        <v/>
      </c>
      <c r="R879" s="2" t="str">
        <f t="shared" si="426"/>
        <v/>
      </c>
      <c r="S879" s="2" t="str">
        <f t="shared" si="427"/>
        <v/>
      </c>
      <c r="T879" s="2" t="str">
        <f t="shared" si="442"/>
        <v/>
      </c>
      <c r="U879" s="2" t="str">
        <f t="shared" si="443"/>
        <v/>
      </c>
      <c r="V879" s="2" t="str">
        <f t="shared" si="444"/>
        <v/>
      </c>
      <c r="W879" s="2" t="str">
        <f t="shared" si="428"/>
        <v/>
      </c>
      <c r="X879" s="2" t="str">
        <f t="shared" si="429"/>
        <v/>
      </c>
      <c r="Y879" s="2" t="str">
        <f t="shared" si="430"/>
        <v/>
      </c>
      <c r="Z879" s="2" t="str">
        <f t="shared" si="445"/>
        <v/>
      </c>
      <c r="AA879" s="2" t="str">
        <f t="shared" si="446"/>
        <v/>
      </c>
      <c r="AB879" s="2" t="str">
        <f t="shared" si="447"/>
        <v/>
      </c>
      <c r="AC879" s="2" t="str">
        <f t="shared" si="431"/>
        <v/>
      </c>
      <c r="AD879" s="2" t="str">
        <f t="shared" si="432"/>
        <v/>
      </c>
      <c r="AE879" s="2" t="str">
        <f t="shared" si="433"/>
        <v/>
      </c>
      <c r="AF879" s="2" t="str">
        <f t="shared" si="434"/>
        <v/>
      </c>
    </row>
    <row r="880" spans="1:32" x14ac:dyDescent="0.2">
      <c r="A880" s="2" t="str">
        <f t="shared" si="435"/>
        <v/>
      </c>
      <c r="B880" s="2" t="str">
        <f t="shared" si="416"/>
        <v/>
      </c>
      <c r="C880" s="2" t="str">
        <f t="shared" si="417"/>
        <v/>
      </c>
      <c r="D880" s="2" t="str">
        <f t="shared" si="418"/>
        <v/>
      </c>
      <c r="E880" s="2" t="str">
        <f t="shared" si="419"/>
        <v/>
      </c>
      <c r="F880" s="2" t="str">
        <f t="shared" si="420"/>
        <v/>
      </c>
      <c r="G880" s="2" t="str">
        <f t="shared" si="421"/>
        <v/>
      </c>
      <c r="H880" s="2" t="str">
        <f t="shared" si="436"/>
        <v/>
      </c>
      <c r="I880" s="2" t="str">
        <f t="shared" si="437"/>
        <v/>
      </c>
      <c r="J880" s="2" t="str">
        <f t="shared" si="438"/>
        <v/>
      </c>
      <c r="K880" s="2" t="str">
        <f t="shared" si="422"/>
        <v/>
      </c>
      <c r="L880" s="2" t="str">
        <f t="shared" si="423"/>
        <v/>
      </c>
      <c r="M880" s="2" t="str">
        <f t="shared" si="424"/>
        <v/>
      </c>
      <c r="N880" s="2" t="str">
        <f t="shared" si="439"/>
        <v/>
      </c>
      <c r="O880" s="2" t="str">
        <f t="shared" si="440"/>
        <v/>
      </c>
      <c r="P880" s="2" t="str">
        <f t="shared" si="441"/>
        <v/>
      </c>
      <c r="Q880" s="2" t="str">
        <f t="shared" si="425"/>
        <v/>
      </c>
      <c r="R880" s="2" t="str">
        <f t="shared" si="426"/>
        <v/>
      </c>
      <c r="S880" s="2" t="str">
        <f t="shared" si="427"/>
        <v/>
      </c>
      <c r="T880" s="2" t="str">
        <f t="shared" si="442"/>
        <v/>
      </c>
      <c r="U880" s="2" t="str">
        <f t="shared" si="443"/>
        <v/>
      </c>
      <c r="V880" s="2" t="str">
        <f t="shared" si="444"/>
        <v/>
      </c>
      <c r="W880" s="2" t="str">
        <f t="shared" si="428"/>
        <v/>
      </c>
      <c r="X880" s="2" t="str">
        <f t="shared" si="429"/>
        <v/>
      </c>
      <c r="Y880" s="2" t="str">
        <f t="shared" si="430"/>
        <v/>
      </c>
      <c r="Z880" s="2" t="str">
        <f t="shared" si="445"/>
        <v/>
      </c>
      <c r="AA880" s="2" t="str">
        <f t="shared" si="446"/>
        <v/>
      </c>
      <c r="AB880" s="2" t="str">
        <f t="shared" si="447"/>
        <v/>
      </c>
      <c r="AC880" s="2" t="str">
        <f t="shared" si="431"/>
        <v/>
      </c>
      <c r="AD880" s="2" t="str">
        <f t="shared" si="432"/>
        <v/>
      </c>
      <c r="AE880" s="2" t="str">
        <f t="shared" si="433"/>
        <v/>
      </c>
      <c r="AF880" s="2" t="str">
        <f t="shared" si="434"/>
        <v/>
      </c>
    </row>
    <row r="881" spans="1:32" x14ac:dyDescent="0.2">
      <c r="A881" s="2" t="str">
        <f t="shared" si="435"/>
        <v/>
      </c>
      <c r="B881" s="2" t="str">
        <f t="shared" si="416"/>
        <v/>
      </c>
      <c r="C881" s="2" t="str">
        <f t="shared" si="417"/>
        <v/>
      </c>
      <c r="D881" s="2" t="str">
        <f t="shared" si="418"/>
        <v/>
      </c>
      <c r="E881" s="2" t="str">
        <f t="shared" si="419"/>
        <v/>
      </c>
      <c r="F881" s="2" t="str">
        <f t="shared" si="420"/>
        <v/>
      </c>
      <c r="G881" s="2" t="str">
        <f t="shared" si="421"/>
        <v/>
      </c>
      <c r="H881" s="2" t="str">
        <f t="shared" si="436"/>
        <v/>
      </c>
      <c r="I881" s="2" t="str">
        <f t="shared" si="437"/>
        <v/>
      </c>
      <c r="J881" s="2" t="str">
        <f t="shared" si="438"/>
        <v/>
      </c>
      <c r="K881" s="2" t="str">
        <f t="shared" si="422"/>
        <v/>
      </c>
      <c r="L881" s="2" t="str">
        <f t="shared" si="423"/>
        <v/>
      </c>
      <c r="M881" s="2" t="str">
        <f t="shared" si="424"/>
        <v/>
      </c>
      <c r="N881" s="2" t="str">
        <f t="shared" si="439"/>
        <v/>
      </c>
      <c r="O881" s="2" t="str">
        <f t="shared" si="440"/>
        <v/>
      </c>
      <c r="P881" s="2" t="str">
        <f t="shared" si="441"/>
        <v/>
      </c>
      <c r="Q881" s="2" t="str">
        <f t="shared" si="425"/>
        <v/>
      </c>
      <c r="R881" s="2" t="str">
        <f t="shared" si="426"/>
        <v/>
      </c>
      <c r="S881" s="2" t="str">
        <f t="shared" si="427"/>
        <v/>
      </c>
      <c r="T881" s="2" t="str">
        <f t="shared" si="442"/>
        <v/>
      </c>
      <c r="U881" s="2" t="str">
        <f t="shared" si="443"/>
        <v/>
      </c>
      <c r="V881" s="2" t="str">
        <f t="shared" si="444"/>
        <v/>
      </c>
      <c r="W881" s="2" t="str">
        <f t="shared" si="428"/>
        <v/>
      </c>
      <c r="X881" s="2" t="str">
        <f t="shared" si="429"/>
        <v/>
      </c>
      <c r="Y881" s="2" t="str">
        <f t="shared" si="430"/>
        <v/>
      </c>
      <c r="Z881" s="2" t="str">
        <f t="shared" si="445"/>
        <v/>
      </c>
      <c r="AA881" s="2" t="str">
        <f t="shared" si="446"/>
        <v/>
      </c>
      <c r="AB881" s="2" t="str">
        <f t="shared" si="447"/>
        <v/>
      </c>
      <c r="AC881" s="2" t="str">
        <f t="shared" si="431"/>
        <v/>
      </c>
      <c r="AD881" s="2" t="str">
        <f t="shared" si="432"/>
        <v/>
      </c>
      <c r="AE881" s="2" t="str">
        <f t="shared" si="433"/>
        <v/>
      </c>
      <c r="AF881" s="2" t="str">
        <f t="shared" si="434"/>
        <v/>
      </c>
    </row>
    <row r="882" spans="1:32" x14ac:dyDescent="0.2">
      <c r="A882" s="2" t="str">
        <f t="shared" si="435"/>
        <v/>
      </c>
      <c r="B882" s="2" t="str">
        <f t="shared" si="416"/>
        <v/>
      </c>
      <c r="C882" s="2" t="str">
        <f t="shared" si="417"/>
        <v/>
      </c>
      <c r="D882" s="2" t="str">
        <f t="shared" si="418"/>
        <v/>
      </c>
      <c r="E882" s="2" t="str">
        <f t="shared" si="419"/>
        <v/>
      </c>
      <c r="F882" s="2" t="str">
        <f t="shared" si="420"/>
        <v/>
      </c>
      <c r="G882" s="2" t="str">
        <f t="shared" si="421"/>
        <v/>
      </c>
      <c r="H882" s="2" t="str">
        <f t="shared" si="436"/>
        <v/>
      </c>
      <c r="I882" s="2" t="str">
        <f t="shared" si="437"/>
        <v/>
      </c>
      <c r="J882" s="2" t="str">
        <f t="shared" si="438"/>
        <v/>
      </c>
      <c r="K882" s="2" t="str">
        <f t="shared" si="422"/>
        <v/>
      </c>
      <c r="L882" s="2" t="str">
        <f t="shared" si="423"/>
        <v/>
      </c>
      <c r="M882" s="2" t="str">
        <f t="shared" si="424"/>
        <v/>
      </c>
      <c r="N882" s="2" t="str">
        <f t="shared" si="439"/>
        <v/>
      </c>
      <c r="O882" s="2" t="str">
        <f t="shared" si="440"/>
        <v/>
      </c>
      <c r="P882" s="2" t="str">
        <f t="shared" si="441"/>
        <v/>
      </c>
      <c r="Q882" s="2" t="str">
        <f t="shared" si="425"/>
        <v/>
      </c>
      <c r="R882" s="2" t="str">
        <f t="shared" si="426"/>
        <v/>
      </c>
      <c r="S882" s="2" t="str">
        <f t="shared" si="427"/>
        <v/>
      </c>
      <c r="T882" s="2" t="str">
        <f t="shared" si="442"/>
        <v/>
      </c>
      <c r="U882" s="2" t="str">
        <f t="shared" si="443"/>
        <v/>
      </c>
      <c r="V882" s="2" t="str">
        <f t="shared" si="444"/>
        <v/>
      </c>
      <c r="W882" s="2" t="str">
        <f t="shared" si="428"/>
        <v/>
      </c>
      <c r="X882" s="2" t="str">
        <f t="shared" si="429"/>
        <v/>
      </c>
      <c r="Y882" s="2" t="str">
        <f t="shared" si="430"/>
        <v/>
      </c>
      <c r="Z882" s="2" t="str">
        <f t="shared" si="445"/>
        <v/>
      </c>
      <c r="AA882" s="2" t="str">
        <f t="shared" si="446"/>
        <v/>
      </c>
      <c r="AB882" s="2" t="str">
        <f t="shared" si="447"/>
        <v/>
      </c>
      <c r="AC882" s="2" t="str">
        <f t="shared" si="431"/>
        <v/>
      </c>
      <c r="AD882" s="2" t="str">
        <f t="shared" si="432"/>
        <v/>
      </c>
      <c r="AE882" s="2" t="str">
        <f t="shared" si="433"/>
        <v/>
      </c>
      <c r="AF882" s="2" t="str">
        <f t="shared" si="434"/>
        <v/>
      </c>
    </row>
    <row r="883" spans="1:32" x14ac:dyDescent="0.2">
      <c r="A883" s="2" t="str">
        <f t="shared" si="435"/>
        <v/>
      </c>
      <c r="B883" s="2" t="str">
        <f t="shared" si="416"/>
        <v/>
      </c>
      <c r="C883" s="2" t="str">
        <f t="shared" si="417"/>
        <v/>
      </c>
      <c r="D883" s="2" t="str">
        <f t="shared" si="418"/>
        <v/>
      </c>
      <c r="E883" s="2" t="str">
        <f t="shared" si="419"/>
        <v/>
      </c>
      <c r="F883" s="2" t="str">
        <f t="shared" si="420"/>
        <v/>
      </c>
      <c r="G883" s="2" t="str">
        <f t="shared" si="421"/>
        <v/>
      </c>
      <c r="H883" s="2" t="str">
        <f t="shared" si="436"/>
        <v/>
      </c>
      <c r="I883" s="2" t="str">
        <f t="shared" si="437"/>
        <v/>
      </c>
      <c r="J883" s="2" t="str">
        <f t="shared" si="438"/>
        <v/>
      </c>
      <c r="K883" s="2" t="str">
        <f t="shared" si="422"/>
        <v/>
      </c>
      <c r="L883" s="2" t="str">
        <f t="shared" si="423"/>
        <v/>
      </c>
      <c r="M883" s="2" t="str">
        <f t="shared" si="424"/>
        <v/>
      </c>
      <c r="N883" s="2" t="str">
        <f t="shared" si="439"/>
        <v/>
      </c>
      <c r="O883" s="2" t="str">
        <f t="shared" si="440"/>
        <v/>
      </c>
      <c r="P883" s="2" t="str">
        <f t="shared" si="441"/>
        <v/>
      </c>
      <c r="Q883" s="2" t="str">
        <f t="shared" si="425"/>
        <v/>
      </c>
      <c r="R883" s="2" t="str">
        <f t="shared" si="426"/>
        <v/>
      </c>
      <c r="S883" s="2" t="str">
        <f t="shared" si="427"/>
        <v/>
      </c>
      <c r="T883" s="2" t="str">
        <f t="shared" si="442"/>
        <v/>
      </c>
      <c r="U883" s="2" t="str">
        <f t="shared" si="443"/>
        <v/>
      </c>
      <c r="V883" s="2" t="str">
        <f t="shared" si="444"/>
        <v/>
      </c>
      <c r="W883" s="2" t="str">
        <f t="shared" si="428"/>
        <v/>
      </c>
      <c r="X883" s="2" t="str">
        <f t="shared" si="429"/>
        <v/>
      </c>
      <c r="Y883" s="2" t="str">
        <f t="shared" si="430"/>
        <v/>
      </c>
      <c r="Z883" s="2" t="str">
        <f t="shared" si="445"/>
        <v/>
      </c>
      <c r="AA883" s="2" t="str">
        <f t="shared" si="446"/>
        <v/>
      </c>
      <c r="AB883" s="2" t="str">
        <f t="shared" si="447"/>
        <v/>
      </c>
      <c r="AC883" s="2" t="str">
        <f t="shared" si="431"/>
        <v/>
      </c>
      <c r="AD883" s="2" t="str">
        <f t="shared" si="432"/>
        <v/>
      </c>
      <c r="AE883" s="2" t="str">
        <f t="shared" si="433"/>
        <v/>
      </c>
      <c r="AF883" s="2" t="str">
        <f t="shared" si="434"/>
        <v/>
      </c>
    </row>
    <row r="884" spans="1:32" x14ac:dyDescent="0.2">
      <c r="A884" s="2" t="str">
        <f t="shared" si="435"/>
        <v/>
      </c>
      <c r="B884" s="2" t="str">
        <f t="shared" si="416"/>
        <v/>
      </c>
      <c r="C884" s="2" t="str">
        <f t="shared" si="417"/>
        <v/>
      </c>
      <c r="D884" s="2" t="str">
        <f t="shared" si="418"/>
        <v/>
      </c>
      <c r="E884" s="2" t="str">
        <f t="shared" si="419"/>
        <v/>
      </c>
      <c r="F884" s="2" t="str">
        <f t="shared" si="420"/>
        <v/>
      </c>
      <c r="G884" s="2" t="str">
        <f t="shared" si="421"/>
        <v/>
      </c>
      <c r="H884" s="2" t="str">
        <f t="shared" si="436"/>
        <v/>
      </c>
      <c r="I884" s="2" t="str">
        <f t="shared" si="437"/>
        <v/>
      </c>
      <c r="J884" s="2" t="str">
        <f t="shared" si="438"/>
        <v/>
      </c>
      <c r="K884" s="2" t="str">
        <f t="shared" si="422"/>
        <v/>
      </c>
      <c r="L884" s="2" t="str">
        <f t="shared" si="423"/>
        <v/>
      </c>
      <c r="M884" s="2" t="str">
        <f t="shared" si="424"/>
        <v/>
      </c>
      <c r="N884" s="2" t="str">
        <f t="shared" si="439"/>
        <v/>
      </c>
      <c r="O884" s="2" t="str">
        <f t="shared" si="440"/>
        <v/>
      </c>
      <c r="P884" s="2" t="str">
        <f t="shared" si="441"/>
        <v/>
      </c>
      <c r="Q884" s="2" t="str">
        <f t="shared" si="425"/>
        <v/>
      </c>
      <c r="R884" s="2" t="str">
        <f t="shared" si="426"/>
        <v/>
      </c>
      <c r="S884" s="2" t="str">
        <f t="shared" si="427"/>
        <v/>
      </c>
      <c r="T884" s="2" t="str">
        <f t="shared" si="442"/>
        <v/>
      </c>
      <c r="U884" s="2" t="str">
        <f t="shared" si="443"/>
        <v/>
      </c>
      <c r="V884" s="2" t="str">
        <f t="shared" si="444"/>
        <v/>
      </c>
      <c r="W884" s="2" t="str">
        <f t="shared" si="428"/>
        <v/>
      </c>
      <c r="X884" s="2" t="str">
        <f t="shared" si="429"/>
        <v/>
      </c>
      <c r="Y884" s="2" t="str">
        <f t="shared" si="430"/>
        <v/>
      </c>
      <c r="Z884" s="2" t="str">
        <f t="shared" si="445"/>
        <v/>
      </c>
      <c r="AA884" s="2" t="str">
        <f t="shared" si="446"/>
        <v/>
      </c>
      <c r="AB884" s="2" t="str">
        <f t="shared" si="447"/>
        <v/>
      </c>
      <c r="AC884" s="2" t="str">
        <f t="shared" si="431"/>
        <v/>
      </c>
      <c r="AD884" s="2" t="str">
        <f t="shared" si="432"/>
        <v/>
      </c>
      <c r="AE884" s="2" t="str">
        <f t="shared" si="433"/>
        <v/>
      </c>
      <c r="AF884" s="2" t="str">
        <f t="shared" si="434"/>
        <v/>
      </c>
    </row>
    <row r="885" spans="1:32" x14ac:dyDescent="0.2">
      <c r="A885" s="2" t="str">
        <f t="shared" si="435"/>
        <v/>
      </c>
      <c r="B885" s="2" t="str">
        <f t="shared" si="416"/>
        <v/>
      </c>
      <c r="C885" s="2" t="str">
        <f t="shared" si="417"/>
        <v/>
      </c>
      <c r="D885" s="2" t="str">
        <f t="shared" si="418"/>
        <v/>
      </c>
      <c r="E885" s="2" t="str">
        <f t="shared" si="419"/>
        <v/>
      </c>
      <c r="F885" s="2" t="str">
        <f t="shared" si="420"/>
        <v/>
      </c>
      <c r="G885" s="2" t="str">
        <f t="shared" si="421"/>
        <v/>
      </c>
      <c r="H885" s="2" t="str">
        <f t="shared" si="436"/>
        <v/>
      </c>
      <c r="I885" s="2" t="str">
        <f t="shared" si="437"/>
        <v/>
      </c>
      <c r="J885" s="2" t="str">
        <f t="shared" si="438"/>
        <v/>
      </c>
      <c r="K885" s="2" t="str">
        <f t="shared" si="422"/>
        <v/>
      </c>
      <c r="L885" s="2" t="str">
        <f t="shared" si="423"/>
        <v/>
      </c>
      <c r="M885" s="2" t="str">
        <f t="shared" si="424"/>
        <v/>
      </c>
      <c r="N885" s="2" t="str">
        <f t="shared" si="439"/>
        <v/>
      </c>
      <c r="O885" s="2" t="str">
        <f t="shared" si="440"/>
        <v/>
      </c>
      <c r="P885" s="2" t="str">
        <f t="shared" si="441"/>
        <v/>
      </c>
      <c r="Q885" s="2" t="str">
        <f t="shared" si="425"/>
        <v/>
      </c>
      <c r="R885" s="2" t="str">
        <f t="shared" si="426"/>
        <v/>
      </c>
      <c r="S885" s="2" t="str">
        <f t="shared" si="427"/>
        <v/>
      </c>
      <c r="T885" s="2" t="str">
        <f t="shared" si="442"/>
        <v/>
      </c>
      <c r="U885" s="2" t="str">
        <f t="shared" si="443"/>
        <v/>
      </c>
      <c r="V885" s="2" t="str">
        <f t="shared" si="444"/>
        <v/>
      </c>
      <c r="W885" s="2" t="str">
        <f t="shared" si="428"/>
        <v/>
      </c>
      <c r="X885" s="2" t="str">
        <f t="shared" si="429"/>
        <v/>
      </c>
      <c r="Y885" s="2" t="str">
        <f t="shared" si="430"/>
        <v/>
      </c>
      <c r="Z885" s="2" t="str">
        <f t="shared" si="445"/>
        <v/>
      </c>
      <c r="AA885" s="2" t="str">
        <f t="shared" si="446"/>
        <v/>
      </c>
      <c r="AB885" s="2" t="str">
        <f t="shared" si="447"/>
        <v/>
      </c>
      <c r="AC885" s="2" t="str">
        <f t="shared" si="431"/>
        <v/>
      </c>
      <c r="AD885" s="2" t="str">
        <f t="shared" si="432"/>
        <v/>
      </c>
      <c r="AE885" s="2" t="str">
        <f t="shared" si="433"/>
        <v/>
      </c>
      <c r="AF885" s="2" t="str">
        <f t="shared" si="434"/>
        <v/>
      </c>
    </row>
    <row r="886" spans="1:32" x14ac:dyDescent="0.2">
      <c r="A886" s="2" t="str">
        <f t="shared" si="435"/>
        <v/>
      </c>
      <c r="B886" s="2" t="str">
        <f t="shared" si="416"/>
        <v/>
      </c>
      <c r="C886" s="2" t="str">
        <f t="shared" si="417"/>
        <v/>
      </c>
      <c r="D886" s="2" t="str">
        <f t="shared" si="418"/>
        <v/>
      </c>
      <c r="E886" s="2" t="str">
        <f t="shared" si="419"/>
        <v/>
      </c>
      <c r="F886" s="2" t="str">
        <f t="shared" si="420"/>
        <v/>
      </c>
      <c r="G886" s="2" t="str">
        <f t="shared" si="421"/>
        <v/>
      </c>
      <c r="H886" s="2" t="str">
        <f t="shared" si="436"/>
        <v/>
      </c>
      <c r="I886" s="2" t="str">
        <f t="shared" si="437"/>
        <v/>
      </c>
      <c r="J886" s="2" t="str">
        <f t="shared" si="438"/>
        <v/>
      </c>
      <c r="K886" s="2" t="str">
        <f t="shared" si="422"/>
        <v/>
      </c>
      <c r="L886" s="2" t="str">
        <f t="shared" si="423"/>
        <v/>
      </c>
      <c r="M886" s="2" t="str">
        <f t="shared" si="424"/>
        <v/>
      </c>
      <c r="N886" s="2" t="str">
        <f t="shared" si="439"/>
        <v/>
      </c>
      <c r="O886" s="2" t="str">
        <f t="shared" si="440"/>
        <v/>
      </c>
      <c r="P886" s="2" t="str">
        <f t="shared" si="441"/>
        <v/>
      </c>
      <c r="Q886" s="2" t="str">
        <f t="shared" si="425"/>
        <v/>
      </c>
      <c r="R886" s="2" t="str">
        <f t="shared" si="426"/>
        <v/>
      </c>
      <c r="S886" s="2" t="str">
        <f t="shared" si="427"/>
        <v/>
      </c>
      <c r="T886" s="2" t="str">
        <f t="shared" si="442"/>
        <v/>
      </c>
      <c r="U886" s="2" t="str">
        <f t="shared" si="443"/>
        <v/>
      </c>
      <c r="V886" s="2" t="str">
        <f t="shared" si="444"/>
        <v/>
      </c>
      <c r="W886" s="2" t="str">
        <f t="shared" si="428"/>
        <v/>
      </c>
      <c r="X886" s="2" t="str">
        <f t="shared" si="429"/>
        <v/>
      </c>
      <c r="Y886" s="2" t="str">
        <f t="shared" si="430"/>
        <v/>
      </c>
      <c r="Z886" s="2" t="str">
        <f t="shared" si="445"/>
        <v/>
      </c>
      <c r="AA886" s="2" t="str">
        <f t="shared" si="446"/>
        <v/>
      </c>
      <c r="AB886" s="2" t="str">
        <f t="shared" si="447"/>
        <v/>
      </c>
      <c r="AC886" s="2" t="str">
        <f t="shared" si="431"/>
        <v/>
      </c>
      <c r="AD886" s="2" t="str">
        <f t="shared" si="432"/>
        <v/>
      </c>
      <c r="AE886" s="2" t="str">
        <f t="shared" si="433"/>
        <v/>
      </c>
      <c r="AF886" s="2" t="str">
        <f t="shared" si="434"/>
        <v/>
      </c>
    </row>
    <row r="887" spans="1:32" x14ac:dyDescent="0.2">
      <c r="A887" s="2" t="str">
        <f t="shared" si="435"/>
        <v/>
      </c>
      <c r="B887" s="2" t="str">
        <f t="shared" si="416"/>
        <v/>
      </c>
      <c r="C887" s="2" t="str">
        <f t="shared" si="417"/>
        <v/>
      </c>
      <c r="D887" s="2" t="str">
        <f t="shared" si="418"/>
        <v/>
      </c>
      <c r="E887" s="2" t="str">
        <f t="shared" si="419"/>
        <v/>
      </c>
      <c r="F887" s="2" t="str">
        <f t="shared" si="420"/>
        <v/>
      </c>
      <c r="G887" s="2" t="str">
        <f t="shared" si="421"/>
        <v/>
      </c>
      <c r="H887" s="2" t="str">
        <f t="shared" si="436"/>
        <v/>
      </c>
      <c r="I887" s="2" t="str">
        <f t="shared" si="437"/>
        <v/>
      </c>
      <c r="J887" s="2" t="str">
        <f t="shared" si="438"/>
        <v/>
      </c>
      <c r="K887" s="2" t="str">
        <f t="shared" si="422"/>
        <v/>
      </c>
      <c r="L887" s="2" t="str">
        <f t="shared" si="423"/>
        <v/>
      </c>
      <c r="M887" s="2" t="str">
        <f t="shared" si="424"/>
        <v/>
      </c>
      <c r="N887" s="2" t="str">
        <f t="shared" si="439"/>
        <v/>
      </c>
      <c r="O887" s="2" t="str">
        <f t="shared" si="440"/>
        <v/>
      </c>
      <c r="P887" s="2" t="str">
        <f t="shared" si="441"/>
        <v/>
      </c>
      <c r="Q887" s="2" t="str">
        <f t="shared" si="425"/>
        <v/>
      </c>
      <c r="R887" s="2" t="str">
        <f t="shared" si="426"/>
        <v/>
      </c>
      <c r="S887" s="2" t="str">
        <f t="shared" si="427"/>
        <v/>
      </c>
      <c r="T887" s="2" t="str">
        <f t="shared" si="442"/>
        <v/>
      </c>
      <c r="U887" s="2" t="str">
        <f t="shared" si="443"/>
        <v/>
      </c>
      <c r="V887" s="2" t="str">
        <f t="shared" si="444"/>
        <v/>
      </c>
      <c r="W887" s="2" t="str">
        <f t="shared" si="428"/>
        <v/>
      </c>
      <c r="X887" s="2" t="str">
        <f t="shared" si="429"/>
        <v/>
      </c>
      <c r="Y887" s="2" t="str">
        <f t="shared" si="430"/>
        <v/>
      </c>
      <c r="Z887" s="2" t="str">
        <f t="shared" si="445"/>
        <v/>
      </c>
      <c r="AA887" s="2" t="str">
        <f t="shared" si="446"/>
        <v/>
      </c>
      <c r="AB887" s="2" t="str">
        <f t="shared" si="447"/>
        <v/>
      </c>
      <c r="AC887" s="2" t="str">
        <f t="shared" si="431"/>
        <v/>
      </c>
      <c r="AD887" s="2" t="str">
        <f t="shared" si="432"/>
        <v/>
      </c>
      <c r="AE887" s="2" t="str">
        <f t="shared" si="433"/>
        <v/>
      </c>
      <c r="AF887" s="2" t="str">
        <f t="shared" si="434"/>
        <v/>
      </c>
    </row>
    <row r="888" spans="1:32" x14ac:dyDescent="0.2">
      <c r="A888" s="2" t="str">
        <f t="shared" si="435"/>
        <v/>
      </c>
      <c r="B888" s="2" t="str">
        <f t="shared" ref="B888:B951" si="448">IF(AI888="","",AI888)</f>
        <v/>
      </c>
      <c r="C888" s="2" t="str">
        <f t="shared" ref="C888:C951" si="449">IF(AJ888="","",AJ888)</f>
        <v/>
      </c>
      <c r="D888" s="2" t="str">
        <f t="shared" ref="D888:D951" si="450">IF(AK888="","",AK888)</f>
        <v/>
      </c>
      <c r="E888" s="2" t="str">
        <f t="shared" ref="E888:E951" si="451">IF(AL888="","",AL888)</f>
        <v/>
      </c>
      <c r="F888" s="2" t="str">
        <f t="shared" ref="F888:F951" si="452">IF(AM888="","",AM888)</f>
        <v/>
      </c>
      <c r="G888" s="2" t="str">
        <f t="shared" ref="G888:G951" si="453">IF(AN888="","",AN888)</f>
        <v/>
      </c>
      <c r="H888" s="2" t="str">
        <f t="shared" si="436"/>
        <v/>
      </c>
      <c r="I888" s="2" t="str">
        <f t="shared" si="437"/>
        <v/>
      </c>
      <c r="J888" s="2" t="str">
        <f t="shared" si="438"/>
        <v/>
      </c>
      <c r="K888" s="2" t="str">
        <f t="shared" ref="K888:K951" si="454">IF(AR888="","",AR888)</f>
        <v/>
      </c>
      <c r="L888" s="2" t="str">
        <f t="shared" ref="L888:L951" si="455">IF(AS888="","",AS888)</f>
        <v/>
      </c>
      <c r="M888" s="2" t="str">
        <f t="shared" ref="M888:M951" si="456">IF(AT888="","",AT888)</f>
        <v/>
      </c>
      <c r="N888" s="2" t="str">
        <f t="shared" si="439"/>
        <v/>
      </c>
      <c r="O888" s="2" t="str">
        <f t="shared" si="440"/>
        <v/>
      </c>
      <c r="P888" s="2" t="str">
        <f t="shared" si="441"/>
        <v/>
      </c>
      <c r="Q888" s="2" t="str">
        <f t="shared" ref="Q888:Q951" si="457">IF(AX888="","",AX888)</f>
        <v/>
      </c>
      <c r="R888" s="2" t="str">
        <f t="shared" ref="R888:R951" si="458">IF(AY888="","",AY888)</f>
        <v/>
      </c>
      <c r="S888" s="2" t="str">
        <f t="shared" ref="S888:S951" si="459">IF(AZ888="","",AZ888)</f>
        <v/>
      </c>
      <c r="T888" s="2" t="str">
        <f t="shared" si="442"/>
        <v/>
      </c>
      <c r="U888" s="2" t="str">
        <f t="shared" si="443"/>
        <v/>
      </c>
      <c r="V888" s="2" t="str">
        <f t="shared" si="444"/>
        <v/>
      </c>
      <c r="W888" s="2" t="str">
        <f t="shared" ref="W888:W951" si="460">IF(BD888="","",BD888)</f>
        <v/>
      </c>
      <c r="X888" s="2" t="str">
        <f t="shared" ref="X888:X951" si="461">IF(BE888="","",BE888)</f>
        <v/>
      </c>
      <c r="Y888" s="2" t="str">
        <f t="shared" ref="Y888:Y951" si="462">IF(BF888="","",BF888)</f>
        <v/>
      </c>
      <c r="Z888" s="2" t="str">
        <f t="shared" si="445"/>
        <v/>
      </c>
      <c r="AA888" s="2" t="str">
        <f t="shared" si="446"/>
        <v/>
      </c>
      <c r="AB888" s="2" t="str">
        <f t="shared" si="447"/>
        <v/>
      </c>
      <c r="AC888" s="2" t="str">
        <f t="shared" ref="AC888:AC951" si="463">IF(BJ888="","",BJ888)</f>
        <v/>
      </c>
      <c r="AD888" s="2" t="str">
        <f t="shared" ref="AD888:AD951" si="464">IF(BK888="","",BK888)</f>
        <v/>
      </c>
      <c r="AE888" s="2" t="str">
        <f t="shared" ref="AE888:AE951" si="465">IF(BL888="","",BL888)</f>
        <v/>
      </c>
      <c r="AF888" s="2" t="str">
        <f t="shared" ref="AF888:AF951" si="466">IF(BM888="","",BM888)</f>
        <v/>
      </c>
    </row>
    <row r="889" spans="1:32" x14ac:dyDescent="0.2">
      <c r="A889" s="2" t="str">
        <f t="shared" si="435"/>
        <v/>
      </c>
      <c r="B889" s="2" t="str">
        <f t="shared" si="448"/>
        <v/>
      </c>
      <c r="C889" s="2" t="str">
        <f t="shared" si="449"/>
        <v/>
      </c>
      <c r="D889" s="2" t="str">
        <f t="shared" si="450"/>
        <v/>
      </c>
      <c r="E889" s="2" t="str">
        <f t="shared" si="451"/>
        <v/>
      </c>
      <c r="F889" s="2" t="str">
        <f t="shared" si="452"/>
        <v/>
      </c>
      <c r="G889" s="2" t="str">
        <f t="shared" si="453"/>
        <v/>
      </c>
      <c r="H889" s="2" t="str">
        <f t="shared" si="436"/>
        <v/>
      </c>
      <c r="I889" s="2" t="str">
        <f t="shared" si="437"/>
        <v/>
      </c>
      <c r="J889" s="2" t="str">
        <f t="shared" si="438"/>
        <v/>
      </c>
      <c r="K889" s="2" t="str">
        <f t="shared" si="454"/>
        <v/>
      </c>
      <c r="L889" s="2" t="str">
        <f t="shared" si="455"/>
        <v/>
      </c>
      <c r="M889" s="2" t="str">
        <f t="shared" si="456"/>
        <v/>
      </c>
      <c r="N889" s="2" t="str">
        <f t="shared" si="439"/>
        <v/>
      </c>
      <c r="O889" s="2" t="str">
        <f t="shared" si="440"/>
        <v/>
      </c>
      <c r="P889" s="2" t="str">
        <f t="shared" si="441"/>
        <v/>
      </c>
      <c r="Q889" s="2" t="str">
        <f t="shared" si="457"/>
        <v/>
      </c>
      <c r="R889" s="2" t="str">
        <f t="shared" si="458"/>
        <v/>
      </c>
      <c r="S889" s="2" t="str">
        <f t="shared" si="459"/>
        <v/>
      </c>
      <c r="T889" s="2" t="str">
        <f t="shared" si="442"/>
        <v/>
      </c>
      <c r="U889" s="2" t="str">
        <f t="shared" si="443"/>
        <v/>
      </c>
      <c r="V889" s="2" t="str">
        <f t="shared" si="444"/>
        <v/>
      </c>
      <c r="W889" s="2" t="str">
        <f t="shared" si="460"/>
        <v/>
      </c>
      <c r="X889" s="2" t="str">
        <f t="shared" si="461"/>
        <v/>
      </c>
      <c r="Y889" s="2" t="str">
        <f t="shared" si="462"/>
        <v/>
      </c>
      <c r="Z889" s="2" t="str">
        <f t="shared" si="445"/>
        <v/>
      </c>
      <c r="AA889" s="2" t="str">
        <f t="shared" si="446"/>
        <v/>
      </c>
      <c r="AB889" s="2" t="str">
        <f t="shared" si="447"/>
        <v/>
      </c>
      <c r="AC889" s="2" t="str">
        <f t="shared" si="463"/>
        <v/>
      </c>
      <c r="AD889" s="2" t="str">
        <f t="shared" si="464"/>
        <v/>
      </c>
      <c r="AE889" s="2" t="str">
        <f t="shared" si="465"/>
        <v/>
      </c>
      <c r="AF889" s="2" t="str">
        <f t="shared" si="466"/>
        <v/>
      </c>
    </row>
    <row r="890" spans="1:32" x14ac:dyDescent="0.2">
      <c r="A890" s="2" t="str">
        <f t="shared" si="435"/>
        <v/>
      </c>
      <c r="B890" s="2" t="str">
        <f t="shared" si="448"/>
        <v/>
      </c>
      <c r="C890" s="2" t="str">
        <f t="shared" si="449"/>
        <v/>
      </c>
      <c r="D890" s="2" t="str">
        <f t="shared" si="450"/>
        <v/>
      </c>
      <c r="E890" s="2" t="str">
        <f t="shared" si="451"/>
        <v/>
      </c>
      <c r="F890" s="2" t="str">
        <f t="shared" si="452"/>
        <v/>
      </c>
      <c r="G890" s="2" t="str">
        <f t="shared" si="453"/>
        <v/>
      </c>
      <c r="H890" s="2" t="str">
        <f t="shared" si="436"/>
        <v/>
      </c>
      <c r="I890" s="2" t="str">
        <f t="shared" si="437"/>
        <v/>
      </c>
      <c r="J890" s="2" t="str">
        <f t="shared" si="438"/>
        <v/>
      </c>
      <c r="K890" s="2" t="str">
        <f t="shared" si="454"/>
        <v/>
      </c>
      <c r="L890" s="2" t="str">
        <f t="shared" si="455"/>
        <v/>
      </c>
      <c r="M890" s="2" t="str">
        <f t="shared" si="456"/>
        <v/>
      </c>
      <c r="N890" s="2" t="str">
        <f t="shared" si="439"/>
        <v/>
      </c>
      <c r="O890" s="2" t="str">
        <f t="shared" si="440"/>
        <v/>
      </c>
      <c r="P890" s="2" t="str">
        <f t="shared" si="441"/>
        <v/>
      </c>
      <c r="Q890" s="2" t="str">
        <f t="shared" si="457"/>
        <v/>
      </c>
      <c r="R890" s="2" t="str">
        <f t="shared" si="458"/>
        <v/>
      </c>
      <c r="S890" s="2" t="str">
        <f t="shared" si="459"/>
        <v/>
      </c>
      <c r="T890" s="2" t="str">
        <f t="shared" si="442"/>
        <v/>
      </c>
      <c r="U890" s="2" t="str">
        <f t="shared" si="443"/>
        <v/>
      </c>
      <c r="V890" s="2" t="str">
        <f t="shared" si="444"/>
        <v/>
      </c>
      <c r="W890" s="2" t="str">
        <f t="shared" si="460"/>
        <v/>
      </c>
      <c r="X890" s="2" t="str">
        <f t="shared" si="461"/>
        <v/>
      </c>
      <c r="Y890" s="2" t="str">
        <f t="shared" si="462"/>
        <v/>
      </c>
      <c r="Z890" s="2" t="str">
        <f t="shared" si="445"/>
        <v/>
      </c>
      <c r="AA890" s="2" t="str">
        <f t="shared" si="446"/>
        <v/>
      </c>
      <c r="AB890" s="2" t="str">
        <f t="shared" si="447"/>
        <v/>
      </c>
      <c r="AC890" s="2" t="str">
        <f t="shared" si="463"/>
        <v/>
      </c>
      <c r="AD890" s="2" t="str">
        <f t="shared" si="464"/>
        <v/>
      </c>
      <c r="AE890" s="2" t="str">
        <f t="shared" si="465"/>
        <v/>
      </c>
      <c r="AF890" s="2" t="str">
        <f t="shared" si="466"/>
        <v/>
      </c>
    </row>
    <row r="891" spans="1:32" x14ac:dyDescent="0.2">
      <c r="A891" s="2" t="str">
        <f t="shared" si="435"/>
        <v/>
      </c>
      <c r="B891" s="2" t="str">
        <f t="shared" si="448"/>
        <v/>
      </c>
      <c r="C891" s="2" t="str">
        <f t="shared" si="449"/>
        <v/>
      </c>
      <c r="D891" s="2" t="str">
        <f t="shared" si="450"/>
        <v/>
      </c>
      <c r="E891" s="2" t="str">
        <f t="shared" si="451"/>
        <v/>
      </c>
      <c r="F891" s="2" t="str">
        <f t="shared" si="452"/>
        <v/>
      </c>
      <c r="G891" s="2" t="str">
        <f t="shared" si="453"/>
        <v/>
      </c>
      <c r="H891" s="2" t="str">
        <f t="shared" si="436"/>
        <v/>
      </c>
      <c r="I891" s="2" t="str">
        <f t="shared" si="437"/>
        <v/>
      </c>
      <c r="J891" s="2" t="str">
        <f t="shared" si="438"/>
        <v/>
      </c>
      <c r="K891" s="2" t="str">
        <f t="shared" si="454"/>
        <v/>
      </c>
      <c r="L891" s="2" t="str">
        <f t="shared" si="455"/>
        <v/>
      </c>
      <c r="M891" s="2" t="str">
        <f t="shared" si="456"/>
        <v/>
      </c>
      <c r="N891" s="2" t="str">
        <f t="shared" si="439"/>
        <v/>
      </c>
      <c r="O891" s="2" t="str">
        <f t="shared" si="440"/>
        <v/>
      </c>
      <c r="P891" s="2" t="str">
        <f t="shared" si="441"/>
        <v/>
      </c>
      <c r="Q891" s="2" t="str">
        <f t="shared" si="457"/>
        <v/>
      </c>
      <c r="R891" s="2" t="str">
        <f t="shared" si="458"/>
        <v/>
      </c>
      <c r="S891" s="2" t="str">
        <f t="shared" si="459"/>
        <v/>
      </c>
      <c r="T891" s="2" t="str">
        <f t="shared" si="442"/>
        <v/>
      </c>
      <c r="U891" s="2" t="str">
        <f t="shared" si="443"/>
        <v/>
      </c>
      <c r="V891" s="2" t="str">
        <f t="shared" si="444"/>
        <v/>
      </c>
      <c r="W891" s="2" t="str">
        <f t="shared" si="460"/>
        <v/>
      </c>
      <c r="X891" s="2" t="str">
        <f t="shared" si="461"/>
        <v/>
      </c>
      <c r="Y891" s="2" t="str">
        <f t="shared" si="462"/>
        <v/>
      </c>
      <c r="Z891" s="2" t="str">
        <f t="shared" si="445"/>
        <v/>
      </c>
      <c r="AA891" s="2" t="str">
        <f t="shared" si="446"/>
        <v/>
      </c>
      <c r="AB891" s="2" t="str">
        <f t="shared" si="447"/>
        <v/>
      </c>
      <c r="AC891" s="2" t="str">
        <f t="shared" si="463"/>
        <v/>
      </c>
      <c r="AD891" s="2" t="str">
        <f t="shared" si="464"/>
        <v/>
      </c>
      <c r="AE891" s="2" t="str">
        <f t="shared" si="465"/>
        <v/>
      </c>
      <c r="AF891" s="2" t="str">
        <f t="shared" si="466"/>
        <v/>
      </c>
    </row>
    <row r="892" spans="1:32" x14ac:dyDescent="0.2">
      <c r="A892" s="2" t="str">
        <f t="shared" si="435"/>
        <v/>
      </c>
      <c r="B892" s="2" t="str">
        <f t="shared" si="448"/>
        <v/>
      </c>
      <c r="C892" s="2" t="str">
        <f t="shared" si="449"/>
        <v/>
      </c>
      <c r="D892" s="2" t="str">
        <f t="shared" si="450"/>
        <v/>
      </c>
      <c r="E892" s="2" t="str">
        <f t="shared" si="451"/>
        <v/>
      </c>
      <c r="F892" s="2" t="str">
        <f t="shared" si="452"/>
        <v/>
      </c>
      <c r="G892" s="2" t="str">
        <f t="shared" si="453"/>
        <v/>
      </c>
      <c r="H892" s="2" t="str">
        <f t="shared" si="436"/>
        <v/>
      </c>
      <c r="I892" s="2" t="str">
        <f t="shared" si="437"/>
        <v/>
      </c>
      <c r="J892" s="2" t="str">
        <f t="shared" si="438"/>
        <v/>
      </c>
      <c r="K892" s="2" t="str">
        <f t="shared" si="454"/>
        <v/>
      </c>
      <c r="L892" s="2" t="str">
        <f t="shared" si="455"/>
        <v/>
      </c>
      <c r="M892" s="2" t="str">
        <f t="shared" si="456"/>
        <v/>
      </c>
      <c r="N892" s="2" t="str">
        <f t="shared" si="439"/>
        <v/>
      </c>
      <c r="O892" s="2" t="str">
        <f t="shared" si="440"/>
        <v/>
      </c>
      <c r="P892" s="2" t="str">
        <f t="shared" si="441"/>
        <v/>
      </c>
      <c r="Q892" s="2" t="str">
        <f t="shared" si="457"/>
        <v/>
      </c>
      <c r="R892" s="2" t="str">
        <f t="shared" si="458"/>
        <v/>
      </c>
      <c r="S892" s="2" t="str">
        <f t="shared" si="459"/>
        <v/>
      </c>
      <c r="T892" s="2" t="str">
        <f t="shared" si="442"/>
        <v/>
      </c>
      <c r="U892" s="2" t="str">
        <f t="shared" si="443"/>
        <v/>
      </c>
      <c r="V892" s="2" t="str">
        <f t="shared" si="444"/>
        <v/>
      </c>
      <c r="W892" s="2" t="str">
        <f t="shared" si="460"/>
        <v/>
      </c>
      <c r="X892" s="2" t="str">
        <f t="shared" si="461"/>
        <v/>
      </c>
      <c r="Y892" s="2" t="str">
        <f t="shared" si="462"/>
        <v/>
      </c>
      <c r="Z892" s="2" t="str">
        <f t="shared" si="445"/>
        <v/>
      </c>
      <c r="AA892" s="2" t="str">
        <f t="shared" si="446"/>
        <v/>
      </c>
      <c r="AB892" s="2" t="str">
        <f t="shared" si="447"/>
        <v/>
      </c>
      <c r="AC892" s="2" t="str">
        <f t="shared" si="463"/>
        <v/>
      </c>
      <c r="AD892" s="2" t="str">
        <f t="shared" si="464"/>
        <v/>
      </c>
      <c r="AE892" s="2" t="str">
        <f t="shared" si="465"/>
        <v/>
      </c>
      <c r="AF892" s="2" t="str">
        <f t="shared" si="466"/>
        <v/>
      </c>
    </row>
    <row r="893" spans="1:32" x14ac:dyDescent="0.2">
      <c r="A893" s="2" t="str">
        <f t="shared" si="435"/>
        <v/>
      </c>
      <c r="B893" s="2" t="str">
        <f t="shared" si="448"/>
        <v/>
      </c>
      <c r="C893" s="2" t="str">
        <f t="shared" si="449"/>
        <v/>
      </c>
      <c r="D893" s="2" t="str">
        <f t="shared" si="450"/>
        <v/>
      </c>
      <c r="E893" s="2" t="str">
        <f t="shared" si="451"/>
        <v/>
      </c>
      <c r="F893" s="2" t="str">
        <f t="shared" si="452"/>
        <v/>
      </c>
      <c r="G893" s="2" t="str">
        <f t="shared" si="453"/>
        <v/>
      </c>
      <c r="H893" s="2" t="str">
        <f t="shared" si="436"/>
        <v/>
      </c>
      <c r="I893" s="2" t="str">
        <f t="shared" si="437"/>
        <v/>
      </c>
      <c r="J893" s="2" t="str">
        <f t="shared" si="438"/>
        <v/>
      </c>
      <c r="K893" s="2" t="str">
        <f t="shared" si="454"/>
        <v/>
      </c>
      <c r="L893" s="2" t="str">
        <f t="shared" si="455"/>
        <v/>
      </c>
      <c r="M893" s="2" t="str">
        <f t="shared" si="456"/>
        <v/>
      </c>
      <c r="N893" s="2" t="str">
        <f t="shared" si="439"/>
        <v/>
      </c>
      <c r="O893" s="2" t="str">
        <f t="shared" si="440"/>
        <v/>
      </c>
      <c r="P893" s="2" t="str">
        <f t="shared" si="441"/>
        <v/>
      </c>
      <c r="Q893" s="2" t="str">
        <f t="shared" si="457"/>
        <v/>
      </c>
      <c r="R893" s="2" t="str">
        <f t="shared" si="458"/>
        <v/>
      </c>
      <c r="S893" s="2" t="str">
        <f t="shared" si="459"/>
        <v/>
      </c>
      <c r="T893" s="2" t="str">
        <f t="shared" si="442"/>
        <v/>
      </c>
      <c r="U893" s="2" t="str">
        <f t="shared" si="443"/>
        <v/>
      </c>
      <c r="V893" s="2" t="str">
        <f t="shared" si="444"/>
        <v/>
      </c>
      <c r="W893" s="2" t="str">
        <f t="shared" si="460"/>
        <v/>
      </c>
      <c r="X893" s="2" t="str">
        <f t="shared" si="461"/>
        <v/>
      </c>
      <c r="Y893" s="2" t="str">
        <f t="shared" si="462"/>
        <v/>
      </c>
      <c r="Z893" s="2" t="str">
        <f t="shared" si="445"/>
        <v/>
      </c>
      <c r="AA893" s="2" t="str">
        <f t="shared" si="446"/>
        <v/>
      </c>
      <c r="AB893" s="2" t="str">
        <f t="shared" si="447"/>
        <v/>
      </c>
      <c r="AC893" s="2" t="str">
        <f t="shared" si="463"/>
        <v/>
      </c>
      <c r="AD893" s="2" t="str">
        <f t="shared" si="464"/>
        <v/>
      </c>
      <c r="AE893" s="2" t="str">
        <f t="shared" si="465"/>
        <v/>
      </c>
      <c r="AF893" s="2" t="str">
        <f t="shared" si="466"/>
        <v/>
      </c>
    </row>
    <row r="894" spans="1:32" x14ac:dyDescent="0.2">
      <c r="A894" s="2" t="str">
        <f t="shared" si="435"/>
        <v/>
      </c>
      <c r="B894" s="2" t="str">
        <f t="shared" si="448"/>
        <v/>
      </c>
      <c r="C894" s="2" t="str">
        <f t="shared" si="449"/>
        <v/>
      </c>
      <c r="D894" s="2" t="str">
        <f t="shared" si="450"/>
        <v/>
      </c>
      <c r="E894" s="2" t="str">
        <f t="shared" si="451"/>
        <v/>
      </c>
      <c r="F894" s="2" t="str">
        <f t="shared" si="452"/>
        <v/>
      </c>
      <c r="G894" s="2" t="str">
        <f t="shared" si="453"/>
        <v/>
      </c>
      <c r="H894" s="2" t="str">
        <f t="shared" si="436"/>
        <v/>
      </c>
      <c r="I894" s="2" t="str">
        <f t="shared" si="437"/>
        <v/>
      </c>
      <c r="J894" s="2" t="str">
        <f t="shared" si="438"/>
        <v/>
      </c>
      <c r="K894" s="2" t="str">
        <f t="shared" si="454"/>
        <v/>
      </c>
      <c r="L894" s="2" t="str">
        <f t="shared" si="455"/>
        <v/>
      </c>
      <c r="M894" s="2" t="str">
        <f t="shared" si="456"/>
        <v/>
      </c>
      <c r="N894" s="2" t="str">
        <f t="shared" si="439"/>
        <v/>
      </c>
      <c r="O894" s="2" t="str">
        <f t="shared" si="440"/>
        <v/>
      </c>
      <c r="P894" s="2" t="str">
        <f t="shared" si="441"/>
        <v/>
      </c>
      <c r="Q894" s="2" t="str">
        <f t="shared" si="457"/>
        <v/>
      </c>
      <c r="R894" s="2" t="str">
        <f t="shared" si="458"/>
        <v/>
      </c>
      <c r="S894" s="2" t="str">
        <f t="shared" si="459"/>
        <v/>
      </c>
      <c r="T894" s="2" t="str">
        <f t="shared" si="442"/>
        <v/>
      </c>
      <c r="U894" s="2" t="str">
        <f t="shared" si="443"/>
        <v/>
      </c>
      <c r="V894" s="2" t="str">
        <f t="shared" si="444"/>
        <v/>
      </c>
      <c r="W894" s="2" t="str">
        <f t="shared" si="460"/>
        <v/>
      </c>
      <c r="X894" s="2" t="str">
        <f t="shared" si="461"/>
        <v/>
      </c>
      <c r="Y894" s="2" t="str">
        <f t="shared" si="462"/>
        <v/>
      </c>
      <c r="Z894" s="2" t="str">
        <f t="shared" si="445"/>
        <v/>
      </c>
      <c r="AA894" s="2" t="str">
        <f t="shared" si="446"/>
        <v/>
      </c>
      <c r="AB894" s="2" t="str">
        <f t="shared" si="447"/>
        <v/>
      </c>
      <c r="AC894" s="2" t="str">
        <f t="shared" si="463"/>
        <v/>
      </c>
      <c r="AD894" s="2" t="str">
        <f t="shared" si="464"/>
        <v/>
      </c>
      <c r="AE894" s="2" t="str">
        <f t="shared" si="465"/>
        <v/>
      </c>
      <c r="AF894" s="2" t="str">
        <f t="shared" si="466"/>
        <v/>
      </c>
    </row>
    <row r="895" spans="1:32" x14ac:dyDescent="0.2">
      <c r="A895" s="2" t="str">
        <f t="shared" si="435"/>
        <v/>
      </c>
      <c r="B895" s="2" t="str">
        <f t="shared" si="448"/>
        <v/>
      </c>
      <c r="C895" s="2" t="str">
        <f t="shared" si="449"/>
        <v/>
      </c>
      <c r="D895" s="2" t="str">
        <f t="shared" si="450"/>
        <v/>
      </c>
      <c r="E895" s="2" t="str">
        <f t="shared" si="451"/>
        <v/>
      </c>
      <c r="F895" s="2" t="str">
        <f t="shared" si="452"/>
        <v/>
      </c>
      <c r="G895" s="2" t="str">
        <f t="shared" si="453"/>
        <v/>
      </c>
      <c r="H895" s="2" t="str">
        <f t="shared" si="436"/>
        <v/>
      </c>
      <c r="I895" s="2" t="str">
        <f t="shared" si="437"/>
        <v/>
      </c>
      <c r="J895" s="2" t="str">
        <f t="shared" si="438"/>
        <v/>
      </c>
      <c r="K895" s="2" t="str">
        <f t="shared" si="454"/>
        <v/>
      </c>
      <c r="L895" s="2" t="str">
        <f t="shared" si="455"/>
        <v/>
      </c>
      <c r="M895" s="2" t="str">
        <f t="shared" si="456"/>
        <v/>
      </c>
      <c r="N895" s="2" t="str">
        <f t="shared" si="439"/>
        <v/>
      </c>
      <c r="O895" s="2" t="str">
        <f t="shared" si="440"/>
        <v/>
      </c>
      <c r="P895" s="2" t="str">
        <f t="shared" si="441"/>
        <v/>
      </c>
      <c r="Q895" s="2" t="str">
        <f t="shared" si="457"/>
        <v/>
      </c>
      <c r="R895" s="2" t="str">
        <f t="shared" si="458"/>
        <v/>
      </c>
      <c r="S895" s="2" t="str">
        <f t="shared" si="459"/>
        <v/>
      </c>
      <c r="T895" s="2" t="str">
        <f t="shared" si="442"/>
        <v/>
      </c>
      <c r="U895" s="2" t="str">
        <f t="shared" si="443"/>
        <v/>
      </c>
      <c r="V895" s="2" t="str">
        <f t="shared" si="444"/>
        <v/>
      </c>
      <c r="W895" s="2" t="str">
        <f t="shared" si="460"/>
        <v/>
      </c>
      <c r="X895" s="2" t="str">
        <f t="shared" si="461"/>
        <v/>
      </c>
      <c r="Y895" s="2" t="str">
        <f t="shared" si="462"/>
        <v/>
      </c>
      <c r="Z895" s="2" t="str">
        <f t="shared" si="445"/>
        <v/>
      </c>
      <c r="AA895" s="2" t="str">
        <f t="shared" si="446"/>
        <v/>
      </c>
      <c r="AB895" s="2" t="str">
        <f t="shared" si="447"/>
        <v/>
      </c>
      <c r="AC895" s="2" t="str">
        <f t="shared" si="463"/>
        <v/>
      </c>
      <c r="AD895" s="2" t="str">
        <f t="shared" si="464"/>
        <v/>
      </c>
      <c r="AE895" s="2" t="str">
        <f t="shared" si="465"/>
        <v/>
      </c>
      <c r="AF895" s="2" t="str">
        <f t="shared" si="466"/>
        <v/>
      </c>
    </row>
    <row r="896" spans="1:32" x14ac:dyDescent="0.2">
      <c r="A896" s="2" t="str">
        <f t="shared" si="435"/>
        <v/>
      </c>
      <c r="B896" s="2" t="str">
        <f t="shared" si="448"/>
        <v/>
      </c>
      <c r="C896" s="2" t="str">
        <f t="shared" si="449"/>
        <v/>
      </c>
      <c r="D896" s="2" t="str">
        <f t="shared" si="450"/>
        <v/>
      </c>
      <c r="E896" s="2" t="str">
        <f t="shared" si="451"/>
        <v/>
      </c>
      <c r="F896" s="2" t="str">
        <f t="shared" si="452"/>
        <v/>
      </c>
      <c r="G896" s="2" t="str">
        <f t="shared" si="453"/>
        <v/>
      </c>
      <c r="H896" s="2" t="str">
        <f t="shared" si="436"/>
        <v/>
      </c>
      <c r="I896" s="2" t="str">
        <f t="shared" si="437"/>
        <v/>
      </c>
      <c r="J896" s="2" t="str">
        <f t="shared" si="438"/>
        <v/>
      </c>
      <c r="K896" s="2" t="str">
        <f t="shared" si="454"/>
        <v/>
      </c>
      <c r="L896" s="2" t="str">
        <f t="shared" si="455"/>
        <v/>
      </c>
      <c r="M896" s="2" t="str">
        <f t="shared" si="456"/>
        <v/>
      </c>
      <c r="N896" s="2" t="str">
        <f t="shared" si="439"/>
        <v/>
      </c>
      <c r="O896" s="2" t="str">
        <f t="shared" si="440"/>
        <v/>
      </c>
      <c r="P896" s="2" t="str">
        <f t="shared" si="441"/>
        <v/>
      </c>
      <c r="Q896" s="2" t="str">
        <f t="shared" si="457"/>
        <v/>
      </c>
      <c r="R896" s="2" t="str">
        <f t="shared" si="458"/>
        <v/>
      </c>
      <c r="S896" s="2" t="str">
        <f t="shared" si="459"/>
        <v/>
      </c>
      <c r="T896" s="2" t="str">
        <f t="shared" si="442"/>
        <v/>
      </c>
      <c r="U896" s="2" t="str">
        <f t="shared" si="443"/>
        <v/>
      </c>
      <c r="V896" s="2" t="str">
        <f t="shared" si="444"/>
        <v/>
      </c>
      <c r="W896" s="2" t="str">
        <f t="shared" si="460"/>
        <v/>
      </c>
      <c r="X896" s="2" t="str">
        <f t="shared" si="461"/>
        <v/>
      </c>
      <c r="Y896" s="2" t="str">
        <f t="shared" si="462"/>
        <v/>
      </c>
      <c r="Z896" s="2" t="str">
        <f t="shared" si="445"/>
        <v/>
      </c>
      <c r="AA896" s="2" t="str">
        <f t="shared" si="446"/>
        <v/>
      </c>
      <c r="AB896" s="2" t="str">
        <f t="shared" si="447"/>
        <v/>
      </c>
      <c r="AC896" s="2" t="str">
        <f t="shared" si="463"/>
        <v/>
      </c>
      <c r="AD896" s="2" t="str">
        <f t="shared" si="464"/>
        <v/>
      </c>
      <c r="AE896" s="2" t="str">
        <f t="shared" si="465"/>
        <v/>
      </c>
      <c r="AF896" s="2" t="str">
        <f t="shared" si="466"/>
        <v/>
      </c>
    </row>
    <row r="897" spans="1:32" x14ac:dyDescent="0.2">
      <c r="A897" s="2" t="str">
        <f t="shared" si="435"/>
        <v/>
      </c>
      <c r="B897" s="2" t="str">
        <f t="shared" si="448"/>
        <v/>
      </c>
      <c r="C897" s="2" t="str">
        <f t="shared" si="449"/>
        <v/>
      </c>
      <c r="D897" s="2" t="str">
        <f t="shared" si="450"/>
        <v/>
      </c>
      <c r="E897" s="2" t="str">
        <f t="shared" si="451"/>
        <v/>
      </c>
      <c r="F897" s="2" t="str">
        <f t="shared" si="452"/>
        <v/>
      </c>
      <c r="G897" s="2" t="str">
        <f t="shared" si="453"/>
        <v/>
      </c>
      <c r="H897" s="2" t="str">
        <f t="shared" si="436"/>
        <v/>
      </c>
      <c r="I897" s="2" t="str">
        <f t="shared" si="437"/>
        <v/>
      </c>
      <c r="J897" s="2" t="str">
        <f t="shared" si="438"/>
        <v/>
      </c>
      <c r="K897" s="2" t="str">
        <f t="shared" si="454"/>
        <v/>
      </c>
      <c r="L897" s="2" t="str">
        <f t="shared" si="455"/>
        <v/>
      </c>
      <c r="M897" s="2" t="str">
        <f t="shared" si="456"/>
        <v/>
      </c>
      <c r="N897" s="2" t="str">
        <f t="shared" si="439"/>
        <v/>
      </c>
      <c r="O897" s="2" t="str">
        <f t="shared" si="440"/>
        <v/>
      </c>
      <c r="P897" s="2" t="str">
        <f t="shared" si="441"/>
        <v/>
      </c>
      <c r="Q897" s="2" t="str">
        <f t="shared" si="457"/>
        <v/>
      </c>
      <c r="R897" s="2" t="str">
        <f t="shared" si="458"/>
        <v/>
      </c>
      <c r="S897" s="2" t="str">
        <f t="shared" si="459"/>
        <v/>
      </c>
      <c r="T897" s="2" t="str">
        <f t="shared" si="442"/>
        <v/>
      </c>
      <c r="U897" s="2" t="str">
        <f t="shared" si="443"/>
        <v/>
      </c>
      <c r="V897" s="2" t="str">
        <f t="shared" si="444"/>
        <v/>
      </c>
      <c r="W897" s="2" t="str">
        <f t="shared" si="460"/>
        <v/>
      </c>
      <c r="X897" s="2" t="str">
        <f t="shared" si="461"/>
        <v/>
      </c>
      <c r="Y897" s="2" t="str">
        <f t="shared" si="462"/>
        <v/>
      </c>
      <c r="Z897" s="2" t="str">
        <f t="shared" si="445"/>
        <v/>
      </c>
      <c r="AA897" s="2" t="str">
        <f t="shared" si="446"/>
        <v/>
      </c>
      <c r="AB897" s="2" t="str">
        <f t="shared" si="447"/>
        <v/>
      </c>
      <c r="AC897" s="2" t="str">
        <f t="shared" si="463"/>
        <v/>
      </c>
      <c r="AD897" s="2" t="str">
        <f t="shared" si="464"/>
        <v/>
      </c>
      <c r="AE897" s="2" t="str">
        <f t="shared" si="465"/>
        <v/>
      </c>
      <c r="AF897" s="2" t="str">
        <f t="shared" si="466"/>
        <v/>
      </c>
    </row>
    <row r="898" spans="1:32" x14ac:dyDescent="0.2">
      <c r="A898" s="2" t="str">
        <f t="shared" si="435"/>
        <v/>
      </c>
      <c r="B898" s="2" t="str">
        <f t="shared" si="448"/>
        <v/>
      </c>
      <c r="C898" s="2" t="str">
        <f t="shared" si="449"/>
        <v/>
      </c>
      <c r="D898" s="2" t="str">
        <f t="shared" si="450"/>
        <v/>
      </c>
      <c r="E898" s="2" t="str">
        <f t="shared" si="451"/>
        <v/>
      </c>
      <c r="F898" s="2" t="str">
        <f t="shared" si="452"/>
        <v/>
      </c>
      <c r="G898" s="2" t="str">
        <f t="shared" si="453"/>
        <v/>
      </c>
      <c r="H898" s="2" t="str">
        <f t="shared" si="436"/>
        <v/>
      </c>
      <c r="I898" s="2" t="str">
        <f t="shared" si="437"/>
        <v/>
      </c>
      <c r="J898" s="2" t="str">
        <f t="shared" si="438"/>
        <v/>
      </c>
      <c r="K898" s="2" t="str">
        <f t="shared" si="454"/>
        <v/>
      </c>
      <c r="L898" s="2" t="str">
        <f t="shared" si="455"/>
        <v/>
      </c>
      <c r="M898" s="2" t="str">
        <f t="shared" si="456"/>
        <v/>
      </c>
      <c r="N898" s="2" t="str">
        <f t="shared" si="439"/>
        <v/>
      </c>
      <c r="O898" s="2" t="str">
        <f t="shared" si="440"/>
        <v/>
      </c>
      <c r="P898" s="2" t="str">
        <f t="shared" si="441"/>
        <v/>
      </c>
      <c r="Q898" s="2" t="str">
        <f t="shared" si="457"/>
        <v/>
      </c>
      <c r="R898" s="2" t="str">
        <f t="shared" si="458"/>
        <v/>
      </c>
      <c r="S898" s="2" t="str">
        <f t="shared" si="459"/>
        <v/>
      </c>
      <c r="T898" s="2" t="str">
        <f t="shared" si="442"/>
        <v/>
      </c>
      <c r="U898" s="2" t="str">
        <f t="shared" si="443"/>
        <v/>
      </c>
      <c r="V898" s="2" t="str">
        <f t="shared" si="444"/>
        <v/>
      </c>
      <c r="W898" s="2" t="str">
        <f t="shared" si="460"/>
        <v/>
      </c>
      <c r="X898" s="2" t="str">
        <f t="shared" si="461"/>
        <v/>
      </c>
      <c r="Y898" s="2" t="str">
        <f t="shared" si="462"/>
        <v/>
      </c>
      <c r="Z898" s="2" t="str">
        <f t="shared" si="445"/>
        <v/>
      </c>
      <c r="AA898" s="2" t="str">
        <f t="shared" si="446"/>
        <v/>
      </c>
      <c r="AB898" s="2" t="str">
        <f t="shared" si="447"/>
        <v/>
      </c>
      <c r="AC898" s="2" t="str">
        <f t="shared" si="463"/>
        <v/>
      </c>
      <c r="AD898" s="2" t="str">
        <f t="shared" si="464"/>
        <v/>
      </c>
      <c r="AE898" s="2" t="str">
        <f t="shared" si="465"/>
        <v/>
      </c>
      <c r="AF898" s="2" t="str">
        <f t="shared" si="466"/>
        <v/>
      </c>
    </row>
    <row r="899" spans="1:32" x14ac:dyDescent="0.2">
      <c r="A899" s="2" t="str">
        <f t="shared" si="435"/>
        <v/>
      </c>
      <c r="B899" s="2" t="str">
        <f t="shared" si="448"/>
        <v/>
      </c>
      <c r="C899" s="2" t="str">
        <f t="shared" si="449"/>
        <v/>
      </c>
      <c r="D899" s="2" t="str">
        <f t="shared" si="450"/>
        <v/>
      </c>
      <c r="E899" s="2" t="str">
        <f t="shared" si="451"/>
        <v/>
      </c>
      <c r="F899" s="2" t="str">
        <f t="shared" si="452"/>
        <v/>
      </c>
      <c r="G899" s="2" t="str">
        <f t="shared" si="453"/>
        <v/>
      </c>
      <c r="H899" s="2" t="str">
        <f t="shared" si="436"/>
        <v/>
      </c>
      <c r="I899" s="2" t="str">
        <f t="shared" si="437"/>
        <v/>
      </c>
      <c r="J899" s="2" t="str">
        <f t="shared" si="438"/>
        <v/>
      </c>
      <c r="K899" s="2" t="str">
        <f t="shared" si="454"/>
        <v/>
      </c>
      <c r="L899" s="2" t="str">
        <f t="shared" si="455"/>
        <v/>
      </c>
      <c r="M899" s="2" t="str">
        <f t="shared" si="456"/>
        <v/>
      </c>
      <c r="N899" s="2" t="str">
        <f t="shared" si="439"/>
        <v/>
      </c>
      <c r="O899" s="2" t="str">
        <f t="shared" si="440"/>
        <v/>
      </c>
      <c r="P899" s="2" t="str">
        <f t="shared" si="441"/>
        <v/>
      </c>
      <c r="Q899" s="2" t="str">
        <f t="shared" si="457"/>
        <v/>
      </c>
      <c r="R899" s="2" t="str">
        <f t="shared" si="458"/>
        <v/>
      </c>
      <c r="S899" s="2" t="str">
        <f t="shared" si="459"/>
        <v/>
      </c>
      <c r="T899" s="2" t="str">
        <f t="shared" si="442"/>
        <v/>
      </c>
      <c r="U899" s="2" t="str">
        <f t="shared" si="443"/>
        <v/>
      </c>
      <c r="V899" s="2" t="str">
        <f t="shared" si="444"/>
        <v/>
      </c>
      <c r="W899" s="2" t="str">
        <f t="shared" si="460"/>
        <v/>
      </c>
      <c r="X899" s="2" t="str">
        <f t="shared" si="461"/>
        <v/>
      </c>
      <c r="Y899" s="2" t="str">
        <f t="shared" si="462"/>
        <v/>
      </c>
      <c r="Z899" s="2" t="str">
        <f t="shared" si="445"/>
        <v/>
      </c>
      <c r="AA899" s="2" t="str">
        <f t="shared" si="446"/>
        <v/>
      </c>
      <c r="AB899" s="2" t="str">
        <f t="shared" si="447"/>
        <v/>
      </c>
      <c r="AC899" s="2" t="str">
        <f t="shared" si="463"/>
        <v/>
      </c>
      <c r="AD899" s="2" t="str">
        <f t="shared" si="464"/>
        <v/>
      </c>
      <c r="AE899" s="2" t="str">
        <f t="shared" si="465"/>
        <v/>
      </c>
      <c r="AF899" s="2" t="str">
        <f t="shared" si="466"/>
        <v/>
      </c>
    </row>
    <row r="900" spans="1:32" x14ac:dyDescent="0.2">
      <c r="A900" s="2" t="str">
        <f t="shared" si="435"/>
        <v/>
      </c>
      <c r="B900" s="2" t="str">
        <f t="shared" si="448"/>
        <v/>
      </c>
      <c r="C900" s="2" t="str">
        <f t="shared" si="449"/>
        <v/>
      </c>
      <c r="D900" s="2" t="str">
        <f t="shared" si="450"/>
        <v/>
      </c>
      <c r="E900" s="2" t="str">
        <f t="shared" si="451"/>
        <v/>
      </c>
      <c r="F900" s="2" t="str">
        <f t="shared" si="452"/>
        <v/>
      </c>
      <c r="G900" s="2" t="str">
        <f t="shared" si="453"/>
        <v/>
      </c>
      <c r="H900" s="2" t="str">
        <f t="shared" si="436"/>
        <v/>
      </c>
      <c r="I900" s="2" t="str">
        <f t="shared" si="437"/>
        <v/>
      </c>
      <c r="J900" s="2" t="str">
        <f t="shared" si="438"/>
        <v/>
      </c>
      <c r="K900" s="2" t="str">
        <f t="shared" si="454"/>
        <v/>
      </c>
      <c r="L900" s="2" t="str">
        <f t="shared" si="455"/>
        <v/>
      </c>
      <c r="M900" s="2" t="str">
        <f t="shared" si="456"/>
        <v/>
      </c>
      <c r="N900" s="2" t="str">
        <f t="shared" si="439"/>
        <v/>
      </c>
      <c r="O900" s="2" t="str">
        <f t="shared" si="440"/>
        <v/>
      </c>
      <c r="P900" s="2" t="str">
        <f t="shared" si="441"/>
        <v/>
      </c>
      <c r="Q900" s="2" t="str">
        <f t="shared" si="457"/>
        <v/>
      </c>
      <c r="R900" s="2" t="str">
        <f t="shared" si="458"/>
        <v/>
      </c>
      <c r="S900" s="2" t="str">
        <f t="shared" si="459"/>
        <v/>
      </c>
      <c r="T900" s="2" t="str">
        <f t="shared" si="442"/>
        <v/>
      </c>
      <c r="U900" s="2" t="str">
        <f t="shared" si="443"/>
        <v/>
      </c>
      <c r="V900" s="2" t="str">
        <f t="shared" si="444"/>
        <v/>
      </c>
      <c r="W900" s="2" t="str">
        <f t="shared" si="460"/>
        <v/>
      </c>
      <c r="X900" s="2" t="str">
        <f t="shared" si="461"/>
        <v/>
      </c>
      <c r="Y900" s="2" t="str">
        <f t="shared" si="462"/>
        <v/>
      </c>
      <c r="Z900" s="2" t="str">
        <f t="shared" si="445"/>
        <v/>
      </c>
      <c r="AA900" s="2" t="str">
        <f t="shared" si="446"/>
        <v/>
      </c>
      <c r="AB900" s="2" t="str">
        <f t="shared" si="447"/>
        <v/>
      </c>
      <c r="AC900" s="2" t="str">
        <f t="shared" si="463"/>
        <v/>
      </c>
      <c r="AD900" s="2" t="str">
        <f t="shared" si="464"/>
        <v/>
      </c>
      <c r="AE900" s="2" t="str">
        <f t="shared" si="465"/>
        <v/>
      </c>
      <c r="AF900" s="2" t="str">
        <f t="shared" si="466"/>
        <v/>
      </c>
    </row>
    <row r="901" spans="1:32" x14ac:dyDescent="0.2">
      <c r="A901" s="2" t="str">
        <f t="shared" ref="A901:A964" si="467">IF(AH901="","",_xlfn.CONCAT(AH901,"_",ROW()-3))</f>
        <v/>
      </c>
      <c r="B901" s="2" t="str">
        <f t="shared" si="448"/>
        <v/>
      </c>
      <c r="C901" s="2" t="str">
        <f t="shared" si="449"/>
        <v/>
      </c>
      <c r="D901" s="2" t="str">
        <f t="shared" si="450"/>
        <v/>
      </c>
      <c r="E901" s="2" t="str">
        <f t="shared" si="451"/>
        <v/>
      </c>
      <c r="F901" s="2" t="str">
        <f t="shared" si="452"/>
        <v/>
      </c>
      <c r="G901" s="2" t="str">
        <f t="shared" si="453"/>
        <v/>
      </c>
      <c r="H901" s="2" t="str">
        <f t="shared" ref="H901:H964" si="468">IF(AO901="","",IF(AQ901&lt;&gt;0,(AO901+AQ901)/2,AO901)-BN901)</f>
        <v/>
      </c>
      <c r="I901" s="2" t="str">
        <f t="shared" ref="I901:I964" si="469">IF(AP901="","",AP901)</f>
        <v/>
      </c>
      <c r="J901" s="2" t="str">
        <f t="shared" ref="J901:J964" si="470">IF(AQ901="","",(AO901+AQ901)/2-BN901)</f>
        <v/>
      </c>
      <c r="K901" s="2" t="str">
        <f t="shared" si="454"/>
        <v/>
      </c>
      <c r="L901" s="2" t="str">
        <f t="shared" si="455"/>
        <v/>
      </c>
      <c r="M901" s="2" t="str">
        <f t="shared" si="456"/>
        <v/>
      </c>
      <c r="N901" s="2" t="str">
        <f t="shared" ref="N901:N964" si="471">IF(AU901="","",IF(AW901&lt;&gt;0,(AU901+AW901)/2,AU901)-BN902)</f>
        <v/>
      </c>
      <c r="O901" s="2" t="str">
        <f t="shared" ref="O901:O964" si="472">IF(AV901="","",AV901)</f>
        <v/>
      </c>
      <c r="P901" s="2" t="str">
        <f t="shared" ref="P901:P964" si="473">IF(AW901="","",(AU901+AW901)/2-BN902)</f>
        <v/>
      </c>
      <c r="Q901" s="2" t="str">
        <f t="shared" si="457"/>
        <v/>
      </c>
      <c r="R901" s="2" t="str">
        <f t="shared" si="458"/>
        <v/>
      </c>
      <c r="S901" s="2" t="str">
        <f t="shared" si="459"/>
        <v/>
      </c>
      <c r="T901" s="2" t="str">
        <f t="shared" ref="T901:T964" si="474">IF(BA901="","",IF(BC901&lt;&gt;0,(BA901+BC901)/2,BA901)-BN903)</f>
        <v/>
      </c>
      <c r="U901" s="2" t="str">
        <f t="shared" ref="U901:U964" si="475">IF(BB901="","",BB901)</f>
        <v/>
      </c>
      <c r="V901" s="2" t="str">
        <f t="shared" ref="V901:V964" si="476">IF(BC901="","",(BA901+BC901)/2-BN903)</f>
        <v/>
      </c>
      <c r="W901" s="2" t="str">
        <f t="shared" si="460"/>
        <v/>
      </c>
      <c r="X901" s="2" t="str">
        <f t="shared" si="461"/>
        <v/>
      </c>
      <c r="Y901" s="2" t="str">
        <f t="shared" si="462"/>
        <v/>
      </c>
      <c r="Z901" s="2" t="str">
        <f t="shared" ref="Z901:Z964" si="477">IF(BG901="","",IF(BI901&lt;&gt;0,(BG901+BI901)/2,BG901)-BN904)</f>
        <v/>
      </c>
      <c r="AA901" s="2" t="str">
        <f t="shared" ref="AA901:AA964" si="478">IF(BH901="","",BH901)</f>
        <v/>
      </c>
      <c r="AB901" s="2" t="str">
        <f t="shared" ref="AB901:AB964" si="479">IF(BI901="","",(BG901+BI901)/2-BN904)</f>
        <v/>
      </c>
      <c r="AC901" s="2" t="str">
        <f t="shared" si="463"/>
        <v/>
      </c>
      <c r="AD901" s="2" t="str">
        <f t="shared" si="464"/>
        <v/>
      </c>
      <c r="AE901" s="2" t="str">
        <f t="shared" si="465"/>
        <v/>
      </c>
      <c r="AF901" s="2" t="str">
        <f t="shared" si="466"/>
        <v/>
      </c>
    </row>
    <row r="902" spans="1:32" x14ac:dyDescent="0.2">
      <c r="A902" s="2" t="str">
        <f t="shared" si="467"/>
        <v/>
      </c>
      <c r="B902" s="2" t="str">
        <f t="shared" si="448"/>
        <v/>
      </c>
      <c r="C902" s="2" t="str">
        <f t="shared" si="449"/>
        <v/>
      </c>
      <c r="D902" s="2" t="str">
        <f t="shared" si="450"/>
        <v/>
      </c>
      <c r="E902" s="2" t="str">
        <f t="shared" si="451"/>
        <v/>
      </c>
      <c r="F902" s="2" t="str">
        <f t="shared" si="452"/>
        <v/>
      </c>
      <c r="G902" s="2" t="str">
        <f t="shared" si="453"/>
        <v/>
      </c>
      <c r="H902" s="2" t="str">
        <f t="shared" si="468"/>
        <v/>
      </c>
      <c r="I902" s="2" t="str">
        <f t="shared" si="469"/>
        <v/>
      </c>
      <c r="J902" s="2" t="str">
        <f t="shared" si="470"/>
        <v/>
      </c>
      <c r="K902" s="2" t="str">
        <f t="shared" si="454"/>
        <v/>
      </c>
      <c r="L902" s="2" t="str">
        <f t="shared" si="455"/>
        <v/>
      </c>
      <c r="M902" s="2" t="str">
        <f t="shared" si="456"/>
        <v/>
      </c>
      <c r="N902" s="2" t="str">
        <f t="shared" si="471"/>
        <v/>
      </c>
      <c r="O902" s="2" t="str">
        <f t="shared" si="472"/>
        <v/>
      </c>
      <c r="P902" s="2" t="str">
        <f t="shared" si="473"/>
        <v/>
      </c>
      <c r="Q902" s="2" t="str">
        <f t="shared" si="457"/>
        <v/>
      </c>
      <c r="R902" s="2" t="str">
        <f t="shared" si="458"/>
        <v/>
      </c>
      <c r="S902" s="2" t="str">
        <f t="shared" si="459"/>
        <v/>
      </c>
      <c r="T902" s="2" t="str">
        <f t="shared" si="474"/>
        <v/>
      </c>
      <c r="U902" s="2" t="str">
        <f t="shared" si="475"/>
        <v/>
      </c>
      <c r="V902" s="2" t="str">
        <f t="shared" si="476"/>
        <v/>
      </c>
      <c r="W902" s="2" t="str">
        <f t="shared" si="460"/>
        <v/>
      </c>
      <c r="X902" s="2" t="str">
        <f t="shared" si="461"/>
        <v/>
      </c>
      <c r="Y902" s="2" t="str">
        <f t="shared" si="462"/>
        <v/>
      </c>
      <c r="Z902" s="2" t="str">
        <f t="shared" si="477"/>
        <v/>
      </c>
      <c r="AA902" s="2" t="str">
        <f t="shared" si="478"/>
        <v/>
      </c>
      <c r="AB902" s="2" t="str">
        <f t="shared" si="479"/>
        <v/>
      </c>
      <c r="AC902" s="2" t="str">
        <f t="shared" si="463"/>
        <v/>
      </c>
      <c r="AD902" s="2" t="str">
        <f t="shared" si="464"/>
        <v/>
      </c>
      <c r="AE902" s="2" t="str">
        <f t="shared" si="465"/>
        <v/>
      </c>
      <c r="AF902" s="2" t="str">
        <f t="shared" si="466"/>
        <v/>
      </c>
    </row>
    <row r="903" spans="1:32" x14ac:dyDescent="0.2">
      <c r="A903" s="2" t="str">
        <f t="shared" si="467"/>
        <v/>
      </c>
      <c r="B903" s="2" t="str">
        <f t="shared" si="448"/>
        <v/>
      </c>
      <c r="C903" s="2" t="str">
        <f t="shared" si="449"/>
        <v/>
      </c>
      <c r="D903" s="2" t="str">
        <f t="shared" si="450"/>
        <v/>
      </c>
      <c r="E903" s="2" t="str">
        <f t="shared" si="451"/>
        <v/>
      </c>
      <c r="F903" s="2" t="str">
        <f t="shared" si="452"/>
        <v/>
      </c>
      <c r="G903" s="2" t="str">
        <f t="shared" si="453"/>
        <v/>
      </c>
      <c r="H903" s="2" t="str">
        <f t="shared" si="468"/>
        <v/>
      </c>
      <c r="I903" s="2" t="str">
        <f t="shared" si="469"/>
        <v/>
      </c>
      <c r="J903" s="2" t="str">
        <f t="shared" si="470"/>
        <v/>
      </c>
      <c r="K903" s="2" t="str">
        <f t="shared" si="454"/>
        <v/>
      </c>
      <c r="L903" s="2" t="str">
        <f t="shared" si="455"/>
        <v/>
      </c>
      <c r="M903" s="2" t="str">
        <f t="shared" si="456"/>
        <v/>
      </c>
      <c r="N903" s="2" t="str">
        <f t="shared" si="471"/>
        <v/>
      </c>
      <c r="O903" s="2" t="str">
        <f t="shared" si="472"/>
        <v/>
      </c>
      <c r="P903" s="2" t="str">
        <f t="shared" si="473"/>
        <v/>
      </c>
      <c r="Q903" s="2" t="str">
        <f t="shared" si="457"/>
        <v/>
      </c>
      <c r="R903" s="2" t="str">
        <f t="shared" si="458"/>
        <v/>
      </c>
      <c r="S903" s="2" t="str">
        <f t="shared" si="459"/>
        <v/>
      </c>
      <c r="T903" s="2" t="str">
        <f t="shared" si="474"/>
        <v/>
      </c>
      <c r="U903" s="2" t="str">
        <f t="shared" si="475"/>
        <v/>
      </c>
      <c r="V903" s="2" t="str">
        <f t="shared" si="476"/>
        <v/>
      </c>
      <c r="W903" s="2" t="str">
        <f t="shared" si="460"/>
        <v/>
      </c>
      <c r="X903" s="2" t="str">
        <f t="shared" si="461"/>
        <v/>
      </c>
      <c r="Y903" s="2" t="str">
        <f t="shared" si="462"/>
        <v/>
      </c>
      <c r="Z903" s="2" t="str">
        <f t="shared" si="477"/>
        <v/>
      </c>
      <c r="AA903" s="2" t="str">
        <f t="shared" si="478"/>
        <v/>
      </c>
      <c r="AB903" s="2" t="str">
        <f t="shared" si="479"/>
        <v/>
      </c>
      <c r="AC903" s="2" t="str">
        <f t="shared" si="463"/>
        <v/>
      </c>
      <c r="AD903" s="2" t="str">
        <f t="shared" si="464"/>
        <v/>
      </c>
      <c r="AE903" s="2" t="str">
        <f t="shared" si="465"/>
        <v/>
      </c>
      <c r="AF903" s="2" t="str">
        <f t="shared" si="466"/>
        <v/>
      </c>
    </row>
    <row r="904" spans="1:32" x14ac:dyDescent="0.2">
      <c r="A904" s="2" t="str">
        <f t="shared" si="467"/>
        <v/>
      </c>
      <c r="B904" s="2" t="str">
        <f t="shared" si="448"/>
        <v/>
      </c>
      <c r="C904" s="2" t="str">
        <f t="shared" si="449"/>
        <v/>
      </c>
      <c r="D904" s="2" t="str">
        <f t="shared" si="450"/>
        <v/>
      </c>
      <c r="E904" s="2" t="str">
        <f t="shared" si="451"/>
        <v/>
      </c>
      <c r="F904" s="2" t="str">
        <f t="shared" si="452"/>
        <v/>
      </c>
      <c r="G904" s="2" t="str">
        <f t="shared" si="453"/>
        <v/>
      </c>
      <c r="H904" s="2" t="str">
        <f t="shared" si="468"/>
        <v/>
      </c>
      <c r="I904" s="2" t="str">
        <f t="shared" si="469"/>
        <v/>
      </c>
      <c r="J904" s="2" t="str">
        <f t="shared" si="470"/>
        <v/>
      </c>
      <c r="K904" s="2" t="str">
        <f t="shared" si="454"/>
        <v/>
      </c>
      <c r="L904" s="2" t="str">
        <f t="shared" si="455"/>
        <v/>
      </c>
      <c r="M904" s="2" t="str">
        <f t="shared" si="456"/>
        <v/>
      </c>
      <c r="N904" s="2" t="str">
        <f t="shared" si="471"/>
        <v/>
      </c>
      <c r="O904" s="2" t="str">
        <f t="shared" si="472"/>
        <v/>
      </c>
      <c r="P904" s="2" t="str">
        <f t="shared" si="473"/>
        <v/>
      </c>
      <c r="Q904" s="2" t="str">
        <f t="shared" si="457"/>
        <v/>
      </c>
      <c r="R904" s="2" t="str">
        <f t="shared" si="458"/>
        <v/>
      </c>
      <c r="S904" s="2" t="str">
        <f t="shared" si="459"/>
        <v/>
      </c>
      <c r="T904" s="2" t="str">
        <f t="shared" si="474"/>
        <v/>
      </c>
      <c r="U904" s="2" t="str">
        <f t="shared" si="475"/>
        <v/>
      </c>
      <c r="V904" s="2" t="str">
        <f t="shared" si="476"/>
        <v/>
      </c>
      <c r="W904" s="2" t="str">
        <f t="shared" si="460"/>
        <v/>
      </c>
      <c r="X904" s="2" t="str">
        <f t="shared" si="461"/>
        <v/>
      </c>
      <c r="Y904" s="2" t="str">
        <f t="shared" si="462"/>
        <v/>
      </c>
      <c r="Z904" s="2" t="str">
        <f t="shared" si="477"/>
        <v/>
      </c>
      <c r="AA904" s="2" t="str">
        <f t="shared" si="478"/>
        <v/>
      </c>
      <c r="AB904" s="2" t="str">
        <f t="shared" si="479"/>
        <v/>
      </c>
      <c r="AC904" s="2" t="str">
        <f t="shared" si="463"/>
        <v/>
      </c>
      <c r="AD904" s="2" t="str">
        <f t="shared" si="464"/>
        <v/>
      </c>
      <c r="AE904" s="2" t="str">
        <f t="shared" si="465"/>
        <v/>
      </c>
      <c r="AF904" s="2" t="str">
        <f t="shared" si="466"/>
        <v/>
      </c>
    </row>
    <row r="905" spans="1:32" x14ac:dyDescent="0.2">
      <c r="A905" s="2" t="str">
        <f t="shared" si="467"/>
        <v/>
      </c>
      <c r="B905" s="2" t="str">
        <f t="shared" si="448"/>
        <v/>
      </c>
      <c r="C905" s="2" t="str">
        <f t="shared" si="449"/>
        <v/>
      </c>
      <c r="D905" s="2" t="str">
        <f t="shared" si="450"/>
        <v/>
      </c>
      <c r="E905" s="2" t="str">
        <f t="shared" si="451"/>
        <v/>
      </c>
      <c r="F905" s="2" t="str">
        <f t="shared" si="452"/>
        <v/>
      </c>
      <c r="G905" s="2" t="str">
        <f t="shared" si="453"/>
        <v/>
      </c>
      <c r="H905" s="2" t="str">
        <f t="shared" si="468"/>
        <v/>
      </c>
      <c r="I905" s="2" t="str">
        <f t="shared" si="469"/>
        <v/>
      </c>
      <c r="J905" s="2" t="str">
        <f t="shared" si="470"/>
        <v/>
      </c>
      <c r="K905" s="2" t="str">
        <f t="shared" si="454"/>
        <v/>
      </c>
      <c r="L905" s="2" t="str">
        <f t="shared" si="455"/>
        <v/>
      </c>
      <c r="M905" s="2" t="str">
        <f t="shared" si="456"/>
        <v/>
      </c>
      <c r="N905" s="2" t="str">
        <f t="shared" si="471"/>
        <v/>
      </c>
      <c r="O905" s="2" t="str">
        <f t="shared" si="472"/>
        <v/>
      </c>
      <c r="P905" s="2" t="str">
        <f t="shared" si="473"/>
        <v/>
      </c>
      <c r="Q905" s="2" t="str">
        <f t="shared" si="457"/>
        <v/>
      </c>
      <c r="R905" s="2" t="str">
        <f t="shared" si="458"/>
        <v/>
      </c>
      <c r="S905" s="2" t="str">
        <f t="shared" si="459"/>
        <v/>
      </c>
      <c r="T905" s="2" t="str">
        <f t="shared" si="474"/>
        <v/>
      </c>
      <c r="U905" s="2" t="str">
        <f t="shared" si="475"/>
        <v/>
      </c>
      <c r="V905" s="2" t="str">
        <f t="shared" si="476"/>
        <v/>
      </c>
      <c r="W905" s="2" t="str">
        <f t="shared" si="460"/>
        <v/>
      </c>
      <c r="X905" s="2" t="str">
        <f t="shared" si="461"/>
        <v/>
      </c>
      <c r="Y905" s="2" t="str">
        <f t="shared" si="462"/>
        <v/>
      </c>
      <c r="Z905" s="2" t="str">
        <f t="shared" si="477"/>
        <v/>
      </c>
      <c r="AA905" s="2" t="str">
        <f t="shared" si="478"/>
        <v/>
      </c>
      <c r="AB905" s="2" t="str">
        <f t="shared" si="479"/>
        <v/>
      </c>
      <c r="AC905" s="2" t="str">
        <f t="shared" si="463"/>
        <v/>
      </c>
      <c r="AD905" s="2" t="str">
        <f t="shared" si="464"/>
        <v/>
      </c>
      <c r="AE905" s="2" t="str">
        <f t="shared" si="465"/>
        <v/>
      </c>
      <c r="AF905" s="2" t="str">
        <f t="shared" si="466"/>
        <v/>
      </c>
    </row>
    <row r="906" spans="1:32" x14ac:dyDescent="0.2">
      <c r="A906" s="2" t="str">
        <f t="shared" si="467"/>
        <v/>
      </c>
      <c r="B906" s="2" t="str">
        <f t="shared" si="448"/>
        <v/>
      </c>
      <c r="C906" s="2" t="str">
        <f t="shared" si="449"/>
        <v/>
      </c>
      <c r="D906" s="2" t="str">
        <f t="shared" si="450"/>
        <v/>
      </c>
      <c r="E906" s="2" t="str">
        <f t="shared" si="451"/>
        <v/>
      </c>
      <c r="F906" s="2" t="str">
        <f t="shared" si="452"/>
        <v/>
      </c>
      <c r="G906" s="2" t="str">
        <f t="shared" si="453"/>
        <v/>
      </c>
      <c r="H906" s="2" t="str">
        <f t="shared" si="468"/>
        <v/>
      </c>
      <c r="I906" s="2" t="str">
        <f t="shared" si="469"/>
        <v/>
      </c>
      <c r="J906" s="2" t="str">
        <f t="shared" si="470"/>
        <v/>
      </c>
      <c r="K906" s="2" t="str">
        <f t="shared" si="454"/>
        <v/>
      </c>
      <c r="L906" s="2" t="str">
        <f t="shared" si="455"/>
        <v/>
      </c>
      <c r="M906" s="2" t="str">
        <f t="shared" si="456"/>
        <v/>
      </c>
      <c r="N906" s="2" t="str">
        <f t="shared" si="471"/>
        <v/>
      </c>
      <c r="O906" s="2" t="str">
        <f t="shared" si="472"/>
        <v/>
      </c>
      <c r="P906" s="2" t="str">
        <f t="shared" si="473"/>
        <v/>
      </c>
      <c r="Q906" s="2" t="str">
        <f t="shared" si="457"/>
        <v/>
      </c>
      <c r="R906" s="2" t="str">
        <f t="shared" si="458"/>
        <v/>
      </c>
      <c r="S906" s="2" t="str">
        <f t="shared" si="459"/>
        <v/>
      </c>
      <c r="T906" s="2" t="str">
        <f t="shared" si="474"/>
        <v/>
      </c>
      <c r="U906" s="2" t="str">
        <f t="shared" si="475"/>
        <v/>
      </c>
      <c r="V906" s="2" t="str">
        <f t="shared" si="476"/>
        <v/>
      </c>
      <c r="W906" s="2" t="str">
        <f t="shared" si="460"/>
        <v/>
      </c>
      <c r="X906" s="2" t="str">
        <f t="shared" si="461"/>
        <v/>
      </c>
      <c r="Y906" s="2" t="str">
        <f t="shared" si="462"/>
        <v/>
      </c>
      <c r="Z906" s="2" t="str">
        <f t="shared" si="477"/>
        <v/>
      </c>
      <c r="AA906" s="2" t="str">
        <f t="shared" si="478"/>
        <v/>
      </c>
      <c r="AB906" s="2" t="str">
        <f t="shared" si="479"/>
        <v/>
      </c>
      <c r="AC906" s="2" t="str">
        <f t="shared" si="463"/>
        <v/>
      </c>
      <c r="AD906" s="2" t="str">
        <f t="shared" si="464"/>
        <v/>
      </c>
      <c r="AE906" s="2" t="str">
        <f t="shared" si="465"/>
        <v/>
      </c>
      <c r="AF906" s="2" t="str">
        <f t="shared" si="466"/>
        <v/>
      </c>
    </row>
    <row r="907" spans="1:32" x14ac:dyDescent="0.2">
      <c r="A907" s="2" t="str">
        <f t="shared" si="467"/>
        <v/>
      </c>
      <c r="B907" s="2" t="str">
        <f t="shared" si="448"/>
        <v/>
      </c>
      <c r="C907" s="2" t="str">
        <f t="shared" si="449"/>
        <v/>
      </c>
      <c r="D907" s="2" t="str">
        <f t="shared" si="450"/>
        <v/>
      </c>
      <c r="E907" s="2" t="str">
        <f t="shared" si="451"/>
        <v/>
      </c>
      <c r="F907" s="2" t="str">
        <f t="shared" si="452"/>
        <v/>
      </c>
      <c r="G907" s="2" t="str">
        <f t="shared" si="453"/>
        <v/>
      </c>
      <c r="H907" s="2" t="str">
        <f t="shared" si="468"/>
        <v/>
      </c>
      <c r="I907" s="2" t="str">
        <f t="shared" si="469"/>
        <v/>
      </c>
      <c r="J907" s="2" t="str">
        <f t="shared" si="470"/>
        <v/>
      </c>
      <c r="K907" s="2" t="str">
        <f t="shared" si="454"/>
        <v/>
      </c>
      <c r="L907" s="2" t="str">
        <f t="shared" si="455"/>
        <v/>
      </c>
      <c r="M907" s="2" t="str">
        <f t="shared" si="456"/>
        <v/>
      </c>
      <c r="N907" s="2" t="str">
        <f t="shared" si="471"/>
        <v/>
      </c>
      <c r="O907" s="2" t="str">
        <f t="shared" si="472"/>
        <v/>
      </c>
      <c r="P907" s="2" t="str">
        <f t="shared" si="473"/>
        <v/>
      </c>
      <c r="Q907" s="2" t="str">
        <f t="shared" si="457"/>
        <v/>
      </c>
      <c r="R907" s="2" t="str">
        <f t="shared" si="458"/>
        <v/>
      </c>
      <c r="S907" s="2" t="str">
        <f t="shared" si="459"/>
        <v/>
      </c>
      <c r="T907" s="2" t="str">
        <f t="shared" si="474"/>
        <v/>
      </c>
      <c r="U907" s="2" t="str">
        <f t="shared" si="475"/>
        <v/>
      </c>
      <c r="V907" s="2" t="str">
        <f t="shared" si="476"/>
        <v/>
      </c>
      <c r="W907" s="2" t="str">
        <f t="shared" si="460"/>
        <v/>
      </c>
      <c r="X907" s="2" t="str">
        <f t="shared" si="461"/>
        <v/>
      </c>
      <c r="Y907" s="2" t="str">
        <f t="shared" si="462"/>
        <v/>
      </c>
      <c r="Z907" s="2" t="str">
        <f t="shared" si="477"/>
        <v/>
      </c>
      <c r="AA907" s="2" t="str">
        <f t="shared" si="478"/>
        <v/>
      </c>
      <c r="AB907" s="2" t="str">
        <f t="shared" si="479"/>
        <v/>
      </c>
      <c r="AC907" s="2" t="str">
        <f t="shared" si="463"/>
        <v/>
      </c>
      <c r="AD907" s="2" t="str">
        <f t="shared" si="464"/>
        <v/>
      </c>
      <c r="AE907" s="2" t="str">
        <f t="shared" si="465"/>
        <v/>
      </c>
      <c r="AF907" s="2" t="str">
        <f t="shared" si="466"/>
        <v/>
      </c>
    </row>
    <row r="908" spans="1:32" x14ac:dyDescent="0.2">
      <c r="A908" s="2" t="str">
        <f t="shared" si="467"/>
        <v/>
      </c>
      <c r="B908" s="2" t="str">
        <f t="shared" si="448"/>
        <v/>
      </c>
      <c r="C908" s="2" t="str">
        <f t="shared" si="449"/>
        <v/>
      </c>
      <c r="D908" s="2" t="str">
        <f t="shared" si="450"/>
        <v/>
      </c>
      <c r="E908" s="2" t="str">
        <f t="shared" si="451"/>
        <v/>
      </c>
      <c r="F908" s="2" t="str">
        <f t="shared" si="452"/>
        <v/>
      </c>
      <c r="G908" s="2" t="str">
        <f t="shared" si="453"/>
        <v/>
      </c>
      <c r="H908" s="2" t="str">
        <f t="shared" si="468"/>
        <v/>
      </c>
      <c r="I908" s="2" t="str">
        <f t="shared" si="469"/>
        <v/>
      </c>
      <c r="J908" s="2" t="str">
        <f t="shared" si="470"/>
        <v/>
      </c>
      <c r="K908" s="2" t="str">
        <f t="shared" si="454"/>
        <v/>
      </c>
      <c r="L908" s="2" t="str">
        <f t="shared" si="455"/>
        <v/>
      </c>
      <c r="M908" s="2" t="str">
        <f t="shared" si="456"/>
        <v/>
      </c>
      <c r="N908" s="2" t="str">
        <f t="shared" si="471"/>
        <v/>
      </c>
      <c r="O908" s="2" t="str">
        <f t="shared" si="472"/>
        <v/>
      </c>
      <c r="P908" s="2" t="str">
        <f t="shared" si="473"/>
        <v/>
      </c>
      <c r="Q908" s="2" t="str">
        <f t="shared" si="457"/>
        <v/>
      </c>
      <c r="R908" s="2" t="str">
        <f t="shared" si="458"/>
        <v/>
      </c>
      <c r="S908" s="2" t="str">
        <f t="shared" si="459"/>
        <v/>
      </c>
      <c r="T908" s="2" t="str">
        <f t="shared" si="474"/>
        <v/>
      </c>
      <c r="U908" s="2" t="str">
        <f t="shared" si="475"/>
        <v/>
      </c>
      <c r="V908" s="2" t="str">
        <f t="shared" si="476"/>
        <v/>
      </c>
      <c r="W908" s="2" t="str">
        <f t="shared" si="460"/>
        <v/>
      </c>
      <c r="X908" s="2" t="str">
        <f t="shared" si="461"/>
        <v/>
      </c>
      <c r="Y908" s="2" t="str">
        <f t="shared" si="462"/>
        <v/>
      </c>
      <c r="Z908" s="2" t="str">
        <f t="shared" si="477"/>
        <v/>
      </c>
      <c r="AA908" s="2" t="str">
        <f t="shared" si="478"/>
        <v/>
      </c>
      <c r="AB908" s="2" t="str">
        <f t="shared" si="479"/>
        <v/>
      </c>
      <c r="AC908" s="2" t="str">
        <f t="shared" si="463"/>
        <v/>
      </c>
      <c r="AD908" s="2" t="str">
        <f t="shared" si="464"/>
        <v/>
      </c>
      <c r="AE908" s="2" t="str">
        <f t="shared" si="465"/>
        <v/>
      </c>
      <c r="AF908" s="2" t="str">
        <f t="shared" si="466"/>
        <v/>
      </c>
    </row>
    <row r="909" spans="1:32" x14ac:dyDescent="0.2">
      <c r="A909" s="2" t="str">
        <f t="shared" si="467"/>
        <v/>
      </c>
      <c r="B909" s="2" t="str">
        <f t="shared" si="448"/>
        <v/>
      </c>
      <c r="C909" s="2" t="str">
        <f t="shared" si="449"/>
        <v/>
      </c>
      <c r="D909" s="2" t="str">
        <f t="shared" si="450"/>
        <v/>
      </c>
      <c r="E909" s="2" t="str">
        <f t="shared" si="451"/>
        <v/>
      </c>
      <c r="F909" s="2" t="str">
        <f t="shared" si="452"/>
        <v/>
      </c>
      <c r="G909" s="2" t="str">
        <f t="shared" si="453"/>
        <v/>
      </c>
      <c r="H909" s="2" t="str">
        <f t="shared" si="468"/>
        <v/>
      </c>
      <c r="I909" s="2" t="str">
        <f t="shared" si="469"/>
        <v/>
      </c>
      <c r="J909" s="2" t="str">
        <f t="shared" si="470"/>
        <v/>
      </c>
      <c r="K909" s="2" t="str">
        <f t="shared" si="454"/>
        <v/>
      </c>
      <c r="L909" s="2" t="str">
        <f t="shared" si="455"/>
        <v/>
      </c>
      <c r="M909" s="2" t="str">
        <f t="shared" si="456"/>
        <v/>
      </c>
      <c r="N909" s="2" t="str">
        <f t="shared" si="471"/>
        <v/>
      </c>
      <c r="O909" s="2" t="str">
        <f t="shared" si="472"/>
        <v/>
      </c>
      <c r="P909" s="2" t="str">
        <f t="shared" si="473"/>
        <v/>
      </c>
      <c r="Q909" s="2" t="str">
        <f t="shared" si="457"/>
        <v/>
      </c>
      <c r="R909" s="2" t="str">
        <f t="shared" si="458"/>
        <v/>
      </c>
      <c r="S909" s="2" t="str">
        <f t="shared" si="459"/>
        <v/>
      </c>
      <c r="T909" s="2" t="str">
        <f t="shared" si="474"/>
        <v/>
      </c>
      <c r="U909" s="2" t="str">
        <f t="shared" si="475"/>
        <v/>
      </c>
      <c r="V909" s="2" t="str">
        <f t="shared" si="476"/>
        <v/>
      </c>
      <c r="W909" s="2" t="str">
        <f t="shared" si="460"/>
        <v/>
      </c>
      <c r="X909" s="2" t="str">
        <f t="shared" si="461"/>
        <v/>
      </c>
      <c r="Y909" s="2" t="str">
        <f t="shared" si="462"/>
        <v/>
      </c>
      <c r="Z909" s="2" t="str">
        <f t="shared" si="477"/>
        <v/>
      </c>
      <c r="AA909" s="2" t="str">
        <f t="shared" si="478"/>
        <v/>
      </c>
      <c r="AB909" s="2" t="str">
        <f t="shared" si="479"/>
        <v/>
      </c>
      <c r="AC909" s="2" t="str">
        <f t="shared" si="463"/>
        <v/>
      </c>
      <c r="AD909" s="2" t="str">
        <f t="shared" si="464"/>
        <v/>
      </c>
      <c r="AE909" s="2" t="str">
        <f t="shared" si="465"/>
        <v/>
      </c>
      <c r="AF909" s="2" t="str">
        <f t="shared" si="466"/>
        <v/>
      </c>
    </row>
    <row r="910" spans="1:32" x14ac:dyDescent="0.2">
      <c r="A910" s="2" t="str">
        <f t="shared" si="467"/>
        <v/>
      </c>
      <c r="B910" s="2" t="str">
        <f t="shared" si="448"/>
        <v/>
      </c>
      <c r="C910" s="2" t="str">
        <f t="shared" si="449"/>
        <v/>
      </c>
      <c r="D910" s="2" t="str">
        <f t="shared" si="450"/>
        <v/>
      </c>
      <c r="E910" s="2" t="str">
        <f t="shared" si="451"/>
        <v/>
      </c>
      <c r="F910" s="2" t="str">
        <f t="shared" si="452"/>
        <v/>
      </c>
      <c r="G910" s="2" t="str">
        <f t="shared" si="453"/>
        <v/>
      </c>
      <c r="H910" s="2" t="str">
        <f t="shared" si="468"/>
        <v/>
      </c>
      <c r="I910" s="2" t="str">
        <f t="shared" si="469"/>
        <v/>
      </c>
      <c r="J910" s="2" t="str">
        <f t="shared" si="470"/>
        <v/>
      </c>
      <c r="K910" s="2" t="str">
        <f t="shared" si="454"/>
        <v/>
      </c>
      <c r="L910" s="2" t="str">
        <f t="shared" si="455"/>
        <v/>
      </c>
      <c r="M910" s="2" t="str">
        <f t="shared" si="456"/>
        <v/>
      </c>
      <c r="N910" s="2" t="str">
        <f t="shared" si="471"/>
        <v/>
      </c>
      <c r="O910" s="2" t="str">
        <f t="shared" si="472"/>
        <v/>
      </c>
      <c r="P910" s="2" t="str">
        <f t="shared" si="473"/>
        <v/>
      </c>
      <c r="Q910" s="2" t="str">
        <f t="shared" si="457"/>
        <v/>
      </c>
      <c r="R910" s="2" t="str">
        <f t="shared" si="458"/>
        <v/>
      </c>
      <c r="S910" s="2" t="str">
        <f t="shared" si="459"/>
        <v/>
      </c>
      <c r="T910" s="2" t="str">
        <f t="shared" si="474"/>
        <v/>
      </c>
      <c r="U910" s="2" t="str">
        <f t="shared" si="475"/>
        <v/>
      </c>
      <c r="V910" s="2" t="str">
        <f t="shared" si="476"/>
        <v/>
      </c>
      <c r="W910" s="2" t="str">
        <f t="shared" si="460"/>
        <v/>
      </c>
      <c r="X910" s="2" t="str">
        <f t="shared" si="461"/>
        <v/>
      </c>
      <c r="Y910" s="2" t="str">
        <f t="shared" si="462"/>
        <v/>
      </c>
      <c r="Z910" s="2" t="str">
        <f t="shared" si="477"/>
        <v/>
      </c>
      <c r="AA910" s="2" t="str">
        <f t="shared" si="478"/>
        <v/>
      </c>
      <c r="AB910" s="2" t="str">
        <f t="shared" si="479"/>
        <v/>
      </c>
      <c r="AC910" s="2" t="str">
        <f t="shared" si="463"/>
        <v/>
      </c>
      <c r="AD910" s="2" t="str">
        <f t="shared" si="464"/>
        <v/>
      </c>
      <c r="AE910" s="2" t="str">
        <f t="shared" si="465"/>
        <v/>
      </c>
      <c r="AF910" s="2" t="str">
        <f t="shared" si="466"/>
        <v/>
      </c>
    </row>
    <row r="911" spans="1:32" x14ac:dyDescent="0.2">
      <c r="A911" s="2" t="str">
        <f t="shared" si="467"/>
        <v/>
      </c>
      <c r="B911" s="2" t="str">
        <f t="shared" si="448"/>
        <v/>
      </c>
      <c r="C911" s="2" t="str">
        <f t="shared" si="449"/>
        <v/>
      </c>
      <c r="D911" s="2" t="str">
        <f t="shared" si="450"/>
        <v/>
      </c>
      <c r="E911" s="2" t="str">
        <f t="shared" si="451"/>
        <v/>
      </c>
      <c r="F911" s="2" t="str">
        <f t="shared" si="452"/>
        <v/>
      </c>
      <c r="G911" s="2" t="str">
        <f t="shared" si="453"/>
        <v/>
      </c>
      <c r="H911" s="2" t="str">
        <f t="shared" si="468"/>
        <v/>
      </c>
      <c r="I911" s="2" t="str">
        <f t="shared" si="469"/>
        <v/>
      </c>
      <c r="J911" s="2" t="str">
        <f t="shared" si="470"/>
        <v/>
      </c>
      <c r="K911" s="2" t="str">
        <f t="shared" si="454"/>
        <v/>
      </c>
      <c r="L911" s="2" t="str">
        <f t="shared" si="455"/>
        <v/>
      </c>
      <c r="M911" s="2" t="str">
        <f t="shared" si="456"/>
        <v/>
      </c>
      <c r="N911" s="2" t="str">
        <f t="shared" si="471"/>
        <v/>
      </c>
      <c r="O911" s="2" t="str">
        <f t="shared" si="472"/>
        <v/>
      </c>
      <c r="P911" s="2" t="str">
        <f t="shared" si="473"/>
        <v/>
      </c>
      <c r="Q911" s="2" t="str">
        <f t="shared" si="457"/>
        <v/>
      </c>
      <c r="R911" s="2" t="str">
        <f t="shared" si="458"/>
        <v/>
      </c>
      <c r="S911" s="2" t="str">
        <f t="shared" si="459"/>
        <v/>
      </c>
      <c r="T911" s="2" t="str">
        <f t="shared" si="474"/>
        <v/>
      </c>
      <c r="U911" s="2" t="str">
        <f t="shared" si="475"/>
        <v/>
      </c>
      <c r="V911" s="2" t="str">
        <f t="shared" si="476"/>
        <v/>
      </c>
      <c r="W911" s="2" t="str">
        <f t="shared" si="460"/>
        <v/>
      </c>
      <c r="X911" s="2" t="str">
        <f t="shared" si="461"/>
        <v/>
      </c>
      <c r="Y911" s="2" t="str">
        <f t="shared" si="462"/>
        <v/>
      </c>
      <c r="Z911" s="2" t="str">
        <f t="shared" si="477"/>
        <v/>
      </c>
      <c r="AA911" s="2" t="str">
        <f t="shared" si="478"/>
        <v/>
      </c>
      <c r="AB911" s="2" t="str">
        <f t="shared" si="479"/>
        <v/>
      </c>
      <c r="AC911" s="2" t="str">
        <f t="shared" si="463"/>
        <v/>
      </c>
      <c r="AD911" s="2" t="str">
        <f t="shared" si="464"/>
        <v/>
      </c>
      <c r="AE911" s="2" t="str">
        <f t="shared" si="465"/>
        <v/>
      </c>
      <c r="AF911" s="2" t="str">
        <f t="shared" si="466"/>
        <v/>
      </c>
    </row>
    <row r="912" spans="1:32" x14ac:dyDescent="0.2">
      <c r="A912" s="2" t="str">
        <f t="shared" si="467"/>
        <v/>
      </c>
      <c r="B912" s="2" t="str">
        <f t="shared" si="448"/>
        <v/>
      </c>
      <c r="C912" s="2" t="str">
        <f t="shared" si="449"/>
        <v/>
      </c>
      <c r="D912" s="2" t="str">
        <f t="shared" si="450"/>
        <v/>
      </c>
      <c r="E912" s="2" t="str">
        <f t="shared" si="451"/>
        <v/>
      </c>
      <c r="F912" s="2" t="str">
        <f t="shared" si="452"/>
        <v/>
      </c>
      <c r="G912" s="2" t="str">
        <f t="shared" si="453"/>
        <v/>
      </c>
      <c r="H912" s="2" t="str">
        <f t="shared" si="468"/>
        <v/>
      </c>
      <c r="I912" s="2" t="str">
        <f t="shared" si="469"/>
        <v/>
      </c>
      <c r="J912" s="2" t="str">
        <f t="shared" si="470"/>
        <v/>
      </c>
      <c r="K912" s="2" t="str">
        <f t="shared" si="454"/>
        <v/>
      </c>
      <c r="L912" s="2" t="str">
        <f t="shared" si="455"/>
        <v/>
      </c>
      <c r="M912" s="2" t="str">
        <f t="shared" si="456"/>
        <v/>
      </c>
      <c r="N912" s="2" t="str">
        <f t="shared" si="471"/>
        <v/>
      </c>
      <c r="O912" s="2" t="str">
        <f t="shared" si="472"/>
        <v/>
      </c>
      <c r="P912" s="2" t="str">
        <f t="shared" si="473"/>
        <v/>
      </c>
      <c r="Q912" s="2" t="str">
        <f t="shared" si="457"/>
        <v/>
      </c>
      <c r="R912" s="2" t="str">
        <f t="shared" si="458"/>
        <v/>
      </c>
      <c r="S912" s="2" t="str">
        <f t="shared" si="459"/>
        <v/>
      </c>
      <c r="T912" s="2" t="str">
        <f t="shared" si="474"/>
        <v/>
      </c>
      <c r="U912" s="2" t="str">
        <f t="shared" si="475"/>
        <v/>
      </c>
      <c r="V912" s="2" t="str">
        <f t="shared" si="476"/>
        <v/>
      </c>
      <c r="W912" s="2" t="str">
        <f t="shared" si="460"/>
        <v/>
      </c>
      <c r="X912" s="2" t="str">
        <f t="shared" si="461"/>
        <v/>
      </c>
      <c r="Y912" s="2" t="str">
        <f t="shared" si="462"/>
        <v/>
      </c>
      <c r="Z912" s="2" t="str">
        <f t="shared" si="477"/>
        <v/>
      </c>
      <c r="AA912" s="2" t="str">
        <f t="shared" si="478"/>
        <v/>
      </c>
      <c r="AB912" s="2" t="str">
        <f t="shared" si="479"/>
        <v/>
      </c>
      <c r="AC912" s="2" t="str">
        <f t="shared" si="463"/>
        <v/>
      </c>
      <c r="AD912" s="2" t="str">
        <f t="shared" si="464"/>
        <v/>
      </c>
      <c r="AE912" s="2" t="str">
        <f t="shared" si="465"/>
        <v/>
      </c>
      <c r="AF912" s="2" t="str">
        <f t="shared" si="466"/>
        <v/>
      </c>
    </row>
    <row r="913" spans="1:32" x14ac:dyDescent="0.2">
      <c r="A913" s="2" t="str">
        <f t="shared" si="467"/>
        <v/>
      </c>
      <c r="B913" s="2" t="str">
        <f t="shared" si="448"/>
        <v/>
      </c>
      <c r="C913" s="2" t="str">
        <f t="shared" si="449"/>
        <v/>
      </c>
      <c r="D913" s="2" t="str">
        <f t="shared" si="450"/>
        <v/>
      </c>
      <c r="E913" s="2" t="str">
        <f t="shared" si="451"/>
        <v/>
      </c>
      <c r="F913" s="2" t="str">
        <f t="shared" si="452"/>
        <v/>
      </c>
      <c r="G913" s="2" t="str">
        <f t="shared" si="453"/>
        <v/>
      </c>
      <c r="H913" s="2" t="str">
        <f t="shared" si="468"/>
        <v/>
      </c>
      <c r="I913" s="2" t="str">
        <f t="shared" si="469"/>
        <v/>
      </c>
      <c r="J913" s="2" t="str">
        <f t="shared" si="470"/>
        <v/>
      </c>
      <c r="K913" s="2" t="str">
        <f t="shared" si="454"/>
        <v/>
      </c>
      <c r="L913" s="2" t="str">
        <f t="shared" si="455"/>
        <v/>
      </c>
      <c r="M913" s="2" t="str">
        <f t="shared" si="456"/>
        <v/>
      </c>
      <c r="N913" s="2" t="str">
        <f t="shared" si="471"/>
        <v/>
      </c>
      <c r="O913" s="2" t="str">
        <f t="shared" si="472"/>
        <v/>
      </c>
      <c r="P913" s="2" t="str">
        <f t="shared" si="473"/>
        <v/>
      </c>
      <c r="Q913" s="2" t="str">
        <f t="shared" si="457"/>
        <v/>
      </c>
      <c r="R913" s="2" t="str">
        <f t="shared" si="458"/>
        <v/>
      </c>
      <c r="S913" s="2" t="str">
        <f t="shared" si="459"/>
        <v/>
      </c>
      <c r="T913" s="2" t="str">
        <f t="shared" si="474"/>
        <v/>
      </c>
      <c r="U913" s="2" t="str">
        <f t="shared" si="475"/>
        <v/>
      </c>
      <c r="V913" s="2" t="str">
        <f t="shared" si="476"/>
        <v/>
      </c>
      <c r="W913" s="2" t="str">
        <f t="shared" si="460"/>
        <v/>
      </c>
      <c r="X913" s="2" t="str">
        <f t="shared" si="461"/>
        <v/>
      </c>
      <c r="Y913" s="2" t="str">
        <f t="shared" si="462"/>
        <v/>
      </c>
      <c r="Z913" s="2" t="str">
        <f t="shared" si="477"/>
        <v/>
      </c>
      <c r="AA913" s="2" t="str">
        <f t="shared" si="478"/>
        <v/>
      </c>
      <c r="AB913" s="2" t="str">
        <f t="shared" si="479"/>
        <v/>
      </c>
      <c r="AC913" s="2" t="str">
        <f t="shared" si="463"/>
        <v/>
      </c>
      <c r="AD913" s="2" t="str">
        <f t="shared" si="464"/>
        <v/>
      </c>
      <c r="AE913" s="2" t="str">
        <f t="shared" si="465"/>
        <v/>
      </c>
      <c r="AF913" s="2" t="str">
        <f t="shared" si="466"/>
        <v/>
      </c>
    </row>
    <row r="914" spans="1:32" x14ac:dyDescent="0.2">
      <c r="A914" s="2" t="str">
        <f t="shared" si="467"/>
        <v/>
      </c>
      <c r="B914" s="2" t="str">
        <f t="shared" si="448"/>
        <v/>
      </c>
      <c r="C914" s="2" t="str">
        <f t="shared" si="449"/>
        <v/>
      </c>
      <c r="D914" s="2" t="str">
        <f t="shared" si="450"/>
        <v/>
      </c>
      <c r="E914" s="2" t="str">
        <f t="shared" si="451"/>
        <v/>
      </c>
      <c r="F914" s="2" t="str">
        <f t="shared" si="452"/>
        <v/>
      </c>
      <c r="G914" s="2" t="str">
        <f t="shared" si="453"/>
        <v/>
      </c>
      <c r="H914" s="2" t="str">
        <f t="shared" si="468"/>
        <v/>
      </c>
      <c r="I914" s="2" t="str">
        <f t="shared" si="469"/>
        <v/>
      </c>
      <c r="J914" s="2" t="str">
        <f t="shared" si="470"/>
        <v/>
      </c>
      <c r="K914" s="2" t="str">
        <f t="shared" si="454"/>
        <v/>
      </c>
      <c r="L914" s="2" t="str">
        <f t="shared" si="455"/>
        <v/>
      </c>
      <c r="M914" s="2" t="str">
        <f t="shared" si="456"/>
        <v/>
      </c>
      <c r="N914" s="2" t="str">
        <f t="shared" si="471"/>
        <v/>
      </c>
      <c r="O914" s="2" t="str">
        <f t="shared" si="472"/>
        <v/>
      </c>
      <c r="P914" s="2" t="str">
        <f t="shared" si="473"/>
        <v/>
      </c>
      <c r="Q914" s="2" t="str">
        <f t="shared" si="457"/>
        <v/>
      </c>
      <c r="R914" s="2" t="str">
        <f t="shared" si="458"/>
        <v/>
      </c>
      <c r="S914" s="2" t="str">
        <f t="shared" si="459"/>
        <v/>
      </c>
      <c r="T914" s="2" t="str">
        <f t="shared" si="474"/>
        <v/>
      </c>
      <c r="U914" s="2" t="str">
        <f t="shared" si="475"/>
        <v/>
      </c>
      <c r="V914" s="2" t="str">
        <f t="shared" si="476"/>
        <v/>
      </c>
      <c r="W914" s="2" t="str">
        <f t="shared" si="460"/>
        <v/>
      </c>
      <c r="X914" s="2" t="str">
        <f t="shared" si="461"/>
        <v/>
      </c>
      <c r="Y914" s="2" t="str">
        <f t="shared" si="462"/>
        <v/>
      </c>
      <c r="Z914" s="2" t="str">
        <f t="shared" si="477"/>
        <v/>
      </c>
      <c r="AA914" s="2" t="str">
        <f t="shared" si="478"/>
        <v/>
      </c>
      <c r="AB914" s="2" t="str">
        <f t="shared" si="479"/>
        <v/>
      </c>
      <c r="AC914" s="2" t="str">
        <f t="shared" si="463"/>
        <v/>
      </c>
      <c r="AD914" s="2" t="str">
        <f t="shared" si="464"/>
        <v/>
      </c>
      <c r="AE914" s="2" t="str">
        <f t="shared" si="465"/>
        <v/>
      </c>
      <c r="AF914" s="2" t="str">
        <f t="shared" si="466"/>
        <v/>
      </c>
    </row>
    <row r="915" spans="1:32" x14ac:dyDescent="0.2">
      <c r="A915" s="2" t="str">
        <f t="shared" si="467"/>
        <v/>
      </c>
      <c r="B915" s="2" t="str">
        <f t="shared" si="448"/>
        <v/>
      </c>
      <c r="C915" s="2" t="str">
        <f t="shared" si="449"/>
        <v/>
      </c>
      <c r="D915" s="2" t="str">
        <f t="shared" si="450"/>
        <v/>
      </c>
      <c r="E915" s="2" t="str">
        <f t="shared" si="451"/>
        <v/>
      </c>
      <c r="F915" s="2" t="str">
        <f t="shared" si="452"/>
        <v/>
      </c>
      <c r="G915" s="2" t="str">
        <f t="shared" si="453"/>
        <v/>
      </c>
      <c r="H915" s="2" t="str">
        <f t="shared" si="468"/>
        <v/>
      </c>
      <c r="I915" s="2" t="str">
        <f t="shared" si="469"/>
        <v/>
      </c>
      <c r="J915" s="2" t="str">
        <f t="shared" si="470"/>
        <v/>
      </c>
      <c r="K915" s="2" t="str">
        <f t="shared" si="454"/>
        <v/>
      </c>
      <c r="L915" s="2" t="str">
        <f t="shared" si="455"/>
        <v/>
      </c>
      <c r="M915" s="2" t="str">
        <f t="shared" si="456"/>
        <v/>
      </c>
      <c r="N915" s="2" t="str">
        <f t="shared" si="471"/>
        <v/>
      </c>
      <c r="O915" s="2" t="str">
        <f t="shared" si="472"/>
        <v/>
      </c>
      <c r="P915" s="2" t="str">
        <f t="shared" si="473"/>
        <v/>
      </c>
      <c r="Q915" s="2" t="str">
        <f t="shared" si="457"/>
        <v/>
      </c>
      <c r="R915" s="2" t="str">
        <f t="shared" si="458"/>
        <v/>
      </c>
      <c r="S915" s="2" t="str">
        <f t="shared" si="459"/>
        <v/>
      </c>
      <c r="T915" s="2" t="str">
        <f t="shared" si="474"/>
        <v/>
      </c>
      <c r="U915" s="2" t="str">
        <f t="shared" si="475"/>
        <v/>
      </c>
      <c r="V915" s="2" t="str">
        <f t="shared" si="476"/>
        <v/>
      </c>
      <c r="W915" s="2" t="str">
        <f t="shared" si="460"/>
        <v/>
      </c>
      <c r="X915" s="2" t="str">
        <f t="shared" si="461"/>
        <v/>
      </c>
      <c r="Y915" s="2" t="str">
        <f t="shared" si="462"/>
        <v/>
      </c>
      <c r="Z915" s="2" t="str">
        <f t="shared" si="477"/>
        <v/>
      </c>
      <c r="AA915" s="2" t="str">
        <f t="shared" si="478"/>
        <v/>
      </c>
      <c r="AB915" s="2" t="str">
        <f t="shared" si="479"/>
        <v/>
      </c>
      <c r="AC915" s="2" t="str">
        <f t="shared" si="463"/>
        <v/>
      </c>
      <c r="AD915" s="2" t="str">
        <f t="shared" si="464"/>
        <v/>
      </c>
      <c r="AE915" s="2" t="str">
        <f t="shared" si="465"/>
        <v/>
      </c>
      <c r="AF915" s="2" t="str">
        <f t="shared" si="466"/>
        <v/>
      </c>
    </row>
    <row r="916" spans="1:32" x14ac:dyDescent="0.2">
      <c r="A916" s="2" t="str">
        <f t="shared" si="467"/>
        <v/>
      </c>
      <c r="B916" s="2" t="str">
        <f t="shared" si="448"/>
        <v/>
      </c>
      <c r="C916" s="2" t="str">
        <f t="shared" si="449"/>
        <v/>
      </c>
      <c r="D916" s="2" t="str">
        <f t="shared" si="450"/>
        <v/>
      </c>
      <c r="E916" s="2" t="str">
        <f t="shared" si="451"/>
        <v/>
      </c>
      <c r="F916" s="2" t="str">
        <f t="shared" si="452"/>
        <v/>
      </c>
      <c r="G916" s="2" t="str">
        <f t="shared" si="453"/>
        <v/>
      </c>
      <c r="H916" s="2" t="str">
        <f t="shared" si="468"/>
        <v/>
      </c>
      <c r="I916" s="2" t="str">
        <f t="shared" si="469"/>
        <v/>
      </c>
      <c r="J916" s="2" t="str">
        <f t="shared" si="470"/>
        <v/>
      </c>
      <c r="K916" s="2" t="str">
        <f t="shared" si="454"/>
        <v/>
      </c>
      <c r="L916" s="2" t="str">
        <f t="shared" si="455"/>
        <v/>
      </c>
      <c r="M916" s="2" t="str">
        <f t="shared" si="456"/>
        <v/>
      </c>
      <c r="N916" s="2" t="str">
        <f t="shared" si="471"/>
        <v/>
      </c>
      <c r="O916" s="2" t="str">
        <f t="shared" si="472"/>
        <v/>
      </c>
      <c r="P916" s="2" t="str">
        <f t="shared" si="473"/>
        <v/>
      </c>
      <c r="Q916" s="2" t="str">
        <f t="shared" si="457"/>
        <v/>
      </c>
      <c r="R916" s="2" t="str">
        <f t="shared" si="458"/>
        <v/>
      </c>
      <c r="S916" s="2" t="str">
        <f t="shared" si="459"/>
        <v/>
      </c>
      <c r="T916" s="2" t="str">
        <f t="shared" si="474"/>
        <v/>
      </c>
      <c r="U916" s="2" t="str">
        <f t="shared" si="475"/>
        <v/>
      </c>
      <c r="V916" s="2" t="str">
        <f t="shared" si="476"/>
        <v/>
      </c>
      <c r="W916" s="2" t="str">
        <f t="shared" si="460"/>
        <v/>
      </c>
      <c r="X916" s="2" t="str">
        <f t="shared" si="461"/>
        <v/>
      </c>
      <c r="Y916" s="2" t="str">
        <f t="shared" si="462"/>
        <v/>
      </c>
      <c r="Z916" s="2" t="str">
        <f t="shared" si="477"/>
        <v/>
      </c>
      <c r="AA916" s="2" t="str">
        <f t="shared" si="478"/>
        <v/>
      </c>
      <c r="AB916" s="2" t="str">
        <f t="shared" si="479"/>
        <v/>
      </c>
      <c r="AC916" s="2" t="str">
        <f t="shared" si="463"/>
        <v/>
      </c>
      <c r="AD916" s="2" t="str">
        <f t="shared" si="464"/>
        <v/>
      </c>
      <c r="AE916" s="2" t="str">
        <f t="shared" si="465"/>
        <v/>
      </c>
      <c r="AF916" s="2" t="str">
        <f t="shared" si="466"/>
        <v/>
      </c>
    </row>
    <row r="917" spans="1:32" x14ac:dyDescent="0.2">
      <c r="A917" s="2" t="str">
        <f t="shared" si="467"/>
        <v/>
      </c>
      <c r="B917" s="2" t="str">
        <f t="shared" si="448"/>
        <v/>
      </c>
      <c r="C917" s="2" t="str">
        <f t="shared" si="449"/>
        <v/>
      </c>
      <c r="D917" s="2" t="str">
        <f t="shared" si="450"/>
        <v/>
      </c>
      <c r="E917" s="2" t="str">
        <f t="shared" si="451"/>
        <v/>
      </c>
      <c r="F917" s="2" t="str">
        <f t="shared" si="452"/>
        <v/>
      </c>
      <c r="G917" s="2" t="str">
        <f t="shared" si="453"/>
        <v/>
      </c>
      <c r="H917" s="2" t="str">
        <f t="shared" si="468"/>
        <v/>
      </c>
      <c r="I917" s="2" t="str">
        <f t="shared" si="469"/>
        <v/>
      </c>
      <c r="J917" s="2" t="str">
        <f t="shared" si="470"/>
        <v/>
      </c>
      <c r="K917" s="2" t="str">
        <f t="shared" si="454"/>
        <v/>
      </c>
      <c r="L917" s="2" t="str">
        <f t="shared" si="455"/>
        <v/>
      </c>
      <c r="M917" s="2" t="str">
        <f t="shared" si="456"/>
        <v/>
      </c>
      <c r="N917" s="2" t="str">
        <f t="shared" si="471"/>
        <v/>
      </c>
      <c r="O917" s="2" t="str">
        <f t="shared" si="472"/>
        <v/>
      </c>
      <c r="P917" s="2" t="str">
        <f t="shared" si="473"/>
        <v/>
      </c>
      <c r="Q917" s="2" t="str">
        <f t="shared" si="457"/>
        <v/>
      </c>
      <c r="R917" s="2" t="str">
        <f t="shared" si="458"/>
        <v/>
      </c>
      <c r="S917" s="2" t="str">
        <f t="shared" si="459"/>
        <v/>
      </c>
      <c r="T917" s="2" t="str">
        <f t="shared" si="474"/>
        <v/>
      </c>
      <c r="U917" s="2" t="str">
        <f t="shared" si="475"/>
        <v/>
      </c>
      <c r="V917" s="2" t="str">
        <f t="shared" si="476"/>
        <v/>
      </c>
      <c r="W917" s="2" t="str">
        <f t="shared" si="460"/>
        <v/>
      </c>
      <c r="X917" s="2" t="str">
        <f t="shared" si="461"/>
        <v/>
      </c>
      <c r="Y917" s="2" t="str">
        <f t="shared" si="462"/>
        <v/>
      </c>
      <c r="Z917" s="2" t="str">
        <f t="shared" si="477"/>
        <v/>
      </c>
      <c r="AA917" s="2" t="str">
        <f t="shared" si="478"/>
        <v/>
      </c>
      <c r="AB917" s="2" t="str">
        <f t="shared" si="479"/>
        <v/>
      </c>
      <c r="AC917" s="2" t="str">
        <f t="shared" si="463"/>
        <v/>
      </c>
      <c r="AD917" s="2" t="str">
        <f t="shared" si="464"/>
        <v/>
      </c>
      <c r="AE917" s="2" t="str">
        <f t="shared" si="465"/>
        <v/>
      </c>
      <c r="AF917" s="2" t="str">
        <f t="shared" si="466"/>
        <v/>
      </c>
    </row>
    <row r="918" spans="1:32" x14ac:dyDescent="0.2">
      <c r="A918" s="2" t="str">
        <f t="shared" si="467"/>
        <v/>
      </c>
      <c r="B918" s="2" t="str">
        <f t="shared" si="448"/>
        <v/>
      </c>
      <c r="C918" s="2" t="str">
        <f t="shared" si="449"/>
        <v/>
      </c>
      <c r="D918" s="2" t="str">
        <f t="shared" si="450"/>
        <v/>
      </c>
      <c r="E918" s="2" t="str">
        <f t="shared" si="451"/>
        <v/>
      </c>
      <c r="F918" s="2" t="str">
        <f t="shared" si="452"/>
        <v/>
      </c>
      <c r="G918" s="2" t="str">
        <f t="shared" si="453"/>
        <v/>
      </c>
      <c r="H918" s="2" t="str">
        <f t="shared" si="468"/>
        <v/>
      </c>
      <c r="I918" s="2" t="str">
        <f t="shared" si="469"/>
        <v/>
      </c>
      <c r="J918" s="2" t="str">
        <f t="shared" si="470"/>
        <v/>
      </c>
      <c r="K918" s="2" t="str">
        <f t="shared" si="454"/>
        <v/>
      </c>
      <c r="L918" s="2" t="str">
        <f t="shared" si="455"/>
        <v/>
      </c>
      <c r="M918" s="2" t="str">
        <f t="shared" si="456"/>
        <v/>
      </c>
      <c r="N918" s="2" t="str">
        <f t="shared" si="471"/>
        <v/>
      </c>
      <c r="O918" s="2" t="str">
        <f t="shared" si="472"/>
        <v/>
      </c>
      <c r="P918" s="2" t="str">
        <f t="shared" si="473"/>
        <v/>
      </c>
      <c r="Q918" s="2" t="str">
        <f t="shared" si="457"/>
        <v/>
      </c>
      <c r="R918" s="2" t="str">
        <f t="shared" si="458"/>
        <v/>
      </c>
      <c r="S918" s="2" t="str">
        <f t="shared" si="459"/>
        <v/>
      </c>
      <c r="T918" s="2" t="str">
        <f t="shared" si="474"/>
        <v/>
      </c>
      <c r="U918" s="2" t="str">
        <f t="shared" si="475"/>
        <v/>
      </c>
      <c r="V918" s="2" t="str">
        <f t="shared" si="476"/>
        <v/>
      </c>
      <c r="W918" s="2" t="str">
        <f t="shared" si="460"/>
        <v/>
      </c>
      <c r="X918" s="2" t="str">
        <f t="shared" si="461"/>
        <v/>
      </c>
      <c r="Y918" s="2" t="str">
        <f t="shared" si="462"/>
        <v/>
      </c>
      <c r="Z918" s="2" t="str">
        <f t="shared" si="477"/>
        <v/>
      </c>
      <c r="AA918" s="2" t="str">
        <f t="shared" si="478"/>
        <v/>
      </c>
      <c r="AB918" s="2" t="str">
        <f t="shared" si="479"/>
        <v/>
      </c>
      <c r="AC918" s="2" t="str">
        <f t="shared" si="463"/>
        <v/>
      </c>
      <c r="AD918" s="2" t="str">
        <f t="shared" si="464"/>
        <v/>
      </c>
      <c r="AE918" s="2" t="str">
        <f t="shared" si="465"/>
        <v/>
      </c>
      <c r="AF918" s="2" t="str">
        <f t="shared" si="466"/>
        <v/>
      </c>
    </row>
    <row r="919" spans="1:32" x14ac:dyDescent="0.2">
      <c r="A919" s="2" t="str">
        <f t="shared" si="467"/>
        <v/>
      </c>
      <c r="B919" s="2" t="str">
        <f t="shared" si="448"/>
        <v/>
      </c>
      <c r="C919" s="2" t="str">
        <f t="shared" si="449"/>
        <v/>
      </c>
      <c r="D919" s="2" t="str">
        <f t="shared" si="450"/>
        <v/>
      </c>
      <c r="E919" s="2" t="str">
        <f t="shared" si="451"/>
        <v/>
      </c>
      <c r="F919" s="2" t="str">
        <f t="shared" si="452"/>
        <v/>
      </c>
      <c r="G919" s="2" t="str">
        <f t="shared" si="453"/>
        <v/>
      </c>
      <c r="H919" s="2" t="str">
        <f t="shared" si="468"/>
        <v/>
      </c>
      <c r="I919" s="2" t="str">
        <f t="shared" si="469"/>
        <v/>
      </c>
      <c r="J919" s="2" t="str">
        <f t="shared" si="470"/>
        <v/>
      </c>
      <c r="K919" s="2" t="str">
        <f t="shared" si="454"/>
        <v/>
      </c>
      <c r="L919" s="2" t="str">
        <f t="shared" si="455"/>
        <v/>
      </c>
      <c r="M919" s="2" t="str">
        <f t="shared" si="456"/>
        <v/>
      </c>
      <c r="N919" s="2" t="str">
        <f t="shared" si="471"/>
        <v/>
      </c>
      <c r="O919" s="2" t="str">
        <f t="shared" si="472"/>
        <v/>
      </c>
      <c r="P919" s="2" t="str">
        <f t="shared" si="473"/>
        <v/>
      </c>
      <c r="Q919" s="2" t="str">
        <f t="shared" si="457"/>
        <v/>
      </c>
      <c r="R919" s="2" t="str">
        <f t="shared" si="458"/>
        <v/>
      </c>
      <c r="S919" s="2" t="str">
        <f t="shared" si="459"/>
        <v/>
      </c>
      <c r="T919" s="2" t="str">
        <f t="shared" si="474"/>
        <v/>
      </c>
      <c r="U919" s="2" t="str">
        <f t="shared" si="475"/>
        <v/>
      </c>
      <c r="V919" s="2" t="str">
        <f t="shared" si="476"/>
        <v/>
      </c>
      <c r="W919" s="2" t="str">
        <f t="shared" si="460"/>
        <v/>
      </c>
      <c r="X919" s="2" t="str">
        <f t="shared" si="461"/>
        <v/>
      </c>
      <c r="Y919" s="2" t="str">
        <f t="shared" si="462"/>
        <v/>
      </c>
      <c r="Z919" s="2" t="str">
        <f t="shared" si="477"/>
        <v/>
      </c>
      <c r="AA919" s="2" t="str">
        <f t="shared" si="478"/>
        <v/>
      </c>
      <c r="AB919" s="2" t="str">
        <f t="shared" si="479"/>
        <v/>
      </c>
      <c r="AC919" s="2" t="str">
        <f t="shared" si="463"/>
        <v/>
      </c>
      <c r="AD919" s="2" t="str">
        <f t="shared" si="464"/>
        <v/>
      </c>
      <c r="AE919" s="2" t="str">
        <f t="shared" si="465"/>
        <v/>
      </c>
      <c r="AF919" s="2" t="str">
        <f t="shared" si="466"/>
        <v/>
      </c>
    </row>
    <row r="920" spans="1:32" x14ac:dyDescent="0.2">
      <c r="A920" s="2" t="str">
        <f t="shared" si="467"/>
        <v/>
      </c>
      <c r="B920" s="2" t="str">
        <f t="shared" si="448"/>
        <v/>
      </c>
      <c r="C920" s="2" t="str">
        <f t="shared" si="449"/>
        <v/>
      </c>
      <c r="D920" s="2" t="str">
        <f t="shared" si="450"/>
        <v/>
      </c>
      <c r="E920" s="2" t="str">
        <f t="shared" si="451"/>
        <v/>
      </c>
      <c r="F920" s="2" t="str">
        <f t="shared" si="452"/>
        <v/>
      </c>
      <c r="G920" s="2" t="str">
        <f t="shared" si="453"/>
        <v/>
      </c>
      <c r="H920" s="2" t="str">
        <f t="shared" si="468"/>
        <v/>
      </c>
      <c r="I920" s="2" t="str">
        <f t="shared" si="469"/>
        <v/>
      </c>
      <c r="J920" s="2" t="str">
        <f t="shared" si="470"/>
        <v/>
      </c>
      <c r="K920" s="2" t="str">
        <f t="shared" si="454"/>
        <v/>
      </c>
      <c r="L920" s="2" t="str">
        <f t="shared" si="455"/>
        <v/>
      </c>
      <c r="M920" s="2" t="str">
        <f t="shared" si="456"/>
        <v/>
      </c>
      <c r="N920" s="2" t="str">
        <f t="shared" si="471"/>
        <v/>
      </c>
      <c r="O920" s="2" t="str">
        <f t="shared" si="472"/>
        <v/>
      </c>
      <c r="P920" s="2" t="str">
        <f t="shared" si="473"/>
        <v/>
      </c>
      <c r="Q920" s="2" t="str">
        <f t="shared" si="457"/>
        <v/>
      </c>
      <c r="R920" s="2" t="str">
        <f t="shared" si="458"/>
        <v/>
      </c>
      <c r="S920" s="2" t="str">
        <f t="shared" si="459"/>
        <v/>
      </c>
      <c r="T920" s="2" t="str">
        <f t="shared" si="474"/>
        <v/>
      </c>
      <c r="U920" s="2" t="str">
        <f t="shared" si="475"/>
        <v/>
      </c>
      <c r="V920" s="2" t="str">
        <f t="shared" si="476"/>
        <v/>
      </c>
      <c r="W920" s="2" t="str">
        <f t="shared" si="460"/>
        <v/>
      </c>
      <c r="X920" s="2" t="str">
        <f t="shared" si="461"/>
        <v/>
      </c>
      <c r="Y920" s="2" t="str">
        <f t="shared" si="462"/>
        <v/>
      </c>
      <c r="Z920" s="2" t="str">
        <f t="shared" si="477"/>
        <v/>
      </c>
      <c r="AA920" s="2" t="str">
        <f t="shared" si="478"/>
        <v/>
      </c>
      <c r="AB920" s="2" t="str">
        <f t="shared" si="479"/>
        <v/>
      </c>
      <c r="AC920" s="2" t="str">
        <f t="shared" si="463"/>
        <v/>
      </c>
      <c r="AD920" s="2" t="str">
        <f t="shared" si="464"/>
        <v/>
      </c>
      <c r="AE920" s="2" t="str">
        <f t="shared" si="465"/>
        <v/>
      </c>
      <c r="AF920" s="2" t="str">
        <f t="shared" si="466"/>
        <v/>
      </c>
    </row>
    <row r="921" spans="1:32" x14ac:dyDescent="0.2">
      <c r="A921" s="2" t="str">
        <f t="shared" si="467"/>
        <v/>
      </c>
      <c r="B921" s="2" t="str">
        <f t="shared" si="448"/>
        <v/>
      </c>
      <c r="C921" s="2" t="str">
        <f t="shared" si="449"/>
        <v/>
      </c>
      <c r="D921" s="2" t="str">
        <f t="shared" si="450"/>
        <v/>
      </c>
      <c r="E921" s="2" t="str">
        <f t="shared" si="451"/>
        <v/>
      </c>
      <c r="F921" s="2" t="str">
        <f t="shared" si="452"/>
        <v/>
      </c>
      <c r="G921" s="2" t="str">
        <f t="shared" si="453"/>
        <v/>
      </c>
      <c r="H921" s="2" t="str">
        <f t="shared" si="468"/>
        <v/>
      </c>
      <c r="I921" s="2" t="str">
        <f t="shared" si="469"/>
        <v/>
      </c>
      <c r="J921" s="2" t="str">
        <f t="shared" si="470"/>
        <v/>
      </c>
      <c r="K921" s="2" t="str">
        <f t="shared" si="454"/>
        <v/>
      </c>
      <c r="L921" s="2" t="str">
        <f t="shared" si="455"/>
        <v/>
      </c>
      <c r="M921" s="2" t="str">
        <f t="shared" si="456"/>
        <v/>
      </c>
      <c r="N921" s="2" t="str">
        <f t="shared" si="471"/>
        <v/>
      </c>
      <c r="O921" s="2" t="str">
        <f t="shared" si="472"/>
        <v/>
      </c>
      <c r="P921" s="2" t="str">
        <f t="shared" si="473"/>
        <v/>
      </c>
      <c r="Q921" s="2" t="str">
        <f t="shared" si="457"/>
        <v/>
      </c>
      <c r="R921" s="2" t="str">
        <f t="shared" si="458"/>
        <v/>
      </c>
      <c r="S921" s="2" t="str">
        <f t="shared" si="459"/>
        <v/>
      </c>
      <c r="T921" s="2" t="str">
        <f t="shared" si="474"/>
        <v/>
      </c>
      <c r="U921" s="2" t="str">
        <f t="shared" si="475"/>
        <v/>
      </c>
      <c r="V921" s="2" t="str">
        <f t="shared" si="476"/>
        <v/>
      </c>
      <c r="W921" s="2" t="str">
        <f t="shared" si="460"/>
        <v/>
      </c>
      <c r="X921" s="2" t="str">
        <f t="shared" si="461"/>
        <v/>
      </c>
      <c r="Y921" s="2" t="str">
        <f t="shared" si="462"/>
        <v/>
      </c>
      <c r="Z921" s="2" t="str">
        <f t="shared" si="477"/>
        <v/>
      </c>
      <c r="AA921" s="2" t="str">
        <f t="shared" si="478"/>
        <v/>
      </c>
      <c r="AB921" s="2" t="str">
        <f t="shared" si="479"/>
        <v/>
      </c>
      <c r="AC921" s="2" t="str">
        <f t="shared" si="463"/>
        <v/>
      </c>
      <c r="AD921" s="2" t="str">
        <f t="shared" si="464"/>
        <v/>
      </c>
      <c r="AE921" s="2" t="str">
        <f t="shared" si="465"/>
        <v/>
      </c>
      <c r="AF921" s="2" t="str">
        <f t="shared" si="466"/>
        <v/>
      </c>
    </row>
    <row r="922" spans="1:32" x14ac:dyDescent="0.2">
      <c r="A922" s="2" t="str">
        <f t="shared" si="467"/>
        <v/>
      </c>
      <c r="B922" s="2" t="str">
        <f t="shared" si="448"/>
        <v/>
      </c>
      <c r="C922" s="2" t="str">
        <f t="shared" si="449"/>
        <v/>
      </c>
      <c r="D922" s="2" t="str">
        <f t="shared" si="450"/>
        <v/>
      </c>
      <c r="E922" s="2" t="str">
        <f t="shared" si="451"/>
        <v/>
      </c>
      <c r="F922" s="2" t="str">
        <f t="shared" si="452"/>
        <v/>
      </c>
      <c r="G922" s="2" t="str">
        <f t="shared" si="453"/>
        <v/>
      </c>
      <c r="H922" s="2" t="str">
        <f t="shared" si="468"/>
        <v/>
      </c>
      <c r="I922" s="2" t="str">
        <f t="shared" si="469"/>
        <v/>
      </c>
      <c r="J922" s="2" t="str">
        <f t="shared" si="470"/>
        <v/>
      </c>
      <c r="K922" s="2" t="str">
        <f t="shared" si="454"/>
        <v/>
      </c>
      <c r="L922" s="2" t="str">
        <f t="shared" si="455"/>
        <v/>
      </c>
      <c r="M922" s="2" t="str">
        <f t="shared" si="456"/>
        <v/>
      </c>
      <c r="N922" s="2" t="str">
        <f t="shared" si="471"/>
        <v/>
      </c>
      <c r="O922" s="2" t="str">
        <f t="shared" si="472"/>
        <v/>
      </c>
      <c r="P922" s="2" t="str">
        <f t="shared" si="473"/>
        <v/>
      </c>
      <c r="Q922" s="2" t="str">
        <f t="shared" si="457"/>
        <v/>
      </c>
      <c r="R922" s="2" t="str">
        <f t="shared" si="458"/>
        <v/>
      </c>
      <c r="S922" s="2" t="str">
        <f t="shared" si="459"/>
        <v/>
      </c>
      <c r="T922" s="2" t="str">
        <f t="shared" si="474"/>
        <v/>
      </c>
      <c r="U922" s="2" t="str">
        <f t="shared" si="475"/>
        <v/>
      </c>
      <c r="V922" s="2" t="str">
        <f t="shared" si="476"/>
        <v/>
      </c>
      <c r="W922" s="2" t="str">
        <f t="shared" si="460"/>
        <v/>
      </c>
      <c r="X922" s="2" t="str">
        <f t="shared" si="461"/>
        <v/>
      </c>
      <c r="Y922" s="2" t="str">
        <f t="shared" si="462"/>
        <v/>
      </c>
      <c r="Z922" s="2" t="str">
        <f t="shared" si="477"/>
        <v/>
      </c>
      <c r="AA922" s="2" t="str">
        <f t="shared" si="478"/>
        <v/>
      </c>
      <c r="AB922" s="2" t="str">
        <f t="shared" si="479"/>
        <v/>
      </c>
      <c r="AC922" s="2" t="str">
        <f t="shared" si="463"/>
        <v/>
      </c>
      <c r="AD922" s="2" t="str">
        <f t="shared" si="464"/>
        <v/>
      </c>
      <c r="AE922" s="2" t="str">
        <f t="shared" si="465"/>
        <v/>
      </c>
      <c r="AF922" s="2" t="str">
        <f t="shared" si="466"/>
        <v/>
      </c>
    </row>
    <row r="923" spans="1:32" x14ac:dyDescent="0.2">
      <c r="A923" s="2" t="str">
        <f t="shared" si="467"/>
        <v/>
      </c>
      <c r="B923" s="2" t="str">
        <f t="shared" si="448"/>
        <v/>
      </c>
      <c r="C923" s="2" t="str">
        <f t="shared" si="449"/>
        <v/>
      </c>
      <c r="D923" s="2" t="str">
        <f t="shared" si="450"/>
        <v/>
      </c>
      <c r="E923" s="2" t="str">
        <f t="shared" si="451"/>
        <v/>
      </c>
      <c r="F923" s="2" t="str">
        <f t="shared" si="452"/>
        <v/>
      </c>
      <c r="G923" s="2" t="str">
        <f t="shared" si="453"/>
        <v/>
      </c>
      <c r="H923" s="2" t="str">
        <f t="shared" si="468"/>
        <v/>
      </c>
      <c r="I923" s="2" t="str">
        <f t="shared" si="469"/>
        <v/>
      </c>
      <c r="J923" s="2" t="str">
        <f t="shared" si="470"/>
        <v/>
      </c>
      <c r="K923" s="2" t="str">
        <f t="shared" si="454"/>
        <v/>
      </c>
      <c r="L923" s="2" t="str">
        <f t="shared" si="455"/>
        <v/>
      </c>
      <c r="M923" s="2" t="str">
        <f t="shared" si="456"/>
        <v/>
      </c>
      <c r="N923" s="2" t="str">
        <f t="shared" si="471"/>
        <v/>
      </c>
      <c r="O923" s="2" t="str">
        <f t="shared" si="472"/>
        <v/>
      </c>
      <c r="P923" s="2" t="str">
        <f t="shared" si="473"/>
        <v/>
      </c>
      <c r="Q923" s="2" t="str">
        <f t="shared" si="457"/>
        <v/>
      </c>
      <c r="R923" s="2" t="str">
        <f t="shared" si="458"/>
        <v/>
      </c>
      <c r="S923" s="2" t="str">
        <f t="shared" si="459"/>
        <v/>
      </c>
      <c r="T923" s="2" t="str">
        <f t="shared" si="474"/>
        <v/>
      </c>
      <c r="U923" s="2" t="str">
        <f t="shared" si="475"/>
        <v/>
      </c>
      <c r="V923" s="2" t="str">
        <f t="shared" si="476"/>
        <v/>
      </c>
      <c r="W923" s="2" t="str">
        <f t="shared" si="460"/>
        <v/>
      </c>
      <c r="X923" s="2" t="str">
        <f t="shared" si="461"/>
        <v/>
      </c>
      <c r="Y923" s="2" t="str">
        <f t="shared" si="462"/>
        <v/>
      </c>
      <c r="Z923" s="2" t="str">
        <f t="shared" si="477"/>
        <v/>
      </c>
      <c r="AA923" s="2" t="str">
        <f t="shared" si="478"/>
        <v/>
      </c>
      <c r="AB923" s="2" t="str">
        <f t="shared" si="479"/>
        <v/>
      </c>
      <c r="AC923" s="2" t="str">
        <f t="shared" si="463"/>
        <v/>
      </c>
      <c r="AD923" s="2" t="str">
        <f t="shared" si="464"/>
        <v/>
      </c>
      <c r="AE923" s="2" t="str">
        <f t="shared" si="465"/>
        <v/>
      </c>
      <c r="AF923" s="2" t="str">
        <f t="shared" si="466"/>
        <v/>
      </c>
    </row>
    <row r="924" spans="1:32" x14ac:dyDescent="0.2">
      <c r="A924" s="2" t="str">
        <f t="shared" si="467"/>
        <v/>
      </c>
      <c r="B924" s="2" t="str">
        <f t="shared" si="448"/>
        <v/>
      </c>
      <c r="C924" s="2" t="str">
        <f t="shared" si="449"/>
        <v/>
      </c>
      <c r="D924" s="2" t="str">
        <f t="shared" si="450"/>
        <v/>
      </c>
      <c r="E924" s="2" t="str">
        <f t="shared" si="451"/>
        <v/>
      </c>
      <c r="F924" s="2" t="str">
        <f t="shared" si="452"/>
        <v/>
      </c>
      <c r="G924" s="2" t="str">
        <f t="shared" si="453"/>
        <v/>
      </c>
      <c r="H924" s="2" t="str">
        <f t="shared" si="468"/>
        <v/>
      </c>
      <c r="I924" s="2" t="str">
        <f t="shared" si="469"/>
        <v/>
      </c>
      <c r="J924" s="2" t="str">
        <f t="shared" si="470"/>
        <v/>
      </c>
      <c r="K924" s="2" t="str">
        <f t="shared" si="454"/>
        <v/>
      </c>
      <c r="L924" s="2" t="str">
        <f t="shared" si="455"/>
        <v/>
      </c>
      <c r="M924" s="2" t="str">
        <f t="shared" si="456"/>
        <v/>
      </c>
      <c r="N924" s="2" t="str">
        <f t="shared" si="471"/>
        <v/>
      </c>
      <c r="O924" s="2" t="str">
        <f t="shared" si="472"/>
        <v/>
      </c>
      <c r="P924" s="2" t="str">
        <f t="shared" si="473"/>
        <v/>
      </c>
      <c r="Q924" s="2" t="str">
        <f t="shared" si="457"/>
        <v/>
      </c>
      <c r="R924" s="2" t="str">
        <f t="shared" si="458"/>
        <v/>
      </c>
      <c r="S924" s="2" t="str">
        <f t="shared" si="459"/>
        <v/>
      </c>
      <c r="T924" s="2" t="str">
        <f t="shared" si="474"/>
        <v/>
      </c>
      <c r="U924" s="2" t="str">
        <f t="shared" si="475"/>
        <v/>
      </c>
      <c r="V924" s="2" t="str">
        <f t="shared" si="476"/>
        <v/>
      </c>
      <c r="W924" s="2" t="str">
        <f t="shared" si="460"/>
        <v/>
      </c>
      <c r="X924" s="2" t="str">
        <f t="shared" si="461"/>
        <v/>
      </c>
      <c r="Y924" s="2" t="str">
        <f t="shared" si="462"/>
        <v/>
      </c>
      <c r="Z924" s="2" t="str">
        <f t="shared" si="477"/>
        <v/>
      </c>
      <c r="AA924" s="2" t="str">
        <f t="shared" si="478"/>
        <v/>
      </c>
      <c r="AB924" s="2" t="str">
        <f t="shared" si="479"/>
        <v/>
      </c>
      <c r="AC924" s="2" t="str">
        <f t="shared" si="463"/>
        <v/>
      </c>
      <c r="AD924" s="2" t="str">
        <f t="shared" si="464"/>
        <v/>
      </c>
      <c r="AE924" s="2" t="str">
        <f t="shared" si="465"/>
        <v/>
      </c>
      <c r="AF924" s="2" t="str">
        <f t="shared" si="466"/>
        <v/>
      </c>
    </row>
    <row r="925" spans="1:32" x14ac:dyDescent="0.2">
      <c r="A925" s="2" t="str">
        <f t="shared" si="467"/>
        <v/>
      </c>
      <c r="B925" s="2" t="str">
        <f t="shared" si="448"/>
        <v/>
      </c>
      <c r="C925" s="2" t="str">
        <f t="shared" si="449"/>
        <v/>
      </c>
      <c r="D925" s="2" t="str">
        <f t="shared" si="450"/>
        <v/>
      </c>
      <c r="E925" s="2" t="str">
        <f t="shared" si="451"/>
        <v/>
      </c>
      <c r="F925" s="2" t="str">
        <f t="shared" si="452"/>
        <v/>
      </c>
      <c r="G925" s="2" t="str">
        <f t="shared" si="453"/>
        <v/>
      </c>
      <c r="H925" s="2" t="str">
        <f t="shared" si="468"/>
        <v/>
      </c>
      <c r="I925" s="2" t="str">
        <f t="shared" si="469"/>
        <v/>
      </c>
      <c r="J925" s="2" t="str">
        <f t="shared" si="470"/>
        <v/>
      </c>
      <c r="K925" s="2" t="str">
        <f t="shared" si="454"/>
        <v/>
      </c>
      <c r="L925" s="2" t="str">
        <f t="shared" si="455"/>
        <v/>
      </c>
      <c r="M925" s="2" t="str">
        <f t="shared" si="456"/>
        <v/>
      </c>
      <c r="N925" s="2" t="str">
        <f t="shared" si="471"/>
        <v/>
      </c>
      <c r="O925" s="2" t="str">
        <f t="shared" si="472"/>
        <v/>
      </c>
      <c r="P925" s="2" t="str">
        <f t="shared" si="473"/>
        <v/>
      </c>
      <c r="Q925" s="2" t="str">
        <f t="shared" si="457"/>
        <v/>
      </c>
      <c r="R925" s="2" t="str">
        <f t="shared" si="458"/>
        <v/>
      </c>
      <c r="S925" s="2" t="str">
        <f t="shared" si="459"/>
        <v/>
      </c>
      <c r="T925" s="2" t="str">
        <f t="shared" si="474"/>
        <v/>
      </c>
      <c r="U925" s="2" t="str">
        <f t="shared" si="475"/>
        <v/>
      </c>
      <c r="V925" s="2" t="str">
        <f t="shared" si="476"/>
        <v/>
      </c>
      <c r="W925" s="2" t="str">
        <f t="shared" si="460"/>
        <v/>
      </c>
      <c r="X925" s="2" t="str">
        <f t="shared" si="461"/>
        <v/>
      </c>
      <c r="Y925" s="2" t="str">
        <f t="shared" si="462"/>
        <v/>
      </c>
      <c r="Z925" s="2" t="str">
        <f t="shared" si="477"/>
        <v/>
      </c>
      <c r="AA925" s="2" t="str">
        <f t="shared" si="478"/>
        <v/>
      </c>
      <c r="AB925" s="2" t="str">
        <f t="shared" si="479"/>
        <v/>
      </c>
      <c r="AC925" s="2" t="str">
        <f t="shared" si="463"/>
        <v/>
      </c>
      <c r="AD925" s="2" t="str">
        <f t="shared" si="464"/>
        <v/>
      </c>
      <c r="AE925" s="2" t="str">
        <f t="shared" si="465"/>
        <v/>
      </c>
      <c r="AF925" s="2" t="str">
        <f t="shared" si="466"/>
        <v/>
      </c>
    </row>
    <row r="926" spans="1:32" x14ac:dyDescent="0.2">
      <c r="A926" s="2" t="str">
        <f t="shared" si="467"/>
        <v/>
      </c>
      <c r="B926" s="2" t="str">
        <f t="shared" si="448"/>
        <v/>
      </c>
      <c r="C926" s="2" t="str">
        <f t="shared" si="449"/>
        <v/>
      </c>
      <c r="D926" s="2" t="str">
        <f t="shared" si="450"/>
        <v/>
      </c>
      <c r="E926" s="2" t="str">
        <f t="shared" si="451"/>
        <v/>
      </c>
      <c r="F926" s="2" t="str">
        <f t="shared" si="452"/>
        <v/>
      </c>
      <c r="G926" s="2" t="str">
        <f t="shared" si="453"/>
        <v/>
      </c>
      <c r="H926" s="2" t="str">
        <f t="shared" si="468"/>
        <v/>
      </c>
      <c r="I926" s="2" t="str">
        <f t="shared" si="469"/>
        <v/>
      </c>
      <c r="J926" s="2" t="str">
        <f t="shared" si="470"/>
        <v/>
      </c>
      <c r="K926" s="2" t="str">
        <f t="shared" si="454"/>
        <v/>
      </c>
      <c r="L926" s="2" t="str">
        <f t="shared" si="455"/>
        <v/>
      </c>
      <c r="M926" s="2" t="str">
        <f t="shared" si="456"/>
        <v/>
      </c>
      <c r="N926" s="2" t="str">
        <f t="shared" si="471"/>
        <v/>
      </c>
      <c r="O926" s="2" t="str">
        <f t="shared" si="472"/>
        <v/>
      </c>
      <c r="P926" s="2" t="str">
        <f t="shared" si="473"/>
        <v/>
      </c>
      <c r="Q926" s="2" t="str">
        <f t="shared" si="457"/>
        <v/>
      </c>
      <c r="R926" s="2" t="str">
        <f t="shared" si="458"/>
        <v/>
      </c>
      <c r="S926" s="2" t="str">
        <f t="shared" si="459"/>
        <v/>
      </c>
      <c r="T926" s="2" t="str">
        <f t="shared" si="474"/>
        <v/>
      </c>
      <c r="U926" s="2" t="str">
        <f t="shared" si="475"/>
        <v/>
      </c>
      <c r="V926" s="2" t="str">
        <f t="shared" si="476"/>
        <v/>
      </c>
      <c r="W926" s="2" t="str">
        <f t="shared" si="460"/>
        <v/>
      </c>
      <c r="X926" s="2" t="str">
        <f t="shared" si="461"/>
        <v/>
      </c>
      <c r="Y926" s="2" t="str">
        <f t="shared" si="462"/>
        <v/>
      </c>
      <c r="Z926" s="2" t="str">
        <f t="shared" si="477"/>
        <v/>
      </c>
      <c r="AA926" s="2" t="str">
        <f t="shared" si="478"/>
        <v/>
      </c>
      <c r="AB926" s="2" t="str">
        <f t="shared" si="479"/>
        <v/>
      </c>
      <c r="AC926" s="2" t="str">
        <f t="shared" si="463"/>
        <v/>
      </c>
      <c r="AD926" s="2" t="str">
        <f t="shared" si="464"/>
        <v/>
      </c>
      <c r="AE926" s="2" t="str">
        <f t="shared" si="465"/>
        <v/>
      </c>
      <c r="AF926" s="2" t="str">
        <f t="shared" si="466"/>
        <v/>
      </c>
    </row>
    <row r="927" spans="1:32" x14ac:dyDescent="0.2">
      <c r="A927" s="2" t="str">
        <f t="shared" si="467"/>
        <v/>
      </c>
      <c r="B927" s="2" t="str">
        <f t="shared" si="448"/>
        <v/>
      </c>
      <c r="C927" s="2" t="str">
        <f t="shared" si="449"/>
        <v/>
      </c>
      <c r="D927" s="2" t="str">
        <f t="shared" si="450"/>
        <v/>
      </c>
      <c r="E927" s="2" t="str">
        <f t="shared" si="451"/>
        <v/>
      </c>
      <c r="F927" s="2" t="str">
        <f t="shared" si="452"/>
        <v/>
      </c>
      <c r="G927" s="2" t="str">
        <f t="shared" si="453"/>
        <v/>
      </c>
      <c r="H927" s="2" t="str">
        <f t="shared" si="468"/>
        <v/>
      </c>
      <c r="I927" s="2" t="str">
        <f t="shared" si="469"/>
        <v/>
      </c>
      <c r="J927" s="2" t="str">
        <f t="shared" si="470"/>
        <v/>
      </c>
      <c r="K927" s="2" t="str">
        <f t="shared" si="454"/>
        <v/>
      </c>
      <c r="L927" s="2" t="str">
        <f t="shared" si="455"/>
        <v/>
      </c>
      <c r="M927" s="2" t="str">
        <f t="shared" si="456"/>
        <v/>
      </c>
      <c r="N927" s="2" t="str">
        <f t="shared" si="471"/>
        <v/>
      </c>
      <c r="O927" s="2" t="str">
        <f t="shared" si="472"/>
        <v/>
      </c>
      <c r="P927" s="2" t="str">
        <f t="shared" si="473"/>
        <v/>
      </c>
      <c r="Q927" s="2" t="str">
        <f t="shared" si="457"/>
        <v/>
      </c>
      <c r="R927" s="2" t="str">
        <f t="shared" si="458"/>
        <v/>
      </c>
      <c r="S927" s="2" t="str">
        <f t="shared" si="459"/>
        <v/>
      </c>
      <c r="T927" s="2" t="str">
        <f t="shared" si="474"/>
        <v/>
      </c>
      <c r="U927" s="2" t="str">
        <f t="shared" si="475"/>
        <v/>
      </c>
      <c r="V927" s="2" t="str">
        <f t="shared" si="476"/>
        <v/>
      </c>
      <c r="W927" s="2" t="str">
        <f t="shared" si="460"/>
        <v/>
      </c>
      <c r="X927" s="2" t="str">
        <f t="shared" si="461"/>
        <v/>
      </c>
      <c r="Y927" s="2" t="str">
        <f t="shared" si="462"/>
        <v/>
      </c>
      <c r="Z927" s="2" t="str">
        <f t="shared" si="477"/>
        <v/>
      </c>
      <c r="AA927" s="2" t="str">
        <f t="shared" si="478"/>
        <v/>
      </c>
      <c r="AB927" s="2" t="str">
        <f t="shared" si="479"/>
        <v/>
      </c>
      <c r="AC927" s="2" t="str">
        <f t="shared" si="463"/>
        <v/>
      </c>
      <c r="AD927" s="2" t="str">
        <f t="shared" si="464"/>
        <v/>
      </c>
      <c r="AE927" s="2" t="str">
        <f t="shared" si="465"/>
        <v/>
      </c>
      <c r="AF927" s="2" t="str">
        <f t="shared" si="466"/>
        <v/>
      </c>
    </row>
    <row r="928" spans="1:32" x14ac:dyDescent="0.2">
      <c r="A928" s="2" t="str">
        <f t="shared" si="467"/>
        <v/>
      </c>
      <c r="B928" s="2" t="str">
        <f t="shared" si="448"/>
        <v/>
      </c>
      <c r="C928" s="2" t="str">
        <f t="shared" si="449"/>
        <v/>
      </c>
      <c r="D928" s="2" t="str">
        <f t="shared" si="450"/>
        <v/>
      </c>
      <c r="E928" s="2" t="str">
        <f t="shared" si="451"/>
        <v/>
      </c>
      <c r="F928" s="2" t="str">
        <f t="shared" si="452"/>
        <v/>
      </c>
      <c r="G928" s="2" t="str">
        <f t="shared" si="453"/>
        <v/>
      </c>
      <c r="H928" s="2" t="str">
        <f t="shared" si="468"/>
        <v/>
      </c>
      <c r="I928" s="2" t="str">
        <f t="shared" si="469"/>
        <v/>
      </c>
      <c r="J928" s="2" t="str">
        <f t="shared" si="470"/>
        <v/>
      </c>
      <c r="K928" s="2" t="str">
        <f t="shared" si="454"/>
        <v/>
      </c>
      <c r="L928" s="2" t="str">
        <f t="shared" si="455"/>
        <v/>
      </c>
      <c r="M928" s="2" t="str">
        <f t="shared" si="456"/>
        <v/>
      </c>
      <c r="N928" s="2" t="str">
        <f t="shared" si="471"/>
        <v/>
      </c>
      <c r="O928" s="2" t="str">
        <f t="shared" si="472"/>
        <v/>
      </c>
      <c r="P928" s="2" t="str">
        <f t="shared" si="473"/>
        <v/>
      </c>
      <c r="Q928" s="2" t="str">
        <f t="shared" si="457"/>
        <v/>
      </c>
      <c r="R928" s="2" t="str">
        <f t="shared" si="458"/>
        <v/>
      </c>
      <c r="S928" s="2" t="str">
        <f t="shared" si="459"/>
        <v/>
      </c>
      <c r="T928" s="2" t="str">
        <f t="shared" si="474"/>
        <v/>
      </c>
      <c r="U928" s="2" t="str">
        <f t="shared" si="475"/>
        <v/>
      </c>
      <c r="V928" s="2" t="str">
        <f t="shared" si="476"/>
        <v/>
      </c>
      <c r="W928" s="2" t="str">
        <f t="shared" si="460"/>
        <v/>
      </c>
      <c r="X928" s="2" t="str">
        <f t="shared" si="461"/>
        <v/>
      </c>
      <c r="Y928" s="2" t="str">
        <f t="shared" si="462"/>
        <v/>
      </c>
      <c r="Z928" s="2" t="str">
        <f t="shared" si="477"/>
        <v/>
      </c>
      <c r="AA928" s="2" t="str">
        <f t="shared" si="478"/>
        <v/>
      </c>
      <c r="AB928" s="2" t="str">
        <f t="shared" si="479"/>
        <v/>
      </c>
      <c r="AC928" s="2" t="str">
        <f t="shared" si="463"/>
        <v/>
      </c>
      <c r="AD928" s="2" t="str">
        <f t="shared" si="464"/>
        <v/>
      </c>
      <c r="AE928" s="2" t="str">
        <f t="shared" si="465"/>
        <v/>
      </c>
      <c r="AF928" s="2" t="str">
        <f t="shared" si="466"/>
        <v/>
      </c>
    </row>
    <row r="929" spans="1:32" x14ac:dyDescent="0.2">
      <c r="A929" s="2" t="str">
        <f t="shared" si="467"/>
        <v/>
      </c>
      <c r="B929" s="2" t="str">
        <f t="shared" si="448"/>
        <v/>
      </c>
      <c r="C929" s="2" t="str">
        <f t="shared" si="449"/>
        <v/>
      </c>
      <c r="D929" s="2" t="str">
        <f t="shared" si="450"/>
        <v/>
      </c>
      <c r="E929" s="2" t="str">
        <f t="shared" si="451"/>
        <v/>
      </c>
      <c r="F929" s="2" t="str">
        <f t="shared" si="452"/>
        <v/>
      </c>
      <c r="G929" s="2" t="str">
        <f t="shared" si="453"/>
        <v/>
      </c>
      <c r="H929" s="2" t="str">
        <f t="shared" si="468"/>
        <v/>
      </c>
      <c r="I929" s="2" t="str">
        <f t="shared" si="469"/>
        <v/>
      </c>
      <c r="J929" s="2" t="str">
        <f t="shared" si="470"/>
        <v/>
      </c>
      <c r="K929" s="2" t="str">
        <f t="shared" si="454"/>
        <v/>
      </c>
      <c r="L929" s="2" t="str">
        <f t="shared" si="455"/>
        <v/>
      </c>
      <c r="M929" s="2" t="str">
        <f t="shared" si="456"/>
        <v/>
      </c>
      <c r="N929" s="2" t="str">
        <f t="shared" si="471"/>
        <v/>
      </c>
      <c r="O929" s="2" t="str">
        <f t="shared" si="472"/>
        <v/>
      </c>
      <c r="P929" s="2" t="str">
        <f t="shared" si="473"/>
        <v/>
      </c>
      <c r="Q929" s="2" t="str">
        <f t="shared" si="457"/>
        <v/>
      </c>
      <c r="R929" s="2" t="str">
        <f t="shared" si="458"/>
        <v/>
      </c>
      <c r="S929" s="2" t="str">
        <f t="shared" si="459"/>
        <v/>
      </c>
      <c r="T929" s="2" t="str">
        <f t="shared" si="474"/>
        <v/>
      </c>
      <c r="U929" s="2" t="str">
        <f t="shared" si="475"/>
        <v/>
      </c>
      <c r="V929" s="2" t="str">
        <f t="shared" si="476"/>
        <v/>
      </c>
      <c r="W929" s="2" t="str">
        <f t="shared" si="460"/>
        <v/>
      </c>
      <c r="X929" s="2" t="str">
        <f t="shared" si="461"/>
        <v/>
      </c>
      <c r="Y929" s="2" t="str">
        <f t="shared" si="462"/>
        <v/>
      </c>
      <c r="Z929" s="2" t="str">
        <f t="shared" si="477"/>
        <v/>
      </c>
      <c r="AA929" s="2" t="str">
        <f t="shared" si="478"/>
        <v/>
      </c>
      <c r="AB929" s="2" t="str">
        <f t="shared" si="479"/>
        <v/>
      </c>
      <c r="AC929" s="2" t="str">
        <f t="shared" si="463"/>
        <v/>
      </c>
      <c r="AD929" s="2" t="str">
        <f t="shared" si="464"/>
        <v/>
      </c>
      <c r="AE929" s="2" t="str">
        <f t="shared" si="465"/>
        <v/>
      </c>
      <c r="AF929" s="2" t="str">
        <f t="shared" si="466"/>
        <v/>
      </c>
    </row>
    <row r="930" spans="1:32" x14ac:dyDescent="0.2">
      <c r="A930" s="2" t="str">
        <f t="shared" si="467"/>
        <v/>
      </c>
      <c r="B930" s="2" t="str">
        <f t="shared" si="448"/>
        <v/>
      </c>
      <c r="C930" s="2" t="str">
        <f t="shared" si="449"/>
        <v/>
      </c>
      <c r="D930" s="2" t="str">
        <f t="shared" si="450"/>
        <v/>
      </c>
      <c r="E930" s="2" t="str">
        <f t="shared" si="451"/>
        <v/>
      </c>
      <c r="F930" s="2" t="str">
        <f t="shared" si="452"/>
        <v/>
      </c>
      <c r="G930" s="2" t="str">
        <f t="shared" si="453"/>
        <v/>
      </c>
      <c r="H930" s="2" t="str">
        <f t="shared" si="468"/>
        <v/>
      </c>
      <c r="I930" s="2" t="str">
        <f t="shared" si="469"/>
        <v/>
      </c>
      <c r="J930" s="2" t="str">
        <f t="shared" si="470"/>
        <v/>
      </c>
      <c r="K930" s="2" t="str">
        <f t="shared" si="454"/>
        <v/>
      </c>
      <c r="L930" s="2" t="str">
        <f t="shared" si="455"/>
        <v/>
      </c>
      <c r="M930" s="2" t="str">
        <f t="shared" si="456"/>
        <v/>
      </c>
      <c r="N930" s="2" t="str">
        <f t="shared" si="471"/>
        <v/>
      </c>
      <c r="O930" s="2" t="str">
        <f t="shared" si="472"/>
        <v/>
      </c>
      <c r="P930" s="2" t="str">
        <f t="shared" si="473"/>
        <v/>
      </c>
      <c r="Q930" s="2" t="str">
        <f t="shared" si="457"/>
        <v/>
      </c>
      <c r="R930" s="2" t="str">
        <f t="shared" si="458"/>
        <v/>
      </c>
      <c r="S930" s="2" t="str">
        <f t="shared" si="459"/>
        <v/>
      </c>
      <c r="T930" s="2" t="str">
        <f t="shared" si="474"/>
        <v/>
      </c>
      <c r="U930" s="2" t="str">
        <f t="shared" si="475"/>
        <v/>
      </c>
      <c r="V930" s="2" t="str">
        <f t="shared" si="476"/>
        <v/>
      </c>
      <c r="W930" s="2" t="str">
        <f t="shared" si="460"/>
        <v/>
      </c>
      <c r="X930" s="2" t="str">
        <f t="shared" si="461"/>
        <v/>
      </c>
      <c r="Y930" s="2" t="str">
        <f t="shared" si="462"/>
        <v/>
      </c>
      <c r="Z930" s="2" t="str">
        <f t="shared" si="477"/>
        <v/>
      </c>
      <c r="AA930" s="2" t="str">
        <f t="shared" si="478"/>
        <v/>
      </c>
      <c r="AB930" s="2" t="str">
        <f t="shared" si="479"/>
        <v/>
      </c>
      <c r="AC930" s="2" t="str">
        <f t="shared" si="463"/>
        <v/>
      </c>
      <c r="AD930" s="2" t="str">
        <f t="shared" si="464"/>
        <v/>
      </c>
      <c r="AE930" s="2" t="str">
        <f t="shared" si="465"/>
        <v/>
      </c>
      <c r="AF930" s="2" t="str">
        <f t="shared" si="466"/>
        <v/>
      </c>
    </row>
    <row r="931" spans="1:32" x14ac:dyDescent="0.2">
      <c r="A931" s="2" t="str">
        <f t="shared" si="467"/>
        <v/>
      </c>
      <c r="B931" s="2" t="str">
        <f t="shared" si="448"/>
        <v/>
      </c>
      <c r="C931" s="2" t="str">
        <f t="shared" si="449"/>
        <v/>
      </c>
      <c r="D931" s="2" t="str">
        <f t="shared" si="450"/>
        <v/>
      </c>
      <c r="E931" s="2" t="str">
        <f t="shared" si="451"/>
        <v/>
      </c>
      <c r="F931" s="2" t="str">
        <f t="shared" si="452"/>
        <v/>
      </c>
      <c r="G931" s="2" t="str">
        <f t="shared" si="453"/>
        <v/>
      </c>
      <c r="H931" s="2" t="str">
        <f t="shared" si="468"/>
        <v/>
      </c>
      <c r="I931" s="2" t="str">
        <f t="shared" si="469"/>
        <v/>
      </c>
      <c r="J931" s="2" t="str">
        <f t="shared" si="470"/>
        <v/>
      </c>
      <c r="K931" s="2" t="str">
        <f t="shared" si="454"/>
        <v/>
      </c>
      <c r="L931" s="2" t="str">
        <f t="shared" si="455"/>
        <v/>
      </c>
      <c r="M931" s="2" t="str">
        <f t="shared" si="456"/>
        <v/>
      </c>
      <c r="N931" s="2" t="str">
        <f t="shared" si="471"/>
        <v/>
      </c>
      <c r="O931" s="2" t="str">
        <f t="shared" si="472"/>
        <v/>
      </c>
      <c r="P931" s="2" t="str">
        <f t="shared" si="473"/>
        <v/>
      </c>
      <c r="Q931" s="2" t="str">
        <f t="shared" si="457"/>
        <v/>
      </c>
      <c r="R931" s="2" t="str">
        <f t="shared" si="458"/>
        <v/>
      </c>
      <c r="S931" s="2" t="str">
        <f t="shared" si="459"/>
        <v/>
      </c>
      <c r="T931" s="2" t="str">
        <f t="shared" si="474"/>
        <v/>
      </c>
      <c r="U931" s="2" t="str">
        <f t="shared" si="475"/>
        <v/>
      </c>
      <c r="V931" s="2" t="str">
        <f t="shared" si="476"/>
        <v/>
      </c>
      <c r="W931" s="2" t="str">
        <f t="shared" si="460"/>
        <v/>
      </c>
      <c r="X931" s="2" t="str">
        <f t="shared" si="461"/>
        <v/>
      </c>
      <c r="Y931" s="2" t="str">
        <f t="shared" si="462"/>
        <v/>
      </c>
      <c r="Z931" s="2" t="str">
        <f t="shared" si="477"/>
        <v/>
      </c>
      <c r="AA931" s="2" t="str">
        <f t="shared" si="478"/>
        <v/>
      </c>
      <c r="AB931" s="2" t="str">
        <f t="shared" si="479"/>
        <v/>
      </c>
      <c r="AC931" s="2" t="str">
        <f t="shared" si="463"/>
        <v/>
      </c>
      <c r="AD931" s="2" t="str">
        <f t="shared" si="464"/>
        <v/>
      </c>
      <c r="AE931" s="2" t="str">
        <f t="shared" si="465"/>
        <v/>
      </c>
      <c r="AF931" s="2" t="str">
        <f t="shared" si="466"/>
        <v/>
      </c>
    </row>
    <row r="932" spans="1:32" x14ac:dyDescent="0.2">
      <c r="A932" s="2" t="str">
        <f t="shared" si="467"/>
        <v/>
      </c>
      <c r="B932" s="2" t="str">
        <f t="shared" si="448"/>
        <v/>
      </c>
      <c r="C932" s="2" t="str">
        <f t="shared" si="449"/>
        <v/>
      </c>
      <c r="D932" s="2" t="str">
        <f t="shared" si="450"/>
        <v/>
      </c>
      <c r="E932" s="2" t="str">
        <f t="shared" si="451"/>
        <v/>
      </c>
      <c r="F932" s="2" t="str">
        <f t="shared" si="452"/>
        <v/>
      </c>
      <c r="G932" s="2" t="str">
        <f t="shared" si="453"/>
        <v/>
      </c>
      <c r="H932" s="2" t="str">
        <f t="shared" si="468"/>
        <v/>
      </c>
      <c r="I932" s="2" t="str">
        <f t="shared" si="469"/>
        <v/>
      </c>
      <c r="J932" s="2" t="str">
        <f t="shared" si="470"/>
        <v/>
      </c>
      <c r="K932" s="2" t="str">
        <f t="shared" si="454"/>
        <v/>
      </c>
      <c r="L932" s="2" t="str">
        <f t="shared" si="455"/>
        <v/>
      </c>
      <c r="M932" s="2" t="str">
        <f t="shared" si="456"/>
        <v/>
      </c>
      <c r="N932" s="2" t="str">
        <f t="shared" si="471"/>
        <v/>
      </c>
      <c r="O932" s="2" t="str">
        <f t="shared" si="472"/>
        <v/>
      </c>
      <c r="P932" s="2" t="str">
        <f t="shared" si="473"/>
        <v/>
      </c>
      <c r="Q932" s="2" t="str">
        <f t="shared" si="457"/>
        <v/>
      </c>
      <c r="R932" s="2" t="str">
        <f t="shared" si="458"/>
        <v/>
      </c>
      <c r="S932" s="2" t="str">
        <f t="shared" si="459"/>
        <v/>
      </c>
      <c r="T932" s="2" t="str">
        <f t="shared" si="474"/>
        <v/>
      </c>
      <c r="U932" s="2" t="str">
        <f t="shared" si="475"/>
        <v/>
      </c>
      <c r="V932" s="2" t="str">
        <f t="shared" si="476"/>
        <v/>
      </c>
      <c r="W932" s="2" t="str">
        <f t="shared" si="460"/>
        <v/>
      </c>
      <c r="X932" s="2" t="str">
        <f t="shared" si="461"/>
        <v/>
      </c>
      <c r="Y932" s="2" t="str">
        <f t="shared" si="462"/>
        <v/>
      </c>
      <c r="Z932" s="2" t="str">
        <f t="shared" si="477"/>
        <v/>
      </c>
      <c r="AA932" s="2" t="str">
        <f t="shared" si="478"/>
        <v/>
      </c>
      <c r="AB932" s="2" t="str">
        <f t="shared" si="479"/>
        <v/>
      </c>
      <c r="AC932" s="2" t="str">
        <f t="shared" si="463"/>
        <v/>
      </c>
      <c r="AD932" s="2" t="str">
        <f t="shared" si="464"/>
        <v/>
      </c>
      <c r="AE932" s="2" t="str">
        <f t="shared" si="465"/>
        <v/>
      </c>
      <c r="AF932" s="2" t="str">
        <f t="shared" si="466"/>
        <v/>
      </c>
    </row>
    <row r="933" spans="1:32" x14ac:dyDescent="0.2">
      <c r="A933" s="2" t="str">
        <f t="shared" si="467"/>
        <v/>
      </c>
      <c r="B933" s="2" t="str">
        <f t="shared" si="448"/>
        <v/>
      </c>
      <c r="C933" s="2" t="str">
        <f t="shared" si="449"/>
        <v/>
      </c>
      <c r="D933" s="2" t="str">
        <f t="shared" si="450"/>
        <v/>
      </c>
      <c r="E933" s="2" t="str">
        <f t="shared" si="451"/>
        <v/>
      </c>
      <c r="F933" s="2" t="str">
        <f t="shared" si="452"/>
        <v/>
      </c>
      <c r="G933" s="2" t="str">
        <f t="shared" si="453"/>
        <v/>
      </c>
      <c r="H933" s="2" t="str">
        <f t="shared" si="468"/>
        <v/>
      </c>
      <c r="I933" s="2" t="str">
        <f t="shared" si="469"/>
        <v/>
      </c>
      <c r="J933" s="2" t="str">
        <f t="shared" si="470"/>
        <v/>
      </c>
      <c r="K933" s="2" t="str">
        <f t="shared" si="454"/>
        <v/>
      </c>
      <c r="L933" s="2" t="str">
        <f t="shared" si="455"/>
        <v/>
      </c>
      <c r="M933" s="2" t="str">
        <f t="shared" si="456"/>
        <v/>
      </c>
      <c r="N933" s="2" t="str">
        <f t="shared" si="471"/>
        <v/>
      </c>
      <c r="O933" s="2" t="str">
        <f t="shared" si="472"/>
        <v/>
      </c>
      <c r="P933" s="2" t="str">
        <f t="shared" si="473"/>
        <v/>
      </c>
      <c r="Q933" s="2" t="str">
        <f t="shared" si="457"/>
        <v/>
      </c>
      <c r="R933" s="2" t="str">
        <f t="shared" si="458"/>
        <v/>
      </c>
      <c r="S933" s="2" t="str">
        <f t="shared" si="459"/>
        <v/>
      </c>
      <c r="T933" s="2" t="str">
        <f t="shared" si="474"/>
        <v/>
      </c>
      <c r="U933" s="2" t="str">
        <f t="shared" si="475"/>
        <v/>
      </c>
      <c r="V933" s="2" t="str">
        <f t="shared" si="476"/>
        <v/>
      </c>
      <c r="W933" s="2" t="str">
        <f t="shared" si="460"/>
        <v/>
      </c>
      <c r="X933" s="2" t="str">
        <f t="shared" si="461"/>
        <v/>
      </c>
      <c r="Y933" s="2" t="str">
        <f t="shared" si="462"/>
        <v/>
      </c>
      <c r="Z933" s="2" t="str">
        <f t="shared" si="477"/>
        <v/>
      </c>
      <c r="AA933" s="2" t="str">
        <f t="shared" si="478"/>
        <v/>
      </c>
      <c r="AB933" s="2" t="str">
        <f t="shared" si="479"/>
        <v/>
      </c>
      <c r="AC933" s="2" t="str">
        <f t="shared" si="463"/>
        <v/>
      </c>
      <c r="AD933" s="2" t="str">
        <f t="shared" si="464"/>
        <v/>
      </c>
      <c r="AE933" s="2" t="str">
        <f t="shared" si="465"/>
        <v/>
      </c>
      <c r="AF933" s="2" t="str">
        <f t="shared" si="466"/>
        <v/>
      </c>
    </row>
    <row r="934" spans="1:32" x14ac:dyDescent="0.2">
      <c r="A934" s="2" t="str">
        <f t="shared" si="467"/>
        <v/>
      </c>
      <c r="B934" s="2" t="str">
        <f t="shared" si="448"/>
        <v/>
      </c>
      <c r="C934" s="2" t="str">
        <f t="shared" si="449"/>
        <v/>
      </c>
      <c r="D934" s="2" t="str">
        <f t="shared" si="450"/>
        <v/>
      </c>
      <c r="E934" s="2" t="str">
        <f t="shared" si="451"/>
        <v/>
      </c>
      <c r="F934" s="2" t="str">
        <f t="shared" si="452"/>
        <v/>
      </c>
      <c r="G934" s="2" t="str">
        <f t="shared" si="453"/>
        <v/>
      </c>
      <c r="H934" s="2" t="str">
        <f t="shared" si="468"/>
        <v/>
      </c>
      <c r="I934" s="2" t="str">
        <f t="shared" si="469"/>
        <v/>
      </c>
      <c r="J934" s="2" t="str">
        <f t="shared" si="470"/>
        <v/>
      </c>
      <c r="K934" s="2" t="str">
        <f t="shared" si="454"/>
        <v/>
      </c>
      <c r="L934" s="2" t="str">
        <f t="shared" si="455"/>
        <v/>
      </c>
      <c r="M934" s="2" t="str">
        <f t="shared" si="456"/>
        <v/>
      </c>
      <c r="N934" s="2" t="str">
        <f t="shared" si="471"/>
        <v/>
      </c>
      <c r="O934" s="2" t="str">
        <f t="shared" si="472"/>
        <v/>
      </c>
      <c r="P934" s="2" t="str">
        <f t="shared" si="473"/>
        <v/>
      </c>
      <c r="Q934" s="2" t="str">
        <f t="shared" si="457"/>
        <v/>
      </c>
      <c r="R934" s="2" t="str">
        <f t="shared" si="458"/>
        <v/>
      </c>
      <c r="S934" s="2" t="str">
        <f t="shared" si="459"/>
        <v/>
      </c>
      <c r="T934" s="2" t="str">
        <f t="shared" si="474"/>
        <v/>
      </c>
      <c r="U934" s="2" t="str">
        <f t="shared" si="475"/>
        <v/>
      </c>
      <c r="V934" s="2" t="str">
        <f t="shared" si="476"/>
        <v/>
      </c>
      <c r="W934" s="2" t="str">
        <f t="shared" si="460"/>
        <v/>
      </c>
      <c r="X934" s="2" t="str">
        <f t="shared" si="461"/>
        <v/>
      </c>
      <c r="Y934" s="2" t="str">
        <f t="shared" si="462"/>
        <v/>
      </c>
      <c r="Z934" s="2" t="str">
        <f t="shared" si="477"/>
        <v/>
      </c>
      <c r="AA934" s="2" t="str">
        <f t="shared" si="478"/>
        <v/>
      </c>
      <c r="AB934" s="2" t="str">
        <f t="shared" si="479"/>
        <v/>
      </c>
      <c r="AC934" s="2" t="str">
        <f t="shared" si="463"/>
        <v/>
      </c>
      <c r="AD934" s="2" t="str">
        <f t="shared" si="464"/>
        <v/>
      </c>
      <c r="AE934" s="2" t="str">
        <f t="shared" si="465"/>
        <v/>
      </c>
      <c r="AF934" s="2" t="str">
        <f t="shared" si="466"/>
        <v/>
      </c>
    </row>
    <row r="935" spans="1:32" x14ac:dyDescent="0.2">
      <c r="A935" s="2" t="str">
        <f t="shared" si="467"/>
        <v/>
      </c>
      <c r="B935" s="2" t="str">
        <f t="shared" si="448"/>
        <v/>
      </c>
      <c r="C935" s="2" t="str">
        <f t="shared" si="449"/>
        <v/>
      </c>
      <c r="D935" s="2" t="str">
        <f t="shared" si="450"/>
        <v/>
      </c>
      <c r="E935" s="2" t="str">
        <f t="shared" si="451"/>
        <v/>
      </c>
      <c r="F935" s="2" t="str">
        <f t="shared" si="452"/>
        <v/>
      </c>
      <c r="G935" s="2" t="str">
        <f t="shared" si="453"/>
        <v/>
      </c>
      <c r="H935" s="2" t="str">
        <f t="shared" si="468"/>
        <v/>
      </c>
      <c r="I935" s="2" t="str">
        <f t="shared" si="469"/>
        <v/>
      </c>
      <c r="J935" s="2" t="str">
        <f t="shared" si="470"/>
        <v/>
      </c>
      <c r="K935" s="2" t="str">
        <f t="shared" si="454"/>
        <v/>
      </c>
      <c r="L935" s="2" t="str">
        <f t="shared" si="455"/>
        <v/>
      </c>
      <c r="M935" s="2" t="str">
        <f t="shared" si="456"/>
        <v/>
      </c>
      <c r="N935" s="2" t="str">
        <f t="shared" si="471"/>
        <v/>
      </c>
      <c r="O935" s="2" t="str">
        <f t="shared" si="472"/>
        <v/>
      </c>
      <c r="P935" s="2" t="str">
        <f t="shared" si="473"/>
        <v/>
      </c>
      <c r="Q935" s="2" t="str">
        <f t="shared" si="457"/>
        <v/>
      </c>
      <c r="R935" s="2" t="str">
        <f t="shared" si="458"/>
        <v/>
      </c>
      <c r="S935" s="2" t="str">
        <f t="shared" si="459"/>
        <v/>
      </c>
      <c r="T935" s="2" t="str">
        <f t="shared" si="474"/>
        <v/>
      </c>
      <c r="U935" s="2" t="str">
        <f t="shared" si="475"/>
        <v/>
      </c>
      <c r="V935" s="2" t="str">
        <f t="shared" si="476"/>
        <v/>
      </c>
      <c r="W935" s="2" t="str">
        <f t="shared" si="460"/>
        <v/>
      </c>
      <c r="X935" s="2" t="str">
        <f t="shared" si="461"/>
        <v/>
      </c>
      <c r="Y935" s="2" t="str">
        <f t="shared" si="462"/>
        <v/>
      </c>
      <c r="Z935" s="2" t="str">
        <f t="shared" si="477"/>
        <v/>
      </c>
      <c r="AA935" s="2" t="str">
        <f t="shared" si="478"/>
        <v/>
      </c>
      <c r="AB935" s="2" t="str">
        <f t="shared" si="479"/>
        <v/>
      </c>
      <c r="AC935" s="2" t="str">
        <f t="shared" si="463"/>
        <v/>
      </c>
      <c r="AD935" s="2" t="str">
        <f t="shared" si="464"/>
        <v/>
      </c>
      <c r="AE935" s="2" t="str">
        <f t="shared" si="465"/>
        <v/>
      </c>
      <c r="AF935" s="2" t="str">
        <f t="shared" si="466"/>
        <v/>
      </c>
    </row>
    <row r="936" spans="1:32" x14ac:dyDescent="0.2">
      <c r="A936" s="2" t="str">
        <f t="shared" si="467"/>
        <v/>
      </c>
      <c r="B936" s="2" t="str">
        <f t="shared" si="448"/>
        <v/>
      </c>
      <c r="C936" s="2" t="str">
        <f t="shared" si="449"/>
        <v/>
      </c>
      <c r="D936" s="2" t="str">
        <f t="shared" si="450"/>
        <v/>
      </c>
      <c r="E936" s="2" t="str">
        <f t="shared" si="451"/>
        <v/>
      </c>
      <c r="F936" s="2" t="str">
        <f t="shared" si="452"/>
        <v/>
      </c>
      <c r="G936" s="2" t="str">
        <f t="shared" si="453"/>
        <v/>
      </c>
      <c r="H936" s="2" t="str">
        <f t="shared" si="468"/>
        <v/>
      </c>
      <c r="I936" s="2" t="str">
        <f t="shared" si="469"/>
        <v/>
      </c>
      <c r="J936" s="2" t="str">
        <f t="shared" si="470"/>
        <v/>
      </c>
      <c r="K936" s="2" t="str">
        <f t="shared" si="454"/>
        <v/>
      </c>
      <c r="L936" s="2" t="str">
        <f t="shared" si="455"/>
        <v/>
      </c>
      <c r="M936" s="2" t="str">
        <f t="shared" si="456"/>
        <v/>
      </c>
      <c r="N936" s="2" t="str">
        <f t="shared" si="471"/>
        <v/>
      </c>
      <c r="O936" s="2" t="str">
        <f t="shared" si="472"/>
        <v/>
      </c>
      <c r="P936" s="2" t="str">
        <f t="shared" si="473"/>
        <v/>
      </c>
      <c r="Q936" s="2" t="str">
        <f t="shared" si="457"/>
        <v/>
      </c>
      <c r="R936" s="2" t="str">
        <f t="shared" si="458"/>
        <v/>
      </c>
      <c r="S936" s="2" t="str">
        <f t="shared" si="459"/>
        <v/>
      </c>
      <c r="T936" s="2" t="str">
        <f t="shared" si="474"/>
        <v/>
      </c>
      <c r="U936" s="2" t="str">
        <f t="shared" si="475"/>
        <v/>
      </c>
      <c r="V936" s="2" t="str">
        <f t="shared" si="476"/>
        <v/>
      </c>
      <c r="W936" s="2" t="str">
        <f t="shared" si="460"/>
        <v/>
      </c>
      <c r="X936" s="2" t="str">
        <f t="shared" si="461"/>
        <v/>
      </c>
      <c r="Y936" s="2" t="str">
        <f t="shared" si="462"/>
        <v/>
      </c>
      <c r="Z936" s="2" t="str">
        <f t="shared" si="477"/>
        <v/>
      </c>
      <c r="AA936" s="2" t="str">
        <f t="shared" si="478"/>
        <v/>
      </c>
      <c r="AB936" s="2" t="str">
        <f t="shared" si="479"/>
        <v/>
      </c>
      <c r="AC936" s="2" t="str">
        <f t="shared" si="463"/>
        <v/>
      </c>
      <c r="AD936" s="2" t="str">
        <f t="shared" si="464"/>
        <v/>
      </c>
      <c r="AE936" s="2" t="str">
        <f t="shared" si="465"/>
        <v/>
      </c>
      <c r="AF936" s="2" t="str">
        <f t="shared" si="466"/>
        <v/>
      </c>
    </row>
    <row r="937" spans="1:32" x14ac:dyDescent="0.2">
      <c r="A937" s="2" t="str">
        <f t="shared" si="467"/>
        <v/>
      </c>
      <c r="B937" s="2" t="str">
        <f t="shared" si="448"/>
        <v/>
      </c>
      <c r="C937" s="2" t="str">
        <f t="shared" si="449"/>
        <v/>
      </c>
      <c r="D937" s="2" t="str">
        <f t="shared" si="450"/>
        <v/>
      </c>
      <c r="E937" s="2" t="str">
        <f t="shared" si="451"/>
        <v/>
      </c>
      <c r="F937" s="2" t="str">
        <f t="shared" si="452"/>
        <v/>
      </c>
      <c r="G937" s="2" t="str">
        <f t="shared" si="453"/>
        <v/>
      </c>
      <c r="H937" s="2" t="str">
        <f t="shared" si="468"/>
        <v/>
      </c>
      <c r="I937" s="2" t="str">
        <f t="shared" si="469"/>
        <v/>
      </c>
      <c r="J937" s="2" t="str">
        <f t="shared" si="470"/>
        <v/>
      </c>
      <c r="K937" s="2" t="str">
        <f t="shared" si="454"/>
        <v/>
      </c>
      <c r="L937" s="2" t="str">
        <f t="shared" si="455"/>
        <v/>
      </c>
      <c r="M937" s="2" t="str">
        <f t="shared" si="456"/>
        <v/>
      </c>
      <c r="N937" s="2" t="str">
        <f t="shared" si="471"/>
        <v/>
      </c>
      <c r="O937" s="2" t="str">
        <f t="shared" si="472"/>
        <v/>
      </c>
      <c r="P937" s="2" t="str">
        <f t="shared" si="473"/>
        <v/>
      </c>
      <c r="Q937" s="2" t="str">
        <f t="shared" si="457"/>
        <v/>
      </c>
      <c r="R937" s="2" t="str">
        <f t="shared" si="458"/>
        <v/>
      </c>
      <c r="S937" s="2" t="str">
        <f t="shared" si="459"/>
        <v/>
      </c>
      <c r="T937" s="2" t="str">
        <f t="shared" si="474"/>
        <v/>
      </c>
      <c r="U937" s="2" t="str">
        <f t="shared" si="475"/>
        <v/>
      </c>
      <c r="V937" s="2" t="str">
        <f t="shared" si="476"/>
        <v/>
      </c>
      <c r="W937" s="2" t="str">
        <f t="shared" si="460"/>
        <v/>
      </c>
      <c r="X937" s="2" t="str">
        <f t="shared" si="461"/>
        <v/>
      </c>
      <c r="Y937" s="2" t="str">
        <f t="shared" si="462"/>
        <v/>
      </c>
      <c r="Z937" s="2" t="str">
        <f t="shared" si="477"/>
        <v/>
      </c>
      <c r="AA937" s="2" t="str">
        <f t="shared" si="478"/>
        <v/>
      </c>
      <c r="AB937" s="2" t="str">
        <f t="shared" si="479"/>
        <v/>
      </c>
      <c r="AC937" s="2" t="str">
        <f t="shared" si="463"/>
        <v/>
      </c>
      <c r="AD937" s="2" t="str">
        <f t="shared" si="464"/>
        <v/>
      </c>
      <c r="AE937" s="2" t="str">
        <f t="shared" si="465"/>
        <v/>
      </c>
      <c r="AF937" s="2" t="str">
        <f t="shared" si="466"/>
        <v/>
      </c>
    </row>
    <row r="938" spans="1:32" x14ac:dyDescent="0.2">
      <c r="A938" s="2" t="str">
        <f t="shared" si="467"/>
        <v/>
      </c>
      <c r="B938" s="2" t="str">
        <f t="shared" si="448"/>
        <v/>
      </c>
      <c r="C938" s="2" t="str">
        <f t="shared" si="449"/>
        <v/>
      </c>
      <c r="D938" s="2" t="str">
        <f t="shared" si="450"/>
        <v/>
      </c>
      <c r="E938" s="2" t="str">
        <f t="shared" si="451"/>
        <v/>
      </c>
      <c r="F938" s="2" t="str">
        <f t="shared" si="452"/>
        <v/>
      </c>
      <c r="G938" s="2" t="str">
        <f t="shared" si="453"/>
        <v/>
      </c>
      <c r="H938" s="2" t="str">
        <f t="shared" si="468"/>
        <v/>
      </c>
      <c r="I938" s="2" t="str">
        <f t="shared" si="469"/>
        <v/>
      </c>
      <c r="J938" s="2" t="str">
        <f t="shared" si="470"/>
        <v/>
      </c>
      <c r="K938" s="2" t="str">
        <f t="shared" si="454"/>
        <v/>
      </c>
      <c r="L938" s="2" t="str">
        <f t="shared" si="455"/>
        <v/>
      </c>
      <c r="M938" s="2" t="str">
        <f t="shared" si="456"/>
        <v/>
      </c>
      <c r="N938" s="2" t="str">
        <f t="shared" si="471"/>
        <v/>
      </c>
      <c r="O938" s="2" t="str">
        <f t="shared" si="472"/>
        <v/>
      </c>
      <c r="P938" s="2" t="str">
        <f t="shared" si="473"/>
        <v/>
      </c>
      <c r="Q938" s="2" t="str">
        <f t="shared" si="457"/>
        <v/>
      </c>
      <c r="R938" s="2" t="str">
        <f t="shared" si="458"/>
        <v/>
      </c>
      <c r="S938" s="2" t="str">
        <f t="shared" si="459"/>
        <v/>
      </c>
      <c r="T938" s="2" t="str">
        <f t="shared" si="474"/>
        <v/>
      </c>
      <c r="U938" s="2" t="str">
        <f t="shared" si="475"/>
        <v/>
      </c>
      <c r="V938" s="2" t="str">
        <f t="shared" si="476"/>
        <v/>
      </c>
      <c r="W938" s="2" t="str">
        <f t="shared" si="460"/>
        <v/>
      </c>
      <c r="X938" s="2" t="str">
        <f t="shared" si="461"/>
        <v/>
      </c>
      <c r="Y938" s="2" t="str">
        <f t="shared" si="462"/>
        <v/>
      </c>
      <c r="Z938" s="2" t="str">
        <f t="shared" si="477"/>
        <v/>
      </c>
      <c r="AA938" s="2" t="str">
        <f t="shared" si="478"/>
        <v/>
      </c>
      <c r="AB938" s="2" t="str">
        <f t="shared" si="479"/>
        <v/>
      </c>
      <c r="AC938" s="2" t="str">
        <f t="shared" si="463"/>
        <v/>
      </c>
      <c r="AD938" s="2" t="str">
        <f t="shared" si="464"/>
        <v/>
      </c>
      <c r="AE938" s="2" t="str">
        <f t="shared" si="465"/>
        <v/>
      </c>
      <c r="AF938" s="2" t="str">
        <f t="shared" si="466"/>
        <v/>
      </c>
    </row>
    <row r="939" spans="1:32" x14ac:dyDescent="0.2">
      <c r="A939" s="2" t="str">
        <f t="shared" si="467"/>
        <v/>
      </c>
      <c r="B939" s="2" t="str">
        <f t="shared" si="448"/>
        <v/>
      </c>
      <c r="C939" s="2" t="str">
        <f t="shared" si="449"/>
        <v/>
      </c>
      <c r="D939" s="2" t="str">
        <f t="shared" si="450"/>
        <v/>
      </c>
      <c r="E939" s="2" t="str">
        <f t="shared" si="451"/>
        <v/>
      </c>
      <c r="F939" s="2" t="str">
        <f t="shared" si="452"/>
        <v/>
      </c>
      <c r="G939" s="2" t="str">
        <f t="shared" si="453"/>
        <v/>
      </c>
      <c r="H939" s="2" t="str">
        <f t="shared" si="468"/>
        <v/>
      </c>
      <c r="I939" s="2" t="str">
        <f t="shared" si="469"/>
        <v/>
      </c>
      <c r="J939" s="2" t="str">
        <f t="shared" si="470"/>
        <v/>
      </c>
      <c r="K939" s="2" t="str">
        <f t="shared" si="454"/>
        <v/>
      </c>
      <c r="L939" s="2" t="str">
        <f t="shared" si="455"/>
        <v/>
      </c>
      <c r="M939" s="2" t="str">
        <f t="shared" si="456"/>
        <v/>
      </c>
      <c r="N939" s="2" t="str">
        <f t="shared" si="471"/>
        <v/>
      </c>
      <c r="O939" s="2" t="str">
        <f t="shared" si="472"/>
        <v/>
      </c>
      <c r="P939" s="2" t="str">
        <f t="shared" si="473"/>
        <v/>
      </c>
      <c r="Q939" s="2" t="str">
        <f t="shared" si="457"/>
        <v/>
      </c>
      <c r="R939" s="2" t="str">
        <f t="shared" si="458"/>
        <v/>
      </c>
      <c r="S939" s="2" t="str">
        <f t="shared" si="459"/>
        <v/>
      </c>
      <c r="T939" s="2" t="str">
        <f t="shared" si="474"/>
        <v/>
      </c>
      <c r="U939" s="2" t="str">
        <f t="shared" si="475"/>
        <v/>
      </c>
      <c r="V939" s="2" t="str">
        <f t="shared" si="476"/>
        <v/>
      </c>
      <c r="W939" s="2" t="str">
        <f t="shared" si="460"/>
        <v/>
      </c>
      <c r="X939" s="2" t="str">
        <f t="shared" si="461"/>
        <v/>
      </c>
      <c r="Y939" s="2" t="str">
        <f t="shared" si="462"/>
        <v/>
      </c>
      <c r="Z939" s="2" t="str">
        <f t="shared" si="477"/>
        <v/>
      </c>
      <c r="AA939" s="2" t="str">
        <f t="shared" si="478"/>
        <v/>
      </c>
      <c r="AB939" s="2" t="str">
        <f t="shared" si="479"/>
        <v/>
      </c>
      <c r="AC939" s="2" t="str">
        <f t="shared" si="463"/>
        <v/>
      </c>
      <c r="AD939" s="2" t="str">
        <f t="shared" si="464"/>
        <v/>
      </c>
      <c r="AE939" s="2" t="str">
        <f t="shared" si="465"/>
        <v/>
      </c>
      <c r="AF939" s="2" t="str">
        <f t="shared" si="466"/>
        <v/>
      </c>
    </row>
    <row r="940" spans="1:32" x14ac:dyDescent="0.2">
      <c r="A940" s="2" t="str">
        <f t="shared" si="467"/>
        <v/>
      </c>
      <c r="B940" s="2" t="str">
        <f t="shared" si="448"/>
        <v/>
      </c>
      <c r="C940" s="2" t="str">
        <f t="shared" si="449"/>
        <v/>
      </c>
      <c r="D940" s="2" t="str">
        <f t="shared" si="450"/>
        <v/>
      </c>
      <c r="E940" s="2" t="str">
        <f t="shared" si="451"/>
        <v/>
      </c>
      <c r="F940" s="2" t="str">
        <f t="shared" si="452"/>
        <v/>
      </c>
      <c r="G940" s="2" t="str">
        <f t="shared" si="453"/>
        <v/>
      </c>
      <c r="H940" s="2" t="str">
        <f t="shared" si="468"/>
        <v/>
      </c>
      <c r="I940" s="2" t="str">
        <f t="shared" si="469"/>
        <v/>
      </c>
      <c r="J940" s="2" t="str">
        <f t="shared" si="470"/>
        <v/>
      </c>
      <c r="K940" s="2" t="str">
        <f t="shared" si="454"/>
        <v/>
      </c>
      <c r="L940" s="2" t="str">
        <f t="shared" si="455"/>
        <v/>
      </c>
      <c r="M940" s="2" t="str">
        <f t="shared" si="456"/>
        <v/>
      </c>
      <c r="N940" s="2" t="str">
        <f t="shared" si="471"/>
        <v/>
      </c>
      <c r="O940" s="2" t="str">
        <f t="shared" si="472"/>
        <v/>
      </c>
      <c r="P940" s="2" t="str">
        <f t="shared" si="473"/>
        <v/>
      </c>
      <c r="Q940" s="2" t="str">
        <f t="shared" si="457"/>
        <v/>
      </c>
      <c r="R940" s="2" t="str">
        <f t="shared" si="458"/>
        <v/>
      </c>
      <c r="S940" s="2" t="str">
        <f t="shared" si="459"/>
        <v/>
      </c>
      <c r="T940" s="2" t="str">
        <f t="shared" si="474"/>
        <v/>
      </c>
      <c r="U940" s="2" t="str">
        <f t="shared" si="475"/>
        <v/>
      </c>
      <c r="V940" s="2" t="str">
        <f t="shared" si="476"/>
        <v/>
      </c>
      <c r="W940" s="2" t="str">
        <f t="shared" si="460"/>
        <v/>
      </c>
      <c r="X940" s="2" t="str">
        <f t="shared" si="461"/>
        <v/>
      </c>
      <c r="Y940" s="2" t="str">
        <f t="shared" si="462"/>
        <v/>
      </c>
      <c r="Z940" s="2" t="str">
        <f t="shared" si="477"/>
        <v/>
      </c>
      <c r="AA940" s="2" t="str">
        <f t="shared" si="478"/>
        <v/>
      </c>
      <c r="AB940" s="2" t="str">
        <f t="shared" si="479"/>
        <v/>
      </c>
      <c r="AC940" s="2" t="str">
        <f t="shared" si="463"/>
        <v/>
      </c>
      <c r="AD940" s="2" t="str">
        <f t="shared" si="464"/>
        <v/>
      </c>
      <c r="AE940" s="2" t="str">
        <f t="shared" si="465"/>
        <v/>
      </c>
      <c r="AF940" s="2" t="str">
        <f t="shared" si="466"/>
        <v/>
      </c>
    </row>
    <row r="941" spans="1:32" x14ac:dyDescent="0.2">
      <c r="A941" s="2" t="str">
        <f t="shared" si="467"/>
        <v/>
      </c>
      <c r="B941" s="2" t="str">
        <f t="shared" si="448"/>
        <v/>
      </c>
      <c r="C941" s="2" t="str">
        <f t="shared" si="449"/>
        <v/>
      </c>
      <c r="D941" s="2" t="str">
        <f t="shared" si="450"/>
        <v/>
      </c>
      <c r="E941" s="2" t="str">
        <f t="shared" si="451"/>
        <v/>
      </c>
      <c r="F941" s="2" t="str">
        <f t="shared" si="452"/>
        <v/>
      </c>
      <c r="G941" s="2" t="str">
        <f t="shared" si="453"/>
        <v/>
      </c>
      <c r="H941" s="2" t="str">
        <f t="shared" si="468"/>
        <v/>
      </c>
      <c r="I941" s="2" t="str">
        <f t="shared" si="469"/>
        <v/>
      </c>
      <c r="J941" s="2" t="str">
        <f t="shared" si="470"/>
        <v/>
      </c>
      <c r="K941" s="2" t="str">
        <f t="shared" si="454"/>
        <v/>
      </c>
      <c r="L941" s="2" t="str">
        <f t="shared" si="455"/>
        <v/>
      </c>
      <c r="M941" s="2" t="str">
        <f t="shared" si="456"/>
        <v/>
      </c>
      <c r="N941" s="2" t="str">
        <f t="shared" si="471"/>
        <v/>
      </c>
      <c r="O941" s="2" t="str">
        <f t="shared" si="472"/>
        <v/>
      </c>
      <c r="P941" s="2" t="str">
        <f t="shared" si="473"/>
        <v/>
      </c>
      <c r="Q941" s="2" t="str">
        <f t="shared" si="457"/>
        <v/>
      </c>
      <c r="R941" s="2" t="str">
        <f t="shared" si="458"/>
        <v/>
      </c>
      <c r="S941" s="2" t="str">
        <f t="shared" si="459"/>
        <v/>
      </c>
      <c r="T941" s="2" t="str">
        <f t="shared" si="474"/>
        <v/>
      </c>
      <c r="U941" s="2" t="str">
        <f t="shared" si="475"/>
        <v/>
      </c>
      <c r="V941" s="2" t="str">
        <f t="shared" si="476"/>
        <v/>
      </c>
      <c r="W941" s="2" t="str">
        <f t="shared" si="460"/>
        <v/>
      </c>
      <c r="X941" s="2" t="str">
        <f t="shared" si="461"/>
        <v/>
      </c>
      <c r="Y941" s="2" t="str">
        <f t="shared" si="462"/>
        <v/>
      </c>
      <c r="Z941" s="2" t="str">
        <f t="shared" si="477"/>
        <v/>
      </c>
      <c r="AA941" s="2" t="str">
        <f t="shared" si="478"/>
        <v/>
      </c>
      <c r="AB941" s="2" t="str">
        <f t="shared" si="479"/>
        <v/>
      </c>
      <c r="AC941" s="2" t="str">
        <f t="shared" si="463"/>
        <v/>
      </c>
      <c r="AD941" s="2" t="str">
        <f t="shared" si="464"/>
        <v/>
      </c>
      <c r="AE941" s="2" t="str">
        <f t="shared" si="465"/>
        <v/>
      </c>
      <c r="AF941" s="2" t="str">
        <f t="shared" si="466"/>
        <v/>
      </c>
    </row>
    <row r="942" spans="1:32" x14ac:dyDescent="0.2">
      <c r="A942" s="2" t="str">
        <f t="shared" si="467"/>
        <v/>
      </c>
      <c r="B942" s="2" t="str">
        <f t="shared" si="448"/>
        <v/>
      </c>
      <c r="C942" s="2" t="str">
        <f t="shared" si="449"/>
        <v/>
      </c>
      <c r="D942" s="2" t="str">
        <f t="shared" si="450"/>
        <v/>
      </c>
      <c r="E942" s="2" t="str">
        <f t="shared" si="451"/>
        <v/>
      </c>
      <c r="F942" s="2" t="str">
        <f t="shared" si="452"/>
        <v/>
      </c>
      <c r="G942" s="2" t="str">
        <f t="shared" si="453"/>
        <v/>
      </c>
      <c r="H942" s="2" t="str">
        <f t="shared" si="468"/>
        <v/>
      </c>
      <c r="I942" s="2" t="str">
        <f t="shared" si="469"/>
        <v/>
      </c>
      <c r="J942" s="2" t="str">
        <f t="shared" si="470"/>
        <v/>
      </c>
      <c r="K942" s="2" t="str">
        <f t="shared" si="454"/>
        <v/>
      </c>
      <c r="L942" s="2" t="str">
        <f t="shared" si="455"/>
        <v/>
      </c>
      <c r="M942" s="2" t="str">
        <f t="shared" si="456"/>
        <v/>
      </c>
      <c r="N942" s="2" t="str">
        <f t="shared" si="471"/>
        <v/>
      </c>
      <c r="O942" s="2" t="str">
        <f t="shared" si="472"/>
        <v/>
      </c>
      <c r="P942" s="2" t="str">
        <f t="shared" si="473"/>
        <v/>
      </c>
      <c r="Q942" s="2" t="str">
        <f t="shared" si="457"/>
        <v/>
      </c>
      <c r="R942" s="2" t="str">
        <f t="shared" si="458"/>
        <v/>
      </c>
      <c r="S942" s="2" t="str">
        <f t="shared" si="459"/>
        <v/>
      </c>
      <c r="T942" s="2" t="str">
        <f t="shared" si="474"/>
        <v/>
      </c>
      <c r="U942" s="2" t="str">
        <f t="shared" si="475"/>
        <v/>
      </c>
      <c r="V942" s="2" t="str">
        <f t="shared" si="476"/>
        <v/>
      </c>
      <c r="W942" s="2" t="str">
        <f t="shared" si="460"/>
        <v/>
      </c>
      <c r="X942" s="2" t="str">
        <f t="shared" si="461"/>
        <v/>
      </c>
      <c r="Y942" s="2" t="str">
        <f t="shared" si="462"/>
        <v/>
      </c>
      <c r="Z942" s="2" t="str">
        <f t="shared" si="477"/>
        <v/>
      </c>
      <c r="AA942" s="2" t="str">
        <f t="shared" si="478"/>
        <v/>
      </c>
      <c r="AB942" s="2" t="str">
        <f t="shared" si="479"/>
        <v/>
      </c>
      <c r="AC942" s="2" t="str">
        <f t="shared" si="463"/>
        <v/>
      </c>
      <c r="AD942" s="2" t="str">
        <f t="shared" si="464"/>
        <v/>
      </c>
      <c r="AE942" s="2" t="str">
        <f t="shared" si="465"/>
        <v/>
      </c>
      <c r="AF942" s="2" t="str">
        <f t="shared" si="466"/>
        <v/>
      </c>
    </row>
    <row r="943" spans="1:32" x14ac:dyDescent="0.2">
      <c r="A943" s="2" t="str">
        <f t="shared" si="467"/>
        <v/>
      </c>
      <c r="B943" s="2" t="str">
        <f t="shared" si="448"/>
        <v/>
      </c>
      <c r="C943" s="2" t="str">
        <f t="shared" si="449"/>
        <v/>
      </c>
      <c r="D943" s="2" t="str">
        <f t="shared" si="450"/>
        <v/>
      </c>
      <c r="E943" s="2" t="str">
        <f t="shared" si="451"/>
        <v/>
      </c>
      <c r="F943" s="2" t="str">
        <f t="shared" si="452"/>
        <v/>
      </c>
      <c r="G943" s="2" t="str">
        <f t="shared" si="453"/>
        <v/>
      </c>
      <c r="H943" s="2" t="str">
        <f t="shared" si="468"/>
        <v/>
      </c>
      <c r="I943" s="2" t="str">
        <f t="shared" si="469"/>
        <v/>
      </c>
      <c r="J943" s="2" t="str">
        <f t="shared" si="470"/>
        <v/>
      </c>
      <c r="K943" s="2" t="str">
        <f t="shared" si="454"/>
        <v/>
      </c>
      <c r="L943" s="2" t="str">
        <f t="shared" si="455"/>
        <v/>
      </c>
      <c r="M943" s="2" t="str">
        <f t="shared" si="456"/>
        <v/>
      </c>
      <c r="N943" s="2" t="str">
        <f t="shared" si="471"/>
        <v/>
      </c>
      <c r="O943" s="2" t="str">
        <f t="shared" si="472"/>
        <v/>
      </c>
      <c r="P943" s="2" t="str">
        <f t="shared" si="473"/>
        <v/>
      </c>
      <c r="Q943" s="2" t="str">
        <f t="shared" si="457"/>
        <v/>
      </c>
      <c r="R943" s="2" t="str">
        <f t="shared" si="458"/>
        <v/>
      </c>
      <c r="S943" s="2" t="str">
        <f t="shared" si="459"/>
        <v/>
      </c>
      <c r="T943" s="2" t="str">
        <f t="shared" si="474"/>
        <v/>
      </c>
      <c r="U943" s="2" t="str">
        <f t="shared" si="475"/>
        <v/>
      </c>
      <c r="V943" s="2" t="str">
        <f t="shared" si="476"/>
        <v/>
      </c>
      <c r="W943" s="2" t="str">
        <f t="shared" si="460"/>
        <v/>
      </c>
      <c r="X943" s="2" t="str">
        <f t="shared" si="461"/>
        <v/>
      </c>
      <c r="Y943" s="2" t="str">
        <f t="shared" si="462"/>
        <v/>
      </c>
      <c r="Z943" s="2" t="str">
        <f t="shared" si="477"/>
        <v/>
      </c>
      <c r="AA943" s="2" t="str">
        <f t="shared" si="478"/>
        <v/>
      </c>
      <c r="AB943" s="2" t="str">
        <f t="shared" si="479"/>
        <v/>
      </c>
      <c r="AC943" s="2" t="str">
        <f t="shared" si="463"/>
        <v/>
      </c>
      <c r="AD943" s="2" t="str">
        <f t="shared" si="464"/>
        <v/>
      </c>
      <c r="AE943" s="2" t="str">
        <f t="shared" si="465"/>
        <v/>
      </c>
      <c r="AF943" s="2" t="str">
        <f t="shared" si="466"/>
        <v/>
      </c>
    </row>
    <row r="944" spans="1:32" x14ac:dyDescent="0.2">
      <c r="A944" s="2" t="str">
        <f t="shared" si="467"/>
        <v/>
      </c>
      <c r="B944" s="2" t="str">
        <f t="shared" si="448"/>
        <v/>
      </c>
      <c r="C944" s="2" t="str">
        <f t="shared" si="449"/>
        <v/>
      </c>
      <c r="D944" s="2" t="str">
        <f t="shared" si="450"/>
        <v/>
      </c>
      <c r="E944" s="2" t="str">
        <f t="shared" si="451"/>
        <v/>
      </c>
      <c r="F944" s="2" t="str">
        <f t="shared" si="452"/>
        <v/>
      </c>
      <c r="G944" s="2" t="str">
        <f t="shared" si="453"/>
        <v/>
      </c>
      <c r="H944" s="2" t="str">
        <f t="shared" si="468"/>
        <v/>
      </c>
      <c r="I944" s="2" t="str">
        <f t="shared" si="469"/>
        <v/>
      </c>
      <c r="J944" s="2" t="str">
        <f t="shared" si="470"/>
        <v/>
      </c>
      <c r="K944" s="2" t="str">
        <f t="shared" si="454"/>
        <v/>
      </c>
      <c r="L944" s="2" t="str">
        <f t="shared" si="455"/>
        <v/>
      </c>
      <c r="M944" s="2" t="str">
        <f t="shared" si="456"/>
        <v/>
      </c>
      <c r="N944" s="2" t="str">
        <f t="shared" si="471"/>
        <v/>
      </c>
      <c r="O944" s="2" t="str">
        <f t="shared" si="472"/>
        <v/>
      </c>
      <c r="P944" s="2" t="str">
        <f t="shared" si="473"/>
        <v/>
      </c>
      <c r="Q944" s="2" t="str">
        <f t="shared" si="457"/>
        <v/>
      </c>
      <c r="R944" s="2" t="str">
        <f t="shared" si="458"/>
        <v/>
      </c>
      <c r="S944" s="2" t="str">
        <f t="shared" si="459"/>
        <v/>
      </c>
      <c r="T944" s="2" t="str">
        <f t="shared" si="474"/>
        <v/>
      </c>
      <c r="U944" s="2" t="str">
        <f t="shared" si="475"/>
        <v/>
      </c>
      <c r="V944" s="2" t="str">
        <f t="shared" si="476"/>
        <v/>
      </c>
      <c r="W944" s="2" t="str">
        <f t="shared" si="460"/>
        <v/>
      </c>
      <c r="X944" s="2" t="str">
        <f t="shared" si="461"/>
        <v/>
      </c>
      <c r="Y944" s="2" t="str">
        <f t="shared" si="462"/>
        <v/>
      </c>
      <c r="Z944" s="2" t="str">
        <f t="shared" si="477"/>
        <v/>
      </c>
      <c r="AA944" s="2" t="str">
        <f t="shared" si="478"/>
        <v/>
      </c>
      <c r="AB944" s="2" t="str">
        <f t="shared" si="479"/>
        <v/>
      </c>
      <c r="AC944" s="2" t="str">
        <f t="shared" si="463"/>
        <v/>
      </c>
      <c r="AD944" s="2" t="str">
        <f t="shared" si="464"/>
        <v/>
      </c>
      <c r="AE944" s="2" t="str">
        <f t="shared" si="465"/>
        <v/>
      </c>
      <c r="AF944" s="2" t="str">
        <f t="shared" si="466"/>
        <v/>
      </c>
    </row>
    <row r="945" spans="1:32" x14ac:dyDescent="0.2">
      <c r="A945" s="2" t="str">
        <f t="shared" si="467"/>
        <v/>
      </c>
      <c r="B945" s="2" t="str">
        <f t="shared" si="448"/>
        <v/>
      </c>
      <c r="C945" s="2" t="str">
        <f t="shared" si="449"/>
        <v/>
      </c>
      <c r="D945" s="2" t="str">
        <f t="shared" si="450"/>
        <v/>
      </c>
      <c r="E945" s="2" t="str">
        <f t="shared" si="451"/>
        <v/>
      </c>
      <c r="F945" s="2" t="str">
        <f t="shared" si="452"/>
        <v/>
      </c>
      <c r="G945" s="2" t="str">
        <f t="shared" si="453"/>
        <v/>
      </c>
      <c r="H945" s="2" t="str">
        <f t="shared" si="468"/>
        <v/>
      </c>
      <c r="I945" s="2" t="str">
        <f t="shared" si="469"/>
        <v/>
      </c>
      <c r="J945" s="2" t="str">
        <f t="shared" si="470"/>
        <v/>
      </c>
      <c r="K945" s="2" t="str">
        <f t="shared" si="454"/>
        <v/>
      </c>
      <c r="L945" s="2" t="str">
        <f t="shared" si="455"/>
        <v/>
      </c>
      <c r="M945" s="2" t="str">
        <f t="shared" si="456"/>
        <v/>
      </c>
      <c r="N945" s="2" t="str">
        <f t="shared" si="471"/>
        <v/>
      </c>
      <c r="O945" s="2" t="str">
        <f t="shared" si="472"/>
        <v/>
      </c>
      <c r="P945" s="2" t="str">
        <f t="shared" si="473"/>
        <v/>
      </c>
      <c r="Q945" s="2" t="str">
        <f t="shared" si="457"/>
        <v/>
      </c>
      <c r="R945" s="2" t="str">
        <f t="shared" si="458"/>
        <v/>
      </c>
      <c r="S945" s="2" t="str">
        <f t="shared" si="459"/>
        <v/>
      </c>
      <c r="T945" s="2" t="str">
        <f t="shared" si="474"/>
        <v/>
      </c>
      <c r="U945" s="2" t="str">
        <f t="shared" si="475"/>
        <v/>
      </c>
      <c r="V945" s="2" t="str">
        <f t="shared" si="476"/>
        <v/>
      </c>
      <c r="W945" s="2" t="str">
        <f t="shared" si="460"/>
        <v/>
      </c>
      <c r="X945" s="2" t="str">
        <f t="shared" si="461"/>
        <v/>
      </c>
      <c r="Y945" s="2" t="str">
        <f t="shared" si="462"/>
        <v/>
      </c>
      <c r="Z945" s="2" t="str">
        <f t="shared" si="477"/>
        <v/>
      </c>
      <c r="AA945" s="2" t="str">
        <f t="shared" si="478"/>
        <v/>
      </c>
      <c r="AB945" s="2" t="str">
        <f t="shared" si="479"/>
        <v/>
      </c>
      <c r="AC945" s="2" t="str">
        <f t="shared" si="463"/>
        <v/>
      </c>
      <c r="AD945" s="2" t="str">
        <f t="shared" si="464"/>
        <v/>
      </c>
      <c r="AE945" s="2" t="str">
        <f t="shared" si="465"/>
        <v/>
      </c>
      <c r="AF945" s="2" t="str">
        <f t="shared" si="466"/>
        <v/>
      </c>
    </row>
    <row r="946" spans="1:32" x14ac:dyDescent="0.2">
      <c r="A946" s="2" t="str">
        <f t="shared" si="467"/>
        <v/>
      </c>
      <c r="B946" s="2" t="str">
        <f t="shared" si="448"/>
        <v/>
      </c>
      <c r="C946" s="2" t="str">
        <f t="shared" si="449"/>
        <v/>
      </c>
      <c r="D946" s="2" t="str">
        <f t="shared" si="450"/>
        <v/>
      </c>
      <c r="E946" s="2" t="str">
        <f t="shared" si="451"/>
        <v/>
      </c>
      <c r="F946" s="2" t="str">
        <f t="shared" si="452"/>
        <v/>
      </c>
      <c r="G946" s="2" t="str">
        <f t="shared" si="453"/>
        <v/>
      </c>
      <c r="H946" s="2" t="str">
        <f t="shared" si="468"/>
        <v/>
      </c>
      <c r="I946" s="2" t="str">
        <f t="shared" si="469"/>
        <v/>
      </c>
      <c r="J946" s="2" t="str">
        <f t="shared" si="470"/>
        <v/>
      </c>
      <c r="K946" s="2" t="str">
        <f t="shared" si="454"/>
        <v/>
      </c>
      <c r="L946" s="2" t="str">
        <f t="shared" si="455"/>
        <v/>
      </c>
      <c r="M946" s="2" t="str">
        <f t="shared" si="456"/>
        <v/>
      </c>
      <c r="N946" s="2" t="str">
        <f t="shared" si="471"/>
        <v/>
      </c>
      <c r="O946" s="2" t="str">
        <f t="shared" si="472"/>
        <v/>
      </c>
      <c r="P946" s="2" t="str">
        <f t="shared" si="473"/>
        <v/>
      </c>
      <c r="Q946" s="2" t="str">
        <f t="shared" si="457"/>
        <v/>
      </c>
      <c r="R946" s="2" t="str">
        <f t="shared" si="458"/>
        <v/>
      </c>
      <c r="S946" s="2" t="str">
        <f t="shared" si="459"/>
        <v/>
      </c>
      <c r="T946" s="2" t="str">
        <f t="shared" si="474"/>
        <v/>
      </c>
      <c r="U946" s="2" t="str">
        <f t="shared" si="475"/>
        <v/>
      </c>
      <c r="V946" s="2" t="str">
        <f t="shared" si="476"/>
        <v/>
      </c>
      <c r="W946" s="2" t="str">
        <f t="shared" si="460"/>
        <v/>
      </c>
      <c r="X946" s="2" t="str">
        <f t="shared" si="461"/>
        <v/>
      </c>
      <c r="Y946" s="2" t="str">
        <f t="shared" si="462"/>
        <v/>
      </c>
      <c r="Z946" s="2" t="str">
        <f t="shared" si="477"/>
        <v/>
      </c>
      <c r="AA946" s="2" t="str">
        <f t="shared" si="478"/>
        <v/>
      </c>
      <c r="AB946" s="2" t="str">
        <f t="shared" si="479"/>
        <v/>
      </c>
      <c r="AC946" s="2" t="str">
        <f t="shared" si="463"/>
        <v/>
      </c>
      <c r="AD946" s="2" t="str">
        <f t="shared" si="464"/>
        <v/>
      </c>
      <c r="AE946" s="2" t="str">
        <f t="shared" si="465"/>
        <v/>
      </c>
      <c r="AF946" s="2" t="str">
        <f t="shared" si="466"/>
        <v/>
      </c>
    </row>
    <row r="947" spans="1:32" x14ac:dyDescent="0.2">
      <c r="A947" s="2" t="str">
        <f t="shared" si="467"/>
        <v/>
      </c>
      <c r="B947" s="2" t="str">
        <f t="shared" si="448"/>
        <v/>
      </c>
      <c r="C947" s="2" t="str">
        <f t="shared" si="449"/>
        <v/>
      </c>
      <c r="D947" s="2" t="str">
        <f t="shared" si="450"/>
        <v/>
      </c>
      <c r="E947" s="2" t="str">
        <f t="shared" si="451"/>
        <v/>
      </c>
      <c r="F947" s="2" t="str">
        <f t="shared" si="452"/>
        <v/>
      </c>
      <c r="G947" s="2" t="str">
        <f t="shared" si="453"/>
        <v/>
      </c>
      <c r="H947" s="2" t="str">
        <f t="shared" si="468"/>
        <v/>
      </c>
      <c r="I947" s="2" t="str">
        <f t="shared" si="469"/>
        <v/>
      </c>
      <c r="J947" s="2" t="str">
        <f t="shared" si="470"/>
        <v/>
      </c>
      <c r="K947" s="2" t="str">
        <f t="shared" si="454"/>
        <v/>
      </c>
      <c r="L947" s="2" t="str">
        <f t="shared" si="455"/>
        <v/>
      </c>
      <c r="M947" s="2" t="str">
        <f t="shared" si="456"/>
        <v/>
      </c>
      <c r="N947" s="2" t="str">
        <f t="shared" si="471"/>
        <v/>
      </c>
      <c r="O947" s="2" t="str">
        <f t="shared" si="472"/>
        <v/>
      </c>
      <c r="P947" s="2" t="str">
        <f t="shared" si="473"/>
        <v/>
      </c>
      <c r="Q947" s="2" t="str">
        <f t="shared" si="457"/>
        <v/>
      </c>
      <c r="R947" s="2" t="str">
        <f t="shared" si="458"/>
        <v/>
      </c>
      <c r="S947" s="2" t="str">
        <f t="shared" si="459"/>
        <v/>
      </c>
      <c r="T947" s="2" t="str">
        <f t="shared" si="474"/>
        <v/>
      </c>
      <c r="U947" s="2" t="str">
        <f t="shared" si="475"/>
        <v/>
      </c>
      <c r="V947" s="2" t="str">
        <f t="shared" si="476"/>
        <v/>
      </c>
      <c r="W947" s="2" t="str">
        <f t="shared" si="460"/>
        <v/>
      </c>
      <c r="X947" s="2" t="str">
        <f t="shared" si="461"/>
        <v/>
      </c>
      <c r="Y947" s="2" t="str">
        <f t="shared" si="462"/>
        <v/>
      </c>
      <c r="Z947" s="2" t="str">
        <f t="shared" si="477"/>
        <v/>
      </c>
      <c r="AA947" s="2" t="str">
        <f t="shared" si="478"/>
        <v/>
      </c>
      <c r="AB947" s="2" t="str">
        <f t="shared" si="479"/>
        <v/>
      </c>
      <c r="AC947" s="2" t="str">
        <f t="shared" si="463"/>
        <v/>
      </c>
      <c r="AD947" s="2" t="str">
        <f t="shared" si="464"/>
        <v/>
      </c>
      <c r="AE947" s="2" t="str">
        <f t="shared" si="465"/>
        <v/>
      </c>
      <c r="AF947" s="2" t="str">
        <f t="shared" si="466"/>
        <v/>
      </c>
    </row>
    <row r="948" spans="1:32" x14ac:dyDescent="0.2">
      <c r="A948" s="2" t="str">
        <f t="shared" si="467"/>
        <v/>
      </c>
      <c r="B948" s="2" t="str">
        <f t="shared" si="448"/>
        <v/>
      </c>
      <c r="C948" s="2" t="str">
        <f t="shared" si="449"/>
        <v/>
      </c>
      <c r="D948" s="2" t="str">
        <f t="shared" si="450"/>
        <v/>
      </c>
      <c r="E948" s="2" t="str">
        <f t="shared" si="451"/>
        <v/>
      </c>
      <c r="F948" s="2" t="str">
        <f t="shared" si="452"/>
        <v/>
      </c>
      <c r="G948" s="2" t="str">
        <f t="shared" si="453"/>
        <v/>
      </c>
      <c r="H948" s="2" t="str">
        <f t="shared" si="468"/>
        <v/>
      </c>
      <c r="I948" s="2" t="str">
        <f t="shared" si="469"/>
        <v/>
      </c>
      <c r="J948" s="2" t="str">
        <f t="shared" si="470"/>
        <v/>
      </c>
      <c r="K948" s="2" t="str">
        <f t="shared" si="454"/>
        <v/>
      </c>
      <c r="L948" s="2" t="str">
        <f t="shared" si="455"/>
        <v/>
      </c>
      <c r="M948" s="2" t="str">
        <f t="shared" si="456"/>
        <v/>
      </c>
      <c r="N948" s="2" t="str">
        <f t="shared" si="471"/>
        <v/>
      </c>
      <c r="O948" s="2" t="str">
        <f t="shared" si="472"/>
        <v/>
      </c>
      <c r="P948" s="2" t="str">
        <f t="shared" si="473"/>
        <v/>
      </c>
      <c r="Q948" s="2" t="str">
        <f t="shared" si="457"/>
        <v/>
      </c>
      <c r="R948" s="2" t="str">
        <f t="shared" si="458"/>
        <v/>
      </c>
      <c r="S948" s="2" t="str">
        <f t="shared" si="459"/>
        <v/>
      </c>
      <c r="T948" s="2" t="str">
        <f t="shared" si="474"/>
        <v/>
      </c>
      <c r="U948" s="2" t="str">
        <f t="shared" si="475"/>
        <v/>
      </c>
      <c r="V948" s="2" t="str">
        <f t="shared" si="476"/>
        <v/>
      </c>
      <c r="W948" s="2" t="str">
        <f t="shared" si="460"/>
        <v/>
      </c>
      <c r="X948" s="2" t="str">
        <f t="shared" si="461"/>
        <v/>
      </c>
      <c r="Y948" s="2" t="str">
        <f t="shared" si="462"/>
        <v/>
      </c>
      <c r="Z948" s="2" t="str">
        <f t="shared" si="477"/>
        <v/>
      </c>
      <c r="AA948" s="2" t="str">
        <f t="shared" si="478"/>
        <v/>
      </c>
      <c r="AB948" s="2" t="str">
        <f t="shared" si="479"/>
        <v/>
      </c>
      <c r="AC948" s="2" t="str">
        <f t="shared" si="463"/>
        <v/>
      </c>
      <c r="AD948" s="2" t="str">
        <f t="shared" si="464"/>
        <v/>
      </c>
      <c r="AE948" s="2" t="str">
        <f t="shared" si="465"/>
        <v/>
      </c>
      <c r="AF948" s="2" t="str">
        <f t="shared" si="466"/>
        <v/>
      </c>
    </row>
    <row r="949" spans="1:32" x14ac:dyDescent="0.2">
      <c r="A949" s="2" t="str">
        <f t="shared" si="467"/>
        <v/>
      </c>
      <c r="B949" s="2" t="str">
        <f t="shared" si="448"/>
        <v/>
      </c>
      <c r="C949" s="2" t="str">
        <f t="shared" si="449"/>
        <v/>
      </c>
      <c r="D949" s="2" t="str">
        <f t="shared" si="450"/>
        <v/>
      </c>
      <c r="E949" s="2" t="str">
        <f t="shared" si="451"/>
        <v/>
      </c>
      <c r="F949" s="2" t="str">
        <f t="shared" si="452"/>
        <v/>
      </c>
      <c r="G949" s="2" t="str">
        <f t="shared" si="453"/>
        <v/>
      </c>
      <c r="H949" s="2" t="str">
        <f t="shared" si="468"/>
        <v/>
      </c>
      <c r="I949" s="2" t="str">
        <f t="shared" si="469"/>
        <v/>
      </c>
      <c r="J949" s="2" t="str">
        <f t="shared" si="470"/>
        <v/>
      </c>
      <c r="K949" s="2" t="str">
        <f t="shared" si="454"/>
        <v/>
      </c>
      <c r="L949" s="2" t="str">
        <f t="shared" si="455"/>
        <v/>
      </c>
      <c r="M949" s="2" t="str">
        <f t="shared" si="456"/>
        <v/>
      </c>
      <c r="N949" s="2" t="str">
        <f t="shared" si="471"/>
        <v/>
      </c>
      <c r="O949" s="2" t="str">
        <f t="shared" si="472"/>
        <v/>
      </c>
      <c r="P949" s="2" t="str">
        <f t="shared" si="473"/>
        <v/>
      </c>
      <c r="Q949" s="2" t="str">
        <f t="shared" si="457"/>
        <v/>
      </c>
      <c r="R949" s="2" t="str">
        <f t="shared" si="458"/>
        <v/>
      </c>
      <c r="S949" s="2" t="str">
        <f t="shared" si="459"/>
        <v/>
      </c>
      <c r="T949" s="2" t="str">
        <f t="shared" si="474"/>
        <v/>
      </c>
      <c r="U949" s="2" t="str">
        <f t="shared" si="475"/>
        <v/>
      </c>
      <c r="V949" s="2" t="str">
        <f t="shared" si="476"/>
        <v/>
      </c>
      <c r="W949" s="2" t="str">
        <f t="shared" si="460"/>
        <v/>
      </c>
      <c r="X949" s="2" t="str">
        <f t="shared" si="461"/>
        <v/>
      </c>
      <c r="Y949" s="2" t="str">
        <f t="shared" si="462"/>
        <v/>
      </c>
      <c r="Z949" s="2" t="str">
        <f t="shared" si="477"/>
        <v/>
      </c>
      <c r="AA949" s="2" t="str">
        <f t="shared" si="478"/>
        <v/>
      </c>
      <c r="AB949" s="2" t="str">
        <f t="shared" si="479"/>
        <v/>
      </c>
      <c r="AC949" s="2" t="str">
        <f t="shared" si="463"/>
        <v/>
      </c>
      <c r="AD949" s="2" t="str">
        <f t="shared" si="464"/>
        <v/>
      </c>
      <c r="AE949" s="2" t="str">
        <f t="shared" si="465"/>
        <v/>
      </c>
      <c r="AF949" s="2" t="str">
        <f t="shared" si="466"/>
        <v/>
      </c>
    </row>
    <row r="950" spans="1:32" x14ac:dyDescent="0.2">
      <c r="A950" s="2" t="str">
        <f t="shared" si="467"/>
        <v/>
      </c>
      <c r="B950" s="2" t="str">
        <f t="shared" si="448"/>
        <v/>
      </c>
      <c r="C950" s="2" t="str">
        <f t="shared" si="449"/>
        <v/>
      </c>
      <c r="D950" s="2" t="str">
        <f t="shared" si="450"/>
        <v/>
      </c>
      <c r="E950" s="2" t="str">
        <f t="shared" si="451"/>
        <v/>
      </c>
      <c r="F950" s="2" t="str">
        <f t="shared" si="452"/>
        <v/>
      </c>
      <c r="G950" s="2" t="str">
        <f t="shared" si="453"/>
        <v/>
      </c>
      <c r="H950" s="2" t="str">
        <f t="shared" si="468"/>
        <v/>
      </c>
      <c r="I950" s="2" t="str">
        <f t="shared" si="469"/>
        <v/>
      </c>
      <c r="J950" s="2" t="str">
        <f t="shared" si="470"/>
        <v/>
      </c>
      <c r="K950" s="2" t="str">
        <f t="shared" si="454"/>
        <v/>
      </c>
      <c r="L950" s="2" t="str">
        <f t="shared" si="455"/>
        <v/>
      </c>
      <c r="M950" s="2" t="str">
        <f t="shared" si="456"/>
        <v/>
      </c>
      <c r="N950" s="2" t="str">
        <f t="shared" si="471"/>
        <v/>
      </c>
      <c r="O950" s="2" t="str">
        <f t="shared" si="472"/>
        <v/>
      </c>
      <c r="P950" s="2" t="str">
        <f t="shared" si="473"/>
        <v/>
      </c>
      <c r="Q950" s="2" t="str">
        <f t="shared" si="457"/>
        <v/>
      </c>
      <c r="R950" s="2" t="str">
        <f t="shared" si="458"/>
        <v/>
      </c>
      <c r="S950" s="2" t="str">
        <f t="shared" si="459"/>
        <v/>
      </c>
      <c r="T950" s="2" t="str">
        <f t="shared" si="474"/>
        <v/>
      </c>
      <c r="U950" s="2" t="str">
        <f t="shared" si="475"/>
        <v/>
      </c>
      <c r="V950" s="2" t="str">
        <f t="shared" si="476"/>
        <v/>
      </c>
      <c r="W950" s="2" t="str">
        <f t="shared" si="460"/>
        <v/>
      </c>
      <c r="X950" s="2" t="str">
        <f t="shared" si="461"/>
        <v/>
      </c>
      <c r="Y950" s="2" t="str">
        <f t="shared" si="462"/>
        <v/>
      </c>
      <c r="Z950" s="2" t="str">
        <f t="shared" si="477"/>
        <v/>
      </c>
      <c r="AA950" s="2" t="str">
        <f t="shared" si="478"/>
        <v/>
      </c>
      <c r="AB950" s="2" t="str">
        <f t="shared" si="479"/>
        <v/>
      </c>
      <c r="AC950" s="2" t="str">
        <f t="shared" si="463"/>
        <v/>
      </c>
      <c r="AD950" s="2" t="str">
        <f t="shared" si="464"/>
        <v/>
      </c>
      <c r="AE950" s="2" t="str">
        <f t="shared" si="465"/>
        <v/>
      </c>
      <c r="AF950" s="2" t="str">
        <f t="shared" si="466"/>
        <v/>
      </c>
    </row>
    <row r="951" spans="1:32" x14ac:dyDescent="0.2">
      <c r="A951" s="2" t="str">
        <f t="shared" si="467"/>
        <v/>
      </c>
      <c r="B951" s="2" t="str">
        <f t="shared" si="448"/>
        <v/>
      </c>
      <c r="C951" s="2" t="str">
        <f t="shared" si="449"/>
        <v/>
      </c>
      <c r="D951" s="2" t="str">
        <f t="shared" si="450"/>
        <v/>
      </c>
      <c r="E951" s="2" t="str">
        <f t="shared" si="451"/>
        <v/>
      </c>
      <c r="F951" s="2" t="str">
        <f t="shared" si="452"/>
        <v/>
      </c>
      <c r="G951" s="2" t="str">
        <f t="shared" si="453"/>
        <v/>
      </c>
      <c r="H951" s="2" t="str">
        <f t="shared" si="468"/>
        <v/>
      </c>
      <c r="I951" s="2" t="str">
        <f t="shared" si="469"/>
        <v/>
      </c>
      <c r="J951" s="2" t="str">
        <f t="shared" si="470"/>
        <v/>
      </c>
      <c r="K951" s="2" t="str">
        <f t="shared" si="454"/>
        <v/>
      </c>
      <c r="L951" s="2" t="str">
        <f t="shared" si="455"/>
        <v/>
      </c>
      <c r="M951" s="2" t="str">
        <f t="shared" si="456"/>
        <v/>
      </c>
      <c r="N951" s="2" t="str">
        <f t="shared" si="471"/>
        <v/>
      </c>
      <c r="O951" s="2" t="str">
        <f t="shared" si="472"/>
        <v/>
      </c>
      <c r="P951" s="2" t="str">
        <f t="shared" si="473"/>
        <v/>
      </c>
      <c r="Q951" s="2" t="str">
        <f t="shared" si="457"/>
        <v/>
      </c>
      <c r="R951" s="2" t="str">
        <f t="shared" si="458"/>
        <v/>
      </c>
      <c r="S951" s="2" t="str">
        <f t="shared" si="459"/>
        <v/>
      </c>
      <c r="T951" s="2" t="str">
        <f t="shared" si="474"/>
        <v/>
      </c>
      <c r="U951" s="2" t="str">
        <f t="shared" si="475"/>
        <v/>
      </c>
      <c r="V951" s="2" t="str">
        <f t="shared" si="476"/>
        <v/>
      </c>
      <c r="W951" s="2" t="str">
        <f t="shared" si="460"/>
        <v/>
      </c>
      <c r="X951" s="2" t="str">
        <f t="shared" si="461"/>
        <v/>
      </c>
      <c r="Y951" s="2" t="str">
        <f t="shared" si="462"/>
        <v/>
      </c>
      <c r="Z951" s="2" t="str">
        <f t="shared" si="477"/>
        <v/>
      </c>
      <c r="AA951" s="2" t="str">
        <f t="shared" si="478"/>
        <v/>
      </c>
      <c r="AB951" s="2" t="str">
        <f t="shared" si="479"/>
        <v/>
      </c>
      <c r="AC951" s="2" t="str">
        <f t="shared" si="463"/>
        <v/>
      </c>
      <c r="AD951" s="2" t="str">
        <f t="shared" si="464"/>
        <v/>
      </c>
      <c r="AE951" s="2" t="str">
        <f t="shared" si="465"/>
        <v/>
      </c>
      <c r="AF951" s="2" t="str">
        <f t="shared" si="466"/>
        <v/>
      </c>
    </row>
    <row r="952" spans="1:32" x14ac:dyDescent="0.2">
      <c r="A952" s="2" t="str">
        <f t="shared" si="467"/>
        <v/>
      </c>
      <c r="B952" s="2" t="str">
        <f t="shared" ref="B952:B1003" si="480">IF(AI952="","",AI952)</f>
        <v/>
      </c>
      <c r="C952" s="2" t="str">
        <f t="shared" ref="C952:C1003" si="481">IF(AJ952="","",AJ952)</f>
        <v/>
      </c>
      <c r="D952" s="2" t="str">
        <f t="shared" ref="D952:D1003" si="482">IF(AK952="","",AK952)</f>
        <v/>
      </c>
      <c r="E952" s="2" t="str">
        <f t="shared" ref="E952:E1003" si="483">IF(AL952="","",AL952)</f>
        <v/>
      </c>
      <c r="F952" s="2" t="str">
        <f t="shared" ref="F952:F1003" si="484">IF(AM952="","",AM952)</f>
        <v/>
      </c>
      <c r="G952" s="2" t="str">
        <f t="shared" ref="G952:G1003" si="485">IF(AN952="","",AN952)</f>
        <v/>
      </c>
      <c r="H952" s="2" t="str">
        <f t="shared" si="468"/>
        <v/>
      </c>
      <c r="I952" s="2" t="str">
        <f t="shared" si="469"/>
        <v/>
      </c>
      <c r="J952" s="2" t="str">
        <f t="shared" si="470"/>
        <v/>
      </c>
      <c r="K952" s="2" t="str">
        <f t="shared" ref="K952:K1003" si="486">IF(AR952="","",AR952)</f>
        <v/>
      </c>
      <c r="L952" s="2" t="str">
        <f t="shared" ref="L952:L1003" si="487">IF(AS952="","",AS952)</f>
        <v/>
      </c>
      <c r="M952" s="2" t="str">
        <f t="shared" ref="M952:M1003" si="488">IF(AT952="","",AT952)</f>
        <v/>
      </c>
      <c r="N952" s="2" t="str">
        <f t="shared" si="471"/>
        <v/>
      </c>
      <c r="O952" s="2" t="str">
        <f t="shared" si="472"/>
        <v/>
      </c>
      <c r="P952" s="2" t="str">
        <f t="shared" si="473"/>
        <v/>
      </c>
      <c r="Q952" s="2" t="str">
        <f t="shared" ref="Q952:Q1003" si="489">IF(AX952="","",AX952)</f>
        <v/>
      </c>
      <c r="R952" s="2" t="str">
        <f t="shared" ref="R952:R1003" si="490">IF(AY952="","",AY952)</f>
        <v/>
      </c>
      <c r="S952" s="2" t="str">
        <f t="shared" ref="S952:S1003" si="491">IF(AZ952="","",AZ952)</f>
        <v/>
      </c>
      <c r="T952" s="2" t="str">
        <f t="shared" si="474"/>
        <v/>
      </c>
      <c r="U952" s="2" t="str">
        <f t="shared" si="475"/>
        <v/>
      </c>
      <c r="V952" s="2" t="str">
        <f t="shared" si="476"/>
        <v/>
      </c>
      <c r="W952" s="2" t="str">
        <f t="shared" ref="W952:W1003" si="492">IF(BD952="","",BD952)</f>
        <v/>
      </c>
      <c r="X952" s="2" t="str">
        <f t="shared" ref="X952:X1003" si="493">IF(BE952="","",BE952)</f>
        <v/>
      </c>
      <c r="Y952" s="2" t="str">
        <f t="shared" ref="Y952:Y1003" si="494">IF(BF952="","",BF952)</f>
        <v/>
      </c>
      <c r="Z952" s="2" t="str">
        <f t="shared" si="477"/>
        <v/>
      </c>
      <c r="AA952" s="2" t="str">
        <f t="shared" si="478"/>
        <v/>
      </c>
      <c r="AB952" s="2" t="str">
        <f t="shared" si="479"/>
        <v/>
      </c>
      <c r="AC952" s="2" t="str">
        <f t="shared" ref="AC952:AC1003" si="495">IF(BJ952="","",BJ952)</f>
        <v/>
      </c>
      <c r="AD952" s="2" t="str">
        <f t="shared" ref="AD952:AD1003" si="496">IF(BK952="","",BK952)</f>
        <v/>
      </c>
      <c r="AE952" s="2" t="str">
        <f t="shared" ref="AE952:AE1003" si="497">IF(BL952="","",BL952)</f>
        <v/>
      </c>
      <c r="AF952" s="2" t="str">
        <f t="shared" ref="AF952:AF1003" si="498">IF(BM952="","",BM952)</f>
        <v/>
      </c>
    </row>
    <row r="953" spans="1:32" x14ac:dyDescent="0.2">
      <c r="A953" s="2" t="str">
        <f t="shared" si="467"/>
        <v/>
      </c>
      <c r="B953" s="2" t="str">
        <f t="shared" si="480"/>
        <v/>
      </c>
      <c r="C953" s="2" t="str">
        <f t="shared" si="481"/>
        <v/>
      </c>
      <c r="D953" s="2" t="str">
        <f t="shared" si="482"/>
        <v/>
      </c>
      <c r="E953" s="2" t="str">
        <f t="shared" si="483"/>
        <v/>
      </c>
      <c r="F953" s="2" t="str">
        <f t="shared" si="484"/>
        <v/>
      </c>
      <c r="G953" s="2" t="str">
        <f t="shared" si="485"/>
        <v/>
      </c>
      <c r="H953" s="2" t="str">
        <f t="shared" si="468"/>
        <v/>
      </c>
      <c r="I953" s="2" t="str">
        <f t="shared" si="469"/>
        <v/>
      </c>
      <c r="J953" s="2" t="str">
        <f t="shared" si="470"/>
        <v/>
      </c>
      <c r="K953" s="2" t="str">
        <f t="shared" si="486"/>
        <v/>
      </c>
      <c r="L953" s="2" t="str">
        <f t="shared" si="487"/>
        <v/>
      </c>
      <c r="M953" s="2" t="str">
        <f t="shared" si="488"/>
        <v/>
      </c>
      <c r="N953" s="2" t="str">
        <f t="shared" si="471"/>
        <v/>
      </c>
      <c r="O953" s="2" t="str">
        <f t="shared" si="472"/>
        <v/>
      </c>
      <c r="P953" s="2" t="str">
        <f t="shared" si="473"/>
        <v/>
      </c>
      <c r="Q953" s="2" t="str">
        <f t="shared" si="489"/>
        <v/>
      </c>
      <c r="R953" s="2" t="str">
        <f t="shared" si="490"/>
        <v/>
      </c>
      <c r="S953" s="2" t="str">
        <f t="shared" si="491"/>
        <v/>
      </c>
      <c r="T953" s="2" t="str">
        <f t="shared" si="474"/>
        <v/>
      </c>
      <c r="U953" s="2" t="str">
        <f t="shared" si="475"/>
        <v/>
      </c>
      <c r="V953" s="2" t="str">
        <f t="shared" si="476"/>
        <v/>
      </c>
      <c r="W953" s="2" t="str">
        <f t="shared" si="492"/>
        <v/>
      </c>
      <c r="X953" s="2" t="str">
        <f t="shared" si="493"/>
        <v/>
      </c>
      <c r="Y953" s="2" t="str">
        <f t="shared" si="494"/>
        <v/>
      </c>
      <c r="Z953" s="2" t="str">
        <f t="shared" si="477"/>
        <v/>
      </c>
      <c r="AA953" s="2" t="str">
        <f t="shared" si="478"/>
        <v/>
      </c>
      <c r="AB953" s="2" t="str">
        <f t="shared" si="479"/>
        <v/>
      </c>
      <c r="AC953" s="2" t="str">
        <f t="shared" si="495"/>
        <v/>
      </c>
      <c r="AD953" s="2" t="str">
        <f t="shared" si="496"/>
        <v/>
      </c>
      <c r="AE953" s="2" t="str">
        <f t="shared" si="497"/>
        <v/>
      </c>
      <c r="AF953" s="2" t="str">
        <f t="shared" si="498"/>
        <v/>
      </c>
    </row>
    <row r="954" spans="1:32" x14ac:dyDescent="0.2">
      <c r="A954" s="2" t="str">
        <f t="shared" si="467"/>
        <v/>
      </c>
      <c r="B954" s="2" t="str">
        <f t="shared" si="480"/>
        <v/>
      </c>
      <c r="C954" s="2" t="str">
        <f t="shared" si="481"/>
        <v/>
      </c>
      <c r="D954" s="2" t="str">
        <f t="shared" si="482"/>
        <v/>
      </c>
      <c r="E954" s="2" t="str">
        <f t="shared" si="483"/>
        <v/>
      </c>
      <c r="F954" s="2" t="str">
        <f t="shared" si="484"/>
        <v/>
      </c>
      <c r="G954" s="2" t="str">
        <f t="shared" si="485"/>
        <v/>
      </c>
      <c r="H954" s="2" t="str">
        <f t="shared" si="468"/>
        <v/>
      </c>
      <c r="I954" s="2" t="str">
        <f t="shared" si="469"/>
        <v/>
      </c>
      <c r="J954" s="2" t="str">
        <f t="shared" si="470"/>
        <v/>
      </c>
      <c r="K954" s="2" t="str">
        <f t="shared" si="486"/>
        <v/>
      </c>
      <c r="L954" s="2" t="str">
        <f t="shared" si="487"/>
        <v/>
      </c>
      <c r="M954" s="2" t="str">
        <f t="shared" si="488"/>
        <v/>
      </c>
      <c r="N954" s="2" t="str">
        <f t="shared" si="471"/>
        <v/>
      </c>
      <c r="O954" s="2" t="str">
        <f t="shared" si="472"/>
        <v/>
      </c>
      <c r="P954" s="2" t="str">
        <f t="shared" si="473"/>
        <v/>
      </c>
      <c r="Q954" s="2" t="str">
        <f t="shared" si="489"/>
        <v/>
      </c>
      <c r="R954" s="2" t="str">
        <f t="shared" si="490"/>
        <v/>
      </c>
      <c r="S954" s="2" t="str">
        <f t="shared" si="491"/>
        <v/>
      </c>
      <c r="T954" s="2" t="str">
        <f t="shared" si="474"/>
        <v/>
      </c>
      <c r="U954" s="2" t="str">
        <f t="shared" si="475"/>
        <v/>
      </c>
      <c r="V954" s="2" t="str">
        <f t="shared" si="476"/>
        <v/>
      </c>
      <c r="W954" s="2" t="str">
        <f t="shared" si="492"/>
        <v/>
      </c>
      <c r="X954" s="2" t="str">
        <f t="shared" si="493"/>
        <v/>
      </c>
      <c r="Y954" s="2" t="str">
        <f t="shared" si="494"/>
        <v/>
      </c>
      <c r="Z954" s="2" t="str">
        <f t="shared" si="477"/>
        <v/>
      </c>
      <c r="AA954" s="2" t="str">
        <f t="shared" si="478"/>
        <v/>
      </c>
      <c r="AB954" s="2" t="str">
        <f t="shared" si="479"/>
        <v/>
      </c>
      <c r="AC954" s="2" t="str">
        <f t="shared" si="495"/>
        <v/>
      </c>
      <c r="AD954" s="2" t="str">
        <f t="shared" si="496"/>
        <v/>
      </c>
      <c r="AE954" s="2" t="str">
        <f t="shared" si="497"/>
        <v/>
      </c>
      <c r="AF954" s="2" t="str">
        <f t="shared" si="498"/>
        <v/>
      </c>
    </row>
    <row r="955" spans="1:32" x14ac:dyDescent="0.2">
      <c r="A955" s="2" t="str">
        <f t="shared" si="467"/>
        <v/>
      </c>
      <c r="B955" s="2" t="str">
        <f t="shared" si="480"/>
        <v/>
      </c>
      <c r="C955" s="2" t="str">
        <f t="shared" si="481"/>
        <v/>
      </c>
      <c r="D955" s="2" t="str">
        <f t="shared" si="482"/>
        <v/>
      </c>
      <c r="E955" s="2" t="str">
        <f t="shared" si="483"/>
        <v/>
      </c>
      <c r="F955" s="2" t="str">
        <f t="shared" si="484"/>
        <v/>
      </c>
      <c r="G955" s="2" t="str">
        <f t="shared" si="485"/>
        <v/>
      </c>
      <c r="H955" s="2" t="str">
        <f t="shared" si="468"/>
        <v/>
      </c>
      <c r="I955" s="2" t="str">
        <f t="shared" si="469"/>
        <v/>
      </c>
      <c r="J955" s="2" t="str">
        <f t="shared" si="470"/>
        <v/>
      </c>
      <c r="K955" s="2" t="str">
        <f t="shared" si="486"/>
        <v/>
      </c>
      <c r="L955" s="2" t="str">
        <f t="shared" si="487"/>
        <v/>
      </c>
      <c r="M955" s="2" t="str">
        <f t="shared" si="488"/>
        <v/>
      </c>
      <c r="N955" s="2" t="str">
        <f t="shared" si="471"/>
        <v/>
      </c>
      <c r="O955" s="2" t="str">
        <f t="shared" si="472"/>
        <v/>
      </c>
      <c r="P955" s="2" t="str">
        <f t="shared" si="473"/>
        <v/>
      </c>
      <c r="Q955" s="2" t="str">
        <f t="shared" si="489"/>
        <v/>
      </c>
      <c r="R955" s="2" t="str">
        <f t="shared" si="490"/>
        <v/>
      </c>
      <c r="S955" s="2" t="str">
        <f t="shared" si="491"/>
        <v/>
      </c>
      <c r="T955" s="2" t="str">
        <f t="shared" si="474"/>
        <v/>
      </c>
      <c r="U955" s="2" t="str">
        <f t="shared" si="475"/>
        <v/>
      </c>
      <c r="V955" s="2" t="str">
        <f t="shared" si="476"/>
        <v/>
      </c>
      <c r="W955" s="2" t="str">
        <f t="shared" si="492"/>
        <v/>
      </c>
      <c r="X955" s="2" t="str">
        <f t="shared" si="493"/>
        <v/>
      </c>
      <c r="Y955" s="2" t="str">
        <f t="shared" si="494"/>
        <v/>
      </c>
      <c r="Z955" s="2" t="str">
        <f t="shared" si="477"/>
        <v/>
      </c>
      <c r="AA955" s="2" t="str">
        <f t="shared" si="478"/>
        <v/>
      </c>
      <c r="AB955" s="2" t="str">
        <f t="shared" si="479"/>
        <v/>
      </c>
      <c r="AC955" s="2" t="str">
        <f t="shared" si="495"/>
        <v/>
      </c>
      <c r="AD955" s="2" t="str">
        <f t="shared" si="496"/>
        <v/>
      </c>
      <c r="AE955" s="2" t="str">
        <f t="shared" si="497"/>
        <v/>
      </c>
      <c r="AF955" s="2" t="str">
        <f t="shared" si="498"/>
        <v/>
      </c>
    </row>
    <row r="956" spans="1:32" x14ac:dyDescent="0.2">
      <c r="A956" s="2" t="str">
        <f t="shared" si="467"/>
        <v/>
      </c>
      <c r="B956" s="2" t="str">
        <f t="shared" si="480"/>
        <v/>
      </c>
      <c r="C956" s="2" t="str">
        <f t="shared" si="481"/>
        <v/>
      </c>
      <c r="D956" s="2" t="str">
        <f t="shared" si="482"/>
        <v/>
      </c>
      <c r="E956" s="2" t="str">
        <f t="shared" si="483"/>
        <v/>
      </c>
      <c r="F956" s="2" t="str">
        <f t="shared" si="484"/>
        <v/>
      </c>
      <c r="G956" s="2" t="str">
        <f t="shared" si="485"/>
        <v/>
      </c>
      <c r="H956" s="2" t="str">
        <f t="shared" si="468"/>
        <v/>
      </c>
      <c r="I956" s="2" t="str">
        <f t="shared" si="469"/>
        <v/>
      </c>
      <c r="J956" s="2" t="str">
        <f t="shared" si="470"/>
        <v/>
      </c>
      <c r="K956" s="2" t="str">
        <f t="shared" si="486"/>
        <v/>
      </c>
      <c r="L956" s="2" t="str">
        <f t="shared" si="487"/>
        <v/>
      </c>
      <c r="M956" s="2" t="str">
        <f t="shared" si="488"/>
        <v/>
      </c>
      <c r="N956" s="2" t="str">
        <f t="shared" si="471"/>
        <v/>
      </c>
      <c r="O956" s="2" t="str">
        <f t="shared" si="472"/>
        <v/>
      </c>
      <c r="P956" s="2" t="str">
        <f t="shared" si="473"/>
        <v/>
      </c>
      <c r="Q956" s="2" t="str">
        <f t="shared" si="489"/>
        <v/>
      </c>
      <c r="R956" s="2" t="str">
        <f t="shared" si="490"/>
        <v/>
      </c>
      <c r="S956" s="2" t="str">
        <f t="shared" si="491"/>
        <v/>
      </c>
      <c r="T956" s="2" t="str">
        <f t="shared" si="474"/>
        <v/>
      </c>
      <c r="U956" s="2" t="str">
        <f t="shared" si="475"/>
        <v/>
      </c>
      <c r="V956" s="2" t="str">
        <f t="shared" si="476"/>
        <v/>
      </c>
      <c r="W956" s="2" t="str">
        <f t="shared" si="492"/>
        <v/>
      </c>
      <c r="X956" s="2" t="str">
        <f t="shared" si="493"/>
        <v/>
      </c>
      <c r="Y956" s="2" t="str">
        <f t="shared" si="494"/>
        <v/>
      </c>
      <c r="Z956" s="2" t="str">
        <f t="shared" si="477"/>
        <v/>
      </c>
      <c r="AA956" s="2" t="str">
        <f t="shared" si="478"/>
        <v/>
      </c>
      <c r="AB956" s="2" t="str">
        <f t="shared" si="479"/>
        <v/>
      </c>
      <c r="AC956" s="2" t="str">
        <f t="shared" si="495"/>
        <v/>
      </c>
      <c r="AD956" s="2" t="str">
        <f t="shared" si="496"/>
        <v/>
      </c>
      <c r="AE956" s="2" t="str">
        <f t="shared" si="497"/>
        <v/>
      </c>
      <c r="AF956" s="2" t="str">
        <f t="shared" si="498"/>
        <v/>
      </c>
    </row>
    <row r="957" spans="1:32" x14ac:dyDescent="0.2">
      <c r="A957" s="2" t="str">
        <f t="shared" si="467"/>
        <v/>
      </c>
      <c r="B957" s="2" t="str">
        <f t="shared" si="480"/>
        <v/>
      </c>
      <c r="C957" s="2" t="str">
        <f t="shared" si="481"/>
        <v/>
      </c>
      <c r="D957" s="2" t="str">
        <f t="shared" si="482"/>
        <v/>
      </c>
      <c r="E957" s="2" t="str">
        <f t="shared" si="483"/>
        <v/>
      </c>
      <c r="F957" s="2" t="str">
        <f t="shared" si="484"/>
        <v/>
      </c>
      <c r="G957" s="2" t="str">
        <f t="shared" si="485"/>
        <v/>
      </c>
      <c r="H957" s="2" t="str">
        <f t="shared" si="468"/>
        <v/>
      </c>
      <c r="I957" s="2" t="str">
        <f t="shared" si="469"/>
        <v/>
      </c>
      <c r="J957" s="2" t="str">
        <f t="shared" si="470"/>
        <v/>
      </c>
      <c r="K957" s="2" t="str">
        <f t="shared" si="486"/>
        <v/>
      </c>
      <c r="L957" s="2" t="str">
        <f t="shared" si="487"/>
        <v/>
      </c>
      <c r="M957" s="2" t="str">
        <f t="shared" si="488"/>
        <v/>
      </c>
      <c r="N957" s="2" t="str">
        <f t="shared" si="471"/>
        <v/>
      </c>
      <c r="O957" s="2" t="str">
        <f t="shared" si="472"/>
        <v/>
      </c>
      <c r="P957" s="2" t="str">
        <f t="shared" si="473"/>
        <v/>
      </c>
      <c r="Q957" s="2" t="str">
        <f t="shared" si="489"/>
        <v/>
      </c>
      <c r="R957" s="2" t="str">
        <f t="shared" si="490"/>
        <v/>
      </c>
      <c r="S957" s="2" t="str">
        <f t="shared" si="491"/>
        <v/>
      </c>
      <c r="T957" s="2" t="str">
        <f t="shared" si="474"/>
        <v/>
      </c>
      <c r="U957" s="2" t="str">
        <f t="shared" si="475"/>
        <v/>
      </c>
      <c r="V957" s="2" t="str">
        <f t="shared" si="476"/>
        <v/>
      </c>
      <c r="W957" s="2" t="str">
        <f t="shared" si="492"/>
        <v/>
      </c>
      <c r="X957" s="2" t="str">
        <f t="shared" si="493"/>
        <v/>
      </c>
      <c r="Y957" s="2" t="str">
        <f t="shared" si="494"/>
        <v/>
      </c>
      <c r="Z957" s="2" t="str">
        <f t="shared" si="477"/>
        <v/>
      </c>
      <c r="AA957" s="2" t="str">
        <f t="shared" si="478"/>
        <v/>
      </c>
      <c r="AB957" s="2" t="str">
        <f t="shared" si="479"/>
        <v/>
      </c>
      <c r="AC957" s="2" t="str">
        <f t="shared" si="495"/>
        <v/>
      </c>
      <c r="AD957" s="2" t="str">
        <f t="shared" si="496"/>
        <v/>
      </c>
      <c r="AE957" s="2" t="str">
        <f t="shared" si="497"/>
        <v/>
      </c>
      <c r="AF957" s="2" t="str">
        <f t="shared" si="498"/>
        <v/>
      </c>
    </row>
    <row r="958" spans="1:32" x14ac:dyDescent="0.2">
      <c r="A958" s="2" t="str">
        <f t="shared" si="467"/>
        <v/>
      </c>
      <c r="B958" s="2" t="str">
        <f t="shared" si="480"/>
        <v/>
      </c>
      <c r="C958" s="2" t="str">
        <f t="shared" si="481"/>
        <v/>
      </c>
      <c r="D958" s="2" t="str">
        <f t="shared" si="482"/>
        <v/>
      </c>
      <c r="E958" s="2" t="str">
        <f t="shared" si="483"/>
        <v/>
      </c>
      <c r="F958" s="2" t="str">
        <f t="shared" si="484"/>
        <v/>
      </c>
      <c r="G958" s="2" t="str">
        <f t="shared" si="485"/>
        <v/>
      </c>
      <c r="H958" s="2" t="str">
        <f t="shared" si="468"/>
        <v/>
      </c>
      <c r="I958" s="2" t="str">
        <f t="shared" si="469"/>
        <v/>
      </c>
      <c r="J958" s="2" t="str">
        <f t="shared" si="470"/>
        <v/>
      </c>
      <c r="K958" s="2" t="str">
        <f t="shared" si="486"/>
        <v/>
      </c>
      <c r="L958" s="2" t="str">
        <f t="shared" si="487"/>
        <v/>
      </c>
      <c r="M958" s="2" t="str">
        <f t="shared" si="488"/>
        <v/>
      </c>
      <c r="N958" s="2" t="str">
        <f t="shared" si="471"/>
        <v/>
      </c>
      <c r="O958" s="2" t="str">
        <f t="shared" si="472"/>
        <v/>
      </c>
      <c r="P958" s="2" t="str">
        <f t="shared" si="473"/>
        <v/>
      </c>
      <c r="Q958" s="2" t="str">
        <f t="shared" si="489"/>
        <v/>
      </c>
      <c r="R958" s="2" t="str">
        <f t="shared" si="490"/>
        <v/>
      </c>
      <c r="S958" s="2" t="str">
        <f t="shared" si="491"/>
        <v/>
      </c>
      <c r="T958" s="2" t="str">
        <f t="shared" si="474"/>
        <v/>
      </c>
      <c r="U958" s="2" t="str">
        <f t="shared" si="475"/>
        <v/>
      </c>
      <c r="V958" s="2" t="str">
        <f t="shared" si="476"/>
        <v/>
      </c>
      <c r="W958" s="2" t="str">
        <f t="shared" si="492"/>
        <v/>
      </c>
      <c r="X958" s="2" t="str">
        <f t="shared" si="493"/>
        <v/>
      </c>
      <c r="Y958" s="2" t="str">
        <f t="shared" si="494"/>
        <v/>
      </c>
      <c r="Z958" s="2" t="str">
        <f t="shared" si="477"/>
        <v/>
      </c>
      <c r="AA958" s="2" t="str">
        <f t="shared" si="478"/>
        <v/>
      </c>
      <c r="AB958" s="2" t="str">
        <f t="shared" si="479"/>
        <v/>
      </c>
      <c r="AC958" s="2" t="str">
        <f t="shared" si="495"/>
        <v/>
      </c>
      <c r="AD958" s="2" t="str">
        <f t="shared" si="496"/>
        <v/>
      </c>
      <c r="AE958" s="2" t="str">
        <f t="shared" si="497"/>
        <v/>
      </c>
      <c r="AF958" s="2" t="str">
        <f t="shared" si="498"/>
        <v/>
      </c>
    </row>
    <row r="959" spans="1:32" x14ac:dyDescent="0.2">
      <c r="A959" s="2" t="str">
        <f t="shared" si="467"/>
        <v/>
      </c>
      <c r="B959" s="2" t="str">
        <f t="shared" si="480"/>
        <v/>
      </c>
      <c r="C959" s="2" t="str">
        <f t="shared" si="481"/>
        <v/>
      </c>
      <c r="D959" s="2" t="str">
        <f t="shared" si="482"/>
        <v/>
      </c>
      <c r="E959" s="2" t="str">
        <f t="shared" si="483"/>
        <v/>
      </c>
      <c r="F959" s="2" t="str">
        <f t="shared" si="484"/>
        <v/>
      </c>
      <c r="G959" s="2" t="str">
        <f t="shared" si="485"/>
        <v/>
      </c>
      <c r="H959" s="2" t="str">
        <f t="shared" si="468"/>
        <v/>
      </c>
      <c r="I959" s="2" t="str">
        <f t="shared" si="469"/>
        <v/>
      </c>
      <c r="J959" s="2" t="str">
        <f t="shared" si="470"/>
        <v/>
      </c>
      <c r="K959" s="2" t="str">
        <f t="shared" si="486"/>
        <v/>
      </c>
      <c r="L959" s="2" t="str">
        <f t="shared" si="487"/>
        <v/>
      </c>
      <c r="M959" s="2" t="str">
        <f t="shared" si="488"/>
        <v/>
      </c>
      <c r="N959" s="2" t="str">
        <f t="shared" si="471"/>
        <v/>
      </c>
      <c r="O959" s="2" t="str">
        <f t="shared" si="472"/>
        <v/>
      </c>
      <c r="P959" s="2" t="str">
        <f t="shared" si="473"/>
        <v/>
      </c>
      <c r="Q959" s="2" t="str">
        <f t="shared" si="489"/>
        <v/>
      </c>
      <c r="R959" s="2" t="str">
        <f t="shared" si="490"/>
        <v/>
      </c>
      <c r="S959" s="2" t="str">
        <f t="shared" si="491"/>
        <v/>
      </c>
      <c r="T959" s="2" t="str">
        <f t="shared" si="474"/>
        <v/>
      </c>
      <c r="U959" s="2" t="str">
        <f t="shared" si="475"/>
        <v/>
      </c>
      <c r="V959" s="2" t="str">
        <f t="shared" si="476"/>
        <v/>
      </c>
      <c r="W959" s="2" t="str">
        <f t="shared" si="492"/>
        <v/>
      </c>
      <c r="X959" s="2" t="str">
        <f t="shared" si="493"/>
        <v/>
      </c>
      <c r="Y959" s="2" t="str">
        <f t="shared" si="494"/>
        <v/>
      </c>
      <c r="Z959" s="2" t="str">
        <f t="shared" si="477"/>
        <v/>
      </c>
      <c r="AA959" s="2" t="str">
        <f t="shared" si="478"/>
        <v/>
      </c>
      <c r="AB959" s="2" t="str">
        <f t="shared" si="479"/>
        <v/>
      </c>
      <c r="AC959" s="2" t="str">
        <f t="shared" si="495"/>
        <v/>
      </c>
      <c r="AD959" s="2" t="str">
        <f t="shared" si="496"/>
        <v/>
      </c>
      <c r="AE959" s="2" t="str">
        <f t="shared" si="497"/>
        <v/>
      </c>
      <c r="AF959" s="2" t="str">
        <f t="shared" si="498"/>
        <v/>
      </c>
    </row>
    <row r="960" spans="1:32" x14ac:dyDescent="0.2">
      <c r="A960" s="2" t="str">
        <f t="shared" si="467"/>
        <v/>
      </c>
      <c r="B960" s="2" t="str">
        <f t="shared" si="480"/>
        <v/>
      </c>
      <c r="C960" s="2" t="str">
        <f t="shared" si="481"/>
        <v/>
      </c>
      <c r="D960" s="2" t="str">
        <f t="shared" si="482"/>
        <v/>
      </c>
      <c r="E960" s="2" t="str">
        <f t="shared" si="483"/>
        <v/>
      </c>
      <c r="F960" s="2" t="str">
        <f t="shared" si="484"/>
        <v/>
      </c>
      <c r="G960" s="2" t="str">
        <f t="shared" si="485"/>
        <v/>
      </c>
      <c r="H960" s="2" t="str">
        <f t="shared" si="468"/>
        <v/>
      </c>
      <c r="I960" s="2" t="str">
        <f t="shared" si="469"/>
        <v/>
      </c>
      <c r="J960" s="2" t="str">
        <f t="shared" si="470"/>
        <v/>
      </c>
      <c r="K960" s="2" t="str">
        <f t="shared" si="486"/>
        <v/>
      </c>
      <c r="L960" s="2" t="str">
        <f t="shared" si="487"/>
        <v/>
      </c>
      <c r="M960" s="2" t="str">
        <f t="shared" si="488"/>
        <v/>
      </c>
      <c r="N960" s="2" t="str">
        <f t="shared" si="471"/>
        <v/>
      </c>
      <c r="O960" s="2" t="str">
        <f t="shared" si="472"/>
        <v/>
      </c>
      <c r="P960" s="2" t="str">
        <f t="shared" si="473"/>
        <v/>
      </c>
      <c r="Q960" s="2" t="str">
        <f t="shared" si="489"/>
        <v/>
      </c>
      <c r="R960" s="2" t="str">
        <f t="shared" si="490"/>
        <v/>
      </c>
      <c r="S960" s="2" t="str">
        <f t="shared" si="491"/>
        <v/>
      </c>
      <c r="T960" s="2" t="str">
        <f t="shared" si="474"/>
        <v/>
      </c>
      <c r="U960" s="2" t="str">
        <f t="shared" si="475"/>
        <v/>
      </c>
      <c r="V960" s="2" t="str">
        <f t="shared" si="476"/>
        <v/>
      </c>
      <c r="W960" s="2" t="str">
        <f t="shared" si="492"/>
        <v/>
      </c>
      <c r="X960" s="2" t="str">
        <f t="shared" si="493"/>
        <v/>
      </c>
      <c r="Y960" s="2" t="str">
        <f t="shared" si="494"/>
        <v/>
      </c>
      <c r="Z960" s="2" t="str">
        <f t="shared" si="477"/>
        <v/>
      </c>
      <c r="AA960" s="2" t="str">
        <f t="shared" si="478"/>
        <v/>
      </c>
      <c r="AB960" s="2" t="str">
        <f t="shared" si="479"/>
        <v/>
      </c>
      <c r="AC960" s="2" t="str">
        <f t="shared" si="495"/>
        <v/>
      </c>
      <c r="AD960" s="2" t="str">
        <f t="shared" si="496"/>
        <v/>
      </c>
      <c r="AE960" s="2" t="str">
        <f t="shared" si="497"/>
        <v/>
      </c>
      <c r="AF960" s="2" t="str">
        <f t="shared" si="498"/>
        <v/>
      </c>
    </row>
    <row r="961" spans="1:32" x14ac:dyDescent="0.2">
      <c r="A961" s="2" t="str">
        <f t="shared" si="467"/>
        <v/>
      </c>
      <c r="B961" s="2" t="str">
        <f t="shared" si="480"/>
        <v/>
      </c>
      <c r="C961" s="2" t="str">
        <f t="shared" si="481"/>
        <v/>
      </c>
      <c r="D961" s="2" t="str">
        <f t="shared" si="482"/>
        <v/>
      </c>
      <c r="E961" s="2" t="str">
        <f t="shared" si="483"/>
        <v/>
      </c>
      <c r="F961" s="2" t="str">
        <f t="shared" si="484"/>
        <v/>
      </c>
      <c r="G961" s="2" t="str">
        <f t="shared" si="485"/>
        <v/>
      </c>
      <c r="H961" s="2" t="str">
        <f t="shared" si="468"/>
        <v/>
      </c>
      <c r="I961" s="2" t="str">
        <f t="shared" si="469"/>
        <v/>
      </c>
      <c r="J961" s="2" t="str">
        <f t="shared" si="470"/>
        <v/>
      </c>
      <c r="K961" s="2" t="str">
        <f t="shared" si="486"/>
        <v/>
      </c>
      <c r="L961" s="2" t="str">
        <f t="shared" si="487"/>
        <v/>
      </c>
      <c r="M961" s="2" t="str">
        <f t="shared" si="488"/>
        <v/>
      </c>
      <c r="N961" s="2" t="str">
        <f t="shared" si="471"/>
        <v/>
      </c>
      <c r="O961" s="2" t="str">
        <f t="shared" si="472"/>
        <v/>
      </c>
      <c r="P961" s="2" t="str">
        <f t="shared" si="473"/>
        <v/>
      </c>
      <c r="Q961" s="2" t="str">
        <f t="shared" si="489"/>
        <v/>
      </c>
      <c r="R961" s="2" t="str">
        <f t="shared" si="490"/>
        <v/>
      </c>
      <c r="S961" s="2" t="str">
        <f t="shared" si="491"/>
        <v/>
      </c>
      <c r="T961" s="2" t="str">
        <f t="shared" si="474"/>
        <v/>
      </c>
      <c r="U961" s="2" t="str">
        <f t="shared" si="475"/>
        <v/>
      </c>
      <c r="V961" s="2" t="str">
        <f t="shared" si="476"/>
        <v/>
      </c>
      <c r="W961" s="2" t="str">
        <f t="shared" si="492"/>
        <v/>
      </c>
      <c r="X961" s="2" t="str">
        <f t="shared" si="493"/>
        <v/>
      </c>
      <c r="Y961" s="2" t="str">
        <f t="shared" si="494"/>
        <v/>
      </c>
      <c r="Z961" s="2" t="str">
        <f t="shared" si="477"/>
        <v/>
      </c>
      <c r="AA961" s="2" t="str">
        <f t="shared" si="478"/>
        <v/>
      </c>
      <c r="AB961" s="2" t="str">
        <f t="shared" si="479"/>
        <v/>
      </c>
      <c r="AC961" s="2" t="str">
        <f t="shared" si="495"/>
        <v/>
      </c>
      <c r="AD961" s="2" t="str">
        <f t="shared" si="496"/>
        <v/>
      </c>
      <c r="AE961" s="2" t="str">
        <f t="shared" si="497"/>
        <v/>
      </c>
      <c r="AF961" s="2" t="str">
        <f t="shared" si="498"/>
        <v/>
      </c>
    </row>
    <row r="962" spans="1:32" x14ac:dyDescent="0.2">
      <c r="A962" s="2" t="str">
        <f t="shared" si="467"/>
        <v/>
      </c>
      <c r="B962" s="2" t="str">
        <f t="shared" si="480"/>
        <v/>
      </c>
      <c r="C962" s="2" t="str">
        <f t="shared" si="481"/>
        <v/>
      </c>
      <c r="D962" s="2" t="str">
        <f t="shared" si="482"/>
        <v/>
      </c>
      <c r="E962" s="2" t="str">
        <f t="shared" si="483"/>
        <v/>
      </c>
      <c r="F962" s="2" t="str">
        <f t="shared" si="484"/>
        <v/>
      </c>
      <c r="G962" s="2" t="str">
        <f t="shared" si="485"/>
        <v/>
      </c>
      <c r="H962" s="2" t="str">
        <f t="shared" si="468"/>
        <v/>
      </c>
      <c r="I962" s="2" t="str">
        <f t="shared" si="469"/>
        <v/>
      </c>
      <c r="J962" s="2" t="str">
        <f t="shared" si="470"/>
        <v/>
      </c>
      <c r="K962" s="2" t="str">
        <f t="shared" si="486"/>
        <v/>
      </c>
      <c r="L962" s="2" t="str">
        <f t="shared" si="487"/>
        <v/>
      </c>
      <c r="M962" s="2" t="str">
        <f t="shared" si="488"/>
        <v/>
      </c>
      <c r="N962" s="2" t="str">
        <f t="shared" si="471"/>
        <v/>
      </c>
      <c r="O962" s="2" t="str">
        <f t="shared" si="472"/>
        <v/>
      </c>
      <c r="P962" s="2" t="str">
        <f t="shared" si="473"/>
        <v/>
      </c>
      <c r="Q962" s="2" t="str">
        <f t="shared" si="489"/>
        <v/>
      </c>
      <c r="R962" s="2" t="str">
        <f t="shared" si="490"/>
        <v/>
      </c>
      <c r="S962" s="2" t="str">
        <f t="shared" si="491"/>
        <v/>
      </c>
      <c r="T962" s="2" t="str">
        <f t="shared" si="474"/>
        <v/>
      </c>
      <c r="U962" s="2" t="str">
        <f t="shared" si="475"/>
        <v/>
      </c>
      <c r="V962" s="2" t="str">
        <f t="shared" si="476"/>
        <v/>
      </c>
      <c r="W962" s="2" t="str">
        <f t="shared" si="492"/>
        <v/>
      </c>
      <c r="X962" s="2" t="str">
        <f t="shared" si="493"/>
        <v/>
      </c>
      <c r="Y962" s="2" t="str">
        <f t="shared" si="494"/>
        <v/>
      </c>
      <c r="Z962" s="2" t="str">
        <f t="shared" si="477"/>
        <v/>
      </c>
      <c r="AA962" s="2" t="str">
        <f t="shared" si="478"/>
        <v/>
      </c>
      <c r="AB962" s="2" t="str">
        <f t="shared" si="479"/>
        <v/>
      </c>
      <c r="AC962" s="2" t="str">
        <f t="shared" si="495"/>
        <v/>
      </c>
      <c r="AD962" s="2" t="str">
        <f t="shared" si="496"/>
        <v/>
      </c>
      <c r="AE962" s="2" t="str">
        <f t="shared" si="497"/>
        <v/>
      </c>
      <c r="AF962" s="2" t="str">
        <f t="shared" si="498"/>
        <v/>
      </c>
    </row>
    <row r="963" spans="1:32" x14ac:dyDescent="0.2">
      <c r="A963" s="2" t="str">
        <f t="shared" si="467"/>
        <v/>
      </c>
      <c r="B963" s="2" t="str">
        <f t="shared" si="480"/>
        <v/>
      </c>
      <c r="C963" s="2" t="str">
        <f t="shared" si="481"/>
        <v/>
      </c>
      <c r="D963" s="2" t="str">
        <f t="shared" si="482"/>
        <v/>
      </c>
      <c r="E963" s="2" t="str">
        <f t="shared" si="483"/>
        <v/>
      </c>
      <c r="F963" s="2" t="str">
        <f t="shared" si="484"/>
        <v/>
      </c>
      <c r="G963" s="2" t="str">
        <f t="shared" si="485"/>
        <v/>
      </c>
      <c r="H963" s="2" t="str">
        <f t="shared" si="468"/>
        <v/>
      </c>
      <c r="I963" s="2" t="str">
        <f t="shared" si="469"/>
        <v/>
      </c>
      <c r="J963" s="2" t="str">
        <f t="shared" si="470"/>
        <v/>
      </c>
      <c r="K963" s="2" t="str">
        <f t="shared" si="486"/>
        <v/>
      </c>
      <c r="L963" s="2" t="str">
        <f t="shared" si="487"/>
        <v/>
      </c>
      <c r="M963" s="2" t="str">
        <f t="shared" si="488"/>
        <v/>
      </c>
      <c r="N963" s="2" t="str">
        <f t="shared" si="471"/>
        <v/>
      </c>
      <c r="O963" s="2" t="str">
        <f t="shared" si="472"/>
        <v/>
      </c>
      <c r="P963" s="2" t="str">
        <f t="shared" si="473"/>
        <v/>
      </c>
      <c r="Q963" s="2" t="str">
        <f t="shared" si="489"/>
        <v/>
      </c>
      <c r="R963" s="2" t="str">
        <f t="shared" si="490"/>
        <v/>
      </c>
      <c r="S963" s="2" t="str">
        <f t="shared" si="491"/>
        <v/>
      </c>
      <c r="T963" s="2" t="str">
        <f t="shared" si="474"/>
        <v/>
      </c>
      <c r="U963" s="2" t="str">
        <f t="shared" si="475"/>
        <v/>
      </c>
      <c r="V963" s="2" t="str">
        <f t="shared" si="476"/>
        <v/>
      </c>
      <c r="W963" s="2" t="str">
        <f t="shared" si="492"/>
        <v/>
      </c>
      <c r="X963" s="2" t="str">
        <f t="shared" si="493"/>
        <v/>
      </c>
      <c r="Y963" s="2" t="str">
        <f t="shared" si="494"/>
        <v/>
      </c>
      <c r="Z963" s="2" t="str">
        <f t="shared" si="477"/>
        <v/>
      </c>
      <c r="AA963" s="2" t="str">
        <f t="shared" si="478"/>
        <v/>
      </c>
      <c r="AB963" s="2" t="str">
        <f t="shared" si="479"/>
        <v/>
      </c>
      <c r="AC963" s="2" t="str">
        <f t="shared" si="495"/>
        <v/>
      </c>
      <c r="AD963" s="2" t="str">
        <f t="shared" si="496"/>
        <v/>
      </c>
      <c r="AE963" s="2" t="str">
        <f t="shared" si="497"/>
        <v/>
      </c>
      <c r="AF963" s="2" t="str">
        <f t="shared" si="498"/>
        <v/>
      </c>
    </row>
    <row r="964" spans="1:32" x14ac:dyDescent="0.2">
      <c r="A964" s="2" t="str">
        <f t="shared" si="467"/>
        <v/>
      </c>
      <c r="B964" s="2" t="str">
        <f t="shared" si="480"/>
        <v/>
      </c>
      <c r="C964" s="2" t="str">
        <f t="shared" si="481"/>
        <v/>
      </c>
      <c r="D964" s="2" t="str">
        <f t="shared" si="482"/>
        <v/>
      </c>
      <c r="E964" s="2" t="str">
        <f t="shared" si="483"/>
        <v/>
      </c>
      <c r="F964" s="2" t="str">
        <f t="shared" si="484"/>
        <v/>
      </c>
      <c r="G964" s="2" t="str">
        <f t="shared" si="485"/>
        <v/>
      </c>
      <c r="H964" s="2" t="str">
        <f t="shared" si="468"/>
        <v/>
      </c>
      <c r="I964" s="2" t="str">
        <f t="shared" si="469"/>
        <v/>
      </c>
      <c r="J964" s="2" t="str">
        <f t="shared" si="470"/>
        <v/>
      </c>
      <c r="K964" s="2" t="str">
        <f t="shared" si="486"/>
        <v/>
      </c>
      <c r="L964" s="2" t="str">
        <f t="shared" si="487"/>
        <v/>
      </c>
      <c r="M964" s="2" t="str">
        <f t="shared" si="488"/>
        <v/>
      </c>
      <c r="N964" s="2" t="str">
        <f t="shared" si="471"/>
        <v/>
      </c>
      <c r="O964" s="2" t="str">
        <f t="shared" si="472"/>
        <v/>
      </c>
      <c r="P964" s="2" t="str">
        <f t="shared" si="473"/>
        <v/>
      </c>
      <c r="Q964" s="2" t="str">
        <f t="shared" si="489"/>
        <v/>
      </c>
      <c r="R964" s="2" t="str">
        <f t="shared" si="490"/>
        <v/>
      </c>
      <c r="S964" s="2" t="str">
        <f t="shared" si="491"/>
        <v/>
      </c>
      <c r="T964" s="2" t="str">
        <f t="shared" si="474"/>
        <v/>
      </c>
      <c r="U964" s="2" t="str">
        <f t="shared" si="475"/>
        <v/>
      </c>
      <c r="V964" s="2" t="str">
        <f t="shared" si="476"/>
        <v/>
      </c>
      <c r="W964" s="2" t="str">
        <f t="shared" si="492"/>
        <v/>
      </c>
      <c r="X964" s="2" t="str">
        <f t="shared" si="493"/>
        <v/>
      </c>
      <c r="Y964" s="2" t="str">
        <f t="shared" si="494"/>
        <v/>
      </c>
      <c r="Z964" s="2" t="str">
        <f t="shared" si="477"/>
        <v/>
      </c>
      <c r="AA964" s="2" t="str">
        <f t="shared" si="478"/>
        <v/>
      </c>
      <c r="AB964" s="2" t="str">
        <f t="shared" si="479"/>
        <v/>
      </c>
      <c r="AC964" s="2" t="str">
        <f t="shared" si="495"/>
        <v/>
      </c>
      <c r="AD964" s="2" t="str">
        <f t="shared" si="496"/>
        <v/>
      </c>
      <c r="AE964" s="2" t="str">
        <f t="shared" si="497"/>
        <v/>
      </c>
      <c r="AF964" s="2" t="str">
        <f t="shared" si="498"/>
        <v/>
      </c>
    </row>
    <row r="965" spans="1:32" x14ac:dyDescent="0.2">
      <c r="A965" s="2" t="str">
        <f t="shared" ref="A965:A1003" si="499">IF(AH965="","",_xlfn.CONCAT(AH965,"_",ROW()-3))</f>
        <v/>
      </c>
      <c r="B965" s="2" t="str">
        <f t="shared" si="480"/>
        <v/>
      </c>
      <c r="C965" s="2" t="str">
        <f t="shared" si="481"/>
        <v/>
      </c>
      <c r="D965" s="2" t="str">
        <f t="shared" si="482"/>
        <v/>
      </c>
      <c r="E965" s="2" t="str">
        <f t="shared" si="483"/>
        <v/>
      </c>
      <c r="F965" s="2" t="str">
        <f t="shared" si="484"/>
        <v/>
      </c>
      <c r="G965" s="2" t="str">
        <f t="shared" si="485"/>
        <v/>
      </c>
      <c r="H965" s="2" t="str">
        <f t="shared" ref="H965:H1003" si="500">IF(AO965="","",IF(AQ965&lt;&gt;0,(AO965+AQ965)/2,AO965)-BN965)</f>
        <v/>
      </c>
      <c r="I965" s="2" t="str">
        <f t="shared" ref="I965:I1003" si="501">IF(AP965="","",AP965)</f>
        <v/>
      </c>
      <c r="J965" s="2" t="str">
        <f t="shared" ref="J965:J1003" si="502">IF(AQ965="","",(AO965+AQ965)/2-BN965)</f>
        <v/>
      </c>
      <c r="K965" s="2" t="str">
        <f t="shared" si="486"/>
        <v/>
      </c>
      <c r="L965" s="2" t="str">
        <f t="shared" si="487"/>
        <v/>
      </c>
      <c r="M965" s="2" t="str">
        <f t="shared" si="488"/>
        <v/>
      </c>
      <c r="N965" s="2" t="str">
        <f t="shared" ref="N965:N1003" si="503">IF(AU965="","",IF(AW965&lt;&gt;0,(AU965+AW965)/2,AU965)-BN966)</f>
        <v/>
      </c>
      <c r="O965" s="2" t="str">
        <f t="shared" ref="O965:O1003" si="504">IF(AV965="","",AV965)</f>
        <v/>
      </c>
      <c r="P965" s="2" t="str">
        <f t="shared" ref="P965:P1003" si="505">IF(AW965="","",(AU965+AW965)/2-BN966)</f>
        <v/>
      </c>
      <c r="Q965" s="2" t="str">
        <f t="shared" si="489"/>
        <v/>
      </c>
      <c r="R965" s="2" t="str">
        <f t="shared" si="490"/>
        <v/>
      </c>
      <c r="S965" s="2" t="str">
        <f t="shared" si="491"/>
        <v/>
      </c>
      <c r="T965" s="2" t="str">
        <f t="shared" ref="T965:T1003" si="506">IF(BA965="","",IF(BC965&lt;&gt;0,(BA965+BC965)/2,BA965)-BN967)</f>
        <v/>
      </c>
      <c r="U965" s="2" t="str">
        <f t="shared" ref="U965:U1003" si="507">IF(BB965="","",BB965)</f>
        <v/>
      </c>
      <c r="V965" s="2" t="str">
        <f t="shared" ref="V965:V1003" si="508">IF(BC965="","",(BA965+BC965)/2-BN967)</f>
        <v/>
      </c>
      <c r="W965" s="2" t="str">
        <f t="shared" si="492"/>
        <v/>
      </c>
      <c r="X965" s="2" t="str">
        <f t="shared" si="493"/>
        <v/>
      </c>
      <c r="Y965" s="2" t="str">
        <f t="shared" si="494"/>
        <v/>
      </c>
      <c r="Z965" s="2" t="str">
        <f t="shared" ref="Z965:Z1003" si="509">IF(BG965="","",IF(BI965&lt;&gt;0,(BG965+BI965)/2,BG965)-BN968)</f>
        <v/>
      </c>
      <c r="AA965" s="2" t="str">
        <f t="shared" ref="AA965:AA1003" si="510">IF(BH965="","",BH965)</f>
        <v/>
      </c>
      <c r="AB965" s="2" t="str">
        <f t="shared" ref="AB965:AB1003" si="511">IF(BI965="","",(BG965+BI965)/2-BN968)</f>
        <v/>
      </c>
      <c r="AC965" s="2" t="str">
        <f t="shared" si="495"/>
        <v/>
      </c>
      <c r="AD965" s="2" t="str">
        <f t="shared" si="496"/>
        <v/>
      </c>
      <c r="AE965" s="2" t="str">
        <f t="shared" si="497"/>
        <v/>
      </c>
      <c r="AF965" s="2" t="str">
        <f t="shared" si="498"/>
        <v/>
      </c>
    </row>
    <row r="966" spans="1:32" x14ac:dyDescent="0.2">
      <c r="A966" s="2" t="str">
        <f t="shared" si="499"/>
        <v/>
      </c>
      <c r="B966" s="2" t="str">
        <f t="shared" si="480"/>
        <v/>
      </c>
      <c r="C966" s="2" t="str">
        <f t="shared" si="481"/>
        <v/>
      </c>
      <c r="D966" s="2" t="str">
        <f t="shared" si="482"/>
        <v/>
      </c>
      <c r="E966" s="2" t="str">
        <f t="shared" si="483"/>
        <v/>
      </c>
      <c r="F966" s="2" t="str">
        <f t="shared" si="484"/>
        <v/>
      </c>
      <c r="G966" s="2" t="str">
        <f t="shared" si="485"/>
        <v/>
      </c>
      <c r="H966" s="2" t="str">
        <f t="shared" si="500"/>
        <v/>
      </c>
      <c r="I966" s="2" t="str">
        <f t="shared" si="501"/>
        <v/>
      </c>
      <c r="J966" s="2" t="str">
        <f t="shared" si="502"/>
        <v/>
      </c>
      <c r="K966" s="2" t="str">
        <f t="shared" si="486"/>
        <v/>
      </c>
      <c r="L966" s="2" t="str">
        <f t="shared" si="487"/>
        <v/>
      </c>
      <c r="M966" s="2" t="str">
        <f t="shared" si="488"/>
        <v/>
      </c>
      <c r="N966" s="2" t="str">
        <f t="shared" si="503"/>
        <v/>
      </c>
      <c r="O966" s="2" t="str">
        <f t="shared" si="504"/>
        <v/>
      </c>
      <c r="P966" s="2" t="str">
        <f t="shared" si="505"/>
        <v/>
      </c>
      <c r="Q966" s="2" t="str">
        <f t="shared" si="489"/>
        <v/>
      </c>
      <c r="R966" s="2" t="str">
        <f t="shared" si="490"/>
        <v/>
      </c>
      <c r="S966" s="2" t="str">
        <f t="shared" si="491"/>
        <v/>
      </c>
      <c r="T966" s="2" t="str">
        <f t="shared" si="506"/>
        <v/>
      </c>
      <c r="U966" s="2" t="str">
        <f t="shared" si="507"/>
        <v/>
      </c>
      <c r="V966" s="2" t="str">
        <f t="shared" si="508"/>
        <v/>
      </c>
      <c r="W966" s="2" t="str">
        <f t="shared" si="492"/>
        <v/>
      </c>
      <c r="X966" s="2" t="str">
        <f t="shared" si="493"/>
        <v/>
      </c>
      <c r="Y966" s="2" t="str">
        <f t="shared" si="494"/>
        <v/>
      </c>
      <c r="Z966" s="2" t="str">
        <f t="shared" si="509"/>
        <v/>
      </c>
      <c r="AA966" s="2" t="str">
        <f t="shared" si="510"/>
        <v/>
      </c>
      <c r="AB966" s="2" t="str">
        <f t="shared" si="511"/>
        <v/>
      </c>
      <c r="AC966" s="2" t="str">
        <f t="shared" si="495"/>
        <v/>
      </c>
      <c r="AD966" s="2" t="str">
        <f t="shared" si="496"/>
        <v/>
      </c>
      <c r="AE966" s="2" t="str">
        <f t="shared" si="497"/>
        <v/>
      </c>
      <c r="AF966" s="2" t="str">
        <f t="shared" si="498"/>
        <v/>
      </c>
    </row>
    <row r="967" spans="1:32" x14ac:dyDescent="0.2">
      <c r="A967" s="2" t="str">
        <f t="shared" si="499"/>
        <v/>
      </c>
      <c r="B967" s="2" t="str">
        <f t="shared" si="480"/>
        <v/>
      </c>
      <c r="C967" s="2" t="str">
        <f t="shared" si="481"/>
        <v/>
      </c>
      <c r="D967" s="2" t="str">
        <f t="shared" si="482"/>
        <v/>
      </c>
      <c r="E967" s="2" t="str">
        <f t="shared" si="483"/>
        <v/>
      </c>
      <c r="F967" s="2" t="str">
        <f t="shared" si="484"/>
        <v/>
      </c>
      <c r="G967" s="2" t="str">
        <f t="shared" si="485"/>
        <v/>
      </c>
      <c r="H967" s="2" t="str">
        <f t="shared" si="500"/>
        <v/>
      </c>
      <c r="I967" s="2" t="str">
        <f t="shared" si="501"/>
        <v/>
      </c>
      <c r="J967" s="2" t="str">
        <f t="shared" si="502"/>
        <v/>
      </c>
      <c r="K967" s="2" t="str">
        <f t="shared" si="486"/>
        <v/>
      </c>
      <c r="L967" s="2" t="str">
        <f t="shared" si="487"/>
        <v/>
      </c>
      <c r="M967" s="2" t="str">
        <f t="shared" si="488"/>
        <v/>
      </c>
      <c r="N967" s="2" t="str">
        <f t="shared" si="503"/>
        <v/>
      </c>
      <c r="O967" s="2" t="str">
        <f t="shared" si="504"/>
        <v/>
      </c>
      <c r="P967" s="2" t="str">
        <f t="shared" si="505"/>
        <v/>
      </c>
      <c r="Q967" s="2" t="str">
        <f t="shared" si="489"/>
        <v/>
      </c>
      <c r="R967" s="2" t="str">
        <f t="shared" si="490"/>
        <v/>
      </c>
      <c r="S967" s="2" t="str">
        <f t="shared" si="491"/>
        <v/>
      </c>
      <c r="T967" s="2" t="str">
        <f t="shared" si="506"/>
        <v/>
      </c>
      <c r="U967" s="2" t="str">
        <f t="shared" si="507"/>
        <v/>
      </c>
      <c r="V967" s="2" t="str">
        <f t="shared" si="508"/>
        <v/>
      </c>
      <c r="W967" s="2" t="str">
        <f t="shared" si="492"/>
        <v/>
      </c>
      <c r="X967" s="2" t="str">
        <f t="shared" si="493"/>
        <v/>
      </c>
      <c r="Y967" s="2" t="str">
        <f t="shared" si="494"/>
        <v/>
      </c>
      <c r="Z967" s="2" t="str">
        <f t="shared" si="509"/>
        <v/>
      </c>
      <c r="AA967" s="2" t="str">
        <f t="shared" si="510"/>
        <v/>
      </c>
      <c r="AB967" s="2" t="str">
        <f t="shared" si="511"/>
        <v/>
      </c>
      <c r="AC967" s="2" t="str">
        <f t="shared" si="495"/>
        <v/>
      </c>
      <c r="AD967" s="2" t="str">
        <f t="shared" si="496"/>
        <v/>
      </c>
      <c r="AE967" s="2" t="str">
        <f t="shared" si="497"/>
        <v/>
      </c>
      <c r="AF967" s="2" t="str">
        <f t="shared" si="498"/>
        <v/>
      </c>
    </row>
    <row r="968" spans="1:32" x14ac:dyDescent="0.2">
      <c r="A968" s="2" t="str">
        <f t="shared" si="499"/>
        <v/>
      </c>
      <c r="B968" s="2" t="str">
        <f t="shared" si="480"/>
        <v/>
      </c>
      <c r="C968" s="2" t="str">
        <f t="shared" si="481"/>
        <v/>
      </c>
      <c r="D968" s="2" t="str">
        <f t="shared" si="482"/>
        <v/>
      </c>
      <c r="E968" s="2" t="str">
        <f t="shared" si="483"/>
        <v/>
      </c>
      <c r="F968" s="2" t="str">
        <f t="shared" si="484"/>
        <v/>
      </c>
      <c r="G968" s="2" t="str">
        <f t="shared" si="485"/>
        <v/>
      </c>
      <c r="H968" s="2" t="str">
        <f t="shared" si="500"/>
        <v/>
      </c>
      <c r="I968" s="2" t="str">
        <f t="shared" si="501"/>
        <v/>
      </c>
      <c r="J968" s="2" t="str">
        <f t="shared" si="502"/>
        <v/>
      </c>
      <c r="K968" s="2" t="str">
        <f t="shared" si="486"/>
        <v/>
      </c>
      <c r="L968" s="2" t="str">
        <f t="shared" si="487"/>
        <v/>
      </c>
      <c r="M968" s="2" t="str">
        <f t="shared" si="488"/>
        <v/>
      </c>
      <c r="N968" s="2" t="str">
        <f t="shared" si="503"/>
        <v/>
      </c>
      <c r="O968" s="2" t="str">
        <f t="shared" si="504"/>
        <v/>
      </c>
      <c r="P968" s="2" t="str">
        <f t="shared" si="505"/>
        <v/>
      </c>
      <c r="Q968" s="2" t="str">
        <f t="shared" si="489"/>
        <v/>
      </c>
      <c r="R968" s="2" t="str">
        <f t="shared" si="490"/>
        <v/>
      </c>
      <c r="S968" s="2" t="str">
        <f t="shared" si="491"/>
        <v/>
      </c>
      <c r="T968" s="2" t="str">
        <f t="shared" si="506"/>
        <v/>
      </c>
      <c r="U968" s="2" t="str">
        <f t="shared" si="507"/>
        <v/>
      </c>
      <c r="V968" s="2" t="str">
        <f t="shared" si="508"/>
        <v/>
      </c>
      <c r="W968" s="2" t="str">
        <f t="shared" si="492"/>
        <v/>
      </c>
      <c r="X968" s="2" t="str">
        <f t="shared" si="493"/>
        <v/>
      </c>
      <c r="Y968" s="2" t="str">
        <f t="shared" si="494"/>
        <v/>
      </c>
      <c r="Z968" s="2" t="str">
        <f t="shared" si="509"/>
        <v/>
      </c>
      <c r="AA968" s="2" t="str">
        <f t="shared" si="510"/>
        <v/>
      </c>
      <c r="AB968" s="2" t="str">
        <f t="shared" si="511"/>
        <v/>
      </c>
      <c r="AC968" s="2" t="str">
        <f t="shared" si="495"/>
        <v/>
      </c>
      <c r="AD968" s="2" t="str">
        <f t="shared" si="496"/>
        <v/>
      </c>
      <c r="AE968" s="2" t="str">
        <f t="shared" si="497"/>
        <v/>
      </c>
      <c r="AF968" s="2" t="str">
        <f t="shared" si="498"/>
        <v/>
      </c>
    </row>
    <row r="969" spans="1:32" x14ac:dyDescent="0.2">
      <c r="A969" s="2" t="str">
        <f t="shared" si="499"/>
        <v/>
      </c>
      <c r="B969" s="2" t="str">
        <f t="shared" si="480"/>
        <v/>
      </c>
      <c r="C969" s="2" t="str">
        <f t="shared" si="481"/>
        <v/>
      </c>
      <c r="D969" s="2" t="str">
        <f t="shared" si="482"/>
        <v/>
      </c>
      <c r="E969" s="2" t="str">
        <f t="shared" si="483"/>
        <v/>
      </c>
      <c r="F969" s="2" t="str">
        <f t="shared" si="484"/>
        <v/>
      </c>
      <c r="G969" s="2" t="str">
        <f t="shared" si="485"/>
        <v/>
      </c>
      <c r="H969" s="2" t="str">
        <f t="shared" si="500"/>
        <v/>
      </c>
      <c r="I969" s="2" t="str">
        <f t="shared" si="501"/>
        <v/>
      </c>
      <c r="J969" s="2" t="str">
        <f t="shared" si="502"/>
        <v/>
      </c>
      <c r="K969" s="2" t="str">
        <f t="shared" si="486"/>
        <v/>
      </c>
      <c r="L969" s="2" t="str">
        <f t="shared" si="487"/>
        <v/>
      </c>
      <c r="M969" s="2" t="str">
        <f t="shared" si="488"/>
        <v/>
      </c>
      <c r="N969" s="2" t="str">
        <f t="shared" si="503"/>
        <v/>
      </c>
      <c r="O969" s="2" t="str">
        <f t="shared" si="504"/>
        <v/>
      </c>
      <c r="P969" s="2" t="str">
        <f t="shared" si="505"/>
        <v/>
      </c>
      <c r="Q969" s="2" t="str">
        <f t="shared" si="489"/>
        <v/>
      </c>
      <c r="R969" s="2" t="str">
        <f t="shared" si="490"/>
        <v/>
      </c>
      <c r="S969" s="2" t="str">
        <f t="shared" si="491"/>
        <v/>
      </c>
      <c r="T969" s="2" t="str">
        <f t="shared" si="506"/>
        <v/>
      </c>
      <c r="U969" s="2" t="str">
        <f t="shared" si="507"/>
        <v/>
      </c>
      <c r="V969" s="2" t="str">
        <f t="shared" si="508"/>
        <v/>
      </c>
      <c r="W969" s="2" t="str">
        <f t="shared" si="492"/>
        <v/>
      </c>
      <c r="X969" s="2" t="str">
        <f t="shared" si="493"/>
        <v/>
      </c>
      <c r="Y969" s="2" t="str">
        <f t="shared" si="494"/>
        <v/>
      </c>
      <c r="Z969" s="2" t="str">
        <f t="shared" si="509"/>
        <v/>
      </c>
      <c r="AA969" s="2" t="str">
        <f t="shared" si="510"/>
        <v/>
      </c>
      <c r="AB969" s="2" t="str">
        <f t="shared" si="511"/>
        <v/>
      </c>
      <c r="AC969" s="2" t="str">
        <f t="shared" si="495"/>
        <v/>
      </c>
      <c r="AD969" s="2" t="str">
        <f t="shared" si="496"/>
        <v/>
      </c>
      <c r="AE969" s="2" t="str">
        <f t="shared" si="497"/>
        <v/>
      </c>
      <c r="AF969" s="2" t="str">
        <f t="shared" si="498"/>
        <v/>
      </c>
    </row>
    <row r="970" spans="1:32" x14ac:dyDescent="0.2">
      <c r="A970" s="2" t="str">
        <f t="shared" si="499"/>
        <v/>
      </c>
      <c r="B970" s="2" t="str">
        <f t="shared" si="480"/>
        <v/>
      </c>
      <c r="C970" s="2" t="str">
        <f t="shared" si="481"/>
        <v/>
      </c>
      <c r="D970" s="2" t="str">
        <f t="shared" si="482"/>
        <v/>
      </c>
      <c r="E970" s="2" t="str">
        <f t="shared" si="483"/>
        <v/>
      </c>
      <c r="F970" s="2" t="str">
        <f t="shared" si="484"/>
        <v/>
      </c>
      <c r="G970" s="2" t="str">
        <f t="shared" si="485"/>
        <v/>
      </c>
      <c r="H970" s="2" t="str">
        <f t="shared" si="500"/>
        <v/>
      </c>
      <c r="I970" s="2" t="str">
        <f t="shared" si="501"/>
        <v/>
      </c>
      <c r="J970" s="2" t="str">
        <f t="shared" si="502"/>
        <v/>
      </c>
      <c r="K970" s="2" t="str">
        <f t="shared" si="486"/>
        <v/>
      </c>
      <c r="L970" s="2" t="str">
        <f t="shared" si="487"/>
        <v/>
      </c>
      <c r="M970" s="2" t="str">
        <f t="shared" si="488"/>
        <v/>
      </c>
      <c r="N970" s="2" t="str">
        <f t="shared" si="503"/>
        <v/>
      </c>
      <c r="O970" s="2" t="str">
        <f t="shared" si="504"/>
        <v/>
      </c>
      <c r="P970" s="2" t="str">
        <f t="shared" si="505"/>
        <v/>
      </c>
      <c r="Q970" s="2" t="str">
        <f t="shared" si="489"/>
        <v/>
      </c>
      <c r="R970" s="2" t="str">
        <f t="shared" si="490"/>
        <v/>
      </c>
      <c r="S970" s="2" t="str">
        <f t="shared" si="491"/>
        <v/>
      </c>
      <c r="T970" s="2" t="str">
        <f t="shared" si="506"/>
        <v/>
      </c>
      <c r="U970" s="2" t="str">
        <f t="shared" si="507"/>
        <v/>
      </c>
      <c r="V970" s="2" t="str">
        <f t="shared" si="508"/>
        <v/>
      </c>
      <c r="W970" s="2" t="str">
        <f t="shared" si="492"/>
        <v/>
      </c>
      <c r="X970" s="2" t="str">
        <f t="shared" si="493"/>
        <v/>
      </c>
      <c r="Y970" s="2" t="str">
        <f t="shared" si="494"/>
        <v/>
      </c>
      <c r="Z970" s="2" t="str">
        <f t="shared" si="509"/>
        <v/>
      </c>
      <c r="AA970" s="2" t="str">
        <f t="shared" si="510"/>
        <v/>
      </c>
      <c r="AB970" s="2" t="str">
        <f t="shared" si="511"/>
        <v/>
      </c>
      <c r="AC970" s="2" t="str">
        <f t="shared" si="495"/>
        <v/>
      </c>
      <c r="AD970" s="2" t="str">
        <f t="shared" si="496"/>
        <v/>
      </c>
      <c r="AE970" s="2" t="str">
        <f t="shared" si="497"/>
        <v/>
      </c>
      <c r="AF970" s="2" t="str">
        <f t="shared" si="498"/>
        <v/>
      </c>
    </row>
    <row r="971" spans="1:32" x14ac:dyDescent="0.2">
      <c r="A971" s="2" t="str">
        <f t="shared" si="499"/>
        <v/>
      </c>
      <c r="B971" s="2" t="str">
        <f t="shared" si="480"/>
        <v/>
      </c>
      <c r="C971" s="2" t="str">
        <f t="shared" si="481"/>
        <v/>
      </c>
      <c r="D971" s="2" t="str">
        <f t="shared" si="482"/>
        <v/>
      </c>
      <c r="E971" s="2" t="str">
        <f t="shared" si="483"/>
        <v/>
      </c>
      <c r="F971" s="2" t="str">
        <f t="shared" si="484"/>
        <v/>
      </c>
      <c r="G971" s="2" t="str">
        <f t="shared" si="485"/>
        <v/>
      </c>
      <c r="H971" s="2" t="str">
        <f t="shared" si="500"/>
        <v/>
      </c>
      <c r="I971" s="2" t="str">
        <f t="shared" si="501"/>
        <v/>
      </c>
      <c r="J971" s="2" t="str">
        <f t="shared" si="502"/>
        <v/>
      </c>
      <c r="K971" s="2" t="str">
        <f t="shared" si="486"/>
        <v/>
      </c>
      <c r="L971" s="2" t="str">
        <f t="shared" si="487"/>
        <v/>
      </c>
      <c r="M971" s="2" t="str">
        <f t="shared" si="488"/>
        <v/>
      </c>
      <c r="N971" s="2" t="str">
        <f t="shared" si="503"/>
        <v/>
      </c>
      <c r="O971" s="2" t="str">
        <f t="shared" si="504"/>
        <v/>
      </c>
      <c r="P971" s="2" t="str">
        <f t="shared" si="505"/>
        <v/>
      </c>
      <c r="Q971" s="2" t="str">
        <f t="shared" si="489"/>
        <v/>
      </c>
      <c r="R971" s="2" t="str">
        <f t="shared" si="490"/>
        <v/>
      </c>
      <c r="S971" s="2" t="str">
        <f t="shared" si="491"/>
        <v/>
      </c>
      <c r="T971" s="2" t="str">
        <f t="shared" si="506"/>
        <v/>
      </c>
      <c r="U971" s="2" t="str">
        <f t="shared" si="507"/>
        <v/>
      </c>
      <c r="V971" s="2" t="str">
        <f t="shared" si="508"/>
        <v/>
      </c>
      <c r="W971" s="2" t="str">
        <f t="shared" si="492"/>
        <v/>
      </c>
      <c r="X971" s="2" t="str">
        <f t="shared" si="493"/>
        <v/>
      </c>
      <c r="Y971" s="2" t="str">
        <f t="shared" si="494"/>
        <v/>
      </c>
      <c r="Z971" s="2" t="str">
        <f t="shared" si="509"/>
        <v/>
      </c>
      <c r="AA971" s="2" t="str">
        <f t="shared" si="510"/>
        <v/>
      </c>
      <c r="AB971" s="2" t="str">
        <f t="shared" si="511"/>
        <v/>
      </c>
      <c r="AC971" s="2" t="str">
        <f t="shared" si="495"/>
        <v/>
      </c>
      <c r="AD971" s="2" t="str">
        <f t="shared" si="496"/>
        <v/>
      </c>
      <c r="AE971" s="2" t="str">
        <f t="shared" si="497"/>
        <v/>
      </c>
      <c r="AF971" s="2" t="str">
        <f t="shared" si="498"/>
        <v/>
      </c>
    </row>
    <row r="972" spans="1:32" x14ac:dyDescent="0.2">
      <c r="A972" s="2" t="str">
        <f t="shared" si="499"/>
        <v/>
      </c>
      <c r="B972" s="2" t="str">
        <f t="shared" si="480"/>
        <v/>
      </c>
      <c r="C972" s="2" t="str">
        <f t="shared" si="481"/>
        <v/>
      </c>
      <c r="D972" s="2" t="str">
        <f t="shared" si="482"/>
        <v/>
      </c>
      <c r="E972" s="2" t="str">
        <f t="shared" si="483"/>
        <v/>
      </c>
      <c r="F972" s="2" t="str">
        <f t="shared" si="484"/>
        <v/>
      </c>
      <c r="G972" s="2" t="str">
        <f t="shared" si="485"/>
        <v/>
      </c>
      <c r="H972" s="2" t="str">
        <f t="shared" si="500"/>
        <v/>
      </c>
      <c r="I972" s="2" t="str">
        <f t="shared" si="501"/>
        <v/>
      </c>
      <c r="J972" s="2" t="str">
        <f t="shared" si="502"/>
        <v/>
      </c>
      <c r="K972" s="2" t="str">
        <f t="shared" si="486"/>
        <v/>
      </c>
      <c r="L972" s="2" t="str">
        <f t="shared" si="487"/>
        <v/>
      </c>
      <c r="M972" s="2" t="str">
        <f t="shared" si="488"/>
        <v/>
      </c>
      <c r="N972" s="2" t="str">
        <f t="shared" si="503"/>
        <v/>
      </c>
      <c r="O972" s="2" t="str">
        <f t="shared" si="504"/>
        <v/>
      </c>
      <c r="P972" s="2" t="str">
        <f t="shared" si="505"/>
        <v/>
      </c>
      <c r="Q972" s="2" t="str">
        <f t="shared" si="489"/>
        <v/>
      </c>
      <c r="R972" s="2" t="str">
        <f t="shared" si="490"/>
        <v/>
      </c>
      <c r="S972" s="2" t="str">
        <f t="shared" si="491"/>
        <v/>
      </c>
      <c r="T972" s="2" t="str">
        <f t="shared" si="506"/>
        <v/>
      </c>
      <c r="U972" s="2" t="str">
        <f t="shared" si="507"/>
        <v/>
      </c>
      <c r="V972" s="2" t="str">
        <f t="shared" si="508"/>
        <v/>
      </c>
      <c r="W972" s="2" t="str">
        <f t="shared" si="492"/>
        <v/>
      </c>
      <c r="X972" s="2" t="str">
        <f t="shared" si="493"/>
        <v/>
      </c>
      <c r="Y972" s="2" t="str">
        <f t="shared" si="494"/>
        <v/>
      </c>
      <c r="Z972" s="2" t="str">
        <f t="shared" si="509"/>
        <v/>
      </c>
      <c r="AA972" s="2" t="str">
        <f t="shared" si="510"/>
        <v/>
      </c>
      <c r="AB972" s="2" t="str">
        <f t="shared" si="511"/>
        <v/>
      </c>
      <c r="AC972" s="2" t="str">
        <f t="shared" si="495"/>
        <v/>
      </c>
      <c r="AD972" s="2" t="str">
        <f t="shared" si="496"/>
        <v/>
      </c>
      <c r="AE972" s="2" t="str">
        <f t="shared" si="497"/>
        <v/>
      </c>
      <c r="AF972" s="2" t="str">
        <f t="shared" si="498"/>
        <v/>
      </c>
    </row>
    <row r="973" spans="1:32" x14ac:dyDescent="0.2">
      <c r="A973" s="2" t="str">
        <f t="shared" si="499"/>
        <v/>
      </c>
      <c r="B973" s="2" t="str">
        <f t="shared" si="480"/>
        <v/>
      </c>
      <c r="C973" s="2" t="str">
        <f t="shared" si="481"/>
        <v/>
      </c>
      <c r="D973" s="2" t="str">
        <f t="shared" si="482"/>
        <v/>
      </c>
      <c r="E973" s="2" t="str">
        <f t="shared" si="483"/>
        <v/>
      </c>
      <c r="F973" s="2" t="str">
        <f t="shared" si="484"/>
        <v/>
      </c>
      <c r="G973" s="2" t="str">
        <f t="shared" si="485"/>
        <v/>
      </c>
      <c r="H973" s="2" t="str">
        <f t="shared" si="500"/>
        <v/>
      </c>
      <c r="I973" s="2" t="str">
        <f t="shared" si="501"/>
        <v/>
      </c>
      <c r="J973" s="2" t="str">
        <f t="shared" si="502"/>
        <v/>
      </c>
      <c r="K973" s="2" t="str">
        <f t="shared" si="486"/>
        <v/>
      </c>
      <c r="L973" s="2" t="str">
        <f t="shared" si="487"/>
        <v/>
      </c>
      <c r="M973" s="2" t="str">
        <f t="shared" si="488"/>
        <v/>
      </c>
      <c r="N973" s="2" t="str">
        <f t="shared" si="503"/>
        <v/>
      </c>
      <c r="O973" s="2" t="str">
        <f t="shared" si="504"/>
        <v/>
      </c>
      <c r="P973" s="2" t="str">
        <f t="shared" si="505"/>
        <v/>
      </c>
      <c r="Q973" s="2" t="str">
        <f t="shared" si="489"/>
        <v/>
      </c>
      <c r="R973" s="2" t="str">
        <f t="shared" si="490"/>
        <v/>
      </c>
      <c r="S973" s="2" t="str">
        <f t="shared" si="491"/>
        <v/>
      </c>
      <c r="T973" s="2" t="str">
        <f t="shared" si="506"/>
        <v/>
      </c>
      <c r="U973" s="2" t="str">
        <f t="shared" si="507"/>
        <v/>
      </c>
      <c r="V973" s="2" t="str">
        <f t="shared" si="508"/>
        <v/>
      </c>
      <c r="W973" s="2" t="str">
        <f t="shared" si="492"/>
        <v/>
      </c>
      <c r="X973" s="2" t="str">
        <f t="shared" si="493"/>
        <v/>
      </c>
      <c r="Y973" s="2" t="str">
        <f t="shared" si="494"/>
        <v/>
      </c>
      <c r="Z973" s="2" t="str">
        <f t="shared" si="509"/>
        <v/>
      </c>
      <c r="AA973" s="2" t="str">
        <f t="shared" si="510"/>
        <v/>
      </c>
      <c r="AB973" s="2" t="str">
        <f t="shared" si="511"/>
        <v/>
      </c>
      <c r="AC973" s="2" t="str">
        <f t="shared" si="495"/>
        <v/>
      </c>
      <c r="AD973" s="2" t="str">
        <f t="shared" si="496"/>
        <v/>
      </c>
      <c r="AE973" s="2" t="str">
        <f t="shared" si="497"/>
        <v/>
      </c>
      <c r="AF973" s="2" t="str">
        <f t="shared" si="498"/>
        <v/>
      </c>
    </row>
    <row r="974" spans="1:32" x14ac:dyDescent="0.2">
      <c r="A974" s="2" t="str">
        <f t="shared" si="499"/>
        <v/>
      </c>
      <c r="B974" s="2" t="str">
        <f t="shared" si="480"/>
        <v/>
      </c>
      <c r="C974" s="2" t="str">
        <f t="shared" si="481"/>
        <v/>
      </c>
      <c r="D974" s="2" t="str">
        <f t="shared" si="482"/>
        <v/>
      </c>
      <c r="E974" s="2" t="str">
        <f t="shared" si="483"/>
        <v/>
      </c>
      <c r="F974" s="2" t="str">
        <f t="shared" si="484"/>
        <v/>
      </c>
      <c r="G974" s="2" t="str">
        <f t="shared" si="485"/>
        <v/>
      </c>
      <c r="H974" s="2" t="str">
        <f t="shared" si="500"/>
        <v/>
      </c>
      <c r="I974" s="2" t="str">
        <f t="shared" si="501"/>
        <v/>
      </c>
      <c r="J974" s="2" t="str">
        <f t="shared" si="502"/>
        <v/>
      </c>
      <c r="K974" s="2" t="str">
        <f t="shared" si="486"/>
        <v/>
      </c>
      <c r="L974" s="2" t="str">
        <f t="shared" si="487"/>
        <v/>
      </c>
      <c r="M974" s="2" t="str">
        <f t="shared" si="488"/>
        <v/>
      </c>
      <c r="N974" s="2" t="str">
        <f t="shared" si="503"/>
        <v/>
      </c>
      <c r="O974" s="2" t="str">
        <f t="shared" si="504"/>
        <v/>
      </c>
      <c r="P974" s="2" t="str">
        <f t="shared" si="505"/>
        <v/>
      </c>
      <c r="Q974" s="2" t="str">
        <f t="shared" si="489"/>
        <v/>
      </c>
      <c r="R974" s="2" t="str">
        <f t="shared" si="490"/>
        <v/>
      </c>
      <c r="S974" s="2" t="str">
        <f t="shared" si="491"/>
        <v/>
      </c>
      <c r="T974" s="2" t="str">
        <f t="shared" si="506"/>
        <v/>
      </c>
      <c r="U974" s="2" t="str">
        <f t="shared" si="507"/>
        <v/>
      </c>
      <c r="V974" s="2" t="str">
        <f t="shared" si="508"/>
        <v/>
      </c>
      <c r="W974" s="2" t="str">
        <f t="shared" si="492"/>
        <v/>
      </c>
      <c r="X974" s="2" t="str">
        <f t="shared" si="493"/>
        <v/>
      </c>
      <c r="Y974" s="2" t="str">
        <f t="shared" si="494"/>
        <v/>
      </c>
      <c r="Z974" s="2" t="str">
        <f t="shared" si="509"/>
        <v/>
      </c>
      <c r="AA974" s="2" t="str">
        <f t="shared" si="510"/>
        <v/>
      </c>
      <c r="AB974" s="2" t="str">
        <f t="shared" si="511"/>
        <v/>
      </c>
      <c r="AC974" s="2" t="str">
        <f t="shared" si="495"/>
        <v/>
      </c>
      <c r="AD974" s="2" t="str">
        <f t="shared" si="496"/>
        <v/>
      </c>
      <c r="AE974" s="2" t="str">
        <f t="shared" si="497"/>
        <v/>
      </c>
      <c r="AF974" s="2" t="str">
        <f t="shared" si="498"/>
        <v/>
      </c>
    </row>
    <row r="975" spans="1:32" x14ac:dyDescent="0.2">
      <c r="A975" s="2" t="str">
        <f t="shared" si="499"/>
        <v/>
      </c>
      <c r="B975" s="2" t="str">
        <f t="shared" si="480"/>
        <v/>
      </c>
      <c r="C975" s="2" t="str">
        <f t="shared" si="481"/>
        <v/>
      </c>
      <c r="D975" s="2" t="str">
        <f t="shared" si="482"/>
        <v/>
      </c>
      <c r="E975" s="2" t="str">
        <f t="shared" si="483"/>
        <v/>
      </c>
      <c r="F975" s="2" t="str">
        <f t="shared" si="484"/>
        <v/>
      </c>
      <c r="G975" s="2" t="str">
        <f t="shared" si="485"/>
        <v/>
      </c>
      <c r="H975" s="2" t="str">
        <f t="shared" si="500"/>
        <v/>
      </c>
      <c r="I975" s="2" t="str">
        <f t="shared" si="501"/>
        <v/>
      </c>
      <c r="J975" s="2" t="str">
        <f t="shared" si="502"/>
        <v/>
      </c>
      <c r="K975" s="2" t="str">
        <f t="shared" si="486"/>
        <v/>
      </c>
      <c r="L975" s="2" t="str">
        <f t="shared" si="487"/>
        <v/>
      </c>
      <c r="M975" s="2" t="str">
        <f t="shared" si="488"/>
        <v/>
      </c>
      <c r="N975" s="2" t="str">
        <f t="shared" si="503"/>
        <v/>
      </c>
      <c r="O975" s="2" t="str">
        <f t="shared" si="504"/>
        <v/>
      </c>
      <c r="P975" s="2" t="str">
        <f t="shared" si="505"/>
        <v/>
      </c>
      <c r="Q975" s="2" t="str">
        <f t="shared" si="489"/>
        <v/>
      </c>
      <c r="R975" s="2" t="str">
        <f t="shared" si="490"/>
        <v/>
      </c>
      <c r="S975" s="2" t="str">
        <f t="shared" si="491"/>
        <v/>
      </c>
      <c r="T975" s="2" t="str">
        <f t="shared" si="506"/>
        <v/>
      </c>
      <c r="U975" s="2" t="str">
        <f t="shared" si="507"/>
        <v/>
      </c>
      <c r="V975" s="2" t="str">
        <f t="shared" si="508"/>
        <v/>
      </c>
      <c r="W975" s="2" t="str">
        <f t="shared" si="492"/>
        <v/>
      </c>
      <c r="X975" s="2" t="str">
        <f t="shared" si="493"/>
        <v/>
      </c>
      <c r="Y975" s="2" t="str">
        <f t="shared" si="494"/>
        <v/>
      </c>
      <c r="Z975" s="2" t="str">
        <f t="shared" si="509"/>
        <v/>
      </c>
      <c r="AA975" s="2" t="str">
        <f t="shared" si="510"/>
        <v/>
      </c>
      <c r="AB975" s="2" t="str">
        <f t="shared" si="511"/>
        <v/>
      </c>
      <c r="AC975" s="2" t="str">
        <f t="shared" si="495"/>
        <v/>
      </c>
      <c r="AD975" s="2" t="str">
        <f t="shared" si="496"/>
        <v/>
      </c>
      <c r="AE975" s="2" t="str">
        <f t="shared" si="497"/>
        <v/>
      </c>
      <c r="AF975" s="2" t="str">
        <f t="shared" si="498"/>
        <v/>
      </c>
    </row>
    <row r="976" spans="1:32" x14ac:dyDescent="0.2">
      <c r="A976" s="2" t="str">
        <f t="shared" si="499"/>
        <v/>
      </c>
      <c r="B976" s="2" t="str">
        <f t="shared" si="480"/>
        <v/>
      </c>
      <c r="C976" s="2" t="str">
        <f t="shared" si="481"/>
        <v/>
      </c>
      <c r="D976" s="2" t="str">
        <f t="shared" si="482"/>
        <v/>
      </c>
      <c r="E976" s="2" t="str">
        <f t="shared" si="483"/>
        <v/>
      </c>
      <c r="F976" s="2" t="str">
        <f t="shared" si="484"/>
        <v/>
      </c>
      <c r="G976" s="2" t="str">
        <f t="shared" si="485"/>
        <v/>
      </c>
      <c r="H976" s="2" t="str">
        <f t="shared" si="500"/>
        <v/>
      </c>
      <c r="I976" s="2" t="str">
        <f t="shared" si="501"/>
        <v/>
      </c>
      <c r="J976" s="2" t="str">
        <f t="shared" si="502"/>
        <v/>
      </c>
      <c r="K976" s="2" t="str">
        <f t="shared" si="486"/>
        <v/>
      </c>
      <c r="L976" s="2" t="str">
        <f t="shared" si="487"/>
        <v/>
      </c>
      <c r="M976" s="2" t="str">
        <f t="shared" si="488"/>
        <v/>
      </c>
      <c r="N976" s="2" t="str">
        <f t="shared" si="503"/>
        <v/>
      </c>
      <c r="O976" s="2" t="str">
        <f t="shared" si="504"/>
        <v/>
      </c>
      <c r="P976" s="2" t="str">
        <f t="shared" si="505"/>
        <v/>
      </c>
      <c r="Q976" s="2" t="str">
        <f t="shared" si="489"/>
        <v/>
      </c>
      <c r="R976" s="2" t="str">
        <f t="shared" si="490"/>
        <v/>
      </c>
      <c r="S976" s="2" t="str">
        <f t="shared" si="491"/>
        <v/>
      </c>
      <c r="T976" s="2" t="str">
        <f t="shared" si="506"/>
        <v/>
      </c>
      <c r="U976" s="2" t="str">
        <f t="shared" si="507"/>
        <v/>
      </c>
      <c r="V976" s="2" t="str">
        <f t="shared" si="508"/>
        <v/>
      </c>
      <c r="W976" s="2" t="str">
        <f t="shared" si="492"/>
        <v/>
      </c>
      <c r="X976" s="2" t="str">
        <f t="shared" si="493"/>
        <v/>
      </c>
      <c r="Y976" s="2" t="str">
        <f t="shared" si="494"/>
        <v/>
      </c>
      <c r="Z976" s="2" t="str">
        <f t="shared" si="509"/>
        <v/>
      </c>
      <c r="AA976" s="2" t="str">
        <f t="shared" si="510"/>
        <v/>
      </c>
      <c r="AB976" s="2" t="str">
        <f t="shared" si="511"/>
        <v/>
      </c>
      <c r="AC976" s="2" t="str">
        <f t="shared" si="495"/>
        <v/>
      </c>
      <c r="AD976" s="2" t="str">
        <f t="shared" si="496"/>
        <v/>
      </c>
      <c r="AE976" s="2" t="str">
        <f t="shared" si="497"/>
        <v/>
      </c>
      <c r="AF976" s="2" t="str">
        <f t="shared" si="498"/>
        <v/>
      </c>
    </row>
    <row r="977" spans="1:32" x14ac:dyDescent="0.2">
      <c r="A977" s="2" t="str">
        <f t="shared" si="499"/>
        <v/>
      </c>
      <c r="B977" s="2" t="str">
        <f t="shared" si="480"/>
        <v/>
      </c>
      <c r="C977" s="2" t="str">
        <f t="shared" si="481"/>
        <v/>
      </c>
      <c r="D977" s="2" t="str">
        <f t="shared" si="482"/>
        <v/>
      </c>
      <c r="E977" s="2" t="str">
        <f t="shared" si="483"/>
        <v/>
      </c>
      <c r="F977" s="2" t="str">
        <f t="shared" si="484"/>
        <v/>
      </c>
      <c r="G977" s="2" t="str">
        <f t="shared" si="485"/>
        <v/>
      </c>
      <c r="H977" s="2" t="str">
        <f t="shared" si="500"/>
        <v/>
      </c>
      <c r="I977" s="2" t="str">
        <f t="shared" si="501"/>
        <v/>
      </c>
      <c r="J977" s="2" t="str">
        <f t="shared" si="502"/>
        <v/>
      </c>
      <c r="K977" s="2" t="str">
        <f t="shared" si="486"/>
        <v/>
      </c>
      <c r="L977" s="2" t="str">
        <f t="shared" si="487"/>
        <v/>
      </c>
      <c r="M977" s="2" t="str">
        <f t="shared" si="488"/>
        <v/>
      </c>
      <c r="N977" s="2" t="str">
        <f t="shared" si="503"/>
        <v/>
      </c>
      <c r="O977" s="2" t="str">
        <f t="shared" si="504"/>
        <v/>
      </c>
      <c r="P977" s="2" t="str">
        <f t="shared" si="505"/>
        <v/>
      </c>
      <c r="Q977" s="2" t="str">
        <f t="shared" si="489"/>
        <v/>
      </c>
      <c r="R977" s="2" t="str">
        <f t="shared" si="490"/>
        <v/>
      </c>
      <c r="S977" s="2" t="str">
        <f t="shared" si="491"/>
        <v/>
      </c>
      <c r="T977" s="2" t="str">
        <f t="shared" si="506"/>
        <v/>
      </c>
      <c r="U977" s="2" t="str">
        <f t="shared" si="507"/>
        <v/>
      </c>
      <c r="V977" s="2" t="str">
        <f t="shared" si="508"/>
        <v/>
      </c>
      <c r="W977" s="2" t="str">
        <f t="shared" si="492"/>
        <v/>
      </c>
      <c r="X977" s="2" t="str">
        <f t="shared" si="493"/>
        <v/>
      </c>
      <c r="Y977" s="2" t="str">
        <f t="shared" si="494"/>
        <v/>
      </c>
      <c r="Z977" s="2" t="str">
        <f t="shared" si="509"/>
        <v/>
      </c>
      <c r="AA977" s="2" t="str">
        <f t="shared" si="510"/>
        <v/>
      </c>
      <c r="AB977" s="2" t="str">
        <f t="shared" si="511"/>
        <v/>
      </c>
      <c r="AC977" s="2" t="str">
        <f t="shared" si="495"/>
        <v/>
      </c>
      <c r="AD977" s="2" t="str">
        <f t="shared" si="496"/>
        <v/>
      </c>
      <c r="AE977" s="2" t="str">
        <f t="shared" si="497"/>
        <v/>
      </c>
      <c r="AF977" s="2" t="str">
        <f t="shared" si="498"/>
        <v/>
      </c>
    </row>
    <row r="978" spans="1:32" x14ac:dyDescent="0.2">
      <c r="A978" s="2" t="str">
        <f t="shared" si="499"/>
        <v/>
      </c>
      <c r="B978" s="2" t="str">
        <f t="shared" si="480"/>
        <v/>
      </c>
      <c r="C978" s="2" t="str">
        <f t="shared" si="481"/>
        <v/>
      </c>
      <c r="D978" s="2" t="str">
        <f t="shared" si="482"/>
        <v/>
      </c>
      <c r="E978" s="2" t="str">
        <f t="shared" si="483"/>
        <v/>
      </c>
      <c r="F978" s="2" t="str">
        <f t="shared" si="484"/>
        <v/>
      </c>
      <c r="G978" s="2" t="str">
        <f t="shared" si="485"/>
        <v/>
      </c>
      <c r="H978" s="2" t="str">
        <f t="shared" si="500"/>
        <v/>
      </c>
      <c r="I978" s="2" t="str">
        <f t="shared" si="501"/>
        <v/>
      </c>
      <c r="J978" s="2" t="str">
        <f t="shared" si="502"/>
        <v/>
      </c>
      <c r="K978" s="2" t="str">
        <f t="shared" si="486"/>
        <v/>
      </c>
      <c r="L978" s="2" t="str">
        <f t="shared" si="487"/>
        <v/>
      </c>
      <c r="M978" s="2" t="str">
        <f t="shared" si="488"/>
        <v/>
      </c>
      <c r="N978" s="2" t="str">
        <f t="shared" si="503"/>
        <v/>
      </c>
      <c r="O978" s="2" t="str">
        <f t="shared" si="504"/>
        <v/>
      </c>
      <c r="P978" s="2" t="str">
        <f t="shared" si="505"/>
        <v/>
      </c>
      <c r="Q978" s="2" t="str">
        <f t="shared" si="489"/>
        <v/>
      </c>
      <c r="R978" s="2" t="str">
        <f t="shared" si="490"/>
        <v/>
      </c>
      <c r="S978" s="2" t="str">
        <f t="shared" si="491"/>
        <v/>
      </c>
      <c r="T978" s="2" t="str">
        <f t="shared" si="506"/>
        <v/>
      </c>
      <c r="U978" s="2" t="str">
        <f t="shared" si="507"/>
        <v/>
      </c>
      <c r="V978" s="2" t="str">
        <f t="shared" si="508"/>
        <v/>
      </c>
      <c r="W978" s="2" t="str">
        <f t="shared" si="492"/>
        <v/>
      </c>
      <c r="X978" s="2" t="str">
        <f t="shared" si="493"/>
        <v/>
      </c>
      <c r="Y978" s="2" t="str">
        <f t="shared" si="494"/>
        <v/>
      </c>
      <c r="Z978" s="2" t="str">
        <f t="shared" si="509"/>
        <v/>
      </c>
      <c r="AA978" s="2" t="str">
        <f t="shared" si="510"/>
        <v/>
      </c>
      <c r="AB978" s="2" t="str">
        <f t="shared" si="511"/>
        <v/>
      </c>
      <c r="AC978" s="2" t="str">
        <f t="shared" si="495"/>
        <v/>
      </c>
      <c r="AD978" s="2" t="str">
        <f t="shared" si="496"/>
        <v/>
      </c>
      <c r="AE978" s="2" t="str">
        <f t="shared" si="497"/>
        <v/>
      </c>
      <c r="AF978" s="2" t="str">
        <f t="shared" si="498"/>
        <v/>
      </c>
    </row>
    <row r="979" spans="1:32" x14ac:dyDescent="0.2">
      <c r="A979" s="2" t="str">
        <f t="shared" si="499"/>
        <v/>
      </c>
      <c r="B979" s="2" t="str">
        <f t="shared" si="480"/>
        <v/>
      </c>
      <c r="C979" s="2" t="str">
        <f t="shared" si="481"/>
        <v/>
      </c>
      <c r="D979" s="2" t="str">
        <f t="shared" si="482"/>
        <v/>
      </c>
      <c r="E979" s="2" t="str">
        <f t="shared" si="483"/>
        <v/>
      </c>
      <c r="F979" s="2" t="str">
        <f t="shared" si="484"/>
        <v/>
      </c>
      <c r="G979" s="2" t="str">
        <f t="shared" si="485"/>
        <v/>
      </c>
      <c r="H979" s="2" t="str">
        <f t="shared" si="500"/>
        <v/>
      </c>
      <c r="I979" s="2" t="str">
        <f t="shared" si="501"/>
        <v/>
      </c>
      <c r="J979" s="2" t="str">
        <f t="shared" si="502"/>
        <v/>
      </c>
      <c r="K979" s="2" t="str">
        <f t="shared" si="486"/>
        <v/>
      </c>
      <c r="L979" s="2" t="str">
        <f t="shared" si="487"/>
        <v/>
      </c>
      <c r="M979" s="2" t="str">
        <f t="shared" si="488"/>
        <v/>
      </c>
      <c r="N979" s="2" t="str">
        <f t="shared" si="503"/>
        <v/>
      </c>
      <c r="O979" s="2" t="str">
        <f t="shared" si="504"/>
        <v/>
      </c>
      <c r="P979" s="2" t="str">
        <f t="shared" si="505"/>
        <v/>
      </c>
      <c r="Q979" s="2" t="str">
        <f t="shared" si="489"/>
        <v/>
      </c>
      <c r="R979" s="2" t="str">
        <f t="shared" si="490"/>
        <v/>
      </c>
      <c r="S979" s="2" t="str">
        <f t="shared" si="491"/>
        <v/>
      </c>
      <c r="T979" s="2" t="str">
        <f t="shared" si="506"/>
        <v/>
      </c>
      <c r="U979" s="2" t="str">
        <f t="shared" si="507"/>
        <v/>
      </c>
      <c r="V979" s="2" t="str">
        <f t="shared" si="508"/>
        <v/>
      </c>
      <c r="W979" s="2" t="str">
        <f t="shared" si="492"/>
        <v/>
      </c>
      <c r="X979" s="2" t="str">
        <f t="shared" si="493"/>
        <v/>
      </c>
      <c r="Y979" s="2" t="str">
        <f t="shared" si="494"/>
        <v/>
      </c>
      <c r="Z979" s="2" t="str">
        <f t="shared" si="509"/>
        <v/>
      </c>
      <c r="AA979" s="2" t="str">
        <f t="shared" si="510"/>
        <v/>
      </c>
      <c r="AB979" s="2" t="str">
        <f t="shared" si="511"/>
        <v/>
      </c>
      <c r="AC979" s="2" t="str">
        <f t="shared" si="495"/>
        <v/>
      </c>
      <c r="AD979" s="2" t="str">
        <f t="shared" si="496"/>
        <v/>
      </c>
      <c r="AE979" s="2" t="str">
        <f t="shared" si="497"/>
        <v/>
      </c>
      <c r="AF979" s="2" t="str">
        <f t="shared" si="498"/>
        <v/>
      </c>
    </row>
    <row r="980" spans="1:32" x14ac:dyDescent="0.2">
      <c r="A980" s="2" t="str">
        <f t="shared" si="499"/>
        <v/>
      </c>
      <c r="B980" s="2" t="str">
        <f t="shared" si="480"/>
        <v/>
      </c>
      <c r="C980" s="2" t="str">
        <f t="shared" si="481"/>
        <v/>
      </c>
      <c r="D980" s="2" t="str">
        <f t="shared" si="482"/>
        <v/>
      </c>
      <c r="E980" s="2" t="str">
        <f t="shared" si="483"/>
        <v/>
      </c>
      <c r="F980" s="2" t="str">
        <f t="shared" si="484"/>
        <v/>
      </c>
      <c r="G980" s="2" t="str">
        <f t="shared" si="485"/>
        <v/>
      </c>
      <c r="H980" s="2" t="str">
        <f t="shared" si="500"/>
        <v/>
      </c>
      <c r="I980" s="2" t="str">
        <f t="shared" si="501"/>
        <v/>
      </c>
      <c r="J980" s="2" t="str">
        <f t="shared" si="502"/>
        <v/>
      </c>
      <c r="K980" s="2" t="str">
        <f t="shared" si="486"/>
        <v/>
      </c>
      <c r="L980" s="2" t="str">
        <f t="shared" si="487"/>
        <v/>
      </c>
      <c r="M980" s="2" t="str">
        <f t="shared" si="488"/>
        <v/>
      </c>
      <c r="N980" s="2" t="str">
        <f t="shared" si="503"/>
        <v/>
      </c>
      <c r="O980" s="2" t="str">
        <f t="shared" si="504"/>
        <v/>
      </c>
      <c r="P980" s="2" t="str">
        <f t="shared" si="505"/>
        <v/>
      </c>
      <c r="Q980" s="2" t="str">
        <f t="shared" si="489"/>
        <v/>
      </c>
      <c r="R980" s="2" t="str">
        <f t="shared" si="490"/>
        <v/>
      </c>
      <c r="S980" s="2" t="str">
        <f t="shared" si="491"/>
        <v/>
      </c>
      <c r="T980" s="2" t="str">
        <f t="shared" si="506"/>
        <v/>
      </c>
      <c r="U980" s="2" t="str">
        <f t="shared" si="507"/>
        <v/>
      </c>
      <c r="V980" s="2" t="str">
        <f t="shared" si="508"/>
        <v/>
      </c>
      <c r="W980" s="2" t="str">
        <f t="shared" si="492"/>
        <v/>
      </c>
      <c r="X980" s="2" t="str">
        <f t="shared" si="493"/>
        <v/>
      </c>
      <c r="Y980" s="2" t="str">
        <f t="shared" si="494"/>
        <v/>
      </c>
      <c r="Z980" s="2" t="str">
        <f t="shared" si="509"/>
        <v/>
      </c>
      <c r="AA980" s="2" t="str">
        <f t="shared" si="510"/>
        <v/>
      </c>
      <c r="AB980" s="2" t="str">
        <f t="shared" si="511"/>
        <v/>
      </c>
      <c r="AC980" s="2" t="str">
        <f t="shared" si="495"/>
        <v/>
      </c>
      <c r="AD980" s="2" t="str">
        <f t="shared" si="496"/>
        <v/>
      </c>
      <c r="AE980" s="2" t="str">
        <f t="shared" si="497"/>
        <v/>
      </c>
      <c r="AF980" s="2" t="str">
        <f t="shared" si="498"/>
        <v/>
      </c>
    </row>
    <row r="981" spans="1:32" x14ac:dyDescent="0.2">
      <c r="A981" s="2" t="str">
        <f t="shared" si="499"/>
        <v/>
      </c>
      <c r="B981" s="2" t="str">
        <f t="shared" si="480"/>
        <v/>
      </c>
      <c r="C981" s="2" t="str">
        <f t="shared" si="481"/>
        <v/>
      </c>
      <c r="D981" s="2" t="str">
        <f t="shared" si="482"/>
        <v/>
      </c>
      <c r="E981" s="2" t="str">
        <f t="shared" si="483"/>
        <v/>
      </c>
      <c r="F981" s="2" t="str">
        <f t="shared" si="484"/>
        <v/>
      </c>
      <c r="G981" s="2" t="str">
        <f t="shared" si="485"/>
        <v/>
      </c>
      <c r="H981" s="2" t="str">
        <f t="shared" si="500"/>
        <v/>
      </c>
      <c r="I981" s="2" t="str">
        <f t="shared" si="501"/>
        <v/>
      </c>
      <c r="J981" s="2" t="str">
        <f t="shared" si="502"/>
        <v/>
      </c>
      <c r="K981" s="2" t="str">
        <f t="shared" si="486"/>
        <v/>
      </c>
      <c r="L981" s="2" t="str">
        <f t="shared" si="487"/>
        <v/>
      </c>
      <c r="M981" s="2" t="str">
        <f t="shared" si="488"/>
        <v/>
      </c>
      <c r="N981" s="2" t="str">
        <f t="shared" si="503"/>
        <v/>
      </c>
      <c r="O981" s="2" t="str">
        <f t="shared" si="504"/>
        <v/>
      </c>
      <c r="P981" s="2" t="str">
        <f t="shared" si="505"/>
        <v/>
      </c>
      <c r="Q981" s="2" t="str">
        <f t="shared" si="489"/>
        <v/>
      </c>
      <c r="R981" s="2" t="str">
        <f t="shared" si="490"/>
        <v/>
      </c>
      <c r="S981" s="2" t="str">
        <f t="shared" si="491"/>
        <v/>
      </c>
      <c r="T981" s="2" t="str">
        <f t="shared" si="506"/>
        <v/>
      </c>
      <c r="U981" s="2" t="str">
        <f t="shared" si="507"/>
        <v/>
      </c>
      <c r="V981" s="2" t="str">
        <f t="shared" si="508"/>
        <v/>
      </c>
      <c r="W981" s="2" t="str">
        <f t="shared" si="492"/>
        <v/>
      </c>
      <c r="X981" s="2" t="str">
        <f t="shared" si="493"/>
        <v/>
      </c>
      <c r="Y981" s="2" t="str">
        <f t="shared" si="494"/>
        <v/>
      </c>
      <c r="Z981" s="2" t="str">
        <f t="shared" si="509"/>
        <v/>
      </c>
      <c r="AA981" s="2" t="str">
        <f t="shared" si="510"/>
        <v/>
      </c>
      <c r="AB981" s="2" t="str">
        <f t="shared" si="511"/>
        <v/>
      </c>
      <c r="AC981" s="2" t="str">
        <f t="shared" si="495"/>
        <v/>
      </c>
      <c r="AD981" s="2" t="str">
        <f t="shared" si="496"/>
        <v/>
      </c>
      <c r="AE981" s="2" t="str">
        <f t="shared" si="497"/>
        <v/>
      </c>
      <c r="AF981" s="2" t="str">
        <f t="shared" si="498"/>
        <v/>
      </c>
    </row>
    <row r="982" spans="1:32" x14ac:dyDescent="0.2">
      <c r="A982" s="2" t="str">
        <f t="shared" si="499"/>
        <v/>
      </c>
      <c r="B982" s="2" t="str">
        <f t="shared" si="480"/>
        <v/>
      </c>
      <c r="C982" s="2" t="str">
        <f t="shared" si="481"/>
        <v/>
      </c>
      <c r="D982" s="2" t="str">
        <f t="shared" si="482"/>
        <v/>
      </c>
      <c r="E982" s="2" t="str">
        <f t="shared" si="483"/>
        <v/>
      </c>
      <c r="F982" s="2" t="str">
        <f t="shared" si="484"/>
        <v/>
      </c>
      <c r="G982" s="2" t="str">
        <f t="shared" si="485"/>
        <v/>
      </c>
      <c r="H982" s="2" t="str">
        <f t="shared" si="500"/>
        <v/>
      </c>
      <c r="I982" s="2" t="str">
        <f t="shared" si="501"/>
        <v/>
      </c>
      <c r="J982" s="2" t="str">
        <f t="shared" si="502"/>
        <v/>
      </c>
      <c r="K982" s="2" t="str">
        <f t="shared" si="486"/>
        <v/>
      </c>
      <c r="L982" s="2" t="str">
        <f t="shared" si="487"/>
        <v/>
      </c>
      <c r="M982" s="2" t="str">
        <f t="shared" si="488"/>
        <v/>
      </c>
      <c r="N982" s="2" t="str">
        <f t="shared" si="503"/>
        <v/>
      </c>
      <c r="O982" s="2" t="str">
        <f t="shared" si="504"/>
        <v/>
      </c>
      <c r="P982" s="2" t="str">
        <f t="shared" si="505"/>
        <v/>
      </c>
      <c r="Q982" s="2" t="str">
        <f t="shared" si="489"/>
        <v/>
      </c>
      <c r="R982" s="2" t="str">
        <f t="shared" si="490"/>
        <v/>
      </c>
      <c r="S982" s="2" t="str">
        <f t="shared" si="491"/>
        <v/>
      </c>
      <c r="T982" s="2" t="str">
        <f t="shared" si="506"/>
        <v/>
      </c>
      <c r="U982" s="2" t="str">
        <f t="shared" si="507"/>
        <v/>
      </c>
      <c r="V982" s="2" t="str">
        <f t="shared" si="508"/>
        <v/>
      </c>
      <c r="W982" s="2" t="str">
        <f t="shared" si="492"/>
        <v/>
      </c>
      <c r="X982" s="2" t="str">
        <f t="shared" si="493"/>
        <v/>
      </c>
      <c r="Y982" s="2" t="str">
        <f t="shared" si="494"/>
        <v/>
      </c>
      <c r="Z982" s="2" t="str">
        <f t="shared" si="509"/>
        <v/>
      </c>
      <c r="AA982" s="2" t="str">
        <f t="shared" si="510"/>
        <v/>
      </c>
      <c r="AB982" s="2" t="str">
        <f t="shared" si="511"/>
        <v/>
      </c>
      <c r="AC982" s="2" t="str">
        <f t="shared" si="495"/>
        <v/>
      </c>
      <c r="AD982" s="2" t="str">
        <f t="shared" si="496"/>
        <v/>
      </c>
      <c r="AE982" s="2" t="str">
        <f t="shared" si="497"/>
        <v/>
      </c>
      <c r="AF982" s="2" t="str">
        <f t="shared" si="498"/>
        <v/>
      </c>
    </row>
    <row r="983" spans="1:32" x14ac:dyDescent="0.2">
      <c r="A983" s="2" t="str">
        <f t="shared" si="499"/>
        <v/>
      </c>
      <c r="B983" s="2" t="str">
        <f t="shared" si="480"/>
        <v/>
      </c>
      <c r="C983" s="2" t="str">
        <f t="shared" si="481"/>
        <v/>
      </c>
      <c r="D983" s="2" t="str">
        <f t="shared" si="482"/>
        <v/>
      </c>
      <c r="E983" s="2" t="str">
        <f t="shared" si="483"/>
        <v/>
      </c>
      <c r="F983" s="2" t="str">
        <f t="shared" si="484"/>
        <v/>
      </c>
      <c r="G983" s="2" t="str">
        <f t="shared" si="485"/>
        <v/>
      </c>
      <c r="H983" s="2" t="str">
        <f t="shared" si="500"/>
        <v/>
      </c>
      <c r="I983" s="2" t="str">
        <f t="shared" si="501"/>
        <v/>
      </c>
      <c r="J983" s="2" t="str">
        <f t="shared" si="502"/>
        <v/>
      </c>
      <c r="K983" s="2" t="str">
        <f t="shared" si="486"/>
        <v/>
      </c>
      <c r="L983" s="2" t="str">
        <f t="shared" si="487"/>
        <v/>
      </c>
      <c r="M983" s="2" t="str">
        <f t="shared" si="488"/>
        <v/>
      </c>
      <c r="N983" s="2" t="str">
        <f t="shared" si="503"/>
        <v/>
      </c>
      <c r="O983" s="2" t="str">
        <f t="shared" si="504"/>
        <v/>
      </c>
      <c r="P983" s="2" t="str">
        <f t="shared" si="505"/>
        <v/>
      </c>
      <c r="Q983" s="2" t="str">
        <f t="shared" si="489"/>
        <v/>
      </c>
      <c r="R983" s="2" t="str">
        <f t="shared" si="490"/>
        <v/>
      </c>
      <c r="S983" s="2" t="str">
        <f t="shared" si="491"/>
        <v/>
      </c>
      <c r="T983" s="2" t="str">
        <f t="shared" si="506"/>
        <v/>
      </c>
      <c r="U983" s="2" t="str">
        <f t="shared" si="507"/>
        <v/>
      </c>
      <c r="V983" s="2" t="str">
        <f t="shared" si="508"/>
        <v/>
      </c>
      <c r="W983" s="2" t="str">
        <f t="shared" si="492"/>
        <v/>
      </c>
      <c r="X983" s="2" t="str">
        <f t="shared" si="493"/>
        <v/>
      </c>
      <c r="Y983" s="2" t="str">
        <f t="shared" si="494"/>
        <v/>
      </c>
      <c r="Z983" s="2" t="str">
        <f t="shared" si="509"/>
        <v/>
      </c>
      <c r="AA983" s="2" t="str">
        <f t="shared" si="510"/>
        <v/>
      </c>
      <c r="AB983" s="2" t="str">
        <f t="shared" si="511"/>
        <v/>
      </c>
      <c r="AC983" s="2" t="str">
        <f t="shared" si="495"/>
        <v/>
      </c>
      <c r="AD983" s="2" t="str">
        <f t="shared" si="496"/>
        <v/>
      </c>
      <c r="AE983" s="2" t="str">
        <f t="shared" si="497"/>
        <v/>
      </c>
      <c r="AF983" s="2" t="str">
        <f t="shared" si="498"/>
        <v/>
      </c>
    </row>
    <row r="984" spans="1:32" x14ac:dyDescent="0.2">
      <c r="A984" s="2" t="str">
        <f t="shared" si="499"/>
        <v/>
      </c>
      <c r="B984" s="2" t="str">
        <f t="shared" si="480"/>
        <v/>
      </c>
      <c r="C984" s="2" t="str">
        <f t="shared" si="481"/>
        <v/>
      </c>
      <c r="D984" s="2" t="str">
        <f t="shared" si="482"/>
        <v/>
      </c>
      <c r="E984" s="2" t="str">
        <f t="shared" si="483"/>
        <v/>
      </c>
      <c r="F984" s="2" t="str">
        <f t="shared" si="484"/>
        <v/>
      </c>
      <c r="G984" s="2" t="str">
        <f t="shared" si="485"/>
        <v/>
      </c>
      <c r="H984" s="2" t="str">
        <f t="shared" si="500"/>
        <v/>
      </c>
      <c r="I984" s="2" t="str">
        <f t="shared" si="501"/>
        <v/>
      </c>
      <c r="J984" s="2" t="str">
        <f t="shared" si="502"/>
        <v/>
      </c>
      <c r="K984" s="2" t="str">
        <f t="shared" si="486"/>
        <v/>
      </c>
      <c r="L984" s="2" t="str">
        <f t="shared" si="487"/>
        <v/>
      </c>
      <c r="M984" s="2" t="str">
        <f t="shared" si="488"/>
        <v/>
      </c>
      <c r="N984" s="2" t="str">
        <f t="shared" si="503"/>
        <v/>
      </c>
      <c r="O984" s="2" t="str">
        <f t="shared" si="504"/>
        <v/>
      </c>
      <c r="P984" s="2" t="str">
        <f t="shared" si="505"/>
        <v/>
      </c>
      <c r="Q984" s="2" t="str">
        <f t="shared" si="489"/>
        <v/>
      </c>
      <c r="R984" s="2" t="str">
        <f t="shared" si="490"/>
        <v/>
      </c>
      <c r="S984" s="2" t="str">
        <f t="shared" si="491"/>
        <v/>
      </c>
      <c r="T984" s="2" t="str">
        <f t="shared" si="506"/>
        <v/>
      </c>
      <c r="U984" s="2" t="str">
        <f t="shared" si="507"/>
        <v/>
      </c>
      <c r="V984" s="2" t="str">
        <f t="shared" si="508"/>
        <v/>
      </c>
      <c r="W984" s="2" t="str">
        <f t="shared" si="492"/>
        <v/>
      </c>
      <c r="X984" s="2" t="str">
        <f t="shared" si="493"/>
        <v/>
      </c>
      <c r="Y984" s="2" t="str">
        <f t="shared" si="494"/>
        <v/>
      </c>
      <c r="Z984" s="2" t="str">
        <f t="shared" si="509"/>
        <v/>
      </c>
      <c r="AA984" s="2" t="str">
        <f t="shared" si="510"/>
        <v/>
      </c>
      <c r="AB984" s="2" t="str">
        <f t="shared" si="511"/>
        <v/>
      </c>
      <c r="AC984" s="2" t="str">
        <f t="shared" si="495"/>
        <v/>
      </c>
      <c r="AD984" s="2" t="str">
        <f t="shared" si="496"/>
        <v/>
      </c>
      <c r="AE984" s="2" t="str">
        <f t="shared" si="497"/>
        <v/>
      </c>
      <c r="AF984" s="2" t="str">
        <f t="shared" si="498"/>
        <v/>
      </c>
    </row>
    <row r="985" spans="1:32" x14ac:dyDescent="0.2">
      <c r="A985" s="2" t="str">
        <f t="shared" si="499"/>
        <v/>
      </c>
      <c r="B985" s="2" t="str">
        <f t="shared" si="480"/>
        <v/>
      </c>
      <c r="C985" s="2" t="str">
        <f t="shared" si="481"/>
        <v/>
      </c>
      <c r="D985" s="2" t="str">
        <f t="shared" si="482"/>
        <v/>
      </c>
      <c r="E985" s="2" t="str">
        <f t="shared" si="483"/>
        <v/>
      </c>
      <c r="F985" s="2" t="str">
        <f t="shared" si="484"/>
        <v/>
      </c>
      <c r="G985" s="2" t="str">
        <f t="shared" si="485"/>
        <v/>
      </c>
      <c r="H985" s="2" t="str">
        <f t="shared" si="500"/>
        <v/>
      </c>
      <c r="I985" s="2" t="str">
        <f t="shared" si="501"/>
        <v/>
      </c>
      <c r="J985" s="2" t="str">
        <f t="shared" si="502"/>
        <v/>
      </c>
      <c r="K985" s="2" t="str">
        <f t="shared" si="486"/>
        <v/>
      </c>
      <c r="L985" s="2" t="str">
        <f t="shared" si="487"/>
        <v/>
      </c>
      <c r="M985" s="2" t="str">
        <f t="shared" si="488"/>
        <v/>
      </c>
      <c r="N985" s="2" t="str">
        <f t="shared" si="503"/>
        <v/>
      </c>
      <c r="O985" s="2" t="str">
        <f t="shared" si="504"/>
        <v/>
      </c>
      <c r="P985" s="2" t="str">
        <f t="shared" si="505"/>
        <v/>
      </c>
      <c r="Q985" s="2" t="str">
        <f t="shared" si="489"/>
        <v/>
      </c>
      <c r="R985" s="2" t="str">
        <f t="shared" si="490"/>
        <v/>
      </c>
      <c r="S985" s="2" t="str">
        <f t="shared" si="491"/>
        <v/>
      </c>
      <c r="T985" s="2" t="str">
        <f t="shared" si="506"/>
        <v/>
      </c>
      <c r="U985" s="2" t="str">
        <f t="shared" si="507"/>
        <v/>
      </c>
      <c r="V985" s="2" t="str">
        <f t="shared" si="508"/>
        <v/>
      </c>
      <c r="W985" s="2" t="str">
        <f t="shared" si="492"/>
        <v/>
      </c>
      <c r="X985" s="2" t="str">
        <f t="shared" si="493"/>
        <v/>
      </c>
      <c r="Y985" s="2" t="str">
        <f t="shared" si="494"/>
        <v/>
      </c>
      <c r="Z985" s="2" t="str">
        <f t="shared" si="509"/>
        <v/>
      </c>
      <c r="AA985" s="2" t="str">
        <f t="shared" si="510"/>
        <v/>
      </c>
      <c r="AB985" s="2" t="str">
        <f t="shared" si="511"/>
        <v/>
      </c>
      <c r="AC985" s="2" t="str">
        <f t="shared" si="495"/>
        <v/>
      </c>
      <c r="AD985" s="2" t="str">
        <f t="shared" si="496"/>
        <v/>
      </c>
      <c r="AE985" s="2" t="str">
        <f t="shared" si="497"/>
        <v/>
      </c>
      <c r="AF985" s="2" t="str">
        <f t="shared" si="498"/>
        <v/>
      </c>
    </row>
    <row r="986" spans="1:32" x14ac:dyDescent="0.2">
      <c r="A986" s="2" t="str">
        <f t="shared" si="499"/>
        <v/>
      </c>
      <c r="B986" s="2" t="str">
        <f t="shared" si="480"/>
        <v/>
      </c>
      <c r="C986" s="2" t="str">
        <f t="shared" si="481"/>
        <v/>
      </c>
      <c r="D986" s="2" t="str">
        <f t="shared" si="482"/>
        <v/>
      </c>
      <c r="E986" s="2" t="str">
        <f t="shared" si="483"/>
        <v/>
      </c>
      <c r="F986" s="2" t="str">
        <f t="shared" si="484"/>
        <v/>
      </c>
      <c r="G986" s="2" t="str">
        <f t="shared" si="485"/>
        <v/>
      </c>
      <c r="H986" s="2" t="str">
        <f t="shared" si="500"/>
        <v/>
      </c>
      <c r="I986" s="2" t="str">
        <f t="shared" si="501"/>
        <v/>
      </c>
      <c r="J986" s="2" t="str">
        <f t="shared" si="502"/>
        <v/>
      </c>
      <c r="K986" s="2" t="str">
        <f t="shared" si="486"/>
        <v/>
      </c>
      <c r="L986" s="2" t="str">
        <f t="shared" si="487"/>
        <v/>
      </c>
      <c r="M986" s="2" t="str">
        <f t="shared" si="488"/>
        <v/>
      </c>
      <c r="N986" s="2" t="str">
        <f t="shared" si="503"/>
        <v/>
      </c>
      <c r="O986" s="2" t="str">
        <f t="shared" si="504"/>
        <v/>
      </c>
      <c r="P986" s="2" t="str">
        <f t="shared" si="505"/>
        <v/>
      </c>
      <c r="Q986" s="2" t="str">
        <f t="shared" si="489"/>
        <v/>
      </c>
      <c r="R986" s="2" t="str">
        <f t="shared" si="490"/>
        <v/>
      </c>
      <c r="S986" s="2" t="str">
        <f t="shared" si="491"/>
        <v/>
      </c>
      <c r="T986" s="2" t="str">
        <f t="shared" si="506"/>
        <v/>
      </c>
      <c r="U986" s="2" t="str">
        <f t="shared" si="507"/>
        <v/>
      </c>
      <c r="V986" s="2" t="str">
        <f t="shared" si="508"/>
        <v/>
      </c>
      <c r="W986" s="2" t="str">
        <f t="shared" si="492"/>
        <v/>
      </c>
      <c r="X986" s="2" t="str">
        <f t="shared" si="493"/>
        <v/>
      </c>
      <c r="Y986" s="2" t="str">
        <f t="shared" si="494"/>
        <v/>
      </c>
      <c r="Z986" s="2" t="str">
        <f t="shared" si="509"/>
        <v/>
      </c>
      <c r="AA986" s="2" t="str">
        <f t="shared" si="510"/>
        <v/>
      </c>
      <c r="AB986" s="2" t="str">
        <f t="shared" si="511"/>
        <v/>
      </c>
      <c r="AC986" s="2" t="str">
        <f t="shared" si="495"/>
        <v/>
      </c>
      <c r="AD986" s="2" t="str">
        <f t="shared" si="496"/>
        <v/>
      </c>
      <c r="AE986" s="2" t="str">
        <f t="shared" si="497"/>
        <v/>
      </c>
      <c r="AF986" s="2" t="str">
        <f t="shared" si="498"/>
        <v/>
      </c>
    </row>
    <row r="987" spans="1:32" x14ac:dyDescent="0.2">
      <c r="A987" s="2" t="str">
        <f t="shared" si="499"/>
        <v/>
      </c>
      <c r="B987" s="2" t="str">
        <f t="shared" si="480"/>
        <v/>
      </c>
      <c r="C987" s="2" t="str">
        <f t="shared" si="481"/>
        <v/>
      </c>
      <c r="D987" s="2" t="str">
        <f t="shared" si="482"/>
        <v/>
      </c>
      <c r="E987" s="2" t="str">
        <f t="shared" si="483"/>
        <v/>
      </c>
      <c r="F987" s="2" t="str">
        <f t="shared" si="484"/>
        <v/>
      </c>
      <c r="G987" s="2" t="str">
        <f t="shared" si="485"/>
        <v/>
      </c>
      <c r="H987" s="2" t="str">
        <f t="shared" si="500"/>
        <v/>
      </c>
      <c r="I987" s="2" t="str">
        <f t="shared" si="501"/>
        <v/>
      </c>
      <c r="J987" s="2" t="str">
        <f t="shared" si="502"/>
        <v/>
      </c>
      <c r="K987" s="2" t="str">
        <f t="shared" si="486"/>
        <v/>
      </c>
      <c r="L987" s="2" t="str">
        <f t="shared" si="487"/>
        <v/>
      </c>
      <c r="M987" s="2" t="str">
        <f t="shared" si="488"/>
        <v/>
      </c>
      <c r="N987" s="2" t="str">
        <f t="shared" si="503"/>
        <v/>
      </c>
      <c r="O987" s="2" t="str">
        <f t="shared" si="504"/>
        <v/>
      </c>
      <c r="P987" s="2" t="str">
        <f t="shared" si="505"/>
        <v/>
      </c>
      <c r="Q987" s="2" t="str">
        <f t="shared" si="489"/>
        <v/>
      </c>
      <c r="R987" s="2" t="str">
        <f t="shared" si="490"/>
        <v/>
      </c>
      <c r="S987" s="2" t="str">
        <f t="shared" si="491"/>
        <v/>
      </c>
      <c r="T987" s="2" t="str">
        <f t="shared" si="506"/>
        <v/>
      </c>
      <c r="U987" s="2" t="str">
        <f t="shared" si="507"/>
        <v/>
      </c>
      <c r="V987" s="2" t="str">
        <f t="shared" si="508"/>
        <v/>
      </c>
      <c r="W987" s="2" t="str">
        <f t="shared" si="492"/>
        <v/>
      </c>
      <c r="X987" s="2" t="str">
        <f t="shared" si="493"/>
        <v/>
      </c>
      <c r="Y987" s="2" t="str">
        <f t="shared" si="494"/>
        <v/>
      </c>
      <c r="Z987" s="2" t="str">
        <f t="shared" si="509"/>
        <v/>
      </c>
      <c r="AA987" s="2" t="str">
        <f t="shared" si="510"/>
        <v/>
      </c>
      <c r="AB987" s="2" t="str">
        <f t="shared" si="511"/>
        <v/>
      </c>
      <c r="AC987" s="2" t="str">
        <f t="shared" si="495"/>
        <v/>
      </c>
      <c r="AD987" s="2" t="str">
        <f t="shared" si="496"/>
        <v/>
      </c>
      <c r="AE987" s="2" t="str">
        <f t="shared" si="497"/>
        <v/>
      </c>
      <c r="AF987" s="2" t="str">
        <f t="shared" si="498"/>
        <v/>
      </c>
    </row>
    <row r="988" spans="1:32" x14ac:dyDescent="0.2">
      <c r="A988" s="2" t="str">
        <f t="shared" si="499"/>
        <v/>
      </c>
      <c r="B988" s="2" t="str">
        <f t="shared" si="480"/>
        <v/>
      </c>
      <c r="C988" s="2" t="str">
        <f t="shared" si="481"/>
        <v/>
      </c>
      <c r="D988" s="2" t="str">
        <f t="shared" si="482"/>
        <v/>
      </c>
      <c r="E988" s="2" t="str">
        <f t="shared" si="483"/>
        <v/>
      </c>
      <c r="F988" s="2" t="str">
        <f t="shared" si="484"/>
        <v/>
      </c>
      <c r="G988" s="2" t="str">
        <f t="shared" si="485"/>
        <v/>
      </c>
      <c r="H988" s="2" t="str">
        <f t="shared" si="500"/>
        <v/>
      </c>
      <c r="I988" s="2" t="str">
        <f t="shared" si="501"/>
        <v/>
      </c>
      <c r="J988" s="2" t="str">
        <f t="shared" si="502"/>
        <v/>
      </c>
      <c r="K988" s="2" t="str">
        <f t="shared" si="486"/>
        <v/>
      </c>
      <c r="L988" s="2" t="str">
        <f t="shared" si="487"/>
        <v/>
      </c>
      <c r="M988" s="2" t="str">
        <f t="shared" si="488"/>
        <v/>
      </c>
      <c r="N988" s="2" t="str">
        <f t="shared" si="503"/>
        <v/>
      </c>
      <c r="O988" s="2" t="str">
        <f t="shared" si="504"/>
        <v/>
      </c>
      <c r="P988" s="2" t="str">
        <f t="shared" si="505"/>
        <v/>
      </c>
      <c r="Q988" s="2" t="str">
        <f t="shared" si="489"/>
        <v/>
      </c>
      <c r="R988" s="2" t="str">
        <f t="shared" si="490"/>
        <v/>
      </c>
      <c r="S988" s="2" t="str">
        <f t="shared" si="491"/>
        <v/>
      </c>
      <c r="T988" s="2" t="str">
        <f t="shared" si="506"/>
        <v/>
      </c>
      <c r="U988" s="2" t="str">
        <f t="shared" si="507"/>
        <v/>
      </c>
      <c r="V988" s="2" t="str">
        <f t="shared" si="508"/>
        <v/>
      </c>
      <c r="W988" s="2" t="str">
        <f t="shared" si="492"/>
        <v/>
      </c>
      <c r="X988" s="2" t="str">
        <f t="shared" si="493"/>
        <v/>
      </c>
      <c r="Y988" s="2" t="str">
        <f t="shared" si="494"/>
        <v/>
      </c>
      <c r="Z988" s="2" t="str">
        <f t="shared" si="509"/>
        <v/>
      </c>
      <c r="AA988" s="2" t="str">
        <f t="shared" si="510"/>
        <v/>
      </c>
      <c r="AB988" s="2" t="str">
        <f t="shared" si="511"/>
        <v/>
      </c>
      <c r="AC988" s="2" t="str">
        <f t="shared" si="495"/>
        <v/>
      </c>
      <c r="AD988" s="2" t="str">
        <f t="shared" si="496"/>
        <v/>
      </c>
      <c r="AE988" s="2" t="str">
        <f t="shared" si="497"/>
        <v/>
      </c>
      <c r="AF988" s="2" t="str">
        <f t="shared" si="498"/>
        <v/>
      </c>
    </row>
    <row r="989" spans="1:32" x14ac:dyDescent="0.2">
      <c r="A989" s="2" t="str">
        <f t="shared" si="499"/>
        <v/>
      </c>
      <c r="B989" s="2" t="str">
        <f t="shared" si="480"/>
        <v/>
      </c>
      <c r="C989" s="2" t="str">
        <f t="shared" si="481"/>
        <v/>
      </c>
      <c r="D989" s="2" t="str">
        <f t="shared" si="482"/>
        <v/>
      </c>
      <c r="E989" s="2" t="str">
        <f t="shared" si="483"/>
        <v/>
      </c>
      <c r="F989" s="2" t="str">
        <f t="shared" si="484"/>
        <v/>
      </c>
      <c r="G989" s="2" t="str">
        <f t="shared" si="485"/>
        <v/>
      </c>
      <c r="H989" s="2" t="str">
        <f t="shared" si="500"/>
        <v/>
      </c>
      <c r="I989" s="2" t="str">
        <f t="shared" si="501"/>
        <v/>
      </c>
      <c r="J989" s="2" t="str">
        <f t="shared" si="502"/>
        <v/>
      </c>
      <c r="K989" s="2" t="str">
        <f t="shared" si="486"/>
        <v/>
      </c>
      <c r="L989" s="2" t="str">
        <f t="shared" si="487"/>
        <v/>
      </c>
      <c r="M989" s="2" t="str">
        <f t="shared" si="488"/>
        <v/>
      </c>
      <c r="N989" s="2" t="str">
        <f t="shared" si="503"/>
        <v/>
      </c>
      <c r="O989" s="2" t="str">
        <f t="shared" si="504"/>
        <v/>
      </c>
      <c r="P989" s="2" t="str">
        <f t="shared" si="505"/>
        <v/>
      </c>
      <c r="Q989" s="2" t="str">
        <f t="shared" si="489"/>
        <v/>
      </c>
      <c r="R989" s="2" t="str">
        <f t="shared" si="490"/>
        <v/>
      </c>
      <c r="S989" s="2" t="str">
        <f t="shared" si="491"/>
        <v/>
      </c>
      <c r="T989" s="2" t="str">
        <f t="shared" si="506"/>
        <v/>
      </c>
      <c r="U989" s="2" t="str">
        <f t="shared" si="507"/>
        <v/>
      </c>
      <c r="V989" s="2" t="str">
        <f t="shared" si="508"/>
        <v/>
      </c>
      <c r="W989" s="2" t="str">
        <f t="shared" si="492"/>
        <v/>
      </c>
      <c r="X989" s="2" t="str">
        <f t="shared" si="493"/>
        <v/>
      </c>
      <c r="Y989" s="2" t="str">
        <f t="shared" si="494"/>
        <v/>
      </c>
      <c r="Z989" s="2" t="str">
        <f t="shared" si="509"/>
        <v/>
      </c>
      <c r="AA989" s="2" t="str">
        <f t="shared" si="510"/>
        <v/>
      </c>
      <c r="AB989" s="2" t="str">
        <f t="shared" si="511"/>
        <v/>
      </c>
      <c r="AC989" s="2" t="str">
        <f t="shared" si="495"/>
        <v/>
      </c>
      <c r="AD989" s="2" t="str">
        <f t="shared" si="496"/>
        <v/>
      </c>
      <c r="AE989" s="2" t="str">
        <f t="shared" si="497"/>
        <v/>
      </c>
      <c r="AF989" s="2" t="str">
        <f t="shared" si="498"/>
        <v/>
      </c>
    </row>
    <row r="990" spans="1:32" x14ac:dyDescent="0.2">
      <c r="A990" s="2" t="str">
        <f t="shared" si="499"/>
        <v/>
      </c>
      <c r="B990" s="2" t="str">
        <f t="shared" si="480"/>
        <v/>
      </c>
      <c r="C990" s="2" t="str">
        <f t="shared" si="481"/>
        <v/>
      </c>
      <c r="D990" s="2" t="str">
        <f t="shared" si="482"/>
        <v/>
      </c>
      <c r="E990" s="2" t="str">
        <f t="shared" si="483"/>
        <v/>
      </c>
      <c r="F990" s="2" t="str">
        <f t="shared" si="484"/>
        <v/>
      </c>
      <c r="G990" s="2" t="str">
        <f t="shared" si="485"/>
        <v/>
      </c>
      <c r="H990" s="2" t="str">
        <f t="shared" si="500"/>
        <v/>
      </c>
      <c r="I990" s="2" t="str">
        <f t="shared" si="501"/>
        <v/>
      </c>
      <c r="J990" s="2" t="str">
        <f t="shared" si="502"/>
        <v/>
      </c>
      <c r="K990" s="2" t="str">
        <f t="shared" si="486"/>
        <v/>
      </c>
      <c r="L990" s="2" t="str">
        <f t="shared" si="487"/>
        <v/>
      </c>
      <c r="M990" s="2" t="str">
        <f t="shared" si="488"/>
        <v/>
      </c>
      <c r="N990" s="2" t="str">
        <f t="shared" si="503"/>
        <v/>
      </c>
      <c r="O990" s="2" t="str">
        <f t="shared" si="504"/>
        <v/>
      </c>
      <c r="P990" s="2" t="str">
        <f t="shared" si="505"/>
        <v/>
      </c>
      <c r="Q990" s="2" t="str">
        <f t="shared" si="489"/>
        <v/>
      </c>
      <c r="R990" s="2" t="str">
        <f t="shared" si="490"/>
        <v/>
      </c>
      <c r="S990" s="2" t="str">
        <f t="shared" si="491"/>
        <v/>
      </c>
      <c r="T990" s="2" t="str">
        <f t="shared" si="506"/>
        <v/>
      </c>
      <c r="U990" s="2" t="str">
        <f t="shared" si="507"/>
        <v/>
      </c>
      <c r="V990" s="2" t="str">
        <f t="shared" si="508"/>
        <v/>
      </c>
      <c r="W990" s="2" t="str">
        <f t="shared" si="492"/>
        <v/>
      </c>
      <c r="X990" s="2" t="str">
        <f t="shared" si="493"/>
        <v/>
      </c>
      <c r="Y990" s="2" t="str">
        <f t="shared" si="494"/>
        <v/>
      </c>
      <c r="Z990" s="2" t="str">
        <f t="shared" si="509"/>
        <v/>
      </c>
      <c r="AA990" s="2" t="str">
        <f t="shared" si="510"/>
        <v/>
      </c>
      <c r="AB990" s="2" t="str">
        <f t="shared" si="511"/>
        <v/>
      </c>
      <c r="AC990" s="2" t="str">
        <f t="shared" si="495"/>
        <v/>
      </c>
      <c r="AD990" s="2" t="str">
        <f t="shared" si="496"/>
        <v/>
      </c>
      <c r="AE990" s="2" t="str">
        <f t="shared" si="497"/>
        <v/>
      </c>
      <c r="AF990" s="2" t="str">
        <f t="shared" si="498"/>
        <v/>
      </c>
    </row>
    <row r="991" spans="1:32" x14ac:dyDescent="0.2">
      <c r="A991" s="2" t="str">
        <f t="shared" si="499"/>
        <v/>
      </c>
      <c r="B991" s="2" t="str">
        <f t="shared" si="480"/>
        <v/>
      </c>
      <c r="C991" s="2" t="str">
        <f t="shared" si="481"/>
        <v/>
      </c>
      <c r="D991" s="2" t="str">
        <f t="shared" si="482"/>
        <v/>
      </c>
      <c r="E991" s="2" t="str">
        <f t="shared" si="483"/>
        <v/>
      </c>
      <c r="F991" s="2" t="str">
        <f t="shared" si="484"/>
        <v/>
      </c>
      <c r="G991" s="2" t="str">
        <f t="shared" si="485"/>
        <v/>
      </c>
      <c r="H991" s="2" t="str">
        <f t="shared" si="500"/>
        <v/>
      </c>
      <c r="I991" s="2" t="str">
        <f t="shared" si="501"/>
        <v/>
      </c>
      <c r="J991" s="2" t="str">
        <f t="shared" si="502"/>
        <v/>
      </c>
      <c r="K991" s="2" t="str">
        <f t="shared" si="486"/>
        <v/>
      </c>
      <c r="L991" s="2" t="str">
        <f t="shared" si="487"/>
        <v/>
      </c>
      <c r="M991" s="2" t="str">
        <f t="shared" si="488"/>
        <v/>
      </c>
      <c r="N991" s="2" t="str">
        <f t="shared" si="503"/>
        <v/>
      </c>
      <c r="O991" s="2" t="str">
        <f t="shared" si="504"/>
        <v/>
      </c>
      <c r="P991" s="2" t="str">
        <f t="shared" si="505"/>
        <v/>
      </c>
      <c r="Q991" s="2" t="str">
        <f t="shared" si="489"/>
        <v/>
      </c>
      <c r="R991" s="2" t="str">
        <f t="shared" si="490"/>
        <v/>
      </c>
      <c r="S991" s="2" t="str">
        <f t="shared" si="491"/>
        <v/>
      </c>
      <c r="T991" s="2" t="str">
        <f t="shared" si="506"/>
        <v/>
      </c>
      <c r="U991" s="2" t="str">
        <f t="shared" si="507"/>
        <v/>
      </c>
      <c r="V991" s="2" t="str">
        <f t="shared" si="508"/>
        <v/>
      </c>
      <c r="W991" s="2" t="str">
        <f t="shared" si="492"/>
        <v/>
      </c>
      <c r="X991" s="2" t="str">
        <f t="shared" si="493"/>
        <v/>
      </c>
      <c r="Y991" s="2" t="str">
        <f t="shared" si="494"/>
        <v/>
      </c>
      <c r="Z991" s="2" t="str">
        <f t="shared" si="509"/>
        <v/>
      </c>
      <c r="AA991" s="2" t="str">
        <f t="shared" si="510"/>
        <v/>
      </c>
      <c r="AB991" s="2" t="str">
        <f t="shared" si="511"/>
        <v/>
      </c>
      <c r="AC991" s="2" t="str">
        <f t="shared" si="495"/>
        <v/>
      </c>
      <c r="AD991" s="2" t="str">
        <f t="shared" si="496"/>
        <v/>
      </c>
      <c r="AE991" s="2" t="str">
        <f t="shared" si="497"/>
        <v/>
      </c>
      <c r="AF991" s="2" t="str">
        <f t="shared" si="498"/>
        <v/>
      </c>
    </row>
    <row r="992" spans="1:32" x14ac:dyDescent="0.2">
      <c r="A992" s="2" t="str">
        <f t="shared" si="499"/>
        <v/>
      </c>
      <c r="B992" s="2" t="str">
        <f t="shared" si="480"/>
        <v/>
      </c>
      <c r="C992" s="2" t="str">
        <f t="shared" si="481"/>
        <v/>
      </c>
      <c r="D992" s="2" t="str">
        <f t="shared" si="482"/>
        <v/>
      </c>
      <c r="E992" s="2" t="str">
        <f t="shared" si="483"/>
        <v/>
      </c>
      <c r="F992" s="2" t="str">
        <f t="shared" si="484"/>
        <v/>
      </c>
      <c r="G992" s="2" t="str">
        <f t="shared" si="485"/>
        <v/>
      </c>
      <c r="H992" s="2" t="str">
        <f t="shared" si="500"/>
        <v/>
      </c>
      <c r="I992" s="2" t="str">
        <f t="shared" si="501"/>
        <v/>
      </c>
      <c r="J992" s="2" t="str">
        <f t="shared" si="502"/>
        <v/>
      </c>
      <c r="K992" s="2" t="str">
        <f t="shared" si="486"/>
        <v/>
      </c>
      <c r="L992" s="2" t="str">
        <f t="shared" si="487"/>
        <v/>
      </c>
      <c r="M992" s="2" t="str">
        <f t="shared" si="488"/>
        <v/>
      </c>
      <c r="N992" s="2" t="str">
        <f t="shared" si="503"/>
        <v/>
      </c>
      <c r="O992" s="2" t="str">
        <f t="shared" si="504"/>
        <v/>
      </c>
      <c r="P992" s="2" t="str">
        <f t="shared" si="505"/>
        <v/>
      </c>
      <c r="Q992" s="2" t="str">
        <f t="shared" si="489"/>
        <v/>
      </c>
      <c r="R992" s="2" t="str">
        <f t="shared" si="490"/>
        <v/>
      </c>
      <c r="S992" s="2" t="str">
        <f t="shared" si="491"/>
        <v/>
      </c>
      <c r="T992" s="2" t="str">
        <f t="shared" si="506"/>
        <v/>
      </c>
      <c r="U992" s="2" t="str">
        <f t="shared" si="507"/>
        <v/>
      </c>
      <c r="V992" s="2" t="str">
        <f t="shared" si="508"/>
        <v/>
      </c>
      <c r="W992" s="2" t="str">
        <f t="shared" si="492"/>
        <v/>
      </c>
      <c r="X992" s="2" t="str">
        <f t="shared" si="493"/>
        <v/>
      </c>
      <c r="Y992" s="2" t="str">
        <f t="shared" si="494"/>
        <v/>
      </c>
      <c r="Z992" s="2" t="str">
        <f t="shared" si="509"/>
        <v/>
      </c>
      <c r="AA992" s="2" t="str">
        <f t="shared" si="510"/>
        <v/>
      </c>
      <c r="AB992" s="2" t="str">
        <f t="shared" si="511"/>
        <v/>
      </c>
      <c r="AC992" s="2" t="str">
        <f t="shared" si="495"/>
        <v/>
      </c>
      <c r="AD992" s="2" t="str">
        <f t="shared" si="496"/>
        <v/>
      </c>
      <c r="AE992" s="2" t="str">
        <f t="shared" si="497"/>
        <v/>
      </c>
      <c r="AF992" s="2" t="str">
        <f t="shared" si="498"/>
        <v/>
      </c>
    </row>
    <row r="993" spans="1:32" x14ac:dyDescent="0.2">
      <c r="A993" s="2" t="str">
        <f t="shared" si="499"/>
        <v/>
      </c>
      <c r="B993" s="2" t="str">
        <f t="shared" si="480"/>
        <v/>
      </c>
      <c r="C993" s="2" t="str">
        <f t="shared" si="481"/>
        <v/>
      </c>
      <c r="D993" s="2" t="str">
        <f t="shared" si="482"/>
        <v/>
      </c>
      <c r="E993" s="2" t="str">
        <f t="shared" si="483"/>
        <v/>
      </c>
      <c r="F993" s="2" t="str">
        <f t="shared" si="484"/>
        <v/>
      </c>
      <c r="G993" s="2" t="str">
        <f t="shared" si="485"/>
        <v/>
      </c>
      <c r="H993" s="2" t="str">
        <f t="shared" si="500"/>
        <v/>
      </c>
      <c r="I993" s="2" t="str">
        <f t="shared" si="501"/>
        <v/>
      </c>
      <c r="J993" s="2" t="str">
        <f t="shared" si="502"/>
        <v/>
      </c>
      <c r="K993" s="2" t="str">
        <f t="shared" si="486"/>
        <v/>
      </c>
      <c r="L993" s="2" t="str">
        <f t="shared" si="487"/>
        <v/>
      </c>
      <c r="M993" s="2" t="str">
        <f t="shared" si="488"/>
        <v/>
      </c>
      <c r="N993" s="2" t="str">
        <f t="shared" si="503"/>
        <v/>
      </c>
      <c r="O993" s="2" t="str">
        <f t="shared" si="504"/>
        <v/>
      </c>
      <c r="P993" s="2" t="str">
        <f t="shared" si="505"/>
        <v/>
      </c>
      <c r="Q993" s="2" t="str">
        <f t="shared" si="489"/>
        <v/>
      </c>
      <c r="R993" s="2" t="str">
        <f t="shared" si="490"/>
        <v/>
      </c>
      <c r="S993" s="2" t="str">
        <f t="shared" si="491"/>
        <v/>
      </c>
      <c r="T993" s="2" t="str">
        <f t="shared" si="506"/>
        <v/>
      </c>
      <c r="U993" s="2" t="str">
        <f t="shared" si="507"/>
        <v/>
      </c>
      <c r="V993" s="2" t="str">
        <f t="shared" si="508"/>
        <v/>
      </c>
      <c r="W993" s="2" t="str">
        <f t="shared" si="492"/>
        <v/>
      </c>
      <c r="X993" s="2" t="str">
        <f t="shared" si="493"/>
        <v/>
      </c>
      <c r="Y993" s="2" t="str">
        <f t="shared" si="494"/>
        <v/>
      </c>
      <c r="Z993" s="2" t="str">
        <f t="shared" si="509"/>
        <v/>
      </c>
      <c r="AA993" s="2" t="str">
        <f t="shared" si="510"/>
        <v/>
      </c>
      <c r="AB993" s="2" t="str">
        <f t="shared" si="511"/>
        <v/>
      </c>
      <c r="AC993" s="2" t="str">
        <f t="shared" si="495"/>
        <v/>
      </c>
      <c r="AD993" s="2" t="str">
        <f t="shared" si="496"/>
        <v/>
      </c>
      <c r="AE993" s="2" t="str">
        <f t="shared" si="497"/>
        <v/>
      </c>
      <c r="AF993" s="2" t="str">
        <f t="shared" si="498"/>
        <v/>
      </c>
    </row>
    <row r="994" spans="1:32" x14ac:dyDescent="0.2">
      <c r="A994" s="2" t="str">
        <f t="shared" si="499"/>
        <v/>
      </c>
      <c r="B994" s="2" t="str">
        <f t="shared" si="480"/>
        <v/>
      </c>
      <c r="C994" s="2" t="str">
        <f t="shared" si="481"/>
        <v/>
      </c>
      <c r="D994" s="2" t="str">
        <f t="shared" si="482"/>
        <v/>
      </c>
      <c r="E994" s="2" t="str">
        <f t="shared" si="483"/>
        <v/>
      </c>
      <c r="F994" s="2" t="str">
        <f t="shared" si="484"/>
        <v/>
      </c>
      <c r="G994" s="2" t="str">
        <f t="shared" si="485"/>
        <v/>
      </c>
      <c r="H994" s="2" t="str">
        <f t="shared" si="500"/>
        <v/>
      </c>
      <c r="I994" s="2" t="str">
        <f t="shared" si="501"/>
        <v/>
      </c>
      <c r="J994" s="2" t="str">
        <f t="shared" si="502"/>
        <v/>
      </c>
      <c r="K994" s="2" t="str">
        <f t="shared" si="486"/>
        <v/>
      </c>
      <c r="L994" s="2" t="str">
        <f t="shared" si="487"/>
        <v/>
      </c>
      <c r="M994" s="2" t="str">
        <f t="shared" si="488"/>
        <v/>
      </c>
      <c r="N994" s="2" t="str">
        <f t="shared" si="503"/>
        <v/>
      </c>
      <c r="O994" s="2" t="str">
        <f t="shared" si="504"/>
        <v/>
      </c>
      <c r="P994" s="2" t="str">
        <f t="shared" si="505"/>
        <v/>
      </c>
      <c r="Q994" s="2" t="str">
        <f t="shared" si="489"/>
        <v/>
      </c>
      <c r="R994" s="2" t="str">
        <f t="shared" si="490"/>
        <v/>
      </c>
      <c r="S994" s="2" t="str">
        <f t="shared" si="491"/>
        <v/>
      </c>
      <c r="T994" s="2" t="str">
        <f t="shared" si="506"/>
        <v/>
      </c>
      <c r="U994" s="2" t="str">
        <f t="shared" si="507"/>
        <v/>
      </c>
      <c r="V994" s="2" t="str">
        <f t="shared" si="508"/>
        <v/>
      </c>
      <c r="W994" s="2" t="str">
        <f t="shared" si="492"/>
        <v/>
      </c>
      <c r="X994" s="2" t="str">
        <f t="shared" si="493"/>
        <v/>
      </c>
      <c r="Y994" s="2" t="str">
        <f t="shared" si="494"/>
        <v/>
      </c>
      <c r="Z994" s="2" t="str">
        <f t="shared" si="509"/>
        <v/>
      </c>
      <c r="AA994" s="2" t="str">
        <f t="shared" si="510"/>
        <v/>
      </c>
      <c r="AB994" s="2" t="str">
        <f t="shared" si="511"/>
        <v/>
      </c>
      <c r="AC994" s="2" t="str">
        <f t="shared" si="495"/>
        <v/>
      </c>
      <c r="AD994" s="2" t="str">
        <f t="shared" si="496"/>
        <v/>
      </c>
      <c r="AE994" s="2" t="str">
        <f t="shared" si="497"/>
        <v/>
      </c>
      <c r="AF994" s="2" t="str">
        <f t="shared" si="498"/>
        <v/>
      </c>
    </row>
    <row r="995" spans="1:32" x14ac:dyDescent="0.2">
      <c r="A995" s="2" t="str">
        <f t="shared" si="499"/>
        <v/>
      </c>
      <c r="B995" s="2" t="str">
        <f t="shared" si="480"/>
        <v/>
      </c>
      <c r="C995" s="2" t="str">
        <f t="shared" si="481"/>
        <v/>
      </c>
      <c r="D995" s="2" t="str">
        <f t="shared" si="482"/>
        <v/>
      </c>
      <c r="E995" s="2" t="str">
        <f t="shared" si="483"/>
        <v/>
      </c>
      <c r="F995" s="2" t="str">
        <f t="shared" si="484"/>
        <v/>
      </c>
      <c r="G995" s="2" t="str">
        <f t="shared" si="485"/>
        <v/>
      </c>
      <c r="H995" s="2" t="str">
        <f t="shared" si="500"/>
        <v/>
      </c>
      <c r="I995" s="2" t="str">
        <f t="shared" si="501"/>
        <v/>
      </c>
      <c r="J995" s="2" t="str">
        <f t="shared" si="502"/>
        <v/>
      </c>
      <c r="K995" s="2" t="str">
        <f t="shared" si="486"/>
        <v/>
      </c>
      <c r="L995" s="2" t="str">
        <f t="shared" si="487"/>
        <v/>
      </c>
      <c r="M995" s="2" t="str">
        <f t="shared" si="488"/>
        <v/>
      </c>
      <c r="N995" s="2" t="str">
        <f t="shared" si="503"/>
        <v/>
      </c>
      <c r="O995" s="2" t="str">
        <f t="shared" si="504"/>
        <v/>
      </c>
      <c r="P995" s="2" t="str">
        <f t="shared" si="505"/>
        <v/>
      </c>
      <c r="Q995" s="2" t="str">
        <f t="shared" si="489"/>
        <v/>
      </c>
      <c r="R995" s="2" t="str">
        <f t="shared" si="490"/>
        <v/>
      </c>
      <c r="S995" s="2" t="str">
        <f t="shared" si="491"/>
        <v/>
      </c>
      <c r="T995" s="2" t="str">
        <f t="shared" si="506"/>
        <v/>
      </c>
      <c r="U995" s="2" t="str">
        <f t="shared" si="507"/>
        <v/>
      </c>
      <c r="V995" s="2" t="str">
        <f t="shared" si="508"/>
        <v/>
      </c>
      <c r="W995" s="2" t="str">
        <f t="shared" si="492"/>
        <v/>
      </c>
      <c r="X995" s="2" t="str">
        <f t="shared" si="493"/>
        <v/>
      </c>
      <c r="Y995" s="2" t="str">
        <f t="shared" si="494"/>
        <v/>
      </c>
      <c r="Z995" s="2" t="str">
        <f t="shared" si="509"/>
        <v/>
      </c>
      <c r="AA995" s="2" t="str">
        <f t="shared" si="510"/>
        <v/>
      </c>
      <c r="AB995" s="2" t="str">
        <f t="shared" si="511"/>
        <v/>
      </c>
      <c r="AC995" s="2" t="str">
        <f t="shared" si="495"/>
        <v/>
      </c>
      <c r="AD995" s="2" t="str">
        <f t="shared" si="496"/>
        <v/>
      </c>
      <c r="AE995" s="2" t="str">
        <f t="shared" si="497"/>
        <v/>
      </c>
      <c r="AF995" s="2" t="str">
        <f t="shared" si="498"/>
        <v/>
      </c>
    </row>
    <row r="996" spans="1:32" x14ac:dyDescent="0.2">
      <c r="A996" s="2" t="str">
        <f t="shared" si="499"/>
        <v/>
      </c>
      <c r="B996" s="2" t="str">
        <f t="shared" si="480"/>
        <v/>
      </c>
      <c r="C996" s="2" t="str">
        <f t="shared" si="481"/>
        <v/>
      </c>
      <c r="D996" s="2" t="str">
        <f t="shared" si="482"/>
        <v/>
      </c>
      <c r="E996" s="2" t="str">
        <f t="shared" si="483"/>
        <v/>
      </c>
      <c r="F996" s="2" t="str">
        <f t="shared" si="484"/>
        <v/>
      </c>
      <c r="G996" s="2" t="str">
        <f t="shared" si="485"/>
        <v/>
      </c>
      <c r="H996" s="2" t="str">
        <f t="shared" si="500"/>
        <v/>
      </c>
      <c r="I996" s="2" t="str">
        <f t="shared" si="501"/>
        <v/>
      </c>
      <c r="J996" s="2" t="str">
        <f t="shared" si="502"/>
        <v/>
      </c>
      <c r="K996" s="2" t="str">
        <f t="shared" si="486"/>
        <v/>
      </c>
      <c r="L996" s="2" t="str">
        <f t="shared" si="487"/>
        <v/>
      </c>
      <c r="M996" s="2" t="str">
        <f t="shared" si="488"/>
        <v/>
      </c>
      <c r="N996" s="2" t="str">
        <f t="shared" si="503"/>
        <v/>
      </c>
      <c r="O996" s="2" t="str">
        <f t="shared" si="504"/>
        <v/>
      </c>
      <c r="P996" s="2" t="str">
        <f t="shared" si="505"/>
        <v/>
      </c>
      <c r="Q996" s="2" t="str">
        <f t="shared" si="489"/>
        <v/>
      </c>
      <c r="R996" s="2" t="str">
        <f t="shared" si="490"/>
        <v/>
      </c>
      <c r="S996" s="2" t="str">
        <f t="shared" si="491"/>
        <v/>
      </c>
      <c r="T996" s="2" t="str">
        <f t="shared" si="506"/>
        <v/>
      </c>
      <c r="U996" s="2" t="str">
        <f t="shared" si="507"/>
        <v/>
      </c>
      <c r="V996" s="2" t="str">
        <f t="shared" si="508"/>
        <v/>
      </c>
      <c r="W996" s="2" t="str">
        <f t="shared" si="492"/>
        <v/>
      </c>
      <c r="X996" s="2" t="str">
        <f t="shared" si="493"/>
        <v/>
      </c>
      <c r="Y996" s="2" t="str">
        <f t="shared" si="494"/>
        <v/>
      </c>
      <c r="Z996" s="2" t="str">
        <f t="shared" si="509"/>
        <v/>
      </c>
      <c r="AA996" s="2" t="str">
        <f t="shared" si="510"/>
        <v/>
      </c>
      <c r="AB996" s="2" t="str">
        <f t="shared" si="511"/>
        <v/>
      </c>
      <c r="AC996" s="2" t="str">
        <f t="shared" si="495"/>
        <v/>
      </c>
      <c r="AD996" s="2" t="str">
        <f t="shared" si="496"/>
        <v/>
      </c>
      <c r="AE996" s="2" t="str">
        <f t="shared" si="497"/>
        <v/>
      </c>
      <c r="AF996" s="2" t="str">
        <f t="shared" si="498"/>
        <v/>
      </c>
    </row>
    <row r="997" spans="1:32" x14ac:dyDescent="0.2">
      <c r="A997" s="2" t="str">
        <f t="shared" si="499"/>
        <v/>
      </c>
      <c r="B997" s="2" t="str">
        <f t="shared" si="480"/>
        <v/>
      </c>
      <c r="C997" s="2" t="str">
        <f t="shared" si="481"/>
        <v/>
      </c>
      <c r="D997" s="2" t="str">
        <f t="shared" si="482"/>
        <v/>
      </c>
      <c r="E997" s="2" t="str">
        <f t="shared" si="483"/>
        <v/>
      </c>
      <c r="F997" s="2" t="str">
        <f t="shared" si="484"/>
        <v/>
      </c>
      <c r="G997" s="2" t="str">
        <f t="shared" si="485"/>
        <v/>
      </c>
      <c r="H997" s="2" t="str">
        <f t="shared" si="500"/>
        <v/>
      </c>
      <c r="I997" s="2" t="str">
        <f t="shared" si="501"/>
        <v/>
      </c>
      <c r="J997" s="2" t="str">
        <f t="shared" si="502"/>
        <v/>
      </c>
      <c r="K997" s="2" t="str">
        <f t="shared" si="486"/>
        <v/>
      </c>
      <c r="L997" s="2" t="str">
        <f t="shared" si="487"/>
        <v/>
      </c>
      <c r="M997" s="2" t="str">
        <f t="shared" si="488"/>
        <v/>
      </c>
      <c r="N997" s="2" t="str">
        <f t="shared" si="503"/>
        <v/>
      </c>
      <c r="O997" s="2" t="str">
        <f t="shared" si="504"/>
        <v/>
      </c>
      <c r="P997" s="2" t="str">
        <f t="shared" si="505"/>
        <v/>
      </c>
      <c r="Q997" s="2" t="str">
        <f t="shared" si="489"/>
        <v/>
      </c>
      <c r="R997" s="2" t="str">
        <f t="shared" si="490"/>
        <v/>
      </c>
      <c r="S997" s="2" t="str">
        <f t="shared" si="491"/>
        <v/>
      </c>
      <c r="T997" s="2" t="str">
        <f t="shared" si="506"/>
        <v/>
      </c>
      <c r="U997" s="2" t="str">
        <f t="shared" si="507"/>
        <v/>
      </c>
      <c r="V997" s="2" t="str">
        <f t="shared" si="508"/>
        <v/>
      </c>
      <c r="W997" s="2" t="str">
        <f t="shared" si="492"/>
        <v/>
      </c>
      <c r="X997" s="2" t="str">
        <f t="shared" si="493"/>
        <v/>
      </c>
      <c r="Y997" s="2" t="str">
        <f t="shared" si="494"/>
        <v/>
      </c>
      <c r="Z997" s="2" t="str">
        <f t="shared" si="509"/>
        <v/>
      </c>
      <c r="AA997" s="2" t="str">
        <f t="shared" si="510"/>
        <v/>
      </c>
      <c r="AB997" s="2" t="str">
        <f t="shared" si="511"/>
        <v/>
      </c>
      <c r="AC997" s="2" t="str">
        <f t="shared" si="495"/>
        <v/>
      </c>
      <c r="AD997" s="2" t="str">
        <f t="shared" si="496"/>
        <v/>
      </c>
      <c r="AE997" s="2" t="str">
        <f t="shared" si="497"/>
        <v/>
      </c>
      <c r="AF997" s="2" t="str">
        <f t="shared" si="498"/>
        <v/>
      </c>
    </row>
    <row r="998" spans="1:32" x14ac:dyDescent="0.2">
      <c r="A998" s="2" t="str">
        <f t="shared" si="499"/>
        <v/>
      </c>
      <c r="B998" s="2" t="str">
        <f t="shared" si="480"/>
        <v/>
      </c>
      <c r="C998" s="2" t="str">
        <f t="shared" si="481"/>
        <v/>
      </c>
      <c r="D998" s="2" t="str">
        <f t="shared" si="482"/>
        <v/>
      </c>
      <c r="E998" s="2" t="str">
        <f t="shared" si="483"/>
        <v/>
      </c>
      <c r="F998" s="2" t="str">
        <f t="shared" si="484"/>
        <v/>
      </c>
      <c r="G998" s="2" t="str">
        <f t="shared" si="485"/>
        <v/>
      </c>
      <c r="H998" s="2" t="str">
        <f t="shared" si="500"/>
        <v/>
      </c>
      <c r="I998" s="2" t="str">
        <f t="shared" si="501"/>
        <v/>
      </c>
      <c r="J998" s="2" t="str">
        <f t="shared" si="502"/>
        <v/>
      </c>
      <c r="K998" s="2" t="str">
        <f t="shared" si="486"/>
        <v/>
      </c>
      <c r="L998" s="2" t="str">
        <f t="shared" si="487"/>
        <v/>
      </c>
      <c r="M998" s="2" t="str">
        <f t="shared" si="488"/>
        <v/>
      </c>
      <c r="N998" s="2" t="str">
        <f t="shared" si="503"/>
        <v/>
      </c>
      <c r="O998" s="2" t="str">
        <f t="shared" si="504"/>
        <v/>
      </c>
      <c r="P998" s="2" t="str">
        <f t="shared" si="505"/>
        <v/>
      </c>
      <c r="Q998" s="2" t="str">
        <f t="shared" si="489"/>
        <v/>
      </c>
      <c r="R998" s="2" t="str">
        <f t="shared" si="490"/>
        <v/>
      </c>
      <c r="S998" s="2" t="str">
        <f t="shared" si="491"/>
        <v/>
      </c>
      <c r="T998" s="2" t="str">
        <f t="shared" si="506"/>
        <v/>
      </c>
      <c r="U998" s="2" t="str">
        <f t="shared" si="507"/>
        <v/>
      </c>
      <c r="V998" s="2" t="str">
        <f t="shared" si="508"/>
        <v/>
      </c>
      <c r="W998" s="2" t="str">
        <f t="shared" si="492"/>
        <v/>
      </c>
      <c r="X998" s="2" t="str">
        <f t="shared" si="493"/>
        <v/>
      </c>
      <c r="Y998" s="2" t="str">
        <f t="shared" si="494"/>
        <v/>
      </c>
      <c r="Z998" s="2" t="str">
        <f t="shared" si="509"/>
        <v/>
      </c>
      <c r="AA998" s="2" t="str">
        <f t="shared" si="510"/>
        <v/>
      </c>
      <c r="AB998" s="2" t="str">
        <f t="shared" si="511"/>
        <v/>
      </c>
      <c r="AC998" s="2" t="str">
        <f t="shared" si="495"/>
        <v/>
      </c>
      <c r="AD998" s="2" t="str">
        <f t="shared" si="496"/>
        <v/>
      </c>
      <c r="AE998" s="2" t="str">
        <f t="shared" si="497"/>
        <v/>
      </c>
      <c r="AF998" s="2" t="str">
        <f t="shared" si="498"/>
        <v/>
      </c>
    </row>
    <row r="999" spans="1:32" x14ac:dyDescent="0.2">
      <c r="A999" s="2" t="str">
        <f t="shared" si="499"/>
        <v/>
      </c>
      <c r="B999" s="2" t="str">
        <f t="shared" si="480"/>
        <v/>
      </c>
      <c r="C999" s="2" t="str">
        <f t="shared" si="481"/>
        <v/>
      </c>
      <c r="D999" s="2" t="str">
        <f t="shared" si="482"/>
        <v/>
      </c>
      <c r="E999" s="2" t="str">
        <f t="shared" si="483"/>
        <v/>
      </c>
      <c r="F999" s="2" t="str">
        <f t="shared" si="484"/>
        <v/>
      </c>
      <c r="G999" s="2" t="str">
        <f t="shared" si="485"/>
        <v/>
      </c>
      <c r="H999" s="2" t="str">
        <f t="shared" si="500"/>
        <v/>
      </c>
      <c r="I999" s="2" t="str">
        <f t="shared" si="501"/>
        <v/>
      </c>
      <c r="J999" s="2" t="str">
        <f t="shared" si="502"/>
        <v/>
      </c>
      <c r="K999" s="2" t="str">
        <f t="shared" si="486"/>
        <v/>
      </c>
      <c r="L999" s="2" t="str">
        <f t="shared" si="487"/>
        <v/>
      </c>
      <c r="M999" s="2" t="str">
        <f t="shared" si="488"/>
        <v/>
      </c>
      <c r="N999" s="2" t="str">
        <f t="shared" si="503"/>
        <v/>
      </c>
      <c r="O999" s="2" t="str">
        <f t="shared" si="504"/>
        <v/>
      </c>
      <c r="P999" s="2" t="str">
        <f t="shared" si="505"/>
        <v/>
      </c>
      <c r="Q999" s="2" t="str">
        <f t="shared" si="489"/>
        <v/>
      </c>
      <c r="R999" s="2" t="str">
        <f t="shared" si="490"/>
        <v/>
      </c>
      <c r="S999" s="2" t="str">
        <f t="shared" si="491"/>
        <v/>
      </c>
      <c r="T999" s="2" t="str">
        <f t="shared" si="506"/>
        <v/>
      </c>
      <c r="U999" s="2" t="str">
        <f t="shared" si="507"/>
        <v/>
      </c>
      <c r="V999" s="2" t="str">
        <f t="shared" si="508"/>
        <v/>
      </c>
      <c r="W999" s="2" t="str">
        <f t="shared" si="492"/>
        <v/>
      </c>
      <c r="X999" s="2" t="str">
        <f t="shared" si="493"/>
        <v/>
      </c>
      <c r="Y999" s="2" t="str">
        <f t="shared" si="494"/>
        <v/>
      </c>
      <c r="Z999" s="2" t="str">
        <f t="shared" si="509"/>
        <v/>
      </c>
      <c r="AA999" s="2" t="str">
        <f t="shared" si="510"/>
        <v/>
      </c>
      <c r="AB999" s="2" t="str">
        <f t="shared" si="511"/>
        <v/>
      </c>
      <c r="AC999" s="2" t="str">
        <f t="shared" si="495"/>
        <v/>
      </c>
      <c r="AD999" s="2" t="str">
        <f t="shared" si="496"/>
        <v/>
      </c>
      <c r="AE999" s="2" t="str">
        <f t="shared" si="497"/>
        <v/>
      </c>
      <c r="AF999" s="2" t="str">
        <f t="shared" si="498"/>
        <v/>
      </c>
    </row>
    <row r="1000" spans="1:32" x14ac:dyDescent="0.2">
      <c r="A1000" s="2" t="str">
        <f t="shared" si="499"/>
        <v/>
      </c>
      <c r="B1000" s="2" t="str">
        <f t="shared" si="480"/>
        <v/>
      </c>
      <c r="C1000" s="2" t="str">
        <f t="shared" si="481"/>
        <v/>
      </c>
      <c r="D1000" s="2" t="str">
        <f t="shared" si="482"/>
        <v/>
      </c>
      <c r="E1000" s="2" t="str">
        <f t="shared" si="483"/>
        <v/>
      </c>
      <c r="F1000" s="2" t="str">
        <f t="shared" si="484"/>
        <v/>
      </c>
      <c r="G1000" s="2" t="str">
        <f t="shared" si="485"/>
        <v/>
      </c>
      <c r="H1000" s="2" t="str">
        <f t="shared" si="500"/>
        <v/>
      </c>
      <c r="I1000" s="2" t="str">
        <f t="shared" si="501"/>
        <v/>
      </c>
      <c r="J1000" s="2" t="str">
        <f t="shared" si="502"/>
        <v/>
      </c>
      <c r="K1000" s="2" t="str">
        <f t="shared" si="486"/>
        <v/>
      </c>
      <c r="L1000" s="2" t="str">
        <f t="shared" si="487"/>
        <v/>
      </c>
      <c r="M1000" s="2" t="str">
        <f t="shared" si="488"/>
        <v/>
      </c>
      <c r="N1000" s="2" t="str">
        <f t="shared" si="503"/>
        <v/>
      </c>
      <c r="O1000" s="2" t="str">
        <f t="shared" si="504"/>
        <v/>
      </c>
      <c r="P1000" s="2" t="str">
        <f t="shared" si="505"/>
        <v/>
      </c>
      <c r="Q1000" s="2" t="str">
        <f t="shared" si="489"/>
        <v/>
      </c>
      <c r="R1000" s="2" t="str">
        <f t="shared" si="490"/>
        <v/>
      </c>
      <c r="S1000" s="2" t="str">
        <f t="shared" si="491"/>
        <v/>
      </c>
      <c r="T1000" s="2" t="str">
        <f t="shared" si="506"/>
        <v/>
      </c>
      <c r="U1000" s="2" t="str">
        <f t="shared" si="507"/>
        <v/>
      </c>
      <c r="V1000" s="2" t="str">
        <f t="shared" si="508"/>
        <v/>
      </c>
      <c r="W1000" s="2" t="str">
        <f t="shared" si="492"/>
        <v/>
      </c>
      <c r="X1000" s="2" t="str">
        <f t="shared" si="493"/>
        <v/>
      </c>
      <c r="Y1000" s="2" t="str">
        <f t="shared" si="494"/>
        <v/>
      </c>
      <c r="Z1000" s="2" t="str">
        <f t="shared" si="509"/>
        <v/>
      </c>
      <c r="AA1000" s="2" t="str">
        <f t="shared" si="510"/>
        <v/>
      </c>
      <c r="AB1000" s="2" t="str">
        <f t="shared" si="511"/>
        <v/>
      </c>
      <c r="AC1000" s="2" t="str">
        <f t="shared" si="495"/>
        <v/>
      </c>
      <c r="AD1000" s="2" t="str">
        <f t="shared" si="496"/>
        <v/>
      </c>
      <c r="AE1000" s="2" t="str">
        <f t="shared" si="497"/>
        <v/>
      </c>
      <c r="AF1000" s="2" t="str">
        <f t="shared" si="498"/>
        <v/>
      </c>
    </row>
    <row r="1001" spans="1:32" x14ac:dyDescent="0.2">
      <c r="A1001" s="2" t="str">
        <f t="shared" si="499"/>
        <v/>
      </c>
      <c r="B1001" s="2" t="str">
        <f t="shared" si="480"/>
        <v/>
      </c>
      <c r="C1001" s="2" t="str">
        <f t="shared" si="481"/>
        <v/>
      </c>
      <c r="D1001" s="2" t="str">
        <f t="shared" si="482"/>
        <v/>
      </c>
      <c r="E1001" s="2" t="str">
        <f t="shared" si="483"/>
        <v/>
      </c>
      <c r="F1001" s="2" t="str">
        <f t="shared" si="484"/>
        <v/>
      </c>
      <c r="G1001" s="2" t="str">
        <f t="shared" si="485"/>
        <v/>
      </c>
      <c r="H1001" s="2" t="str">
        <f t="shared" si="500"/>
        <v/>
      </c>
      <c r="I1001" s="2" t="str">
        <f t="shared" si="501"/>
        <v/>
      </c>
      <c r="J1001" s="2" t="str">
        <f t="shared" si="502"/>
        <v/>
      </c>
      <c r="K1001" s="2" t="str">
        <f t="shared" si="486"/>
        <v/>
      </c>
      <c r="L1001" s="2" t="str">
        <f t="shared" si="487"/>
        <v/>
      </c>
      <c r="M1001" s="2" t="str">
        <f t="shared" si="488"/>
        <v/>
      </c>
      <c r="N1001" s="2" t="str">
        <f t="shared" si="503"/>
        <v/>
      </c>
      <c r="O1001" s="2" t="str">
        <f t="shared" si="504"/>
        <v/>
      </c>
      <c r="P1001" s="2" t="str">
        <f t="shared" si="505"/>
        <v/>
      </c>
      <c r="Q1001" s="2" t="str">
        <f t="shared" si="489"/>
        <v/>
      </c>
      <c r="R1001" s="2" t="str">
        <f t="shared" si="490"/>
        <v/>
      </c>
      <c r="S1001" s="2" t="str">
        <f t="shared" si="491"/>
        <v/>
      </c>
      <c r="T1001" s="2" t="str">
        <f t="shared" si="506"/>
        <v/>
      </c>
      <c r="U1001" s="2" t="str">
        <f t="shared" si="507"/>
        <v/>
      </c>
      <c r="V1001" s="2" t="str">
        <f t="shared" si="508"/>
        <v/>
      </c>
      <c r="W1001" s="2" t="str">
        <f t="shared" si="492"/>
        <v/>
      </c>
      <c r="X1001" s="2" t="str">
        <f t="shared" si="493"/>
        <v/>
      </c>
      <c r="Y1001" s="2" t="str">
        <f t="shared" si="494"/>
        <v/>
      </c>
      <c r="Z1001" s="2" t="str">
        <f t="shared" si="509"/>
        <v/>
      </c>
      <c r="AA1001" s="2" t="str">
        <f t="shared" si="510"/>
        <v/>
      </c>
      <c r="AB1001" s="2" t="str">
        <f t="shared" si="511"/>
        <v/>
      </c>
      <c r="AC1001" s="2" t="str">
        <f t="shared" si="495"/>
        <v/>
      </c>
      <c r="AD1001" s="2" t="str">
        <f t="shared" si="496"/>
        <v/>
      </c>
      <c r="AE1001" s="2" t="str">
        <f t="shared" si="497"/>
        <v/>
      </c>
      <c r="AF1001" s="2" t="str">
        <f t="shared" si="498"/>
        <v/>
      </c>
    </row>
    <row r="1002" spans="1:32" x14ac:dyDescent="0.2">
      <c r="A1002" s="2" t="str">
        <f t="shared" si="499"/>
        <v/>
      </c>
      <c r="B1002" s="2" t="str">
        <f t="shared" si="480"/>
        <v/>
      </c>
      <c r="C1002" s="2" t="str">
        <f t="shared" si="481"/>
        <v/>
      </c>
      <c r="D1002" s="2" t="str">
        <f t="shared" si="482"/>
        <v/>
      </c>
      <c r="E1002" s="2" t="str">
        <f t="shared" si="483"/>
        <v/>
      </c>
      <c r="F1002" s="2" t="str">
        <f t="shared" si="484"/>
        <v/>
      </c>
      <c r="G1002" s="2" t="str">
        <f t="shared" si="485"/>
        <v/>
      </c>
      <c r="H1002" s="2" t="str">
        <f t="shared" si="500"/>
        <v/>
      </c>
      <c r="I1002" s="2" t="str">
        <f t="shared" si="501"/>
        <v/>
      </c>
      <c r="J1002" s="2" t="str">
        <f t="shared" si="502"/>
        <v/>
      </c>
      <c r="K1002" s="2" t="str">
        <f t="shared" si="486"/>
        <v/>
      </c>
      <c r="L1002" s="2" t="str">
        <f t="shared" si="487"/>
        <v/>
      </c>
      <c r="M1002" s="2" t="str">
        <f t="shared" si="488"/>
        <v/>
      </c>
      <c r="N1002" s="2" t="str">
        <f t="shared" si="503"/>
        <v/>
      </c>
      <c r="O1002" s="2" t="str">
        <f t="shared" si="504"/>
        <v/>
      </c>
      <c r="P1002" s="2" t="str">
        <f t="shared" si="505"/>
        <v/>
      </c>
      <c r="Q1002" s="2" t="str">
        <f t="shared" si="489"/>
        <v/>
      </c>
      <c r="R1002" s="2" t="str">
        <f t="shared" si="490"/>
        <v/>
      </c>
      <c r="S1002" s="2" t="str">
        <f t="shared" si="491"/>
        <v/>
      </c>
      <c r="T1002" s="2" t="str">
        <f t="shared" si="506"/>
        <v/>
      </c>
      <c r="U1002" s="2" t="str">
        <f t="shared" si="507"/>
        <v/>
      </c>
      <c r="V1002" s="2" t="str">
        <f t="shared" si="508"/>
        <v/>
      </c>
      <c r="W1002" s="2" t="str">
        <f t="shared" si="492"/>
        <v/>
      </c>
      <c r="X1002" s="2" t="str">
        <f t="shared" si="493"/>
        <v/>
      </c>
      <c r="Y1002" s="2" t="str">
        <f t="shared" si="494"/>
        <v/>
      </c>
      <c r="Z1002" s="2" t="str">
        <f t="shared" si="509"/>
        <v/>
      </c>
      <c r="AA1002" s="2" t="str">
        <f t="shared" si="510"/>
        <v/>
      </c>
      <c r="AB1002" s="2" t="str">
        <f t="shared" si="511"/>
        <v/>
      </c>
      <c r="AC1002" s="2" t="str">
        <f t="shared" si="495"/>
        <v/>
      </c>
      <c r="AD1002" s="2" t="str">
        <f t="shared" si="496"/>
        <v/>
      </c>
      <c r="AE1002" s="2" t="str">
        <f t="shared" si="497"/>
        <v/>
      </c>
      <c r="AF1002" s="2" t="str">
        <f t="shared" si="498"/>
        <v/>
      </c>
    </row>
    <row r="1003" spans="1:32" x14ac:dyDescent="0.2">
      <c r="A1003" s="2" t="str">
        <f t="shared" si="499"/>
        <v/>
      </c>
      <c r="B1003" s="2" t="str">
        <f t="shared" si="480"/>
        <v/>
      </c>
      <c r="C1003" s="2" t="str">
        <f t="shared" si="481"/>
        <v/>
      </c>
      <c r="D1003" s="2" t="str">
        <f t="shared" si="482"/>
        <v/>
      </c>
      <c r="E1003" s="2" t="str">
        <f t="shared" si="483"/>
        <v/>
      </c>
      <c r="F1003" s="2" t="str">
        <f t="shared" si="484"/>
        <v/>
      </c>
      <c r="G1003" s="2" t="str">
        <f t="shared" si="485"/>
        <v/>
      </c>
      <c r="H1003" s="2" t="str">
        <f t="shared" si="500"/>
        <v/>
      </c>
      <c r="I1003" s="2" t="str">
        <f t="shared" si="501"/>
        <v/>
      </c>
      <c r="J1003" s="2" t="str">
        <f t="shared" si="502"/>
        <v/>
      </c>
      <c r="K1003" s="2" t="str">
        <f t="shared" si="486"/>
        <v/>
      </c>
      <c r="L1003" s="2" t="str">
        <f t="shared" si="487"/>
        <v/>
      </c>
      <c r="M1003" s="2" t="str">
        <f t="shared" si="488"/>
        <v/>
      </c>
      <c r="N1003" s="2" t="str">
        <f t="shared" si="503"/>
        <v/>
      </c>
      <c r="O1003" s="2" t="str">
        <f t="shared" si="504"/>
        <v/>
      </c>
      <c r="P1003" s="2" t="str">
        <f t="shared" si="505"/>
        <v/>
      </c>
      <c r="Q1003" s="2" t="str">
        <f t="shared" si="489"/>
        <v/>
      </c>
      <c r="R1003" s="2" t="str">
        <f t="shared" si="490"/>
        <v/>
      </c>
      <c r="S1003" s="2" t="str">
        <f t="shared" si="491"/>
        <v/>
      </c>
      <c r="T1003" s="2" t="str">
        <f t="shared" si="506"/>
        <v/>
      </c>
      <c r="U1003" s="2" t="str">
        <f t="shared" si="507"/>
        <v/>
      </c>
      <c r="V1003" s="2" t="str">
        <f t="shared" si="508"/>
        <v/>
      </c>
      <c r="W1003" s="2" t="str">
        <f t="shared" si="492"/>
        <v/>
      </c>
      <c r="X1003" s="2" t="str">
        <f t="shared" si="493"/>
        <v/>
      </c>
      <c r="Y1003" s="2" t="str">
        <f t="shared" si="494"/>
        <v/>
      </c>
      <c r="Z1003" s="2" t="str">
        <f t="shared" si="509"/>
        <v/>
      </c>
      <c r="AA1003" s="2" t="str">
        <f t="shared" si="510"/>
        <v/>
      </c>
      <c r="AB1003" s="2" t="str">
        <f t="shared" si="511"/>
        <v/>
      </c>
      <c r="AC1003" s="2" t="str">
        <f t="shared" si="495"/>
        <v/>
      </c>
      <c r="AD1003" s="2" t="str">
        <f t="shared" si="496"/>
        <v/>
      </c>
      <c r="AE1003" s="2" t="str">
        <f t="shared" si="497"/>
        <v/>
      </c>
      <c r="AF1003" s="2" t="str">
        <f t="shared" si="498"/>
        <v/>
      </c>
    </row>
  </sheetData>
  <mergeCells count="12">
    <mergeCell ref="Q2:T2"/>
    <mergeCell ref="BJ2:BM2"/>
    <mergeCell ref="A2:D2"/>
    <mergeCell ref="AC2:AF2"/>
    <mergeCell ref="W2:Z2"/>
    <mergeCell ref="E2:H2"/>
    <mergeCell ref="K2:N2"/>
    <mergeCell ref="AH2:AK2"/>
    <mergeCell ref="AL2:AQ2"/>
    <mergeCell ref="AR2:AW2"/>
    <mergeCell ref="AX2:BC2"/>
    <mergeCell ref="BD2:BI2"/>
  </mergeCells>
  <pageMargins left="0.7" right="0.7" top="0.75" bottom="0.75" header="0.3" footer="0.3"/>
  <pageSetup orientation="portrait" r:id="rId1"/>
  <tableParts count="6">
    <tablePart r:id="rId2"/>
    <tablePart r:id="rId3"/>
    <tablePart r:id="rId4"/>
    <tablePart r:id="rId5"/>
    <tablePart r:id="rId6"/>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F8D1-6FA7-48C9-96DE-EA5EF9F4CA75}">
  <sheetPr codeName="TIA_222_H">
    <tabColor theme="0"/>
  </sheetPr>
  <dimension ref="B1:AR91"/>
  <sheetViews>
    <sheetView workbookViewId="0"/>
  </sheetViews>
  <sheetFormatPr defaultColWidth="9.140625" defaultRowHeight="15" customHeight="1" x14ac:dyDescent="0.2"/>
  <cols>
    <col min="1" max="1" width="2.7109375" style="57" customWidth="1"/>
    <col min="2" max="8" width="10.7109375" style="57" customWidth="1"/>
    <col min="9" max="9" width="2.7109375" style="57" customWidth="1"/>
    <col min="10" max="18" width="10.7109375" style="57" customWidth="1"/>
    <col min="19" max="19" width="2.7109375" style="57" customWidth="1"/>
    <col min="20" max="32" width="12.7109375" style="57" customWidth="1"/>
    <col min="33" max="33" width="2.7109375" style="57" customWidth="1"/>
    <col min="34" max="34" width="10.5703125" style="57" bestFit="1" customWidth="1"/>
    <col min="35" max="36" width="9.140625" style="57"/>
    <col min="37" max="37" width="2.7109375" style="57" customWidth="1"/>
    <col min="38" max="38" width="29.140625" style="57" bestFit="1" customWidth="1"/>
    <col min="39" max="39" width="2.7109375" style="57" customWidth="1"/>
    <col min="40" max="44" width="11.7109375" style="57" customWidth="1"/>
    <col min="45" max="45" width="2.7109375" style="57" customWidth="1"/>
    <col min="46" max="16384" width="9.140625" style="57"/>
  </cols>
  <sheetData>
    <row r="1" spans="2:44" ht="15" customHeight="1" thickBot="1" x14ac:dyDescent="0.25"/>
    <row r="2" spans="2:44" ht="15" customHeight="1" thickBot="1" x14ac:dyDescent="0.25">
      <c r="B2" s="533" t="s">
        <v>567</v>
      </c>
      <c r="C2" s="533"/>
      <c r="D2" s="533"/>
      <c r="E2" s="533"/>
      <c r="F2" s="533"/>
      <c r="G2" s="533"/>
      <c r="H2" s="533"/>
      <c r="J2" s="533" t="s">
        <v>568</v>
      </c>
      <c r="K2" s="533"/>
      <c r="L2" s="533"/>
      <c r="M2" s="533"/>
      <c r="N2" s="533"/>
      <c r="O2" s="533"/>
      <c r="P2" s="533"/>
      <c r="Q2" s="83"/>
      <c r="T2" s="549" t="s">
        <v>569</v>
      </c>
      <c r="U2" s="550"/>
      <c r="V2" s="550"/>
      <c r="W2" s="550"/>
      <c r="X2" s="550"/>
      <c r="Y2" s="550"/>
      <c r="Z2" s="550"/>
      <c r="AA2" s="550"/>
      <c r="AB2" s="550"/>
      <c r="AC2" s="550"/>
      <c r="AD2" s="550"/>
      <c r="AE2" s="550"/>
      <c r="AF2" s="551"/>
      <c r="AH2" s="84" t="s">
        <v>101</v>
      </c>
      <c r="AI2" s="85" t="s">
        <v>570</v>
      </c>
      <c r="AJ2" s="86" t="s">
        <v>571</v>
      </c>
      <c r="AL2" s="82" t="s">
        <v>572</v>
      </c>
      <c r="AN2" s="533" t="s">
        <v>6</v>
      </c>
      <c r="AO2" s="533"/>
      <c r="AP2" s="533"/>
      <c r="AQ2" s="533"/>
      <c r="AR2" s="533"/>
    </row>
    <row r="3" spans="2:44" ht="15" customHeight="1" x14ac:dyDescent="0.2">
      <c r="B3" s="534" t="s">
        <v>573</v>
      </c>
      <c r="C3" s="535"/>
      <c r="D3" s="535"/>
      <c r="E3" s="535"/>
      <c r="F3" s="536"/>
      <c r="G3" s="533" t="s">
        <v>123</v>
      </c>
      <c r="H3" s="533"/>
      <c r="J3" s="563" t="s">
        <v>574</v>
      </c>
      <c r="K3" s="564"/>
      <c r="L3" s="564"/>
      <c r="M3" s="564"/>
      <c r="N3" s="565"/>
      <c r="O3" s="580" t="s">
        <v>575</v>
      </c>
      <c r="P3" s="581"/>
      <c r="Q3" s="87"/>
      <c r="T3" s="552" t="s">
        <v>576</v>
      </c>
      <c r="U3" s="554" t="s">
        <v>577</v>
      </c>
      <c r="V3" s="555"/>
      <c r="W3" s="556"/>
      <c r="X3" s="554" t="s">
        <v>578</v>
      </c>
      <c r="Y3" s="555"/>
      <c r="Z3" s="556"/>
      <c r="AA3" s="554" t="s">
        <v>579</v>
      </c>
      <c r="AB3" s="555"/>
      <c r="AC3" s="556"/>
      <c r="AD3" s="554" t="s">
        <v>580</v>
      </c>
      <c r="AE3" s="555"/>
      <c r="AF3" s="556"/>
      <c r="AH3" s="88" t="s">
        <v>577</v>
      </c>
      <c r="AI3" s="89">
        <f>MAX(MAX(U5:U45),ABS(MIN(U5:U45)))</f>
        <v>1.6640999999999999</v>
      </c>
      <c r="AJ3" s="90">
        <f>MAX(MAX(V5:V45),ABS(MIN(V5:V45)))</f>
        <v>0.46879999999999999</v>
      </c>
      <c r="AL3" s="80" t="s">
        <v>581</v>
      </c>
      <c r="AN3" s="534" t="s">
        <v>582</v>
      </c>
      <c r="AO3" s="535"/>
      <c r="AP3" s="535"/>
      <c r="AQ3" s="535"/>
      <c r="AR3" s="536"/>
    </row>
    <row r="4" spans="2:44" ht="15" customHeight="1" thickBot="1" x14ac:dyDescent="0.25">
      <c r="B4" s="571" t="s">
        <v>583</v>
      </c>
      <c r="C4" s="572"/>
      <c r="D4" s="572"/>
      <c r="E4" s="572"/>
      <c r="F4" s="573"/>
      <c r="G4" s="542" t="s">
        <v>584</v>
      </c>
      <c r="H4" s="542"/>
      <c r="J4" s="566"/>
      <c r="K4" s="567"/>
      <c r="L4" s="567"/>
      <c r="M4" s="567"/>
      <c r="N4" s="568"/>
      <c r="O4" s="582"/>
      <c r="P4" s="583"/>
      <c r="Q4" s="87"/>
      <c r="T4" s="553"/>
      <c r="U4" s="91" t="s">
        <v>585</v>
      </c>
      <c r="V4" s="92" t="s">
        <v>586</v>
      </c>
      <c r="W4" s="93" t="s">
        <v>587</v>
      </c>
      <c r="X4" s="91" t="s">
        <v>585</v>
      </c>
      <c r="Y4" s="92" t="s">
        <v>586</v>
      </c>
      <c r="Z4" s="93" t="s">
        <v>587</v>
      </c>
      <c r="AA4" s="91" t="s">
        <v>585</v>
      </c>
      <c r="AB4" s="92" t="s">
        <v>586</v>
      </c>
      <c r="AC4" s="93" t="s">
        <v>587</v>
      </c>
      <c r="AD4" s="91" t="s">
        <v>585</v>
      </c>
      <c r="AE4" s="92" t="s">
        <v>586</v>
      </c>
      <c r="AF4" s="93" t="s">
        <v>587</v>
      </c>
      <c r="AH4" s="88" t="s">
        <v>578</v>
      </c>
      <c r="AI4" s="94">
        <f>MAX(MAX(X5:X45),ABS(MIN(X5:X45)))</f>
        <v>0.86329999999999996</v>
      </c>
      <c r="AJ4" s="95">
        <f>MAX(MAX(Y5:Y45),ABS(MIN(Y5:Y45)))</f>
        <v>0.53129999999999999</v>
      </c>
      <c r="AL4" s="80" t="s">
        <v>588</v>
      </c>
      <c r="AN4" s="82" t="s">
        <v>12</v>
      </c>
      <c r="AO4" s="82">
        <v>0</v>
      </c>
      <c r="AP4" s="82">
        <v>2.5</v>
      </c>
      <c r="AQ4" s="82">
        <v>7</v>
      </c>
      <c r="AR4" s="82">
        <v>25</v>
      </c>
    </row>
    <row r="5" spans="2:44" ht="15" customHeight="1" x14ac:dyDescent="0.2">
      <c r="B5" s="574"/>
      <c r="C5" s="575"/>
      <c r="D5" s="575"/>
      <c r="E5" s="575"/>
      <c r="F5" s="576"/>
      <c r="G5" s="542"/>
      <c r="H5" s="542"/>
      <c r="J5" s="571" t="s">
        <v>589</v>
      </c>
      <c r="K5" s="572"/>
      <c r="L5" s="572"/>
      <c r="M5" s="572"/>
      <c r="N5" s="573"/>
      <c r="O5" s="545">
        <v>0.85</v>
      </c>
      <c r="P5" s="546"/>
      <c r="T5" s="134">
        <v>0</v>
      </c>
      <c r="U5" s="119">
        <v>1.5508</v>
      </c>
      <c r="V5" s="120">
        <v>0</v>
      </c>
      <c r="W5" s="121">
        <v>0</v>
      </c>
      <c r="X5" s="119">
        <v>0.86329999999999996</v>
      </c>
      <c r="Y5" s="120">
        <v>0</v>
      </c>
      <c r="Z5" s="121">
        <v>0</v>
      </c>
      <c r="AA5" s="119">
        <v>1.2617</v>
      </c>
      <c r="AB5" s="120">
        <v>0</v>
      </c>
      <c r="AC5" s="121">
        <v>0</v>
      </c>
      <c r="AD5" s="119">
        <v>0.53520000000000001</v>
      </c>
      <c r="AE5" s="120">
        <v>0</v>
      </c>
      <c r="AF5" s="121">
        <v>0</v>
      </c>
      <c r="AH5" s="88" t="s">
        <v>579</v>
      </c>
      <c r="AI5" s="94">
        <f>MAX(MAX(AA5:AA45),ABS(MIN(AA5:AA45)))</f>
        <v>1.2617</v>
      </c>
      <c r="AJ5" s="95">
        <f>MAX(MAX(AB5:AB45),ABS(MIN(AB5:AB45)))</f>
        <v>0.625</v>
      </c>
      <c r="AL5" s="80" t="s">
        <v>590</v>
      </c>
      <c r="AN5" s="80" t="s">
        <v>18</v>
      </c>
      <c r="AO5" s="80">
        <v>1.2</v>
      </c>
      <c r="AP5" s="80">
        <v>1.2</v>
      </c>
      <c r="AQ5" s="80">
        <v>1.4</v>
      </c>
      <c r="AR5" s="80">
        <v>2</v>
      </c>
    </row>
    <row r="6" spans="2:44" ht="15" customHeight="1" thickBot="1" x14ac:dyDescent="0.25">
      <c r="B6" s="574"/>
      <c r="C6" s="575"/>
      <c r="D6" s="575"/>
      <c r="E6" s="575"/>
      <c r="F6" s="576"/>
      <c r="G6" s="542"/>
      <c r="H6" s="542"/>
      <c r="J6" s="577"/>
      <c r="K6" s="578"/>
      <c r="L6" s="578"/>
      <c r="M6" s="578"/>
      <c r="N6" s="579"/>
      <c r="O6" s="547"/>
      <c r="P6" s="548"/>
      <c r="T6" s="135">
        <v>10</v>
      </c>
      <c r="U6" s="128">
        <v>1.5390999999999999</v>
      </c>
      <c r="V6" s="129">
        <v>-4.6899999999999997E-2</v>
      </c>
      <c r="W6" s="130">
        <v>-2.5399999999999999E-2</v>
      </c>
      <c r="X6" s="128">
        <v>0.85940000000000005</v>
      </c>
      <c r="Y6" s="129">
        <v>0.1484</v>
      </c>
      <c r="Z6" s="130">
        <v>-7.9699999999999993E-2</v>
      </c>
      <c r="AA6" s="128">
        <v>1.2617</v>
      </c>
      <c r="AB6" s="129">
        <v>9.7699999999999995E-2</v>
      </c>
      <c r="AC6" s="130">
        <v>-2.81E-2</v>
      </c>
      <c r="AD6" s="128">
        <v>0.52339999999999998</v>
      </c>
      <c r="AE6" s="129">
        <v>0.1016</v>
      </c>
      <c r="AF6" s="130">
        <v>1.6799999999999999E-2</v>
      </c>
      <c r="AH6" s="96" t="s">
        <v>580</v>
      </c>
      <c r="AI6" s="97">
        <f>MAX(MAX(AD5:AD45),ABS(MIN(AD5:AD45)))</f>
        <v>0.59379999999999999</v>
      </c>
      <c r="AJ6" s="98">
        <f>MAX(MAX(AE5:AE45),ABS(MIN(AE5:AE45)))</f>
        <v>0.28520000000000001</v>
      </c>
      <c r="AL6" s="80" t="s">
        <v>591</v>
      </c>
      <c r="AN6" s="80" t="s">
        <v>592</v>
      </c>
      <c r="AO6" s="80">
        <v>0.5</v>
      </c>
      <c r="AP6" s="80">
        <v>0.5</v>
      </c>
      <c r="AQ6" s="80">
        <v>0.6</v>
      </c>
      <c r="AR6" s="80">
        <v>0.6</v>
      </c>
    </row>
    <row r="7" spans="2:44" ht="15" customHeight="1" x14ac:dyDescent="0.2">
      <c r="B7" s="574"/>
      <c r="C7" s="575"/>
      <c r="D7" s="575"/>
      <c r="E7" s="575"/>
      <c r="F7" s="576"/>
      <c r="G7" s="542"/>
      <c r="H7" s="542"/>
      <c r="J7" s="571" t="s">
        <v>593</v>
      </c>
      <c r="K7" s="572"/>
      <c r="L7" s="572"/>
      <c r="M7" s="572"/>
      <c r="N7" s="573"/>
      <c r="O7" s="545">
        <v>0.95</v>
      </c>
      <c r="P7" s="546"/>
      <c r="T7" s="135">
        <v>20</v>
      </c>
      <c r="U7" s="128">
        <v>1.5468999999999999</v>
      </c>
      <c r="V7" s="129">
        <v>-5.0799999999999998E-2</v>
      </c>
      <c r="W7" s="130">
        <v>-3.7900000000000003E-2</v>
      </c>
      <c r="X7" s="128">
        <v>0.82030000000000003</v>
      </c>
      <c r="Y7" s="129">
        <v>0.2969</v>
      </c>
      <c r="Z7" s="130">
        <v>-0.1113</v>
      </c>
      <c r="AA7" s="128">
        <v>1.25</v>
      </c>
      <c r="AB7" s="129">
        <v>0.17580000000000001</v>
      </c>
      <c r="AC7" s="130">
        <v>-4.53E-2</v>
      </c>
      <c r="AD7" s="128">
        <v>0.50780000000000003</v>
      </c>
      <c r="AE7" s="129">
        <v>0.1797</v>
      </c>
      <c r="AF7" s="130">
        <v>2.8899999999999999E-2</v>
      </c>
      <c r="AL7" s="80" t="s">
        <v>594</v>
      </c>
      <c r="AN7" s="80" t="s">
        <v>595</v>
      </c>
      <c r="AO7" s="80">
        <v>0.7</v>
      </c>
      <c r="AP7" s="80">
        <v>0.7</v>
      </c>
      <c r="AQ7" s="80">
        <v>0.8</v>
      </c>
      <c r="AR7" s="80">
        <v>1.2</v>
      </c>
    </row>
    <row r="8" spans="2:44" ht="15" customHeight="1" x14ac:dyDescent="0.2">
      <c r="B8" s="574"/>
      <c r="C8" s="575"/>
      <c r="D8" s="575"/>
      <c r="E8" s="575"/>
      <c r="F8" s="576"/>
      <c r="G8" s="542"/>
      <c r="H8" s="542"/>
      <c r="J8" s="577"/>
      <c r="K8" s="578"/>
      <c r="L8" s="578"/>
      <c r="M8" s="578"/>
      <c r="N8" s="579"/>
      <c r="O8" s="547"/>
      <c r="P8" s="548"/>
      <c r="T8" s="136">
        <v>30</v>
      </c>
      <c r="U8" s="122">
        <v>1.5547</v>
      </c>
      <c r="V8" s="123">
        <v>-3.1300000000000001E-2</v>
      </c>
      <c r="W8" s="124">
        <v>-4.2200000000000001E-2</v>
      </c>
      <c r="X8" s="122">
        <v>0.76170000000000004</v>
      </c>
      <c r="Y8" s="123">
        <v>0.41020000000000001</v>
      </c>
      <c r="Z8" s="124">
        <v>-0.1082</v>
      </c>
      <c r="AA8" s="122">
        <v>1.2109000000000001</v>
      </c>
      <c r="AB8" s="123">
        <v>0.2344</v>
      </c>
      <c r="AC8" s="124">
        <v>-5.1999999999999998E-2</v>
      </c>
      <c r="AD8" s="122">
        <v>0.46089999999999998</v>
      </c>
      <c r="AE8" s="123">
        <v>0.23050000000000001</v>
      </c>
      <c r="AF8" s="124">
        <v>3.8300000000000001E-2</v>
      </c>
      <c r="AL8" s="80" t="s">
        <v>188</v>
      </c>
    </row>
    <row r="9" spans="2:44" ht="15" customHeight="1" x14ac:dyDescent="0.2">
      <c r="B9" s="574"/>
      <c r="C9" s="575"/>
      <c r="D9" s="575"/>
      <c r="E9" s="575"/>
      <c r="F9" s="576"/>
      <c r="G9" s="542"/>
      <c r="H9" s="542"/>
      <c r="J9" s="571" t="s">
        <v>596</v>
      </c>
      <c r="K9" s="572"/>
      <c r="L9" s="572"/>
      <c r="M9" s="572"/>
      <c r="N9" s="573"/>
      <c r="O9" s="545">
        <v>0.95</v>
      </c>
      <c r="P9" s="546"/>
      <c r="T9" s="135">
        <v>40</v>
      </c>
      <c r="U9" s="128">
        <v>1.5938000000000001</v>
      </c>
      <c r="V9" s="129">
        <v>7.7999999999999996E-3</v>
      </c>
      <c r="W9" s="130">
        <v>-5.3499999999999999E-2</v>
      </c>
      <c r="X9" s="128">
        <v>0.66410000000000002</v>
      </c>
      <c r="Y9" s="129">
        <v>0.48830000000000001</v>
      </c>
      <c r="Z9" s="130">
        <v>-8.0100000000000005E-2</v>
      </c>
      <c r="AA9" s="128">
        <v>1.1563000000000001</v>
      </c>
      <c r="AB9" s="129">
        <v>0.28129999999999999</v>
      </c>
      <c r="AC9" s="130">
        <v>-4.8800000000000003E-2</v>
      </c>
      <c r="AD9" s="128">
        <v>0.40629999999999999</v>
      </c>
      <c r="AE9" s="129">
        <v>0.26169999999999999</v>
      </c>
      <c r="AF9" s="130">
        <v>4.4900000000000002E-2</v>
      </c>
      <c r="AL9" s="80" t="s">
        <v>597</v>
      </c>
    </row>
    <row r="10" spans="2:44" ht="15" customHeight="1" x14ac:dyDescent="0.2">
      <c r="B10" s="574"/>
      <c r="C10" s="575"/>
      <c r="D10" s="575"/>
      <c r="E10" s="575"/>
      <c r="F10" s="576"/>
      <c r="G10" s="542"/>
      <c r="H10" s="542"/>
      <c r="J10" s="577"/>
      <c r="K10" s="578"/>
      <c r="L10" s="578"/>
      <c r="M10" s="578"/>
      <c r="N10" s="579"/>
      <c r="O10" s="547"/>
      <c r="P10" s="548"/>
      <c r="T10" s="137">
        <v>45</v>
      </c>
      <c r="U10" s="125">
        <f>(U11+U9)/2</f>
        <v>1.6289500000000001</v>
      </c>
      <c r="V10" s="126">
        <f t="shared" ref="V10:AF10" si="0">(V11+V9)/2</f>
        <v>4.8800000000000003E-2</v>
      </c>
      <c r="W10" s="127">
        <f t="shared" si="0"/>
        <v>-6.1299999999999993E-2</v>
      </c>
      <c r="X10" s="125">
        <f t="shared" si="0"/>
        <v>0.60550000000000004</v>
      </c>
      <c r="Y10" s="126">
        <f t="shared" si="0"/>
        <v>0.50980000000000003</v>
      </c>
      <c r="Z10" s="127">
        <f t="shared" si="0"/>
        <v>-6.2300000000000001E-2</v>
      </c>
      <c r="AA10" s="125">
        <f t="shared" si="0"/>
        <v>1.1211000000000002</v>
      </c>
      <c r="AB10" s="126">
        <f t="shared" si="0"/>
        <v>0.29300000000000004</v>
      </c>
      <c r="AC10" s="127">
        <f t="shared" si="0"/>
        <v>-4.0599999999999997E-2</v>
      </c>
      <c r="AD10" s="125">
        <f t="shared" si="0"/>
        <v>0.37504999999999999</v>
      </c>
      <c r="AE10" s="126">
        <f t="shared" si="0"/>
        <v>0.26754999999999995</v>
      </c>
      <c r="AF10" s="127">
        <f t="shared" si="0"/>
        <v>4.725E-2</v>
      </c>
      <c r="AL10" s="80" t="s">
        <v>598</v>
      </c>
    </row>
    <row r="11" spans="2:44" ht="15" customHeight="1" x14ac:dyDescent="0.2">
      <c r="B11" s="574"/>
      <c r="C11" s="575"/>
      <c r="D11" s="575"/>
      <c r="E11" s="575"/>
      <c r="F11" s="576"/>
      <c r="G11" s="542"/>
      <c r="H11" s="542"/>
      <c r="J11" s="571" t="s">
        <v>599</v>
      </c>
      <c r="K11" s="572"/>
      <c r="L11" s="572"/>
      <c r="M11" s="572"/>
      <c r="N11" s="573"/>
      <c r="O11" s="584">
        <v>1</v>
      </c>
      <c r="P11" s="585"/>
      <c r="Q11" s="99"/>
      <c r="T11" s="135">
        <v>50</v>
      </c>
      <c r="U11" s="128">
        <v>1.6640999999999999</v>
      </c>
      <c r="V11" s="129">
        <v>8.9800000000000005E-2</v>
      </c>
      <c r="W11" s="130">
        <v>-6.9099999999999995E-2</v>
      </c>
      <c r="X11" s="128">
        <v>0.54690000000000005</v>
      </c>
      <c r="Y11" s="129">
        <v>0.53129999999999999</v>
      </c>
      <c r="Z11" s="130">
        <v>-4.4499999999999998E-2</v>
      </c>
      <c r="AA11" s="128">
        <v>1.0859000000000001</v>
      </c>
      <c r="AB11" s="129">
        <v>0.30470000000000003</v>
      </c>
      <c r="AC11" s="130">
        <v>-3.2399999999999998E-2</v>
      </c>
      <c r="AD11" s="128">
        <v>0.34379999999999999</v>
      </c>
      <c r="AE11" s="129">
        <v>0.27339999999999998</v>
      </c>
      <c r="AF11" s="130">
        <v>4.9599999999999998E-2</v>
      </c>
    </row>
    <row r="12" spans="2:44" ht="15" customHeight="1" x14ac:dyDescent="0.2">
      <c r="B12" s="574"/>
      <c r="C12" s="575"/>
      <c r="D12" s="575"/>
      <c r="E12" s="575"/>
      <c r="F12" s="576"/>
      <c r="G12" s="542"/>
      <c r="H12" s="542"/>
      <c r="J12" s="574"/>
      <c r="K12" s="575"/>
      <c r="L12" s="575"/>
      <c r="M12" s="575"/>
      <c r="N12" s="576"/>
      <c r="O12" s="586"/>
      <c r="P12" s="587"/>
      <c r="Q12" s="99"/>
      <c r="T12" s="136">
        <v>60</v>
      </c>
      <c r="U12" s="122">
        <v>1.6484000000000001</v>
      </c>
      <c r="V12" s="123">
        <v>0.2422</v>
      </c>
      <c r="W12" s="124">
        <v>-8.7099999999999997E-2</v>
      </c>
      <c r="X12" s="122">
        <v>0.41799999999999998</v>
      </c>
      <c r="Y12" s="123">
        <v>0.5</v>
      </c>
      <c r="Z12" s="124">
        <v>-8.0000000000000004E-4</v>
      </c>
      <c r="AA12" s="122">
        <v>0.94530000000000003</v>
      </c>
      <c r="AB12" s="123">
        <v>0.36720000000000003</v>
      </c>
      <c r="AC12" s="124">
        <v>-8.6E-3</v>
      </c>
      <c r="AD12" s="122">
        <v>0.2344</v>
      </c>
      <c r="AE12" s="123">
        <v>0.28129999999999999</v>
      </c>
      <c r="AF12" s="124">
        <v>5.2699999999999997E-2</v>
      </c>
    </row>
    <row r="13" spans="2:44" ht="15" customHeight="1" x14ac:dyDescent="0.2">
      <c r="B13" s="574"/>
      <c r="C13" s="575"/>
      <c r="D13" s="575"/>
      <c r="E13" s="575"/>
      <c r="F13" s="576"/>
      <c r="G13" s="542"/>
      <c r="H13" s="542"/>
      <c r="J13" s="577"/>
      <c r="K13" s="578"/>
      <c r="L13" s="578"/>
      <c r="M13" s="578"/>
      <c r="N13" s="579"/>
      <c r="O13" s="588"/>
      <c r="P13" s="589"/>
      <c r="Q13" s="99"/>
      <c r="T13" s="135">
        <v>70</v>
      </c>
      <c r="U13" s="128">
        <v>1.3672</v>
      </c>
      <c r="V13" s="129">
        <v>0.45700000000000002</v>
      </c>
      <c r="W13" s="130">
        <v>-7.7999999999999996E-3</v>
      </c>
      <c r="X13" s="128">
        <v>0.3125</v>
      </c>
      <c r="Y13" s="129">
        <v>0.46089999999999998</v>
      </c>
      <c r="Z13" s="130">
        <v>5.0799999999999998E-2</v>
      </c>
      <c r="AA13" s="128">
        <v>0.67190000000000005</v>
      </c>
      <c r="AB13" s="129">
        <v>0.47660000000000002</v>
      </c>
      <c r="AC13" s="130">
        <v>2.2700000000000001E-2</v>
      </c>
      <c r="AD13" s="128">
        <v>0.12889999999999999</v>
      </c>
      <c r="AE13" s="129">
        <v>0.27339999999999998</v>
      </c>
      <c r="AF13" s="130">
        <v>5.5500000000000001E-2</v>
      </c>
    </row>
    <row r="14" spans="2:44" ht="15" customHeight="1" x14ac:dyDescent="0.2">
      <c r="B14" s="577"/>
      <c r="C14" s="578"/>
      <c r="D14" s="578"/>
      <c r="E14" s="578"/>
      <c r="F14" s="579"/>
      <c r="G14" s="542"/>
      <c r="H14" s="542"/>
      <c r="T14" s="135">
        <v>80</v>
      </c>
      <c r="U14" s="128">
        <v>0.76170000000000004</v>
      </c>
      <c r="V14" s="129">
        <v>0.37890000000000001</v>
      </c>
      <c r="W14" s="130">
        <v>0.1</v>
      </c>
      <c r="X14" s="128">
        <v>0.2266</v>
      </c>
      <c r="Y14" s="129">
        <v>0.4375</v>
      </c>
      <c r="Z14" s="130">
        <v>0.1047</v>
      </c>
      <c r="AA14" s="128">
        <v>0.27339999999999998</v>
      </c>
      <c r="AB14" s="129">
        <v>0.58199999999999996</v>
      </c>
      <c r="AC14" s="130">
        <v>6.9500000000000006E-2</v>
      </c>
      <c r="AD14" s="128">
        <v>3.9100000000000003E-2</v>
      </c>
      <c r="AE14" s="129">
        <v>0.25</v>
      </c>
      <c r="AF14" s="130">
        <v>4.9200000000000001E-2</v>
      </c>
    </row>
    <row r="15" spans="2:44" ht="15" customHeight="1" x14ac:dyDescent="0.2">
      <c r="B15" s="571" t="s">
        <v>600</v>
      </c>
      <c r="C15" s="572"/>
      <c r="D15" s="572"/>
      <c r="E15" s="572"/>
      <c r="F15" s="573"/>
      <c r="G15" s="542" t="s">
        <v>124</v>
      </c>
      <c r="H15" s="542"/>
      <c r="J15" s="533" t="s">
        <v>601</v>
      </c>
      <c r="K15" s="533"/>
      <c r="L15" s="533"/>
      <c r="M15" s="533"/>
      <c r="T15" s="136">
        <v>90</v>
      </c>
      <c r="U15" s="122">
        <v>-1.17E-2</v>
      </c>
      <c r="V15" s="123">
        <v>0.34379999999999999</v>
      </c>
      <c r="W15" s="124">
        <v>0.1313</v>
      </c>
      <c r="X15" s="122">
        <v>0.1328</v>
      </c>
      <c r="Y15" s="123">
        <v>0.40629999999999999</v>
      </c>
      <c r="Z15" s="124">
        <v>0.15229999999999999</v>
      </c>
      <c r="AA15" s="122">
        <v>-0.1094</v>
      </c>
      <c r="AB15" s="123">
        <v>0.625</v>
      </c>
      <c r="AC15" s="124">
        <v>9.8000000000000004E-2</v>
      </c>
      <c r="AD15" s="122">
        <v>-5.0799999999999998E-2</v>
      </c>
      <c r="AE15" s="123">
        <v>0.2422</v>
      </c>
      <c r="AF15" s="124">
        <v>4.3400000000000001E-2</v>
      </c>
      <c r="AN15" s="533" t="s">
        <v>602</v>
      </c>
      <c r="AO15" s="533"/>
      <c r="AP15" s="533"/>
      <c r="AQ15" s="533"/>
      <c r="AR15" s="533"/>
    </row>
    <row r="16" spans="2:44" ht="15" customHeight="1" x14ac:dyDescent="0.2">
      <c r="B16" s="574"/>
      <c r="C16" s="575"/>
      <c r="D16" s="575"/>
      <c r="E16" s="575"/>
      <c r="F16" s="576"/>
      <c r="G16" s="542"/>
      <c r="H16" s="542"/>
      <c r="J16" s="544" t="s">
        <v>123</v>
      </c>
      <c r="K16" s="543" t="s">
        <v>162</v>
      </c>
      <c r="L16" s="569" t="s">
        <v>603</v>
      </c>
      <c r="M16" s="540" t="s">
        <v>604</v>
      </c>
      <c r="T16" s="135">
        <v>100</v>
      </c>
      <c r="U16" s="128">
        <v>-0.40229999999999999</v>
      </c>
      <c r="V16" s="129">
        <v>0.38279999999999997</v>
      </c>
      <c r="W16" s="130">
        <v>0.13200000000000001</v>
      </c>
      <c r="X16" s="128">
        <v>3.1300000000000001E-2</v>
      </c>
      <c r="Y16" s="129">
        <v>0.3906</v>
      </c>
      <c r="Z16" s="130">
        <v>0.16950000000000001</v>
      </c>
      <c r="AA16" s="128">
        <v>-0.34379999999999999</v>
      </c>
      <c r="AB16" s="129">
        <v>0.60160000000000002</v>
      </c>
      <c r="AC16" s="130">
        <v>0.1125</v>
      </c>
      <c r="AD16" s="128">
        <v>-0.1172</v>
      </c>
      <c r="AE16" s="129">
        <v>0.27339999999999998</v>
      </c>
      <c r="AF16" s="130">
        <v>4.6899999999999997E-2</v>
      </c>
      <c r="AN16" s="534" t="s">
        <v>582</v>
      </c>
      <c r="AO16" s="535"/>
      <c r="AP16" s="535"/>
      <c r="AQ16" s="535"/>
      <c r="AR16" s="536"/>
    </row>
    <row r="17" spans="2:44" ht="15" customHeight="1" x14ac:dyDescent="0.2">
      <c r="B17" s="574"/>
      <c r="C17" s="575"/>
      <c r="D17" s="575"/>
      <c r="E17" s="575"/>
      <c r="F17" s="576"/>
      <c r="G17" s="542"/>
      <c r="H17" s="542"/>
      <c r="J17" s="537"/>
      <c r="K17" s="544"/>
      <c r="L17" s="570"/>
      <c r="M17" s="541"/>
      <c r="T17" s="135">
        <v>110</v>
      </c>
      <c r="U17" s="128">
        <v>-0.46089999999999998</v>
      </c>
      <c r="V17" s="129">
        <v>0.41410000000000002</v>
      </c>
      <c r="W17" s="130">
        <v>0.13400000000000001</v>
      </c>
      <c r="X17" s="128">
        <v>-6.6400000000000001E-2</v>
      </c>
      <c r="Y17" s="129">
        <v>0.37109999999999999</v>
      </c>
      <c r="Z17" s="130">
        <v>0.1648</v>
      </c>
      <c r="AA17" s="128">
        <v>-0.53910000000000002</v>
      </c>
      <c r="AB17" s="129">
        <v>0.53129999999999999</v>
      </c>
      <c r="AC17" s="130">
        <v>0.11409999999999999</v>
      </c>
      <c r="AD17" s="128">
        <v>-0.1875</v>
      </c>
      <c r="AE17" s="129">
        <v>0.28520000000000001</v>
      </c>
      <c r="AF17" s="130">
        <v>5.04E-2</v>
      </c>
      <c r="AN17" s="82" t="s">
        <v>12</v>
      </c>
      <c r="AO17" s="82">
        <v>0</v>
      </c>
      <c r="AP17" s="82">
        <v>2.5</v>
      </c>
      <c r="AQ17" s="82">
        <v>7</v>
      </c>
      <c r="AR17" s="82">
        <v>25</v>
      </c>
    </row>
    <row r="18" spans="2:44" ht="15" customHeight="1" x14ac:dyDescent="0.2">
      <c r="B18" s="574"/>
      <c r="C18" s="575"/>
      <c r="D18" s="575"/>
      <c r="E18" s="575"/>
      <c r="F18" s="576"/>
      <c r="G18" s="542"/>
      <c r="H18" s="542"/>
      <c r="J18" s="80" t="s">
        <v>584</v>
      </c>
      <c r="K18" s="80" t="s">
        <v>146</v>
      </c>
      <c r="L18" s="80" t="s">
        <v>146</v>
      </c>
      <c r="M18" s="80">
        <v>0.87</v>
      </c>
      <c r="T18" s="136">
        <v>120</v>
      </c>
      <c r="U18" s="122">
        <v>-0.45700000000000002</v>
      </c>
      <c r="V18" s="123">
        <v>0.45700000000000002</v>
      </c>
      <c r="W18" s="124">
        <v>0.14299999999999999</v>
      </c>
      <c r="X18" s="122">
        <v>-0.1641</v>
      </c>
      <c r="Y18" s="123">
        <v>0.34770000000000001</v>
      </c>
      <c r="Z18" s="124">
        <v>0.1578</v>
      </c>
      <c r="AA18" s="122">
        <v>-0.71089999999999998</v>
      </c>
      <c r="AB18" s="123">
        <v>0.4375</v>
      </c>
      <c r="AC18" s="124">
        <v>0.10390000000000001</v>
      </c>
      <c r="AD18" s="122">
        <v>-0.2656</v>
      </c>
      <c r="AE18" s="123">
        <v>0.27729999999999999</v>
      </c>
      <c r="AF18" s="124">
        <v>5.1200000000000002E-2</v>
      </c>
      <c r="AN18" s="80" t="s">
        <v>605</v>
      </c>
      <c r="AO18" s="80">
        <v>0.5</v>
      </c>
      <c r="AP18" s="80">
        <v>0.5</v>
      </c>
      <c r="AQ18" s="80">
        <v>0.6</v>
      </c>
      <c r="AR18" s="80">
        <v>0.6</v>
      </c>
    </row>
    <row r="19" spans="2:44" ht="15" customHeight="1" x14ac:dyDescent="0.2">
      <c r="B19" s="574"/>
      <c r="C19" s="575"/>
      <c r="D19" s="575"/>
      <c r="E19" s="575"/>
      <c r="F19" s="576"/>
      <c r="G19" s="542"/>
      <c r="H19" s="542"/>
      <c r="J19" s="80" t="s">
        <v>124</v>
      </c>
      <c r="K19" s="101">
        <v>1</v>
      </c>
      <c r="L19" s="101">
        <v>1</v>
      </c>
      <c r="M19" s="101">
        <v>1</v>
      </c>
      <c r="T19" s="135">
        <v>130</v>
      </c>
      <c r="U19" s="128">
        <v>-0.46879999999999999</v>
      </c>
      <c r="V19" s="129">
        <v>0.46879999999999999</v>
      </c>
      <c r="W19" s="130">
        <v>0.14610000000000001</v>
      </c>
      <c r="X19" s="128">
        <v>-0.29299999999999998</v>
      </c>
      <c r="Y19" s="129">
        <v>0.32029999999999997</v>
      </c>
      <c r="Z19" s="130">
        <v>0.13950000000000001</v>
      </c>
      <c r="AA19" s="128">
        <v>-0.85940000000000005</v>
      </c>
      <c r="AB19" s="129">
        <v>0.3125</v>
      </c>
      <c r="AC19" s="130">
        <v>9.2600000000000002E-2</v>
      </c>
      <c r="AD19" s="128">
        <v>-0.33589999999999998</v>
      </c>
      <c r="AE19" s="129">
        <v>0.26169999999999999</v>
      </c>
      <c r="AF19" s="130">
        <v>4.9599999999999998E-2</v>
      </c>
      <c r="AN19" s="80" t="s">
        <v>606</v>
      </c>
      <c r="AO19" s="80">
        <v>0.7</v>
      </c>
      <c r="AP19" s="80">
        <v>0.7</v>
      </c>
      <c r="AQ19" s="80">
        <v>0.8</v>
      </c>
      <c r="AR19" s="80">
        <v>1.2</v>
      </c>
    </row>
    <row r="20" spans="2:44" ht="15" customHeight="1" x14ac:dyDescent="0.2">
      <c r="B20" s="574"/>
      <c r="C20" s="575"/>
      <c r="D20" s="575"/>
      <c r="E20" s="575"/>
      <c r="F20" s="576"/>
      <c r="G20" s="542"/>
      <c r="H20" s="542"/>
      <c r="J20" s="80" t="s">
        <v>607</v>
      </c>
      <c r="K20" s="80">
        <v>1.1499999999999999</v>
      </c>
      <c r="L20" s="80">
        <v>1.25</v>
      </c>
      <c r="M20" s="80">
        <v>1.1499999999999999</v>
      </c>
      <c r="T20" s="137">
        <v>135</v>
      </c>
      <c r="U20" s="125">
        <f t="shared" ref="U20:AF20" si="1">(U21+U19)/2</f>
        <v>-0.52150000000000007</v>
      </c>
      <c r="V20" s="126">
        <f t="shared" si="1"/>
        <v>0.45704999999999996</v>
      </c>
      <c r="W20" s="127">
        <f t="shared" si="1"/>
        <v>0.13905000000000001</v>
      </c>
      <c r="X20" s="125">
        <f t="shared" si="1"/>
        <v>-0.35160000000000002</v>
      </c>
      <c r="Y20" s="126">
        <f t="shared" si="1"/>
        <v>0.3125</v>
      </c>
      <c r="Z20" s="127">
        <f t="shared" si="1"/>
        <v>0.11505000000000001</v>
      </c>
      <c r="AA20" s="125">
        <f t="shared" si="1"/>
        <v>-0.89650000000000007</v>
      </c>
      <c r="AB20" s="126">
        <f t="shared" si="1"/>
        <v>0.27150000000000002</v>
      </c>
      <c r="AC20" s="127">
        <f t="shared" si="1"/>
        <v>8.5150000000000003E-2</v>
      </c>
      <c r="AD20" s="125">
        <f t="shared" si="1"/>
        <v>-0.37109999999999999</v>
      </c>
      <c r="AE20" s="126">
        <f t="shared" si="1"/>
        <v>0.24804999999999999</v>
      </c>
      <c r="AF20" s="127">
        <f t="shared" si="1"/>
        <v>4.7049999999999995E-2</v>
      </c>
      <c r="AN20" s="80" t="s">
        <v>608</v>
      </c>
      <c r="AO20" s="80">
        <v>0.7</v>
      </c>
      <c r="AP20" s="80">
        <v>0.7</v>
      </c>
      <c r="AQ20" s="80">
        <v>0.8</v>
      </c>
      <c r="AR20" s="80">
        <v>1.2</v>
      </c>
    </row>
    <row r="21" spans="2:44" ht="15" customHeight="1" x14ac:dyDescent="0.2">
      <c r="B21" s="574"/>
      <c r="C21" s="575"/>
      <c r="D21" s="575"/>
      <c r="E21" s="575"/>
      <c r="F21" s="576"/>
      <c r="G21" s="542"/>
      <c r="H21" s="542"/>
      <c r="J21" s="102" t="s">
        <v>609</v>
      </c>
      <c r="K21" s="102">
        <v>1.25</v>
      </c>
      <c r="L21" s="103">
        <v>1.5</v>
      </c>
      <c r="M21" s="80">
        <v>1.1499999999999999</v>
      </c>
      <c r="T21" s="135">
        <v>140</v>
      </c>
      <c r="U21" s="128">
        <v>-0.57420000000000004</v>
      </c>
      <c r="V21" s="129">
        <v>0.44529999999999997</v>
      </c>
      <c r="W21" s="130">
        <v>0.13200000000000001</v>
      </c>
      <c r="X21" s="128">
        <v>-0.41020000000000001</v>
      </c>
      <c r="Y21" s="129">
        <v>0.30470000000000003</v>
      </c>
      <c r="Z21" s="130">
        <v>9.06E-2</v>
      </c>
      <c r="AA21" s="128">
        <v>-0.93359999999999999</v>
      </c>
      <c r="AB21" s="129">
        <v>0.23050000000000001</v>
      </c>
      <c r="AC21" s="130">
        <v>7.7700000000000005E-2</v>
      </c>
      <c r="AD21" s="128">
        <v>-0.40629999999999999</v>
      </c>
      <c r="AE21" s="129">
        <v>0.2344</v>
      </c>
      <c r="AF21" s="130">
        <v>4.4499999999999998E-2</v>
      </c>
    </row>
    <row r="22" spans="2:44" ht="15" customHeight="1" x14ac:dyDescent="0.2">
      <c r="B22" s="574"/>
      <c r="C22" s="575"/>
      <c r="D22" s="575"/>
      <c r="E22" s="575"/>
      <c r="F22" s="576"/>
      <c r="G22" s="542"/>
      <c r="H22" s="542"/>
      <c r="J22" s="538" t="s">
        <v>610</v>
      </c>
      <c r="K22" s="538"/>
      <c r="L22" s="538"/>
      <c r="M22" s="538"/>
      <c r="T22" s="136">
        <v>150</v>
      </c>
      <c r="U22" s="122">
        <v>-0.77339999999999998</v>
      </c>
      <c r="V22" s="123">
        <v>0.3906</v>
      </c>
      <c r="W22" s="124">
        <v>0.1086</v>
      </c>
      <c r="X22" s="122">
        <v>-0.51949999999999996</v>
      </c>
      <c r="Y22" s="123">
        <v>0.27339999999999998</v>
      </c>
      <c r="Z22" s="124">
        <v>5.16E-2</v>
      </c>
      <c r="AA22" s="122">
        <v>-0.95699999999999996</v>
      </c>
      <c r="AB22" s="123">
        <v>0.17580000000000001</v>
      </c>
      <c r="AC22" s="124">
        <v>6.1699999999999998E-2</v>
      </c>
      <c r="AD22" s="122">
        <v>-0.47660000000000002</v>
      </c>
      <c r="AE22" s="123">
        <v>0.2031</v>
      </c>
      <c r="AF22" s="124">
        <v>3.7100000000000001E-2</v>
      </c>
    </row>
    <row r="23" spans="2:44" ht="15" customHeight="1" x14ac:dyDescent="0.2">
      <c r="B23" s="574"/>
      <c r="C23" s="575"/>
      <c r="D23" s="575"/>
      <c r="E23" s="575"/>
      <c r="F23" s="576"/>
      <c r="G23" s="542"/>
      <c r="H23" s="542"/>
      <c r="J23" s="538"/>
      <c r="K23" s="538"/>
      <c r="L23" s="538"/>
      <c r="M23" s="538"/>
      <c r="T23" s="135">
        <v>160</v>
      </c>
      <c r="U23" s="128">
        <v>-0.86719999999999997</v>
      </c>
      <c r="V23" s="129">
        <v>0.29299999999999998</v>
      </c>
      <c r="W23" s="130">
        <v>8.3599999999999994E-2</v>
      </c>
      <c r="X23" s="128">
        <v>-0.60160000000000002</v>
      </c>
      <c r="Y23" s="129">
        <v>0.2266</v>
      </c>
      <c r="Z23" s="130">
        <v>2.46E-2</v>
      </c>
      <c r="AA23" s="128">
        <v>-0.97270000000000001</v>
      </c>
      <c r="AB23" s="129">
        <v>0.1484</v>
      </c>
      <c r="AC23" s="130">
        <v>4.3799999999999999E-2</v>
      </c>
      <c r="AD23" s="128">
        <v>-0.54690000000000005</v>
      </c>
      <c r="AE23" s="129">
        <v>0.15629999999999999</v>
      </c>
      <c r="AF23" s="130">
        <v>2.7300000000000001E-2</v>
      </c>
    </row>
    <row r="24" spans="2:44" ht="15" customHeight="1" x14ac:dyDescent="0.2">
      <c r="B24" s="574"/>
      <c r="C24" s="575"/>
      <c r="D24" s="575"/>
      <c r="E24" s="575"/>
      <c r="F24" s="576"/>
      <c r="G24" s="542"/>
      <c r="H24" s="542"/>
      <c r="T24" s="135">
        <v>170</v>
      </c>
      <c r="U24" s="128">
        <v>-0.94530000000000003</v>
      </c>
      <c r="V24" s="129">
        <v>0.14449999999999999</v>
      </c>
      <c r="W24" s="130">
        <v>5.0799999999999998E-2</v>
      </c>
      <c r="X24" s="128">
        <v>-0.65629999999999999</v>
      </c>
      <c r="Y24" s="129">
        <v>0.1484</v>
      </c>
      <c r="Z24" s="130">
        <v>8.6E-3</v>
      </c>
      <c r="AA24" s="128">
        <v>-0.99609999999999999</v>
      </c>
      <c r="AB24" s="129">
        <v>9.7699999999999995E-2</v>
      </c>
      <c r="AC24" s="130">
        <v>2.3E-2</v>
      </c>
      <c r="AD24" s="128">
        <v>-0.58589999999999998</v>
      </c>
      <c r="AE24" s="129">
        <v>8.5900000000000004E-2</v>
      </c>
      <c r="AF24" s="130">
        <v>1.4800000000000001E-2</v>
      </c>
    </row>
    <row r="25" spans="2:44" ht="15" customHeight="1" x14ac:dyDescent="0.2">
      <c r="B25" s="574"/>
      <c r="C25" s="575"/>
      <c r="D25" s="575"/>
      <c r="E25" s="575"/>
      <c r="F25" s="576"/>
      <c r="G25" s="542"/>
      <c r="H25" s="542"/>
      <c r="J25" s="534" t="s">
        <v>611</v>
      </c>
      <c r="K25" s="535"/>
      <c r="L25" s="535"/>
      <c r="M25" s="535"/>
      <c r="N25" s="535"/>
      <c r="O25" s="536"/>
      <c r="T25" s="136">
        <v>180</v>
      </c>
      <c r="U25" s="122">
        <v>-1.0547</v>
      </c>
      <c r="V25" s="123">
        <v>0</v>
      </c>
      <c r="W25" s="124">
        <v>0</v>
      </c>
      <c r="X25" s="122">
        <v>-0.69140000000000001</v>
      </c>
      <c r="Y25" s="123">
        <v>0</v>
      </c>
      <c r="Z25" s="124">
        <v>0</v>
      </c>
      <c r="AA25" s="122">
        <v>-1.0156000000000001</v>
      </c>
      <c r="AB25" s="123">
        <v>0</v>
      </c>
      <c r="AC25" s="124">
        <v>0</v>
      </c>
      <c r="AD25" s="122">
        <v>-0.59379999999999999</v>
      </c>
      <c r="AE25" s="123">
        <v>0</v>
      </c>
      <c r="AF25" s="124">
        <v>0</v>
      </c>
    </row>
    <row r="26" spans="2:44" ht="15" customHeight="1" x14ac:dyDescent="0.2">
      <c r="B26" s="574"/>
      <c r="C26" s="575"/>
      <c r="D26" s="575"/>
      <c r="E26" s="575"/>
      <c r="F26" s="576"/>
      <c r="G26" s="542"/>
      <c r="H26" s="542"/>
      <c r="J26" s="537" t="s">
        <v>135</v>
      </c>
      <c r="K26" s="537" t="s">
        <v>612</v>
      </c>
      <c r="L26" s="537"/>
      <c r="M26" s="537" t="s">
        <v>613</v>
      </c>
      <c r="N26" s="537" t="s">
        <v>614</v>
      </c>
      <c r="O26" s="537" t="s">
        <v>615</v>
      </c>
      <c r="T26" s="135">
        <v>190</v>
      </c>
      <c r="U26" s="128">
        <v>-0.94530000000000003</v>
      </c>
      <c r="V26" s="129">
        <v>-0.14449999999999999</v>
      </c>
      <c r="W26" s="130">
        <v>-5.0799999999999998E-2</v>
      </c>
      <c r="X26" s="128">
        <v>-0.65629999999999999</v>
      </c>
      <c r="Y26" s="129">
        <v>-0.1484</v>
      </c>
      <c r="Z26" s="130">
        <v>-8.6E-3</v>
      </c>
      <c r="AA26" s="128">
        <v>-0.99609999999999999</v>
      </c>
      <c r="AB26" s="129">
        <v>-9.7699999999999995E-2</v>
      </c>
      <c r="AC26" s="130">
        <v>-2.3E-2</v>
      </c>
      <c r="AD26" s="128">
        <v>-0.58589999999999998</v>
      </c>
      <c r="AE26" s="129">
        <v>-8.5900000000000004E-2</v>
      </c>
      <c r="AF26" s="130">
        <v>-1.4800000000000001E-2</v>
      </c>
    </row>
    <row r="27" spans="2:44" ht="15" customHeight="1" x14ac:dyDescent="0.2">
      <c r="B27" s="577"/>
      <c r="C27" s="578"/>
      <c r="D27" s="578"/>
      <c r="E27" s="578"/>
      <c r="F27" s="579"/>
      <c r="G27" s="542"/>
      <c r="H27" s="542"/>
      <c r="J27" s="537"/>
      <c r="K27" s="100" t="s">
        <v>616</v>
      </c>
      <c r="L27" s="82" t="s">
        <v>617</v>
      </c>
      <c r="M27" s="537"/>
      <c r="N27" s="537"/>
      <c r="O27" s="537"/>
      <c r="T27" s="135">
        <v>200</v>
      </c>
      <c r="U27" s="128">
        <v>-0.86719999999999997</v>
      </c>
      <c r="V27" s="129">
        <v>-0.29299999999999998</v>
      </c>
      <c r="W27" s="130">
        <v>-8.3599999999999994E-2</v>
      </c>
      <c r="X27" s="128">
        <v>-0.60160000000000002</v>
      </c>
      <c r="Y27" s="129">
        <v>-0.2266</v>
      </c>
      <c r="Z27" s="130">
        <v>-2.46E-2</v>
      </c>
      <c r="AA27" s="128">
        <v>-0.97270000000000001</v>
      </c>
      <c r="AB27" s="129">
        <v>-0.1484</v>
      </c>
      <c r="AC27" s="130">
        <v>-4.3799999999999999E-2</v>
      </c>
      <c r="AD27" s="128">
        <v>-0.54690000000000005</v>
      </c>
      <c r="AE27" s="129">
        <v>-0.15629999999999999</v>
      </c>
      <c r="AF27" s="130">
        <v>-2.7300000000000001E-2</v>
      </c>
    </row>
    <row r="28" spans="2:44" ht="15" customHeight="1" x14ac:dyDescent="0.2">
      <c r="B28" s="571" t="s">
        <v>618</v>
      </c>
      <c r="C28" s="572"/>
      <c r="D28" s="572"/>
      <c r="E28" s="572"/>
      <c r="F28" s="573"/>
      <c r="G28" s="542" t="s">
        <v>607</v>
      </c>
      <c r="H28" s="542"/>
      <c r="J28" s="80" t="s">
        <v>0</v>
      </c>
      <c r="K28" s="104">
        <v>1200</v>
      </c>
      <c r="L28" s="105">
        <v>366</v>
      </c>
      <c r="M28" s="106">
        <v>7</v>
      </c>
      <c r="N28" s="101">
        <v>0.7</v>
      </c>
      <c r="O28" s="101">
        <v>0.9</v>
      </c>
      <c r="T28" s="136">
        <v>210</v>
      </c>
      <c r="U28" s="122">
        <v>-0.77339999999999998</v>
      </c>
      <c r="V28" s="123">
        <v>-0.3906</v>
      </c>
      <c r="W28" s="124">
        <v>-0.1086</v>
      </c>
      <c r="X28" s="122">
        <v>-0.51949999999999996</v>
      </c>
      <c r="Y28" s="123">
        <v>-0.27339999999999998</v>
      </c>
      <c r="Z28" s="124">
        <v>-5.16E-2</v>
      </c>
      <c r="AA28" s="122">
        <v>-0.95699999999999996</v>
      </c>
      <c r="AB28" s="123">
        <v>-0.17580000000000001</v>
      </c>
      <c r="AC28" s="124">
        <v>-6.1699999999999998E-2</v>
      </c>
      <c r="AD28" s="122">
        <v>-0.47660000000000002</v>
      </c>
      <c r="AE28" s="123">
        <v>-0.2031</v>
      </c>
      <c r="AF28" s="124">
        <v>-3.7100000000000001E-2</v>
      </c>
    </row>
    <row r="29" spans="2:44" ht="15" customHeight="1" x14ac:dyDescent="0.2">
      <c r="B29" s="574"/>
      <c r="C29" s="575"/>
      <c r="D29" s="575"/>
      <c r="E29" s="575"/>
      <c r="F29" s="576"/>
      <c r="G29" s="542"/>
      <c r="H29" s="542"/>
      <c r="J29" s="80" t="s">
        <v>136</v>
      </c>
      <c r="K29" s="104">
        <v>900</v>
      </c>
      <c r="L29" s="105">
        <v>274</v>
      </c>
      <c r="M29" s="80">
        <v>9.5</v>
      </c>
      <c r="N29" s="101">
        <v>0.85</v>
      </c>
      <c r="O29" s="101">
        <v>1</v>
      </c>
      <c r="T29" s="135">
        <v>220</v>
      </c>
      <c r="U29" s="128">
        <v>-0.57420000000000004</v>
      </c>
      <c r="V29" s="129">
        <v>-0.44529999999999997</v>
      </c>
      <c r="W29" s="130">
        <v>-0.13200000000000001</v>
      </c>
      <c r="X29" s="128">
        <v>-0.41020000000000001</v>
      </c>
      <c r="Y29" s="129">
        <v>-0.30470000000000003</v>
      </c>
      <c r="Z29" s="130">
        <v>-9.06E-2</v>
      </c>
      <c r="AA29" s="128">
        <v>-0.93359999999999999</v>
      </c>
      <c r="AB29" s="129">
        <v>-0.23050000000000001</v>
      </c>
      <c r="AC29" s="130">
        <v>-7.7700000000000005E-2</v>
      </c>
      <c r="AD29" s="128">
        <v>-0.40629999999999999</v>
      </c>
      <c r="AE29" s="129">
        <v>-0.2344</v>
      </c>
      <c r="AF29" s="130">
        <v>-4.4499999999999998E-2</v>
      </c>
    </row>
    <row r="30" spans="2:44" ht="15" customHeight="1" x14ac:dyDescent="0.2">
      <c r="B30" s="574"/>
      <c r="C30" s="575"/>
      <c r="D30" s="575"/>
      <c r="E30" s="575"/>
      <c r="F30" s="576"/>
      <c r="G30" s="542"/>
      <c r="H30" s="542"/>
      <c r="J30" s="80" t="s">
        <v>171</v>
      </c>
      <c r="K30" s="104">
        <v>700</v>
      </c>
      <c r="L30" s="105">
        <v>213</v>
      </c>
      <c r="M30" s="80">
        <v>11.5</v>
      </c>
      <c r="N30" s="101">
        <v>1.03</v>
      </c>
      <c r="O30" s="101">
        <v>1.1000000000000001</v>
      </c>
      <c r="T30" s="137">
        <v>225</v>
      </c>
      <c r="U30" s="125">
        <f t="shared" ref="U30:AF30" si="2">(U31+U29)/2</f>
        <v>-0.52150000000000007</v>
      </c>
      <c r="V30" s="126">
        <f t="shared" si="2"/>
        <v>-0.45704999999999996</v>
      </c>
      <c r="W30" s="127">
        <f t="shared" si="2"/>
        <v>-0.13905000000000001</v>
      </c>
      <c r="X30" s="125">
        <f t="shared" si="2"/>
        <v>-0.35160000000000002</v>
      </c>
      <c r="Y30" s="126">
        <f t="shared" si="2"/>
        <v>-0.3125</v>
      </c>
      <c r="Z30" s="127">
        <f t="shared" si="2"/>
        <v>-0.11505000000000001</v>
      </c>
      <c r="AA30" s="125">
        <f t="shared" si="2"/>
        <v>-0.89650000000000007</v>
      </c>
      <c r="AB30" s="126">
        <f t="shared" si="2"/>
        <v>-0.27150000000000002</v>
      </c>
      <c r="AC30" s="127">
        <f t="shared" si="2"/>
        <v>-8.5150000000000003E-2</v>
      </c>
      <c r="AD30" s="125">
        <f t="shared" si="2"/>
        <v>-0.37109999999999999</v>
      </c>
      <c r="AE30" s="126">
        <f t="shared" si="2"/>
        <v>-0.24804999999999999</v>
      </c>
      <c r="AF30" s="127">
        <f t="shared" si="2"/>
        <v>-4.7049999999999995E-2</v>
      </c>
    </row>
    <row r="31" spans="2:44" ht="15" customHeight="1" x14ac:dyDescent="0.2">
      <c r="B31" s="574"/>
      <c r="C31" s="575"/>
      <c r="D31" s="575"/>
      <c r="E31" s="575"/>
      <c r="F31" s="576"/>
      <c r="G31" s="542"/>
      <c r="H31" s="542"/>
      <c r="T31" s="135">
        <v>230</v>
      </c>
      <c r="U31" s="128">
        <v>-0.46879999999999999</v>
      </c>
      <c r="V31" s="129">
        <v>-0.46879999999999999</v>
      </c>
      <c r="W31" s="130">
        <v>-0.14610000000000001</v>
      </c>
      <c r="X31" s="128">
        <v>-0.29299999999999998</v>
      </c>
      <c r="Y31" s="129">
        <v>-0.32029999999999997</v>
      </c>
      <c r="Z31" s="130">
        <v>-0.13950000000000001</v>
      </c>
      <c r="AA31" s="128">
        <v>-0.85940000000000005</v>
      </c>
      <c r="AB31" s="129">
        <v>-0.3125</v>
      </c>
      <c r="AC31" s="130">
        <v>-9.2600000000000002E-2</v>
      </c>
      <c r="AD31" s="128">
        <v>-0.33589999999999998</v>
      </c>
      <c r="AE31" s="129">
        <v>-0.26169999999999999</v>
      </c>
      <c r="AF31" s="130">
        <v>-4.9599999999999998E-2</v>
      </c>
    </row>
    <row r="32" spans="2:44" ht="15" customHeight="1" x14ac:dyDescent="0.2">
      <c r="B32" s="574"/>
      <c r="C32" s="575"/>
      <c r="D32" s="575"/>
      <c r="E32" s="575"/>
      <c r="F32" s="576"/>
      <c r="G32" s="542"/>
      <c r="H32" s="542"/>
      <c r="J32" s="533" t="s">
        <v>619</v>
      </c>
      <c r="K32" s="533"/>
      <c r="L32" s="533"/>
      <c r="M32" s="533"/>
      <c r="T32" s="136">
        <v>240</v>
      </c>
      <c r="U32" s="122">
        <v>-0.45700000000000002</v>
      </c>
      <c r="V32" s="123">
        <v>-0.45700000000000002</v>
      </c>
      <c r="W32" s="124">
        <v>-0.14299999999999999</v>
      </c>
      <c r="X32" s="122">
        <v>-0.1641</v>
      </c>
      <c r="Y32" s="123">
        <v>-0.34770000000000001</v>
      </c>
      <c r="Z32" s="124">
        <v>-0.1578</v>
      </c>
      <c r="AA32" s="122">
        <v>-0.71089999999999998</v>
      </c>
      <c r="AB32" s="123">
        <v>-0.4375</v>
      </c>
      <c r="AC32" s="124">
        <v>-0.10390000000000001</v>
      </c>
      <c r="AD32" s="122">
        <v>-0.2656</v>
      </c>
      <c r="AE32" s="123">
        <v>-0.27729999999999999</v>
      </c>
      <c r="AF32" s="124">
        <v>-5.1200000000000002E-2</v>
      </c>
    </row>
    <row r="33" spans="2:32" ht="15" customHeight="1" x14ac:dyDescent="0.2">
      <c r="B33" s="574"/>
      <c r="C33" s="575"/>
      <c r="D33" s="575"/>
      <c r="E33" s="575"/>
      <c r="F33" s="576"/>
      <c r="G33" s="542"/>
      <c r="H33" s="542"/>
      <c r="J33" s="537" t="s">
        <v>620</v>
      </c>
      <c r="K33" s="537"/>
      <c r="L33" s="537" t="s">
        <v>621</v>
      </c>
      <c r="M33" s="533" t="s">
        <v>622</v>
      </c>
      <c r="T33" s="135">
        <v>250</v>
      </c>
      <c r="U33" s="128">
        <v>-0.46089999999999998</v>
      </c>
      <c r="V33" s="129">
        <v>-0.41410000000000002</v>
      </c>
      <c r="W33" s="130">
        <v>-0.13400000000000001</v>
      </c>
      <c r="X33" s="128">
        <v>-6.6400000000000001E-2</v>
      </c>
      <c r="Y33" s="129">
        <v>-0.37109999999999999</v>
      </c>
      <c r="Z33" s="130">
        <v>-0.1648</v>
      </c>
      <c r="AA33" s="128">
        <v>-0.53910000000000002</v>
      </c>
      <c r="AB33" s="129">
        <v>-0.53129999999999999</v>
      </c>
      <c r="AC33" s="130">
        <v>-0.11409999999999999</v>
      </c>
      <c r="AD33" s="128">
        <v>-0.1875</v>
      </c>
      <c r="AE33" s="129">
        <v>-0.28520000000000001</v>
      </c>
      <c r="AF33" s="130">
        <v>-5.04E-2</v>
      </c>
    </row>
    <row r="34" spans="2:32" ht="15" customHeight="1" x14ac:dyDescent="0.2">
      <c r="B34" s="574"/>
      <c r="C34" s="575"/>
      <c r="D34" s="575"/>
      <c r="E34" s="575"/>
      <c r="F34" s="576"/>
      <c r="G34" s="542"/>
      <c r="H34" s="542"/>
      <c r="J34" s="537"/>
      <c r="K34" s="537"/>
      <c r="L34" s="537"/>
      <c r="M34" s="533"/>
      <c r="T34" s="135">
        <v>260</v>
      </c>
      <c r="U34" s="128">
        <v>-0.40229999999999999</v>
      </c>
      <c r="V34" s="129">
        <v>-0.38279999999999997</v>
      </c>
      <c r="W34" s="130">
        <v>-0.13200000000000001</v>
      </c>
      <c r="X34" s="128">
        <v>3.1300000000000001E-2</v>
      </c>
      <c r="Y34" s="129">
        <v>-0.3906</v>
      </c>
      <c r="Z34" s="130">
        <v>-0.16950000000000001</v>
      </c>
      <c r="AA34" s="128">
        <v>-0.34379999999999999</v>
      </c>
      <c r="AB34" s="129">
        <v>-0.60160000000000002</v>
      </c>
      <c r="AC34" s="130">
        <v>-0.1125</v>
      </c>
      <c r="AD34" s="128">
        <v>-0.1172</v>
      </c>
      <c r="AE34" s="129">
        <v>-0.27339999999999998</v>
      </c>
      <c r="AF34" s="130">
        <v>-4.6899999999999997E-2</v>
      </c>
    </row>
    <row r="35" spans="2:32" ht="15" customHeight="1" x14ac:dyDescent="0.2">
      <c r="B35" s="574"/>
      <c r="C35" s="575"/>
      <c r="D35" s="575"/>
      <c r="E35" s="575"/>
      <c r="F35" s="576"/>
      <c r="G35" s="542"/>
      <c r="H35" s="542"/>
      <c r="J35" s="542">
        <v>2</v>
      </c>
      <c r="K35" s="542"/>
      <c r="L35" s="101">
        <v>0.43</v>
      </c>
      <c r="M35" s="101">
        <v>1.25</v>
      </c>
      <c r="T35" s="136">
        <v>270</v>
      </c>
      <c r="U35" s="122">
        <v>-1.17E-2</v>
      </c>
      <c r="V35" s="123">
        <v>-0.34379999999999999</v>
      </c>
      <c r="W35" s="124">
        <v>-0.1313</v>
      </c>
      <c r="X35" s="122">
        <v>0.1328</v>
      </c>
      <c r="Y35" s="123">
        <v>-0.40629999999999999</v>
      </c>
      <c r="Z35" s="124">
        <v>-0.15229999999999999</v>
      </c>
      <c r="AA35" s="122">
        <v>-0.1094</v>
      </c>
      <c r="AB35" s="123">
        <v>-0.625</v>
      </c>
      <c r="AC35" s="124">
        <v>-9.8000000000000004E-2</v>
      </c>
      <c r="AD35" s="122">
        <v>-5.0799999999999998E-2</v>
      </c>
      <c r="AE35" s="123">
        <v>-0.2422</v>
      </c>
      <c r="AF35" s="124">
        <v>-4.3400000000000001E-2</v>
      </c>
    </row>
    <row r="36" spans="2:32" ht="15" customHeight="1" x14ac:dyDescent="0.2">
      <c r="B36" s="574"/>
      <c r="C36" s="575"/>
      <c r="D36" s="575"/>
      <c r="E36" s="575"/>
      <c r="F36" s="576"/>
      <c r="G36" s="542"/>
      <c r="H36" s="542"/>
      <c r="J36" s="542">
        <v>3</v>
      </c>
      <c r="K36" s="542"/>
      <c r="L36" s="101">
        <v>0.53</v>
      </c>
      <c r="M36" s="101">
        <v>2</v>
      </c>
      <c r="T36" s="135">
        <v>280</v>
      </c>
      <c r="U36" s="128">
        <v>0.76170000000000004</v>
      </c>
      <c r="V36" s="129">
        <v>-0.37890000000000001</v>
      </c>
      <c r="W36" s="130">
        <v>-0.1</v>
      </c>
      <c r="X36" s="128">
        <v>0.2266</v>
      </c>
      <c r="Y36" s="129">
        <v>-0.4375</v>
      </c>
      <c r="Z36" s="130">
        <v>-0.1047</v>
      </c>
      <c r="AA36" s="128">
        <v>0.27339999999999998</v>
      </c>
      <c r="AB36" s="129">
        <v>-0.58199999999999996</v>
      </c>
      <c r="AC36" s="130">
        <v>-6.9500000000000006E-2</v>
      </c>
      <c r="AD36" s="128">
        <v>3.9100000000000003E-2</v>
      </c>
      <c r="AE36" s="129">
        <v>-0.25</v>
      </c>
      <c r="AF36" s="130">
        <v>-4.9200000000000001E-2</v>
      </c>
    </row>
    <row r="37" spans="2:32" ht="15" customHeight="1" x14ac:dyDescent="0.2">
      <c r="B37" s="574"/>
      <c r="C37" s="575"/>
      <c r="D37" s="575"/>
      <c r="E37" s="575"/>
      <c r="F37" s="576"/>
      <c r="G37" s="542"/>
      <c r="H37" s="542"/>
      <c r="J37" s="542">
        <v>4</v>
      </c>
      <c r="K37" s="542"/>
      <c r="L37" s="101">
        <v>0.72</v>
      </c>
      <c r="M37" s="101">
        <v>1.5</v>
      </c>
      <c r="T37" s="135">
        <v>290</v>
      </c>
      <c r="U37" s="128">
        <v>1.3672</v>
      </c>
      <c r="V37" s="129">
        <v>-0.45700000000000002</v>
      </c>
      <c r="W37" s="130">
        <v>7.7999999999999996E-3</v>
      </c>
      <c r="X37" s="128">
        <v>0.3125</v>
      </c>
      <c r="Y37" s="129">
        <v>-0.46089999999999998</v>
      </c>
      <c r="Z37" s="130">
        <v>-5.0799999999999998E-2</v>
      </c>
      <c r="AA37" s="128">
        <v>0.67190000000000005</v>
      </c>
      <c r="AB37" s="129">
        <v>-0.47660000000000002</v>
      </c>
      <c r="AC37" s="130">
        <v>-2.2700000000000001E-2</v>
      </c>
      <c r="AD37" s="128">
        <v>0.12889999999999999</v>
      </c>
      <c r="AE37" s="129">
        <v>-0.27339999999999998</v>
      </c>
      <c r="AF37" s="130">
        <v>-5.5500000000000001E-2</v>
      </c>
    </row>
    <row r="38" spans="2:32" ht="15" customHeight="1" x14ac:dyDescent="0.2">
      <c r="B38" s="577"/>
      <c r="C38" s="578"/>
      <c r="D38" s="578"/>
      <c r="E38" s="578"/>
      <c r="F38" s="579"/>
      <c r="G38" s="542"/>
      <c r="H38" s="542"/>
      <c r="T38" s="136">
        <v>300</v>
      </c>
      <c r="U38" s="122">
        <v>1.6484000000000001</v>
      </c>
      <c r="V38" s="123">
        <v>-0.2422</v>
      </c>
      <c r="W38" s="124">
        <v>8.7099999999999997E-2</v>
      </c>
      <c r="X38" s="122">
        <v>0.41799999999999998</v>
      </c>
      <c r="Y38" s="123">
        <v>-0.5</v>
      </c>
      <c r="Z38" s="124">
        <v>8.0000000000000004E-4</v>
      </c>
      <c r="AA38" s="122">
        <v>0.94530000000000003</v>
      </c>
      <c r="AB38" s="123">
        <v>-0.36720000000000003</v>
      </c>
      <c r="AC38" s="124">
        <v>8.6E-3</v>
      </c>
      <c r="AD38" s="122">
        <v>0.2344</v>
      </c>
      <c r="AE38" s="123">
        <v>-0.28129999999999999</v>
      </c>
      <c r="AF38" s="124">
        <v>-5.2699999999999997E-2</v>
      </c>
    </row>
    <row r="39" spans="2:32" ht="15" customHeight="1" x14ac:dyDescent="0.2">
      <c r="B39" s="571" t="s">
        <v>623</v>
      </c>
      <c r="C39" s="572"/>
      <c r="D39" s="572"/>
      <c r="E39" s="572"/>
      <c r="F39" s="573"/>
      <c r="G39" s="542" t="s">
        <v>609</v>
      </c>
      <c r="H39" s="542"/>
      <c r="J39" s="534" t="s">
        <v>624</v>
      </c>
      <c r="K39" s="535"/>
      <c r="L39" s="535"/>
      <c r="M39" s="535"/>
      <c r="N39" s="535"/>
      <c r="O39" s="535"/>
      <c r="P39" s="536"/>
      <c r="Q39" s="83"/>
      <c r="T39" s="135">
        <v>310</v>
      </c>
      <c r="U39" s="128">
        <v>1.6640999999999999</v>
      </c>
      <c r="V39" s="129">
        <v>-8.9800000000000005E-2</v>
      </c>
      <c r="W39" s="130">
        <v>6.9099999999999995E-2</v>
      </c>
      <c r="X39" s="128">
        <v>0.54690000000000005</v>
      </c>
      <c r="Y39" s="129">
        <v>-0.53129999999999999</v>
      </c>
      <c r="Z39" s="130">
        <v>4.4499999999999998E-2</v>
      </c>
      <c r="AA39" s="128">
        <v>1.0859000000000001</v>
      </c>
      <c r="AB39" s="129">
        <v>-0.30470000000000003</v>
      </c>
      <c r="AC39" s="130">
        <v>3.2399999999999998E-2</v>
      </c>
      <c r="AD39" s="128">
        <v>0.34379999999999999</v>
      </c>
      <c r="AE39" s="129">
        <v>-0.27339999999999998</v>
      </c>
      <c r="AF39" s="130">
        <v>-4.9599999999999998E-2</v>
      </c>
    </row>
    <row r="40" spans="2:32" ht="15" customHeight="1" x14ac:dyDescent="0.2">
      <c r="B40" s="574"/>
      <c r="C40" s="575"/>
      <c r="D40" s="575"/>
      <c r="E40" s="575"/>
      <c r="F40" s="576"/>
      <c r="G40" s="542"/>
      <c r="H40" s="542"/>
      <c r="J40" s="533" t="s">
        <v>625</v>
      </c>
      <c r="K40" s="533"/>
      <c r="L40" s="533"/>
      <c r="M40" s="533"/>
      <c r="N40" s="563" t="s">
        <v>626</v>
      </c>
      <c r="O40" s="564"/>
      <c r="P40" s="565"/>
      <c r="Q40" s="83"/>
      <c r="T40" s="137">
        <v>315</v>
      </c>
      <c r="U40" s="125">
        <f t="shared" ref="U40:AF40" si="3">(U41+U39)/2</f>
        <v>1.6289500000000001</v>
      </c>
      <c r="V40" s="126">
        <f t="shared" si="3"/>
        <v>-4.8800000000000003E-2</v>
      </c>
      <c r="W40" s="127">
        <f t="shared" si="3"/>
        <v>6.1299999999999993E-2</v>
      </c>
      <c r="X40" s="125">
        <f t="shared" si="3"/>
        <v>0.60550000000000004</v>
      </c>
      <c r="Y40" s="126">
        <f t="shared" si="3"/>
        <v>-0.50980000000000003</v>
      </c>
      <c r="Z40" s="127">
        <f t="shared" si="3"/>
        <v>6.2300000000000001E-2</v>
      </c>
      <c r="AA40" s="125">
        <f t="shared" si="3"/>
        <v>1.1211000000000002</v>
      </c>
      <c r="AB40" s="126">
        <f t="shared" si="3"/>
        <v>-0.29300000000000004</v>
      </c>
      <c r="AC40" s="127">
        <f t="shared" si="3"/>
        <v>4.0599999999999997E-2</v>
      </c>
      <c r="AD40" s="125">
        <f t="shared" si="3"/>
        <v>0.37504999999999999</v>
      </c>
      <c r="AE40" s="126">
        <f t="shared" si="3"/>
        <v>-0.26754999999999995</v>
      </c>
      <c r="AF40" s="127">
        <f t="shared" si="3"/>
        <v>-4.725E-2</v>
      </c>
    </row>
    <row r="41" spans="2:32" ht="15" customHeight="1" x14ac:dyDescent="0.2">
      <c r="B41" s="574"/>
      <c r="C41" s="575"/>
      <c r="D41" s="575"/>
      <c r="E41" s="575"/>
      <c r="F41" s="576"/>
      <c r="G41" s="542"/>
      <c r="H41" s="542"/>
      <c r="J41" s="533" t="s">
        <v>627</v>
      </c>
      <c r="K41" s="533"/>
      <c r="L41" s="533" t="s">
        <v>628</v>
      </c>
      <c r="M41" s="533"/>
      <c r="N41" s="566"/>
      <c r="O41" s="567"/>
      <c r="P41" s="568"/>
      <c r="Q41" s="83"/>
      <c r="T41" s="135">
        <v>320</v>
      </c>
      <c r="U41" s="128">
        <v>1.5938000000000001</v>
      </c>
      <c r="V41" s="129">
        <v>-7.7999999999999996E-3</v>
      </c>
      <c r="W41" s="130">
        <v>5.3499999999999999E-2</v>
      </c>
      <c r="X41" s="128">
        <v>0.66410000000000002</v>
      </c>
      <c r="Y41" s="129">
        <v>-0.48830000000000001</v>
      </c>
      <c r="Z41" s="130">
        <v>8.0100000000000005E-2</v>
      </c>
      <c r="AA41" s="128">
        <v>1.1563000000000001</v>
      </c>
      <c r="AB41" s="129">
        <v>-0.28129999999999999</v>
      </c>
      <c r="AC41" s="130">
        <v>4.8800000000000003E-2</v>
      </c>
      <c r="AD41" s="128">
        <v>0.40629999999999999</v>
      </c>
      <c r="AE41" s="129">
        <v>-0.26169999999999999</v>
      </c>
      <c r="AF41" s="130">
        <v>-4.4900000000000002E-2</v>
      </c>
    </row>
    <row r="42" spans="2:32" ht="15" customHeight="1" x14ac:dyDescent="0.2">
      <c r="B42" s="574"/>
      <c r="C42" s="575"/>
      <c r="D42" s="575"/>
      <c r="E42" s="575"/>
      <c r="F42" s="576"/>
      <c r="G42" s="542"/>
      <c r="H42" s="542"/>
      <c r="J42" s="542" t="s">
        <v>629</v>
      </c>
      <c r="K42" s="542"/>
      <c r="L42" s="542" t="s">
        <v>629</v>
      </c>
      <c r="M42" s="542"/>
      <c r="N42" s="557">
        <v>1</v>
      </c>
      <c r="O42" s="558"/>
      <c r="P42" s="559"/>
      <c r="Q42" s="99"/>
      <c r="T42" s="136">
        <v>330</v>
      </c>
      <c r="U42" s="122">
        <v>1.5547</v>
      </c>
      <c r="V42" s="123">
        <v>3.1300000000000001E-2</v>
      </c>
      <c r="W42" s="124">
        <v>4.2200000000000001E-2</v>
      </c>
      <c r="X42" s="122">
        <v>0.76170000000000004</v>
      </c>
      <c r="Y42" s="123">
        <v>-0.41020000000000001</v>
      </c>
      <c r="Z42" s="124">
        <v>0.1082</v>
      </c>
      <c r="AA42" s="122">
        <v>1.2109000000000001</v>
      </c>
      <c r="AB42" s="123">
        <v>-0.2344</v>
      </c>
      <c r="AC42" s="124">
        <v>5.1999999999999998E-2</v>
      </c>
      <c r="AD42" s="122">
        <v>0.46089999999999998</v>
      </c>
      <c r="AE42" s="123">
        <v>-0.23050000000000001</v>
      </c>
      <c r="AF42" s="124">
        <v>-3.8300000000000001E-2</v>
      </c>
    </row>
    <row r="43" spans="2:32" ht="15" customHeight="1" x14ac:dyDescent="0.2">
      <c r="B43" s="574"/>
      <c r="C43" s="575"/>
      <c r="D43" s="575"/>
      <c r="E43" s="575"/>
      <c r="F43" s="576"/>
      <c r="G43" s="542"/>
      <c r="H43" s="542"/>
      <c r="J43" s="542">
        <v>0</v>
      </c>
      <c r="K43" s="542"/>
      <c r="L43" s="542">
        <v>0</v>
      </c>
      <c r="M43" s="542"/>
      <c r="N43" s="557">
        <v>1</v>
      </c>
      <c r="O43" s="558"/>
      <c r="P43" s="559"/>
      <c r="Q43" s="99"/>
      <c r="T43" s="135">
        <v>340</v>
      </c>
      <c r="U43" s="128">
        <v>1.5468999999999999</v>
      </c>
      <c r="V43" s="129">
        <v>5.0799999999999998E-2</v>
      </c>
      <c r="W43" s="130">
        <v>3.7900000000000003E-2</v>
      </c>
      <c r="X43" s="128">
        <v>0.82030000000000003</v>
      </c>
      <c r="Y43" s="129">
        <v>-0.2969</v>
      </c>
      <c r="Z43" s="130">
        <v>0.1113</v>
      </c>
      <c r="AA43" s="128">
        <v>1.25</v>
      </c>
      <c r="AB43" s="129">
        <v>-0.17580000000000001</v>
      </c>
      <c r="AC43" s="130">
        <v>4.53E-2</v>
      </c>
      <c r="AD43" s="128">
        <v>0.50780000000000003</v>
      </c>
      <c r="AE43" s="129">
        <v>-0.1797</v>
      </c>
      <c r="AF43" s="130">
        <v>-2.8899999999999999E-2</v>
      </c>
    </row>
    <row r="44" spans="2:32" ht="15" customHeight="1" x14ac:dyDescent="0.2">
      <c r="B44" s="577"/>
      <c r="C44" s="578"/>
      <c r="D44" s="578"/>
      <c r="E44" s="578"/>
      <c r="F44" s="579"/>
      <c r="G44" s="542"/>
      <c r="H44" s="542"/>
      <c r="J44" s="542">
        <v>1000</v>
      </c>
      <c r="K44" s="542"/>
      <c r="L44" s="542">
        <v>305</v>
      </c>
      <c r="M44" s="542"/>
      <c r="N44" s="557">
        <v>0.96</v>
      </c>
      <c r="O44" s="558"/>
      <c r="P44" s="559"/>
      <c r="Q44" s="99"/>
      <c r="T44" s="135">
        <v>350</v>
      </c>
      <c r="U44" s="128">
        <v>1.5390999999999999</v>
      </c>
      <c r="V44" s="129">
        <v>4.6899999999999997E-2</v>
      </c>
      <c r="W44" s="130">
        <v>2.5399999999999999E-2</v>
      </c>
      <c r="X44" s="128">
        <v>0.85940000000000005</v>
      </c>
      <c r="Y44" s="129">
        <v>-0.1484</v>
      </c>
      <c r="Z44" s="130">
        <v>7.9699999999999993E-2</v>
      </c>
      <c r="AA44" s="128">
        <v>1.2617</v>
      </c>
      <c r="AB44" s="129">
        <v>-9.7699999999999995E-2</v>
      </c>
      <c r="AC44" s="130">
        <v>2.81E-2</v>
      </c>
      <c r="AD44" s="128">
        <v>0.52339999999999998</v>
      </c>
      <c r="AE44" s="129">
        <v>-0.1016</v>
      </c>
      <c r="AF44" s="130">
        <v>-1.6799999999999999E-2</v>
      </c>
    </row>
    <row r="45" spans="2:32" ht="15" customHeight="1" thickBot="1" x14ac:dyDescent="0.25">
      <c r="J45" s="542">
        <v>2000</v>
      </c>
      <c r="K45" s="542"/>
      <c r="L45" s="542">
        <v>610</v>
      </c>
      <c r="M45" s="542"/>
      <c r="N45" s="557">
        <v>0.93</v>
      </c>
      <c r="O45" s="558"/>
      <c r="P45" s="559"/>
      <c r="Q45" s="99"/>
      <c r="T45" s="138">
        <v>360</v>
      </c>
      <c r="U45" s="131">
        <v>1.5508</v>
      </c>
      <c r="V45" s="132">
        <v>0</v>
      </c>
      <c r="W45" s="133">
        <v>0</v>
      </c>
      <c r="X45" s="131">
        <v>0.86329999999999996</v>
      </c>
      <c r="Y45" s="132">
        <v>0</v>
      </c>
      <c r="Z45" s="133">
        <v>0</v>
      </c>
      <c r="AA45" s="131">
        <v>1.2617</v>
      </c>
      <c r="AB45" s="132">
        <v>0</v>
      </c>
      <c r="AC45" s="133">
        <v>0</v>
      </c>
      <c r="AD45" s="131">
        <v>0.53520000000000001</v>
      </c>
      <c r="AE45" s="132">
        <v>0</v>
      </c>
      <c r="AF45" s="133">
        <v>0</v>
      </c>
    </row>
    <row r="46" spans="2:32" ht="15" customHeight="1" x14ac:dyDescent="0.2">
      <c r="J46" s="542">
        <v>3000</v>
      </c>
      <c r="K46" s="542"/>
      <c r="L46" s="542">
        <v>914</v>
      </c>
      <c r="M46" s="542"/>
      <c r="N46" s="557">
        <v>0.9</v>
      </c>
      <c r="O46" s="558"/>
      <c r="P46" s="559"/>
      <c r="Q46" s="99"/>
    </row>
    <row r="47" spans="2:32" ht="15" customHeight="1" x14ac:dyDescent="0.2">
      <c r="J47" s="542">
        <v>4000</v>
      </c>
      <c r="K47" s="542"/>
      <c r="L47" s="542">
        <v>1219</v>
      </c>
      <c r="M47" s="542"/>
      <c r="N47" s="557">
        <v>0.86</v>
      </c>
      <c r="O47" s="558"/>
      <c r="P47" s="559"/>
      <c r="Q47" s="99"/>
    </row>
    <row r="48" spans="2:32" ht="15" customHeight="1" x14ac:dyDescent="0.2">
      <c r="J48" s="542">
        <v>5000</v>
      </c>
      <c r="K48" s="542"/>
      <c r="L48" s="542">
        <v>1524</v>
      </c>
      <c r="M48" s="542"/>
      <c r="N48" s="557">
        <v>0.83</v>
      </c>
      <c r="O48" s="558"/>
      <c r="P48" s="559"/>
      <c r="Q48" s="99"/>
    </row>
    <row r="49" spans="10:18" ht="15" customHeight="1" x14ac:dyDescent="0.2">
      <c r="J49" s="542">
        <v>6000</v>
      </c>
      <c r="K49" s="542"/>
      <c r="L49" s="542">
        <v>1829</v>
      </c>
      <c r="M49" s="542"/>
      <c r="N49" s="557">
        <v>0.8</v>
      </c>
      <c r="O49" s="558"/>
      <c r="P49" s="559"/>
      <c r="Q49" s="99"/>
    </row>
    <row r="50" spans="10:18" ht="15" customHeight="1" x14ac:dyDescent="0.2">
      <c r="J50" s="542" t="s">
        <v>630</v>
      </c>
      <c r="K50" s="542"/>
      <c r="L50" s="542" t="s">
        <v>631</v>
      </c>
      <c r="M50" s="542"/>
      <c r="N50" s="560" t="s">
        <v>632</v>
      </c>
      <c r="O50" s="561"/>
      <c r="P50" s="562"/>
    </row>
    <row r="51" spans="10:18" ht="15" customHeight="1" x14ac:dyDescent="0.2">
      <c r="J51" s="590" t="s">
        <v>633</v>
      </c>
      <c r="K51" s="591"/>
      <c r="L51" s="591"/>
      <c r="M51" s="591"/>
      <c r="N51" s="591"/>
      <c r="O51" s="591"/>
      <c r="P51" s="592"/>
      <c r="Q51" s="107"/>
    </row>
    <row r="52" spans="10:18" ht="15" customHeight="1" x14ac:dyDescent="0.2">
      <c r="J52" s="593"/>
      <c r="K52" s="594"/>
      <c r="L52" s="594"/>
      <c r="M52" s="594"/>
      <c r="N52" s="594"/>
      <c r="O52" s="594"/>
      <c r="P52" s="595"/>
      <c r="Q52" s="107"/>
    </row>
    <row r="53" spans="10:18" ht="15" customHeight="1" x14ac:dyDescent="0.2">
      <c r="J53" s="593"/>
      <c r="K53" s="594"/>
      <c r="L53" s="594"/>
      <c r="M53" s="594"/>
      <c r="N53" s="594"/>
      <c r="O53" s="594"/>
      <c r="P53" s="595"/>
      <c r="Q53" s="107"/>
    </row>
    <row r="54" spans="10:18" ht="15" customHeight="1" x14ac:dyDescent="0.2">
      <c r="J54" s="596"/>
      <c r="K54" s="597"/>
      <c r="L54" s="597"/>
      <c r="M54" s="597"/>
      <c r="N54" s="597"/>
      <c r="O54" s="597"/>
      <c r="P54" s="598"/>
      <c r="Q54" s="107"/>
    </row>
    <row r="56" spans="10:18" ht="15" customHeight="1" x14ac:dyDescent="0.2">
      <c r="J56" s="534" t="s">
        <v>634</v>
      </c>
      <c r="K56" s="535"/>
      <c r="L56" s="535"/>
      <c r="M56" s="535"/>
      <c r="N56" s="535"/>
      <c r="O56" s="535"/>
      <c r="P56" s="536"/>
      <c r="Q56" s="83"/>
    </row>
    <row r="57" spans="10:18" ht="15" customHeight="1" x14ac:dyDescent="0.2">
      <c r="J57" s="533" t="s">
        <v>635</v>
      </c>
      <c r="K57" s="533"/>
      <c r="L57" s="534" t="s">
        <v>636</v>
      </c>
      <c r="M57" s="535"/>
      <c r="N57" s="536"/>
      <c r="O57" s="534" t="s">
        <v>637</v>
      </c>
      <c r="P57" s="536"/>
      <c r="Q57" s="83"/>
    </row>
    <row r="58" spans="10:18" ht="15" customHeight="1" x14ac:dyDescent="0.2">
      <c r="J58" s="533" t="s">
        <v>638</v>
      </c>
      <c r="K58" s="533"/>
      <c r="L58" s="82" t="s">
        <v>639</v>
      </c>
      <c r="M58" s="534" t="s">
        <v>640</v>
      </c>
      <c r="N58" s="536"/>
      <c r="O58" s="82" t="s">
        <v>639</v>
      </c>
      <c r="P58" s="82" t="s">
        <v>641</v>
      </c>
      <c r="Q58" s="83"/>
    </row>
    <row r="59" spans="10:18" ht="15" customHeight="1" x14ac:dyDescent="0.2">
      <c r="J59" s="542" t="s">
        <v>642</v>
      </c>
      <c r="K59" s="542"/>
      <c r="L59" s="106">
        <v>1</v>
      </c>
      <c r="M59" s="560" t="s">
        <v>643</v>
      </c>
      <c r="N59" s="562"/>
      <c r="O59" s="106">
        <v>1</v>
      </c>
      <c r="P59" s="106">
        <v>0.8</v>
      </c>
      <c r="Q59" s="108"/>
    </row>
    <row r="60" spans="10:18" ht="15" customHeight="1" x14ac:dyDescent="0.2">
      <c r="J60" s="542" t="s">
        <v>644</v>
      </c>
      <c r="K60" s="542"/>
      <c r="L60" s="106">
        <v>1</v>
      </c>
      <c r="M60" s="560" t="s">
        <v>643</v>
      </c>
      <c r="N60" s="562"/>
      <c r="O60" s="106">
        <v>1</v>
      </c>
      <c r="P60" s="106">
        <v>1</v>
      </c>
      <c r="Q60" s="108"/>
    </row>
    <row r="61" spans="10:18" ht="15" customHeight="1" x14ac:dyDescent="0.2">
      <c r="J61" s="560" t="s">
        <v>645</v>
      </c>
      <c r="K61" s="561"/>
      <c r="L61" s="561"/>
      <c r="M61" s="561"/>
      <c r="N61" s="561"/>
      <c r="O61" s="561"/>
      <c r="P61" s="562"/>
    </row>
    <row r="63" spans="10:18" ht="15" customHeight="1" x14ac:dyDescent="0.2">
      <c r="J63" s="533" t="s">
        <v>646</v>
      </c>
      <c r="K63" s="533"/>
      <c r="L63" s="533"/>
      <c r="M63" s="533"/>
      <c r="N63" s="533"/>
      <c r="O63" s="533"/>
      <c r="P63" s="533"/>
      <c r="Q63" s="533"/>
      <c r="R63" s="533"/>
    </row>
    <row r="64" spans="10:18" ht="15" customHeight="1" x14ac:dyDescent="0.2">
      <c r="J64" s="533" t="s">
        <v>187</v>
      </c>
      <c r="K64" s="109" t="s">
        <v>647</v>
      </c>
      <c r="L64" s="537" t="s">
        <v>648</v>
      </c>
      <c r="M64" s="537"/>
      <c r="N64" s="537"/>
      <c r="O64" s="537"/>
      <c r="P64" s="537"/>
      <c r="Q64" s="537"/>
      <c r="R64" s="539" t="s">
        <v>649</v>
      </c>
    </row>
    <row r="65" spans="10:23" ht="15" customHeight="1" x14ac:dyDescent="0.2">
      <c r="J65" s="533"/>
      <c r="K65" s="109">
        <f>S_S</f>
        <v>0</v>
      </c>
      <c r="L65" s="537"/>
      <c r="M65" s="537"/>
      <c r="N65" s="537"/>
      <c r="O65" s="537"/>
      <c r="P65" s="537"/>
      <c r="Q65" s="537"/>
      <c r="R65" s="539"/>
    </row>
    <row r="66" spans="10:23" ht="15" customHeight="1" x14ac:dyDescent="0.2">
      <c r="J66" s="533"/>
      <c r="K66" s="110">
        <v>0</v>
      </c>
      <c r="L66" s="110">
        <v>0.25</v>
      </c>
      <c r="M66" s="110">
        <v>0.5</v>
      </c>
      <c r="N66" s="110">
        <v>0.75</v>
      </c>
      <c r="O66" s="110">
        <v>1</v>
      </c>
      <c r="P66" s="110">
        <v>1.25</v>
      </c>
      <c r="Q66" s="111">
        <v>1.5</v>
      </c>
      <c r="R66" s="109" t="e" cm="1">
        <f t="array" aca="1" ref="R66" ca="1">IF(SiteClass="D - Default",MAX(1.2,IF(T2.11_xUB=T2.11_xLB,T2.11_yUB,FORECAST(S_S,T2.11_y,T2.11_x))),IF(T2.11_xUB=T2.11_xLB,T2.11_yUB,FORECAST(S_S,T2.11_y,T2.11_x)))</f>
        <v>#N/A</v>
      </c>
    </row>
    <row r="67" spans="10:23" ht="15" customHeight="1" x14ac:dyDescent="0.2">
      <c r="J67" s="82" t="s">
        <v>650</v>
      </c>
      <c r="K67" s="106">
        <v>0.8</v>
      </c>
      <c r="L67" s="106">
        <v>0.8</v>
      </c>
      <c r="M67" s="106">
        <v>0.8</v>
      </c>
      <c r="N67" s="106">
        <v>0.8</v>
      </c>
      <c r="O67" s="106">
        <v>0.8</v>
      </c>
      <c r="P67" s="106">
        <v>0.8</v>
      </c>
      <c r="Q67" s="106">
        <v>0.8</v>
      </c>
      <c r="R67" s="112">
        <v>0.8</v>
      </c>
    </row>
    <row r="68" spans="10:23" ht="15" customHeight="1" x14ac:dyDescent="0.2">
      <c r="J68" s="82" t="s">
        <v>0</v>
      </c>
      <c r="K68" s="106">
        <v>0.9</v>
      </c>
      <c r="L68" s="106">
        <v>0.9</v>
      </c>
      <c r="M68" s="106">
        <v>0.9</v>
      </c>
      <c r="N68" s="106">
        <v>0.9</v>
      </c>
      <c r="O68" s="106">
        <v>0.9</v>
      </c>
      <c r="P68" s="106">
        <v>0.9</v>
      </c>
      <c r="Q68" s="106">
        <v>0.9</v>
      </c>
      <c r="R68" s="112">
        <v>0.9</v>
      </c>
    </row>
    <row r="69" spans="10:23" ht="15" customHeight="1" x14ac:dyDescent="0.2">
      <c r="J69" s="82" t="s">
        <v>136</v>
      </c>
      <c r="K69" s="106">
        <v>1.3</v>
      </c>
      <c r="L69" s="106">
        <v>1.3</v>
      </c>
      <c r="M69" s="106">
        <v>1.3</v>
      </c>
      <c r="N69" s="106">
        <v>1.2</v>
      </c>
      <c r="O69" s="106">
        <v>1.2</v>
      </c>
      <c r="P69" s="106">
        <v>1.2</v>
      </c>
      <c r="Q69" s="106">
        <v>1.2</v>
      </c>
      <c r="R69" s="112">
        <f>IF(S_S&lt;=0.1,K69,IF(S_S&gt;=0.6,Q69,_xlfn.FORECAST.LINEAR(S_S,T2.11_C,T2.11_Ss)))</f>
        <v>1.3</v>
      </c>
      <c r="T69" s="533" t="s">
        <v>651</v>
      </c>
      <c r="U69" s="533"/>
    </row>
    <row r="70" spans="10:23" ht="15" customHeight="1" x14ac:dyDescent="0.2">
      <c r="J70" s="113" t="s">
        <v>171</v>
      </c>
      <c r="K70" s="106">
        <v>1.6</v>
      </c>
      <c r="L70" s="106">
        <v>1.6</v>
      </c>
      <c r="M70" s="106">
        <v>1.4</v>
      </c>
      <c r="N70" s="106">
        <v>1.2</v>
      </c>
      <c r="O70" s="106">
        <v>1.1000000000000001</v>
      </c>
      <c r="P70" s="106">
        <v>1</v>
      </c>
      <c r="Q70" s="106">
        <v>1</v>
      </c>
      <c r="R70" s="112">
        <f>IF(S_S&lt;=0.1,K70,IF(S_S&gt;=0.6,Q70,_xlfn.FORECAST.LINEAR(S_S,T2.11_D,T2.11_Ss)))</f>
        <v>1.6</v>
      </c>
      <c r="T70" s="80" cm="1">
        <f t="array" ref="T70">T2.11_xUB</f>
        <v>0</v>
      </c>
      <c r="U70" s="80" cm="1">
        <f t="array" aca="1" ref="U70" ca="1">T2.11_xLB</f>
        <v>0.25</v>
      </c>
      <c r="V70" s="57">
        <f>INDEX(T2.11_Ss,1,MATCH(S_S,T2.11_Ss,1))</f>
        <v>0</v>
      </c>
      <c r="W70" s="57">
        <f ca="1">OFFSET(INDEX(T2.11_Ss,1,MATCH(S_S,T2.11_Ss,1)),0,1)</f>
        <v>0.25</v>
      </c>
    </row>
    <row r="71" spans="10:23" ht="15" customHeight="1" x14ac:dyDescent="0.2">
      <c r="J71" s="82" t="s">
        <v>652</v>
      </c>
      <c r="K71" s="106">
        <v>2.4</v>
      </c>
      <c r="L71" s="106">
        <v>2.4</v>
      </c>
      <c r="M71" s="106">
        <v>1.7</v>
      </c>
      <c r="N71" s="106">
        <v>1.3</v>
      </c>
      <c r="O71" s="80" t="s">
        <v>653</v>
      </c>
      <c r="P71" s="80" t="s">
        <v>653</v>
      </c>
      <c r="Q71" s="80" t="s">
        <v>653</v>
      </c>
      <c r="R71" s="112">
        <f>IF(S_S&lt;=0.1,K71,IF(S_S&gt;=0.4,Q71,_xlfn.FORECAST.LINEAR(S_S,T2.11_E,T2.11_Ss)))</f>
        <v>2.4</v>
      </c>
      <c r="T71" s="80" t="e" cm="1">
        <f t="array" ref="T71">T2.11_yUB</f>
        <v>#N/A</v>
      </c>
      <c r="U71" s="106" t="e" cm="1">
        <f t="array" aca="1" ref="U71" ca="1">T2.11_yLB</f>
        <v>#N/A</v>
      </c>
      <c r="V71" s="57" t="e" cm="1">
        <f t="array" ref="V71">INDEX(T2.11_Fa,MATCH(LEFT(SiteClass,1),T2.11_SiteClass,0),MATCH(T2.11_xUB,T2.11_Ss,1))</f>
        <v>#N/A</v>
      </c>
      <c r="W71" s="57" t="e">
        <f>INDEX(T2.11_Fa,MATCH(LEFT(SiteClass,1),T2.11_SiteClass,0),MATCH(S_S,T2.11_Ss,1))</f>
        <v>#N/A</v>
      </c>
    </row>
    <row r="72" spans="10:23" ht="15" customHeight="1" x14ac:dyDescent="0.2">
      <c r="J72" s="82" t="s">
        <v>654</v>
      </c>
      <c r="K72" s="80" t="s">
        <v>653</v>
      </c>
      <c r="L72" s="80" t="s">
        <v>653</v>
      </c>
      <c r="M72" s="80" t="s">
        <v>653</v>
      </c>
      <c r="N72" s="80" t="s">
        <v>653</v>
      </c>
      <c r="O72" s="80" t="s">
        <v>653</v>
      </c>
      <c r="P72" s="80" t="s">
        <v>653</v>
      </c>
      <c r="Q72" s="80" t="s">
        <v>653</v>
      </c>
      <c r="R72" s="112" t="s">
        <v>653</v>
      </c>
    </row>
    <row r="73" spans="10:23" ht="15" customHeight="1" x14ac:dyDescent="0.2">
      <c r="J73" s="538" t="s">
        <v>655</v>
      </c>
      <c r="K73" s="538"/>
      <c r="L73" s="538"/>
      <c r="M73" s="538"/>
      <c r="N73" s="538"/>
      <c r="O73" s="538"/>
      <c r="P73" s="538"/>
      <c r="Q73" s="538"/>
      <c r="R73" s="538"/>
    </row>
    <row r="74" spans="10:23" ht="15" customHeight="1" x14ac:dyDescent="0.2">
      <c r="J74" s="538"/>
      <c r="K74" s="538"/>
      <c r="L74" s="538"/>
      <c r="M74" s="538"/>
      <c r="N74" s="538"/>
      <c r="O74" s="538"/>
      <c r="P74" s="538"/>
      <c r="Q74" s="538"/>
      <c r="R74" s="538"/>
    </row>
    <row r="75" spans="10:23" ht="15" customHeight="1" x14ac:dyDescent="0.2">
      <c r="J75" s="538"/>
      <c r="K75" s="538"/>
      <c r="L75" s="538"/>
      <c r="M75" s="538"/>
      <c r="N75" s="538"/>
      <c r="O75" s="538"/>
      <c r="P75" s="538"/>
      <c r="Q75" s="538"/>
      <c r="R75" s="538"/>
    </row>
    <row r="76" spans="10:23" ht="15" customHeight="1" x14ac:dyDescent="0.2">
      <c r="J76" s="538"/>
      <c r="K76" s="538"/>
      <c r="L76" s="538"/>
      <c r="M76" s="538"/>
      <c r="N76" s="538"/>
      <c r="O76" s="538"/>
      <c r="P76" s="538"/>
      <c r="Q76" s="538"/>
      <c r="R76" s="538"/>
    </row>
    <row r="77" spans="10:23" ht="15" customHeight="1" x14ac:dyDescent="0.2">
      <c r="J77" s="538"/>
      <c r="K77" s="538"/>
      <c r="L77" s="538"/>
      <c r="M77" s="538"/>
      <c r="N77" s="538"/>
      <c r="O77" s="538"/>
      <c r="P77" s="538"/>
      <c r="Q77" s="538"/>
      <c r="R77" s="538"/>
    </row>
    <row r="79" spans="10:23" ht="15" customHeight="1" x14ac:dyDescent="0.2">
      <c r="J79" s="533" t="s">
        <v>656</v>
      </c>
      <c r="K79" s="533"/>
      <c r="L79" s="533"/>
      <c r="M79" s="533"/>
      <c r="N79" s="533"/>
      <c r="O79" s="533"/>
      <c r="P79" s="533"/>
      <c r="Q79" s="533"/>
      <c r="R79" s="533"/>
    </row>
    <row r="80" spans="10:23" ht="15" customHeight="1" x14ac:dyDescent="0.2">
      <c r="J80" s="533" t="s">
        <v>187</v>
      </c>
      <c r="K80" s="109" t="s">
        <v>657</v>
      </c>
      <c r="L80" s="537" t="s">
        <v>648</v>
      </c>
      <c r="M80" s="537"/>
      <c r="N80" s="537"/>
      <c r="O80" s="537"/>
      <c r="P80" s="537"/>
      <c r="Q80" s="537"/>
      <c r="R80" s="539" t="s">
        <v>658</v>
      </c>
    </row>
    <row r="81" spans="10:23" ht="15" customHeight="1" x14ac:dyDescent="0.2">
      <c r="J81" s="533"/>
      <c r="K81" s="109">
        <f>S_1</f>
        <v>0</v>
      </c>
      <c r="L81" s="537"/>
      <c r="M81" s="537"/>
      <c r="N81" s="537"/>
      <c r="O81" s="537"/>
      <c r="P81" s="537"/>
      <c r="Q81" s="537"/>
      <c r="R81" s="539"/>
    </row>
    <row r="82" spans="10:23" ht="15" customHeight="1" x14ac:dyDescent="0.2">
      <c r="J82" s="533"/>
      <c r="K82" s="115">
        <v>0</v>
      </c>
      <c r="L82" s="115">
        <v>0.1</v>
      </c>
      <c r="M82" s="115">
        <v>0.2</v>
      </c>
      <c r="N82" s="115">
        <v>0.3</v>
      </c>
      <c r="O82" s="115">
        <v>0.4</v>
      </c>
      <c r="P82" s="115">
        <v>0.5</v>
      </c>
      <c r="Q82" s="116">
        <v>0.6</v>
      </c>
      <c r="R82" s="109" t="e" cm="1">
        <f t="array" aca="1" ref="R82" ca="1">IF(T2.12_xUB=T2.12_xLB,T2.12_yLB,FORECAST(S_1,T2.12_y,T2.12_x))</f>
        <v>#N/A</v>
      </c>
    </row>
    <row r="83" spans="10:23" ht="15" customHeight="1" x14ac:dyDescent="0.2">
      <c r="J83" s="82" t="s">
        <v>650</v>
      </c>
      <c r="K83" s="106">
        <v>0.8</v>
      </c>
      <c r="L83" s="106">
        <v>0.8</v>
      </c>
      <c r="M83" s="106">
        <v>0.8</v>
      </c>
      <c r="N83" s="106">
        <v>0.8</v>
      </c>
      <c r="O83" s="106">
        <v>0.8</v>
      </c>
      <c r="P83" s="106">
        <v>0.8</v>
      </c>
      <c r="Q83" s="106">
        <v>0.8</v>
      </c>
      <c r="R83" s="112">
        <v>0.8</v>
      </c>
    </row>
    <row r="84" spans="10:23" ht="15" customHeight="1" x14ac:dyDescent="0.2">
      <c r="J84" s="82" t="s">
        <v>0</v>
      </c>
      <c r="K84" s="106">
        <v>0.8</v>
      </c>
      <c r="L84" s="106">
        <v>0.8</v>
      </c>
      <c r="M84" s="106">
        <v>0.8</v>
      </c>
      <c r="N84" s="106">
        <v>0.8</v>
      </c>
      <c r="O84" s="106">
        <v>0.8</v>
      </c>
      <c r="P84" s="106">
        <v>0.8</v>
      </c>
      <c r="Q84" s="106">
        <v>0.8</v>
      </c>
      <c r="R84" s="112">
        <v>0.8</v>
      </c>
    </row>
    <row r="85" spans="10:23" ht="15" customHeight="1" x14ac:dyDescent="0.2">
      <c r="J85" s="82" t="s">
        <v>136</v>
      </c>
      <c r="K85" s="106">
        <v>1.5</v>
      </c>
      <c r="L85" s="106">
        <v>1.5</v>
      </c>
      <c r="M85" s="106">
        <v>1.5</v>
      </c>
      <c r="N85" s="106">
        <v>1.5</v>
      </c>
      <c r="O85" s="106">
        <v>1.5</v>
      </c>
      <c r="P85" s="106">
        <v>1.5</v>
      </c>
      <c r="Q85" s="106">
        <v>1.4</v>
      </c>
      <c r="R85" s="112">
        <f>IF(S_1&lt;=0.1,K85,IF(S_1&gt;=0.6,Q85,_xlfn.FORECAST.LINEAR(S_1,T2.12_C,T2.12_S1)))</f>
        <v>1.5</v>
      </c>
      <c r="T85" s="533" t="s">
        <v>651</v>
      </c>
      <c r="U85" s="533"/>
      <c r="W85" s="114"/>
    </row>
    <row r="86" spans="10:23" ht="15" customHeight="1" x14ac:dyDescent="0.2">
      <c r="J86" s="82" t="s">
        <v>171</v>
      </c>
      <c r="K86" s="106">
        <v>2.4</v>
      </c>
      <c r="L86" s="106">
        <v>2.4</v>
      </c>
      <c r="M86" s="106">
        <v>2.2000000000000002</v>
      </c>
      <c r="N86" s="106">
        <v>2</v>
      </c>
      <c r="O86" s="106">
        <v>1.9</v>
      </c>
      <c r="P86" s="106">
        <v>1.8</v>
      </c>
      <c r="Q86" s="106">
        <v>1.7</v>
      </c>
      <c r="R86" s="112">
        <f>IF(S_1&lt;=0.1,K86,IF(S_1&gt;=0.6,Q86,FORECAST(S_1,T2.12_D,T2.12_S1)))</f>
        <v>2.4</v>
      </c>
      <c r="T86" s="80">
        <f>INDEX(T2.12_S1,1,MATCH(S_1,T2.12_S1,1))</f>
        <v>0</v>
      </c>
      <c r="U86" s="80">
        <f ca="1">OFFSET(INDEX(T2.12_S1,1,MATCH(S_1,T2.12_S1,1)),0,1)</f>
        <v>0.1</v>
      </c>
      <c r="V86" s="114"/>
    </row>
    <row r="87" spans="10:23" ht="15" customHeight="1" x14ac:dyDescent="0.2">
      <c r="J87" s="82" t="s">
        <v>652</v>
      </c>
      <c r="K87" s="106">
        <v>4.2</v>
      </c>
      <c r="L87" s="106">
        <v>4.2</v>
      </c>
      <c r="M87" s="106">
        <v>3.3</v>
      </c>
      <c r="N87" s="106">
        <v>2.8</v>
      </c>
      <c r="O87" s="106">
        <v>2.4</v>
      </c>
      <c r="P87" s="106">
        <v>2.2000000000000002</v>
      </c>
      <c r="Q87" s="106">
        <v>2</v>
      </c>
      <c r="R87" s="112">
        <f>IF(S_1&lt;=0.1,K87,IF(S_1&gt;=0.6,Q87,_xlfn.FORECAST.LINEAR(S_1,T2.12_E,T2.12_S1)))</f>
        <v>4.2</v>
      </c>
      <c r="T87" s="80" t="e">
        <f>INDEX(T2.12_Fv,MATCH(LEFT(SiteClass,1),T2.12_SiteClass,0),MATCH(S_1,T2.12_S1,1))</f>
        <v>#N/A</v>
      </c>
      <c r="U87" s="106" t="e" cm="1">
        <f t="array" aca="1" ref="U87" ca="1">INDEX(T2.12_Fv,MATCH(LEFT(SiteClass,1),T2.12_SiteClass,0),MATCH(T2.12_xLB,T2.12_S1,1))</f>
        <v>#N/A</v>
      </c>
    </row>
    <row r="88" spans="10:23" ht="15" customHeight="1" x14ac:dyDescent="0.2">
      <c r="J88" s="82" t="s">
        <v>654</v>
      </c>
      <c r="K88" s="80" t="s">
        <v>653</v>
      </c>
      <c r="L88" s="80" t="s">
        <v>653</v>
      </c>
      <c r="M88" s="80" t="s">
        <v>653</v>
      </c>
      <c r="N88" s="80" t="s">
        <v>653</v>
      </c>
      <c r="O88" s="80" t="s">
        <v>653</v>
      </c>
      <c r="P88" s="80" t="s">
        <v>653</v>
      </c>
      <c r="Q88" s="80" t="s">
        <v>653</v>
      </c>
      <c r="R88" s="80" t="s">
        <v>653</v>
      </c>
    </row>
    <row r="89" spans="10:23" ht="15" customHeight="1" x14ac:dyDescent="0.2">
      <c r="J89" s="538" t="s">
        <v>659</v>
      </c>
      <c r="K89" s="538"/>
      <c r="L89" s="538"/>
      <c r="M89" s="538"/>
      <c r="N89" s="538"/>
      <c r="O89" s="538"/>
      <c r="P89" s="538"/>
      <c r="Q89" s="538"/>
      <c r="R89" s="538"/>
    </row>
    <row r="90" spans="10:23" ht="15" customHeight="1" x14ac:dyDescent="0.2">
      <c r="J90" s="538"/>
      <c r="K90" s="538"/>
      <c r="L90" s="538"/>
      <c r="M90" s="538"/>
      <c r="N90" s="538"/>
      <c r="O90" s="538"/>
      <c r="P90" s="538"/>
      <c r="Q90" s="538"/>
      <c r="R90" s="538"/>
    </row>
    <row r="91" spans="10:23" ht="15" customHeight="1" x14ac:dyDescent="0.2">
      <c r="J91" s="538"/>
      <c r="K91" s="538"/>
      <c r="L91" s="538"/>
      <c r="M91" s="538"/>
      <c r="N91" s="538"/>
      <c r="O91" s="538"/>
      <c r="P91" s="538"/>
      <c r="Q91" s="538"/>
      <c r="R91" s="538"/>
      <c r="V91" s="117"/>
    </row>
  </sheetData>
  <mergeCells count="107">
    <mergeCell ref="AN2:AR2"/>
    <mergeCell ref="AN3:AR3"/>
    <mergeCell ref="J61:P61"/>
    <mergeCell ref="J56:P56"/>
    <mergeCell ref="J51:P54"/>
    <mergeCell ref="J37:K37"/>
    <mergeCell ref="N42:P42"/>
    <mergeCell ref="N43:P43"/>
    <mergeCell ref="N44:P44"/>
    <mergeCell ref="N45:P45"/>
    <mergeCell ref="N46:P46"/>
    <mergeCell ref="M60:N60"/>
    <mergeCell ref="M59:N59"/>
    <mergeCell ref="M58:N58"/>
    <mergeCell ref="J60:K60"/>
    <mergeCell ref="J59:K59"/>
    <mergeCell ref="J58:K58"/>
    <mergeCell ref="J57:K57"/>
    <mergeCell ref="L57:N57"/>
    <mergeCell ref="J36:K36"/>
    <mergeCell ref="J35:K35"/>
    <mergeCell ref="L44:M44"/>
    <mergeCell ref="J45:K45"/>
    <mergeCell ref="L45:M45"/>
    <mergeCell ref="M26:M27"/>
    <mergeCell ref="J46:K46"/>
    <mergeCell ref="L46:M46"/>
    <mergeCell ref="J50:K50"/>
    <mergeCell ref="L50:M50"/>
    <mergeCell ref="J47:K47"/>
    <mergeCell ref="L47:M47"/>
    <mergeCell ref="J48:K48"/>
    <mergeCell ref="L48:M48"/>
    <mergeCell ref="J49:K49"/>
    <mergeCell ref="L49:M49"/>
    <mergeCell ref="B2:H2"/>
    <mergeCell ref="J2:P2"/>
    <mergeCell ref="J39:P39"/>
    <mergeCell ref="B4:F14"/>
    <mergeCell ref="B39:F44"/>
    <mergeCell ref="B28:F38"/>
    <mergeCell ref="B15:F27"/>
    <mergeCell ref="B3:F3"/>
    <mergeCell ref="G39:H44"/>
    <mergeCell ref="G28:H38"/>
    <mergeCell ref="G15:H27"/>
    <mergeCell ref="G4:H14"/>
    <mergeCell ref="G3:H3"/>
    <mergeCell ref="J43:K43"/>
    <mergeCell ref="J3:N4"/>
    <mergeCell ref="O3:P4"/>
    <mergeCell ref="J11:N13"/>
    <mergeCell ref="J9:N10"/>
    <mergeCell ref="J7:N8"/>
    <mergeCell ref="J5:N6"/>
    <mergeCell ref="O11:P13"/>
    <mergeCell ref="L43:M43"/>
    <mergeCell ref="J44:K44"/>
    <mergeCell ref="J40:M40"/>
    <mergeCell ref="O9:P10"/>
    <mergeCell ref="O7:P8"/>
    <mergeCell ref="T2:AF2"/>
    <mergeCell ref="T3:T4"/>
    <mergeCell ref="U3:W3"/>
    <mergeCell ref="X3:Z3"/>
    <mergeCell ref="AA3:AC3"/>
    <mergeCell ref="AD3:AF3"/>
    <mergeCell ref="O57:P57"/>
    <mergeCell ref="O5:P6"/>
    <mergeCell ref="N47:P47"/>
    <mergeCell ref="N48:P48"/>
    <mergeCell ref="N49:P49"/>
    <mergeCell ref="N50:P50"/>
    <mergeCell ref="N40:P41"/>
    <mergeCell ref="N26:N27"/>
    <mergeCell ref="O26:O27"/>
    <mergeCell ref="J25:O25"/>
    <mergeCell ref="K26:L26"/>
    <mergeCell ref="M33:M34"/>
    <mergeCell ref="J32:M32"/>
    <mergeCell ref="J33:K34"/>
    <mergeCell ref="J16:J17"/>
    <mergeCell ref="L16:L17"/>
    <mergeCell ref="AN15:AR15"/>
    <mergeCell ref="AN16:AR16"/>
    <mergeCell ref="T69:U69"/>
    <mergeCell ref="T85:U85"/>
    <mergeCell ref="J63:R63"/>
    <mergeCell ref="J79:R79"/>
    <mergeCell ref="L80:Q81"/>
    <mergeCell ref="L64:Q65"/>
    <mergeCell ref="J89:R91"/>
    <mergeCell ref="J73:R77"/>
    <mergeCell ref="J80:J82"/>
    <mergeCell ref="J64:J66"/>
    <mergeCell ref="R64:R65"/>
    <mergeCell ref="R80:R81"/>
    <mergeCell ref="J15:M15"/>
    <mergeCell ref="M16:M17"/>
    <mergeCell ref="J22:M23"/>
    <mergeCell ref="L41:M41"/>
    <mergeCell ref="J41:K41"/>
    <mergeCell ref="J42:K42"/>
    <mergeCell ref="L42:M42"/>
    <mergeCell ref="K16:K17"/>
    <mergeCell ref="L33:L34"/>
    <mergeCell ref="J26:J27"/>
  </mergeCells>
  <phoneticPr fontId="6"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AAA9F-4BAB-4785-BF61-072311F73B51}">
  <sheetPr codeName="TIA_222_I">
    <tabColor theme="0"/>
  </sheetPr>
  <dimension ref="B1:AR91"/>
  <sheetViews>
    <sheetView topLeftCell="D1" workbookViewId="0"/>
  </sheetViews>
  <sheetFormatPr defaultColWidth="9.140625" defaultRowHeight="15" customHeight="1" x14ac:dyDescent="0.2"/>
  <cols>
    <col min="1" max="1" width="2.7109375" style="57" customWidth="1"/>
    <col min="2" max="8" width="10.7109375" style="57" customWidth="1"/>
    <col min="9" max="9" width="2.7109375" style="57" customWidth="1"/>
    <col min="10" max="18" width="10.7109375" style="57" customWidth="1"/>
    <col min="19" max="19" width="2.7109375" style="57" customWidth="1"/>
    <col min="20" max="32" width="12.7109375" style="57" customWidth="1"/>
    <col min="33" max="33" width="2.7109375" style="57" customWidth="1"/>
    <col min="34" max="34" width="10.5703125" style="57" bestFit="1" customWidth="1"/>
    <col min="35" max="36" width="9.140625" style="57"/>
    <col min="37" max="37" width="2.7109375" style="57" customWidth="1"/>
    <col min="38" max="38" width="29.140625" style="57" bestFit="1" customWidth="1"/>
    <col min="39" max="39" width="2.7109375" style="57" customWidth="1"/>
    <col min="40" max="44" width="11.7109375" style="57" customWidth="1"/>
    <col min="45" max="16384" width="9.140625" style="57"/>
  </cols>
  <sheetData>
    <row r="1" spans="2:44" ht="15" customHeight="1" thickBot="1" x14ac:dyDescent="0.25"/>
    <row r="2" spans="2:44" ht="15" customHeight="1" thickBot="1" x14ac:dyDescent="0.25">
      <c r="B2" s="533" t="s">
        <v>567</v>
      </c>
      <c r="C2" s="533"/>
      <c r="D2" s="533"/>
      <c r="E2" s="533"/>
      <c r="F2" s="533"/>
      <c r="G2" s="533"/>
      <c r="H2" s="533"/>
      <c r="J2" s="533" t="s">
        <v>568</v>
      </c>
      <c r="K2" s="533"/>
      <c r="L2" s="533"/>
      <c r="M2" s="533"/>
      <c r="N2" s="533"/>
      <c r="O2" s="533"/>
      <c r="P2" s="533"/>
      <c r="Q2" s="83"/>
      <c r="T2" s="549" t="s">
        <v>569</v>
      </c>
      <c r="U2" s="550"/>
      <c r="V2" s="550"/>
      <c r="W2" s="550"/>
      <c r="X2" s="550"/>
      <c r="Y2" s="550"/>
      <c r="Z2" s="550"/>
      <c r="AA2" s="550"/>
      <c r="AB2" s="550"/>
      <c r="AC2" s="550"/>
      <c r="AD2" s="550"/>
      <c r="AE2" s="550"/>
      <c r="AF2" s="551"/>
      <c r="AH2" s="84" t="s">
        <v>101</v>
      </c>
      <c r="AI2" s="85" t="s">
        <v>570</v>
      </c>
      <c r="AJ2" s="86" t="s">
        <v>571</v>
      </c>
      <c r="AL2" s="82" t="s">
        <v>572</v>
      </c>
      <c r="AN2" s="533" t="s">
        <v>6</v>
      </c>
      <c r="AO2" s="533"/>
      <c r="AP2" s="533"/>
      <c r="AQ2" s="533"/>
      <c r="AR2" s="533"/>
    </row>
    <row r="3" spans="2:44" ht="15" customHeight="1" x14ac:dyDescent="0.2">
      <c r="B3" s="534" t="s">
        <v>573</v>
      </c>
      <c r="C3" s="535"/>
      <c r="D3" s="535"/>
      <c r="E3" s="535"/>
      <c r="F3" s="536"/>
      <c r="G3" s="533" t="s">
        <v>123</v>
      </c>
      <c r="H3" s="533"/>
      <c r="J3" s="563" t="s">
        <v>574</v>
      </c>
      <c r="K3" s="564"/>
      <c r="L3" s="564"/>
      <c r="M3" s="564"/>
      <c r="N3" s="565"/>
      <c r="O3" s="580" t="s">
        <v>575</v>
      </c>
      <c r="P3" s="581"/>
      <c r="Q3" s="87"/>
      <c r="T3" s="552" t="s">
        <v>576</v>
      </c>
      <c r="U3" s="554" t="s">
        <v>577</v>
      </c>
      <c r="V3" s="555"/>
      <c r="W3" s="556"/>
      <c r="X3" s="554" t="s">
        <v>578</v>
      </c>
      <c r="Y3" s="555"/>
      <c r="Z3" s="556"/>
      <c r="AA3" s="554" t="s">
        <v>579</v>
      </c>
      <c r="AB3" s="555"/>
      <c r="AC3" s="556"/>
      <c r="AD3" s="554" t="s">
        <v>580</v>
      </c>
      <c r="AE3" s="555"/>
      <c r="AF3" s="556"/>
      <c r="AH3" s="88" t="s">
        <v>577</v>
      </c>
      <c r="AI3" s="89">
        <f>MAX(MAX(U5:U41),ABS(MIN(U5:U41)))</f>
        <v>1.6640999999999999</v>
      </c>
      <c r="AJ3" s="90">
        <f>MAX(MAX(V5:V41),ABS(MIN(V5:V41)))</f>
        <v>0.46879999999999999</v>
      </c>
      <c r="AL3" s="80" t="s">
        <v>581</v>
      </c>
      <c r="AN3" s="534" t="s">
        <v>582</v>
      </c>
      <c r="AO3" s="535"/>
      <c r="AP3" s="535"/>
      <c r="AQ3" s="535"/>
      <c r="AR3" s="536"/>
    </row>
    <row r="4" spans="2:44" ht="15" customHeight="1" thickBot="1" x14ac:dyDescent="0.25">
      <c r="B4" s="571" t="s">
        <v>583</v>
      </c>
      <c r="C4" s="572"/>
      <c r="D4" s="572"/>
      <c r="E4" s="572"/>
      <c r="F4" s="573"/>
      <c r="G4" s="542" t="s">
        <v>584</v>
      </c>
      <c r="H4" s="542"/>
      <c r="J4" s="566"/>
      <c r="K4" s="567"/>
      <c r="L4" s="567"/>
      <c r="M4" s="567"/>
      <c r="N4" s="568"/>
      <c r="O4" s="582"/>
      <c r="P4" s="583"/>
      <c r="Q4" s="87"/>
      <c r="T4" s="553"/>
      <c r="U4" s="91" t="s">
        <v>585</v>
      </c>
      <c r="V4" s="92" t="s">
        <v>586</v>
      </c>
      <c r="W4" s="93" t="s">
        <v>587</v>
      </c>
      <c r="X4" s="91" t="s">
        <v>585</v>
      </c>
      <c r="Y4" s="92" t="s">
        <v>586</v>
      </c>
      <c r="Z4" s="93" t="s">
        <v>587</v>
      </c>
      <c r="AA4" s="91" t="s">
        <v>585</v>
      </c>
      <c r="AB4" s="92" t="s">
        <v>586</v>
      </c>
      <c r="AC4" s="93" t="s">
        <v>587</v>
      </c>
      <c r="AD4" s="91" t="s">
        <v>585</v>
      </c>
      <c r="AE4" s="92" t="s">
        <v>586</v>
      </c>
      <c r="AF4" s="93" t="s">
        <v>587</v>
      </c>
      <c r="AH4" s="88" t="s">
        <v>578</v>
      </c>
      <c r="AI4" s="94">
        <f>MAX(MAX(X5:X41),ABS(MIN(X5:X41)))</f>
        <v>0.86329999999999996</v>
      </c>
      <c r="AJ4" s="95">
        <f>MAX(MAX(Y5:Y41),ABS(MIN(Y5:Y41)))</f>
        <v>0.53129999999999999</v>
      </c>
      <c r="AL4" s="80" t="s">
        <v>588</v>
      </c>
      <c r="AN4" s="82" t="s">
        <v>12</v>
      </c>
      <c r="AO4" s="82">
        <v>0</v>
      </c>
      <c r="AP4" s="82">
        <v>2.5</v>
      </c>
      <c r="AQ4" s="82">
        <v>7</v>
      </c>
      <c r="AR4" s="82">
        <v>25</v>
      </c>
    </row>
    <row r="5" spans="2:44" ht="15" customHeight="1" x14ac:dyDescent="0.2">
      <c r="B5" s="574"/>
      <c r="C5" s="575"/>
      <c r="D5" s="575"/>
      <c r="E5" s="575"/>
      <c r="F5" s="576"/>
      <c r="G5" s="542"/>
      <c r="H5" s="542"/>
      <c r="J5" s="571" t="s">
        <v>589</v>
      </c>
      <c r="K5" s="572"/>
      <c r="L5" s="572"/>
      <c r="M5" s="572"/>
      <c r="N5" s="573"/>
      <c r="O5" s="545">
        <v>0.85</v>
      </c>
      <c r="P5" s="546"/>
      <c r="T5" s="134">
        <v>0</v>
      </c>
      <c r="U5" s="119">
        <v>1.5508</v>
      </c>
      <c r="V5" s="120">
        <v>0</v>
      </c>
      <c r="W5" s="121">
        <v>0</v>
      </c>
      <c r="X5" s="119">
        <v>0.86329999999999996</v>
      </c>
      <c r="Y5" s="120">
        <v>0</v>
      </c>
      <c r="Z5" s="121">
        <v>0</v>
      </c>
      <c r="AA5" s="119">
        <v>1.2617</v>
      </c>
      <c r="AB5" s="120">
        <v>0</v>
      </c>
      <c r="AC5" s="121">
        <v>0</v>
      </c>
      <c r="AD5" s="119">
        <v>0.53520000000000001</v>
      </c>
      <c r="AE5" s="120">
        <v>0</v>
      </c>
      <c r="AF5" s="121">
        <v>0</v>
      </c>
      <c r="AH5" s="88" t="s">
        <v>579</v>
      </c>
      <c r="AI5" s="94">
        <f>MAX(MAX(AA5:AA41),ABS(MIN(AA5:AA41)))</f>
        <v>1.2617</v>
      </c>
      <c r="AJ5" s="95">
        <f>MAX(MAX(AB5:AB41),ABS(MIN(AB5:AB41)))</f>
        <v>0.625</v>
      </c>
      <c r="AL5" s="80" t="s">
        <v>590</v>
      </c>
      <c r="AN5" s="80" t="s">
        <v>18</v>
      </c>
      <c r="AO5" s="80">
        <v>1.2</v>
      </c>
      <c r="AP5" s="80">
        <v>1.2</v>
      </c>
      <c r="AQ5" s="80">
        <v>1.4</v>
      </c>
      <c r="AR5" s="80">
        <v>2</v>
      </c>
    </row>
    <row r="6" spans="2:44" ht="15" customHeight="1" thickBot="1" x14ac:dyDescent="0.25">
      <c r="B6" s="574"/>
      <c r="C6" s="575"/>
      <c r="D6" s="575"/>
      <c r="E6" s="575"/>
      <c r="F6" s="576"/>
      <c r="G6" s="542"/>
      <c r="H6" s="542"/>
      <c r="J6" s="577"/>
      <c r="K6" s="578"/>
      <c r="L6" s="578"/>
      <c r="M6" s="578"/>
      <c r="N6" s="579"/>
      <c r="O6" s="547"/>
      <c r="P6" s="548"/>
      <c r="T6" s="135">
        <v>10</v>
      </c>
      <c r="U6" s="128">
        <v>1.5390999999999999</v>
      </c>
      <c r="V6" s="129">
        <v>-4.6899999999999997E-2</v>
      </c>
      <c r="W6" s="130">
        <v>-2.5399999999999999E-2</v>
      </c>
      <c r="X6" s="128">
        <v>0.85940000000000005</v>
      </c>
      <c r="Y6" s="129">
        <v>0.1484</v>
      </c>
      <c r="Z6" s="130">
        <v>-7.9699999999999993E-2</v>
      </c>
      <c r="AA6" s="128">
        <v>1.2617</v>
      </c>
      <c r="AB6" s="129">
        <v>9.7699999999999995E-2</v>
      </c>
      <c r="AC6" s="130">
        <v>-2.81E-2</v>
      </c>
      <c r="AD6" s="128">
        <v>0.52339999999999998</v>
      </c>
      <c r="AE6" s="129">
        <v>0.1016</v>
      </c>
      <c r="AF6" s="130">
        <v>1.6799999999999999E-2</v>
      </c>
      <c r="AH6" s="96" t="s">
        <v>580</v>
      </c>
      <c r="AI6" s="97">
        <f>MAX(MAX(AD5:AD41),ABS(MIN(AD5:AD41)))</f>
        <v>0.59379999999999999</v>
      </c>
      <c r="AJ6" s="98">
        <f>MAX(MAX(AE5:AE41),ABS(MIN(AE5:AE41)))</f>
        <v>0.28520000000000001</v>
      </c>
      <c r="AL6" s="80" t="s">
        <v>591</v>
      </c>
      <c r="AN6" s="80" t="s">
        <v>592</v>
      </c>
      <c r="AO6" s="80">
        <v>0.5</v>
      </c>
      <c r="AP6" s="80">
        <v>0.5</v>
      </c>
      <c r="AQ6" s="80">
        <v>0.6</v>
      </c>
      <c r="AR6" s="80">
        <v>0.6</v>
      </c>
    </row>
    <row r="7" spans="2:44" ht="15" customHeight="1" x14ac:dyDescent="0.2">
      <c r="B7" s="574"/>
      <c r="C7" s="575"/>
      <c r="D7" s="575"/>
      <c r="E7" s="575"/>
      <c r="F7" s="576"/>
      <c r="G7" s="542"/>
      <c r="H7" s="542"/>
      <c r="J7" s="571" t="s">
        <v>593</v>
      </c>
      <c r="K7" s="572"/>
      <c r="L7" s="572"/>
      <c r="M7" s="572"/>
      <c r="N7" s="573"/>
      <c r="O7" s="545">
        <v>0.95</v>
      </c>
      <c r="P7" s="546"/>
      <c r="T7" s="135">
        <v>20</v>
      </c>
      <c r="U7" s="128">
        <v>1.5468999999999999</v>
      </c>
      <c r="V7" s="129">
        <v>-5.0799999999999998E-2</v>
      </c>
      <c r="W7" s="130">
        <v>-3.7900000000000003E-2</v>
      </c>
      <c r="X7" s="128">
        <v>0.82030000000000003</v>
      </c>
      <c r="Y7" s="129">
        <v>0.2969</v>
      </c>
      <c r="Z7" s="130">
        <v>-0.1113</v>
      </c>
      <c r="AA7" s="128">
        <v>1.25</v>
      </c>
      <c r="AB7" s="129">
        <v>0.17580000000000001</v>
      </c>
      <c r="AC7" s="130">
        <v>-4.53E-2</v>
      </c>
      <c r="AD7" s="128">
        <v>0.50780000000000003</v>
      </c>
      <c r="AE7" s="129">
        <v>0.1797</v>
      </c>
      <c r="AF7" s="130">
        <v>2.8899999999999999E-2</v>
      </c>
      <c r="AL7" s="80" t="s">
        <v>594</v>
      </c>
      <c r="AN7" s="80" t="s">
        <v>595</v>
      </c>
      <c r="AO7" s="80">
        <v>0.7</v>
      </c>
      <c r="AP7" s="80">
        <v>0.7</v>
      </c>
      <c r="AQ7" s="80">
        <v>0.8</v>
      </c>
      <c r="AR7" s="80">
        <v>1.2</v>
      </c>
    </row>
    <row r="8" spans="2:44" ht="15" customHeight="1" x14ac:dyDescent="0.2">
      <c r="B8" s="574"/>
      <c r="C8" s="575"/>
      <c r="D8" s="575"/>
      <c r="E8" s="575"/>
      <c r="F8" s="576"/>
      <c r="G8" s="542"/>
      <c r="H8" s="542"/>
      <c r="J8" s="577"/>
      <c r="K8" s="578"/>
      <c r="L8" s="578"/>
      <c r="M8" s="578"/>
      <c r="N8" s="579"/>
      <c r="O8" s="547"/>
      <c r="P8" s="548"/>
      <c r="T8" s="136">
        <v>30</v>
      </c>
      <c r="U8" s="122">
        <v>1.5547</v>
      </c>
      <c r="V8" s="123">
        <v>-3.1300000000000001E-2</v>
      </c>
      <c r="W8" s="124">
        <v>-4.2200000000000001E-2</v>
      </c>
      <c r="X8" s="122">
        <v>0.76170000000000004</v>
      </c>
      <c r="Y8" s="123">
        <v>0.41020000000000001</v>
      </c>
      <c r="Z8" s="124">
        <v>-0.1082</v>
      </c>
      <c r="AA8" s="122">
        <v>1.2109000000000001</v>
      </c>
      <c r="AB8" s="123">
        <v>0.2344</v>
      </c>
      <c r="AC8" s="124">
        <v>-5.1999999999999998E-2</v>
      </c>
      <c r="AD8" s="122">
        <v>0.46089999999999998</v>
      </c>
      <c r="AE8" s="123">
        <v>0.23050000000000001</v>
      </c>
      <c r="AF8" s="124">
        <v>3.8300000000000001E-2</v>
      </c>
      <c r="AL8" s="80" t="s">
        <v>188</v>
      </c>
    </row>
    <row r="9" spans="2:44" ht="15" customHeight="1" x14ac:dyDescent="0.2">
      <c r="B9" s="574"/>
      <c r="C9" s="575"/>
      <c r="D9" s="575"/>
      <c r="E9" s="575"/>
      <c r="F9" s="576"/>
      <c r="G9" s="542"/>
      <c r="H9" s="542"/>
      <c r="J9" s="571" t="s">
        <v>596</v>
      </c>
      <c r="K9" s="572"/>
      <c r="L9" s="572"/>
      <c r="M9" s="572"/>
      <c r="N9" s="573"/>
      <c r="O9" s="545">
        <v>0.95</v>
      </c>
      <c r="P9" s="546"/>
      <c r="T9" s="135">
        <v>40</v>
      </c>
      <c r="U9" s="128">
        <v>1.5938000000000001</v>
      </c>
      <c r="V9" s="129">
        <v>7.7999999999999996E-3</v>
      </c>
      <c r="W9" s="130">
        <v>-5.3499999999999999E-2</v>
      </c>
      <c r="X9" s="128">
        <v>0.66410000000000002</v>
      </c>
      <c r="Y9" s="129">
        <v>0.48830000000000001</v>
      </c>
      <c r="Z9" s="130">
        <v>-8.0100000000000005E-2</v>
      </c>
      <c r="AA9" s="128">
        <v>1.1563000000000001</v>
      </c>
      <c r="AB9" s="129">
        <v>0.28129999999999999</v>
      </c>
      <c r="AC9" s="130">
        <v>-4.8800000000000003E-2</v>
      </c>
      <c r="AD9" s="128">
        <v>0.40629999999999999</v>
      </c>
      <c r="AE9" s="129">
        <v>0.26169999999999999</v>
      </c>
      <c r="AF9" s="130">
        <v>4.4900000000000002E-2</v>
      </c>
      <c r="AL9" s="80" t="s">
        <v>597</v>
      </c>
    </row>
    <row r="10" spans="2:44" ht="15" customHeight="1" x14ac:dyDescent="0.2">
      <c r="B10" s="574"/>
      <c r="C10" s="575"/>
      <c r="D10" s="575"/>
      <c r="E10" s="575"/>
      <c r="F10" s="576"/>
      <c r="G10" s="542"/>
      <c r="H10" s="542"/>
      <c r="J10" s="577"/>
      <c r="K10" s="578"/>
      <c r="L10" s="578"/>
      <c r="M10" s="578"/>
      <c r="N10" s="579"/>
      <c r="O10" s="547"/>
      <c r="P10" s="548"/>
      <c r="T10" s="137">
        <v>45</v>
      </c>
      <c r="U10" s="125">
        <f>(U11+U9)/2</f>
        <v>1.6289500000000001</v>
      </c>
      <c r="V10" s="126">
        <f t="shared" ref="V10:AF10" si="0">(V11+V9)/2</f>
        <v>4.8800000000000003E-2</v>
      </c>
      <c r="W10" s="127">
        <f t="shared" si="0"/>
        <v>-6.1299999999999993E-2</v>
      </c>
      <c r="X10" s="125">
        <f t="shared" si="0"/>
        <v>0.60550000000000004</v>
      </c>
      <c r="Y10" s="126">
        <f t="shared" si="0"/>
        <v>0.50980000000000003</v>
      </c>
      <c r="Z10" s="127">
        <f t="shared" si="0"/>
        <v>-6.2300000000000001E-2</v>
      </c>
      <c r="AA10" s="125">
        <f t="shared" si="0"/>
        <v>1.1211000000000002</v>
      </c>
      <c r="AB10" s="126">
        <f t="shared" si="0"/>
        <v>0.29300000000000004</v>
      </c>
      <c r="AC10" s="127">
        <f t="shared" si="0"/>
        <v>-4.0599999999999997E-2</v>
      </c>
      <c r="AD10" s="125">
        <f t="shared" si="0"/>
        <v>0.37504999999999999</v>
      </c>
      <c r="AE10" s="126">
        <f t="shared" si="0"/>
        <v>0.26754999999999995</v>
      </c>
      <c r="AF10" s="127">
        <f t="shared" si="0"/>
        <v>4.725E-2</v>
      </c>
      <c r="AL10" s="80" t="s">
        <v>598</v>
      </c>
    </row>
    <row r="11" spans="2:44" ht="15" customHeight="1" x14ac:dyDescent="0.2">
      <c r="B11" s="574"/>
      <c r="C11" s="575"/>
      <c r="D11" s="575"/>
      <c r="E11" s="575"/>
      <c r="F11" s="576"/>
      <c r="G11" s="542"/>
      <c r="H11" s="542"/>
      <c r="J11" s="571" t="s">
        <v>599</v>
      </c>
      <c r="K11" s="572"/>
      <c r="L11" s="572"/>
      <c r="M11" s="572"/>
      <c r="N11" s="573"/>
      <c r="O11" s="584">
        <v>1</v>
      </c>
      <c r="P11" s="585"/>
      <c r="Q11" s="99"/>
      <c r="T11" s="135">
        <v>50</v>
      </c>
      <c r="U11" s="128">
        <v>1.6640999999999999</v>
      </c>
      <c r="V11" s="129">
        <v>8.9800000000000005E-2</v>
      </c>
      <c r="W11" s="130">
        <v>-6.9099999999999995E-2</v>
      </c>
      <c r="X11" s="128">
        <v>0.54690000000000005</v>
      </c>
      <c r="Y11" s="129">
        <v>0.53129999999999999</v>
      </c>
      <c r="Z11" s="130">
        <v>-4.4499999999999998E-2</v>
      </c>
      <c r="AA11" s="128">
        <v>1.0859000000000001</v>
      </c>
      <c r="AB11" s="129">
        <v>0.30470000000000003</v>
      </c>
      <c r="AC11" s="130">
        <v>-3.2399999999999998E-2</v>
      </c>
      <c r="AD11" s="128">
        <v>0.34379999999999999</v>
      </c>
      <c r="AE11" s="129">
        <v>0.27339999999999998</v>
      </c>
      <c r="AF11" s="130">
        <v>4.9599999999999998E-2</v>
      </c>
    </row>
    <row r="12" spans="2:44" ht="15" customHeight="1" x14ac:dyDescent="0.2">
      <c r="B12" s="574"/>
      <c r="C12" s="575"/>
      <c r="D12" s="575"/>
      <c r="E12" s="575"/>
      <c r="F12" s="576"/>
      <c r="G12" s="542"/>
      <c r="H12" s="542"/>
      <c r="J12" s="574"/>
      <c r="K12" s="575"/>
      <c r="L12" s="575"/>
      <c r="M12" s="575"/>
      <c r="N12" s="576"/>
      <c r="O12" s="586"/>
      <c r="P12" s="587"/>
      <c r="Q12" s="99"/>
      <c r="T12" s="136">
        <v>60</v>
      </c>
      <c r="U12" s="122">
        <v>1.6484000000000001</v>
      </c>
      <c r="V12" s="123">
        <v>0.2422</v>
      </c>
      <c r="W12" s="124">
        <v>-8.7099999999999997E-2</v>
      </c>
      <c r="X12" s="122">
        <v>0.41799999999999998</v>
      </c>
      <c r="Y12" s="123">
        <v>0.5</v>
      </c>
      <c r="Z12" s="124">
        <v>-8.0000000000000004E-4</v>
      </c>
      <c r="AA12" s="122">
        <v>0.94530000000000003</v>
      </c>
      <c r="AB12" s="123">
        <v>0.36720000000000003</v>
      </c>
      <c r="AC12" s="124">
        <v>-8.6E-3</v>
      </c>
      <c r="AD12" s="122">
        <v>0.2344</v>
      </c>
      <c r="AE12" s="123">
        <v>0.28129999999999999</v>
      </c>
      <c r="AF12" s="124">
        <v>5.2699999999999997E-2</v>
      </c>
    </row>
    <row r="13" spans="2:44" ht="15" customHeight="1" x14ac:dyDescent="0.2">
      <c r="B13" s="574"/>
      <c r="C13" s="575"/>
      <c r="D13" s="575"/>
      <c r="E13" s="575"/>
      <c r="F13" s="576"/>
      <c r="G13" s="542"/>
      <c r="H13" s="542"/>
      <c r="J13" s="577"/>
      <c r="K13" s="578"/>
      <c r="L13" s="578"/>
      <c r="M13" s="578"/>
      <c r="N13" s="579"/>
      <c r="O13" s="588"/>
      <c r="P13" s="589"/>
      <c r="Q13" s="99"/>
      <c r="T13" s="135">
        <v>70</v>
      </c>
      <c r="U13" s="128">
        <v>1.3672</v>
      </c>
      <c r="V13" s="129">
        <v>0.45700000000000002</v>
      </c>
      <c r="W13" s="130">
        <v>-7.7999999999999996E-3</v>
      </c>
      <c r="X13" s="128">
        <v>0.3125</v>
      </c>
      <c r="Y13" s="129">
        <v>0.46089999999999998</v>
      </c>
      <c r="Z13" s="130">
        <v>5.0799999999999998E-2</v>
      </c>
      <c r="AA13" s="128">
        <v>0.67190000000000005</v>
      </c>
      <c r="AB13" s="129">
        <v>0.47660000000000002</v>
      </c>
      <c r="AC13" s="130">
        <v>2.2700000000000001E-2</v>
      </c>
      <c r="AD13" s="128">
        <v>0.12889999999999999</v>
      </c>
      <c r="AE13" s="129">
        <v>0.27339999999999998</v>
      </c>
      <c r="AF13" s="130">
        <v>5.5500000000000001E-2</v>
      </c>
    </row>
    <row r="14" spans="2:44" ht="15" customHeight="1" x14ac:dyDescent="0.2">
      <c r="B14" s="577"/>
      <c r="C14" s="578"/>
      <c r="D14" s="578"/>
      <c r="E14" s="578"/>
      <c r="F14" s="579"/>
      <c r="G14" s="542"/>
      <c r="H14" s="542"/>
      <c r="T14" s="135">
        <v>80</v>
      </c>
      <c r="U14" s="128">
        <v>0.76170000000000004</v>
      </c>
      <c r="V14" s="129">
        <v>0.37890000000000001</v>
      </c>
      <c r="W14" s="130">
        <v>0.1</v>
      </c>
      <c r="X14" s="128">
        <v>0.2266</v>
      </c>
      <c r="Y14" s="129">
        <v>0.4375</v>
      </c>
      <c r="Z14" s="130">
        <v>0.1047</v>
      </c>
      <c r="AA14" s="128">
        <v>0.27339999999999998</v>
      </c>
      <c r="AB14" s="129">
        <v>0.58199999999999996</v>
      </c>
      <c r="AC14" s="130">
        <v>6.9500000000000006E-2</v>
      </c>
      <c r="AD14" s="128">
        <v>3.9100000000000003E-2</v>
      </c>
      <c r="AE14" s="129">
        <v>0.25</v>
      </c>
      <c r="AF14" s="130">
        <v>4.9200000000000001E-2</v>
      </c>
    </row>
    <row r="15" spans="2:44" ht="15" customHeight="1" x14ac:dyDescent="0.2">
      <c r="B15" s="571" t="s">
        <v>600</v>
      </c>
      <c r="C15" s="572"/>
      <c r="D15" s="572"/>
      <c r="E15" s="572"/>
      <c r="F15" s="573"/>
      <c r="G15" s="542" t="s">
        <v>124</v>
      </c>
      <c r="H15" s="542"/>
      <c r="J15" s="533" t="s">
        <v>601</v>
      </c>
      <c r="K15" s="533"/>
      <c r="L15" s="533"/>
      <c r="M15" s="533"/>
      <c r="T15" s="136">
        <v>90</v>
      </c>
      <c r="U15" s="122">
        <v>-1.17E-2</v>
      </c>
      <c r="V15" s="123">
        <v>0.34379999999999999</v>
      </c>
      <c r="W15" s="124">
        <v>0.1313</v>
      </c>
      <c r="X15" s="122">
        <v>0.1328</v>
      </c>
      <c r="Y15" s="123">
        <v>0.40629999999999999</v>
      </c>
      <c r="Z15" s="124">
        <v>0.15229999999999999</v>
      </c>
      <c r="AA15" s="122">
        <v>-0.1094</v>
      </c>
      <c r="AB15" s="123">
        <v>0.625</v>
      </c>
      <c r="AC15" s="124">
        <v>9.8000000000000004E-2</v>
      </c>
      <c r="AD15" s="122">
        <v>-5.0799999999999998E-2</v>
      </c>
      <c r="AE15" s="123">
        <v>0.2422</v>
      </c>
      <c r="AF15" s="124">
        <v>4.3400000000000001E-2</v>
      </c>
      <c r="AN15" s="533" t="s">
        <v>602</v>
      </c>
      <c r="AO15" s="533"/>
      <c r="AP15" s="533"/>
      <c r="AQ15" s="533"/>
      <c r="AR15" s="533"/>
    </row>
    <row r="16" spans="2:44" ht="15" customHeight="1" x14ac:dyDescent="0.2">
      <c r="B16" s="574"/>
      <c r="C16" s="575"/>
      <c r="D16" s="575"/>
      <c r="E16" s="575"/>
      <c r="F16" s="576"/>
      <c r="G16" s="542"/>
      <c r="H16" s="542"/>
      <c r="J16" s="544" t="s">
        <v>123</v>
      </c>
      <c r="K16" s="543" t="s">
        <v>162</v>
      </c>
      <c r="L16" s="569" t="s">
        <v>603</v>
      </c>
      <c r="M16" s="540" t="s">
        <v>604</v>
      </c>
      <c r="T16" s="135">
        <v>100</v>
      </c>
      <c r="U16" s="128">
        <v>-0.40229999999999999</v>
      </c>
      <c r="V16" s="129">
        <v>0.38279999999999997</v>
      </c>
      <c r="W16" s="130">
        <v>0.13200000000000001</v>
      </c>
      <c r="X16" s="128">
        <v>3.1300000000000001E-2</v>
      </c>
      <c r="Y16" s="129">
        <v>0.3906</v>
      </c>
      <c r="Z16" s="130">
        <v>0.16950000000000001</v>
      </c>
      <c r="AA16" s="128">
        <v>-0.34379999999999999</v>
      </c>
      <c r="AB16" s="129">
        <v>0.60160000000000002</v>
      </c>
      <c r="AC16" s="130">
        <v>0.1125</v>
      </c>
      <c r="AD16" s="128">
        <v>-0.1172</v>
      </c>
      <c r="AE16" s="129">
        <v>0.27339999999999998</v>
      </c>
      <c r="AF16" s="130">
        <v>4.6899999999999997E-2</v>
      </c>
      <c r="AN16" s="534" t="s">
        <v>582</v>
      </c>
      <c r="AO16" s="535"/>
      <c r="AP16" s="535"/>
      <c r="AQ16" s="535"/>
      <c r="AR16" s="536"/>
    </row>
    <row r="17" spans="2:44" ht="15" customHeight="1" x14ac:dyDescent="0.2">
      <c r="B17" s="574"/>
      <c r="C17" s="575"/>
      <c r="D17" s="575"/>
      <c r="E17" s="575"/>
      <c r="F17" s="576"/>
      <c r="G17" s="542"/>
      <c r="H17" s="542"/>
      <c r="J17" s="537"/>
      <c r="K17" s="544"/>
      <c r="L17" s="570"/>
      <c r="M17" s="541"/>
      <c r="T17" s="135">
        <v>110</v>
      </c>
      <c r="U17" s="128">
        <v>-0.46089999999999998</v>
      </c>
      <c r="V17" s="129">
        <v>0.41410000000000002</v>
      </c>
      <c r="W17" s="130">
        <v>0.13400000000000001</v>
      </c>
      <c r="X17" s="128">
        <v>-6.6400000000000001E-2</v>
      </c>
      <c r="Y17" s="129">
        <v>0.37109999999999999</v>
      </c>
      <c r="Z17" s="130">
        <v>0.1648</v>
      </c>
      <c r="AA17" s="128">
        <v>-0.53910000000000002</v>
      </c>
      <c r="AB17" s="129">
        <v>0.53129999999999999</v>
      </c>
      <c r="AC17" s="130">
        <v>0.11409999999999999</v>
      </c>
      <c r="AD17" s="128">
        <v>-0.1875</v>
      </c>
      <c r="AE17" s="129">
        <v>0.28520000000000001</v>
      </c>
      <c r="AF17" s="130">
        <v>5.04E-2</v>
      </c>
      <c r="AN17" s="82" t="s">
        <v>12</v>
      </c>
      <c r="AO17" s="82">
        <v>0</v>
      </c>
      <c r="AP17" s="82">
        <v>2.5</v>
      </c>
      <c r="AQ17" s="82">
        <v>7</v>
      </c>
      <c r="AR17" s="82">
        <v>25</v>
      </c>
    </row>
    <row r="18" spans="2:44" ht="15" customHeight="1" x14ac:dyDescent="0.2">
      <c r="B18" s="574"/>
      <c r="C18" s="575"/>
      <c r="D18" s="575"/>
      <c r="E18" s="575"/>
      <c r="F18" s="576"/>
      <c r="G18" s="542"/>
      <c r="H18" s="542"/>
      <c r="J18" s="80" t="s">
        <v>584</v>
      </c>
      <c r="K18" s="80" t="s">
        <v>146</v>
      </c>
      <c r="L18" s="80" t="s">
        <v>146</v>
      </c>
      <c r="M18" s="80">
        <v>0.87</v>
      </c>
      <c r="T18" s="136">
        <v>120</v>
      </c>
      <c r="U18" s="122">
        <v>-0.45700000000000002</v>
      </c>
      <c r="V18" s="123">
        <v>0.45700000000000002</v>
      </c>
      <c r="W18" s="124">
        <v>0.14299999999999999</v>
      </c>
      <c r="X18" s="122">
        <v>-0.1641</v>
      </c>
      <c r="Y18" s="123">
        <v>0.34770000000000001</v>
      </c>
      <c r="Z18" s="124">
        <v>0.1578</v>
      </c>
      <c r="AA18" s="122">
        <v>-0.71089999999999998</v>
      </c>
      <c r="AB18" s="123">
        <v>0.4375</v>
      </c>
      <c r="AC18" s="124">
        <v>0.10390000000000001</v>
      </c>
      <c r="AD18" s="122">
        <v>-0.2656</v>
      </c>
      <c r="AE18" s="123">
        <v>0.27729999999999999</v>
      </c>
      <c r="AF18" s="124">
        <v>5.1200000000000002E-2</v>
      </c>
      <c r="AN18" s="80" t="s">
        <v>605</v>
      </c>
      <c r="AO18" s="80">
        <v>0.5</v>
      </c>
      <c r="AP18" s="80">
        <v>0.5</v>
      </c>
      <c r="AQ18" s="80">
        <v>0.6</v>
      </c>
      <c r="AR18" s="80">
        <v>0.6</v>
      </c>
    </row>
    <row r="19" spans="2:44" ht="15" customHeight="1" x14ac:dyDescent="0.2">
      <c r="B19" s="574"/>
      <c r="C19" s="575"/>
      <c r="D19" s="575"/>
      <c r="E19" s="575"/>
      <c r="F19" s="576"/>
      <c r="G19" s="542"/>
      <c r="H19" s="542"/>
      <c r="J19" s="80" t="s">
        <v>124</v>
      </c>
      <c r="K19" s="101">
        <v>1</v>
      </c>
      <c r="L19" s="101">
        <v>1</v>
      </c>
      <c r="M19" s="101">
        <v>1</v>
      </c>
      <c r="T19" s="135">
        <v>130</v>
      </c>
      <c r="U19" s="128">
        <v>-0.46879999999999999</v>
      </c>
      <c r="V19" s="129">
        <v>0.46879999999999999</v>
      </c>
      <c r="W19" s="130">
        <v>0.14610000000000001</v>
      </c>
      <c r="X19" s="128">
        <v>-0.29299999999999998</v>
      </c>
      <c r="Y19" s="129">
        <v>0.32029999999999997</v>
      </c>
      <c r="Z19" s="130">
        <v>0.13950000000000001</v>
      </c>
      <c r="AA19" s="128">
        <v>-0.85940000000000005</v>
      </c>
      <c r="AB19" s="129">
        <v>0.3125</v>
      </c>
      <c r="AC19" s="130">
        <v>9.2600000000000002E-2</v>
      </c>
      <c r="AD19" s="128">
        <v>-0.33589999999999998</v>
      </c>
      <c r="AE19" s="129">
        <v>0.26169999999999999</v>
      </c>
      <c r="AF19" s="130">
        <v>4.9599999999999998E-2</v>
      </c>
      <c r="AN19" s="80" t="s">
        <v>606</v>
      </c>
      <c r="AO19" s="80">
        <v>0.7</v>
      </c>
      <c r="AP19" s="80">
        <v>0.7</v>
      </c>
      <c r="AQ19" s="80">
        <v>0.8</v>
      </c>
      <c r="AR19" s="80">
        <v>1.2</v>
      </c>
    </row>
    <row r="20" spans="2:44" ht="15" customHeight="1" x14ac:dyDescent="0.2">
      <c r="B20" s="574"/>
      <c r="C20" s="575"/>
      <c r="D20" s="575"/>
      <c r="E20" s="575"/>
      <c r="F20" s="576"/>
      <c r="G20" s="542"/>
      <c r="H20" s="542"/>
      <c r="J20" s="80" t="s">
        <v>607</v>
      </c>
      <c r="K20" s="80">
        <v>1.1499999999999999</v>
      </c>
      <c r="L20" s="80">
        <v>1.25</v>
      </c>
      <c r="M20" s="80">
        <v>1.1499999999999999</v>
      </c>
      <c r="T20" s="137">
        <v>135</v>
      </c>
      <c r="U20" s="125">
        <f>(U21+U19)/2</f>
        <v>-0.52150000000000007</v>
      </c>
      <c r="V20" s="126">
        <f t="shared" ref="V20:AF20" si="1">(V21+V19)/2</f>
        <v>0.45704999999999996</v>
      </c>
      <c r="W20" s="127">
        <f t="shared" si="1"/>
        <v>0.13905000000000001</v>
      </c>
      <c r="X20" s="125">
        <f t="shared" si="1"/>
        <v>-0.35160000000000002</v>
      </c>
      <c r="Y20" s="126">
        <f t="shared" si="1"/>
        <v>0.3125</v>
      </c>
      <c r="Z20" s="127">
        <f t="shared" si="1"/>
        <v>0.11505000000000001</v>
      </c>
      <c r="AA20" s="125">
        <f t="shared" si="1"/>
        <v>-0.89650000000000007</v>
      </c>
      <c r="AB20" s="126">
        <f t="shared" si="1"/>
        <v>0.27150000000000002</v>
      </c>
      <c r="AC20" s="127">
        <f t="shared" si="1"/>
        <v>8.5150000000000003E-2</v>
      </c>
      <c r="AD20" s="125">
        <f t="shared" si="1"/>
        <v>-0.37109999999999999</v>
      </c>
      <c r="AE20" s="126">
        <f t="shared" si="1"/>
        <v>0.24804999999999999</v>
      </c>
      <c r="AF20" s="127">
        <f t="shared" si="1"/>
        <v>4.7049999999999995E-2</v>
      </c>
      <c r="AN20" s="80" t="s">
        <v>608</v>
      </c>
      <c r="AO20" s="80">
        <v>0.7</v>
      </c>
      <c r="AP20" s="80">
        <v>0.7</v>
      </c>
      <c r="AQ20" s="80">
        <v>0.8</v>
      </c>
      <c r="AR20" s="80">
        <v>1.2</v>
      </c>
    </row>
    <row r="21" spans="2:44" ht="15" customHeight="1" x14ac:dyDescent="0.2">
      <c r="B21" s="574"/>
      <c r="C21" s="575"/>
      <c r="D21" s="575"/>
      <c r="E21" s="575"/>
      <c r="F21" s="576"/>
      <c r="G21" s="542"/>
      <c r="H21" s="542"/>
      <c r="J21" s="102" t="s">
        <v>609</v>
      </c>
      <c r="K21" s="102">
        <v>1.25</v>
      </c>
      <c r="L21" s="103">
        <v>1.5</v>
      </c>
      <c r="M21" s="80">
        <v>1.1499999999999999</v>
      </c>
      <c r="T21" s="135">
        <v>140</v>
      </c>
      <c r="U21" s="128">
        <v>-0.57420000000000004</v>
      </c>
      <c r="V21" s="129">
        <v>0.44529999999999997</v>
      </c>
      <c r="W21" s="130">
        <v>0.13200000000000001</v>
      </c>
      <c r="X21" s="128">
        <v>-0.41020000000000001</v>
      </c>
      <c r="Y21" s="129">
        <v>0.30470000000000003</v>
      </c>
      <c r="Z21" s="130">
        <v>9.06E-2</v>
      </c>
      <c r="AA21" s="128">
        <v>-0.93359999999999999</v>
      </c>
      <c r="AB21" s="129">
        <v>0.23050000000000001</v>
      </c>
      <c r="AC21" s="130">
        <v>7.7700000000000005E-2</v>
      </c>
      <c r="AD21" s="128">
        <v>-0.40629999999999999</v>
      </c>
      <c r="AE21" s="129">
        <v>0.2344</v>
      </c>
      <c r="AF21" s="130">
        <v>4.4499999999999998E-2</v>
      </c>
    </row>
    <row r="22" spans="2:44" ht="15" customHeight="1" x14ac:dyDescent="0.2">
      <c r="B22" s="574"/>
      <c r="C22" s="575"/>
      <c r="D22" s="575"/>
      <c r="E22" s="575"/>
      <c r="F22" s="576"/>
      <c r="G22" s="542"/>
      <c r="H22" s="542"/>
      <c r="J22" s="538" t="s">
        <v>610</v>
      </c>
      <c r="K22" s="538"/>
      <c r="L22" s="538"/>
      <c r="M22" s="538"/>
      <c r="T22" s="136">
        <v>150</v>
      </c>
      <c r="U22" s="122">
        <v>-0.77339999999999998</v>
      </c>
      <c r="V22" s="123">
        <v>0.3906</v>
      </c>
      <c r="W22" s="124">
        <v>0.1086</v>
      </c>
      <c r="X22" s="122">
        <v>-0.51949999999999996</v>
      </c>
      <c r="Y22" s="123">
        <v>0.27339999999999998</v>
      </c>
      <c r="Z22" s="124">
        <v>5.16E-2</v>
      </c>
      <c r="AA22" s="122">
        <v>-0.95699999999999996</v>
      </c>
      <c r="AB22" s="123">
        <v>0.17580000000000001</v>
      </c>
      <c r="AC22" s="124">
        <v>6.1699999999999998E-2</v>
      </c>
      <c r="AD22" s="122">
        <v>-0.47660000000000002</v>
      </c>
      <c r="AE22" s="123">
        <v>0.2031</v>
      </c>
      <c r="AF22" s="124">
        <v>3.7100000000000001E-2</v>
      </c>
    </row>
    <row r="23" spans="2:44" ht="15" customHeight="1" x14ac:dyDescent="0.2">
      <c r="B23" s="574"/>
      <c r="C23" s="575"/>
      <c r="D23" s="575"/>
      <c r="E23" s="575"/>
      <c r="F23" s="576"/>
      <c r="G23" s="542"/>
      <c r="H23" s="542"/>
      <c r="J23" s="538"/>
      <c r="K23" s="538"/>
      <c r="L23" s="538"/>
      <c r="M23" s="538"/>
      <c r="T23" s="135">
        <v>160</v>
      </c>
      <c r="U23" s="128">
        <v>-0.86719999999999997</v>
      </c>
      <c r="V23" s="129">
        <v>0.29299999999999998</v>
      </c>
      <c r="W23" s="130">
        <v>8.3599999999999994E-2</v>
      </c>
      <c r="X23" s="128">
        <v>-0.60160000000000002</v>
      </c>
      <c r="Y23" s="129">
        <v>0.2266</v>
      </c>
      <c r="Z23" s="130">
        <v>2.46E-2</v>
      </c>
      <c r="AA23" s="128">
        <v>-0.97270000000000001</v>
      </c>
      <c r="AB23" s="129">
        <v>0.1484</v>
      </c>
      <c r="AC23" s="130">
        <v>4.3799999999999999E-2</v>
      </c>
      <c r="AD23" s="128">
        <v>-0.54690000000000005</v>
      </c>
      <c r="AE23" s="129">
        <v>0.15629999999999999</v>
      </c>
      <c r="AF23" s="130">
        <v>2.7300000000000001E-2</v>
      </c>
    </row>
    <row r="24" spans="2:44" ht="15" customHeight="1" x14ac:dyDescent="0.2">
      <c r="B24" s="574"/>
      <c r="C24" s="575"/>
      <c r="D24" s="575"/>
      <c r="E24" s="575"/>
      <c r="F24" s="576"/>
      <c r="G24" s="542"/>
      <c r="H24" s="542"/>
      <c r="T24" s="135">
        <v>170</v>
      </c>
      <c r="U24" s="128">
        <v>-0.94530000000000003</v>
      </c>
      <c r="V24" s="129">
        <v>0.14449999999999999</v>
      </c>
      <c r="W24" s="130">
        <v>5.0799999999999998E-2</v>
      </c>
      <c r="X24" s="128">
        <v>-0.65629999999999999</v>
      </c>
      <c r="Y24" s="129">
        <v>0.1484</v>
      </c>
      <c r="Z24" s="130">
        <v>8.6E-3</v>
      </c>
      <c r="AA24" s="128">
        <v>-0.99609999999999999</v>
      </c>
      <c r="AB24" s="129">
        <v>9.7699999999999995E-2</v>
      </c>
      <c r="AC24" s="130">
        <v>2.3E-2</v>
      </c>
      <c r="AD24" s="128">
        <v>-0.58589999999999998</v>
      </c>
      <c r="AE24" s="129">
        <v>8.5900000000000004E-2</v>
      </c>
      <c r="AF24" s="130">
        <v>1.4800000000000001E-2</v>
      </c>
    </row>
    <row r="25" spans="2:44" ht="15" customHeight="1" x14ac:dyDescent="0.2">
      <c r="B25" s="574"/>
      <c r="C25" s="575"/>
      <c r="D25" s="575"/>
      <c r="E25" s="575"/>
      <c r="F25" s="576"/>
      <c r="G25" s="542"/>
      <c r="H25" s="542"/>
      <c r="J25" s="534" t="s">
        <v>611</v>
      </c>
      <c r="K25" s="535"/>
      <c r="L25" s="535"/>
      <c r="M25" s="535"/>
      <c r="N25" s="535"/>
      <c r="O25" s="536"/>
      <c r="T25" s="136">
        <v>180</v>
      </c>
      <c r="U25" s="122">
        <v>-1.0547</v>
      </c>
      <c r="V25" s="123">
        <v>0</v>
      </c>
      <c r="W25" s="124">
        <v>0</v>
      </c>
      <c r="X25" s="122">
        <v>-0.69140000000000001</v>
      </c>
      <c r="Y25" s="123">
        <v>0</v>
      </c>
      <c r="Z25" s="124">
        <v>0</v>
      </c>
      <c r="AA25" s="122">
        <v>-1.0156000000000001</v>
      </c>
      <c r="AB25" s="123">
        <v>0</v>
      </c>
      <c r="AC25" s="124">
        <v>0</v>
      </c>
      <c r="AD25" s="122">
        <v>-0.59379999999999999</v>
      </c>
      <c r="AE25" s="123">
        <v>0</v>
      </c>
      <c r="AF25" s="124">
        <v>0</v>
      </c>
    </row>
    <row r="26" spans="2:44" ht="15" customHeight="1" x14ac:dyDescent="0.2">
      <c r="B26" s="574"/>
      <c r="C26" s="575"/>
      <c r="D26" s="575"/>
      <c r="E26" s="575"/>
      <c r="F26" s="576"/>
      <c r="G26" s="542"/>
      <c r="H26" s="542"/>
      <c r="J26" s="537" t="s">
        <v>135</v>
      </c>
      <c r="K26" s="537" t="s">
        <v>612</v>
      </c>
      <c r="L26" s="537"/>
      <c r="M26" s="537" t="s">
        <v>613</v>
      </c>
      <c r="N26" s="537" t="s">
        <v>614</v>
      </c>
      <c r="O26" s="537" t="s">
        <v>615</v>
      </c>
      <c r="T26" s="135">
        <v>190</v>
      </c>
      <c r="U26" s="128">
        <v>-0.94530000000000003</v>
      </c>
      <c r="V26" s="129">
        <v>-0.14449999999999999</v>
      </c>
      <c r="W26" s="130">
        <v>-5.0799999999999998E-2</v>
      </c>
      <c r="X26" s="128">
        <v>-0.65629999999999999</v>
      </c>
      <c r="Y26" s="129">
        <v>-0.1484</v>
      </c>
      <c r="Z26" s="130">
        <v>-8.6E-3</v>
      </c>
      <c r="AA26" s="128">
        <v>-0.99609999999999999</v>
      </c>
      <c r="AB26" s="129">
        <v>-9.7699999999999995E-2</v>
      </c>
      <c r="AC26" s="130">
        <v>-2.3E-2</v>
      </c>
      <c r="AD26" s="128">
        <v>-0.58589999999999998</v>
      </c>
      <c r="AE26" s="129">
        <v>-8.5900000000000004E-2</v>
      </c>
      <c r="AF26" s="130">
        <v>-1.4800000000000001E-2</v>
      </c>
    </row>
    <row r="27" spans="2:44" ht="15" customHeight="1" x14ac:dyDescent="0.2">
      <c r="B27" s="577"/>
      <c r="C27" s="578"/>
      <c r="D27" s="578"/>
      <c r="E27" s="578"/>
      <c r="F27" s="579"/>
      <c r="G27" s="542"/>
      <c r="H27" s="542"/>
      <c r="J27" s="537"/>
      <c r="K27" s="100" t="s">
        <v>616</v>
      </c>
      <c r="L27" s="82" t="s">
        <v>617</v>
      </c>
      <c r="M27" s="537"/>
      <c r="N27" s="537"/>
      <c r="O27" s="537"/>
      <c r="T27" s="135">
        <v>200</v>
      </c>
      <c r="U27" s="128">
        <v>-0.86719999999999997</v>
      </c>
      <c r="V27" s="129">
        <v>-0.29299999999999998</v>
      </c>
      <c r="W27" s="130">
        <v>-8.3599999999999994E-2</v>
      </c>
      <c r="X27" s="128">
        <v>-0.60160000000000002</v>
      </c>
      <c r="Y27" s="129">
        <v>-0.2266</v>
      </c>
      <c r="Z27" s="130">
        <v>-2.46E-2</v>
      </c>
      <c r="AA27" s="128">
        <v>-0.97270000000000001</v>
      </c>
      <c r="AB27" s="129">
        <v>-0.1484</v>
      </c>
      <c r="AC27" s="130">
        <v>-4.3799999999999999E-2</v>
      </c>
      <c r="AD27" s="128">
        <v>-0.54690000000000005</v>
      </c>
      <c r="AE27" s="129">
        <v>-0.15629999999999999</v>
      </c>
      <c r="AF27" s="130">
        <v>-2.7300000000000001E-2</v>
      </c>
    </row>
    <row r="28" spans="2:44" ht="15" customHeight="1" x14ac:dyDescent="0.2">
      <c r="B28" s="571" t="s">
        <v>618</v>
      </c>
      <c r="C28" s="572"/>
      <c r="D28" s="572"/>
      <c r="E28" s="572"/>
      <c r="F28" s="573"/>
      <c r="G28" s="542" t="s">
        <v>607</v>
      </c>
      <c r="H28" s="542"/>
      <c r="J28" s="80" t="s">
        <v>0</v>
      </c>
      <c r="K28" s="104">
        <v>3280</v>
      </c>
      <c r="L28" s="105">
        <v>1000</v>
      </c>
      <c r="M28" s="106">
        <v>7.5</v>
      </c>
      <c r="N28" s="101">
        <v>0.7</v>
      </c>
      <c r="O28" s="101">
        <v>0.9</v>
      </c>
      <c r="T28" s="136">
        <v>210</v>
      </c>
      <c r="U28" s="122">
        <v>-0.77339999999999998</v>
      </c>
      <c r="V28" s="123">
        <v>-0.3906</v>
      </c>
      <c r="W28" s="124">
        <v>-0.1086</v>
      </c>
      <c r="X28" s="122">
        <v>-0.51949999999999996</v>
      </c>
      <c r="Y28" s="123">
        <v>-0.27339999999999998</v>
      </c>
      <c r="Z28" s="124">
        <v>-5.16E-2</v>
      </c>
      <c r="AA28" s="122">
        <v>-0.95699999999999996</v>
      </c>
      <c r="AB28" s="123">
        <v>-0.17580000000000001</v>
      </c>
      <c r="AC28" s="124">
        <v>-6.1699999999999998E-2</v>
      </c>
      <c r="AD28" s="122">
        <v>-0.47660000000000002</v>
      </c>
      <c r="AE28" s="123">
        <v>-0.2031</v>
      </c>
      <c r="AF28" s="124">
        <v>-3.7100000000000001E-2</v>
      </c>
    </row>
    <row r="29" spans="2:44" ht="15" customHeight="1" x14ac:dyDescent="0.2">
      <c r="B29" s="574"/>
      <c r="C29" s="575"/>
      <c r="D29" s="575"/>
      <c r="E29" s="575"/>
      <c r="F29" s="576"/>
      <c r="G29" s="542"/>
      <c r="H29" s="542"/>
      <c r="J29" s="80" t="s">
        <v>660</v>
      </c>
      <c r="K29" s="104">
        <v>3280</v>
      </c>
      <c r="L29" s="105">
        <v>1000</v>
      </c>
      <c r="M29" s="106">
        <v>7.5</v>
      </c>
      <c r="N29" s="101">
        <v>0.7</v>
      </c>
      <c r="O29" s="101">
        <v>0.9</v>
      </c>
      <c r="T29" s="135">
        <v>220</v>
      </c>
      <c r="U29" s="128">
        <v>-0.57420000000000004</v>
      </c>
      <c r="V29" s="129">
        <v>-0.44529999999999997</v>
      </c>
      <c r="W29" s="130">
        <v>-0.13200000000000001</v>
      </c>
      <c r="X29" s="128">
        <v>-0.41020000000000001</v>
      </c>
      <c r="Y29" s="129">
        <v>-0.30470000000000003</v>
      </c>
      <c r="Z29" s="130">
        <v>-9.06E-2</v>
      </c>
      <c r="AA29" s="128">
        <v>-0.93359999999999999</v>
      </c>
      <c r="AB29" s="129">
        <v>-0.23050000000000001</v>
      </c>
      <c r="AC29" s="130">
        <v>-7.7700000000000005E-2</v>
      </c>
      <c r="AD29" s="128">
        <v>-0.40629999999999999</v>
      </c>
      <c r="AE29" s="129">
        <v>-0.2344</v>
      </c>
      <c r="AF29" s="130">
        <v>-4.4499999999999998E-2</v>
      </c>
    </row>
    <row r="30" spans="2:44" ht="15" customHeight="1" x14ac:dyDescent="0.2">
      <c r="B30" s="574"/>
      <c r="C30" s="575"/>
      <c r="D30" s="575"/>
      <c r="E30" s="575"/>
      <c r="F30" s="576"/>
      <c r="G30" s="542"/>
      <c r="H30" s="542"/>
      <c r="J30" s="80" t="s">
        <v>136</v>
      </c>
      <c r="K30" s="104">
        <v>2460</v>
      </c>
      <c r="L30" s="105">
        <v>750</v>
      </c>
      <c r="M30" s="80">
        <v>9.8000000000000007</v>
      </c>
      <c r="N30" s="101">
        <v>0.85</v>
      </c>
      <c r="O30" s="101">
        <v>1</v>
      </c>
      <c r="T30" s="137">
        <v>225</v>
      </c>
      <c r="U30" s="125">
        <f>(U31+U29)/2</f>
        <v>-0.52150000000000007</v>
      </c>
      <c r="V30" s="126">
        <f t="shared" ref="V30:AF30" si="2">(V31+V29)/2</f>
        <v>-0.45704999999999996</v>
      </c>
      <c r="W30" s="127">
        <f t="shared" si="2"/>
        <v>-0.13905000000000001</v>
      </c>
      <c r="X30" s="125">
        <f t="shared" si="2"/>
        <v>-0.35160000000000002</v>
      </c>
      <c r="Y30" s="126">
        <f t="shared" si="2"/>
        <v>-0.3125</v>
      </c>
      <c r="Z30" s="127">
        <f t="shared" si="2"/>
        <v>-0.11505000000000001</v>
      </c>
      <c r="AA30" s="125">
        <f t="shared" si="2"/>
        <v>-0.89650000000000007</v>
      </c>
      <c r="AB30" s="126">
        <f t="shared" si="2"/>
        <v>-0.27150000000000002</v>
      </c>
      <c r="AC30" s="127">
        <f t="shared" si="2"/>
        <v>-8.5150000000000003E-2</v>
      </c>
      <c r="AD30" s="125">
        <f t="shared" si="2"/>
        <v>-0.37109999999999999</v>
      </c>
      <c r="AE30" s="126">
        <f t="shared" si="2"/>
        <v>-0.24804999999999999</v>
      </c>
      <c r="AF30" s="127">
        <f t="shared" si="2"/>
        <v>-4.7049999999999995E-2</v>
      </c>
    </row>
    <row r="31" spans="2:44" ht="15" customHeight="1" x14ac:dyDescent="0.2">
      <c r="B31" s="574"/>
      <c r="C31" s="575"/>
      <c r="D31" s="575"/>
      <c r="E31" s="575"/>
      <c r="F31" s="576"/>
      <c r="G31" s="542"/>
      <c r="H31" s="542"/>
      <c r="J31" s="80" t="s">
        <v>171</v>
      </c>
      <c r="K31" s="104">
        <v>1935</v>
      </c>
      <c r="L31" s="105">
        <v>590</v>
      </c>
      <c r="M31" s="80">
        <v>11.5</v>
      </c>
      <c r="N31" s="101">
        <v>1.03</v>
      </c>
      <c r="O31" s="101">
        <v>1.1000000000000001</v>
      </c>
      <c r="T31" s="135">
        <v>230</v>
      </c>
      <c r="U31" s="128">
        <v>-0.46879999999999999</v>
      </c>
      <c r="V31" s="129">
        <v>-0.46879999999999999</v>
      </c>
      <c r="W31" s="130">
        <v>-0.14610000000000001</v>
      </c>
      <c r="X31" s="128">
        <v>-0.29299999999999998</v>
      </c>
      <c r="Y31" s="129">
        <v>-0.32029999999999997</v>
      </c>
      <c r="Z31" s="130">
        <v>-0.13950000000000001</v>
      </c>
      <c r="AA31" s="128">
        <v>-0.85940000000000005</v>
      </c>
      <c r="AB31" s="129">
        <v>-0.3125</v>
      </c>
      <c r="AC31" s="130">
        <v>-9.2600000000000002E-2</v>
      </c>
      <c r="AD31" s="128">
        <v>-0.33589999999999998</v>
      </c>
      <c r="AE31" s="129">
        <v>-0.26169999999999999</v>
      </c>
      <c r="AF31" s="130">
        <v>-4.9599999999999998E-2</v>
      </c>
    </row>
    <row r="32" spans="2:44" ht="15" customHeight="1" x14ac:dyDescent="0.2">
      <c r="B32" s="574"/>
      <c r="C32" s="575"/>
      <c r="D32" s="575"/>
      <c r="E32" s="575"/>
      <c r="F32" s="576"/>
      <c r="G32" s="542"/>
      <c r="H32" s="542"/>
      <c r="T32" s="136">
        <v>240</v>
      </c>
      <c r="U32" s="122">
        <v>-0.45700000000000002</v>
      </c>
      <c r="V32" s="123">
        <v>-0.45700000000000002</v>
      </c>
      <c r="W32" s="124">
        <v>-0.14299999999999999</v>
      </c>
      <c r="X32" s="122">
        <v>-0.1641</v>
      </c>
      <c r="Y32" s="123">
        <v>-0.34770000000000001</v>
      </c>
      <c r="Z32" s="124">
        <v>-0.1578</v>
      </c>
      <c r="AA32" s="122">
        <v>-0.71089999999999998</v>
      </c>
      <c r="AB32" s="123">
        <v>-0.4375</v>
      </c>
      <c r="AC32" s="124">
        <v>-0.10390000000000001</v>
      </c>
      <c r="AD32" s="122">
        <v>-0.2656</v>
      </c>
      <c r="AE32" s="123">
        <v>-0.27729999999999999</v>
      </c>
      <c r="AF32" s="124">
        <v>-5.1200000000000002E-2</v>
      </c>
    </row>
    <row r="33" spans="2:32" ht="15" customHeight="1" x14ac:dyDescent="0.2">
      <c r="B33" s="574"/>
      <c r="C33" s="575"/>
      <c r="D33" s="575"/>
      <c r="E33" s="575"/>
      <c r="F33" s="576"/>
      <c r="G33" s="542"/>
      <c r="H33" s="542"/>
      <c r="J33" s="599" t="s">
        <v>619</v>
      </c>
      <c r="K33" s="599"/>
      <c r="L33" s="599"/>
      <c r="M33" s="599"/>
      <c r="T33" s="135">
        <v>250</v>
      </c>
      <c r="U33" s="128">
        <v>-0.46089999999999998</v>
      </c>
      <c r="V33" s="129">
        <v>-0.41410000000000002</v>
      </c>
      <c r="W33" s="130">
        <v>-0.13400000000000001</v>
      </c>
      <c r="X33" s="128">
        <v>-6.6400000000000001E-2</v>
      </c>
      <c r="Y33" s="129">
        <v>-0.37109999999999999</v>
      </c>
      <c r="Z33" s="130">
        <v>-0.1648</v>
      </c>
      <c r="AA33" s="128">
        <v>-0.53910000000000002</v>
      </c>
      <c r="AB33" s="129">
        <v>-0.53129999999999999</v>
      </c>
      <c r="AC33" s="130">
        <v>-0.11409999999999999</v>
      </c>
      <c r="AD33" s="128">
        <v>-0.1875</v>
      </c>
      <c r="AE33" s="129">
        <v>-0.28520000000000001</v>
      </c>
      <c r="AF33" s="130">
        <v>-5.04E-2</v>
      </c>
    </row>
    <row r="34" spans="2:32" ht="15" customHeight="1" x14ac:dyDescent="0.2">
      <c r="B34" s="574"/>
      <c r="C34" s="575"/>
      <c r="D34" s="575"/>
      <c r="E34" s="575"/>
      <c r="F34" s="576"/>
      <c r="G34" s="542"/>
      <c r="H34" s="542"/>
      <c r="J34" s="605" t="s">
        <v>620</v>
      </c>
      <c r="K34" s="606"/>
      <c r="L34" s="147" t="s">
        <v>621</v>
      </c>
      <c r="M34" s="146" t="s">
        <v>622</v>
      </c>
      <c r="T34" s="135">
        <v>260</v>
      </c>
      <c r="U34" s="128">
        <v>-0.40229999999999999</v>
      </c>
      <c r="V34" s="129">
        <v>-0.38279999999999997</v>
      </c>
      <c r="W34" s="130">
        <v>-0.13200000000000001</v>
      </c>
      <c r="X34" s="128">
        <v>3.1300000000000001E-2</v>
      </c>
      <c r="Y34" s="129">
        <v>-0.3906</v>
      </c>
      <c r="Z34" s="130">
        <v>-0.16950000000000001</v>
      </c>
      <c r="AA34" s="128">
        <v>-0.34379999999999999</v>
      </c>
      <c r="AB34" s="129">
        <v>-0.60160000000000002</v>
      </c>
      <c r="AC34" s="130">
        <v>-0.1125</v>
      </c>
      <c r="AD34" s="128">
        <v>-0.1172</v>
      </c>
      <c r="AE34" s="129">
        <v>-0.27339999999999998</v>
      </c>
      <c r="AF34" s="130">
        <v>-4.6899999999999997E-2</v>
      </c>
    </row>
    <row r="35" spans="2:32" ht="15" customHeight="1" x14ac:dyDescent="0.2">
      <c r="B35" s="574"/>
      <c r="C35" s="575"/>
      <c r="D35" s="575"/>
      <c r="E35" s="575"/>
      <c r="F35" s="576"/>
      <c r="G35" s="542"/>
      <c r="H35" s="542"/>
      <c r="J35" s="604">
        <v>2</v>
      </c>
      <c r="K35" s="604"/>
      <c r="L35" s="149">
        <v>0.43</v>
      </c>
      <c r="M35" s="149">
        <v>1.25</v>
      </c>
      <c r="T35" s="136">
        <v>270</v>
      </c>
      <c r="U35" s="122">
        <v>-1.17E-2</v>
      </c>
      <c r="V35" s="123">
        <v>-0.34379999999999999</v>
      </c>
      <c r="W35" s="124">
        <v>-0.1313</v>
      </c>
      <c r="X35" s="122">
        <v>0.1328</v>
      </c>
      <c r="Y35" s="123">
        <v>-0.40629999999999999</v>
      </c>
      <c r="Z35" s="124">
        <v>-0.15229999999999999</v>
      </c>
      <c r="AA35" s="122">
        <v>-0.1094</v>
      </c>
      <c r="AB35" s="123">
        <v>-0.625</v>
      </c>
      <c r="AC35" s="124">
        <v>-9.8000000000000004E-2</v>
      </c>
      <c r="AD35" s="122">
        <v>-5.0799999999999998E-2</v>
      </c>
      <c r="AE35" s="123">
        <v>-0.2422</v>
      </c>
      <c r="AF35" s="124">
        <v>-4.3400000000000001E-2</v>
      </c>
    </row>
    <row r="36" spans="2:32" ht="15" customHeight="1" x14ac:dyDescent="0.2">
      <c r="B36" s="574"/>
      <c r="C36" s="575"/>
      <c r="D36" s="575"/>
      <c r="E36" s="575"/>
      <c r="F36" s="576"/>
      <c r="G36" s="542"/>
      <c r="H36" s="542"/>
      <c r="J36" s="604">
        <v>3</v>
      </c>
      <c r="K36" s="604"/>
      <c r="L36" s="149">
        <v>0.53</v>
      </c>
      <c r="M36" s="149">
        <v>2</v>
      </c>
      <c r="T36" s="135">
        <v>280</v>
      </c>
      <c r="U36" s="128">
        <v>0.76170000000000004</v>
      </c>
      <c r="V36" s="129">
        <v>-0.37890000000000001</v>
      </c>
      <c r="W36" s="130">
        <v>-0.1</v>
      </c>
      <c r="X36" s="128">
        <v>0.2266</v>
      </c>
      <c r="Y36" s="129">
        <v>-0.4375</v>
      </c>
      <c r="Z36" s="130">
        <v>-0.1047</v>
      </c>
      <c r="AA36" s="128">
        <v>0.27339999999999998</v>
      </c>
      <c r="AB36" s="129">
        <v>-0.58199999999999996</v>
      </c>
      <c r="AC36" s="130">
        <v>-6.9500000000000006E-2</v>
      </c>
      <c r="AD36" s="128">
        <v>3.9100000000000003E-2</v>
      </c>
      <c r="AE36" s="129">
        <v>-0.25</v>
      </c>
      <c r="AF36" s="130">
        <v>-4.9200000000000001E-2</v>
      </c>
    </row>
    <row r="37" spans="2:32" ht="15" customHeight="1" x14ac:dyDescent="0.2">
      <c r="B37" s="574"/>
      <c r="C37" s="575"/>
      <c r="D37" s="575"/>
      <c r="E37" s="575"/>
      <c r="F37" s="576"/>
      <c r="G37" s="542"/>
      <c r="H37" s="542"/>
      <c r="J37" s="604">
        <v>4</v>
      </c>
      <c r="K37" s="604"/>
      <c r="L37" s="149">
        <v>0.72</v>
      </c>
      <c r="M37" s="149">
        <v>1.5</v>
      </c>
      <c r="T37" s="135">
        <v>290</v>
      </c>
      <c r="U37" s="128">
        <v>1.3672</v>
      </c>
      <c r="V37" s="129">
        <v>-0.45700000000000002</v>
      </c>
      <c r="W37" s="130">
        <v>7.7999999999999996E-3</v>
      </c>
      <c r="X37" s="128">
        <v>0.3125</v>
      </c>
      <c r="Y37" s="129">
        <v>-0.46089999999999998</v>
      </c>
      <c r="Z37" s="130">
        <v>-5.0799999999999998E-2</v>
      </c>
      <c r="AA37" s="128">
        <v>0.67190000000000005</v>
      </c>
      <c r="AB37" s="129">
        <v>-0.47660000000000002</v>
      </c>
      <c r="AC37" s="130">
        <v>-2.2700000000000001E-2</v>
      </c>
      <c r="AD37" s="128">
        <v>0.12889999999999999</v>
      </c>
      <c r="AE37" s="129">
        <v>-0.27339999999999998</v>
      </c>
      <c r="AF37" s="130">
        <v>-5.5500000000000001E-2</v>
      </c>
    </row>
    <row r="38" spans="2:32" ht="15" customHeight="1" x14ac:dyDescent="0.2">
      <c r="B38" s="577"/>
      <c r="C38" s="578"/>
      <c r="D38" s="578"/>
      <c r="E38" s="578"/>
      <c r="F38" s="579"/>
      <c r="G38" s="542"/>
      <c r="H38" s="542"/>
      <c r="T38" s="136">
        <v>300</v>
      </c>
      <c r="U38" s="122">
        <v>1.6484000000000001</v>
      </c>
      <c r="V38" s="123">
        <v>-0.2422</v>
      </c>
      <c r="W38" s="124">
        <v>8.7099999999999997E-2</v>
      </c>
      <c r="X38" s="122">
        <v>0.41799999999999998</v>
      </c>
      <c r="Y38" s="123">
        <v>-0.5</v>
      </c>
      <c r="Z38" s="124">
        <v>8.0000000000000004E-4</v>
      </c>
      <c r="AA38" s="122">
        <v>0.94530000000000003</v>
      </c>
      <c r="AB38" s="123">
        <v>-0.36720000000000003</v>
      </c>
      <c r="AC38" s="124">
        <v>8.6E-3</v>
      </c>
      <c r="AD38" s="122">
        <v>0.2344</v>
      </c>
      <c r="AE38" s="123">
        <v>-0.28129999999999999</v>
      </c>
      <c r="AF38" s="124">
        <v>-5.2699999999999997E-2</v>
      </c>
    </row>
    <row r="39" spans="2:32" ht="15" customHeight="1" x14ac:dyDescent="0.2">
      <c r="B39" s="571" t="s">
        <v>623</v>
      </c>
      <c r="C39" s="572"/>
      <c r="D39" s="572"/>
      <c r="E39" s="572"/>
      <c r="F39" s="573"/>
      <c r="G39" s="542" t="s">
        <v>609</v>
      </c>
      <c r="H39" s="542"/>
      <c r="J39" s="534" t="s">
        <v>661</v>
      </c>
      <c r="K39" s="535"/>
      <c r="L39" s="535"/>
      <c r="M39" s="535"/>
      <c r="N39" s="535"/>
      <c r="O39" s="535"/>
      <c r="P39" s="536"/>
      <c r="Q39" s="83"/>
      <c r="T39" s="135">
        <v>310</v>
      </c>
      <c r="U39" s="128">
        <v>1.6640999999999999</v>
      </c>
      <c r="V39" s="129">
        <v>-8.9800000000000005E-2</v>
      </c>
      <c r="W39" s="130">
        <v>6.9099999999999995E-2</v>
      </c>
      <c r="X39" s="128">
        <v>0.54690000000000005</v>
      </c>
      <c r="Y39" s="129">
        <v>-0.53129999999999999</v>
      </c>
      <c r="Z39" s="130">
        <v>4.4499999999999998E-2</v>
      </c>
      <c r="AA39" s="128">
        <v>1.0859000000000001</v>
      </c>
      <c r="AB39" s="129">
        <v>-0.30470000000000003</v>
      </c>
      <c r="AC39" s="130">
        <v>3.2399999999999998E-2</v>
      </c>
      <c r="AD39" s="128">
        <v>0.34379999999999999</v>
      </c>
      <c r="AE39" s="129">
        <v>-0.27339999999999998</v>
      </c>
      <c r="AF39" s="130">
        <v>-4.9599999999999998E-2</v>
      </c>
    </row>
    <row r="40" spans="2:32" ht="15" customHeight="1" x14ac:dyDescent="0.2">
      <c r="B40" s="574"/>
      <c r="C40" s="575"/>
      <c r="D40" s="575"/>
      <c r="E40" s="575"/>
      <c r="F40" s="576"/>
      <c r="G40" s="542"/>
      <c r="H40" s="542"/>
      <c r="J40" s="533" t="s">
        <v>625</v>
      </c>
      <c r="K40" s="533"/>
      <c r="L40" s="533"/>
      <c r="M40" s="533"/>
      <c r="N40" s="563" t="s">
        <v>626</v>
      </c>
      <c r="O40" s="564"/>
      <c r="P40" s="565"/>
      <c r="Q40" s="83"/>
      <c r="T40" s="137">
        <v>315</v>
      </c>
      <c r="U40" s="125">
        <f>(U41+U39)/2</f>
        <v>1.6289500000000001</v>
      </c>
      <c r="V40" s="126">
        <f t="shared" ref="V40:AF40" si="3">(V41+V39)/2</f>
        <v>-4.8800000000000003E-2</v>
      </c>
      <c r="W40" s="127">
        <f t="shared" si="3"/>
        <v>6.1299999999999993E-2</v>
      </c>
      <c r="X40" s="125">
        <f t="shared" si="3"/>
        <v>0.60550000000000004</v>
      </c>
      <c r="Y40" s="126">
        <f t="shared" si="3"/>
        <v>-0.50980000000000003</v>
      </c>
      <c r="Z40" s="127">
        <f t="shared" si="3"/>
        <v>6.2300000000000001E-2</v>
      </c>
      <c r="AA40" s="125">
        <f t="shared" si="3"/>
        <v>1.1211000000000002</v>
      </c>
      <c r="AB40" s="126">
        <f t="shared" si="3"/>
        <v>-0.29300000000000004</v>
      </c>
      <c r="AC40" s="127">
        <f t="shared" si="3"/>
        <v>4.0599999999999997E-2</v>
      </c>
      <c r="AD40" s="125">
        <f t="shared" si="3"/>
        <v>0.37504999999999999</v>
      </c>
      <c r="AE40" s="126">
        <f t="shared" si="3"/>
        <v>-0.26754999999999995</v>
      </c>
      <c r="AF40" s="127">
        <f t="shared" si="3"/>
        <v>-4.725E-2</v>
      </c>
    </row>
    <row r="41" spans="2:32" ht="15" customHeight="1" x14ac:dyDescent="0.2">
      <c r="B41" s="574"/>
      <c r="C41" s="575"/>
      <c r="D41" s="575"/>
      <c r="E41" s="575"/>
      <c r="F41" s="576"/>
      <c r="G41" s="542"/>
      <c r="H41" s="542"/>
      <c r="J41" s="533" t="s">
        <v>627</v>
      </c>
      <c r="K41" s="533"/>
      <c r="L41" s="533" t="s">
        <v>628</v>
      </c>
      <c r="M41" s="533"/>
      <c r="N41" s="566"/>
      <c r="O41" s="567"/>
      <c r="P41" s="568"/>
      <c r="Q41" s="83"/>
      <c r="T41" s="135">
        <v>320</v>
      </c>
      <c r="U41" s="128">
        <v>1.5938000000000001</v>
      </c>
      <c r="V41" s="129">
        <v>-7.7999999999999996E-3</v>
      </c>
      <c r="W41" s="130">
        <v>5.3499999999999999E-2</v>
      </c>
      <c r="X41" s="128">
        <v>0.66410000000000002</v>
      </c>
      <c r="Y41" s="129">
        <v>-0.48830000000000001</v>
      </c>
      <c r="Z41" s="130">
        <v>8.0100000000000005E-2</v>
      </c>
      <c r="AA41" s="128">
        <v>1.1563000000000001</v>
      </c>
      <c r="AB41" s="129">
        <v>-0.28129999999999999</v>
      </c>
      <c r="AC41" s="130">
        <v>4.8800000000000003E-2</v>
      </c>
      <c r="AD41" s="128">
        <v>0.40629999999999999</v>
      </c>
      <c r="AE41" s="129">
        <v>-0.26169999999999999</v>
      </c>
      <c r="AF41" s="130">
        <v>-4.4900000000000002E-2</v>
      </c>
    </row>
    <row r="42" spans="2:32" ht="15" customHeight="1" x14ac:dyDescent="0.2">
      <c r="B42" s="574"/>
      <c r="C42" s="575"/>
      <c r="D42" s="575"/>
      <c r="E42" s="575"/>
      <c r="F42" s="576"/>
      <c r="G42" s="542"/>
      <c r="H42" s="542"/>
      <c r="J42" s="542" t="s">
        <v>629</v>
      </c>
      <c r="K42" s="542"/>
      <c r="L42" s="542" t="s">
        <v>629</v>
      </c>
      <c r="M42" s="542"/>
      <c r="N42" s="557">
        <v>1</v>
      </c>
      <c r="O42" s="558"/>
      <c r="P42" s="559"/>
      <c r="Q42" s="99"/>
      <c r="T42" s="136">
        <v>330</v>
      </c>
      <c r="U42" s="122">
        <v>1.5547</v>
      </c>
      <c r="V42" s="123">
        <v>3.1300000000000001E-2</v>
      </c>
      <c r="W42" s="124">
        <v>4.2200000000000001E-2</v>
      </c>
      <c r="X42" s="122">
        <v>0.76170000000000004</v>
      </c>
      <c r="Y42" s="123">
        <v>-0.41020000000000001</v>
      </c>
      <c r="Z42" s="124">
        <v>0.1082</v>
      </c>
      <c r="AA42" s="122">
        <v>1.2109000000000001</v>
      </c>
      <c r="AB42" s="123">
        <v>-0.2344</v>
      </c>
      <c r="AC42" s="124">
        <v>5.1999999999999998E-2</v>
      </c>
      <c r="AD42" s="122">
        <v>0.46089999999999998</v>
      </c>
      <c r="AE42" s="123">
        <v>-0.23050000000000001</v>
      </c>
      <c r="AF42" s="124">
        <v>-3.8300000000000001E-2</v>
      </c>
    </row>
    <row r="43" spans="2:32" ht="15" customHeight="1" x14ac:dyDescent="0.2">
      <c r="B43" s="574"/>
      <c r="C43" s="575"/>
      <c r="D43" s="575"/>
      <c r="E43" s="575"/>
      <c r="F43" s="576"/>
      <c r="G43" s="542"/>
      <c r="H43" s="542"/>
      <c r="J43" s="542">
        <v>0</v>
      </c>
      <c r="K43" s="542"/>
      <c r="L43" s="542">
        <v>0</v>
      </c>
      <c r="M43" s="542"/>
      <c r="N43" s="557">
        <v>1</v>
      </c>
      <c r="O43" s="558"/>
      <c r="P43" s="559"/>
      <c r="Q43" s="99"/>
      <c r="T43" s="135">
        <v>340</v>
      </c>
      <c r="U43" s="128">
        <v>1.5468999999999999</v>
      </c>
      <c r="V43" s="129">
        <v>5.0799999999999998E-2</v>
      </c>
      <c r="W43" s="130">
        <v>3.7900000000000003E-2</v>
      </c>
      <c r="X43" s="128">
        <v>0.82030000000000003</v>
      </c>
      <c r="Y43" s="129">
        <v>-0.2969</v>
      </c>
      <c r="Z43" s="130">
        <v>0.1113</v>
      </c>
      <c r="AA43" s="128">
        <v>1.25</v>
      </c>
      <c r="AB43" s="129">
        <v>-0.17580000000000001</v>
      </c>
      <c r="AC43" s="130">
        <v>4.53E-2</v>
      </c>
      <c r="AD43" s="128">
        <v>0.50780000000000003</v>
      </c>
      <c r="AE43" s="129">
        <v>-0.1797</v>
      </c>
      <c r="AF43" s="130">
        <v>-2.8899999999999999E-2</v>
      </c>
    </row>
    <row r="44" spans="2:32" ht="15" customHeight="1" x14ac:dyDescent="0.2">
      <c r="B44" s="577"/>
      <c r="C44" s="578"/>
      <c r="D44" s="578"/>
      <c r="E44" s="578"/>
      <c r="F44" s="579"/>
      <c r="G44" s="542"/>
      <c r="H44" s="542"/>
      <c r="J44" s="542">
        <v>1000</v>
      </c>
      <c r="K44" s="542"/>
      <c r="L44" s="542">
        <v>305</v>
      </c>
      <c r="M44" s="542"/>
      <c r="N44" s="557">
        <v>0.96</v>
      </c>
      <c r="O44" s="558"/>
      <c r="P44" s="559"/>
      <c r="Q44" s="99"/>
      <c r="T44" s="135">
        <v>350</v>
      </c>
      <c r="U44" s="128">
        <v>1.5390999999999999</v>
      </c>
      <c r="V44" s="129">
        <v>4.6899999999999997E-2</v>
      </c>
      <c r="W44" s="130">
        <v>2.5399999999999999E-2</v>
      </c>
      <c r="X44" s="128">
        <v>0.85940000000000005</v>
      </c>
      <c r="Y44" s="129">
        <v>-0.1484</v>
      </c>
      <c r="Z44" s="130">
        <v>7.9699999999999993E-2</v>
      </c>
      <c r="AA44" s="128">
        <v>1.2617</v>
      </c>
      <c r="AB44" s="129">
        <v>-9.7699999999999995E-2</v>
      </c>
      <c r="AC44" s="130">
        <v>2.81E-2</v>
      </c>
      <c r="AD44" s="128">
        <v>0.52339999999999998</v>
      </c>
      <c r="AE44" s="129">
        <v>-0.1016</v>
      </c>
      <c r="AF44" s="130">
        <v>-1.6799999999999999E-2</v>
      </c>
    </row>
    <row r="45" spans="2:32" ht="15" customHeight="1" thickBot="1" x14ac:dyDescent="0.25">
      <c r="J45" s="542">
        <v>2000</v>
      </c>
      <c r="K45" s="542"/>
      <c r="L45" s="542">
        <v>610</v>
      </c>
      <c r="M45" s="542"/>
      <c r="N45" s="557">
        <v>0.93</v>
      </c>
      <c r="O45" s="558"/>
      <c r="P45" s="559"/>
      <c r="Q45" s="99"/>
      <c r="T45" s="138">
        <v>360</v>
      </c>
      <c r="U45" s="131">
        <v>1.5508</v>
      </c>
      <c r="V45" s="132">
        <v>0</v>
      </c>
      <c r="W45" s="133">
        <v>0</v>
      </c>
      <c r="X45" s="131">
        <v>0.86329999999999996</v>
      </c>
      <c r="Y45" s="132">
        <v>0</v>
      </c>
      <c r="Z45" s="133">
        <v>0</v>
      </c>
      <c r="AA45" s="131">
        <v>1.2617</v>
      </c>
      <c r="AB45" s="132">
        <v>0</v>
      </c>
      <c r="AC45" s="133">
        <v>0</v>
      </c>
      <c r="AD45" s="131">
        <v>0.53520000000000001</v>
      </c>
      <c r="AE45" s="132">
        <v>0</v>
      </c>
      <c r="AF45" s="133">
        <v>0</v>
      </c>
    </row>
    <row r="46" spans="2:32" ht="15" customHeight="1" x14ac:dyDescent="0.2">
      <c r="J46" s="542">
        <v>3000</v>
      </c>
      <c r="K46" s="542"/>
      <c r="L46" s="542">
        <v>914</v>
      </c>
      <c r="M46" s="542"/>
      <c r="N46" s="557">
        <v>0.9</v>
      </c>
      <c r="O46" s="558"/>
      <c r="P46" s="559"/>
      <c r="Q46" s="99"/>
    </row>
    <row r="47" spans="2:32" ht="15" customHeight="1" x14ac:dyDescent="0.2">
      <c r="J47" s="542">
        <v>4000</v>
      </c>
      <c r="K47" s="542"/>
      <c r="L47" s="542">
        <v>1219</v>
      </c>
      <c r="M47" s="542"/>
      <c r="N47" s="557">
        <v>0.86</v>
      </c>
      <c r="O47" s="558"/>
      <c r="P47" s="559"/>
      <c r="Q47" s="99"/>
    </row>
    <row r="48" spans="2:32" ht="15" customHeight="1" x14ac:dyDescent="0.2">
      <c r="J48" s="542">
        <v>5000</v>
      </c>
      <c r="K48" s="542"/>
      <c r="L48" s="542">
        <v>1524</v>
      </c>
      <c r="M48" s="542"/>
      <c r="N48" s="557">
        <v>0.83</v>
      </c>
      <c r="O48" s="558"/>
      <c r="P48" s="559"/>
      <c r="Q48" s="99"/>
    </row>
    <row r="49" spans="10:23" ht="15" customHeight="1" x14ac:dyDescent="0.2">
      <c r="J49" s="542">
        <v>6000</v>
      </c>
      <c r="K49" s="542"/>
      <c r="L49" s="542">
        <v>1829</v>
      </c>
      <c r="M49" s="542"/>
      <c r="N49" s="557">
        <v>0.8</v>
      </c>
      <c r="O49" s="558"/>
      <c r="P49" s="559"/>
      <c r="Q49" s="99"/>
    </row>
    <row r="50" spans="10:23" ht="15" customHeight="1" x14ac:dyDescent="0.2">
      <c r="J50" s="542" t="s">
        <v>630</v>
      </c>
      <c r="K50" s="542"/>
      <c r="L50" s="542" t="s">
        <v>631</v>
      </c>
      <c r="M50" s="542"/>
      <c r="N50" s="560" t="s">
        <v>632</v>
      </c>
      <c r="O50" s="561"/>
      <c r="P50" s="562"/>
    </row>
    <row r="51" spans="10:23" ht="15" customHeight="1" x14ac:dyDescent="0.2">
      <c r="J51" s="590" t="s">
        <v>633</v>
      </c>
      <c r="K51" s="591"/>
      <c r="L51" s="591"/>
      <c r="M51" s="591"/>
      <c r="N51" s="591"/>
      <c r="O51" s="591"/>
      <c r="P51" s="592"/>
      <c r="Q51" s="107"/>
    </row>
    <row r="52" spans="10:23" ht="15" customHeight="1" x14ac:dyDescent="0.2">
      <c r="J52" s="593"/>
      <c r="K52" s="594"/>
      <c r="L52" s="594"/>
      <c r="M52" s="594"/>
      <c r="N52" s="594"/>
      <c r="O52" s="594"/>
      <c r="P52" s="595"/>
      <c r="Q52" s="107"/>
    </row>
    <row r="53" spans="10:23" ht="15" customHeight="1" x14ac:dyDescent="0.2">
      <c r="J53" s="593"/>
      <c r="K53" s="594"/>
      <c r="L53" s="594"/>
      <c r="M53" s="594"/>
      <c r="N53" s="594"/>
      <c r="O53" s="594"/>
      <c r="P53" s="595"/>
      <c r="Q53" s="107"/>
    </row>
    <row r="54" spans="10:23" ht="15" customHeight="1" x14ac:dyDescent="0.2">
      <c r="J54" s="596"/>
      <c r="K54" s="597"/>
      <c r="L54" s="597"/>
      <c r="M54" s="597"/>
      <c r="N54" s="597"/>
      <c r="O54" s="597"/>
      <c r="P54" s="598"/>
      <c r="Q54" s="107"/>
    </row>
    <row r="56" spans="10:23" ht="15" customHeight="1" x14ac:dyDescent="0.2">
      <c r="J56" s="533" t="s">
        <v>634</v>
      </c>
      <c r="K56" s="533"/>
      <c r="L56" s="533"/>
      <c r="M56" s="533"/>
      <c r="N56" s="533"/>
      <c r="O56" s="533"/>
      <c r="P56" s="533"/>
      <c r="Q56" s="533"/>
    </row>
    <row r="57" spans="10:23" ht="15" customHeight="1" x14ac:dyDescent="0.2">
      <c r="J57" s="570" t="s">
        <v>635</v>
      </c>
      <c r="K57" s="570"/>
      <c r="L57" s="566" t="s">
        <v>636</v>
      </c>
      <c r="M57" s="567"/>
      <c r="N57" s="568"/>
      <c r="O57" s="533" t="s">
        <v>637</v>
      </c>
      <c r="P57" s="533"/>
      <c r="Q57" s="533"/>
    </row>
    <row r="58" spans="10:23" ht="15" customHeight="1" x14ac:dyDescent="0.2">
      <c r="J58" s="533" t="s">
        <v>638</v>
      </c>
      <c r="K58" s="533"/>
      <c r="L58" s="82" t="s">
        <v>639</v>
      </c>
      <c r="M58" s="534" t="s">
        <v>640</v>
      </c>
      <c r="N58" s="536"/>
      <c r="O58" s="144" t="s">
        <v>639</v>
      </c>
      <c r="P58" s="144" t="s">
        <v>641</v>
      </c>
      <c r="Q58" s="144" t="s">
        <v>662</v>
      </c>
    </row>
    <row r="59" spans="10:23" ht="15" customHeight="1" x14ac:dyDescent="0.2">
      <c r="J59" s="542" t="s">
        <v>642</v>
      </c>
      <c r="K59" s="542"/>
      <c r="L59" s="106">
        <v>1</v>
      </c>
      <c r="M59" s="560" t="s">
        <v>643</v>
      </c>
      <c r="N59" s="562"/>
      <c r="O59" s="106">
        <v>1</v>
      </c>
      <c r="P59" s="106">
        <v>0.8</v>
      </c>
      <c r="Q59" s="106">
        <v>0.85</v>
      </c>
    </row>
    <row r="60" spans="10:23" ht="15" customHeight="1" x14ac:dyDescent="0.2">
      <c r="J60" s="542" t="s">
        <v>644</v>
      </c>
      <c r="K60" s="542"/>
      <c r="L60" s="106">
        <v>1</v>
      </c>
      <c r="M60" s="560" t="s">
        <v>643</v>
      </c>
      <c r="N60" s="562"/>
      <c r="O60" s="106">
        <v>1</v>
      </c>
      <c r="P60" s="106">
        <v>1</v>
      </c>
      <c r="Q60" s="106">
        <v>1</v>
      </c>
    </row>
    <row r="61" spans="10:23" ht="15" customHeight="1" x14ac:dyDescent="0.2">
      <c r="J61" s="603" t="s">
        <v>645</v>
      </c>
      <c r="K61" s="603"/>
      <c r="L61" s="603"/>
      <c r="M61" s="603"/>
      <c r="N61" s="603"/>
      <c r="O61" s="603"/>
      <c r="P61" s="603"/>
      <c r="Q61" s="603"/>
    </row>
    <row r="63" spans="10:23" ht="15" customHeight="1" x14ac:dyDescent="0.2">
      <c r="J63" s="599" t="s">
        <v>646</v>
      </c>
      <c r="K63" s="599"/>
      <c r="L63" s="599"/>
      <c r="M63" s="599"/>
      <c r="N63" s="599"/>
      <c r="O63" s="599"/>
      <c r="P63" s="599"/>
      <c r="Q63" s="599"/>
      <c r="R63" s="599"/>
      <c r="S63" s="150"/>
      <c r="T63" s="150"/>
      <c r="U63" s="150"/>
      <c r="V63" s="150"/>
      <c r="W63" s="150"/>
    </row>
    <row r="64" spans="10:23" ht="15" customHeight="1" x14ac:dyDescent="0.2">
      <c r="J64" s="599" t="s">
        <v>187</v>
      </c>
      <c r="K64" s="151" t="s">
        <v>647</v>
      </c>
      <c r="L64" s="600" t="s">
        <v>648</v>
      </c>
      <c r="M64" s="600"/>
      <c r="N64" s="600"/>
      <c r="O64" s="600"/>
      <c r="P64" s="600"/>
      <c r="Q64" s="600"/>
      <c r="R64" s="601" t="s">
        <v>649</v>
      </c>
      <c r="S64" s="150"/>
      <c r="T64" s="150"/>
      <c r="U64" s="150"/>
      <c r="V64" s="150"/>
      <c r="W64" s="150"/>
    </row>
    <row r="65" spans="10:23" ht="15" customHeight="1" x14ac:dyDescent="0.2">
      <c r="J65" s="599"/>
      <c r="K65" s="151">
        <f>S_S</f>
        <v>0</v>
      </c>
      <c r="L65" s="600"/>
      <c r="M65" s="600"/>
      <c r="N65" s="600"/>
      <c r="O65" s="600"/>
      <c r="P65" s="600"/>
      <c r="Q65" s="600"/>
      <c r="R65" s="601"/>
      <c r="S65" s="150"/>
      <c r="T65" s="599" t="s">
        <v>651</v>
      </c>
      <c r="U65" s="599"/>
      <c r="V65" s="150"/>
      <c r="W65" s="150"/>
    </row>
    <row r="66" spans="10:23" ht="15" customHeight="1" x14ac:dyDescent="0.2">
      <c r="J66" s="599"/>
      <c r="K66" s="152">
        <v>0</v>
      </c>
      <c r="L66" s="152">
        <v>0.25</v>
      </c>
      <c r="M66" s="152">
        <v>0.5</v>
      </c>
      <c r="N66" s="152">
        <v>0.75</v>
      </c>
      <c r="O66" s="152">
        <v>1</v>
      </c>
      <c r="P66" s="152">
        <v>1.25</v>
      </c>
      <c r="Q66" s="153">
        <v>1.5</v>
      </c>
      <c r="R66" s="151" t="e" cm="1">
        <f t="array" aca="1" ref="R66" ca="1">IF(SiteClass="D - Default",MAX(1.2,IF(T2.11_xUB=T2.11_xLB,T2.11_yUB,FORECAST(S_S,T2.11_y,T2.11_x))),IF(T2.11_xUB=T2.11_xLB,T2.11_yUB,FORECAST(S_S,T2.11_y,T2.11_x)))</f>
        <v>#N/A</v>
      </c>
      <c r="S66" s="150"/>
      <c r="T66" s="148" cm="1">
        <f t="array" ref="T66">T2.11_xUB</f>
        <v>0</v>
      </c>
      <c r="U66" s="148" cm="1">
        <f t="array" aca="1" ref="U66" ca="1">T2.11_xLB</f>
        <v>0.25</v>
      </c>
      <c r="V66" s="150">
        <f>INDEX(T2.11_Ss,1,MATCH(S_S,T2.11_Ss,1))</f>
        <v>0</v>
      </c>
      <c r="W66" s="150">
        <f ca="1">OFFSET(INDEX(T2.11_Ss,1,MATCH(S_S,T2.11_Ss,1)),0,1)</f>
        <v>0.25</v>
      </c>
    </row>
    <row r="67" spans="10:23" ht="15" customHeight="1" x14ac:dyDescent="0.2">
      <c r="J67" s="146" t="s">
        <v>650</v>
      </c>
      <c r="K67" s="154">
        <v>0.8</v>
      </c>
      <c r="L67" s="154">
        <v>0.8</v>
      </c>
      <c r="M67" s="154">
        <v>0.8</v>
      </c>
      <c r="N67" s="154">
        <v>0.8</v>
      </c>
      <c r="O67" s="154">
        <v>0.8</v>
      </c>
      <c r="P67" s="154">
        <v>0.8</v>
      </c>
      <c r="Q67" s="154">
        <v>0.8</v>
      </c>
      <c r="R67" s="155">
        <v>0.8</v>
      </c>
      <c r="S67" s="150"/>
      <c r="T67" s="148" t="e" cm="1">
        <f t="array" ref="T67">T2.11_yUB</f>
        <v>#N/A</v>
      </c>
      <c r="U67" s="154" t="e" cm="1">
        <f t="array" ref="U67">T2.11_yLB</f>
        <v>#N/A</v>
      </c>
      <c r="V67" s="150" t="e" cm="1">
        <f t="array" ref="V67">INDEX(T2.11_Fa,MATCH(LEFT(SiteClass,1),T2.11_SiteClass,0),MATCH(T2.11_xUB,T2.11_Ss,1))</f>
        <v>#N/A</v>
      </c>
      <c r="W67" s="150" t="e">
        <f>INDEX(T2.11_Fa,MATCH(LEFT(SiteClass,1),T2.11_SiteClass,0),MATCH(S_S,T2.11_Ss,1))</f>
        <v>#N/A</v>
      </c>
    </row>
    <row r="68" spans="10:23" ht="15" customHeight="1" x14ac:dyDescent="0.2">
      <c r="J68" s="146" t="s">
        <v>0</v>
      </c>
      <c r="K68" s="154">
        <v>0.9</v>
      </c>
      <c r="L68" s="154">
        <v>0.9</v>
      </c>
      <c r="M68" s="154">
        <v>0.9</v>
      </c>
      <c r="N68" s="154">
        <v>0.9</v>
      </c>
      <c r="O68" s="154">
        <v>0.9</v>
      </c>
      <c r="P68" s="154">
        <v>0.9</v>
      </c>
      <c r="Q68" s="154">
        <v>0.9</v>
      </c>
      <c r="R68" s="155">
        <v>0.9</v>
      </c>
      <c r="S68" s="150"/>
      <c r="T68" s="150"/>
      <c r="U68" s="150"/>
      <c r="V68" s="150"/>
      <c r="W68" s="150"/>
    </row>
    <row r="69" spans="10:23" ht="15" customHeight="1" x14ac:dyDescent="0.2">
      <c r="J69" s="146" t="s">
        <v>136</v>
      </c>
      <c r="K69" s="154">
        <v>1.3</v>
      </c>
      <c r="L69" s="154">
        <v>1.3</v>
      </c>
      <c r="M69" s="154">
        <v>1.3</v>
      </c>
      <c r="N69" s="154">
        <v>1.2</v>
      </c>
      <c r="O69" s="154">
        <v>1.2</v>
      </c>
      <c r="P69" s="154">
        <v>1.2</v>
      </c>
      <c r="Q69" s="154">
        <v>1.2</v>
      </c>
      <c r="R69" s="155">
        <f>IF(S_S&lt;=0.1,K69,IF(S_S&gt;=0.6,Q69,_xlfn.FORECAST.LINEAR(S_S,T2.11_C,T2.11_Ss)))</f>
        <v>1.3</v>
      </c>
      <c r="S69" s="150"/>
      <c r="T69" s="150"/>
      <c r="U69" s="150"/>
      <c r="V69" s="150"/>
      <c r="W69" s="150"/>
    </row>
    <row r="70" spans="10:23" ht="15" customHeight="1" x14ac:dyDescent="0.2">
      <c r="J70" s="156" t="s">
        <v>171</v>
      </c>
      <c r="K70" s="154">
        <v>1.6</v>
      </c>
      <c r="L70" s="154">
        <v>1.6</v>
      </c>
      <c r="M70" s="154">
        <v>1.4</v>
      </c>
      <c r="N70" s="154">
        <v>1.2</v>
      </c>
      <c r="O70" s="154">
        <v>1.1000000000000001</v>
      </c>
      <c r="P70" s="154">
        <v>1</v>
      </c>
      <c r="Q70" s="154">
        <v>1</v>
      </c>
      <c r="R70" s="155">
        <f>IF(S_S&lt;=0.1,K70,IF(S_S&gt;=0.6,Q70,_xlfn.FORECAST.LINEAR(S_S,T2.11_D,T2.11_Ss)))</f>
        <v>1.6</v>
      </c>
      <c r="S70" s="150"/>
      <c r="T70" s="150"/>
      <c r="U70" s="150"/>
      <c r="V70" s="150"/>
      <c r="W70" s="150"/>
    </row>
    <row r="71" spans="10:23" ht="15" customHeight="1" x14ac:dyDescent="0.2">
      <c r="J71" s="146" t="s">
        <v>652</v>
      </c>
      <c r="K71" s="154">
        <v>2.4</v>
      </c>
      <c r="L71" s="154">
        <v>2.4</v>
      </c>
      <c r="M71" s="154">
        <v>1.7</v>
      </c>
      <c r="N71" s="154">
        <v>1.3</v>
      </c>
      <c r="O71" s="148" t="s">
        <v>653</v>
      </c>
      <c r="P71" s="148" t="s">
        <v>653</v>
      </c>
      <c r="Q71" s="148" t="s">
        <v>653</v>
      </c>
      <c r="R71" s="155">
        <f>IF(S_S&lt;=0.1,K71,IF(S_S&gt;=0.4,Q71,_xlfn.FORECAST.LINEAR(S_S,T2.11_E,T2.11_Ss)))</f>
        <v>2.4</v>
      </c>
      <c r="S71" s="150"/>
      <c r="T71" s="150"/>
      <c r="U71" s="150"/>
      <c r="V71" s="150"/>
      <c r="W71" s="150"/>
    </row>
    <row r="72" spans="10:23" ht="15" customHeight="1" x14ac:dyDescent="0.2">
      <c r="J72" s="146" t="s">
        <v>654</v>
      </c>
      <c r="K72" s="148" t="s">
        <v>653</v>
      </c>
      <c r="L72" s="148" t="s">
        <v>653</v>
      </c>
      <c r="M72" s="148" t="s">
        <v>653</v>
      </c>
      <c r="N72" s="148" t="s">
        <v>653</v>
      </c>
      <c r="O72" s="148" t="s">
        <v>653</v>
      </c>
      <c r="P72" s="148" t="s">
        <v>653</v>
      </c>
      <c r="Q72" s="148" t="s">
        <v>653</v>
      </c>
      <c r="R72" s="155" t="s">
        <v>653</v>
      </c>
      <c r="S72" s="150"/>
      <c r="T72" s="150"/>
      <c r="U72" s="150"/>
      <c r="V72" s="150"/>
      <c r="W72" s="150"/>
    </row>
    <row r="73" spans="10:23" ht="15" customHeight="1" x14ac:dyDescent="0.2">
      <c r="J73" s="602" t="s">
        <v>655</v>
      </c>
      <c r="K73" s="602"/>
      <c r="L73" s="602"/>
      <c r="M73" s="602"/>
      <c r="N73" s="602"/>
      <c r="O73" s="602"/>
      <c r="P73" s="602"/>
      <c r="Q73" s="602"/>
      <c r="R73" s="602"/>
      <c r="S73" s="150"/>
      <c r="T73" s="150"/>
      <c r="U73" s="150"/>
      <c r="V73" s="150"/>
      <c r="W73" s="150"/>
    </row>
    <row r="74" spans="10:23" ht="15" customHeight="1" x14ac:dyDescent="0.2">
      <c r="J74" s="602"/>
      <c r="K74" s="602"/>
      <c r="L74" s="602"/>
      <c r="M74" s="602"/>
      <c r="N74" s="602"/>
      <c r="O74" s="602"/>
      <c r="P74" s="602"/>
      <c r="Q74" s="602"/>
      <c r="R74" s="602"/>
      <c r="S74" s="150"/>
      <c r="T74" s="150"/>
      <c r="U74" s="150"/>
      <c r="V74" s="150"/>
      <c r="W74" s="150"/>
    </row>
    <row r="75" spans="10:23" ht="15" customHeight="1" x14ac:dyDescent="0.2">
      <c r="J75" s="602"/>
      <c r="K75" s="602"/>
      <c r="L75" s="602"/>
      <c r="M75" s="602"/>
      <c r="N75" s="602"/>
      <c r="O75" s="602"/>
      <c r="P75" s="602"/>
      <c r="Q75" s="602"/>
      <c r="R75" s="602"/>
      <c r="S75" s="150"/>
      <c r="T75" s="150"/>
      <c r="U75" s="150"/>
      <c r="V75" s="150"/>
      <c r="W75" s="150"/>
    </row>
    <row r="76" spans="10:23" ht="15" customHeight="1" x14ac:dyDescent="0.2">
      <c r="J76" s="602"/>
      <c r="K76" s="602"/>
      <c r="L76" s="602"/>
      <c r="M76" s="602"/>
      <c r="N76" s="602"/>
      <c r="O76" s="602"/>
      <c r="P76" s="602"/>
      <c r="Q76" s="602"/>
      <c r="R76" s="602"/>
      <c r="S76" s="150"/>
      <c r="T76" s="150"/>
      <c r="U76" s="150"/>
      <c r="V76" s="150"/>
      <c r="W76" s="150"/>
    </row>
    <row r="77" spans="10:23" ht="15" customHeight="1" x14ac:dyDescent="0.2">
      <c r="J77" s="602"/>
      <c r="K77" s="602"/>
      <c r="L77" s="602"/>
      <c r="M77" s="602"/>
      <c r="N77" s="602"/>
      <c r="O77" s="602"/>
      <c r="P77" s="602"/>
      <c r="Q77" s="602"/>
      <c r="R77" s="602"/>
      <c r="S77" s="150"/>
      <c r="T77" s="150"/>
      <c r="U77" s="150"/>
      <c r="V77" s="150"/>
      <c r="W77" s="150"/>
    </row>
    <row r="78" spans="10:23" ht="15" customHeight="1" x14ac:dyDescent="0.2">
      <c r="J78" s="150"/>
      <c r="K78" s="150"/>
      <c r="L78" s="150"/>
      <c r="M78" s="150"/>
      <c r="N78" s="150"/>
      <c r="O78" s="150"/>
      <c r="P78" s="150"/>
      <c r="Q78" s="150"/>
      <c r="R78" s="150"/>
      <c r="S78" s="150"/>
      <c r="T78" s="150"/>
      <c r="U78" s="150"/>
      <c r="V78" s="150"/>
      <c r="W78" s="150"/>
    </row>
    <row r="79" spans="10:23" ht="15" customHeight="1" x14ac:dyDescent="0.2">
      <c r="J79" s="599" t="s">
        <v>656</v>
      </c>
      <c r="K79" s="599"/>
      <c r="L79" s="599"/>
      <c r="M79" s="599"/>
      <c r="N79" s="599"/>
      <c r="O79" s="599"/>
      <c r="P79" s="599"/>
      <c r="Q79" s="599"/>
      <c r="R79" s="599"/>
      <c r="S79" s="150"/>
      <c r="T79" s="150"/>
      <c r="U79" s="150"/>
      <c r="V79" s="150"/>
      <c r="W79" s="150"/>
    </row>
    <row r="80" spans="10:23" ht="15" customHeight="1" x14ac:dyDescent="0.2">
      <c r="J80" s="599" t="s">
        <v>187</v>
      </c>
      <c r="K80" s="151" t="s">
        <v>657</v>
      </c>
      <c r="L80" s="600" t="s">
        <v>648</v>
      </c>
      <c r="M80" s="600"/>
      <c r="N80" s="600"/>
      <c r="O80" s="600"/>
      <c r="P80" s="600"/>
      <c r="Q80" s="600"/>
      <c r="R80" s="601" t="s">
        <v>658</v>
      </c>
      <c r="S80" s="150"/>
      <c r="T80" s="150"/>
      <c r="U80" s="150"/>
      <c r="V80" s="150"/>
      <c r="W80" s="150"/>
    </row>
    <row r="81" spans="10:23" ht="15" customHeight="1" x14ac:dyDescent="0.2">
      <c r="J81" s="599"/>
      <c r="K81" s="151">
        <f>S_1</f>
        <v>0</v>
      </c>
      <c r="L81" s="600"/>
      <c r="M81" s="600"/>
      <c r="N81" s="600"/>
      <c r="O81" s="600"/>
      <c r="P81" s="600"/>
      <c r="Q81" s="600"/>
      <c r="R81" s="601"/>
      <c r="S81" s="150"/>
      <c r="T81" s="599" t="s">
        <v>651</v>
      </c>
      <c r="U81" s="599"/>
      <c r="V81" s="150"/>
      <c r="W81" s="160"/>
    </row>
    <row r="82" spans="10:23" ht="15" customHeight="1" x14ac:dyDescent="0.2">
      <c r="J82" s="599"/>
      <c r="K82" s="157">
        <v>0</v>
      </c>
      <c r="L82" s="157">
        <v>0.1</v>
      </c>
      <c r="M82" s="157">
        <v>0.2</v>
      </c>
      <c r="N82" s="157">
        <v>0.3</v>
      </c>
      <c r="O82" s="157">
        <v>0.4</v>
      </c>
      <c r="P82" s="157">
        <v>0.5</v>
      </c>
      <c r="Q82" s="158">
        <v>0.6</v>
      </c>
      <c r="R82" s="151" t="e" cm="1">
        <f t="array" aca="1" ref="R82" ca="1">IF(T2.12_xUB=T2.12_xLB,T2.12_yLB,FORECAST(S_1,T2.12_y,T2.12_x))</f>
        <v>#N/A</v>
      </c>
      <c r="S82" s="150"/>
      <c r="T82" s="148">
        <f>INDEX(T2.12_S1,1,MATCH(S_1,T2.12_S1,1))</f>
        <v>0</v>
      </c>
      <c r="U82" s="148">
        <f ca="1">OFFSET(INDEX(T2.12_S1,1,MATCH(S_1,T2.12_S1,1)),0,1)</f>
        <v>0.1</v>
      </c>
      <c r="V82" s="160"/>
      <c r="W82" s="150"/>
    </row>
    <row r="83" spans="10:23" ht="15" customHeight="1" x14ac:dyDescent="0.2">
      <c r="J83" s="146" t="s">
        <v>650</v>
      </c>
      <c r="K83" s="154">
        <v>0.8</v>
      </c>
      <c r="L83" s="154">
        <v>0.8</v>
      </c>
      <c r="M83" s="154">
        <v>0.8</v>
      </c>
      <c r="N83" s="154">
        <v>0.8</v>
      </c>
      <c r="O83" s="154">
        <v>0.8</v>
      </c>
      <c r="P83" s="154">
        <v>0.8</v>
      </c>
      <c r="Q83" s="154">
        <v>0.8</v>
      </c>
      <c r="R83" s="155">
        <v>0.8</v>
      </c>
      <c r="S83" s="150"/>
      <c r="T83" s="148" t="e">
        <f>INDEX(T2.12_Fv,MATCH(LEFT(SiteClass,1),T2.12_SiteClass,0),MATCH(S_1,T2.12_S1,1))</f>
        <v>#N/A</v>
      </c>
      <c r="U83" s="154" t="e" cm="1">
        <f t="array" aca="1" ref="U83" ca="1">INDEX(T2.12_Fv,MATCH(LEFT(SiteClass,1),T2.12_SiteClass,0),MATCH(T2.12_xLB,T2.12_S1,1))</f>
        <v>#N/A</v>
      </c>
      <c r="V83" s="150"/>
      <c r="W83" s="150"/>
    </row>
    <row r="84" spans="10:23" ht="15" customHeight="1" x14ac:dyDescent="0.2">
      <c r="J84" s="146" t="s">
        <v>0</v>
      </c>
      <c r="K84" s="154">
        <v>0.8</v>
      </c>
      <c r="L84" s="154">
        <v>0.8</v>
      </c>
      <c r="M84" s="154">
        <v>0.8</v>
      </c>
      <c r="N84" s="154">
        <v>0.8</v>
      </c>
      <c r="O84" s="154">
        <v>0.8</v>
      </c>
      <c r="P84" s="154">
        <v>0.8</v>
      </c>
      <c r="Q84" s="154">
        <v>0.8</v>
      </c>
      <c r="R84" s="155">
        <v>0.8</v>
      </c>
      <c r="S84" s="150"/>
      <c r="T84" s="150"/>
      <c r="U84" s="150"/>
      <c r="V84" s="150"/>
      <c r="W84" s="150"/>
    </row>
    <row r="85" spans="10:23" ht="15" customHeight="1" x14ac:dyDescent="0.2">
      <c r="J85" s="146" t="s">
        <v>136</v>
      </c>
      <c r="K85" s="154">
        <v>1.5</v>
      </c>
      <c r="L85" s="154">
        <v>1.5</v>
      </c>
      <c r="M85" s="154">
        <v>1.5</v>
      </c>
      <c r="N85" s="154">
        <v>1.5</v>
      </c>
      <c r="O85" s="154">
        <v>1.5</v>
      </c>
      <c r="P85" s="154">
        <v>1.5</v>
      </c>
      <c r="Q85" s="154">
        <v>1.4</v>
      </c>
      <c r="R85" s="155">
        <f>IF(S_1&lt;=0.1,K85,IF(S_1&gt;=0.6,Q85,_xlfn.FORECAST.LINEAR(S_1,T2.12_C,T2.12_S1)))</f>
        <v>1.5</v>
      </c>
      <c r="S85" s="150"/>
      <c r="T85" s="150"/>
      <c r="U85" s="150"/>
      <c r="V85" s="150"/>
      <c r="W85" s="150"/>
    </row>
    <row r="86" spans="10:23" ht="15" customHeight="1" x14ac:dyDescent="0.2">
      <c r="J86" s="146" t="s">
        <v>171</v>
      </c>
      <c r="K86" s="154">
        <v>2.4</v>
      </c>
      <c r="L86" s="154">
        <v>2.4</v>
      </c>
      <c r="M86" s="154">
        <v>2.2000000000000002</v>
      </c>
      <c r="N86" s="154">
        <v>2</v>
      </c>
      <c r="O86" s="154">
        <v>1.9</v>
      </c>
      <c r="P86" s="154">
        <v>1.8</v>
      </c>
      <c r="Q86" s="154">
        <v>1.7</v>
      </c>
      <c r="R86" s="155">
        <f>IF(S_1&lt;=0.1,K86,IF(S_1&gt;=0.6,Q86,FORECAST(S_1,T2.12_D,T2.12_S1)))</f>
        <v>2.4</v>
      </c>
      <c r="S86" s="150"/>
      <c r="T86" s="150"/>
      <c r="U86" s="150"/>
      <c r="V86" s="150"/>
      <c r="W86" s="150"/>
    </row>
    <row r="87" spans="10:23" ht="15" customHeight="1" x14ac:dyDescent="0.2">
      <c r="J87" s="146" t="s">
        <v>652</v>
      </c>
      <c r="K87" s="154">
        <v>4.2</v>
      </c>
      <c r="L87" s="154">
        <v>4.2</v>
      </c>
      <c r="M87" s="154">
        <v>3.3</v>
      </c>
      <c r="N87" s="154">
        <v>2.8</v>
      </c>
      <c r="O87" s="154">
        <v>2.4</v>
      </c>
      <c r="P87" s="154">
        <v>2.2000000000000002</v>
      </c>
      <c r="Q87" s="154">
        <v>2</v>
      </c>
      <c r="R87" s="155">
        <f>IF(S_1&lt;=0.1,K87,IF(S_1&gt;=0.6,Q87,_xlfn.FORECAST.LINEAR(S_1,T2.12_E,T2.12_S1)))</f>
        <v>4.2</v>
      </c>
      <c r="S87" s="150"/>
      <c r="T87" s="150"/>
      <c r="U87" s="150"/>
      <c r="V87" s="161"/>
      <c r="W87" s="150"/>
    </row>
    <row r="88" spans="10:23" ht="15" customHeight="1" x14ac:dyDescent="0.2">
      <c r="J88" s="146" t="s">
        <v>654</v>
      </c>
      <c r="K88" s="148" t="s">
        <v>653</v>
      </c>
      <c r="L88" s="148" t="s">
        <v>653</v>
      </c>
      <c r="M88" s="148" t="s">
        <v>653</v>
      </c>
      <c r="N88" s="148" t="s">
        <v>653</v>
      </c>
      <c r="O88" s="148" t="s">
        <v>653</v>
      </c>
      <c r="P88" s="148" t="s">
        <v>653</v>
      </c>
      <c r="Q88" s="148" t="s">
        <v>653</v>
      </c>
      <c r="R88" s="148" t="s">
        <v>653</v>
      </c>
      <c r="S88" s="150"/>
      <c r="T88" s="150"/>
      <c r="U88" s="150"/>
      <c r="V88" s="150"/>
      <c r="W88" s="150"/>
    </row>
    <row r="89" spans="10:23" ht="15" customHeight="1" x14ac:dyDescent="0.2">
      <c r="J89" s="602" t="s">
        <v>659</v>
      </c>
      <c r="K89" s="602"/>
      <c r="L89" s="602"/>
      <c r="M89" s="602"/>
      <c r="N89" s="602"/>
      <c r="O89" s="602"/>
      <c r="P89" s="602"/>
      <c r="Q89" s="602"/>
      <c r="R89" s="602"/>
      <c r="S89" s="150"/>
      <c r="T89" s="150"/>
      <c r="U89" s="150"/>
      <c r="V89" s="150"/>
      <c r="W89" s="150"/>
    </row>
    <row r="90" spans="10:23" ht="15" customHeight="1" x14ac:dyDescent="0.2">
      <c r="J90" s="602"/>
      <c r="K90" s="602"/>
      <c r="L90" s="602"/>
      <c r="M90" s="602"/>
      <c r="N90" s="602"/>
      <c r="O90" s="602"/>
      <c r="P90" s="602"/>
      <c r="Q90" s="602"/>
      <c r="R90" s="602"/>
      <c r="S90" s="150"/>
      <c r="T90" s="150"/>
      <c r="U90" s="150"/>
      <c r="V90" s="150"/>
      <c r="W90" s="150"/>
    </row>
    <row r="91" spans="10:23" ht="15" customHeight="1" x14ac:dyDescent="0.2">
      <c r="J91" s="602"/>
      <c r="K91" s="602"/>
      <c r="L91" s="602"/>
      <c r="M91" s="602"/>
      <c r="N91" s="602"/>
      <c r="O91" s="602"/>
      <c r="P91" s="602"/>
      <c r="Q91" s="602"/>
      <c r="R91" s="602"/>
      <c r="S91" s="150"/>
      <c r="T91" s="150"/>
      <c r="U91" s="150"/>
      <c r="V91" s="150"/>
      <c r="W91" s="150"/>
    </row>
  </sheetData>
  <mergeCells count="105">
    <mergeCell ref="AN3:AR3"/>
    <mergeCell ref="B4:F14"/>
    <mergeCell ref="G4:H14"/>
    <mergeCell ref="J5:N6"/>
    <mergeCell ref="O5:P6"/>
    <mergeCell ref="J7:N8"/>
    <mergeCell ref="O7:P8"/>
    <mergeCell ref="B2:H2"/>
    <mergeCell ref="J2:P2"/>
    <mergeCell ref="T2:AF2"/>
    <mergeCell ref="AN2:AR2"/>
    <mergeCell ref="B3:F3"/>
    <mergeCell ref="G3:H3"/>
    <mergeCell ref="J3:N4"/>
    <mergeCell ref="O3:P4"/>
    <mergeCell ref="T3:T4"/>
    <mergeCell ref="U3:W3"/>
    <mergeCell ref="B15:F27"/>
    <mergeCell ref="G15:H27"/>
    <mergeCell ref="J15:M15"/>
    <mergeCell ref="J16:J17"/>
    <mergeCell ref="K16:K17"/>
    <mergeCell ref="L16:L17"/>
    <mergeCell ref="X3:Z3"/>
    <mergeCell ref="AA3:AC3"/>
    <mergeCell ref="AD3:AF3"/>
    <mergeCell ref="M16:M17"/>
    <mergeCell ref="J22:M23"/>
    <mergeCell ref="J25:O25"/>
    <mergeCell ref="J26:J27"/>
    <mergeCell ref="K26:L26"/>
    <mergeCell ref="M26:M27"/>
    <mergeCell ref="N26:N27"/>
    <mergeCell ref="O26:O27"/>
    <mergeCell ref="J9:N10"/>
    <mergeCell ref="O9:P10"/>
    <mergeCell ref="J11:N13"/>
    <mergeCell ref="O11:P13"/>
    <mergeCell ref="B28:F38"/>
    <mergeCell ref="G28:H38"/>
    <mergeCell ref="J33:M33"/>
    <mergeCell ref="J35:K35"/>
    <mergeCell ref="J36:K36"/>
    <mergeCell ref="J37:K37"/>
    <mergeCell ref="J34:K34"/>
    <mergeCell ref="B39:F44"/>
    <mergeCell ref="G39:H44"/>
    <mergeCell ref="J39:P39"/>
    <mergeCell ref="J40:M40"/>
    <mergeCell ref="N40:P41"/>
    <mergeCell ref="J41:K41"/>
    <mergeCell ref="L41:M41"/>
    <mergeCell ref="J42:K42"/>
    <mergeCell ref="L42:M42"/>
    <mergeCell ref="N42:P42"/>
    <mergeCell ref="J45:K45"/>
    <mergeCell ref="L45:M45"/>
    <mergeCell ref="N45:P45"/>
    <mergeCell ref="J46:K46"/>
    <mergeCell ref="L46:M46"/>
    <mergeCell ref="N46:P46"/>
    <mergeCell ref="J43:K43"/>
    <mergeCell ref="L43:M43"/>
    <mergeCell ref="N43:P43"/>
    <mergeCell ref="J44:K44"/>
    <mergeCell ref="L44:M44"/>
    <mergeCell ref="N44:P44"/>
    <mergeCell ref="O57:Q57"/>
    <mergeCell ref="J61:Q61"/>
    <mergeCell ref="J49:K49"/>
    <mergeCell ref="L49:M49"/>
    <mergeCell ref="N49:P49"/>
    <mergeCell ref="J50:K50"/>
    <mergeCell ref="L50:M50"/>
    <mergeCell ref="N50:P50"/>
    <mergeCell ref="J47:K47"/>
    <mergeCell ref="L47:M47"/>
    <mergeCell ref="N47:P47"/>
    <mergeCell ref="J48:K48"/>
    <mergeCell ref="L48:M48"/>
    <mergeCell ref="N48:P48"/>
    <mergeCell ref="AN15:AR15"/>
    <mergeCell ref="AN16:AR16"/>
    <mergeCell ref="J80:J82"/>
    <mergeCell ref="L80:Q81"/>
    <mergeCell ref="R80:R81"/>
    <mergeCell ref="T81:U81"/>
    <mergeCell ref="J89:R91"/>
    <mergeCell ref="J64:J66"/>
    <mergeCell ref="L64:Q65"/>
    <mergeCell ref="R64:R65"/>
    <mergeCell ref="T65:U65"/>
    <mergeCell ref="J73:R77"/>
    <mergeCell ref="J79:R79"/>
    <mergeCell ref="J59:K59"/>
    <mergeCell ref="M59:N59"/>
    <mergeCell ref="J60:K60"/>
    <mergeCell ref="M60:N60"/>
    <mergeCell ref="J63:R63"/>
    <mergeCell ref="J51:P54"/>
    <mergeCell ref="J57:K57"/>
    <mergeCell ref="L57:N57"/>
    <mergeCell ref="J58:K58"/>
    <mergeCell ref="M58:N58"/>
    <mergeCell ref="J56:Q56"/>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4D1DB-6DAF-40F1-B253-59576DC8C3A9}">
  <sheetPr codeName="Sheet7"/>
  <dimension ref="D1"/>
  <sheetViews>
    <sheetView workbookViewId="0">
      <selection sqref="A1:J52"/>
    </sheetView>
  </sheetViews>
  <sheetFormatPr defaultRowHeight="12.75" x14ac:dyDescent="0.2"/>
  <cols>
    <col min="1" max="1" width="31.85546875" bestFit="1" customWidth="1"/>
    <col min="2" max="2" width="23" bestFit="1" customWidth="1"/>
    <col min="3" max="3" width="2.7109375" bestFit="1" customWidth="1"/>
    <col min="4" max="4" width="22.7109375" style="219" bestFit="1" customWidth="1"/>
    <col min="5" max="5" width="1.5703125" bestFit="1" customWidth="1"/>
  </cols>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AC562-5DA1-443E-B919-B284D951F399}">
  <sheetPr codeName="Sheet4">
    <tabColor theme="4"/>
  </sheetPr>
  <dimension ref="A1:J52"/>
  <sheetViews>
    <sheetView workbookViewId="0">
      <selection sqref="A1:J52"/>
    </sheetView>
  </sheetViews>
  <sheetFormatPr defaultColWidth="0" defaultRowHeight="12.75" zeroHeight="1" x14ac:dyDescent="0.2"/>
  <cols>
    <col min="1" max="9" width="9.140625" customWidth="1"/>
    <col min="10" max="10" width="11.5703125" customWidth="1"/>
    <col min="11" max="16384" width="9.140625" hidden="1"/>
  </cols>
  <sheetData>
    <row r="1" spans="1:10" x14ac:dyDescent="0.2">
      <c r="A1" s="607" t="e" vm="7">
        <v>#VALUE!</v>
      </c>
      <c r="B1" s="607"/>
      <c r="C1" s="607"/>
      <c r="D1" s="607"/>
      <c r="E1" s="607"/>
      <c r="F1" s="607"/>
      <c r="G1" s="607"/>
      <c r="H1" s="607"/>
      <c r="I1" s="607"/>
      <c r="J1" s="607"/>
    </row>
    <row r="2" spans="1:10" x14ac:dyDescent="0.2">
      <c r="A2" s="607"/>
      <c r="B2" s="607"/>
      <c r="C2" s="607"/>
      <c r="D2" s="607"/>
      <c r="E2" s="607"/>
      <c r="F2" s="607"/>
      <c r="G2" s="607"/>
      <c r="H2" s="607"/>
      <c r="I2" s="607"/>
      <c r="J2" s="607"/>
    </row>
    <row r="3" spans="1:10" x14ac:dyDescent="0.2">
      <c r="A3" s="607"/>
      <c r="B3" s="607"/>
      <c r="C3" s="607"/>
      <c r="D3" s="607"/>
      <c r="E3" s="607"/>
      <c r="F3" s="607"/>
      <c r="G3" s="607"/>
      <c r="H3" s="607"/>
      <c r="I3" s="607"/>
      <c r="J3" s="607"/>
    </row>
    <row r="4" spans="1:10" x14ac:dyDescent="0.2">
      <c r="A4" s="607"/>
      <c r="B4" s="607"/>
      <c r="C4" s="607"/>
      <c r="D4" s="607"/>
      <c r="E4" s="607"/>
      <c r="F4" s="607"/>
      <c r="G4" s="607"/>
      <c r="H4" s="607"/>
      <c r="I4" s="607"/>
      <c r="J4" s="607"/>
    </row>
    <row r="5" spans="1:10" x14ac:dyDescent="0.2">
      <c r="A5" s="607"/>
      <c r="B5" s="607"/>
      <c r="C5" s="607"/>
      <c r="D5" s="607"/>
      <c r="E5" s="607"/>
      <c r="F5" s="607"/>
      <c r="G5" s="607"/>
      <c r="H5" s="607"/>
      <c r="I5" s="607"/>
      <c r="J5" s="607"/>
    </row>
    <row r="6" spans="1:10" x14ac:dyDescent="0.2">
      <c r="A6" s="607"/>
      <c r="B6" s="607"/>
      <c r="C6" s="607"/>
      <c r="D6" s="607"/>
      <c r="E6" s="607"/>
      <c r="F6" s="607"/>
      <c r="G6" s="607"/>
      <c r="H6" s="607"/>
      <c r="I6" s="607"/>
      <c r="J6" s="607"/>
    </row>
    <row r="7" spans="1:10" x14ac:dyDescent="0.2">
      <c r="A7" s="607"/>
      <c r="B7" s="607"/>
      <c r="C7" s="607"/>
      <c r="D7" s="607"/>
      <c r="E7" s="607"/>
      <c r="F7" s="607"/>
      <c r="G7" s="607"/>
      <c r="H7" s="607"/>
      <c r="I7" s="607"/>
      <c r="J7" s="607"/>
    </row>
    <row r="8" spans="1:10" x14ac:dyDescent="0.2">
      <c r="A8" s="607"/>
      <c r="B8" s="607"/>
      <c r="C8" s="607"/>
      <c r="D8" s="607"/>
      <c r="E8" s="607"/>
      <c r="F8" s="607"/>
      <c r="G8" s="607"/>
      <c r="H8" s="607"/>
      <c r="I8" s="607"/>
      <c r="J8" s="607"/>
    </row>
    <row r="9" spans="1:10" x14ac:dyDescent="0.2">
      <c r="A9" s="607"/>
      <c r="B9" s="607"/>
      <c r="C9" s="607"/>
      <c r="D9" s="607"/>
      <c r="E9" s="607"/>
      <c r="F9" s="607"/>
      <c r="G9" s="607"/>
      <c r="H9" s="607"/>
      <c r="I9" s="607"/>
      <c r="J9" s="607"/>
    </row>
    <row r="10" spans="1:10" x14ac:dyDescent="0.2">
      <c r="A10" s="607"/>
      <c r="B10" s="607"/>
      <c r="C10" s="607"/>
      <c r="D10" s="607"/>
      <c r="E10" s="607"/>
      <c r="F10" s="607"/>
      <c r="G10" s="607"/>
      <c r="H10" s="607"/>
      <c r="I10" s="607"/>
      <c r="J10" s="607"/>
    </row>
    <row r="11" spans="1:10" x14ac:dyDescent="0.2">
      <c r="A11" s="607"/>
      <c r="B11" s="607"/>
      <c r="C11" s="607"/>
      <c r="D11" s="607"/>
      <c r="E11" s="607"/>
      <c r="F11" s="607"/>
      <c r="G11" s="607"/>
      <c r="H11" s="607"/>
      <c r="I11" s="607"/>
      <c r="J11" s="607"/>
    </row>
    <row r="12" spans="1:10" x14ac:dyDescent="0.2">
      <c r="A12" s="607"/>
      <c r="B12" s="607"/>
      <c r="C12" s="607"/>
      <c r="D12" s="607"/>
      <c r="E12" s="607"/>
      <c r="F12" s="607"/>
      <c r="G12" s="607"/>
      <c r="H12" s="607"/>
      <c r="I12" s="607"/>
      <c r="J12" s="607"/>
    </row>
    <row r="13" spans="1:10" x14ac:dyDescent="0.2">
      <c r="A13" s="607"/>
      <c r="B13" s="607"/>
      <c r="C13" s="607"/>
      <c r="D13" s="607"/>
      <c r="E13" s="607"/>
      <c r="F13" s="607"/>
      <c r="G13" s="607"/>
      <c r="H13" s="607"/>
      <c r="I13" s="607"/>
      <c r="J13" s="607"/>
    </row>
    <row r="14" spans="1:10" x14ac:dyDescent="0.2">
      <c r="A14" s="607"/>
      <c r="B14" s="607"/>
      <c r="C14" s="607"/>
      <c r="D14" s="607"/>
      <c r="E14" s="607"/>
      <c r="F14" s="607"/>
      <c r="G14" s="607"/>
      <c r="H14" s="607"/>
      <c r="I14" s="607"/>
      <c r="J14" s="607"/>
    </row>
    <row r="15" spans="1:10" x14ac:dyDescent="0.2">
      <c r="A15" s="607"/>
      <c r="B15" s="607"/>
      <c r="C15" s="607"/>
      <c r="D15" s="607"/>
      <c r="E15" s="607"/>
      <c r="F15" s="607"/>
      <c r="G15" s="607"/>
      <c r="H15" s="607"/>
      <c r="I15" s="607"/>
      <c r="J15" s="607"/>
    </row>
    <row r="16" spans="1:10" x14ac:dyDescent="0.2">
      <c r="A16" s="607"/>
      <c r="B16" s="607"/>
      <c r="C16" s="607"/>
      <c r="D16" s="607"/>
      <c r="E16" s="607"/>
      <c r="F16" s="607"/>
      <c r="G16" s="607"/>
      <c r="H16" s="607"/>
      <c r="I16" s="607"/>
      <c r="J16" s="607"/>
    </row>
    <row r="17" spans="1:10" x14ac:dyDescent="0.2">
      <c r="A17" s="607"/>
      <c r="B17" s="607"/>
      <c r="C17" s="607"/>
      <c r="D17" s="607"/>
      <c r="E17" s="607"/>
      <c r="F17" s="607"/>
      <c r="G17" s="607"/>
      <c r="H17" s="607"/>
      <c r="I17" s="607"/>
      <c r="J17" s="607"/>
    </row>
    <row r="18" spans="1:10" x14ac:dyDescent="0.2">
      <c r="A18" s="607"/>
      <c r="B18" s="607"/>
      <c r="C18" s="607"/>
      <c r="D18" s="607"/>
      <c r="E18" s="607"/>
      <c r="F18" s="607"/>
      <c r="G18" s="607"/>
      <c r="H18" s="607"/>
      <c r="I18" s="607"/>
      <c r="J18" s="607"/>
    </row>
    <row r="19" spans="1:10" x14ac:dyDescent="0.2">
      <c r="A19" s="607"/>
      <c r="B19" s="607"/>
      <c r="C19" s="607"/>
      <c r="D19" s="607"/>
      <c r="E19" s="607"/>
      <c r="F19" s="607"/>
      <c r="G19" s="607"/>
      <c r="H19" s="607"/>
      <c r="I19" s="607"/>
      <c r="J19" s="607"/>
    </row>
    <row r="20" spans="1:10" x14ac:dyDescent="0.2">
      <c r="A20" s="607"/>
      <c r="B20" s="607"/>
      <c r="C20" s="607"/>
      <c r="D20" s="607"/>
      <c r="E20" s="607"/>
      <c r="F20" s="607"/>
      <c r="G20" s="607"/>
      <c r="H20" s="607"/>
      <c r="I20" s="607"/>
      <c r="J20" s="607"/>
    </row>
    <row r="21" spans="1:10" x14ac:dyDescent="0.2">
      <c r="A21" s="607"/>
      <c r="B21" s="607"/>
      <c r="C21" s="607"/>
      <c r="D21" s="607"/>
      <c r="E21" s="607"/>
      <c r="F21" s="607"/>
      <c r="G21" s="607"/>
      <c r="H21" s="607"/>
      <c r="I21" s="607"/>
      <c r="J21" s="607"/>
    </row>
    <row r="22" spans="1:10" x14ac:dyDescent="0.2">
      <c r="A22" s="607"/>
      <c r="B22" s="607"/>
      <c r="C22" s="607"/>
      <c r="D22" s="607"/>
      <c r="E22" s="607"/>
      <c r="F22" s="607"/>
      <c r="G22" s="607"/>
      <c r="H22" s="607"/>
      <c r="I22" s="607"/>
      <c r="J22" s="607"/>
    </row>
    <row r="23" spans="1:10" x14ac:dyDescent="0.2">
      <c r="A23" s="607"/>
      <c r="B23" s="607"/>
      <c r="C23" s="607"/>
      <c r="D23" s="607"/>
      <c r="E23" s="607"/>
      <c r="F23" s="607"/>
      <c r="G23" s="607"/>
      <c r="H23" s="607"/>
      <c r="I23" s="607"/>
      <c r="J23" s="607"/>
    </row>
    <row r="24" spans="1:10" x14ac:dyDescent="0.2">
      <c r="A24" s="607"/>
      <c r="B24" s="607"/>
      <c r="C24" s="607"/>
      <c r="D24" s="607"/>
      <c r="E24" s="607"/>
      <c r="F24" s="607"/>
      <c r="G24" s="607"/>
      <c r="H24" s="607"/>
      <c r="I24" s="607"/>
      <c r="J24" s="607"/>
    </row>
    <row r="25" spans="1:10" x14ac:dyDescent="0.2">
      <c r="A25" s="607"/>
      <c r="B25" s="607"/>
      <c r="C25" s="607"/>
      <c r="D25" s="607"/>
      <c r="E25" s="607"/>
      <c r="F25" s="607"/>
      <c r="G25" s="607"/>
      <c r="H25" s="607"/>
      <c r="I25" s="607"/>
      <c r="J25" s="607"/>
    </row>
    <row r="26" spans="1:10" x14ac:dyDescent="0.2">
      <c r="A26" s="607"/>
      <c r="B26" s="607"/>
      <c r="C26" s="607"/>
      <c r="D26" s="607"/>
      <c r="E26" s="607"/>
      <c r="F26" s="607"/>
      <c r="G26" s="607"/>
      <c r="H26" s="607"/>
      <c r="I26" s="607"/>
      <c r="J26" s="607"/>
    </row>
    <row r="27" spans="1:10" x14ac:dyDescent="0.2">
      <c r="A27" s="607"/>
      <c r="B27" s="607"/>
      <c r="C27" s="607"/>
      <c r="D27" s="607"/>
      <c r="E27" s="607"/>
      <c r="F27" s="607"/>
      <c r="G27" s="607"/>
      <c r="H27" s="607"/>
      <c r="I27" s="607"/>
      <c r="J27" s="607"/>
    </row>
    <row r="28" spans="1:10" x14ac:dyDescent="0.2">
      <c r="A28" s="607"/>
      <c r="B28" s="607"/>
      <c r="C28" s="607"/>
      <c r="D28" s="607"/>
      <c r="E28" s="607"/>
      <c r="F28" s="607"/>
      <c r="G28" s="607"/>
      <c r="H28" s="607"/>
      <c r="I28" s="607"/>
      <c r="J28" s="607"/>
    </row>
    <row r="29" spans="1:10" x14ac:dyDescent="0.2">
      <c r="A29" s="607"/>
      <c r="B29" s="607"/>
      <c r="C29" s="607"/>
      <c r="D29" s="607"/>
      <c r="E29" s="607"/>
      <c r="F29" s="607"/>
      <c r="G29" s="607"/>
      <c r="H29" s="607"/>
      <c r="I29" s="607"/>
      <c r="J29" s="607"/>
    </row>
    <row r="30" spans="1:10" x14ac:dyDescent="0.2">
      <c r="A30" s="607"/>
      <c r="B30" s="607"/>
      <c r="C30" s="607"/>
      <c r="D30" s="607"/>
      <c r="E30" s="607"/>
      <c r="F30" s="607"/>
      <c r="G30" s="607"/>
      <c r="H30" s="607"/>
      <c r="I30" s="607"/>
      <c r="J30" s="607"/>
    </row>
    <row r="31" spans="1:10" x14ac:dyDescent="0.2">
      <c r="A31" s="607"/>
      <c r="B31" s="607"/>
      <c r="C31" s="607"/>
      <c r="D31" s="607"/>
      <c r="E31" s="607"/>
      <c r="F31" s="607"/>
      <c r="G31" s="607"/>
      <c r="H31" s="607"/>
      <c r="I31" s="607"/>
      <c r="J31" s="607"/>
    </row>
    <row r="32" spans="1:10" x14ac:dyDescent="0.2">
      <c r="A32" s="607"/>
      <c r="B32" s="607"/>
      <c r="C32" s="607"/>
      <c r="D32" s="607"/>
      <c r="E32" s="607"/>
      <c r="F32" s="607"/>
      <c r="G32" s="607"/>
      <c r="H32" s="607"/>
      <c r="I32" s="607"/>
      <c r="J32" s="607"/>
    </row>
    <row r="33" spans="1:10" x14ac:dyDescent="0.2">
      <c r="A33" s="607"/>
      <c r="B33" s="607"/>
      <c r="C33" s="607"/>
      <c r="D33" s="607"/>
      <c r="E33" s="607"/>
      <c r="F33" s="607"/>
      <c r="G33" s="607"/>
      <c r="H33" s="607"/>
      <c r="I33" s="607"/>
      <c r="J33" s="607"/>
    </row>
    <row r="34" spans="1:10" x14ac:dyDescent="0.2">
      <c r="A34" s="607"/>
      <c r="B34" s="607"/>
      <c r="C34" s="607"/>
      <c r="D34" s="607"/>
      <c r="E34" s="607"/>
      <c r="F34" s="607"/>
      <c r="G34" s="607"/>
      <c r="H34" s="607"/>
      <c r="I34" s="607"/>
      <c r="J34" s="607"/>
    </row>
    <row r="35" spans="1:10" x14ac:dyDescent="0.2">
      <c r="A35" s="607"/>
      <c r="B35" s="607"/>
      <c r="C35" s="607"/>
      <c r="D35" s="607"/>
      <c r="E35" s="607"/>
      <c r="F35" s="607"/>
      <c r="G35" s="607"/>
      <c r="H35" s="607"/>
      <c r="I35" s="607"/>
      <c r="J35" s="607"/>
    </row>
    <row r="36" spans="1:10" x14ac:dyDescent="0.2">
      <c r="A36" s="607"/>
      <c r="B36" s="607"/>
      <c r="C36" s="607"/>
      <c r="D36" s="607"/>
      <c r="E36" s="607"/>
      <c r="F36" s="607"/>
      <c r="G36" s="607"/>
      <c r="H36" s="607"/>
      <c r="I36" s="607"/>
      <c r="J36" s="607"/>
    </row>
    <row r="37" spans="1:10" x14ac:dyDescent="0.2">
      <c r="A37" s="607"/>
      <c r="B37" s="607"/>
      <c r="C37" s="607"/>
      <c r="D37" s="607"/>
      <c r="E37" s="607"/>
      <c r="F37" s="607"/>
      <c r="G37" s="607"/>
      <c r="H37" s="607"/>
      <c r="I37" s="607"/>
      <c r="J37" s="607"/>
    </row>
    <row r="38" spans="1:10" x14ac:dyDescent="0.2">
      <c r="A38" s="607"/>
      <c r="B38" s="607"/>
      <c r="C38" s="607"/>
      <c r="D38" s="607"/>
      <c r="E38" s="607"/>
      <c r="F38" s="607"/>
      <c r="G38" s="607"/>
      <c r="H38" s="607"/>
      <c r="I38" s="607"/>
      <c r="J38" s="607"/>
    </row>
    <row r="39" spans="1:10" x14ac:dyDescent="0.2">
      <c r="A39" s="607"/>
      <c r="B39" s="607"/>
      <c r="C39" s="607"/>
      <c r="D39" s="607"/>
      <c r="E39" s="607"/>
      <c r="F39" s="607"/>
      <c r="G39" s="607"/>
      <c r="H39" s="607"/>
      <c r="I39" s="607"/>
      <c r="J39" s="607"/>
    </row>
    <row r="40" spans="1:10" x14ac:dyDescent="0.2">
      <c r="A40" s="607"/>
      <c r="B40" s="607"/>
      <c r="C40" s="607"/>
      <c r="D40" s="607"/>
      <c r="E40" s="607"/>
      <c r="F40" s="607"/>
      <c r="G40" s="607"/>
      <c r="H40" s="607"/>
      <c r="I40" s="607"/>
      <c r="J40" s="607"/>
    </row>
    <row r="41" spans="1:10" x14ac:dyDescent="0.2">
      <c r="A41" s="607"/>
      <c r="B41" s="607"/>
      <c r="C41" s="607"/>
      <c r="D41" s="607"/>
      <c r="E41" s="607"/>
      <c r="F41" s="607"/>
      <c r="G41" s="607"/>
      <c r="H41" s="607"/>
      <c r="I41" s="607"/>
      <c r="J41" s="607"/>
    </row>
    <row r="42" spans="1:10" x14ac:dyDescent="0.2">
      <c r="A42" s="607"/>
      <c r="B42" s="607"/>
      <c r="C42" s="607"/>
      <c r="D42" s="607"/>
      <c r="E42" s="607"/>
      <c r="F42" s="607"/>
      <c r="G42" s="607"/>
      <c r="H42" s="607"/>
      <c r="I42" s="607"/>
      <c r="J42" s="607"/>
    </row>
    <row r="43" spans="1:10" x14ac:dyDescent="0.2">
      <c r="A43" s="607"/>
      <c r="B43" s="607"/>
      <c r="C43" s="607"/>
      <c r="D43" s="607"/>
      <c r="E43" s="607"/>
      <c r="F43" s="607"/>
      <c r="G43" s="607"/>
      <c r="H43" s="607"/>
      <c r="I43" s="607"/>
      <c r="J43" s="607"/>
    </row>
    <row r="44" spans="1:10" x14ac:dyDescent="0.2">
      <c r="A44" s="607"/>
      <c r="B44" s="607"/>
      <c r="C44" s="607"/>
      <c r="D44" s="607"/>
      <c r="E44" s="607"/>
      <c r="F44" s="607"/>
      <c r="G44" s="607"/>
      <c r="H44" s="607"/>
      <c r="I44" s="607"/>
      <c r="J44" s="607"/>
    </row>
    <row r="45" spans="1:10" x14ac:dyDescent="0.2">
      <c r="A45" s="607"/>
      <c r="B45" s="607"/>
      <c r="C45" s="607"/>
      <c r="D45" s="607"/>
      <c r="E45" s="607"/>
      <c r="F45" s="607"/>
      <c r="G45" s="607"/>
      <c r="H45" s="607"/>
      <c r="I45" s="607"/>
      <c r="J45" s="607"/>
    </row>
    <row r="46" spans="1:10" x14ac:dyDescent="0.2">
      <c r="A46" s="607"/>
      <c r="B46" s="607"/>
      <c r="C46" s="607"/>
      <c r="D46" s="607"/>
      <c r="E46" s="607"/>
      <c r="F46" s="607"/>
      <c r="G46" s="607"/>
      <c r="H46" s="607"/>
      <c r="I46" s="607"/>
      <c r="J46" s="607"/>
    </row>
    <row r="47" spans="1:10" x14ac:dyDescent="0.2">
      <c r="A47" s="607"/>
      <c r="B47" s="607"/>
      <c r="C47" s="607"/>
      <c r="D47" s="607"/>
      <c r="E47" s="607"/>
      <c r="F47" s="607"/>
      <c r="G47" s="607"/>
      <c r="H47" s="607"/>
      <c r="I47" s="607"/>
      <c r="J47" s="607"/>
    </row>
    <row r="48" spans="1:10" x14ac:dyDescent="0.2">
      <c r="A48" s="607"/>
      <c r="B48" s="607"/>
      <c r="C48" s="607"/>
      <c r="D48" s="607"/>
      <c r="E48" s="607"/>
      <c r="F48" s="607"/>
      <c r="G48" s="607"/>
      <c r="H48" s="607"/>
      <c r="I48" s="607"/>
      <c r="J48" s="607"/>
    </row>
    <row r="49" spans="1:10" x14ac:dyDescent="0.2">
      <c r="A49" s="607"/>
      <c r="B49" s="607"/>
      <c r="C49" s="607"/>
      <c r="D49" s="607"/>
      <c r="E49" s="607"/>
      <c r="F49" s="607"/>
      <c r="G49" s="607"/>
      <c r="H49" s="607"/>
      <c r="I49" s="607"/>
      <c r="J49" s="607"/>
    </row>
    <row r="50" spans="1:10" x14ac:dyDescent="0.2">
      <c r="A50" s="607"/>
      <c r="B50" s="607"/>
      <c r="C50" s="607"/>
      <c r="D50" s="607"/>
      <c r="E50" s="607"/>
      <c r="F50" s="607"/>
      <c r="G50" s="607"/>
      <c r="H50" s="607"/>
      <c r="I50" s="607"/>
      <c r="J50" s="607"/>
    </row>
    <row r="51" spans="1:10" x14ac:dyDescent="0.2">
      <c r="A51" s="607"/>
      <c r="B51" s="607"/>
      <c r="C51" s="607"/>
      <c r="D51" s="607"/>
      <c r="E51" s="607"/>
      <c r="F51" s="607"/>
      <c r="G51" s="607"/>
      <c r="H51" s="607"/>
      <c r="I51" s="607"/>
      <c r="J51" s="607"/>
    </row>
    <row r="52" spans="1:10" ht="11.25" customHeight="1" x14ac:dyDescent="0.2">
      <c r="A52" s="607"/>
      <c r="B52" s="607"/>
      <c r="C52" s="607"/>
      <c r="D52" s="607"/>
      <c r="E52" s="607"/>
      <c r="F52" s="607"/>
      <c r="G52" s="607"/>
      <c r="H52" s="607"/>
      <c r="I52" s="607"/>
      <c r="J52" s="607"/>
    </row>
  </sheetData>
  <mergeCells count="1">
    <mergeCell ref="A1:J5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A8AEF-D4E4-49C1-AD6C-C1EA280F8D76}">
  <sheetPr codeName="Sheet13">
    <tabColor theme="3"/>
  </sheetPr>
  <dimension ref="A1:I1"/>
  <sheetViews>
    <sheetView topLeftCell="E1" workbookViewId="0">
      <selection activeCell="E2" sqref="E2"/>
    </sheetView>
  </sheetViews>
  <sheetFormatPr defaultRowHeight="11.25" x14ac:dyDescent="0.2"/>
  <cols>
    <col min="1" max="1" width="8.28515625" style="280" bestFit="1" customWidth="1"/>
    <col min="2" max="2" width="18.42578125" style="280" bestFit="1" customWidth="1"/>
    <col min="3" max="3" width="12.7109375" style="280" bestFit="1" customWidth="1"/>
    <col min="4" max="4" width="27.42578125" style="280" bestFit="1" customWidth="1"/>
    <col min="5" max="5" width="7.140625" style="280" bestFit="1" customWidth="1"/>
    <col min="6" max="6" width="5.42578125" style="280" bestFit="1" customWidth="1"/>
    <col min="7" max="7" width="8.85546875" style="280" bestFit="1" customWidth="1"/>
    <col min="8" max="8" width="9.42578125" style="280" bestFit="1" customWidth="1"/>
    <col min="9" max="9" width="14.7109375" style="280" bestFit="1" customWidth="1"/>
    <col min="10" max="16384" width="9.140625" style="280"/>
  </cols>
  <sheetData>
    <row r="1" spans="1:9" s="279" customFormat="1" x14ac:dyDescent="0.2">
      <c r="A1" s="279" t="s">
        <v>1292</v>
      </c>
      <c r="B1" s="279" t="s">
        <v>1293</v>
      </c>
      <c r="C1" s="279" t="s">
        <v>1294</v>
      </c>
      <c r="D1" s="279" t="s">
        <v>1295</v>
      </c>
      <c r="E1" s="279" t="s">
        <v>1296</v>
      </c>
      <c r="F1" s="279" t="s">
        <v>1297</v>
      </c>
      <c r="G1" s="279" t="s">
        <v>1298</v>
      </c>
      <c r="H1" s="279" t="s">
        <v>1299</v>
      </c>
      <c r="I1" s="279" t="s">
        <v>1300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34D22-1291-4BE0-A87E-C24A58A73D7E}">
  <sheetPr codeName="Sheet14">
    <tabColor theme="3"/>
  </sheetPr>
  <dimension ref="A1:BK4"/>
  <sheetViews>
    <sheetView workbookViewId="0">
      <selection activeCell="A2" sqref="A2"/>
    </sheetView>
  </sheetViews>
  <sheetFormatPr defaultRowHeight="11.25" x14ac:dyDescent="0.2"/>
  <cols>
    <col min="1" max="1" width="30.85546875" style="280" bestFit="1" customWidth="1"/>
    <col min="2" max="3" width="20.42578125" style="280" bestFit="1" customWidth="1"/>
    <col min="4" max="4" width="8.85546875" style="280" bestFit="1" customWidth="1"/>
    <col min="5" max="5" width="6" style="280" bestFit="1" customWidth="1"/>
    <col min="6" max="6" width="5.42578125" style="280" bestFit="1" customWidth="1"/>
    <col min="7" max="7" width="6" style="280" bestFit="1" customWidth="1"/>
    <col min="8" max="8" width="9.42578125" style="280" bestFit="1" customWidth="1"/>
    <col min="9" max="9" width="7.140625" style="280" bestFit="1" customWidth="1"/>
    <col min="10" max="10" width="5.42578125" style="280" bestFit="1" customWidth="1"/>
    <col min="11" max="11" width="4.28515625" style="280" bestFit="1" customWidth="1"/>
    <col min="12" max="12" width="9.7109375" style="280" bestFit="1" customWidth="1"/>
    <col min="13" max="13" width="9" style="280" bestFit="1" customWidth="1"/>
    <col min="14" max="14" width="14" style="280" bestFit="1" customWidth="1"/>
    <col min="15" max="15" width="11.7109375" style="280" bestFit="1" customWidth="1"/>
    <col min="16" max="16" width="9.140625" style="280"/>
    <col min="17" max="17" width="9.140625" style="280" customWidth="1"/>
    <col min="18" max="18" width="25.7109375" style="280" bestFit="1" customWidth="1"/>
    <col min="19" max="19" width="17.42578125" style="280" bestFit="1" customWidth="1"/>
    <col min="20" max="44" width="9.140625" style="280" customWidth="1"/>
    <col min="45" max="48" width="9.140625" style="280"/>
    <col min="49" max="49" width="2.7109375" style="280" customWidth="1"/>
    <col min="50" max="16384" width="9.140625" style="280"/>
  </cols>
  <sheetData>
    <row r="1" spans="1:63" s="281" customFormat="1" x14ac:dyDescent="0.2">
      <c r="A1" s="281" t="s">
        <v>1292</v>
      </c>
      <c r="B1" s="281" t="s">
        <v>1293</v>
      </c>
      <c r="C1" s="281" t="s">
        <v>1294</v>
      </c>
      <c r="D1" s="281" t="s">
        <v>1295</v>
      </c>
      <c r="E1" s="281" t="s">
        <v>1301</v>
      </c>
      <c r="F1" s="281" t="s">
        <v>1302</v>
      </c>
      <c r="G1" s="281" t="s">
        <v>1303</v>
      </c>
      <c r="H1" s="281" t="s">
        <v>1299</v>
      </c>
      <c r="I1" s="281" t="s">
        <v>1296</v>
      </c>
      <c r="J1" s="281" t="s">
        <v>1297</v>
      </c>
      <c r="K1" s="281" t="s">
        <v>1304</v>
      </c>
      <c r="L1" s="281" t="s">
        <v>1305</v>
      </c>
      <c r="M1" s="281" t="s">
        <v>1306</v>
      </c>
      <c r="N1" s="281" t="s">
        <v>1307</v>
      </c>
      <c r="O1" s="281" t="s">
        <v>1308</v>
      </c>
      <c r="Q1" s="281" t="s">
        <v>707</v>
      </c>
      <c r="R1" s="281" t="s">
        <v>708</v>
      </c>
      <c r="S1" s="281" t="s">
        <v>120</v>
      </c>
      <c r="T1" s="281" t="s">
        <v>101</v>
      </c>
      <c r="U1" s="281" t="s">
        <v>215</v>
      </c>
      <c r="V1" s="281" t="s">
        <v>305</v>
      </c>
      <c r="W1" s="281" t="s">
        <v>709</v>
      </c>
      <c r="X1" s="281" t="s">
        <v>710</v>
      </c>
      <c r="Y1" s="281" t="s">
        <v>711</v>
      </c>
      <c r="Z1" s="281" t="s">
        <v>309</v>
      </c>
      <c r="AA1" s="281" t="s">
        <v>310</v>
      </c>
      <c r="AB1" s="281" t="s">
        <v>307</v>
      </c>
      <c r="AC1" s="281" t="s">
        <v>311</v>
      </c>
      <c r="AD1" s="281" t="s">
        <v>312</v>
      </c>
      <c r="AE1" s="281" t="s">
        <v>313</v>
      </c>
      <c r="AF1" s="281" t="s">
        <v>314</v>
      </c>
      <c r="AG1" s="281" t="s">
        <v>315</v>
      </c>
      <c r="AH1" s="281" t="s">
        <v>316</v>
      </c>
      <c r="AI1" s="281" t="s">
        <v>317</v>
      </c>
      <c r="AJ1" s="281" t="s">
        <v>307</v>
      </c>
      <c r="AK1" s="281" t="s">
        <v>311</v>
      </c>
      <c r="AL1" s="281" t="s">
        <v>312</v>
      </c>
      <c r="AM1" s="281" t="s">
        <v>313</v>
      </c>
      <c r="AN1" s="281" t="s">
        <v>314</v>
      </c>
      <c r="AO1" s="281" t="s">
        <v>315</v>
      </c>
      <c r="AP1" s="281" t="s">
        <v>316</v>
      </c>
      <c r="AQ1" s="281" t="s">
        <v>317</v>
      </c>
      <c r="AR1" s="281" t="s">
        <v>307</v>
      </c>
      <c r="AS1" s="281" t="s">
        <v>311</v>
      </c>
      <c r="AT1" s="281" t="s">
        <v>312</v>
      </c>
      <c r="AU1" s="281" t="s">
        <v>313</v>
      </c>
      <c r="AV1" s="281" t="s">
        <v>314</v>
      </c>
      <c r="AW1" s="281" t="s">
        <v>315</v>
      </c>
      <c r="AX1" s="281" t="s">
        <v>316</v>
      </c>
      <c r="AY1" s="281" t="s">
        <v>317</v>
      </c>
      <c r="AZ1" s="281" t="s">
        <v>307</v>
      </c>
      <c r="BA1" s="281" t="s">
        <v>311</v>
      </c>
      <c r="BB1" s="281" t="s">
        <v>312</v>
      </c>
      <c r="BC1" s="281" t="s">
        <v>313</v>
      </c>
      <c r="BD1" s="281" t="s">
        <v>314</v>
      </c>
      <c r="BE1" s="281" t="s">
        <v>315</v>
      </c>
      <c r="BF1" s="281" t="s">
        <v>316</v>
      </c>
      <c r="BG1" s="281" t="s">
        <v>317</v>
      </c>
      <c r="BH1" s="281" t="s">
        <v>318</v>
      </c>
      <c r="BI1" s="281" t="s">
        <v>319</v>
      </c>
      <c r="BJ1" s="281" t="s">
        <v>320</v>
      </c>
      <c r="BK1" s="281" t="s">
        <v>712</v>
      </c>
    </row>
    <row r="2" spans="1:63" x14ac:dyDescent="0.2">
      <c r="A2" s="280" t="s">
        <v>1309</v>
      </c>
      <c r="B2" s="280" t="s">
        <v>1310</v>
      </c>
      <c r="C2" s="280" t="s">
        <v>1310</v>
      </c>
      <c r="D2" s="280" t="s">
        <v>1311</v>
      </c>
      <c r="E2" s="280">
        <v>96.4</v>
      </c>
      <c r="F2" s="280">
        <v>12.2</v>
      </c>
      <c r="G2" s="280">
        <v>12.7</v>
      </c>
      <c r="H2" s="280">
        <v>126</v>
      </c>
      <c r="I2" s="280" t="s">
        <v>1312</v>
      </c>
      <c r="J2" s="280">
        <v>2</v>
      </c>
      <c r="K2" s="280" t="s">
        <v>650</v>
      </c>
      <c r="L2" s="280">
        <v>148</v>
      </c>
      <c r="M2" s="280" t="s">
        <v>1313</v>
      </c>
      <c r="N2" s="280">
        <v>4</v>
      </c>
      <c r="O2" s="280">
        <v>-2</v>
      </c>
      <c r="Q2" s="280" t="str" cm="1">
        <f t="array" ref="Q2:BK4">_xlfn.LET(
_xlpm.condition, IF(I2:I501="I","Existing","Proposed"),
_xlpm.manufacturer, A2:A501,
_xlpm.model, B2:B501,
_xlpm.Shape, IF(D2:D501="Flat Panel","Flat",IF(D2:D501="Cylindrical (Omni)","Round","Generic")),
_xlpm.type, IF(D2:D501="Flat Panel","Antenna",IF(D2:D501="Cylindrical (Omni)","Round","Other")),
_xlpm.offset, O2:O501,
_xlpm.elevation, _xlpm.offset+z,
_xlpm.count, J2:J501,
_xlpm.face, K2:K501,
_xlpm.qtyA, SUMIFS(_xlpm.count, _xlpm.face, "A", C2:C501, _xlpm.model, O2:O501, _xlpm.elevation-z),
_xlpm.qtyB, SUMIFS(_xlpm.count, _xlpm.face, "B", C2:C501, _xlpm.model, O2:O501, _xlpm.elevation-z),
_xlpm.qtyC, SUMIFS(_xlpm.count, _xlpm.face, "C", C2:C501, _xlpm.model, O2:O501, _xlpm.elevation-z),
_xlpm.qtyD, SUMIFS(_xlpm.count, _xlpm.face, "D", C2:C501, _xlpm.model, O2:O501, _xlpm.elevation-z),
_xlpm.height, _xlfn.XLOOKUP(_xlpm.model, C2:C501, E2:E501),
_xlpm.width, _xlfn.XLOOKUP(_xlpm.model, C2:C501, F2:F501),
_xlpm.depth, _xlfn.XLOOKUP(_xlpm.model, C2:C501, G2:G501),
_xlpm.weight, _xlfn.XLOOKUP(_xlpm.model, C2:C501, H2:H501),
IFERROR(_xlfn.UNIQUE(_xlfn.HSTACK(_xlpm.manufacturer, _xlpm.model, _xlpm.condition, _xlpm.type, _xlpm.Shape, IF(_xlpm.type="Antenna",2,IF(_xlpm.manufacturer=0,"",1)), _xlpm.offset, IF(_xlpm.model&lt;&gt;"",0,""), IF(_xlpm.model&lt;&gt;"",8,""), IF(_xlpm.model&lt;&gt;"",1,""), IF(_xlpm.model&lt;&gt;"",1,""), IF(_xlpm.model&lt;&gt;"",AlphaMountAzimuth,""), _xlpm.qtyA, "", "", "", "", "", "", IF(_xlpm.model&lt;&gt;"",BetaMountAzimuth,""), _xlpm.qtyB, "", "", "", "", "", "",IF(_xlpm.model&lt;&gt;"",GammaMountAzimuth,""), _xlpm.qtyC, "", "", "", "", "", "", IF(_xlpm.model&lt;&gt;"",DeltaMountAzimuth,""), _xlpm.qtyD, "", "", "", "", "", "", _xlpm.height, _xlpm.width, _xlpm.depth, _xlpm.weight)),""))</f>
        <v>ALCATEL LUCENT</v>
      </c>
      <c r="R2" s="280" t="str">
        <v>3JR52703AAAA</v>
      </c>
      <c r="S2" s="280" t="str">
        <v>Proposed</v>
      </c>
      <c r="T2" s="280" t="str">
        <v>Antenna</v>
      </c>
      <c r="U2" s="280" t="str">
        <v>Flat</v>
      </c>
      <c r="V2" s="280">
        <v>2</v>
      </c>
      <c r="W2" s="280">
        <v>-2</v>
      </c>
      <c r="X2" s="280">
        <v>0</v>
      </c>
      <c r="Y2" s="280">
        <v>8</v>
      </c>
      <c r="Z2" s="280">
        <v>1</v>
      </c>
      <c r="AA2" s="280">
        <v>1</v>
      </c>
      <c r="AB2" s="280">
        <v>0</v>
      </c>
      <c r="AC2" s="280">
        <v>2</v>
      </c>
      <c r="AD2" s="280" t="str">
        <v/>
      </c>
      <c r="AE2" s="280" t="str">
        <v/>
      </c>
      <c r="AF2" s="280" t="str">
        <v/>
      </c>
      <c r="AG2" s="280" t="str">
        <v/>
      </c>
      <c r="AH2" s="280" t="str">
        <v/>
      </c>
      <c r="AI2" s="280" t="str">
        <v/>
      </c>
      <c r="AJ2" s="280">
        <v>0</v>
      </c>
      <c r="AK2" s="280">
        <v>2</v>
      </c>
      <c r="AL2" s="280" t="str">
        <v/>
      </c>
      <c r="AM2" s="280" t="str">
        <v/>
      </c>
      <c r="AN2" s="280" t="str">
        <v/>
      </c>
      <c r="AO2" s="280" t="str">
        <v/>
      </c>
      <c r="AP2" s="280" t="str">
        <v/>
      </c>
      <c r="AQ2" s="280" t="str">
        <v/>
      </c>
      <c r="AR2" s="280">
        <v>0</v>
      </c>
      <c r="AS2" s="280">
        <v>1</v>
      </c>
      <c r="AT2" s="280" t="str">
        <v/>
      </c>
      <c r="AU2" s="280" t="str">
        <v/>
      </c>
      <c r="AV2" s="280" t="str">
        <v/>
      </c>
      <c r="AW2" s="280" t="str">
        <v/>
      </c>
      <c r="AX2" s="280" t="str">
        <v/>
      </c>
      <c r="AY2" s="280" t="str">
        <v/>
      </c>
      <c r="AZ2" s="280">
        <v>0</v>
      </c>
      <c r="BA2" s="280">
        <v>0</v>
      </c>
      <c r="BB2" s="280" t="str">
        <v/>
      </c>
      <c r="BC2" s="280" t="str">
        <v/>
      </c>
      <c r="BD2" s="280" t="str">
        <v/>
      </c>
      <c r="BE2" s="280" t="str">
        <v/>
      </c>
      <c r="BF2" s="280" t="str">
        <v/>
      </c>
      <c r="BG2" s="280" t="str">
        <v/>
      </c>
      <c r="BH2" s="280">
        <v>96.4</v>
      </c>
      <c r="BI2" s="280">
        <v>12.2</v>
      </c>
      <c r="BJ2" s="280">
        <v>12.7</v>
      </c>
      <c r="BK2" s="280">
        <v>126</v>
      </c>
    </row>
    <row r="3" spans="1:63" x14ac:dyDescent="0.2">
      <c r="A3" s="280" t="s">
        <v>1309</v>
      </c>
      <c r="B3" s="280" t="s">
        <v>1310</v>
      </c>
      <c r="C3" s="280" t="s">
        <v>1310</v>
      </c>
      <c r="D3" s="280" t="s">
        <v>1311</v>
      </c>
      <c r="E3" s="280">
        <v>96.4</v>
      </c>
      <c r="F3" s="280">
        <v>12.2</v>
      </c>
      <c r="G3" s="280">
        <v>12.7</v>
      </c>
      <c r="H3" s="280">
        <v>126</v>
      </c>
      <c r="I3" s="280" t="s">
        <v>1312</v>
      </c>
      <c r="J3" s="280">
        <v>2</v>
      </c>
      <c r="K3" s="280" t="s">
        <v>0</v>
      </c>
      <c r="L3" s="280">
        <v>148</v>
      </c>
      <c r="M3" s="280" t="s">
        <v>1313</v>
      </c>
      <c r="N3" s="280">
        <v>4</v>
      </c>
      <c r="O3" s="280">
        <v>-2</v>
      </c>
      <c r="Q3" s="280" t="str">
        <v>ALCATEL LUCENT</v>
      </c>
      <c r="R3" s="280" t="str">
        <v>3JR52703AAAA</v>
      </c>
      <c r="S3" s="280" t="str">
        <v>Proposed</v>
      </c>
      <c r="T3" s="280" t="str">
        <v>Antenna</v>
      </c>
      <c r="U3" s="280" t="str">
        <v>Flat</v>
      </c>
      <c r="V3" s="280">
        <v>2</v>
      </c>
      <c r="W3" s="280">
        <v>-2</v>
      </c>
      <c r="X3" s="280">
        <v>0</v>
      </c>
      <c r="Y3" s="280">
        <v>8</v>
      </c>
      <c r="Z3" s="280">
        <v>1</v>
      </c>
      <c r="AA3" s="280">
        <v>1</v>
      </c>
      <c r="AB3" s="280">
        <v>0</v>
      </c>
      <c r="AC3" s="280">
        <v>2</v>
      </c>
      <c r="AD3" s="280" t="str">
        <v/>
      </c>
      <c r="AE3" s="280" t="str">
        <v/>
      </c>
      <c r="AF3" s="280" t="str">
        <v/>
      </c>
      <c r="AG3" s="280" t="str">
        <v/>
      </c>
      <c r="AH3" s="280" t="str">
        <v/>
      </c>
      <c r="AI3" s="280" t="str">
        <v/>
      </c>
      <c r="AJ3" s="280">
        <v>0</v>
      </c>
      <c r="AK3" s="280">
        <v>2</v>
      </c>
      <c r="AL3" s="280" t="str">
        <v/>
      </c>
      <c r="AM3" s="280" t="str">
        <v/>
      </c>
      <c r="AN3" s="280" t="str">
        <v/>
      </c>
      <c r="AO3" s="280" t="str">
        <v/>
      </c>
      <c r="AP3" s="280" t="str">
        <v/>
      </c>
      <c r="AQ3" s="280" t="str">
        <v/>
      </c>
      <c r="AR3" s="280">
        <v>0</v>
      </c>
      <c r="AS3" s="280">
        <v>1</v>
      </c>
      <c r="AT3" s="280" t="str">
        <v/>
      </c>
      <c r="AU3" s="280" t="str">
        <v/>
      </c>
      <c r="AV3" s="280" t="str">
        <v/>
      </c>
      <c r="AW3" s="280" t="str">
        <v/>
      </c>
      <c r="AX3" s="280" t="str">
        <v/>
      </c>
      <c r="AY3" s="280" t="str">
        <v/>
      </c>
      <c r="AZ3" s="280">
        <v>0</v>
      </c>
      <c r="BA3" s="280">
        <v>0</v>
      </c>
      <c r="BB3" s="280" t="str">
        <v/>
      </c>
      <c r="BC3" s="280" t="str">
        <v/>
      </c>
      <c r="BD3" s="280" t="str">
        <v/>
      </c>
      <c r="BE3" s="280" t="str">
        <v/>
      </c>
      <c r="BF3" s="280" t="str">
        <v/>
      </c>
      <c r="BG3" s="280" t="str">
        <v/>
      </c>
      <c r="BH3" s="280">
        <v>96.4</v>
      </c>
      <c r="BI3" s="280">
        <v>12.2</v>
      </c>
      <c r="BJ3" s="280">
        <v>12.7</v>
      </c>
      <c r="BK3" s="280">
        <v>126</v>
      </c>
    </row>
    <row r="4" spans="1:63" x14ac:dyDescent="0.2">
      <c r="A4" s="280" t="s">
        <v>1309</v>
      </c>
      <c r="B4" s="280" t="s">
        <v>1310</v>
      </c>
      <c r="C4" s="280" t="s">
        <v>1310</v>
      </c>
      <c r="D4" s="280" t="s">
        <v>1311</v>
      </c>
      <c r="E4" s="280">
        <v>96.4</v>
      </c>
      <c r="F4" s="280">
        <v>12.2</v>
      </c>
      <c r="G4" s="280">
        <v>12.7</v>
      </c>
      <c r="H4" s="280">
        <v>126</v>
      </c>
      <c r="I4" s="280" t="s">
        <v>1312</v>
      </c>
      <c r="J4" s="280">
        <v>1</v>
      </c>
      <c r="K4" s="280" t="s">
        <v>136</v>
      </c>
      <c r="L4" s="280">
        <v>148</v>
      </c>
      <c r="M4" s="280" t="s">
        <v>1313</v>
      </c>
      <c r="N4" s="280">
        <v>4</v>
      </c>
      <c r="O4" s="280">
        <v>-2</v>
      </c>
      <c r="Q4" s="280">
        <v>0</v>
      </c>
      <c r="R4" s="280">
        <v>0</v>
      </c>
      <c r="S4" s="280" t="str">
        <v>Proposed</v>
      </c>
      <c r="T4" s="280" t="str">
        <v>Other</v>
      </c>
      <c r="U4" s="280" t="str">
        <v>Generic</v>
      </c>
      <c r="V4" s="280" t="str">
        <v/>
      </c>
      <c r="W4" s="280">
        <v>0</v>
      </c>
      <c r="X4" s="280" t="str">
        <v/>
      </c>
      <c r="Y4" s="280" t="str">
        <v/>
      </c>
      <c r="Z4" s="280" t="str">
        <v/>
      </c>
      <c r="AA4" s="280" t="str">
        <v/>
      </c>
      <c r="AB4" s="280" t="str">
        <v/>
      </c>
      <c r="AC4" s="280">
        <v>0</v>
      </c>
      <c r="AD4" s="280" t="str">
        <v/>
      </c>
      <c r="AE4" s="280" t="str">
        <v/>
      </c>
      <c r="AF4" s="280" t="str">
        <v/>
      </c>
      <c r="AG4" s="280" t="str">
        <v/>
      </c>
      <c r="AH4" s="280" t="str">
        <v/>
      </c>
      <c r="AI4" s="280" t="str">
        <v/>
      </c>
      <c r="AJ4" s="280" t="str">
        <v/>
      </c>
      <c r="AK4" s="280">
        <v>0</v>
      </c>
      <c r="AL4" s="280" t="str">
        <v/>
      </c>
      <c r="AM4" s="280" t="str">
        <v/>
      </c>
      <c r="AN4" s="280" t="str">
        <v/>
      </c>
      <c r="AO4" s="280" t="str">
        <v/>
      </c>
      <c r="AP4" s="280" t="str">
        <v/>
      </c>
      <c r="AQ4" s="280" t="str">
        <v/>
      </c>
      <c r="AR4" s="280" t="str">
        <v/>
      </c>
      <c r="AS4" s="280">
        <v>0</v>
      </c>
      <c r="AT4" s="280" t="str">
        <v/>
      </c>
      <c r="AU4" s="280" t="str">
        <v/>
      </c>
      <c r="AV4" s="280" t="str">
        <v/>
      </c>
      <c r="AW4" s="280" t="str">
        <v/>
      </c>
      <c r="AX4" s="280" t="str">
        <v/>
      </c>
      <c r="AY4" s="280" t="str">
        <v/>
      </c>
      <c r="AZ4" s="280" t="str">
        <v/>
      </c>
      <c r="BA4" s="280">
        <v>0</v>
      </c>
      <c r="BB4" s="280" t="str">
        <v/>
      </c>
      <c r="BC4" s="280" t="str">
        <v/>
      </c>
      <c r="BD4" s="280" t="str">
        <v/>
      </c>
      <c r="BE4" s="280" t="str">
        <v/>
      </c>
      <c r="BF4" s="280" t="str">
        <v/>
      </c>
      <c r="BG4" s="280" t="str">
        <v/>
      </c>
      <c r="BH4" s="280">
        <v>0</v>
      </c>
      <c r="BI4" s="280">
        <v>0</v>
      </c>
      <c r="BJ4" s="280">
        <v>0</v>
      </c>
      <c r="BK4" s="280">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04796-2F0A-4CE5-89AD-4AD574238936}">
  <sheetPr codeName="Sheet15">
    <tabColor theme="3"/>
  </sheetPr>
  <dimension ref="A1:L1"/>
  <sheetViews>
    <sheetView workbookViewId="0">
      <selection activeCell="E2" sqref="E2"/>
    </sheetView>
  </sheetViews>
  <sheetFormatPr defaultRowHeight="11.25" x14ac:dyDescent="0.2"/>
  <cols>
    <col min="1" max="1" width="10.42578125" style="280" bestFit="1" customWidth="1"/>
    <col min="2" max="3" width="11.5703125" style="280" bestFit="1" customWidth="1"/>
    <col min="4" max="4" width="7.140625" style="280" bestFit="1" customWidth="1"/>
    <col min="5" max="5" width="5.42578125" style="280" bestFit="1" customWidth="1"/>
    <col min="6" max="6" width="4.28515625" style="280" bestFit="1" customWidth="1"/>
    <col min="7" max="7" width="9.42578125" style="280" bestFit="1" customWidth="1"/>
    <col min="8" max="8" width="9" style="280" bestFit="1" customWidth="1"/>
    <col min="9" max="9" width="14" style="280" bestFit="1" customWidth="1"/>
    <col min="10" max="10" width="11.7109375" style="280" bestFit="1" customWidth="1"/>
    <col min="11" max="11" width="14.42578125" style="280" bestFit="1" customWidth="1"/>
    <col min="12" max="12" width="14.140625" style="280" bestFit="1" customWidth="1"/>
    <col min="13" max="16384" width="9.140625" style="280"/>
  </cols>
  <sheetData>
    <row r="1" spans="1:12" s="279" customFormat="1" x14ac:dyDescent="0.2">
      <c r="A1" s="279" t="s">
        <v>1292</v>
      </c>
      <c r="B1" s="279" t="s">
        <v>1293</v>
      </c>
      <c r="C1" s="279" t="s">
        <v>1294</v>
      </c>
      <c r="D1" s="279" t="s">
        <v>1296</v>
      </c>
      <c r="E1" s="279" t="s">
        <v>1297</v>
      </c>
      <c r="F1" s="279" t="s">
        <v>1304</v>
      </c>
      <c r="G1" s="279" t="s">
        <v>1299</v>
      </c>
      <c r="H1" s="279" t="s">
        <v>1306</v>
      </c>
      <c r="I1" s="279" t="s">
        <v>1307</v>
      </c>
      <c r="J1" s="279" t="s">
        <v>1308</v>
      </c>
      <c r="K1" s="279" t="s">
        <v>1314</v>
      </c>
      <c r="L1" s="279" t="s">
        <v>1315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6BCCB-089B-4A15-A224-427F125E3086}">
  <sheetPr codeName="Sheet5">
    <tabColor theme="8"/>
  </sheetPr>
  <dimension ref="A1"/>
  <sheetViews>
    <sheetView workbookViewId="0">
      <selection activeCell="A2" sqref="A2"/>
    </sheetView>
  </sheetViews>
  <sheetFormatPr defaultRowHeight="12.75" x14ac:dyDescent="0.2"/>
  <cols>
    <col min="1" max="16384" width="9.140625" style="282"/>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2B205-6AA9-4108-B632-287B8E8CC2F3}">
  <sheetPr codeName="Sheet6">
    <tabColor theme="8"/>
  </sheetPr>
  <dimension ref="A1:CR4"/>
  <sheetViews>
    <sheetView workbookViewId="0">
      <selection activeCell="A2" sqref="A2"/>
    </sheetView>
  </sheetViews>
  <sheetFormatPr defaultRowHeight="12.75" x14ac:dyDescent="0.2"/>
  <cols>
    <col min="1" max="1" width="25.85546875" style="280" bestFit="1" customWidth="1"/>
    <col min="2" max="3" width="17.42578125" style="280" bestFit="1" customWidth="1"/>
    <col min="4" max="4" width="7.7109375" style="280" bestFit="1" customWidth="1"/>
    <col min="5" max="5" width="5.28515625" style="280" customWidth="1"/>
    <col min="6" max="6" width="5.7109375" style="280" bestFit="1" customWidth="1"/>
    <col min="7" max="7" width="5.28515625" style="280" bestFit="1" customWidth="1"/>
    <col min="8" max="8" width="8.140625" style="280" bestFit="1" customWidth="1"/>
    <col min="9" max="9" width="7.42578125" style="280" bestFit="1" customWidth="1"/>
    <col min="10" max="10" width="6.42578125" style="280" bestFit="1" customWidth="1"/>
    <col min="11" max="11" width="5.7109375" style="280" bestFit="1" customWidth="1"/>
    <col min="12" max="12" width="8.42578125" style="280" bestFit="1" customWidth="1"/>
    <col min="13" max="13" width="7.85546875" style="280" bestFit="1" customWidth="1"/>
    <col min="14" max="14" width="11.7109375" style="280" bestFit="1" customWidth="1"/>
    <col min="15" max="15" width="9.85546875" style="280" bestFit="1" customWidth="1"/>
    <col min="16" max="16" width="2.7109375" style="280" customWidth="1"/>
    <col min="97" max="16384" width="9.140625" style="280"/>
  </cols>
  <sheetData>
    <row r="1" spans="1:15" x14ac:dyDescent="0.2">
      <c r="A1" s="283" t="s">
        <v>1292</v>
      </c>
      <c r="B1" s="283" t="s">
        <v>1293</v>
      </c>
      <c r="C1" s="283" t="s">
        <v>1294</v>
      </c>
      <c r="D1" s="283" t="s">
        <v>1295</v>
      </c>
      <c r="E1" s="283" t="s">
        <v>1301</v>
      </c>
      <c r="F1" s="283" t="s">
        <v>1302</v>
      </c>
      <c r="G1" s="283" t="s">
        <v>1303</v>
      </c>
      <c r="H1" s="283" t="s">
        <v>1299</v>
      </c>
      <c r="I1" s="283" t="s">
        <v>1296</v>
      </c>
      <c r="J1" s="283" t="s">
        <v>1297</v>
      </c>
      <c r="K1" s="283" t="s">
        <v>1304</v>
      </c>
      <c r="L1" s="283" t="s">
        <v>1305</v>
      </c>
      <c r="M1" s="283" t="s">
        <v>1306</v>
      </c>
      <c r="N1" s="283" t="s">
        <v>1307</v>
      </c>
      <c r="O1" s="283" t="s">
        <v>1308</v>
      </c>
    </row>
    <row r="2" spans="1:15" x14ac:dyDescent="0.2">
      <c r="A2" s="280" t="e" cm="1" vm="6">
        <f t="array" ref="A2">_xlfn._xlws.FILTER(DiscreteLoadParse!A:A,(DiscreteLoadParse!$A:$A&lt;&gt;0)*(DiscreteLoadParse!A:A&lt;&gt;DiscreteLoadParse!A1))</f>
        <v>#VALUE!</v>
      </c>
      <c r="B2" s="280" t="e" cm="1" vm="6">
        <f t="array" ref="B2">_xlfn._xlws.FILTER(DiscreteLoadParse!B:B,(DiscreteLoadParse!$A:$A&lt;&gt;0)*(DiscreteLoadParse!B:B&lt;&gt;DiscreteLoadParse!B1))</f>
        <v>#VALUE!</v>
      </c>
      <c r="C2" s="280" t="e" cm="1" vm="6">
        <f t="array" ref="C2">_xlfn._xlws.FILTER(DiscreteLoadParse!C:C,(DiscreteLoadParse!$A:$A&lt;&gt;0)*(DiscreteLoadParse!C:C&lt;&gt;DiscreteLoadParse!C1))</f>
        <v>#VALUE!</v>
      </c>
      <c r="D2" s="280" t="e" cm="1" vm="6">
        <f t="array" ref="D2">_xlfn._xlws.FILTER(DiscreteLoadParse!D:D,(DiscreteLoadParse!$A:$A&lt;&gt;0)*(DiscreteLoadParse!D:D&lt;&gt;DiscreteLoadParse!D1))</f>
        <v>#VALUE!</v>
      </c>
      <c r="E2" s="280" t="e" cm="1" vm="6">
        <f t="array" ref="E2">_xlfn._xlws.FILTER(DiscreteLoadParse!E:E,(DiscreteLoadParse!$A:$A&lt;&gt;0)*(DiscreteLoadParse!E:E&lt;&gt;DiscreteLoadParse!E1))</f>
        <v>#VALUE!</v>
      </c>
      <c r="F2" s="280" t="e" cm="1" vm="6">
        <f t="array" ref="F2">_xlfn._xlws.FILTER(DiscreteLoadParse!F:F,(DiscreteLoadParse!$A:$A&lt;&gt;0)*(DiscreteLoadParse!F:F&lt;&gt;DiscreteLoadParse!F1))</f>
        <v>#VALUE!</v>
      </c>
      <c r="G2" s="280" t="e" cm="1" vm="6">
        <f t="array" ref="G2">_xlfn._xlws.FILTER(DiscreteLoadParse!G:G,(DiscreteLoadParse!$A:$A&lt;&gt;0)*(DiscreteLoadParse!G:G&lt;&gt;DiscreteLoadParse!G1))</f>
        <v>#VALUE!</v>
      </c>
      <c r="H2" s="280" t="e" cm="1" vm="6">
        <f t="array" ref="H2">_xlfn._xlws.FILTER(DiscreteLoadParse!H:H,(DiscreteLoadParse!$A:$A&lt;&gt;0)*(DiscreteLoadParse!H:H&lt;&gt;DiscreteLoadParse!H1))</f>
        <v>#VALUE!</v>
      </c>
      <c r="I2" s="280" t="e" cm="1" vm="6">
        <f t="array" ref="I2">_xlfn._xlws.FILTER(DiscreteLoadParse!I:I,(DiscreteLoadParse!$A:$A&lt;&gt;0)*(DiscreteLoadParse!I:I&lt;&gt;DiscreteLoadParse!I1))</f>
        <v>#VALUE!</v>
      </c>
      <c r="J2" s="280" t="e" cm="1" vm="6">
        <f t="array" ref="J2">_xlfn._xlws.FILTER(DiscreteLoadParse!J:J,(DiscreteLoadParse!$A:$A&lt;&gt;0)*(DiscreteLoadParse!J:J&lt;&gt;DiscreteLoadParse!J1))</f>
        <v>#VALUE!</v>
      </c>
      <c r="K2" s="280" t="e" cm="1" vm="6">
        <f t="array" ref="K2">_xlfn._xlws.FILTER(DiscreteLoadParse!K:K,(DiscreteLoadParse!$A:$A&lt;&gt;0)*(DiscreteLoadParse!K:K&lt;&gt;DiscreteLoadParse!K1))</f>
        <v>#VALUE!</v>
      </c>
      <c r="L2" s="280" t="e" cm="1" vm="6">
        <f t="array" ref="L2">_xlfn._xlws.FILTER(DiscreteLoadParse!L:L,(DiscreteLoadParse!$A:$A&lt;&gt;0)*(DiscreteLoadParse!L:L&lt;&gt;DiscreteLoadParse!L1))</f>
        <v>#VALUE!</v>
      </c>
      <c r="M2" s="280" t="e" cm="1" vm="6">
        <f t="array" ref="M2">_xlfn._xlws.FILTER(DiscreteLoadParse!M:M,(DiscreteLoadParse!$A:$A&lt;&gt;0)*(DiscreteLoadParse!M:M&lt;&gt;DiscreteLoadParse!M1))</f>
        <v>#VALUE!</v>
      </c>
      <c r="N2" s="280" t="e" cm="1" vm="6">
        <f t="array" ref="N2">_xlfn._xlws.FILTER(DiscreteLoadParse!N:N,(DiscreteLoadParse!$A:$A&lt;&gt;0)*(DiscreteLoadParse!N:N&lt;&gt;DiscreteLoadParse!N1))</f>
        <v>#VALUE!</v>
      </c>
      <c r="O2" s="280" t="e" cm="1" vm="6">
        <f t="array" ref="O2">_xlfn._xlws.FILTER(DiscreteLoadParse!O:O,(DiscreteLoadParse!$A:$A&lt;&gt;0)*(DiscreteLoadParse!O:O&lt;&gt;DiscreteLoadParse!O1))</f>
        <v>#VALUE!</v>
      </c>
    </row>
    <row r="3" spans="1:15" x14ac:dyDescent="0.2">
      <c r="B3" s="284"/>
    </row>
    <row r="4" spans="1:15" x14ac:dyDescent="0.2">
      <c r="B4" s="284"/>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A11B07D6-EF95-43E0-9281-DA95C710C6D2}">
            <xm:f>IF(DiscreteLoadParse!$A3="Removed",TRUE,FALSE)</xm:f>
            <x14:dxf>
              <font>
                <b val="0"/>
                <i/>
                <color theme="3"/>
              </font>
            </x14:dxf>
          </x14:cfRule>
          <x14:cfRule type="expression" priority="2" id="{2195E7D8-B738-4F1F-A753-80A80AECD82D}">
            <xm:f>IF(DiscreteLoadParse!$A3="Proposed",TRUE,FALSE)</xm:f>
            <x14:dxf>
              <font>
                <b/>
                <i val="0"/>
              </font>
            </x14:dxf>
          </x14:cfRule>
          <xm:sqref>B3:B4</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E0E51-484A-401C-867C-6B5784041091}">
  <sheetPr codeName="Sheet11">
    <tabColor theme="8"/>
  </sheetPr>
  <dimension ref="A1:BZ4"/>
  <sheetViews>
    <sheetView workbookViewId="0">
      <selection activeCell="E2" sqref="E2"/>
    </sheetView>
  </sheetViews>
  <sheetFormatPr defaultRowHeight="12.75" x14ac:dyDescent="0.2"/>
  <cols>
    <col min="1" max="1" width="25.85546875" style="280" bestFit="1" customWidth="1"/>
    <col min="2" max="3" width="17.42578125" style="280" bestFit="1" customWidth="1"/>
    <col min="4" max="4" width="7.7109375" style="280" bestFit="1" customWidth="1"/>
    <col min="5" max="5" width="5.28515625" style="280" customWidth="1"/>
    <col min="6" max="6" width="5.7109375" style="280" bestFit="1" customWidth="1"/>
    <col min="7" max="7" width="8.140625" style="280" bestFit="1" customWidth="1"/>
    <col min="8" max="8" width="7.85546875" style="280" bestFit="1" customWidth="1"/>
    <col min="9" max="9" width="11.5703125" style="280" bestFit="1" customWidth="1"/>
    <col min="10" max="10" width="9.85546875" style="280" bestFit="1" customWidth="1"/>
    <col min="11" max="11" width="12.5703125" style="280" bestFit="1" customWidth="1"/>
    <col min="12" max="12" width="12.28515625" style="280" customWidth="1"/>
    <col min="13" max="13" width="2.7109375" style="280" customWidth="1"/>
    <col min="78" max="78" width="2.7109375" style="280" customWidth="1"/>
    <col min="79" max="16384" width="9.140625" style="280"/>
  </cols>
  <sheetData>
    <row r="1" spans="1:78" x14ac:dyDescent="0.2">
      <c r="A1" s="283" t="s">
        <v>1292</v>
      </c>
      <c r="B1" s="283" t="s">
        <v>1293</v>
      </c>
      <c r="C1" s="283" t="s">
        <v>1294</v>
      </c>
      <c r="D1" s="283" t="s">
        <v>1296</v>
      </c>
      <c r="E1" s="283" t="s">
        <v>1297</v>
      </c>
      <c r="F1" s="283" t="s">
        <v>1304</v>
      </c>
      <c r="G1" s="283" t="s">
        <v>1299</v>
      </c>
      <c r="H1" s="283" t="s">
        <v>1306</v>
      </c>
      <c r="I1" s="283" t="s">
        <v>1307</v>
      </c>
      <c r="J1" s="283" t="s">
        <v>1308</v>
      </c>
      <c r="K1" s="283" t="s">
        <v>1314</v>
      </c>
      <c r="L1" s="283" t="s">
        <v>1315</v>
      </c>
      <c r="M1" s="283"/>
      <c r="BZ1" s="283"/>
    </row>
    <row r="2" spans="1:78" x14ac:dyDescent="0.2">
      <c r="A2" s="280" cm="1">
        <f t="array" ref="A2">IFERROR(_xlfn._xlws.FILTER(DishParse!A:A,(DishParse!$A:$A&lt;&gt;0)*(DishParse!A:A&lt;&gt;DishParse!A1)),0)</f>
        <v>0</v>
      </c>
      <c r="B2" s="280" t="e" cm="1" vm="6">
        <f t="array" ref="B2">_xlfn._xlws.FILTER(DishParse!B:B,(DishParse!$A:$A&lt;&gt;0)*(DishParse!B:B&lt;&gt;DishParse!B1))</f>
        <v>#VALUE!</v>
      </c>
      <c r="C2" s="280" t="e" cm="1" vm="6">
        <f t="array" ref="C2">_xlfn._xlws.FILTER(DishParse!C:C,(DishParse!$A:$A&lt;&gt;0)*(DishParse!C:C&lt;&gt;DishParse!C1))</f>
        <v>#VALUE!</v>
      </c>
      <c r="D2" s="280" t="e" cm="1" vm="6">
        <f t="array" ref="D2">_xlfn._xlws.FILTER(DishParse!D:D,(DishParse!$A:$A&lt;&gt;0)*(DishParse!D:D&lt;&gt;DishParse!D1))</f>
        <v>#VALUE!</v>
      </c>
      <c r="E2" s="280" t="e" cm="1" vm="6">
        <f t="array" ref="E2">_xlfn._xlws.FILTER(DishParse!E:E,(DishParse!$A:$A&lt;&gt;0)*(DishParse!E:E&lt;&gt;DishParse!E1))</f>
        <v>#VALUE!</v>
      </c>
      <c r="F2" s="280" t="e" cm="1" vm="6">
        <f t="array" ref="F2">_xlfn._xlws.FILTER(DishParse!F:F,(DishParse!$A:$A&lt;&gt;0)*(DishParse!F:F&lt;&gt;DishParse!F1))</f>
        <v>#VALUE!</v>
      </c>
      <c r="G2" s="280" t="e" cm="1" vm="6">
        <f t="array" ref="G2">_xlfn._xlws.FILTER(DishParse!G:G,(DishParse!$A:$A&lt;&gt;0)*(DishParse!G:G&lt;&gt;DishParse!G1))</f>
        <v>#VALUE!</v>
      </c>
      <c r="H2" s="280" t="e" cm="1" vm="6">
        <f t="array" ref="H2">_xlfn._xlws.FILTER(DishParse!H:H,(DishParse!$A:$A&lt;&gt;0)*(DishParse!H:H&lt;&gt;DishParse!H1))</f>
        <v>#VALUE!</v>
      </c>
      <c r="I2" s="280" t="e" cm="1" vm="6">
        <f t="array" ref="I2">_xlfn._xlws.FILTER(DishParse!I:I,(DishParse!$A:$A&lt;&gt;0)*(DishParse!I:I&lt;&gt;DishParse!I1))</f>
        <v>#VALUE!</v>
      </c>
      <c r="J2" s="280" t="e" cm="1" vm="6">
        <f t="array" ref="J2">_xlfn._xlws.FILTER(DishParse!J:J,(DishParse!$A:$A&lt;&gt;0)*(DishParse!J:J&lt;&gt;DishParse!J1))</f>
        <v>#VALUE!</v>
      </c>
      <c r="K2" s="280" t="e" cm="1" vm="6">
        <f t="array" ref="K2">_xlfn._xlws.FILTER(DishParse!K:K,(DishParse!$A:$A&lt;&gt;0)*(DishParse!K:K&lt;&gt;DishParse!K1))</f>
        <v>#VALUE!</v>
      </c>
      <c r="L2" s="280" t="e" cm="1" vm="6">
        <f t="array" ref="L2">_xlfn._xlws.FILTER(DishParse!L:L,(DishParse!$A:$A&lt;&gt;0)*(DishParse!L:L&lt;&gt;DishParse!L1))</f>
        <v>#VALUE!</v>
      </c>
    </row>
    <row r="3" spans="1:78" x14ac:dyDescent="0.2">
      <c r="B3" s="285"/>
    </row>
    <row r="4" spans="1:78" x14ac:dyDescent="0.2">
      <c r="B4" s="28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A76C6475-8802-4D12-97D8-9532487C022B}">
            <xm:f>IF(DishParse!$A3="Removed",TRUE,FALSE)</xm:f>
            <x14:dxf>
              <font>
                <b val="0"/>
                <i/>
                <color theme="3"/>
              </font>
            </x14:dxf>
          </x14:cfRule>
          <x14:cfRule type="expression" priority="2" id="{85233726-2592-4FF7-B5EE-6DC5553C8DE4}">
            <xm:f>IF(DishParse!$A3="Proposed",TRUE,FALSE)</xm:f>
            <x14:dxf>
              <font>
                <b/>
                <i val="0"/>
              </font>
            </x14:dxf>
          </x14:cfRule>
          <xm:sqref>B3:B4</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844C1-DC51-4931-9073-C6A9D924FC31}">
  <sheetPr codeName="Sheet8"/>
  <dimension ref="A1:CB6"/>
  <sheetViews>
    <sheetView workbookViewId="0">
      <selection activeCell="A2" sqref="A2"/>
    </sheetView>
  </sheetViews>
  <sheetFormatPr defaultRowHeight="12.75" x14ac:dyDescent="0.2"/>
  <cols>
    <col min="1" max="1" width="25.85546875" style="280" bestFit="1" customWidth="1"/>
    <col min="2" max="3" width="17.42578125" style="280" bestFit="1" customWidth="1"/>
    <col min="4" max="4" width="7.7109375" style="280" bestFit="1" customWidth="1"/>
    <col min="5" max="5" width="5.28515625" style="280" customWidth="1"/>
    <col min="6" max="6" width="5.7109375" style="280" bestFit="1" customWidth="1"/>
    <col min="7" max="7" width="5.28515625" style="280" bestFit="1" customWidth="1"/>
    <col min="8" max="8" width="8.140625" style="280" bestFit="1" customWidth="1"/>
    <col min="9" max="9" width="7.42578125" style="280" bestFit="1" customWidth="1"/>
    <col min="10" max="10" width="6.42578125" style="280" bestFit="1" customWidth="1"/>
    <col min="11" max="11" width="5.7109375" style="280" bestFit="1" customWidth="1"/>
    <col min="12" max="12" width="8.42578125" style="280" bestFit="1" customWidth="1"/>
    <col min="13" max="13" width="7.85546875" style="280" bestFit="1" customWidth="1"/>
    <col min="14" max="14" width="11.7109375" style="280" bestFit="1" customWidth="1"/>
    <col min="15" max="15" width="9.85546875" style="280" bestFit="1" customWidth="1"/>
    <col min="16" max="16" width="2.7109375" style="280" customWidth="1"/>
    <col min="17" max="31" width="5.7109375" style="280" customWidth="1"/>
    <col min="32" max="32" width="2.7109375" style="280" customWidth="1"/>
    <col min="33" max="47" width="5.7109375" style="280" customWidth="1"/>
    <col min="48" max="48" width="2.7109375" style="280" customWidth="1"/>
    <col min="49" max="63" width="5.7109375" style="280" customWidth="1"/>
    <col min="64" max="64" width="2.7109375" style="280" customWidth="1"/>
    <col min="65" max="79" width="5.7109375" style="280" customWidth="1"/>
    <col min="80" max="80" width="2.7109375" style="280" customWidth="1"/>
  </cols>
  <sheetData>
    <row r="1" spans="1:79" x14ac:dyDescent="0.2">
      <c r="A1" s="283" t="s">
        <v>1292</v>
      </c>
      <c r="B1" s="283" t="s">
        <v>1293</v>
      </c>
      <c r="C1" s="283" t="s">
        <v>1294</v>
      </c>
      <c r="D1" s="283" t="s">
        <v>1295</v>
      </c>
      <c r="E1" s="283" t="s">
        <v>1301</v>
      </c>
      <c r="F1" s="283" t="s">
        <v>1302</v>
      </c>
      <c r="G1" s="283" t="s">
        <v>1303</v>
      </c>
      <c r="H1" s="283" t="s">
        <v>1299</v>
      </c>
      <c r="I1" s="283" t="s">
        <v>1296</v>
      </c>
      <c r="J1" s="283" t="s">
        <v>1297</v>
      </c>
      <c r="K1" s="283" t="s">
        <v>1304</v>
      </c>
      <c r="L1" s="283" t="s">
        <v>1305</v>
      </c>
      <c r="M1" s="283" t="s">
        <v>1306</v>
      </c>
      <c r="N1" s="283" t="s">
        <v>1307</v>
      </c>
      <c r="O1" s="283" t="s">
        <v>1308</v>
      </c>
      <c r="Q1" s="283" t="s">
        <v>1292</v>
      </c>
      <c r="R1" s="283" t="s">
        <v>1293</v>
      </c>
      <c r="S1" s="283" t="s">
        <v>1294</v>
      </c>
      <c r="T1" s="283" t="s">
        <v>1295</v>
      </c>
      <c r="U1" s="283" t="s">
        <v>1301</v>
      </c>
      <c r="V1" s="283" t="s">
        <v>1302</v>
      </c>
      <c r="W1" s="283" t="s">
        <v>1303</v>
      </c>
      <c r="X1" s="283" t="s">
        <v>1299</v>
      </c>
      <c r="Y1" s="283" t="s">
        <v>1296</v>
      </c>
      <c r="Z1" s="283" t="s">
        <v>1297</v>
      </c>
      <c r="AA1" s="283" t="s">
        <v>1304</v>
      </c>
      <c r="AB1" s="283" t="s">
        <v>1305</v>
      </c>
      <c r="AC1" s="283" t="s">
        <v>1306</v>
      </c>
      <c r="AD1" s="283" t="s">
        <v>1307</v>
      </c>
      <c r="AE1" s="283" t="s">
        <v>1308</v>
      </c>
      <c r="AG1" s="283" t="s">
        <v>1292</v>
      </c>
      <c r="AH1" s="283" t="s">
        <v>1293</v>
      </c>
      <c r="AI1" s="283" t="s">
        <v>1294</v>
      </c>
      <c r="AJ1" s="283" t="s">
        <v>1295</v>
      </c>
      <c r="AK1" s="283" t="s">
        <v>1301</v>
      </c>
      <c r="AL1" s="283" t="s">
        <v>1302</v>
      </c>
      <c r="AM1" s="283" t="s">
        <v>1303</v>
      </c>
      <c r="AN1" s="283" t="s">
        <v>1299</v>
      </c>
      <c r="AO1" s="283" t="s">
        <v>1296</v>
      </c>
      <c r="AP1" s="283" t="s">
        <v>1297</v>
      </c>
      <c r="AQ1" s="283" t="s">
        <v>1304</v>
      </c>
      <c r="AR1" s="283" t="s">
        <v>1305</v>
      </c>
      <c r="AS1" s="283" t="s">
        <v>1306</v>
      </c>
      <c r="AT1" s="283" t="s">
        <v>1307</v>
      </c>
      <c r="AU1" s="283" t="s">
        <v>1308</v>
      </c>
      <c r="AW1" s="283" t="s">
        <v>1292</v>
      </c>
      <c r="AX1" s="283" t="s">
        <v>1293</v>
      </c>
      <c r="AY1" s="283" t="s">
        <v>1294</v>
      </c>
      <c r="AZ1" s="283" t="s">
        <v>1295</v>
      </c>
      <c r="BA1" s="283" t="s">
        <v>1301</v>
      </c>
      <c r="BB1" s="283" t="s">
        <v>1302</v>
      </c>
      <c r="BC1" s="283" t="s">
        <v>1303</v>
      </c>
      <c r="BD1" s="283" t="s">
        <v>1299</v>
      </c>
      <c r="BE1" s="283" t="s">
        <v>1296</v>
      </c>
      <c r="BF1" s="283" t="s">
        <v>1297</v>
      </c>
      <c r="BG1" s="283" t="s">
        <v>1304</v>
      </c>
      <c r="BH1" s="283" t="s">
        <v>1305</v>
      </c>
      <c r="BI1" s="283" t="s">
        <v>1306</v>
      </c>
      <c r="BJ1" s="283" t="s">
        <v>1307</v>
      </c>
      <c r="BK1" s="283" t="s">
        <v>1308</v>
      </c>
      <c r="BM1" s="283" t="s">
        <v>1292</v>
      </c>
      <c r="BN1" s="283" t="s">
        <v>1293</v>
      </c>
      <c r="BO1" s="283" t="s">
        <v>1294</v>
      </c>
      <c r="BP1" s="283" t="s">
        <v>1295</v>
      </c>
      <c r="BQ1" s="283" t="s">
        <v>1301</v>
      </c>
      <c r="BR1" s="283" t="s">
        <v>1302</v>
      </c>
      <c r="BS1" s="283" t="s">
        <v>1303</v>
      </c>
      <c r="BT1" s="283" t="s">
        <v>1299</v>
      </c>
      <c r="BU1" s="283" t="s">
        <v>1296</v>
      </c>
      <c r="BV1" s="283" t="s">
        <v>1297</v>
      </c>
      <c r="BW1" s="283" t="s">
        <v>1304</v>
      </c>
      <c r="BX1" s="283" t="s">
        <v>1305</v>
      </c>
      <c r="BY1" s="283" t="s">
        <v>1306</v>
      </c>
      <c r="BZ1" s="283" t="s">
        <v>1307</v>
      </c>
      <c r="CA1" s="283" t="s">
        <v>1308</v>
      </c>
    </row>
    <row r="2" spans="1:79" ht="12.75" customHeight="1" x14ac:dyDescent="0.2">
      <c r="A2" s="289" cm="1">
        <f t="array" ref="A2:O6">_xlfn.VSTACK(_xlfn.ANCHORARRAY(Q2),_xlfn.ANCHORARRAY(AG2),_xlfn.ANCHORARRAY(AW2),_xlfn.ANCHORARRAY(BM2),IF(Meta!E18=FALSE,_xlfn.HSTACK(0,0,0,0,0,0,0,0,0,0,0,0,0,0,0),_xlfn.HSTACK("nb+c_mat_tower mounts",SUBSTITUTE(Meta!E21,"USName=",""),SUBSTITUTE(Meta!E22,"SIName=",""),"Generic",0,0,0,0,IF(Code!H21="Proposed","P","I"),1,"C",z,"None",0,0)))</f>
        <v>0</v>
      </c>
      <c r="B2" s="284">
        <v>0</v>
      </c>
      <c r="C2" s="280">
        <v>0</v>
      </c>
      <c r="D2" s="280">
        <v>0</v>
      </c>
      <c r="E2" s="280">
        <v>0</v>
      </c>
      <c r="F2" s="280">
        <v>0</v>
      </c>
      <c r="G2" s="280">
        <v>0</v>
      </c>
      <c r="H2" s="280">
        <v>0</v>
      </c>
      <c r="I2" s="280">
        <v>0</v>
      </c>
      <c r="J2" s="280">
        <v>0</v>
      </c>
      <c r="K2" s="280">
        <v>0</v>
      </c>
      <c r="L2" s="280">
        <v>0</v>
      </c>
      <c r="M2" s="280">
        <v>0</v>
      </c>
      <c r="N2" s="280">
        <v>0</v>
      </c>
      <c r="O2" s="280">
        <v>0</v>
      </c>
      <c r="Q2" s="290" cm="1">
        <f t="array" ref="Q2:AE2">_xlfn.LET(
_xlpm.modelRange,          Calculations_APPURT[Model],
_xlpm.qtyRange,            AlphaSector[Quantity],
_xlpm.elevation,           Calculations_APPURT[Vertical Offset]/12 + z,
_xlpm.mountHeight,          z,
_xlpm.status,              Calculations_APPURT[Condition],
_xlpm.nRows,                ROWS(_xlpm.modelRange),
_xlpm.nCols,                COLUMNS(_xlpm.qtyRange),
_xlpm.Total,                _xlpm.nRows * _xlpm.nCols,
_xlpm.rowIdx,               _xlfn.SEQUENCE(_xlpm.Total),
_xlpm.USNameRep,            INDEX(_xlpm.modelRange, ROUNDUP(_xlpm.rowIdx / _xlpm.nCols, 0)),
_xlpm.quantities,           _xlfn.TOCOL(_xlpm.qtyRange),
_xlpm.sectors,              {"A"},
_xlpm.sectorList,           IFERROR(INDEX(_xlpm.sectors, MOD(_xlpm.rowIdx - 1, _xlpm.nCols) + 1),"a"),
_xlpm.manufacturer,         _xlfn.XLOOKUP(_xlpm.USNameRep,Calculations_APPURT[Model],Calculations_APPURT[Manufacturer],"",0,1),
_xlpm.type,                 IF(_xlfn.XLOOKUP(_xlpm.USNameRep,Calculations_APPURT[Model],Calculations_APPURT[Shape],"",0,1)="Round","Cylindrical (Omni)",IF(_xlfn.XLOOKUP(_xlpm.USNameRep,Calculations_APPURT[Model],Calculations_APPURT[Type],"",0,1)="Dish","Dish","Flat Panel")),
_xlpm.height,               _xlfn.XLOOKUP(_xlpm.USNameRep,Calculations_APPURT[Model],Dimensions_APPURT[Height (in)],"",0,1),
_xlpm.width,                _xlfn.XLOOKUP(_xlpm.USNameRep,Calculations_APPURT[Model],Dimensions_APPURT[Width (in)],"",0,1),
_xlpm.depth,                _xlfn.XLOOKUP(_xlpm.USNameRep,Calculations_APPURT[Model],Dimensions_APPURT[Depth (in)],"",0,1),
_xlpm.selfWeight,           _xlfn.XLOOKUP(_xlpm.USNameRep,Calculations_APPURT[Model],Dimensions_APPURT[Weight (lbf)],"",0,1),
_xlpm.cciCode,              IF(INDEX(_xlpm.status, ROUNDUP(_xlpm.rowIdx / _xlpm.nCols, 0))="Proposed","P","I"),
_xlpm.startHeight,          INDEX(_xlpm.elevation, ROUNDUP(_xlpm.rowIdx / _xlpm.nCols, 0)),
_xlpm.offsetType,           _xlfn.BYROW(_xlpm.USNameRep,_xlfn.LAMBDA(_xlpm.r,"From Leg")),
_xlpm.horizontalOffset,     _xlfn.BYROW(_xlpm.USNameRep,_xlfn.LAMBDA(_xlpm.r,4)),
_xlpm.verticalOffset,      Calculations_APPURT[Vertical Offset]/12,
IFERROR(_xlfn._xlws.FILTER(_xlfn.HSTACK(_xlpm.manufacturer,_xlpm.USNameRep,_xlpm.USNameRep,_xlpm.type,_xlpm.height,_xlpm.width,_xlpm.depth,_xlpm.selfWeight,_xlpm.cciCode, _xlpm.quantities, _xlpm.sectorList,_xlpm.startHeight,_xlpm.offsetType,_xlpm.horizontalOffset,_xlpm.verticalOffset),(_xlpm.quantities&lt;&gt;"")*(_xlpm.type&lt;&gt;"Dish")),_xlfn.HSTACK(0,0,0,0,0,0,0,0,0,0,0,0,0,0,0)))</f>
        <v>0</v>
      </c>
      <c r="R2" s="280">
        <v>0</v>
      </c>
      <c r="S2" s="280">
        <v>0</v>
      </c>
      <c r="T2" s="280">
        <v>0</v>
      </c>
      <c r="U2" s="280">
        <v>0</v>
      </c>
      <c r="V2" s="280">
        <v>0</v>
      </c>
      <c r="W2" s="280">
        <v>0</v>
      </c>
      <c r="X2" s="280">
        <v>0</v>
      </c>
      <c r="Y2" s="280">
        <v>0</v>
      </c>
      <c r="Z2" s="280">
        <v>0</v>
      </c>
      <c r="AA2" s="280">
        <v>0</v>
      </c>
      <c r="AB2" s="280">
        <v>0</v>
      </c>
      <c r="AC2" s="280">
        <v>0</v>
      </c>
      <c r="AD2" s="280">
        <v>0</v>
      </c>
      <c r="AE2" s="280">
        <v>0</v>
      </c>
      <c r="AG2" s="290" cm="1">
        <f t="array" ref="AG2:AU2">_xlfn.LET(
_xlpm.modelRange,          Calculations_APPURT[Model],
_xlpm.qtyRange,            BetaSector[Quantity],
_xlpm.elevation,           Calculations_APPURT[Vertical Offset]/12 + z,
_xlpm.mountHeight,          z,
_xlpm.status,              Calculations_APPURT[Condition],
_xlpm.nRows,                ROWS(_xlpm.modelRange),
_xlpm.nCols,                COLUMNS(_xlpm.qtyRange),
_xlpm.Total,                _xlpm.nRows * _xlpm.nCols,
_xlpm.rowIdx,               _xlfn.SEQUENCE(_xlpm.Total),
_xlpm.USNameRep,            INDEX(_xlpm.modelRange, ROUNDUP(_xlpm.rowIdx / _xlpm.nCols, 0)),
_xlpm.quantities,           _xlfn.TOCOL(_xlpm.qtyRange),
_xlpm.sectors,              {"B"},
_xlpm.sectorList,           IFERROR(INDEX(_xlpm.sectors, MOD(_xlpm.rowIdx - 1, _xlpm.nCols) + 1),"a"),
_xlpm.manufacturer,         _xlfn.XLOOKUP(_xlpm.USNameRep,Calculations_APPURT[Model],Calculations_APPURT[Manufacturer],"",0,1),
_xlpm.type,                 IF(_xlfn.XLOOKUP(_xlpm.USNameRep,Calculations_APPURT[Model],Calculations_APPURT[Shape],"",0,1)="Round","Cylindrical (Omni)",IF(_xlfn.XLOOKUP(_xlpm.USNameRep,Calculations_APPURT[Model],Calculations_APPURT[Type],"",0,1)="Dish","Dish","Flat Panel")),
_xlpm.height,               _xlfn.XLOOKUP(_xlpm.USNameRep,Calculations_APPURT[Model],Dimensions_APPURT[Height (in)],"",0,1),
_xlpm.width,                _xlfn.XLOOKUP(_xlpm.USNameRep,Calculations_APPURT[Model],Dimensions_APPURT[Width (in)],"",0,1),
_xlpm.depth,                _xlfn.XLOOKUP(_xlpm.USNameRep,Calculations_APPURT[Model],Dimensions_APPURT[Depth (in)],"",0,1),
_xlpm.selfWeight,           _xlfn.XLOOKUP(_xlpm.USNameRep,Calculations_APPURT[Model],Dimensions_APPURT[Weight (lbf)],"",0,1),
_xlpm.cciCode,              IF(INDEX(_xlpm.status, ROUNDUP(_xlpm.rowIdx / _xlpm.nCols, 0))="Proposed","P","I"),
_xlpm.startHeight,          INDEX(_xlpm.elevation, ROUNDUP(_xlpm.rowIdx / _xlpm.nCols, 0)),
_xlpm.offsetType,           _xlfn.BYROW(_xlpm.USNameRep,_xlfn.LAMBDA(_xlpm.r,"From Leg")),
_xlpm.horizontalOffset,     _xlfn.BYROW(_xlpm.USNameRep,_xlfn.LAMBDA(_xlpm.r,4)),
_xlpm.verticalOffset,      Calculations_APPURT[Vertical Offset]/12,
IFERROR(_xlfn._xlws.FILTER(_xlfn.HSTACK(_xlpm.manufacturer,_xlpm.USNameRep,_xlpm.USNameRep,_xlpm.type,_xlpm.height,_xlpm.width,_xlpm.depth,_xlpm.selfWeight,_xlpm.cciCode, _xlpm.quantities, _xlpm.sectorList,_xlpm.startHeight,_xlpm.offsetType,_xlpm.horizontalOffset,_xlpm.verticalOffset),(_xlpm.quantities&lt;&gt;"")*(_xlpm.type&lt;&gt;"Dish")),_xlfn.HSTACK(0,0,0,0,0,0,0,0,0,0,0,0,0,0,0)))</f>
        <v>0</v>
      </c>
      <c r="AH2" s="280">
        <v>0</v>
      </c>
      <c r="AI2" s="280">
        <v>0</v>
      </c>
      <c r="AJ2" s="280">
        <v>0</v>
      </c>
      <c r="AK2" s="280">
        <v>0</v>
      </c>
      <c r="AL2" s="280">
        <v>0</v>
      </c>
      <c r="AM2" s="280">
        <v>0</v>
      </c>
      <c r="AN2" s="280">
        <v>0</v>
      </c>
      <c r="AO2" s="280">
        <v>0</v>
      </c>
      <c r="AP2" s="280">
        <v>0</v>
      </c>
      <c r="AQ2" s="280">
        <v>0</v>
      </c>
      <c r="AR2" s="280">
        <v>0</v>
      </c>
      <c r="AS2" s="280">
        <v>0</v>
      </c>
      <c r="AT2" s="280">
        <v>0</v>
      </c>
      <c r="AU2" s="280">
        <v>0</v>
      </c>
      <c r="AW2" s="290" cm="1">
        <f t="array" ref="AW2:BK2">_xlfn.LET(
_xlpm.modelRange,          Calculations_APPURT[Model],
_xlpm.qtyRange,            GammaSector[Quantity],
_xlpm.elevation,           Calculations_APPURT[Vertical Offset]/12 + z,
_xlpm.mountHeight,          z,
_xlpm.status,              Calculations_APPURT[Condition],
_xlpm.nRows,                ROWS(_xlpm.modelRange),
_xlpm.nCols,                COLUMNS(_xlpm.qtyRange),
_xlpm.Total,                _xlpm.nRows * _xlpm.nCols,
_xlpm.rowIdx,               _xlfn.SEQUENCE(_xlpm.Total),
_xlpm.USNameRep,            INDEX(_xlpm.modelRange, ROUNDUP(_xlpm.rowIdx / _xlpm.nCols, 0)),
_xlpm.quantities,           _xlfn.TOCOL(_xlpm.qtyRange),
_xlpm.sectors,              {"C"},
_xlpm.sectorList,           IFERROR(INDEX(_xlpm.sectors, MOD(_xlpm.rowIdx - 1, _xlpm.nCols) + 1),"a"),
_xlpm.manufacturer,         _xlfn.XLOOKUP(_xlpm.USNameRep,Calculations_APPURT[Model],Calculations_APPURT[Manufacturer],"",0,1),
_xlpm.type,                 IF(_xlfn.XLOOKUP(_xlpm.USNameRep,Calculations_APPURT[Model],Calculations_APPURT[Shape],"",0,1)="Round","Cylindrical (Omni)",IF(_xlfn.XLOOKUP(_xlpm.USNameRep,Calculations_APPURT[Model],Calculations_APPURT[Type],"",0,1)="Dish","Dish","Flat Panel")),
_xlpm.height,               _xlfn.XLOOKUP(_xlpm.USNameRep,Calculations_APPURT[Model],Dimensions_APPURT[Height (in)],"",0,1),
_xlpm.width,                _xlfn.XLOOKUP(_xlpm.USNameRep,Calculations_APPURT[Model],Dimensions_APPURT[Width (in)],"",0,1),
_xlpm.depth,                _xlfn.XLOOKUP(_xlpm.USNameRep,Calculations_APPURT[Model],Dimensions_APPURT[Depth (in)],"",0,1),
_xlpm.selfWeight,           _xlfn.XLOOKUP(_xlpm.USNameRep,Calculations_APPURT[Model],Dimensions_APPURT[Weight (lbf)],"",0,1),
_xlpm.cciCode,              IF(INDEX(_xlpm.status, ROUNDUP(_xlpm.rowIdx / _xlpm.nCols, 0))="Proposed","P","I"),
_xlpm.startHeight,          INDEX(_xlpm.elevation, ROUNDUP(_xlpm.rowIdx / _xlpm.nCols, 0)),
_xlpm.offsetType,           _xlfn.BYROW(_xlpm.USNameRep,_xlfn.LAMBDA(_xlpm.r,"From Leg")),
_xlpm.horizontalOffset,     _xlfn.BYROW(_xlpm.USNameRep,_xlfn.LAMBDA(_xlpm.r,4)),
_xlpm.verticalOffset,      Calculations_APPURT[Vertical Offset]/12,
IFERROR(_xlfn._xlws.FILTER(_xlfn.HSTACK(_xlpm.manufacturer,_xlpm.USNameRep,_xlpm.USNameRep,_xlpm.type,_xlpm.height,_xlpm.width,_xlpm.depth,_xlpm.selfWeight,_xlpm.cciCode, _xlpm.quantities, _xlpm.sectorList,_xlpm.startHeight,_xlpm.offsetType,_xlpm.horizontalOffset,_xlpm.verticalOffset),(_xlpm.quantities&lt;&gt;"")*(_xlpm.type&lt;&gt;"Dish")),_xlfn.HSTACK(0,0,0,0,0,0,0,0,0,0,0,0,0,0,0)))</f>
        <v>0</v>
      </c>
      <c r="AX2" s="280">
        <v>0</v>
      </c>
      <c r="AY2" s="280">
        <v>0</v>
      </c>
      <c r="AZ2" s="280">
        <v>0</v>
      </c>
      <c r="BA2" s="280">
        <v>0</v>
      </c>
      <c r="BB2" s="280">
        <v>0</v>
      </c>
      <c r="BC2" s="280">
        <v>0</v>
      </c>
      <c r="BD2" s="280">
        <v>0</v>
      </c>
      <c r="BE2" s="280">
        <v>0</v>
      </c>
      <c r="BF2" s="280">
        <v>0</v>
      </c>
      <c r="BG2" s="280">
        <v>0</v>
      </c>
      <c r="BH2" s="280">
        <v>0</v>
      </c>
      <c r="BI2" s="280">
        <v>0</v>
      </c>
      <c r="BJ2" s="280">
        <v>0</v>
      </c>
      <c r="BK2" s="280">
        <v>0</v>
      </c>
      <c r="BM2" s="290" cm="1">
        <f t="array" ref="BM2:CA2">_xlfn.LET(
_xlpm.modelRange,          Calculations_APPURT[Model],
_xlpm.qtyRange,            DeltaSector[Quantity],
_xlpm.elevation,           Calculations_APPURT[Vertical Offset]/12 + z,
_xlpm.mountHeight,          z,
_xlpm.status,              Calculations_APPURT[Condition],
_xlpm.nRows,                ROWS(_xlpm.modelRange),
_xlpm.nCols,                COLUMNS(_xlpm.qtyRange),
_xlpm.Total,                _xlpm.nRows * _xlpm.nCols,
_xlpm.rowIdx,               _xlfn.SEQUENCE(_xlpm.Total),
_xlpm.USNameRep,            INDEX(_xlpm.modelRange, ROUNDUP(_xlpm.rowIdx / _xlpm.nCols, 0)),
_xlpm.quantities,           _xlfn.TOCOL(_xlpm.qtyRange),
_xlpm.sectors,              {"D"},
_xlpm.sectorList,           IFERROR(INDEX(_xlpm.sectors, MOD(_xlpm.rowIdx - 1, _xlpm.nCols) + 1),"a"),
_xlpm.manufacturer,         _xlfn.XLOOKUP(_xlpm.USNameRep,Calculations_APPURT[Model],Calculations_APPURT[Manufacturer],"",0,1),
_xlpm.type,                 IF(_xlfn.XLOOKUP(_xlpm.USNameRep,Calculations_APPURT[Model],Calculations_APPURT[Shape],"",0,1)="Round","Cylindrical (Omni)",IF(_xlfn.XLOOKUP(_xlpm.USNameRep,Calculations_APPURT[Model],Calculations_APPURT[Type],"",0,1)="Dish","Dish","Flat Panel")),
_xlpm.height,               _xlfn.XLOOKUP(_xlpm.USNameRep,Calculations_APPURT[Model],Dimensions_APPURT[Height (in)],"",0,1),
_xlpm.width,                _xlfn.XLOOKUP(_xlpm.USNameRep,Calculations_APPURT[Model],Dimensions_APPURT[Width (in)],"",0,1),
_xlpm.depth,                _xlfn.XLOOKUP(_xlpm.USNameRep,Calculations_APPURT[Model],Dimensions_APPURT[Depth (in)],"",0,1),
_xlpm.selfWeight,           _xlfn.XLOOKUP(_xlpm.USNameRep,Calculations_APPURT[Model],Dimensions_APPURT[Weight (lbf)],"",0,1),
_xlpm.cciCode,              IF(INDEX(_xlpm.status, ROUNDUP(_xlpm.rowIdx / _xlpm.nCols, 0))="Proposed","P","I"),
_xlpm.startHeight,          INDEX(_xlpm.elevation, ROUNDUP(_xlpm.rowIdx / _xlpm.nCols, 0)),
_xlpm.offsetType,           _xlfn.BYROW(_xlpm.USNameRep,_xlfn.LAMBDA(_xlpm.r,"From Leg")),
_xlpm.horizontalOffset,     _xlfn.BYROW(_xlpm.USNameRep,_xlfn.LAMBDA(_xlpm.r,4)),
_xlpm.verticalOffset,      Calculations_APPURT[Vertical Offset]/12,
IFERROR(_xlfn._xlws.FILTER(_xlfn.HSTACK(_xlpm.manufacturer,_xlpm.USNameRep,_xlpm.USNameRep,_xlpm.type,_xlpm.height,_xlpm.width,_xlpm.depth,_xlpm.selfWeight,_xlpm.cciCode, _xlpm.quantities, _xlpm.sectorList,_xlpm.startHeight,_xlpm.offsetType,_xlpm.horizontalOffset,_xlpm.verticalOffset),(_xlpm.quantities&lt;&gt;"")*(_xlpm.type&lt;&gt;"Dish")),_xlfn.HSTACK(0,0,0,0,0,0,0,0,0,0,0,0,0,0,0)))</f>
        <v>0</v>
      </c>
      <c r="BN2" s="280">
        <v>0</v>
      </c>
      <c r="BO2" s="280">
        <v>0</v>
      </c>
      <c r="BP2" s="280">
        <v>0</v>
      </c>
      <c r="BQ2" s="280">
        <v>0</v>
      </c>
      <c r="BR2" s="280">
        <v>0</v>
      </c>
      <c r="BS2" s="280">
        <v>0</v>
      </c>
      <c r="BT2" s="280">
        <v>0</v>
      </c>
      <c r="BU2" s="280">
        <v>0</v>
      </c>
      <c r="BV2" s="280">
        <v>0</v>
      </c>
      <c r="BW2" s="280">
        <v>0</v>
      </c>
      <c r="BX2" s="280">
        <v>0</v>
      </c>
      <c r="BY2" s="280">
        <v>0</v>
      </c>
      <c r="BZ2" s="280">
        <v>0</v>
      </c>
      <c r="CA2" s="280">
        <v>0</v>
      </c>
    </row>
    <row r="3" spans="1:79" x14ac:dyDescent="0.2">
      <c r="A3" s="280">
        <v>0</v>
      </c>
      <c r="B3" s="284">
        <v>0</v>
      </c>
      <c r="C3" s="280">
        <v>0</v>
      </c>
      <c r="D3" s="280">
        <v>0</v>
      </c>
      <c r="E3" s="280">
        <v>0</v>
      </c>
      <c r="F3" s="280">
        <v>0</v>
      </c>
      <c r="G3" s="280">
        <v>0</v>
      </c>
      <c r="H3" s="280">
        <v>0</v>
      </c>
      <c r="I3" s="280">
        <v>0</v>
      </c>
      <c r="J3" s="280">
        <v>0</v>
      </c>
      <c r="K3" s="280">
        <v>0</v>
      </c>
      <c r="L3" s="280">
        <v>0</v>
      </c>
      <c r="M3" s="280">
        <v>0</v>
      </c>
      <c r="N3" s="280">
        <v>0</v>
      </c>
      <c r="O3" s="280">
        <v>0</v>
      </c>
    </row>
    <row r="4" spans="1:79" x14ac:dyDescent="0.2">
      <c r="A4" s="280">
        <v>0</v>
      </c>
      <c r="B4" s="284">
        <v>0</v>
      </c>
      <c r="C4" s="280">
        <v>0</v>
      </c>
      <c r="D4" s="280">
        <v>0</v>
      </c>
      <c r="E4" s="280">
        <v>0</v>
      </c>
      <c r="F4" s="280">
        <v>0</v>
      </c>
      <c r="G4" s="280">
        <v>0</v>
      </c>
      <c r="H4" s="280">
        <v>0</v>
      </c>
      <c r="I4" s="280">
        <v>0</v>
      </c>
      <c r="J4" s="280">
        <v>0</v>
      </c>
      <c r="K4" s="280">
        <v>0</v>
      </c>
      <c r="L4" s="280">
        <v>0</v>
      </c>
      <c r="M4" s="280">
        <v>0</v>
      </c>
      <c r="N4" s="280">
        <v>0</v>
      </c>
      <c r="O4" s="280">
        <v>0</v>
      </c>
    </row>
    <row r="5" spans="1:79" x14ac:dyDescent="0.2">
      <c r="A5" s="280">
        <v>0</v>
      </c>
      <c r="B5" s="280">
        <v>0</v>
      </c>
      <c r="C5" s="280">
        <v>0</v>
      </c>
      <c r="D5" s="280">
        <v>0</v>
      </c>
      <c r="E5" s="280">
        <v>0</v>
      </c>
      <c r="F5" s="280">
        <v>0</v>
      </c>
      <c r="G5" s="280">
        <v>0</v>
      </c>
      <c r="H5" s="280">
        <v>0</v>
      </c>
      <c r="I5" s="280">
        <v>0</v>
      </c>
      <c r="J5" s="280">
        <v>0</v>
      </c>
      <c r="K5" s="280">
        <v>0</v>
      </c>
      <c r="L5" s="280">
        <v>0</v>
      </c>
      <c r="M5" s="280">
        <v>0</v>
      </c>
      <c r="N5" s="280">
        <v>0</v>
      </c>
      <c r="O5" s="280">
        <v>0</v>
      </c>
    </row>
    <row r="6" spans="1:79" x14ac:dyDescent="0.2">
      <c r="A6" s="280">
        <v>0</v>
      </c>
      <c r="B6" s="280">
        <v>0</v>
      </c>
      <c r="C6" s="280">
        <v>0</v>
      </c>
      <c r="D6" s="280">
        <v>0</v>
      </c>
      <c r="E6" s="280">
        <v>0</v>
      </c>
      <c r="F6" s="280">
        <v>0</v>
      </c>
      <c r="G6" s="280">
        <v>0</v>
      </c>
      <c r="H6" s="280">
        <v>0</v>
      </c>
      <c r="I6" s="280">
        <v>0</v>
      </c>
      <c r="J6" s="280">
        <v>0</v>
      </c>
      <c r="K6" s="280">
        <v>0</v>
      </c>
      <c r="L6" s="280">
        <v>0</v>
      </c>
      <c r="M6" s="280">
        <v>0</v>
      </c>
      <c r="N6" s="280">
        <v>0</v>
      </c>
      <c r="O6" s="280">
        <v>0</v>
      </c>
    </row>
  </sheetData>
  <conditionalFormatting sqref="B3:B4">
    <cfRule type="expression" dxfId="7" priority="1">
      <formula>IF($Q3="Removed",TRUE,FALSE)</formula>
    </cfRule>
    <cfRule type="expression" dxfId="6" priority="2">
      <formula>IF($Q3="Proposed",TRUE,FALSE)</formula>
    </cfRule>
  </conditionalFormatting>
  <conditionalFormatting sqref="B2">
    <cfRule type="expression" dxfId="5" priority="3">
      <formula>IF(#REF!="Removed",TRUE,FALSE)</formula>
    </cfRule>
    <cfRule type="expression" dxfId="4" priority="4">
      <formula>IF(#REF!="Proposed",TRUE,FALSE)</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5AA3F-618F-4C5E-8B53-447189E319B8}">
  <sheetPr codeName="Sheet9"/>
  <dimension ref="A1:BL5"/>
  <sheetViews>
    <sheetView workbookViewId="0">
      <selection activeCell="A2" sqref="A2"/>
    </sheetView>
  </sheetViews>
  <sheetFormatPr defaultRowHeight="12.75" x14ac:dyDescent="0.2"/>
  <cols>
    <col min="1" max="1" width="25.85546875" style="280" bestFit="1" customWidth="1"/>
    <col min="2" max="3" width="17.42578125" style="280" bestFit="1" customWidth="1"/>
    <col min="4" max="4" width="7.7109375" style="280" bestFit="1" customWidth="1"/>
    <col min="5" max="5" width="5.28515625" style="280" customWidth="1"/>
    <col min="6" max="6" width="5.7109375" style="280" bestFit="1" customWidth="1"/>
    <col min="7" max="7" width="8.140625" style="280" bestFit="1" customWidth="1"/>
    <col min="8" max="8" width="7.85546875" style="280" bestFit="1" customWidth="1"/>
    <col min="9" max="9" width="11.5703125" style="280" bestFit="1" customWidth="1"/>
    <col min="10" max="10" width="9.85546875" style="280" bestFit="1" customWidth="1"/>
    <col min="11" max="11" width="12.5703125" style="280" bestFit="1" customWidth="1"/>
    <col min="12" max="12" width="12.28515625" style="280" customWidth="1"/>
    <col min="13" max="13" width="2.7109375" style="280" customWidth="1"/>
    <col min="14" max="25" width="5.7109375" style="280" customWidth="1"/>
    <col min="26" max="26" width="2.7109375" style="280" customWidth="1"/>
    <col min="27" max="38" width="5.7109375" style="280" customWidth="1"/>
    <col min="39" max="39" width="2.7109375" style="280" customWidth="1"/>
    <col min="40" max="51" width="5.7109375" style="280" customWidth="1"/>
    <col min="52" max="52" width="2.7109375" style="280" customWidth="1"/>
    <col min="53" max="64" width="5.7109375" style="280" customWidth="1"/>
  </cols>
  <sheetData>
    <row r="1" spans="1:64" x14ac:dyDescent="0.2">
      <c r="A1" s="283" t="s">
        <v>1292</v>
      </c>
      <c r="B1" s="283" t="s">
        <v>1293</v>
      </c>
      <c r="C1" s="283" t="s">
        <v>1294</v>
      </c>
      <c r="D1" s="283" t="s">
        <v>1296</v>
      </c>
      <c r="E1" s="283" t="s">
        <v>1297</v>
      </c>
      <c r="F1" s="283" t="s">
        <v>1304</v>
      </c>
      <c r="G1" s="283" t="s">
        <v>1299</v>
      </c>
      <c r="H1" s="283" t="s">
        <v>1306</v>
      </c>
      <c r="I1" s="283" t="s">
        <v>1307</v>
      </c>
      <c r="J1" s="283" t="s">
        <v>1308</v>
      </c>
      <c r="K1" s="283" t="s">
        <v>1314</v>
      </c>
      <c r="L1" s="283" t="s">
        <v>1315</v>
      </c>
      <c r="M1" s="283"/>
      <c r="N1" s="283" t="s">
        <v>1292</v>
      </c>
      <c r="O1" s="283" t="s">
        <v>1293</v>
      </c>
      <c r="P1" s="283" t="s">
        <v>1294</v>
      </c>
      <c r="Q1" s="283" t="s">
        <v>1296</v>
      </c>
      <c r="R1" s="283" t="s">
        <v>1297</v>
      </c>
      <c r="S1" s="283" t="s">
        <v>1304</v>
      </c>
      <c r="T1" s="283" t="s">
        <v>1299</v>
      </c>
      <c r="U1" s="283" t="s">
        <v>1306</v>
      </c>
      <c r="V1" s="283" t="s">
        <v>1307</v>
      </c>
      <c r="W1" s="283" t="s">
        <v>1308</v>
      </c>
      <c r="X1" s="283" t="s">
        <v>1314</v>
      </c>
      <c r="Y1" s="283" t="s">
        <v>1315</v>
      </c>
      <c r="Z1" s="283"/>
      <c r="AA1" s="283" t="s">
        <v>1292</v>
      </c>
      <c r="AB1" s="283" t="s">
        <v>1293</v>
      </c>
      <c r="AC1" s="283" t="s">
        <v>1294</v>
      </c>
      <c r="AD1" s="283" t="s">
        <v>1296</v>
      </c>
      <c r="AE1" s="283" t="s">
        <v>1297</v>
      </c>
      <c r="AF1" s="283" t="s">
        <v>1304</v>
      </c>
      <c r="AG1" s="283" t="s">
        <v>1299</v>
      </c>
      <c r="AH1" s="283" t="s">
        <v>1306</v>
      </c>
      <c r="AI1" s="283" t="s">
        <v>1307</v>
      </c>
      <c r="AJ1" s="283" t="s">
        <v>1308</v>
      </c>
      <c r="AK1" s="283" t="s">
        <v>1314</v>
      </c>
      <c r="AL1" s="283" t="s">
        <v>1315</v>
      </c>
      <c r="AM1" s="283"/>
      <c r="AN1" s="283" t="s">
        <v>1292</v>
      </c>
      <c r="AO1" s="283" t="s">
        <v>1293</v>
      </c>
      <c r="AP1" s="283" t="s">
        <v>1294</v>
      </c>
      <c r="AQ1" s="283" t="s">
        <v>1296</v>
      </c>
      <c r="AR1" s="283" t="s">
        <v>1297</v>
      </c>
      <c r="AS1" s="283" t="s">
        <v>1304</v>
      </c>
      <c r="AT1" s="283" t="s">
        <v>1299</v>
      </c>
      <c r="AU1" s="283" t="s">
        <v>1306</v>
      </c>
      <c r="AV1" s="283" t="s">
        <v>1307</v>
      </c>
      <c r="AW1" s="283" t="s">
        <v>1308</v>
      </c>
      <c r="AX1" s="283" t="s">
        <v>1314</v>
      </c>
      <c r="AY1" s="283" t="s">
        <v>1315</v>
      </c>
      <c r="AZ1" s="283"/>
      <c r="BA1" s="283" t="s">
        <v>1292</v>
      </c>
      <c r="BB1" s="283" t="s">
        <v>1293</v>
      </c>
      <c r="BC1" s="283" t="s">
        <v>1294</v>
      </c>
      <c r="BD1" s="283" t="s">
        <v>1296</v>
      </c>
      <c r="BE1" s="283" t="s">
        <v>1297</v>
      </c>
      <c r="BF1" s="283" t="s">
        <v>1304</v>
      </c>
      <c r="BG1" s="283" t="s">
        <v>1299</v>
      </c>
      <c r="BH1" s="283" t="s">
        <v>1306</v>
      </c>
      <c r="BI1" s="283" t="s">
        <v>1307</v>
      </c>
      <c r="BJ1" s="283" t="s">
        <v>1308</v>
      </c>
      <c r="BK1" s="283" t="s">
        <v>1314</v>
      </c>
      <c r="BL1" s="283" t="s">
        <v>1315</v>
      </c>
    </row>
    <row r="2" spans="1:64" ht="12.75" customHeight="1" x14ac:dyDescent="0.2">
      <c r="A2" s="280" cm="1">
        <f t="array" ref="A2:L5">_xlfn.VSTACK(_xlfn.ANCHORARRAY(N2),_xlfn.ANCHORARRAY(AA2),_xlfn.ANCHORARRAY(AN2),_xlfn.ANCHORARRAY(BA2))</f>
        <v>0</v>
      </c>
      <c r="B2" s="285">
        <v>0</v>
      </c>
      <c r="C2" s="280">
        <v>0</v>
      </c>
      <c r="D2" s="280">
        <v>0</v>
      </c>
      <c r="E2" s="280">
        <v>0</v>
      </c>
      <c r="F2" s="280">
        <v>0</v>
      </c>
      <c r="G2" s="280">
        <v>0</v>
      </c>
      <c r="H2" s="280">
        <v>0</v>
      </c>
      <c r="I2" s="280">
        <v>0</v>
      </c>
      <c r="J2" s="280">
        <v>0</v>
      </c>
      <c r="K2" s="280">
        <v>0</v>
      </c>
      <c r="L2" s="280">
        <v>0</v>
      </c>
      <c r="N2" s="290" cm="1">
        <f t="array" ref="N2:Y2">_xlfn.LET(
_xlpm.modelRange,           Calculations_APPURT[Model],
_xlpm.qtyRange,             AlphaSector[Quantity],
_xlpm.elevation,            Calculations_APPURT[Vertical Offset]/12 + z,
_xlpm.mountHeight,          z,
_xlpm.status,               Calculations_APPURT[Condition],
_xlpm.nRows,                ROWS(_xlpm.modelRange),
_xlpm.nCols,                COLUMNS(_xlpm.qtyRange),
_xlpm.Total,                _xlpm.nRows * _xlpm.nCols,
_xlpm.rowIdx,               _xlfn.SEQUENCE(_xlpm.Total),
_xlpm.USNameRep,            INDEX(_xlpm.modelRange, ROUNDUP(_xlpm.rowIdx / _xlpm.nCols, 0)),
_xlpm.quantities,           _xlfn.TOCOL(_xlpm.qtyRange),
_xlpm.sectors,              {"A"},
_xlpm.sectorList,           IFERROR(INDEX(_xlpm.sectors, MOD(_xlpm.rowIdx - 1, _xlpm.nCols) + 1),"a"),
_xlpm.manufacturer,         _xlfn.XLOOKUP(_xlpm.USNameRep,Calculations_APPURT[Model],Calculations_APPURT[Manufacturer],"",0,1),
_xlpm.type,                 IF(_xlfn.XLOOKUP(_xlpm.USNameRep,Calculations_APPURT[Model],Calculations_APPURT[Shape],"",0,1)="Round","Cylindrical (Omni)",IF(_xlfn.XLOOKUP(_xlpm.USNameRep,Calculations_APPURT[Model],Calculations_APPURT[Type],"",0,1)="Dish","Dish","Flat Panel")),
_xlpm.height,               _xlfn.XLOOKUP(_xlpm.USNameRep,Calculations_APPURT[Model],Dimensions_APPURT[Height (in)],"",0,1),
_xlpm.width,                _xlfn.XLOOKUP(_xlpm.USNameRep,Calculations_APPURT[Model],Dimensions_APPURT[Width (in)],"",0,1),
_xlpm.depth,                _xlfn.XLOOKUP(_xlpm.USNameRep,Calculations_APPURT[Model],Dimensions_APPURT[Depth (in)],"",0,1),
_xlpm.selfWeight,           _xlfn.XLOOKUP(_xlpm.USNameRep,Calculations_APPURT[Model],Dimensions_APPURT[Weight (lbf)],"",0,1),
_xlpm.cciCode,              IF(INDEX(_xlpm.status, ROUNDUP(_xlpm.rowIdx / _xlpm.nCols, 0))="Proposed","P","I"),
_xlpm.startHeight,          INDEX(_xlpm.elevation, ROUNDUP(_xlpm.rowIdx / _xlpm.nCols, 0)),
_xlpm.offsetType,           _xlfn.BYROW(_xlpm.USNameRep,_xlfn.LAMBDA(_xlpm.r,"From Leg")),
_xlpm.horizontalOffset,     _xlfn.BYROW(_xlpm.USNameRep,_xlfn.LAMBDA(_xlpm.r,4)),
_xlpm.verticalOffset,       Calculations_APPURT[Vertical Offset]/12,
IFERROR(_xlfn._xlws.FILTER(_xlfn.HSTACK(_xlpm.manufacturer,_xlpm.USNameRep,_xlpm.USNameRep,_xlpm.cciCode,_xlpm.quantities,_xlpm.sectorList,_xlpm.selfWeight,_xlpm.offsetType,_xlpm.horizontalOffset,_xlpm.verticalOffset,_xlpm.startHeight,_xlpm.height),(_xlpm.quantities&lt;&gt;"")*(_xlpm.type="Dish")),_xlfn.HSTACK(0,0,0,0,0,0,0,0,0,0,0,0)))</f>
        <v>0</v>
      </c>
      <c r="O2" s="280">
        <v>0</v>
      </c>
      <c r="P2" s="280">
        <v>0</v>
      </c>
      <c r="Q2" s="280">
        <v>0</v>
      </c>
      <c r="R2" s="280">
        <v>0</v>
      </c>
      <c r="S2" s="280">
        <v>0</v>
      </c>
      <c r="T2" s="280">
        <v>0</v>
      </c>
      <c r="U2" s="280">
        <v>0</v>
      </c>
      <c r="V2" s="280">
        <v>0</v>
      </c>
      <c r="W2" s="280">
        <v>0</v>
      </c>
      <c r="X2" s="280">
        <v>0</v>
      </c>
      <c r="Y2" s="280">
        <v>0</v>
      </c>
      <c r="AA2" s="290" cm="1">
        <f t="array" ref="AA2:AL2">_xlfn.LET(
_xlpm.modelRange,           Calculations_APPURT[Model],
_xlpm.qtyRange,             BetaSector[Quantity],
_xlpm.elevation,            Calculations_APPURT[Vertical Offset]/12 + z,
_xlpm.mountHeight,          z,
_xlpm.status,               Calculations_APPURT[Condition],
_xlpm.nRows,                ROWS(_xlpm.modelRange),
_xlpm.nCols,                COLUMNS(_xlpm.qtyRange),
_xlpm.Total,                _xlpm.nRows * _xlpm.nCols,
_xlpm.rowIdx,               _xlfn.SEQUENCE(_xlpm.Total),
_xlpm.USNameRep,            INDEX(_xlpm.modelRange, ROUNDUP(_xlpm.rowIdx / _xlpm.nCols, 0)),
_xlpm.quantities,           _xlfn.TOCOL(_xlpm.qtyRange),
_xlpm.sectors,              {"B"},
_xlpm.sectorList,           IFERROR(INDEX(_xlpm.sectors, MOD(_xlpm.rowIdx - 1, _xlpm.nCols) + 1),"a"),
_xlpm.manufacturer,         _xlfn.XLOOKUP(_xlpm.USNameRep,Calculations_APPURT[Model],Calculations_APPURT[Manufacturer],"",0,1),
_xlpm.type,                 IF(_xlfn.XLOOKUP(_xlpm.USNameRep,Calculations_APPURT[Model],Calculations_APPURT[Shape],"",0,1)="Round","Cylindrical (Omni)",IF(_xlfn.XLOOKUP(_xlpm.USNameRep,Calculations_APPURT[Model],Calculations_APPURT[Type],"",0,1)="Dish","Dish","Flat Panel")),
_xlpm.height,               _xlfn.XLOOKUP(_xlpm.USNameRep,Calculations_APPURT[Model],Dimensions_APPURT[Height (in)],"",0,1),
_xlpm.width,                _xlfn.XLOOKUP(_xlpm.USNameRep,Calculations_APPURT[Model],Dimensions_APPURT[Width (in)],"",0,1),
_xlpm.depth,                _xlfn.XLOOKUP(_xlpm.USNameRep,Calculations_APPURT[Model],Dimensions_APPURT[Depth (in)],"",0,1),
_xlpm.selfWeight,           _xlfn.XLOOKUP(_xlpm.USNameRep,Calculations_APPURT[Model],Dimensions_APPURT[Weight (lbf)],"",0,1),
_xlpm.cciCode,              IF(INDEX(_xlpm.status, ROUNDUP(_xlpm.rowIdx / _xlpm.nCols, 0))="Proposed","P","I"),
_xlpm.startHeight,          INDEX(_xlpm.elevation, ROUNDUP(_xlpm.rowIdx / _xlpm.nCols, 0)),
_xlpm.offsetType,           _xlfn.BYROW(_xlpm.USNameRep,_xlfn.LAMBDA(_xlpm.r,"From Leg")),
_xlpm.horizontalOffset,     _xlfn.BYROW(_xlpm.USNameRep,_xlfn.LAMBDA(_xlpm.r,4)),
_xlpm.verticalOffset,       Calculations_APPURT[Vertical Offset]/12,
IFERROR(_xlfn._xlws.FILTER(_xlfn.HSTACK(_xlpm.manufacturer,_xlpm.USNameRep,_xlpm.USNameRep,_xlpm.cciCode,_xlpm.quantities,_xlpm.sectorList,_xlpm.selfWeight,_xlpm.offsetType,_xlpm.horizontalOffset,_xlpm.verticalOffset,_xlpm.startHeight,_xlpm.height),(_xlpm.quantities&lt;&gt;"")*(_xlpm.type="Dish")),_xlfn.HSTACK(0,0,0,0,0,0,0,0,0,0,0,0)))</f>
        <v>0</v>
      </c>
      <c r="AB2" s="280">
        <v>0</v>
      </c>
      <c r="AC2" s="280">
        <v>0</v>
      </c>
      <c r="AD2" s="280">
        <v>0</v>
      </c>
      <c r="AE2" s="280">
        <v>0</v>
      </c>
      <c r="AF2" s="280">
        <v>0</v>
      </c>
      <c r="AG2" s="280">
        <v>0</v>
      </c>
      <c r="AH2" s="280">
        <v>0</v>
      </c>
      <c r="AI2" s="280">
        <v>0</v>
      </c>
      <c r="AJ2" s="280">
        <v>0</v>
      </c>
      <c r="AK2" s="280">
        <v>0</v>
      </c>
      <c r="AL2" s="280">
        <v>0</v>
      </c>
      <c r="AN2" s="290" cm="1">
        <f t="array" ref="AN2:AY2">_xlfn.LET(
_xlpm.modelRange,           Calculations_APPURT[Model],
_xlpm.qtyRange,             GammaSector[Quantity],
_xlpm.elevation,            Calculations_APPURT[Vertical Offset]/12 + z,
_xlpm.mountHeight,          z,
_xlpm.status,               Calculations_APPURT[Condition],
_xlpm.nRows,                ROWS(_xlpm.modelRange),
_xlpm.nCols,                COLUMNS(_xlpm.qtyRange),
_xlpm.Total,                _xlpm.nRows * _xlpm.nCols,
_xlpm.rowIdx,               _xlfn.SEQUENCE(_xlpm.Total),
_xlpm.USNameRep,            INDEX(_xlpm.modelRange, ROUNDUP(_xlpm.rowIdx / _xlpm.nCols, 0)),
_xlpm.quantities,           _xlfn.TOCOL(_xlpm.qtyRange),
_xlpm.sectors,              {"C"},
_xlpm.sectorList,           IFERROR(INDEX(_xlpm.sectors, MOD(_xlpm.rowIdx - 1, _xlpm.nCols) + 1),"a"),
_xlpm.manufacturer,         _xlfn.XLOOKUP(_xlpm.USNameRep,Calculations_APPURT[Model],Calculations_APPURT[Manufacturer],"",0,1),
_xlpm.type,                 IF(_xlfn.XLOOKUP(_xlpm.USNameRep,Calculations_APPURT[Model],Calculations_APPURT[Shape],"",0,1)="Round","Cylindrical (Omni)",IF(_xlfn.XLOOKUP(_xlpm.USNameRep,Calculations_APPURT[Model],Calculations_APPURT[Type],"",0,1)="Dish","Dish","Flat Panel")),
_xlpm.height,               _xlfn.XLOOKUP(_xlpm.USNameRep,Calculations_APPURT[Model],Dimensions_APPURT[Height (in)],"",0,1),
_xlpm.width,                _xlfn.XLOOKUP(_xlpm.USNameRep,Calculations_APPURT[Model],Dimensions_APPURT[Width (in)],"",0,1),
_xlpm.depth,                _xlfn.XLOOKUP(_xlpm.USNameRep,Calculations_APPURT[Model],Dimensions_APPURT[Depth (in)],"",0,1),
_xlpm.selfWeight,           _xlfn.XLOOKUP(_xlpm.USNameRep,Calculations_APPURT[Model],Dimensions_APPURT[Weight (lbf)],"",0,1),
_xlpm.cciCode,              IF(INDEX(_xlpm.status, ROUNDUP(_xlpm.rowIdx / _xlpm.nCols, 0))="Proposed","P","I"),
_xlpm.startHeight,          INDEX(_xlpm.elevation, ROUNDUP(_xlpm.rowIdx / _xlpm.nCols, 0)),
_xlpm.offsetType,           _xlfn.BYROW(_xlpm.USNameRep,_xlfn.LAMBDA(_xlpm.r,"From Leg")),
_xlpm.horizontalOffset,     _xlfn.BYROW(_xlpm.USNameRep,_xlfn.LAMBDA(_xlpm.r,4)),
_xlpm.verticalOffset,       Calculations_APPURT[Vertical Offset]/12,
IFERROR(_xlfn._xlws.FILTER(_xlfn.HSTACK(_xlpm.manufacturer,_xlpm.USNameRep,_xlpm.USNameRep,_xlpm.cciCode,_xlpm.quantities,_xlpm.sectorList,_xlpm.selfWeight,_xlpm.offsetType,_xlpm.horizontalOffset,_xlpm.verticalOffset,_xlpm.startHeight,_xlpm.height),(_xlpm.quantities&lt;&gt;"")*(_xlpm.type="Dish")),_xlfn.HSTACK(0,0,0,0,0,0,0,0,0,0,0,0)))</f>
        <v>0</v>
      </c>
      <c r="AO2" s="280">
        <v>0</v>
      </c>
      <c r="AP2" s="280">
        <v>0</v>
      </c>
      <c r="AQ2" s="280">
        <v>0</v>
      </c>
      <c r="AR2" s="280">
        <v>0</v>
      </c>
      <c r="AS2" s="280">
        <v>0</v>
      </c>
      <c r="AT2" s="280">
        <v>0</v>
      </c>
      <c r="AU2" s="280">
        <v>0</v>
      </c>
      <c r="AV2" s="280">
        <v>0</v>
      </c>
      <c r="AW2" s="280">
        <v>0</v>
      </c>
      <c r="AX2" s="280">
        <v>0</v>
      </c>
      <c r="AY2" s="280">
        <v>0</v>
      </c>
      <c r="BA2" s="290" cm="1">
        <f t="array" ref="BA2:BL2">_xlfn.LET(
_xlpm.modelRange,           Calculations_APPURT[Model],
_xlpm.qtyRange,             DeltaSector[Quantity],
_xlpm.elevation,            Calculations_APPURT[Vertical Offset]/12 + z,
_xlpm.mountHeight,          z,
_xlpm.status,               Calculations_APPURT[Condition],
_xlpm.nRows,                ROWS(_xlpm.modelRange),
_xlpm.nCols,                COLUMNS(_xlpm.qtyRange),
_xlpm.Total,                _xlpm.nRows * _xlpm.nCols,
_xlpm.rowIdx,               _xlfn.SEQUENCE(_xlpm.Total),
_xlpm.USNameRep,            INDEX(_xlpm.modelRange, ROUNDUP(_xlpm.rowIdx / _xlpm.nCols, 0)),
_xlpm.quantities,           _xlfn.TOCOL(_xlpm.qtyRange),
_xlpm.sectors,              {"D"},
_xlpm.sectorList,           IFERROR(INDEX(_xlpm.sectors, MOD(_xlpm.rowIdx - 1, _xlpm.nCols) + 1),"a"),
_xlpm.manufacturer,         _xlfn.XLOOKUP(_xlpm.USNameRep,Calculations_APPURT[Model],Calculations_APPURT[Manufacturer],"",0,1),
_xlpm.type,                 IF(_xlfn.XLOOKUP(_xlpm.USNameRep,Calculations_APPURT[Model],Calculations_APPURT[Shape],"",0,1)="Round","Cylindrical (Omni)",IF(_xlfn.XLOOKUP(_xlpm.USNameRep,Calculations_APPURT[Model],Calculations_APPURT[Type],"",0,1)="Dish","Dish","Flat Panel")),
_xlpm.height,               _xlfn.XLOOKUP(_xlpm.USNameRep,Calculations_APPURT[Model],Dimensions_APPURT[Height (in)],"",0,1),
_xlpm.width,                _xlfn.XLOOKUP(_xlpm.USNameRep,Calculations_APPURT[Model],Dimensions_APPURT[Width (in)],"",0,1),
_xlpm.depth,                _xlfn.XLOOKUP(_xlpm.USNameRep,Calculations_APPURT[Model],Dimensions_APPURT[Depth (in)],"",0,1),
_xlpm.selfWeight,           _xlfn.XLOOKUP(_xlpm.USNameRep,Calculations_APPURT[Model],Dimensions_APPURT[Weight (lbf)],"",0,1),
_xlpm.cciCode,              IF(INDEX(_xlpm.status, ROUNDUP(_xlpm.rowIdx / _xlpm.nCols, 0))="Proposed","P","I"),
_xlpm.startHeight,          INDEX(_xlpm.elevation, ROUNDUP(_xlpm.rowIdx / _xlpm.nCols, 0)),
_xlpm.offsetType,           _xlfn.BYROW(_xlpm.USNameRep,_xlfn.LAMBDA(_xlpm.r,"From Leg")),
_xlpm.horizontalOffset,     _xlfn.BYROW(_xlpm.USNameRep,_xlfn.LAMBDA(_xlpm.r,4)),
_xlpm.verticalOffset,       Calculations_APPURT[Vertical Offset]/12,
IFERROR(_xlfn._xlws.FILTER(_xlfn.HSTACK(_xlpm.manufacturer,_xlpm.USNameRep,_xlpm.USNameRep,_xlpm.cciCode,_xlpm.quantities,_xlpm.sectorList,_xlpm.selfWeight,_xlpm.offsetType,_xlpm.horizontalOffset,_xlpm.verticalOffset,_xlpm.startHeight,_xlpm.height),(_xlpm.quantities&lt;&gt;"")*(_xlpm.type="Dish")),_xlfn.HSTACK(0,0,0,0,0,0,0,0,0,0,0,0)))</f>
        <v>0</v>
      </c>
      <c r="BB2" s="280">
        <v>0</v>
      </c>
      <c r="BC2" s="280">
        <v>0</v>
      </c>
      <c r="BD2" s="280">
        <v>0</v>
      </c>
      <c r="BE2" s="280">
        <v>0</v>
      </c>
      <c r="BF2" s="280">
        <v>0</v>
      </c>
      <c r="BG2" s="280">
        <v>0</v>
      </c>
      <c r="BH2" s="280">
        <v>0</v>
      </c>
      <c r="BI2" s="280">
        <v>0</v>
      </c>
      <c r="BJ2" s="280">
        <v>0</v>
      </c>
      <c r="BK2" s="280">
        <v>0</v>
      </c>
      <c r="BL2" s="280">
        <v>0</v>
      </c>
    </row>
    <row r="3" spans="1:64" x14ac:dyDescent="0.2">
      <c r="A3" s="280">
        <v>0</v>
      </c>
      <c r="B3" s="285">
        <v>0</v>
      </c>
      <c r="C3" s="280">
        <v>0</v>
      </c>
      <c r="D3" s="280">
        <v>0</v>
      </c>
      <c r="E3" s="280">
        <v>0</v>
      </c>
      <c r="F3" s="280">
        <v>0</v>
      </c>
      <c r="G3" s="280">
        <v>0</v>
      </c>
      <c r="H3" s="280">
        <v>0</v>
      </c>
      <c r="I3" s="280">
        <v>0</v>
      </c>
      <c r="J3" s="280">
        <v>0</v>
      </c>
      <c r="K3" s="280">
        <v>0</v>
      </c>
      <c r="L3" s="280">
        <v>0</v>
      </c>
    </row>
    <row r="4" spans="1:64" x14ac:dyDescent="0.2">
      <c r="A4" s="280">
        <v>0</v>
      </c>
      <c r="B4" s="285">
        <v>0</v>
      </c>
      <c r="C4" s="280">
        <v>0</v>
      </c>
      <c r="D4" s="280">
        <v>0</v>
      </c>
      <c r="E4" s="280">
        <v>0</v>
      </c>
      <c r="F4" s="280">
        <v>0</v>
      </c>
      <c r="G4" s="280">
        <v>0</v>
      </c>
      <c r="H4" s="280">
        <v>0</v>
      </c>
      <c r="I4" s="280">
        <v>0</v>
      </c>
      <c r="J4" s="280">
        <v>0</v>
      </c>
      <c r="K4" s="280">
        <v>0</v>
      </c>
      <c r="L4" s="280">
        <v>0</v>
      </c>
    </row>
    <row r="5" spans="1:64" x14ac:dyDescent="0.2">
      <c r="A5" s="280">
        <v>0</v>
      </c>
      <c r="B5" s="280">
        <v>0</v>
      </c>
      <c r="C5" s="280">
        <v>0</v>
      </c>
      <c r="D5" s="280">
        <v>0</v>
      </c>
      <c r="E5" s="280">
        <v>0</v>
      </c>
      <c r="F5" s="280">
        <v>0</v>
      </c>
      <c r="G5" s="280">
        <v>0</v>
      </c>
      <c r="H5" s="280">
        <v>0</v>
      </c>
      <c r="I5" s="280">
        <v>0</v>
      </c>
      <c r="J5" s="280">
        <v>0</v>
      </c>
      <c r="K5" s="280">
        <v>0</v>
      </c>
      <c r="L5" s="280">
        <v>0</v>
      </c>
    </row>
  </sheetData>
  <conditionalFormatting sqref="B3:B4">
    <cfRule type="expression" dxfId="3" priority="1">
      <formula>IF($N3="Removed",TRUE,FALSE)</formula>
    </cfRule>
    <cfRule type="expression" dxfId="2" priority="2">
      <formula>IF($N3="Proposed",TRUE,FALSE)</formula>
    </cfRule>
  </conditionalFormatting>
  <conditionalFormatting sqref="B2">
    <cfRule type="expression" dxfId="1" priority="3">
      <formula>IF(#REF!="Removed",TRUE,FALSE)</formula>
    </cfRule>
    <cfRule type="expression" dxfId="0" priority="4">
      <formula>IF(#REF!="Proposed",TRUE,FALSE)</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5745-A8D3-4335-9CA4-C7CFC22BC233}">
  <sheetPr codeName="Sheet1"/>
  <dimension ref="A1"/>
  <sheetViews>
    <sheetView workbookViewId="0"/>
  </sheetViews>
  <sheetFormatPr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F780BFB698D08E4E9774E7C038DCC3D5" ma:contentTypeVersion="18" ma:contentTypeDescription="Create a new document." ma:contentTypeScope="" ma:versionID="dcdbc15e211315851e36aea78f9effec">
  <xsd:schema xmlns:xsd="http://www.w3.org/2001/XMLSchema" xmlns:xs="http://www.w3.org/2001/XMLSchema" xmlns:p="http://schemas.microsoft.com/office/2006/metadata/properties" xmlns:ns3="5ec61360-4dbf-4d69-9ffa-5828a76748e7" xmlns:ns4="7b6858c7-4a0d-44d6-9854-949ba8134805" targetNamespace="http://schemas.microsoft.com/office/2006/metadata/properties" ma:root="true" ma:fieldsID="18677452d450c3597f9ed910c31031a4" ns3:_="" ns4:_="">
    <xsd:import namespace="5ec61360-4dbf-4d69-9ffa-5828a76748e7"/>
    <xsd:import namespace="7b6858c7-4a0d-44d6-9854-949ba813480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element ref="ns3:MediaServiceDateTaken" minOccurs="0"/>
                <xsd:element ref="ns3:MediaServiceLocation" minOccurs="0"/>
                <xsd:element ref="ns3:_activity" minOccurs="0"/>
                <xsd:element ref="ns3:MediaServiceObjectDetectorVersions" minOccurs="0"/>
                <xsd:element ref="ns3:MediaServiceSystemTag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ec61360-4dbf-4d69-9ffa-5828a76748e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ServiceLocation" ma:index="20" nillable="true" ma:displayName="Location" ma:description="" ma:indexed="true" ma:internalName="MediaServiceLocation" ma:readOnly="true">
      <xsd:simpleType>
        <xsd:restriction base="dms:Text"/>
      </xsd:simpleType>
    </xsd:element>
    <xsd:element name="_activity" ma:index="21" nillable="true" ma:displayName="_activity" ma:hidden="true" ma:internalName="_activity">
      <xsd:simpleType>
        <xsd:restriction base="dms:Note"/>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ystemTags" ma:index="23" nillable="true" ma:displayName="MediaServiceSystemTags" ma:hidden="true" ma:internalName="MediaServiceSystemTags" ma:readOnly="true">
      <xsd:simpleType>
        <xsd:restriction base="dms:Note"/>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b6858c7-4a0d-44d6-9854-949ba8134805"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activity xmlns="5ec61360-4dbf-4d69-9ffa-5828a76748e7" xsi:nil="true"/>
  </documentManagement>
</p:properties>
</file>

<file path=customXml/itemProps1.xml><?xml version="1.0" encoding="utf-8"?>
<ds:datastoreItem xmlns:ds="http://schemas.openxmlformats.org/officeDocument/2006/customXml" ds:itemID="{6917BA92-1741-49DF-B6D9-E2B4F6E55BA5}">
  <ds:schemaRefs>
    <ds:schemaRef ds:uri="http://schemas.microsoft.com/DataMashup"/>
  </ds:schemaRefs>
</ds:datastoreItem>
</file>

<file path=customXml/itemProps2.xml><?xml version="1.0" encoding="utf-8"?>
<ds:datastoreItem xmlns:ds="http://schemas.openxmlformats.org/officeDocument/2006/customXml" ds:itemID="{2873993A-4393-4EFE-AF10-8CD1A0A4E1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ec61360-4dbf-4d69-9ffa-5828a76748e7"/>
    <ds:schemaRef ds:uri="7b6858c7-4a0d-44d6-9854-949ba81348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A60BA9D-ACC5-4297-B69E-A8484EC16B91}">
  <ds:schemaRefs>
    <ds:schemaRef ds:uri="http://schemas.microsoft.com/sharepoint/v3/contenttype/forms"/>
  </ds:schemaRefs>
</ds:datastoreItem>
</file>

<file path=customXml/itemProps4.xml><?xml version="1.0" encoding="utf-8"?>
<ds:datastoreItem xmlns:ds="http://schemas.openxmlformats.org/officeDocument/2006/customXml" ds:itemID="{E4813631-4C87-4D13-AECC-331AE00BEC01}">
  <ds:schemaRefs>
    <ds:schemaRef ds:uri="http://schemas.microsoft.com/office/2006/documentManagement/types"/>
    <ds:schemaRef ds:uri="http://schemas.openxmlformats.org/package/2006/metadata/core-properties"/>
    <ds:schemaRef ds:uri="http://schemas.microsoft.com/office/2006/metadata/properties"/>
    <ds:schemaRef ds:uri="5ec61360-4dbf-4d69-9ffa-5828a76748e7"/>
    <ds:schemaRef ds:uri="http://www.w3.org/XML/1998/namespace"/>
    <ds:schemaRef ds:uri="http://purl.org/dc/dcmitype/"/>
    <ds:schemaRef ds:uri="http://purl.org/dc/elements/1.1/"/>
    <ds:schemaRef ds:uri="http://schemas.microsoft.com/office/infopath/2007/PartnerControls"/>
    <ds:schemaRef ds:uri="7b6858c7-4a0d-44d6-9854-949ba8134805"/>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168</vt:i4>
      </vt:variant>
    </vt:vector>
  </HeadingPairs>
  <TitlesOfParts>
    <vt:vector size="193" baseType="lpstr">
      <vt:lpstr>Meta</vt:lpstr>
      <vt:lpstr>Revisions</vt:lpstr>
      <vt:lpstr>Code</vt:lpstr>
      <vt:lpstr>Geometry</vt:lpstr>
      <vt:lpstr>Distributed Load Tables</vt:lpstr>
      <vt:lpstr>Discrete Loads</vt:lpstr>
      <vt:lpstr>Point Load Tables</vt:lpstr>
      <vt:lpstr>Maintenance Loads</vt:lpstr>
      <vt:lpstr>Area Load Tables</vt:lpstr>
      <vt:lpstr>RISA-3D</vt:lpstr>
      <vt:lpstr>Results</vt:lpstr>
      <vt:lpstr>Filter</vt:lpstr>
      <vt:lpstr>TIA-222-H</vt:lpstr>
      <vt:lpstr>TIA-222-I</vt:lpstr>
      <vt:lpstr>Project_Data</vt:lpstr>
      <vt:lpstr>TIA-222, Fig. 2-2</vt:lpstr>
      <vt:lpstr>Extract_FeedlineData</vt:lpstr>
      <vt:lpstr>Extract_DiscreteLoadData</vt:lpstr>
      <vt:lpstr>Extract_DishData</vt:lpstr>
      <vt:lpstr>FeedlineData</vt:lpstr>
      <vt:lpstr>DiscreteLoadData</vt:lpstr>
      <vt:lpstr>DishData</vt:lpstr>
      <vt:lpstr>DiscreteLoadParse</vt:lpstr>
      <vt:lpstr>DishParse</vt:lpstr>
      <vt:lpstr>Risa File</vt:lpstr>
      <vt:lpstr>A_Azimuth</vt:lpstr>
      <vt:lpstr>AlphaMountAzimuth</vt:lpstr>
      <vt:lpstr>AR_Quad1</vt:lpstr>
      <vt:lpstr>AR_Quad2</vt:lpstr>
      <vt:lpstr>AR_Quad3</vt:lpstr>
      <vt:lpstr>As</vt:lpstr>
      <vt:lpstr>ASCE</vt:lpstr>
      <vt:lpstr>Axes</vt:lpstr>
      <vt:lpstr>BetaMountAzimuth</vt:lpstr>
      <vt:lpstr>Buffer_LeftElev</vt:lpstr>
      <vt:lpstr>Buffer_LeftPlan</vt:lpstr>
      <vt:lpstr>Buffer_TopElev</vt:lpstr>
      <vt:lpstr>Buffer_TopPlan</vt:lpstr>
      <vt:lpstr>Ca_Quad1</vt:lpstr>
      <vt:lpstr>Ca_Quad2</vt:lpstr>
      <vt:lpstr>Ca_Quad3</vt:lpstr>
      <vt:lpstr>Carrier</vt:lpstr>
      <vt:lpstr>Carrier_Colors</vt:lpstr>
      <vt:lpstr>Carrier_Project</vt:lpstr>
      <vt:lpstr>Carrier_SiteName</vt:lpstr>
      <vt:lpstr>Carrier_SiteNumber</vt:lpstr>
      <vt:lpstr>CenterPoint</vt:lpstr>
      <vt:lpstr>Client</vt:lpstr>
      <vt:lpstr>Cs</vt:lpstr>
      <vt:lpstr>Cs_Amp</vt:lpstr>
      <vt:lpstr>cv_F</vt:lpstr>
      <vt:lpstr>cv_L</vt:lpstr>
      <vt:lpstr>cv_M</vt:lpstr>
      <vt:lpstr>DeltaMountAzimuth</vt:lpstr>
      <vt:lpstr>dimScale_Appurtenance</vt:lpstr>
      <vt:lpstr>dimScale_Member</vt:lpstr>
      <vt:lpstr>Display_Sector</vt:lpstr>
      <vt:lpstr>Eh</vt:lpstr>
      <vt:lpstr>ElevationViewCell_Alpha</vt:lpstr>
      <vt:lpstr>Ev</vt:lpstr>
      <vt:lpstr>EV_Height</vt:lpstr>
      <vt:lpstr>EV_LeftBuff</vt:lpstr>
      <vt:lpstr>EV_TopBuff</vt:lpstr>
      <vt:lpstr>EV_Width</vt:lpstr>
      <vt:lpstr>Exposure</vt:lpstr>
      <vt:lpstr>Fa</vt:lpstr>
      <vt:lpstr>FalseCheck</vt:lpstr>
      <vt:lpstr>Filepath_APPURT</vt:lpstr>
      <vt:lpstr>Filepath_DISH</vt:lpstr>
      <vt:lpstr>Filepath_FEEDLINE</vt:lpstr>
      <vt:lpstr>Filepath_SHAPES</vt:lpstr>
      <vt:lpstr>Fv</vt:lpstr>
      <vt:lpstr>GammaMountAzimuth</vt:lpstr>
      <vt:lpstr>Gh</vt:lpstr>
      <vt:lpstr>Grating</vt:lpstr>
      <vt:lpstr>H_1</vt:lpstr>
      <vt:lpstr>H_2</vt:lpstr>
      <vt:lpstr>Hs</vt:lpstr>
      <vt:lpstr>Hurricane_Prone</vt:lpstr>
      <vt:lpstr>IBC</vt:lpstr>
      <vt:lpstr>iGrating</vt:lpstr>
      <vt:lpstr>Ka</vt:lpstr>
      <vt:lpstr>Kd</vt:lpstr>
      <vt:lpstr>Ke</vt:lpstr>
      <vt:lpstr>Kes.i</vt:lpstr>
      <vt:lpstr>Kes.w</vt:lpstr>
      <vt:lpstr>Kiz</vt:lpstr>
      <vt:lpstr>Ks</vt:lpstr>
      <vt:lpstr>Kz</vt:lpstr>
      <vt:lpstr>Kzt</vt:lpstr>
      <vt:lpstr>LegalEntity</vt:lpstr>
      <vt:lpstr>Lm</vt:lpstr>
      <vt:lpstr>Lv</vt:lpstr>
      <vt:lpstr>MCL_Check</vt:lpstr>
      <vt:lpstr>Method</vt:lpstr>
      <vt:lpstr>ModelPath</vt:lpstr>
      <vt:lpstr>MountType</vt:lpstr>
      <vt:lpstr>nArea</vt:lpstr>
      <vt:lpstr>nDistributed</vt:lpstr>
      <vt:lpstr>nGrate</vt:lpstr>
      <vt:lpstr>nLC</vt:lpstr>
      <vt:lpstr>nLm</vt:lpstr>
      <vt:lpstr>nLv</vt:lpstr>
      <vt:lpstr>nPoint</vt:lpstr>
      <vt:lpstr>Offices</vt:lpstr>
      <vt:lpstr>Parapet_Height</vt:lpstr>
      <vt:lpstr>PlanViewCell</vt:lpstr>
      <vt:lpstr>Code!Print_Area</vt:lpstr>
      <vt:lpstr>ProjectFilePath</vt:lpstr>
      <vt:lpstr>ProjectNumber</vt:lpstr>
      <vt:lpstr>PV_Height</vt:lpstr>
      <vt:lpstr>PV_LeftBuff</vt:lpstr>
      <vt:lpstr>PV_TopBuff</vt:lpstr>
      <vt:lpstr>PV_Width</vt:lpstr>
      <vt:lpstr>qiz</vt:lpstr>
      <vt:lpstr>qizKa</vt:lpstr>
      <vt:lpstr>qmz</vt:lpstr>
      <vt:lpstr>QtySectors</vt:lpstr>
      <vt:lpstr>QtySectorsTotal</vt:lpstr>
      <vt:lpstr>qz</vt:lpstr>
      <vt:lpstr>ResultsOption</vt:lpstr>
      <vt:lpstr>RISA3D.AISC</vt:lpstr>
      <vt:lpstr>RISA3D.Axis</vt:lpstr>
      <vt:lpstr>RISA3D.Unit.AreaLoad</vt:lpstr>
      <vt:lpstr>RISA3D.Unit.Force</vt:lpstr>
      <vt:lpstr>RISA3D.Unit.Length</vt:lpstr>
      <vt:lpstr>RISA3D.Unit.LinearForce</vt:lpstr>
      <vt:lpstr>RISA3D.Unit.Moment</vt:lpstr>
      <vt:lpstr>RISA3D.Version</vt:lpstr>
      <vt:lpstr>Risk</vt:lpstr>
      <vt:lpstr>rngR3DSectionSets</vt:lpstr>
      <vt:lpstr>Roof_Speed_Up</vt:lpstr>
      <vt:lpstr>S_1</vt:lpstr>
      <vt:lpstr>S_D1</vt:lpstr>
      <vt:lpstr>S_DS</vt:lpstr>
      <vt:lpstr>S_M1</vt:lpstr>
      <vt:lpstr>S_MS</vt:lpstr>
      <vt:lpstr>S_S</vt:lpstr>
      <vt:lpstr>Scale_Elevation</vt:lpstr>
      <vt:lpstr>Scale_Plan</vt:lpstr>
      <vt:lpstr>sector1</vt:lpstr>
      <vt:lpstr>sector2</vt:lpstr>
      <vt:lpstr>sector3</vt:lpstr>
      <vt:lpstr>sector4</vt:lpstr>
      <vt:lpstr>Shape_Dish</vt:lpstr>
      <vt:lpstr>SiteClass</vt:lpstr>
      <vt:lpstr>SiteSoilClass</vt:lpstr>
      <vt:lpstr>Standard</vt:lpstr>
      <vt:lpstr>Supporting_Structure</vt:lpstr>
      <vt:lpstr>T2.11</vt:lpstr>
      <vt:lpstr>T2.11_A</vt:lpstr>
      <vt:lpstr>T2.11_B</vt:lpstr>
      <vt:lpstr>T2.11_C</vt:lpstr>
      <vt:lpstr>T2.11_D</vt:lpstr>
      <vt:lpstr>T2.11_E</vt:lpstr>
      <vt:lpstr>T2.11_F</vt:lpstr>
      <vt:lpstr>T2.11_Fa</vt:lpstr>
      <vt:lpstr>T2.11_SiteClass</vt:lpstr>
      <vt:lpstr>T2.11_Ss</vt:lpstr>
      <vt:lpstr>T2.11_x</vt:lpstr>
      <vt:lpstr>T2.11_y</vt:lpstr>
      <vt:lpstr>T2.12</vt:lpstr>
      <vt:lpstr>T2.12_A</vt:lpstr>
      <vt:lpstr>T2.12_B</vt:lpstr>
      <vt:lpstr>T2.12_C</vt:lpstr>
      <vt:lpstr>T2.12_D</vt:lpstr>
      <vt:lpstr>T2.12_E</vt:lpstr>
      <vt:lpstr>T2.12_F</vt:lpstr>
      <vt:lpstr>T2.12_Fv</vt:lpstr>
      <vt:lpstr>T2.12_S1</vt:lpstr>
      <vt:lpstr>T2.12_SiteClass</vt:lpstr>
      <vt:lpstr>T2.12_x</vt:lpstr>
      <vt:lpstr>T2.12_y</vt:lpstr>
      <vt:lpstr>T2.3</vt:lpstr>
      <vt:lpstr>T2.5</vt:lpstr>
      <vt:lpstr>T2.6</vt:lpstr>
      <vt:lpstr>ti</vt:lpstr>
      <vt:lpstr>TIA</vt:lpstr>
      <vt:lpstr>tiz</vt:lpstr>
      <vt:lpstr>tizKes</vt:lpstr>
      <vt:lpstr>Topo_Method</vt:lpstr>
      <vt:lpstr>TowerHeight</vt:lpstr>
      <vt:lpstr>TowerType</vt:lpstr>
      <vt:lpstr>UserInputCheck</vt:lpstr>
      <vt:lpstr>V</vt:lpstr>
      <vt:lpstr>ValidationTowerList</vt:lpstr>
      <vt:lpstr>Vi</vt:lpstr>
      <vt:lpstr>Vm</vt:lpstr>
      <vt:lpstr>Ws</vt:lpstr>
      <vt:lpstr>Xb</vt:lpstr>
      <vt:lpstr>z</vt:lpstr>
      <vt:lpstr>zr</vt:lpstr>
      <vt:lpstr>zs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Girgis</dc:creator>
  <cp:keywords/>
  <dc:description/>
  <cp:lastModifiedBy>Mark Girgis</cp:lastModifiedBy>
  <cp:revision/>
  <cp:lastPrinted>2025-12-31T14:57:27Z</cp:lastPrinted>
  <dcterms:created xsi:type="dcterms:W3CDTF">2023-07-19T13:38:31Z</dcterms:created>
  <dcterms:modified xsi:type="dcterms:W3CDTF">2026-01-08T18:39:13Z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0x010100F780BFB698D08E4E9774E7C038DCC3D5</vt:lpwstr>
  </property>
</Properties>
</file>